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3.xml" ContentType="application/vnd.openxmlformats-officedocument.spreadsheetml.comments+xml"/>
  <Override PartName="/xl/comments22.xml" ContentType="application/vnd.openxmlformats-officedocument.spreadsheetml.comments+xml"/>
  <Override PartName="/xl/styles.xml" ContentType="application/vnd.openxmlformats-officedocument.spreadsheetml.styles+xml"/>
  <Override PartName="/xl/comments11.xml" ContentType="application/vnd.openxmlformats-officedocument.spreadsheetml.comments+xml"/>
  <Override PartName="/xl/comments10.xml" ContentType="application/vnd.openxmlformats-officedocument.spreadsheetml.comments+xml"/>
  <Override PartName="/xl/workbook.xml" ContentType="application/vnd.openxmlformats-officedocument.spreadsheetml.sheet.main+xml"/>
  <Override PartName="/xl/comments25.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comments6.xml" ContentType="application/vnd.openxmlformats-officedocument.spreadsheetml.comments+xml"/>
  <Override PartName="/xl/comments16.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26.xml" ContentType="application/vnd.openxmlformats-officedocument.spreadsheetml.comments+xml"/>
  <Override PartName="/xl/comments15.xml" ContentType="application/vnd.openxmlformats-officedocument.spreadsheetml.comments+xml"/>
  <Override PartName="/xl/comments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drawings/_rels/drawing4.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vmlDrawing28.vml" ContentType="application/vnd.openxmlformats-officedocument.vmlDrawing"/>
  <Override PartName="/xl/drawings/vmlDrawing27.vml" ContentType="application/vnd.openxmlformats-officedocument.vmlDrawing"/>
  <Override PartName="/xl/drawings/vmlDrawing26.vml" ContentType="application/vnd.openxmlformats-officedocument.vmlDrawing"/>
  <Override PartName="/xl/drawings/vmlDrawing7.vml" ContentType="application/vnd.openxmlformats-officedocument.vmlDrawing"/>
  <Override PartName="/xl/drawings/vmlDrawing13.vml" ContentType="application/vnd.openxmlformats-officedocument.vmlDrawing"/>
  <Override PartName="/xl/drawings/vmlDrawing3.vml" ContentType="application/vnd.openxmlformats-officedocument.vmlDrawing"/>
  <Override PartName="/xl/drawings/drawing4.xml" ContentType="application/vnd.openxmlformats-officedocument.drawing+xml"/>
  <Override PartName="/xl/drawings/vmlDrawing29.vml" ContentType="application/vnd.openxmlformats-officedocument.vmlDrawing"/>
  <Override PartName="/xl/drawings/vmlDrawing10.vml" ContentType="application/vnd.openxmlformats-officedocument.vmlDrawing"/>
  <Override PartName="/xl/drawings/vmlDrawing4.vml" ContentType="application/vnd.openxmlformats-officedocument.vmlDrawing"/>
  <Override PartName="/xl/drawings/drawing2.xml" ContentType="application/vnd.openxmlformats-officedocument.drawing+xml"/>
  <Override PartName="/xl/drawings/vmlDrawing1.vml" ContentType="application/vnd.openxmlformats-officedocument.vmlDrawing"/>
  <Override PartName="/xl/drawings/vmlDrawing11.vml" ContentType="application/vnd.openxmlformats-officedocument.vmlDrawing"/>
  <Override PartName="/xl/drawings/vmlDrawing5.vml" ContentType="application/vnd.openxmlformats-officedocument.vmlDrawing"/>
  <Override PartName="/xl/drawings/drawing3.xml" ContentType="application/vnd.openxmlformats-officedocument.drawing+xml"/>
  <Override PartName="/xl/drawings/vmlDrawing2.vml" ContentType="application/vnd.openxmlformats-officedocument.vmlDrawing"/>
  <Override PartName="/xl/drawings/vmlDrawing12.vml" ContentType="application/vnd.openxmlformats-officedocument.vmlDrawing"/>
  <Override PartName="/xl/drawings/vmlDrawing6.vml" ContentType="application/vnd.openxmlformats-officedocument.vmlDrawing"/>
  <Override PartName="/xl/drawings/vmlDrawing8.vml" ContentType="application/vnd.openxmlformats-officedocument.vmlDrawing"/>
  <Override PartName="/xl/drawings/vmlDrawing14.vml" ContentType="application/vnd.openxmlformats-officedocument.vmlDrawing"/>
  <Override PartName="/xl/drawings/vmlDrawing9.vml" ContentType="application/vnd.openxmlformats-officedocument.vmlDrawing"/>
  <Override PartName="/xl/drawings/vmlDrawing15.vml" ContentType="application/vnd.openxmlformats-officedocument.vmlDrawing"/>
  <Override PartName="/xl/drawings/vmlDrawing16.vml" ContentType="application/vnd.openxmlformats-officedocument.vmlDrawing"/>
  <Override PartName="/xl/drawings/vmlDrawing17.vml" ContentType="application/vnd.openxmlformats-officedocument.vmlDrawing"/>
  <Override PartName="/xl/drawings/vmlDrawing18.vml" ContentType="application/vnd.openxmlformats-officedocument.vmlDrawing"/>
  <Override PartName="/xl/drawings/vmlDrawing20.vml" ContentType="application/vnd.openxmlformats-officedocument.vmlDrawing"/>
  <Override PartName="/xl/drawings/vmlDrawing19.vml" ContentType="application/vnd.openxmlformats-officedocument.vmlDrawing"/>
  <Override PartName="/xl/drawings/vmlDrawing21.vml" ContentType="application/vnd.openxmlformats-officedocument.vmlDrawing"/>
  <Override PartName="/xl/drawings/vmlDrawing22.vml" ContentType="application/vnd.openxmlformats-officedocument.vmlDrawing"/>
  <Override PartName="/xl/drawings/vmlDrawing23.vml" ContentType="application/vnd.openxmlformats-officedocument.vmlDrawing"/>
  <Override PartName="/xl/drawings/vmlDrawing24.vml" ContentType="application/vnd.openxmlformats-officedocument.vmlDrawing"/>
  <Override PartName="/xl/drawings/vmlDrawing25.vml" ContentType="application/vnd.openxmlformats-officedocument.vmlDrawing"/>
  <Override PartName="/xl/comments24.xml" ContentType="application/vnd.openxmlformats-officedocument.spreadsheetml.comments+xml"/>
  <Override PartName="/xl/_rels/workbook.xml.rels" ContentType="application/vnd.openxmlformats-package.relationships+xml"/>
  <Override PartName="/xl/comments2.xml" ContentType="application/vnd.openxmlformats-officedocument.spreadsheetml.comments+xml"/>
  <Override PartName="/xl/comments12.xml" ContentType="application/vnd.openxmlformats-officedocument.spreadsheetml.comments+xml"/>
  <Override PartName="/xl/comments8.xml" ContentType="application/vnd.openxmlformats-officedocument.spreadsheetml.comments+xml"/>
  <Override PartName="/xl/sharedStrings.xml" ContentType="application/vnd.openxmlformats-officedocument.spreadsheetml.sharedStrings+xml"/>
  <Override PartName="/xl/worksheets/_rels/sheet24.xml.rels" ContentType="application/vnd.openxmlformats-package.relationships+xml"/>
  <Override PartName="/xl/worksheets/_rels/sheet23.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46.xml.rels" ContentType="application/vnd.openxmlformats-package.relationships+xml"/>
  <Override PartName="/xl/worksheets/_rels/sheet11.xml.rels" ContentType="application/vnd.openxmlformats-package.relationships+xml"/>
  <Override PartName="/xl/worksheets/_rels/sheet48.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25.xml.rels" ContentType="application/vnd.openxmlformats-package.relationships+xml"/>
  <Override PartName="/xl/worksheets/_rels/sheet8.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28.xml.rels" ContentType="application/vnd.openxmlformats-package.relationships+xml"/>
  <Override PartName="/xl/worksheets/_rels/sheet29.xml.rels" ContentType="application/vnd.openxmlformats-package.relationships+xml"/>
  <Override PartName="/xl/worksheets/_rels/sheet14.xml.rels" ContentType="application/vnd.openxmlformats-package.relationships+xml"/>
  <Override PartName="/xl/worksheets/_rels/sheet38.xml.rels" ContentType="application/vnd.openxmlformats-package.relationships+xml"/>
  <Override PartName="/xl/worksheets/_rels/sheet9.xml.rels" ContentType="application/vnd.openxmlformats-package.relationships+xml"/>
  <Override PartName="/xl/worksheets/_rels/sheet40.xml.rels" ContentType="application/vnd.openxmlformats-package.relationships+xml"/>
  <Override PartName="/xl/worksheets/_rels/sheet39.xml.rels" ContentType="application/vnd.openxmlformats-package.relationships+xml"/>
  <Override PartName="/xl/worksheets/_rels/sheet47.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3.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9.xml.rels" ContentType="application/vnd.openxmlformats-package.relationships+xml"/>
  <Override PartName="/xl/worksheets/_rels/sheet4.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comments9.xml" ContentType="application/vnd.openxmlformats-officedocument.spreadsheetml.comments+xml"/>
  <Override PartName="/xl/comments19.xml" ContentType="application/vnd.openxmlformats-officedocument.spreadsheetml.comments+xml"/>
  <Override PartName="/xl/comments21.xml" ContentType="application/vnd.openxmlformats-officedocument.spreadsheetml.comments+xml"/>
  <Override PartName="/xl/comments39.xml" ContentType="application/vnd.openxmlformats-officedocument.spreadsheetml.comments+xml"/>
  <Override PartName="/xl/comments3.xml" ContentType="application/vnd.openxmlformats-officedocument.spreadsheetml.comments+xml"/>
  <Override PartName="/xl/comments13.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media/image56.png" ContentType="image/png"/>
  <Override PartName="/xl/media/image104.png" ContentType="image/png"/>
  <Override PartName="/xl/media/image55.png" ContentType="image/png"/>
  <Override PartName="/xl/media/image103.png" ContentType="image/png"/>
  <Override PartName="/xl/media/image54.png" ContentType="image/png"/>
  <Override PartName="/xl/media/image102.png" ContentType="image/png"/>
  <Override PartName="/xl/media/image53.png" ContentType="image/png"/>
  <Override PartName="/xl/media/image101.png" ContentType="image/png"/>
  <Override PartName="/xl/media/image52.png" ContentType="image/png"/>
  <Override PartName="/xl/media/image100.png" ContentType="image/png"/>
  <Override PartName="/xl/media/image51.png" ContentType="image/png"/>
  <Override PartName="/xl/media/image50.png" ContentType="image/png"/>
  <Override PartName="/xl/media/image46.png" ContentType="image/png"/>
  <Override PartName="/xl/media/image45.png" ContentType="image/png"/>
  <Override PartName="/xl/media/image44.png" ContentType="image/png"/>
  <Override PartName="/xl/media/image43.png" ContentType="image/png"/>
  <Override PartName="/xl/media/image42.png" ContentType="image/png"/>
  <Override PartName="/xl/media/image41.png" ContentType="image/png"/>
  <Override PartName="/xl/media/image40.png" ContentType="image/png"/>
  <Override PartName="/xl/media/image32.png" ContentType="image/png"/>
  <Override PartName="/xl/media/image31.png" ContentType="image/png"/>
  <Override PartName="/xl/media/image30.png" ContentType="image/png"/>
  <Override PartName="/xl/media/image13.png" ContentType="image/png"/>
  <Override PartName="/xl/media/image4.png" ContentType="image/png"/>
  <Override PartName="/xl/media/image36.png" ContentType="image/png"/>
  <Override PartName="/xl/media/image9.png" ContentType="image/png"/>
  <Override PartName="/xl/media/image18.png" ContentType="image/png"/>
  <Override PartName="/xl/media/image83.png" ContentType="image/png"/>
  <Override PartName="/xl/media/image57.png" ContentType="image/png"/>
  <Override PartName="/xl/media/image105.png" ContentType="image/png"/>
  <Override PartName="/xl/media/image20.png" ContentType="image/png"/>
  <Override PartName="/xl/media/image49.png" ContentType="image/png"/>
  <Override PartName="/xl/media/image12.png" ContentType="image/png"/>
  <Override PartName="/xl/media/image3.png" ContentType="image/png"/>
  <Override PartName="/xl/media/image35.png" ContentType="image/png"/>
  <Override PartName="/xl/media/image8.png" ContentType="image/png"/>
  <Override PartName="/xl/media/image17.png" ContentType="image/png"/>
  <Override PartName="/xl/media/image82.png" ContentType="image/png"/>
  <Override PartName="/xl/media/image48.png" ContentType="image/png"/>
  <Override PartName="/xl/media/image11.png" ContentType="image/png"/>
  <Override PartName="/xl/media/image2.png" ContentType="image/png"/>
  <Override PartName="/xl/media/image34.png" ContentType="image/png"/>
  <Override PartName="/xl/media/image39.png" ContentType="image/png"/>
  <Override PartName="/xl/media/image7.png" ContentType="image/png"/>
  <Override PartName="/xl/media/image16.png" ContentType="image/png"/>
  <Override PartName="/xl/media/image81.png" ContentType="image/png"/>
  <Override PartName="/xl/media/image47.png" ContentType="image/png"/>
  <Override PartName="/xl/media/image10.png" ContentType="image/png"/>
  <Override PartName="/xl/media/image1.png" ContentType="image/png"/>
  <Override PartName="/xl/media/image33.png" ContentType="image/png"/>
  <Override PartName="/xl/media/image38.png" ContentType="image/png"/>
  <Override PartName="/xl/media/image6.png" ContentType="image/png"/>
  <Override PartName="/xl/media/image15.png" ContentType="image/png"/>
  <Override PartName="/xl/media/image80.png" ContentType="image/png"/>
  <Override PartName="/xl/media/image37.png" ContentType="image/png"/>
  <Override PartName="/xl/media/image5.png" ContentType="image/png"/>
  <Override PartName="/xl/media/image14.png" ContentType="image/png"/>
  <Override PartName="/xl/media/image70.png" ContentType="image/png"/>
  <Override PartName="/xl/media/image71.png" ContentType="image/png"/>
  <Override PartName="/xl/media/image72.png" ContentType="image/png"/>
  <Override PartName="/xl/media/image73.png" ContentType="image/png"/>
  <Override PartName="/xl/media/image74.png" ContentType="image/png"/>
  <Override PartName="/xl/media/image75.png" ContentType="image/png"/>
  <Override PartName="/xl/media/image76.png" ContentType="image/png"/>
  <Override PartName="/xl/media/image77.png" ContentType="image/png"/>
  <Override PartName="/xl/media/image78.png" ContentType="image/png"/>
  <Override PartName="/xl/media/image108.png" ContentType="image/png"/>
  <Override PartName="/xl/media/image99.png" ContentType="image/png"/>
  <Override PartName="/xl/media/image69.png" ContentType="image/png"/>
  <Override PartName="/xl/media/image117.png" ContentType="image/png"/>
  <Override PartName="/xl/media/image22.png" ContentType="image/png"/>
  <Override PartName="/xl/media/image87.png" ContentType="image/png"/>
  <Override PartName="/xl/media/image98.png" ContentType="image/png"/>
  <Override PartName="/xl/media/image61.png" ContentType="image/png"/>
  <Override PartName="/xl/media/image68.png" ContentType="image/png"/>
  <Override PartName="/xl/media/image116.png" ContentType="image/png"/>
  <Override PartName="/xl/media/image21.png" ContentType="image/png"/>
  <Override PartName="/xl/media/image86.png" ContentType="image/png"/>
  <Override PartName="/xl/media/image97.png" ContentType="image/png"/>
  <Override PartName="/xl/media/image60.png" ContentType="image/png"/>
  <Override PartName="/xl/media/image67.png" ContentType="image/png"/>
  <Override PartName="/xl/media/image115.png" ContentType="image/png"/>
  <Override PartName="/xl/media/image85.png" ContentType="image/png"/>
  <Override PartName="/xl/media/image96.png" ContentType="image/png"/>
  <Override PartName="/xl/media/image95.png" ContentType="image/png"/>
  <Override PartName="/xl/media/image89.png" ContentType="image/png"/>
  <Override PartName="/xl/media/image62.png" ContentType="image/png"/>
  <Override PartName="/xl/media/image110.png" ContentType="image/png"/>
  <Override PartName="/xl/media/image88.png" ContentType="image/png"/>
  <Override PartName="/xl/media/image109.png" ContentType="image/png"/>
  <Override PartName="/xl/media/image28.png" ContentType="image/png"/>
  <Override PartName="/xl/media/image93.png" ContentType="image/png"/>
  <Override PartName="/xl/media/image79.png" ContentType="image/png"/>
  <Override PartName="/xl/media/image114.png" ContentType="image/png"/>
  <Override PartName="/xl/media/image66.png" ContentType="image/png"/>
  <Override PartName="/xl/media/image113.png" ContentType="image/png"/>
  <Override PartName="/xl/media/image65.png" ContentType="image/png"/>
  <Override PartName="/xl/media/image112.png" ContentType="image/png"/>
  <Override PartName="/xl/media/image64.png" ContentType="image/png"/>
  <Override PartName="/xl/media/image111.png" ContentType="image/png"/>
  <Override PartName="/xl/media/image63.png" ContentType="image/png"/>
  <Override PartName="/xl/media/image29.png" ContentType="image/png"/>
  <Override PartName="/xl/media/image94.png" ContentType="image/png"/>
  <Override PartName="/xl/media/image92.png" ContentType="image/png"/>
  <Override PartName="/xl/media/image27.png" ContentType="image/png"/>
  <Override PartName="/xl/media/image59.png" ContentType="image/png"/>
  <Override PartName="/xl/media/image107.png" ContentType="image/png"/>
  <Override PartName="/xl/media/image91.png" ContentType="image/png"/>
  <Override PartName="/xl/media/image26.png" ContentType="image/png"/>
  <Override PartName="/xl/media/image58.png" ContentType="image/png"/>
  <Override PartName="/xl/media/image106.png" ContentType="image/png"/>
  <Override PartName="/xl/media/image90.png" ContentType="image/png"/>
  <Override PartName="/xl/media/image25.png" ContentType="image/png"/>
  <Override PartName="/xl/media/image24.png" ContentType="image/png"/>
  <Override PartName="/xl/media/image23.png" ContentType="image/png"/>
  <Override PartName="/xl/media/image19.png" ContentType="image/png"/>
  <Override PartName="/xl/media/image84.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01 Borrowing" sheetId="2" state="visible" r:id="rId4"/>
    <sheet name="C02 Mortgage repayment" sheetId="3" state="visible" r:id="rId5"/>
    <sheet name="C03 Deposit" sheetId="4" state="visible" r:id="rId6"/>
    <sheet name="C04 Mortgage overpayment" sheetId="5" state="visible" r:id="rId7"/>
    <sheet name="C05 Interest rate impact" sheetId="6" state="visible" r:id="rId8"/>
    <sheet name="C06 Term comparison" sheetId="7" state="visible" r:id="rId9"/>
    <sheet name="C07 Rent vs buy" sheetId="8" state="visible" r:id="rId10"/>
    <sheet name="C08 Goal planner" sheetId="9" state="visible" r:id="rId11"/>
    <sheet name="C09 Compound growth" sheetId="10" state="visible" r:id="rId12"/>
    <sheet name="C10 Lump sum growth" sheetId="11" state="visible" r:id="rId13"/>
    <sheet name="C11 Emergency fund" sheetId="12" state="visible" r:id="rId14"/>
    <sheet name="C12 Retirement projection" sheetId="13" state="visible" r:id="rId15"/>
    <sheet name="C13 Contribution impact" sheetId="14" state="visible" r:id="rId16"/>
    <sheet name="C14 AVC impact" sheetId="15" state="visible" r:id="rId17"/>
    <sheet name="C15 Will my money last" sheetId="16" state="visible" r:id="rId18"/>
    <sheet name="C16 Drawdown scenarios" sheetId="17" state="visible" r:id="rId19"/>
    <sheet name="C17 Inflation adjusted return" sheetId="18" state="visible" r:id="rId20"/>
    <sheet name="C18 Regular investing" sheetId="19" state="visible" r:id="rId21"/>
    <sheet name="C19 Fees impact" sheetId="20" state="visible" r:id="rId22"/>
    <sheet name="C20 Risk and return" sheetId="21" state="visible" r:id="rId23"/>
    <sheet name="C21 Life cover" sheetId="22" state="visible" r:id="rId24"/>
    <sheet name="C22 Income protection gap" sheetId="23" state="visible" r:id="rId25"/>
    <sheet name="C23 Mortgage protection" sheetId="24" state="visible" r:id="rId26"/>
    <sheet name="C24 Net worth" sheetId="25" state="visible" r:id="rId27"/>
    <sheet name="C25 Monthly surplus" sheetId="26" state="visible" r:id="rId28"/>
    <sheet name="C26 Budget 50 30 20" sheetId="27" state="visible" r:id="rId29"/>
    <sheet name="C27 Debt repayment" sheetId="28" state="visible" r:id="rId30"/>
    <sheet name="C28 Loan repayment" sheetId="29" state="visible" r:id="rId31"/>
    <sheet name="Plan inputs" sheetId="30" state="visible" r:id="rId32"/>
    <sheet name="Plan pay &amp; tax" sheetId="31" state="visible" r:id="rId33"/>
    <sheet name="Plan cashflow" sheetId="32" state="visible" r:id="rId34"/>
    <sheet name="Plan goals" sheetId="33" state="visible" r:id="rId35"/>
    <sheet name="Plan results" sheetId="34" state="visible" r:id="rId36"/>
    <sheet name="Plan profile" sheetId="35" state="visible" r:id="rId37"/>
    <sheet name="Plan debt months" sheetId="36" state="visible" r:id="rId38"/>
    <sheet name="Plan how it works" sheetId="37" state="visible" r:id="rId39"/>
    <sheet name="Calculation register" sheetId="38" state="visible" r:id="rId40"/>
    <sheet name="Tax engine" sheetId="39" state="visible" r:id="rId41"/>
    <sheet name="Document reader spec" sheetId="40" state="visible" r:id="rId42"/>
    <sheet name="Your lists" sheetId="41" state="visible" r:id="rId43"/>
    <sheet name="Settings" sheetId="42" state="visible" r:id="rId44"/>
    <sheet name="Assumptions" sheetId="43" state="visible" r:id="rId45"/>
    <sheet name="Report spec" sheetId="44" state="visible" r:id="rId46"/>
    <sheet name="UI Guide" sheetId="45" state="visible" r:id="rId47"/>
    <sheet name="UI Calculators" sheetId="46" state="visible" r:id="rId48"/>
    <sheet name="UI Screens" sheetId="47" state="visible" r:id="rId49"/>
    <sheet name="UI Make my plan" sheetId="48" state="visible" r:id="rId50"/>
  </sheets>
  <definedNames>
    <definedName function="false" hidden="true" localSheetId="37" name="_xlnm._FilterDatabase" vbProcedure="false">'Calculation register'!$B$4:$H$111</definedName>
    <definedName function="false" hidden="true" localSheetId="45" name="_xlnm._FilterDatabase" vbProcedure="false">'UI Calculators'!$A$4:$X$516</definedName>
    <definedName function="false" hidden="false" name="AS_AccessAge" vbProcedure="false">'Plan pay &amp; tax'!$C$147</definedName>
    <definedName function="false" hidden="false" name="AS_Bands" vbProcedure="false">'Plan pay &amp; tax'!$C$151</definedName>
    <definedName function="false" hidden="false" name="AS_CardRate" vbProcedure="false">'Plan pay &amp; tax'!$C$137</definedName>
    <definedName function="false" hidden="false" name="AS_Cash" vbProcedure="false">'Plan pay &amp; tax'!$C$132</definedName>
    <definedName function="false" hidden="false" name="AS_Cautious" vbProcedure="false">'Plan pay &amp; tax'!$C$129</definedName>
    <definedName function="false" hidden="false" name="AS_DrawFixed" vbProcedure="false">'Plan pay &amp; tax'!$C$150</definedName>
    <definedName function="false" hidden="false" name="AS_DrawRule" vbProcedure="false">'Plan pay &amp; tax'!$C$149</definedName>
    <definedName function="false" hidden="false" name="AS_End" vbProcedure="false">'Plan pay &amp; tax'!$C$139</definedName>
    <definedName function="false" hidden="false" name="AS_Infl" vbProcedure="false">'Plan pay &amp; tax'!$C$130</definedName>
    <definedName function="false" hidden="false" name="AS_Inv" vbProcedure="false">'Plan pay &amp; tax'!$C$133</definedName>
    <definedName function="false" hidden="false" name="AS_InvShare" vbProcedure="false">'Plan pay &amp; tax'!$C$146</definedName>
    <definedName function="false" hidden="false" name="AS_LoanRate" vbProcedure="false">'Plan pay &amp; tax'!$C$138</definedName>
    <definedName function="false" hidden="false" name="AS_LongYrs" vbProcedure="false">'Plan pay &amp; tax'!$C$143</definedName>
    <definedName function="false" hidden="false" name="AS_LumpPct" vbProcedure="false">'Plan pay &amp; tax'!$C$148</definedName>
    <definedName function="false" hidden="false" name="AS_Months" vbProcedure="false">'Plan pay &amp; tax'!$C$142</definedName>
    <definedName function="false" hidden="false" name="AS_MortRate" vbProcedure="false">'Plan pay &amp; tax'!$C$136</definedName>
    <definedName function="false" hidden="false" name="AS_NoAnswer" vbProcedure="false">'Plan pay &amp; tax'!$C$145</definedName>
    <definedName function="false" hidden="false" name="AS_OwnShare" vbProcedure="false">'Plan pay &amp; tax'!$C$154</definedName>
    <definedName function="false" hidden="false" name="AS_Pen" vbProcedure="false">'Plan pay &amp; tax'!$C$134</definedName>
    <definedName function="false" hidden="false" name="AS_PenChgTyp" vbProcedure="false">'Plan pay &amp; tax'!$C$155</definedName>
    <definedName function="false" hidden="false" name="AS_PenRet" vbProcedure="false">'Plan pay &amp; tax'!$C$135</definedName>
    <definedName function="false" hidden="false" name="AS_PSpOwn" vbProcedure="false">'Plan pay &amp; tax'!$C$158</definedName>
    <definedName function="false" hidden="false" name="AS_PSpWeek" vbProcedure="false">'Plan pay &amp; tax'!$C$159</definedName>
    <definedName function="false" hidden="false" name="AS_RetireSpend" vbProcedure="false">'Plan pay &amp; tax'!$C$153</definedName>
    <definedName function="false" hidden="false" name="AS_SaveShare" vbProcedure="false">'Plan pay &amp; tax'!$C$144</definedName>
    <definedName function="false" hidden="false" name="AS_SP" vbProcedure="false">'Plan pay &amp; tax'!$C$160</definedName>
    <definedName function="false" hidden="false" name="AS_SpGrow" vbProcedure="false">'Plan pay &amp; tax'!$C$152</definedName>
    <definedName function="false" hidden="false" name="AS_SpOwn" vbProcedure="false">'Plan pay &amp; tax'!$C$156</definedName>
    <definedName function="false" hidden="false" name="AS_SpWeek" vbProcedure="false">'Plan pay &amp; tax'!$C$157</definedName>
    <definedName function="false" hidden="false" name="AS_TwoSecure" vbProcedure="false">'Plan pay &amp; tax'!$C$141</definedName>
    <definedName function="false" hidden="false" name="AS_Wage" vbProcedure="false">'Plan pay &amp; tax'!$C$131</definedName>
    <definedName function="false" hidden="false" name="AS_Year0" vbProcedure="false">'Plan pay &amp; tax'!$C$140</definedName>
    <definedName function="false" hidden="false" name="Band_Married" vbProcedure="false">Assumptions!$C$12</definedName>
    <definedName function="false" hidden="false" name="Band_Second_Earner_Max" vbProcedure="false">Assumptions!$C$13</definedName>
    <definedName function="false" hidden="false" name="Band_Single" vbProcedure="false">Assumptions!$C$10</definedName>
    <definedName function="false" hidden="false" name="Band_Single_Parent" vbProcedure="false">Assumptions!$C$11</definedName>
    <definedName function="false" hidden="false" name="Cap_Months" vbProcedure="false">Assumptions!$C$98</definedName>
    <definedName function="false" hidden="false" name="Cap_Years" vbProcedure="false">Assumptions!$C$99</definedName>
    <definedName function="false" hidden="false" name="Cards_Owed_Rng" vbProcedure="false">'Your lists'!$D$6:$D$13</definedName>
    <definedName function="false" hidden="false" name="Cards_Owed_Total" vbProcedure="false">'Your lists'!$D$15</definedName>
    <definedName function="false" hidden="false" name="Cards_Pay_Rng" vbProcedure="false">'Your lists'!$E$6:$E$13</definedName>
    <definedName function="false" hidden="false" name="Cards_Pay_Total" vbProcedure="false">'Your lists'!$D$16</definedName>
    <definedName function="false" hidden="false" name="Cards_Rate_Avg" vbProcedure="false">'Your lists'!$D$17</definedName>
    <definedName function="false" hidden="false" name="Card_APR_Cap" vbProcedure="false">Settings!$C$57</definedName>
    <definedName function="false" hidden="false" name="Cat_N1" vbProcedure="false">'Plan results'!$C$239</definedName>
    <definedName function="false" hidden="false" name="Cat_N2" vbProcedure="false">'Plan results'!$C$240</definedName>
    <definedName function="false" hidden="false" name="Cat_N3" vbProcedure="false">'Plan results'!$C$241</definedName>
    <definedName function="false" hidden="false" name="Cat_N4" vbProcedure="false">'Plan results'!$C$242</definedName>
    <definedName function="false" hidden="false" name="Cat_N5" vbProcedure="false">'Plan results'!$C$243</definedName>
    <definedName function="false" hidden="false" name="Cat_N6" vbProcedure="false">'Plan results'!$C$244</definedName>
    <definedName function="false" hidden="false" name="Chap_Avg" vbProcedure="false">'Plan results'!$I$204:$I$213</definedName>
    <definedName function="false" hidden="false" name="Chap_Dec" vbProcedure="false">'Plan results'!$C$204:$C$213</definedName>
    <definedName function="false" hidden="false" name="Chap_Dip" vbProcedure="false">'Plan results'!$H$204:$H$213</definedName>
    <definedName function="false" hidden="false" name="Chap_From" vbProcedure="false">'Plan results'!$D$204:$D$213</definedName>
    <definedName function="false" hidden="false" name="Chap_Short" vbProcedure="false">'Plan results'!$G$204:$G$213</definedName>
    <definedName function="false" hidden="false" name="Chap_Story" vbProcedure="false">'Plan results'!$K$204:$K$213</definedName>
    <definedName function="false" hidden="false" name="Chap_To" vbProcedure="false">'Plan results'!$E$204:$E$213</definedName>
    <definedName function="false" hidden="false" name="Chap_Weather" vbProcedure="false">'Plan results'!$J$204:$J$213</definedName>
    <definedName function="false" hidden="false" name="Chart_DipYears" vbProcedure="false">'Plan results'!$C$194</definedName>
    <definedName function="false" hidden="false" name="Chart_FirstLivingAge" vbProcedure="false">'Plan results'!$C$200</definedName>
    <definedName function="false" hidden="false" name="Chart_FirstShortAge" vbProcedure="false">'Plan results'!$C$196</definedName>
    <definedName function="false" hidden="false" name="Chart_FirstShortAmt" vbProcedure="false">'Plan results'!$C$197</definedName>
    <definedName function="false" hidden="false" name="Chart_FirstShortIdx" vbProcedure="false">'Plan results'!$C$195</definedName>
    <definedName function="false" hidden="false" name="Chart_LivingShortYears" vbProcedure="false">'Plan results'!$C$199</definedName>
    <definedName function="false" hidden="false" name="Chart_ShortYears" vbProcedure="false">'Plan results'!$C$193</definedName>
    <definedName function="false" hidden="false" name="Chart_TotalShort" vbProcedure="false">'Plan results'!$C$198</definedName>
    <definedName function="false" hidden="false" name="CI_Listed_Total" vbProcedure="false">'Your lists'!$D$75</definedName>
    <definedName function="false" hidden="false" name="Cover_Existing_Total" vbProcedure="false">'Your lists'!$D$63</definedName>
    <definedName function="false" hidden="false" name="Cover_Life_Total" vbProcedure="false">'Your lists'!$D$56</definedName>
    <definedName function="false" hidden="false" name="Cover_Work_Total" vbProcedure="false">'Your lists'!$D$62</definedName>
    <definedName function="false" hidden="false" name="Credit_Home_Carer" vbProcedure="false">Assumptions!$C$23</definedName>
    <definedName function="false" hidden="false" name="Credit_PAYE" vbProcedure="false">Assumptions!$C$18</definedName>
    <definedName function="false" hidden="false" name="Credit_PAYE_Cap_Pct" vbProcedure="false">Assumptions!$C$19</definedName>
    <definedName function="false" hidden="false" name="Credit_Personal_Married" vbProcedure="false">Assumptions!$C$17</definedName>
    <definedName function="false" hidden="false" name="Credit_Personal_Single" vbProcedure="false">Assumptions!$C$16</definedName>
    <definedName function="false" hidden="false" name="Credit_Rent_Joint" vbProcedure="false">Assumptions!$C$22</definedName>
    <definedName function="false" hidden="false" name="Credit_Rent_Single" vbProcedure="false">Assumptions!$C$21</definedName>
    <definedName function="false" hidden="false" name="Credit_SPCCC" vbProcedure="false">Assumptions!$C$20</definedName>
    <definedName function="false" hidden="false" name="Debts_Listed_Total" vbProcedure="false">'Your lists'!$D$32</definedName>
    <definedName function="false" hidden="false" name="Debts_Pay_Total" vbProcedure="false">'Your lists'!$D$33</definedName>
    <definedName function="false" hidden="false" name="Deemed_Disposal_Years" vbProcedure="false">Assumptions!$C$75</definedName>
    <definedName function="false" hidden="false" name="DIRT" vbProcedure="false">Assumptions!$C$73</definedName>
    <definedName function="false" hidden="false" name="DOB_AgeToday" vbProcedure="false">'Plan results'!$C$163</definedName>
    <definedName function="false" hidden="false" name="DOB_Msg" vbProcedure="false">'Plan results'!$C$165</definedName>
    <definedName function="false" hidden="false" name="DOB_NextBirthday" vbProcedure="false">'Plan results'!$C$164</definedName>
    <definedName function="false" hidden="false" name="D_cR" vbProcedure="false">'Plan pay &amp; tax'!$C$190</definedName>
    <definedName function="false" hidden="false" name="D_iC" vbProcedure="false">'Plan pay &amp; tax'!$C$197</definedName>
    <definedName function="false" hidden="false" name="D_iL" vbProcedure="false">'Plan pay &amp; tax'!$C$198</definedName>
    <definedName function="false" hidden="false" name="D_lB0" vbProcedure="false">'Plan pay &amp; tax'!$C$192</definedName>
    <definedName function="false" hidden="false" name="D_lp" vbProcedure="false">'Plan pay &amp; tax'!$C$196</definedName>
    <definedName function="false" hidden="false" name="D_lR" vbProcedure="false">'Plan pay &amp; tax'!$C$193</definedName>
    <definedName function="false" hidden="false" name="D_lR0" vbProcedure="false">'Plan pay &amp; tax'!$C$191</definedName>
    <definedName function="false" hidden="false" name="D_okC" vbProcedure="false">'Plan pay &amp; tax'!$C$199</definedName>
    <definedName function="false" hidden="false" name="D_okL" vbProcedure="false">'Plan pay &amp; tax'!$C$200</definedName>
    <definedName function="false" hidden="false" name="Exit_Tax" vbProcedure="false">Assumptions!$C$74</definedName>
    <definedName function="false" hidden="false" name="Expert_Idx" vbProcedure="false">'Plan results'!$C$183</definedName>
    <definedName function="false" hidden="false" name="Expert_Key" vbProcedure="false">'Plan results'!$C$184</definedName>
    <definedName function="false" hidden="false" name="Expert_Type" vbProcedure="false">'Plan results'!$C$185</definedName>
    <definedName function="false" hidden="false" name="Fill_Example" vbProcedure="false">README!$C$3</definedName>
    <definedName function="false" hidden="false" name="Fin1_St" vbProcedure="false">'Plan results'!$C$143</definedName>
    <definedName function="false" hidden="false" name="Fin2_St" vbProcedure="false">'Plan results'!$C$144</definedName>
    <definedName function="false" hidden="false" name="Fin3_St" vbProcedure="false">'Plan results'!$C$145</definedName>
    <definedName function="false" hidden="false" name="Fin4_St" vbProcedure="false">'Plan results'!$C$146</definedName>
    <definedName function="false" hidden="false" name="Fin5_St" vbProcedure="false">'Plan results'!$C$147</definedName>
    <definedName function="false" hidden="false" name="Fin6_St" vbProcedure="false">'Plan results'!$C$148</definedName>
    <definedName function="false" hidden="false" name="Findings_Over" vbProcedure="false">'Plan results'!$C$31</definedName>
    <definedName function="false" hidden="false" name="Find_BestIdx" vbProcedure="false">'Plan results'!$C$33</definedName>
    <definedName function="false" hidden="false" name="Find_BestScore" vbProcedure="false">'Plan results'!$C$32</definedName>
    <definedName function="false" hidden="false" name="Find_Decision" vbProcedure="false">'Plan results'!$C$41</definedName>
    <definedName function="false" hidden="false" name="Find_ExtraFor" vbProcedure="false">'Plan results'!$C$37</definedName>
    <definedName function="false" hidden="false" name="Find_ExtraUsed" vbProcedure="false">'Plan results'!$C$38</definedName>
    <definedName function="false" hidden="false" name="Find_Gap" vbProcedure="false">'Plan results'!$C$40</definedName>
    <definedName function="false" hidden="false" name="Find_Strength" vbProcedure="false">'Plan results'!$C$39</definedName>
    <definedName function="false" hidden="false" name="Find_WorstIdx" vbProcedure="false">'Plan results'!$C$34</definedName>
    <definedName function="false" hidden="false" name="Find_WorstName" vbProcedure="false">'Plan results'!$C$36</definedName>
    <definedName function="false" hidden="false" name="Find_WorstPct" vbProcedure="false">'Plan results'!$C$35</definedName>
    <definedName function="false" hidden="false" name="Fin_Done" vbProcedure="false">'Plan results'!$C$149</definedName>
    <definedName function="false" hidden="false" name="Fin_Key" vbProcedure="false">'Plan results'!$Q$101:$Q$139</definedName>
    <definedName function="false" hidden="false" name="Fin_MinOK" vbProcedure="false">'Plan results'!$C$150</definedName>
    <definedName function="false" hidden="false" name="Fin_Quality" vbProcedure="false">'Plan results'!$C$151</definedName>
    <definedName function="false" hidden="false" name="Fin_Sec" vbProcedure="false">'Plan results'!$N$101:$N$139</definedName>
    <definedName function="false" hidden="false" name="Fin_Skipped" vbProcedure="false">'Plan results'!$C$152</definedName>
    <definedName function="false" hidden="false" name="Fnd1_Fin" vbProcedure="false">'Plan results'!$C$89</definedName>
    <definedName function="false" hidden="false" name="Fnd1_S" vbProcedure="false">'Plan results'!$C$51</definedName>
    <definedName function="false" hidden="false" name="Fnd1_St" vbProcedure="false">'Plan results'!$C$50</definedName>
    <definedName function="false" hidden="false" name="Fnd2_Fin" vbProcedure="false">'Plan results'!$C$85</definedName>
    <definedName function="false" hidden="false" name="Fnd2_S" vbProcedure="false">'Plan results'!$C$53</definedName>
    <definedName function="false" hidden="false" name="Fnd2_St" vbProcedure="false">'Plan results'!$C$52</definedName>
    <definedName function="false" hidden="false" name="Fnd3_Fin" vbProcedure="false">'Plan results'!$C$86</definedName>
    <definedName function="false" hidden="false" name="Fnd3_S" vbProcedure="false">'Plan results'!$C$72</definedName>
    <definedName function="false" hidden="false" name="Fnd3_St" vbProcedure="false">'Plan results'!$C$71</definedName>
    <definedName function="false" hidden="false" name="Fnd4_Fin" vbProcedure="false">'Plan results'!$C$87</definedName>
    <definedName function="false" hidden="false" name="Fnd4_S" vbProcedure="false">'Plan results'!$C$78</definedName>
    <definedName function="false" hidden="false" name="Fnd4_St" vbProcedure="false">'Plan results'!$C$77</definedName>
    <definedName function="false" hidden="false" name="Fnd5_Fin" vbProcedure="false">'Plan results'!$C$88</definedName>
    <definedName function="false" hidden="false" name="Fnd5_S" vbProcedure="false">'Plan results'!$C$84</definedName>
    <definedName function="false" hidden="false" name="Fnd5_St" vbProcedure="false">'Plan results'!$C$83</definedName>
    <definedName function="false" hidden="false" name="Fnd_NextD" vbProcedure="false">'Plan results'!$C$95</definedName>
    <definedName function="false" hidden="false" name="Fnd_NextN" vbProcedure="false">'Plan results'!$C$92</definedName>
    <definedName function="false" hidden="false" name="Fnd_NextT" vbProcedure="false">'Plan results'!$C$94</definedName>
    <definedName function="false" hidden="false" name="F_AE" vbProcedure="false">'Plan pay &amp; tax'!$C$218</definedName>
    <definedName function="false" hidden="false" name="F_Age" vbProcedure="false">'Plan pay &amp; tax'!$C$164</definedName>
    <definedName function="false" hidden="false" name="F_CardBal" vbProcedure="false">'Plan pay &amp; tax'!$C$194</definedName>
    <definedName function="false" hidden="false" name="F_CardPayEst" vbProcedure="false">'Plan pay &amp; tax'!$C$203</definedName>
    <definedName function="false" hidden="false" name="F_CardPayM" vbProcedure="false">'Plan pay &amp; tax'!$C$201</definedName>
    <definedName function="false" hidden="false" name="F_Carer" vbProcedure="false">'Plan pay &amp; tax'!$C$221</definedName>
    <definedName function="false" hidden="false" name="F_Cash" vbProcedure="false">'Plan pay &amp; tax'!$C$175</definedName>
    <definedName function="false" hidden="false" name="F_CostsM" vbProcedure="false">'Plan pay &amp; tax'!$C$173</definedName>
    <definedName function="false" hidden="false" name="F_Debt" vbProcedure="false">'Plan pay &amp; tax'!$C$205</definedName>
    <definedName function="false" hidden="false" name="F_DebtPayM" vbProcedure="false">'Plan pay &amp; tax'!$C$206</definedName>
    <definedName function="false" hidden="false" name="F_EssM" vbProcedure="false">'Plan pay &amp; tax'!$C$207</definedName>
    <definedName function="false" hidden="false" name="F_Income" vbProcedure="false">'Plan pay &amp; tax'!$C$168</definedName>
    <definedName function="false" hidden="false" name="F_Invest" vbProcedure="false">'Plan pay &amp; tax'!$C$176</definedName>
    <definedName function="false" hidden="false" name="F_LoanBal" vbProcedure="false">'Plan pay &amp; tax'!$C$195</definedName>
    <definedName function="false" hidden="false" name="F_LoanPayEst" vbProcedure="false">'Plan pay &amp; tax'!$C$204</definedName>
    <definedName function="false" hidden="false" name="F_LoanPayM" vbProcedure="false">'Plan pay &amp; tax'!$C$202</definedName>
    <definedName function="false" hidden="false" name="F_Married" vbProcedure="false">'Plan pay &amp; tax'!$C$167</definedName>
    <definedName function="false" hidden="false" name="F_MortBal" vbProcedure="false">'Plan pay &amp; tax'!$C$181</definedName>
    <definedName function="false" hidden="false" name="F_MortOn" vbProcedure="false">'Plan pay &amp; tax'!$C$178</definedName>
    <definedName function="false" hidden="false" name="F_MortPayEst" vbProcedure="false">'Plan pay &amp; tax'!$C$183</definedName>
    <definedName function="false" hidden="false" name="F_MortPayLow" vbProcedure="false">'Plan pay &amp; tax'!$C$184</definedName>
    <definedName function="false" hidden="false" name="F_MortPayM" vbProcedure="false">'Plan pay &amp; tax'!$C$182</definedName>
    <definedName function="false" hidden="false" name="F_MR" vbProcedure="false">'Plan pay &amp; tax'!$C$179</definedName>
    <definedName function="false" hidden="false" name="F_MStated" vbProcedure="false">'Plan pay &amp; tax'!$C$180</definedName>
    <definedName function="false" hidden="false" name="F_N" vbProcedure="false">'Plan pay &amp; tax'!$C$224</definedName>
    <definedName function="false" hidden="false" name="F_OneOffY" vbProcedure="false">'Plan pay &amp; tax'!$C$174</definedName>
    <definedName function="false" hidden="false" name="F_OtherM" vbProcedure="false">'Plan pay &amp; tax'!$C$172</definedName>
    <definedName function="false" hidden="false" name="F_Own" vbProcedure="false">'Plan pay &amp; tax'!$C$211</definedName>
    <definedName function="false" hidden="false" name="F_PAge" vbProcedure="false">'Plan pay &amp; tax'!$C$170</definedName>
    <definedName function="false" hidden="false" name="F_Partner" vbProcedure="false">'Plan pay &amp; tax'!$C$166</definedName>
    <definedName function="false" hidden="false" name="F_PenG" vbProcedure="false">'Plan pay &amp; tax'!$C$212</definedName>
    <definedName function="false" hidden="false" name="F_PenM" vbProcedure="false">'Plan pay &amp; tax'!$C$210</definedName>
    <definedName function="false" hidden="false" name="F_Pension0" vbProcedure="false">'Plan pay &amp; tax'!$C$222</definedName>
    <definedName function="false" hidden="false" name="F_PIncome" vbProcedure="false">'Plan pay &amp; tax'!$C$169</definedName>
    <definedName function="false" hidden="false" name="F_PRet" vbProcedure="false">'Plan pay &amp; tax'!$C$171</definedName>
    <definedName function="false" hidden="false" name="F_PSpF" vbProcedure="false">'Plan pay &amp; tax'!$C$217</definedName>
    <definedName function="false" hidden="false" name="F_PSpO" vbProcedure="false">'Plan pay &amp; tax'!$C$215</definedName>
    <definedName function="false" hidden="false" name="F_PSpQA" vbProcedure="false">'Plan pay &amp; tax'!$C$216</definedName>
    <definedName function="false" hidden="false" name="F_R" vbProcedure="false">'Plan pay &amp; tax'!$C$165</definedName>
    <definedName function="false" hidden="false" name="F_RentCred" vbProcedure="false">'Plan pay &amp; tax'!$C$219</definedName>
    <definedName function="false" hidden="false" name="F_RentM" vbProcedure="false">'Plan pay &amp; tax'!$C$177</definedName>
    <definedName function="false" hidden="false" name="F_SelfEmp" vbProcedure="false">'Plan pay &amp; tax'!$C$225</definedName>
    <definedName function="false" hidden="false" name="F_Spccc" vbProcedure="false">'Plan pay &amp; tax'!$C$220</definedName>
    <definedName function="false" hidden="false" name="F_SpF" vbProcedure="false">'Plan pay &amp; tax'!$C$214</definedName>
    <definedName function="false" hidden="false" name="F_V" vbProcedure="false">'Plan pay &amp; tax'!$C$223</definedName>
    <definedName function="false" hidden="false" name="F_Work" vbProcedure="false">'Plan pay &amp; tax'!$C$163</definedName>
    <definedName function="false" hidden="false" name="F_YrsSP" vbProcedure="false">'Plan pay &amp; tax'!$C$213</definedName>
    <definedName function="false" hidden="false" name="Gate_Card" vbProcedure="false">'Plan results'!$C$22</definedName>
    <definedName function="false" hidden="false" name="Gate_Count" vbProcedure="false">'Plan results'!$C$19</definedName>
    <definedName function="false" hidden="false" name="Gate_FirstLabel" vbProcedure="false">'Plan results'!$C$23</definedName>
    <definedName function="false" hidden="false" name="Gate_Keys" vbProcedure="false">'Plan results'!$C$20</definedName>
    <definedName function="false" hidden="false" name="Gate_Names" vbProcedure="false">'Plan results'!$C$21</definedName>
    <definedName function="false" hidden="false" name="Gate_Ready" vbProcedure="false">'Plan results'!$C$25</definedName>
    <definedName function="false" hidden="false" name="Gate_Text" vbProcedure="false">'Plan results'!$C$24</definedName>
    <definedName function="false" hidden="false" name="GL_Age" vbProcedure="false">'Plan goals'!$H$24:$H$45</definedName>
    <definedName function="false" hidden="false" name="GL_AgeRaw" vbProcedure="false">'Plan goals'!$F$24:$F$45</definedName>
    <definedName function="false" hidden="false" name="GL_AgeT" vbProcedure="false">'Plan goals'!$I$24:$I$45</definedName>
    <definedName function="false" hidden="false" name="GL_Amount" vbProcedure="false">'Plan goals'!$J$24:$J$45</definedName>
    <definedName function="false" hidden="false" name="GL_Fund" vbProcedure="false">'Plan goals'!$G$24:$G$45</definedName>
    <definedName function="false" hidden="false" name="GL_Key" vbProcedure="false">'Plan goals'!$C$24:$C$45</definedName>
    <definedName function="false" hidden="false" name="GL_Kind" vbProcedure="false">'Plan goals'!$D$24:$D$45</definedName>
    <definedName function="false" hidden="false" name="GL_Name" vbProcedure="false">'Plan goals'!$E$24:$E$45</definedName>
    <definedName function="false" hidden="false" name="GL_Pos" vbProcedure="false">'Plan goals'!$P$24:$P$45</definedName>
    <definedName function="false" hidden="false" name="GL_Prio" vbProcedure="false">'Plan goals'!$L$24:$L$45</definedName>
    <definedName function="false" hidden="false" name="GL_Rank" vbProcedure="false">'Plan goals'!$M$24:$M$45</definedName>
    <definedName function="false" hidden="false" name="GL_Saved" vbProcedure="false">'Plan goals'!$K$24:$K$45</definedName>
    <definedName function="false" hidden="false" name="Goal10_age" vbProcedure="false">'Plan inputs'!$P$120</definedName>
    <definedName function="false" hidden="false" name="Goal10_amount" vbProcedure="false">'Plan inputs'!$Q$120</definedName>
    <definedName function="false" hidden="false" name="Goal10_auto" vbProcedure="false">'Plan inputs'!$U$120</definedName>
    <definedName function="false" hidden="false" name="Goal10_key" vbProcedure="false">'Plan inputs'!$N$120</definedName>
    <definedName function="false" hidden="false" name="Goal10_name" vbProcedure="false">'Plan inputs'!$O$120</definedName>
    <definedName function="false" hidden="false" name="Goal10_prio" vbProcedure="false">'Plan inputs'!$S$120</definedName>
    <definedName function="false" hidden="false" name="Goal10_rank" vbProcedure="false">'Plan inputs'!$T$120</definedName>
    <definedName function="false" hidden="false" name="Goal10_saved" vbProcedure="false">'Plan inputs'!$R$120</definedName>
    <definedName function="false" hidden="false" name="Goal11_age" vbProcedure="false">'Plan inputs'!$P$121</definedName>
    <definedName function="false" hidden="false" name="Goal11_amount" vbProcedure="false">'Plan inputs'!$Q$121</definedName>
    <definedName function="false" hidden="false" name="Goal11_auto" vbProcedure="false">'Plan inputs'!$U$121</definedName>
    <definedName function="false" hidden="false" name="Goal11_key" vbProcedure="false">'Plan inputs'!$N$121</definedName>
    <definedName function="false" hidden="false" name="Goal11_name" vbProcedure="false">'Plan inputs'!$O$121</definedName>
    <definedName function="false" hidden="false" name="Goal11_prio" vbProcedure="false">'Plan inputs'!$S$121</definedName>
    <definedName function="false" hidden="false" name="Goal11_rank" vbProcedure="false">'Plan inputs'!$T$121</definedName>
    <definedName function="false" hidden="false" name="Goal11_saved" vbProcedure="false">'Plan inputs'!$R$121</definedName>
    <definedName function="false" hidden="false" name="Goal12_age" vbProcedure="false">'Plan inputs'!$P$122</definedName>
    <definedName function="false" hidden="false" name="Goal12_amount" vbProcedure="false">'Plan inputs'!$Q$122</definedName>
    <definedName function="false" hidden="false" name="Goal12_auto" vbProcedure="false">'Plan inputs'!$U$122</definedName>
    <definedName function="false" hidden="false" name="Goal12_key" vbProcedure="false">'Plan inputs'!$N$122</definedName>
    <definedName function="false" hidden="false" name="Goal12_name" vbProcedure="false">'Plan inputs'!$O$122</definedName>
    <definedName function="false" hidden="false" name="Goal12_prio" vbProcedure="false">'Plan inputs'!$S$122</definedName>
    <definedName function="false" hidden="false" name="Goal12_rank" vbProcedure="false">'Plan inputs'!$T$122</definedName>
    <definedName function="false" hidden="false" name="Goal12_saved" vbProcedure="false">'Plan inputs'!$R$122</definedName>
    <definedName function="false" hidden="false" name="Goal13_age" vbProcedure="false">'Plan inputs'!$P$123</definedName>
    <definedName function="false" hidden="false" name="Goal13_amount" vbProcedure="false">'Plan inputs'!$Q$123</definedName>
    <definedName function="false" hidden="false" name="Goal13_auto" vbProcedure="false">'Plan inputs'!$U$123</definedName>
    <definedName function="false" hidden="false" name="Goal13_key" vbProcedure="false">'Plan inputs'!$N$123</definedName>
    <definedName function="false" hidden="false" name="Goal13_name" vbProcedure="false">'Plan inputs'!$O$123</definedName>
    <definedName function="false" hidden="false" name="Goal13_prio" vbProcedure="false">'Plan inputs'!$S$123</definedName>
    <definedName function="false" hidden="false" name="Goal13_rank" vbProcedure="false">'Plan inputs'!$T$123</definedName>
    <definedName function="false" hidden="false" name="Goal13_saved" vbProcedure="false">'Plan inputs'!$R$123</definedName>
    <definedName function="false" hidden="false" name="Goal14_age" vbProcedure="false">'Plan inputs'!$P$124</definedName>
    <definedName function="false" hidden="false" name="Goal14_amount" vbProcedure="false">'Plan inputs'!$Q$124</definedName>
    <definedName function="false" hidden="false" name="Goal14_auto" vbProcedure="false">'Plan inputs'!$U$124</definedName>
    <definedName function="false" hidden="false" name="Goal14_key" vbProcedure="false">'Plan inputs'!$N$124</definedName>
    <definedName function="false" hidden="false" name="Goal14_name" vbProcedure="false">'Plan inputs'!$O$124</definedName>
    <definedName function="false" hidden="false" name="Goal14_prio" vbProcedure="false">'Plan inputs'!$S$124</definedName>
    <definedName function="false" hidden="false" name="Goal14_rank" vbProcedure="false">'Plan inputs'!$T$124</definedName>
    <definedName function="false" hidden="false" name="Goal14_saved" vbProcedure="false">'Plan inputs'!$R$124</definedName>
    <definedName function="false" hidden="false" name="Goal15_age" vbProcedure="false">'Plan inputs'!$P$125</definedName>
    <definedName function="false" hidden="false" name="Goal15_amount" vbProcedure="false">'Plan inputs'!$Q$125</definedName>
    <definedName function="false" hidden="false" name="Goal15_auto" vbProcedure="false">'Plan inputs'!$U$125</definedName>
    <definedName function="false" hidden="false" name="Goal15_key" vbProcedure="false">'Plan inputs'!$N$125</definedName>
    <definedName function="false" hidden="false" name="Goal15_name" vbProcedure="false">'Plan inputs'!$O$125</definedName>
    <definedName function="false" hidden="false" name="Goal15_prio" vbProcedure="false">'Plan inputs'!$S$125</definedName>
    <definedName function="false" hidden="false" name="Goal15_rank" vbProcedure="false">'Plan inputs'!$T$125</definedName>
    <definedName function="false" hidden="false" name="Goal15_saved" vbProcedure="false">'Plan inputs'!$R$125</definedName>
    <definedName function="false" hidden="false" name="Goal16_age" vbProcedure="false">'Plan inputs'!$P$126</definedName>
    <definedName function="false" hidden="false" name="Goal16_amount" vbProcedure="false">'Plan inputs'!$Q$126</definedName>
    <definedName function="false" hidden="false" name="Goal16_auto" vbProcedure="false">'Plan inputs'!$U$126</definedName>
    <definedName function="false" hidden="false" name="Goal16_key" vbProcedure="false">'Plan inputs'!$N$126</definedName>
    <definedName function="false" hidden="false" name="Goal16_name" vbProcedure="false">'Plan inputs'!$O$126</definedName>
    <definedName function="false" hidden="false" name="Goal16_prio" vbProcedure="false">'Plan inputs'!$S$126</definedName>
    <definedName function="false" hidden="false" name="Goal16_rank" vbProcedure="false">'Plan inputs'!$T$126</definedName>
    <definedName function="false" hidden="false" name="Goal16_saved" vbProcedure="false">'Plan inputs'!$R$126</definedName>
    <definedName function="false" hidden="false" name="Goal17_age" vbProcedure="false">'Plan inputs'!$P$127</definedName>
    <definedName function="false" hidden="false" name="Goal17_amount" vbProcedure="false">'Plan inputs'!$Q$127</definedName>
    <definedName function="false" hidden="false" name="Goal17_auto" vbProcedure="false">'Plan inputs'!$U$127</definedName>
    <definedName function="false" hidden="false" name="Goal17_key" vbProcedure="false">'Plan inputs'!$N$127</definedName>
    <definedName function="false" hidden="false" name="Goal17_name" vbProcedure="false">'Plan inputs'!$O$127</definedName>
    <definedName function="false" hidden="false" name="Goal17_prio" vbProcedure="false">'Plan inputs'!$S$127</definedName>
    <definedName function="false" hidden="false" name="Goal17_rank" vbProcedure="false">'Plan inputs'!$T$127</definedName>
    <definedName function="false" hidden="false" name="Goal17_saved" vbProcedure="false">'Plan inputs'!$R$127</definedName>
    <definedName function="false" hidden="false" name="Goal18_age" vbProcedure="false">'Plan inputs'!$P$128</definedName>
    <definedName function="false" hidden="false" name="Goal18_amount" vbProcedure="false">'Plan inputs'!$Q$128</definedName>
    <definedName function="false" hidden="false" name="Goal18_auto" vbProcedure="false">'Plan inputs'!$U$128</definedName>
    <definedName function="false" hidden="false" name="Goal18_key" vbProcedure="false">'Plan inputs'!$N$128</definedName>
    <definedName function="false" hidden="false" name="Goal18_name" vbProcedure="false">'Plan inputs'!$O$128</definedName>
    <definedName function="false" hidden="false" name="Goal18_prio" vbProcedure="false">'Plan inputs'!$S$128</definedName>
    <definedName function="false" hidden="false" name="Goal18_rank" vbProcedure="false">'Plan inputs'!$T$128</definedName>
    <definedName function="false" hidden="false" name="Goal18_saved" vbProcedure="false">'Plan inputs'!$R$128</definedName>
    <definedName function="false" hidden="false" name="Goal19_age" vbProcedure="false">'Plan inputs'!$P$129</definedName>
    <definedName function="false" hidden="false" name="Goal19_amount" vbProcedure="false">'Plan inputs'!$Q$129</definedName>
    <definedName function="false" hidden="false" name="Goal19_auto" vbProcedure="false">'Plan inputs'!$U$129</definedName>
    <definedName function="false" hidden="false" name="Goal19_key" vbProcedure="false">'Plan inputs'!$N$129</definedName>
    <definedName function="false" hidden="false" name="Goal19_name" vbProcedure="false">'Plan inputs'!$O$129</definedName>
    <definedName function="false" hidden="false" name="Goal19_prio" vbProcedure="false">'Plan inputs'!$S$129</definedName>
    <definedName function="false" hidden="false" name="Goal19_rank" vbProcedure="false">'Plan inputs'!$T$129</definedName>
    <definedName function="false" hidden="false" name="Goal19_saved" vbProcedure="false">'Plan inputs'!$R$129</definedName>
    <definedName function="false" hidden="false" name="Goal1_age" vbProcedure="false">'Plan inputs'!$P$111</definedName>
    <definedName function="false" hidden="false" name="Goal1_amount" vbProcedure="false">'Plan inputs'!$Q$111</definedName>
    <definedName function="false" hidden="false" name="Goal1_auto" vbProcedure="false">'Plan inputs'!$U$111</definedName>
    <definedName function="false" hidden="false" name="Goal1_key" vbProcedure="false">'Plan inputs'!$N$111</definedName>
    <definedName function="false" hidden="false" name="Goal1_name" vbProcedure="false">'Plan inputs'!$O$111</definedName>
    <definedName function="false" hidden="false" name="Goal1_prio" vbProcedure="false">'Plan inputs'!$S$111</definedName>
    <definedName function="false" hidden="false" name="Goal1_rank" vbProcedure="false">'Plan inputs'!$T$111</definedName>
    <definedName function="false" hidden="false" name="Goal1_saved" vbProcedure="false">'Plan inputs'!$R$111</definedName>
    <definedName function="false" hidden="false" name="Goal20_age" vbProcedure="false">'Plan inputs'!$P$130</definedName>
    <definedName function="false" hidden="false" name="Goal20_amount" vbProcedure="false">'Plan inputs'!$Q$130</definedName>
    <definedName function="false" hidden="false" name="Goal20_auto" vbProcedure="false">'Plan inputs'!$U$130</definedName>
    <definedName function="false" hidden="false" name="Goal20_key" vbProcedure="false">'Plan inputs'!$N$130</definedName>
    <definedName function="false" hidden="false" name="Goal20_name" vbProcedure="false">'Plan inputs'!$O$130</definedName>
    <definedName function="false" hidden="false" name="Goal20_prio" vbProcedure="false">'Plan inputs'!$S$130</definedName>
    <definedName function="false" hidden="false" name="Goal20_rank" vbProcedure="false">'Plan inputs'!$T$130</definedName>
    <definedName function="false" hidden="false" name="Goal20_saved" vbProcedure="false">'Plan inputs'!$R$130</definedName>
    <definedName function="false" hidden="false" name="Goal21_age" vbProcedure="false">'Plan inputs'!$P$131</definedName>
    <definedName function="false" hidden="false" name="Goal21_amount" vbProcedure="false">'Plan inputs'!$Q$131</definedName>
    <definedName function="false" hidden="false" name="Goal21_auto" vbProcedure="false">'Plan inputs'!$U$131</definedName>
    <definedName function="false" hidden="false" name="Goal21_key" vbProcedure="false">'Plan inputs'!$N$131</definedName>
    <definedName function="false" hidden="false" name="Goal21_name" vbProcedure="false">'Plan inputs'!$O$131</definedName>
    <definedName function="false" hidden="false" name="Goal21_prio" vbProcedure="false">'Plan inputs'!$S$131</definedName>
    <definedName function="false" hidden="false" name="Goal21_rank" vbProcedure="false">'Plan inputs'!$T$131</definedName>
    <definedName function="false" hidden="false" name="Goal21_saved" vbProcedure="false">'Plan inputs'!$R$131</definedName>
    <definedName function="false" hidden="false" name="Goal22_age" vbProcedure="false">'Plan inputs'!$P$132</definedName>
    <definedName function="false" hidden="false" name="Goal22_amount" vbProcedure="false">'Plan inputs'!$Q$132</definedName>
    <definedName function="false" hidden="false" name="Goal22_auto" vbProcedure="false">'Plan inputs'!$U$132</definedName>
    <definedName function="false" hidden="false" name="Goal22_key" vbProcedure="false">'Plan inputs'!$N$132</definedName>
    <definedName function="false" hidden="false" name="Goal22_name" vbProcedure="false">'Plan inputs'!$O$132</definedName>
    <definedName function="false" hidden="false" name="Goal22_prio" vbProcedure="false">'Plan inputs'!$S$132</definedName>
    <definedName function="false" hidden="false" name="Goal22_rank" vbProcedure="false">'Plan inputs'!$T$132</definedName>
    <definedName function="false" hidden="false" name="Goal22_saved" vbProcedure="false">'Plan inputs'!$R$132</definedName>
    <definedName function="false" hidden="false" name="Goal2_age" vbProcedure="false">'Plan inputs'!$P$112</definedName>
    <definedName function="false" hidden="false" name="Goal2_amount" vbProcedure="false">'Plan inputs'!$Q$112</definedName>
    <definedName function="false" hidden="false" name="Goal2_auto" vbProcedure="false">'Plan inputs'!$U$112</definedName>
    <definedName function="false" hidden="false" name="Goal2_key" vbProcedure="false">'Plan inputs'!$N$112</definedName>
    <definedName function="false" hidden="false" name="Goal2_name" vbProcedure="false">'Plan inputs'!$O$112</definedName>
    <definedName function="false" hidden="false" name="Goal2_prio" vbProcedure="false">'Plan inputs'!$S$112</definedName>
    <definedName function="false" hidden="false" name="Goal2_rank" vbProcedure="false">'Plan inputs'!$T$112</definedName>
    <definedName function="false" hidden="false" name="Goal2_saved" vbProcedure="false">'Plan inputs'!$R$112</definedName>
    <definedName function="false" hidden="false" name="Goal3_age" vbProcedure="false">'Plan inputs'!$P$113</definedName>
    <definedName function="false" hidden="false" name="Goal3_amount" vbProcedure="false">'Plan inputs'!$Q$113</definedName>
    <definedName function="false" hidden="false" name="Goal3_auto" vbProcedure="false">'Plan inputs'!$U$113</definedName>
    <definedName function="false" hidden="false" name="Goal3_key" vbProcedure="false">'Plan inputs'!$N$113</definedName>
    <definedName function="false" hidden="false" name="Goal3_name" vbProcedure="false">'Plan inputs'!$O$113</definedName>
    <definedName function="false" hidden="false" name="Goal3_prio" vbProcedure="false">'Plan inputs'!$S$113</definedName>
    <definedName function="false" hidden="false" name="Goal3_rank" vbProcedure="false">'Plan inputs'!$T$113</definedName>
    <definedName function="false" hidden="false" name="Goal3_saved" vbProcedure="false">'Plan inputs'!$R$113</definedName>
    <definedName function="false" hidden="false" name="Goal4_age" vbProcedure="false">'Plan inputs'!$P$114</definedName>
    <definedName function="false" hidden="false" name="Goal4_amount" vbProcedure="false">'Plan inputs'!$Q$114</definedName>
    <definedName function="false" hidden="false" name="Goal4_auto" vbProcedure="false">'Plan inputs'!$U$114</definedName>
    <definedName function="false" hidden="false" name="Goal4_key" vbProcedure="false">'Plan inputs'!$N$114</definedName>
    <definedName function="false" hidden="false" name="Goal4_name" vbProcedure="false">'Plan inputs'!$O$114</definedName>
    <definedName function="false" hidden="false" name="Goal4_prio" vbProcedure="false">'Plan inputs'!$S$114</definedName>
    <definedName function="false" hidden="false" name="Goal4_rank" vbProcedure="false">'Plan inputs'!$T$114</definedName>
    <definedName function="false" hidden="false" name="Goal4_saved" vbProcedure="false">'Plan inputs'!$R$114</definedName>
    <definedName function="false" hidden="false" name="Goal5_age" vbProcedure="false">'Plan inputs'!$P$115</definedName>
    <definedName function="false" hidden="false" name="Goal5_amount" vbProcedure="false">'Plan inputs'!$Q$115</definedName>
    <definedName function="false" hidden="false" name="Goal5_auto" vbProcedure="false">'Plan inputs'!$U$115</definedName>
    <definedName function="false" hidden="false" name="Goal5_key" vbProcedure="false">'Plan inputs'!$N$115</definedName>
    <definedName function="false" hidden="false" name="Goal5_name" vbProcedure="false">'Plan inputs'!$O$115</definedName>
    <definedName function="false" hidden="false" name="Goal5_prio" vbProcedure="false">'Plan inputs'!$S$115</definedName>
    <definedName function="false" hidden="false" name="Goal5_rank" vbProcedure="false">'Plan inputs'!$T$115</definedName>
    <definedName function="false" hidden="false" name="Goal5_saved" vbProcedure="false">'Plan inputs'!$R$115</definedName>
    <definedName function="false" hidden="false" name="Goal6_age" vbProcedure="false">'Plan inputs'!$P$116</definedName>
    <definedName function="false" hidden="false" name="Goal6_amount" vbProcedure="false">'Plan inputs'!$Q$116</definedName>
    <definedName function="false" hidden="false" name="Goal6_auto" vbProcedure="false">'Plan inputs'!$U$116</definedName>
    <definedName function="false" hidden="false" name="Goal6_key" vbProcedure="false">'Plan inputs'!$N$116</definedName>
    <definedName function="false" hidden="false" name="Goal6_name" vbProcedure="false">'Plan inputs'!$O$116</definedName>
    <definedName function="false" hidden="false" name="Goal6_prio" vbProcedure="false">'Plan inputs'!$S$116</definedName>
    <definedName function="false" hidden="false" name="Goal6_rank" vbProcedure="false">'Plan inputs'!$T$116</definedName>
    <definedName function="false" hidden="false" name="Goal6_saved" vbProcedure="false">'Plan inputs'!$R$116</definedName>
    <definedName function="false" hidden="false" name="Goal7_age" vbProcedure="false">'Plan inputs'!$P$117</definedName>
    <definedName function="false" hidden="false" name="Goal7_amount" vbProcedure="false">'Plan inputs'!$Q$117</definedName>
    <definedName function="false" hidden="false" name="Goal7_auto" vbProcedure="false">'Plan inputs'!$U$117</definedName>
    <definedName function="false" hidden="false" name="Goal7_key" vbProcedure="false">'Plan inputs'!$N$117</definedName>
    <definedName function="false" hidden="false" name="Goal7_name" vbProcedure="false">'Plan inputs'!$O$117</definedName>
    <definedName function="false" hidden="false" name="Goal7_prio" vbProcedure="false">'Plan inputs'!$S$117</definedName>
    <definedName function="false" hidden="false" name="Goal7_rank" vbProcedure="false">'Plan inputs'!$T$117</definedName>
    <definedName function="false" hidden="false" name="Goal7_saved" vbProcedure="false">'Plan inputs'!$R$117</definedName>
    <definedName function="false" hidden="false" name="Goal8_age" vbProcedure="false">'Plan inputs'!$P$118</definedName>
    <definedName function="false" hidden="false" name="Goal8_amount" vbProcedure="false">'Plan inputs'!$Q$118</definedName>
    <definedName function="false" hidden="false" name="Goal8_auto" vbProcedure="false">'Plan inputs'!$U$118</definedName>
    <definedName function="false" hidden="false" name="Goal8_key" vbProcedure="false">'Plan inputs'!$N$118</definedName>
    <definedName function="false" hidden="false" name="Goal8_name" vbProcedure="false">'Plan inputs'!$O$118</definedName>
    <definedName function="false" hidden="false" name="Goal8_prio" vbProcedure="false">'Plan inputs'!$S$118</definedName>
    <definedName function="false" hidden="false" name="Goal8_rank" vbProcedure="false">'Plan inputs'!$T$118</definedName>
    <definedName function="false" hidden="false" name="Goal8_saved" vbProcedure="false">'Plan inputs'!$R$118</definedName>
    <definedName function="false" hidden="false" name="Goal9_age" vbProcedure="false">'Plan inputs'!$P$119</definedName>
    <definedName function="false" hidden="false" name="Goal9_amount" vbProcedure="false">'Plan inputs'!$Q$119</definedName>
    <definedName function="false" hidden="false" name="Goal9_auto" vbProcedure="false">'Plan inputs'!$U$119</definedName>
    <definedName function="false" hidden="false" name="Goal9_key" vbProcedure="false">'Plan inputs'!$N$119</definedName>
    <definedName function="false" hidden="false" name="Goal9_name" vbProcedure="false">'Plan inputs'!$O$119</definedName>
    <definedName function="false" hidden="false" name="Goal9_prio" vbProcedure="false">'Plan inputs'!$S$119</definedName>
    <definedName function="false" hidden="false" name="Goal9_rank" vbProcedure="false">'Plan inputs'!$T$119</definedName>
    <definedName function="false" hidden="false" name="Goal9_saved" vbProcedure="false">'Plan inputs'!$R$119</definedName>
    <definedName function="false" hidden="false" name="Goal_DefAmt" vbProcedure="false">'Plan goals'!$D$6:$D$20</definedName>
    <definedName function="false" hidden="false" name="Goal_DefYrs" vbProcedure="false">'Plan goals'!$E$6:$E$20</definedName>
    <definedName function="false" hidden="false" name="Goal_Keys" vbProcedure="false">'Plan goals'!$B$6:$B$20</definedName>
    <definedName function="false" hidden="false" name="Goal_Kinds" vbProcedure="false">'Plan goals'!$F$6:$F$20</definedName>
    <definedName function="false" hidden="false" name="Goal_Kind_List" vbProcedure="false">'Plan goals'!$D$24:$D$45</definedName>
    <definedName function="false" hidden="false" name="Goal_RankSet" vbProcedure="false">'Plan goals'!$D$47</definedName>
    <definedName function="false" hidden="false" name="Goal_RowsUsed" vbProcedure="false">'Plan goals'!$D$82</definedName>
    <definedName function="false" hidden="false" name="Goal_Rows_First" vbProcedure="false">'Plan inputs'!$N$111</definedName>
    <definedName function="false" hidden="false" name="Goal_Specs" vbProcedure="false">'Plan goals'!$G$6:$G$20</definedName>
    <definedName function="false" hidden="false" name="Goal_Titles" vbProcedure="false">'Plan goals'!$C$6:$C$20</definedName>
    <definedName function="false" hidden="false" name="Good_Count" vbProcedure="false">'Plan results'!$C$142</definedName>
    <definedName function="false" hidden="false" name="GR" vbProcedure="false">'Plan goals'!$D$79</definedName>
    <definedName function="false" hidden="false" name="GR10_AgeYear" vbProcedure="false">'Plan goals'!$X$119</definedName>
    <definedName function="false" hidden="false" name="GR10_Band" vbProcedure="false">'Plan goals'!$H$119</definedName>
    <definedName function="false" hidden="false" name="GR10_Extra" vbProcedure="false">'Plan goals'!$L$119</definedName>
    <definedName function="false" hidden="false" name="GR10_ExtraUsed" vbProcedure="false">'Plan goals'!$AB$119</definedName>
    <definedName function="false" hidden="false" name="GR10_Line" vbProcedure="false">'Plan goals'!$M$119</definedName>
    <definedName function="false" hidden="false" name="GR10_Months" vbProcedure="false">'Plan goals'!$V$119</definedName>
    <definedName function="false" hidden="false" name="GR10_Pct" vbProcedure="false">'Plan goals'!$G$119</definedName>
    <definedName function="false" hidden="false" name="GR10_PctBefore" vbProcedure="false">'Plan goals'!$Z$119</definedName>
    <definedName function="false" hidden="false" name="GR10_When" vbProcedure="false">'Plan goals'!$U$119</definedName>
    <definedName function="false" hidden="false" name="GR10_WiTxt" vbProcedure="false">'Plan goals'!$AA$119</definedName>
    <definedName function="false" hidden="false" name="GR10_Year" vbProcedure="false">'Plan goals'!$W$119</definedName>
    <definedName function="false" hidden="false" name="GR11_AgeYear" vbProcedure="false">'Plan goals'!$X$120</definedName>
    <definedName function="false" hidden="false" name="GR11_Band" vbProcedure="false">'Plan goals'!$H$120</definedName>
    <definedName function="false" hidden="false" name="GR11_Extra" vbProcedure="false">'Plan goals'!$L$120</definedName>
    <definedName function="false" hidden="false" name="GR11_ExtraUsed" vbProcedure="false">'Plan goals'!$AB$120</definedName>
    <definedName function="false" hidden="false" name="GR11_Line" vbProcedure="false">'Plan goals'!$M$120</definedName>
    <definedName function="false" hidden="false" name="GR11_Months" vbProcedure="false">'Plan goals'!$V$120</definedName>
    <definedName function="false" hidden="false" name="GR11_Pct" vbProcedure="false">'Plan goals'!$G$120</definedName>
    <definedName function="false" hidden="false" name="GR11_PctBefore" vbProcedure="false">'Plan goals'!$Z$120</definedName>
    <definedName function="false" hidden="false" name="GR11_When" vbProcedure="false">'Plan goals'!$U$120</definedName>
    <definedName function="false" hidden="false" name="GR11_WiTxt" vbProcedure="false">'Plan goals'!$AA$120</definedName>
    <definedName function="false" hidden="false" name="GR11_Year" vbProcedure="false">'Plan goals'!$W$120</definedName>
    <definedName function="false" hidden="false" name="GR12_AgeYear" vbProcedure="false">'Plan goals'!$X$121</definedName>
    <definedName function="false" hidden="false" name="GR12_Band" vbProcedure="false">'Plan goals'!$H$121</definedName>
    <definedName function="false" hidden="false" name="GR12_Extra" vbProcedure="false">'Plan goals'!$L$121</definedName>
    <definedName function="false" hidden="false" name="GR12_ExtraUsed" vbProcedure="false">'Plan goals'!$AB$121</definedName>
    <definedName function="false" hidden="false" name="GR12_Line" vbProcedure="false">'Plan goals'!$M$121</definedName>
    <definedName function="false" hidden="false" name="GR12_Months" vbProcedure="false">'Plan goals'!$V$121</definedName>
    <definedName function="false" hidden="false" name="GR12_Pct" vbProcedure="false">'Plan goals'!$G$121</definedName>
    <definedName function="false" hidden="false" name="GR12_PctBefore" vbProcedure="false">'Plan goals'!$Z$121</definedName>
    <definedName function="false" hidden="false" name="GR12_When" vbProcedure="false">'Plan goals'!$U$121</definedName>
    <definedName function="false" hidden="false" name="GR12_WiTxt" vbProcedure="false">'Plan goals'!$AA$121</definedName>
    <definedName function="false" hidden="false" name="GR12_Year" vbProcedure="false">'Plan goals'!$W$121</definedName>
    <definedName function="false" hidden="false" name="GR13_AgeYear" vbProcedure="false">'Plan goals'!$X$122</definedName>
    <definedName function="false" hidden="false" name="GR13_Band" vbProcedure="false">'Plan goals'!$H$122</definedName>
    <definedName function="false" hidden="false" name="GR13_Extra" vbProcedure="false">'Plan goals'!$L$122</definedName>
    <definedName function="false" hidden="false" name="GR13_ExtraUsed" vbProcedure="false">'Plan goals'!$AB$122</definedName>
    <definedName function="false" hidden="false" name="GR13_Line" vbProcedure="false">'Plan goals'!$M$122</definedName>
    <definedName function="false" hidden="false" name="GR13_Months" vbProcedure="false">'Plan goals'!$V$122</definedName>
    <definedName function="false" hidden="false" name="GR13_Pct" vbProcedure="false">'Plan goals'!$G$122</definedName>
    <definedName function="false" hidden="false" name="GR13_PctBefore" vbProcedure="false">'Plan goals'!$Z$122</definedName>
    <definedName function="false" hidden="false" name="GR13_When" vbProcedure="false">'Plan goals'!$U$122</definedName>
    <definedName function="false" hidden="false" name="GR13_WiTxt" vbProcedure="false">'Plan goals'!$AA$122</definedName>
    <definedName function="false" hidden="false" name="GR13_Year" vbProcedure="false">'Plan goals'!$W$122</definedName>
    <definedName function="false" hidden="false" name="GR14_AgeYear" vbProcedure="false">'Plan goals'!$X$123</definedName>
    <definedName function="false" hidden="false" name="GR14_Band" vbProcedure="false">'Plan goals'!$H$123</definedName>
    <definedName function="false" hidden="false" name="GR14_Extra" vbProcedure="false">'Plan goals'!$L$123</definedName>
    <definedName function="false" hidden="false" name="GR14_ExtraUsed" vbProcedure="false">'Plan goals'!$AB$123</definedName>
    <definedName function="false" hidden="false" name="GR14_Line" vbProcedure="false">'Plan goals'!$M$123</definedName>
    <definedName function="false" hidden="false" name="GR14_Months" vbProcedure="false">'Plan goals'!$V$123</definedName>
    <definedName function="false" hidden="false" name="GR14_Pct" vbProcedure="false">'Plan goals'!$G$123</definedName>
    <definedName function="false" hidden="false" name="GR14_PctBefore" vbProcedure="false">'Plan goals'!$Z$123</definedName>
    <definedName function="false" hidden="false" name="GR14_When" vbProcedure="false">'Plan goals'!$U$123</definedName>
    <definedName function="false" hidden="false" name="GR14_WiTxt" vbProcedure="false">'Plan goals'!$AA$123</definedName>
    <definedName function="false" hidden="false" name="GR14_Year" vbProcedure="false">'Plan goals'!$W$123</definedName>
    <definedName function="false" hidden="false" name="GR15_AgeYear" vbProcedure="false">'Plan goals'!$X$124</definedName>
    <definedName function="false" hidden="false" name="GR15_Band" vbProcedure="false">'Plan goals'!$H$124</definedName>
    <definedName function="false" hidden="false" name="GR15_Extra" vbProcedure="false">'Plan goals'!$L$124</definedName>
    <definedName function="false" hidden="false" name="GR15_ExtraUsed" vbProcedure="false">'Plan goals'!$AB$124</definedName>
    <definedName function="false" hidden="false" name="GR15_Line" vbProcedure="false">'Plan goals'!$M$124</definedName>
    <definedName function="false" hidden="false" name="GR15_Months" vbProcedure="false">'Plan goals'!$V$124</definedName>
    <definedName function="false" hidden="false" name="GR15_Pct" vbProcedure="false">'Plan goals'!$G$124</definedName>
    <definedName function="false" hidden="false" name="GR15_PctBefore" vbProcedure="false">'Plan goals'!$Z$124</definedName>
    <definedName function="false" hidden="false" name="GR15_When" vbProcedure="false">'Plan goals'!$U$124</definedName>
    <definedName function="false" hidden="false" name="GR15_WiTxt" vbProcedure="false">'Plan goals'!$AA$124</definedName>
    <definedName function="false" hidden="false" name="GR15_Year" vbProcedure="false">'Plan goals'!$W$124</definedName>
    <definedName function="false" hidden="false" name="GR16_AgeYear" vbProcedure="false">'Plan goals'!$X$125</definedName>
    <definedName function="false" hidden="false" name="GR16_Band" vbProcedure="false">'Plan goals'!$H$125</definedName>
    <definedName function="false" hidden="false" name="GR16_Extra" vbProcedure="false">'Plan goals'!$L$125</definedName>
    <definedName function="false" hidden="false" name="GR16_ExtraUsed" vbProcedure="false">'Plan goals'!$AB$125</definedName>
    <definedName function="false" hidden="false" name="GR16_Line" vbProcedure="false">'Plan goals'!$M$125</definedName>
    <definedName function="false" hidden="false" name="GR16_Months" vbProcedure="false">'Plan goals'!$V$125</definedName>
    <definedName function="false" hidden="false" name="GR16_Pct" vbProcedure="false">'Plan goals'!$G$125</definedName>
    <definedName function="false" hidden="false" name="GR16_PctBefore" vbProcedure="false">'Plan goals'!$Z$125</definedName>
    <definedName function="false" hidden="false" name="GR16_When" vbProcedure="false">'Plan goals'!$U$125</definedName>
    <definedName function="false" hidden="false" name="GR16_WiTxt" vbProcedure="false">'Plan goals'!$AA$125</definedName>
    <definedName function="false" hidden="false" name="GR16_Year" vbProcedure="false">'Plan goals'!$W$125</definedName>
    <definedName function="false" hidden="false" name="GR17_AgeYear" vbProcedure="false">'Plan goals'!$X$126</definedName>
    <definedName function="false" hidden="false" name="GR17_Band" vbProcedure="false">'Plan goals'!$H$126</definedName>
    <definedName function="false" hidden="false" name="GR17_Extra" vbProcedure="false">'Plan goals'!$L$126</definedName>
    <definedName function="false" hidden="false" name="GR17_ExtraUsed" vbProcedure="false">'Plan goals'!$AB$126</definedName>
    <definedName function="false" hidden="false" name="GR17_Line" vbProcedure="false">'Plan goals'!$M$126</definedName>
    <definedName function="false" hidden="false" name="GR17_Months" vbProcedure="false">'Plan goals'!$V$126</definedName>
    <definedName function="false" hidden="false" name="GR17_Pct" vbProcedure="false">'Plan goals'!$G$126</definedName>
    <definedName function="false" hidden="false" name="GR17_PctBefore" vbProcedure="false">'Plan goals'!$Z$126</definedName>
    <definedName function="false" hidden="false" name="GR17_When" vbProcedure="false">'Plan goals'!$U$126</definedName>
    <definedName function="false" hidden="false" name="GR17_WiTxt" vbProcedure="false">'Plan goals'!$AA$126</definedName>
    <definedName function="false" hidden="false" name="GR17_Year" vbProcedure="false">'Plan goals'!$W$126</definedName>
    <definedName function="false" hidden="false" name="GR18_AgeYear" vbProcedure="false">'Plan goals'!$X$127</definedName>
    <definedName function="false" hidden="false" name="GR18_Band" vbProcedure="false">'Plan goals'!$H$127</definedName>
    <definedName function="false" hidden="false" name="GR18_Extra" vbProcedure="false">'Plan goals'!$L$127</definedName>
    <definedName function="false" hidden="false" name="GR18_ExtraUsed" vbProcedure="false">'Plan goals'!$AB$127</definedName>
    <definedName function="false" hidden="false" name="GR18_Line" vbProcedure="false">'Plan goals'!$M$127</definedName>
    <definedName function="false" hidden="false" name="GR18_Months" vbProcedure="false">'Plan goals'!$V$127</definedName>
    <definedName function="false" hidden="false" name="GR18_Pct" vbProcedure="false">'Plan goals'!$G$127</definedName>
    <definedName function="false" hidden="false" name="GR18_PctBefore" vbProcedure="false">'Plan goals'!$Z$127</definedName>
    <definedName function="false" hidden="false" name="GR18_When" vbProcedure="false">'Plan goals'!$U$127</definedName>
    <definedName function="false" hidden="false" name="GR18_WiTxt" vbProcedure="false">'Plan goals'!$AA$127</definedName>
    <definedName function="false" hidden="false" name="GR18_Year" vbProcedure="false">'Plan goals'!$W$127</definedName>
    <definedName function="false" hidden="false" name="GR19_AgeYear" vbProcedure="false">'Plan goals'!$X$128</definedName>
    <definedName function="false" hidden="false" name="GR19_Band" vbProcedure="false">'Plan goals'!$H$128</definedName>
    <definedName function="false" hidden="false" name="GR19_Extra" vbProcedure="false">'Plan goals'!$L$128</definedName>
    <definedName function="false" hidden="false" name="GR19_ExtraUsed" vbProcedure="false">'Plan goals'!$AB$128</definedName>
    <definedName function="false" hidden="false" name="GR19_Line" vbProcedure="false">'Plan goals'!$M$128</definedName>
    <definedName function="false" hidden="false" name="GR19_Months" vbProcedure="false">'Plan goals'!$V$128</definedName>
    <definedName function="false" hidden="false" name="GR19_Pct" vbProcedure="false">'Plan goals'!$G$128</definedName>
    <definedName function="false" hidden="false" name="GR19_PctBefore" vbProcedure="false">'Plan goals'!$Z$128</definedName>
    <definedName function="false" hidden="false" name="GR19_When" vbProcedure="false">'Plan goals'!$U$128</definedName>
    <definedName function="false" hidden="false" name="GR19_WiTxt" vbProcedure="false">'Plan goals'!$AA$128</definedName>
    <definedName function="false" hidden="false" name="GR19_Year" vbProcedure="false">'Plan goals'!$W$128</definedName>
    <definedName function="false" hidden="false" name="GR1_AgeYear" vbProcedure="false">'Plan goals'!$X$110</definedName>
    <definedName function="false" hidden="false" name="GR1_Band" vbProcedure="false">'Plan goals'!$H$110</definedName>
    <definedName function="false" hidden="false" name="GR1_Extra" vbProcedure="false">'Plan goals'!$L$110</definedName>
    <definedName function="false" hidden="false" name="GR1_ExtraUsed" vbProcedure="false">'Plan goals'!$AB$110</definedName>
    <definedName function="false" hidden="false" name="GR1_Line" vbProcedure="false">'Plan goals'!$M$110</definedName>
    <definedName function="false" hidden="false" name="GR1_Months" vbProcedure="false">'Plan goals'!$V$110</definedName>
    <definedName function="false" hidden="false" name="GR1_Pct" vbProcedure="false">'Plan goals'!$G$110</definedName>
    <definedName function="false" hidden="false" name="GR1_PctBefore" vbProcedure="false">'Plan goals'!$Z$110</definedName>
    <definedName function="false" hidden="false" name="GR1_When" vbProcedure="false">'Plan goals'!$U$110</definedName>
    <definedName function="false" hidden="false" name="GR1_WiTxt" vbProcedure="false">'Plan goals'!$AA$110</definedName>
    <definedName function="false" hidden="false" name="GR1_Year" vbProcedure="false">'Plan goals'!$W$110</definedName>
    <definedName function="false" hidden="false" name="GR20_AgeYear" vbProcedure="false">'Plan goals'!$X$129</definedName>
    <definedName function="false" hidden="false" name="GR20_Band" vbProcedure="false">'Plan goals'!$H$129</definedName>
    <definedName function="false" hidden="false" name="GR20_Extra" vbProcedure="false">'Plan goals'!$L$129</definedName>
    <definedName function="false" hidden="false" name="GR20_ExtraUsed" vbProcedure="false">'Plan goals'!$AB$129</definedName>
    <definedName function="false" hidden="false" name="GR20_Line" vbProcedure="false">'Plan goals'!$M$129</definedName>
    <definedName function="false" hidden="false" name="GR20_Months" vbProcedure="false">'Plan goals'!$V$129</definedName>
    <definedName function="false" hidden="false" name="GR20_Pct" vbProcedure="false">'Plan goals'!$G$129</definedName>
    <definedName function="false" hidden="false" name="GR20_PctBefore" vbProcedure="false">'Plan goals'!$Z$129</definedName>
    <definedName function="false" hidden="false" name="GR20_When" vbProcedure="false">'Plan goals'!$U$129</definedName>
    <definedName function="false" hidden="false" name="GR20_WiTxt" vbProcedure="false">'Plan goals'!$AA$129</definedName>
    <definedName function="false" hidden="false" name="GR20_Year" vbProcedure="false">'Plan goals'!$W$129</definedName>
    <definedName function="false" hidden="false" name="GR21_AgeYear" vbProcedure="false">'Plan goals'!$X$130</definedName>
    <definedName function="false" hidden="false" name="GR21_Band" vbProcedure="false">'Plan goals'!$H$130</definedName>
    <definedName function="false" hidden="false" name="GR21_Extra" vbProcedure="false">'Plan goals'!$L$130</definedName>
    <definedName function="false" hidden="false" name="GR21_ExtraUsed" vbProcedure="false">'Plan goals'!$AB$130</definedName>
    <definedName function="false" hidden="false" name="GR21_Line" vbProcedure="false">'Plan goals'!$M$130</definedName>
    <definedName function="false" hidden="false" name="GR21_Months" vbProcedure="false">'Plan goals'!$V$130</definedName>
    <definedName function="false" hidden="false" name="GR21_Pct" vbProcedure="false">'Plan goals'!$G$130</definedName>
    <definedName function="false" hidden="false" name="GR21_PctBefore" vbProcedure="false">'Plan goals'!$Z$130</definedName>
    <definedName function="false" hidden="false" name="GR21_When" vbProcedure="false">'Plan goals'!$U$130</definedName>
    <definedName function="false" hidden="false" name="GR21_WiTxt" vbProcedure="false">'Plan goals'!$AA$130</definedName>
    <definedName function="false" hidden="false" name="GR21_Year" vbProcedure="false">'Plan goals'!$W$130</definedName>
    <definedName function="false" hidden="false" name="GR22_AgeYear" vbProcedure="false">'Plan goals'!$X$131</definedName>
    <definedName function="false" hidden="false" name="GR22_Band" vbProcedure="false">'Plan goals'!$H$131</definedName>
    <definedName function="false" hidden="false" name="GR22_Extra" vbProcedure="false">'Plan goals'!$L$131</definedName>
    <definedName function="false" hidden="false" name="GR22_ExtraUsed" vbProcedure="false">'Plan goals'!$AB$131</definedName>
    <definedName function="false" hidden="false" name="GR22_Line" vbProcedure="false">'Plan goals'!$M$131</definedName>
    <definedName function="false" hidden="false" name="GR22_Months" vbProcedure="false">'Plan goals'!$V$131</definedName>
    <definedName function="false" hidden="false" name="GR22_Pct" vbProcedure="false">'Plan goals'!$G$131</definedName>
    <definedName function="false" hidden="false" name="GR22_PctBefore" vbProcedure="false">'Plan goals'!$Z$131</definedName>
    <definedName function="false" hidden="false" name="GR22_When" vbProcedure="false">'Plan goals'!$U$131</definedName>
    <definedName function="false" hidden="false" name="GR22_WiTxt" vbProcedure="false">'Plan goals'!$AA$131</definedName>
    <definedName function="false" hidden="false" name="GR22_Year" vbProcedure="false">'Plan goals'!$W$131</definedName>
    <definedName function="false" hidden="false" name="GR2_AgeYear" vbProcedure="false">'Plan goals'!$X$111</definedName>
    <definedName function="false" hidden="false" name="GR2_Band" vbProcedure="false">'Plan goals'!$H$111</definedName>
    <definedName function="false" hidden="false" name="GR2_Extra" vbProcedure="false">'Plan goals'!$L$111</definedName>
    <definedName function="false" hidden="false" name="GR2_ExtraUsed" vbProcedure="false">'Plan goals'!$AB$111</definedName>
    <definedName function="false" hidden="false" name="GR2_Line" vbProcedure="false">'Plan goals'!$M$111</definedName>
    <definedName function="false" hidden="false" name="GR2_Months" vbProcedure="false">'Plan goals'!$V$111</definedName>
    <definedName function="false" hidden="false" name="GR2_Pct" vbProcedure="false">'Plan goals'!$G$111</definedName>
    <definedName function="false" hidden="false" name="GR2_PctBefore" vbProcedure="false">'Plan goals'!$Z$111</definedName>
    <definedName function="false" hidden="false" name="GR2_When" vbProcedure="false">'Plan goals'!$U$111</definedName>
    <definedName function="false" hidden="false" name="GR2_WiTxt" vbProcedure="false">'Plan goals'!$AA$111</definedName>
    <definedName function="false" hidden="false" name="GR2_Year" vbProcedure="false">'Plan goals'!$W$111</definedName>
    <definedName function="false" hidden="false" name="GR3_AgeYear" vbProcedure="false">'Plan goals'!$X$112</definedName>
    <definedName function="false" hidden="false" name="GR3_Band" vbProcedure="false">'Plan goals'!$H$112</definedName>
    <definedName function="false" hidden="false" name="GR3_Extra" vbProcedure="false">'Plan goals'!$L$112</definedName>
    <definedName function="false" hidden="false" name="GR3_ExtraUsed" vbProcedure="false">'Plan goals'!$AB$112</definedName>
    <definedName function="false" hidden="false" name="GR3_Line" vbProcedure="false">'Plan goals'!$M$112</definedName>
    <definedName function="false" hidden="false" name="GR3_Months" vbProcedure="false">'Plan goals'!$V$112</definedName>
    <definedName function="false" hidden="false" name="GR3_Pct" vbProcedure="false">'Plan goals'!$G$112</definedName>
    <definedName function="false" hidden="false" name="GR3_PctBefore" vbProcedure="false">'Plan goals'!$Z$112</definedName>
    <definedName function="false" hidden="false" name="GR3_When" vbProcedure="false">'Plan goals'!$U$112</definedName>
    <definedName function="false" hidden="false" name="GR3_WiTxt" vbProcedure="false">'Plan goals'!$AA$112</definedName>
    <definedName function="false" hidden="false" name="GR3_Year" vbProcedure="false">'Plan goals'!$W$112</definedName>
    <definedName function="false" hidden="false" name="GR4_AgeYear" vbProcedure="false">'Plan goals'!$X$113</definedName>
    <definedName function="false" hidden="false" name="GR4_Band" vbProcedure="false">'Plan goals'!$H$113</definedName>
    <definedName function="false" hidden="false" name="GR4_Extra" vbProcedure="false">'Plan goals'!$L$113</definedName>
    <definedName function="false" hidden="false" name="GR4_ExtraUsed" vbProcedure="false">'Plan goals'!$AB$113</definedName>
    <definedName function="false" hidden="false" name="GR4_Line" vbProcedure="false">'Plan goals'!$M$113</definedName>
    <definedName function="false" hidden="false" name="GR4_Months" vbProcedure="false">'Plan goals'!$V$113</definedName>
    <definedName function="false" hidden="false" name="GR4_Pct" vbProcedure="false">'Plan goals'!$G$113</definedName>
    <definedName function="false" hidden="false" name="GR4_PctBefore" vbProcedure="false">'Plan goals'!$Z$113</definedName>
    <definedName function="false" hidden="false" name="GR4_When" vbProcedure="false">'Plan goals'!$U$113</definedName>
    <definedName function="false" hidden="false" name="GR4_WiTxt" vbProcedure="false">'Plan goals'!$AA$113</definedName>
    <definedName function="false" hidden="false" name="GR4_Year" vbProcedure="false">'Plan goals'!$W$113</definedName>
    <definedName function="false" hidden="false" name="GR5_AgeYear" vbProcedure="false">'Plan goals'!$X$114</definedName>
    <definedName function="false" hidden="false" name="GR5_Band" vbProcedure="false">'Plan goals'!$H$114</definedName>
    <definedName function="false" hidden="false" name="GR5_Extra" vbProcedure="false">'Plan goals'!$L$114</definedName>
    <definedName function="false" hidden="false" name="GR5_ExtraUsed" vbProcedure="false">'Plan goals'!$AB$114</definedName>
    <definedName function="false" hidden="false" name="GR5_Line" vbProcedure="false">'Plan goals'!$M$114</definedName>
    <definedName function="false" hidden="false" name="GR5_Months" vbProcedure="false">'Plan goals'!$V$114</definedName>
    <definedName function="false" hidden="false" name="GR5_Pct" vbProcedure="false">'Plan goals'!$G$114</definedName>
    <definedName function="false" hidden="false" name="GR5_PctBefore" vbProcedure="false">'Plan goals'!$Z$114</definedName>
    <definedName function="false" hidden="false" name="GR5_When" vbProcedure="false">'Plan goals'!$U$114</definedName>
    <definedName function="false" hidden="false" name="GR5_WiTxt" vbProcedure="false">'Plan goals'!$AA$114</definedName>
    <definedName function="false" hidden="false" name="GR5_Year" vbProcedure="false">'Plan goals'!$W$114</definedName>
    <definedName function="false" hidden="false" name="GR6_AgeYear" vbProcedure="false">'Plan goals'!$X$115</definedName>
    <definedName function="false" hidden="false" name="GR6_Band" vbProcedure="false">'Plan goals'!$H$115</definedName>
    <definedName function="false" hidden="false" name="GR6_Extra" vbProcedure="false">'Plan goals'!$L$115</definedName>
    <definedName function="false" hidden="false" name="GR6_ExtraUsed" vbProcedure="false">'Plan goals'!$AB$115</definedName>
    <definedName function="false" hidden="false" name="GR6_Line" vbProcedure="false">'Plan goals'!$M$115</definedName>
    <definedName function="false" hidden="false" name="GR6_Months" vbProcedure="false">'Plan goals'!$V$115</definedName>
    <definedName function="false" hidden="false" name="GR6_Pct" vbProcedure="false">'Plan goals'!$G$115</definedName>
    <definedName function="false" hidden="false" name="GR6_PctBefore" vbProcedure="false">'Plan goals'!$Z$115</definedName>
    <definedName function="false" hidden="false" name="GR6_When" vbProcedure="false">'Plan goals'!$U$115</definedName>
    <definedName function="false" hidden="false" name="GR6_WiTxt" vbProcedure="false">'Plan goals'!$AA$115</definedName>
    <definedName function="false" hidden="false" name="GR6_Year" vbProcedure="false">'Plan goals'!$W$115</definedName>
    <definedName function="false" hidden="false" name="GR7_AgeYear" vbProcedure="false">'Plan goals'!$X$116</definedName>
    <definedName function="false" hidden="false" name="GR7_Band" vbProcedure="false">'Plan goals'!$H$116</definedName>
    <definedName function="false" hidden="false" name="GR7_Extra" vbProcedure="false">'Plan goals'!$L$116</definedName>
    <definedName function="false" hidden="false" name="GR7_ExtraUsed" vbProcedure="false">'Plan goals'!$AB$116</definedName>
    <definedName function="false" hidden="false" name="GR7_Line" vbProcedure="false">'Plan goals'!$M$116</definedName>
    <definedName function="false" hidden="false" name="GR7_Months" vbProcedure="false">'Plan goals'!$V$116</definedName>
    <definedName function="false" hidden="false" name="GR7_Pct" vbProcedure="false">'Plan goals'!$G$116</definedName>
    <definedName function="false" hidden="false" name="GR7_PctBefore" vbProcedure="false">'Plan goals'!$Z$116</definedName>
    <definedName function="false" hidden="false" name="GR7_When" vbProcedure="false">'Plan goals'!$U$116</definedName>
    <definedName function="false" hidden="false" name="GR7_WiTxt" vbProcedure="false">'Plan goals'!$AA$116</definedName>
    <definedName function="false" hidden="false" name="GR7_Year" vbProcedure="false">'Plan goals'!$W$116</definedName>
    <definedName function="false" hidden="false" name="GR8_AgeYear" vbProcedure="false">'Plan goals'!$X$117</definedName>
    <definedName function="false" hidden="false" name="GR8_Band" vbProcedure="false">'Plan goals'!$H$117</definedName>
    <definedName function="false" hidden="false" name="GR8_Extra" vbProcedure="false">'Plan goals'!$L$117</definedName>
    <definedName function="false" hidden="false" name="GR8_ExtraUsed" vbProcedure="false">'Plan goals'!$AB$117</definedName>
    <definedName function="false" hidden="false" name="GR8_Line" vbProcedure="false">'Plan goals'!$M$117</definedName>
    <definedName function="false" hidden="false" name="GR8_Months" vbProcedure="false">'Plan goals'!$V$117</definedName>
    <definedName function="false" hidden="false" name="GR8_Pct" vbProcedure="false">'Plan goals'!$G$117</definedName>
    <definedName function="false" hidden="false" name="GR8_PctBefore" vbProcedure="false">'Plan goals'!$Z$117</definedName>
    <definedName function="false" hidden="false" name="GR8_When" vbProcedure="false">'Plan goals'!$U$117</definedName>
    <definedName function="false" hidden="false" name="GR8_WiTxt" vbProcedure="false">'Plan goals'!$AA$117</definedName>
    <definedName function="false" hidden="false" name="GR8_Year" vbProcedure="false">'Plan goals'!$W$117</definedName>
    <definedName function="false" hidden="false" name="GR9_AgeYear" vbProcedure="false">'Plan goals'!$X$118</definedName>
    <definedName function="false" hidden="false" name="GR9_Band" vbProcedure="false">'Plan goals'!$H$118</definedName>
    <definedName function="false" hidden="false" name="GR9_Extra" vbProcedure="false">'Plan goals'!$L$118</definedName>
    <definedName function="false" hidden="false" name="GR9_ExtraUsed" vbProcedure="false">'Plan goals'!$AB$118</definedName>
    <definedName function="false" hidden="false" name="GR9_Line" vbProcedure="false">'Plan goals'!$M$118</definedName>
    <definedName function="false" hidden="false" name="GR9_Months" vbProcedure="false">'Plan goals'!$V$118</definedName>
    <definedName function="false" hidden="false" name="GR9_Pct" vbProcedure="false">'Plan goals'!$G$118</definedName>
    <definedName function="false" hidden="false" name="GR9_PctBefore" vbProcedure="false">'Plan goals'!$Z$118</definedName>
    <definedName function="false" hidden="false" name="GR9_When" vbProcedure="false">'Plan goals'!$U$118</definedName>
    <definedName function="false" hidden="false" name="GR9_WiTxt" vbProcedure="false">'Plan goals'!$AA$118</definedName>
    <definedName function="false" hidden="false" name="GR9_Year" vbProcedure="false">'Plan goals'!$W$118</definedName>
    <definedName function="false" hidden="false" name="GR_AgeT" vbProcedure="false">'Plan goals'!$N$110:$N$131</definedName>
    <definedName function="false" hidden="false" name="GR_Best" vbProcedure="false">'Plan goals'!$O$110:$O$131</definedName>
    <definedName function="false" hidden="false" name="GR_Key" vbProcedure="false">'Plan goals'!$Q$110:$Q$131</definedName>
    <definedName function="false" hidden="false" name="GR_Kind" vbProcedure="false">'Plan goals'!$D$110:$D$131</definedName>
    <definedName function="false" hidden="false" name="GR_Name" vbProcedure="false">'Plan goals'!$C$110:$C$131</definedName>
    <definedName function="false" hidden="false" name="GR_NextKey" vbProcedure="false">'Plan goals'!$Y$110:$Y$131</definedName>
    <definedName function="false" hidden="false" name="GR_Pct" vbProcedure="false">'Plan goals'!$G$110:$G$131</definedName>
    <definedName function="false" hidden="false" name="GR_PctB" vbProcedure="false">'Plan goals'!$T$110:$T$131</definedName>
    <definedName function="false" hidden="false" name="GR_PctN" vbProcedure="false">'Plan goals'!$R$110:$R$131</definedName>
    <definedName function="false" hidden="false" name="GR_Spec" vbProcedure="false">'Plan goals'!$S$110:$S$131</definedName>
    <definedName function="false" hidden="false" name="GR_When" vbProcedure="false">'Plan goals'!$U$110:$U$131</definedName>
    <definedName function="false" hidden="false" name="GR_WiTxt" vbProcedure="false">'Plan goals'!$AA$110:$AA$131</definedName>
    <definedName function="false" hidden="false" name="GR_Worst" vbProcedure="false">'Plan goals'!$P$110:$P$131</definedName>
    <definedName function="false" hidden="false" name="GR_Year" vbProcedure="false">'Plan goals'!$W$110:$W$131</definedName>
    <definedName function="false" hidden="false" name="HasSafety" vbProcedure="false">'Plan goals'!$D$75</definedName>
    <definedName function="false" hidden="false" name="Has_ackKeys" vbProcedure="false">'Plan inputs'!$H$79</definedName>
    <definedName function="false" hidden="false" name="Has_ae" vbProcedure="false">'Plan inputs'!$H$57</definedName>
    <definedName function="false" hidden="false" name="Has_age" vbProcedure="false">'Plan inputs'!$H$6</definedName>
    <definedName function="false" hidden="false" name="Has_assumeSet" vbProcedure="false">'Plan inputs'!$H$13</definedName>
    <definedName function="false" hidden="false" name="Has_a_accessAge" vbProcedure="false">'Plan inputs'!$H$90</definedName>
    <definedName function="false" hidden="false" name="Has_a_bands" vbProcedure="false">'Plan inputs'!$H$87</definedName>
    <definedName function="false" hidden="false" name="Has_a_cardRate" vbProcedure="false">'Plan inputs'!$H$103</definedName>
    <definedName function="false" hidden="false" name="Has_a_cash" vbProcedure="false">'Plan inputs'!$H$83</definedName>
    <definedName function="false" hidden="false" name="Has_a_cashYears" vbProcedure="false">'Plan inputs'!$H$96</definedName>
    <definedName function="false" hidden="false" name="Has_a_drawFixed" vbProcedure="false">'Plan inputs'!$H$94</definedName>
    <definedName function="false" hidden="false" name="Has_a_drawRule" vbProcedure="false">'Plan inputs'!$H$93</definedName>
    <definedName function="false" hidden="false" name="Has_a_inv" vbProcedure="false">'Plan inputs'!$H$82</definedName>
    <definedName function="false" hidden="false" name="Has_a_investShare" vbProcedure="false">'Plan inputs'!$H$97</definedName>
    <definedName function="false" hidden="false" name="Has_a_loanRate" vbProcedure="false">'Plan inputs'!$H$104</definedName>
    <definedName function="false" hidden="false" name="Has_a_lumpSum" vbProcedure="false">'Plan inputs'!$H$92</definedName>
    <definedName function="false" hidden="false" name="Has_a_mortRate" vbProcedure="false">'Plan inputs'!$H$102</definedName>
    <definedName function="false" hidden="false" name="Has_a_noAnswer" vbProcedure="false">'Plan inputs'!$H$99</definedName>
    <definedName function="false" hidden="false" name="Has_a_ownShare" vbProcedure="false">'Plan inputs'!$H$89</definedName>
    <definedName function="false" hidden="false" name="Has_a_pen" vbProcedure="false">'Plan inputs'!$H$84</definedName>
    <definedName function="false" hidden="false" name="Has_a_penChg" vbProcedure="false">'Plan inputs'!$H$108</definedName>
    <definedName function="false" hidden="false" name="Has_a_penRet" vbProcedure="false">'Plan inputs'!$H$85</definedName>
    <definedName function="false" hidden="false" name="Has_a_planEnd" vbProcedure="false">'Plan inputs'!$H$100</definedName>
    <definedName function="false" hidden="false" name="Has_a_pSpWeek" vbProcedure="false">'Plan inputs'!$H$106</definedName>
    <definedName function="false" hidden="false" name="Has_a_retireSpend" vbProcedure="false">'Plan inputs'!$H$91</definedName>
    <definedName function="false" hidden="false" name="Has_a_safetyMonths" vbProcedure="false">'Plan inputs'!$H$95</definedName>
    <definedName function="false" hidden="false" name="Has_a_saveShare" vbProcedure="false">'Plan inputs'!$H$98</definedName>
    <definedName function="false" hidden="false" name="Has_a_spGrow" vbProcedure="false">'Plan inputs'!$H$88</definedName>
    <definedName function="false" hidden="false" name="Has_a_spWeek" vbProcedure="false">'Plan inputs'!$H$105</definedName>
    <definedName function="false" hidden="false" name="Has_a_spYears" vbProcedure="false">'Plan inputs'!$H$107</definedName>
    <definedName function="false" hidden="false" name="Has_a_startYear" vbProcedure="false">'Plan inputs'!$H$101</definedName>
    <definedName function="false" hidden="false" name="Has_a_wage" vbProcedure="false">'Plan inputs'!$H$86</definedName>
    <definedName function="false" hidden="false" name="Has_booked" vbProcedure="false">'Plan inputs'!$H$68</definedName>
    <definedName function="false" hidden="false" name="Has_cardBal" vbProcedure="false">'Plan inputs'!$H$45</definedName>
    <definedName function="false" hidden="false" name="Has_cardPayM" vbProcedure="false">'Plan inputs'!$H$46</definedName>
    <definedName function="false" hidden="false" name="Has_cardRate" vbProcedure="false">'Plan inputs'!$H$47</definedName>
    <definedName function="false" hidden="false" name="Has_cash" vbProcedure="false">'Plan inputs'!$H$39</definedName>
    <definedName function="false" hidden="false" name="Has_ci" vbProcedure="false">'Plan inputs'!$H$63</definedName>
    <definedName function="false" hidden="false" name="Has_costsM" vbProcedure="false">'Plan inputs'!$H$33</definedName>
    <definedName function="false" hidden="false" name="Has_credCarer" vbProcedure="false">'Plan inputs'!$H$20</definedName>
    <definedName function="false" hidden="false" name="Has_credLone" vbProcedure="false">'Plan inputs'!$H$19</definedName>
    <definedName function="false" hidden="false" name="Has_credRent" vbProcedure="false">'Plan inputs'!$H$18</definedName>
    <definedName function="false" hidden="false" name="Has_debt" vbProcedure="false">'Plan inputs'!$H$51</definedName>
    <definedName function="false" hidden="false" name="Has_debtPayM" vbProcedure="false">'Plan inputs'!$H$52</definedName>
    <definedName function="false" hidden="false" name="Has_deps" vbProcedure="false">'Plan inputs'!$H$9</definedName>
    <definedName function="false" hidden="false" name="Has_health" vbProcedure="false">'Plan inputs'!$H$65</definedName>
    <definedName function="false" hidden="false" name="Has_home" vbProcedure="false">'Plan inputs'!$H$37</definedName>
    <definedName function="false" hidden="false" name="Has_homeValue" vbProcedure="false">'Plan inputs'!$H$38</definedName>
    <definedName function="false" hidden="false" name="Has_income" vbProcedure="false">'Plan inputs'!$H$29</definedName>
    <definedName function="false" hidden="false" name="Has_infl" vbProcedure="false">'Plan inputs'!$H$12</definedName>
    <definedName function="false" hidden="false" name="Has_invest" vbProcedure="false">'Plan inputs'!$H$40</definedName>
    <definedName function="false" hidden="false" name="Has_ip" vbProcedure="false">'Plan inputs'!$H$62</definedName>
    <definedName function="false" hidden="false" name="Has_life" vbProcedure="false">'Plan inputs'!$H$61</definedName>
    <definedName function="false" hidden="false" name="Has_loanBal" vbProcedure="false">'Plan inputs'!$H$48</definedName>
    <definedName function="false" hidden="false" name="Has_loanPayM" vbProcedure="false">'Plan inputs'!$H$49</definedName>
    <definedName function="false" hidden="false" name="Has_loanRate" vbProcedure="false">'Plan inputs'!$H$50</definedName>
    <definedName function="false" hidden="false" name="Has_lookKeys" vbProcedure="false">'Plan inputs'!$H$78</definedName>
    <definedName function="false" hidden="false" name="Has_married" vbProcedure="false">'Plan inputs'!$H$8</definedName>
    <definedName function="false" hidden="false" name="Has_mortBal" vbProcedure="false">'Plan inputs'!$H$41</definedName>
    <definedName function="false" hidden="false" name="Has_mortPayM" vbProcedure="false">'Plan inputs'!$H$43</definedName>
    <definedName function="false" hidden="false" name="Has_mortRate" vbProcedure="false">'Plan inputs'!$H$42</definedName>
    <definedName function="false" hidden="false" name="Has_mortYears" vbProcedure="false">'Plan inputs'!$H$44</definedName>
    <definedName function="false" hidden="false" name="Has_name" vbProcedure="false">'Plan inputs'!$H$5</definedName>
    <definedName function="false" hidden="false" name="Has_oneOffY" vbProcedure="false">'Plan inputs'!$H$34</definedName>
    <definedName function="false" hidden="false" name="Has_otherM" vbProcedure="false">'Plan inputs'!$H$32</definedName>
    <definedName function="false" hidden="false" name="Has_pAge" vbProcedure="false">'Plan inputs'!$H$31</definedName>
    <definedName function="false" hidden="false" name="Has_partner" vbProcedure="false">'Plan inputs'!$H$7</definedName>
    <definedName function="false" hidden="false" name="Has_penChg" vbProcedure="false">'Plan inputs'!$H$56</definedName>
    <definedName function="false" hidden="false" name="Has_penExtra" vbProcedure="false">'Plan inputs'!$H$17</definedName>
    <definedName function="false" hidden="false" name="Has_pension" vbProcedure="false">'Plan inputs'!$H$53</definedName>
    <definedName function="false" hidden="false" name="Has_pensionM" vbProcedure="false">'Plan inputs'!$H$54</definedName>
    <definedName function="false" hidden="false" name="Has_pensionOwnM" vbProcedure="false">'Plan inputs'!$H$55</definedName>
    <definedName function="false" hidden="false" name="Has_pIncome" vbProcedure="false">'Plan inputs'!$H$30</definedName>
    <definedName function="false" hidden="false" name="Has_prefSet" vbProcedure="false">'Plan inputs'!$H$71</definedName>
    <definedName function="false" hidden="false" name="Has_pRet" vbProcedure="false">'Plan inputs'!$H$11</definedName>
    <definedName function="false" hidden="false" name="Has_propValue" vbProcedure="false">'Plan inputs'!$H$35</definedName>
    <definedName function="false" hidden="false" name="Has_pSp" vbProcedure="false">'Plan inputs'!$H$60</definedName>
    <definedName function="false" hidden="false" name="Has_q6" vbProcedure="false">'Plan inputs'!$H$14</definedName>
    <definedName function="false" hidden="false" name="Has_rechecked" vbProcedure="false">'Plan inputs'!$H$70</definedName>
    <definedName function="false" hidden="false" name="Has_rentM" vbProcedure="false">'Plan inputs'!$H$36</definedName>
    <definedName function="false" hidden="false" name="Has_retireAge" vbProcedure="false">'Plan inputs'!$H$10</definedName>
    <definedName function="false" hidden="false" name="Has_saved1" vbProcedure="false">'Plan inputs'!$H$72</definedName>
    <definedName function="false" hidden="false" name="Has_saved2" vbProcedure="false">'Plan inputs'!$H$73</definedName>
    <definedName function="false" hidden="false" name="Has_saved3" vbProcedure="false">'Plan inputs'!$H$74</definedName>
    <definedName function="false" hidden="false" name="Has_saved4" vbProcedure="false">'Plan inputs'!$H$75</definedName>
    <definedName function="false" hidden="false" name="Has_saved5" vbProcedure="false">'Plan inputs'!$H$76</definedName>
    <definedName function="false" hidden="false" name="Has_saved6" vbProcedure="false">'Plan inputs'!$H$77</definedName>
    <definedName function="false" hidden="false" name="Has_saveM" vbProcedure="false">'Plan inputs'!$H$15</definedName>
    <definedName function="false" hidden="false" name="Has_saveUp" vbProcedure="false">'Plan inputs'!$H$16</definedName>
    <definedName function="false" hidden="false" name="Has_slot" vbProcedure="false">'Plan inputs'!$H$69</definedName>
    <definedName function="false" hidden="false" name="Has_sp" vbProcedure="false">'Plan inputs'!$H$58</definedName>
    <definedName function="false" hidden="false" name="Has_spYears" vbProcedure="false">'Plan inputs'!$H$59</definedName>
    <definedName function="false" hidden="false" name="Has_wiGoal" vbProcedure="false">'Plan inputs'!$H$23</definedName>
    <definedName function="false" hidden="false" name="Has_wiL" vbProcedure="false">'Plan inputs'!$H$25</definedName>
    <definedName function="false" hidden="false" name="Has_wiM" vbProcedure="false">'Plan inputs'!$H$24</definedName>
    <definedName function="false" hidden="false" name="Has_work" vbProcedure="false">'Plan inputs'!$H$28</definedName>
    <definedName function="false" hidden="false" name="Has_workCover" vbProcedure="false">'Plan inputs'!$H$64</definedName>
    <definedName function="false" hidden="false" name="Health_Listed_Total" vbProcedure="false">'Your lists'!$D$81</definedName>
    <definedName function="false" hidden="false" name="Home_Avg" vbProcedure="false">'Plan results'!$C$178</definedName>
    <definedName function="false" hidden="false" name="Home_Band" vbProcedure="false">'Plan results'!$C$180</definedName>
    <definedName function="false" hidden="false" name="Home_N" vbProcedure="false">'Plan results'!$C$177</definedName>
    <definedName function="false" hidden="false" name="Home_OnTrack" vbProcedure="false">'Plan results'!$C$179</definedName>
    <definedName function="false" hidden="false" name="Home_Rough" vbProcedure="false">'Plan results'!$C$153</definedName>
    <definedName function="false" hidden="false" name="Illness_Benefit_Week" vbProcedure="false">Assumptions!$C$68</definedName>
    <definedName function="false" hidden="false" name="Init_Buf0" vbProcedure="false">'Plan goals'!$D$76</definedName>
    <definedName function="false" hidden="false" name="Init_Free0" vbProcedure="false">'Plan goals'!$D$77</definedName>
    <definedName function="false" hidden="false" name="Init_Free1" vbProcedure="false">'Plan goals'!$D$78</definedName>
    <definedName function="false" hidden="false" name="In_ackKeys" vbProcedure="false">'Plan inputs'!$G$79</definedName>
    <definedName function="false" hidden="false" name="In_ae" vbProcedure="false">'Plan inputs'!$G$57</definedName>
    <definedName function="false" hidden="false" name="In_age" vbProcedure="false">'Plan inputs'!$G$6</definedName>
    <definedName function="false" hidden="false" name="In_assumeSet" vbProcedure="false">'Plan inputs'!$G$13</definedName>
    <definedName function="false" hidden="false" name="In_a_accessAge" vbProcedure="false">'Plan inputs'!$G$90</definedName>
    <definedName function="false" hidden="false" name="In_a_bands" vbProcedure="false">'Plan inputs'!$G$87</definedName>
    <definedName function="false" hidden="false" name="In_a_cardRate" vbProcedure="false">'Plan inputs'!$G$103</definedName>
    <definedName function="false" hidden="false" name="In_a_cash" vbProcedure="false">'Plan inputs'!$G$83</definedName>
    <definedName function="false" hidden="false" name="In_a_cashYears" vbProcedure="false">'Plan inputs'!$G$96</definedName>
    <definedName function="false" hidden="false" name="In_a_drawFixed" vbProcedure="false">'Plan inputs'!$G$94</definedName>
    <definedName function="false" hidden="false" name="In_a_drawRule" vbProcedure="false">'Plan inputs'!$G$93</definedName>
    <definedName function="false" hidden="false" name="In_a_inv" vbProcedure="false">'Plan inputs'!$G$82</definedName>
    <definedName function="false" hidden="false" name="In_a_investShare" vbProcedure="false">'Plan inputs'!$G$97</definedName>
    <definedName function="false" hidden="false" name="In_a_loanRate" vbProcedure="false">'Plan inputs'!$G$104</definedName>
    <definedName function="false" hidden="false" name="In_a_lumpSum" vbProcedure="false">'Plan inputs'!$G$92</definedName>
    <definedName function="false" hidden="false" name="In_a_mortRate" vbProcedure="false">'Plan inputs'!$G$102</definedName>
    <definedName function="false" hidden="false" name="In_a_noAnswer" vbProcedure="false">'Plan inputs'!$G$99</definedName>
    <definedName function="false" hidden="false" name="In_a_ownShare" vbProcedure="false">'Plan inputs'!$G$89</definedName>
    <definedName function="false" hidden="false" name="In_a_pen" vbProcedure="false">'Plan inputs'!$G$84</definedName>
    <definedName function="false" hidden="false" name="In_a_penChg" vbProcedure="false">'Plan inputs'!$G$108</definedName>
    <definedName function="false" hidden="false" name="In_a_penRet" vbProcedure="false">'Plan inputs'!$G$85</definedName>
    <definedName function="false" hidden="false" name="In_a_planEnd" vbProcedure="false">'Plan inputs'!$G$100</definedName>
    <definedName function="false" hidden="false" name="In_a_pSpWeek" vbProcedure="false">'Plan inputs'!$G$106</definedName>
    <definedName function="false" hidden="false" name="In_a_retireSpend" vbProcedure="false">'Plan inputs'!$G$91</definedName>
    <definedName function="false" hidden="false" name="In_a_safetyMonths" vbProcedure="false">'Plan inputs'!$G$95</definedName>
    <definedName function="false" hidden="false" name="In_a_saveShare" vbProcedure="false">'Plan inputs'!$G$98</definedName>
    <definedName function="false" hidden="false" name="In_a_spGrow" vbProcedure="false">'Plan inputs'!$G$88</definedName>
    <definedName function="false" hidden="false" name="In_a_spWeek" vbProcedure="false">'Plan inputs'!$G$105</definedName>
    <definedName function="false" hidden="false" name="In_a_spYears" vbProcedure="false">'Plan inputs'!$G$107</definedName>
    <definedName function="false" hidden="false" name="In_a_startYear" vbProcedure="false">'Plan inputs'!$G$101</definedName>
    <definedName function="false" hidden="false" name="In_a_wage" vbProcedure="false">'Plan inputs'!$G$86</definedName>
    <definedName function="false" hidden="false" name="In_booked" vbProcedure="false">'Plan inputs'!$G$68</definedName>
    <definedName function="false" hidden="false" name="In_cardBal" vbProcedure="false">'Plan inputs'!$G$45</definedName>
    <definedName function="false" hidden="false" name="In_cardPayM" vbProcedure="false">'Plan inputs'!$G$46</definedName>
    <definedName function="false" hidden="false" name="In_cardRate" vbProcedure="false">'Plan inputs'!$G$47</definedName>
    <definedName function="false" hidden="false" name="In_cash" vbProcedure="false">'Plan inputs'!$G$39</definedName>
    <definedName function="false" hidden="false" name="In_ci" vbProcedure="false">'Plan inputs'!$G$63</definedName>
    <definedName function="false" hidden="false" name="In_costsM" vbProcedure="false">'Plan inputs'!$G$33</definedName>
    <definedName function="false" hidden="false" name="In_credCarer" vbProcedure="false">'Plan inputs'!$G$20</definedName>
    <definedName function="false" hidden="false" name="In_credLone" vbProcedure="false">'Plan inputs'!$G$19</definedName>
    <definedName function="false" hidden="false" name="In_credRent" vbProcedure="false">'Plan inputs'!$G$18</definedName>
    <definedName function="false" hidden="false" name="In_debt" vbProcedure="false">'Plan inputs'!$G$51</definedName>
    <definedName function="false" hidden="false" name="In_debtPayM" vbProcedure="false">'Plan inputs'!$G$52</definedName>
    <definedName function="false" hidden="false" name="In_deps" vbProcedure="false">'Plan inputs'!$G$9</definedName>
    <definedName function="false" hidden="false" name="In_health" vbProcedure="false">'Plan inputs'!$G$65</definedName>
    <definedName function="false" hidden="false" name="In_home" vbProcedure="false">'Plan inputs'!$G$37</definedName>
    <definedName function="false" hidden="false" name="In_homeValue" vbProcedure="false">'Plan inputs'!$G$38</definedName>
    <definedName function="false" hidden="false" name="In_income" vbProcedure="false">'Plan inputs'!$G$29</definedName>
    <definedName function="false" hidden="false" name="In_infl" vbProcedure="false">'Plan inputs'!$G$12</definedName>
    <definedName function="false" hidden="false" name="In_invest" vbProcedure="false">'Plan inputs'!$G$40</definedName>
    <definedName function="false" hidden="false" name="In_ip" vbProcedure="false">'Plan inputs'!$G$62</definedName>
    <definedName function="false" hidden="false" name="In_life" vbProcedure="false">'Plan inputs'!$G$61</definedName>
    <definedName function="false" hidden="false" name="In_loanBal" vbProcedure="false">'Plan inputs'!$G$48</definedName>
    <definedName function="false" hidden="false" name="In_loanPayM" vbProcedure="false">'Plan inputs'!$G$49</definedName>
    <definedName function="false" hidden="false" name="In_loanRate" vbProcedure="false">'Plan inputs'!$G$50</definedName>
    <definedName function="false" hidden="false" name="In_lookKeys" vbProcedure="false">'Plan inputs'!$G$78</definedName>
    <definedName function="false" hidden="false" name="In_married" vbProcedure="false">'Plan inputs'!$G$8</definedName>
    <definedName function="false" hidden="false" name="In_mortBal" vbProcedure="false">'Plan inputs'!$G$41</definedName>
    <definedName function="false" hidden="false" name="In_mortPayM" vbProcedure="false">'Plan inputs'!$G$43</definedName>
    <definedName function="false" hidden="false" name="In_mortRate" vbProcedure="false">'Plan inputs'!$G$42</definedName>
    <definedName function="false" hidden="false" name="In_mortYears" vbProcedure="false">'Plan inputs'!$G$44</definedName>
    <definedName function="false" hidden="false" name="In_name" vbProcedure="false">'Plan inputs'!$G$5</definedName>
    <definedName function="false" hidden="false" name="In_oneOffY" vbProcedure="false">'Plan inputs'!$G$34</definedName>
    <definedName function="false" hidden="false" name="In_otherM" vbProcedure="false">'Plan inputs'!$G$32</definedName>
    <definedName function="false" hidden="false" name="In_pAge" vbProcedure="false">'Plan inputs'!$G$31</definedName>
    <definedName function="false" hidden="false" name="In_partner" vbProcedure="false">'Plan inputs'!$G$7</definedName>
    <definedName function="false" hidden="false" name="In_penChg" vbProcedure="false">'Plan inputs'!$G$56</definedName>
    <definedName function="false" hidden="false" name="In_penExtra" vbProcedure="false">'Plan inputs'!$G$17</definedName>
    <definedName function="false" hidden="false" name="In_pension" vbProcedure="false">'Plan inputs'!$G$53</definedName>
    <definedName function="false" hidden="false" name="In_pensionM" vbProcedure="false">'Plan inputs'!$G$54</definedName>
    <definedName function="false" hidden="false" name="In_pensionOwnM" vbProcedure="false">'Plan inputs'!$G$55</definedName>
    <definedName function="false" hidden="false" name="In_pIncome" vbProcedure="false">'Plan inputs'!$G$30</definedName>
    <definedName function="false" hidden="false" name="In_prefSet" vbProcedure="false">'Plan inputs'!$G$71</definedName>
    <definedName function="false" hidden="false" name="In_pRet" vbProcedure="false">'Plan inputs'!$G$11</definedName>
    <definedName function="false" hidden="false" name="In_propValue" vbProcedure="false">'Plan inputs'!$G$35</definedName>
    <definedName function="false" hidden="false" name="In_pSp" vbProcedure="false">'Plan inputs'!$G$60</definedName>
    <definedName function="false" hidden="false" name="In_q6" vbProcedure="false">'Plan inputs'!$G$14</definedName>
    <definedName function="false" hidden="false" name="In_rechecked" vbProcedure="false">'Plan inputs'!$G$70</definedName>
    <definedName function="false" hidden="false" name="In_rentM" vbProcedure="false">'Plan inputs'!$G$36</definedName>
    <definedName function="false" hidden="false" name="In_retireAge" vbProcedure="false">'Plan inputs'!$G$10</definedName>
    <definedName function="false" hidden="false" name="In_saved1" vbProcedure="false">'Plan inputs'!$G$72</definedName>
    <definedName function="false" hidden="false" name="In_saved2" vbProcedure="false">'Plan inputs'!$G$73</definedName>
    <definedName function="false" hidden="false" name="In_saved3" vbProcedure="false">'Plan inputs'!$G$74</definedName>
    <definedName function="false" hidden="false" name="In_saved4" vbProcedure="false">'Plan inputs'!$G$75</definedName>
    <definedName function="false" hidden="false" name="In_saved5" vbProcedure="false">'Plan inputs'!$G$76</definedName>
    <definedName function="false" hidden="false" name="In_saved6" vbProcedure="false">'Plan inputs'!$G$77</definedName>
    <definedName function="false" hidden="false" name="In_saveM" vbProcedure="false">'Plan inputs'!$G$15</definedName>
    <definedName function="false" hidden="false" name="In_saveUp" vbProcedure="false">'Plan inputs'!$G$16</definedName>
    <definedName function="false" hidden="false" name="In_slot" vbProcedure="false">'Plan inputs'!$G$69</definedName>
    <definedName function="false" hidden="false" name="In_sp" vbProcedure="false">'Plan inputs'!$G$58</definedName>
    <definedName function="false" hidden="false" name="In_spYears" vbProcedure="false">'Plan inputs'!$G$59</definedName>
    <definedName function="false" hidden="false" name="In_wiGoal" vbProcedure="false">'Plan inputs'!$G$23</definedName>
    <definedName function="false" hidden="false" name="In_wiL" vbProcedure="false">'Plan inputs'!$G$25</definedName>
    <definedName function="false" hidden="false" name="In_wiM" vbProcedure="false">'Plan inputs'!$G$24</definedName>
    <definedName function="false" hidden="false" name="In_work" vbProcedure="false">'Plan inputs'!$G$28</definedName>
    <definedName function="false" hidden="false" name="In_workCover" vbProcedure="false">'Plan inputs'!$G$64</definedName>
    <definedName function="false" hidden="false" name="IP_Listed_Total" vbProcedure="false">'Your lists'!$D$69</definedName>
    <definedName function="false" hidden="false" name="IP_Max_Pct" vbProcedure="false">Assumptions!$C$69</definedName>
    <definedName function="false" hidden="false" name="L3_CardM" vbProcedure="false">'Plan results'!$C$54</definedName>
    <definedName function="false" hidden="false" name="L3_CardS" vbProcedure="false">'Plan results'!$C$58</definedName>
    <definedName function="false" hidden="false" name="L3_CardSt" vbProcedure="false">'Plan results'!$C$57</definedName>
    <definedName function="false" hidden="false" name="L3_CoverLife" vbProcedure="false">'Plan results'!$C$64</definedName>
    <definedName function="false" hidden="false" name="L3_CoverWork" vbProcedure="false">'Plan results'!$C$63</definedName>
    <definedName function="false" hidden="false" name="L3_Debt" vbProcedure="false">'Plan results'!$C$56</definedName>
    <definedName function="false" hidden="false" name="L3_IpS" vbProcedure="false">'Plan results'!$C$69</definedName>
    <definedName function="false" hidden="false" name="L3_IpSt" vbProcedure="false">'Plan results'!$C$68</definedName>
    <definedName function="false" hidden="false" name="L3_Kind" vbProcedure="false">'Plan results'!$C$93</definedName>
    <definedName function="false" hidden="false" name="L3_LifeS" vbProcedure="false">'Plan results'!$C$67</definedName>
    <definedName function="false" hidden="false" name="L3_LifeSt" vbProcedure="false">'Plan results'!$C$66</definedName>
    <definedName function="false" hidden="false" name="L3_LoanM" vbProcedure="false">'Plan results'!$C$55</definedName>
    <definedName function="false" hidden="false" name="L3_LoanS" vbProcedure="false">'Plan results'!$C$60</definedName>
    <definedName function="false" hidden="false" name="L3_LoanSt" vbProcedure="false">'Plan results'!$C$59</definedName>
    <definedName function="false" hidden="false" name="L3_NeedLife" vbProcedure="false">'Plan results'!$C$65</definedName>
    <definedName function="false" hidden="false" name="L3_NoDebtS" vbProcedure="false">'Plan results'!$C$62</definedName>
    <definedName function="false" hidden="false" name="L3_NoDebtSt" vbProcedure="false">'Plan results'!$C$61</definedName>
    <definedName function="false" hidden="false" name="L3_Rank" vbProcedure="false">'Plan results'!$C$70</definedName>
    <definedName function="false" hidden="false" name="L4_Low" vbProcedure="false">'Plan results'!$C$75</definedName>
    <definedName function="false" hidden="false" name="L4_N" vbProcedure="false">'Plan results'!$C$73</definedName>
    <definedName function="false" hidden="false" name="L4_On" vbProcedure="false">'Plan results'!$C$74</definedName>
    <definedName function="false" hidden="false" name="L4_PenOn" vbProcedure="false">'Plan results'!$C$76</definedName>
    <definedName function="false" hidden="false" name="L5_FirstIdx" vbProcedure="false">'Plan results'!$C$81</definedName>
    <definedName function="false" hidden="false" name="L5_Inv" vbProcedure="false">'Plan results'!$C$82</definedName>
    <definedName function="false" hidden="false" name="L5_N" vbProcedure="false">'Plan results'!$C$79</definedName>
    <definedName function="false" hidden="false" name="L5_OnIdx" vbProcedure="false">'Plan results'!$C$80</definedName>
    <definedName function="false" hidden="false" name="Life_Levy" vbProcedure="false">Assumptions!$C$76</definedName>
    <definedName function="false" hidden="false" name="Loans_Owed_Rng" vbProcedure="false">'Your lists'!$D$21:$D$28</definedName>
    <definedName function="false" hidden="false" name="Loans_Owed_Total" vbProcedure="false">'Your lists'!$D$30</definedName>
    <definedName function="false" hidden="false" name="Loans_Pay_Rng" vbProcedure="false">'Your lists'!$E$21:$E$28</definedName>
    <definedName function="false" hidden="false" name="Loans_Pay_Total" vbProcedure="false">'Your lists'!$D$31</definedName>
    <definedName function="false" hidden="false" name="Loans_Rate_Avg" vbProcedure="false">'Your lists'!$D$34</definedName>
    <definedName function="false" hidden="false" name="Look_Count" vbProcedure="false">'Plan results'!$C$141</definedName>
    <definedName function="false" hidden="false" name="LTI_FTB" vbProcedure="false">Assumptions!$C$79</definedName>
    <definedName function="false" hidden="false" name="LTI_SSB" vbProcedure="false">Assumptions!$C$80</definedName>
    <definedName function="false" hidden="false" name="LTV_Max" vbProcedure="false">Assumptions!$C$81</definedName>
    <definedName function="false" hidden="false" name="Lump_Sum_Cap" vbProcedure="false">Assumptions!$C$55</definedName>
    <definedName function="false" hidden="false" name="Lump_Sum_Max_Pct" vbProcedure="false">Assumptions!$C$53</definedName>
    <definedName function="false" hidden="false" name="Lump_Sum_Rate" vbProcedure="false">Assumptions!$C$56</definedName>
    <definedName function="false" hidden="false" name="Lump_Sum_Tax_Free" vbProcedure="false">Assumptions!$C$54</definedName>
    <definedName function="false" hidden="false" name="M2_Bal" vbProcedure="false">'Plan pay &amp; tax'!$C$187</definedName>
    <definedName function="false" hidden="false" name="M2_Pay" vbProcedure="false">'Plan pay &amp; tax'!$C$188</definedName>
    <definedName function="false" hidden="false" name="M2_Rate" vbProcedure="false">'Plan pay &amp; tax'!$C$189</definedName>
    <definedName function="false" hidden="false" name="Max_Money_Input" vbProcedure="false">Assumptions!$C$128</definedName>
    <definedName function="false" hidden="false" name="Min_Deposit_Pct" vbProcedure="false">Assumptions!$C$82</definedName>
    <definedName function="false" hidden="false" name="Missing_Count" vbProcedure="false">'Plan results'!$C$140</definedName>
    <definedName function="false" hidden="false" name="Mort2_Bal" vbProcedure="false">'Your lists'!$D$90</definedName>
    <definedName function="false" hidden="false" name="Mort2_NeedsRate" vbProcedure="false">'Your lists'!$D$94</definedName>
    <definedName function="false" hidden="false" name="Mort2_NeedsTerm" vbProcedure="false">'Your lists'!$D$93</definedName>
    <definedName function="false" hidden="false" name="Mort2_Owed_Rng" vbProcedure="false">'Your lists'!$D$86:$D$89</definedName>
    <definedName function="false" hidden="false" name="Mort2_Pay" vbProcedure="false">'Your lists'!$D$91</definedName>
    <definedName function="false" hidden="false" name="Mort2_Rate" vbProcedure="false">'Your lists'!$D$92</definedName>
    <definedName function="false" hidden="false" name="Mort2_Rate_Rng" vbProcedure="false">'Your lists'!$G$86:$G$89</definedName>
    <definedName function="false" hidden="false" name="MP_Year_1" vbProcedure="false">Assumptions!$C$100</definedName>
    <definedName function="false" hidden="false" name="MP_Year_2" vbProcedure="false">Assumptions!$C$101</definedName>
    <definedName function="false" hidden="false" name="MP_Year_3" vbProcedure="false">Assumptions!$C$102</definedName>
    <definedName function="false" hidden="false" name="Next_B" vbProcedure="false">'Plan results'!$C$223</definedName>
    <definedName function="false" hidden="false" name="Next_D" vbProcedure="false">'Plan results'!$C$222</definedName>
    <definedName function="false" hidden="false" name="Next_N" vbProcedure="false">'Plan results'!$C$220</definedName>
    <definedName function="false" hidden="false" name="Next_T" vbProcedure="false">'Plan results'!$C$221</definedName>
    <definedName function="false" hidden="false" name="Next_WIdx" vbProcedure="false">'Plan results'!$C$216</definedName>
    <definedName function="false" hidden="false" name="Next_WName" vbProcedure="false">'Plan results'!$C$218</definedName>
    <definedName function="false" hidden="false" name="Next_WPct" vbProcedure="false">'Plan results'!$C$217</definedName>
    <definedName function="false" hidden="false" name="Nudge_Show" vbProcedure="false">'Plan results'!$C$188</definedName>
    <definedName function="false" hidden="false" name="Nudge_X" vbProcedure="false">'Plan results'!$C$187</definedName>
    <definedName function="false" hidden="false" name="One_In_20_Z" vbProcedure="false">Assumptions!$C$103</definedName>
    <definedName function="false" hidden="false" name="Partner_Name" vbProcedure="false">Settings!$C$4</definedName>
    <definedName function="false" hidden="false" name="PA_12" vbProcedure="false">'Plan profile'!$D$11</definedName>
    <definedName function="false" hidden="false" name="PA_12_Typed" vbProcedure="false">'Plan profile'!$C$11</definedName>
    <definedName function="false" hidden="false" name="PA_2" vbProcedure="false">'Plan profile'!$D$5</definedName>
    <definedName function="false" hidden="false" name="PA_2_Typed" vbProcedure="false">'Plan profile'!$C$5</definedName>
    <definedName function="false" hidden="false" name="PA_4" vbProcedure="false">'Plan profile'!$D$6</definedName>
    <definedName function="false" hidden="false" name="PA_4_Typed" vbProcedure="false">'Plan profile'!$C$6</definedName>
    <definedName function="false" hidden="false" name="PA_6" vbProcedure="false">'Plan profile'!$D$7</definedName>
    <definedName function="false" hidden="false" name="PA_6_Typed" vbProcedure="false">'Plan profile'!$C$7</definedName>
    <definedName function="false" hidden="false" name="PA_7" vbProcedure="false">'Plan profile'!$D$8</definedName>
    <definedName function="false" hidden="false" name="PA_7_Typed" vbProcedure="false">'Plan profile'!$C$8</definedName>
    <definedName function="false" hidden="false" name="PA_8" vbProcedure="false">'Plan profile'!$D$9</definedName>
    <definedName function="false" hidden="false" name="PA_8_Typed" vbProcedure="false">'Plan profile'!$C$9</definedName>
    <definedName function="false" hidden="false" name="PA_9" vbProcedure="false">'Plan profile'!$D$10</definedName>
    <definedName function="false" hidden="false" name="PA_9_Typed" vbProcedure="false">'Plan profile'!$C$10</definedName>
    <definedName function="false" hidden="false" name="PA_chipShares" vbProcedure="false">'Plan profile'!$D$19</definedName>
    <definedName function="false" hidden="false" name="PA_chipShares_Typed" vbProcedure="false">'Plan profile'!$C$19</definedName>
    <definedName function="false" hidden="false" name="PA_chipsN" vbProcedure="false">'Plan profile'!$D$18</definedName>
    <definedName function="false" hidden="false" name="PA_chipsN_Typed" vbProcedure="false">'Plan profile'!$C$18</definedName>
    <definedName function="false" hidden="false" name="PA_chipsSafe" vbProcedure="false">'Plan profile'!$D$20</definedName>
    <definedName function="false" hidden="false" name="PA_chipsSafe_Typed" vbProcedure="false">'Plan profile'!$C$20</definedName>
    <definedName function="false" hidden="false" name="PA_u10" vbProcedure="false">'Plan profile'!$D$14</definedName>
    <definedName function="false" hidden="false" name="PA_u10_Typed" vbProcedure="false">'Plan profile'!$C$14</definedName>
    <definedName function="false" hidden="false" name="PA_u11" vbProcedure="false">'Plan profile'!$D$15</definedName>
    <definedName function="false" hidden="false" name="PA_u11_Typed" vbProcedure="false">'Plan profile'!$C$15</definedName>
    <definedName function="false" hidden="false" name="PA_u12" vbProcedure="false">'Plan profile'!$D$16</definedName>
    <definedName function="false" hidden="false" name="PA_u12_Typed" vbProcedure="false">'Plan profile'!$C$16</definedName>
    <definedName function="false" hidden="false" name="PA_u14" vbProcedure="false">'Plan profile'!$D$17</definedName>
    <definedName function="false" hidden="false" name="PA_u14_Typed" vbProcedure="false">'Plan profile'!$C$17</definedName>
    <definedName function="false" hidden="false" name="PA_u4" vbProcedure="false">'Plan profile'!$D$12</definedName>
    <definedName function="false" hidden="false" name="PA_u4_Typed" vbProcedure="false">'Plan profile'!$C$12</definedName>
    <definedName function="false" hidden="false" name="PA_u9" vbProcedure="false">'Plan profile'!$D$13</definedName>
    <definedName function="false" hidden="false" name="PA_u9_Typed" vbProcedure="false">'Plan profile'!$C$13</definedName>
    <definedName function="false" hidden="false" name="PDOB_AgeToday" vbProcedure="false">'Plan results'!$C$166</definedName>
    <definedName function="false" hidden="false" name="PDOB_Msg" vbProcedure="false">'Plan results'!$C$167</definedName>
    <definedName function="false" hidden="false" name="Pension_Earliest_Age" vbProcedure="false">Assumptions!$C$59</definedName>
    <definedName function="false" hidden="false" name="Pens_Monthly_Rng" vbProcedure="false">'Your lists'!$E$37:$E$44</definedName>
    <definedName function="false" hidden="false" name="Pens_Monthly_Total" vbProcedure="false">'Your lists'!$D$47</definedName>
    <definedName function="false" hidden="false" name="Pens_OwnGiven" vbProcedure="false">'Your lists'!$D$49</definedName>
    <definedName function="false" hidden="false" name="Pens_Own_Rng" vbProcedure="false">'Your lists'!$F$37:$F$44</definedName>
    <definedName function="false" hidden="false" name="Pens_Own_Total" vbProcedure="false">'Your lists'!$D$48</definedName>
    <definedName function="false" hidden="false" name="Pens_Value_Rng" vbProcedure="false">'Your lists'!$D$37:$D$44</definedName>
    <definedName function="false" hidden="false" name="Pens_Value_Total" vbProcedure="false">'Your lists'!$D$46</definedName>
    <definedName function="false" hidden="false" name="Plan_mPath" vbProcedure="false">'Plan debt months'!$DG$8:$DG$97</definedName>
    <definedName function="false" hidden="false" name="Plan_ShortLivingYears" vbProcedure="false">'Plan results'!$C$9</definedName>
    <definedName function="false" hidden="false" name="Plan_YearsShort" vbProcedure="false">'Plan results'!$C$8</definedName>
    <definedName function="false" hidden="false" name="PRet_Note" vbProcedure="false">'Plan results'!$C$162</definedName>
    <definedName function="false" hidden="false" name="Prof_Banner" vbProcedure="false">'Plan profile'!$C$131</definedName>
    <definedName function="false" hidden="false" name="Prof_C" vbProcedure="false">'Plan profile'!$C$112</definedName>
    <definedName function="false" hidden="false" name="Prof_CapHi" vbProcedure="false">'Plan profile'!$C$129</definedName>
    <definedName function="false" hidden="false" name="Prof_CapLo" vbProcedure="false">'Plan profile'!$C$128</definedName>
    <definedName function="false" hidden="false" name="Prof_Comfort" vbProcedure="false">'Plan profile'!$C$118</definedName>
    <definedName function="false" hidden="false" name="Prof_CompHi" vbProcedure="false">'Plan profile'!$C$123</definedName>
    <definedName function="false" hidden="false" name="Prof_CompLo" vbProcedure="false">'Plan profile'!$C$124</definedName>
    <definedName function="false" hidden="false" name="Prof_Cushion" vbProcedure="false">'Plan profile'!$C$119</definedName>
    <definedName function="false" hidden="false" name="Prof_DiscCount" vbProcedure="false">'Plan profile'!$C$78</definedName>
    <definedName function="false" hidden="false" name="Prof_DiscEnough" vbProcedure="false">'Plan profile'!$C$85</definedName>
    <definedName function="false" hidden="false" name="Prof_First" vbProcedure="false">'Plan profile'!$C$99</definedName>
    <definedName function="false" hidden="false" name="Prof_Full" vbProcedure="false">'Plan profile'!$C$106</definedName>
    <definedName function="false" hidden="false" name="Prof_H" vbProcedure="false">'Plan profile'!$C$113</definedName>
    <definedName function="false" hidden="false" name="Prof_KE" vbProcedure="false">'Plan profile'!$C$114</definedName>
    <definedName function="false" hidden="false" name="Prof_Key" vbProcedure="false">'Plan profile'!$B$23:$B$75</definedName>
    <definedName function="false" hidden="false" name="Prof_L2" vbProcedure="false">'Plan profile'!$C$96</definedName>
    <definedName function="false" hidden="false" name="Prof_Label" vbProcedure="false">'Plan profile'!$C$116</definedName>
    <definedName function="false" hidden="false" name="Prof_Level" vbProcedure="false">'Plan profile'!$C$115</definedName>
    <definedName function="false" hidden="false" name="Prof_Limit" vbProcedure="false">'Plan profile'!$C$117</definedName>
    <definedName function="false" hidden="false" name="Prof_LossLo" vbProcedure="false">'Plan profile'!$C$127</definedName>
    <definedName function="false" hidden="false" name="Prof_MisKey" vbProcedure="false">'Plan profile'!$C$130</definedName>
    <definedName function="false" hidden="false" name="Prof_NeedsProfile" vbProcedure="false">'Plan results'!$C$219</definedName>
    <definedName function="false" hidden="false" name="Prof_OtherAge" vbProcedure="false">'Plan profile'!$C$108</definedName>
    <definedName function="false" hidden="false" name="Prof_Personality" vbProcedure="false">'Plan profile'!$C$101</definedName>
    <definedName function="false" hidden="false" name="Prof_PotAge" vbProcedure="false">'Plan profile'!$C$107</definedName>
    <definedName function="false" hidden="false" name="Prof_Provisional" vbProcedure="false">'Plan profile'!$C$120</definedName>
    <definedName function="false" hidden="false" name="Prof_Q4L" vbProcedure="false">'Plan profile'!$C$98</definedName>
    <definedName function="false" hidden="false" name="Prof_Q4N" vbProcedure="false">'Plan profile'!$C$97</definedName>
    <definedName function="false" hidden="false" name="Prof_q6" vbProcedure="false">'Plan profile'!$C$102</definedName>
    <definedName function="false" hidden="false" name="Prof_q7" vbProcedure="false">'Plan profile'!$C$103</definedName>
    <definedName function="false" hidden="false" name="Prof_q8" vbProcedure="false">'Plan profile'!$C$104</definedName>
    <definedName function="false" hidden="false" name="Prof_q9" vbProcedure="false">'Plan profile'!$C$105</definedName>
    <definedName function="false" hidden="false" name="Prof_SA" vbProcedure="false">'Plan profile'!$C$86</definedName>
    <definedName function="false" hidden="false" name="Prof_SB" vbProcedure="false">'Plan profile'!$C$87</definedName>
    <definedName function="false" hidden="false" name="Prof_SC" vbProcedure="false">'Plan profile'!$C$89</definedName>
    <definedName function="false" hidden="false" name="Prof_SE" vbProcedure="false">'Plan profile'!$C$88</definedName>
    <definedName function="false" hidden="false" name="Prof_ShortT" vbProcedure="false">'Plan profile'!$C$126</definedName>
    <definedName function="false" hidden="false" name="Prof_SuggestU9" vbProcedure="false">'Plan profile'!$C$109</definedName>
    <definedName function="false" hidden="false" name="Prof_T" vbProcedure="false">'Plan profile'!$C$111</definedName>
    <definedName function="false" hidden="false" name="Prof_TA" vbProcedure="false">'Plan profile'!$C$91</definedName>
    <definedName function="false" hidden="false" name="Prof_TB" vbProcedure="false">'Plan profile'!$C$92</definedName>
    <definedName function="false" hidden="false" name="Prof_TC" vbProcedure="false">'Plan profile'!$C$94</definedName>
    <definedName function="false" hidden="false" name="Prof_TE" vbProcedure="false">'Plan profile'!$C$93</definedName>
    <definedName function="false" hidden="false" name="Prof_TermsAppetite" vbProcedure="false">'Plan profile'!$C$134</definedName>
    <definedName function="false" hidden="false" name="Prof_TermsBehaviour" vbProcedure="false">'Plan profile'!$C$133</definedName>
    <definedName function="false" hidden="false" name="Prof_TermsCapacity" vbProcedure="false">'Plan profile'!$C$135</definedName>
    <definedName function="false" hidden="false" name="Prof_TermsMindset" vbProcedure="false">'Plan profile'!$C$132</definedName>
    <definedName function="false" hidden="false" name="Prof_Thin" vbProcedure="false">'Plan profile'!$C$125</definedName>
    <definedName function="false" hidden="false" name="Prof_TiedN" vbProcedure="false">'Plan profile'!$C$95</definedName>
    <definedName function="false" hidden="false" name="Prof_Top" vbProcedure="false">'Plan profile'!$C$90</definedName>
    <definedName function="false" hidden="false" name="Prof_TypeKey" vbProcedure="false">'Plan profile'!$C$100</definedName>
    <definedName function="false" hidden="false" name="Prof_UmCount" vbProcedure="false">'Plan profile'!$C$79</definedName>
    <definedName function="false" hidden="false" name="Prof_UmLeft" vbProcedure="false">'Plan profile'!$C$83</definedName>
    <definedName function="false" hidden="false" name="Prof_UmLeftTxt" vbProcedure="false">'Plan profile'!$C$84</definedName>
    <definedName function="false" hidden="false" name="Prof_UmSec1" vbProcedure="false">'Plan profile'!$C$80</definedName>
    <definedName function="false" hidden="false" name="Prof_UmSec2" vbProcedure="false">'Plan profile'!$C$81</definedName>
    <definedName function="false" hidden="false" name="Prof_UmSec3" vbProcedure="false">'Plan profile'!$C$82</definedName>
    <definedName function="false" hidden="false" name="Prof_Wait" vbProcedure="false">'Plan profile'!$C$110</definedName>
    <definedName function="false" hidden="false" name="Prof_WantHi" vbProcedure="false">'Plan profile'!$C$121</definedName>
    <definedName function="false" hidden="false" name="Prof_WantLo" vbProcedure="false">'Plan profile'!$C$122</definedName>
    <definedName function="false" hidden="false" name="PRSI_Credit_Max" vbProcedure="false">Assumptions!$C$40</definedName>
    <definedName function="false" hidden="false" name="PRSI_Credit_Taper" vbProcedure="false">Assumptions!$C$42</definedName>
    <definedName function="false" hidden="false" name="PRSI_Credit_Top" vbProcedure="false">Assumptions!$C$41</definedName>
    <definedName function="false" hidden="false" name="PRSI_Free_Week" vbProcedure="false">Assumptions!$C$39</definedName>
    <definedName function="false" hidden="false" name="PRSI_Rate" vbProcedure="false">Assumptions!$C$37</definedName>
    <definedName function="false" hidden="false" name="PRSI_Rate_2026_Blend" vbProcedure="false">Assumptions!$C$38</definedName>
    <definedName function="false" hidden="false" name="PR_AEageMax" vbProcedure="false">'Plan pay &amp; tax'!$C$90</definedName>
    <definedName function="false" hidden="false" name="PR_AEageMin" vbProcedure="false">'Plan pay &amp; tax'!$C$89</definedName>
    <definedName function="false" hidden="false" name="PR_AEcap" vbProcedure="false">'Plan pay &amp; tax'!$C$92</definedName>
    <definedName function="false" hidden="false" name="PR_AEearnMin" vbProcedure="false">'Plan pay &amp; tax'!$C$91</definedName>
    <definedName function="false" hidden="false" name="PR_AEee" vbProcedure="false">'Plan pay &amp; tax'!$C$93</definedName>
    <definedName function="false" hidden="false" name="PR_AEer" vbProcedure="false">'Plan pay &amp; tax'!$C$94</definedName>
    <definedName function="false" hidden="false" name="PR_AEst" vbProcedure="false">'Plan pay &amp; tax'!$C$95</definedName>
    <definedName function="false" hidden="false" name="PR_AgeCr" vbProcedure="false">'Plan pay &amp; tax'!$C$21</definedName>
    <definedName function="false" hidden="false" name="PR_AgeCrAge" vbProcedure="false">'Plan pay &amp; tax'!$C$20</definedName>
    <definedName function="false" hidden="false" name="PR_AgeEx" vbProcedure="false">'Plan pay &amp; tax'!$C$22</definedName>
    <definedName function="false" hidden="false" name="PR_AgeExM" vbProcedure="false">'Plan pay &amp; tax'!$C$23</definedName>
    <definedName function="false" hidden="false" name="PR_AgeMarg" vbProcedure="false">'Plan pay &amp; tax'!$C$24</definedName>
    <definedName function="false" hidden="false" name="PR_ARF61" vbProcedure="false">'Plan pay &amp; tax'!$C$76</definedName>
    <definedName function="false" hidden="false" name="PR_ARF71" vbProcedure="false">'Plan pay &amp; tax'!$C$77</definedName>
    <definedName function="false" hidden="false" name="PR_ARFage1" vbProcedure="false">'Plan pay &amp; tax'!$C$101</definedName>
    <definedName function="false" hidden="false" name="PR_ARFage2" vbProcedure="false">'Plan pay &amp; tax'!$C$102</definedName>
    <definedName function="false" hidden="false" name="PR_ARFbig" vbProcedure="false">'Plan pay &amp; tax'!$C$79</definedName>
    <definedName function="false" hidden="false" name="PR_ARFbigRate" vbProcedure="false">'Plan pay &amp; tax'!$C$78</definedName>
    <definedName function="false" hidden="false" name="PR_BalDone" vbProcedure="false">'Plan pay &amp; tax'!$C$110</definedName>
    <definedName function="false" hidden="false" name="PR_Band" vbProcedure="false">'Plan pay &amp; tax'!$C$4</definedName>
    <definedName function="false" hidden="false" name="PR_BandM" vbProcedure="false">'Plan pay &amp; tax'!$C$6</definedName>
    <definedName function="false" hidden="false" name="PR_BandSPCCC" vbProcedure="false">'Plan pay &amp; tax'!$C$5</definedName>
    <definedName function="false" hidden="false" name="PR_Earliest" vbProcedure="false">'Plan pay &amp; tax'!$C$80</definedName>
    <definedName function="false" hidden="false" name="PR_EarnCap" vbProcedure="false">'Plan pay &amp; tax'!$C$66</definedName>
    <definedName function="false" hidden="false" name="PR_FbCard" vbProcedure="false">'Plan pay &amp; tax'!$C$113</definedName>
    <definedName function="false" hidden="false" name="PR_FbDrawFixed" vbProcedure="false">'Plan pay &amp; tax'!$C$114</definedName>
    <definedName function="false" hidden="false" name="PR_FbMortYears" vbProcedure="false">'Plan pay &amp; tax'!$C$116</definedName>
    <definedName function="false" hidden="false" name="PR_FbPenChg" vbProcedure="false">'Plan pay &amp; tax'!$C$117</definedName>
    <definedName function="false" hidden="false" name="PR_FbPlanEnd1" vbProcedure="false">'Plan pay &amp; tax'!$C$120</definedName>
    <definedName function="false" hidden="false" name="PR_FbPlanEnd2" vbProcedure="false">'Plan pay &amp; tax'!$C$121</definedName>
    <definedName function="false" hidden="false" name="PR_FbRetireAge" vbProcedure="false">'Plan pay &amp; tax'!$C$115</definedName>
    <definedName function="false" hidden="false" name="PR_FbSpOther" vbProcedure="false">'Plan pay &amp; tax'!$C$119</definedName>
    <definedName function="false" hidden="false" name="PR_FbSpPartly" vbProcedure="false">'Plan pay &amp; tax'!$C$118</definedName>
    <definedName function="false" hidden="false" name="PR_GoalMaxAge" vbProcedure="false">'Plan pay &amp; tax'!$C$106</definedName>
    <definedName function="false" hidden="false" name="PR_Good" vbProcedure="false">'Plan pay &amp; tax'!$C$124</definedName>
    <definedName function="false" hidden="false" name="PR_HCLimit" vbProcedure="false">'Plan pay &amp; tax'!$C$19</definedName>
    <definedName function="false" hidden="false" name="PR_HomeCarer" vbProcedure="false">'Plan pay &amp; tax'!$C$18</definedName>
    <definedName function="false" hidden="false" name="PR_LowPct" vbProcedure="false">'Plan pay &amp; tax'!$C$108</definedName>
    <definedName function="false" hidden="false" name="PR_LScap" vbProcedure="false">'Plan pay &amp; tax'!$C$69</definedName>
    <definedName function="false" hidden="false" name="PR_LSfree" vbProcedure="false">'Plan pay &amp; tax'!$C$68</definedName>
    <definedName function="false" hidden="false" name="PR_LSmax" vbProcedure="false">'Plan pay &amp; tax'!$C$67</definedName>
    <definedName function="false" hidden="false" name="PR_LSrate" vbProcedure="false">'Plan pay &amp; tax'!$C$70</definedName>
    <definedName function="false" hidden="false" name="PR_MinShort" vbProcedure="false">'Plan pay &amp; tax'!$C$111</definedName>
    <definedName function="false" hidden="false" name="PR_Nudge" vbProcedure="false">'Plan pay &amp; tax'!$C$125</definedName>
    <definedName function="false" hidden="false" name="PR_NudgeStep" vbProcedure="false">'Plan pay &amp; tax'!$C$109</definedName>
    <definedName function="false" hidden="false" name="PR_Over80" vbProcedure="false">'Plan pay &amp; tax'!$C$84</definedName>
    <definedName function="false" hidden="false" name="PR_Over80Age" vbProcedure="false">'Plan pay &amp; tax'!$C$103</definedName>
    <definedName function="false" hidden="false" name="PR_PAYE" vbProcedure="false">'Plan pay &amp; tax'!$C$12</definedName>
    <definedName function="false" hidden="false" name="PR_PAYEcap" vbProcedure="false">'Plan pay &amp; tax'!$C$13</definedName>
    <definedName function="false" hidden="false" name="PR_PctCap" vbProcedure="false">'Plan pay &amp; tax'!$C$107</definedName>
    <definedName function="false" hidden="false" name="PR_Personal" vbProcedure="false">'Plan pay &amp; tax'!$C$10</definedName>
    <definedName function="false" hidden="false" name="PR_PersonalM" vbProcedure="false">'Plan pay &amp; tax'!$C$11</definedName>
    <definedName function="false" hidden="false" name="PR_PRSIcreditMax" vbProcedure="false">'Plan pay &amp; tax'!$C$48</definedName>
    <definedName function="false" hidden="false" name="PR_PRSIcreditTo" vbProcedure="false">'Plan pay &amp; tax'!$C$49</definedName>
    <definedName function="false" hidden="false" name="PR_PRSIend" vbProcedure="false">'Plan pay &amp; tax'!$C$51</definedName>
    <definedName function="false" hidden="false" name="PR_PRSIfree" vbProcedure="false">'Plan pay &amp; tax'!$C$47</definedName>
    <definedName function="false" hidden="false" name="PR_PRSIr0" vbProcedure="false">'Plan pay &amp; tax'!$C$40</definedName>
    <definedName function="false" hidden="false" name="PR_PRSIr1" vbProcedure="false">'Plan pay &amp; tax'!$C$41</definedName>
    <definedName function="false" hidden="false" name="PR_PRSIr2" vbProcedure="false">'Plan pay &amp; tax'!$C$42</definedName>
    <definedName function="false" hidden="false" name="PR_PRSIr3" vbProcedure="false">'Plan pay &amp; tax'!$C$43</definedName>
    <definedName function="false" hidden="false" name="PR_PRSIsMin" vbProcedure="false">'Plan pay &amp; tax'!$C$53</definedName>
    <definedName function="false" hidden="false" name="PR_PRSIsMinInc" vbProcedure="false">'Plan pay &amp; tax'!$C$52</definedName>
    <definedName function="false" hidden="false" name="PR_PRSIt1" vbProcedure="false">'Plan pay &amp; tax'!$C$44</definedName>
    <definedName function="false" hidden="false" name="PR_PRSIt2" vbProcedure="false">'Plan pay &amp; tax'!$C$45</definedName>
    <definedName function="false" hidden="false" name="PR_PRSIt3" vbProcedure="false">'Plan pay &amp; tax'!$C$46</definedName>
    <definedName function="false" hidden="false" name="PR_PRSItaper" vbProcedure="false">'Plan pay &amp; tax'!$C$50</definedName>
    <definedName function="false" hidden="false" name="PR_PRSIunearned" vbProcedure="false">'Plan pay &amp; tax'!$C$54</definedName>
    <definedName function="false" hidden="false" name="PR_QA66" vbProcedure="false">'Plan pay &amp; tax'!$C$85</definedName>
    <definedName function="false" hidden="false" name="PR_QAunder" vbProcedure="false">'Plan pay &amp; tax'!$C$86</definedName>
    <definedName function="false" hidden="false" name="PR_r1" vbProcedure="false">'Plan pay &amp; tax'!$C$8</definedName>
    <definedName function="false" hidden="false" name="PR_r2" vbProcedure="false">'Plan pay &amp; tax'!$C$9</definedName>
    <definedName function="false" hidden="false" name="PR_RelA1" vbProcedure="false">'Plan pay &amp; tax'!$C$55</definedName>
    <definedName function="false" hidden="false" name="PR_RelA2" vbProcedure="false">'Plan pay &amp; tax'!$C$57</definedName>
    <definedName function="false" hidden="false" name="PR_RelA3" vbProcedure="false">'Plan pay &amp; tax'!$C$59</definedName>
    <definedName function="false" hidden="false" name="PR_RelA4" vbProcedure="false">'Plan pay &amp; tax'!$C$61</definedName>
    <definedName function="false" hidden="false" name="PR_RelA5" vbProcedure="false">'Plan pay &amp; tax'!$C$63</definedName>
    <definedName function="false" hidden="false" name="PR_RelP1" vbProcedure="false">'Plan pay &amp; tax'!$C$56</definedName>
    <definedName function="false" hidden="false" name="PR_RelP2" vbProcedure="false">'Plan pay &amp; tax'!$C$58</definedName>
    <definedName function="false" hidden="false" name="PR_RelP3" vbProcedure="false">'Plan pay &amp; tax'!$C$60</definedName>
    <definedName function="false" hidden="false" name="PR_RelP4" vbProcedure="false">'Plan pay &amp; tax'!$C$62</definedName>
    <definedName function="false" hidden="false" name="PR_RelP5" vbProcedure="false">'Plan pay &amp; tax'!$C$64</definedName>
    <definedName function="false" hidden="false" name="PR_RelP6" vbProcedure="false">'Plan pay &amp; tax'!$C$65</definedName>
    <definedName function="false" hidden="false" name="PR_Rent" vbProcedure="false">'Plan pay &amp; tax'!$C$14</definedName>
    <definedName function="false" hidden="false" name="PR_RentJoint" vbProcedure="false">'Plan pay &amp; tax'!$C$15</definedName>
    <definedName function="false" hidden="false" name="PR_RentLast" vbProcedure="false">'Plan pay &amp; tax'!$C$16</definedName>
    <definedName function="false" hidden="false" name="PR_SaveB1" vbProcedure="false">'Plan pay &amp; tax'!$C$96</definedName>
    <definedName function="false" hidden="false" name="PR_SaveB2" vbProcedure="false">'Plan pay &amp; tax'!$C$97</definedName>
    <definedName function="false" hidden="false" name="PR_SaveB3" vbProcedure="false">'Plan pay &amp; tax'!$C$98</definedName>
    <definedName function="false" hidden="false" name="PR_SaveB4" vbProcedure="false">'Plan pay &amp; tax'!$C$99</definedName>
    <definedName function="false" hidden="false" name="PR_SFT2026" vbProcedure="false">'Plan pay &amp; tax'!$C$71</definedName>
    <definedName function="false" hidden="false" name="PR_SFT2027" vbProcedure="false">'Plan pay &amp; tax'!$C$72</definedName>
    <definedName function="false" hidden="false" name="PR_SFT2028" vbProcedure="false">'Plan pay &amp; tax'!$C$73</definedName>
    <definedName function="false" hidden="false" name="PR_SFT2029" vbProcedure="false">'Plan pay &amp; tax'!$C$74</definedName>
    <definedName function="false" hidden="false" name="PR_SFTfrom" vbProcedure="false">'Plan pay &amp; tax'!$C$104</definedName>
    <definedName function="false" hidden="false" name="PR_SFTrate" vbProcedure="false">'Plan pay &amp; tax'!$C$75</definedName>
    <definedName function="false" hidden="false" name="PR_SFTto" vbProcedure="false">'Plan pay &amp; tax'!$C$105</definedName>
    <definedName function="false" hidden="false" name="PR_ShareVaries" vbProcedure="false">'Plan pay &amp; tax'!$C$100</definedName>
    <definedName function="false" hidden="false" name="PR_Short1" vbProcedure="false">'Plan pay &amp; tax'!$C$122</definedName>
    <definedName function="false" hidden="false" name="PR_Short2" vbProcedure="false">'Plan pay &amp; tax'!$C$123</definedName>
    <definedName function="false" hidden="false" name="PR_SortBig" vbProcedure="false">'Plan pay &amp; tax'!$C$112</definedName>
    <definedName function="false" hidden="false" name="PR_SPage" vbProcedure="false">'Plan pay &amp; tax'!$C$83</definedName>
    <definedName function="false" hidden="false" name="PR_SPCCC" vbProcedure="false">'Plan pay &amp; tax'!$C$17</definedName>
    <definedName function="false" hidden="false" name="PR_SPfull" vbProcedure="false">'Plan pay &amp; tax'!$C$87</definedName>
    <definedName function="false" hidden="false" name="PR_SPmin" vbProcedure="false">'Plan pay &amp; tax'!$C$88</definedName>
    <definedName function="false" hidden="false" name="PR_SPweek" vbProcedure="false">'Plan pay &amp; tax'!$C$81</definedName>
    <definedName function="false" hidden="false" name="PR_StartSwitch" vbProcedure="false">'Plan pay &amp; tax'!$C$126</definedName>
    <definedName function="false" hidden="false" name="PR_Uplift" vbProcedure="false">'Plan pay &amp; tax'!$C$7</definedName>
    <definedName function="false" hidden="false" name="PR_USCb1" vbProcedure="false">'Plan pay &amp; tax'!$C$26</definedName>
    <definedName function="false" hidden="false" name="PR_USCb2" vbProcedure="false">'Plan pay &amp; tax'!$C$27</definedName>
    <definedName function="false" hidden="false" name="PR_USCb3" vbProcedure="false">'Plan pay &amp; tax'!$C$28</definedName>
    <definedName function="false" hidden="false" name="PR_USCex" vbProcedure="false">'Plan pay &amp; tax'!$C$25</definedName>
    <definedName function="false" hidden="false" name="PR_USCr1" vbProcedure="false">'Plan pay &amp; tax'!$C$29</definedName>
    <definedName function="false" hidden="false" name="PR_USCr2" vbProcedure="false">'Plan pay &amp; tax'!$C$30</definedName>
    <definedName function="false" hidden="false" name="PR_USCr3" vbProcedure="false">'Plan pay &amp; tax'!$C$31</definedName>
    <definedName function="false" hidden="false" name="PR_USCr4" vbProcedure="false">'Plan pay &amp; tax'!$C$32</definedName>
    <definedName function="false" hidden="false" name="PR_USCredAge" vbProcedure="false">'Plan pay &amp; tax'!$C$33</definedName>
    <definedName function="false" hidden="false" name="PR_USCredB1" vbProcedure="false">'Plan pay &amp; tax'!$C$35</definedName>
    <definedName function="false" hidden="false" name="PR_USCredMax" vbProcedure="false">'Plan pay &amp; tax'!$C$34</definedName>
    <definedName function="false" hidden="false" name="PR_USCredR1" vbProcedure="false">'Plan pay &amp; tax'!$C$36</definedName>
    <definedName function="false" hidden="false" name="PR_USCredR2" vbProcedure="false">'Plan pay &amp; tax'!$C$37</definedName>
    <definedName function="false" hidden="false" name="PR_USCse" vbProcedure="false">'Plan pay &amp; tax'!$C$38</definedName>
    <definedName function="false" hidden="false" name="PR_USCseOver" vbProcedure="false">'Plan pay &amp; tax'!$C$39</definedName>
    <definedName function="false" hidden="false" name="PR_Weeks" vbProcedure="false">'Plan pay &amp; tax'!$C$82</definedName>
    <definedName function="false" hidden="false" name="Rate_Higher" vbProcedure="false">Assumptions!$C$15</definedName>
    <definedName function="false" hidden="false" name="Rate_Standard" vbProcedure="false">Assumptions!$C$14</definedName>
    <definedName function="false" hidden="false" name="Reader_Confidence_Min" vbProcedure="false">Assumptions!$C$95</definedName>
    <definedName function="false" hidden="false" name="Relief_Age_From" vbProcedure="false">Assumptions!$C$46:$C$51</definedName>
    <definedName function="false" hidden="false" name="Relief_Age_Pct" vbProcedure="false">Assumptions!$D$46:$D$51</definedName>
    <definedName function="false" hidden="false" name="Relief_Earnings_Cap" vbProcedure="false">Assumptions!$C$52</definedName>
    <definedName function="false" hidden="false" name="Rep_AfterReliefM" vbProcedure="false">'Report spec'!$D$48</definedName>
    <definedName function="false" hidden="false" name="Rep_GrossMoreM" vbProcedure="false">'Report spec'!$D$49</definedName>
    <definedName function="false" hidden="false" name="Rep_GrossMoreM2" vbProcedure="false">'Report spec'!$D$50</definedName>
    <definedName function="false" hidden="false" name="Rep_LimitM" vbProcedure="false">'Report spec'!$D$47</definedName>
    <definedName function="false" hidden="false" name="Rep_MoreM" vbProcedure="false">'Report spec'!$D$44</definedName>
    <definedName function="false" hidden="false" name="Rep_MoreM2" vbProcedure="false">'Report spec'!$D$45</definedName>
    <definedName function="false" hidden="false" name="Rep_SharePct" vbProcedure="false">'Report spec'!$D$41</definedName>
    <definedName function="false" hidden="false" name="Rep_Step" vbProcedure="false">'Report spec'!$D$42</definedName>
    <definedName function="false" hidden="false" name="Rep_TakeHomeM" vbProcedure="false">'Report spec'!$D$43</definedName>
    <definedName function="false" hidden="false" name="Rep_TaxRate" vbProcedure="false">'Report spec'!$D$46</definedName>
    <definedName function="false" hidden="false" name="Req_Count" vbProcedure="false">'Plan results'!$C$26</definedName>
    <definedName function="false" hidden="false" name="Req_Got" vbProcedure="false">'Plan results'!$C$28</definedName>
    <definedName function="false" hidden="false" name="Req_Heading" vbProcedure="false">'Plan results'!$C$27</definedName>
    <definedName function="false" hidden="false" name="Retire_Help" vbProcedure="false">'Plan results'!$C$159</definedName>
    <definedName function="false" hidden="false" name="Retire_Max" vbProcedure="false">'Plan results'!$C$158</definedName>
    <definedName function="false" hidden="false" name="Retire_Min" vbProcedure="false">'Plan results'!$C$157</definedName>
    <definedName function="false" hidden="false" name="Retire_Note" vbProcedure="false">'Plan results'!$C$161</definedName>
    <definedName function="false" hidden="false" name="Retire_RangeText" vbProcedure="false">'Plan results'!$C$160</definedName>
    <definedName function="false" hidden="false" name="Ret_IncomeMonth" vbProcedure="false">'Plan results'!$C$46</definedName>
    <definedName function="false" hidden="false" name="Ret_LumpNet" vbProcedure="false">'Plan results'!$C$47</definedName>
    <definedName function="false" hidden="false" name="Ret_PotNominal" vbProcedure="false">'Plan results'!$C$45</definedName>
    <definedName function="false" hidden="false" name="Ret_Year" vbProcedure="false">'Plan results'!$C$44</definedName>
    <definedName function="false" hidden="false" name="RG_Amount" vbProcedure="false">'Plan goals'!$D$50</definedName>
    <definedName function="false" hidden="false" name="RG_Exists" vbProcedure="false">'Plan goals'!$D$48</definedName>
    <definedName function="false" hidden="false" name="RG_Row" vbProcedure="false">'Plan goals'!$D$49</definedName>
    <definedName function="false" hidden="false" name="Risk_Names" vbProcedure="false">Assumptions!$C$104:$C$106</definedName>
    <definedName function="false" hidden="false" name="Road_FirstShortAge" vbProcedure="false">'Plan results'!$C$201</definedName>
    <definedName function="false" hidden="false" name="Road_ShortYears" vbProcedure="false">'Plan results'!$C$202</definedName>
    <definedName function="false" hidden="false" name="Rough_Show" vbProcedure="false">'Plan results'!$C$154</definedName>
    <definedName function="false" hidden="false" name="Rules_Year" vbProcedure="false">Assumptions!$C$125</definedName>
    <definedName function="false" hidden="false" name="Rules_Year_Next" vbProcedure="false">Assumptions!$C$126</definedName>
    <definedName function="false" hidden="false" name="Save_AutoM" vbProcedure="false">'Plan results'!$C$7</definedName>
    <definedName function="false" hidden="false" name="Save_SaveM" vbProcedure="false">'Plan results'!$C$6</definedName>
    <definedName function="false" hidden="false" name="Save_SaveM_Base" vbProcedure="false">'Plan results'!$C$186</definedName>
    <definedName function="false" hidden="false" name="Save_SurplusM" vbProcedure="false">'Plan results'!$C$5</definedName>
    <definedName function="false" hidden="false" name="Scheme_Earliest_Age" vbProcedure="false">Assumptions!$C$127</definedName>
    <definedName function="false" hidden="false" name="SD_Band_1" vbProcedure="false">Assumptions!$C$85</definedName>
    <definedName function="false" hidden="false" name="SD_Band_2" vbProcedure="false">Assumptions!$C$87</definedName>
    <definedName function="false" hidden="false" name="SD_Rate_1" vbProcedure="false">Assumptions!$C$84</definedName>
    <definedName function="false" hidden="false" name="SD_Rate_2" vbProcedure="false">Assumptions!$C$86</definedName>
    <definedName function="false" hidden="false" name="SD_Rate_3" vbProcedure="false">Assumptions!$C$88</definedName>
    <definedName function="false" hidden="false" name="Set_accessAge" vbProcedure="false">Settings!$C$59</definedName>
    <definedName function="false" hidden="false" name="Set_accessAge_Label" vbProcedure="false">Settings!$G$59</definedName>
    <definedName function="false" hidden="false" name="Set_bands" vbProcedure="false">Settings!$C$39</definedName>
    <definedName function="false" hidden="false" name="Set_bands_Label" vbProcedure="false">Settings!$G$39</definedName>
    <definedName function="false" hidden="false" name="Set_budget" vbProcedure="false">Settings!$C$37</definedName>
    <definedName function="false" hidden="false" name="Set_budget_1" vbProcedure="false">Settings!$C$37</definedName>
    <definedName function="false" hidden="false" name="Set_budget_2" vbProcedure="false">Settings!$D$37</definedName>
    <definedName function="false" hidden="false" name="Set_budget_3" vbProcedure="false">Settings!$E$37</definedName>
    <definedName function="false" hidden="false" name="Set_budget_Label" vbProcedure="false">Settings!$G$37</definedName>
    <definedName function="false" hidden="false" name="Set_buyFees" vbProcedure="false">Settings!$C$50</definedName>
    <definedName function="false" hidden="false" name="Set_buyFees_Label" vbProcedure="false">Settings!$G$50</definedName>
    <definedName function="false" hidden="false" name="Set_buyFees_Published" vbProcedure="false">Settings!$G$50</definedName>
    <definedName function="false" hidden="false" name="Set_cardRate" vbProcedure="false">Settings!$C$48</definedName>
    <definedName function="false" hidden="false" name="Set_cardRate_Label" vbProcedure="false">Settings!$G$48</definedName>
    <definedName function="false" hidden="false" name="Set_cardRate_Published" vbProcedure="false">Settings!$G$48</definedName>
    <definedName function="false" hidden="false" name="Set_cash" vbProcedure="false">Settings!$C$10</definedName>
    <definedName function="false" hidden="false" name="Set_cashYears" vbProcedure="false">Settings!$C$27</definedName>
    <definedName function="false" hidden="false" name="Set_cashYears_Label" vbProcedure="false">Settings!$G$27</definedName>
    <definedName function="false" hidden="false" name="Set_cash_Cautious" vbProcedure="false">Settings!$F$10</definedName>
    <definedName function="false" hidden="false" name="Set_cash_Label" vbProcedure="false">Settings!$G$10</definedName>
    <definedName function="false" hidden="false" name="Set_ddTiming" vbProcedure="false">Settings!$C$42</definedName>
    <definedName function="false" hidden="false" name="Set_ddTiming_Label" vbProcedure="false">Settings!$G$42</definedName>
    <definedName function="false" hidden="false" name="Set_depRate" vbProcedure="false">Settings!$C$49</definedName>
    <definedName function="false" hidden="false" name="Set_depRate_Label" vbProcedure="false">Settings!$G$49</definedName>
    <definedName function="false" hidden="false" name="Set_depRate_Published" vbProcedure="false">Settings!$G$49</definedName>
    <definedName function="false" hidden="false" name="Set_drawRule" vbProcedure="false">Settings!$C$41</definedName>
    <definedName function="false" hidden="false" name="Set_drawRule_Label" vbProcedure="false">Settings!$G$41</definedName>
    <definedName function="false" hidden="false" name="Set_fundChg" vbProcedure="false">Settings!$C$51</definedName>
    <definedName function="false" hidden="false" name="Set_fundChg_Label" vbProcedure="false">Settings!$G$51</definedName>
    <definedName function="false" hidden="false" name="Set_fundChg_Published" vbProcedure="false">Settings!$G$51</definedName>
    <definedName function="false" hidden="false" name="Set_g_lifeMen65" vbProcedure="false">Settings!$C$53</definedName>
    <definedName function="false" hidden="false" name="Set_g_lifeMen65_Label" vbProcedure="false">Settings!$G$53</definedName>
    <definedName function="false" hidden="false" name="Set_g_lifeWomen65" vbProcedure="false">Settings!$C$54</definedName>
    <definedName function="false" hidden="false" name="Set_g_lifeWomen65_Label" vbProcedure="false">Settings!$G$54</definedName>
    <definedName function="false" hidden="false" name="Set_houseGrow" vbProcedure="false">Settings!$C$17</definedName>
    <definedName function="false" hidden="false" name="Set_houseGrow_Label" vbProcedure="false">Settings!$G$17</definedName>
    <definedName function="false" hidden="false" name="Set_infl" vbProcedure="false">Settings!$C$8</definedName>
    <definedName function="false" hidden="false" name="Set_inflNow" vbProcedure="false">Settings!$C$56</definedName>
    <definedName function="false" hidden="false" name="Set_infl_Label" vbProcedure="false">Settings!$G$8</definedName>
    <definedName function="false" hidden="false" name="Set_inv" vbProcedure="false">Settings!$C$11</definedName>
    <definedName function="false" hidden="false" name="Set_investShare" vbProcedure="false">Settings!$C$28</definedName>
    <definedName function="false" hidden="false" name="Set_investShare_Label" vbProcedure="false">Settings!$G$28</definedName>
    <definedName function="false" hidden="false" name="Set_invGross" vbProcedure="false">Settings!$C$12</definedName>
    <definedName function="false" hidden="false" name="Set_invGross_Label" vbProcedure="false">Settings!$G$12</definedName>
    <definedName function="false" hidden="false" name="Set_inv_Cautious" vbProcedure="false">Settings!$F$11</definedName>
    <definedName function="false" hidden="false" name="Set_inv_Label" vbProcedure="false">Settings!$G$11</definedName>
    <definedName function="false" hidden="false" name="Set_lifeShare" vbProcedure="false">Settings!$C$32</definedName>
    <definedName function="false" hidden="false" name="Set_lifeShare_Label" vbProcedure="false">Settings!$G$32</definedName>
    <definedName function="false" hidden="false" name="Set_lifeYears" vbProcedure="false">Settings!$C$33</definedName>
    <definedName function="false" hidden="false" name="Set_lifeYears_Label" vbProcedure="false">Settings!$G$33</definedName>
    <definedName function="false" hidden="false" name="Set_loanRate" vbProcedure="false">Settings!$C$47</definedName>
    <definedName function="false" hidden="false" name="Set_loanRate_Label" vbProcedure="false">Settings!$G$47</definedName>
    <definedName function="false" hidden="false" name="Set_loanRate_Published" vbProcedure="false">Settings!$G$47</definedName>
    <definedName function="false" hidden="false" name="Set_lumpSum" vbProcedure="false">Settings!$C$23</definedName>
    <definedName function="false" hidden="false" name="Set_lumpSum_Label" vbProcedure="false">Settings!$G$23</definedName>
    <definedName function="false" hidden="false" name="Set_mortRate" vbProcedure="false">Settings!$C$46</definedName>
    <definedName function="false" hidden="false" name="Set_mortRate_Label" vbProcedure="false">Settings!$G$46</definedName>
    <definedName function="false" hidden="false" name="Set_mortRate_Published" vbProcedure="false">Settings!$G$46</definedName>
    <definedName function="false" hidden="false" name="Set_noAnswer" vbProcedure="false">Settings!$C$30</definedName>
    <definedName function="false" hidden="false" name="Set_noAnswer_Label" vbProcedure="false">Settings!$G$30</definedName>
    <definedName function="false" hidden="false" name="Set_ownShare" vbProcedure="false">Settings!$C$20</definedName>
    <definedName function="false" hidden="false" name="Set_ownShare_Label" vbProcedure="false">Settings!$G$20</definedName>
    <definedName function="false" hidden="false" name="Set_pen" vbProcedure="false">Settings!$C$13</definedName>
    <definedName function="false" hidden="false" name="Set_penRet" vbProcedure="false">Settings!$C$14</definedName>
    <definedName function="false" hidden="false" name="Set_penRet_Cautious" vbProcedure="false">Settings!$F$14</definedName>
    <definedName function="false" hidden="false" name="Set_penRet_Label" vbProcedure="false">Settings!$G$14</definedName>
    <definedName function="false" hidden="false" name="Set_pen_Cautious" vbProcedure="false">Settings!$F$13</definedName>
    <definedName function="false" hidden="false" name="Set_pen_Label" vbProcedure="false">Settings!$G$13</definedName>
    <definedName function="false" hidden="false" name="Set_rentRise" vbProcedure="false">Settings!$C$16</definedName>
    <definedName function="false" hidden="false" name="Set_rentRise_Label" vbProcedure="false">Settings!$G$16</definedName>
    <definedName function="false" hidden="false" name="Set_retireMult" vbProcedure="false">Settings!$C$21</definedName>
    <definedName function="false" hidden="false" name="Set_retireMult_Label" vbProcedure="false">Settings!$G$21</definedName>
    <definedName function="false" hidden="false" name="Set_retireSpend" vbProcedure="false">Settings!$C$22</definedName>
    <definedName function="false" hidden="false" name="Set_retireSpend_Label" vbProcedure="false">Settings!$G$22</definedName>
    <definedName function="false" hidden="false" name="Set_riskMu" vbProcedure="false">Settings!$C$35</definedName>
    <definedName function="false" hidden="false" name="Set_riskMu_1" vbProcedure="false">Settings!$C$35</definedName>
    <definedName function="false" hidden="false" name="Set_riskMu_2" vbProcedure="false">Settings!$D$35</definedName>
    <definedName function="false" hidden="false" name="Set_riskMu_3" vbProcedure="false">Settings!$E$35</definedName>
    <definedName function="false" hidden="false" name="Set_riskMu_Label" vbProcedure="false">Settings!$G$35</definedName>
    <definedName function="false" hidden="false" name="Set_riskVol" vbProcedure="false">Settings!$C$36</definedName>
    <definedName function="false" hidden="false" name="Set_riskVol_1" vbProcedure="false">Settings!$C$36</definedName>
    <definedName function="false" hidden="false" name="Set_riskVol_2" vbProcedure="false">Settings!$D$36</definedName>
    <definedName function="false" hidden="false" name="Set_riskVol_3" vbProcedure="false">Settings!$E$36</definedName>
    <definedName function="false" hidden="false" name="Set_riskVol_Label" vbProcedure="false">Settings!$G$36</definedName>
    <definedName function="false" hidden="false" name="Set_safetyMonths" vbProcedure="false">Settings!$C$25</definedName>
    <definedName function="false" hidden="false" name="Set_safetyMonthsTwo" vbProcedure="false">Settings!$C$26</definedName>
    <definedName function="false" hidden="false" name="Set_safetyMonthsTwo_Label" vbProcedure="false">Settings!$G$26</definedName>
    <definedName function="false" hidden="false" name="Set_safetyMonths_Label" vbProcedure="false">Settings!$G$25</definedName>
    <definedName function="false" hidden="false" name="Set_saveShare" vbProcedure="false">Settings!$C$29</definedName>
    <definedName function="false" hidden="false" name="Set_saveShare_Label" vbProcedure="false">Settings!$G$29</definedName>
    <definedName function="false" hidden="false" name="Set_spGrow" vbProcedure="false">Settings!$C$40</definedName>
    <definedName function="false" hidden="false" name="Set_spGrow_Label" vbProcedure="false">Settings!$G$40</definedName>
    <definedName function="false" hidden="false" name="Set_style" vbProcedure="false">Settings!$C$44</definedName>
    <definedName function="false" hidden="false" name="Set_style_Label" vbProcedure="false">Settings!$G$44</definedName>
    <definedName function="false" hidden="false" name="Set_upkeep" vbProcedure="false">Settings!$C$18</definedName>
    <definedName function="false" hidden="false" name="Set_upkeep_Label" vbProcedure="false">Settings!$G$18</definedName>
    <definedName function="false" hidden="false" name="Set_wage" vbProcedure="false">Settings!$C$9</definedName>
    <definedName function="false" hidden="false" name="Set_wage_Cautious" vbProcedure="false">Settings!$F$9</definedName>
    <definedName function="false" hidden="false" name="Set_wage_Label" vbProcedure="false">Settings!$G$9</definedName>
    <definedName function="false" hidden="false" name="Set_waitYears" vbProcedure="false">Settings!$C$43</definedName>
    <definedName function="false" hidden="false" name="Set_waitYears_Label" vbProcedure="false">Settings!$G$43</definedName>
    <definedName function="false" hidden="false" name="SFT_2026" vbProcedure="false">Assumptions!$C$57</definedName>
    <definedName function="false" hidden="false" name="SFT_Tax" vbProcedure="false">Assumptions!$C$58</definedName>
    <definedName function="false" hidden="false" name="Shares_For_Balanced" vbProcedure="false">Assumptions!$C$93</definedName>
    <definedName function="false" hidden="false" name="Shares_For_Growth" vbProcedure="false">Assumptions!$C$92</definedName>
    <definedName function="false" hidden="false" name="Slip_Count" vbProcedure="false">'Plan results'!$C$96</definedName>
    <definedName function="false" hidden="false" name="Slip_Names" vbProcedure="false">'Plan results'!$C$97</definedName>
    <definedName function="false" hidden="false" name="Slot10_Age" vbProcedure="false">'Plan goals'!$G$63</definedName>
    <definedName function="false" hidden="false" name="Slot10_Amount" vbProcedure="false">'Plan goals'!$H$63</definedName>
    <definedName function="false" hidden="false" name="Slot10_AvgM" vbProcedure="false">'Plan goals'!$M$96</definedName>
    <definedName function="false" hidden="false" name="Slot10_BufPot" vbProcedure="false">'Plan goals'!$O$63</definedName>
    <definedName function="false" hidden="false" name="Slot10_Cost" vbProcedure="false">'Plan goals'!$L$63</definedName>
    <definedName function="false" hidden="false" name="Slot10_IsMfree" vbProcedure="false">'Plan goals'!$P$63</definedName>
    <definedName function="false" hidden="false" name="Slot10_IsWG" vbProcedure="false">'Plan goals'!$Q$63</definedName>
    <definedName function="false" hidden="false" name="Slot10_Key" vbProcedure="false">'Plan goals'!$E$63</definedName>
    <definedName function="false" hidden="false" name="Slot10_Kind" vbProcedure="false">'Plan goals'!$F$63</definedName>
    <definedName function="false" hidden="false" name="Slot10_N" vbProcedure="false">'Plan goals'!$J$63</definedName>
    <definedName function="false" hidden="false" name="Slot10_NeedM" vbProcedure="false">'Plan goals'!$K$96</definedName>
    <definedName function="false" hidden="false" name="Slot10_NowM" vbProcedure="false">'Plan goals'!$L$96</definedName>
    <definedName function="false" hidden="false" name="Slot10_On" vbProcedure="false">'Plan goals'!$D$63</definedName>
    <definedName function="false" hidden="false" name="Slot10_Paid" vbProcedure="false">'Plan goals'!$C$96</definedName>
    <definedName function="false" hidden="false" name="Slot10_Pct" vbProcedure="false">'Plan goals'!$E$96</definedName>
    <definedName function="false" hidden="false" name="Slot10_PctLow" vbProcedure="false">'Plan goals'!$F$96</definedName>
    <definedName function="false" hidden="false" name="Slot10_Pot0" vbProcedure="false">'Plan goals'!$X$63</definedName>
    <definedName function="false" hidden="false" name="Slot10_PotFree" vbProcedure="false">'Plan goals'!$N$63</definedName>
    <definedName function="false" hidden="false" name="Slot10_Rate" vbProcedure="false">'Plan goals'!$K$63</definedName>
    <definedName function="false" hidden="false" name="Slot10_Saved" vbProcedure="false">'Plan goals'!$I$63</definedName>
    <definedName function="false" hidden="false" name="Slot10_SpendLike" vbProcedure="false">'Plan goals'!$M$63</definedName>
    <definedName function="false" hidden="false" name="Slot11_Age" vbProcedure="false">'Plan goals'!$G$64</definedName>
    <definedName function="false" hidden="false" name="Slot11_Amount" vbProcedure="false">'Plan goals'!$H$64</definedName>
    <definedName function="false" hidden="false" name="Slot11_AvgM" vbProcedure="false">'Plan goals'!$M$97</definedName>
    <definedName function="false" hidden="false" name="Slot11_BufPot" vbProcedure="false">'Plan goals'!$O$64</definedName>
    <definedName function="false" hidden="false" name="Slot11_Cost" vbProcedure="false">'Plan goals'!$L$64</definedName>
    <definedName function="false" hidden="false" name="Slot11_IsMfree" vbProcedure="false">'Plan goals'!$P$64</definedName>
    <definedName function="false" hidden="false" name="Slot11_IsWG" vbProcedure="false">'Plan goals'!$Q$64</definedName>
    <definedName function="false" hidden="false" name="Slot11_Key" vbProcedure="false">'Plan goals'!$E$64</definedName>
    <definedName function="false" hidden="false" name="Slot11_Kind" vbProcedure="false">'Plan goals'!$F$64</definedName>
    <definedName function="false" hidden="false" name="Slot11_N" vbProcedure="false">'Plan goals'!$J$64</definedName>
    <definedName function="false" hidden="false" name="Slot11_NeedM" vbProcedure="false">'Plan goals'!$K$97</definedName>
    <definedName function="false" hidden="false" name="Slot11_NowM" vbProcedure="false">'Plan goals'!$L$97</definedName>
    <definedName function="false" hidden="false" name="Slot11_On" vbProcedure="false">'Plan goals'!$D$64</definedName>
    <definedName function="false" hidden="false" name="Slot11_Paid" vbProcedure="false">'Plan goals'!$C$97</definedName>
    <definedName function="false" hidden="false" name="Slot11_Pct" vbProcedure="false">'Plan goals'!$E$97</definedName>
    <definedName function="false" hidden="false" name="Slot11_PctLow" vbProcedure="false">'Plan goals'!$F$97</definedName>
    <definedName function="false" hidden="false" name="Slot11_Pot0" vbProcedure="false">'Plan goals'!$X$64</definedName>
    <definedName function="false" hidden="false" name="Slot11_PotFree" vbProcedure="false">'Plan goals'!$N$64</definedName>
    <definedName function="false" hidden="false" name="Slot11_Rate" vbProcedure="false">'Plan goals'!$K$64</definedName>
    <definedName function="false" hidden="false" name="Slot11_Saved" vbProcedure="false">'Plan goals'!$I$64</definedName>
    <definedName function="false" hidden="false" name="Slot11_SpendLike" vbProcedure="false">'Plan goals'!$M$64</definedName>
    <definedName function="false" hidden="false" name="Slot12_Age" vbProcedure="false">'Plan goals'!$G$65</definedName>
    <definedName function="false" hidden="false" name="Slot12_Amount" vbProcedure="false">'Plan goals'!$H$65</definedName>
    <definedName function="false" hidden="false" name="Slot12_AvgM" vbProcedure="false">'Plan goals'!$M$98</definedName>
    <definedName function="false" hidden="false" name="Slot12_BufPot" vbProcedure="false">'Plan goals'!$O$65</definedName>
    <definedName function="false" hidden="false" name="Slot12_Cost" vbProcedure="false">'Plan goals'!$L$65</definedName>
    <definedName function="false" hidden="false" name="Slot12_IsMfree" vbProcedure="false">'Plan goals'!$P$65</definedName>
    <definedName function="false" hidden="false" name="Slot12_IsWG" vbProcedure="false">'Plan goals'!$Q$65</definedName>
    <definedName function="false" hidden="false" name="Slot12_Key" vbProcedure="false">'Plan goals'!$E$65</definedName>
    <definedName function="false" hidden="false" name="Slot12_Kind" vbProcedure="false">'Plan goals'!$F$65</definedName>
    <definedName function="false" hidden="false" name="Slot12_N" vbProcedure="false">'Plan goals'!$J$65</definedName>
    <definedName function="false" hidden="false" name="Slot12_NeedM" vbProcedure="false">'Plan goals'!$K$98</definedName>
    <definedName function="false" hidden="false" name="Slot12_NowM" vbProcedure="false">'Plan goals'!$L$98</definedName>
    <definedName function="false" hidden="false" name="Slot12_On" vbProcedure="false">'Plan goals'!$D$65</definedName>
    <definedName function="false" hidden="false" name="Slot12_Paid" vbProcedure="false">'Plan goals'!$C$98</definedName>
    <definedName function="false" hidden="false" name="Slot12_Pct" vbProcedure="false">'Plan goals'!$E$98</definedName>
    <definedName function="false" hidden="false" name="Slot12_PctLow" vbProcedure="false">'Plan goals'!$F$98</definedName>
    <definedName function="false" hidden="false" name="Slot12_Pot0" vbProcedure="false">'Plan goals'!$X$65</definedName>
    <definedName function="false" hidden="false" name="Slot12_PotFree" vbProcedure="false">'Plan goals'!$N$65</definedName>
    <definedName function="false" hidden="false" name="Slot12_Rate" vbProcedure="false">'Plan goals'!$K$65</definedName>
    <definedName function="false" hidden="false" name="Slot12_Saved" vbProcedure="false">'Plan goals'!$I$65</definedName>
    <definedName function="false" hidden="false" name="Slot12_SpendLike" vbProcedure="false">'Plan goals'!$M$65</definedName>
    <definedName function="false" hidden="false" name="Slot13_Age" vbProcedure="false">'Plan goals'!$G$66</definedName>
    <definedName function="false" hidden="false" name="Slot13_Amount" vbProcedure="false">'Plan goals'!$H$66</definedName>
    <definedName function="false" hidden="false" name="Slot13_AvgM" vbProcedure="false">'Plan goals'!$M$99</definedName>
    <definedName function="false" hidden="false" name="Slot13_BufPot" vbProcedure="false">'Plan goals'!$O$66</definedName>
    <definedName function="false" hidden="false" name="Slot13_Cost" vbProcedure="false">'Plan goals'!$L$66</definedName>
    <definedName function="false" hidden="false" name="Slot13_IsMfree" vbProcedure="false">'Plan goals'!$P$66</definedName>
    <definedName function="false" hidden="false" name="Slot13_IsWG" vbProcedure="false">'Plan goals'!$Q$66</definedName>
    <definedName function="false" hidden="false" name="Slot13_Key" vbProcedure="false">'Plan goals'!$E$66</definedName>
    <definedName function="false" hidden="false" name="Slot13_Kind" vbProcedure="false">'Plan goals'!$F$66</definedName>
    <definedName function="false" hidden="false" name="Slot13_N" vbProcedure="false">'Plan goals'!$J$66</definedName>
    <definedName function="false" hidden="false" name="Slot13_NeedM" vbProcedure="false">'Plan goals'!$K$99</definedName>
    <definedName function="false" hidden="false" name="Slot13_NowM" vbProcedure="false">'Plan goals'!$L$99</definedName>
    <definedName function="false" hidden="false" name="Slot13_On" vbProcedure="false">'Plan goals'!$D$66</definedName>
    <definedName function="false" hidden="false" name="Slot13_Paid" vbProcedure="false">'Plan goals'!$C$99</definedName>
    <definedName function="false" hidden="false" name="Slot13_Pct" vbProcedure="false">'Plan goals'!$E$99</definedName>
    <definedName function="false" hidden="false" name="Slot13_PctLow" vbProcedure="false">'Plan goals'!$F$99</definedName>
    <definedName function="false" hidden="false" name="Slot13_Pot0" vbProcedure="false">'Plan goals'!$X$66</definedName>
    <definedName function="false" hidden="false" name="Slot13_PotFree" vbProcedure="false">'Plan goals'!$N$66</definedName>
    <definedName function="false" hidden="false" name="Slot13_Rate" vbProcedure="false">'Plan goals'!$K$66</definedName>
    <definedName function="false" hidden="false" name="Slot13_Saved" vbProcedure="false">'Plan goals'!$I$66</definedName>
    <definedName function="false" hidden="false" name="Slot13_SpendLike" vbProcedure="false">'Plan goals'!$M$66</definedName>
    <definedName function="false" hidden="false" name="Slot14_Age" vbProcedure="false">'Plan goals'!$G$67</definedName>
    <definedName function="false" hidden="false" name="Slot14_Amount" vbProcedure="false">'Plan goals'!$H$67</definedName>
    <definedName function="false" hidden="false" name="Slot14_AvgM" vbProcedure="false">'Plan goals'!$M$100</definedName>
    <definedName function="false" hidden="false" name="Slot14_BufPot" vbProcedure="false">'Plan goals'!$O$67</definedName>
    <definedName function="false" hidden="false" name="Slot14_Cost" vbProcedure="false">'Plan goals'!$L$67</definedName>
    <definedName function="false" hidden="false" name="Slot14_IsMfree" vbProcedure="false">'Plan goals'!$P$67</definedName>
    <definedName function="false" hidden="false" name="Slot14_IsWG" vbProcedure="false">'Plan goals'!$Q$67</definedName>
    <definedName function="false" hidden="false" name="Slot14_Key" vbProcedure="false">'Plan goals'!$E$67</definedName>
    <definedName function="false" hidden="false" name="Slot14_Kind" vbProcedure="false">'Plan goals'!$F$67</definedName>
    <definedName function="false" hidden="false" name="Slot14_N" vbProcedure="false">'Plan goals'!$J$67</definedName>
    <definedName function="false" hidden="false" name="Slot14_NeedM" vbProcedure="false">'Plan goals'!$K$100</definedName>
    <definedName function="false" hidden="false" name="Slot14_NowM" vbProcedure="false">'Plan goals'!$L$100</definedName>
    <definedName function="false" hidden="false" name="Slot14_On" vbProcedure="false">'Plan goals'!$D$67</definedName>
    <definedName function="false" hidden="false" name="Slot14_Paid" vbProcedure="false">'Plan goals'!$C$100</definedName>
    <definedName function="false" hidden="false" name="Slot14_Pct" vbProcedure="false">'Plan goals'!$E$100</definedName>
    <definedName function="false" hidden="false" name="Slot14_PctLow" vbProcedure="false">'Plan goals'!$F$100</definedName>
    <definedName function="false" hidden="false" name="Slot14_Pot0" vbProcedure="false">'Plan goals'!$X$67</definedName>
    <definedName function="false" hidden="false" name="Slot14_PotFree" vbProcedure="false">'Plan goals'!$N$67</definedName>
    <definedName function="false" hidden="false" name="Slot14_Rate" vbProcedure="false">'Plan goals'!$K$67</definedName>
    <definedName function="false" hidden="false" name="Slot14_Saved" vbProcedure="false">'Plan goals'!$I$67</definedName>
    <definedName function="false" hidden="false" name="Slot14_SpendLike" vbProcedure="false">'Plan goals'!$M$67</definedName>
    <definedName function="false" hidden="false" name="Slot15_Age" vbProcedure="false">'Plan goals'!$G$68</definedName>
    <definedName function="false" hidden="false" name="Slot15_Amount" vbProcedure="false">'Plan goals'!$H$68</definedName>
    <definedName function="false" hidden="false" name="Slot15_AvgM" vbProcedure="false">'Plan goals'!$M$101</definedName>
    <definedName function="false" hidden="false" name="Slot15_BufPot" vbProcedure="false">'Plan goals'!$O$68</definedName>
    <definedName function="false" hidden="false" name="Slot15_Cost" vbProcedure="false">'Plan goals'!$L$68</definedName>
    <definedName function="false" hidden="false" name="Slot15_IsMfree" vbProcedure="false">'Plan goals'!$P$68</definedName>
    <definedName function="false" hidden="false" name="Slot15_IsWG" vbProcedure="false">'Plan goals'!$Q$68</definedName>
    <definedName function="false" hidden="false" name="Slot15_Key" vbProcedure="false">'Plan goals'!$E$68</definedName>
    <definedName function="false" hidden="false" name="Slot15_Kind" vbProcedure="false">'Plan goals'!$F$68</definedName>
    <definedName function="false" hidden="false" name="Slot15_N" vbProcedure="false">'Plan goals'!$J$68</definedName>
    <definedName function="false" hidden="false" name="Slot15_NeedM" vbProcedure="false">'Plan goals'!$K$101</definedName>
    <definedName function="false" hidden="false" name="Slot15_NowM" vbProcedure="false">'Plan goals'!$L$101</definedName>
    <definedName function="false" hidden="false" name="Slot15_On" vbProcedure="false">'Plan goals'!$D$68</definedName>
    <definedName function="false" hidden="false" name="Slot15_Paid" vbProcedure="false">'Plan goals'!$C$101</definedName>
    <definedName function="false" hidden="false" name="Slot15_Pct" vbProcedure="false">'Plan goals'!$E$101</definedName>
    <definedName function="false" hidden="false" name="Slot15_PctLow" vbProcedure="false">'Plan goals'!$F$101</definedName>
    <definedName function="false" hidden="false" name="Slot15_Pot0" vbProcedure="false">'Plan goals'!$X$68</definedName>
    <definedName function="false" hidden="false" name="Slot15_PotFree" vbProcedure="false">'Plan goals'!$N$68</definedName>
    <definedName function="false" hidden="false" name="Slot15_Rate" vbProcedure="false">'Plan goals'!$K$68</definedName>
    <definedName function="false" hidden="false" name="Slot15_Saved" vbProcedure="false">'Plan goals'!$I$68</definedName>
    <definedName function="false" hidden="false" name="Slot15_SpendLike" vbProcedure="false">'Plan goals'!$M$68</definedName>
    <definedName function="false" hidden="false" name="Slot16_Age" vbProcedure="false">'Plan goals'!$G$69</definedName>
    <definedName function="false" hidden="false" name="Slot16_Amount" vbProcedure="false">'Plan goals'!$H$69</definedName>
    <definedName function="false" hidden="false" name="Slot16_AvgM" vbProcedure="false">'Plan goals'!$M$102</definedName>
    <definedName function="false" hidden="false" name="Slot16_BufPot" vbProcedure="false">'Plan goals'!$O$69</definedName>
    <definedName function="false" hidden="false" name="Slot16_Cost" vbProcedure="false">'Plan goals'!$L$69</definedName>
    <definedName function="false" hidden="false" name="Slot16_IsMfree" vbProcedure="false">'Plan goals'!$P$69</definedName>
    <definedName function="false" hidden="false" name="Slot16_IsWG" vbProcedure="false">'Plan goals'!$Q$69</definedName>
    <definedName function="false" hidden="false" name="Slot16_Key" vbProcedure="false">'Plan goals'!$E$69</definedName>
    <definedName function="false" hidden="false" name="Slot16_Kind" vbProcedure="false">'Plan goals'!$F$69</definedName>
    <definedName function="false" hidden="false" name="Slot16_N" vbProcedure="false">'Plan goals'!$J$69</definedName>
    <definedName function="false" hidden="false" name="Slot16_NeedM" vbProcedure="false">'Plan goals'!$K$102</definedName>
    <definedName function="false" hidden="false" name="Slot16_NowM" vbProcedure="false">'Plan goals'!$L$102</definedName>
    <definedName function="false" hidden="false" name="Slot16_On" vbProcedure="false">'Plan goals'!$D$69</definedName>
    <definedName function="false" hidden="false" name="Slot16_Paid" vbProcedure="false">'Plan goals'!$C$102</definedName>
    <definedName function="false" hidden="false" name="Slot16_Pct" vbProcedure="false">'Plan goals'!$E$102</definedName>
    <definedName function="false" hidden="false" name="Slot16_PctLow" vbProcedure="false">'Plan goals'!$F$102</definedName>
    <definedName function="false" hidden="false" name="Slot16_Pot0" vbProcedure="false">'Plan goals'!$X$69</definedName>
    <definedName function="false" hidden="false" name="Slot16_PotFree" vbProcedure="false">'Plan goals'!$N$69</definedName>
    <definedName function="false" hidden="false" name="Slot16_Rate" vbProcedure="false">'Plan goals'!$K$69</definedName>
    <definedName function="false" hidden="false" name="Slot16_Saved" vbProcedure="false">'Plan goals'!$I$69</definedName>
    <definedName function="false" hidden="false" name="Slot16_SpendLike" vbProcedure="false">'Plan goals'!$M$69</definedName>
    <definedName function="false" hidden="false" name="Slot17_Age" vbProcedure="false">'Plan goals'!$G$70</definedName>
    <definedName function="false" hidden="false" name="Slot17_Amount" vbProcedure="false">'Plan goals'!$H$70</definedName>
    <definedName function="false" hidden="false" name="Slot17_AvgM" vbProcedure="false">'Plan goals'!$M$103</definedName>
    <definedName function="false" hidden="false" name="Slot17_BufPot" vbProcedure="false">'Plan goals'!$O$70</definedName>
    <definedName function="false" hidden="false" name="Slot17_Cost" vbProcedure="false">'Plan goals'!$L$70</definedName>
    <definedName function="false" hidden="false" name="Slot17_IsMfree" vbProcedure="false">'Plan goals'!$P$70</definedName>
    <definedName function="false" hidden="false" name="Slot17_IsWG" vbProcedure="false">'Plan goals'!$Q$70</definedName>
    <definedName function="false" hidden="false" name="Slot17_Key" vbProcedure="false">'Plan goals'!$E$70</definedName>
    <definedName function="false" hidden="false" name="Slot17_Kind" vbProcedure="false">'Plan goals'!$F$70</definedName>
    <definedName function="false" hidden="false" name="Slot17_N" vbProcedure="false">'Plan goals'!$J$70</definedName>
    <definedName function="false" hidden="false" name="Slot17_NeedM" vbProcedure="false">'Plan goals'!$K$103</definedName>
    <definedName function="false" hidden="false" name="Slot17_NowM" vbProcedure="false">'Plan goals'!$L$103</definedName>
    <definedName function="false" hidden="false" name="Slot17_On" vbProcedure="false">'Plan goals'!$D$70</definedName>
    <definedName function="false" hidden="false" name="Slot17_Paid" vbProcedure="false">'Plan goals'!$C$103</definedName>
    <definedName function="false" hidden="false" name="Slot17_Pct" vbProcedure="false">'Plan goals'!$E$103</definedName>
    <definedName function="false" hidden="false" name="Slot17_PctLow" vbProcedure="false">'Plan goals'!$F$103</definedName>
    <definedName function="false" hidden="false" name="Slot17_Pot0" vbProcedure="false">'Plan goals'!$X$70</definedName>
    <definedName function="false" hidden="false" name="Slot17_PotFree" vbProcedure="false">'Plan goals'!$N$70</definedName>
    <definedName function="false" hidden="false" name="Slot17_Rate" vbProcedure="false">'Plan goals'!$K$70</definedName>
    <definedName function="false" hidden="false" name="Slot17_Saved" vbProcedure="false">'Plan goals'!$I$70</definedName>
    <definedName function="false" hidden="false" name="Slot17_SpendLike" vbProcedure="false">'Plan goals'!$M$70</definedName>
    <definedName function="false" hidden="false" name="Slot18_Age" vbProcedure="false">'Plan goals'!$G$71</definedName>
    <definedName function="false" hidden="false" name="Slot18_Amount" vbProcedure="false">'Plan goals'!$H$71</definedName>
    <definedName function="false" hidden="false" name="Slot18_AvgM" vbProcedure="false">'Plan goals'!$M$104</definedName>
    <definedName function="false" hidden="false" name="Slot18_BufPot" vbProcedure="false">'Plan goals'!$O$71</definedName>
    <definedName function="false" hidden="false" name="Slot18_Cost" vbProcedure="false">'Plan goals'!$L$71</definedName>
    <definedName function="false" hidden="false" name="Slot18_IsMfree" vbProcedure="false">'Plan goals'!$P$71</definedName>
    <definedName function="false" hidden="false" name="Slot18_IsWG" vbProcedure="false">'Plan goals'!$Q$71</definedName>
    <definedName function="false" hidden="false" name="Slot18_Key" vbProcedure="false">'Plan goals'!$E$71</definedName>
    <definedName function="false" hidden="false" name="Slot18_Kind" vbProcedure="false">'Plan goals'!$F$71</definedName>
    <definedName function="false" hidden="false" name="Slot18_N" vbProcedure="false">'Plan goals'!$J$71</definedName>
    <definedName function="false" hidden="false" name="Slot18_NeedM" vbProcedure="false">'Plan goals'!$K$104</definedName>
    <definedName function="false" hidden="false" name="Slot18_NowM" vbProcedure="false">'Plan goals'!$L$104</definedName>
    <definedName function="false" hidden="false" name="Slot18_On" vbProcedure="false">'Plan goals'!$D$71</definedName>
    <definedName function="false" hidden="false" name="Slot18_Paid" vbProcedure="false">'Plan goals'!$C$104</definedName>
    <definedName function="false" hidden="false" name="Slot18_Pct" vbProcedure="false">'Plan goals'!$E$104</definedName>
    <definedName function="false" hidden="false" name="Slot18_PctLow" vbProcedure="false">'Plan goals'!$F$104</definedName>
    <definedName function="false" hidden="false" name="Slot18_Pot0" vbProcedure="false">'Plan goals'!$X$71</definedName>
    <definedName function="false" hidden="false" name="Slot18_PotFree" vbProcedure="false">'Plan goals'!$N$71</definedName>
    <definedName function="false" hidden="false" name="Slot18_Rate" vbProcedure="false">'Plan goals'!$K$71</definedName>
    <definedName function="false" hidden="false" name="Slot18_Saved" vbProcedure="false">'Plan goals'!$I$71</definedName>
    <definedName function="false" hidden="false" name="Slot18_SpendLike" vbProcedure="false">'Plan goals'!$M$71</definedName>
    <definedName function="false" hidden="false" name="Slot19_Age" vbProcedure="false">'Plan goals'!$G$72</definedName>
    <definedName function="false" hidden="false" name="Slot19_Amount" vbProcedure="false">'Plan goals'!$H$72</definedName>
    <definedName function="false" hidden="false" name="Slot19_AvgM" vbProcedure="false">'Plan goals'!$M$105</definedName>
    <definedName function="false" hidden="false" name="Slot19_BufPot" vbProcedure="false">'Plan goals'!$O$72</definedName>
    <definedName function="false" hidden="false" name="Slot19_Cost" vbProcedure="false">'Plan goals'!$L$72</definedName>
    <definedName function="false" hidden="false" name="Slot19_IsMfree" vbProcedure="false">'Plan goals'!$P$72</definedName>
    <definedName function="false" hidden="false" name="Slot19_IsWG" vbProcedure="false">'Plan goals'!$Q$72</definedName>
    <definedName function="false" hidden="false" name="Slot19_Key" vbProcedure="false">'Plan goals'!$E$72</definedName>
    <definedName function="false" hidden="false" name="Slot19_Kind" vbProcedure="false">'Plan goals'!$F$72</definedName>
    <definedName function="false" hidden="false" name="Slot19_N" vbProcedure="false">'Plan goals'!$J$72</definedName>
    <definedName function="false" hidden="false" name="Slot19_NeedM" vbProcedure="false">'Plan goals'!$K$105</definedName>
    <definedName function="false" hidden="false" name="Slot19_NowM" vbProcedure="false">'Plan goals'!$L$105</definedName>
    <definedName function="false" hidden="false" name="Slot19_On" vbProcedure="false">'Plan goals'!$D$72</definedName>
    <definedName function="false" hidden="false" name="Slot19_Paid" vbProcedure="false">'Plan goals'!$C$105</definedName>
    <definedName function="false" hidden="false" name="Slot19_Pct" vbProcedure="false">'Plan goals'!$E$105</definedName>
    <definedName function="false" hidden="false" name="Slot19_PctLow" vbProcedure="false">'Plan goals'!$F$105</definedName>
    <definedName function="false" hidden="false" name="Slot19_Pot0" vbProcedure="false">'Plan goals'!$X$72</definedName>
    <definedName function="false" hidden="false" name="Slot19_PotFree" vbProcedure="false">'Plan goals'!$N$72</definedName>
    <definedName function="false" hidden="false" name="Slot19_Rate" vbProcedure="false">'Plan goals'!$K$72</definedName>
    <definedName function="false" hidden="false" name="Slot19_Saved" vbProcedure="false">'Plan goals'!$I$72</definedName>
    <definedName function="false" hidden="false" name="Slot19_SpendLike" vbProcedure="false">'Plan goals'!$M$72</definedName>
    <definedName function="false" hidden="false" name="Slot1_Age" vbProcedure="false">'Plan goals'!$G$54</definedName>
    <definedName function="false" hidden="false" name="Slot1_Amount" vbProcedure="false">'Plan goals'!$H$54</definedName>
    <definedName function="false" hidden="false" name="Slot1_AvgM" vbProcedure="false">'Plan goals'!$M$87</definedName>
    <definedName function="false" hidden="false" name="Slot1_BufPot" vbProcedure="false">'Plan goals'!$O$54</definedName>
    <definedName function="false" hidden="false" name="Slot1_Cost" vbProcedure="false">'Plan goals'!$L$54</definedName>
    <definedName function="false" hidden="false" name="Slot1_IsMfree" vbProcedure="false">'Plan goals'!$P$54</definedName>
    <definedName function="false" hidden="false" name="Slot1_IsWG" vbProcedure="false">'Plan goals'!$Q$54</definedName>
    <definedName function="false" hidden="false" name="Slot1_Key" vbProcedure="false">'Plan goals'!$E$54</definedName>
    <definedName function="false" hidden="false" name="Slot1_Kind" vbProcedure="false">'Plan goals'!$F$54</definedName>
    <definedName function="false" hidden="false" name="Slot1_N" vbProcedure="false">'Plan goals'!$J$54</definedName>
    <definedName function="false" hidden="false" name="Slot1_NeedM" vbProcedure="false">'Plan goals'!$K$87</definedName>
    <definedName function="false" hidden="false" name="Slot1_NowM" vbProcedure="false">'Plan goals'!$L$87</definedName>
    <definedName function="false" hidden="false" name="Slot1_On" vbProcedure="false">'Plan goals'!$D$54</definedName>
    <definedName function="false" hidden="false" name="Slot1_Paid" vbProcedure="false">'Plan goals'!$C$87</definedName>
    <definedName function="false" hidden="false" name="Slot1_Pct" vbProcedure="false">'Plan goals'!$E$87</definedName>
    <definedName function="false" hidden="false" name="Slot1_PctLow" vbProcedure="false">'Plan goals'!$F$87</definedName>
    <definedName function="false" hidden="false" name="Slot1_Pot0" vbProcedure="false">'Plan goals'!$X$54</definedName>
    <definedName function="false" hidden="false" name="Slot1_PotFree" vbProcedure="false">'Plan goals'!$N$54</definedName>
    <definedName function="false" hidden="false" name="Slot1_Rate" vbProcedure="false">'Plan goals'!$K$54</definedName>
    <definedName function="false" hidden="false" name="Slot1_Saved" vbProcedure="false">'Plan goals'!$I$54</definedName>
    <definedName function="false" hidden="false" name="Slot1_SpendLike" vbProcedure="false">'Plan goals'!$M$54</definedName>
    <definedName function="false" hidden="false" name="Slot20_Age" vbProcedure="false">'Plan goals'!$G$73</definedName>
    <definedName function="false" hidden="false" name="Slot20_Amount" vbProcedure="false">'Plan goals'!$H$73</definedName>
    <definedName function="false" hidden="false" name="Slot20_AvgM" vbProcedure="false">'Plan goals'!$M$106</definedName>
    <definedName function="false" hidden="false" name="Slot20_BufPot" vbProcedure="false">'Plan goals'!$O$73</definedName>
    <definedName function="false" hidden="false" name="Slot20_Cost" vbProcedure="false">'Plan goals'!$L$73</definedName>
    <definedName function="false" hidden="false" name="Slot20_IsMfree" vbProcedure="false">'Plan goals'!$P$73</definedName>
    <definedName function="false" hidden="false" name="Slot20_IsWG" vbProcedure="false">'Plan goals'!$Q$73</definedName>
    <definedName function="false" hidden="false" name="Slot20_Key" vbProcedure="false">'Plan goals'!$E$73</definedName>
    <definedName function="false" hidden="false" name="Slot20_Kind" vbProcedure="false">'Plan goals'!$F$73</definedName>
    <definedName function="false" hidden="false" name="Slot20_N" vbProcedure="false">'Plan goals'!$J$73</definedName>
    <definedName function="false" hidden="false" name="Slot20_NeedM" vbProcedure="false">'Plan goals'!$K$106</definedName>
    <definedName function="false" hidden="false" name="Slot20_NowM" vbProcedure="false">'Plan goals'!$L$106</definedName>
    <definedName function="false" hidden="false" name="Slot20_On" vbProcedure="false">'Plan goals'!$D$73</definedName>
    <definedName function="false" hidden="false" name="Slot20_Paid" vbProcedure="false">'Plan goals'!$C$106</definedName>
    <definedName function="false" hidden="false" name="Slot20_Pct" vbProcedure="false">'Plan goals'!$E$106</definedName>
    <definedName function="false" hidden="false" name="Slot20_PctLow" vbProcedure="false">'Plan goals'!$F$106</definedName>
    <definedName function="false" hidden="false" name="Slot20_Pot0" vbProcedure="false">'Plan goals'!$X$73</definedName>
    <definedName function="false" hidden="false" name="Slot20_PotFree" vbProcedure="false">'Plan goals'!$N$73</definedName>
    <definedName function="false" hidden="false" name="Slot20_Rate" vbProcedure="false">'Plan goals'!$K$73</definedName>
    <definedName function="false" hidden="false" name="Slot20_Saved" vbProcedure="false">'Plan goals'!$I$73</definedName>
    <definedName function="false" hidden="false" name="Slot20_SpendLike" vbProcedure="false">'Plan goals'!$M$73</definedName>
    <definedName function="false" hidden="false" name="Slot2_Age" vbProcedure="false">'Plan goals'!$G$55</definedName>
    <definedName function="false" hidden="false" name="Slot2_Amount" vbProcedure="false">'Plan goals'!$H$55</definedName>
    <definedName function="false" hidden="false" name="Slot2_AvgM" vbProcedure="false">'Plan goals'!$M$88</definedName>
    <definedName function="false" hidden="false" name="Slot2_BufPot" vbProcedure="false">'Plan goals'!$O$55</definedName>
    <definedName function="false" hidden="false" name="Slot2_Cost" vbProcedure="false">'Plan goals'!$L$55</definedName>
    <definedName function="false" hidden="false" name="Slot2_IsMfree" vbProcedure="false">'Plan goals'!$P$55</definedName>
    <definedName function="false" hidden="false" name="Slot2_IsWG" vbProcedure="false">'Plan goals'!$Q$55</definedName>
    <definedName function="false" hidden="false" name="Slot2_Key" vbProcedure="false">'Plan goals'!$E$55</definedName>
    <definedName function="false" hidden="false" name="Slot2_Kind" vbProcedure="false">'Plan goals'!$F$55</definedName>
    <definedName function="false" hidden="false" name="Slot2_N" vbProcedure="false">'Plan goals'!$J$55</definedName>
    <definedName function="false" hidden="false" name="Slot2_NeedM" vbProcedure="false">'Plan goals'!$K$88</definedName>
    <definedName function="false" hidden="false" name="Slot2_NowM" vbProcedure="false">'Plan goals'!$L$88</definedName>
    <definedName function="false" hidden="false" name="Slot2_On" vbProcedure="false">'Plan goals'!$D$55</definedName>
    <definedName function="false" hidden="false" name="Slot2_Paid" vbProcedure="false">'Plan goals'!$C$88</definedName>
    <definedName function="false" hidden="false" name="Slot2_Pct" vbProcedure="false">'Plan goals'!$E$88</definedName>
    <definedName function="false" hidden="false" name="Slot2_PctLow" vbProcedure="false">'Plan goals'!$F$88</definedName>
    <definedName function="false" hidden="false" name="Slot2_Pot0" vbProcedure="false">'Plan goals'!$X$55</definedName>
    <definedName function="false" hidden="false" name="Slot2_PotFree" vbProcedure="false">'Plan goals'!$N$55</definedName>
    <definedName function="false" hidden="false" name="Slot2_Rate" vbProcedure="false">'Plan goals'!$K$55</definedName>
    <definedName function="false" hidden="false" name="Slot2_Saved" vbProcedure="false">'Plan goals'!$I$55</definedName>
    <definedName function="false" hidden="false" name="Slot2_SpendLike" vbProcedure="false">'Plan goals'!$M$55</definedName>
    <definedName function="false" hidden="false" name="Slot3_Age" vbProcedure="false">'Plan goals'!$G$56</definedName>
    <definedName function="false" hidden="false" name="Slot3_Amount" vbProcedure="false">'Plan goals'!$H$56</definedName>
    <definedName function="false" hidden="false" name="Slot3_AvgM" vbProcedure="false">'Plan goals'!$M$89</definedName>
    <definedName function="false" hidden="false" name="Slot3_BufPot" vbProcedure="false">'Plan goals'!$O$56</definedName>
    <definedName function="false" hidden="false" name="Slot3_Cost" vbProcedure="false">'Plan goals'!$L$56</definedName>
    <definedName function="false" hidden="false" name="Slot3_IsMfree" vbProcedure="false">'Plan goals'!$P$56</definedName>
    <definedName function="false" hidden="false" name="Slot3_IsWG" vbProcedure="false">'Plan goals'!$Q$56</definedName>
    <definedName function="false" hidden="false" name="Slot3_Key" vbProcedure="false">'Plan goals'!$E$56</definedName>
    <definedName function="false" hidden="false" name="Slot3_Kind" vbProcedure="false">'Plan goals'!$F$56</definedName>
    <definedName function="false" hidden="false" name="Slot3_N" vbProcedure="false">'Plan goals'!$J$56</definedName>
    <definedName function="false" hidden="false" name="Slot3_NeedM" vbProcedure="false">'Plan goals'!$K$89</definedName>
    <definedName function="false" hidden="false" name="Slot3_NowM" vbProcedure="false">'Plan goals'!$L$89</definedName>
    <definedName function="false" hidden="false" name="Slot3_On" vbProcedure="false">'Plan goals'!$D$56</definedName>
    <definedName function="false" hidden="false" name="Slot3_Paid" vbProcedure="false">'Plan goals'!$C$89</definedName>
    <definedName function="false" hidden="false" name="Slot3_Pct" vbProcedure="false">'Plan goals'!$E$89</definedName>
    <definedName function="false" hidden="false" name="Slot3_PctLow" vbProcedure="false">'Plan goals'!$F$89</definedName>
    <definedName function="false" hidden="false" name="Slot3_Pot0" vbProcedure="false">'Plan goals'!$X$56</definedName>
    <definedName function="false" hidden="false" name="Slot3_PotFree" vbProcedure="false">'Plan goals'!$N$56</definedName>
    <definedName function="false" hidden="false" name="Slot3_Rate" vbProcedure="false">'Plan goals'!$K$56</definedName>
    <definedName function="false" hidden="false" name="Slot3_Saved" vbProcedure="false">'Plan goals'!$I$56</definedName>
    <definedName function="false" hidden="false" name="Slot3_SpendLike" vbProcedure="false">'Plan goals'!$M$56</definedName>
    <definedName function="false" hidden="false" name="Slot4_Age" vbProcedure="false">'Plan goals'!$G$57</definedName>
    <definedName function="false" hidden="false" name="Slot4_Amount" vbProcedure="false">'Plan goals'!$H$57</definedName>
    <definedName function="false" hidden="false" name="Slot4_AvgM" vbProcedure="false">'Plan goals'!$M$90</definedName>
    <definedName function="false" hidden="false" name="Slot4_BufPot" vbProcedure="false">'Plan goals'!$O$57</definedName>
    <definedName function="false" hidden="false" name="Slot4_Cost" vbProcedure="false">'Plan goals'!$L$57</definedName>
    <definedName function="false" hidden="false" name="Slot4_IsMfree" vbProcedure="false">'Plan goals'!$P$57</definedName>
    <definedName function="false" hidden="false" name="Slot4_IsWG" vbProcedure="false">'Plan goals'!$Q$57</definedName>
    <definedName function="false" hidden="false" name="Slot4_Key" vbProcedure="false">'Plan goals'!$E$57</definedName>
    <definedName function="false" hidden="false" name="Slot4_Kind" vbProcedure="false">'Plan goals'!$F$57</definedName>
    <definedName function="false" hidden="false" name="Slot4_N" vbProcedure="false">'Plan goals'!$J$57</definedName>
    <definedName function="false" hidden="false" name="Slot4_NeedM" vbProcedure="false">'Plan goals'!$K$90</definedName>
    <definedName function="false" hidden="false" name="Slot4_NowM" vbProcedure="false">'Plan goals'!$L$90</definedName>
    <definedName function="false" hidden="false" name="Slot4_On" vbProcedure="false">'Plan goals'!$D$57</definedName>
    <definedName function="false" hidden="false" name="Slot4_Paid" vbProcedure="false">'Plan goals'!$C$90</definedName>
    <definedName function="false" hidden="false" name="Slot4_Pct" vbProcedure="false">'Plan goals'!$E$90</definedName>
    <definedName function="false" hidden="false" name="Slot4_PctLow" vbProcedure="false">'Plan goals'!$F$90</definedName>
    <definedName function="false" hidden="false" name="Slot4_Pot0" vbProcedure="false">'Plan goals'!$X$57</definedName>
    <definedName function="false" hidden="false" name="Slot4_PotFree" vbProcedure="false">'Plan goals'!$N$57</definedName>
    <definedName function="false" hidden="false" name="Slot4_Rate" vbProcedure="false">'Plan goals'!$K$57</definedName>
    <definedName function="false" hidden="false" name="Slot4_Saved" vbProcedure="false">'Plan goals'!$I$57</definedName>
    <definedName function="false" hidden="false" name="Slot4_SpendLike" vbProcedure="false">'Plan goals'!$M$57</definedName>
    <definedName function="false" hidden="false" name="Slot5_Age" vbProcedure="false">'Plan goals'!$G$58</definedName>
    <definedName function="false" hidden="false" name="Slot5_Amount" vbProcedure="false">'Plan goals'!$H$58</definedName>
    <definedName function="false" hidden="false" name="Slot5_AvgM" vbProcedure="false">'Plan goals'!$M$91</definedName>
    <definedName function="false" hidden="false" name="Slot5_BufPot" vbProcedure="false">'Plan goals'!$O$58</definedName>
    <definedName function="false" hidden="false" name="Slot5_Cost" vbProcedure="false">'Plan goals'!$L$58</definedName>
    <definedName function="false" hidden="false" name="Slot5_IsMfree" vbProcedure="false">'Plan goals'!$P$58</definedName>
    <definedName function="false" hidden="false" name="Slot5_IsWG" vbProcedure="false">'Plan goals'!$Q$58</definedName>
    <definedName function="false" hidden="false" name="Slot5_Key" vbProcedure="false">'Plan goals'!$E$58</definedName>
    <definedName function="false" hidden="false" name="Slot5_Kind" vbProcedure="false">'Plan goals'!$F$58</definedName>
    <definedName function="false" hidden="false" name="Slot5_N" vbProcedure="false">'Plan goals'!$J$58</definedName>
    <definedName function="false" hidden="false" name="Slot5_NeedM" vbProcedure="false">'Plan goals'!$K$91</definedName>
    <definedName function="false" hidden="false" name="Slot5_NowM" vbProcedure="false">'Plan goals'!$L$91</definedName>
    <definedName function="false" hidden="false" name="Slot5_On" vbProcedure="false">'Plan goals'!$D$58</definedName>
    <definedName function="false" hidden="false" name="Slot5_Paid" vbProcedure="false">'Plan goals'!$C$91</definedName>
    <definedName function="false" hidden="false" name="Slot5_Pct" vbProcedure="false">'Plan goals'!$E$91</definedName>
    <definedName function="false" hidden="false" name="Slot5_PctLow" vbProcedure="false">'Plan goals'!$F$91</definedName>
    <definedName function="false" hidden="false" name="Slot5_Pot0" vbProcedure="false">'Plan goals'!$X$58</definedName>
    <definedName function="false" hidden="false" name="Slot5_PotFree" vbProcedure="false">'Plan goals'!$N$58</definedName>
    <definedName function="false" hidden="false" name="Slot5_Rate" vbProcedure="false">'Plan goals'!$K$58</definedName>
    <definedName function="false" hidden="false" name="Slot5_Saved" vbProcedure="false">'Plan goals'!$I$58</definedName>
    <definedName function="false" hidden="false" name="Slot5_SpendLike" vbProcedure="false">'Plan goals'!$M$58</definedName>
    <definedName function="false" hidden="false" name="Slot6_Age" vbProcedure="false">'Plan goals'!$G$59</definedName>
    <definedName function="false" hidden="false" name="Slot6_Amount" vbProcedure="false">'Plan goals'!$H$59</definedName>
    <definedName function="false" hidden="false" name="Slot6_AvgM" vbProcedure="false">'Plan goals'!$M$92</definedName>
    <definedName function="false" hidden="false" name="Slot6_BufPot" vbProcedure="false">'Plan goals'!$O$59</definedName>
    <definedName function="false" hidden="false" name="Slot6_Cost" vbProcedure="false">'Plan goals'!$L$59</definedName>
    <definedName function="false" hidden="false" name="Slot6_IsMfree" vbProcedure="false">'Plan goals'!$P$59</definedName>
    <definedName function="false" hidden="false" name="Slot6_IsWG" vbProcedure="false">'Plan goals'!$Q$59</definedName>
    <definedName function="false" hidden="false" name="Slot6_Key" vbProcedure="false">'Plan goals'!$E$59</definedName>
    <definedName function="false" hidden="false" name="Slot6_Kind" vbProcedure="false">'Plan goals'!$F$59</definedName>
    <definedName function="false" hidden="false" name="Slot6_N" vbProcedure="false">'Plan goals'!$J$59</definedName>
    <definedName function="false" hidden="false" name="Slot6_NeedM" vbProcedure="false">'Plan goals'!$K$92</definedName>
    <definedName function="false" hidden="false" name="Slot6_NowM" vbProcedure="false">'Plan goals'!$L$92</definedName>
    <definedName function="false" hidden="false" name="Slot6_On" vbProcedure="false">'Plan goals'!$D$59</definedName>
    <definedName function="false" hidden="false" name="Slot6_Paid" vbProcedure="false">'Plan goals'!$C$92</definedName>
    <definedName function="false" hidden="false" name="Slot6_Pct" vbProcedure="false">'Plan goals'!$E$92</definedName>
    <definedName function="false" hidden="false" name="Slot6_PctLow" vbProcedure="false">'Plan goals'!$F$92</definedName>
    <definedName function="false" hidden="false" name="Slot6_Pot0" vbProcedure="false">'Plan goals'!$X$59</definedName>
    <definedName function="false" hidden="false" name="Slot6_PotFree" vbProcedure="false">'Plan goals'!$N$59</definedName>
    <definedName function="false" hidden="false" name="Slot6_Rate" vbProcedure="false">'Plan goals'!$K$59</definedName>
    <definedName function="false" hidden="false" name="Slot6_Saved" vbProcedure="false">'Plan goals'!$I$59</definedName>
    <definedName function="false" hidden="false" name="Slot6_SpendLike" vbProcedure="false">'Plan goals'!$M$59</definedName>
    <definedName function="false" hidden="false" name="Slot7_Age" vbProcedure="false">'Plan goals'!$G$60</definedName>
    <definedName function="false" hidden="false" name="Slot7_Amount" vbProcedure="false">'Plan goals'!$H$60</definedName>
    <definedName function="false" hidden="false" name="Slot7_AvgM" vbProcedure="false">'Plan goals'!$M$93</definedName>
    <definedName function="false" hidden="false" name="Slot7_BufPot" vbProcedure="false">'Plan goals'!$O$60</definedName>
    <definedName function="false" hidden="false" name="Slot7_Cost" vbProcedure="false">'Plan goals'!$L$60</definedName>
    <definedName function="false" hidden="false" name="Slot7_IsMfree" vbProcedure="false">'Plan goals'!$P$60</definedName>
    <definedName function="false" hidden="false" name="Slot7_IsWG" vbProcedure="false">'Plan goals'!$Q$60</definedName>
    <definedName function="false" hidden="false" name="Slot7_Key" vbProcedure="false">'Plan goals'!$E$60</definedName>
    <definedName function="false" hidden="false" name="Slot7_Kind" vbProcedure="false">'Plan goals'!$F$60</definedName>
    <definedName function="false" hidden="false" name="Slot7_N" vbProcedure="false">'Plan goals'!$J$60</definedName>
    <definedName function="false" hidden="false" name="Slot7_NeedM" vbProcedure="false">'Plan goals'!$K$93</definedName>
    <definedName function="false" hidden="false" name="Slot7_NowM" vbProcedure="false">'Plan goals'!$L$93</definedName>
    <definedName function="false" hidden="false" name="Slot7_On" vbProcedure="false">'Plan goals'!$D$60</definedName>
    <definedName function="false" hidden="false" name="Slot7_Paid" vbProcedure="false">'Plan goals'!$C$93</definedName>
    <definedName function="false" hidden="false" name="Slot7_Pct" vbProcedure="false">'Plan goals'!$E$93</definedName>
    <definedName function="false" hidden="false" name="Slot7_PctLow" vbProcedure="false">'Plan goals'!$F$93</definedName>
    <definedName function="false" hidden="false" name="Slot7_Pot0" vbProcedure="false">'Plan goals'!$X$60</definedName>
    <definedName function="false" hidden="false" name="Slot7_PotFree" vbProcedure="false">'Plan goals'!$N$60</definedName>
    <definedName function="false" hidden="false" name="Slot7_Rate" vbProcedure="false">'Plan goals'!$K$60</definedName>
    <definedName function="false" hidden="false" name="Slot7_Saved" vbProcedure="false">'Plan goals'!$I$60</definedName>
    <definedName function="false" hidden="false" name="Slot7_SpendLike" vbProcedure="false">'Plan goals'!$M$60</definedName>
    <definedName function="false" hidden="false" name="Slot8_Age" vbProcedure="false">'Plan goals'!$G$61</definedName>
    <definedName function="false" hidden="false" name="Slot8_Amount" vbProcedure="false">'Plan goals'!$H$61</definedName>
    <definedName function="false" hidden="false" name="Slot8_AvgM" vbProcedure="false">'Plan goals'!$M$94</definedName>
    <definedName function="false" hidden="false" name="Slot8_BufPot" vbProcedure="false">'Plan goals'!$O$61</definedName>
    <definedName function="false" hidden="false" name="Slot8_Cost" vbProcedure="false">'Plan goals'!$L$61</definedName>
    <definedName function="false" hidden="false" name="Slot8_IsMfree" vbProcedure="false">'Plan goals'!$P$61</definedName>
    <definedName function="false" hidden="false" name="Slot8_IsWG" vbProcedure="false">'Plan goals'!$Q$61</definedName>
    <definedName function="false" hidden="false" name="Slot8_Key" vbProcedure="false">'Plan goals'!$E$61</definedName>
    <definedName function="false" hidden="false" name="Slot8_Kind" vbProcedure="false">'Plan goals'!$F$61</definedName>
    <definedName function="false" hidden="false" name="Slot8_N" vbProcedure="false">'Plan goals'!$J$61</definedName>
    <definedName function="false" hidden="false" name="Slot8_NeedM" vbProcedure="false">'Plan goals'!$K$94</definedName>
    <definedName function="false" hidden="false" name="Slot8_NowM" vbProcedure="false">'Plan goals'!$L$94</definedName>
    <definedName function="false" hidden="false" name="Slot8_On" vbProcedure="false">'Plan goals'!$D$61</definedName>
    <definedName function="false" hidden="false" name="Slot8_Paid" vbProcedure="false">'Plan goals'!$C$94</definedName>
    <definedName function="false" hidden="false" name="Slot8_Pct" vbProcedure="false">'Plan goals'!$E$94</definedName>
    <definedName function="false" hidden="false" name="Slot8_PctLow" vbProcedure="false">'Plan goals'!$F$94</definedName>
    <definedName function="false" hidden="false" name="Slot8_Pot0" vbProcedure="false">'Plan goals'!$X$61</definedName>
    <definedName function="false" hidden="false" name="Slot8_PotFree" vbProcedure="false">'Plan goals'!$N$61</definedName>
    <definedName function="false" hidden="false" name="Slot8_Rate" vbProcedure="false">'Plan goals'!$K$61</definedName>
    <definedName function="false" hidden="false" name="Slot8_Saved" vbProcedure="false">'Plan goals'!$I$61</definedName>
    <definedName function="false" hidden="false" name="Slot8_SpendLike" vbProcedure="false">'Plan goals'!$M$61</definedName>
    <definedName function="false" hidden="false" name="Slot9_Age" vbProcedure="false">'Plan goals'!$G$62</definedName>
    <definedName function="false" hidden="false" name="Slot9_Amount" vbProcedure="false">'Plan goals'!$H$62</definedName>
    <definedName function="false" hidden="false" name="Slot9_AvgM" vbProcedure="false">'Plan goals'!$M$95</definedName>
    <definedName function="false" hidden="false" name="Slot9_BufPot" vbProcedure="false">'Plan goals'!$O$62</definedName>
    <definedName function="false" hidden="false" name="Slot9_Cost" vbProcedure="false">'Plan goals'!$L$62</definedName>
    <definedName function="false" hidden="false" name="Slot9_IsMfree" vbProcedure="false">'Plan goals'!$P$62</definedName>
    <definedName function="false" hidden="false" name="Slot9_IsWG" vbProcedure="false">'Plan goals'!$Q$62</definedName>
    <definedName function="false" hidden="false" name="Slot9_Key" vbProcedure="false">'Plan goals'!$E$62</definedName>
    <definedName function="false" hidden="false" name="Slot9_Kind" vbProcedure="false">'Plan goals'!$F$62</definedName>
    <definedName function="false" hidden="false" name="Slot9_N" vbProcedure="false">'Plan goals'!$J$62</definedName>
    <definedName function="false" hidden="false" name="Slot9_NeedM" vbProcedure="false">'Plan goals'!$K$95</definedName>
    <definedName function="false" hidden="false" name="Slot9_NowM" vbProcedure="false">'Plan goals'!$L$95</definedName>
    <definedName function="false" hidden="false" name="Slot9_On" vbProcedure="false">'Plan goals'!$D$62</definedName>
    <definedName function="false" hidden="false" name="Slot9_Paid" vbProcedure="false">'Plan goals'!$C$95</definedName>
    <definedName function="false" hidden="false" name="Slot9_Pct" vbProcedure="false">'Plan goals'!$E$95</definedName>
    <definedName function="false" hidden="false" name="Slot9_PctLow" vbProcedure="false">'Plan goals'!$F$95</definedName>
    <definedName function="false" hidden="false" name="Slot9_Pot0" vbProcedure="false">'Plan goals'!$X$62</definedName>
    <definedName function="false" hidden="false" name="Slot9_PotFree" vbProcedure="false">'Plan goals'!$N$62</definedName>
    <definedName function="false" hidden="false" name="Slot9_Rate" vbProcedure="false">'Plan goals'!$K$62</definedName>
    <definedName function="false" hidden="false" name="Slot9_Saved" vbProcedure="false">'Plan goals'!$I$62</definedName>
    <definedName function="false" hidden="false" name="Slot9_SpendLike" vbProcedure="false">'Plan goals'!$M$62</definedName>
    <definedName function="false" hidden="false" name="Slots_Funded" vbProcedure="false">'Plan goals'!$D$80</definedName>
    <definedName function="false" hidden="false" name="Slots_TooMany" vbProcedure="false">'Plan goals'!$D$81</definedName>
    <definedName function="false" hidden="false" name="Statement_Max_Age_Days" vbProcedure="false">Assumptions!$C$94</definedName>
    <definedName function="false" hidden="false" name="State_Pension_Age" vbProcedure="false">Assumptions!$C$65</definedName>
    <definedName function="false" hidden="false" name="State_Pension_Week" vbProcedure="false">Assumptions!$C$63</definedName>
    <definedName function="false" hidden="false" name="State_Pension_Year" vbProcedure="false">Assumptions!$C$64</definedName>
    <definedName function="false" hidden="false" name="Suggest_Buying_Fees" vbProcedure="false">Settings!$M$50</definedName>
    <definedName function="false" hidden="false" name="Suggest_Buying_Fees_Label" vbProcedure="false">Settings!$L$50</definedName>
    <definedName function="false" hidden="false" name="Suggest_Card_APR" vbProcedure="false">Settings!$M$48</definedName>
    <definedName function="false" hidden="false" name="Suggest_Card_APR_Label" vbProcedure="false">Settings!$L$48</definedName>
    <definedName function="false" hidden="false" name="Suggest_Deposit_Rate" vbProcedure="false">Settings!$M$49</definedName>
    <definedName function="false" hidden="false" name="Suggest_Deposit_Rate_Label" vbProcedure="false">Settings!$L$49</definedName>
    <definedName function="false" hidden="false" name="Suggest_Fund_Charges" vbProcedure="false">Settings!$M$51</definedName>
    <definedName function="false" hidden="false" name="Suggest_Fund_Charges_Label" vbProcedure="false">Settings!$L$51</definedName>
    <definedName function="false" hidden="false" name="Suggest_Loan_APR" vbProcedure="false">Settings!$M$47</definedName>
    <definedName function="false" hidden="false" name="Suggest_Loan_APR_Label" vbProcedure="false">Settings!$L$47</definedName>
    <definedName function="false" hidden="false" name="Suggest_Mortgage_Rate" vbProcedure="false">Settings!$M$46</definedName>
    <definedName function="false" hidden="false" name="Suggest_Mortgage_Rate_Label" vbProcedure="false">Settings!$L$46</definedName>
    <definedName function="false" hidden="false" name="Survivor_Pension_Week" vbProcedure="false">Assumptions!$C$66</definedName>
    <definedName function="false" hidden="false" name="Survivor_Pension_Week_66" vbProcedure="false">Assumptions!$C$67</definedName>
    <definedName function="false" hidden="false" name="TE_Band" vbProcedure="false">'Tax engine'!$C$15</definedName>
    <definedName function="false" hidden="false" name="TE_Checks" vbProcedure="false">'Tax engine'!$Q$46</definedName>
    <definedName function="false" hidden="false" name="TE_Credits" vbProcedure="false">'Tax engine'!$C$18</definedName>
    <definedName function="false" hidden="false" name="TE_Earner_2" vbProcedure="false">'Tax engine'!$C$14</definedName>
    <definedName function="false" hidden="false" name="TE_Gross_1" vbProcedure="false">'Tax engine'!$G$6</definedName>
    <definedName function="false" hidden="false" name="TE_Gross_1_Entry" vbProcedure="false">'Tax engine'!$C$6</definedName>
    <definedName function="false" hidden="false" name="TE_Gross_2" vbProcedure="false">'Tax engine'!$G$7</definedName>
    <definedName function="false" hidden="false" name="TE_Gross_2_Entry" vbProcedure="false">'Tax engine'!$C$7</definedName>
    <definedName function="false" hidden="false" name="TE_Home_Carer" vbProcedure="false">'Tax engine'!$G$9</definedName>
    <definedName function="false" hidden="false" name="TE_Home_Carer_Entry" vbProcedure="false">'Tax engine'!$C$9</definedName>
    <definedName function="false" hidden="false" name="TE_Income_Tax" vbProcedure="false">'Tax engine'!$C$19</definedName>
    <definedName function="false" hidden="false" name="TE_Marginal_Rate" vbProcedure="false">'Tax engine'!$C$24</definedName>
    <definedName function="false" hidden="false" name="TE_Need" vbProcedure="false">'Tax engine'!$C$25</definedName>
    <definedName function="false" hidden="false" name="TE_PRSI" vbProcedure="false">'Tax engine'!$C$21</definedName>
    <definedName function="false" hidden="false" name="TE_PRSI_Basis" vbProcedure="false">'Tax engine'!$G$10</definedName>
    <definedName function="false" hidden="false" name="TE_PRSI_Basis_Entry" vbProcedure="false">'Tax engine'!$C$10</definedName>
    <definedName function="false" hidden="false" name="TE_PRSI_Rate_Used" vbProcedure="false">'Tax engine'!$C$13</definedName>
    <definedName function="false" hidden="false" name="TE_Rent_Credit" vbProcedure="false">'Tax engine'!$G$8</definedName>
    <definedName function="false" hidden="false" name="TE_Rent_Credit_Entry" vbProcedure="false">'Tax engine'!$C$8</definedName>
    <definedName function="false" hidden="false" name="TE_Status" vbProcedure="false">'Tax engine'!$G$5</definedName>
    <definedName function="false" hidden="false" name="TE_Status_Entry" vbProcedure="false">'Tax engine'!$C$5</definedName>
    <definedName function="false" hidden="false" name="TE_Take_Home" vbProcedure="false">'Tax engine'!$C$22</definedName>
    <definedName function="false" hidden="false" name="TE_Take_Home_Month" vbProcedure="false">'Tax engine'!$C$23</definedName>
    <definedName function="false" hidden="false" name="TE_Taxable" vbProcedure="false">'Tax engine'!$C$16</definedName>
    <definedName function="false" hidden="false" name="TE_Tax_Before_Credits" vbProcedure="false">'Tax engine'!$C$17</definedName>
    <definedName function="false" hidden="false" name="TE_USC" vbProcedure="false">'Tax engine'!$C$20</definedName>
    <definedName function="false" hidden="false" name="Tools_All" vbProcedure="false">'Plan results'!$C$181</definedName>
    <definedName function="false" hidden="false" name="Tools_List" vbProcedure="false">'Plan results'!$C$182</definedName>
    <definedName function="false" hidden="false" name="USC_Band_1" vbProcedure="false">Assumptions!$C$27</definedName>
    <definedName function="false" hidden="false" name="USC_Band_2" vbProcedure="false">Assumptions!$C$28</definedName>
    <definedName function="false" hidden="false" name="USC_Band_3" vbProcedure="false">Assumptions!$C$29</definedName>
    <definedName function="false" hidden="false" name="USC_Exempt" vbProcedure="false">Assumptions!$C$26</definedName>
    <definedName function="false" hidden="false" name="USC_Rate_1" vbProcedure="false">Assumptions!$C$30</definedName>
    <definedName function="false" hidden="false" name="USC_Rate_2" vbProcedure="false">Assumptions!$C$31</definedName>
    <definedName function="false" hidden="false" name="USC_Rate_3" vbProcedure="false">Assumptions!$C$32</definedName>
    <definedName function="false" hidden="false" name="USC_Rate_4" vbProcedure="false">Assumptions!$C$33</definedName>
    <definedName function="false" hidden="false" name="Use_cardRate" vbProcedure="false">'Plan results'!$C$174</definedName>
    <definedName function="false" hidden="false" name="Use_loanRate" vbProcedure="false">'Plan results'!$C$173</definedName>
    <definedName function="false" hidden="false" name="Use_mort2" vbProcedure="false">'Plan results'!$C$169</definedName>
    <definedName function="false" hidden="false" name="Use_mortRate" vbProcedure="false">'Plan results'!$C$172</definedName>
    <definedName function="false" hidden="false" name="Use_mortYears" vbProcedure="false">'Plan results'!$C$168</definedName>
    <definedName function="false" hidden="false" name="Use_pAge" vbProcedure="false">'Plan results'!$C$170</definedName>
    <definedName function="false" hidden="false" name="Use_work" vbProcedure="false">'Plan results'!$C$171</definedName>
    <definedName function="false" hidden="false" name="Vid_investment_Idx" vbProcedure="false">'Plan results'!$C$235</definedName>
    <definedName function="false" hidden="false" name="Vid_investment_Pct" vbProcedure="false">'Plan results'!$C$236</definedName>
    <definedName function="false" hidden="false" name="Vid_mortgage_Idx" vbProcedure="false">'Plan results'!$C$229</definedName>
    <definedName function="false" hidden="false" name="Vid_mortgage_Pct" vbProcedure="false">'Plan results'!$C$230</definedName>
    <definedName function="false" hidden="false" name="Vid_pension_Idx" vbProcedure="false">'Plan results'!$C$231</definedName>
    <definedName function="false" hidden="false" name="Vid_pension_Pct" vbProcedure="false">'Plan results'!$C$232</definedName>
    <definedName function="false" hidden="false" name="Vid_planner_Idx" vbProcedure="false">'Plan results'!$C$237</definedName>
    <definedName function="false" hidden="false" name="Vid_planner_Pct" vbProcedure="false">'Plan results'!$C$238</definedName>
    <definedName function="false" hidden="false" name="Vid_protection_Idx" vbProcedure="false">'Plan results'!$C$233</definedName>
    <definedName function="false" hidden="false" name="Vid_protection_Pct" vbProcedure="false">'Plan results'!$C$234</definedName>
    <definedName function="false" hidden="false" name="Warn_Goals" vbProcedure="false">'Plan goals'!$D$83</definedName>
    <definedName function="false" hidden="false" name="Weeks_Per_Year" vbProcedure="false">Assumptions!$C$70</definedName>
    <definedName function="false" hidden="false" name="WI_L" vbProcedure="false">'Plan pay &amp; tax'!$C$228</definedName>
    <definedName function="false" hidden="false" name="WI_M" vbProcedure="false">'Plan pay &amp; tax'!$C$227</definedName>
    <definedName function="false" hidden="false" name="Wi_Over" vbProcedure="false">'Plan results'!$C$190</definedName>
    <definedName function="false" hidden="false" name="WI_Retire" vbProcedure="false">'Plan pay &amp; tax'!$C$226</definedName>
    <definedName function="false" hidden="false" name="Wi_Text" vbProcedure="false">'Plan results'!$C$226</definedName>
    <definedName function="false" hidden="false" name="Wi_Total" vbProcedure="false">'Plan results'!$C$189</definedName>
    <definedName function="false" hidden="false" localSheetId="1" name="Borrow_By_Income" vbProcedure="false">'C01 Borrowing'!$C$21</definedName>
    <definedName function="false" hidden="false" localSheetId="1" name="Buying_Fees" vbProcedure="false">'C01 Borrowing'!$G$12</definedName>
    <definedName function="false" hidden="false" localSheetId="1" name="Buying_Fees_Entry" vbProcedure="false">'C01 Borrowing'!$C$12</definedName>
    <definedName function="false" hidden="false" localSheetId="1" name="Cash_At_Band_1" vbProcedure="false">'C01 Borrowing'!$C$25</definedName>
    <definedName function="false" hidden="false" localSheetId="1" name="Cash_At_Band_2" vbProcedure="false">'C01 Borrowing'!$C$26</definedName>
    <definedName function="false" hidden="false" localSheetId="1" name="Cash_For_Price" vbProcedure="false">'C01 Borrowing'!$C$24</definedName>
    <definedName function="false" hidden="false" localSheetId="1" name="Deposit" vbProcedure="false">'C01 Borrowing'!$G$8</definedName>
    <definedName function="false" hidden="false" localSheetId="1" name="Deposit_Entry" vbProcedure="false">'C01 Borrowing'!$C$8</definedName>
    <definedName function="false" hidden="false" localSheetId="1" name="Extra_Deposit" vbProcedure="false">'C01 Borrowing'!$G$14</definedName>
    <definedName function="false" hidden="false" localSheetId="1" name="Extra_Deposit_Entry" vbProcedure="false">'C01 Borrowing'!$C$14</definedName>
    <definedName function="false" hidden="false" localSheetId="1" name="First_Time_Buyer" vbProcedure="false">'C01 Borrowing'!$G$9</definedName>
    <definedName function="false" hidden="false" localSheetId="1" name="First_Time_Buyer_Entry" vbProcedure="false">'C01 Borrowing'!$C$9</definedName>
    <definedName function="false" hidden="false" localSheetId="1" name="Home_Goal_Years" vbProcedure="false">'C01 Borrowing'!$G$13</definedName>
    <definedName function="false" hidden="false" localSheetId="1" name="Home_Goal_Years_Entry" vbProcedure="false">'C01 Borrowing'!$C$13</definedName>
    <definedName function="false" hidden="false" localSheetId="1" name="Home_Price" vbProcedure="false">'C01 Borrowing'!$C$17</definedName>
    <definedName function="false" hidden="false" localSheetId="1" name="Income" vbProcedure="false">'C01 Borrowing'!$G$6</definedName>
    <definedName function="false" hidden="false" localSheetId="1" name="Income_Cash" vbProcedure="false">'C01 Borrowing'!$C$28</definedName>
    <definedName function="false" hidden="false" localSheetId="1" name="Income_Entry" vbProcedure="false">'C01 Borrowing'!$C$6</definedName>
    <definedName function="false" hidden="false" localSheetId="1" name="Income_Multiple" vbProcedure="false">'C01 Borrowing'!$C$22</definedName>
    <definedName function="false" hidden="false" localSheetId="1" name="Interest_Rate" vbProcedure="false">'C01 Borrowing'!$G$10</definedName>
    <definedName function="false" hidden="false" localSheetId="1" name="Interest_Rate_Entry" vbProcedure="false">'C01 Borrowing'!$C$10</definedName>
    <definedName function="false" hidden="false" localSheetId="1" name="Limit_Set_By" vbProcedure="false">'C01 Borrowing'!$C$30</definedName>
    <definedName function="false" hidden="false" localSheetId="1" name="Max_Loan" vbProcedure="false">'C01 Borrowing'!$C$18</definedName>
    <definedName function="false" hidden="false" localSheetId="1" name="Monthly_Repayment" vbProcedure="false">'C01 Borrowing'!$C$19</definedName>
    <definedName function="false" hidden="false" localSheetId="1" name="Need_1" vbProcedure="false">'C01 Borrowing'!$C$49</definedName>
    <definedName function="false" hidden="false" localSheetId="1" name="Need_2" vbProcedure="false">'C01 Borrowing'!$C$50</definedName>
    <definedName function="false" hidden="false" localSheetId="1" name="Need_3" vbProcedure="false">'C01 Borrowing'!$C$51</definedName>
    <definedName function="false" hidden="false" localSheetId="1" name="Need_4" vbProcedure="false">'C01 Borrowing'!$C$52</definedName>
    <definedName function="false" hidden="false" localSheetId="1" name="Need_5" vbProcedure="false">'C01 Borrowing'!$C$53</definedName>
    <definedName function="false" hidden="false" localSheetId="1" name="Need_6" vbProcedure="false">'C01 Borrowing'!$C$54</definedName>
    <definedName function="false" hidden="false" localSheetId="1" name="Need_7" vbProcedure="false">'C01 Borrowing'!$C$55</definedName>
    <definedName function="false" hidden="false" localSheetId="1" name="Partner_Income" vbProcedure="false">'C01 Borrowing'!$G$7</definedName>
    <definedName function="false" hidden="false" localSheetId="1" name="Partner_Income_Entry" vbProcedure="false">'C01 Borrowing'!$C$7</definedName>
    <definedName function="false" hidden="false" localSheetId="1" name="Plan_Goal_Amount" vbProcedure="false">'C01 Borrowing'!$C$44</definedName>
    <definedName function="false" hidden="false" localSheetId="1" name="Plan_Goal_Kind" vbProcedure="false">'C01 Borrowing'!$C$43</definedName>
    <definedName function="false" hidden="false" localSheetId="1" name="Plan_Goal_Saved" vbProcedure="false">'C01 Borrowing'!$C$45</definedName>
    <definedName function="false" hidden="false" localSheetId="1" name="Plan_Goal_Years" vbProcedure="false">'C01 Borrowing'!$C$46</definedName>
    <definedName function="false" hidden="false" localSheetId="1" name="Price_By_Deposit" vbProcedure="false">'C01 Borrowing'!$C$27</definedName>
    <definedName function="false" hidden="false" localSheetId="1" name="Price_By_Income" vbProcedure="false">'C01 Borrowing'!$C$29</definedName>
    <definedName function="false" hidden="false" localSheetId="1" name="Stamp_Duty" vbProcedure="false">'C01 Borrowing'!$C$20</definedName>
    <definedName function="false" hidden="false" localSheetId="1" name="Term_Years" vbProcedure="false">'C01 Borrowing'!$G$11</definedName>
    <definedName function="false" hidden="false" localSheetId="1" name="Term_Years_Entry" vbProcedure="false">'C01 Borrowing'!$C$11</definedName>
    <definedName function="false" hidden="false" localSheetId="1" name="Total_Deposit" vbProcedure="false">'C01 Borrowing'!$C$23</definedName>
    <definedName function="false" hidden="false" localSheetId="2" name="Actual_Repayment" vbProcedure="false">'C02 Mortgage repayment'!$G$17</definedName>
    <definedName function="false" hidden="false" localSheetId="2" name="Actual_Repayment_Entry" vbProcedure="false">'C02 Mortgage repayment'!$C$17</definedName>
    <definedName function="false" hidden="false" localSheetId="2" name="Change_Per_Year" vbProcedure="false">'C02 Mortgage repayment'!$C$38</definedName>
    <definedName function="false" hidden="false" localSheetId="2" name="Final_Payment" vbProcedure="false">'C02 Mortgage repayment'!$C$35</definedName>
    <definedName function="false" hidden="false" localSheetId="2" name="Formula_Repayment" vbProcedure="false">'C02 Mortgage repayment'!$C$34</definedName>
    <definedName function="false" hidden="false" localSheetId="2" name="Home_Goal_Years" vbProcedure="false">'C02 Mortgage repayment'!$G$18</definedName>
    <definedName function="false" hidden="false" localSheetId="2" name="Home_Goal_Years_Entry" vbProcedure="false">'C02 Mortgage repayment'!$C$18</definedName>
    <definedName function="false" hidden="false" localSheetId="2" name="Interest_Rate" vbProcedure="false">'C02 Mortgage repayment'!$G$15</definedName>
    <definedName function="false" hidden="false" localSheetId="2" name="Interest_Rate_Entry" vbProcedure="false">'C02 Mortgage repayment'!$C$15</definedName>
    <definedName function="false" hidden="false" localSheetId="2" name="Loan_Amount" vbProcedure="false">'C02 Mortgage repayment'!$G$14</definedName>
    <definedName function="false" hidden="false" localSheetId="2" name="Loan_Amount_Entry" vbProcedure="false">'C02 Mortgage repayment'!$C$14</definedName>
    <definedName function="false" hidden="false" localSheetId="2" name="Monthly_Rate" vbProcedure="false">'C02 Mortgage repayment'!$C$33</definedName>
    <definedName function="false" hidden="false" localSheetId="2" name="Monthly_Repayment" vbProcedure="false">'C02 Mortgage repayment'!$C$29</definedName>
    <definedName function="false" hidden="false" localSheetId="2" name="Months_To_Pay" vbProcedure="false">'C02 Mortgage repayment'!$C$30</definedName>
    <definedName function="false" hidden="false" localSheetId="2" name="Need_1" vbProcedure="false">'C02 Mortgage repayment'!$C$57</definedName>
    <definedName function="false" hidden="false" localSheetId="2" name="Need_2" vbProcedure="false">'C02 Mortgage repayment'!$C$58</definedName>
    <definedName function="false" hidden="false" localSheetId="2" name="Need_3" vbProcedure="false">'C02 Mortgage repayment'!$C$59</definedName>
    <definedName function="false" hidden="false" localSheetId="2" name="Need_4" vbProcedure="false">'C02 Mortgage repayment'!$C$60</definedName>
    <definedName function="false" hidden="false" localSheetId="2" name="Need_5" vbProcedure="false">'C02 Mortgage repayment'!$C$61</definedName>
    <definedName function="false" hidden="false" localSheetId="2" name="New_Rate" vbProcedure="false">'C02 Mortgage repayment'!$C$36</definedName>
    <definedName function="false" hidden="false" localSheetId="2" name="Plan_Goal_Amount" vbProcedure="false">'C02 Mortgage repayment'!$C$52</definedName>
    <definedName function="false" hidden="false" localSheetId="2" name="Plan_Goal_Kind" vbProcedure="false">'C02 Mortgage repayment'!$C$51</definedName>
    <definedName function="false" hidden="false" localSheetId="2" name="Plan_Goal_Years" vbProcedure="false">'C02 Mortgage repayment'!$C$53</definedName>
    <definedName function="false" hidden="false" localSheetId="2" name="Rate_Change" vbProcedure="false">'C02 Mortgage repayment'!$G$19</definedName>
    <definedName function="false" hidden="false" localSheetId="2" name="Rate_Change_Entry" vbProcedure="false">'C02 Mortgage repayment'!$C$19</definedName>
    <definedName function="false" hidden="false" localSheetId="2" name="Repayment_If_Changed" vbProcedure="false">'C02 Mortgage repayment'!$C$37</definedName>
    <definedName function="false" hidden="false" localSheetId="2" name="Statement_Check" vbProcedure="false">'C02 Mortgage repayment'!$C$26</definedName>
    <definedName function="false" hidden="false" localSheetId="2" name="Stmt_Balance" vbProcedure="false">'C02 Mortgage repayment'!$C$7</definedName>
    <definedName function="false" hidden="false" localSheetId="2" name="Stmt_Rate" vbProcedure="false">'C02 Mortgage repayment'!$C$8</definedName>
    <definedName function="false" hidden="false" localSheetId="2" name="Stmt_Repayment" vbProcedure="false">'C02 Mortgage repayment'!$C$10</definedName>
    <definedName function="false" hidden="false" localSheetId="2" name="Stmt_Statement_Date" vbProcedure="false">'C02 Mortgage repayment'!$C$11</definedName>
    <definedName function="false" hidden="false" localSheetId="2" name="Stmt_Term" vbProcedure="false">'C02 Mortgage repayment'!$C$9</definedName>
    <definedName function="false" hidden="false" localSheetId="2" name="Term_Years" vbProcedure="false">'C02 Mortgage repayment'!$G$16</definedName>
    <definedName function="false" hidden="false" localSheetId="2" name="Term_Years_Entry" vbProcedure="false">'C02 Mortgage repayment'!$C$16</definedName>
    <definedName function="false" hidden="false" localSheetId="2" name="Total_Interest" vbProcedure="false">'C02 Mortgage repayment'!$C$31</definedName>
    <definedName function="false" hidden="false" localSheetId="2" name="Total_Repaid" vbProcedure="false">'C02 Mortgage repayment'!$C$32</definedName>
    <definedName function="false" hidden="false" localSheetId="2" name="Used_Actual_Repayment" vbProcedure="false">'C02 Mortgage repayment'!$C$25</definedName>
    <definedName function="false" hidden="false" localSheetId="2" name="Used_Interest_Rate" vbProcedure="false">'C02 Mortgage repayment'!$C$23</definedName>
    <definedName function="false" hidden="false" localSheetId="2" name="Used_Loan_Amount" vbProcedure="false">'C02 Mortgage repayment'!$C$22</definedName>
    <definedName function="false" hidden="false" localSheetId="2" name="Used_Term_Years" vbProcedure="false">'C02 Mortgage repayment'!$C$24</definedName>
    <definedName function="false" hidden="false" localSheetId="3" name="Buying_Fees" vbProcedure="false">'C03 Deposit'!$G$8</definedName>
    <definedName function="false" hidden="false" localSheetId="3" name="Buying_Fees_Entry" vbProcedure="false">'C03 Deposit'!$C$8</definedName>
    <definedName function="false" hidden="false" localSheetId="3" name="Deposit_Needed" vbProcedure="false">'C03 Deposit'!$C$17</definedName>
    <definedName function="false" hidden="false" localSheetId="3" name="Deposit_Pct" vbProcedure="false">'C03 Deposit'!$G$7</definedName>
    <definedName function="false" hidden="false" localSheetId="3" name="Deposit_Pct_Entry" vbProcedure="false">'C03 Deposit'!$C$7</definedName>
    <definedName function="false" hidden="false" localSheetId="3" name="Extra_Saving" vbProcedure="false">'C03 Deposit'!$G$11</definedName>
    <definedName function="false" hidden="false" localSheetId="3" name="Extra_Saving_Entry" vbProcedure="false">'C03 Deposit'!$C$11</definedName>
    <definedName function="false" hidden="false" localSheetId="3" name="Home_Price" vbProcedure="false">'C03 Deposit'!$G$6</definedName>
    <definedName function="false" hidden="false" localSheetId="3" name="Home_Price_Entry" vbProcedure="false">'C03 Deposit'!$C$6</definedName>
    <definedName function="false" hidden="false" localSheetId="3" name="Monthly_Saving" vbProcedure="false">'C03 Deposit'!$G$10</definedName>
    <definedName function="false" hidden="false" localSheetId="3" name="Monthly_Saving_Entry" vbProcedure="false">'C03 Deposit'!$C$10</definedName>
    <definedName function="false" hidden="false" localSheetId="3" name="Months_To_Deposit" vbProcedure="false">'C03 Deposit'!$C$14</definedName>
    <definedName function="false" hidden="false" localSheetId="3" name="Need_1" vbProcedure="false">'C03 Deposit'!$C$35</definedName>
    <definedName function="false" hidden="false" localSheetId="3" name="Need_2" vbProcedure="false">'C03 Deposit'!$C$36</definedName>
    <definedName function="false" hidden="false" localSheetId="3" name="Need_3" vbProcedure="false">'C03 Deposit'!$C$37</definedName>
    <definedName function="false" hidden="false" localSheetId="3" name="Need_4" vbProcedure="false">'C03 Deposit'!$C$38</definedName>
    <definedName function="false" hidden="false" localSheetId="3" name="Need_5" vbProcedure="false">'C03 Deposit'!$C$39</definedName>
    <definedName function="false" hidden="false" localSheetId="3" name="Need_6" vbProcedure="false">'C03 Deposit'!$C$40</definedName>
    <definedName function="false" hidden="false" localSheetId="3" name="Plan_Goal_Amount" vbProcedure="false">'C03 Deposit'!$C$30</definedName>
    <definedName function="false" hidden="false" localSheetId="3" name="Plan_Goal_Kind" vbProcedure="false">'C03 Deposit'!$C$29</definedName>
    <definedName function="false" hidden="false" localSheetId="3" name="Plan_Goal_Saved" vbProcedure="false">'C03 Deposit'!$C$31</definedName>
    <definedName function="false" hidden="false" localSheetId="3" name="Plan_Goal_Years" vbProcedure="false">'C03 Deposit'!$C$32</definedName>
    <definedName function="false" hidden="false" localSheetId="3" name="Saved" vbProcedure="false">'C03 Deposit'!$G$9</definedName>
    <definedName function="false" hidden="false" localSheetId="3" name="Saved_Entry" vbProcedure="false">'C03 Deposit'!$C$9</definedName>
    <definedName function="false" hidden="false" localSheetId="3" name="Stamp_Duty" vbProcedure="false">'C03 Deposit'!$C$18</definedName>
    <definedName function="false" hidden="false" localSheetId="3" name="Still_To_Save" vbProcedure="false">'C03 Deposit'!$C$16</definedName>
    <definedName function="false" hidden="false" localSheetId="3" name="Total_Needed" vbProcedure="false">'C03 Deposit'!$C$15</definedName>
    <definedName function="false" hidden="false" localSheetId="4" name="Actual_Repayment" vbProcedure="false">'C04 Mortgage overpayment'!$G$18</definedName>
    <definedName function="false" hidden="false" localSheetId="4" name="Actual_Repayment_Entry" vbProcedure="false">'C04 Mortgage overpayment'!$C$18</definedName>
    <definedName function="false" hidden="false" localSheetId="4" name="Extra_Payment" vbProcedure="false">'C04 Mortgage overpayment'!$G$17</definedName>
    <definedName function="false" hidden="false" localSheetId="4" name="Extra_Payment_Entry" vbProcedure="false">'C04 Mortgage overpayment'!$C$17</definedName>
    <definedName function="false" hidden="false" localSheetId="4" name="Interest_Now" vbProcedure="false">'C04 Mortgage overpayment'!$C$37</definedName>
    <definedName function="false" hidden="false" localSheetId="4" name="Interest_Rate" vbProcedure="false">'C04 Mortgage overpayment'!$G$15</definedName>
    <definedName function="false" hidden="false" localSheetId="4" name="Interest_Rate_Entry" vbProcedure="false">'C04 Mortgage overpayment'!$C$15</definedName>
    <definedName function="false" hidden="false" localSheetId="4" name="Interest_Saved" vbProcedure="false">'C04 Mortgage overpayment'!$C$29</definedName>
    <definedName function="false" hidden="false" localSheetId="4" name="Interest_With_Extra" vbProcedure="false">'C04 Mortgage overpayment'!$C$38</definedName>
    <definedName function="false" hidden="false" localSheetId="4" name="Last_Payment_Now" vbProcedure="false">'C04 Mortgage overpayment'!$C$35</definedName>
    <definedName function="false" hidden="false" localSheetId="4" name="Last_Payment_With_Extra" vbProcedure="false">'C04 Mortgage overpayment'!$C$36</definedName>
    <definedName function="false" hidden="false" localSheetId="4" name="Monthly_Rate" vbProcedure="false">'C04 Mortgage overpayment'!$C$32</definedName>
    <definedName function="false" hidden="false" localSheetId="4" name="Months_Now" vbProcedure="false">'C04 Mortgage overpayment'!$C$30</definedName>
    <definedName function="false" hidden="false" localSheetId="4" name="Months_Sooner" vbProcedure="false">'C04 Mortgage overpayment'!$C$28</definedName>
    <definedName function="false" hidden="false" localSheetId="4" name="Months_With_Extra" vbProcedure="false">'C04 Mortgage overpayment'!$C$31</definedName>
    <definedName function="false" hidden="false" localSheetId="4" name="Mortgage_Balance" vbProcedure="false">'C04 Mortgage overpayment'!$G$14</definedName>
    <definedName function="false" hidden="false" localSheetId="4" name="Mortgage_Balance_Entry" vbProcedure="false">'C04 Mortgage overpayment'!$C$14</definedName>
    <definedName function="false" hidden="false" localSheetId="4" name="Need_1" vbProcedure="false">'C04 Mortgage overpayment'!$C$56</definedName>
    <definedName function="false" hidden="false" localSheetId="4" name="Need_2" vbProcedure="false">'C04 Mortgage overpayment'!$C$57</definedName>
    <definedName function="false" hidden="false" localSheetId="4" name="Need_3" vbProcedure="false">'C04 Mortgage overpayment'!$C$58</definedName>
    <definedName function="false" hidden="false" localSheetId="4" name="Plan_Goal_Kind" vbProcedure="false">'C04 Mortgage overpayment'!$C$51</definedName>
    <definedName function="false" hidden="false" localSheetId="4" name="Plan_Goal_Years" vbProcedure="false">'C04 Mortgage overpayment'!$C$52</definedName>
    <definedName function="false" hidden="false" localSheetId="4" name="Repayment_Now" vbProcedure="false">'C04 Mortgage overpayment'!$C$33</definedName>
    <definedName function="false" hidden="false" localSheetId="4" name="Repayment_With_Extra" vbProcedure="false">'C04 Mortgage overpayment'!$C$34</definedName>
    <definedName function="false" hidden="false" localSheetId="4" name="Statement_Check" vbProcedure="false">'C04 Mortgage overpayment'!$C$25</definedName>
    <definedName function="false" hidden="false" localSheetId="4" name="Stmt_Balance" vbProcedure="false">'C04 Mortgage overpayment'!$C$7</definedName>
    <definedName function="false" hidden="false" localSheetId="4" name="Stmt_Rate" vbProcedure="false">'C04 Mortgage overpayment'!$C$8</definedName>
    <definedName function="false" hidden="false" localSheetId="4" name="Stmt_Repayment" vbProcedure="false">'C04 Mortgage overpayment'!$C$10</definedName>
    <definedName function="false" hidden="false" localSheetId="4" name="Stmt_Statement_Date" vbProcedure="false">'C04 Mortgage overpayment'!$C$11</definedName>
    <definedName function="false" hidden="false" localSheetId="4" name="Stmt_Term" vbProcedure="false">'C04 Mortgage overpayment'!$C$9</definedName>
    <definedName function="false" hidden="false" localSheetId="4" name="Used_Actual_Repayment" vbProcedure="false">'C04 Mortgage overpayment'!$C$24</definedName>
    <definedName function="false" hidden="false" localSheetId="4" name="Used_Interest_Rate" vbProcedure="false">'C04 Mortgage overpayment'!$C$22</definedName>
    <definedName function="false" hidden="false" localSheetId="4" name="Used_Mortgage_Balance" vbProcedure="false">'C04 Mortgage overpayment'!$C$21</definedName>
    <definedName function="false" hidden="false" localSheetId="4" name="Used_Years_Left" vbProcedure="false">'C04 Mortgage overpayment'!$C$23</definedName>
    <definedName function="false" hidden="false" localSheetId="4" name="Years_Left" vbProcedure="false">'C04 Mortgage overpayment'!$G$16</definedName>
    <definedName function="false" hidden="false" localSheetId="4" name="Years_Left_Entry" vbProcedure="false">'C04 Mortgage overpayment'!$C$16</definedName>
    <definedName function="false" hidden="false" localSheetId="5" name="Actual_Repayment" vbProcedure="false">'C05 Interest rate impact'!$G$18</definedName>
    <definedName function="false" hidden="false" localSheetId="5" name="Actual_Repayment_Entry" vbProcedure="false">'C05 Interest rate impact'!$C$18</definedName>
    <definedName function="false" hidden="false" localSheetId="5" name="Current_Rate" vbProcedure="false">'C05 Interest rate impact'!$G$15</definedName>
    <definedName function="false" hidden="false" localSheetId="5" name="Current_Rate_Entry" vbProcedure="false">'C05 Interest rate impact'!$C$15</definedName>
    <definedName function="false" hidden="false" localSheetId="5" name="Formula_Now" vbProcedure="false">'C05 Interest rate impact'!$C$32</definedName>
    <definedName function="false" hidden="false" localSheetId="5" name="Monthly_Change" vbProcedure="false">'C05 Interest rate impact'!$C$28</definedName>
    <definedName function="false" hidden="false" localSheetId="5" name="Mortgage_Balance" vbProcedure="false">'C05 Interest rate impact'!$G$14</definedName>
    <definedName function="false" hidden="false" localSheetId="5" name="Mortgage_Balance_Entry" vbProcedure="false">'C05 Interest rate impact'!$C$14</definedName>
    <definedName function="false" hidden="false" localSheetId="5" name="Need_1" vbProcedure="false">'C05 Interest rate impact'!$C$46</definedName>
    <definedName function="false" hidden="false" localSheetId="5" name="Need_2" vbProcedure="false">'C05 Interest rate impact'!$C$47</definedName>
    <definedName function="false" hidden="false" localSheetId="5" name="Need_3" vbProcedure="false">'C05 Interest rate impact'!$C$48</definedName>
    <definedName function="false" hidden="false" localSheetId="5" name="Need_4" vbProcedure="false">'C05 Interest rate impact'!$C$49</definedName>
    <definedName function="false" hidden="false" localSheetId="5" name="New_Rate" vbProcedure="false">'C05 Interest rate impact'!$C$33</definedName>
    <definedName function="false" hidden="false" localSheetId="5" name="Plan_Goal_Kind" vbProcedure="false">'C05 Interest rate impact'!$C$43</definedName>
    <definedName function="false" hidden="false" localSheetId="5" name="Rate_Change" vbProcedure="false">'C05 Interest rate impact'!$G$17</definedName>
    <definedName function="false" hidden="false" localSheetId="5" name="Rate_Change_Entry" vbProcedure="false">'C05 Interest rate impact'!$C$17</definedName>
    <definedName function="false" hidden="false" localSheetId="5" name="Repayment_After" vbProcedure="false">'C05 Interest rate impact'!$C$30</definedName>
    <definedName function="false" hidden="false" localSheetId="5" name="Repayment_Now" vbProcedure="false">'C05 Interest rate impact'!$C$29</definedName>
    <definedName function="false" hidden="false" localSheetId="5" name="Statement_Check" vbProcedure="false">'C05 Interest rate impact'!$C$25</definedName>
    <definedName function="false" hidden="false" localSheetId="5" name="Stmt_Balance" vbProcedure="false">'C05 Interest rate impact'!$C$7</definedName>
    <definedName function="false" hidden="false" localSheetId="5" name="Stmt_Rate" vbProcedure="false">'C05 Interest rate impact'!$C$8</definedName>
    <definedName function="false" hidden="false" localSheetId="5" name="Stmt_Repayment" vbProcedure="false">'C05 Interest rate impact'!$C$10</definedName>
    <definedName function="false" hidden="false" localSheetId="5" name="Stmt_Statement_Date" vbProcedure="false">'C05 Interest rate impact'!$C$11</definedName>
    <definedName function="false" hidden="false" localSheetId="5" name="Stmt_Term" vbProcedure="false">'C05 Interest rate impact'!$C$9</definedName>
    <definedName function="false" hidden="false" localSheetId="5" name="Used_Actual_Repayment" vbProcedure="false">'C05 Interest rate impact'!$C$24</definedName>
    <definedName function="false" hidden="false" localSheetId="5" name="Used_Current_Rate" vbProcedure="false">'C05 Interest rate impact'!$C$22</definedName>
    <definedName function="false" hidden="false" localSheetId="5" name="Used_Mortgage_Balance" vbProcedure="false">'C05 Interest rate impact'!$C$21</definedName>
    <definedName function="false" hidden="false" localSheetId="5" name="Used_Years_Left" vbProcedure="false">'C05 Interest rate impact'!$C$23</definedName>
    <definedName function="false" hidden="false" localSheetId="5" name="Yearly_Change" vbProcedure="false">'C05 Interest rate impact'!$C$31</definedName>
    <definedName function="false" hidden="false" localSheetId="5" name="Years_Left" vbProcedure="false">'C05 Interest rate impact'!$G$16</definedName>
    <definedName function="false" hidden="false" localSheetId="5" name="Years_Left_Entry" vbProcedure="false">'C05 Interest rate impact'!$C$16</definedName>
    <definedName function="false" hidden="false" localSheetId="6" name="Interest_A" vbProcedure="false">'C06 Term comparison'!$C$28</definedName>
    <definedName function="false" hidden="false" localSheetId="6" name="Interest_B" vbProcedure="false">'C06 Term comparison'!$C$29</definedName>
    <definedName function="false" hidden="false" localSheetId="6" name="Interest_Difference" vbProcedure="false">'C06 Term comparison'!$C$25</definedName>
    <definedName function="false" hidden="false" localSheetId="6" name="Interest_Rate" vbProcedure="false">'C06 Term comparison'!$G$14</definedName>
    <definedName function="false" hidden="false" localSheetId="6" name="Interest_Rate_Entry" vbProcedure="false">'C06 Term comparison'!$C$14</definedName>
    <definedName function="false" hidden="false" localSheetId="6" name="Loan_Amount" vbProcedure="false">'C06 Term comparison'!$G$13</definedName>
    <definedName function="false" hidden="false" localSheetId="6" name="Loan_Amount_Entry" vbProcedure="false">'C06 Term comparison'!$C$13</definedName>
    <definedName function="false" hidden="false" localSheetId="6" name="Monthly_A" vbProcedure="false">'C06 Term comparison'!$C$26</definedName>
    <definedName function="false" hidden="false" localSheetId="6" name="Monthly_B" vbProcedure="false">'C06 Term comparison'!$C$27</definedName>
    <definedName function="false" hidden="false" localSheetId="6" name="Need_1" vbProcedure="false">'C06 Term comparison'!$C$42</definedName>
    <definedName function="false" hidden="false" localSheetId="6" name="Need_2" vbProcedure="false">'C06 Term comparison'!$C$43</definedName>
    <definedName function="false" hidden="false" localSheetId="6" name="Need_3" vbProcedure="false">'C06 Term comparison'!$C$44</definedName>
    <definedName function="false" hidden="false" localSheetId="6" name="Plan_Goal_Kind" vbProcedure="false">'C06 Term comparison'!$C$39</definedName>
    <definedName function="false" hidden="false" localSheetId="6" name="Statement_Check" vbProcedure="false">'C06 Term comparison'!$C$22</definedName>
    <definedName function="false" hidden="false" localSheetId="6" name="Stmt_Balance" vbProcedure="false">'C06 Term comparison'!$C$7</definedName>
    <definedName function="false" hidden="false" localSheetId="6" name="Stmt_Rate" vbProcedure="false">'C06 Term comparison'!$C$8</definedName>
    <definedName function="false" hidden="false" localSheetId="6" name="Stmt_Statement_Date" vbProcedure="false">'C06 Term comparison'!$C$10</definedName>
    <definedName function="false" hidden="false" localSheetId="6" name="Stmt_Term" vbProcedure="false">'C06 Term comparison'!$C$9</definedName>
    <definedName function="false" hidden="false" localSheetId="6" name="Term_A" vbProcedure="false">'C06 Term comparison'!$G$15</definedName>
    <definedName function="false" hidden="false" localSheetId="6" name="Term_A_Entry" vbProcedure="false">'C06 Term comparison'!$C$15</definedName>
    <definedName function="false" hidden="false" localSheetId="6" name="Term_B" vbProcedure="false">'C06 Term comparison'!$G$16</definedName>
    <definedName function="false" hidden="false" localSheetId="6" name="Term_B_Entry" vbProcedure="false">'C06 Term comparison'!$C$16</definedName>
    <definedName function="false" hidden="false" localSheetId="6" name="Used_Interest_Rate" vbProcedure="false">'C06 Term comparison'!$C$20</definedName>
    <definedName function="false" hidden="false" localSheetId="6" name="Used_Loan_Amount" vbProcedure="false">'C06 Term comparison'!$C$19</definedName>
    <definedName function="false" hidden="false" localSheetId="6" name="Used_Term_A" vbProcedure="false">'C06 Term comparison'!$C$21</definedName>
    <definedName function="false" hidden="false" localSheetId="7" name="Balance_After" vbProcedure="false">'C07 Rent vs buy'!$C$26</definedName>
    <definedName function="false" hidden="false" localSheetId="7" name="Buying_Costs" vbProcedure="false">'C07 Rent vs buy'!$C$22</definedName>
    <definedName function="false" hidden="false" localSheetId="7" name="Buying_Fees" vbProcedure="false">'C07 Rent vs buy'!$G$15</definedName>
    <definedName function="false" hidden="false" localSheetId="7" name="Buying_Fees_Entry" vbProcedure="false">'C07 Rent vs buy'!$C$15</definedName>
    <definedName function="false" hidden="false" localSheetId="7" name="Deposit" vbProcedure="false">'C07 Rent vs buy'!$G$8</definedName>
    <definedName function="false" hidden="false" localSheetId="7" name="Deposit_Entry" vbProcedure="false">'C07 Rent vs buy'!$C$8</definedName>
    <definedName function="false" hidden="false" localSheetId="7" name="Deposit_Used" vbProcedure="false">'C07 Rent vs buy'!$C$18</definedName>
    <definedName function="false" hidden="false" localSheetId="7" name="Home_Equity" vbProcedure="false">'C07 Rent vs buy'!$C$20</definedName>
    <definedName function="false" hidden="false" localSheetId="7" name="Home_Goal_Years" vbProcedure="false">'C07 Rent vs buy'!$G$17</definedName>
    <definedName function="false" hidden="false" localSheetId="7" name="Home_Goal_Years_Entry" vbProcedure="false">'C07 Rent vs buy'!$C$17</definedName>
    <definedName function="false" hidden="false" localSheetId="7" name="Home_Price" vbProcedure="false">'C07 Rent vs buy'!$G$7</definedName>
    <definedName function="false" hidden="false" localSheetId="7" name="Home_Price_Entry" vbProcedure="false">'C07 Rent vs buy'!$C$7</definedName>
    <definedName function="false" hidden="false" localSheetId="7" name="Home_Value" vbProcedure="false">'C07 Rent vs buy'!$C$23</definedName>
    <definedName function="false" hidden="false" localSheetId="7" name="House_Growth" vbProcedure="false">'C07 Rent vs buy'!$G$12</definedName>
    <definedName function="false" hidden="false" localSheetId="7" name="House_Growth_Entry" vbProcedure="false">'C07 Rent vs buy'!$C$12</definedName>
    <definedName function="false" hidden="false" localSheetId="7" name="Interest_Paid" vbProcedure="false">'C07 Rent vs buy'!$C$27</definedName>
    <definedName function="false" hidden="false" localSheetId="7" name="Loan" vbProcedure="false">'C07 Rent vs buy'!$C$24</definedName>
    <definedName function="false" hidden="false" localSheetId="7" name="Monthly_Rent" vbProcedure="false">'C07 Rent vs buy'!$G$6</definedName>
    <definedName function="false" hidden="false" localSheetId="7" name="Monthly_Rent_Entry" vbProcedure="false">'C07 Rent vs buy'!$C$6</definedName>
    <definedName function="false" hidden="false" localSheetId="7" name="Monthly_Repayment" vbProcedure="false">'C07 Rent vs buy'!$C$25</definedName>
    <definedName function="false" hidden="false" localSheetId="7" name="Mortgage_Rate" vbProcedure="false">'C07 Rent vs buy'!$G$9</definedName>
    <definedName function="false" hidden="false" localSheetId="7" name="Mortgage_Rate_Entry" vbProcedure="false">'C07 Rent vs buy'!$C$9</definedName>
    <definedName function="false" hidden="false" localSheetId="7" name="Need_1" vbProcedure="false">'C07 Rent vs buy'!$C$46</definedName>
    <definedName function="false" hidden="false" localSheetId="7" name="Need_10" vbProcedure="false">'C07 Rent vs buy'!$C$55</definedName>
    <definedName function="false" hidden="false" localSheetId="7" name="Need_11" vbProcedure="false">'C07 Rent vs buy'!$C$56</definedName>
    <definedName function="false" hidden="false" localSheetId="7" name="Need_12" vbProcedure="false">'C07 Rent vs buy'!$C$57</definedName>
    <definedName function="false" hidden="false" localSheetId="7" name="Need_2" vbProcedure="false">'C07 Rent vs buy'!$C$47</definedName>
    <definedName function="false" hidden="false" localSheetId="7" name="Need_3" vbProcedure="false">'C07 Rent vs buy'!$C$48</definedName>
    <definedName function="false" hidden="false" localSheetId="7" name="Need_4" vbProcedure="false">'C07 Rent vs buy'!$C$49</definedName>
    <definedName function="false" hidden="false" localSheetId="7" name="Need_5" vbProcedure="false">'C07 Rent vs buy'!$C$50</definedName>
    <definedName function="false" hidden="false" localSheetId="7" name="Need_6" vbProcedure="false">'C07 Rent vs buy'!$C$51</definedName>
    <definedName function="false" hidden="false" localSheetId="7" name="Need_7" vbProcedure="false">'C07 Rent vs buy'!$C$52</definedName>
    <definedName function="false" hidden="false" localSheetId="7" name="Need_8" vbProcedure="false">'C07 Rent vs buy'!$C$53</definedName>
    <definedName function="false" hidden="false" localSheetId="7" name="Need_9" vbProcedure="false">'C07 Rent vs buy'!$C$54</definedName>
    <definedName function="false" hidden="false" localSheetId="7" name="Opportunity_Cost" vbProcedure="false">'C07 Rent vs buy'!$C$30</definedName>
    <definedName function="false" hidden="false" localSheetId="7" name="Opp_Rate" vbProcedure="false">'C07 Rent vs buy'!$G$16</definedName>
    <definedName function="false" hidden="false" localSheetId="7" name="Opp_Rate_Entry" vbProcedure="false">'C07 Rent vs buy'!$C$16</definedName>
    <definedName function="false" hidden="false" localSheetId="7" name="Plan_Goal_Amount" vbProcedure="false">'C07 Rent vs buy'!$C$42</definedName>
    <definedName function="false" hidden="false" localSheetId="7" name="Plan_Goal_Kind" vbProcedure="false">'C07 Rent vs buy'!$C$41</definedName>
    <definedName function="false" hidden="false" localSheetId="7" name="Plan_Goal_Years" vbProcedure="false">'C07 Rent vs buy'!$C$43</definedName>
    <definedName function="false" hidden="false" localSheetId="7" name="RentBuy_Term" vbProcedure="false">'C07 Rent vs buy'!$G$10</definedName>
    <definedName function="false" hidden="false" localSheetId="7" name="RentBuy_Term_Entry" vbProcedure="false">'C07 Rent vs buy'!$C$10</definedName>
    <definedName function="false" hidden="false" localSheetId="7" name="Rent_Growth" vbProcedure="false">'C07 Rent vs buy'!$G$13</definedName>
    <definedName function="false" hidden="false" localSheetId="7" name="Rent_Growth_Entry" vbProcedure="false">'C07 Rent vs buy'!$C$13</definedName>
    <definedName function="false" hidden="false" localSheetId="7" name="Rent_Paid" vbProcedure="false">'C07 Rent vs buy'!$C$21</definedName>
    <definedName function="false" hidden="false" localSheetId="7" name="Stamp_Duty" vbProcedure="false">'C07 Rent vs buy'!$C$29</definedName>
    <definedName function="false" hidden="false" localSheetId="7" name="Upkeep" vbProcedure="false">'C07 Rent vs buy'!$C$28</definedName>
    <definedName function="false" hidden="false" localSheetId="7" name="Upkeep_Rate" vbProcedure="false">'C07 Rent vs buy'!$G$14</definedName>
    <definedName function="false" hidden="false" localSheetId="7" name="Upkeep_Rate_Entry" vbProcedure="false">'C07 Rent vs buy'!$C$14</definedName>
    <definedName function="false" hidden="false" localSheetId="7" name="Years" vbProcedure="false">'C07 Rent vs buy'!$G$11</definedName>
    <definedName function="false" hidden="false" localSheetId="7" name="Years_Entry" vbProcedure="false">'C07 Rent vs buy'!$C$11</definedName>
    <definedName function="false" hidden="false" localSheetId="8" name="Future_Cost" vbProcedure="false">'C08 Goal planner'!$C$17</definedName>
    <definedName function="false" hidden="false" localSheetId="8" name="Goal_Amount" vbProcedure="false">'C08 Goal planner'!$G$10</definedName>
    <definedName function="false" hidden="false" localSheetId="8" name="Goal_Amount_Entry" vbProcedure="false">'C08 Goal planner'!$C$10</definedName>
    <definedName function="false" hidden="false" localSheetId="8" name="Growth_Rate" vbProcedure="false">'C08 Goal planner'!$G$13</definedName>
    <definedName function="false" hidden="false" localSheetId="8" name="Growth_Rate_Entry" vbProcedure="false">'C08 Goal planner'!$C$13</definedName>
    <definedName function="false" hidden="false" localSheetId="8" name="Inflation_Choice" vbProcedure="false">'C08 Goal planner'!$G$6</definedName>
    <definedName function="false" hidden="false" localSheetId="8" name="Inflation_Choice_Entry" vbProcedure="false">'C08 Goal planner'!$C$6</definedName>
    <definedName function="false" hidden="false" localSheetId="8" name="Monthly_Growth" vbProcedure="false">'C08 Goal planner'!$C$20</definedName>
    <definedName function="false" hidden="false" localSheetId="8" name="Monthly_Saving" vbProcedure="false">'C08 Goal planner'!$C$16</definedName>
    <definedName function="false" hidden="false" localSheetId="8" name="Need_1" vbProcedure="false">'C08 Goal planner'!$C$39</definedName>
    <definedName function="false" hidden="false" localSheetId="8" name="Need_2" vbProcedure="false">'C08 Goal planner'!$C$40</definedName>
    <definedName function="false" hidden="false" localSheetId="8" name="Need_3" vbProcedure="false">'C08 Goal planner'!$C$41</definedName>
    <definedName function="false" hidden="false" localSheetId="8" name="Need_4" vbProcedure="false">'C08 Goal planner'!$C$42</definedName>
    <definedName function="false" hidden="false" localSheetId="8" name="Need_5" vbProcedure="false">'C08 Goal planner'!$C$43</definedName>
    <definedName function="false" hidden="false" localSheetId="8" name="Need_6" vbProcedure="false">'C08 Goal planner'!$C$44</definedName>
    <definedName function="false" hidden="false" localSheetId="8" name="Need_7" vbProcedure="false">'C08 Goal planner'!$C$45</definedName>
    <definedName function="false" hidden="false" localSheetId="8" name="Plan_Goal_Amount" vbProcedure="false">'C08 Goal planner'!$C$33</definedName>
    <definedName function="false" hidden="false" localSheetId="8" name="Plan_Goal_Kind" vbProcedure="false">'C08 Goal planner'!$C$32</definedName>
    <definedName function="false" hidden="false" localSheetId="8" name="Plan_Goal_Saved" vbProcedure="false">'C08 Goal planner'!$C$34</definedName>
    <definedName function="false" hidden="false" localSheetId="8" name="Plan_Goal_Years" vbProcedure="false">'C08 Goal planner'!$C$35</definedName>
    <definedName function="false" hidden="false" localSheetId="8" name="Plan_Inflation" vbProcedure="false">'C08 Goal planner'!$C$36</definedName>
    <definedName function="false" hidden="false" localSheetId="8" name="Saved" vbProcedure="false">'C08 Goal planner'!$G$12</definedName>
    <definedName function="false" hidden="false" localSheetId="8" name="Saved_Entry" vbProcedure="false">'C08 Goal planner'!$C$12</definedName>
    <definedName function="false" hidden="false" localSheetId="8" name="Saved_Grows_To" vbProcedure="false">'C08 Goal planner'!$C$18</definedName>
    <definedName function="false" hidden="false" localSheetId="8" name="Still_Needed" vbProcedure="false">'C08 Goal planner'!$C$19</definedName>
    <definedName function="false" hidden="false" localSheetId="8" name="Years" vbProcedure="false">'C08 Goal planner'!$G$11</definedName>
    <definedName function="false" hidden="false" localSheetId="8" name="Years_Entry" vbProcedure="false">'C08 Goal planner'!$C$11</definedName>
    <definedName function="false" hidden="false" localSheetId="9" name="Grows_To" vbProcedure="false">'C09 Compound growth'!$C$16</definedName>
    <definedName function="false" hidden="false" localSheetId="9" name="Growth_Earned" vbProcedure="false">'C09 Compound growth'!$C$19</definedName>
    <definedName function="false" hidden="false" localSheetId="9" name="Growth_Rate" vbProcedure="false">'C09 Compound growth'!$G$12</definedName>
    <definedName function="false" hidden="false" localSheetId="9" name="Growth_Rate_Entry" vbProcedure="false">'C09 Compound growth'!$C$12</definedName>
    <definedName function="false" hidden="false" localSheetId="9" name="Inflation_Choice" vbProcedure="false">'C09 Compound growth'!$G$6</definedName>
    <definedName function="false" hidden="false" localSheetId="9" name="Inflation_Choice_Entry" vbProcedure="false">'C09 Compound growth'!$C$6</definedName>
    <definedName function="false" hidden="false" localSheetId="9" name="Monthly_Addition" vbProcedure="false">'C09 Compound growth'!$G$11</definedName>
    <definedName function="false" hidden="false" localSheetId="9" name="Monthly_Addition_Entry" vbProcedure="false">'C09 Compound growth'!$C$11</definedName>
    <definedName function="false" hidden="false" localSheetId="9" name="Monthly_Growth" vbProcedure="false">'C09 Compound growth'!$C$20</definedName>
    <definedName function="false" hidden="false" localSheetId="9" name="Need_1" vbProcedure="false">'C09 Compound growth'!$C$38</definedName>
    <definedName function="false" hidden="false" localSheetId="9" name="Need_2" vbProcedure="false">'C09 Compound growth'!$C$39</definedName>
    <definedName function="false" hidden="false" localSheetId="9" name="Need_3" vbProcedure="false">'C09 Compound growth'!$C$40</definedName>
    <definedName function="false" hidden="false" localSheetId="9" name="Need_4" vbProcedure="false">'C09 Compound growth'!$C$41</definedName>
    <definedName function="false" hidden="false" localSheetId="9" name="Need_5" vbProcedure="false">'C09 Compound growth'!$C$42</definedName>
    <definedName function="false" hidden="false" localSheetId="9" name="Paid_In" vbProcedure="false">'C09 Compound growth'!$C$18</definedName>
    <definedName function="false" hidden="false" localSheetId="9" name="Plan_Goal_Amount" vbProcedure="false">'C09 Compound growth'!$C$32</definedName>
    <definedName function="false" hidden="false" localSheetId="9" name="Plan_Goal_Kind" vbProcedure="false">'C09 Compound growth'!$C$31</definedName>
    <definedName function="false" hidden="false" localSheetId="9" name="Plan_Goal_Years" vbProcedure="false">'C09 Compound growth'!$C$33</definedName>
    <definedName function="false" hidden="false" localSheetId="9" name="Plan_Inflation" vbProcedure="false">'C09 Compound growth'!$C$34</definedName>
    <definedName function="false" hidden="false" localSheetId="9" name="Starting_Amount" vbProcedure="false">'C09 Compound growth'!$G$10</definedName>
    <definedName function="false" hidden="false" localSheetId="9" name="Starting_Amount_Entry" vbProcedure="false">'C09 Compound growth'!$C$10</definedName>
    <definedName function="false" hidden="false" localSheetId="9" name="Value_Today" vbProcedure="false">'C09 Compound growth'!$C$17</definedName>
    <definedName function="false" hidden="false" localSheetId="9" name="Years" vbProcedure="false">'C09 Compound growth'!$G$13</definedName>
    <definedName function="false" hidden="false" localSheetId="9" name="Years_Entry" vbProcedure="false">'C09 Compound growth'!$C$13</definedName>
    <definedName function="false" hidden="false" localSheetId="10" name="Adjust_For_Inflation" vbProcedure="false">'C10 Lump sum growth'!$G$21</definedName>
    <definedName function="false" hidden="false" localSheetId="10" name="Adjust_For_Inflation_Entry" vbProcedure="false">'C10 Lump sum growth'!$C$21</definedName>
    <definedName function="false" hidden="false" localSheetId="10" name="Amount" vbProcedure="false">'C10 Lump sum growth'!$G$16</definedName>
    <definedName function="false" hidden="false" localSheetId="10" name="Amount_Entry" vbProcedure="false">'C10 Lump sum growth'!$C$16</definedName>
    <definedName function="false" hidden="false" localSheetId="10" name="Cost_Of_Waiting" vbProcedure="false">'C10 Lump sum growth'!$C$34</definedName>
    <definedName function="false" hidden="false" localSheetId="10" name="Fees_Cost" vbProcedure="false">'C10 Lump sum growth'!$C$35</definedName>
    <definedName function="false" hidden="false" localSheetId="10" name="Grows_To" vbProcedure="false">'C10 Lump sum growth'!$C$31</definedName>
    <definedName function="false" hidden="false" localSheetId="10" name="Growth_After_Fees" vbProcedure="false">'C10 Lump sum growth'!$C$36</definedName>
    <definedName function="false" hidden="false" localSheetId="10" name="Growth_Rate" vbProcedure="false">'C10 Lump sum growth'!$G$17</definedName>
    <definedName function="false" hidden="false" localSheetId="10" name="Growth_Rate_Entry" vbProcedure="false">'C10 Lump sum growth'!$C$17</definedName>
    <definedName function="false" hidden="false" localSheetId="10" name="Headline" vbProcedure="false">'C10 Lump sum growth'!$C$30</definedName>
    <definedName function="false" hidden="false" localSheetId="10" name="Inflation_Choice" vbProcedure="false">'C10 Lump sum growth'!$G$6</definedName>
    <definedName function="false" hidden="false" localSheetId="10" name="Inflation_Choice_Entry" vbProcedure="false">'C10 Lump sum growth'!$C$6</definedName>
    <definedName function="false" hidden="false" localSheetId="10" name="Need_1" vbProcedure="false">'C10 Lump sum growth'!$C$56</definedName>
    <definedName function="false" hidden="false" localSheetId="10" name="Need_2" vbProcedure="false">'C10 Lump sum growth'!$C$57</definedName>
    <definedName function="false" hidden="false" localSheetId="10" name="Need_3" vbProcedure="false">'C10 Lump sum growth'!$C$58</definedName>
    <definedName function="false" hidden="false" localSheetId="10" name="Need_4" vbProcedure="false">'C10 Lump sum growth'!$C$59</definedName>
    <definedName function="false" hidden="false" localSheetId="10" name="Need_5" vbProcedure="false">'C10 Lump sum growth'!$C$60</definedName>
    <definedName function="false" hidden="false" localSheetId="10" name="Need_6" vbProcedure="false">'C10 Lump sum growth'!$C$61</definedName>
    <definedName function="false" hidden="false" localSheetId="10" name="Plan_Goal_Amount" vbProcedure="false">'C10 Lump sum growth'!$C$50</definedName>
    <definedName function="false" hidden="false" localSheetId="10" name="Plan_Goal_Kind" vbProcedure="false">'C10 Lump sum growth'!$C$49</definedName>
    <definedName function="false" hidden="false" localSheetId="10" name="Plan_Goal_Years" vbProcedure="false">'C10 Lump sum growth'!$C$51</definedName>
    <definedName function="false" hidden="false" localSheetId="10" name="Plan_Inflation" vbProcedure="false">'C10 Lump sum growth'!$C$52</definedName>
    <definedName function="false" hidden="false" localSheetId="10" name="Real_Return" vbProcedure="false">'C10 Lump sum growth'!$C$37</definedName>
    <definedName function="false" hidden="false" localSheetId="10" name="Statement_Check" vbProcedure="false">'C10 Lump sum growth'!$C$27</definedName>
    <definedName function="false" hidden="false" localSheetId="10" name="Statement_Uploaded" vbProcedure="false">'C10 Lump sum growth'!$C$24</definedName>
    <definedName function="false" hidden="false" localSheetId="10" name="Stmt_Charges" vbProcedure="false">'C10 Lump sum growth'!$C$12</definedName>
    <definedName function="false" hidden="false" localSheetId="10" name="Stmt_Statement_Date" vbProcedure="false">'C10 Lump sum growth'!$C$13</definedName>
    <definedName function="false" hidden="false" localSheetId="10" name="Stmt_Total_Value" vbProcedure="false">'C10 Lump sum growth'!$C$11</definedName>
    <definedName function="false" hidden="false" localSheetId="10" name="Used_Amount" vbProcedure="false">'C10 Lump sum growth'!$C$25</definedName>
    <definedName function="false" hidden="false" localSheetId="10" name="Used_Yearly_Fees" vbProcedure="false">'C10 Lump sum growth'!$C$26</definedName>
    <definedName function="false" hidden="false" localSheetId="10" name="Value_Start_Later" vbProcedure="false">'C10 Lump sum growth'!$C$33</definedName>
    <definedName function="false" hidden="false" localSheetId="10" name="Value_Today" vbProcedure="false">'C10 Lump sum growth'!$C$32</definedName>
    <definedName function="false" hidden="false" localSheetId="10" name="Wait_Years" vbProcedure="false">'C10 Lump sum growth'!$G$20</definedName>
    <definedName function="false" hidden="false" localSheetId="10" name="Wait_Years_Entry" vbProcedure="false">'C10 Lump sum growth'!$C$20</definedName>
    <definedName function="false" hidden="false" localSheetId="10" name="Yearly_Fees" vbProcedure="false">'C10 Lump sum growth'!$G$19</definedName>
    <definedName function="false" hidden="false" localSheetId="10" name="Yearly_Fees_Entry" vbProcedure="false">'C10 Lump sum growth'!$C$19</definedName>
    <definedName function="false" hidden="false" localSheetId="10" name="Years" vbProcedure="false">'C10 Lump sum growth'!$G$18</definedName>
    <definedName function="false" hidden="false" localSheetId="10" name="Years_Entry" vbProcedure="false">'C10 Lump sum growth'!$C$18</definedName>
    <definedName function="false" hidden="false" localSheetId="11" name="Essential_Spending" vbProcedure="false">'C11 Emergency fund'!$G$6</definedName>
    <definedName function="false" hidden="false" localSheetId="11" name="Essential_Spending_Entry" vbProcedure="false">'C11 Emergency fund'!$C$6</definedName>
    <definedName function="false" hidden="false" localSheetId="11" name="Months_Covered" vbProcedure="false">'C11 Emergency fund'!$C$12</definedName>
    <definedName function="false" hidden="false" localSheetId="11" name="Months_Wanted" vbProcedure="false">'C11 Emergency fund'!$G$7</definedName>
    <definedName function="false" hidden="false" localSheetId="11" name="Months_Wanted_Entry" vbProcedure="false">'C11 Emergency fund'!$C$7</definedName>
    <definedName function="false" hidden="false" localSheetId="11" name="Need_1" vbProcedure="false">'C11 Emergency fund'!$C$28</definedName>
    <definedName function="false" hidden="false" localSheetId="11" name="Need_2" vbProcedure="false">'C11 Emergency fund'!$C$29</definedName>
    <definedName function="false" hidden="false" localSheetId="11" name="Need_3" vbProcedure="false">'C11 Emergency fund'!$C$30</definedName>
    <definedName function="false" hidden="false" localSheetId="11" name="Need_4" vbProcedure="false">'C11 Emergency fund'!$C$31</definedName>
    <definedName function="false" hidden="false" localSheetId="11" name="Need_5" vbProcedure="false">'C11 Emergency fund'!$C$32</definedName>
    <definedName function="false" hidden="false" localSheetId="11" name="Plan_Goal_Amount" vbProcedure="false">'C11 Emergency fund'!$C$23</definedName>
    <definedName function="false" hidden="false" localSheetId="11" name="Plan_Goal_Kind" vbProcedure="false">'C11 Emergency fund'!$C$22</definedName>
    <definedName function="false" hidden="false" localSheetId="11" name="Plan_Goal_Saved" vbProcedure="false">'C11 Emergency fund'!$C$24</definedName>
    <definedName function="false" hidden="false" localSheetId="11" name="Plan_Goal_Years" vbProcedure="false">'C11 Emergency fund'!$C$25</definedName>
    <definedName function="false" hidden="false" localSheetId="11" name="Safety_Goal_Years" vbProcedure="false">'C11 Emergency fund'!$G$8</definedName>
    <definedName function="false" hidden="false" localSheetId="11" name="Safety_Goal_Years_Entry" vbProcedure="false">'C11 Emergency fund'!$C$8</definedName>
    <definedName function="false" hidden="false" localSheetId="11" name="Savings" vbProcedure="false">'C11 Emergency fund'!$G$9</definedName>
    <definedName function="false" hidden="false" localSheetId="11" name="Savings_Entry" vbProcedure="false">'C11 Emergency fund'!$C$9</definedName>
    <definedName function="false" hidden="false" localSheetId="11" name="Still_To_Build" vbProcedure="false">'C11 Emergency fund'!$C$14</definedName>
    <definedName function="false" hidden="false" localSheetId="11" name="Target" vbProcedure="false">'C11 Emergency fund'!$C$13</definedName>
    <definedName function="false" hidden="false" localSheetId="12" name="Access_Age" vbProcedure="false">'C12 Retirement projection'!$G$35</definedName>
    <definedName function="false" hidden="false" localSheetId="12" name="Access_Age_Entry" vbProcedure="false">'C12 Retirement projection'!$C$35</definedName>
    <definedName function="false" hidden="false" localSheetId="12" name="Age" vbProcedure="false">'C12 Retirement projection'!$G$21</definedName>
    <definedName function="false" hidden="false" localSheetId="12" name="Age_Entry" vbProcedure="false">'C12 Retirement projection'!$C$21</definedName>
    <definedName function="false" hidden="false" localSheetId="12" name="Bridge_Years" vbProcedure="false">'C12 Retirement projection'!$C$49</definedName>
    <definedName function="false" hidden="false" localSheetId="12" name="Calculated_Fund" vbProcedure="false">'C12 Retirement projection'!$C$47</definedName>
    <definedName function="false" hidden="false" localSheetId="12" name="Contribution" vbProcedure="false">'C12 Retirement projection'!$C$56</definedName>
    <definedName function="false" hidden="false" localSheetId="12" name="Contributions_Grow_To" vbProcedure="false">'C12 Retirement projection'!$C$57</definedName>
    <definedName function="false" hidden="false" localSheetId="12" name="Desired_Income" vbProcedure="false">'C12 Retirement projection'!$G$25</definedName>
    <definedName function="false" hidden="false" localSheetId="12" name="Desired_Income_Entry" vbProcedure="false">'C12 Retirement projection'!$C$25</definedName>
    <definedName function="false" hidden="false" localSheetId="12" name="Early_Warning" vbProcedure="false">'C12 Retirement projection'!$C$53</definedName>
    <definedName function="false" hidden="false" localSheetId="12" name="Fund_Today" vbProcedure="false">'C12 Retirement projection'!$C$46</definedName>
    <definedName function="false" hidden="false" localSheetId="12" name="Gap_Today" vbProcedure="false">'C12 Retirement projection'!$C$44</definedName>
    <definedName function="false" hidden="false" localSheetId="12" name="Growth_Rate" vbProcedure="false">'C12 Retirement projection'!$G$27</definedName>
    <definedName function="false" hidden="false" localSheetId="12" name="Growth_Rate_Entry" vbProcedure="false">'C12 Retirement projection'!$C$27</definedName>
    <definedName function="false" hidden="false" localSheetId="12" name="Inflation_Choice" vbProcedure="false">'C12 Retirement projection'!$G$6</definedName>
    <definedName function="false" hidden="false" localSheetId="12" name="Inflation_Choice_Entry" vbProcedure="false">'C12 Retirement projection'!$C$6</definedName>
    <definedName function="false" hidden="false" localSheetId="12" name="Lump_Sum" vbProcedure="false">'C12 Retirement projection'!$C$50</definedName>
    <definedName function="false" hidden="false" localSheetId="12" name="Lump_Sum_Net" vbProcedure="false">'C12 Retirement projection'!$C$52</definedName>
    <definedName function="false" hidden="false" localSheetId="12" name="Lump_Sum_Pct" vbProcedure="false">'C12 Retirement projection'!$G$31</definedName>
    <definedName function="false" hidden="false" localSheetId="12" name="Lump_Sum_Pct_Entry" vbProcedure="false">'C12 Retirement projection'!$C$31</definedName>
    <definedName function="false" hidden="false" localSheetId="12" name="Lump_Sum_Tax" vbProcedure="false">'C12 Retirement projection'!$C$51</definedName>
    <definedName function="false" hidden="false" localSheetId="12" name="Monthly_Contribution" vbProcedure="false">'C12 Retirement projection'!$G$24</definedName>
    <definedName function="false" hidden="false" localSheetId="12" name="Monthly_Contribution_Entry" vbProcedure="false">'C12 Retirement projection'!$C$24</definedName>
    <definedName function="false" hidden="false" localSheetId="12" name="Need_1" vbProcedure="false">'C12 Retirement projection'!$C$77</definedName>
    <definedName function="false" hidden="false" localSheetId="12" name="Need_2" vbProcedure="false">'C12 Retirement projection'!$C$78</definedName>
    <definedName function="false" hidden="false" localSheetId="12" name="Need_3" vbProcedure="false">'C12 Retirement projection'!$C$79</definedName>
    <definedName function="false" hidden="false" localSheetId="12" name="Need_4" vbProcedure="false">'C12 Retirement projection'!$C$80</definedName>
    <definedName function="false" hidden="false" localSheetId="12" name="Need_5" vbProcedure="false">'C12 Retirement projection'!$C$81</definedName>
    <definedName function="false" hidden="false" localSheetId="12" name="Need_6" vbProcedure="false">'C12 Retirement projection'!$C$82</definedName>
    <definedName function="false" hidden="false" localSheetId="12" name="Need_7" vbProcedure="false">'C12 Retirement projection'!$C$83</definedName>
    <definedName function="false" hidden="false" localSheetId="12" name="Need_8" vbProcedure="false">'C12 Retirement projection'!$C$84</definedName>
    <definedName function="false" hidden="false" localSheetId="12" name="Need_9" vbProcedure="false">'C12 Retirement projection'!$C$85</definedName>
    <definedName function="false" hidden="false" localSheetId="12" name="Other_Income" vbProcedure="false">'C12 Retirement projection'!$G$26</definedName>
    <definedName function="false" hidden="false" localSheetId="12" name="Other_Income_Entry" vbProcedure="false">'C12 Retirement projection'!$C$26</definedName>
    <definedName function="false" hidden="false" localSheetId="12" name="Pension_Today" vbProcedure="false">'C12 Retirement projection'!$G$23</definedName>
    <definedName function="false" hidden="false" localSheetId="12" name="Pension_Today_Entry" vbProcedure="false">'C12 Retirement projection'!$C$23</definedName>
    <definedName function="false" hidden="false" localSheetId="12" name="Plan_Goal_Age" vbProcedure="false">'C12 Retirement projection'!$C$72</definedName>
    <definedName function="false" hidden="false" localSheetId="12" name="Plan_Goal_Income" vbProcedure="false">'C12 Retirement projection'!$C$71</definedName>
    <definedName function="false" hidden="false" localSheetId="12" name="Plan_Goal_Kind" vbProcedure="false">'C12 Retirement projection'!$C$70</definedName>
    <definedName function="false" hidden="false" localSheetId="12" name="Plan_Inflation" vbProcedure="false">'C12 Retirement projection'!$C$73</definedName>
    <definedName function="false" hidden="false" localSheetId="12" name="Projected_Fund" vbProcedure="false">'C12 Retirement projection'!$C$45</definedName>
    <definedName function="false" hidden="false" localSheetId="12" name="Retirement_Age" vbProcedure="false">'C12 Retirement projection'!$G$22</definedName>
    <definedName function="false" hidden="false" localSheetId="12" name="Retirement_Age_Entry" vbProcedure="false">'C12 Retirement projection'!$C$22</definedName>
    <definedName function="false" hidden="false" localSheetId="12" name="Retire_Later" vbProcedure="false">'C12 Retirement projection'!$G$32</definedName>
    <definedName function="false" hidden="false" localSheetId="12" name="Retire_Later_Entry" vbProcedure="false">'C12 Retirement projection'!$C$32</definedName>
    <definedName function="false" hidden="false" localSheetId="12" name="Retire_Multiple" vbProcedure="false">'C12 Retirement projection'!$G$29</definedName>
    <definedName function="false" hidden="false" localSheetId="12" name="Retire_Multiple_Entry" vbProcedure="false">'C12 Retirement projection'!$C$29</definedName>
    <definedName function="false" hidden="false" localSheetId="12" name="Save_More" vbProcedure="false">'C12 Retirement projection'!$G$33</definedName>
    <definedName function="false" hidden="false" localSheetId="12" name="Save_More_Entry" vbProcedure="false">'C12 Retirement projection'!$C$33</definedName>
    <definedName function="false" hidden="false" localSheetId="12" name="SFT_Warning" vbProcedure="false">'C12 Retirement projection'!$C$54</definedName>
    <definedName function="false" hidden="false" localSheetId="12" name="Spend_Less" vbProcedure="false">'C12 Retirement projection'!$G$34</definedName>
    <definedName function="false" hidden="false" localSheetId="12" name="Spend_Less_Entry" vbProcedure="false">'C12 Retirement projection'!$C$34</definedName>
    <definedName function="false" hidden="false" localSheetId="12" name="Statement_Check" vbProcedure="false">'C12 Retirement projection'!$C$41</definedName>
    <definedName function="false" hidden="false" localSheetId="12" name="Stmt_Charges" vbProcedure="false">'C12 Retirement projection'!$C$17</definedName>
    <definedName function="false" hidden="false" localSheetId="12" name="Stmt_Employer_Monthly" vbProcedure="false">'C12 Retirement projection'!$C$13</definedName>
    <definedName function="false" hidden="false" localSheetId="12" name="Stmt_Fund_Value" vbProcedure="false">'C12 Retirement projection'!$C$11</definedName>
    <definedName function="false" hidden="false" localSheetId="12" name="Stmt_NRA" vbProcedure="false">'C12 Retirement projection'!$C$14</definedName>
    <definedName function="false" hidden="false" localSheetId="12" name="Stmt_Projected_Fund" vbProcedure="false">'C12 Retirement projection'!$C$15</definedName>
    <definedName function="false" hidden="false" localSheetId="12" name="Stmt_Projection_Today" vbProcedure="false">'C12 Retirement projection'!$C$16</definedName>
    <definedName function="false" hidden="false" localSheetId="12" name="Stmt_Statement_Date" vbProcedure="false">'C12 Retirement projection'!$C$18</definedName>
    <definedName function="false" hidden="false" localSheetId="12" name="Stmt_You_Monthly" vbProcedure="false">'C12 Retirement projection'!$C$12</definedName>
    <definedName function="false" hidden="false" localSheetId="12" name="Target_Today" vbProcedure="false">'C12 Retirement projection'!$C$48</definedName>
    <definedName function="false" hidden="false" localSheetId="12" name="Typical_Pension_Charges" vbProcedure="false">'C12 Retirement projection'!$G$30</definedName>
    <definedName function="false" hidden="false" localSheetId="12" name="Typical_Pension_Charges_Entry" vbProcedure="false">'C12 Retirement projection'!$C$30</definedName>
    <definedName function="false" hidden="false" localSheetId="12" name="Used_Growth_Rate" vbProcedure="false">'C12 Retirement projection'!$C$39</definedName>
    <definedName function="false" hidden="false" localSheetId="12" name="Used_Monthly_Contribution" vbProcedure="false">'C12 Retirement projection'!$C$38</definedName>
    <definedName function="false" hidden="false" localSheetId="12" name="Used_Pension_Today" vbProcedure="false">'C12 Retirement projection'!$C$37</definedName>
    <definedName function="false" hidden="false" localSheetId="12" name="Use_Statement_Projection" vbProcedure="false">'C12 Retirement projection'!$C$40</definedName>
    <definedName function="false" hidden="false" localSheetId="12" name="Wage" vbProcedure="false">'C12 Retirement projection'!$G$28</definedName>
    <definedName function="false" hidden="false" localSheetId="12" name="Wage_Entry" vbProcedure="false">'C12 Retirement projection'!$C$28</definedName>
    <definedName function="false" hidden="false" localSheetId="12" name="Years_To_Retirement" vbProcedure="false">'C12 Retirement projection'!$C$55</definedName>
    <definedName function="false" hidden="false" localSheetId="13" name="Age" vbProcedure="false">'C13 Contribution impact'!$G$21</definedName>
    <definedName function="false" hidden="false" localSheetId="13" name="Age_Entry" vbProcedure="false">'C13 Contribution impact'!$C$21</definedName>
    <definedName function="false" hidden="false" localSheetId="13" name="Existing_Pension_Year" vbProcedure="false">'C13 Contribution impact'!$G$22</definedName>
    <definedName function="false" hidden="false" localSheetId="13" name="Existing_Pension_Year_Entry" vbProcedure="false">'C13 Contribution impact'!$C$22</definedName>
    <definedName function="false" hidden="false" localSheetId="13" name="Extra_Per_Month" vbProcedure="false">'C13 Contribution impact'!$C$31</definedName>
    <definedName function="false" hidden="false" localSheetId="13" name="Grows_To" vbProcedure="false">'C13 Contribution impact'!$C$29</definedName>
    <definedName function="false" hidden="false" localSheetId="13" name="Growth_Rate" vbProcedure="false">'C13 Contribution impact'!$G$18</definedName>
    <definedName function="false" hidden="false" localSheetId="13" name="Growth_Rate_Entry" vbProcedure="false">'C13 Contribution impact'!$C$18</definedName>
    <definedName function="false" hidden="false" localSheetId="13" name="Increase_Pct" vbProcedure="false">'C13 Contribution impact'!$G$16</definedName>
    <definedName function="false" hidden="false" localSheetId="13" name="Increase_Pct_Entry" vbProcedure="false">'C13 Contribution impact'!$C$16</definedName>
    <definedName function="false" hidden="false" localSheetId="13" name="Inflation_Choice" vbProcedure="false">'C13 Contribution impact'!$G$6</definedName>
    <definedName function="false" hidden="false" localSheetId="13" name="Inflation_Choice_Entry" vbProcedure="false">'C13 Contribution impact'!$C$6</definedName>
    <definedName function="false" hidden="false" localSheetId="13" name="Need_1" vbProcedure="false">'C13 Contribution impact'!$C$51</definedName>
    <definedName function="false" hidden="false" localSheetId="13" name="Need_2" vbProcedure="false">'C13 Contribution impact'!$C$52</definedName>
    <definedName function="false" hidden="false" localSheetId="13" name="Need_3" vbProcedure="false">'C13 Contribution impact'!$C$53</definedName>
    <definedName function="false" hidden="false" localSheetId="13" name="Need_4" vbProcedure="false">'C13 Contribution impact'!$C$54</definedName>
    <definedName function="false" hidden="false" localSheetId="13" name="Need_5" vbProcedure="false">'C13 Contribution impact'!$C$55</definedName>
    <definedName function="false" hidden="false" localSheetId="13" name="Need_6" vbProcedure="false">'C13 Contribution impact'!$C$56</definedName>
    <definedName function="false" hidden="false" localSheetId="13" name="Net_Cost_Per_Month" vbProcedure="false">'C13 Contribution impact'!$C$32</definedName>
    <definedName function="false" hidden="false" localSheetId="13" name="Plan_Goal_Contribution" vbProcedure="false">'C13 Contribution impact'!$C$47</definedName>
    <definedName function="false" hidden="false" localSheetId="13" name="Plan_Goal_Kind" vbProcedure="false">'C13 Contribution impact'!$C$46</definedName>
    <definedName function="false" hidden="false" localSheetId="13" name="Relief_Limit_Year" vbProcedure="false">'C13 Contribution impact'!$C$33</definedName>
    <definedName function="false" hidden="false" localSheetId="13" name="Relief_Per_Month" vbProcedure="false">'C13 Contribution impact'!$C$36</definedName>
    <definedName function="false" hidden="false" localSheetId="13" name="Relief_Room_Year" vbProcedure="false">'C13 Contribution impact'!$C$34</definedName>
    <definedName function="false" hidden="false" localSheetId="13" name="Relieved_Year" vbProcedure="false">'C13 Contribution impact'!$C$35</definedName>
    <definedName function="false" hidden="false" localSheetId="13" name="Salary" vbProcedure="false">'C13 Contribution impact'!$G$15</definedName>
    <definedName function="false" hidden="false" localSheetId="13" name="Salary_Entry" vbProcedure="false">'C13 Contribution impact'!$C$15</definedName>
    <definedName function="false" hidden="false" localSheetId="13" name="Statement_Check" vbProcedure="false">'C13 Contribution impact'!$C$26</definedName>
    <definedName function="false" hidden="false" localSheetId="13" name="Stmt_Charges" vbProcedure="false">'C13 Contribution impact'!$C$11</definedName>
    <definedName function="false" hidden="false" localSheetId="13" name="Stmt_Statement_Date" vbProcedure="false">'C13 Contribution impact'!$C$12</definedName>
    <definedName function="false" hidden="false" localSheetId="13" name="Tax_Rate" vbProcedure="false">'C13 Contribution impact'!$G$20</definedName>
    <definedName function="false" hidden="false" localSheetId="13" name="Tax_Rate_Entry" vbProcedure="false">'C13 Contribution impact'!$C$20</definedName>
    <definedName function="false" hidden="false" localSheetId="13" name="Typical_Pension_Charges" vbProcedure="false">'C13 Contribution impact'!$G$19</definedName>
    <definedName function="false" hidden="false" localSheetId="13" name="Typical_Pension_Charges_Entry" vbProcedure="false">'C13 Contribution impact'!$C$19</definedName>
    <definedName function="false" hidden="false" localSheetId="13" name="Used_Growth_Rate" vbProcedure="false">'C13 Contribution impact'!$C$25</definedName>
    <definedName function="false" hidden="false" localSheetId="13" name="Value_Today" vbProcedure="false">'C13 Contribution impact'!$C$30</definedName>
    <definedName function="false" hidden="false" localSheetId="13" name="Years" vbProcedure="false">'C13 Contribution impact'!$G$17</definedName>
    <definedName function="false" hidden="false" localSheetId="13" name="Years_Entry" vbProcedure="false">'C13 Contribution impact'!$C$17</definedName>
    <definedName function="false" hidden="false" localSheetId="14" name="Age" vbProcedure="false">'C14 AVC impact'!$G$21</definedName>
    <definedName function="false" hidden="false" localSheetId="14" name="Age_Entry" vbProcedure="false">'C14 AVC impact'!$C$21</definedName>
    <definedName function="false" hidden="false" localSheetId="14" name="AVC_Per_Month" vbProcedure="false">'C14 AVC impact'!$G$15</definedName>
    <definedName function="false" hidden="false" localSheetId="14" name="AVC_Per_Month_Entry" vbProcedure="false">'C14 AVC impact'!$C$15</definedName>
    <definedName function="false" hidden="false" localSheetId="14" name="Existing_Pension_Year" vbProcedure="false">'C14 AVC impact'!$G$22</definedName>
    <definedName function="false" hidden="false" localSheetId="14" name="Existing_Pension_Year_Entry" vbProcedure="false">'C14 AVC impact'!$C$22</definedName>
    <definedName function="false" hidden="false" localSheetId="14" name="Grows_To" vbProcedure="false">'C14 AVC impact'!$C$29</definedName>
    <definedName function="false" hidden="false" localSheetId="14" name="Growth_Rate" vbProcedure="false">'C14 AVC impact'!$G$18</definedName>
    <definedName function="false" hidden="false" localSheetId="14" name="Growth_Rate_Entry" vbProcedure="false">'C14 AVC impact'!$C$18</definedName>
    <definedName function="false" hidden="false" localSheetId="14" name="Inflation_Choice" vbProcedure="false">'C14 AVC impact'!$G$6</definedName>
    <definedName function="false" hidden="false" localSheetId="14" name="Inflation_Choice_Entry" vbProcedure="false">'C14 AVC impact'!$C$6</definedName>
    <definedName function="false" hidden="false" localSheetId="14" name="Need_1" vbProcedure="false">'C14 AVC impact'!$C$50</definedName>
    <definedName function="false" hidden="false" localSheetId="14" name="Need_2" vbProcedure="false">'C14 AVC impact'!$C$51</definedName>
    <definedName function="false" hidden="false" localSheetId="14" name="Need_3" vbProcedure="false">'C14 AVC impact'!$C$52</definedName>
    <definedName function="false" hidden="false" localSheetId="14" name="Need_4" vbProcedure="false">'C14 AVC impact'!$C$53</definedName>
    <definedName function="false" hidden="false" localSheetId="14" name="Need_5" vbProcedure="false">'C14 AVC impact'!$C$54</definedName>
    <definedName function="false" hidden="false" localSheetId="14" name="Need_6" vbProcedure="false">'C14 AVC impact'!$C$55</definedName>
    <definedName function="false" hidden="false" localSheetId="14" name="Need_7" vbProcedure="false">'C14 AVC impact'!$C$56</definedName>
    <definedName function="false" hidden="false" localSheetId="14" name="Need_8" vbProcedure="false">'C14 AVC impact'!$C$57</definedName>
    <definedName function="false" hidden="false" localSheetId="14" name="Net_Cost" vbProcedure="false">'C14 AVC impact'!$C$32</definedName>
    <definedName function="false" hidden="false" localSheetId="14" name="Net_Cost_Per_Month" vbProcedure="false">'C14 AVC impact'!$C$33</definedName>
    <definedName function="false" hidden="false" localSheetId="14" name="Paid_In" vbProcedure="false">'C14 AVC impact'!$C$31</definedName>
    <definedName function="false" hidden="false" localSheetId="14" name="Plan_Goal_Contribution" vbProcedure="false">'C14 AVC impact'!$C$47</definedName>
    <definedName function="false" hidden="false" localSheetId="14" name="Plan_Goal_Kind" vbProcedure="false">'C14 AVC impact'!$C$46</definedName>
    <definedName function="false" hidden="false" localSheetId="14" name="Relief_Limit_Year" vbProcedure="false">'C14 AVC impact'!$C$34</definedName>
    <definedName function="false" hidden="false" localSheetId="14" name="Relief_Per_Month" vbProcedure="false">'C14 AVC impact'!$C$37</definedName>
    <definedName function="false" hidden="false" localSheetId="14" name="Relief_Room_Year" vbProcedure="false">'C14 AVC impact'!$C$35</definedName>
    <definedName function="false" hidden="false" localSheetId="14" name="Relieved_Year" vbProcedure="false">'C14 AVC impact'!$C$36</definedName>
    <definedName function="false" hidden="false" localSheetId="14" name="Salary" vbProcedure="false">'C14 AVC impact'!$G$16</definedName>
    <definedName function="false" hidden="false" localSheetId="14" name="Salary_Entry" vbProcedure="false">'C14 AVC impact'!$C$16</definedName>
    <definedName function="false" hidden="false" localSheetId="14" name="Statement_Check" vbProcedure="false">'C14 AVC impact'!$C$26</definedName>
    <definedName function="false" hidden="false" localSheetId="14" name="Stmt_Charges" vbProcedure="false">'C14 AVC impact'!$C$11</definedName>
    <definedName function="false" hidden="false" localSheetId="14" name="Stmt_Statement_Date" vbProcedure="false">'C14 AVC impact'!$C$12</definedName>
    <definedName function="false" hidden="false" localSheetId="14" name="Tax_Rate" vbProcedure="false">'C14 AVC impact'!$G$20</definedName>
    <definedName function="false" hidden="false" localSheetId="14" name="Tax_Rate_Entry" vbProcedure="false">'C14 AVC impact'!$C$20</definedName>
    <definedName function="false" hidden="false" localSheetId="14" name="Typical_Pension_Charges" vbProcedure="false">'C14 AVC impact'!$G$19</definedName>
    <definedName function="false" hidden="false" localSheetId="14" name="Typical_Pension_Charges_Entry" vbProcedure="false">'C14 AVC impact'!$C$19</definedName>
    <definedName function="false" hidden="false" localSheetId="14" name="Used_Growth_Rate" vbProcedure="false">'C14 AVC impact'!$C$25</definedName>
    <definedName function="false" hidden="false" localSheetId="14" name="Value_Today" vbProcedure="false">'C14 AVC impact'!$C$30</definedName>
    <definedName function="false" hidden="false" localSheetId="14" name="Years" vbProcedure="false">'C14 AVC impact'!$G$17</definedName>
    <definedName function="false" hidden="false" localSheetId="14" name="Years_Entry" vbProcedure="false">'C14 AVC impact'!$C$17</definedName>
    <definedName function="false" hidden="false" localSheetId="15" name="Age_At_Start" vbProcedure="false">'C15 Will my money last'!$G$20</definedName>
    <definedName function="false" hidden="false" localSheetId="15" name="Age_At_Start_Entry" vbProcedure="false">'C15 Will my money last'!$C$20</definedName>
    <definedName function="false" hidden="false" localSheetId="15" name="Growth_Rate" vbProcedure="false">'C15 Will my money last'!$G$18</definedName>
    <definedName function="false" hidden="false" localSheetId="15" name="Growth_Rate_Entry" vbProcedure="false">'C15 Will my money last'!$C$18</definedName>
    <definedName function="false" hidden="false" localSheetId="15" name="Inflation_Choice" vbProcedure="false">'C15 Will my money last'!$G$6</definedName>
    <definedName function="false" hidden="false" localSheetId="15" name="Inflation_Choice_Entry" vbProcedure="false">'C15 Will my money last'!$C$6</definedName>
    <definedName function="false" hidden="false" localSheetId="15" name="Lasts_To_Age" vbProcedure="false">'C15 Will my money last'!$C$29</definedName>
    <definedName function="false" hidden="false" localSheetId="15" name="Need_1" vbProcedure="false">'C15 Will my money last'!$C$107</definedName>
    <definedName function="false" hidden="false" localSheetId="15" name="Need_2" vbProcedure="false">'C15 Will my money last'!$C$108</definedName>
    <definedName function="false" hidden="false" localSheetId="15" name="Need_3" vbProcedure="false">'C15 Will my money last'!$C$109</definedName>
    <definedName function="false" hidden="false" localSheetId="15" name="Plan_Goal_Kind" vbProcedure="false">'C15 Will my money last'!$C$104</definedName>
    <definedName function="false" hidden="false" localSheetId="15" name="Plan_To_Age" vbProcedure="false">'C15 Will my money last'!$G$21</definedName>
    <definedName function="false" hidden="false" localSheetId="15" name="Plan_To_Age_Entry" vbProcedure="false">'C15 Will my money last'!$C$21</definedName>
    <definedName function="false" hidden="false" localSheetId="15" name="Retirement_Savings" vbProcedure="false">'C15 Will my money last'!$G$16</definedName>
    <definedName function="false" hidden="false" localSheetId="15" name="Retirement_Savings_Entry" vbProcedure="false">'C15 Will my money last'!$C$16</definedName>
    <definedName function="false" hidden="false" localSheetId="15" name="Statement_Check" vbProcedure="false">'C15 Will my money last'!$C$25</definedName>
    <definedName function="false" hidden="false" localSheetId="15" name="Stmt_Fund_Value" vbProcedure="false">'C15 Will my money last'!$C$12</definedName>
    <definedName function="false" hidden="false" localSheetId="15" name="Stmt_Projected_Fund" vbProcedure="false">'C15 Will my money last'!$C$11</definedName>
    <definedName function="false" hidden="false" localSheetId="15" name="Stmt_Statement_Date" vbProcedure="false">'C15 Will my money last'!$C$13</definedName>
    <definedName function="false" hidden="false" localSheetId="15" name="Used_Retirement_Savings" vbProcedure="false">'C15 Will my money last'!$C$24</definedName>
    <definedName function="false" hidden="false" localSheetId="15" name="Withdrawal_Rate" vbProcedure="false">'C15 Will my money last'!$C$30</definedName>
    <definedName function="false" hidden="false" localSheetId="15" name="Withdrawal_Timing" vbProcedure="false">'C15 Will my money last'!$G$19</definedName>
    <definedName function="false" hidden="false" localSheetId="15" name="Withdrawal_Timing_Entry" vbProcedure="false">'C15 Will my money last'!$C$19</definedName>
    <definedName function="false" hidden="false" localSheetId="15" name="W_end" vbProcedure="false">'C15 Will my money last'!$F$33:$F$92</definedName>
    <definedName function="false" hidden="false" localSheetId="15" name="W_paid" vbProcedure="false">'C15 Will my money last'!$E$33:$E$92</definedName>
    <definedName function="false" hidden="false" localSheetId="15" name="W_start" vbProcedure="false">'C15 Will my money last'!$D$33:$D$92</definedName>
    <definedName function="false" hidden="false" localSheetId="15" name="W_w" vbProcedure="false">'C15 Will my money last'!$C$33:$C$92</definedName>
    <definedName function="false" hidden="false" localSheetId="15" name="W_year" vbProcedure="false">'C15 Will my money last'!$B$33:$B$92</definedName>
    <definedName function="false" hidden="false" localSheetId="15" name="Yearly_Withdrawal" vbProcedure="false">'C15 Will my money last'!$G$17</definedName>
    <definedName function="false" hidden="false" localSheetId="15" name="Yearly_Withdrawal_Entry" vbProcedure="false">'C15 Will my money last'!$C$17</definedName>
    <definedName function="false" hidden="false" localSheetId="15" name="Years_Lasting" vbProcedure="false">'C15 Will my money last'!$C$28</definedName>
    <definedName function="false" hidden="false" localSheetId="16" name="DD_Balanced" vbProcedure="false">'C16 Drawdown scenarios'!$G$19</definedName>
    <definedName function="false" hidden="false" localSheetId="16" name="DD_Balanced_Entry" vbProcedure="false">'C16 Drawdown scenarios'!$C$19</definedName>
    <definedName function="false" hidden="false" localSheetId="16" name="DD_Cautious" vbProcedure="false">'C16 Drawdown scenarios'!$G$18</definedName>
    <definedName function="false" hidden="false" localSheetId="16" name="DD_Cautious_Entry" vbProcedure="false">'C16 Drawdown scenarios'!$C$18</definedName>
    <definedName function="false" hidden="false" localSheetId="16" name="DD_Growth" vbProcedure="false">'C16 Drawdown scenarios'!$G$20</definedName>
    <definedName function="false" hidden="false" localSheetId="16" name="DD_Growth_Entry" vbProcedure="false">'C16 Drawdown scenarios'!$C$20</definedName>
    <definedName function="false" hidden="false" localSheetId="16" name="Inflation_Choice" vbProcedure="false">'C16 Drawdown scenarios'!$G$6</definedName>
    <definedName function="false" hidden="false" localSheetId="16" name="Inflation_Choice_Entry" vbProcedure="false">'C16 Drawdown scenarios'!$C$6</definedName>
    <definedName function="false" hidden="false" localSheetId="16" name="Need_1" vbProcedure="false">'C16 Drawdown scenarios'!$C$106</definedName>
    <definedName function="false" hidden="false" localSheetId="16" name="Plan_Goal_Kind" vbProcedure="false">'C16 Drawdown scenarios'!$C$103</definedName>
    <definedName function="false" hidden="false" localSheetId="16" name="Retirement_Savings" vbProcedure="false">'C16 Drawdown scenarios'!$G$16</definedName>
    <definedName function="false" hidden="false" localSheetId="16" name="Retirement_Savings_Entry" vbProcedure="false">'C16 Drawdown scenarios'!$C$16</definedName>
    <definedName function="false" hidden="false" localSheetId="16" name="Statement_Check" vbProcedure="false">'C16 Drawdown scenarios'!$C$25</definedName>
    <definedName function="false" hidden="false" localSheetId="16" name="Stmt_Fund_Value" vbProcedure="false">'C16 Drawdown scenarios'!$C$12</definedName>
    <definedName function="false" hidden="false" localSheetId="16" name="Stmt_Projected_Fund" vbProcedure="false">'C16 Drawdown scenarios'!$C$11</definedName>
    <definedName function="false" hidden="false" localSheetId="16" name="Stmt_Statement_Date" vbProcedure="false">'C16 Drawdown scenarios'!$C$13</definedName>
    <definedName function="false" hidden="false" localSheetId="16" name="Used_Retirement_Savings" vbProcedure="false">'C16 Drawdown scenarios'!$C$24</definedName>
    <definedName function="false" hidden="false" localSheetId="16" name="Withdrawal_Timing" vbProcedure="false">'C16 Drawdown scenarios'!$G$21</definedName>
    <definedName function="false" hidden="false" localSheetId="16" name="Withdrawal_Timing_Entry" vbProcedure="false">'C16 Drawdown scenarios'!$C$21</definedName>
    <definedName function="false" hidden="false" localSheetId="16" name="W_b_paid" vbProcedure="false">'C16 Drawdown scenarios'!$G$33:$G$92</definedName>
    <definedName function="false" hidden="false" localSheetId="16" name="W_b_start" vbProcedure="false">'C16 Drawdown scenarios'!$F$33:$F$92</definedName>
    <definedName function="false" hidden="false" localSheetId="16" name="W_c_paid" vbProcedure="false">'C16 Drawdown scenarios'!$E$33:$E$92</definedName>
    <definedName function="false" hidden="false" localSheetId="16" name="W_c_start" vbProcedure="false">'C16 Drawdown scenarios'!$D$33:$D$92</definedName>
    <definedName function="false" hidden="false" localSheetId="16" name="W_g_paid" vbProcedure="false">'C16 Drawdown scenarios'!$I$33:$I$92</definedName>
    <definedName function="false" hidden="false" localSheetId="16" name="W_g_start" vbProcedure="false">'C16 Drawdown scenarios'!$H$33:$H$92</definedName>
    <definedName function="false" hidden="false" localSheetId="16" name="W_w" vbProcedure="false">'C16 Drawdown scenarios'!$C$33:$C$92</definedName>
    <definedName function="false" hidden="false" localSheetId="16" name="W_year" vbProcedure="false">'C16 Drawdown scenarios'!$B$33:$B$92</definedName>
    <definedName function="false" hidden="false" localSheetId="16" name="Yearly_Withdrawal" vbProcedure="false">'C16 Drawdown scenarios'!$G$17</definedName>
    <definedName function="false" hidden="false" localSheetId="16" name="Yearly_Withdrawal_Entry" vbProcedure="false">'C16 Drawdown scenarios'!$C$17</definedName>
    <definedName function="false" hidden="false" localSheetId="16" name="Years_Balanced" vbProcedure="false">'C16 Drawdown scenarios'!$C$28</definedName>
    <definedName function="false" hidden="false" localSheetId="16" name="Years_Cautious" vbProcedure="false">'C16 Drawdown scenarios'!$C$29</definedName>
    <definedName function="false" hidden="false" localSheetId="16" name="Years_Growth" vbProcedure="false">'C16 Drawdown scenarios'!$C$30</definedName>
    <definedName function="false" hidden="false" localSheetId="17" name="Amount" vbProcedure="false">'C17 Inflation adjusted return'!$G$15</definedName>
    <definedName function="false" hidden="false" localSheetId="17" name="Amount_Entry" vbProcedure="false">'C17 Inflation adjusted return'!$C$15</definedName>
    <definedName function="false" hidden="false" localSheetId="17" name="Future_Value" vbProcedure="false">'C17 Inflation adjusted return'!$C$25</definedName>
    <definedName function="false" hidden="false" localSheetId="17" name="Inflation_Choice" vbProcedure="false">'C17 Inflation adjusted return'!$G$6</definedName>
    <definedName function="false" hidden="false" localSheetId="17" name="Inflation_Choice_Entry" vbProcedure="false">'C17 Inflation adjusted return'!$C$6</definedName>
    <definedName function="false" hidden="false" localSheetId="17" name="Need_1" vbProcedure="false">'C17 Inflation adjusted return'!$C$39</definedName>
    <definedName function="false" hidden="false" localSheetId="17" name="Need_2" vbProcedure="false">'C17 Inflation adjusted return'!$C$40</definedName>
    <definedName function="false" hidden="false" localSheetId="17" name="Need_3" vbProcedure="false">'C17 Inflation adjusted return'!$C$41</definedName>
    <definedName function="false" hidden="false" localSheetId="17" name="Nominal_Return" vbProcedure="false">'C17 Inflation adjusted return'!$G$16</definedName>
    <definedName function="false" hidden="false" localSheetId="17" name="Nominal_Return_Entry" vbProcedure="false">'C17 Inflation adjusted return'!$C$16</definedName>
    <definedName function="false" hidden="false" localSheetId="17" name="Plan_Goal_Kind" vbProcedure="false">'C17 Inflation adjusted return'!$C$36</definedName>
    <definedName function="false" hidden="false" localSheetId="17" name="Real_Return" vbProcedure="false">'C17 Inflation adjusted return'!$C$26</definedName>
    <definedName function="false" hidden="false" localSheetId="17" name="Statement_Check" vbProcedure="false">'C17 Inflation adjusted return'!$C$21</definedName>
    <definedName function="false" hidden="false" localSheetId="17" name="Stmt_Statement_Date" vbProcedure="false">'C17 Inflation adjusted return'!$C$12</definedName>
    <definedName function="false" hidden="false" localSheetId="17" name="Stmt_Total_Value" vbProcedure="false">'C17 Inflation adjusted return'!$C$11</definedName>
    <definedName function="false" hidden="false" localSheetId="17" name="Used_Amount" vbProcedure="false">'C17 Inflation adjusted return'!$C$20</definedName>
    <definedName function="false" hidden="false" localSheetId="17" name="Value_Today" vbProcedure="false">'C17 Inflation adjusted return'!$C$24</definedName>
    <definedName function="false" hidden="false" localSheetId="17" name="Years" vbProcedure="false">'C17 Inflation adjusted return'!$G$17</definedName>
    <definedName function="false" hidden="false" localSheetId="17" name="Years_Entry" vbProcedure="false">'C17 Inflation adjusted return'!$C$17</definedName>
    <definedName function="false" hidden="false" localSheetId="18" name="Adjust_For_Inflation" vbProcedure="false">'C18 Regular investing'!$G$20</definedName>
    <definedName function="false" hidden="false" localSheetId="18" name="Adjust_For_Inflation_Entry" vbProcedure="false">'C18 Regular investing'!$C$20</definedName>
    <definedName function="false" hidden="false" localSheetId="18" name="Fees_Cost" vbProcedure="false">'C18 Regular investing'!$C$32</definedName>
    <definedName function="false" hidden="false" localSheetId="18" name="Growth_After_Fees" vbProcedure="false">'C18 Regular investing'!$C$35</definedName>
    <definedName function="false" hidden="false" localSheetId="18" name="Growth_Rate" vbProcedure="false">'C18 Regular investing'!$G$18</definedName>
    <definedName function="false" hidden="false" localSheetId="18" name="Growth_Rate_Entry" vbProcedure="false">'C18 Regular investing'!$C$18</definedName>
    <definedName function="false" hidden="false" localSheetId="18" name="Headline" vbProcedure="false">'C18 Regular investing'!$C$29</definedName>
    <definedName function="false" hidden="false" localSheetId="18" name="Inflation_Choice" vbProcedure="false">'C18 Regular investing'!$G$6</definedName>
    <definedName function="false" hidden="false" localSheetId="18" name="Inflation_Choice_Entry" vbProcedure="false">'C18 Regular investing'!$C$6</definedName>
    <definedName function="false" hidden="false" localSheetId="18" name="Monthly_Amount" vbProcedure="false">'C18 Regular investing'!$G$16</definedName>
    <definedName function="false" hidden="false" localSheetId="18" name="Monthly_Amount_Entry" vbProcedure="false">'C18 Regular investing'!$C$16</definedName>
    <definedName function="false" hidden="false" localSheetId="18" name="Need_1" vbProcedure="false">'C18 Regular investing'!$C$53</definedName>
    <definedName function="false" hidden="false" localSheetId="18" name="Need_2" vbProcedure="false">'C18 Regular investing'!$C$54</definedName>
    <definedName function="false" hidden="false" localSheetId="18" name="Need_3" vbProcedure="false">'C18 Regular investing'!$C$55</definedName>
    <definedName function="false" hidden="false" localSheetId="18" name="Need_4" vbProcedure="false">'C18 Regular investing'!$C$56</definedName>
    <definedName function="false" hidden="false" localSheetId="18" name="Need_5" vbProcedure="false">'C18 Regular investing'!$C$57</definedName>
    <definedName function="false" hidden="false" localSheetId="18" name="Need_6" vbProcedure="false">'C18 Regular investing'!$C$58</definedName>
    <definedName function="false" hidden="false" localSheetId="18" name="Need_7" vbProcedure="false">'C18 Regular investing'!$C$59</definedName>
    <definedName function="false" hidden="false" localSheetId="18" name="Paid_In" vbProcedure="false">'C18 Regular investing'!$C$33</definedName>
    <definedName function="false" hidden="false" localSheetId="18" name="Plan_Goal_Amount" vbProcedure="false">'C18 Regular investing'!$C$47</definedName>
    <definedName function="false" hidden="false" localSheetId="18" name="Plan_Goal_Kind" vbProcedure="false">'C18 Regular investing'!$C$46</definedName>
    <definedName function="false" hidden="false" localSheetId="18" name="Plan_Goal_Years" vbProcedure="false">'C18 Regular investing'!$C$48</definedName>
    <definedName function="false" hidden="false" localSheetId="18" name="Plan_Inflation" vbProcedure="false">'C18 Regular investing'!$C$49</definedName>
    <definedName function="false" hidden="false" localSheetId="18" name="Real_Return" vbProcedure="false">'C18 Regular investing'!$C$36</definedName>
    <definedName function="false" hidden="false" localSheetId="18" name="Statement_Check" vbProcedure="false">'C18 Regular investing'!$C$26</definedName>
    <definedName function="false" hidden="false" localSheetId="18" name="Statement_Uploaded" vbProcedure="false">'C18 Regular investing'!$C$23</definedName>
    <definedName function="false" hidden="false" localSheetId="18" name="Stmt_Charges" vbProcedure="false">'C18 Regular investing'!$C$12</definedName>
    <definedName function="false" hidden="false" localSheetId="18" name="Stmt_Monthly_Invested" vbProcedure="false">'C18 Regular investing'!$C$11</definedName>
    <definedName function="false" hidden="false" localSheetId="18" name="Stmt_Statement_Date" vbProcedure="false">'C18 Regular investing'!$C$13</definedName>
    <definedName function="false" hidden="false" localSheetId="18" name="Used_Monthly_Amount" vbProcedure="false">'C18 Regular investing'!$C$24</definedName>
    <definedName function="false" hidden="false" localSheetId="18" name="Used_Yearly_Fees" vbProcedure="false">'C18 Regular investing'!$C$25</definedName>
    <definedName function="false" hidden="false" localSheetId="18" name="Value_After_Fees" vbProcedure="false">'C18 Regular investing'!$C$30</definedName>
    <definedName function="false" hidden="false" localSheetId="18" name="Value_Before_Fees" vbProcedure="false">'C18 Regular investing'!$C$31</definedName>
    <definedName function="false" hidden="false" localSheetId="18" name="Value_Today" vbProcedure="false">'C18 Regular investing'!$C$34</definedName>
    <definedName function="false" hidden="false" localSheetId="18" name="Yearly_Fees" vbProcedure="false">'C18 Regular investing'!$G$19</definedName>
    <definedName function="false" hidden="false" localSheetId="18" name="Yearly_Fees_Entry" vbProcedure="false">'C18 Regular investing'!$C$19</definedName>
    <definedName function="false" hidden="false" localSheetId="18" name="Years" vbProcedure="false">'C18 Regular investing'!$G$17</definedName>
    <definedName function="false" hidden="false" localSheetId="18" name="Years_Entry" vbProcedure="false">'C18 Regular investing'!$C$17</definedName>
    <definedName function="false" hidden="false" localSheetId="19" name="Amount_Invested" vbProcedure="false">'C19 Fees impact'!$G$12</definedName>
    <definedName function="false" hidden="false" localSheetId="19" name="Amount_Invested_Entry" vbProcedure="false">'C19 Fees impact'!$C$12</definedName>
    <definedName function="false" hidden="false" localSheetId="19" name="Difference" vbProcedure="false">'C19 Fees impact'!$C$25</definedName>
    <definedName function="false" hidden="false" localSheetId="19" name="Fee_A" vbProcedure="false">'C19 Fees impact'!$G$15</definedName>
    <definedName function="false" hidden="false" localSheetId="19" name="Fee_A_Entry" vbProcedure="false">'C19 Fees impact'!$C$15</definedName>
    <definedName function="false" hidden="false" localSheetId="19" name="Fee_B" vbProcedure="false">'C19 Fees impact'!$G$16</definedName>
    <definedName function="false" hidden="false" localSheetId="19" name="Fee_B_Entry" vbProcedure="false">'C19 Fees impact'!$C$16</definedName>
    <definedName function="false" hidden="false" localSheetId="19" name="Fee_Gap" vbProcedure="false">'C19 Fees impact'!$C$28</definedName>
    <definedName function="false" hidden="false" localSheetId="19" name="Growth_Rate" vbProcedure="false">'C19 Fees impact'!$G$14</definedName>
    <definedName function="false" hidden="false" localSheetId="19" name="Growth_Rate_Entry" vbProcedure="false">'C19 Fees impact'!$C$14</definedName>
    <definedName function="false" hidden="false" localSheetId="19" name="Need_1" vbProcedure="false">'C19 Fees impact'!$C$39</definedName>
    <definedName function="false" hidden="false" localSheetId="19" name="Need_2" vbProcedure="false">'C19 Fees impact'!$C$40</definedName>
    <definedName function="false" hidden="false" localSheetId="19" name="Need_3" vbProcedure="false">'C19 Fees impact'!$C$41</definedName>
    <definedName function="false" hidden="false" localSheetId="19" name="Need_4" vbProcedure="false">'C19 Fees impact'!$C$42</definedName>
    <definedName function="false" hidden="false" localSheetId="19" name="Plan_Goal_Kind" vbProcedure="false">'C19 Fees impact'!$C$36</definedName>
    <definedName function="false" hidden="false" localSheetId="19" name="Statement_Check" vbProcedure="false">'C19 Fees impact'!$C$22</definedName>
    <definedName function="false" hidden="false" localSheetId="19" name="Statement_Uploaded" vbProcedure="false">'C19 Fees impact'!$C$19</definedName>
    <definedName function="false" hidden="false" localSheetId="19" name="Stmt_Charges" vbProcedure="false">'C19 Fees impact'!$C$8</definedName>
    <definedName function="false" hidden="false" localSheetId="19" name="Stmt_Statement_Date" vbProcedure="false">'C19 Fees impact'!$C$9</definedName>
    <definedName function="false" hidden="false" localSheetId="19" name="Stmt_Total_Value" vbProcedure="false">'C19 Fees impact'!$C$7</definedName>
    <definedName function="false" hidden="false" localSheetId="19" name="Used_Amount_Invested" vbProcedure="false">'C19 Fees impact'!$C$20</definedName>
    <definedName function="false" hidden="false" localSheetId="19" name="Used_Fee_A" vbProcedure="false">'C19 Fees impact'!$C$21</definedName>
    <definedName function="false" hidden="false" localSheetId="19" name="Value_With_Fee_A" vbProcedure="false">'C19 Fees impact'!$C$26</definedName>
    <definedName function="false" hidden="false" localSheetId="19" name="Value_With_Fee_B" vbProcedure="false">'C19 Fees impact'!$C$27</definedName>
    <definedName function="false" hidden="false" localSheetId="19" name="Years" vbProcedure="false">'C19 Fees impact'!$G$13</definedName>
    <definedName function="false" hidden="false" localSheetId="19" name="Years_Entry" vbProcedure="false">'C19 Fees impact'!$C$13</definedName>
    <definedName function="false" hidden="false" localSheetId="20" name="Amount" vbProcedure="false">'C20 Risk and return'!$G$12</definedName>
    <definedName function="false" hidden="false" localSheetId="20" name="Amount_Entry" vbProcedure="false">'C20 Risk and return'!$C$12</definedName>
    <definedName function="false" hidden="false" localSheetId="20" name="Difficult_Year_Fall" vbProcedure="false">'C20 Risk and return'!$C$31</definedName>
    <definedName function="false" hidden="false" localSheetId="20" name="Middle" vbProcedure="false">'C20 Risk and return'!$C$28</definedName>
    <definedName function="false" hidden="false" localSheetId="20" name="Middle_Growth" vbProcedure="false">'C20 Risk and return'!$C$33</definedName>
    <definedName function="false" hidden="false" localSheetId="20" name="Mu_Balanced" vbProcedure="false">'C20 Risk and return'!$G$16</definedName>
    <definedName function="false" hidden="false" localSheetId="20" name="Mu_Balanced_Entry" vbProcedure="false">'C20 Risk and return'!$C$16</definedName>
    <definedName function="false" hidden="false" localSheetId="20" name="Mu_Cautious" vbProcedure="false">'C20 Risk and return'!$G$15</definedName>
    <definedName function="false" hidden="false" localSheetId="20" name="Mu_Cautious_Entry" vbProcedure="false">'C20 Risk and return'!$C$15</definedName>
    <definedName function="false" hidden="false" localSheetId="20" name="Mu_Growth" vbProcedure="false">'C20 Risk and return'!$G$17</definedName>
    <definedName function="false" hidden="false" localSheetId="20" name="Mu_Growth_Entry" vbProcedure="false">'C20 Risk and return'!$C$17</definedName>
    <definedName function="false" hidden="false" localSheetId="20" name="Need_1" vbProcedure="false">'C20 Risk and return'!$C$48</definedName>
    <definedName function="false" hidden="false" localSheetId="20" name="Need_2" vbProcedure="false">'C20 Risk and return'!$C$49</definedName>
    <definedName function="false" hidden="false" localSheetId="20" name="Need_3" vbProcedure="false">'C20 Risk and return'!$C$50</definedName>
    <definedName function="false" hidden="false" localSheetId="20" name="Need_4" vbProcedure="false">'C20 Risk and return'!$C$51</definedName>
    <definedName function="false" hidden="false" localSheetId="20" name="Need_5" vbProcedure="false">'C20 Risk and return'!$C$52</definedName>
    <definedName function="false" hidden="false" localSheetId="20" name="Need_6" vbProcedure="false">'C20 Risk and return'!$C$53</definedName>
    <definedName function="false" hidden="false" localSheetId="20" name="Need_7" vbProcedure="false">'C20 Risk and return'!$C$54</definedName>
    <definedName function="false" hidden="false" localSheetId="20" name="Plan_Goal_Kind" vbProcedure="false">'C20 Risk and return'!$C$45</definedName>
    <definedName function="false" hidden="false" localSheetId="20" name="Spread" vbProcedure="false">'C20 Risk and return'!$C$35</definedName>
    <definedName function="false" hidden="false" localSheetId="20" name="Statement_Check" vbProcedure="false">'C20 Risk and return'!$C$25</definedName>
    <definedName function="false" hidden="false" localSheetId="20" name="Stmt_Shares_Pct" vbProcedure="false">'C20 Risk and return'!$C$8</definedName>
    <definedName function="false" hidden="false" localSheetId="20" name="Stmt_Statement_Date" vbProcedure="false">'C20 Risk and return'!$C$9</definedName>
    <definedName function="false" hidden="false" localSheetId="20" name="Stmt_Total_Value" vbProcedure="false">'C20 Risk and return'!$C$7</definedName>
    <definedName function="false" hidden="false" localSheetId="20" name="Stronger" vbProcedure="false">'C20 Risk and return'!$C$30</definedName>
    <definedName function="false" hidden="false" localSheetId="20" name="Style" vbProcedure="false">'C20 Risk and return'!$G$14</definedName>
    <definedName function="false" hidden="false" localSheetId="20" name="Style_Entry" vbProcedure="false">'C20 Risk and return'!$C$14</definedName>
    <definedName function="false" hidden="false" localSheetId="20" name="Style_Name" vbProcedure="false">'C20 Risk and return'!$C$32</definedName>
    <definedName function="false" hidden="false" localSheetId="20" name="Used_Amount" vbProcedure="false">'C20 Risk and return'!$C$23</definedName>
    <definedName function="false" hidden="false" localSheetId="20" name="Used_Style" vbProcedure="false">'C20 Risk and return'!$C$24</definedName>
    <definedName function="false" hidden="false" localSheetId="20" name="Volatility" vbProcedure="false">'C20 Risk and return'!$C$34</definedName>
    <definedName function="false" hidden="false" localSheetId="20" name="Vol_Balanced" vbProcedure="false">'C20 Risk and return'!$G$19</definedName>
    <definedName function="false" hidden="false" localSheetId="20" name="Vol_Balanced_Entry" vbProcedure="false">'C20 Risk and return'!$C$19</definedName>
    <definedName function="false" hidden="false" localSheetId="20" name="Vol_Cautious" vbProcedure="false">'C20 Risk and return'!$G$18</definedName>
    <definedName function="false" hidden="false" localSheetId="20" name="Vol_Cautious_Entry" vbProcedure="false">'C20 Risk and return'!$C$18</definedName>
    <definedName function="false" hidden="false" localSheetId="20" name="Vol_Growth" vbProcedure="false">'C20 Risk and return'!$G$20</definedName>
    <definedName function="false" hidden="false" localSheetId="20" name="Vol_Growth_Entry" vbProcedure="false">'C20 Risk and return'!$C$20</definedName>
    <definedName function="false" hidden="false" localSheetId="20" name="Weaker" vbProcedure="false">'C20 Risk and return'!$C$29</definedName>
    <definedName function="false" hidden="false" localSheetId="20" name="Years" vbProcedure="false">'C20 Risk and return'!$G$13</definedName>
    <definedName function="false" hidden="false" localSheetId="20" name="Years_Entry" vbProcedure="false">'C20 Risk and return'!$C$13</definedName>
    <definedName function="false" hidden="false" localSheetId="21" name="Already_Have" vbProcedure="false">'C21 Life cover'!$C$29</definedName>
    <definedName function="false" hidden="false" localSheetId="21" name="Cover_Gap" vbProcedure="false">'C21 Life cover'!$C$26</definedName>
    <definedName function="false" hidden="false" localSheetId="21" name="Debts_To_Clear" vbProcedure="false">'C21 Life cover'!$C$28</definedName>
    <definedName function="false" hidden="false" localSheetId="21" name="Existing_Cover" vbProcedure="false">'C21 Life cover'!$G$18</definedName>
    <definedName function="false" hidden="false" localSheetId="21" name="Existing_Cover_Entry" vbProcedure="false">'C21 Life cover'!$C$18</definedName>
    <definedName function="false" hidden="false" localSheetId="21" name="Income_Need" vbProcedure="false">'C21 Life cover'!$C$27</definedName>
    <definedName function="false" hidden="false" localSheetId="21" name="Income_Replacement" vbProcedure="false">'C21 Life cover'!$C$30</definedName>
    <definedName function="false" hidden="false" localSheetId="21" name="Life_Replace" vbProcedure="false">'C21 Life cover'!$G$13</definedName>
    <definedName function="false" hidden="false" localSheetId="21" name="Life_Replace_Entry" vbProcedure="false">'C21 Life cover'!$C$13</definedName>
    <definedName function="false" hidden="false" localSheetId="21" name="Mortgage_Balance" vbProcedure="false">'C21 Life cover'!$G$14</definedName>
    <definedName function="false" hidden="false" localSheetId="21" name="Mortgage_Balance_Entry" vbProcedure="false">'C21 Life cover'!$C$14</definedName>
    <definedName function="false" hidden="false" localSheetId="21" name="Mortgage_Protected" vbProcedure="false">'C21 Life cover'!$G$15</definedName>
    <definedName function="false" hidden="false" localSheetId="21" name="Mortgage_Protected_Entry" vbProcedure="false">'C21 Life cover'!$C$15</definedName>
    <definedName function="false" hidden="false" localSheetId="21" name="Need_1" vbProcedure="false">'C21 Life cover'!$C$46</definedName>
    <definedName function="false" hidden="false" localSheetId="21" name="Need_2" vbProcedure="false">'C21 Life cover'!$C$47</definedName>
    <definedName function="false" hidden="false" localSheetId="21" name="Need_3" vbProcedure="false">'C21 Life cover'!$C$48</definedName>
    <definedName function="false" hidden="false" localSheetId="21" name="Need_4" vbProcedure="false">'C21 Life cover'!$C$49</definedName>
    <definedName function="false" hidden="false" localSheetId="21" name="Need_5" vbProcedure="false">'C21 Life cover'!$C$50</definedName>
    <definedName function="false" hidden="false" localSheetId="21" name="Other_Debts" vbProcedure="false">'C21 Life cover'!$G$16</definedName>
    <definedName function="false" hidden="false" localSheetId="21" name="Other_Debts_Entry" vbProcedure="false">'C21 Life cover'!$C$16</definedName>
    <definedName function="false" hidden="false" localSheetId="21" name="Plan_Goal_Kind" vbProcedure="false">'C21 Life cover'!$C$41</definedName>
    <definedName function="false" hidden="false" localSheetId="21" name="Plan_Goal_Need" vbProcedure="false">'C21 Life cover'!$C$42</definedName>
    <definedName function="false" hidden="false" localSheetId="21" name="Savings" vbProcedure="false">'C21 Life cover'!$G$17</definedName>
    <definedName function="false" hidden="false" localSheetId="21" name="Savings_Entry" vbProcedure="false">'C21 Life cover'!$C$17</definedName>
    <definedName function="false" hidden="false" localSheetId="21" name="Statement_Check" vbProcedure="false">'C21 Life cover'!$C$23</definedName>
    <definedName function="false" hidden="false" localSheetId="21" name="Stmt_Balance" vbProcedure="false">'C21 Life cover'!$C$7</definedName>
    <definedName function="false" hidden="false" localSheetId="21" name="Stmt_Statement_Date" vbProcedure="false">'C21 Life cover'!$C$8</definedName>
    <definedName function="false" hidden="false" localSheetId="21" name="Survivor_Pension" vbProcedure="false">'C21 Life cover'!$G$19</definedName>
    <definedName function="false" hidden="false" localSheetId="21" name="Survivor_Pension_Entry" vbProcedure="false">'C21 Life cover'!$C$19</definedName>
    <definedName function="false" hidden="false" localSheetId="21" name="Used_Mortgage_Balance" vbProcedure="false">'C21 Life cover'!$C$22</definedName>
    <definedName function="false" hidden="false" localSheetId="21" name="Yearly_Income" vbProcedure="false">'C21 Life cover'!$G$11</definedName>
    <definedName function="false" hidden="false" localSheetId="21" name="Yearly_Income_Entry" vbProcedure="false">'C21 Life cover'!$C$11</definedName>
    <definedName function="false" hidden="false" localSheetId="21" name="Years_Support" vbProcedure="false">'C21 Life cover'!$G$12</definedName>
    <definedName function="false" hidden="false" localSheetId="21" name="Years_Support_Entry" vbProcedure="false">'C21 Life cover'!$C$12</definedName>
    <definedName function="false" hidden="false" localSheetId="22" name="Essential_Spending" vbProcedure="false">'C22 Income protection gap'!$G$6</definedName>
    <definedName function="false" hidden="false" localSheetId="22" name="Essential_Spending_Entry" vbProcedure="false">'C22 Income protection gap'!$C$6</definedName>
    <definedName function="false" hidden="false" localSheetId="22" name="Gross_Income" vbProcedure="false">'C22 Income protection gap'!$G$9</definedName>
    <definedName function="false" hidden="false" localSheetId="22" name="Gross_Income_Entry" vbProcedure="false">'C22 Income protection gap'!$C$9</definedName>
    <definedName function="false" hidden="false" localSheetId="22" name="Illness_Benefit" vbProcedure="false">'C22 Income protection gap'!$G$10</definedName>
    <definedName function="false" hidden="false" localSheetId="22" name="Illness_Benefit_Entry" vbProcedure="false">'C22 Income protection gap'!$C$10</definedName>
    <definedName function="false" hidden="false" localSheetId="22" name="Illness_Benefit_Month" vbProcedure="false">'C22 Income protection gap'!$C$16</definedName>
    <definedName function="false" hidden="false" localSheetId="22" name="IP_Max" vbProcedure="false">'C22 Income protection gap'!$C$18</definedName>
    <definedName function="false" hidden="false" localSheetId="22" name="IP_Needed" vbProcedure="false">'C22 Income protection gap'!$C$15</definedName>
    <definedName function="false" hidden="false" localSheetId="22" name="Monthly_Gap" vbProcedure="false">'C22 Income protection gap'!$C$14</definedName>
    <definedName function="false" hidden="false" localSheetId="22" name="Months_Coping" vbProcedure="false">'C22 Income protection gap'!$C$13</definedName>
    <definedName function="false" hidden="false" localSheetId="22" name="Need_1" vbProcedure="false">'C22 Income protection gap'!$C$33</definedName>
    <definedName function="false" hidden="false" localSheetId="22" name="Need_2" vbProcedure="false">'C22 Income protection gap'!$C$34</definedName>
    <definedName function="false" hidden="false" localSheetId="22" name="Need_3" vbProcedure="false">'C22 Income protection gap'!$C$35</definedName>
    <definedName function="false" hidden="false" localSheetId="22" name="Need_4" vbProcedure="false">'C22 Income protection gap'!$C$36</definedName>
    <definedName function="false" hidden="false" localSheetId="22" name="Need_5" vbProcedure="false">'C22 Income protection gap'!$C$37</definedName>
    <definedName function="false" hidden="false" localSheetId="22" name="Need_6" vbProcedure="false">'C22 Income protection gap'!$C$38</definedName>
    <definedName function="false" hidden="false" localSheetId="22" name="Plan_Goal_Kind" vbProcedure="false">'C22 Income protection gap'!$C$29</definedName>
    <definedName function="false" hidden="false" localSheetId="22" name="Plan_Goal_Need" vbProcedure="false">'C22 Income protection gap'!$C$30</definedName>
    <definedName function="false" hidden="false" localSheetId="22" name="Savings" vbProcedure="false">'C22 Income protection gap'!$G$8</definedName>
    <definedName function="false" hidden="false" localSheetId="22" name="Savings_Entry" vbProcedure="false">'C22 Income protection gap'!$C$8</definedName>
    <definedName function="false" hidden="false" localSheetId="22" name="Savings_Months" vbProcedure="false">'C22 Income protection gap'!$C$17</definedName>
    <definedName function="false" hidden="false" localSheetId="22" name="Sick_Pay_Months" vbProcedure="false">'C22 Income protection gap'!$G$7</definedName>
    <definedName function="false" hidden="false" localSheetId="22" name="Sick_Pay_Months_Entry" vbProcedure="false">'C22 Income protection gap'!$C$7</definedName>
    <definedName function="false" hidden="false" localSheetId="23" name="Actual_Repayment" vbProcedure="false">'C23 Mortgage protection'!$G$17</definedName>
    <definedName function="false" hidden="false" localSheetId="23" name="Actual_Repayment_Entry" vbProcedure="false">'C23 Mortgage protection'!$C$17</definedName>
    <definedName function="false" hidden="false" localSheetId="23" name="Balance_Year_1" vbProcedure="false">'C23 Mortgage protection'!$C$29</definedName>
    <definedName function="false" hidden="false" localSheetId="23" name="Balance_Year_2" vbProcedure="false">'C23 Mortgage protection'!$C$30</definedName>
    <definedName function="false" hidden="false" localSheetId="23" name="Balance_Year_3" vbProcedure="false">'C23 Mortgage protection'!$C$31</definedName>
    <definedName function="false" hidden="false" localSheetId="23" name="Cover_Today" vbProcedure="false">'C23 Mortgage protection'!$C$27</definedName>
    <definedName function="false" hidden="false" localSheetId="23" name="Interest_Rate" vbProcedure="false">'C23 Mortgage protection'!$G$15</definedName>
    <definedName function="false" hidden="false" localSheetId="23" name="Interest_Rate_Entry" vbProcedure="false">'C23 Mortgage protection'!$C$15</definedName>
    <definedName function="false" hidden="false" localSheetId="23" name="Monthly_Rate" vbProcedure="false">'C23 Mortgage protection'!$C$32</definedName>
    <definedName function="false" hidden="false" localSheetId="23" name="Mortgage_Balance" vbProcedure="false">'C23 Mortgage protection'!$G$14</definedName>
    <definedName function="false" hidden="false" localSheetId="23" name="Mortgage_Balance_Entry" vbProcedure="false">'C23 Mortgage protection'!$C$14</definedName>
    <definedName function="false" hidden="false" localSheetId="23" name="Need_1" vbProcedure="false">'C23 Mortgage protection'!$C$44</definedName>
    <definedName function="false" hidden="false" localSheetId="23" name="Need_2" vbProcedure="false">'C23 Mortgage protection'!$C$45</definedName>
    <definedName function="false" hidden="false" localSheetId="23" name="Need_3" vbProcedure="false">'C23 Mortgage protection'!$C$46</definedName>
    <definedName function="false" hidden="false" localSheetId="23" name="Plan_Goal_Kind" vbProcedure="false">'C23 Mortgage protection'!$C$41</definedName>
    <definedName function="false" hidden="false" localSheetId="23" name="Repayment" vbProcedure="false">'C23 Mortgage protection'!$C$33</definedName>
    <definedName function="false" hidden="false" localSheetId="23" name="Statement_Check" vbProcedure="false">'C23 Mortgage protection'!$C$24</definedName>
    <definedName function="false" hidden="false" localSheetId="23" name="Stmt_Balance" vbProcedure="false">'C23 Mortgage protection'!$C$7</definedName>
    <definedName function="false" hidden="false" localSheetId="23" name="Stmt_Rate" vbProcedure="false">'C23 Mortgage protection'!$C$8</definedName>
    <definedName function="false" hidden="false" localSheetId="23" name="Stmt_Repayment" vbProcedure="false">'C23 Mortgage protection'!$C$10</definedName>
    <definedName function="false" hidden="false" localSheetId="23" name="Stmt_Statement_Date" vbProcedure="false">'C23 Mortgage protection'!$C$11</definedName>
    <definedName function="false" hidden="false" localSheetId="23" name="Stmt_Term" vbProcedure="false">'C23 Mortgage protection'!$C$9</definedName>
    <definedName function="false" hidden="false" localSheetId="23" name="Used_Actual_Repayment" vbProcedure="false">'C23 Mortgage protection'!$C$23</definedName>
    <definedName function="false" hidden="false" localSheetId="23" name="Used_Interest_Rate" vbProcedure="false">'C23 Mortgage protection'!$C$21</definedName>
    <definedName function="false" hidden="false" localSheetId="23" name="Used_Mortgage_Balance" vbProcedure="false">'C23 Mortgage protection'!$C$20</definedName>
    <definedName function="false" hidden="false" localSheetId="23" name="Used_Years_Left" vbProcedure="false">'C23 Mortgage protection'!$C$22</definedName>
    <definedName function="false" hidden="false" localSheetId="23" name="Warning" vbProcedure="false">'C23 Mortgage protection'!$C$28</definedName>
    <definedName function="false" hidden="false" localSheetId="23" name="Years_Left" vbProcedure="false">'C23 Mortgage protection'!$G$16</definedName>
    <definedName function="false" hidden="false" localSheetId="23" name="Years_Left_Entry" vbProcedure="false">'C23 Mortgage protection'!$C$16</definedName>
    <definedName function="false" hidden="false" localSheetId="24" name="Investments" vbProcedure="false">'C24 Net worth'!$G$14</definedName>
    <definedName function="false" hidden="false" localSheetId="24" name="Investments_Entry" vbProcedure="false">'C24 Net worth'!$C$14</definedName>
    <definedName function="false" hidden="false" localSheetId="24" name="Mortgage" vbProcedure="false">'C24 Net worth'!$G$17</definedName>
    <definedName function="false" hidden="false" localSheetId="24" name="Mortgage_Entry" vbProcedure="false">'C24 Net worth'!$C$17</definedName>
    <definedName function="false" hidden="false" localSheetId="24" name="Need_1" vbProcedure="false">'C24 Net worth'!$C$40</definedName>
    <definedName function="false" hidden="false" localSheetId="24" name="Need_2" vbProcedure="false">'C24 Net worth'!$C$41</definedName>
    <definedName function="false" hidden="false" localSheetId="24" name="Need_3" vbProcedure="false">'C24 Net worth'!$C$42</definedName>
    <definedName function="false" hidden="false" localSheetId="24" name="Net_Worth" vbProcedure="false">'C24 Net worth'!$C$27</definedName>
    <definedName function="false" hidden="false" localSheetId="24" name="Other_Loans" vbProcedure="false">'C24 Net worth'!$G$18</definedName>
    <definedName function="false" hidden="false" localSheetId="24" name="Other_Loans_Entry" vbProcedure="false">'C24 Net worth'!$C$18</definedName>
    <definedName function="false" hidden="false" localSheetId="24" name="Pensions" vbProcedure="false">'C24 Net worth'!$G$15</definedName>
    <definedName function="false" hidden="false" localSheetId="24" name="Pensions_Entry" vbProcedure="false">'C24 Net worth'!$C$15</definedName>
    <definedName function="false" hidden="false" localSheetId="24" name="Plan_Goal_Kind" vbProcedure="false">'C24 Net worth'!$C$37</definedName>
    <definedName function="false" hidden="false" localSheetId="24" name="Property" vbProcedure="false">'C24 Net worth'!$G$16</definedName>
    <definedName function="false" hidden="false" localSheetId="24" name="Property_Entry" vbProcedure="false">'C24 Net worth'!$C$16</definedName>
    <definedName function="false" hidden="false" localSheetId="24" name="Savings" vbProcedure="false">'C24 Net worth'!$G$13</definedName>
    <definedName function="false" hidden="false" localSheetId="24" name="Savings_Entry" vbProcedure="false">'C24 Net worth'!$C$13</definedName>
    <definedName function="false" hidden="false" localSheetId="24" name="Stmt_Investment_Value" vbProcedure="false">'C24 Net worth'!$C$10</definedName>
    <definedName function="false" hidden="false" localSheetId="24" name="Stmt_Mortgage_Balance" vbProcedure="false">'C24 Net worth'!$C$7</definedName>
    <definedName function="false" hidden="false" localSheetId="24" name="Stmt_Pension_Value" vbProcedure="false">'C24 Net worth'!$C$9</definedName>
    <definedName function="false" hidden="false" localSheetId="24" name="Stmt_Property_Value" vbProcedure="false">'C24 Net worth'!$C$8</definedName>
    <definedName function="false" hidden="false" localSheetId="24" name="Used_Investments" vbProcedure="false">'C24 Net worth'!$C$24</definedName>
    <definedName function="false" hidden="false" localSheetId="24" name="Used_Mortgage" vbProcedure="false">'C24 Net worth'!$C$21</definedName>
    <definedName function="false" hidden="false" localSheetId="24" name="Used_Pensions" vbProcedure="false">'C24 Net worth'!$C$23</definedName>
    <definedName function="false" hidden="false" localSheetId="24" name="Used_Property" vbProcedure="false">'C24 Net worth'!$C$22</definedName>
    <definedName function="false" hidden="false" localSheetId="24" name="You_Owe" vbProcedure="false">'C24 Net worth'!$C$29</definedName>
    <definedName function="false" hidden="false" localSheetId="24" name="You_Own" vbProcedure="false">'C24 Net worth'!$C$28</definedName>
    <definedName function="false" hidden="false" localSheetId="25" name="Debt_Repayments" vbProcedure="false">'C25 Monthly surplus'!$G$9</definedName>
    <definedName function="false" hidden="false" localSheetId="25" name="Debt_Repayments_Entry" vbProcedure="false">'C25 Monthly surplus'!$C$9</definedName>
    <definedName function="false" hidden="false" localSheetId="25" name="Essentials" vbProcedure="false">'C25 Monthly surplus'!$G$7</definedName>
    <definedName function="false" hidden="false" localSheetId="25" name="Essentials_Entry" vbProcedure="false">'C25 Monthly surplus'!$C$7</definedName>
    <definedName function="false" hidden="false" localSheetId="25" name="Going_Out" vbProcedure="false">'C25 Monthly surplus'!$C$16</definedName>
    <definedName function="false" hidden="false" localSheetId="25" name="Lifestyle" vbProcedure="false">'C25 Monthly surplus'!$G$8</definedName>
    <definedName function="false" hidden="false" localSheetId="25" name="Lifestyle_Entry" vbProcedure="false">'C25 Monthly surplus'!$C$8</definedName>
    <definedName function="false" hidden="false" localSheetId="25" name="Need_1" vbProcedure="false">'C25 Monthly surplus'!$C$29</definedName>
    <definedName function="false" hidden="false" localSheetId="25" name="Need_2" vbProcedure="false">'C25 Monthly surplus'!$C$30</definedName>
    <definedName function="false" hidden="false" localSheetId="25" name="Plan_Goal_Amount" vbProcedure="false">'C25 Monthly surplus'!$C$25</definedName>
    <definedName function="false" hidden="false" localSheetId="25" name="Plan_Goal_Kind" vbProcedure="false">'C25 Monthly surplus'!$C$24</definedName>
    <definedName function="false" hidden="false" localSheetId="25" name="Plan_Goal_Years" vbProcedure="false">'C25 Monthly surplus'!$C$26</definedName>
    <definedName function="false" hidden="false" localSheetId="25" name="Surplus" vbProcedure="false">'C25 Monthly surplus'!$C$15</definedName>
    <definedName function="false" hidden="false" localSheetId="25" name="Take_Home" vbProcedure="false">'C25 Monthly surplus'!$G$6</definedName>
    <definedName function="false" hidden="false" localSheetId="25" name="Take_Home_Entry" vbProcedure="false">'C25 Monthly surplus'!$C$6</definedName>
    <definedName function="false" hidden="false" localSheetId="25" name="Used_Take_Home" vbProcedure="false">'C25 Monthly surplus'!$C$12</definedName>
    <definedName function="false" hidden="false" localSheetId="26" name="Budget_Needs" vbProcedure="false">'C26 Budget 50 30 20'!$G$7</definedName>
    <definedName function="false" hidden="false" localSheetId="26" name="Budget_Needs_Entry" vbProcedure="false">'C26 Budget 50 30 20'!$C$7</definedName>
    <definedName function="false" hidden="false" localSheetId="26" name="Budget_Save" vbProcedure="false">'C26 Budget 50 30 20'!$G$9</definedName>
    <definedName function="false" hidden="false" localSheetId="26" name="Budget_Save_Entry" vbProcedure="false">'C26 Budget 50 30 20'!$C$9</definedName>
    <definedName function="false" hidden="false" localSheetId="26" name="Budget_Wants" vbProcedure="false">'C26 Budget 50 30 20'!$G$8</definedName>
    <definedName function="false" hidden="false" localSheetId="26" name="Budget_Wants_Entry" vbProcedure="false">'C26 Budget 50 30 20'!$C$8</definedName>
    <definedName function="false" hidden="false" localSheetId="26" name="Needs" vbProcedure="false">'C26 Budget 50 30 20'!$C$17</definedName>
    <definedName function="false" hidden="false" localSheetId="26" name="Need_1" vbProcedure="false">'C26 Budget 50 30 20'!$C$29</definedName>
    <definedName function="false" hidden="false" localSheetId="26" name="Need_2" vbProcedure="false">'C26 Budget 50 30 20'!$C$30</definedName>
    <definedName function="false" hidden="false" localSheetId="26" name="Need_3" vbProcedure="false">'C26 Budget 50 30 20'!$C$31</definedName>
    <definedName function="false" hidden="false" localSheetId="26" name="Need_4" vbProcedure="false">'C26 Budget 50 30 20'!$C$32</definedName>
    <definedName function="false" hidden="false" localSheetId="26" name="Plan_Goal_Kind" vbProcedure="false">'C26 Budget 50 30 20'!$C$26</definedName>
    <definedName function="false" hidden="false" localSheetId="26" name="Save" vbProcedure="false">'C26 Budget 50 30 20'!$C$16</definedName>
    <definedName function="false" hidden="false" localSheetId="26" name="Split_Check" vbProcedure="false">'C26 Budget 50 30 20'!$C$15</definedName>
    <definedName function="false" hidden="false" localSheetId="26" name="Take_Home" vbProcedure="false">'C26 Budget 50 30 20'!$G$6</definedName>
    <definedName function="false" hidden="false" localSheetId="26" name="Take_Home_Entry" vbProcedure="false">'C26 Budget 50 30 20'!$C$6</definedName>
    <definedName function="false" hidden="false" localSheetId="26" name="Used_Take_Home" vbProcedure="false">'C26 Budget 50 30 20'!$C$12</definedName>
    <definedName function="false" hidden="false" localSheetId="26" name="Wants" vbProcedure="false">'C26 Budget 50 30 20'!$C$18</definedName>
    <definedName function="false" hidden="false" localSheetId="27" name="APR" vbProcedure="false">'C27 Debt repayment'!$G$7</definedName>
    <definedName function="false" hidden="false" localSheetId="27" name="APR_Entry" vbProcedure="false">'C27 Debt repayment'!$C$7</definedName>
    <definedName function="false" hidden="false" localSheetId="27" name="Balance" vbProcedure="false">'C27 Debt repayment'!$G$6</definedName>
    <definedName function="false" hidden="false" localSheetId="27" name="Balance_Entry" vbProcedure="false">'C27 Debt repayment'!$C$6</definedName>
    <definedName function="false" hidden="false" localSheetId="27" name="Extra_Payment" vbProcedure="false">'C27 Debt repayment'!$G$9</definedName>
    <definedName function="false" hidden="false" localSheetId="27" name="Extra_Payment_Entry" vbProcedure="false">'C27 Debt repayment'!$C$9</definedName>
    <definedName function="false" hidden="false" localSheetId="27" name="Final_Payment" vbProcedure="false">'C27 Debt repayment'!$C$16</definedName>
    <definedName function="false" hidden="false" localSheetId="27" name="Monthly_Payment" vbProcedure="false">'C27 Debt repayment'!$G$8</definedName>
    <definedName function="false" hidden="false" localSheetId="27" name="Monthly_Payment_Entry" vbProcedure="false">'C27 Debt repayment'!$C$8</definedName>
    <definedName function="false" hidden="false" localSheetId="27" name="Monthly_Rate" vbProcedure="false">'C27 Debt repayment'!$C$14</definedName>
    <definedName function="false" hidden="false" localSheetId="27" name="Months_To_Clear" vbProcedure="false">'C27 Debt repayment'!$C$12</definedName>
    <definedName function="false" hidden="false" localSheetId="27" name="Need_1" vbProcedure="false">'C27 Debt repayment'!$C$32</definedName>
    <definedName function="false" hidden="false" localSheetId="27" name="Need_2" vbProcedure="false">'C27 Debt repayment'!$C$33</definedName>
    <definedName function="false" hidden="false" localSheetId="27" name="Need_3" vbProcedure="false">'C27 Debt repayment'!$C$34</definedName>
    <definedName function="false" hidden="false" localSheetId="27" name="Payment" vbProcedure="false">'C27 Debt repayment'!$C$15</definedName>
    <definedName function="false" hidden="false" localSheetId="27" name="Plan_Goal_Kind" vbProcedure="false">'C27 Debt repayment'!$C$28</definedName>
    <definedName function="false" hidden="false" localSheetId="27" name="Total_Interest" vbProcedure="false">'C27 Debt repayment'!$C$13</definedName>
    <definedName function="false" hidden="false" localSheetId="28" name="APR" vbProcedure="false">'C28 Loan repayment'!$G$7</definedName>
    <definedName function="false" hidden="false" localSheetId="28" name="APR_Entry" vbProcedure="false">'C28 Loan repayment'!$C$7</definedName>
    <definedName function="false" hidden="false" localSheetId="28" name="Loan_Amount" vbProcedure="false">'C28 Loan repayment'!$G$6</definedName>
    <definedName function="false" hidden="false" localSheetId="28" name="Loan_Amount_Entry" vbProcedure="false">'C28 Loan repayment'!$C$6</definedName>
    <definedName function="false" hidden="false" localSheetId="28" name="Monthly_Rate" vbProcedure="false">'C28 Loan repayment'!$C$14</definedName>
    <definedName function="false" hidden="false" localSheetId="28" name="Monthly_Repayment" vbProcedure="false">'C28 Loan repayment'!$C$11</definedName>
    <definedName function="false" hidden="false" localSheetId="28" name="Need_1" vbProcedure="false">'C28 Loan repayment'!$C$26</definedName>
    <definedName function="false" hidden="false" localSheetId="28" name="Need_2" vbProcedure="false">'C28 Loan repayment'!$C$27</definedName>
    <definedName function="false" hidden="false" localSheetId="28" name="Plan_Goal_Kind" vbProcedure="false">'C28 Loan repayment'!$C$23</definedName>
    <definedName function="false" hidden="false" localSheetId="28" name="Total_Interest" vbProcedure="false">'C28 Loan repayment'!$C$12</definedName>
    <definedName function="false" hidden="false" localSheetId="28" name="Total_Repaid" vbProcedure="false">'C28 Loan repayment'!$C$13</definedName>
    <definedName function="false" hidden="false" localSheetId="28" name="Years" vbProcedure="false">'C28 Loan repayment'!$G$8</definedName>
    <definedName function="false" hidden="false" localSheetId="28" name="Years_Entry" vbProcedure="false">'C28 Loan repayment'!$C$8</definedName>
  </definedNames>
  <calcPr calcMode="auto" fullCalcOnLoad="1"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Your own figure. In the app it is pre-filled from Your finances: income. Example only: €60,000.</t>
        </r>
      </text>
    </comment>
    <comment ref="C7" authorId="0">
      <text>
        <r>
          <rPr>
            <sz val="10"/>
            <rFont val="Arial"/>
            <family val="2"/>
          </rPr>
          <t xml:space="preserve">Your own figure. In the app it is pre-filled from Your finances: partner's income. Example only: €0.</t>
        </r>
      </text>
    </comment>
    <comment ref="C8" authorId="0">
      <text>
        <r>
          <rPr>
            <sz val="10"/>
            <rFont val="Arial"/>
            <family val="2"/>
          </rPr>
          <t xml:space="preserve">Your own figure. In the app it is pre-filled from Plan: home goal's amount saved. Example only: €25,000.</t>
        </r>
      </text>
    </comment>
    <comment ref="C9" authorId="0">
      <text>
        <r>
          <rPr>
            <sz val="10"/>
            <rFont val="Arial"/>
            <family val="2"/>
          </rPr>
          <t xml:space="preserve">Your own figure. In the app it is pre-filled from Your finances: home status (owner = No). Example only: Yes.</t>
        </r>
      </text>
    </comment>
    <comment ref="C10" authorId="0">
      <text>
        <r>
          <rPr>
            <sz val="10"/>
            <rFont val="Arial"/>
            <family val="2"/>
          </rPr>
          <t xml:space="preserve">Your own mortgage rate: your statement shows it. Typing it is fine; no upload needed. A suggested rate and its source are shown beside this cell (Partner rates, Assumptions sheet).</t>
        </r>
      </text>
    </comment>
    <comment ref="C11" authorId="0">
      <text>
        <r>
          <rPr>
            <sz val="10"/>
            <rFont val="Arial"/>
            <family val="2"/>
          </rPr>
          <t xml:space="preserve">Your own figure. Example only: 30.</t>
        </r>
      </text>
    </comment>
    <comment ref="C12" authorId="0">
      <text>
        <r>
          <rPr>
            <sz val="10"/>
            <rFont val="Arial"/>
            <family val="2"/>
          </rPr>
          <t xml:space="preserve">Optional: your own legal and survey fees. No published figure, so no suggestion unless a partner sets one. Leave blank to count €0.</t>
        </r>
      </text>
    </comment>
    <comment ref="C13" authorId="0">
      <text>
        <r>
          <rPr>
            <sz val="10"/>
            <rFont val="Arial"/>
            <family val="2"/>
          </rPr>
          <t xml:space="preserve">Your own figure. Example only: 3.</t>
        </r>
      </text>
    </comment>
    <comment ref="C14" authorId="0">
      <text>
        <r>
          <rPr>
            <sz val="10"/>
            <rFont val="Arial"/>
            <family val="2"/>
          </rPr>
          <t xml:space="preserve">Optional: leave blank for none. Example only: €0.</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Mortgage statement: "Interest rate" / "Current rate" / "Rate applied" / "Variable rate" / "Fixed rate". Blank = not on the statement / no statement.</t>
        </r>
      </text>
    </comment>
    <comment ref="C9" authorId="0">
      <text>
        <r>
          <rPr>
            <sz val="10"/>
            <rFont val="Arial"/>
            <family val="2"/>
          </rPr>
          <t xml:space="preserve">Filled by the document reader from: Mortgage statement: "Remaining term" / "Term remaining" / "Years remaining" (convert months to years). Blank = not on the statement / no statement.</t>
        </r>
      </text>
    </comment>
    <comment ref="C10" authorId="0">
      <text>
        <r>
          <rPr>
            <sz val="10"/>
            <rFont val="Arial"/>
            <family val="2"/>
          </rPr>
          <t xml:space="preserve">Filled by the document reader from: Mortgage statement: "Monthly repayment" / "Monthly instalment" / "Repayment amount". Blank = not on the statement / no statement.</t>
        </r>
      </text>
    </comment>
    <comment ref="C11" authorId="0">
      <text>
        <r>
          <rPr>
            <sz val="10"/>
            <rFont val="Arial"/>
            <family val="2"/>
          </rPr>
          <t xml:space="preserve">Filled by the document reader from: The statement: "Statement date" / "Statement period to" / "Valuation date" / "As at". Blank = not on the statement / no statement.</t>
        </r>
      </text>
    </comment>
    <comment ref="C14" authorId="0">
      <text>
        <r>
          <rPr>
            <sz val="10"/>
            <rFont val="Arial"/>
            <family val="2"/>
          </rPr>
          <t xml:space="preserve">Your own figure. In the app it is pre-filled from Your finances / mortgage statement: balance. Example only: €300,000.</t>
        </r>
      </text>
    </comment>
    <comment ref="C15" authorId="0">
      <text>
        <r>
          <rPr>
            <sz val="10"/>
            <rFont val="Arial"/>
            <family val="2"/>
          </rPr>
          <t xml:space="preserve">Your own mortgage rate: your statement shows it. Typing it is fine; no upload needed. A suggested rate and its source are shown beside this cell (Partner rates, Assumptions sheet).</t>
        </r>
      </text>
    </comment>
    <comment ref="C16" authorId="0">
      <text>
        <r>
          <rPr>
            <sz val="10"/>
            <rFont val="Arial"/>
            <family val="2"/>
          </rPr>
          <t xml:space="preserve">Your own figure. In the app it is pre-filled from Years left (25 if not given). Example only: 30.</t>
        </r>
      </text>
    </comment>
    <comment ref="C17" authorId="0">
      <text>
        <r>
          <rPr>
            <sz val="10"/>
            <rFont val="Arial"/>
            <family val="2"/>
          </rPr>
          <t xml:space="preserve">Optional: leave blank for none. Example only: €0.</t>
        </r>
      </text>
    </comment>
    <comment ref="C18" authorId="0">
      <text>
        <r>
          <rPr>
            <sz val="10"/>
            <rFont val="Arial"/>
            <family val="2"/>
          </rPr>
          <t xml:space="preserve">Your own figure. Example only: 3.</t>
        </r>
      </text>
    </comment>
    <comment ref="C19" authorId="0">
      <text>
        <r>
          <rPr>
            <sz val="10"/>
            <rFont val="Arial"/>
            <family val="2"/>
          </rPr>
          <t xml:space="preserve">Optional: leave blank for none. Example only: 0%.</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Your own figure. Example only: €350,000.</t>
        </r>
      </text>
    </comment>
    <comment ref="C7" authorId="0">
      <text>
        <r>
          <rPr>
            <sz val="10"/>
            <rFont val="Arial"/>
            <family val="2"/>
          </rPr>
          <t xml:space="preserve">Your own figure. Example only: 10%.</t>
        </r>
      </text>
    </comment>
    <comment ref="C8" authorId="0">
      <text>
        <r>
          <rPr>
            <sz val="10"/>
            <rFont val="Arial"/>
            <family val="2"/>
          </rPr>
          <t xml:space="preserve">Optional: your own legal and survey fees. No published figure, so no suggestion unless a partner sets one. Leave blank to count €0.</t>
        </r>
      </text>
    </comment>
    <comment ref="C9" authorId="0">
      <text>
        <r>
          <rPr>
            <sz val="10"/>
            <rFont val="Arial"/>
            <family val="2"/>
          </rPr>
          <t xml:space="preserve">Your own figure. In the app it is pre-filled from Plan: home goal's amount saved. Example only: €12,000.</t>
        </r>
      </text>
    </comment>
    <comment ref="C10" authorId="0">
      <text>
        <r>
          <rPr>
            <sz val="10"/>
            <rFont val="Arial"/>
            <family val="2"/>
          </rPr>
          <t xml:space="preserve">Your own figure. Example only: €800.</t>
        </r>
      </text>
    </comment>
    <comment ref="C11" authorId="0">
      <text>
        <r>
          <rPr>
            <sz val="10"/>
            <rFont val="Arial"/>
            <family val="2"/>
          </rPr>
          <t xml:space="preserve">Optional: leave blank for none. Example only: €0.</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Mortgage statement: "Interest rate" / "Current rate" / "Rate applied" / "Variable rate" / "Fixed rate". Blank = not on the statement / no statement.</t>
        </r>
      </text>
    </comment>
    <comment ref="C9" authorId="0">
      <text>
        <r>
          <rPr>
            <sz val="10"/>
            <rFont val="Arial"/>
            <family val="2"/>
          </rPr>
          <t xml:space="preserve">Filled by the document reader from: Mortgage statement: "Remaining term" / "Term remaining" / "Years remaining" (convert months to years). Blank = not on the statement / no statement.</t>
        </r>
      </text>
    </comment>
    <comment ref="C10" authorId="0">
      <text>
        <r>
          <rPr>
            <sz val="10"/>
            <rFont val="Arial"/>
            <family val="2"/>
          </rPr>
          <t xml:space="preserve">Filled by the document reader from: Mortgage statement: "Monthly repayment" / "Monthly instalment" / "Repayment amount". Blank = not on the statement / no statement.</t>
        </r>
      </text>
    </comment>
    <comment ref="C11" authorId="0">
      <text>
        <r>
          <rPr>
            <sz val="10"/>
            <rFont val="Arial"/>
            <family val="2"/>
          </rPr>
          <t xml:space="preserve">Filled by the document reader from: The statement: "Statement date" / "Statement period to" / "Valuation date" / "As at". Blank = not on the statement / no statement.</t>
        </r>
      </text>
    </comment>
    <comment ref="C14" authorId="0">
      <text>
        <r>
          <rPr>
            <sz val="10"/>
            <rFont val="Arial"/>
            <family val="2"/>
          </rPr>
          <t xml:space="preserve">Your own figure. In the app it is pre-filled from Your finances / statement: balance. Example only: €250,000.</t>
        </r>
      </text>
    </comment>
    <comment ref="C15" authorId="0">
      <text>
        <r>
          <rPr>
            <sz val="10"/>
            <rFont val="Arial"/>
            <family val="2"/>
          </rPr>
          <t xml:space="preserve">Your own mortgage rate: your statement shows it. Typing it is fine; no upload needed. A suggested rate and its source are shown beside this cell (Partner rates, Assumptions sheet).</t>
        </r>
      </text>
    </comment>
    <comment ref="C16" authorId="0">
      <text>
        <r>
          <rPr>
            <sz val="10"/>
            <rFont val="Arial"/>
            <family val="2"/>
          </rPr>
          <t xml:space="preserve">Your own figure. In the app it is pre-filled from Years left (25 if not given). Example only: 25.</t>
        </r>
      </text>
    </comment>
    <comment ref="C17" authorId="0">
      <text>
        <r>
          <rPr>
            <sz val="10"/>
            <rFont val="Arial"/>
            <family val="2"/>
          </rPr>
          <t xml:space="preserve">Your own figure. Example only: €200.</t>
        </r>
      </text>
    </comment>
    <comment ref="C18" authorId="0">
      <text>
        <r>
          <rPr>
            <sz val="10"/>
            <rFont val="Arial"/>
            <family val="2"/>
          </rPr>
          <t xml:space="preserve">Optional: leave blank for none. Example only: €0.</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Mortgage statement: "Interest rate" / "Current rate" / "Rate applied" / "Variable rate" / "Fixed rate". Blank = not on the statement / no statement.</t>
        </r>
      </text>
    </comment>
    <comment ref="C9" authorId="0">
      <text>
        <r>
          <rPr>
            <sz val="10"/>
            <rFont val="Arial"/>
            <family val="2"/>
          </rPr>
          <t xml:space="preserve">Filled by the document reader from: Mortgage statement: "Remaining term" / "Term remaining" / "Years remaining" (convert months to years). Blank = not on the statement / no statement.</t>
        </r>
      </text>
    </comment>
    <comment ref="C10" authorId="0">
      <text>
        <r>
          <rPr>
            <sz val="10"/>
            <rFont val="Arial"/>
            <family val="2"/>
          </rPr>
          <t xml:space="preserve">Filled by the document reader from: Mortgage statement: "Monthly repayment" / "Monthly instalment" / "Repayment amount". Blank = not on the statement / no statement.</t>
        </r>
      </text>
    </comment>
    <comment ref="C11" authorId="0">
      <text>
        <r>
          <rPr>
            <sz val="10"/>
            <rFont val="Arial"/>
            <family val="2"/>
          </rPr>
          <t xml:space="preserve">Filled by the document reader from: The statement: "Statement date" / "Statement period to" / "Valuation date" / "As at". Blank = not on the statement / no statement.</t>
        </r>
      </text>
    </comment>
    <comment ref="C14" authorId="0">
      <text>
        <r>
          <rPr>
            <sz val="10"/>
            <rFont val="Arial"/>
            <family val="2"/>
          </rPr>
          <t xml:space="preserve">Your own figure. In the app it is pre-filled from Your finances / statement: balance. Example only: €300,000.</t>
        </r>
      </text>
    </comment>
    <comment ref="C15" authorId="0">
      <text>
        <r>
          <rPr>
            <sz val="10"/>
            <rFont val="Arial"/>
            <family val="2"/>
          </rPr>
          <t xml:space="preserve">Your own mortgage rate: your statement shows it. Typing it is fine; no upload needed. A suggested rate and its source are shown beside this cell (Partner rates, Assumptions sheet).</t>
        </r>
      </text>
    </comment>
    <comment ref="C16" authorId="0">
      <text>
        <r>
          <rPr>
            <sz val="10"/>
            <rFont val="Arial"/>
            <family val="2"/>
          </rPr>
          <t xml:space="preserve">Your own figure. In the app it is pre-filled from Years left (25 if not given). Example only: 25.</t>
        </r>
      </text>
    </comment>
    <comment ref="C17" authorId="0">
      <text>
        <r>
          <rPr>
            <sz val="10"/>
            <rFont val="Arial"/>
            <family val="2"/>
          </rPr>
          <t xml:space="preserve">Your own figure. Example only: 1%.</t>
        </r>
      </text>
    </comment>
    <comment ref="C18" authorId="0">
      <text>
        <r>
          <rPr>
            <sz val="10"/>
            <rFont val="Arial"/>
            <family val="2"/>
          </rPr>
          <t xml:space="preserve">Optional: leave blank for none. Example only: €0.</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Mortgage statement: "Interest rate" / "Current rate" / "Rate applied" / "Variable rate" / "Fixed rate". Blank = not on the statement / no statement.</t>
        </r>
      </text>
    </comment>
    <comment ref="C9" authorId="0">
      <text>
        <r>
          <rPr>
            <sz val="10"/>
            <rFont val="Arial"/>
            <family val="2"/>
          </rPr>
          <t xml:space="preserve">Filled by the document reader from: Mortgage statement: "Remaining term" / "Term remaining" / "Years remaining" (convert months to years). Blank = not on the statement / no statement.</t>
        </r>
      </text>
    </comment>
    <comment ref="C10" authorId="0">
      <text>
        <r>
          <rPr>
            <sz val="10"/>
            <rFont val="Arial"/>
            <family val="2"/>
          </rPr>
          <t xml:space="preserve">Filled by the document reader from: The statement: "Statement date" / "Statement period to" / "Valuation date" / "As at". Blank = not on the statement / no statement.</t>
        </r>
      </text>
    </comment>
    <comment ref="C13" authorId="0">
      <text>
        <r>
          <rPr>
            <sz val="10"/>
            <rFont val="Arial"/>
            <family val="2"/>
          </rPr>
          <t xml:space="preserve">Your own figure. In the app it is pre-filled from Your finances / statement: balance. Example only: €300,000.</t>
        </r>
      </text>
    </comment>
    <comment ref="C14" authorId="0">
      <text>
        <r>
          <rPr>
            <sz val="10"/>
            <rFont val="Arial"/>
            <family val="2"/>
          </rPr>
          <t xml:space="preserve">Your own mortgage rate: your statement shows it. Typing it is fine; no upload needed. A suggested rate and its source are shown beside this cell (Partner rates, Assumptions sheet).</t>
        </r>
      </text>
    </comment>
    <comment ref="C15" authorId="0">
      <text>
        <r>
          <rPr>
            <sz val="10"/>
            <rFont val="Arial"/>
            <family val="2"/>
          </rPr>
          <t xml:space="preserve">Your own figure. In the app it is pre-filled from Years left (25 if not given). Example only: 25.</t>
        </r>
      </text>
    </comment>
    <comment ref="C16" authorId="0">
      <text>
        <r>
          <rPr>
            <sz val="10"/>
            <rFont val="Arial"/>
            <family val="2"/>
          </rPr>
          <t xml:space="preserve">Your own figure. Example only: 35.</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Your own figure. Example only: €1,800.</t>
        </r>
      </text>
    </comment>
    <comment ref="C7" authorId="0">
      <text>
        <r>
          <rPr>
            <sz val="10"/>
            <rFont val="Arial"/>
            <family val="2"/>
          </rPr>
          <t xml:space="preserve">Your own figure. Example only: €350,000.</t>
        </r>
      </text>
    </comment>
    <comment ref="C8" authorId="0">
      <text>
        <r>
          <rPr>
            <sz val="10"/>
            <rFont val="Arial"/>
            <family val="2"/>
          </rPr>
          <t xml:space="preserve">Your own figure. Example only: €35,000.</t>
        </r>
      </text>
    </comment>
    <comment ref="C9" authorId="0">
      <text>
        <r>
          <rPr>
            <sz val="10"/>
            <rFont val="Arial"/>
            <family val="2"/>
          </rPr>
          <t xml:space="preserve">Your own mortgage rate: your statement shows it. Typing it is fine; no upload needed. A suggested rate and its source are shown beside this cell (Partner rates, Assumptions sheet).</t>
        </r>
      </text>
    </comment>
    <comment ref="C10" authorId="0">
      <text>
        <r>
          <rPr>
            <sz val="10"/>
            <rFont val="Arial"/>
            <family val="2"/>
          </rPr>
          <t xml:space="preserve">Your own figure. Example only: 30.</t>
        </r>
      </text>
    </comment>
    <comment ref="C11" authorId="0">
      <text>
        <r>
          <rPr>
            <sz val="10"/>
            <rFont val="Arial"/>
            <family val="2"/>
          </rPr>
          <t xml:space="preserve">Your own figure. Example only: 10.</t>
        </r>
      </text>
    </comment>
    <comment ref="C12" authorId="0">
      <text>
        <r>
          <rPr>
            <sz val="10"/>
            <rFont val="Arial"/>
            <family val="2"/>
          </rPr>
          <t xml:space="preserve">Generally the standard is 2% a year, in line with long-run inflation (house prices can fall as well as rise). Choose what you want to use. Example only: 2%.</t>
        </r>
      </text>
    </comment>
    <comment ref="C13" authorId="0">
      <text>
        <r>
          <rPr>
            <sz val="10"/>
            <rFont val="Arial"/>
            <family val="2"/>
          </rPr>
          <t xml:space="preserve">Generally the standard is 3% a year (Irish rents have risen faster than prices in recent years). Choose what you want to use. Example only: 3%.</t>
        </r>
      </text>
    </comment>
    <comment ref="C14" authorId="0">
      <text>
        <r>
          <rPr>
            <sz val="10"/>
            <rFont val="Arial"/>
            <family val="2"/>
          </rPr>
          <t xml:space="preserve">Generally the standard is 1% of the home's value a year for repairs, insurance and maintenance. Choose what you want to use. Example only: 1%.</t>
        </r>
      </text>
    </comment>
    <comment ref="C15" authorId="0">
      <text>
        <r>
          <rPr>
            <sz val="10"/>
            <rFont val="Arial"/>
            <family val="2"/>
          </rPr>
          <t xml:space="preserve">Optional: your own legal and survey fees. No published figure, so no suggestion unless a partner sets one. Leave blank to count €0.</t>
        </r>
      </text>
    </comment>
    <comment ref="C16" authorId="0">
      <text>
        <r>
          <rPr>
            <sz val="10"/>
            <rFont val="Arial"/>
            <family val="2"/>
          </rPr>
          <t xml:space="preserve">Optional: what your deposit could earn after DIRT if you rent. A suggested rate and its source are shown beside this cell (Partner rates, Assumptions sheet). Leave blank for 0%.</t>
        </r>
      </text>
    </comment>
    <comment ref="C17" authorId="0">
      <text>
        <r>
          <rPr>
            <sz val="10"/>
            <rFont val="Arial"/>
            <family val="2"/>
          </rPr>
          <t xml:space="preserve">Your own figure. Example only: 3.</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Generally the standard is 2% a year (ECB target); Ireland's prices are rising 3.9% now (CSO HICP flash, Sep 2026). Choose what you want to use. Example only: 2%.</t>
        </r>
      </text>
    </comment>
    <comment ref="C10" authorId="0">
      <text>
        <r>
          <rPr>
            <sz val="10"/>
            <rFont val="Arial"/>
            <family val="2"/>
          </rPr>
          <t xml:space="preserve">Your own figure. Example only: €15,000.</t>
        </r>
      </text>
    </comment>
    <comment ref="C11" authorId="0">
      <text>
        <r>
          <rPr>
            <sz val="10"/>
            <rFont val="Arial"/>
            <family val="2"/>
          </rPr>
          <t xml:space="preserve">Your own figure. Example only: 3.</t>
        </r>
      </text>
    </comment>
    <comment ref="C12" authorId="0">
      <text>
        <r>
          <rPr>
            <sz val="10"/>
            <rFont val="Arial"/>
            <family val="2"/>
          </rPr>
          <t xml:space="preserve">Your own figure. Example only: €2,000.</t>
        </r>
      </text>
    </comment>
    <comment ref="C13" authorId="0">
      <text>
        <r>
          <rPr>
            <sz val="10"/>
            <rFont val="Arial"/>
            <family val="2"/>
          </rPr>
          <t xml:space="preserve">Generally the standard is 1% a year after DIRT for cash savings (Irish fixed-term deposits about 2% before tax in mid-2026). Choose what you want to use. Example only: 1%.</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Generally the standard is 2% a year (ECB target); Ireland's prices are rising 3.9% now (CSO HICP flash, Sep 2026). Choose what you want to use. Example only: 2%.</t>
        </r>
      </text>
    </comment>
    <comment ref="C10" authorId="0">
      <text>
        <r>
          <rPr>
            <sz val="10"/>
            <rFont val="Arial"/>
            <family val="2"/>
          </rPr>
          <t xml:space="preserve">Your own figure. Example only: €5,000.</t>
        </r>
      </text>
    </comment>
    <comment ref="C11" authorId="0">
      <text>
        <r>
          <rPr>
            <sz val="10"/>
            <rFont val="Arial"/>
            <family val="2"/>
          </rPr>
          <t xml:space="preserve">Your own figure. Example only: €200.</t>
        </r>
      </text>
    </comment>
    <comment ref="C12" authorId="0">
      <text>
        <r>
          <rPr>
            <sz val="10"/>
            <rFont val="Arial"/>
            <family val="2"/>
          </rPr>
          <t xml:space="preserve">Generally the standard is 5% a year before charges and tax for a mixed fund (LifeMap standard, not a forecast). Choose what you want to use. Example only: 5%.</t>
        </r>
      </text>
    </comment>
    <comment ref="C13" authorId="0">
      <text>
        <r>
          <rPr>
            <sz val="10"/>
            <rFont val="Arial"/>
            <family val="2"/>
          </rPr>
          <t xml:space="preserve">Your own figure. Example only: 20.</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Generally the standard is 2% a year (ECB target); Ireland's prices are rising 3.9% now (CSO HICP flash, Sep 2026). Choose what you want to use. Example only: 2%.</t>
        </r>
      </text>
    </comment>
    <comment ref="C11" authorId="0">
      <text>
        <r>
          <rPr>
            <sz val="10"/>
            <rFont val="Arial"/>
            <family val="2"/>
          </rPr>
          <t xml:space="preserve">Filled by the document reader from: Investment statement: "Total value" / "Portfolio value" / "Valuation" / "Market value" / "Policy value". Blank = not on the statement / no statement.</t>
        </r>
      </text>
    </comment>
    <comment ref="C12" authorId="0">
      <text>
        <r>
          <rPr>
            <sz val="10"/>
            <rFont val="Arial"/>
            <family val="2"/>
          </rPr>
          <t xml:space="preserve">Filled by the document reader from: Investment statement: "Annual management charge (AMC)" / "Ongoing charges figure (OCF)" / "Total annual charges". Blank = not on the statement / no statement.</t>
        </r>
      </text>
    </comment>
    <comment ref="C13" authorId="0">
      <text>
        <r>
          <rPr>
            <sz val="10"/>
            <rFont val="Arial"/>
            <family val="2"/>
          </rPr>
          <t xml:space="preserve">Filled by the document reader from: The statement: "Statement date" / "Statement period to" / "Valuation date" / "As at". Blank = not on the statement / no statement.</t>
        </r>
      </text>
    </comment>
    <comment ref="C16" authorId="0">
      <text>
        <r>
          <rPr>
            <sz val="10"/>
            <rFont val="Arial"/>
            <family val="2"/>
          </rPr>
          <t xml:space="preserve">Your own figure. In the app it is pre-filled from Your finances / statement: investments. Example only: €10,000.</t>
        </r>
      </text>
    </comment>
    <comment ref="C17" authorId="0">
      <text>
        <r>
          <rPr>
            <sz val="10"/>
            <rFont val="Arial"/>
            <family val="2"/>
          </rPr>
          <t xml:space="preserve">Generally the standard is 5% a year before charges and tax for a mixed fund (LifeMap standard, not a forecast). Choose what you want to use. Example only: 5%.</t>
        </r>
      </text>
    </comment>
    <comment ref="C18" authorId="0">
      <text>
        <r>
          <rPr>
            <sz val="10"/>
            <rFont val="Arial"/>
            <family val="2"/>
          </rPr>
          <t xml:space="preserve">Your own figure. Example only: 15.</t>
        </r>
      </text>
    </comment>
    <comment ref="C19" authorId="0">
      <text>
        <r>
          <rPr>
            <sz val="10"/>
            <rFont val="Arial"/>
            <family val="2"/>
          </rPr>
          <t xml:space="preserve">Your own fund charges (your statement shows them). A suggested figure and its source are shown beside this cell (Partner rates, Assumptions sheet). CCPC: usually 0.5%–2% a year.</t>
        </r>
      </text>
    </comment>
    <comment ref="C20" authorId="0">
      <text>
        <r>
          <rPr>
            <sz val="10"/>
            <rFont val="Arial"/>
            <family val="2"/>
          </rPr>
          <t xml:space="preserve">Generally the standard is 5 years (an illustration of the cost of waiting). Choose what you want to use. Example only: 5.</t>
        </r>
      </text>
    </comment>
    <comment ref="C21" authorId="0">
      <text>
        <r>
          <rPr>
            <sz val="10"/>
            <rFont val="Arial"/>
            <family val="2"/>
          </rPr>
          <t xml:space="preserve">Optional: leave blank for none. Example only: No.</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Your own figure. In the app it is pre-filled from Your finances: costs + mortgage + debt repayments. Example only: €2,500.</t>
        </r>
      </text>
    </comment>
    <comment ref="C7" authorId="0">
      <text>
        <r>
          <rPr>
            <sz val="10"/>
            <rFont val="Arial"/>
            <family val="2"/>
          </rPr>
          <t xml:space="preserve">Generally the standard is 6 months of essential spending (3 if you have two secure incomes). Choose what you want to use. Example only: 6.</t>
        </r>
      </text>
    </comment>
    <comment ref="C8" authorId="0">
      <text>
        <r>
          <rPr>
            <sz val="10"/>
            <rFont val="Arial"/>
            <family val="2"/>
          </rPr>
          <t xml:space="preserve">Your own figure. Example only: 2.</t>
        </r>
      </text>
    </comment>
    <comment ref="C9" authorId="0">
      <text>
        <r>
          <rPr>
            <sz val="10"/>
            <rFont val="Arial"/>
            <family val="2"/>
          </rPr>
          <t xml:space="preserve">Your own figure. In the app it is pre-filled from Your finances: cash. Example only: €6,250.</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Generally the standard is 2% a year (ECB target); Ireland's prices are rising 3.9% now (CSO HICP flash, Sep 2026). Choose what you want to use. Example only: 2%.</t>
        </r>
      </text>
    </comment>
    <comment ref="C11" authorId="0">
      <text>
        <r>
          <rPr>
            <sz val="10"/>
            <rFont val="Arial"/>
            <family val="2"/>
          </rPr>
          <t xml:space="preserve">Filled by the document reader from: Pension statement: "Current fund value" / "Value of your fund" / "Transfer value" / "Total fund value". Blank = not on the statement / no statement.</t>
        </r>
      </text>
    </comment>
    <comment ref="C12" authorId="0">
      <text>
        <r>
          <rPr>
            <sz val="10"/>
            <rFont val="Arial"/>
            <family val="2"/>
          </rPr>
          <t xml:space="preserve">Filled by the document reader from: Pension statement: "Your contributions" / "Member contributions" / "Employee contributions" (convert yearly to monthly). Blank = not on the statement / no statement.</t>
        </r>
      </text>
    </comment>
    <comment ref="C13" authorId="0">
      <text>
        <r>
          <rPr>
            <sz val="10"/>
            <rFont val="Arial"/>
            <family val="2"/>
          </rPr>
          <t xml:space="preserve">Filled by the document reader from: Pension statement: "Employer contributions" / "Company contributions". Blank = not on the statement / no statement.</t>
        </r>
      </text>
    </comment>
    <comment ref="C14" authorId="0">
      <text>
        <r>
          <rPr>
            <sz val="10"/>
            <rFont val="Arial"/>
            <family val="2"/>
          </rPr>
          <t xml:space="preserve">Filled by the document reader from: Pension statement: "Normal retirement age" / "Normal retirement date" (convert the date to an age). Blank = not on the statement / no statement.</t>
        </r>
      </text>
    </comment>
    <comment ref="C15" authorId="0">
      <text>
        <r>
          <rPr>
            <sz val="10"/>
            <rFont val="Arial"/>
            <family val="2"/>
          </rPr>
          <t xml:space="preserve">Filled by the document reader from: Pension statement / SRP: "Projected fund at normal retirement date" / "Projected retirement fund" / "Estimated fund value at retirement". Blank = not on the statement / no statement.</t>
        </r>
      </text>
    </comment>
    <comment ref="C16" authorId="0">
      <text>
        <r>
          <rPr>
            <sz val="10"/>
            <rFont val="Arial"/>
            <family val="2"/>
          </rPr>
          <t xml:space="preserve">Filled by the document reader from: Pension statement / SRP: wording near the projection such as "in today's terms" / "in today's money" / "adjusted for inflation" (Yes) or "in money terms at retirement" (No). Blank = not on the statement / no statement.</t>
        </r>
      </text>
    </comment>
    <comment ref="C17" authorId="0">
      <text>
        <r>
          <rPr>
            <sz val="10"/>
            <rFont val="Arial"/>
            <family val="2"/>
          </rPr>
          <t xml:space="preserve">Filled by the document reader from: Pension statement: "Annual management charge" / "Total annual charges" / "Fund charges". Blank = not on the statement / no statement.</t>
        </r>
      </text>
    </comment>
    <comment ref="C18" authorId="0">
      <text>
        <r>
          <rPr>
            <sz val="10"/>
            <rFont val="Arial"/>
            <family val="2"/>
          </rPr>
          <t xml:space="preserve">Filled by the document reader from: The statement: "Statement date" / "Statement period to" / "Valuation date" / "As at". Blank = not on the statement / no statement.</t>
        </r>
      </text>
    </comment>
    <comment ref="C21" authorId="0">
      <text>
        <r>
          <rPr>
            <sz val="10"/>
            <rFont val="Arial"/>
            <family val="2"/>
          </rPr>
          <t xml:space="preserve">Your own figure. In the app it is pre-filled from About you: age. Example only: 40.</t>
        </r>
      </text>
    </comment>
    <comment ref="C22" authorId="0">
      <text>
        <r>
          <rPr>
            <sz val="10"/>
            <rFont val="Arial"/>
            <family val="2"/>
          </rPr>
          <t xml:space="preserve">You can usually draw a pension from 60 (some schemes from 50); State Pension is paid from 66. Choose your own: there is no default. Example only: 65.</t>
        </r>
      </text>
    </comment>
    <comment ref="C23" authorId="0">
      <text>
        <r>
          <rPr>
            <sz val="10"/>
            <rFont val="Arial"/>
            <family val="2"/>
          </rPr>
          <t xml:space="preserve">Your own figure. In the app it is pre-filled from Your finances / pension statement. Example only: €60,000.</t>
        </r>
      </text>
    </comment>
    <comment ref="C24" authorId="0">
      <text>
        <r>
          <rPr>
            <sz val="10"/>
            <rFont val="Arial"/>
            <family val="2"/>
          </rPr>
          <t xml:space="preserve">Your own figure. In the app it is pre-filled from Your finances / pension statement. Example only: €500.</t>
        </r>
      </text>
    </comment>
    <comment ref="C25" authorId="0">
      <text>
        <r>
          <rPr>
            <sz val="10"/>
            <rFont val="Arial"/>
            <family val="2"/>
          </rPr>
          <t xml:space="preserve">Your own figure. In the app it is pre-filled from Plan: retirement goal income. Example only: €40,000.</t>
        </r>
      </text>
    </comment>
    <comment ref="C26" authorId="0">
      <text>
        <r>
          <rPr>
            <sz val="10"/>
            <rFont val="Arial"/>
            <family val="2"/>
          </rPr>
          <t xml:space="preserve">Usually between €0 and €15,564 a year: the full State Pension is €299.30 a week (DSP 2026), partial rates are lower and depend on your PRSI record. In the app it is pre-filled from State Pension €15,563.60 × your entitlement (full 1, partly 0.6, not sure 0.8). Enter your own figure. Example only: €15,564.</t>
        </r>
      </text>
    </comment>
    <comment ref="C27" authorId="0">
      <text>
        <r>
          <rPr>
            <sz val="10"/>
            <rFont val="Arial"/>
            <family val="2"/>
          </rPr>
          <t xml:space="preserve">Generally the standard is 4.5% a year after charges while you work (LifeMap Standard set; Cautious 4%). Choose what you want to use. Example only: 4.5%.</t>
        </r>
      </text>
    </comment>
    <comment ref="C28" authorId="0">
      <text>
        <r>
          <rPr>
            <sz val="10"/>
            <rFont val="Arial"/>
            <family val="2"/>
          </rPr>
          <t xml:space="preserve">Generally the standard is 3% a year (Irish pay has grown about 3%–4% a year recently; LifeMap Standard set). Choose what you want to use. Example only: 3%.</t>
        </r>
      </text>
    </comment>
    <comment ref="C29" authorId="0">
      <text>
        <r>
          <rPr>
            <sz val="10"/>
            <rFont val="Arial"/>
            <family val="2"/>
          </rPr>
          <t xml:space="preserve">Generally the standard is 25 times the yearly income you need (about 4% a year). Choose what you want to use. Example only: 25.</t>
        </r>
      </text>
    </comment>
    <comment ref="C30" authorId="0">
      <text>
        <r>
          <rPr>
            <sz val="10"/>
            <rFont val="Arial"/>
            <family val="2"/>
          </rPr>
          <t xml:space="preserve">Your own pension charges (your statement shows them). A suggested figure and its source are shown beside this cell (Partner rates, Assumptions sheet). CCPC: usually 0.5%–2% a year.</t>
        </r>
      </text>
    </comment>
    <comment ref="C31" authorId="0">
      <text>
        <r>
          <rPr>
            <sz val="10"/>
            <rFont val="Arial"/>
            <family val="2"/>
          </rPr>
          <t xml:space="preserve">Generally the standard is 25% of the fund, the most allowed (first €200,000 tax-free, next €300,000 at 20%). Choose what you want to use. Example only: 25%.</t>
        </r>
      </text>
    </comment>
    <comment ref="C32" authorId="0">
      <text>
        <r>
          <rPr>
            <sz val="10"/>
            <rFont val="Arial"/>
            <family val="2"/>
          </rPr>
          <t xml:space="preserve">Optional: leave blank for none. Example only: 0.</t>
        </r>
      </text>
    </comment>
    <comment ref="C33" authorId="0">
      <text>
        <r>
          <rPr>
            <sz val="10"/>
            <rFont val="Arial"/>
            <family val="2"/>
          </rPr>
          <t xml:space="preserve">Optional: leave blank for none. Example only: €0.</t>
        </r>
      </text>
    </comment>
    <comment ref="C34" authorId="0">
      <text>
        <r>
          <rPr>
            <sz val="10"/>
            <rFont val="Arial"/>
            <family val="2"/>
          </rPr>
          <t xml:space="preserve">Optional: leave blank for none. Example only: €0.</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Generally the standard is 2% a year (ECB target); Ireland's prices are rising 3.9% now (CSO HICP flash, Sep 2026). Choose what you want to use. Example only: 2%.</t>
        </r>
      </text>
    </comment>
    <comment ref="C11" authorId="0">
      <text>
        <r>
          <rPr>
            <sz val="10"/>
            <rFont val="Arial"/>
            <family val="2"/>
          </rPr>
          <t xml:space="preserve">Filled by the document reader from: Pension statement: "Annual management charge" / "Total annual charges" / "Fund charges". Blank = not on the statement / no statement.</t>
        </r>
      </text>
    </comment>
    <comment ref="C12" authorId="0">
      <text>
        <r>
          <rPr>
            <sz val="10"/>
            <rFont val="Arial"/>
            <family val="2"/>
          </rPr>
          <t xml:space="preserve">Filled by the document reader from: The statement: "Statement date" / "Statement period to" / "Valuation date" / "As at". Blank = not on the statement / no statement.</t>
        </r>
      </text>
    </comment>
    <comment ref="C15" authorId="0">
      <text>
        <r>
          <rPr>
            <sz val="10"/>
            <rFont val="Arial"/>
            <family val="2"/>
          </rPr>
          <t xml:space="preserve">Your own figure. In the app it is pre-filled from Your finances: income. Example only: €60,000.</t>
        </r>
      </text>
    </comment>
    <comment ref="C16" authorId="0">
      <text>
        <r>
          <rPr>
            <sz val="10"/>
            <rFont val="Arial"/>
            <family val="2"/>
          </rPr>
          <t xml:space="preserve">Your own figure. Example only: 2%.</t>
        </r>
      </text>
    </comment>
    <comment ref="C17" authorId="0">
      <text>
        <r>
          <rPr>
            <sz val="10"/>
            <rFont val="Arial"/>
            <family val="2"/>
          </rPr>
          <t xml:space="preserve">Your own figure. In the app it is pre-filled from Plan: retirement age − age. Example only: 25.</t>
        </r>
      </text>
    </comment>
    <comment ref="C18" authorId="0">
      <text>
        <r>
          <rPr>
            <sz val="10"/>
            <rFont val="Arial"/>
            <family val="2"/>
          </rPr>
          <t xml:space="preserve">Generally the standard is 4.5% a year after charges while you work (LifeMap Standard set; Cautious 4%). Choose what you want to use. Example only: 4.5%.</t>
        </r>
      </text>
    </comment>
    <comment ref="C19" authorId="0">
      <text>
        <r>
          <rPr>
            <sz val="10"/>
            <rFont val="Arial"/>
            <family val="2"/>
          </rPr>
          <t xml:space="preserve">Your own pension charges (your statement shows them). A suggested figure and its source are shown beside this cell (Partner rates, Assumptions sheet). CCPC: usually 0.5%–2% a year.</t>
        </r>
      </text>
    </comment>
    <comment ref="C20" authorId="0">
      <text>
        <r>
          <rPr>
            <sz val="10"/>
            <rFont val="Arial"/>
            <family val="2"/>
          </rPr>
          <t xml:space="preserve">Usually between 20% or 40%: your top rate of income tax (the Tax engine works it out). In the app it is pre-filled from Tax engine marginal rate (band by status: €44k single, €48k single parent, €53k married, + up to €35k second earner). Enter your own figure. Example only: 40%.</t>
        </r>
      </text>
    </comment>
    <comment ref="C21" authorId="0">
      <text>
        <r>
          <rPr>
            <sz val="10"/>
            <rFont val="Arial"/>
            <family val="2"/>
          </rPr>
          <t xml:space="preserve">Your own figure. In the app it is pre-filled from About you: age. Example only: 40.</t>
        </r>
      </text>
    </comment>
    <comment ref="C22" authorId="0">
      <text>
        <r>
          <rPr>
            <sz val="10"/>
            <rFont val="Arial"/>
            <family val="2"/>
          </rPr>
          <t xml:space="preserve">Optional: leave blank for none. Example only: €0.</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Generally the standard is 2% a year (ECB target); Ireland's prices are rising 3.9% now (CSO HICP flash, Sep 2026). Choose what you want to use. Example only: 2%.</t>
        </r>
      </text>
    </comment>
    <comment ref="C11" authorId="0">
      <text>
        <r>
          <rPr>
            <sz val="10"/>
            <rFont val="Arial"/>
            <family val="2"/>
          </rPr>
          <t xml:space="preserve">Filled by the document reader from: Pension statement: "Annual management charge" / "Total annual charges" / "Fund charges". Blank = not on the statement / no statement.</t>
        </r>
      </text>
    </comment>
    <comment ref="C12" authorId="0">
      <text>
        <r>
          <rPr>
            <sz val="10"/>
            <rFont val="Arial"/>
            <family val="2"/>
          </rPr>
          <t xml:space="preserve">Filled by the document reader from: The statement: "Statement date" / "Statement period to" / "Valuation date" / "As at". Blank = not on the statement / no statement.</t>
        </r>
      </text>
    </comment>
    <comment ref="C15" authorId="0">
      <text>
        <r>
          <rPr>
            <sz val="10"/>
            <rFont val="Arial"/>
            <family val="2"/>
          </rPr>
          <t xml:space="preserve">Your own figure. Example only: €200.</t>
        </r>
      </text>
    </comment>
    <comment ref="C16" authorId="0">
      <text>
        <r>
          <rPr>
            <sz val="10"/>
            <rFont val="Arial"/>
            <family val="2"/>
          </rPr>
          <t xml:space="preserve">Your own figure. In the app it is pre-filled from Your finances: income. Example only: €60,000.</t>
        </r>
      </text>
    </comment>
    <comment ref="C17" authorId="0">
      <text>
        <r>
          <rPr>
            <sz val="10"/>
            <rFont val="Arial"/>
            <family val="2"/>
          </rPr>
          <t xml:space="preserve">Your own figure. In the app it is pre-filled from Plan: retirement age − age. Example only: 15.</t>
        </r>
      </text>
    </comment>
    <comment ref="C18" authorId="0">
      <text>
        <r>
          <rPr>
            <sz val="10"/>
            <rFont val="Arial"/>
            <family val="2"/>
          </rPr>
          <t xml:space="preserve">Generally the standard is 4.5% a year after charges while you work (LifeMap Standard set; Cautious 4%). Choose what you want to use. Example only: 4.5%.</t>
        </r>
      </text>
    </comment>
    <comment ref="C19" authorId="0">
      <text>
        <r>
          <rPr>
            <sz val="10"/>
            <rFont val="Arial"/>
            <family val="2"/>
          </rPr>
          <t xml:space="preserve">Your own pension charges (your statement shows them). A suggested figure and its source are shown beside this cell (Partner rates, Assumptions sheet). CCPC: usually 0.5%–2% a year.</t>
        </r>
      </text>
    </comment>
    <comment ref="C20" authorId="0">
      <text>
        <r>
          <rPr>
            <sz val="10"/>
            <rFont val="Arial"/>
            <family val="2"/>
          </rPr>
          <t xml:space="preserve">Usually between 20% or 40%: your top rate of income tax (the Tax engine works it out). In the app it is pre-filled from Tax engine marginal rate (band by status: €44k single, €48k single parent, €53k married, + up to €35k second earner). Enter your own figure. Example only: 40%.</t>
        </r>
      </text>
    </comment>
    <comment ref="C21" authorId="0">
      <text>
        <r>
          <rPr>
            <sz val="10"/>
            <rFont val="Arial"/>
            <family val="2"/>
          </rPr>
          <t xml:space="preserve">Your own figure. In the app it is pre-filled from About you: age. Example only: 40.</t>
        </r>
      </text>
    </comment>
    <comment ref="C22" authorId="0">
      <text>
        <r>
          <rPr>
            <sz val="10"/>
            <rFont val="Arial"/>
            <family val="2"/>
          </rPr>
          <t xml:space="preserve">Optional: leave blank for none. Example only: €0.</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Generally the standard is 2% a year (ECB target); Ireland's prices are rising 3.9% now (CSO HICP flash, Sep 2026). Choose what you want to use. Example only: 2%.</t>
        </r>
      </text>
    </comment>
    <comment ref="C11" authorId="0">
      <text>
        <r>
          <rPr>
            <sz val="10"/>
            <rFont val="Arial"/>
            <family val="2"/>
          </rPr>
          <t xml:space="preserve">Filled by the document reader from: Pension statement / SRP: "Projected fund at normal retirement date" / "Projected retirement fund" / "Estimated fund value at retirement". Blank = not on the statement / no statement.</t>
        </r>
      </text>
    </comment>
    <comment ref="C12" authorId="0">
      <text>
        <r>
          <rPr>
            <sz val="10"/>
            <rFont val="Arial"/>
            <family val="2"/>
          </rPr>
          <t xml:space="preserve">Filled by the document reader from: Pension statement: "Current fund value" / "Value of your fund" / "Transfer value" / "Total fund value". Blank = not on the statement / no statement.</t>
        </r>
      </text>
    </comment>
    <comment ref="C13" authorId="0">
      <text>
        <r>
          <rPr>
            <sz val="10"/>
            <rFont val="Arial"/>
            <family val="2"/>
          </rPr>
          <t xml:space="preserve">Filled by the document reader from: The statement: "Statement date" / "Statement period to" / "Valuation date" / "As at". Blank = not on the statement / no statement.</t>
        </r>
      </text>
    </comment>
    <comment ref="C16" authorId="0">
      <text>
        <r>
          <rPr>
            <sz val="10"/>
            <rFont val="Arial"/>
            <family val="2"/>
          </rPr>
          <t xml:space="preserve">Your own figure. In the app it is pre-filled from Plan: pension projected to retirement. Example only: €400,000.</t>
        </r>
      </text>
    </comment>
    <comment ref="C17" authorId="0">
      <text>
        <r>
          <rPr>
            <sz val="10"/>
            <rFont val="Arial"/>
            <family val="2"/>
          </rPr>
          <t xml:space="preserve">Your own figure. Example only: €24,000.</t>
        </r>
      </text>
    </comment>
    <comment ref="C18" authorId="0">
      <text>
        <r>
          <rPr>
            <sz val="10"/>
            <rFont val="Arial"/>
            <family val="2"/>
          </rPr>
          <t xml:space="preserve">Generally the standard is 3.15% a year after charges once retired (LifeMap Standard set; Cautious 2.8%). Choose what you want to use. Example only: 3.15%.</t>
        </r>
      </text>
    </comment>
    <comment ref="C19" authorId="0">
      <text>
        <r>
          <rPr>
            <sz val="10"/>
            <rFont val="Arial"/>
            <family val="2"/>
          </rPr>
          <t xml:space="preserve">Generally the standard is the start of the year (the prudent choice). Choose what you want to use. Example only: Start of year.</t>
        </r>
      </text>
    </comment>
    <comment ref="C20" authorId="0">
      <text>
        <r>
          <rPr>
            <sz val="10"/>
            <rFont val="Arial"/>
            <family val="2"/>
          </rPr>
          <t xml:space="preserve">You can usually draw a pension from 60 (some schemes from 50); State Pension is paid from 66. Choose your own: there is no default. Example only: 66.</t>
        </r>
      </text>
    </comment>
    <comment ref="C21" authorId="0">
      <text>
        <r>
          <rPr>
            <sz val="10"/>
            <rFont val="Arial"/>
            <family val="2"/>
          </rPr>
          <t xml:space="preserve">At 65, average life expectancy in Ireland is about 83 for men and 86 for women (CSO, Irish Life Tables No. 17, 2015–2017). Choose your own: there is no default. Example only: 90.</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Generally the standard is 2% a year (ECB target); Ireland's prices are rising 3.9% now (CSO HICP flash, Sep 2026). Choose what you want to use. Example only: 2%.</t>
        </r>
      </text>
    </comment>
    <comment ref="C11" authorId="0">
      <text>
        <r>
          <rPr>
            <sz val="10"/>
            <rFont val="Arial"/>
            <family val="2"/>
          </rPr>
          <t xml:space="preserve">Filled by the document reader from: Pension statement / SRP: "Projected fund at normal retirement date" / "Projected retirement fund" / "Estimated fund value at retirement". Blank = not on the statement / no statement.</t>
        </r>
      </text>
    </comment>
    <comment ref="C12" authorId="0">
      <text>
        <r>
          <rPr>
            <sz val="10"/>
            <rFont val="Arial"/>
            <family val="2"/>
          </rPr>
          <t xml:space="preserve">Filled by the document reader from: Pension statement: "Current fund value" / "Value of your fund" / "Transfer value" / "Total fund value". Blank = not on the statement / no statement.</t>
        </r>
      </text>
    </comment>
    <comment ref="C13" authorId="0">
      <text>
        <r>
          <rPr>
            <sz val="10"/>
            <rFont val="Arial"/>
            <family val="2"/>
          </rPr>
          <t xml:space="preserve">Filled by the document reader from: The statement: "Statement date" / "Statement period to" / "Valuation date" / "As at". Blank = not on the statement / no statement.</t>
        </r>
      </text>
    </comment>
    <comment ref="C16" authorId="0">
      <text>
        <r>
          <rPr>
            <sz val="10"/>
            <rFont val="Arial"/>
            <family val="2"/>
          </rPr>
          <t xml:space="preserve">Your own figure. In the app it is pre-filled from Plan: pension projected to retirement. Example only: €400,000.</t>
        </r>
      </text>
    </comment>
    <comment ref="C17" authorId="0">
      <text>
        <r>
          <rPr>
            <sz val="10"/>
            <rFont val="Arial"/>
            <family val="2"/>
          </rPr>
          <t xml:space="preserve">Your own figure. Example only: €20,000.</t>
        </r>
      </text>
    </comment>
    <comment ref="C18" authorId="0">
      <text>
        <r>
          <rPr>
            <sz val="10"/>
            <rFont val="Arial"/>
            <family val="2"/>
          </rPr>
          <t xml:space="preserve">Generally the standard is 2% a year for a cautious mix (illustration). Choose what you want to use. Example only: 2%.</t>
        </r>
      </text>
    </comment>
    <comment ref="C19" authorId="0">
      <text>
        <r>
          <rPr>
            <sz val="10"/>
            <rFont val="Arial"/>
            <family val="2"/>
          </rPr>
          <t xml:space="preserve">Generally the standard is 4% a year for a balanced mix (illustration). Choose what you want to use. Example only: 4%.</t>
        </r>
      </text>
    </comment>
    <comment ref="C20" authorId="0">
      <text>
        <r>
          <rPr>
            <sz val="10"/>
            <rFont val="Arial"/>
            <family val="2"/>
          </rPr>
          <t xml:space="preserve">Generally the standard is 6% a year for a growth mix (illustration). Choose what you want to use. Example only: 6%.</t>
        </r>
      </text>
    </comment>
    <comment ref="C21" authorId="0">
      <text>
        <r>
          <rPr>
            <sz val="10"/>
            <rFont val="Arial"/>
            <family val="2"/>
          </rPr>
          <t xml:space="preserve">Generally the standard is the start of the year (the prudent choice). Choose what you want to use. Example only: Start of year.</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Generally the standard is 2% a year (ECB target); Ireland's prices are rising 3.9% now (CSO HICP flash, Sep 2026). Choose what you want to use. Example only: 2%.</t>
        </r>
      </text>
    </comment>
    <comment ref="C11" authorId="0">
      <text>
        <r>
          <rPr>
            <sz val="10"/>
            <rFont val="Arial"/>
            <family val="2"/>
          </rPr>
          <t xml:space="preserve">Filled by the document reader from: Investment statement: "Total value" / "Portfolio value" / "Valuation" / "Market value" / "Policy value". Blank = not on the statement / no statement.</t>
        </r>
      </text>
    </comment>
    <comment ref="C12" authorId="0">
      <text>
        <r>
          <rPr>
            <sz val="10"/>
            <rFont val="Arial"/>
            <family val="2"/>
          </rPr>
          <t xml:space="preserve">Filled by the document reader from: The statement: "Statement date" / "Statement period to" / "Valuation date" / "As at". Blank = not on the statement / no statement.</t>
        </r>
      </text>
    </comment>
    <comment ref="C15" authorId="0">
      <text>
        <r>
          <rPr>
            <sz val="10"/>
            <rFont val="Arial"/>
            <family val="2"/>
          </rPr>
          <t xml:space="preserve">Your own figure. In the app it is pre-filled from Your finances / statement: investments. Example only: €20,000.</t>
        </r>
      </text>
    </comment>
    <comment ref="C16" authorId="0">
      <text>
        <r>
          <rPr>
            <sz val="10"/>
            <rFont val="Arial"/>
            <family val="2"/>
          </rPr>
          <t xml:space="preserve">Generally the standard is 5% a year before charges and tax for a mixed fund (LifeMap standard, not a forecast). Choose what you want to use. Example only: 5%.</t>
        </r>
      </text>
    </comment>
    <comment ref="C17" authorId="0">
      <text>
        <r>
          <rPr>
            <sz val="10"/>
            <rFont val="Arial"/>
            <family val="2"/>
          </rPr>
          <t xml:space="preserve">Your own figure. Example only: 15.</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Generally the standard is 2% a year (ECB target); Ireland's prices are rising 3.9% now (CSO HICP flash, Sep 2026). Choose what you want to use. Example only: 2%.</t>
        </r>
      </text>
    </comment>
    <comment ref="C11" authorId="0">
      <text>
        <r>
          <rPr>
            <sz val="10"/>
            <rFont val="Arial"/>
            <family val="2"/>
          </rPr>
          <t xml:space="preserve">Filled by the document reader from: Investment statement: "Regular contribution" / "Monthly premium" / "Monthly investment". Blank = not on the statement / no statement.</t>
        </r>
      </text>
    </comment>
    <comment ref="C12" authorId="0">
      <text>
        <r>
          <rPr>
            <sz val="10"/>
            <rFont val="Arial"/>
            <family val="2"/>
          </rPr>
          <t xml:space="preserve">Filled by the document reader from: Investment statement: "Annual management charge (AMC)" / "Ongoing charges figure (OCF)" / "Total annual charges". Blank = not on the statement / no statement.</t>
        </r>
      </text>
    </comment>
    <comment ref="C13" authorId="0">
      <text>
        <r>
          <rPr>
            <sz val="10"/>
            <rFont val="Arial"/>
            <family val="2"/>
          </rPr>
          <t xml:space="preserve">Filled by the document reader from: The statement: "Statement date" / "Statement period to" / "Valuation date" / "As at". Blank = not on the statement / no statement.</t>
        </r>
      </text>
    </comment>
    <comment ref="C16" authorId="0">
      <text>
        <r>
          <rPr>
            <sz val="10"/>
            <rFont val="Arial"/>
            <family val="2"/>
          </rPr>
          <t xml:space="preserve">Your own figure. Example only: €300.</t>
        </r>
      </text>
    </comment>
    <comment ref="C17" authorId="0">
      <text>
        <r>
          <rPr>
            <sz val="10"/>
            <rFont val="Arial"/>
            <family val="2"/>
          </rPr>
          <t xml:space="preserve">Your own figure. Example only: 15.</t>
        </r>
      </text>
    </comment>
    <comment ref="C18" authorId="0">
      <text>
        <r>
          <rPr>
            <sz val="10"/>
            <rFont val="Arial"/>
            <family val="2"/>
          </rPr>
          <t xml:space="preserve">Generally the standard is 5% a year before charges and tax for a mixed fund (LifeMap standard, not a forecast). Choose what you want to use. Example only: 5%.</t>
        </r>
      </text>
    </comment>
    <comment ref="C19" authorId="0">
      <text>
        <r>
          <rPr>
            <sz val="10"/>
            <rFont val="Arial"/>
            <family val="2"/>
          </rPr>
          <t xml:space="preserve">Your own fund charges (your statement shows them). A suggested figure and its source are shown beside this cell (Partner rates, Assumptions sheet). CCPC: usually 0.5%–2% a year.</t>
        </r>
      </text>
    </comment>
    <comment ref="C20" authorId="0">
      <text>
        <r>
          <rPr>
            <sz val="10"/>
            <rFont val="Arial"/>
            <family val="2"/>
          </rPr>
          <t xml:space="preserve">Optional: leave blank for none. Example only: No.</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Investment statement: "Total value" / "Portfolio value" / "Valuation" / "Market value" / "Policy value". Blank = not on the statement / no statement.</t>
        </r>
      </text>
    </comment>
    <comment ref="C8" authorId="0">
      <text>
        <r>
          <rPr>
            <sz val="10"/>
            <rFont val="Arial"/>
            <family val="2"/>
          </rPr>
          <t xml:space="preserve">Filled by the document reader from: Investment statement: "Annual management charge (AMC)" / "Ongoing charges figure (OCF)" / "Total annual charges". Blank = not on the statement / no statement.</t>
        </r>
      </text>
    </comment>
    <comment ref="C9" authorId="0">
      <text>
        <r>
          <rPr>
            <sz val="10"/>
            <rFont val="Arial"/>
            <family val="2"/>
          </rPr>
          <t xml:space="preserve">Filled by the document reader from: The statement: "Statement date" / "Statement period to" / "Valuation date" / "As at". Blank = not on the statement / no statement.</t>
        </r>
      </text>
    </comment>
    <comment ref="C12" authorId="0">
      <text>
        <r>
          <rPr>
            <sz val="10"/>
            <rFont val="Arial"/>
            <family val="2"/>
          </rPr>
          <t xml:space="preserve">Your own figure. In the app it is pre-filled from Your finances / statement: investments. Example only: €50,000.</t>
        </r>
      </text>
    </comment>
    <comment ref="C13" authorId="0">
      <text>
        <r>
          <rPr>
            <sz val="10"/>
            <rFont val="Arial"/>
            <family val="2"/>
          </rPr>
          <t xml:space="preserve">Your own figure. Example only: 20.</t>
        </r>
      </text>
    </comment>
    <comment ref="C14" authorId="0">
      <text>
        <r>
          <rPr>
            <sz val="10"/>
            <rFont val="Arial"/>
            <family val="2"/>
          </rPr>
          <t xml:space="preserve">Generally the standard is 5% a year before charges and tax for a mixed fund (LifeMap standard, not a forecast). Choose what you want to use. Example only: 5%.</t>
        </r>
      </text>
    </comment>
    <comment ref="C15" authorId="0">
      <text>
        <r>
          <rPr>
            <sz val="10"/>
            <rFont val="Arial"/>
            <family val="2"/>
          </rPr>
          <t xml:space="preserve">Your own fund charges (your statement shows them). A suggested figure and its source are shown beside this cell (Partner rates, Assumptions sheet). CCPC: usually 0.5%–2% a year.</t>
        </r>
      </text>
    </comment>
    <comment ref="C16" authorId="0">
      <text>
        <r>
          <rPr>
            <sz val="10"/>
            <rFont val="Arial"/>
            <family val="2"/>
          </rPr>
          <t xml:space="preserve">Your own fund charges (your statement shows them). A suggested figure and its source are shown beside this cell (Partner rates, Assumptions sheet). CCPC: usually 0.5%–2% a year.</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Investment statement: "Total value" / "Portfolio value" / "Valuation" / "Market value" / "Policy value". Blank = not on the statement / no statement.</t>
        </r>
      </text>
    </comment>
    <comment ref="C8" authorId="0">
      <text>
        <r>
          <rPr>
            <sz val="10"/>
            <rFont val="Arial"/>
            <family val="2"/>
          </rPr>
          <t xml:space="preserve">Filled by the document reader from: Investment statement: "Asset allocation" — "Equities" / "Shares". Blank = not on the statement / no statement.</t>
        </r>
      </text>
    </comment>
    <comment ref="C9" authorId="0">
      <text>
        <r>
          <rPr>
            <sz val="10"/>
            <rFont val="Arial"/>
            <family val="2"/>
          </rPr>
          <t xml:space="preserve">Filled by the document reader from: The statement: "Statement date" / "Statement period to" / "Valuation date" / "As at". Blank = not on the statement / no statement.</t>
        </r>
      </text>
    </comment>
    <comment ref="C12" authorId="0">
      <text>
        <r>
          <rPr>
            <sz val="10"/>
            <rFont val="Arial"/>
            <family val="2"/>
          </rPr>
          <t xml:space="preserve">Your own figure. In the app it is pre-filled from Your finances / statement: investments. Example only: €20,000.</t>
        </r>
      </text>
    </comment>
    <comment ref="C13" authorId="0">
      <text>
        <r>
          <rPr>
            <sz val="10"/>
            <rFont val="Arial"/>
            <family val="2"/>
          </rPr>
          <t xml:space="preserve">Your own figure. Example only: 10.</t>
        </r>
      </text>
    </comment>
    <comment ref="C14" authorId="0">
      <text>
        <r>
          <rPr>
            <sz val="10"/>
            <rFont val="Arial"/>
            <family val="2"/>
          </rPr>
          <t xml:space="preserve">Generally the standard is 2 Balanced (an adviser checks your attitude to risk). Choose what you want to use. Example only: 2.</t>
        </r>
      </text>
    </comment>
    <comment ref="C15" authorId="0">
      <text>
        <r>
          <rPr>
            <sz val="10"/>
            <rFont val="Arial"/>
            <family val="2"/>
          </rPr>
          <t xml:space="preserve">Generally the standard is 2% a year for Cautious (illustration). Choose what you want to use. Example only: 2%.</t>
        </r>
      </text>
    </comment>
    <comment ref="C16" authorId="0">
      <text>
        <r>
          <rPr>
            <sz val="10"/>
            <rFont val="Arial"/>
            <family val="2"/>
          </rPr>
          <t xml:space="preserve">Generally the standard is 4% a year for Balanced (illustration). Choose what you want to use. Example only: 4%.</t>
        </r>
      </text>
    </comment>
    <comment ref="C17" authorId="0">
      <text>
        <r>
          <rPr>
            <sz val="10"/>
            <rFont val="Arial"/>
            <family val="2"/>
          </rPr>
          <t xml:space="preserve">Generally the standard is 6% a year for Growth (illustration). Choose what you want to use. Example only: 6%.</t>
        </r>
      </text>
    </comment>
    <comment ref="C18" authorId="0">
      <text>
        <r>
          <rPr>
            <sz val="10"/>
            <rFont val="Arial"/>
            <family val="2"/>
          </rPr>
          <t xml:space="preserve">Generally the standard is 5% a year for Cautious (illustration). Choose what you want to use. Example only: 5%.</t>
        </r>
      </text>
    </comment>
    <comment ref="C19" authorId="0">
      <text>
        <r>
          <rPr>
            <sz val="10"/>
            <rFont val="Arial"/>
            <family val="2"/>
          </rPr>
          <t xml:space="preserve">Generally the standard is 10% a year for Balanced (illustration). Choose what you want to use. Example only: 10%.</t>
        </r>
      </text>
    </comment>
    <comment ref="C20" authorId="0">
      <text>
        <r>
          <rPr>
            <sz val="10"/>
            <rFont val="Arial"/>
            <family val="2"/>
          </rPr>
          <t xml:space="preserve">Generally the standard is 16% a year for Growth (illustration). Choose what you want to use. Example only: 16%.</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The statement: "Statement date" / "Statement period to" / "Valuation date" / "As at". Blank = not on the statement / no statement.</t>
        </r>
      </text>
    </comment>
    <comment ref="C11" authorId="0">
      <text>
        <r>
          <rPr>
            <sz val="10"/>
            <rFont val="Arial"/>
            <family val="2"/>
          </rPr>
          <t xml:space="preserve">Your own figure. In the app it is pre-filled from Your finances: income. Example only: €60,000.</t>
        </r>
      </text>
    </comment>
    <comment ref="C12" authorId="0">
      <text>
        <r>
          <rPr>
            <sz val="10"/>
            <rFont val="Arial"/>
            <family val="2"/>
          </rPr>
          <t xml:space="preserve">Generally the standard is until your youngest child is 23. Choose what you want to use. Example only: 15.</t>
        </r>
      </text>
    </comment>
    <comment ref="C13" authorId="0">
      <text>
        <r>
          <rPr>
            <sz val="10"/>
            <rFont val="Arial"/>
            <family val="2"/>
          </rPr>
          <t xml:space="preserve">Generally the standard is 60% of your income (families usually need less than full pay). Choose what you want to use. Example only: 60%.</t>
        </r>
      </text>
    </comment>
    <comment ref="C14" authorId="0">
      <text>
        <r>
          <rPr>
            <sz val="10"/>
            <rFont val="Arial"/>
            <family val="2"/>
          </rPr>
          <t xml:space="preserve">Your own figure. In the app it is pre-filled from Your finances: mortgage balance. Example only: €250,000.</t>
        </r>
      </text>
    </comment>
    <comment ref="C15" authorId="0">
      <text>
        <r>
          <rPr>
            <sz val="10"/>
            <rFont val="Arial"/>
            <family val="2"/>
          </rPr>
          <t xml:space="preserve">Your own figure. Example only: Yes.</t>
        </r>
      </text>
    </comment>
    <comment ref="C16" authorId="0">
      <text>
        <r>
          <rPr>
            <sz val="10"/>
            <rFont val="Arial"/>
            <family val="2"/>
          </rPr>
          <t xml:space="preserve">Your own figure. In the app it is pre-filled from Your finances: debts. Example only: €10,000.</t>
        </r>
      </text>
    </comment>
    <comment ref="C17" authorId="0">
      <text>
        <r>
          <rPr>
            <sz val="10"/>
            <rFont val="Arial"/>
            <family val="2"/>
          </rPr>
          <t xml:space="preserve">Your own figure. In the app it is pre-filled from Your finances: cash + investments. Example only: €20,000.</t>
        </r>
      </text>
    </comment>
    <comment ref="C18" authorId="0">
      <text>
        <r>
          <rPr>
            <sz val="10"/>
            <rFont val="Arial"/>
            <family val="2"/>
          </rPr>
          <t xml:space="preserve">Your own figure. Example only: €100,000.</t>
        </r>
      </text>
    </comment>
    <comment ref="C19" authorId="0">
      <text>
        <r>
          <rPr>
            <sz val="10"/>
            <rFont val="Arial"/>
            <family val="2"/>
          </rPr>
          <t xml:space="preserve">Usually between €0 and €299.30 a week: €259.50 under 66, €299.30 at 66+ (DSP 2026; depends on PRSI; cohabitants can qualify for the Bereaved Partner's Pension). Enter your own figure. Example only: €259.50.</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Your own figure. In the app it is pre-filled from Your finances: costs + mortgage + debt repayments. Example only: €2,500.</t>
        </r>
      </text>
    </comment>
    <comment ref="C7" authorId="0">
      <text>
        <r>
          <rPr>
            <sz val="10"/>
            <rFont val="Arial"/>
            <family val="2"/>
          </rPr>
          <t xml:space="preserve">Your own figure. Example only: 3.</t>
        </r>
      </text>
    </comment>
    <comment ref="C8" authorId="0">
      <text>
        <r>
          <rPr>
            <sz val="10"/>
            <rFont val="Arial"/>
            <family val="2"/>
          </rPr>
          <t xml:space="preserve">Your own figure. In the app it is pre-filled from Your finances: cash. Example only: €8,000.</t>
        </r>
      </text>
    </comment>
    <comment ref="C9" authorId="0">
      <text>
        <r>
          <rPr>
            <sz val="10"/>
            <rFont val="Arial"/>
            <family val="2"/>
          </rPr>
          <t xml:space="preserve">Your own figure. In the app it is pre-filled from Your finances: income. Example only: €60,000.</t>
        </r>
      </text>
    </comment>
    <comment ref="C10" authorId="0">
      <text>
        <r>
          <rPr>
            <sz val="10"/>
            <rFont val="Arial"/>
            <family val="2"/>
          </rPr>
          <t xml:space="preserve">Usually between €0 and €254 a week (DSP 2026 maximum; lower if you earned under €300 a week; needs enough PRSI). Enter your own figure. Example only: €254.</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Mortgage statement: "Interest rate" / "Current rate" / "Rate applied" / "Variable rate" / "Fixed rate". Blank = not on the statement / no statement.</t>
        </r>
      </text>
    </comment>
    <comment ref="C9" authorId="0">
      <text>
        <r>
          <rPr>
            <sz val="10"/>
            <rFont val="Arial"/>
            <family val="2"/>
          </rPr>
          <t xml:space="preserve">Filled by the document reader from: Mortgage statement: "Remaining term" / "Term remaining" / "Years remaining" (convert months to years). Blank = not on the statement / no statement.</t>
        </r>
      </text>
    </comment>
    <comment ref="C10" authorId="0">
      <text>
        <r>
          <rPr>
            <sz val="10"/>
            <rFont val="Arial"/>
            <family val="2"/>
          </rPr>
          <t xml:space="preserve">Filled by the document reader from: Mortgage statement: "Monthly repayment" / "Monthly instalment" / "Repayment amount". Blank = not on the statement / no statement.</t>
        </r>
      </text>
    </comment>
    <comment ref="C11" authorId="0">
      <text>
        <r>
          <rPr>
            <sz val="10"/>
            <rFont val="Arial"/>
            <family val="2"/>
          </rPr>
          <t xml:space="preserve">Filled by the document reader from: The statement: "Statement date" / "Statement period to" / "Valuation date" / "As at". Blank = not on the statement / no statement.</t>
        </r>
      </text>
    </comment>
    <comment ref="C14" authorId="0">
      <text>
        <r>
          <rPr>
            <sz val="10"/>
            <rFont val="Arial"/>
            <family val="2"/>
          </rPr>
          <t xml:space="preserve">Your own figure. In the app it is pre-filled from Your finances / statement: balance. Example only: €250,000.</t>
        </r>
      </text>
    </comment>
    <comment ref="C15" authorId="0">
      <text>
        <r>
          <rPr>
            <sz val="10"/>
            <rFont val="Arial"/>
            <family val="2"/>
          </rPr>
          <t xml:space="preserve">Your own mortgage rate: your statement shows it. Typing it is fine; no upload needed. A suggested rate and its source are shown beside this cell (Partner rates, Assumptions sheet).</t>
        </r>
      </text>
    </comment>
    <comment ref="C16" authorId="0">
      <text>
        <r>
          <rPr>
            <sz val="10"/>
            <rFont val="Arial"/>
            <family val="2"/>
          </rPr>
          <t xml:space="preserve">Your own figure. In the app it is pre-filled from Years left (25 if not given). Example only: 25.</t>
        </r>
      </text>
    </comment>
    <comment ref="C17" authorId="0">
      <text>
        <r>
          <rPr>
            <sz val="10"/>
            <rFont val="Arial"/>
            <family val="2"/>
          </rPr>
          <t xml:space="preserve">Your own figure. In the app it is pre-filled from Your finances / statement: stated repayment. Example only: €0.</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C7" authorId="0">
      <text>
        <r>
          <rPr>
            <sz val="10"/>
            <rFont val="Arial"/>
            <family val="2"/>
          </rPr>
          <t xml:space="preserve">Filled by the document reader from: Mortgage statement: "Outstanding balance" / "Balance outstanding" / "Amount outstanding" / "Closing balance". Blank = not on the statement / no statement.</t>
        </r>
      </text>
    </comment>
    <comment ref="C8" authorId="0">
      <text>
        <r>
          <rPr>
            <sz val="10"/>
            <rFont val="Arial"/>
            <family val="2"/>
          </rPr>
          <t xml:space="preserve">Filled by the document reader from: Property valuation / mortgage statement: "Valuation" / "Market value" / "Property value". Blank = not on the statement / no statement.</t>
        </r>
      </text>
    </comment>
    <comment ref="C9" authorId="0">
      <text>
        <r>
          <rPr>
            <sz val="10"/>
            <rFont val="Arial"/>
            <family val="2"/>
          </rPr>
          <t xml:space="preserve">Filled by the document reader from: Pension statement: "Current fund value" / "Value of your fund" / "Transfer value" / "Total fund value". Blank = not on the statement / no statement.</t>
        </r>
      </text>
    </comment>
    <comment ref="C10" authorId="0">
      <text>
        <r>
          <rPr>
            <sz val="10"/>
            <rFont val="Arial"/>
            <family val="2"/>
          </rPr>
          <t xml:space="preserve">Filled by the document reader from: Investment statement: "Total value" / "Portfolio value" / "Valuation" / "Market value" / "Policy value". Blank = not on the statement / no statement.</t>
        </r>
      </text>
    </comment>
    <comment ref="C13" authorId="0">
      <text>
        <r>
          <rPr>
            <sz val="10"/>
            <rFont val="Arial"/>
            <family val="2"/>
          </rPr>
          <t xml:space="preserve">Your own figure. In the app it is pre-filled from Your finances: cash. Example only: €15,000.</t>
        </r>
      </text>
    </comment>
    <comment ref="C14" authorId="0">
      <text>
        <r>
          <rPr>
            <sz val="10"/>
            <rFont val="Arial"/>
            <family val="2"/>
          </rPr>
          <t xml:space="preserve">Your own figure. In the app it is pre-filled from Your finances: investments. Example only: €10,000.</t>
        </r>
      </text>
    </comment>
    <comment ref="C15" authorId="0">
      <text>
        <r>
          <rPr>
            <sz val="10"/>
            <rFont val="Arial"/>
            <family val="2"/>
          </rPr>
          <t xml:space="preserve">Your own figure. In the app it is pre-filled from Your finances: pension. Example only: €60,000.</t>
        </r>
      </text>
    </comment>
    <comment ref="C16" authorId="0">
      <text>
        <r>
          <rPr>
            <sz val="10"/>
            <rFont val="Arial"/>
            <family val="2"/>
          </rPr>
          <t xml:space="preserve">Your own figure. In the app it is pre-filled from Your finances: home + other property. Example only: €350,000.</t>
        </r>
      </text>
    </comment>
    <comment ref="C17" authorId="0">
      <text>
        <r>
          <rPr>
            <sz val="10"/>
            <rFont val="Arial"/>
            <family val="2"/>
          </rPr>
          <t xml:space="preserve">Your own figure. In the app it is pre-filled from Your finances: mortgage balance. Example only: €250,000.</t>
        </r>
      </text>
    </comment>
    <comment ref="C18" authorId="0">
      <text>
        <r>
          <rPr>
            <sz val="10"/>
            <rFont val="Arial"/>
            <family val="2"/>
          </rPr>
          <t xml:space="preserve">Your own figure. In the app it is pre-filled from Your finances: debts. Example only: €8,000.</t>
        </r>
      </text>
    </comment>
  </commentList>
</comments>
</file>

<file path=xl/comments26.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Optional: leave blank for none. Example only: blank (none).</t>
        </r>
      </text>
    </comment>
    <comment ref="C7" authorId="0">
      <text>
        <r>
          <rPr>
            <sz val="10"/>
            <rFont val="Arial"/>
            <family val="2"/>
          </rPr>
          <t xml:space="preserve">Your own figure. In the app it is pre-filled from Your finances: costs + one-offs ÷ 12 + mortgage. Example only: €2,000.</t>
        </r>
      </text>
    </comment>
    <comment ref="C8" authorId="0">
      <text>
        <r>
          <rPr>
            <sz val="10"/>
            <rFont val="Arial"/>
            <family val="2"/>
          </rPr>
          <t xml:space="preserve">Your own figure. Example only: €800.</t>
        </r>
      </text>
    </comment>
    <comment ref="C9" authorId="0">
      <text>
        <r>
          <rPr>
            <sz val="10"/>
            <rFont val="Arial"/>
            <family val="2"/>
          </rPr>
          <t xml:space="preserve">Your own figure. In the app it is pre-filled from Your finances: debt repayments. Example only: €200.</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Optional: leave blank for none. Example only: blank (none).</t>
        </r>
      </text>
    </comment>
    <comment ref="C7" authorId="0">
      <text>
        <r>
          <rPr>
            <sz val="10"/>
            <rFont val="Arial"/>
            <family val="2"/>
          </rPr>
          <t xml:space="preserve">Generally the standard is 50% for needs (the 50/30/20 rule of thumb). Choose what you want to use. Example only: 50%.</t>
        </r>
      </text>
    </comment>
    <comment ref="C8" authorId="0">
      <text>
        <r>
          <rPr>
            <sz val="10"/>
            <rFont val="Arial"/>
            <family val="2"/>
          </rPr>
          <t xml:space="preserve">Generally the standard is 30% for wants (the 50/30/20 rule of thumb). Choose what you want to use. Example only: 30%.</t>
        </r>
      </text>
    </comment>
    <comment ref="C9" authorId="0">
      <text>
        <r>
          <rPr>
            <sz val="10"/>
            <rFont val="Arial"/>
            <family val="2"/>
          </rPr>
          <t xml:space="preserve">Generally the standard is 20% for savings and debt (the 50/30/20 rule of thumb). Choose what you want to use. Example only: 20%.</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Your own figure. In the app it is pre-filled from Your finances: the debt that takes longest to clear. Example only: €5,000.</t>
        </r>
      </text>
    </comment>
    <comment ref="C7" authorId="0">
      <text>
        <r>
          <rPr>
            <sz val="10"/>
            <rFont val="Arial"/>
            <family val="2"/>
          </rPr>
          <t xml:space="preserve">Your card's APR: your statement shows it. New credit cards can't charge more than 23% APR (Central Bank); some older cards are higher.</t>
        </r>
      </text>
    </comment>
    <comment ref="C8" authorId="0">
      <text>
        <r>
          <rPr>
            <sz val="10"/>
            <rFont val="Arial"/>
            <family val="2"/>
          </rPr>
          <t xml:space="preserve">Your own figure. In the app it is pre-filled from Your finances: that debt's repayment. Example only: €250.</t>
        </r>
      </text>
    </comment>
    <comment ref="C9" authorId="0">
      <text>
        <r>
          <rPr>
            <sz val="10"/>
            <rFont val="Arial"/>
            <family val="2"/>
          </rPr>
          <t xml:space="preserve">Optional: leave blank for none. Example only: €0.</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Your own figure. Example only: €15,000.</t>
        </r>
      </text>
    </comment>
    <comment ref="C7" authorId="0">
      <text>
        <r>
          <rPr>
            <sz val="10"/>
            <rFont val="Arial"/>
            <family val="2"/>
          </rPr>
          <t xml:space="preserve">Your loan's APR: your loan agreement shows it. A suggested rate and its source are shown beside this cell (Partner rates, Assumptions sheet).</t>
        </r>
      </text>
    </comment>
    <comment ref="C8" authorId="0">
      <text>
        <r>
          <rPr>
            <sz val="10"/>
            <rFont val="Arial"/>
            <family val="2"/>
          </rPr>
          <t xml:space="preserve">Your own figure. Example only: 5.</t>
        </r>
      </text>
    </comment>
  </commentList>
</comments>
</file>

<file path=xl/comments39.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Type 3 · your figure. Single, Single parent (main carer of a child, no partner), Married one earner, Married two earners (also civil partners). Example only: Single</t>
        </r>
      </text>
    </comment>
    <comment ref="C6" authorId="0">
      <text>
        <r>
          <rPr>
            <sz val="10"/>
            <rFont val="Arial"/>
            <family val="2"/>
          </rPr>
          <t xml:space="preserve">Type 3 · your figure. Gross pay before tax, € a year. Example only: €60,000</t>
        </r>
      </text>
    </comment>
    <comment ref="C7" authorId="0">
      <text>
        <r>
          <rPr>
            <sz val="10"/>
            <rFont val="Arial"/>
            <family val="2"/>
          </rPr>
          <t xml:space="preserve">Type 3 · optional: leave blank for none. Used only when the status is Married two earners. Example only: €0</t>
        </r>
      </text>
    </comment>
    <comment ref="C8" authorId="0">
      <text>
        <r>
          <rPr>
            <sz val="10"/>
            <rFont val="Arial"/>
            <family val="2"/>
          </rPr>
          <t xml:space="preserve">Type 3 · your figure. Rent Tax Credit €1,000 single / €2,000 jointly assessed, to end-2028. Example only: No</t>
        </r>
      </text>
    </comment>
    <comment ref="C9" authorId="0">
      <text>
        <r>
          <rPr>
            <sz val="10"/>
            <rFont val="Arial"/>
            <family val="2"/>
          </rPr>
          <t xml:space="preserve">Type 3 · your figure. €1,950 (verify the 2026 rate and carer-income limit). Example only: No</t>
        </r>
      </text>
    </comment>
    <comment ref="C10" authorId="0">
      <text>
        <r>
          <rPr>
            <sz val="10"/>
            <rFont val="Arial"/>
            <family val="2"/>
          </rPr>
          <t xml:space="preserve">Type 3 · optional: leave blank for none. From 1 Oct 2026 = 4.35%. Calendar 2026 blend = 4.2375% (9 months at 4.2%, 3 at 4.35%). Example only: From 1 Oct 2026</t>
        </r>
      </text>
    </comment>
  </commentList>
</comments>
</file>

<file path=xl/sharedStrings.xml><?xml version="1.0" encoding="utf-8"?>
<sst xmlns="http://schemas.openxmlformats.org/spreadsheetml/2006/main" count="24240" uniqueCount="7585">
  <si>
    <t xml:space="preserve">LifeMap calculators</t>
  </si>
  <si>
    <t xml:space="preserve">Version 2.8 · 9 Oct 2026 · built from LifeMap-Customer-Journey prototype (CALCS and Settings). Since 2.7: date of birth replaces age (calendar-year cashflow), the over-80 State Pension increase only when a State Pension counts, and the Report spec sheet. Since 2.4: the main plan in Make my plan (eight sheets starting "Plan ..." and the Calculation register), audit fixes to the calculators (see "Audit fixes applied"), an example column on every calculator input block, law figures on the Plan sheets read from Assumptions, up to 20 saved-for goals, data validation on the Plan sheets and Settings, and the same "Choose your ... to see this" words and order as the app on every calculator. Since 2.6 (journey spec section 27): only retirement age, plan-until age, inflation and a working partner's retirement age block the plan (the gate card says "we need N things"); every LifeMap standard is used automatically and is labelled "Set by LifeMap"; a market rate you do not give uses the suggested or planning rate ("Assumed: add yours"); any retirement age from your age + 1 is allowed, with the pension from the access age (60, or 50 for some occupational schemes) and the years before it paid from savings; a goal dated before today reads "Date has passed". The four UI sheets (UI Guide, UI Calculators, UI Screens, UI Make my plan) are added by tools/build_ui_sheets.py.</t>
  </si>
  <si>
    <t xml:space="preserve">Fill example values? (Yes/No)</t>
  </si>
  <si>
    <t xml:space="preserve">No</t>
  </si>
  <si>
    <t xml:space="preserve">Example only: Yes fills every blank input with its grey figure, so testers see numbers. Default No (blank template).</t>
  </si>
  <si>
    <t xml:space="preserve">How to use</t>
  </si>
  <si>
    <t xml:space="preserve">• Open a calculator from the list below. Fill the yellow cells (blue text): everything else updates on its own.</t>
  </si>
  <si>
    <t xml:space="preserve">• Every number is one of three types (journey spec §14, §18, §27). Type 1, set by Government (tax, USC, PRSI, relief %, lump-sum bands, DIRT, exit tax, Central Bank limits, full State Pension and benefit rates): on the Assumptions sheet, not an input. Type 2, a market rate or a figure you enter yourself (mortgage rate, card APR, fund charges, the State Pension you will get …): a yellow input with a suggested figure and its source, or "Usually between X and Y (source)" where an official range exists; on a calculator it stays blank until you add it, in the plan a blank one uses the suggested published rate (mortgage and loans) or the planning rate (cards 20%) and is labelled "Assumed: add yours". Type 3, a LifeMap standard (growth rates, pay rises, emergency months, drawdown timing, retirement multiple, pension access age …): the calculator and the plan start from the standard ("Set by LifeMap"); type your own and it is "Your choice". Only four things are never filled in for you: retirement age, plan-until age, inflation, and a working partner's retirement age.</t>
  </si>
  <si>
    <t xml:space="preserve">• Your own figures stay blank: a calculator result that needs one (a market rate, the State Pension, Illness Benefit, your age, the retirement age) shows "Choose your … to see this" or "Add your … to see this". A LifeMap standard never blocks a result. Set "Fill example values?" (above) to Yes to fill every blank input with its grey "Example only" figure (the standard, or the sample customer's figure).</t>
  </si>
  <si>
    <t xml:space="preserve">• Each input cell shows its unit and allowed range when you click it, and refuses values outside it. The default is in the cell note and at the far right.</t>
  </si>
  <si>
    <t xml:space="preserve">• Market rates (mortgage, loans, cards, deposits, buying fees, fund charges) are never pre-filled on a calculator. Beside each is a suggested rate with its source, from the Settings sheet: by default Central Bank of Ireland averages with their month (journey spec §18, §19). In the plan, a rate you do not give uses that suggestion (mortgage and loans) or the planning rate (cards 20%) and says "Assumed: add yours". A partner can put its own rates and name there ("Suggested by …"). Law values cannot be changed.</t>
  </si>
  <si>
    <t xml:space="preserve">• Facts and law (tax bands, State rates, Central Bank rules, stamp duty, lump-sum bands …) are on the Assumptions sheet, the Irish rules register (Irish rules 2026 · checked 2 Oct 2026). Take-home pay is worked out on the Tax engine sheet, which C25 and C26 use.</t>
  </si>
  <si>
    <t xml:space="preserve">• Results are in the green box, each with its formula written out beside it. Formulas use names (e.g. =Amount*(1+Inflation)^Years) so they read like the maths.</t>
  </si>
  <si>
    <t xml:space="preserve">• Inflation is the client's own choice: the yellow "Inflation you expect" cell on each calculator that uses it starts blank. While it is blank, results that need it say "Choose your inflation rate to see this"; 0% is a real choice (no adjustment for prices).</t>
  </si>
  <si>
    <t xml:space="preserve">• Statements: grey-blue cells under "FROM YOUR STATEMENT" are filled by the document reader. The FIGURE USED box uses the statement figure if there is one, otherwise your typed figure, and says which. See the "Document reader spec" sheet.</t>
  </si>
  <si>
    <t xml:space="preserve">• The workbook recalculates automatically, including when it is opened. No sheet or workbook protection is applied: this is an engineering template, so formulas and inputs can be edited. Keep the yellow cells for typing and leave formulas alone.</t>
  </si>
  <si>
    <t xml:space="preserve">• Settings sheet: every standard, its wording and source, and the partner name in one block (defined names Set_*). "Your lists": loans, cards, pensions and policies, one row each; the calculators use the totals when their own cell is left blank.</t>
  </si>
  <si>
    <t xml:space="preserve">Colour legend</t>
  </si>
  <si>
    <t xml:space="preserve">• Yellow fill, blue text = an input you type.</t>
  </si>
  <si>
    <t xml:space="preserve">• Grey-blue fill, blue text = a figure the document reader fills from a statement (blank when there is none).</t>
  </si>
  <si>
    <t xml:space="preserve">• Green box, bold = a result.</t>
  </si>
  <si>
    <t xml:space="preserve">• Grey box = a working figure behind a result.</t>
  </si>
  <si>
    <t xml:space="preserve">• Grey text = defaults, ranges and notes.</t>
  </si>
  <si>
    <t xml:space="preserve">• Orange = a warning message shown to the customer.</t>
  </si>
  <si>
    <t xml:space="preserve">• Light-blue sheet tab and light-blue fill = a Plan sheet or a working figure of the main plan (not a calculator). Teal sheet tab = a UI layer sheet added by tools/build_ui_sheets.py.</t>
  </si>
  <si>
    <t xml:space="preserve">Numbering</t>
  </si>
  <si>
    <t xml:space="preserve">• C01–C28 in the order of the prototype's CALCS array; the same numbers are used in the UI/UX spec. The Plan sheets have no numbers; they are named "Plan ..." and sit after C28.</t>
  </si>
  <si>
    <t xml:space="preserve">Plan sheets (the main plan in Make my plan)</t>
  </si>
  <si>
    <t xml:space="preserve">• The main plan (project() in the prototype) is built here in full: Plan inputs, Plan pay &amp; tax, Plan debt months, Plan cashflow, Plan goals, Plan results, Plan profile, Plan how it works, and the Calculation register. The list with links is at the bottom of this sheet. Open "Plan how it works" first.</t>
  </si>
  <si>
    <t xml:space="preserve">Calculators</t>
  </si>
  <si>
    <t xml:space="preserve">No.</t>
  </si>
  <si>
    <t xml:space="preserve">Calculator (click to open)</t>
  </si>
  <si>
    <t xml:space="preserve">Question it answers</t>
  </si>
  <si>
    <t xml:space="preserve">Category</t>
  </si>
  <si>
    <t xml:space="preserve">C01</t>
  </si>
  <si>
    <t xml:space="preserve">What home price could be within reach?</t>
  </si>
  <si>
    <t xml:space="preserve">Home &amp; Mortgage</t>
  </si>
  <si>
    <t xml:space="preserve">C02</t>
  </si>
  <si>
    <t xml:space="preserve">What would my monthly repayment be?</t>
  </si>
  <si>
    <t xml:space="preserve">C03</t>
  </si>
  <si>
    <t xml:space="preserve">How long until I have my deposit?</t>
  </si>
  <si>
    <t xml:space="preserve">C04</t>
  </si>
  <si>
    <t xml:space="preserve">What if I paid a little extra each month?</t>
  </si>
  <si>
    <t xml:space="preserve">C05</t>
  </si>
  <si>
    <t xml:space="preserve">What if my mortgage rate changed?</t>
  </si>
  <si>
    <t xml:space="preserve">C06</t>
  </si>
  <si>
    <t xml:space="preserve">Shorter or longer term: what is the trade-off?</t>
  </si>
  <si>
    <t xml:space="preserve">C07</t>
  </si>
  <si>
    <t xml:space="preserve">How do renting and buying compare over time?</t>
  </si>
  <si>
    <t xml:space="preserve">C08</t>
  </si>
  <si>
    <t xml:space="preserve">How much a month to reach my goal?</t>
  </si>
  <si>
    <t xml:space="preserve">Savings &amp; Goals</t>
  </si>
  <si>
    <t xml:space="preserve">C09</t>
  </si>
  <si>
    <t xml:space="preserve">What could regular saving grow into?</t>
  </si>
  <si>
    <t xml:space="preserve">C10</t>
  </si>
  <si>
    <t xml:space="preserve">What could a one-off amount become?</t>
  </si>
  <si>
    <t xml:space="preserve">Investments</t>
  </si>
  <si>
    <t xml:space="preserve">C11</t>
  </si>
  <si>
    <t xml:space="preserve">How strong is my emergency fund?</t>
  </si>
  <si>
    <t xml:space="preserve">C12</t>
  </si>
  <si>
    <t xml:space="preserve">Could your current path fund the retirement you want?</t>
  </si>
  <si>
    <t xml:space="preserve">Pensions &amp; Retirement</t>
  </si>
  <si>
    <t xml:space="preserve">C13</t>
  </si>
  <si>
    <t xml:space="preserve">What difference would a small increase make?</t>
  </si>
  <si>
    <t xml:space="preserve">C14</t>
  </si>
  <si>
    <t xml:space="preserve">What could extra voluntary contributions add?</t>
  </si>
  <si>
    <t xml:space="preserve">C15</t>
  </si>
  <si>
    <t xml:space="preserve">How long could my retirement savings last?</t>
  </si>
  <si>
    <t xml:space="preserve">C16</t>
  </si>
  <si>
    <t xml:space="preserve">How do different growth rates change things?</t>
  </si>
  <si>
    <t xml:space="preserve">C17</t>
  </si>
  <si>
    <t xml:space="preserve">What is my money really worth in future?</t>
  </si>
  <si>
    <t xml:space="preserve">C18</t>
  </si>
  <si>
    <t xml:space="preserve">What could investing monthly build?</t>
  </si>
  <si>
    <t xml:space="preserve">C19</t>
  </si>
  <si>
    <t xml:space="preserve">How much do fees really cost over time?</t>
  </si>
  <si>
    <t xml:space="preserve">C20</t>
  </si>
  <si>
    <t xml:space="preserve">What range of outcomes might each style have?</t>
  </si>
  <si>
    <t xml:space="preserve">C21</t>
  </si>
  <si>
    <t xml:space="preserve">How much cover might my family need?</t>
  </si>
  <si>
    <t xml:space="preserve">Protection</t>
  </si>
  <si>
    <t xml:space="preserve">C22</t>
  </si>
  <si>
    <t xml:space="preserve">How long could I cope if I couldn't work?</t>
  </si>
  <si>
    <t xml:space="preserve">C23</t>
  </si>
  <si>
    <t xml:space="preserve">What cover would clear my mortgage?</t>
  </si>
  <si>
    <t xml:space="preserve">C24</t>
  </si>
  <si>
    <t xml:space="preserve">What am I worth, all in?</t>
  </si>
  <si>
    <t xml:space="preserve">Everyday Money</t>
  </si>
  <si>
    <t xml:space="preserve">C25</t>
  </si>
  <si>
    <t xml:space="preserve">What is left at the end of the month?</t>
  </si>
  <si>
    <t xml:space="preserve">C26</t>
  </si>
  <si>
    <t xml:space="preserve">A simple way to split your pay</t>
  </si>
  <si>
    <t xml:space="preserve">C27</t>
  </si>
  <si>
    <t xml:space="preserve">How fast can I clear my debt?</t>
  </si>
  <si>
    <t xml:space="preserve">C28</t>
  </si>
  <si>
    <t xml:space="preserve">What would a loan cost me?</t>
  </si>
  <si>
    <t xml:space="preserve">BUDGET 2027 (announced 6 Oct 2026): not applied yet</t>
  </si>
  <si>
    <t xml:space="preserve">Budget 2027 changes (announced 6 Oct 2026) aren't included yet. We'll update LifeMap once they're final. Nothing from Budget 2027 is used in any calculation. The values below stay at their 2026 figures until the changes are final and official (Revenue, the Finance Act, the Department of Social Protection). Then update each named constant with its effective date and re-run the Tax engine checks. No Budget 2027 amount is written here on purpose.</t>
  </si>
  <si>
    <t xml:space="preserve">Constant (2026 value, unchanged)</t>
  </si>
  <si>
    <t xml:space="preserve">Name(s) to update</t>
  </si>
  <si>
    <t xml:space="preserve">Status</t>
  </si>
  <si>
    <t xml:space="preserve">Income-tax bands (€44,000 / €48,000 / €53,000; €35,000 second-earner uplift)</t>
  </si>
  <si>
    <t xml:space="preserve">Band_Single, Band_Single_Parent, Band_Married, Band_Second_Earner_Max</t>
  </si>
  <si>
    <t xml:space="preserve">2026 value kept until final and official</t>
  </si>
  <si>
    <t xml:space="preserve">Personal and PAYE credits (€2,000 + €2,000; €4,000 married)</t>
  </si>
  <si>
    <t xml:space="preserve">Credit_Personal_Single, Credit_Personal_Married, Credit_PAYE</t>
  </si>
  <si>
    <t xml:space="preserve">Rent, Home Carer and SPCCC credits (€1,000 / €1,950 / €1,900)</t>
  </si>
  <si>
    <t xml:space="preserve">Credit_Rent_Single, Credit_Rent_Joint, Credit_Home_Carer, Credit_SPCCC</t>
  </si>
  <si>
    <t xml:space="preserve">USC bands (€12,012 / €28,700 / €70,044) and exemption €13,000</t>
  </si>
  <si>
    <t xml:space="preserve">USC_Band_1–3, USC_Exempt</t>
  </si>
  <si>
    <t xml:space="preserve">PRSI path (4.35% now; 4.5% from 1 Oct 2027; 4.7% from 1 Oct 2028)</t>
  </si>
  <si>
    <t xml:space="preserve">PRSI_Rate, PRSI credit</t>
  </si>
  <si>
    <t xml:space="preserve">State Pension €299.30 a week (€15,563.60)</t>
  </si>
  <si>
    <t xml:space="preserve">State_Pension_Week</t>
  </si>
  <si>
    <t xml:space="preserve">Illness Benefit €254; survivor's pension €259.50 (&lt;66) / €299.30 (66+)</t>
  </si>
  <si>
    <t xml:space="preserve">Illness_Benefit_Week, Survivor_Pension_Week, Survivor_Pension_Week_66</t>
  </si>
  <si>
    <t xml:space="preserve">Exit tax 38%, deemed disposal 8 years, DIRT 33%</t>
  </si>
  <si>
    <t xml:space="preserve">Exit_Tax, Deemed_Disposal_Years, DIRT</t>
  </si>
  <si>
    <t xml:space="preserve">Pension relief bands, €115,000 cap, lump-sum bands, SFT (€2.4m in 2027)</t>
  </si>
  <si>
    <t xml:space="preserve">Relief_Age_From/Relief_Age_Pct, Relief_Earnings_Cap, Lump_Sum_*</t>
  </si>
  <si>
    <t xml:space="preserve">Stamp duty 1% / 2% / 6%; Help to Buy €30,000; CBI 4× / 3.5× / 90%</t>
  </si>
  <si>
    <t xml:space="preserve">SD_*, LTI_FTB, LTI_SSB, LTV_Max</t>
  </si>
  <si>
    <t xml:space="preserve">Guidance text on each inflation input and on this sheet</t>
  </si>
  <si>
    <t xml:space="preserve">Guidance text shows the latest CSO figure</t>
  </si>
  <si>
    <t xml:space="preserve">Audit fixes applied</t>
  </si>
  <si>
    <t xml:space="preserve">Where</t>
  </si>
  <si>
    <t xml:space="preserve">Audit class</t>
  </si>
  <si>
    <t xml:space="preserve">Item</t>
  </si>
  <si>
    <t xml:space="preserve">Must</t>
  </si>
  <si>
    <t xml:space="preserve">Gap is like-for-like: target (today's money) − fund ÷ (1 + inflation)^years.</t>
  </si>
  <si>
    <t xml:space="preserve">Hand-off updates the existing retirement goal (income, age) instead of a 25× lump-sum spend.</t>
  </si>
  <si>
    <t xml:space="preserve">Hand-off is the deposit (loan × 10% ÷ 90%), not the mortgage amount.</t>
  </si>
  <si>
    <t xml:space="preserve">Hand-off is a mortgage-free (mfree) goal, not today's balance as a spend; none if it never clears.</t>
  </si>
  <si>
    <t xml:space="preserve">No "Infinity yrs" and no negative interest saved: "Not at this repayment" / "—".</t>
  </si>
  <si>
    <t xml:space="preserve">C04, C27</t>
  </si>
  <si>
    <t xml:space="preserve">Exact months by NPER (no 1,200-month loop cap); over 1,200 months shows "Over 100 years" / "Payment too low…".</t>
  </si>
  <si>
    <t xml:space="preserve">C09, C10</t>
  </si>
  <si>
    <t xml:space="preserve">Hand-off always in today's money (value ÷ (1 + inflation)^years), kind pot.</t>
  </si>
  <si>
    <t xml:space="preserve">C13, C14</t>
  </si>
  <si>
    <t xml:space="preserve">No spend goal: raise the plan's pension contribution instead.</t>
  </si>
  <si>
    <t xml:space="preserve">Hand-off in today's money, kind pot (was nominal, inflated twice).</t>
  </si>
  <si>
    <t xml:space="preserve">Style is a 1/2/3 list (no decimals, no €NaN).</t>
  </si>
  <si>
    <t xml:space="preserve">No spend goal: a protection need for the adviser.</t>
  </si>
  <si>
    <t xml:space="preserve">No goal (the plan already repays the debt); no goal when it never clears.</t>
  </si>
  <si>
    <t xml:space="preserve">C02, C05</t>
  </si>
  <si>
    <t xml:space="preserve">Should</t>
  </si>
  <si>
    <t xml:space="preserve">What-if rate floored at 0%.</t>
  </si>
  <si>
    <t xml:space="preserve">Deposit validated between 10% of the price and the price; mortgage never negative.</t>
  </si>
  <si>
    <t xml:space="preserve">C11, C22, C25</t>
  </si>
  <si>
    <t xml:space="preserve">Hand-off kinds corrected (safety pot; protection need; savings pot).</t>
  </si>
  <si>
    <t xml:space="preserve">C15, C16</t>
  </si>
  <si>
    <t xml:space="preserve">Withdrawals taken at the start of each year.</t>
  </si>
  <si>
    <t xml:space="preserve">Mortgage protection Yes/No (default Yes) and State survivor's pension (default €259.50 a week).</t>
  </si>
  <si>
    <t xml:space="preserve">Illness Benefit (€254 a week) netted off; income protection capped at 75% of income less Illness Benefit.</t>
  </si>
  <si>
    <t xml:space="preserve">Warning when the repayment does not cover the interest; no rising balances shown.</t>
  </si>
  <si>
    <t xml:space="preserve">C27, C28</t>
  </si>
  <si>
    <t xml:space="preserve">APR treated as an effective annual rate: monthly = (1 + APR)^(1/12) − 1.</t>
  </si>
  <si>
    <t xml:space="preserve">C08–C10, C17, C18</t>
  </si>
  <si>
    <t xml:space="preserve">"Before tax: DIRT 33% / exit tax 38%" note.</t>
  </si>
  <si>
    <t xml:space="preserve">Nice</t>
  </si>
  <si>
    <t xml:space="preserve">First-time buyer is Yes/No.</t>
  </si>
  <si>
    <t xml:space="preserve">C03, C15, C16 etc.</t>
  </si>
  <si>
    <t xml:space="preserve">Singular forms ("1 month", "1 year"); "You have your deposit".</t>
  </si>
  <si>
    <t xml:space="preserve">"No change" when the time saved is 0.</t>
  </si>
  <si>
    <t xml:space="preserve">"Both terms are the same" for equal terms.</t>
  </si>
  <si>
    <t xml:space="preserve">C08, C03</t>
  </si>
  <si>
    <t xml:space="preserve">Hand-off passes "already saved".</t>
  </si>
  <si>
    <t xml:space="preserve">Tax rate restricted to 20% or 40%.</t>
  </si>
  <si>
    <t xml:space="preserve">"60+ years" in every row at the end of the table.</t>
  </si>
  <si>
    <t xml:space="preserve">€0 surplus reads "Nothing left over this month".</t>
  </si>
  <si>
    <t xml:space="preserve">Assumptions</t>
  </si>
  <si>
    <t xml:space="preserve">Constants added for the fixes (DIRT, exit tax, Illness Benefit, survivor's pension); inflation reference refreshed (3.4% Aug 2026).</t>
  </si>
  <si>
    <t xml:space="preserve">Not applied (for Pooja to decide)</t>
  </si>
  <si>
    <t xml:space="preserve">All calculators</t>
  </si>
  <si>
    <t xml:space="preserve">Journey spec §14</t>
  </si>
  <si>
    <t xml:space="preserve">Every input typed: 1 = set by Government (Assumptions only, grey, not an input); 2 = range ("Usually between X and Y (source)"); 3 = personal, blank until chosen ("Generally the standard is X (source). Choose what you want to use."). Blank inputs give "Choose your … to see this"; README switch "Fill example values?" (default No) fills them from the grey "Example only" column.</t>
  </si>
  <si>
    <t xml:space="preserve">C11, C15, C22, C13</t>
  </si>
  <si>
    <t xml:space="preserve">UI/UX Appendix B</t>
  </si>
  <si>
    <t xml:space="preserve">Singular "1 month"; C15 at the 60-year cap reads "Beyond [plan-until age] (your plan-until age)", as the prototype (not "age 126"); C13/C14 show the relief room left after what you already pay in.</t>
  </si>
  <si>
    <t xml:space="preserve">Remove the placeholder "[confirm current Central Bank rules]" from the customer line (prototype copy; the workbook uses the audit's replacement wording).</t>
  </si>
  <si>
    <t xml:space="preserve">C01, C03</t>
  </si>
  <si>
    <t xml:space="preserve">Help to Buy as an optional deposit input (rules audit #62).</t>
  </si>
  <si>
    <t xml:space="preserve">Use "−" (not "-") in the rate text (prototype copy).</t>
  </si>
  <si>
    <t xml:space="preserve">House prices rising while saving (stamp duty and fees are now included).</t>
  </si>
  <si>
    <t xml:space="preserve">Local Property Tax and insurance in the cost of owning (rules audit #63).</t>
  </si>
  <si>
    <t xml:space="preserve">C08–C10, C18</t>
  </si>
  <si>
    <t xml:space="preserve">An after-tax result row (DIRT 33% / exit tax 38% with deemed disposal). Only the "before tax" note is applied.</t>
  </si>
  <si>
    <t xml:space="preserve">Hide "start later" when the term is no longer than the wait.</t>
  </si>
  <si>
    <t xml:space="preserve">Tip copy: "Often 3 to 6 months" instead of "Ideal: 6 months" (prototype copy).</t>
  </si>
  <si>
    <t xml:space="preserve">Gross up the desired income for tax (a "before tax" note is applied instead).</t>
  </si>
  <si>
    <t xml:space="preserve">Contributions rising with pay (as C12): €70,503, not €54,572, at defaults.</t>
  </si>
  <si>
    <t xml:space="preserve">ARF imputed distribution hint (4% from 61, 5% from 71, 6% over €2m).</t>
  </si>
  <si>
    <t xml:space="preserve">Treat the growth rates as median (geometric) returns.</t>
  </si>
  <si>
    <t xml:space="preserve">Discount the income need; funeral costs and CAT; a survivor's-age switch (the guidance gives the 66+ rate).</t>
  </si>
  <si>
    <t xml:space="preserve">Explain statutory sick pay (5 days) vs the employer's scheme (a short note is in How it works).</t>
  </si>
  <si>
    <t xml:space="preserve">Note joint-life / dual-life cover and the insurer's assumed reduction rate.</t>
  </si>
  <si>
    <t xml:space="preserve">C25, C26</t>
  </si>
  <si>
    <t xml:space="preserve">Round the take-home pre-fill to whole euros (prototype).</t>
  </si>
  <si>
    <t xml:space="preserve">Copy</t>
  </si>
  <si>
    <t xml:space="preserve">Fix the "29 calculators" note (there are 28).</t>
  </si>
  <si>
    <t xml:space="preserve">Plan sheets and the Calculation register</t>
  </si>
  <si>
    <t xml:space="preserve">Everything you type for the plan: about you, goals, finances, assumptions, what-if.</t>
  </si>
  <si>
    <t xml:space="preserve">Law figures (read from Assumptions), the figures the plan uses, and each year's pay, pension and tax.</t>
  </si>
  <si>
    <t xml:space="preserve">Mortgage, cards and loans month by month.</t>
  </si>
  <si>
    <t xml:space="preserve">One row per year: money in, spending, goals, saving, savings left.</t>
  </si>
  <si>
    <t xml:space="preserve">Goals in funding order, each goal's % covered, band and goal line.</t>
  </si>
  <si>
    <t xml:space="preserve">What the Results, Home and Plan screens show: saving, gate, findings, foundations, retirement at a glance, road and chart numbers.</t>
  </si>
  <si>
    <t xml:space="preserve">Money personality, risk profile and money terms from the Discover and Understand Me answers.</t>
  </si>
  <si>
    <t xml:space="preserve">One paragraph per sheet, and which prototype value each Plan input is.</t>
  </si>
  <si>
    <t xml:space="preserve">Every place the prototype calculates, scores or shows a number, where it is in the workbook, and whether it was matched in a test.</t>
  </si>
  <si>
    <t xml:space="preserve">Some figures are typed on purpose (the app finds them by trying values; a spreadsheet cannot): see "Plan how it works", which also gives the specification and test vectors. Findings, foundations and the home figures are for the base plan, so they match the app when the what-if is zero.</t>
  </si>
  <si>
    <t xml:space="preserve">Other sheets</t>
  </si>
  <si>
    <t xml:space="preserve">Every standard LifeMap offers, with its wording and source, in one block (the Plan sheets read it too).</t>
  </si>
  <si>
    <t xml:space="preserve">Cards, loans, pensions and mortgages on other properties, one row each (they win over a typed total).</t>
  </si>
  <si>
    <t xml:space="preserve">The UI layer (teal tabs), sheet 1: how to read the other three. Appended by tools/build_ui_sheets.py.</t>
  </si>
  <si>
    <t xml:space="preserve">Every calculator screen as the app shows it: labels, ranges, chips and results. Appended by tools/build_ui_sheets.py.</t>
  </si>
  <si>
    <t xml:space="preserve">The app screens, in the app's words. Appended by tools/build_ui_sheets.py.</t>
  </si>
  <si>
    <t xml:space="preserve">The Make my plan screens, step by step. Appended by tools/build_ui_sheets.py.</t>
  </si>
  <si>
    <t xml:space="preserve">C01 · How much could I borrow?</t>
  </si>
  <si>
    <t xml:space="preserve">Category: Home &amp; Mortgage · prototype id: borrow</t>
  </si>
  <si>
    <t xml:space="preserve">Question it answers: What home price could be within reach?</t>
  </si>
  <si>
    <t xml:space="preserve">INPUTS</t>
  </si>
  <si>
    <t xml:space="preserve">Your figure</t>
  </si>
  <si>
    <t xml:space="preserve">Unit</t>
  </si>
  <si>
    <t xml:space="preserve">Allowed</t>
  </si>
  <si>
    <t xml:space="preserve">Example only (grey; used only when "Fill example values" is Yes)</t>
  </si>
  <si>
    <t xml:space="preserve">Your gross yearly income</t>
  </si>
  <si>
    <t xml:space="preserve">€</t>
  </si>
  <si>
    <t xml:space="preserve">Type 3 · your figure · Your own figure. In the app it is pre-filled from Your finances: income. Allowed: €15,000 to €2,500,000 · steps of €1,000</t>
  </si>
  <si>
    <t xml:space="preserve">Partner's gross yearly income</t>
  </si>
  <si>
    <t xml:space="preserve">Type 3 · your figure · Your own figure. In the app it is pre-filled from Your finances: partner's income. Allowed: €0 to €2,500,000 · steps of €1,000</t>
  </si>
  <si>
    <t xml:space="preserve">Deposit saved</t>
  </si>
  <si>
    <t xml:space="preserve">Type 3 · your figure · Your own figure. In the app it is pre-filled from Plan: home goal's amount saved. Allowed: €0 to €2,000,000 · steps of €1,000</t>
  </si>
  <si>
    <t xml:space="preserve">First-time buyer?</t>
  </si>
  <si>
    <t xml:space="preserve">Yes / No</t>
  </si>
  <si>
    <t xml:space="preserve">Type 3 · your figure · Your own figure. In the app it is pre-filled from Your finances: home status (owner = No). Allowed: Yes or No</t>
  </si>
  <si>
    <t xml:space="preserve">Yes</t>
  </si>
  <si>
    <t xml:space="preserve">Mortgage interest rate</t>
  </si>
  <si>
    <t xml:space="preserve">%</t>
  </si>
  <si>
    <t xml:space="preserve">Mortgage term</t>
  </si>
  <si>
    <t xml:space="preserve">years</t>
  </si>
  <si>
    <t xml:space="preserve">Type 3 · your figure · Your own figure. Allowed: 10 to 35 · steps of 1</t>
  </si>
  <si>
    <t xml:space="preserve">Legal and other buying fees</t>
  </si>
  <si>
    <t xml:space="preserve">Years until you buy (for the plan)</t>
  </si>
  <si>
    <t xml:space="preserve">Type 3 · your figure · Your own figure. Allowed: 1 to 30 · steps of 1</t>
  </si>
  <si>
    <t xml:space="preserve">What if: save extra towards the deposit</t>
  </si>
  <si>
    <t xml:space="preserve">Type 3 · optional · Optional: leave blank for none. Allowed: €0 to €500,000 · steps of €1,000</t>
  </si>
  <si>
    <t xml:space="preserve">RESULTS</t>
  </si>
  <si>
    <t xml:space="preserve">Result</t>
  </si>
  <si>
    <t xml:space="preserve">Shown as</t>
  </si>
  <si>
    <t xml:space="preserve">Formula</t>
  </si>
  <si>
    <t xml:space="preserve">Homes up to about</t>
  </si>
  <si>
    <t xml:space="preserve">ƒx  =MIN(Price_By_Deposit,Price_By_Income)</t>
  </si>
  <si>
    <t xml:space="preserve">Most you could borrow</t>
  </si>
  <si>
    <t xml:space="preserve">ƒx  =MIN(Borrow_By_Income,LTV_Max*Home_Price)</t>
  </si>
  <si>
    <t xml:space="preserve">Monthly repayment (illustrative)</t>
  </si>
  <si>
    <t xml:space="preserve">ƒx  =PMT(Interest_Rate/12,Term_Years*12,-Max_Loan)</t>
  </si>
  <si>
    <t xml:space="preserve">Stamp duty on that price (paid from your deposit)</t>
  </si>
  <si>
    <t xml:space="preserve">ƒx  =SD_Rate_1*MIN(Home_Price,SD_Band_1)+SD_Rate_2*MAX(0,MIN(Home_Price,SD_Band_2)-SD_Band_1)+SD_Rate_3*MAX(0,Home_Price-SD_Band_2)</t>
  </si>
  <si>
    <t xml:space="preserve">Borrowing allowed by income</t>
  </si>
  <si>
    <t xml:space="preserve">ƒx  =(Income+Partner_Income)*Income_Multiple</t>
  </si>
  <si>
    <t xml:space="preserve">Income multiple used</t>
  </si>
  <si>
    <t xml:space="preserve">× income</t>
  </si>
  <si>
    <t xml:space="preserve">ƒx  =IF(First_Time_Buyer="Yes",LTI_FTB,LTI_SSB)</t>
  </si>
  <si>
    <t xml:space="preserve">Your deposit (incl. what-if extra)</t>
  </si>
  <si>
    <t xml:space="preserve">ƒx  =Deposit+Extra_Deposit</t>
  </si>
  <si>
    <t xml:space="preserve">Deposit left for the price after fees</t>
  </si>
  <si>
    <t xml:space="preserve">ƒx  =MAX(0,Total_Deposit-Buying_Fees)</t>
  </si>
  <si>
    <t xml:space="preserve">Deposit + stamp duty needed for a €1m home</t>
  </si>
  <si>
    <t xml:space="preserve">ƒx  =(1-LTV_Max+SD_Rate_1)*SD_Band_1</t>
  </si>
  <si>
    <t xml:space="preserve">Deposit + stamp duty needed for a €1.5m home</t>
  </si>
  <si>
    <t xml:space="preserve">ƒx  =Cash_At_Band_1+(1-LTV_Max+SD_Rate_2)*(SD_Band_2-SD_Band_1)</t>
  </si>
  <si>
    <t xml:space="preserve">Price your deposit allows (10% deposit + stamp duty)</t>
  </si>
  <si>
    <t xml:space="preserve">ƒx  =IF(Cash_For_Price&lt;=Cash_At_Band_1,Cash_For_Price/(1-LTV_Max+SD_Rate_1),IF(Cash_For_Price&lt;=Cash_At_Band_2,SD_Band_1+(Cash_For_Price-Cash_At_Band_1)/(1-LTV_Max+SD_Rate_2),SD_Band_2+(Cash_For_Price-Cash_At_Band_2)/(1-LTV_Max+SD_Rate_3)))</t>
  </si>
  <si>
    <t xml:space="preserve">Income limit + deposit left after fees</t>
  </si>
  <si>
    <t xml:space="preserve">ƒx  =Borrow_By_Income+Cash_For_Price</t>
  </si>
  <si>
    <t xml:space="preserve">Price your income allows (loan + deposit, after stamp duty)</t>
  </si>
  <si>
    <t xml:space="preserve">ƒx  =IF(Income_Cash&lt;=(1+SD_Rate_1)*SD_Band_1,Income_Cash/(1+SD_Rate_1),IF(Income_Cash&lt;=(1+SD_Rate_1)*SD_Band_1+(1+SD_Rate_2)*(SD_Band_2-SD_Band_1),SD_Band_1+(Income_Cash-(1+SD_Rate_1)*SD_Band_1)/(1+SD_Rate_2),SD_Band_2+(Income_Cash-(1+SD_Rate_1)*SD_Band_1-(1+SD_Rate_2)*(SD_Band_2-SD_Band_1))/(1+SD_Rate_3)))</t>
  </si>
  <si>
    <t xml:space="preserve">What sets the limit</t>
  </si>
  <si>
    <t xml:space="preserve">ƒx  =IF(Price_By_Deposit&lt;Price_By_Income,"Your deposit","Your income")</t>
  </si>
  <si>
    <t xml:space="preserve">HOW IT WORKS</t>
  </si>
  <si>
    <t xml:space="preserve">• Your deposit must pay 10% of the price, the stamp duty (1% up to €1m, 2% on €1m–€1.5m, 6% above) and the buying fees. So the price is the lower of: what the deposit allows (10% + stamp duty) and what income + deposit allow (price + stamp duty). Both are solved exactly, band by band.</t>
  </si>
  <si>
    <t xml:space="preserve">• Repayment = standard annuity PMT at rate ÷ 12 over the term.</t>
  </si>
  <si>
    <t xml:space="preserve">Edge rules and validation:</t>
  </si>
  <si>
    <t xml:space="preserve">• First-time buyer is a Yes/No choice.</t>
  </si>
  <si>
    <t xml:space="preserve">• When both limits are equal the text says the income sets the limit.</t>
  </si>
  <si>
    <t xml:space="preserve">• Lenders can lend above these limits for a small share of loans each year, so some buyers get an exception. Your lender decides.</t>
  </si>
  <si>
    <t xml:space="preserve">• At 0% interest Excel's PMT/NPER/FV give amount ÷ months, so no special case is needed in Excel; in code use payment = amount / months.</t>
  </si>
  <si>
    <t xml:space="preserve">ADD TO MY PLAN (what this calculator sends to the plan)</t>
  </si>
  <si>
    <t xml:space="preserve">Goal</t>
  </si>
  <si>
    <t xml:space="preserve">ƒx  ="Buy a home (deposit goal)"</t>
  </si>
  <si>
    <t xml:space="preserve">Amount (today's money): 10% deposit + stamp duty + fees</t>
  </si>
  <si>
    <t xml:space="preserve">ƒx  =ROUND(Home_Price*Min_Deposit_Pct+Stamp_Duty+Buying_Fees,0)</t>
  </si>
  <si>
    <t xml:space="preserve">Already saved</t>
  </si>
  <si>
    <t xml:space="preserve">ƒx  =Total_Deposit</t>
  </si>
  <si>
    <t xml:space="preserve">In (years)</t>
  </si>
  <si>
    <t xml:space="preserve">ƒx  =Home_Goal_Years</t>
  </si>
  <si>
    <t xml:space="preserve">CHOICES STILL NEEDED (helper rows: blank = all inputs a result needs are filled)</t>
  </si>
  <si>
    <t xml:space="preserve">Needs: buying fees, deposit saved, first-time buyer answer, gross yearly income, partner's gross yearly income</t>
  </si>
  <si>
    <t xml:space="preserve">Needs: buying fees, deposit saved, first-time buyer answer, gross yearly income, interest rate, partner's gross yearly income, mortgage term</t>
  </si>
  <si>
    <t xml:space="preserve">Needs: first-time buyer answer, gross yearly income, partner's gross yearly income</t>
  </si>
  <si>
    <t xml:space="preserve">Needs: first-time buyer answer</t>
  </si>
  <si>
    <t xml:space="preserve">Needs: deposit saved</t>
  </si>
  <si>
    <t xml:space="preserve">Needs: buying fees, deposit saved</t>
  </si>
  <si>
    <t xml:space="preserve">Needs: years until you buy</t>
  </si>
  <si>
    <t xml:space="preserve">Note: stamp duty is worked out on the price shown; for a new home it is charged on the price excluding VAT, and Help to Buy is not included.</t>
  </si>
  <si>
    <t xml:space="preserve">C02 · Monthly mortgage repayment</t>
  </si>
  <si>
    <t xml:space="preserve">Category: Home &amp; Mortgage · prototype id: repayment</t>
  </si>
  <si>
    <t xml:space="preserve">Question it answers: What would my monthly repayment be?</t>
  </si>
  <si>
    <t xml:space="preserve">Works out the monthly repayment, how long until the mortgage is paid off and the total interest; and what a rate change would do.</t>
  </si>
  <si>
    <t xml:space="preserve">FROM YOUR STATEMENT (filled automatically by the document reader)</t>
  </si>
  <si>
    <t xml:space="preserve">Document: Mortgage statement (annual statement of account) or offer letter. Blank = no statement uploaded, or the figure is not on it. Grey-blue cells are filled by the reader (you can type here to test).</t>
  </si>
  <si>
    <t xml:space="preserve">Outstanding balance</t>
  </si>
  <si>
    <t xml:space="preserve">Allowed: €0 to €10,000,000</t>
  </si>
  <si>
    <t xml:space="preserve">Reader field: see note</t>
  </si>
  <si>
    <t xml:space="preserve">Interest rate</t>
  </si>
  <si>
    <t xml:space="preserve">Allowed: 0% to 15%</t>
  </si>
  <si>
    <t xml:space="preserve">Term remaining</t>
  </si>
  <si>
    <t xml:space="preserve">Allowed: 0 to 40</t>
  </si>
  <si>
    <t xml:space="preserve">Monthly repayment</t>
  </si>
  <si>
    <t xml:space="preserve">Allowed: €0 to €100,000</t>
  </si>
  <si>
    <t xml:space="preserve">Statement date</t>
  </si>
  <si>
    <t xml:space="preserve">date</t>
  </si>
  <si>
    <t xml:space="preserve">Allowed: a date (dd/mm/yyyy)</t>
  </si>
  <si>
    <t xml:space="preserve">OR TYPE IT YOURSELF</t>
  </si>
  <si>
    <t xml:space="preserve">Mortgage amount</t>
  </si>
  <si>
    <t xml:space="preserve">Type 3 · your figure · Your own figure. In the app it is pre-filled from Your finances / mortgage statement: balance. Allowed: €50,000 to €10,000,000 · steps of €1,000</t>
  </si>
  <si>
    <t xml:space="preserve">Term</t>
  </si>
  <si>
    <t xml:space="preserve">Type 3 · your figure · Your own figure. In the app it is pre-filled from Years left (25 if not given). Allowed: 5 to 35 · steps of 1</t>
  </si>
  <si>
    <t xml:space="preserve">Your actual monthly repayment (optional, 0 = work it out)</t>
  </si>
  <si>
    <t xml:space="preserve">Type 3 · optional · Optional: leave blank for none. Allowed: €0 to €100,000 · steps of €1</t>
  </si>
  <si>
    <t xml:space="preserve">What if: rates change by</t>
  </si>
  <si>
    <t xml:space="preserve">Type 3 · optional · Optional: leave blank for none. Allowed: -2% to 3% · steps of 0.25%</t>
  </si>
  <si>
    <t xml:space="preserve">FIGURE USED (statement figure if present, else your figure)</t>
  </si>
  <si>
    <t xml:space="preserve">ƒx  =IF(ISBLANK(Stmt_Balance),Loan_Amount,Stmt_Balance)</t>
  </si>
  <si>
    <t xml:space="preserve">ƒx  =IF(ISBLANK(Stmt_Rate),Interest_Rate,Stmt_Rate)</t>
  </si>
  <si>
    <t xml:space="preserve">ƒx  =IF(ISBLANK(Stmt_Term),Term_Years,Stmt_Term)</t>
  </si>
  <si>
    <t xml:space="preserve">Actual monthly repayment (0 = work it out)</t>
  </si>
  <si>
    <t xml:space="preserve">ƒx  =IF(ISBLANK(Stmt_Repayment),Actual_Repayment,Stmt_Repayment)</t>
  </si>
  <si>
    <t xml:space="preserve">Statement date check</t>
  </si>
  <si>
    <t xml:space="preserve">ƒx  =IF(ISBLANK(Stmt_Statement_Date),"",IF(TODAY()-Stmt_Statement_Date&gt;Statement_Max_Age_Days,"Needs a look: statement is more than 12 months old","Up to date"))</t>
  </si>
  <si>
    <t xml:space="preserve">ƒx  =IF(Used_Actual_Repayment&gt;0,Used_Actual_Repayment,Formula_Repayment)</t>
  </si>
  <si>
    <t xml:space="preserve">Mortgage free in (months)</t>
  </si>
  <si>
    <t xml:space="preserve">ƒx  =IF(Monthly_Repayment&lt;=Used_Loan_Amount*Monthly_Rate,"Never",ROUNDUP(ROUND(NPER(Monthly_Rate,-Monthly_Repayment,Used_Loan_Amount),6),0))</t>
  </si>
  <si>
    <t xml:space="preserve">Total interest</t>
  </si>
  <si>
    <t xml:space="preserve">ƒx  =IF(Months_To_Pay="Never","—",Monthly_Repayment*(Months_To_Pay-1)+Final_Payment-Used_Loan_Amount)</t>
  </si>
  <si>
    <t xml:space="preserve">Total repaid</t>
  </si>
  <si>
    <t xml:space="preserve">ƒx  =IF(Months_To_Pay="Never","—",Used_Loan_Amount+Total_Interest)</t>
  </si>
  <si>
    <t xml:space="preserve">Monthly interest rate</t>
  </si>
  <si>
    <t xml:space="preserve">ƒx  =Used_Interest_Rate/12</t>
  </si>
  <si>
    <t xml:space="preserve">Repayment by formula (standard annuity)</t>
  </si>
  <si>
    <t xml:space="preserve">ƒx  =PMT(Monthly_Rate,Used_Term_Years*12,-Used_Loan_Amount)</t>
  </si>
  <si>
    <t xml:space="preserve">Last (part) payment</t>
  </si>
  <si>
    <t xml:space="preserve">ƒx  =IF(Months_To_Pay="Never","—",-FV(Monthly_Rate,Months_To_Pay-1,-Monthly_Repayment,Used_Loan_Amount)*(1+Monthly_Rate))      (balance left before the last month, plus that month's interest)</t>
  </si>
  <si>
    <t xml:space="preserve">What if: new rate (never below 0%)</t>
  </si>
  <si>
    <t xml:space="preserve">ƒx  =MAX(0,Used_Interest_Rate+Rate_Change)</t>
  </si>
  <si>
    <t xml:space="preserve">What if: monthly repayment</t>
  </si>
  <si>
    <t xml:space="preserve">ƒx  =Monthly_Repayment+PMT(New_Rate/12,Used_Term_Years*12,-Used_Loan_Amount)-Formula_Repayment</t>
  </si>
  <si>
    <t xml:space="preserve">What if: change over a year</t>
  </si>
  <si>
    <t xml:space="preserve">ƒx  =(Repayment_If_Changed-Monthly_Repayment)*12</t>
  </si>
  <si>
    <t xml:space="preserve">• Repayment = PMT(rate ÷ 12, years × 12, −amount), the standard repayment-mortgage formula; your stated repayment replaces it if you give one.</t>
  </si>
  <si>
    <t xml:space="preserve">• Months to pay off = NPER(rate ÷ 12, −repayment, amount), rounded up. Total interest = all full payments + the last part payment − the amount (exact, as a lender's schedule).</t>
  </si>
  <si>
    <t xml:space="preserve">• What if: the stated repayment moves by the same amount as the formula repayment would: repayment + PMT(new rate) − PMT(current rate). The new rate is floored at 0%.</t>
  </si>
  <si>
    <t xml:space="preserve">• If the payment is at or below the first month's interest the balance never falls: show "Never at this repayment" and leave total interest blank ("—").</t>
  </si>
  <si>
    <t xml:space="preserve">• More than 1,200 months (100 years) is shown as "Over 100 years"; the exact month count is still calculated (no loop cap).</t>
  </si>
  <si>
    <t xml:space="preserve">• NPER is rounded to 6 decimals before rounding up, so a repayment that exactly fits the term ends on the term (floating-point noise would otherwise add a month).</t>
  </si>
  <si>
    <t xml:space="preserve">Amount (today's money): the deposit for this loan</t>
  </si>
  <si>
    <t xml:space="preserve">ƒx  =ROUND(Used_Loan_Amount*(1-LTV_Max)/LTV_Max,0)</t>
  </si>
  <si>
    <t xml:space="preserve">Needs: Used_Actual_Repayment, Used_Interest_Rate, Used_Loan_Amount, Used_Term_Years</t>
  </si>
  <si>
    <t xml:space="preserve">Needs: Used_Interest_Rate</t>
  </si>
  <si>
    <t xml:space="preserve">Needs: Used_Interest_Rate, Used_Loan_Amount, Used_Term_Years</t>
  </si>
  <si>
    <t xml:space="preserve">Needs: Used_Loan_Amount</t>
  </si>
  <si>
    <t xml:space="preserve">Note: the rate is a yearly rate, compounded monthly (nominal rate ÷ 12), the way lenders quote mortgage rates.</t>
  </si>
  <si>
    <t xml:space="preserve">C03 · Deposit calculator</t>
  </si>
  <si>
    <t xml:space="preserve">Category: Home &amp; Mortgage · prototype id: deposit</t>
  </si>
  <si>
    <t xml:space="preserve">Question it answers: How long until I have my deposit?</t>
  </si>
  <si>
    <t xml:space="preserve">Works out the deposit, stamp duty and fees you need and how many months of saving it takes.</t>
  </si>
  <si>
    <t xml:space="preserve">Home price</t>
  </si>
  <si>
    <t xml:space="preserve">Type 3 · your figure · Your own figure. Allowed: €100,000 to €10,000,000 · steps of €5,000</t>
  </si>
  <si>
    <t xml:space="preserve">Deposit needed</t>
  </si>
  <si>
    <t xml:space="preserve">Saved so far</t>
  </si>
  <si>
    <t xml:space="preserve">Type 3 · your figure · Your own figure. In the app it is pre-filled from Plan: home goal's amount saved. Allowed: €0 to €2,000,000 · steps of €500</t>
  </si>
  <si>
    <t xml:space="preserve">Monthly saving</t>
  </si>
  <si>
    <t xml:space="preserve">Type 3 · your figure · Your own figure. Allowed: €50 to €50,000 · steps of €50</t>
  </si>
  <si>
    <t xml:space="preserve">What if: save extra each month</t>
  </si>
  <si>
    <t xml:space="preserve">Type 3 · optional · Optional: leave blank for none. Allowed: €0 to €15,000 · steps of €50</t>
  </si>
  <si>
    <t xml:space="preserve">Time to your deposit (months)</t>
  </si>
  <si>
    <t xml:space="preserve">ƒx  =IF(Still_To_Save=0,0,ROUNDUP(Still_To_Save/(Monthly_Saving+Extra_Saving),0))</t>
  </si>
  <si>
    <t xml:space="preserve">Total you need (deposit + stamp duty + fees)</t>
  </si>
  <si>
    <t xml:space="preserve">ƒx  =Deposit_Needed+Stamp_Duty+Buying_Fees</t>
  </si>
  <si>
    <t xml:space="preserve">Still to save</t>
  </si>
  <si>
    <t xml:space="preserve">ƒx  =MAX(0,Total_Needed-Saved)</t>
  </si>
  <si>
    <t xml:space="preserve">Deposit</t>
  </si>
  <si>
    <t xml:space="preserve">ƒx  =Home_Price*Deposit_Pct</t>
  </si>
  <si>
    <t xml:space="preserve">Stamp duty</t>
  </si>
  <si>
    <t xml:space="preserve">• Deposit = price × deposit %. Stamp duty = 1% up to €1m, 2% on €1m–€1.5m, 6% above. Total = deposit + stamp duty + fees.</t>
  </si>
  <si>
    <t xml:space="preserve">• Months = still to save ÷ monthly saving (incl. the what-if extra), rounded up. No interest and no house-price growth are assumed.</t>
  </si>
  <si>
    <t xml:space="preserve">• Nothing left to save shows "You have your deposit".</t>
  </si>
  <si>
    <t xml:space="preserve">• Monthly saving must be at least €50, so there is no divide by zero.</t>
  </si>
  <si>
    <t xml:space="preserve">ƒx  ="Home deposit"</t>
  </si>
  <si>
    <t xml:space="preserve">Amount (today's money): deposit + stamp duty + fees</t>
  </si>
  <si>
    <t xml:space="preserve">ƒx  =ROUND(Total_Needed,0)</t>
  </si>
  <si>
    <t xml:space="preserve">ƒx  =Saved</t>
  </si>
  <si>
    <t xml:space="preserve">ƒx  =MAX(1,ROUNDUP(Months_To_Deposit/12,0))</t>
  </si>
  <si>
    <t xml:space="preserve">Needs: buying fees, deposit %, home price, monthly saving, saved so far</t>
  </si>
  <si>
    <t xml:space="preserve">Needs: buying fees, deposit %, home price</t>
  </si>
  <si>
    <t xml:space="preserve">Needs: buying fees, deposit %, home price, saved so far</t>
  </si>
  <si>
    <t xml:space="preserve">Needs: deposit %, home price</t>
  </si>
  <si>
    <t xml:space="preserve">Needs: home price</t>
  </si>
  <si>
    <t xml:space="preserve">Needs: saved so far</t>
  </si>
  <si>
    <t xml:space="preserve">C04 · Mortgage overpayment</t>
  </si>
  <si>
    <t xml:space="preserve">Category: Home &amp; Mortgage · prototype id: overpay</t>
  </si>
  <si>
    <t xml:space="preserve">Question it answers: What if I paid a little extra each month?</t>
  </si>
  <si>
    <t xml:space="preserve">Compares paying off the mortgage at your repayment with paying a little extra each month: time and interest saved.</t>
  </si>
  <si>
    <t xml:space="preserve">Mortgage balance</t>
  </si>
  <si>
    <t xml:space="preserve">Type 3 · your figure · Your own figure. In the app it is pre-filled from Your finances / statement: balance. Allowed: €20,000 to €10,000,000 · steps of €1,000</t>
  </si>
  <si>
    <t xml:space="preserve">Years left</t>
  </si>
  <si>
    <t xml:space="preserve">Type 3 · your figure · Your own figure. In the app it is pre-filled from Years left (25 if not given). Allowed: 3 to 35 · steps of 1</t>
  </si>
  <si>
    <t xml:space="preserve">Extra each month</t>
  </si>
  <si>
    <t xml:space="preserve">Type 3 · your figure · Your own figure. Allowed: €0 to €20,000 · steps of €25</t>
  </si>
  <si>
    <t xml:space="preserve">ƒx  =IF(ISBLANK(Stmt_Balance),Mortgage_Balance,Stmt_Balance)</t>
  </si>
  <si>
    <t xml:space="preserve">ƒx  =IF(ISBLANK(Stmt_Term),Years_Left,Stmt_Term)</t>
  </si>
  <si>
    <t xml:space="preserve">Mortgage free sooner by (months)</t>
  </si>
  <si>
    <t xml:space="preserve">ƒx  =IF(OR(Months_Now="Never",Months_With_Extra="Never"),"—",Months_Now-Months_With_Extra)</t>
  </si>
  <si>
    <t xml:space="preserve">Interest saved</t>
  </si>
  <si>
    <t xml:space="preserve">ƒx  =IF(OR(Months_Now="Never",Months_With_Extra="Never"),"—",Interest_Now-Interest_With_Extra)</t>
  </si>
  <si>
    <t xml:space="preserve">Mortgage free now in (months)</t>
  </si>
  <si>
    <t xml:space="preserve">ƒx  =IF(Repayment_Now&lt;=Used_Mortgage_Balance*Monthly_Rate,"Never",ROUNDUP(ROUND(NPER(Monthly_Rate,-Repayment_Now,Used_Mortgage_Balance),6),0))</t>
  </si>
  <si>
    <t xml:space="preserve">With the extra (months)</t>
  </si>
  <si>
    <t xml:space="preserve">ƒx  =IF(Repayment_With_Extra&lt;=Used_Mortgage_Balance*Monthly_Rate,"Never",ROUNDUP(ROUND(NPER(Monthly_Rate,-Repayment_With_Extra,Used_Mortgage_Balance),6),0))</t>
  </si>
  <si>
    <t xml:space="preserve">Repayment now</t>
  </si>
  <si>
    <t xml:space="preserve">ƒx  =IF(Used_Actual_Repayment&gt;0,Used_Actual_Repayment,PMT(Monthly_Rate,Used_Years_Left*12,-Used_Mortgage_Balance))</t>
  </si>
  <si>
    <t xml:space="preserve">Repayment with the extra</t>
  </si>
  <si>
    <t xml:space="preserve">ƒx  =Repayment_Now+Extra_Payment</t>
  </si>
  <si>
    <t xml:space="preserve">Last (part) payment now</t>
  </si>
  <si>
    <t xml:space="preserve">ƒx  =IF(Months_Now="Never","—",-FV(Monthly_Rate,Months_Now-1,-Repayment_Now,Used_Mortgage_Balance)*(1+Monthly_Rate))</t>
  </si>
  <si>
    <t xml:space="preserve">Last (part) payment with the extra</t>
  </si>
  <si>
    <t xml:space="preserve">ƒx  =IF(Months_With_Extra="Never","—",-FV(Monthly_Rate,Months_With_Extra-1,-Repayment_With_Extra,Used_Mortgage_Balance)*(1+Monthly_Rate))</t>
  </si>
  <si>
    <t xml:space="preserve">Total interest now</t>
  </si>
  <si>
    <t xml:space="preserve">ƒx  =IF(Months_Now="Never","—",Repayment_Now*(Months_Now-1)+Last_Payment_Now-Used_Mortgage_Balance)</t>
  </si>
  <si>
    <t xml:space="preserve">Total interest with the extra</t>
  </si>
  <si>
    <t xml:space="preserve">ƒx  =IF(Months_With_Extra="Never","—",Repayment_With_Extra*(Months_With_Extra-1)+Last_Payment_With_Extra-Used_Mortgage_Balance)</t>
  </si>
  <si>
    <t xml:space="preserve">• Months to pay off = NPER(rate ÷ 12, −repayment, balance), rounded up, worked out twice: at your repayment and at repayment + extra.</t>
  </si>
  <si>
    <t xml:space="preserve">• Total interest = full payments + last part payment − balance. Interest saved = interest now − interest with the extra. Sooner by = the difference in months.</t>
  </si>
  <si>
    <t xml:space="preserve">• If your repayment never clears the mortgage: "Not at this repayment", and "—" for sooner by and interest saved (no negative saving).</t>
  </si>
  <si>
    <t xml:space="preserve">• If even the extra does not clear it: "—" for "With the extra" and no goal is sent.</t>
  </si>
  <si>
    <t xml:space="preserve">• A difference of 0 months reads "No change".</t>
  </si>
  <si>
    <t xml:space="preserve">ƒx  =IF(Months_With_Extra="Never","No goal","Mortgage free (plan kind mfree, priced from your mortgage; no cash amount)")</t>
  </si>
  <si>
    <t xml:space="preserve">ƒx  =IF(Months_With_Extra="Never","—",ROUNDUP(Months_With_Extra/12,0))</t>
  </si>
  <si>
    <t xml:space="preserve">Audit fix: the old goal sent today's balance as a cash spend at the payoff year (a double count). The plan should also raise its mortgage repayment by the extra.</t>
  </si>
  <si>
    <t xml:space="preserve">Needs: extra each month, Used_Actual_Repayment, Used_Interest_Rate, Used_Mortgage_Balance, Used_Years_Left</t>
  </si>
  <si>
    <t xml:space="preserve">Needs: Used_Actual_Repayment, Used_Interest_Rate, Used_Mortgage_Balance, Used_Years_Left</t>
  </si>
  <si>
    <t xml:space="preserve">C05 · Interest-rate impact</t>
  </si>
  <si>
    <t xml:space="preserve">Category: Home &amp; Mortgage · prototype id: ratechange</t>
  </si>
  <si>
    <t xml:space="preserve">Question it answers: What if my mortgage rate changed?</t>
  </si>
  <si>
    <t xml:space="preserve">Shows how much your monthly repayment changes if your mortgage rate goes up or down.</t>
  </si>
  <si>
    <t xml:space="preserve">Type 3 · your figure · Your own figure. In the app it is pre-filled from Your finances / statement: balance. Allowed: €50,000 to €10,000,000 · steps of €1,000</t>
  </si>
  <si>
    <t xml:space="preserve">Current rate</t>
  </si>
  <si>
    <t xml:space="preserve">Rate change</t>
  </si>
  <si>
    <t xml:space="preserve">Type 3 · your figure · Your own figure. Allowed: -2% to 3% · steps of 0.25%</t>
  </si>
  <si>
    <t xml:space="preserve">ƒx  =IF(ISBLANK(Stmt_Rate),Current_Rate,Stmt_Rate)</t>
  </si>
  <si>
    <t xml:space="preserve">Monthly change</t>
  </si>
  <si>
    <t xml:space="preserve">ƒx  =Repayment_After-Repayment_Now</t>
  </si>
  <si>
    <t xml:space="preserve">ƒx  =IF(Used_Actual_Repayment&gt;0,Used_Actual_Repayment,Formula_Now)</t>
  </si>
  <si>
    <t xml:space="preserve">Repayment after the change</t>
  </si>
  <si>
    <t xml:space="preserve">ƒx  =Repayment_Now+PMT(New_Rate/12,Used_Years_Left*12,-Used_Mortgage_Balance)-Formula_Now</t>
  </si>
  <si>
    <t xml:space="preserve">Change over a year</t>
  </si>
  <si>
    <t xml:space="preserve">ƒx  =Monthly_Change*12</t>
  </si>
  <si>
    <t xml:space="preserve">Repayment now by formula</t>
  </si>
  <si>
    <t xml:space="preserve">ƒx  =PMT(Used_Current_Rate/12,Used_Years_Left*12,-Used_Mortgage_Balance)</t>
  </si>
  <si>
    <t xml:space="preserve">New rate (never below 0%)</t>
  </si>
  <si>
    <t xml:space="preserve">ƒx  =MAX(0,Used_Current_Rate+Rate_Change)</t>
  </si>
  <si>
    <t xml:space="preserve">• Repayment = PMT(rate ÷ 12, years left × 12, −balance) at the current and the new rate.</t>
  </si>
  <si>
    <t xml:space="preserve">• The change is the difference between the two; a stated repayment moves by the same amount.</t>
  </si>
  <si>
    <t xml:space="preserve">• The new rate is floored at 0% (Irish mortgages have not had negative rates).</t>
  </si>
  <si>
    <t xml:space="preserve">ƒx  ="No goal"</t>
  </si>
  <si>
    <t xml:space="preserve">Needs: rate change, Used_Actual_Repayment, Used_Current_Rate, Used_Mortgage_Balance, Used_Years_Left</t>
  </si>
  <si>
    <t xml:space="preserve">Needs: Used_Actual_Repayment, Used_Current_Rate, Used_Mortgage_Balance, Used_Years_Left</t>
  </si>
  <si>
    <t xml:space="preserve">Needs: Used_Current_Rate, Used_Mortgage_Balance, Used_Years_Left</t>
  </si>
  <si>
    <t xml:space="preserve">Needs: rate change, Used_Current_Rate</t>
  </si>
  <si>
    <t xml:space="preserve">C06 · Mortgage term comparison</t>
  </si>
  <si>
    <t xml:space="preserve">Category: Home &amp; Mortgage · prototype id: term</t>
  </si>
  <si>
    <t xml:space="preserve">Question it answers: Shorter or longer term: what is the trade-off?</t>
  </si>
  <si>
    <t xml:space="preserve">Compares two mortgage terms: the monthly repayment and the total interest of each.</t>
  </si>
  <si>
    <t xml:space="preserve">Term A</t>
  </si>
  <si>
    <t xml:space="preserve">Term B</t>
  </si>
  <si>
    <t xml:space="preserve">Type 3 · your figure · Your own figure. Allowed: 5 to 35 · steps of 1</t>
  </si>
  <si>
    <t xml:space="preserve">ƒx  =IF(ISBLANK(Stmt_Term),Term_A,Stmt_Term)</t>
  </si>
  <si>
    <t xml:space="preserve">Interest difference</t>
  </si>
  <si>
    <t xml:space="preserve">ƒx  =ABS(Interest_B-Interest_A)</t>
  </si>
  <si>
    <t xml:space="preserve">Term A: monthly repayment</t>
  </si>
  <si>
    <t xml:space="preserve">ƒx  =PMT(Used_Interest_Rate/12,Used_Term_A*12,-Used_Loan_Amount)</t>
  </si>
  <si>
    <t xml:space="preserve">Term B: monthly repayment</t>
  </si>
  <si>
    <t xml:space="preserve">ƒx  =PMT(Used_Interest_Rate/12,Term_B*12,-Used_Loan_Amount)</t>
  </si>
  <si>
    <t xml:space="preserve">Term A: total interest</t>
  </si>
  <si>
    <t xml:space="preserve">ƒx  =Monthly_A*Used_Term_A*12-Used_Loan_Amount</t>
  </si>
  <si>
    <t xml:space="preserve">Term B: total interest</t>
  </si>
  <si>
    <t xml:space="preserve">ƒx  =Monthly_B*Term_B*12-Used_Loan_Amount</t>
  </si>
  <si>
    <t xml:space="preserve">• Monthly = PMT(rate ÷ 12, term × 12, −amount) for each term.</t>
  </si>
  <si>
    <t xml:space="preserve">• Total interest = monthly × months − amount.</t>
  </si>
  <si>
    <t xml:space="preserve">• Equal terms show "Both terms are the same."</t>
  </si>
  <si>
    <t xml:space="preserve">Needs: term B, Used_Interest_Rate, Used_Loan_Amount, Used_Term_A</t>
  </si>
  <si>
    <t xml:space="preserve">Needs: Used_Interest_Rate, Used_Loan_Amount, Used_Term_A</t>
  </si>
  <si>
    <t xml:space="preserve">Needs: term B, Used_Interest_Rate, Used_Loan_Amount</t>
  </si>
  <si>
    <t xml:space="preserve">C07 · Rent vs buy</t>
  </si>
  <si>
    <t xml:space="preserve">Category: Home &amp; Mortgage · prototype id: rentbuy</t>
  </si>
  <si>
    <t xml:space="preserve">Question it answers: How do renting and buying compare over time?</t>
  </si>
  <si>
    <t xml:space="preserve">Compares rent paid with the costs of buying that do not build equity (interest, upkeep, stamp duty, fees and what the deposit could have earned), and the equity you would build.</t>
  </si>
  <si>
    <t xml:space="preserve">Monthly rent</t>
  </si>
  <si>
    <t xml:space="preserve">Type 3 · your figure · Your own figure. Allowed: €500 to €50,000 · steps of €50</t>
  </si>
  <si>
    <t xml:space="preserve">Type 3 · your figure · Your own figure. Allowed: at least 10% of the price and no more than the price</t>
  </si>
  <si>
    <t xml:space="preserve">Mortgage rate</t>
  </si>
  <si>
    <t xml:space="preserve">Years to compare</t>
  </si>
  <si>
    <t xml:space="preserve">House prices rise a year</t>
  </si>
  <si>
    <t xml:space="preserve">Type 3 · LifeMap standard · LifeMap uses 2% a year, in line with long-run inflation (house prices can fall as well as rise). Change it if you want to use your own. Allowed: 0% to 6% · steps of 0.5%</t>
  </si>
  <si>
    <t xml:space="preserve">Rent rises a year</t>
  </si>
  <si>
    <t xml:space="preserve">Type 3 · LifeMap standard · LifeMap uses 3% a year (Irish rents have risen faster than prices in recent years). Change it if you want to use your own. Allowed: 0% to 8% · steps of 0.5%</t>
  </si>
  <si>
    <t xml:space="preserve">Upkeep a year, % of the home's value</t>
  </si>
  <si>
    <t xml:space="preserve">Type 3 · LifeMap standard · LifeMap uses 1% of the home's value a year for repairs, insurance and maintenance. Change it if you want to use your own. Allowed: 0% to 3% · steps of 0.1%</t>
  </si>
  <si>
    <t xml:space="preserve">What the deposit could earn a year (after tax)</t>
  </si>
  <si>
    <t xml:space="preserve">Deposit used (at least 10% of the price, at most the price)</t>
  </si>
  <si>
    <t xml:space="preserve">Home equity after the years</t>
  </si>
  <si>
    <t xml:space="preserve">ƒx  =Home_Value-Balance_After</t>
  </si>
  <si>
    <t xml:space="preserve">Rent paid (rising each year)</t>
  </si>
  <si>
    <t xml:space="preserve">ƒx  =IF(Rent_Growth=0,Monthly_Rent*12*Years,Monthly_Rent*12*((1+Rent_Growth)^Years-1)/Rent_Growth)</t>
  </si>
  <si>
    <t xml:space="preserve">Buying costs that don't build equity</t>
  </si>
  <si>
    <t xml:space="preserve">ƒx  =Interest_Paid+Upkeep+Stamp_Duty+Buying_Fees+Opportunity_Cost</t>
  </si>
  <si>
    <t xml:space="preserve">Home value</t>
  </si>
  <si>
    <t xml:space="preserve">ƒx  =Home_Price*(1+House_Growth)^Years</t>
  </si>
  <si>
    <t xml:space="preserve">Mortgage</t>
  </si>
  <si>
    <t xml:space="preserve">ƒx  =MAX(0,Home_Price-Deposit)</t>
  </si>
  <si>
    <t xml:space="preserve">ƒx  =PMT(Mortgage_Rate/12,RentBuy_Term*12,-Loan)</t>
  </si>
  <si>
    <t xml:space="preserve">Mortgage left after the years</t>
  </si>
  <si>
    <t xml:space="preserve">ƒx  =MAX(0,-FV(Mortgage_Rate/12,MIN(Years,RentBuy_Term)*12,-Monthly_Repayment,Loan))</t>
  </si>
  <si>
    <t xml:space="preserve">Interest paid over the years</t>
  </si>
  <si>
    <t xml:space="preserve">ƒx  =Monthly_Repayment*MIN(Years,RentBuy_Term)*12-(Loan-Balance_After)</t>
  </si>
  <si>
    <t xml:space="preserve">Upkeep (on the home's value each year)</t>
  </si>
  <si>
    <t xml:space="preserve">ƒx  =IF(House_Growth=0,Home_Price*Upkeep_Rate*Years,Home_Price*Upkeep_Rate*((1+House_Growth)^Years-1)/House_Growth)</t>
  </si>
  <si>
    <t xml:space="preserve">What the deposit could have earned</t>
  </si>
  <si>
    <t xml:space="preserve">ƒx  =Deposit*((1+Opp_Rate)^Years-1)</t>
  </si>
  <si>
    <t xml:space="preserve">• Mortgage = price − deposit: repayment = PMT(rate ÷ 12, term × 12, −mortgage). Balance after the years = −FV(rate ÷ 12, months, −repayment, mortgage). Interest = repayments − capital repaid.</t>
  </si>
  <si>
    <t xml:space="preserve">• Rent rises each year: rent paid = monthly rent × 12 × ((1 + rise)^years − 1) ÷ rise. Upkeep is a % of the home's value each year, which rises with house prices.</t>
  </si>
  <si>
    <t xml:space="preserve">• Buying costs that don't build equity = interest + upkeep + stamp duty + fees + what the deposit could have earned. Home value = price × (1 + growth)^years; equity = value − balance.</t>
  </si>
  <si>
    <t xml:space="preserve">• The deposit must be between 10% of the price (Central Bank LTV) and the price itself; the mortgage is never negative.</t>
  </si>
  <si>
    <t xml:space="preserve">• Comparing for longer than the term: the balance is 0 after the term and no further interest is paid. Local Property Tax and insurance are not included.</t>
  </si>
  <si>
    <t xml:space="preserve">ƒx  =ROUND(Deposit+Stamp_Duty+Buying_Fees,0)</t>
  </si>
  <si>
    <t xml:space="preserve">Needs: deposit, home price, house price growth, mortgage rate, mortgage term, years to compare</t>
  </si>
  <si>
    <t xml:space="preserve">Needs: monthly rent, rent rise, years to compare</t>
  </si>
  <si>
    <t xml:space="preserve">Needs: buying fees, deposit, home price, house price growth, mortgage rate, deposit earnings rate, mortgage term, upkeep rate, years to compare</t>
  </si>
  <si>
    <t xml:space="preserve">Needs: home price, house price growth, years to compare</t>
  </si>
  <si>
    <t xml:space="preserve">Needs: deposit, home price</t>
  </si>
  <si>
    <t xml:space="preserve">Needs: deposit, home price, mortgage rate, mortgage term</t>
  </si>
  <si>
    <t xml:space="preserve">Needs: deposit, home price, mortgage rate, mortgage term, years to compare</t>
  </si>
  <si>
    <t xml:space="preserve">Needs: home price, house price growth, upkeep rate, years to compare</t>
  </si>
  <si>
    <t xml:space="preserve">Needs: deposit, deposit earnings rate, years to compare</t>
  </si>
  <si>
    <t xml:space="preserve">Needs: buying fees, deposit, home price</t>
  </si>
  <si>
    <t xml:space="preserve">Note: stamp duty is worked out on the price shown; for a new home it is charged on the price excluding VAT, and Help to Buy is not included. Home equity is before selling costs.</t>
  </si>
  <si>
    <t xml:space="preserve">C08 · Goal planner</t>
  </si>
  <si>
    <t xml:space="preserve">Category: Savings &amp; Goals · prototype id: goalplanner</t>
  </si>
  <si>
    <t xml:space="preserve">Question it answers: How much a month to reach my goal?</t>
  </si>
  <si>
    <t xml:space="preserve">Works out how much to save each month to reach a goal, allowing for prices rising and growth on your savings.</t>
  </si>
  <si>
    <t xml:space="preserve">YOUR INFLATION CHOICE</t>
  </si>
  <si>
    <t xml:space="preserve">Inflation you expect (your choice)</t>
  </si>
  <si>
    <t xml:space="preserve">Goal amount (today's prices)</t>
  </si>
  <si>
    <t xml:space="preserve">Type 3 · your figure · Your own figure. Allowed: €500 to €5,000,000 · steps of €500</t>
  </si>
  <si>
    <t xml:space="preserve">Years until the goal</t>
  </si>
  <si>
    <t xml:space="preserve">Type 3 · your figure · Your own figure. Allowed: €0 to €2,000,000 · steps of €500</t>
  </si>
  <si>
    <t xml:space="preserve">Growth / interest a year (after tax)</t>
  </si>
  <si>
    <t xml:space="preserve">Type 3 · LifeMap standard · LifeMap uses 1% a year after DIRT for cash savings (Irish fixed-term deposits about 2% before tax in mid-2026). Change it if you want to use your own. Allowed: 0% to 7% · steps of 0.5%</t>
  </si>
  <si>
    <t xml:space="preserve">Monthly amount to save</t>
  </si>
  <si>
    <t xml:space="preserve">ƒx  =IF(Inflation_Choice="","Choose your inflation rate to see this",PMT(Monthly_Growth,Years*12,0,-Still_Needed))</t>
  </si>
  <si>
    <t xml:space="preserve">Goal will cost about (in the goal year)</t>
  </si>
  <si>
    <t xml:space="preserve">ƒx  =IF(Inflation_Choice="","Choose your inflation rate to see this",Goal_Amount*(1+Inflation_Choice)^Years)</t>
  </si>
  <si>
    <t xml:space="preserve">Your savings grow to</t>
  </si>
  <si>
    <t xml:space="preserve">ƒx  =Saved*(1+Growth_Rate)^Years</t>
  </si>
  <si>
    <t xml:space="preserve">Still needed at the goal year</t>
  </si>
  <si>
    <t xml:space="preserve">ƒx  =IF(Inflation_Choice="","Choose your inflation rate to see this",MAX(0,Future_Cost-Saved_Grows_To))</t>
  </si>
  <si>
    <t xml:space="preserve">Monthly growth rate</t>
  </si>
  <si>
    <t xml:space="preserve">ƒx  =(1+Growth_Rate)^(1/12)-1</t>
  </si>
  <si>
    <t xml:space="preserve">• Future cost = goal × (1 + inflation)^years. Savings already put aside grow at the growth rate.</t>
  </si>
  <si>
    <t xml:space="preserve">• Monthly saving = PMT(monthly growth, months, 0, −still needed): the level end-of-month saving that grows to what is still needed.</t>
  </si>
  <si>
    <t xml:space="preserve">• Monthly growth = (1 + yearly growth)^(1/12) − 1, the monthly rate equal to the yearly rate.</t>
  </si>
  <si>
    <t xml:space="preserve">• If savings already cover the goal the monthly amount is €0.</t>
  </si>
  <si>
    <t xml:space="preserve">• Inflation is always applied (Assumptions). With 0% growth PMT gives still needed ÷ months.</t>
  </si>
  <si>
    <t xml:space="preserve">ƒx  ="My goal (spend goal)"</t>
  </si>
  <si>
    <t xml:space="preserve">Amount (today's prices)</t>
  </si>
  <si>
    <t xml:space="preserve">ƒx  =Goal_Amount</t>
  </si>
  <si>
    <t xml:space="preserve">ƒx  =Years</t>
  </si>
  <si>
    <t xml:space="preserve">Inflation for the plan (your choice)</t>
  </si>
  <si>
    <t xml:space="preserve">ƒx  =IF(Inflation_Choice="","Choose an inflation rate first",Inflation_Choice)</t>
  </si>
  <si>
    <t xml:space="preserve">Needs: goal amount, growth rate, inflation rate, already saved, years until the goal</t>
  </si>
  <si>
    <t xml:space="preserve">Needs: goal amount, inflation rate, years until the goal</t>
  </si>
  <si>
    <t xml:space="preserve">Needs: growth rate, already saved, years until the goal</t>
  </si>
  <si>
    <t xml:space="preserve">Needs: growth rate</t>
  </si>
  <si>
    <t xml:space="preserve">Needs: goal amount</t>
  </si>
  <si>
    <t xml:space="preserve">Needs: already saved</t>
  </si>
  <si>
    <t xml:space="preserve">Needs: years until the goal</t>
  </si>
  <si>
    <t xml:space="preserve">C09 · Compound growth</t>
  </si>
  <si>
    <t xml:space="preserve">Category: Savings &amp; Goals · prototype id: compound</t>
  </si>
  <si>
    <t xml:space="preserve">Question it answers: What could regular saving grow into?</t>
  </si>
  <si>
    <t xml:space="preserve">Shows what a starting amount plus regular monthly saving could grow to, and what that is worth in today's money.</t>
  </si>
  <si>
    <t xml:space="preserve">Starting amount</t>
  </si>
  <si>
    <t xml:space="preserve">Monthly addition</t>
  </si>
  <si>
    <t xml:space="preserve">Type 3 · your figure · Your own figure. Allowed: €0 to €30,000 · steps of €25</t>
  </si>
  <si>
    <t xml:space="preserve">Growth rate a year</t>
  </si>
  <si>
    <t xml:space="preserve">Type 3 · LifeMap standard · LifeMap uses 5% a year before charges and tax for a mixed fund (LifeMap standard, not a forecast). Change it if you want to use your own. Allowed: 0% to 8% · steps of 0.5%</t>
  </si>
  <si>
    <t xml:space="preserve">Years</t>
  </si>
  <si>
    <t xml:space="preserve">Type 3 · your figure · Your own figure. Allowed: 1 to 40 · steps of 1</t>
  </si>
  <si>
    <t xml:space="preserve">Could grow to</t>
  </si>
  <si>
    <t xml:space="preserve">ƒx  =FV(Monthly_Growth,Years*12,-Monthly_Addition,-Starting_Amount)</t>
  </si>
  <si>
    <t xml:space="preserve">Worth in today's money</t>
  </si>
  <si>
    <t xml:space="preserve">ƒx  =IF(Inflation_Choice="","Choose your inflation rate to see this",Grows_To/(1+Inflation_Choice)^Years)</t>
  </si>
  <si>
    <t xml:space="preserve">Paid in</t>
  </si>
  <si>
    <t xml:space="preserve">ƒx  =Starting_Amount+Monthly_Addition*12*Years</t>
  </si>
  <si>
    <t xml:space="preserve">Illustrative growth</t>
  </si>
  <si>
    <t xml:space="preserve">ƒx  =Grows_To-Paid_In</t>
  </si>
  <si>
    <t xml:space="preserve">• Value = FV(monthly growth, months, −monthly addition, −starting amount): the starting amount compounds and each addition is made at the end of the month.</t>
  </si>
  <si>
    <t xml:space="preserve">• Today's money = value ÷ (1 + inflation)^years.</t>
  </si>
  <si>
    <t xml:space="preserve">• 0% growth gives starting amount + additions.</t>
  </si>
  <si>
    <t xml:space="preserve">• Results are before tax and are not guaranteed.</t>
  </si>
  <si>
    <t xml:space="preserve">ƒx  ="Grow my wealth (plan kind pot)"</t>
  </si>
  <si>
    <t xml:space="preserve">Amount (today's money)</t>
  </si>
  <si>
    <t xml:space="preserve">ƒx  =IF(Inflation_Choice="","Choose an inflation rate first",ROUND(Value_Today,0))</t>
  </si>
  <si>
    <t xml:space="preserve">Audit fix: the amount is always in today's money (the plan adds inflation itself).</t>
  </si>
  <si>
    <t xml:space="preserve">Needs: growth rate, monthly addition, starting amount, years</t>
  </si>
  <si>
    <t xml:space="preserve">Needs: growth rate, inflation rate, monthly addition, starting amount, years</t>
  </si>
  <si>
    <t xml:space="preserve">Needs: monthly addition, starting amount, years</t>
  </si>
  <si>
    <t xml:space="preserve">Needs: years</t>
  </si>
  <si>
    <t xml:space="preserve">C10 · Lump-sum growth</t>
  </si>
  <si>
    <t xml:space="preserve">Category: Investments · prototype id: lumpsum</t>
  </si>
  <si>
    <t xml:space="preserve">Question it answers: What could a one-off amount become?</t>
  </si>
  <si>
    <t xml:space="preserve">Shows what a one-off amount could become after fees, the cost of waiting 5 years, and the value in today's money.</t>
  </si>
  <si>
    <t xml:space="preserve">Document: Investment / fund statement. Blank = no statement uploaded, or the figure is not on it. Grey-blue cells are filled by the reader (you can type here to test).</t>
  </si>
  <si>
    <t xml:space="preserve">Total value</t>
  </si>
  <si>
    <t xml:space="preserve">Allowed: €0 to €100,000,000</t>
  </si>
  <si>
    <t xml:space="preserve">Annual charges % (if shown)</t>
  </si>
  <si>
    <t xml:space="preserve">Allowed: 0% to 5%</t>
  </si>
  <si>
    <t xml:space="preserve">Amount</t>
  </si>
  <si>
    <t xml:space="preserve">Type 3 · your figure · Your own figure. In the app it is pre-filled from Your finances / statement: investments. Allowed: €500 to €5,000,000 · steps of €100</t>
  </si>
  <si>
    <t xml:space="preserve">Growth rate a year (before fees)</t>
  </si>
  <si>
    <t xml:space="preserve">Yearly fees</t>
  </si>
  <si>
    <t xml:space="preserve">Years you might wait before investing</t>
  </si>
  <si>
    <t xml:space="preserve">Type 3 · LifeMap standard · LifeMap uses 5 years (an illustration of the cost of waiting). Change it if you want to use your own. Allowed: 1 to 20 · steps of 1</t>
  </si>
  <si>
    <t xml:space="preserve">Show in today's money?</t>
  </si>
  <si>
    <t xml:space="preserve">Type 3 · optional · Optional: leave blank for none. Allowed: Yes or No</t>
  </si>
  <si>
    <t xml:space="preserve">Statement uploaded?</t>
  </si>
  <si>
    <t xml:space="preserve">ƒx  =IF(COUNTA(Stmt_Total_Value,Stmt_Charges,Stmt_Statement_Date)&gt;0,"Yes","No")</t>
  </si>
  <si>
    <t xml:space="preserve">ƒx  =IF(ISBLANK(Stmt_Total_Value),Amount,Stmt_Total_Value)</t>
  </si>
  <si>
    <t xml:space="preserve">ƒx  =IF(NOT(ISBLANK(Stmt_Charges)),Stmt_Charges,IF(Statement_Uploaded="Yes",0,Yearly_Fees))</t>
  </si>
  <si>
    <t xml:space="preserve">Could grow to (today's money if you chose Yes)</t>
  </si>
  <si>
    <t xml:space="preserve">ƒx  =IF(Adjust_For_Inflation="Yes",Value_Today,Grows_To)</t>
  </si>
  <si>
    <t xml:space="preserve">If you start today (after fees)</t>
  </si>
  <si>
    <t xml:space="preserve">ƒx  =Used_Amount*(1+Growth_After_Fees)^Years</t>
  </si>
  <si>
    <t xml:space="preserve">If you start after waiting</t>
  </si>
  <si>
    <t xml:space="preserve">ƒx  =Used_Amount*(1+Growth_After_Fees)^MAX(0,Years-Wait_Years)</t>
  </si>
  <si>
    <t xml:space="preserve">Cost of waiting</t>
  </si>
  <si>
    <t xml:space="preserve">ƒx  =IF(Adjust_For_Inflation="Yes",IF(Inflation_Choice="","Choose your inflation rate to see this",(Grows_To-Value_Start_Later)/(1+Inflation_Choice)^Years),Grows_To-Value_Start_Later)</t>
  </si>
  <si>
    <t xml:space="preserve">Fees cost</t>
  </si>
  <si>
    <t xml:space="preserve">ƒx  =Used_Amount*(1+Growth_Rate)^Years-Grows_To</t>
  </si>
  <si>
    <t xml:space="preserve">Growth after fees a year</t>
  </si>
  <si>
    <t xml:space="preserve">ƒx  =(1+Growth_Rate)*(1-Used_Yearly_Fees)-1</t>
  </si>
  <si>
    <t xml:space="preserve">Real return a year (after fees and inflation)</t>
  </si>
  <si>
    <t xml:space="preserve">ƒx  =IF(Inflation_Choice="","Choose your inflation rate to see this",(1+Growth_After_Fees)/(1+Inflation_Choice)-1)</t>
  </si>
  <si>
    <t xml:space="preserve">• Growth after fees = (1 + growth) × (1 − fees) − 1 (fees taken from the fund each year).</t>
  </si>
  <si>
    <t xml:space="preserve">• Value = amount × (1 + growth after fees)^years. Starting in 5 years means 5 fewer years of growth to the same end date.</t>
  </si>
  <si>
    <t xml:space="preserve">• Today's money = value ÷ (1 + inflation)^years; real return = (1 + growth after fees) ÷ (1 + inflation) − 1 (exact, not growth − inflation).</t>
  </si>
  <si>
    <t xml:space="preserve">• With 5 years or fewer, "start in 5 years" equals the amount itself.</t>
  </si>
  <si>
    <t xml:space="preserve">• Results are before tax.</t>
  </si>
  <si>
    <t xml:space="preserve">Always in today's money, whatever the 'Show in today's money' choice.</t>
  </si>
  <si>
    <t xml:space="preserve">Needs: growth rate, Used_Amount, Used_Yearly_Fees, years</t>
  </si>
  <si>
    <t xml:space="preserve">Needs: growth rate, inflation rate, Used_Amount, Used_Yearly_Fees, years</t>
  </si>
  <si>
    <t xml:space="preserve">Needs: growth rate, Used_Amount, Used_Yearly_Fees, years of waiting, years</t>
  </si>
  <si>
    <t xml:space="preserve">Needs: growth rate, Used_Yearly_Fees</t>
  </si>
  <si>
    <t xml:space="preserve">Needs: growth rate, inflation rate, Used_Yearly_Fees</t>
  </si>
  <si>
    <t xml:space="preserve">Note: the money is assumed to earn nothing while it waits. If growth after fees is zero or negative there is no cost of waiting to show.</t>
  </si>
  <si>
    <t xml:space="preserve">C11 · Emergency fund</t>
  </si>
  <si>
    <t xml:space="preserve">Category: Savings &amp; Goals · prototype id: emergency</t>
  </si>
  <si>
    <t xml:space="preserve">Question it answers: How strong is my emergency fund?</t>
  </si>
  <si>
    <t xml:space="preserve">Shows how many months of essential spending your easy-access savings cover, against your target.</t>
  </si>
  <si>
    <t xml:space="preserve">Essential monthly spending</t>
  </si>
  <si>
    <t xml:space="preserve">Type 3 · your figure · Your own figure. In the app it is pre-filled from Your finances: costs + mortgage + debt repayments. Allowed: €500 to €100,000 · steps of €100</t>
  </si>
  <si>
    <t xml:space="preserve">Emergency fund: months of essential spending</t>
  </si>
  <si>
    <t xml:space="preserve">months</t>
  </si>
  <si>
    <t xml:space="preserve">Type 3 · LifeMap standard · LifeMap uses 6 months of essential spending (3 if you have two secure incomes). Change it if you want to use your own. Allowed: 1 to 12 · steps of 1</t>
  </si>
  <si>
    <t xml:space="preserve">Build the emergency fund within (years, for the plan)</t>
  </si>
  <si>
    <t xml:space="preserve">Type 3 · your figure · Your own figure. Allowed: 1 to 10 · steps of 1</t>
  </si>
  <si>
    <t xml:space="preserve">Easy-access savings</t>
  </si>
  <si>
    <t xml:space="preserve">Type 3 · your figure · Your own figure. In the app it is pre-filled from Your finances: cash. Allowed: €0 to €1,000,000 · steps of €250</t>
  </si>
  <si>
    <t xml:space="preserve">You currently have (months)</t>
  </si>
  <si>
    <t xml:space="preserve">ƒx  =Savings/Essential_Spending</t>
  </si>
  <si>
    <t xml:space="preserve">Target emergency fund</t>
  </si>
  <si>
    <t xml:space="preserve">ƒx  =Essential_Spending*Months_Wanted</t>
  </si>
  <si>
    <t xml:space="preserve">Still to build</t>
  </si>
  <si>
    <t xml:space="preserve">ƒx  =MAX(0,Target-Savings)</t>
  </si>
  <si>
    <t xml:space="preserve">• Months covered = savings ÷ essential monthly spending. Target = spending × months wanted. Still to build = target − savings (never below 0).</t>
  </si>
  <si>
    <t xml:space="preserve">• Spending must be at least €500, so there is no divide by zero.</t>
  </si>
  <si>
    <t xml:space="preserve">ƒx  =IF(Still_To_Build&gt;0,"Emergency fund (plan kind safety: a reserve, not a spend)","No goal (emergency fund already in place)")</t>
  </si>
  <si>
    <t xml:space="preserve">ƒx  =IF(Still_To_Build&gt;0,ROUND(Target,0),"—")</t>
  </si>
  <si>
    <t xml:space="preserve">ƒx  =Savings</t>
  </si>
  <si>
    <t xml:space="preserve">ƒx  =Safety_Goal_Years</t>
  </si>
  <si>
    <t xml:space="preserve">Needs: essential monthly spending, easy-access savings</t>
  </si>
  <si>
    <t xml:space="preserve">Needs: essential monthly spending, emergency months</t>
  </si>
  <si>
    <t xml:space="preserve">Needs: essential monthly spending, emergency months, easy-access savings</t>
  </si>
  <si>
    <t xml:space="preserve">Needs: easy-access savings</t>
  </si>
  <si>
    <t xml:space="preserve">Needs: years to build the emergency fund</t>
  </si>
  <si>
    <t xml:space="preserve">C12 · Retirement projection</t>
  </si>
  <si>
    <t xml:space="preserve">Category: Pensions &amp; Retirement · prototype id: retirement</t>
  </si>
  <si>
    <t xml:space="preserve">Question it answers: Could your current path fund the retirement you want?</t>
  </si>
  <si>
    <t xml:space="preserve">Projects your pension fund at retirement and compares it, in today's money, with the fund you would need for the income you want.</t>
  </si>
  <si>
    <t xml:space="preserve">Document: Pension benefit statement / Statement of Reasonable Projection / PRSA statement. Blank = no statement uploaded, or the figure is not on it. Grey-blue cells are filled by the reader (you can type here to test).</t>
  </si>
  <si>
    <t xml:space="preserve">Fund value today</t>
  </si>
  <si>
    <t xml:space="preserve">Allowed: €0 to €50,000,000</t>
  </si>
  <si>
    <t xml:space="preserve">Your monthly contribution</t>
  </si>
  <si>
    <t xml:space="preserve">Employer monthly contribution</t>
  </si>
  <si>
    <t xml:space="preserve">Normal retirement age</t>
  </si>
  <si>
    <t xml:space="preserve">age</t>
  </si>
  <si>
    <t xml:space="preserve">Allowed: 50 to 75</t>
  </si>
  <si>
    <t xml:space="preserve">Projected fund at retirement (if shown)</t>
  </si>
  <si>
    <t xml:space="preserve">Projection is in today's money? (if shown)</t>
  </si>
  <si>
    <t xml:space="preserve">Allowed: Yes or No</t>
  </si>
  <si>
    <t xml:space="preserve">Your age</t>
  </si>
  <si>
    <t xml:space="preserve">Type 3 · your figure · Your own figure. In the app it is pre-filled from About you: age. Allowed: 20 to 70 · steps of 1</t>
  </si>
  <si>
    <t xml:space="preserve">Target retirement age</t>
  </si>
  <si>
    <t xml:space="preserve">Type 3 · your choice (no standard) · You can usually draw a pension from 60 (some occupational schemes from 50); State Pension is paid from 66. Choose your own: there is no default. Allowed: 21 to 104 · steps of 1</t>
  </si>
  <si>
    <t xml:space="preserve">Pension value today</t>
  </si>
  <si>
    <t xml:space="preserve">Type 3 · your figure · Your own figure. In the app it is pre-filled from Your finances / pension statement. Allowed: €0 to €15,000,000 · steps of €1,000</t>
  </si>
  <si>
    <t xml:space="preserve">Monthly contributions (you + employer)</t>
  </si>
  <si>
    <t xml:space="preserve">Type 3 · your figure · Your own figure. In the app it is pre-filled from Your finances / pension statement. Allowed: €0 to €50,000 · steps of €10</t>
  </si>
  <si>
    <t xml:space="preserve">Desired yearly income in retirement (today's money)</t>
  </si>
  <si>
    <t xml:space="preserve">Type 3 · your figure · Your own figure. In the app it is pre-filled from Plan: retirement goal income. Allowed: €10,000 to €1,500,000 · steps of €1,000</t>
  </si>
  <si>
    <t xml:space="preserve">Other yearly income from 66, e.g. State Pension (today's money)</t>
  </si>
  <si>
    <t xml:space="preserve">Pension growth after charges a year</t>
  </si>
  <si>
    <t xml:space="preserve">Type 3 · LifeMap standard · LifeMap uses 4.5% a year after charges while you work (LifeMap Standard set; Cautious 4%). Change it if you want to use your own. Allowed: 1% to 7% · steps of 0.25%</t>
  </si>
  <si>
    <t xml:space="preserve">Pay rises a year (contributions rise with pay)</t>
  </si>
  <si>
    <t xml:space="preserve">Type 3 · LifeMap standard · LifeMap uses 3% a year (Irish pay has grown about 3%–4% a year recently; LifeMap Standard set). Change it if you want to use your own. Allowed: 0% to 6% · steps of 0.25%</t>
  </si>
  <si>
    <t xml:space="preserve">Retirement savings target: × the yearly income you need</t>
  </si>
  <si>
    <t xml:space="preserve">Type 3 · LifeMap standard · LifeMap uses 25 times the yearly income you need (about 4% a year). Change it if you want to use your own. Allowed: 20 to 33 · steps of 1</t>
  </si>
  <si>
    <t xml:space="preserve">Typical pension charges (if your statement doesn't say)</t>
  </si>
  <si>
    <t xml:space="preserve">Tax-free lump sum you plan to take (% of the fund)</t>
  </si>
  <si>
    <t xml:space="preserve">What if: retire later by</t>
  </si>
  <si>
    <t xml:space="preserve">Type 3 · optional · Optional: leave blank for none. Allowed: 0 to 5 · steps of 1</t>
  </si>
  <si>
    <t xml:space="preserve">What if: save more each month</t>
  </si>
  <si>
    <t xml:space="preserve">What if: spend less in retirement (a year)</t>
  </si>
  <si>
    <t xml:space="preserve">Pension access age (the earliest age you can draw your pension)</t>
  </si>
  <si>
    <t xml:space="preserve">Type 3 · LifeMap standard · LifeMap uses 60 (most pensions can be drawn from 60; some occupational schemes allow 50). Change it only if your scheme allows 50. Allowed: 50 or 60</t>
  </si>
  <si>
    <t xml:space="preserve">ƒx  =IF(ISBLANK(Stmt_Fund_Value),Pension_Today,Stmt_Fund_Value)</t>
  </si>
  <si>
    <t xml:space="preserve">ƒx  =IF(COUNT(Stmt_You_Monthly,Stmt_Employer_Monthly)=0,Monthly_Contribution,SUM(Stmt_You_Monthly,Stmt_Employer_Monthly))</t>
  </si>
  <si>
    <t xml:space="preserve">Growth after charges</t>
  </si>
  <si>
    <t xml:space="preserve">ƒx  =IF(ISBLANK(Stmt_Charges),Growth_Rate,IF(OR(Growth_Rate="",Typical_Pension_Charges=""),"",Growth_Rate+Typical_Pension_Charges-Stmt_Charges))</t>
  </si>
  <si>
    <t xml:space="preserve">Use the statement's projected fund?</t>
  </si>
  <si>
    <t xml:space="preserve">ƒx  =IF(AND(NOT(ISBLANK(Stmt_Projected_Fund)),Stmt_NRA=Retirement_Age+Retire_Later,Save_More=0),"Yes","No")      (projection shown, its retirement age matches yours, and no "save more" what-if)</t>
  </si>
  <si>
    <t xml:space="preserve">Illustrative gap (today's money)</t>
  </si>
  <si>
    <t xml:space="preserve">ƒx  =IF(ISNUMBER(Fund_Today),Target_Today-Fund_Today,Fund_Today)</t>
  </si>
  <si>
    <t xml:space="preserve">Projected fund at retirement</t>
  </si>
  <si>
    <t xml:space="preserve">ƒx  =IF(Use_Statement_Projection="Yes",Stmt_Projected_Fund,Calculated_Fund)</t>
  </si>
  <si>
    <t xml:space="preserve">Projected fund in today's money</t>
  </si>
  <si>
    <t xml:space="preserve">ƒx  =IF(AND(Use_Statement_Projection="Yes",Stmt_Projection_Today&lt;&gt;"No"),Stmt_Projected_Fund,IF(Inflation_Choice="","Choose your inflation rate to see this",Projected_Fund/(1+Inflation_Choice)^Years_To_Retirement))      (a statement projection already in today's money is not deflated again)</t>
  </si>
  <si>
    <t xml:space="preserve">Calculated fund at retirement (our assumptions)</t>
  </si>
  <si>
    <t xml:space="preserve">ƒx  =Used_Pension_Today*(1+Used_Growth_Rate)^Years_To_Retirement+Contributions_Grow_To</t>
  </si>
  <si>
    <t xml:space="preserve">Illustrative target (today's money)</t>
  </si>
  <si>
    <t xml:space="preserve">ƒx  =MAX(0,Desired_Income-Spend_Less-Other_Income)*Retire_Multiple+Bridge_Years*MIN(Other_Income,MAX(0,Desired_Income-Spend_Less))      (the years before the State Pension never need more than the income you need)</t>
  </si>
  <si>
    <t xml:space="preserve">Years before the State Pension starts at 66 (to fund yourself)</t>
  </si>
  <si>
    <t xml:space="preserve">ƒx  =MAX(0,State_Pension_Age-(Retirement_Age+Retire_Later))</t>
  </si>
  <si>
    <t xml:space="preserve">Lump sum you could take at retirement (gross)</t>
  </si>
  <si>
    <t xml:space="preserve">Tax on the lump sum</t>
  </si>
  <si>
    <t xml:space="preserve">ƒx  =Lump_Sum_Rate*MAX(0,MIN(Lump_Sum,Lump_Sum_Cap)-Lump_Sum_Tax_Free)+Rate_Higher*MAX(0,Lump_Sum-Lump_Sum_Cap)      (the part above €500,000 is taxed at the higher rate; verify on Revenue)</t>
  </si>
  <si>
    <t xml:space="preserve">Lump sum after tax</t>
  </si>
  <si>
    <t xml:space="preserve">ƒx  =Lump_Sum-Lump_Sum_Tax</t>
  </si>
  <si>
    <t xml:space="preserve">Message to show</t>
  </si>
  <si>
    <t xml:space="preserve">Years to retirement</t>
  </si>
  <si>
    <t xml:space="preserve">ƒx  =MAX(1,Retirement_Age+Retire_Later-Age)</t>
  </si>
  <si>
    <t xml:space="preserve">Monthly contribution incl. what-if</t>
  </si>
  <si>
    <t xml:space="preserve">ƒx  =Used_Monthly_Contribution+Save_More</t>
  </si>
  <si>
    <t xml:space="preserve">Contributions (rising with pay) grow to</t>
  </si>
  <si>
    <t xml:space="preserve">ƒx  =IF(Used_Growth_Rate=Wage,12*Contribution*Years_To_Retirement*(1+Used_Growth_Rate)^(Years_To_Retirement-1),12*Contribution*((1+Used_Growth_Rate)^Years_To_Retirement-(1+Wage)^Years_To_Retirement)/(Used_Growth_Rate-Wage))</t>
  </si>
  <si>
    <t xml:space="preserve">• Fund = pension today × (1 + growth)^years + each year's contributions (12 × monthly, rising with pay each year, added at the year end), the closed-form growing annuity.</t>
  </si>
  <si>
    <t xml:space="preserve">• The fund is future money, the target is today's money, so the fund is turned into today's money first: fund ÷ (1 + inflation)^years (audit Must fix: like-for-like gap).</t>
  </si>
  <si>
    <t xml:space="preserve">• Target = (desired income − spend less − other income) × your multiple (suggested 25), plus the State Pension you must fund yourself for each year you retire before 66 (at most the income you need each year). Gap = target − fund in today's money.</t>
  </si>
  <si>
    <t xml:space="preserve">• A retirement age at or before your age gives "Choose a retirement age after your age to see this" (never a silent 1 year).</t>
  </si>
  <si>
    <t xml:space="preserve">• If growth equals the pay-rise rate the growing-annuity formula divides by zero, so the equal-rate form 12 × contribution × years × (1+g)^(years−1) is used.</t>
  </si>
  <si>
    <t xml:space="preserve">• Gap ≤ 0 shows "On track: no gap".</t>
  </si>
  <si>
    <t xml:space="preserve">ƒx  ="Update your retirement goal (no new goal)"</t>
  </si>
  <si>
    <t xml:space="preserve">Yearly income in retirement (today's money)</t>
  </si>
  <si>
    <t xml:space="preserve">ƒx  =Desired_Income-Spend_Less</t>
  </si>
  <si>
    <t xml:space="preserve">Retirement age</t>
  </si>
  <si>
    <t xml:space="preserve">ƒx  =Retirement_Age+Retire_Later</t>
  </si>
  <si>
    <t xml:space="preserve">Audit fix: the old 25× lump sum spend goal double-counted the plan's own retirement goal.</t>
  </si>
  <si>
    <t xml:space="preserve">Needs: retirement age</t>
  </si>
  <si>
    <t xml:space="preserve">Needs: age, desired retirement income, other income (State Pension), retirement multiple, retirement age, Used_Growth_Rate, Used_Monthly_Contribution, Used_Pension_Today, pay rise</t>
  </si>
  <si>
    <t xml:space="preserve">Needs: age, retirement age, Used_Growth_Rate, Used_Monthly_Contribution, Used_Pension_Today, pay rise</t>
  </si>
  <si>
    <t xml:space="preserve">Needs: desired retirement income, other income (State Pension), retirement multiple, retirement age</t>
  </si>
  <si>
    <t xml:space="preserve">Needs: age, lump sum share, retirement age, Used_Growth_Rate, Used_Monthly_Contribution, Used_Pension_Today, pay rise</t>
  </si>
  <si>
    <t xml:space="preserve">Needs: age, retirement age</t>
  </si>
  <si>
    <t xml:space="preserve">Needs: Used_Monthly_Contribution</t>
  </si>
  <si>
    <t xml:space="preserve">Needs: age, retirement age, Used_Growth_Rate, Used_Monthly_Contribution, pay rise</t>
  </si>
  <si>
    <t xml:space="preserve">Needs: desired retirement income</t>
  </si>
  <si>
    <t xml:space="preserve">C13 · Contribution impact</t>
  </si>
  <si>
    <t xml:space="preserve">Category: Pensions &amp; Retirement · prototype id: contrib</t>
  </si>
  <si>
    <t xml:space="preserve">Question it answers: What difference would a small increase make?</t>
  </si>
  <si>
    <t xml:space="preserve">Shows what raising your pension contributions by a % of salary could add by retirement, and what it costs after tax relief.</t>
  </si>
  <si>
    <t xml:space="preserve">Document: Pension benefit statement / PRSA statement. Blank = no statement uploaded, or the figure is not on it. Grey-blue cells are filled by the reader (you can type here to test).</t>
  </si>
  <si>
    <t xml:space="preserve">Salary</t>
  </si>
  <si>
    <t xml:space="preserve">Increase contributions by (% of salary)</t>
  </si>
  <si>
    <t xml:space="preserve">Type 3 · your figure · Your own figure. Allowed: 0.5% to 10% · steps of 0.5%</t>
  </si>
  <si>
    <t xml:space="preserve">Type 3 · your figure · Your own figure. In the app it is pre-filled from Plan: retirement age − age. Allowed: 1 to 45 · steps of 1</t>
  </si>
  <si>
    <t xml:space="preserve">Growth assumption a year</t>
  </si>
  <si>
    <t xml:space="preserve">Your tax rate (0.2 = 20%, 0.4 = 40%)</t>
  </si>
  <si>
    <t xml:space="preserve">20% or 40%</t>
  </si>
  <si>
    <t xml:space="preserve">Type 2 · range · Usually between 20% or 40%: your top rate of income tax (the Tax engine works it out). In the app it is pre-filled from Tax engine marginal rate (band by status: €44k single, €48k single parent, €53k married, + up to €35k second earner). Enter your own figure. Allowed: 20% or 40%</t>
  </si>
  <si>
    <t xml:space="preserve">Your age (for the pension relief limit)</t>
  </si>
  <si>
    <t xml:space="preserve">Type 3 · your figure · Your own figure. In the app it is pre-filled from About you: age. Allowed: 18 to 75 · steps of 1</t>
  </si>
  <si>
    <t xml:space="preserve">What you pay in yourself now, a year (counts towards the relief limit)</t>
  </si>
  <si>
    <t xml:space="preserve">Type 3 · optional · Optional: leave blank for none. Allowed: €0 to €1,000,000 · steps of €100</t>
  </si>
  <si>
    <t xml:space="preserve">Growth assumption</t>
  </si>
  <si>
    <t xml:space="preserve">Could add to your pension</t>
  </si>
  <si>
    <t xml:space="preserve">ƒx  =FV((1+Used_Growth_Rate)^(1/12)-1,Years*12,-Extra_Per_Month)</t>
  </si>
  <si>
    <t xml:space="preserve">Extra per month</t>
  </si>
  <si>
    <t xml:space="preserve">ƒx  =Salary*Increase_Pct/12</t>
  </si>
  <si>
    <t xml:space="preserve">Cost to you after tax relief, a month</t>
  </si>
  <si>
    <t xml:space="preserve">ƒx  =Extra_Per_Month-Relief_Per_Month</t>
  </si>
  <si>
    <t xml:space="preserve">ƒx  =LOOKUP(Age,Relief_Age_From,Relief_Age_Pct)*MIN(Salary,Relief_Earnings_Cap)</t>
  </si>
  <si>
    <t xml:space="preserve">Room left for relief after what you already pay in</t>
  </si>
  <si>
    <t xml:space="preserve">ƒx  =MAX(0,Relief_Limit_Year-Existing_Pension_Year)</t>
  </si>
  <si>
    <t xml:space="preserve">Extra that gets relief, a year</t>
  </si>
  <si>
    <t xml:space="preserve">ƒx  =MIN(Extra_Per_Month*12,Relief_Room_Year)</t>
  </si>
  <si>
    <t xml:space="preserve">Tax relief a month</t>
  </si>
  <si>
    <t xml:space="preserve">ƒx  =Relieved_Year*Tax_Rate/12</t>
  </si>
  <si>
    <t xml:space="preserve">• Extra a month = salary × increase ÷ 12. Value = FV(monthly growth, months, −extra): level end-of-month contributions.</t>
  </si>
  <si>
    <t xml:space="preserve">• Tax relief = the part of the extra within your relief limit × your tax rate (USC and PRSI still apply). Cost = extra − relief.</t>
  </si>
  <si>
    <t xml:space="preserve">• Tax rate is 20% or 40% only (list); it pre-fills from the Tax engine.</t>
  </si>
  <si>
    <t xml:space="preserve">ƒx  ="No goal: raise the plan's pension contribution instead"</t>
  </si>
  <si>
    <t xml:space="preserve">Extra pension contribution a month</t>
  </si>
  <si>
    <t xml:space="preserve">ƒx  =Extra_Per_Month</t>
  </si>
  <si>
    <t xml:space="preserve">Audit fix: pension money is not a spend goal.</t>
  </si>
  <si>
    <t xml:space="preserve">Needs: contribution increase, salary, Used_Growth_Rate, years to retirement</t>
  </si>
  <si>
    <t xml:space="preserve">Needs: contribution increase, inflation rate, salary, Used_Growth_Rate, years to retirement</t>
  </si>
  <si>
    <t xml:space="preserve">Needs: contribution increase, salary</t>
  </si>
  <si>
    <t xml:space="preserve">Needs: age, contribution increase, salary, tax rate</t>
  </si>
  <si>
    <t xml:space="preserve">Needs: age, salary</t>
  </si>
  <si>
    <t xml:space="preserve">Needs: age, contribution increase, salary</t>
  </si>
  <si>
    <t xml:space="preserve">Note: the extra contribution is the same every year; it does not rise with pay (the Retirement projection and your plan do let contributions rise with pay).</t>
  </si>
  <si>
    <t xml:space="preserve">C14 · AVC impact</t>
  </si>
  <si>
    <t xml:space="preserve">Category: Pensions &amp; Retirement · prototype id: avc</t>
  </si>
  <si>
    <t xml:space="preserve">Question it answers: What could extra voluntary contributions add?</t>
  </si>
  <si>
    <t xml:space="preserve">Shows what extra voluntary contributions (AVCs) could add by retirement, and their cost after tax relief.</t>
  </si>
  <si>
    <t xml:space="preserve">Document: Pension benefit statement / PRSA / AVC statement. Blank = no statement uploaded, or the figure is not on it. Grey-blue cells are filled by the reader (you can type here to test).</t>
  </si>
  <si>
    <t xml:space="preserve">AVC per month</t>
  </si>
  <si>
    <t xml:space="preserve">Type 3 · your figure · Your own figure. Allowed: €25 to €20,000 · steps of €25</t>
  </si>
  <si>
    <t xml:space="preserve">Salary (for the relief limit)</t>
  </si>
  <si>
    <t xml:space="preserve">Type 3 · your figure · Your own figure. In the app it is pre-filled from Plan: retirement age − age. Allowed: 1 to 40 · steps of 1</t>
  </si>
  <si>
    <t xml:space="preserve">Could add</t>
  </si>
  <si>
    <t xml:space="preserve">ƒx  =FV((1+Used_Growth_Rate)^(1/12)-1,Years*12,-AVC_Per_Month)</t>
  </si>
  <si>
    <t xml:space="preserve">ƒx  =AVC_Per_Month*12*Years</t>
  </si>
  <si>
    <t xml:space="preserve">Net cost to you</t>
  </si>
  <si>
    <t xml:space="preserve">ƒx  =Net_Cost_Per_Month*12*Years</t>
  </si>
  <si>
    <t xml:space="preserve">Net cost of each monthly AVC</t>
  </si>
  <si>
    <t xml:space="preserve">ƒx  =AVC_Per_Month-Relief_Per_Month</t>
  </si>
  <si>
    <t xml:space="preserve">AVC that gets relief, a year</t>
  </si>
  <si>
    <t xml:space="preserve">ƒx  =MIN(AVC_Per_Month*12,Relief_Room_Year)</t>
  </si>
  <si>
    <t xml:space="preserve">• The age-related limit covers your main scheme and AVCs together: enter what you already pay in.</t>
  </si>
  <si>
    <t xml:space="preserve">ƒx  =AVC_Per_Month</t>
  </si>
  <si>
    <t xml:space="preserve">Needs: AVC per month, Used_Growth_Rate, years to retirement</t>
  </si>
  <si>
    <t xml:space="preserve">Needs: AVC per month, inflation rate, Used_Growth_Rate, years to retirement</t>
  </si>
  <si>
    <t xml:space="preserve">Needs: AVC per month, years to retirement</t>
  </si>
  <si>
    <t xml:space="preserve">Needs: AVC per month, age, salary, tax rate, years to retirement</t>
  </si>
  <si>
    <t xml:space="preserve">Needs: AVC per month, age, salary, tax rate</t>
  </si>
  <si>
    <t xml:space="preserve">Needs: AVC per month, age, salary</t>
  </si>
  <si>
    <t xml:space="preserve">Needs: AVC per month</t>
  </si>
  <si>
    <t xml:space="preserve">C15 · Will my money last?</t>
  </si>
  <si>
    <t xml:space="preserve">Category: Pensions &amp; Retirement · prototype id: lastmoney</t>
  </si>
  <si>
    <t xml:space="preserve">Question it answers: How long could my retirement savings last?</t>
  </si>
  <si>
    <t xml:space="preserve">Shows how many full years your retirement savings could pay a yearly income that rises with prices.</t>
  </si>
  <si>
    <t xml:space="preserve">Document: Pension benefit statement / Statement of Reasonable Projection. Blank = no statement uploaded, or the figure is not on it. Grey-blue cells are filled by the reader (you can type here to test).</t>
  </si>
  <si>
    <t xml:space="preserve">Retirement savings</t>
  </si>
  <si>
    <t xml:space="preserve">Type 3 · your figure · Your own figure. In the app it is pre-filled from Plan: pension projected to retirement. Allowed: €10,000 to €30,000,000 · steps of €10,000</t>
  </si>
  <si>
    <t xml:space="preserve">Yearly withdrawal (first year)</t>
  </si>
  <si>
    <t xml:space="preserve">Type 3 · your figure · Your own figure. Allowed: €1,000 to €2,000,000 · steps of €1,000</t>
  </si>
  <si>
    <t xml:space="preserve">Growth assumption a year (once retired)</t>
  </si>
  <si>
    <t xml:space="preserve">Type 3 · LifeMap standard · LifeMap uses 3.15% a year after charges once retired (LifeMap Standard set; Cautious 2.8%). Change it if you want to use your own. Allowed: 0% to 7% · steps of 0.05%</t>
  </si>
  <si>
    <t xml:space="preserve">Withdrawal taken at the</t>
  </si>
  <si>
    <t xml:space="preserve">Type 3 · LifeMap standard · LifeMap uses the start of the year (the prudent choice). Change it if you want to use your own. Allowed: Start of year or End of year</t>
  </si>
  <si>
    <t xml:space="preserve">Your age when withdrawals start</t>
  </si>
  <si>
    <t xml:space="preserve">Type 3 · your choice (no standard) · You can usually draw a pension from 60 (some occupational schemes from 50); State Pension is paid from 66. Choose your own: there is no default. Allowed: 50 to 90 · steps of 1</t>
  </si>
  <si>
    <t xml:space="preserve">Plan to age</t>
  </si>
  <si>
    <t xml:space="preserve">Type 3 · your choice (no standard) · At 65, average life expectancy in Ireland is about 83 for men and 86 for women (CSO, Irish Life Tables No. 17, 2015–2017). Choose your own: there is no default. Allowed: 85 to 100 · steps of 1</t>
  </si>
  <si>
    <t xml:space="preserve">ƒx  =IF(NOT(ISBLANK(Stmt_Projected_Fund)),Stmt_Projected_Fund,IF(NOT(ISBLANK(Stmt_Fund_Value)),Stmt_Fund_Value,Retirement_Savings))</t>
  </si>
  <si>
    <t xml:space="preserve">Could last about (full years)</t>
  </si>
  <si>
    <t xml:space="preserve">ƒx  =IF(Inflation_Choice="","Choose your inflation rate to see this",SUM(W_paid))</t>
  </si>
  <si>
    <t xml:space="preserve">Money lasts to about age</t>
  </si>
  <si>
    <t xml:space="preserve">ƒx  =IF(ISNUMBER(Years_Lasting),IF(Years_Lasting&gt;=Cap_Years,"Beyond "&amp;Plan_To_Age&amp;" (your plan-until age)",Age_At_Start+Years_Lasting),"Choose your inflation rate to see this")</t>
  </si>
  <si>
    <t xml:space="preserve">Withdrawal rate (first year)</t>
  </si>
  <si>
    <t xml:space="preserve">ƒx  =Yearly_Withdrawal/Used_Retirement_Savings</t>
  </si>
  <si>
    <t xml:space="preserve">WORKING (one row per year; withdrawal at the start or end of the year, as chosen)</t>
  </si>
  <si>
    <t xml:space="preserve">Year</t>
  </si>
  <si>
    <t xml:space="preserve">Withdrawal (rises with inflation)</t>
  </si>
  <si>
    <t xml:space="preserve">Savings at the start of the year</t>
  </si>
  <si>
    <t xml:space="preserve">Paid in full? (1 = yes)</t>
  </si>
  <si>
    <t xml:space="preserve">Left at the end of the year</t>
  </si>
  <si>
    <t xml:space="preserve">• Each year (start-of-year timing): take the withdrawal, then the rest grows. End-of-year timing: the pot grows, then the withdrawal is taken. The withdrawal rises with inflation each year.</t>
  </si>
  <si>
    <t xml:space="preserve">• Years lasting = the number of years the full withdrawal could be paid (the "Paid in full" column).</t>
  </si>
  <si>
    <t xml:space="preserve">• Start of year is the suggested (prudent) timing; end of year is optimistic.</t>
  </si>
  <si>
    <t xml:space="preserve">• If the money lasts all 60 years of the table it shows "60+ years".</t>
  </si>
  <si>
    <t xml:space="preserve">• Before tax: ARF and vested PRSA withdrawals pay income tax and USC.</t>
  </si>
  <si>
    <t xml:space="preserve">Needs: growth rate, inflation rate, Used_Retirement_Savings, withdrawal timing, yearly withdrawal</t>
  </si>
  <si>
    <t xml:space="preserve">Needs: retirement age, growth rate, inflation rate, plan-to age, Used_Retirement_Savings, withdrawal timing, yearly withdrawal</t>
  </si>
  <si>
    <t xml:space="preserve">Needs: Used_Retirement_Savings, yearly withdrawal</t>
  </si>
  <si>
    <t xml:space="preserve">C16 · Retirement drawdown scenarios</t>
  </si>
  <si>
    <t xml:space="preserve">Category: Pensions &amp; Retirement · prototype id: drawdown</t>
  </si>
  <si>
    <t xml:space="preserve">Question it answers: How do different growth rates change things?</t>
  </si>
  <si>
    <t xml:space="preserve">Shows how long your retirement savings could last at three growth rates, with withdrawals rising with prices.</t>
  </si>
  <si>
    <t xml:space="preserve">Cautious: growth a year</t>
  </si>
  <si>
    <t xml:space="preserve">Type 3 · LifeMap standard · LifeMap uses 2% a year for a cautious mix (illustration). Change it if you want to use your own. Allowed: 0% to 8% · steps of 0.5%</t>
  </si>
  <si>
    <t xml:space="preserve">Balanced: growth a year</t>
  </si>
  <si>
    <t xml:space="preserve">Type 3 · LifeMap standard · LifeMap uses 4% a year for a balanced mix (illustration). Change it if you want to use your own. Allowed: 0% to 8% · steps of 0.5%</t>
  </si>
  <si>
    <t xml:space="preserve">Growth: growth a year</t>
  </si>
  <si>
    <t xml:space="preserve">Type 3 · LifeMap standard · LifeMap uses 6% a year for a growth mix (illustration). Change it if you want to use your own. Allowed: 0% to 8% · steps of 0.5%</t>
  </si>
  <si>
    <t xml:space="preserve">Balanced lasts (full years)</t>
  </si>
  <si>
    <t xml:space="preserve">ƒx  =IF(Inflation_Choice="","Choose your inflation rate to see this",SUM(W_b_paid))</t>
  </si>
  <si>
    <t xml:space="preserve">Cautious lasts (full years)</t>
  </si>
  <si>
    <t xml:space="preserve">ƒx  =IF(Inflation_Choice="","Choose your inflation rate to see this",SUM(W_c_paid))</t>
  </si>
  <si>
    <t xml:space="preserve">Growth lasts (full years)</t>
  </si>
  <si>
    <t xml:space="preserve">ƒx  =IF(Inflation_Choice="","Choose your inflation rate to see this",SUM(W_g_paid))</t>
  </si>
  <si>
    <t xml:space="preserve">WORKING (one row per year; withdrawal at the start of the year, rising with inflation)</t>
  </si>
  <si>
    <t xml:space="preserve">Withdrawal</t>
  </si>
  <si>
    <t xml:space="preserve">Cautious: savings at start</t>
  </si>
  <si>
    <t xml:space="preserve">Cautious: paid? (1 = yes)</t>
  </si>
  <si>
    <t xml:space="preserve">Balanced: savings at start</t>
  </si>
  <si>
    <t xml:space="preserve">Balanced: paid? (1 = yes)</t>
  </si>
  <si>
    <t xml:space="preserve">Growth: savings at start</t>
  </si>
  <si>
    <t xml:space="preserve">Growth: paid? (1 = yes)</t>
  </si>
  <si>
    <t xml:space="preserve">• Same rule as C15 at three growth rates (suggested 2%, 4%, 6%): withdraw at the start (or end) of each year, grow the rest, raise the withdrawal with inflation.</t>
  </si>
  <si>
    <t xml:space="preserve">• Years lasting = the number of years paid in full.</t>
  </si>
  <si>
    <t xml:space="preserve">• "60+ years" in every row when the money lasts the whole table.</t>
  </si>
  <si>
    <t xml:space="preserve">• Start of year is the suggested (prudent) timing.</t>
  </si>
  <si>
    <t xml:space="preserve">Needs: balanced growth rate, cautious growth rate, growth-style growth rate, inflation rate, Used_Retirement_Savings, withdrawal timing, yearly withdrawal</t>
  </si>
  <si>
    <t xml:space="preserve">C17 · Inflation-adjusted return</t>
  </si>
  <si>
    <t xml:space="preserve">Category: Investments · prototype id: realreturn</t>
  </si>
  <si>
    <t xml:space="preserve">Question it answers: What is my money really worth in future?</t>
  </si>
  <si>
    <t xml:space="preserve">Shows what an amount could grow to, what that is worth in today's money, and the real return after inflation.</t>
  </si>
  <si>
    <t xml:space="preserve">Return a year (before inflation)</t>
  </si>
  <si>
    <t xml:space="preserve">Type 3 · LifeMap standard · LifeMap uses 5% a year before charges and tax for a mixed fund (LifeMap standard, not a forecast). Change it if you want to use your own. Allowed: 0% to 10% · steps of 0.25%</t>
  </si>
  <si>
    <t xml:space="preserve">In today's money</t>
  </si>
  <si>
    <t xml:space="preserve">ƒx  =IF(Inflation_Choice="","Choose your inflation rate to see this",Future_Value/(1+Inflation_Choice)^Years)</t>
  </si>
  <si>
    <t xml:space="preserve">Future value</t>
  </si>
  <si>
    <t xml:space="preserve">ƒx  =Used_Amount*(1+Nominal_Return)^Years</t>
  </si>
  <si>
    <t xml:space="preserve">Real return a year</t>
  </si>
  <si>
    <t xml:space="preserve">ƒx  =IF(Inflation_Choice="","Choose your inflation rate to see this",(1+Nominal_Return)/(1+Inflation_Choice)-1)</t>
  </si>
  <si>
    <t xml:space="preserve">• Future value = amount × (1 + return)^years; today's money = future value ÷ (1 + inflation)^years.</t>
  </si>
  <si>
    <t xml:space="preserve">• Real return = (1 + return) ÷ (1 + inflation) − 1, the exact figure (not return − inflation).</t>
  </si>
  <si>
    <t xml:space="preserve">• Before tax and charges.</t>
  </si>
  <si>
    <t xml:space="preserve">Needs: inflation rate, return, Used_Amount, years</t>
  </si>
  <si>
    <t xml:space="preserve">Needs: return, Used_Amount, years</t>
  </si>
  <si>
    <t xml:space="preserve">Needs: inflation rate, return</t>
  </si>
  <si>
    <t xml:space="preserve">C18 · Regular investing</t>
  </si>
  <si>
    <t xml:space="preserve">Category: Investments · prototype id: regularinvest</t>
  </si>
  <si>
    <t xml:space="preserve">Question it answers: What could investing monthly build?</t>
  </si>
  <si>
    <t xml:space="preserve">Shows what investing a monthly amount could build after fees, what the fees cost, and the value in today's money.</t>
  </si>
  <si>
    <t xml:space="preserve">Monthly amount invested</t>
  </si>
  <si>
    <t xml:space="preserve">Allowed: €0 to €1,000,000</t>
  </si>
  <si>
    <t xml:space="preserve">Monthly amount</t>
  </si>
  <si>
    <t xml:space="preserve">Type 3 · your figure · Your own figure. Allowed: €25 to €50,000 · steps of €25</t>
  </si>
  <si>
    <t xml:space="preserve">Growth a year (before fees)</t>
  </si>
  <si>
    <t xml:space="preserve">ƒx  =IF(COUNTA(Stmt_Monthly_Invested,Stmt_Charges,Stmt_Statement_Date)&gt;0,"Yes","No")</t>
  </si>
  <si>
    <t xml:space="preserve">ƒx  =IF(ISBLANK(Stmt_Monthly_Invested),Monthly_Amount,Stmt_Monthly_Invested)</t>
  </si>
  <si>
    <t xml:space="preserve">Could grow to after fees (today's money if you chose Yes)</t>
  </si>
  <si>
    <t xml:space="preserve">ƒx  =IF(Adjust_For_Inflation="Yes",Value_Today,Value_After_Fees)</t>
  </si>
  <si>
    <t xml:space="preserve">After fees</t>
  </si>
  <si>
    <t xml:space="preserve">ƒx  =FV((1+Growth_After_Fees)^(1/12)-1,Years*12,-Used_Monthly_Amount)</t>
  </si>
  <si>
    <t xml:space="preserve">Before fees</t>
  </si>
  <si>
    <t xml:space="preserve">ƒx  =FV((1+Growth_Rate)^(1/12)-1,Years*12,-Used_Monthly_Amount)</t>
  </si>
  <si>
    <t xml:space="preserve">ƒx  =Value_Before_Fees-Value_After_Fees</t>
  </si>
  <si>
    <t xml:space="preserve">ƒx  =Used_Monthly_Amount*12*Years</t>
  </si>
  <si>
    <t xml:space="preserve">ƒx  =IF(Inflation_Choice="","Choose your inflation rate to see this",Value_After_Fees/(1+Inflation_Choice)^Years)</t>
  </si>
  <si>
    <t xml:space="preserve">• Growth after fees = (1 + growth) × (1 − fees) − 1. Each value = FV(monthly rate, months, −monthly amount), monthly rate = (1 + yearly rate)^(1/12) − 1.</t>
  </si>
  <si>
    <t xml:space="preserve">• Fees cost = value before fees − value after fees. Today's money = after-fees value ÷ (1 + inflation)^years.</t>
  </si>
  <si>
    <t xml:space="preserve">• Results are before tax (exit tax 38%, deemed disposal; 1% levy on unit-linked premiums).</t>
  </si>
  <si>
    <t xml:space="preserve">Audit fix: the old goal sent the nominal value, which the plan then inflated again.</t>
  </si>
  <si>
    <t xml:space="preserve">Needs: growth rate, Used_Monthly_Amount, Used_Yearly_Fees, years</t>
  </si>
  <si>
    <t xml:space="preserve">Needs: growth rate, Used_Monthly_Amount, years</t>
  </si>
  <si>
    <t xml:space="preserve">Needs: Used_Monthly_Amount, years</t>
  </si>
  <si>
    <t xml:space="preserve">Needs: growth rate, inflation rate, Used_Monthly_Amount, Used_Yearly_Fees, years</t>
  </si>
  <si>
    <t xml:space="preserve">C19 · Fees impact</t>
  </si>
  <si>
    <t xml:space="preserve">Category: Investments · prototype id: fees</t>
  </si>
  <si>
    <t xml:space="preserve">Question it answers: How much do fees really cost over time?</t>
  </si>
  <si>
    <t xml:space="preserve">Compares what an investment could grow to with two different yearly fees.</t>
  </si>
  <si>
    <t xml:space="preserve">Amount invested</t>
  </si>
  <si>
    <t xml:space="preserve">Type 3 · your figure · Your own figure. In the app it is pre-filled from Your finances / statement: investments. Allowed: €1,000 to €10,000,000 · steps of €100</t>
  </si>
  <si>
    <t xml:space="preserve">Fee A a year</t>
  </si>
  <si>
    <t xml:space="preserve">Fee B a year</t>
  </si>
  <si>
    <t xml:space="preserve">ƒx  =IF(ISBLANK(Stmt_Total_Value),Amount_Invested,Stmt_Total_Value)</t>
  </si>
  <si>
    <t xml:space="preserve">Fee A (your current fee)</t>
  </si>
  <si>
    <t xml:space="preserve">ƒx  =IF(NOT(ISBLANK(Stmt_Charges)),Stmt_Charges,IF(Statement_Uploaded="Yes",0,Fee_A))</t>
  </si>
  <si>
    <t xml:space="preserve">Difference</t>
  </si>
  <si>
    <t xml:space="preserve">ƒx  =ABS(Value_With_Fee_A-Value_With_Fee_B)</t>
  </si>
  <si>
    <t xml:space="preserve">With fee A</t>
  </si>
  <si>
    <t xml:space="preserve">ƒx  =Used_Amount_Invested*((1+Growth_Rate)*(1-Used_Fee_A))^Years</t>
  </si>
  <si>
    <t xml:space="preserve">With fee B</t>
  </si>
  <si>
    <t xml:space="preserve">ƒx  =Used_Amount_Invested*((1+Growth_Rate)*(1-Fee_B))^Years</t>
  </si>
  <si>
    <t xml:space="preserve">Fee difference a year</t>
  </si>
  <si>
    <t xml:space="preserve">ƒx  =ABS(Fee_B-Used_Fee_A)</t>
  </si>
  <si>
    <t xml:space="preserve">• Value with a fee = amount × ((1 + growth) × (1 − fee))^years: the fee comes off the fund each year (exact, not growth − fee).</t>
  </si>
  <si>
    <t xml:space="preserve">• Before tax.</t>
  </si>
  <si>
    <t xml:space="preserve">Needs: fee B, growth rate, Used_Amount_Invested, Used_Fee_A, years</t>
  </si>
  <si>
    <t xml:space="preserve">Needs: growth rate, Used_Amount_Invested, Used_Fee_A, years</t>
  </si>
  <si>
    <t xml:space="preserve">Needs: fee B, growth rate, Used_Amount_Invested, years</t>
  </si>
  <si>
    <t xml:space="preserve">Needs: fee B, Used_Fee_A</t>
  </si>
  <si>
    <t xml:space="preserve">C20 · Risk &amp; return simulator</t>
  </si>
  <si>
    <t xml:space="preserve">Category: Investments · prototype id: riskreturn</t>
  </si>
  <si>
    <t xml:space="preserve">Question it answers: What range of outcomes might each style have?</t>
  </si>
  <si>
    <t xml:space="preserve">Shows a weaker, middle and stronger outcome for a cautious, balanced or growth investment style.</t>
  </si>
  <si>
    <t xml:space="preserve">Holdings in shares % (if shown)</t>
  </si>
  <si>
    <t xml:space="preserve">Allowed: 0% to 100%</t>
  </si>
  <si>
    <t xml:space="preserve">Style: 1 Cautious · 2 Balanced · 3 Growth</t>
  </si>
  <si>
    <t xml:space="preserve">1, 2 or 3</t>
  </si>
  <si>
    <t xml:space="preserve">Type 3 · LifeMap standard · LifeMap uses 2 Balanced (an adviser checks your attitude to risk). Change it if you want to use your own. Allowed: 1 or 2 or 3</t>
  </si>
  <si>
    <t xml:space="preserve">Cautious: middle growth a year</t>
  </si>
  <si>
    <t xml:space="preserve">Type 3 · LifeMap standard · LifeMap uses 2% a year for Cautious (illustration). Change it if you want to use your own. Allowed: 0% to 8% · steps of 0.5%</t>
  </si>
  <si>
    <t xml:space="preserve">Balanced: middle growth a year</t>
  </si>
  <si>
    <t xml:space="preserve">Type 3 · LifeMap standard · LifeMap uses 4% a year for Balanced (illustration). Change it if you want to use your own. Allowed: 0% to 8% · steps of 0.5%</t>
  </si>
  <si>
    <t xml:space="preserve">Growth: middle growth a year</t>
  </si>
  <si>
    <t xml:space="preserve">Type 3 · LifeMap standard · LifeMap uses 6% a year for Growth (illustration). Change it if you want to use your own. Allowed: 0% to 8% · steps of 0.5%</t>
  </si>
  <si>
    <t xml:space="preserve">Cautious: volatility a year</t>
  </si>
  <si>
    <t xml:space="preserve">Type 3 · LifeMap standard · LifeMap uses 5% a year for Cautious (illustration). Change it if you want to use your own. Allowed: 0% to 25% · steps of 0.5%</t>
  </si>
  <si>
    <t xml:space="preserve">Balanced: volatility a year</t>
  </si>
  <si>
    <t xml:space="preserve">Type 3 · LifeMap standard · LifeMap uses 10% a year for Balanced (illustration). Change it if you want to use your own. Allowed: 0% to 25% · steps of 0.5%</t>
  </si>
  <si>
    <t xml:space="preserve">Growth: volatility a year</t>
  </si>
  <si>
    <t xml:space="preserve">Type 3 · LifeMap standard · LifeMap uses 16% a year for Growth (illustration). Change it if you want to use your own. Allowed: 0% to 25% · steps of 0.5%</t>
  </si>
  <si>
    <t xml:space="preserve">Style</t>
  </si>
  <si>
    <t xml:space="preserve">ƒx  =IF(ISBLANK(Stmt_Shares_Pct),Style,IF(Stmt_Shares_Pct&gt;=Shares_For_Growth,3,IF(Stmt_Shares_Pct&gt;=Shares_For_Balanced,2,1)))</t>
  </si>
  <si>
    <t xml:space="preserve">Middle outcome</t>
  </si>
  <si>
    <t xml:space="preserve">ƒx  =Used_Amount*(1+Middle_Growth)^Years</t>
  </si>
  <si>
    <t xml:space="preserve">Weaker outcome</t>
  </si>
  <si>
    <t xml:space="preserve">ƒx  =Used_Amount*(1+Middle_Growth-Spread)^Years</t>
  </si>
  <si>
    <t xml:space="preserve">Stronger outcome</t>
  </si>
  <si>
    <t xml:space="preserve">ƒx  =Used_Amount*(1+Middle_Growth+Spread)^Years</t>
  </si>
  <si>
    <t xml:space="preserve">About a 1-in-20 bad year could see a fall of around</t>
  </si>
  <si>
    <t xml:space="preserve">ƒx  =ROUND((Volatility*One_In_20_Z-Middle_Growth)*100,0)/100</t>
  </si>
  <si>
    <t xml:space="preserve">ƒx  =IF(OR(Used_Style&lt;1,Used_Style&gt;3,Used_Style&lt;&gt;INT(Used_Style)),"Choose 1, 2 or 3",INDEX(Risk_Names,Used_Style))</t>
  </si>
  <si>
    <t xml:space="preserve">Middle growth a year</t>
  </si>
  <si>
    <t xml:space="preserve">ƒx  =CHOOSE(Used_Style,Mu_Cautious,Mu_Balanced,Mu_Growth)</t>
  </si>
  <si>
    <t xml:space="preserve">Volatility a year</t>
  </si>
  <si>
    <t xml:space="preserve">ƒx  =CHOOSE(Used_Style,Vol_Cautious,Vol_Balanced,Vol_Growth)</t>
  </si>
  <si>
    <t xml:space="preserve">Spread a year over the period</t>
  </si>
  <si>
    <t xml:space="preserve">ƒx  =Volatility/SQRT(Years)</t>
  </si>
  <si>
    <t xml:space="preserve">• Middle = amount × (1 + middle growth)^years. Weaker / stronger = the same with growth − / + spread, where spread = volatility ÷ √years (ranges narrow over time).</t>
  </si>
  <si>
    <t xml:space="preserve">• A 1-in-20 bad year = middle growth − 1.645 × volatility (audit #81), shown as a fall rounded to a whole %.</t>
  </si>
  <si>
    <t xml:space="preserve">• Style must be 1, 2 or 3 (list): no decimals, so no "€NaN".</t>
  </si>
  <si>
    <t xml:space="preserve">• Illustrative only; "weaker" is roughly a 1-in-6 chance of doing worse, not the worst case.</t>
  </si>
  <si>
    <t xml:space="preserve">Needs: balanced growth, cautious growth, growth-style growth, Used_Amount, Used_Style, years</t>
  </si>
  <si>
    <t xml:space="preserve">Needs: balanced growth, cautious growth, growth-style growth, Used_Amount, Used_Style, balanced volatility, cautious volatility, growth-style volatility, years</t>
  </si>
  <si>
    <t xml:space="preserve">Needs: balanced growth, cautious growth, growth-style growth, Used_Style, balanced volatility, cautious volatility, growth-style volatility</t>
  </si>
  <si>
    <t xml:space="preserve">Needs: Used_Style</t>
  </si>
  <si>
    <t xml:space="preserve">Needs: balanced growth, cautious growth, growth-style growth, Used_Style</t>
  </si>
  <si>
    <t xml:space="preserve">Needs: Used_Style, balanced volatility, cautious volatility, growth-style volatility</t>
  </si>
  <si>
    <t xml:space="preserve">Needs: Used_Style, balanced volatility, cautious volatility, growth-style volatility, years</t>
  </si>
  <si>
    <t xml:space="preserve">Note: over longer timeframes the yearly return range narrows, but the gap in euros between the weaker and stronger outcomes widens.</t>
  </si>
  <si>
    <t xml:space="preserve">C21 · Life cover estimator</t>
  </si>
  <si>
    <t xml:space="preserve">Category: Protection · prototype id: lifecover</t>
  </si>
  <si>
    <t xml:space="preserve">Question it answers: How much cover might my family need?</t>
  </si>
  <si>
    <t xml:space="preserve">Estimates the life cover gap: income your family would need, plus debts to clear, less what you already have.</t>
  </si>
  <si>
    <t xml:space="preserve">Type 3 · your figure · Your own figure. In the app it is pre-filled from Your finances: income. Allowed: €0 to €3,000,000 · steps of €1,000</t>
  </si>
  <si>
    <t xml:space="preserve">Years your family would need support</t>
  </si>
  <si>
    <t xml:space="preserve">Type 3 · LifeMap standard · LifeMap uses until your youngest child is 23. Change it if you want to use your own. Allowed: 1 to 30 · steps of 1</t>
  </si>
  <si>
    <t xml:space="preserve">Share of your income your family would need</t>
  </si>
  <si>
    <t xml:space="preserve">Type 3 · LifeMap standard · LifeMap uses 60% of your income (families usually need less than full pay). Change it if you want to use your own. Allowed: 30% to 100% · steps of 5%</t>
  </si>
  <si>
    <t xml:space="preserve">Type 3 · your figure · Your own figure. In the app it is pre-filled from Your finances: mortgage balance. Allowed: €0 to €10,000,000 · steps of €5,000</t>
  </si>
  <si>
    <t xml:space="preserve">Is the mortgage cleared by mortgage protection? (most are)</t>
  </si>
  <si>
    <t xml:space="preserve">Type 3 · your figure · Your own figure. Allowed: Yes or No</t>
  </si>
  <si>
    <t xml:space="preserve">Other debts</t>
  </si>
  <si>
    <t xml:space="preserve">Type 3 · your figure · Your own figure. In the app it is pre-filled from Your finances: debts. Allowed: €0 to €2,000,000 · steps of €1,000</t>
  </si>
  <si>
    <t xml:space="preserve">Savings &amp; investments</t>
  </si>
  <si>
    <t xml:space="preserve">Type 3 · your figure · Your own figure. In the app it is pre-filled from Your finances: cash + investments. Allowed: €0 to €10,000,000 · steps of €1,000</t>
  </si>
  <si>
    <t xml:space="preserve">Existing life cover (incl. through work)</t>
  </si>
  <si>
    <t xml:space="preserve">Type 3 · your figure · Your own figure. Allowed: €0 to €20,000,000 · steps of €10,000</t>
  </si>
  <si>
    <t xml:space="preserve">State survivor's pension a week (0 if none)</t>
  </si>
  <si>
    <t xml:space="preserve">€ a week</t>
  </si>
  <si>
    <t xml:space="preserve">Illustrative cover gap</t>
  </si>
  <si>
    <t xml:space="preserve">ƒx  =MAX(0,Income_Need+Debts_To_Clear-Already_Have)</t>
  </si>
  <si>
    <t xml:space="preserve">Income your family would need (after State pension)</t>
  </si>
  <si>
    <t xml:space="preserve">ƒx  =MAX(0,Yearly_Income*Life_Replace-Survivor_Pension*Weeks_Per_Year)*Years_Support</t>
  </si>
  <si>
    <t xml:space="preserve">Debts to clear</t>
  </si>
  <si>
    <t xml:space="preserve">ƒx  =IF(Mortgage_Protected="Yes",0,Used_Mortgage_Balance)+Other_Debts</t>
  </si>
  <si>
    <t xml:space="preserve">Existing cover + savings</t>
  </si>
  <si>
    <t xml:space="preserve">ƒx  =Existing_Cover+Savings</t>
  </si>
  <si>
    <t xml:space="preserve">Income replacement before State pension (60%)</t>
  </si>
  <si>
    <t xml:space="preserve">ƒx  =Yearly_Income*Life_Replace*Years_Support</t>
  </si>
  <si>
    <t xml:space="preserve">• Income need = (60% of gross income − State survivor's pension × 52) a year × years of support (never below 0).</t>
  </si>
  <si>
    <t xml:space="preserve">• Debts to clear = other debts, plus the mortgage only if mortgage protection does not already clear it (it is required for most home loans, CCA 1995 s.126).</t>
  </si>
  <si>
    <t xml:space="preserve">• Gap = income need + debts − existing cover − savings (never below 0).</t>
  </si>
  <si>
    <t xml:space="preserve">• Income need is not discounted (assumes the payout earns about inflation).</t>
  </si>
  <si>
    <t xml:space="preserve">ƒx  ="No goal: record a protection need for the adviser"</t>
  </si>
  <si>
    <t xml:space="preserve">Life cover need</t>
  </si>
  <si>
    <t xml:space="preserve">ƒx  =Cover_Gap</t>
  </si>
  <si>
    <t xml:space="preserve">Audit fix: life cover is bought for a premium; it is not money to save.</t>
  </si>
  <si>
    <t xml:space="preserve">Needs: existing life cover, share of income needed, mortgage protection answer, other debts, savings &amp; investments, survivor's pension, Used_Mortgage_Balance, gross yearly income, years of support</t>
  </si>
  <si>
    <t xml:space="preserve">Needs: share of income needed, survivor's pension, gross yearly income, years of support</t>
  </si>
  <si>
    <t xml:space="preserve">Needs: mortgage protection answer, other debts, Used_Mortgage_Balance</t>
  </si>
  <si>
    <t xml:space="preserve">Needs: existing life cover, savings &amp; investments</t>
  </si>
  <si>
    <t xml:space="preserve">Needs: share of income needed, gross yearly income, years of support</t>
  </si>
  <si>
    <t xml:space="preserve">C22 · Income protection gap</t>
  </si>
  <si>
    <t xml:space="preserve">Category: Protection · prototype id: incomegap</t>
  </si>
  <si>
    <t xml:space="preserve">Question it answers: How long could I cope if I couldn't work?</t>
  </si>
  <si>
    <t xml:space="preserve">Shows how long you could cope if you couldn't work, after Illness Benefit, and the income protection to aim for.</t>
  </si>
  <si>
    <t xml:space="preserve">Months of sick pay from your employer's scheme</t>
  </si>
  <si>
    <t xml:space="preserve">Type 3 · your figure · Your own figure. Allowed: 0 to 12 · steps of 1</t>
  </si>
  <si>
    <t xml:space="preserve">Type 3 · your figure · Your own figure. In the app it is pre-filled from Your finances: cash. Allowed: €0 to €2,000,000 · steps of €500</t>
  </si>
  <si>
    <t xml:space="preserve">Illness Benefit a week</t>
  </si>
  <si>
    <t xml:space="preserve">You could cope for (months, at most 24)</t>
  </si>
  <si>
    <t xml:space="preserve">ƒx  =IF(Monthly_Gap=0,24,MIN(24,Sick_Pay_Months+Savings/Monthly_Gap))      (Illness Benefit is paid for at most 2 years, 624 days)</t>
  </si>
  <si>
    <t xml:space="preserve">Monthly gap after Illness Benefit</t>
  </si>
  <si>
    <t xml:space="preserve">ƒx  =MAX(0,Essential_Spending-Illness_Benefit_Month)</t>
  </si>
  <si>
    <t xml:space="preserve">Income protection to aim for, a month</t>
  </si>
  <si>
    <t xml:space="preserve">ƒx  =MIN(Monthly_Gap,IP_Max)</t>
  </si>
  <si>
    <t xml:space="preserve">Illness Benefit a month (weekly × 52 ÷ 12)</t>
  </si>
  <si>
    <t xml:space="preserve">ƒx  =Illness_Benefit*Weeks_Per_Year/12</t>
  </si>
  <si>
    <t xml:space="preserve">Savings would cover (months)</t>
  </si>
  <si>
    <t xml:space="preserve">ƒx  =IF(Monthly_Gap=0,"Indefinitely",Savings/Monthly_Gap)</t>
  </si>
  <si>
    <t xml:space="preserve">Most income protection allowed, a month (75% of income less Illness Benefit)</t>
  </si>
  <si>
    <t xml:space="preserve">ƒx  =MAX(0,Gross_Income*IP_Max_Pct/12-Illness_Benefit_Month)</t>
  </si>
  <si>
    <t xml:space="preserve">• Illness Benefit a month = weekly rate (default €254, the 2026 maximum) × 52 ÷ 12. Monthly gap = essential spending − Illness Benefit (never below 0).</t>
  </si>
  <si>
    <t xml:space="preserve">• Months you could cope = sick-pay months + savings ÷ monthly gap, never more than 24 (Illness Benefit is paid for at most 2 years, 624 days).</t>
  </si>
  <si>
    <t xml:space="preserve">• Income protection to aim for = the gap, but no more than 75% of gross income less Illness Benefit (insurers' usual maximum).</t>
  </si>
  <si>
    <t xml:space="preserve">• If Illness Benefit covers the spending, the time is shown as "up to 2 years" and savings as "Not needed" (never "Indefinitely").</t>
  </si>
  <si>
    <t xml:space="preserve">• Illness Benefit depends on PRSI contributions and starts after waiting days; statutory sick pay is only 5 days.</t>
  </si>
  <si>
    <t xml:space="preserve">ƒx  ="No goal: record an income protection need for the adviser"</t>
  </si>
  <si>
    <t xml:space="preserve">Income protection need, a month</t>
  </si>
  <si>
    <t xml:space="preserve">ƒx  =IP_Needed</t>
  </si>
  <si>
    <t xml:space="preserve">Needs: essential monthly spending, Illness Benefit amount, easy-access savings, months of sick pay from your employer's scheme</t>
  </si>
  <si>
    <t xml:space="preserve">Needs: essential monthly spending, Illness Benefit amount</t>
  </si>
  <si>
    <t xml:space="preserve">Needs: essential monthly spending, gross yearly income, Illness Benefit amount</t>
  </si>
  <si>
    <t xml:space="preserve">Needs: Illness Benefit amount</t>
  </si>
  <si>
    <t xml:space="preserve">Needs: essential monthly spending, Illness Benefit amount, easy-access savings</t>
  </si>
  <si>
    <t xml:space="preserve">Needs: gross yearly income, Illness Benefit amount</t>
  </si>
  <si>
    <t xml:space="preserve">C23 · Mortgage protection</t>
  </si>
  <si>
    <t xml:space="preserve">Category: Protection · prototype id: mortgageprotect</t>
  </si>
  <si>
    <t xml:space="preserve">Question it answers: What cover would clear my mortgage?</t>
  </si>
  <si>
    <t xml:space="preserve">Shows the cover needed to clear your mortgage today and how the balance falls over time.</t>
  </si>
  <si>
    <t xml:space="preserve">Type 3 · your figure · Your own figure. In the app it is pre-filled from Your finances / statement: balance. Allowed: €20,000 to €10,000,000 · steps of €5,000</t>
  </si>
  <si>
    <t xml:space="preserve">Type 3 · your figure · Your own figure. In the app it is pre-filled from Your finances / statement: stated repayment. Allowed: €0 to €100,000 · steps of €1</t>
  </si>
  <si>
    <t xml:space="preserve">Cover needed today</t>
  </si>
  <si>
    <t xml:space="preserve">ƒx  =Used_Mortgage_Balance</t>
  </si>
  <si>
    <t xml:space="preserve">Balance in 5 years</t>
  </si>
  <si>
    <t xml:space="preserve">ƒx  =IF(Warning&lt;&gt;"","—",MAX(0,-FV(Monthly_Rate,MP_Year_1*12,-Repayment,Used_Mortgage_Balance)))</t>
  </si>
  <si>
    <t xml:space="preserve">Balance in 10 years</t>
  </si>
  <si>
    <t xml:space="preserve">ƒx  =IF(Warning&lt;&gt;"","—",MAX(0,-FV(Monthly_Rate,MP_Year_2*12,-Repayment,Used_Mortgage_Balance)))</t>
  </si>
  <si>
    <t xml:space="preserve">Balance in 15 years</t>
  </si>
  <si>
    <t xml:space="preserve">ƒx  =IF(Warning&lt;&gt;"","—",MAX(0,-FV(Monthly_Rate,MP_Year_3*12,-Repayment,Used_Mortgage_Balance)))</t>
  </si>
  <si>
    <t xml:space="preserve">Monthly repayment used</t>
  </si>
  <si>
    <t xml:space="preserve">• Balance after n years = −FV(rate ÷ 12, n × 12, −repayment, balance): the closed-form outstanding balance; 0 once the mortgage is paid off.</t>
  </si>
  <si>
    <t xml:space="preserve">• If the repayment does not cover the interest, show the warning and no future balances (they would grow).</t>
  </si>
  <si>
    <t xml:space="preserve">Needs: Used_Mortgage_Balance</t>
  </si>
  <si>
    <t xml:space="preserve">C24 · Net worth</t>
  </si>
  <si>
    <t xml:space="preserve">Category: Everyday Money · prototype id: networth</t>
  </si>
  <si>
    <t xml:space="preserve">Question it answers: What am I worth, all in?</t>
  </si>
  <si>
    <t xml:space="preserve">Adds up what you own and what you owe.</t>
  </si>
  <si>
    <t xml:space="preserve">Document: Mortgage statement, property valuation, pension statement, investment statement. Blank = no statement uploaded, or the figure is not on it. Grey-blue cells are filled by the reader (you can type here to test).</t>
  </si>
  <si>
    <t xml:space="preserve">Property value (valuation)</t>
  </si>
  <si>
    <t xml:space="preserve">Savings</t>
  </si>
  <si>
    <t xml:space="preserve">Type 3 · your figure · Your own figure. In the app it is pre-filled from Your finances: cash. Allowed: €0 to €10,000,000 · steps of €500</t>
  </si>
  <si>
    <t xml:space="preserve">Type 3 · your figure · Your own figure. In the app it is pre-filled from Your finances: investments. Allowed: €0 to €20,000,000 · steps of €1,000</t>
  </si>
  <si>
    <t xml:space="preserve">Pensions</t>
  </si>
  <si>
    <t xml:space="preserve">Type 3 · your figure · Your own figure. In the app it is pre-filled from Your finances: pension. Allowed: €0 to €30,000,000 · steps of €1,000</t>
  </si>
  <si>
    <t xml:space="preserve">Property value</t>
  </si>
  <si>
    <t xml:space="preserve">Type 3 · your figure · Your own figure. In the app it is pre-filled from Your finances: home + other property. Allowed: €0 to €50,000,000 · steps of €5,000</t>
  </si>
  <si>
    <t xml:space="preserve">Type 3 · your figure · Your own figure. In the app it is pre-filled from Your finances: mortgage balance. Allowed: €0 to €30,000,000 · steps of €5,000</t>
  </si>
  <si>
    <t xml:space="preserve">Other loans</t>
  </si>
  <si>
    <t xml:space="preserve">Type 3 · your figure · Your own figure. In the app it is pre-filled from Your finances: debts. Allowed: €0 to €5,000,000 · steps of €500</t>
  </si>
  <si>
    <t xml:space="preserve">ƒx  =IF(ISBLANK(Stmt_Mortgage_Balance),Mortgage,Stmt_Mortgage_Balance)</t>
  </si>
  <si>
    <t xml:space="preserve">ƒx  =IF(ISBLANK(Stmt_Property_Value),Property,Stmt_Property_Value)</t>
  </si>
  <si>
    <t xml:space="preserve">ƒx  =IF(ISBLANK(Stmt_Pension_Value),Pensions,Stmt_Pension_Value)</t>
  </si>
  <si>
    <t xml:space="preserve">ƒx  =IF(ISBLANK(Stmt_Investment_Value),Investments,Stmt_Investment_Value)</t>
  </si>
  <si>
    <t xml:space="preserve">Your net worth</t>
  </si>
  <si>
    <t xml:space="preserve">ƒx  =You_Own-You_Owe</t>
  </si>
  <si>
    <t xml:space="preserve">You own</t>
  </si>
  <si>
    <t xml:space="preserve">ƒx  =Savings+Used_Investments+Used_Pensions+Used_Property</t>
  </si>
  <si>
    <t xml:space="preserve">You owe</t>
  </si>
  <si>
    <t xml:space="preserve">ƒx  =Used_Mortgage+Other_Loans</t>
  </si>
  <si>
    <t xml:space="preserve">• Net worth = everything you own − everything you owe.</t>
  </si>
  <si>
    <t xml:space="preserve">• Can be negative. Pensions are before tax; property is before selling costs.</t>
  </si>
  <si>
    <t xml:space="preserve">Needs: other loans, savings, Used_Investments, Used_Mortgage, Used_Pensions, Used_Property</t>
  </si>
  <si>
    <t xml:space="preserve">Needs: savings, Used_Investments, Used_Pensions, Used_Property</t>
  </si>
  <si>
    <t xml:space="preserve">Needs: other loans, Used_Mortgage</t>
  </si>
  <si>
    <t xml:space="preserve">C25 · Monthly surplus</t>
  </si>
  <si>
    <t xml:space="preserve">Category: Everyday Money · prototype id: surplus</t>
  </si>
  <si>
    <t xml:space="preserve">Question it answers: What is left at the end of the month?</t>
  </si>
  <si>
    <t xml:space="preserve">Shows what is left of your take-home pay each month.</t>
  </si>
  <si>
    <t xml:space="preserve">Take-home pay per month (leave blank to use the Tax engine)</t>
  </si>
  <si>
    <t xml:space="preserve">Essentials (rent/mortgage, bills, food)</t>
  </si>
  <si>
    <t xml:space="preserve">Type 3 · your figure · Your own figure. In the app it is pre-filled from Your finances: costs + one-offs ÷ 12 + mortgage. Allowed: €0 to €150,000 · steps of €50</t>
  </si>
  <si>
    <t xml:space="preserve">Lifestyle spending</t>
  </si>
  <si>
    <t xml:space="preserve">Type 3 · your figure · Your own figure. Allowed: €0 to €100,000 · steps of €50</t>
  </si>
  <si>
    <t xml:space="preserve">Debt repayments</t>
  </si>
  <si>
    <t xml:space="preserve">Type 3 · your figure · Your own figure. In the app it is pre-filled from Your finances: debt repayments. Allowed: €0 to €50,000 · steps of €25</t>
  </si>
  <si>
    <t xml:space="preserve">Take-home pay per month</t>
  </si>
  <si>
    <t xml:space="preserve">ƒx  =IF(Take_Home="",TE_Take_Home_Month,Take_Home)</t>
  </si>
  <si>
    <t xml:space="preserve">Monthly surplus</t>
  </si>
  <si>
    <t xml:space="preserve">ƒx  =Used_Take_Home-Essentials-Lifestyle-Debt_Repayments</t>
  </si>
  <si>
    <t xml:space="preserve">Going out</t>
  </si>
  <si>
    <t xml:space="preserve">ƒx  =Essentials+Lifestyle+Debt_Repayments</t>
  </si>
  <si>
    <t xml:space="preserve">• Surplus = take-home − essentials − lifestyle − debt repayments.</t>
  </si>
  <si>
    <t xml:space="preserve">• €0 shows "Nothing left over this month"; below €0 shows "Spending is above income".</t>
  </si>
  <si>
    <t xml:space="preserve">ƒx  =IF(Surplus&gt;0,"Save my surplus (plan kind pot)","No goal")</t>
  </si>
  <si>
    <t xml:space="preserve">Amount (a year)</t>
  </si>
  <si>
    <t xml:space="preserve">ƒx  =IF(Surplus&gt;0,ROUND(Surplus*12,0),"—")</t>
  </si>
  <si>
    <t xml:space="preserve">ƒx  =IF(Surplus&gt;0,1,"—")</t>
  </si>
  <si>
    <t xml:space="preserve">Needs: debt repayments, essentials, lifestyle spending, Used_Take_Home</t>
  </si>
  <si>
    <t xml:space="preserve">Needs: debt repayments, essentials, lifestyle spending</t>
  </si>
  <si>
    <t xml:space="preserve">C26 · Budget (50/30/20)</t>
  </si>
  <si>
    <t xml:space="preserve">Category: Everyday Money · prototype id: budget</t>
  </si>
  <si>
    <t xml:space="preserve">Question it answers: A simple way to split your pay</t>
  </si>
  <si>
    <t xml:space="preserve">Splits take-home pay 50% needs, 30% wants, 20% savings and debt.</t>
  </si>
  <si>
    <t xml:space="preserve">Share for needs</t>
  </si>
  <si>
    <t xml:space="preserve">Type 3 · LifeMap standard · LifeMap uses 50% for needs (the 50/30/20 rule of thumb). Change it if you want to use your own. Allowed: 0% to 100% · steps of 5%</t>
  </si>
  <si>
    <t xml:space="preserve">Share for wants</t>
  </si>
  <si>
    <t xml:space="preserve">Type 3 · LifeMap standard · LifeMap uses 30% for wants (the 50/30/20 rule of thumb). Change it if you want to use your own. Allowed: 0% to 100% · steps of 5%</t>
  </si>
  <si>
    <t xml:space="preserve">Share for savings and debt</t>
  </si>
  <si>
    <t xml:space="preserve">Type 3 · LifeMap standard · LifeMap uses 20% for savings and debt (the 50/30/20 rule of thumb). Change it if you want to use your own. Allowed: 0% to 100% · steps of 5%</t>
  </si>
  <si>
    <t xml:space="preserve">Save each month</t>
  </si>
  <si>
    <t xml:space="preserve">ƒx  =Used_Take_Home*Budget_Save</t>
  </si>
  <si>
    <t xml:space="preserve">Needs</t>
  </si>
  <si>
    <t xml:space="preserve">ƒx  =Used_Take_Home*Budget_Needs</t>
  </si>
  <si>
    <t xml:space="preserve">Wants</t>
  </si>
  <si>
    <t xml:space="preserve">ƒx  =Used_Take_Home*Budget_Wants</t>
  </si>
  <si>
    <t xml:space="preserve">• Each part = take-home × its share (Assumptions).</t>
  </si>
  <si>
    <t xml:space="preserve">• A rule of thumb, applied to take-home (net) pay.</t>
  </si>
  <si>
    <t xml:space="preserve">Needs: share for needs, share for savings, share for wants</t>
  </si>
  <si>
    <t xml:space="preserve">Needs: share for savings, Used_Take_Home</t>
  </si>
  <si>
    <t xml:space="preserve">Needs: share for needs, Used_Take_Home</t>
  </si>
  <si>
    <t xml:space="preserve">Needs: share for wants, Used_Take_Home</t>
  </si>
  <si>
    <t xml:space="preserve">C27 · Debt repayment</t>
  </si>
  <si>
    <t xml:space="preserve">Category: Everyday Money · prototype id: debtpay</t>
  </si>
  <si>
    <t xml:space="preserve">Question it answers: How fast can I clear my debt?</t>
  </si>
  <si>
    <t xml:space="preserve">Shows how long it takes to clear a debt at your monthly payment and the interest you would pay.</t>
  </si>
  <si>
    <t xml:space="preserve">Balance</t>
  </si>
  <si>
    <t xml:space="preserve">Type 3 · your figure · Your own figure. In the app it is pre-filled from Your finances: the debt that takes longest to clear. Allowed: €100 to €1,000,000 · steps of €100</t>
  </si>
  <si>
    <t xml:space="preserve">Interest (APR)</t>
  </si>
  <si>
    <t xml:space="preserve">Monthly payment</t>
  </si>
  <si>
    <t xml:space="preserve">Type 3 · your figure · Your own figure. In the app it is pre-filled from Your finances: that debt's repayment. Allowed: €10 to €50,000 · steps of €10</t>
  </si>
  <si>
    <t xml:space="preserve">What if: pay extra each month</t>
  </si>
  <si>
    <t xml:space="preserve">Type 3 · optional · Optional: leave blank for none. Allowed: €0 to €10,000 · steps of €10</t>
  </si>
  <si>
    <t xml:space="preserve">Debt free in (months)</t>
  </si>
  <si>
    <t xml:space="preserve">ƒx  =IF(Payment&lt;=Balance*Monthly_Rate,"Never",ROUNDUP(ROUND(NPER(Monthly_Rate,-Payment,Balance),6),0))</t>
  </si>
  <si>
    <t xml:space="preserve">ƒx  =IF(Months_To_Clear="Never","—",Payment*(Months_To_Clear-1)+Final_Payment-Balance)</t>
  </si>
  <si>
    <t xml:space="preserve">Monthly interest rate from the APR</t>
  </si>
  <si>
    <t xml:space="preserve">ƒx  =(1+APR)^(1/12)-1</t>
  </si>
  <si>
    <t xml:space="preserve">Monthly payment incl. extra</t>
  </si>
  <si>
    <t xml:space="preserve">ƒx  =Monthly_Payment+Extra_Payment</t>
  </si>
  <si>
    <t xml:space="preserve">ƒx  =IF(Months_To_Clear="Never","—",-FV(Monthly_Rate,Months_To_Clear-1,-Payment,Balance)*(1+Monthly_Rate))</t>
  </si>
  <si>
    <t xml:space="preserve">• An APR is an effective yearly rate (EU Consumer Credit Directive), so the monthly rate = (1 + APR)^(1/12) − 1 (audit Should fix; not APR ÷ 12).</t>
  </si>
  <si>
    <t xml:space="preserve">• Months = NPER(monthly rate, −payment, balance), rounded up. Total interest = full payments + last part payment − balance.</t>
  </si>
  <si>
    <t xml:space="preserve">• More than 1,200 months shows "Payment too low to clear this debt in a reasonable time"; no goal is sent.</t>
  </si>
  <si>
    <t xml:space="preserve">ƒx  ="No goal (the plan already repays this debt)"</t>
  </si>
  <si>
    <t xml:space="preserve">Audit fix: the old goal sent the balance as a cash spend, double-counting the repayments.</t>
  </si>
  <si>
    <t xml:space="preserve">Needs: interest rate (APR), balance, monthly payment</t>
  </si>
  <si>
    <t xml:space="preserve">Needs: interest rate (APR)</t>
  </si>
  <si>
    <t xml:space="preserve">Needs: monthly payment</t>
  </si>
  <si>
    <t xml:space="preserve">C28 · Loan repayment</t>
  </si>
  <si>
    <t xml:space="preserve">Category: Everyday Money · prototype id: loan</t>
  </si>
  <si>
    <t xml:space="preserve">Question it answers: What would a loan cost me?</t>
  </si>
  <si>
    <t xml:space="preserve">Shows the monthly repayment and total cost of a loan.</t>
  </si>
  <si>
    <t xml:space="preserve">Loan amount</t>
  </si>
  <si>
    <t xml:space="preserve">Type 3 · your figure · Your own figure. Allowed: €500 to €1,000,000 · steps of €500</t>
  </si>
  <si>
    <t xml:space="preserve">ƒx  =PMT(Monthly_Rate,Years*12,-Loan_Amount)</t>
  </si>
  <si>
    <t xml:space="preserve">ƒx  =Total_Repaid-Loan_Amount</t>
  </si>
  <si>
    <t xml:space="preserve">ƒx  =Monthly_Repayment*Years*12</t>
  </si>
  <si>
    <t xml:space="preserve">• Monthly rate = (1 + APR)^(1/12) − 1 (APR is an effective yearly rate). Repayment = PMT(monthly rate, months, −amount).</t>
  </si>
  <si>
    <t xml:space="preserve">• Total repaid = repayment × months; total interest = total repaid − amount.</t>
  </si>
  <si>
    <t xml:space="preserve">Needs: interest rate (APR), loan amount, years</t>
  </si>
  <si>
    <t xml:space="preserve">Note: the APR is treated as an effective yearly rate (as for cards and loans); mortgage tools use the nominal rate ÷ 12, so the same percentage gives a slightly different repayment.</t>
  </si>
  <si>
    <t xml:space="preserve">Plan inputs: everything the "Make my plan" engine needs (same as the prototype's customer state)</t>
  </si>
  <si>
    <t xml:space="preserve">Type your figures in the yellow cells (column C). A blank cell is €0, or "not chosen" for a choice: the plan then uses the standard from Settings and "Plan results" lists what still needs choosing ("we need N things"). Switch "Fill example values" on README to Yes and every blank cell uses the grey example (the prototype's sample customer, Aoife and Cian). Column G is the figure the plan uses; column H says 1 if you gave it. Never type in columns F, G or H.</t>
  </si>
  <si>
    <t xml:space="preserve">ABOUT YOU, CHOICES AND SAVING</t>
  </si>
  <si>
    <t xml:space="preserve">Prototype state key</t>
  </si>
  <si>
    <t xml:space="preserve">Example (sample)</t>
  </si>
  <si>
    <t xml:space="preserve">Used by the plan</t>
  </si>
  <si>
    <t xml:space="preserve">Given?</t>
  </si>
  <si>
    <t xml:space="preserve">Your first name (used in the line under your date of birth)</t>
  </si>
  <si>
    <t xml:space="preserve">S.acct.name</t>
  </si>
  <si>
    <t xml:space="preserve">Aoife</t>
  </si>
  <si>
    <t xml:space="preserve">Your date of birth (age in the first plan year = start year - birth year; age today 18 to 80)</t>
  </si>
  <si>
    <t xml:space="preserve">About you. The prototype: S.about.dob (S.about.age is derived)</t>
  </si>
  <si>
    <t xml:space="preserve">Planning with a partner? (Yes/No)</t>
  </si>
  <si>
    <t xml:space="preserve">S.about.partner</t>
  </si>
  <si>
    <t xml:space="preserve">Married or civil partners? (Yes/No, blank = not said)</t>
  </si>
  <si>
    <t xml:space="preserve">S.about.married (Yes = joint tax assessment)</t>
  </si>
  <si>
    <t xml:space="preserve">Children or others who rely on you</t>
  </si>
  <si>
    <t xml:space="preserve">number</t>
  </si>
  <si>
    <t xml:space="preserve">S.about.deps</t>
  </si>
  <si>
    <t xml:space="preserve">Retirement age (your choice, never filled in for you)</t>
  </si>
  <si>
    <t xml:space="preserve">S.retireAge</t>
  </si>
  <si>
    <t xml:space="preserve">Partner's retirement age (your choice; needed when your partner has income)</t>
  </si>
  <si>
    <t xml:space="preserve">S.pRet</t>
  </si>
  <si>
    <t xml:space="preserve">Inflation you choose (a rate, e.g. 0.02 = 2%)</t>
  </si>
  <si>
    <t xml:space="preserve">rate: 0.0375 = 3.75%</t>
  </si>
  <si>
    <t xml:space="preserve">S.infl</t>
  </si>
  <si>
    <t xml:space="preserve">Growth set (Standard / Cautious)</t>
  </si>
  <si>
    <t xml:space="preserve">S.assume</t>
  </si>
  <si>
    <t xml:space="preserve">Standard</t>
  </si>
  <si>
    <t xml:space="preserve">Q6 answer: how much could you invest? (0 to 4, blank = not answered)</t>
  </si>
  <si>
    <t xml:space="preserve">0-4</t>
  </si>
  <si>
    <t xml:space="preserve">S.ans['6']</t>
  </si>
  <si>
    <t xml:space="preserve">My monthly saving (today's money, blank = use the rule)</t>
  </si>
  <si>
    <t xml:space="preserve">€ a month</t>
  </si>
  <si>
    <t xml:space="preserve">S.saveM</t>
  </si>
  <si>
    <t xml:space="preserve">My saving: raise the rule (Yes) or cap it (No); blank = decided by the amount</t>
  </si>
  <si>
    <t xml:space="preserve">S.saveUp</t>
  </si>
  <si>
    <t xml:space="preserve">Extra monthly pension contribution you chose (€ a month)</t>
  </si>
  <si>
    <t xml:space="preserve">S.penExtra</t>
  </si>
  <si>
    <t xml:space="preserve">Claim the Rent Tax Credit? (Yes/No)</t>
  </si>
  <si>
    <t xml:space="preserve">S.about.cred.rent</t>
  </si>
  <si>
    <t xml:space="preserve">Claim the Single Person Child Carer Credit? (Yes/No)</t>
  </si>
  <si>
    <t xml:space="preserve">S.about.cred.lone</t>
  </si>
  <si>
    <t xml:space="preserve">Claim the Home Carer Credit? (Yes/No)</t>
  </si>
  <si>
    <t xml:space="preserve">S.about.cred.carer</t>
  </si>
  <si>
    <t xml:space="preserve">WHAT IF (Results screen)</t>
  </si>
  <si>
    <t xml:space="preserve">What if: put it towards goal number (1 to 22, as listed below; blank = none)</t>
  </si>
  <si>
    <t xml:space="preserve">goal no.</t>
  </si>
  <si>
    <t xml:space="preserve">S.wi.g</t>
  </si>
  <si>
    <t xml:space="preserve">What if: extra (or less) each month</t>
  </si>
  <si>
    <t xml:space="preserve">S.wi.m</t>
  </si>
  <si>
    <t xml:space="preserve">What if: one-off amount</t>
  </si>
  <si>
    <t xml:space="preserve">S.wi.l</t>
  </si>
  <si>
    <t xml:space="preserve">YOUR FINANCES</t>
  </si>
  <si>
    <t xml:space="preserve">Your work (Employed / Self-employed / Not working)</t>
  </si>
  <si>
    <t xml:space="preserve">S.fin.work</t>
  </si>
  <si>
    <t xml:space="preserve">Employed</t>
  </si>
  <si>
    <t xml:space="preserve">S.fin.income</t>
  </si>
  <si>
    <t xml:space="preserve">S.fin.pIncome</t>
  </si>
  <si>
    <t xml:space="preserve">Partner's date of birth (age today 18 to 85)</t>
  </si>
  <si>
    <t xml:space="preserve">S.about.pdob (S.fin.pAge is derived)</t>
  </si>
  <si>
    <t xml:space="preserve">Other income a month (before tax)</t>
  </si>
  <si>
    <t xml:space="preserve">S.fin.otherM</t>
  </si>
  <si>
    <t xml:space="preserve">Monthly living costs (leave out mortgage and loan repayments)</t>
  </si>
  <si>
    <t xml:space="preserve">S.fin.costsM</t>
  </si>
  <si>
    <t xml:space="preserve">Yearly one-off costs</t>
  </si>
  <si>
    <t xml:space="preserve">S.fin.oneOffY</t>
  </si>
  <si>
    <t xml:space="preserve">Other property: value (only used for the section status)</t>
  </si>
  <si>
    <t xml:space="preserve">S.fin.propValue</t>
  </si>
  <si>
    <t xml:space="preserve">Other property: rent received a month</t>
  </si>
  <si>
    <t xml:space="preserve">S.fin.rentM</t>
  </si>
  <si>
    <t xml:space="preserve">Your home (Own outright / Own with mortgage / Rent / Live with family)</t>
  </si>
  <si>
    <t xml:space="preserve">S.fin.home</t>
  </si>
  <si>
    <t xml:space="preserve">Own with mortgage</t>
  </si>
  <si>
    <t xml:space="preserve">S.fin.homeValue (only counted as a missing detail)</t>
  </si>
  <si>
    <t xml:space="preserve">Cash savings</t>
  </si>
  <si>
    <t xml:space="preserve">S.fin.cash</t>
  </si>
  <si>
    <t xml:space="preserve">S.fin.invest</t>
  </si>
  <si>
    <t xml:space="preserve">Mortgage left</t>
  </si>
  <si>
    <t xml:space="preserve">S.fin.mortBal</t>
  </si>
  <si>
    <t xml:space="preserve">Mortgage rate, APR (e.g. 0.0385 = 3.85%; blank = your assumption)</t>
  </si>
  <si>
    <t xml:space="preserve">S.fin.mortRate (the app shows it as a %, here a rate)</t>
  </si>
  <si>
    <t xml:space="preserve">Mortgage monthly repayment</t>
  </si>
  <si>
    <t xml:space="preserve">S.fin.mortPayM</t>
  </si>
  <si>
    <t xml:space="preserve">Mortgage years left</t>
  </si>
  <si>
    <t xml:space="preserve">S.fin.mortYears</t>
  </si>
  <si>
    <t xml:space="preserve">Credit cards: total owed (a list on "Your lists" wins)</t>
  </si>
  <si>
    <t xml:space="preserve">S.fin.cardBal</t>
  </si>
  <si>
    <t xml:space="preserve">Credit cards: monthly repayment</t>
  </si>
  <si>
    <t xml:space="preserve">S.fin.cardPayM</t>
  </si>
  <si>
    <t xml:space="preserve">Credit cards: APR (e.g. 0.22 = 22%; blank = your assumption)</t>
  </si>
  <si>
    <t xml:space="preserve">S.fin.cardRate (the app shows it as a %, here a rate)</t>
  </si>
  <si>
    <t xml:space="preserve">Other loans: total owed</t>
  </si>
  <si>
    <t xml:space="preserve">S.fin.loanBal</t>
  </si>
  <si>
    <t xml:space="preserve">Other loans: monthly repayment</t>
  </si>
  <si>
    <t xml:space="preserve">S.fin.loanPayM</t>
  </si>
  <si>
    <t xml:space="preserve">Other loans: APR (e.g. 0.09 = 9%; blank = your assumption)</t>
  </si>
  <si>
    <t xml:space="preserve">S.fin.loanRate (the app shows it as a %, here a rate)</t>
  </si>
  <si>
    <t xml:space="preserve">Other debt (older single figure)</t>
  </si>
  <si>
    <t xml:space="preserve">S.fin.debt</t>
  </si>
  <si>
    <t xml:space="preserve">Other debt monthly repayment</t>
  </si>
  <si>
    <t xml:space="preserve">S.fin.debtPayM</t>
  </si>
  <si>
    <t xml:space="preserve">Pension value today (a list on "Your lists" wins)</t>
  </si>
  <si>
    <t xml:space="preserve">S.fin.pension</t>
  </si>
  <si>
    <t xml:space="preserve">Paid into your pension each month, you + employer</t>
  </si>
  <si>
    <t xml:space="preserve">S.fin.pensionM</t>
  </si>
  <si>
    <t xml:space="preserve">Of that, paid by you each month (blank = your share assumption)</t>
  </si>
  <si>
    <t xml:space="preserve">S.fin.pensionOwnM</t>
  </si>
  <si>
    <t xml:space="preserve">Your statement's pension charges, a rate (e.g. 0.01 = 1%; blank = the typical charges are already in the growth rate)</t>
  </si>
  <si>
    <t xml:space="preserve">S.fin.penChg (the app shows it as a %, here a rate)</t>
  </si>
  <si>
    <t xml:space="preserve">Auto-enrolled in My Future Fund? (Yes/No/Not sure; "No" turns it off)</t>
  </si>
  <si>
    <t xml:space="preserve">S.fin.ae</t>
  </si>
  <si>
    <t xml:space="preserve">State Pension (Expect full / Partly / Not sure)</t>
  </si>
  <si>
    <t xml:space="preserve">S.fin.sp</t>
  </si>
  <si>
    <t xml:space="preserve">Expect full</t>
  </si>
  <si>
    <t xml:space="preserve">PRSI years at 66 (blank = not known)</t>
  </si>
  <si>
    <t xml:space="preserve">S.fin.spYears</t>
  </si>
  <si>
    <t xml:space="preserve">Partner's State Pension (Own full / Own partial / Qualified adult increase / None / Not sure)</t>
  </si>
  <si>
    <t xml:space="preserve">S.fin.pSp</t>
  </si>
  <si>
    <t xml:space="preserve">Life cover (Yes/No/Not sure)</t>
  </si>
  <si>
    <t xml:space="preserve">S.fin.life</t>
  </si>
  <si>
    <t xml:space="preserve">Income protection (Yes/No/Not sure)</t>
  </si>
  <si>
    <t xml:space="preserve">S.fin.ip</t>
  </si>
  <si>
    <t xml:space="preserve">Serious illness cover (Yes/No/Not sure)</t>
  </si>
  <si>
    <t xml:space="preserve">S.fin.ci</t>
  </si>
  <si>
    <t xml:space="preserve">Not sure</t>
  </si>
  <si>
    <t xml:space="preserve">Cover through work (Yes/No/Not sure)</t>
  </si>
  <si>
    <t xml:space="preserve">S.fin.workCover</t>
  </si>
  <si>
    <t xml:space="preserve">Health insurance (Yes/No/Not sure)</t>
  </si>
  <si>
    <t xml:space="preserve">S.fin.health</t>
  </si>
  <si>
    <t xml:space="preserve">SESSION FACTS (what Home and My money show; none of them changes the plan numbers)</t>
  </si>
  <si>
    <t xml:space="preserve">Adviser meeting booked? (Yes/No)</t>
  </si>
  <si>
    <t xml:space="preserve">S.book.done</t>
  </si>
  <si>
    <t xml:space="preserve">Meeting slot as shown to you (text, e.g. Tue 14 Oct, 10:00)</t>
  </si>
  <si>
    <t xml:space="preserve">S.book.slot</t>
  </si>
  <si>
    <t xml:space="preserve">Re-checked your first answers? (Yes/No)</t>
  </si>
  <si>
    <t xml:space="preserve">S.um.rechecked</t>
  </si>
  <si>
    <t xml:space="preserve">Chose a what-if as your plan? (Yes/No)</t>
  </si>
  <si>
    <t xml:space="preserve">S.pref (set)</t>
  </si>
  <si>
    <t xml:space="preserve">Section saved: About you (Yes/No)</t>
  </si>
  <si>
    <t xml:space="preserve">S.saved.about</t>
  </si>
  <si>
    <t xml:space="preserve">Section saved: Income and expenses (Yes/No)</t>
  </si>
  <si>
    <t xml:space="preserve">S.saved.income</t>
  </si>
  <si>
    <t xml:space="preserve">Section saved: Assets (Yes/No)</t>
  </si>
  <si>
    <t xml:space="preserve">S.saved.assets</t>
  </si>
  <si>
    <t xml:space="preserve">Section saved: Liabilities (Yes/No)</t>
  </si>
  <si>
    <t xml:space="preserve">S.saved.liab</t>
  </si>
  <si>
    <t xml:space="preserve">Section saved: Protection (Yes/No)</t>
  </si>
  <si>
    <t xml:space="preserve">S.saved.prot</t>
  </si>
  <si>
    <t xml:space="preserve">Section saved: Pension (Yes/No)</t>
  </si>
  <si>
    <t xml:space="preserve">S.saved.pension</t>
  </si>
  <si>
    <t xml:space="preserve">Figures flagged "Needs a look" by a document or by you (field keys separated by commas, e.g. income,cash)</t>
  </si>
  <si>
    <t xml:space="preserve">S.look keys (the pay-too-low flags are worked out for you)</t>
  </si>
  <si>
    <t xml:space="preserve">pension</t>
  </si>
  <si>
    <t xml:space="preserve">Flags you chose to "Leave for my adviser" (field keys separated by commas)</t>
  </si>
  <si>
    <t xml:space="preserve">S.ack keys</t>
  </si>
  <si>
    <t xml:space="preserve">YOUR ASSUMPTIONS (the choices the customer makes; blank = not chosen yet)</t>
  </si>
  <si>
    <t xml:space="preserve">Investments grow (a year)</t>
  </si>
  <si>
    <t xml:space="preserve">S.asm.inv</t>
  </si>
  <si>
    <t xml:space="preserve">Cash savings earn (a year)</t>
  </si>
  <si>
    <t xml:space="preserve">S.asm.cash</t>
  </si>
  <si>
    <t xml:space="preserve">Pension grows while you work (a year)</t>
  </si>
  <si>
    <t xml:space="preserve">S.asm.pen</t>
  </si>
  <si>
    <t xml:space="preserve">Pension grows once retired (a year)</t>
  </si>
  <si>
    <t xml:space="preserve">S.asm.penRet</t>
  </si>
  <si>
    <t xml:space="preserve">Pay rises (a year)</t>
  </si>
  <si>
    <t xml:space="preserve">S.asm.wage</t>
  </si>
  <si>
    <t xml:space="preserve">Tax bands in future (prices / flat)</t>
  </si>
  <si>
    <t xml:space="preserve">S.asm.bands</t>
  </si>
  <si>
    <t xml:space="preserve">State Pension in future (prices / pay / flat)</t>
  </si>
  <si>
    <t xml:space="preserve">S.asm.spGrow</t>
  </si>
  <si>
    <t xml:space="preserve">Share of your pension you pay yourself</t>
  </si>
  <si>
    <t xml:space="preserve">S.asm.ownShare</t>
  </si>
  <si>
    <t xml:space="preserve">Pension access age (60 is usual; 50 only if your occupational scheme allows it)</t>
  </si>
  <si>
    <t xml:space="preserve">S.asm.accessAge</t>
  </si>
  <si>
    <t xml:space="preserve">Retirement spending if no retirement goal (share of today's)</t>
  </si>
  <si>
    <t xml:space="preserve">S.asm.retireSpend</t>
  </si>
  <si>
    <t xml:space="preserve">Tax-free lump sum to take (share of pension)</t>
  </si>
  <si>
    <t xml:space="preserve">S.asm.lumpSum</t>
  </si>
  <si>
    <t xml:space="preserve">How you draw your pension (spread / min / fixed)</t>
  </si>
  <si>
    <t xml:space="preserve">S.asm.drawRule</t>
  </si>
  <si>
    <t xml:space="preserve">Fixed amount a year, if you chose fixed (today's money)</t>
  </si>
  <si>
    <t xml:space="preserve">S.asm.drawFixed</t>
  </si>
  <si>
    <t xml:space="preserve">Emergency fund months</t>
  </si>
  <si>
    <t xml:space="preserve">S.asm.safetyMonths</t>
  </si>
  <si>
    <t xml:space="preserve">Money for goals sooner than this is kept as cash (years)</t>
  </si>
  <si>
    <t xml:space="preserve">S.asm.cashYears</t>
  </si>
  <si>
    <t xml:space="preserve">Spare savings: share invested</t>
  </si>
  <si>
    <t xml:space="preserve">S.asm.investShare</t>
  </si>
  <si>
    <t xml:space="preserve">Share of spare money saved, at most</t>
  </si>
  <si>
    <t xml:space="preserve">S.asm.saveShare</t>
  </si>
  <si>
    <t xml:space="preserve">Monthly saving if Q6 not answered</t>
  </si>
  <si>
    <t xml:space="preserve">S.asm.noAnswer</t>
  </si>
  <si>
    <t xml:space="preserve">Plan until age (your choice, never filled in for you)</t>
  </si>
  <si>
    <t xml:space="preserve">S.asm.planEnd</t>
  </si>
  <si>
    <t xml:space="preserve">Start the plan in (2026 / 2027)</t>
  </si>
  <si>
    <t xml:space="preserve">year</t>
  </si>
  <si>
    <t xml:space="preserve">S.asm.startYear</t>
  </si>
  <si>
    <t xml:space="preserve">Mortgage rate if the statement does not say</t>
  </si>
  <si>
    <t xml:space="preserve">S.asm.mortRate</t>
  </si>
  <si>
    <t xml:space="preserve">Credit-card rate if the statement does not say</t>
  </si>
  <si>
    <t xml:space="preserve">S.asm.cardRate</t>
  </si>
  <si>
    <t xml:space="preserve">Other loans rate if the statement does not say</t>
  </si>
  <si>
    <t xml:space="preserve">S.asm.loanRate</t>
  </si>
  <si>
    <t xml:space="preserve">Your State Pension a week at 66 (if you do not know your PRSI years)</t>
  </si>
  <si>
    <t xml:space="preserve">S.asm.spWeek</t>
  </si>
  <si>
    <t xml:space="preserve">Partner's State Pension a week at 66</t>
  </si>
  <si>
    <t xml:space="preserve">S.asm.pSpWeek</t>
  </si>
  <si>
    <t xml:space="preserve">PRSI years at 66 (as an assumption)</t>
  </si>
  <si>
    <t xml:space="preserve">S.asm.spYears</t>
  </si>
  <si>
    <t xml:space="preserve">Typical pension charges already in the growth rate</t>
  </si>
  <si>
    <t xml:space="preserve">S.asm.penChg</t>
  </si>
  <si>
    <t xml:space="preserve">YOUR GOALS (up to 22: 20 saved for from savings, plus Retire and Leave a legacy; in the order you added them)</t>
  </si>
  <si>
    <t xml:space="preserve">Goal type (key)</t>
  </si>
  <si>
    <t xml:space="preserve">Name (blank = standard name)</t>
  </si>
  <si>
    <t xml:space="preserve">Target age (not used for Retire or Legacy)</t>
  </si>
  <si>
    <t xml:space="preserve">Amount today (Retire: yearly income)</t>
  </si>
  <si>
    <t xml:space="preserve">Priority</t>
  </si>
  <si>
    <t xml:space="preserve">Rank (1 = first; blank = not ranked)</t>
  </si>
  <si>
    <t xml:space="preserve">Emergency fund amount follows months x spending? (Yes/No)</t>
  </si>
  <si>
    <t xml:space="preserve">Used: key</t>
  </si>
  <si>
    <t xml:space="preserve">Used: name</t>
  </si>
  <si>
    <t xml:space="preserve">Used: age</t>
  </si>
  <si>
    <t xml:space="preserve">Used: amount</t>
  </si>
  <si>
    <t xml:space="preserve">Used: saved</t>
  </si>
  <si>
    <t xml:space="preserve">Used: priority</t>
  </si>
  <si>
    <t xml:space="preserve">Used: rank</t>
  </si>
  <si>
    <t xml:space="preserve">Used: auto</t>
  </si>
  <si>
    <t xml:space="preserve">Goal 1</t>
  </si>
  <si>
    <t xml:space="preserve">Goal 2</t>
  </si>
  <si>
    <t xml:space="preserve">Goal 3</t>
  </si>
  <si>
    <t xml:space="preserve">Goal 4</t>
  </si>
  <si>
    <t xml:space="preserve">Goal 5</t>
  </si>
  <si>
    <t xml:space="preserve">Goal 6</t>
  </si>
  <si>
    <t xml:space="preserve">Goal 7</t>
  </si>
  <si>
    <t xml:space="preserve">Goal 8</t>
  </si>
  <si>
    <t xml:space="preserve">Goal 9</t>
  </si>
  <si>
    <t xml:space="preserve">Goal 10</t>
  </si>
  <si>
    <t xml:space="preserve">Goal 11</t>
  </si>
  <si>
    <t xml:space="preserve">Goal 12</t>
  </si>
  <si>
    <t xml:space="preserve">Goal 13</t>
  </si>
  <si>
    <t xml:space="preserve">Goal 14</t>
  </si>
  <si>
    <t xml:space="preserve">Goal 15</t>
  </si>
  <si>
    <t xml:space="preserve">Goal 16</t>
  </si>
  <si>
    <t xml:space="preserve">Goal 17</t>
  </si>
  <si>
    <t xml:space="preserve">Goal 18</t>
  </si>
  <si>
    <t xml:space="preserve">Goal 19</t>
  </si>
  <si>
    <t xml:space="preserve">Goal 20</t>
  </si>
  <si>
    <t xml:space="preserve">Goal 21</t>
  </si>
  <si>
    <t xml:space="preserve">Goal 22</t>
  </si>
  <si>
    <t xml:space="preserve">Plan pay &amp; tax: the figures the plan uses, and each year's pay, pension and tax (same rules as the prototype's finNums, netPay and hhTax)</t>
  </si>
  <si>
    <t xml:space="preserve">RULES the plan uses (set by law; the same values as the prototype's RULES_IE_2026)</t>
  </si>
  <si>
    <t xml:space="preserve">Value</t>
  </si>
  <si>
    <t xml:space="preserve">How it is worked out</t>
  </si>
  <si>
    <t xml:space="preserve">Income tax: 20% band, single (Band_Single)</t>
  </si>
  <si>
    <t xml:space="preserve">Assumptions: Band_Single</t>
  </si>
  <si>
    <t xml:space="preserve">20% band, lone parent with SPCCC</t>
  </si>
  <si>
    <t xml:space="preserve">Assumptions: Band_Single_Parent</t>
  </si>
  <si>
    <t xml:space="preserve">20% band, married one earner</t>
  </si>
  <si>
    <t xml:space="preserve">Assumptions: Band_Married</t>
  </si>
  <si>
    <t xml:space="preserve">Second-earner uplift, at most</t>
  </si>
  <si>
    <t xml:space="preserve">Assumptions: Band_Second_Earner_Max</t>
  </si>
  <si>
    <t xml:space="preserve">Standard rate</t>
  </si>
  <si>
    <t xml:space="preserve">Assumptions: Rate_Standard</t>
  </si>
  <si>
    <t xml:space="preserve">Higher rate</t>
  </si>
  <si>
    <t xml:space="preserve">Assumptions: Rate_Higher</t>
  </si>
  <si>
    <t xml:space="preserve">Personal credit, single</t>
  </si>
  <si>
    <t xml:space="preserve">Assumptions: Credit_Personal_Single</t>
  </si>
  <si>
    <t xml:space="preserve">Personal credit, married</t>
  </si>
  <si>
    <t xml:space="preserve">Assumptions: Credit_Personal_Married</t>
  </si>
  <si>
    <t xml:space="preserve">Employee (PAYE) credit</t>
  </si>
  <si>
    <t xml:space="preserve">Assumptions: Credit_PAYE</t>
  </si>
  <si>
    <t xml:space="preserve">PAYE credit cap, share of pay</t>
  </si>
  <si>
    <t xml:space="preserve">PR_PAYEcap</t>
  </si>
  <si>
    <t xml:space="preserve">Rent Tax Credit, single</t>
  </si>
  <si>
    <t xml:space="preserve">Assumptions: Credit_Rent_Single</t>
  </si>
  <si>
    <t xml:space="preserve">Rent Tax Credit, joint</t>
  </si>
  <si>
    <t xml:space="preserve">Assumptions: Credit_Rent_Joint</t>
  </si>
  <si>
    <t xml:space="preserve">Last year of the Rent Tax Credit</t>
  </si>
  <si>
    <t xml:space="preserve">PR_RentLast</t>
  </si>
  <si>
    <t xml:space="preserve">Single Person Child Carer Credit</t>
  </si>
  <si>
    <t xml:space="preserve">Assumptions: Credit_SPCCC</t>
  </si>
  <si>
    <t xml:space="preserve">Home Carer Credit</t>
  </si>
  <si>
    <t xml:space="preserve">Assumptions: Credit_Home_Carer</t>
  </si>
  <si>
    <t xml:space="preserve">Home Carer income limit</t>
  </si>
  <si>
    <t xml:space="preserve">PR_HCLimit</t>
  </si>
  <si>
    <t xml:space="preserve">Age credit from</t>
  </si>
  <si>
    <t xml:space="preserve">PR_AgeCrAge</t>
  </si>
  <si>
    <t xml:space="preserve">Age credit</t>
  </si>
  <si>
    <t xml:space="preserve">PR_AgeCr</t>
  </si>
  <si>
    <t xml:space="preserve">Age exemption limit, single</t>
  </si>
  <si>
    <t xml:space="preserve">PR_AgeEx</t>
  </si>
  <si>
    <t xml:space="preserve">Age exemption limit, married</t>
  </si>
  <si>
    <t xml:space="preserve">PR_AgeExM</t>
  </si>
  <si>
    <t xml:space="preserve">Age exemption marginal rate</t>
  </si>
  <si>
    <t xml:space="preserve">PR_AgeMarg</t>
  </si>
  <si>
    <t xml:space="preserve">USC exemption</t>
  </si>
  <si>
    <t xml:space="preserve">Assumptions: USC_Exempt</t>
  </si>
  <si>
    <t xml:space="preserve">USC band 1 top</t>
  </si>
  <si>
    <t xml:space="preserve">Assumptions: USC_Band_1</t>
  </si>
  <si>
    <t xml:space="preserve">USC band 2 top</t>
  </si>
  <si>
    <t xml:space="preserve">Assumptions: USC_Band_2</t>
  </si>
  <si>
    <t xml:space="preserve">USC band 3 top</t>
  </si>
  <si>
    <t xml:space="preserve">Assumptions: USC_Band_3</t>
  </si>
  <si>
    <t xml:space="preserve">USC rate 1</t>
  </si>
  <si>
    <t xml:space="preserve">Assumptions: USC_Rate_1</t>
  </si>
  <si>
    <t xml:space="preserve">USC rate 2</t>
  </si>
  <si>
    <t xml:space="preserve">Assumptions: USC_Rate_2</t>
  </si>
  <si>
    <t xml:space="preserve">USC rate 3</t>
  </si>
  <si>
    <t xml:space="preserve">Assumptions: USC_Rate_3</t>
  </si>
  <si>
    <t xml:space="preserve">USC rate 4</t>
  </si>
  <si>
    <t xml:space="preserve">Assumptions: USC_Rate_4</t>
  </si>
  <si>
    <t xml:space="preserve">Reduced USC from age</t>
  </si>
  <si>
    <t xml:space="preserve">PR_USCredAge</t>
  </si>
  <si>
    <t xml:space="preserve">Reduced USC income limit</t>
  </si>
  <si>
    <t xml:space="preserve">PR_USCredMax</t>
  </si>
  <si>
    <t xml:space="preserve">Reduced USC band 1 top</t>
  </si>
  <si>
    <t xml:space="preserve">PR_USCredB1</t>
  </si>
  <si>
    <t xml:space="preserve">Reduced USC rate 1</t>
  </si>
  <si>
    <t xml:space="preserve">PR_USCredR1</t>
  </si>
  <si>
    <t xml:space="preserve">Reduced USC rate 2</t>
  </si>
  <si>
    <t xml:space="preserve">PR_USCredR2</t>
  </si>
  <si>
    <t xml:space="preserve">Self-employed USC surcharge</t>
  </si>
  <si>
    <t xml:space="preserve">PR_USCse</t>
  </si>
  <si>
    <t xml:space="preserve">Surcharge on self-employed income over</t>
  </si>
  <si>
    <t xml:space="preserve">PR_USCseOver</t>
  </si>
  <si>
    <t xml:space="preserve">PRSI rate, from Oct 2025</t>
  </si>
  <si>
    <t xml:space="preserve">PR_PRSIr0</t>
  </si>
  <si>
    <t xml:space="preserve">PRSI rate, from Oct 2026</t>
  </si>
  <si>
    <t xml:space="preserve">PR_PRSIr1</t>
  </si>
  <si>
    <t xml:space="preserve">PRSI rate, from Oct 2027</t>
  </si>
  <si>
    <t xml:space="preserve">PR_PRSIr2</t>
  </si>
  <si>
    <t xml:space="preserve">PRSI rate, from Oct 2028</t>
  </si>
  <si>
    <t xml:space="preserve">PR_PRSIr3</t>
  </si>
  <si>
    <t xml:space="preserve">Month index of the Oct 2026 change (year x 12 + month - 1)</t>
  </si>
  <si>
    <t xml:space="preserve">PR_PRSIt1</t>
  </si>
  <si>
    <t xml:space="preserve">Month index of the Oct 2027 change</t>
  </si>
  <si>
    <t xml:space="preserve">PR_PRSIt2</t>
  </si>
  <si>
    <t xml:space="preserve">Month index of the Oct 2028 change</t>
  </si>
  <si>
    <t xml:space="preserve">PR_PRSIt3</t>
  </si>
  <si>
    <t xml:space="preserve">PRSI: weekly earnings with no PRSI</t>
  </si>
  <si>
    <t xml:space="preserve">Assumptions: PRSI_Free_Week</t>
  </si>
  <si>
    <t xml:space="preserve">PRSI credit, maximum a week</t>
  </si>
  <si>
    <t xml:space="preserve">Assumptions: PRSI_Credit_Max</t>
  </si>
  <si>
    <t xml:space="preserve">PRSI credit ends above (a week)</t>
  </si>
  <si>
    <t xml:space="preserve">Assumptions: PRSI_Credit_Top</t>
  </si>
  <si>
    <t xml:space="preserve">PRSI credit taper</t>
  </si>
  <si>
    <t xml:space="preserve">Assumptions: PRSI_Credit_Taper</t>
  </si>
  <si>
    <t xml:space="preserve">No PRSI from age</t>
  </si>
  <si>
    <t xml:space="preserve">PR_PRSIend</t>
  </si>
  <si>
    <t xml:space="preserve">Class S: income above which PRSI applies</t>
  </si>
  <si>
    <t xml:space="preserve">PR_PRSIsMinInc</t>
  </si>
  <si>
    <t xml:space="preserve">Class S minimum</t>
  </si>
  <si>
    <t xml:space="preserve">PR_PRSIsMin</t>
  </si>
  <si>
    <t xml:space="preserve">Unearned income above which PRSI applies</t>
  </si>
  <si>
    <t xml:space="preserve">PR_PRSIunearned</t>
  </si>
  <si>
    <t xml:space="preserve">Pension relief: under 30</t>
  </si>
  <si>
    <t xml:space="preserve">PR_RelA1</t>
  </si>
  <si>
    <t xml:space="preserve">PR_RelP1</t>
  </si>
  <si>
    <t xml:space="preserve">under 40</t>
  </si>
  <si>
    <t xml:space="preserve">PR_RelA2</t>
  </si>
  <si>
    <t xml:space="preserve">PR_RelP2</t>
  </si>
  <si>
    <t xml:space="preserve">under 50</t>
  </si>
  <si>
    <t xml:space="preserve">PR_RelA3</t>
  </si>
  <si>
    <t xml:space="preserve">PR_RelP3</t>
  </si>
  <si>
    <t xml:space="preserve">under 55</t>
  </si>
  <si>
    <t xml:space="preserve">PR_RelA4</t>
  </si>
  <si>
    <t xml:space="preserve">PR_RelP4</t>
  </si>
  <si>
    <t xml:space="preserve">under 60</t>
  </si>
  <si>
    <t xml:space="preserve">PR_RelA5</t>
  </si>
  <si>
    <t xml:space="preserve">PR_RelP5</t>
  </si>
  <si>
    <t xml:space="preserve">60 and over</t>
  </si>
  <si>
    <t xml:space="preserve">PR_RelP6</t>
  </si>
  <si>
    <t xml:space="preserve">Pension relief earnings cap</t>
  </si>
  <si>
    <t xml:space="preserve">Assumptions: Relief_Earnings_Cap</t>
  </si>
  <si>
    <t xml:space="preserve">Lump sum: at most this share</t>
  </si>
  <si>
    <t xml:space="preserve">Assumptions: Lump_Sum_Max_Pct</t>
  </si>
  <si>
    <t xml:space="preserve">Lump sum tax-free up to</t>
  </si>
  <si>
    <t xml:space="preserve">Assumptions: Lump_Sum_Tax_Free</t>
  </si>
  <si>
    <t xml:space="preserve">Lump sum counted up to</t>
  </si>
  <si>
    <t xml:space="preserve">Assumptions: Lump_Sum_Cap</t>
  </si>
  <si>
    <t xml:space="preserve">Lump sum tax rate on the next band</t>
  </si>
  <si>
    <t xml:space="preserve">Assumptions: Lump_Sum_Rate</t>
  </si>
  <si>
    <t xml:space="preserve">Standard Fund Threshold 2026</t>
  </si>
  <si>
    <t xml:space="preserve">Assumptions: SFT_2026</t>
  </si>
  <si>
    <t xml:space="preserve">2027</t>
  </si>
  <si>
    <t xml:space="preserve">PR_SFT2027</t>
  </si>
  <si>
    <t xml:space="preserve">2028</t>
  </si>
  <si>
    <t xml:space="preserve">PR_SFT2028</t>
  </si>
  <si>
    <t xml:space="preserve">2029 and after</t>
  </si>
  <si>
    <t xml:space="preserve">PR_SFT2029</t>
  </si>
  <si>
    <t xml:space="preserve">Tax above the threshold</t>
  </si>
  <si>
    <t xml:space="preserve">Assumptions: SFT_Tax</t>
  </si>
  <si>
    <t xml:space="preserve">Minimum draw from 61</t>
  </si>
  <si>
    <t xml:space="preserve">PR_ARF61</t>
  </si>
  <si>
    <t xml:space="preserve">Minimum draw from 71</t>
  </si>
  <si>
    <t xml:space="preserve">PR_ARF71</t>
  </si>
  <si>
    <t xml:space="preserve">Minimum draw over the big-fund limit</t>
  </si>
  <si>
    <t xml:space="preserve">PR_ARFbigRate</t>
  </si>
  <si>
    <t xml:space="preserve">Big-fund limit</t>
  </si>
  <si>
    <t xml:space="preserve">PR_ARFbig</t>
  </si>
  <si>
    <t xml:space="preserve">Earliest pension age</t>
  </si>
  <si>
    <t xml:space="preserve">PR_Earliest</t>
  </si>
  <si>
    <t xml:space="preserve">State Pension a week</t>
  </si>
  <si>
    <t xml:space="preserve">Assumptions: State_Pension_Week</t>
  </si>
  <si>
    <t xml:space="preserve">Weeks a year</t>
  </si>
  <si>
    <t xml:space="preserve">PR_Weeks</t>
  </si>
  <si>
    <t xml:space="preserve">State Pension age</t>
  </si>
  <si>
    <t xml:space="preserve">Assumptions: State_Pension_Age</t>
  </si>
  <si>
    <t xml:space="preserve">Over-80 increase a week</t>
  </si>
  <si>
    <t xml:space="preserve">PR_Over80</t>
  </si>
  <si>
    <t xml:space="preserve">Qualified Adult rate, 66+</t>
  </si>
  <si>
    <t xml:space="preserve">PR_QA66</t>
  </si>
  <si>
    <t xml:space="preserve">Qualified Adult rate, under 66</t>
  </si>
  <si>
    <t xml:space="preserve">PR_QAunder</t>
  </si>
  <si>
    <t xml:space="preserve">PRSI years for the full State Pension</t>
  </si>
  <si>
    <t xml:space="preserve">PR_SPfull</t>
  </si>
  <si>
    <t xml:space="preserve">Minimum PRSI years</t>
  </si>
  <si>
    <t xml:space="preserve">PR_SPmin</t>
  </si>
  <si>
    <t xml:space="preserve">Auto-enrolment: from age</t>
  </si>
  <si>
    <t xml:space="preserve">PR_AEageMin</t>
  </si>
  <si>
    <t xml:space="preserve">up to age</t>
  </si>
  <si>
    <t xml:space="preserve">PR_AEageMax</t>
  </si>
  <si>
    <t xml:space="preserve">earning over</t>
  </si>
  <si>
    <t xml:space="preserve">PR_AEearnMin</t>
  </si>
  <si>
    <t xml:space="preserve">on pay up to</t>
  </si>
  <si>
    <t xml:space="preserve">PR_AEcap</t>
  </si>
  <si>
    <t xml:space="preserve">employee rate</t>
  </si>
  <si>
    <t xml:space="preserve">PR_AEee</t>
  </si>
  <si>
    <t xml:space="preserve">employer rate</t>
  </si>
  <si>
    <t xml:space="preserve">PR_AEer</t>
  </si>
  <si>
    <t xml:space="preserve">State top-up rate</t>
  </si>
  <si>
    <t xml:space="preserve">PR_AEst</t>
  </si>
  <si>
    <t xml:space="preserve">Q6 band 1 (today's money a month)</t>
  </si>
  <si>
    <t xml:space="preserve">PR_SaveB1</t>
  </si>
  <si>
    <t xml:space="preserve">Q6 band 2</t>
  </si>
  <si>
    <t xml:space="preserve">PR_SaveB2</t>
  </si>
  <si>
    <t xml:space="preserve">Q6 band 3</t>
  </si>
  <si>
    <t xml:space="preserve">PR_SaveB3</t>
  </si>
  <si>
    <t xml:space="preserve">Q6 band 4 ("Over €750" counts as €1,000)</t>
  </si>
  <si>
    <t xml:space="preserve">PR_SaveB4</t>
  </si>
  <si>
    <t xml:space="preserve">Q6 "it changes": a third of spare money</t>
  </si>
  <si>
    <t xml:space="preserve">PR_ShareVaries</t>
  </si>
  <si>
    <t xml:space="preserve">Minimum ARF draw starts at this age</t>
  </si>
  <si>
    <t xml:space="preserve">PR_ARFage1</t>
  </si>
  <si>
    <t xml:space="preserve">Higher minimum ARF draw from this age</t>
  </si>
  <si>
    <t xml:space="preserve">PR_ARFage2</t>
  </si>
  <si>
    <t xml:space="preserve">State Pension over-80 increase from this age</t>
  </si>
  <si>
    <t xml:space="preserve">PR_Over80Age</t>
  </si>
  <si>
    <t xml:space="preserve">First year the Standard Fund Threshold is set by law</t>
  </si>
  <si>
    <t xml:space="preserve">PR_SFTfrom</t>
  </si>
  <si>
    <t xml:space="preserve">Last year it is set by law; later years rise with prices</t>
  </si>
  <si>
    <t xml:space="preserve">PR_SFTto</t>
  </si>
  <si>
    <t xml:space="preserve">A new goal is never put later than this age</t>
  </si>
  <si>
    <t xml:space="preserve">PR_GoalMaxAge</t>
  </si>
  <si>
    <t xml:space="preserve">A goal is never shown as 100% unless it is covered: the most shown otherwise</t>
  </si>
  <si>
    <t xml:space="preserve">PR_PctCap</t>
  </si>
  <si>
    <t xml:space="preserve">Level 4: a goal under this % counts as low</t>
  </si>
  <si>
    <t xml:space="preserve">PR_LowPct</t>
  </si>
  <si>
    <t xml:space="preserve">The "you can save more" nudge needs the try-this saving at least this much above what you save</t>
  </si>
  <si>
    <t xml:space="preserve">PR_NudgeStep</t>
  </si>
  <si>
    <t xml:space="preserve">A debt balance at or below this (euro) counts as cleared</t>
  </si>
  <si>
    <t xml:space="preserve">PR_BalDone</t>
  </si>
  <si>
    <t xml:space="preserve">A shortfall below this (euro) is ignored</t>
  </si>
  <si>
    <t xml:space="preserve">PR_MinShort</t>
  </si>
  <si>
    <t xml:space="preserve">Sort key: a goal with no rank sorts after every ranked goal</t>
  </si>
  <si>
    <t xml:space="preserve">PR_SortBig</t>
  </si>
  <si>
    <t xml:space="preserve">Planning rate: credit-card rate if the customer gives none (no published average; labelled "Assumed: add yours")</t>
  </si>
  <si>
    <t xml:space="preserve">PR_FbCard</t>
  </si>
  <si>
    <t xml:space="preserve">Internal fallback: fixed draw a year if "fixed" is chosen without an amount</t>
  </si>
  <si>
    <t xml:space="preserve">PR_FbDrawFixed</t>
  </si>
  <si>
    <t xml:space="preserve">Internal fallback: the retirement age used while none is chosen (the plan is gated; the app starts at 66)</t>
  </si>
  <si>
    <t xml:space="preserve">PR_FbRetireAge</t>
  </si>
  <si>
    <t xml:space="preserve">Internal fallback: years left on a mortgage when none is given (the missing-details banner says so)</t>
  </si>
  <si>
    <t xml:space="preserve">PR_FbMortYears</t>
  </si>
  <si>
    <t xml:space="preserve">Internal fallback: typical pension charges</t>
  </si>
  <si>
    <t xml:space="preserve">PR_FbPenChg</t>
  </si>
  <si>
    <t xml:space="preserve">Your State Pension if "Partly": share of the full rate when no PRSI years or weekly rate are given</t>
  </si>
  <si>
    <t xml:space="preserve">PR_FbSpPartly</t>
  </si>
  <si>
    <t xml:space="preserve">Your State Pension if "Not sure": share of the full rate</t>
  </si>
  <si>
    <t xml:space="preserve">PR_FbSpOther</t>
  </si>
  <si>
    <t xml:space="preserve">Internal fallback: plan-until age, alone</t>
  </si>
  <si>
    <t xml:space="preserve">PR_FbPlanEnd1</t>
  </si>
  <si>
    <t xml:space="preserve">Internal fallback: plan-until age, with a partner</t>
  </si>
  <si>
    <t xml:space="preserve">PR_FbPlanEnd2</t>
  </si>
  <si>
    <t xml:space="preserve">A shortfall year: more than this euro amount ...</t>
  </si>
  <si>
    <t xml:space="preserve">PR_Short1</t>
  </si>
  <si>
    <t xml:space="preserve">... or this share of the year's needs</t>
  </si>
  <si>
    <t xml:space="preserve">PR_Short2</t>
  </si>
  <si>
    <t xml:space="preserve">On track from (%)</t>
  </si>
  <si>
    <t xml:space="preserve">PR_Good</t>
  </si>
  <si>
    <t xml:space="preserve">Needs a nudge from (%)</t>
  </si>
  <si>
    <t xml:space="preserve">PR_Nudge</t>
  </si>
  <si>
    <t xml:space="preserve">From the day after this date the plan starts in 2027 (the app's own switch)</t>
  </si>
  <si>
    <t xml:space="preserve">PR_StartSwitch (a date typed in the app's code)</t>
  </si>
  <si>
    <t xml:space="preserve">YOUR CHOICES the plan reads (an unchosen choice falls back to the standard in Settings, exactly like the prototype's asmV)</t>
  </si>
  <si>
    <t xml:space="preserve">Growth set is Cautious (1) or Standard (0)</t>
  </si>
  <si>
    <t xml:space="preserve">Inflation used</t>
  </si>
  <si>
    <t xml:space="preserve">S.infl, else the Settings standard (an internal fallback only: the plan is gated until chosen)</t>
  </si>
  <si>
    <t xml:space="preserve">wage growth used</t>
  </si>
  <si>
    <t xml:space="preserve">cash growth used</t>
  </si>
  <si>
    <t xml:space="preserve">inv growth used</t>
  </si>
  <si>
    <t xml:space="preserve">pen growth used</t>
  </si>
  <si>
    <t xml:space="preserve">penRet growth used</t>
  </si>
  <si>
    <t xml:space="preserve">Mortgage rate assumption</t>
  </si>
  <si>
    <t xml:space="preserve">if none is given: the suggested Central Bank average on Settings (labelled "Assumed: add yours" in the app)</t>
  </si>
  <si>
    <t xml:space="preserve">Credit-card rate assumption</t>
  </si>
  <si>
    <t xml:space="preserve">if none is given: the 20% planning rate ("Assumed: add yours")</t>
  </si>
  <si>
    <t xml:space="preserve">Other loans rate assumption</t>
  </si>
  <si>
    <t xml:space="preserve">if none is given: the suggested Central Bank average on Settings ("Assumed: add yours")</t>
  </si>
  <si>
    <t xml:space="preserve">Plan until age</t>
  </si>
  <si>
    <t xml:space="preserve">fallback 90 (95 with a partner), never shown</t>
  </si>
  <si>
    <t xml:space="preserve">First plan year</t>
  </si>
  <si>
    <t xml:space="preserve">Two secure incomes (1/0)</t>
  </si>
  <si>
    <t xml:space="preserve">Years kept as cash</t>
  </si>
  <si>
    <t xml:space="preserve">Spare savings invested (share)</t>
  </si>
  <si>
    <t xml:space="preserve">Pension access age</t>
  </si>
  <si>
    <t xml:space="preserve">Lump sum share</t>
  </si>
  <si>
    <t xml:space="preserve">Drawdown rule</t>
  </si>
  <si>
    <t xml:space="preserve">Fixed draw a year (today's money)</t>
  </si>
  <si>
    <t xml:space="preserve">Tax bands in future</t>
  </si>
  <si>
    <t xml:space="preserve">State Pension in future</t>
  </si>
  <si>
    <t xml:space="preserve">Retirement spending share</t>
  </si>
  <si>
    <t xml:space="preserve">Share of pension you pay yourself</t>
  </si>
  <si>
    <t xml:space="preserve">Typical pension charges in the growth rate</t>
  </si>
  <si>
    <t xml:space="preserve">Your State Pension answer ('Not sure' if blank)</t>
  </si>
  <si>
    <t xml:space="preserve">Your State Pension a week (if no PRSI years)</t>
  </si>
  <si>
    <t xml:space="preserve">Partner's State Pension answer ('Not sure' if blank)</t>
  </si>
  <si>
    <t xml:space="preserve">Partner's State Pension a week</t>
  </si>
  <si>
    <t xml:space="preserve">State Pension a year, full rate (weekly rate x 52)</t>
  </si>
  <si>
    <t xml:space="preserve">YOUR FIGURES the plan uses (the prototype's finNums: a skipped figure counts as €0)</t>
  </si>
  <si>
    <t xml:space="preserve">Your work (Employed if not said and you have an income)</t>
  </si>
  <si>
    <t xml:space="preserve">Partner (1/0)</t>
  </si>
  <si>
    <t xml:space="preserve">Joint assessment (1/0)</t>
  </si>
  <si>
    <t xml:space="preserve">Your income (0 if not working)</t>
  </si>
  <si>
    <t xml:space="preserve">Partner's income</t>
  </si>
  <si>
    <t xml:space="preserve">Partner's age (your own age if not given)</t>
  </si>
  <si>
    <t xml:space="preserve">Partner's retirement age (0 = not given)</t>
  </si>
  <si>
    <t xml:space="preserve">Other income a month</t>
  </si>
  <si>
    <t xml:space="preserve">Living costs a month</t>
  </si>
  <si>
    <t xml:space="preserve">One-off costs a year</t>
  </si>
  <si>
    <t xml:space="preserve">Cash</t>
  </si>
  <si>
    <t xml:space="preserve">Rental income a month</t>
  </si>
  <si>
    <t xml:space="preserve">Own with mortgage (1/0)</t>
  </si>
  <si>
    <t xml:space="preserve">Mortgage rate used</t>
  </si>
  <si>
    <t xml:space="preserve">Mortgage repayment given</t>
  </si>
  <si>
    <t xml:space="preserve">Mortgage repayment used (given, else worked out from balance, rate and years; 25 years if none, gated)</t>
  </si>
  <si>
    <t xml:space="preserve">Mortgage repayment was worked out (1/0)</t>
  </si>
  <si>
    <t xml:space="preserve">Mortgage repayment too low to clear it (1/0)</t>
  </si>
  <si>
    <t xml:space="preserve">DEBTS (the prototype's debtNums; a mortgage on another property is folded into other loans)</t>
  </si>
  <si>
    <t xml:space="preserve">Other-property mortgages: balance</t>
  </si>
  <si>
    <t xml:space="preserve">Other-property mortgages: repayment</t>
  </si>
  <si>
    <t xml:space="preserve">Other-property mortgages: weighted rate</t>
  </si>
  <si>
    <t xml:space="preserve">Card rate used</t>
  </si>
  <si>
    <t xml:space="preserve">Loan rate used (before other-property mortgages)</t>
  </si>
  <si>
    <t xml:space="preserve">Loans owed (before other-property mortgages)</t>
  </si>
  <si>
    <t xml:space="preserve">Loan rate used, weighted</t>
  </si>
  <si>
    <t xml:space="preserve">Cards owed</t>
  </si>
  <si>
    <t xml:space="preserve">Loans owed (incl. other-property mortgages)</t>
  </si>
  <si>
    <t xml:space="preserve">Loan repayment given</t>
  </si>
  <si>
    <t xml:space="preserve">Card monthly rate (APR as effective yearly rate)</t>
  </si>
  <si>
    <t xml:space="preserve">Loan monthly rate</t>
  </si>
  <si>
    <t xml:space="preserve">Card repayment covers the interest (1/0)</t>
  </si>
  <si>
    <t xml:space="preserve">Loan repayment covers the interest (1/0)</t>
  </si>
  <si>
    <t xml:space="preserve">Card repayment used (given if it covers the interest, else a 5-year repayment)</t>
  </si>
  <si>
    <t xml:space="preserve">Loan repayment used</t>
  </si>
  <si>
    <t xml:space="preserve">Card repayment worked out (1/0)</t>
  </si>
  <si>
    <t xml:space="preserve">Loan repayment worked out (1/0)</t>
  </si>
  <si>
    <t xml:space="preserve">Debt (cards + loans)</t>
  </si>
  <si>
    <t xml:space="preserve">Debt repayments a month</t>
  </si>
  <si>
    <t xml:space="preserve">Essential spending a month (living + mortgage + loan repayments)</t>
  </si>
  <si>
    <t xml:space="preserve">PENSION, STATE PENSION, TAX STATUS</t>
  </si>
  <si>
    <t xml:space="preserve">Paid into pension each month (you + employer)</t>
  </si>
  <si>
    <t xml:space="preserve">Of that, paid by you</t>
  </si>
  <si>
    <t xml:space="preserve">Pension growth used while working</t>
  </si>
  <si>
    <t xml:space="preserve">PRSI years used (blank = not known)</t>
  </si>
  <si>
    <t xml:space="preserve">Your State Pension, share of the full rate</t>
  </si>
  <si>
    <t xml:space="preserve">Partner's State Pension answer used</t>
  </si>
  <si>
    <t xml:space="preserve">Partner on a Qualified Adult increase (1/0)</t>
  </si>
  <si>
    <t xml:space="preserve">Partner's State Pension, share of the full rate</t>
  </si>
  <si>
    <t xml:space="preserve">Auto-enrolment counted (1/0)</t>
  </si>
  <si>
    <t xml:space="preserve">Rent Tax Credit claimed (1/0)</t>
  </si>
  <si>
    <t xml:space="preserve">Single Person Child Carer Credit (1/0)</t>
  </si>
  <si>
    <t xml:space="preserve">Home Carer Credit (1/0)</t>
  </si>
  <si>
    <t xml:space="preserve">Pension value at the start (plus a what-if lump sum if it is for retirement)</t>
  </si>
  <si>
    <t xml:space="preserve">Age from which the pension is drawn (retirement age, at least the pension access age)</t>
  </si>
  <si>
    <t xml:space="preserve">Last plan year, counting from today (plan-until age less your age)</t>
  </si>
  <si>
    <t xml:space="preserve">Self-employed (1/0)</t>
  </si>
  <si>
    <t xml:space="preserve">What-if goal is the retirement goal (1/0)</t>
  </si>
  <si>
    <t xml:space="preserve">set on Plan goals</t>
  </si>
  <si>
    <t xml:space="preserve">What-if monthly</t>
  </si>
  <si>
    <t xml:space="preserve">What-if lump</t>
  </si>
  <si>
    <t xml:space="preserve">row</t>
  </si>
  <si>
    <t xml:space="preserve">Year (t)</t>
  </si>
  <si>
    <t xml:space="preserve">Prices index</t>
  </si>
  <si>
    <t xml:space="preserve">Pay index</t>
  </si>
  <si>
    <t xml:space="preserve">Working (1/0)</t>
  </si>
  <si>
    <t xml:space="preserve">Tax-band index</t>
  </si>
  <si>
    <t xml:space="preserve">State Pension index</t>
  </si>
  <si>
    <t xml:space="preserve">PRSI rate this year</t>
  </si>
  <si>
    <t xml:space="preserve">Your pay (nominal)</t>
  </si>
  <si>
    <t xml:space="preserve">Your own pension contribution</t>
  </si>
  <si>
    <t xml:space="preserve">Total pension contribution (you + employer)</t>
  </si>
  <si>
    <t xml:space="preserve">Relief limit (share of pay) at this age</t>
  </si>
  <si>
    <t xml:space="preserve">Pension relief (income tax only, nominal)</t>
  </si>
  <si>
    <t xml:space="preserve">Auto-enrolment pay base</t>
  </si>
  <si>
    <t xml:space="preserve">Paid into pension this year</t>
  </si>
  <si>
    <t xml:space="preserve">Pension contributions out of take-home pay</t>
  </si>
  <si>
    <t xml:space="preserve">Pension pot, start of year</t>
  </si>
  <si>
    <t xml:space="preserve">Standard Fund Threshold this year (law to 2029, then rising with prices)</t>
  </si>
  <si>
    <t xml:space="preserve">First drawing year (1/0)</t>
  </si>
  <si>
    <t xml:space="preserve">Tax above the Standard Fund Threshold</t>
  </si>
  <si>
    <t xml:space="preserve">Pot after that tax</t>
  </si>
  <si>
    <t xml:space="preserve">Lump sum taken (gross, no cap)</t>
  </si>
  <si>
    <t xml:space="preserve">Lump sum after tax (goes into savings)</t>
  </si>
  <si>
    <t xml:space="preserve">Pot after the lump sum</t>
  </si>
  <si>
    <t xml:space="preserve">Legal minimum draw (share)</t>
  </si>
  <si>
    <t xml:space="preserve">Draw wanted</t>
  </si>
  <si>
    <t xml:space="preserve">Drawn from pension</t>
  </si>
  <si>
    <t xml:space="preserve">Pension pot, end of year</t>
  </si>
  <si>
    <t xml:space="preserve">Your State Pension</t>
  </si>
  <si>
    <t xml:space="preserve">Other and rental income</t>
  </si>
  <si>
    <t xml:space="preserve">Partner's age</t>
  </si>
  <si>
    <t xml:space="preserve">Partner's pay</t>
  </si>
  <si>
    <t xml:space="preserve">Partner's State Pension</t>
  </si>
  <si>
    <t xml:space="preserve">Qualified Adult increase paid to you</t>
  </si>
  <si>
    <t xml:space="preserve">Your State Pension incl. any Qualified Adult increase</t>
  </si>
  <si>
    <t xml:space="preserve">Real (today's prices): emp1</t>
  </si>
  <si>
    <t xml:space="preserve">Real (today's prices): sp1t</t>
  </si>
  <si>
    <t xml:space="preserve">Real (today's prices): draw</t>
  </si>
  <si>
    <t xml:space="preserve">Real (today's prices): oth1</t>
  </si>
  <si>
    <t xml:space="preserve">Real (today's prices): relief</t>
  </si>
  <si>
    <t xml:space="preserve">Real (today's prices): emp2</t>
  </si>
  <si>
    <t xml:space="preserve">Real (today's prices): sp2</t>
  </si>
  <si>
    <t xml:space="preserve">Your taxable income for income tax</t>
  </si>
  <si>
    <t xml:space="preserve">Partner's taxable income</t>
  </si>
  <si>
    <t xml:space="preserve">PAYE credit, you</t>
  </si>
  <si>
    <t xml:space="preserve">PAYE credit, partner</t>
  </si>
  <si>
    <t xml:space="preserve">Age credit, you</t>
  </si>
  <si>
    <t xml:space="preserve">Age credit, partner</t>
  </si>
  <si>
    <t xml:space="preserve">Rent credit this year (1/0)</t>
  </si>
  <si>
    <t xml:space="preserve">Joint taxable income</t>
  </si>
  <si>
    <t xml:space="preserve">Joint credits</t>
  </si>
  <si>
    <t xml:space="preserve">Joint 20% band</t>
  </si>
  <si>
    <t xml:space="preserve">Joint income tax</t>
  </si>
  <si>
    <t xml:space="preserve">Home Carer credit</t>
  </si>
  <si>
    <t xml:space="preserve">Joint tax, better of the band or the Home Carer credit</t>
  </si>
  <si>
    <t xml:space="preserve">Joint tax after the age exemption</t>
  </si>
  <si>
    <t xml:space="preserve">Your income tax, as an individual</t>
  </si>
  <si>
    <t xml:space="preserve">Your income tax after the age exemption</t>
  </si>
  <si>
    <t xml:space="preserve">Partner's income tax, as an individual</t>
  </si>
  <si>
    <t xml:space="preserve">Partner's income tax after the age exemption</t>
  </si>
  <si>
    <t xml:space="preserve">Income tax (real)</t>
  </si>
  <si>
    <t xml:space="preserve">USC base, you (State Pension is exempt)</t>
  </si>
  <si>
    <t xml:space="preserve">USC, you</t>
  </si>
  <si>
    <t xml:space="preserve">USC base, partner</t>
  </si>
  <si>
    <t xml:space="preserve">USC, partner</t>
  </si>
  <si>
    <t xml:space="preserve">PRSI, you</t>
  </si>
  <si>
    <t xml:space="preserve">PRSI, partner</t>
  </si>
  <si>
    <t xml:space="preserve">Income tax + USC + PRSI (real)</t>
  </si>
  <si>
    <t xml:space="preserve">Total tax (nominal)</t>
  </si>
  <si>
    <t xml:space="preserve">Gross income (nominal)</t>
  </si>
  <si>
    <t xml:space="preserve">start</t>
  </si>
  <si>
    <t xml:space="preserve">Plan cashflow: year by year, from your age today to the plan-until age (the prototype's project())</t>
  </si>
  <si>
    <t xml:space="preserve">Each row is one year. Order inside a year: income and tax (Plan pay &amp; tax) -&gt; living costs -&gt; debts repaid (Plan debt months) -&gt; goals due this year are paid from their pot, then from spare money -&gt; spare money is saved towards goals (or, if the year is short, spare money, the buffer and the goal pots give way) -&gt; growth. Rows below the plan-until age are not used. The block of goal columns (s1..s20) repeats for each funded goal in funding order.</t>
  </si>
  <si>
    <t xml:space="preserve">In the plan (1/0)</t>
  </si>
  <si>
    <t xml:space="preserve">Money in after tax and pension contributions</t>
  </si>
  <si>
    <t xml:space="preserve">Living costs and one-offs</t>
  </si>
  <si>
    <t xml:space="preserve">Mortgage at the start of the year</t>
  </si>
  <si>
    <t xml:space="preserve">Mortgage repaid</t>
  </si>
  <si>
    <t xml:space="preserve">Mortgage after repayments</t>
  </si>
  <si>
    <t xml:space="preserve">Cards at the start</t>
  </si>
  <si>
    <t xml:space="preserve">Cards repaid</t>
  </si>
  <si>
    <t xml:space="preserve">Cards at the end</t>
  </si>
  <si>
    <t xml:space="preserve">Loans at the start</t>
  </si>
  <si>
    <t xml:space="preserve">Loans repaid</t>
  </si>
  <si>
    <t xml:space="preserve">Loans at the end</t>
  </si>
  <si>
    <t xml:space="preserve">Mortgage and loan repayments</t>
  </si>
  <si>
    <t xml:space="preserve">Spare money at the start (after any pension lump sum)</t>
  </si>
  <si>
    <t xml:space="preserve">Spare money, previous end</t>
  </si>
  <si>
    <t xml:space="preserve">Goal 1 due this year (1/0)</t>
  </si>
  <si>
    <t xml:space="preserve">Goal 1 still to come (1/0)</t>
  </si>
  <si>
    <t xml:space="preserve">Goal 1 pot, start</t>
  </si>
  <si>
    <t xml:space="preserve">Goal 1 paid from its pot</t>
  </si>
  <si>
    <t xml:space="preserve">Goal 1 paid from spare money</t>
  </si>
  <si>
    <t xml:space="preserve">Goal 1 paid</t>
  </si>
  <si>
    <t xml:space="preserve">Spare money after goal 1</t>
  </si>
  <si>
    <t xml:space="preserve">Buffer after goal 1</t>
  </si>
  <si>
    <t xml:space="preserve">Mortgage after goal 1</t>
  </si>
  <si>
    <t xml:space="preserve">Goal 1 not covered</t>
  </si>
  <si>
    <t xml:space="preserve">Buffer, start</t>
  </si>
  <si>
    <t xml:space="preserve">Goal 2 due this year (1/0)</t>
  </si>
  <si>
    <t xml:space="preserve">Goal 2 still to come (1/0)</t>
  </si>
  <si>
    <t xml:space="preserve">Goal 2 pot, start</t>
  </si>
  <si>
    <t xml:space="preserve">Goal 2 paid from its pot</t>
  </si>
  <si>
    <t xml:space="preserve">Goal 2 paid from spare money</t>
  </si>
  <si>
    <t xml:space="preserve">Goal 2 paid</t>
  </si>
  <si>
    <t xml:space="preserve">Spare money after goal 2</t>
  </si>
  <si>
    <t xml:space="preserve">Buffer after goal 2</t>
  </si>
  <si>
    <t xml:space="preserve">Mortgage after goal 2</t>
  </si>
  <si>
    <t xml:space="preserve">Goal 2 not covered</t>
  </si>
  <si>
    <t xml:space="preserve">Goal 3 due this year (1/0)</t>
  </si>
  <si>
    <t xml:space="preserve">Goal 3 still to come (1/0)</t>
  </si>
  <si>
    <t xml:space="preserve">Goal 3 pot, start</t>
  </si>
  <si>
    <t xml:space="preserve">Goal 3 paid from its pot</t>
  </si>
  <si>
    <t xml:space="preserve">Goal 3 paid from spare money</t>
  </si>
  <si>
    <t xml:space="preserve">Goal 3 paid</t>
  </si>
  <si>
    <t xml:space="preserve">Spare money after goal 3</t>
  </si>
  <si>
    <t xml:space="preserve">Buffer after goal 3</t>
  </si>
  <si>
    <t xml:space="preserve">Mortgage after goal 3</t>
  </si>
  <si>
    <t xml:space="preserve">Goal 3 not covered</t>
  </si>
  <si>
    <t xml:space="preserve">Goal 4 due this year (1/0)</t>
  </si>
  <si>
    <t xml:space="preserve">Goal 4 still to come (1/0)</t>
  </si>
  <si>
    <t xml:space="preserve">Goal 4 pot, start</t>
  </si>
  <si>
    <t xml:space="preserve">Goal 4 paid from its pot</t>
  </si>
  <si>
    <t xml:space="preserve">Goal 4 paid from spare money</t>
  </si>
  <si>
    <t xml:space="preserve">Goal 4 paid</t>
  </si>
  <si>
    <t xml:space="preserve">Spare money after goal 4</t>
  </si>
  <si>
    <t xml:space="preserve">Buffer after goal 4</t>
  </si>
  <si>
    <t xml:space="preserve">Mortgage after goal 4</t>
  </si>
  <si>
    <t xml:space="preserve">Goal 4 not covered</t>
  </si>
  <si>
    <t xml:space="preserve">Goal 5 due this year (1/0)</t>
  </si>
  <si>
    <t xml:space="preserve">Goal 5 still to come (1/0)</t>
  </si>
  <si>
    <t xml:space="preserve">Goal 5 pot, start</t>
  </si>
  <si>
    <t xml:space="preserve">Goal 5 paid from its pot</t>
  </si>
  <si>
    <t xml:space="preserve">Goal 5 paid from spare money</t>
  </si>
  <si>
    <t xml:space="preserve">Goal 5 paid</t>
  </si>
  <si>
    <t xml:space="preserve">Spare money after goal 5</t>
  </si>
  <si>
    <t xml:space="preserve">Buffer after goal 5</t>
  </si>
  <si>
    <t xml:space="preserve">Mortgage after goal 5</t>
  </si>
  <si>
    <t xml:space="preserve">Goal 5 not covered</t>
  </si>
  <si>
    <t xml:space="preserve">Goal 6 due this year (1/0)</t>
  </si>
  <si>
    <t xml:space="preserve">Goal 6 still to come (1/0)</t>
  </si>
  <si>
    <t xml:space="preserve">Goal 6 pot, start</t>
  </si>
  <si>
    <t xml:space="preserve">Goal 6 paid from its pot</t>
  </si>
  <si>
    <t xml:space="preserve">Goal 6 paid from spare money</t>
  </si>
  <si>
    <t xml:space="preserve">Goal 6 paid</t>
  </si>
  <si>
    <t xml:space="preserve">Spare money after goal 6</t>
  </si>
  <si>
    <t xml:space="preserve">Buffer after goal 6</t>
  </si>
  <si>
    <t xml:space="preserve">Mortgage after goal 6</t>
  </si>
  <si>
    <t xml:space="preserve">Goal 6 not covered</t>
  </si>
  <si>
    <t xml:space="preserve">Goal 7 due this year (1/0)</t>
  </si>
  <si>
    <t xml:space="preserve">Goal 7 still to come (1/0)</t>
  </si>
  <si>
    <t xml:space="preserve">Goal 7 pot, start</t>
  </si>
  <si>
    <t xml:space="preserve">Goal 7 paid from its pot</t>
  </si>
  <si>
    <t xml:space="preserve">Goal 7 paid from spare money</t>
  </si>
  <si>
    <t xml:space="preserve">Goal 7 paid</t>
  </si>
  <si>
    <t xml:space="preserve">Spare money after goal 7</t>
  </si>
  <si>
    <t xml:space="preserve">Buffer after goal 7</t>
  </si>
  <si>
    <t xml:space="preserve">Mortgage after goal 7</t>
  </si>
  <si>
    <t xml:space="preserve">Goal 7 not covered</t>
  </si>
  <si>
    <t xml:space="preserve">Goal 8 due this year (1/0)</t>
  </si>
  <si>
    <t xml:space="preserve">Goal 8 still to come (1/0)</t>
  </si>
  <si>
    <t xml:space="preserve">Goal 8 pot, start</t>
  </si>
  <si>
    <t xml:space="preserve">Goal 8 paid from its pot</t>
  </si>
  <si>
    <t xml:space="preserve">Goal 8 paid from spare money</t>
  </si>
  <si>
    <t xml:space="preserve">Goal 8 paid</t>
  </si>
  <si>
    <t xml:space="preserve">Spare money after goal 8</t>
  </si>
  <si>
    <t xml:space="preserve">Buffer after goal 8</t>
  </si>
  <si>
    <t xml:space="preserve">Mortgage after goal 8</t>
  </si>
  <si>
    <t xml:space="preserve">Goal 8 not covered</t>
  </si>
  <si>
    <t xml:space="preserve">Goal 9 due this year (1/0)</t>
  </si>
  <si>
    <t xml:space="preserve">Goal 9 still to come (1/0)</t>
  </si>
  <si>
    <t xml:space="preserve">Goal 9 pot, start</t>
  </si>
  <si>
    <t xml:space="preserve">Goal 9 paid from its pot</t>
  </si>
  <si>
    <t xml:space="preserve">Goal 9 paid from spare money</t>
  </si>
  <si>
    <t xml:space="preserve">Goal 9 paid</t>
  </si>
  <si>
    <t xml:space="preserve">Spare money after goal 9</t>
  </si>
  <si>
    <t xml:space="preserve">Buffer after goal 9</t>
  </si>
  <si>
    <t xml:space="preserve">Mortgage after goal 9</t>
  </si>
  <si>
    <t xml:space="preserve">Goal 9 not covered</t>
  </si>
  <si>
    <t xml:space="preserve">Goal 10 due this year (1/0)</t>
  </si>
  <si>
    <t xml:space="preserve">Goal 10 still to come (1/0)</t>
  </si>
  <si>
    <t xml:space="preserve">Goal 10 pot, start</t>
  </si>
  <si>
    <t xml:space="preserve">Goal 10 paid from its pot</t>
  </si>
  <si>
    <t xml:space="preserve">Goal 10 paid from spare money</t>
  </si>
  <si>
    <t xml:space="preserve">Goal 10 paid</t>
  </si>
  <si>
    <t xml:space="preserve">Spare money after goal 10</t>
  </si>
  <si>
    <t xml:space="preserve">Buffer after goal 10</t>
  </si>
  <si>
    <t xml:space="preserve">Mortgage after goal 10</t>
  </si>
  <si>
    <t xml:space="preserve">Goal 10 not covered</t>
  </si>
  <si>
    <t xml:space="preserve">Goal 11 due this year (1/0)</t>
  </si>
  <si>
    <t xml:space="preserve">Goal 11 still to come (1/0)</t>
  </si>
  <si>
    <t xml:space="preserve">Goal 11 pot, start</t>
  </si>
  <si>
    <t xml:space="preserve">Goal 11 paid from its pot</t>
  </si>
  <si>
    <t xml:space="preserve">Goal 11 paid from spare money</t>
  </si>
  <si>
    <t xml:space="preserve">Goal 11 paid</t>
  </si>
  <si>
    <t xml:space="preserve">Spare money after goal 11</t>
  </si>
  <si>
    <t xml:space="preserve">Buffer after goal 11</t>
  </si>
  <si>
    <t xml:space="preserve">Mortgage after goal 11</t>
  </si>
  <si>
    <t xml:space="preserve">Goal 11 not covered</t>
  </si>
  <si>
    <t xml:space="preserve">Goal 12 due this year (1/0)</t>
  </si>
  <si>
    <t xml:space="preserve">Goal 12 still to come (1/0)</t>
  </si>
  <si>
    <t xml:space="preserve">Goal 12 pot, start</t>
  </si>
  <si>
    <t xml:space="preserve">Goal 12 paid from its pot</t>
  </si>
  <si>
    <t xml:space="preserve">Goal 12 paid from spare money</t>
  </si>
  <si>
    <t xml:space="preserve">Goal 12 paid</t>
  </si>
  <si>
    <t xml:space="preserve">Spare money after goal 12</t>
  </si>
  <si>
    <t xml:space="preserve">Buffer after goal 12</t>
  </si>
  <si>
    <t xml:space="preserve">Mortgage after goal 12</t>
  </si>
  <si>
    <t xml:space="preserve">Goal 12 not covered</t>
  </si>
  <si>
    <t xml:space="preserve">Goal 13 due this year (1/0)</t>
  </si>
  <si>
    <t xml:space="preserve">Goal 13 still to come (1/0)</t>
  </si>
  <si>
    <t xml:space="preserve">Goal 13 pot, start</t>
  </si>
  <si>
    <t xml:space="preserve">Goal 13 paid from its pot</t>
  </si>
  <si>
    <t xml:space="preserve">Goal 13 paid from spare money</t>
  </si>
  <si>
    <t xml:space="preserve">Goal 13 paid</t>
  </si>
  <si>
    <t xml:space="preserve">Spare money after goal 13</t>
  </si>
  <si>
    <t xml:space="preserve">Buffer after goal 13</t>
  </si>
  <si>
    <t xml:space="preserve">Mortgage after goal 13</t>
  </si>
  <si>
    <t xml:space="preserve">Goal 13 not covered</t>
  </si>
  <si>
    <t xml:space="preserve">Goal 14 due this year (1/0)</t>
  </si>
  <si>
    <t xml:space="preserve">Goal 14 still to come (1/0)</t>
  </si>
  <si>
    <t xml:space="preserve">Goal 14 pot, start</t>
  </si>
  <si>
    <t xml:space="preserve">Goal 14 paid from its pot</t>
  </si>
  <si>
    <t xml:space="preserve">Goal 14 paid from spare money</t>
  </si>
  <si>
    <t xml:space="preserve">Goal 14 paid</t>
  </si>
  <si>
    <t xml:space="preserve">Spare money after goal 14</t>
  </si>
  <si>
    <t xml:space="preserve">Buffer after goal 14</t>
  </si>
  <si>
    <t xml:space="preserve">Mortgage after goal 14</t>
  </si>
  <si>
    <t xml:space="preserve">Goal 14 not covered</t>
  </si>
  <si>
    <t xml:space="preserve">Goal 15 due this year (1/0)</t>
  </si>
  <si>
    <t xml:space="preserve">Goal 15 still to come (1/0)</t>
  </si>
  <si>
    <t xml:space="preserve">Goal 15 pot, start</t>
  </si>
  <si>
    <t xml:space="preserve">Goal 15 paid from its pot</t>
  </si>
  <si>
    <t xml:space="preserve">Goal 15 paid from spare money</t>
  </si>
  <si>
    <t xml:space="preserve">Goal 15 paid</t>
  </si>
  <si>
    <t xml:space="preserve">Spare money after goal 15</t>
  </si>
  <si>
    <t xml:space="preserve">Buffer after goal 15</t>
  </si>
  <si>
    <t xml:space="preserve">Mortgage after goal 15</t>
  </si>
  <si>
    <t xml:space="preserve">Goal 15 not covered</t>
  </si>
  <si>
    <t xml:space="preserve">Goal 16 due this year (1/0)</t>
  </si>
  <si>
    <t xml:space="preserve">Goal 16 still to come (1/0)</t>
  </si>
  <si>
    <t xml:space="preserve">Goal 16 pot, start</t>
  </si>
  <si>
    <t xml:space="preserve">Goal 16 paid from its pot</t>
  </si>
  <si>
    <t xml:space="preserve">Goal 16 paid from spare money</t>
  </si>
  <si>
    <t xml:space="preserve">Goal 16 paid</t>
  </si>
  <si>
    <t xml:space="preserve">Spare money after goal 16</t>
  </si>
  <si>
    <t xml:space="preserve">Buffer after goal 16</t>
  </si>
  <si>
    <t xml:space="preserve">Mortgage after goal 16</t>
  </si>
  <si>
    <t xml:space="preserve">Goal 16 not covered</t>
  </si>
  <si>
    <t xml:space="preserve">Goal 17 due this year (1/0)</t>
  </si>
  <si>
    <t xml:space="preserve">Goal 17 still to come (1/0)</t>
  </si>
  <si>
    <t xml:space="preserve">Goal 17 pot, start</t>
  </si>
  <si>
    <t xml:space="preserve">Goal 17 paid from its pot</t>
  </si>
  <si>
    <t xml:space="preserve">Goal 17 paid from spare money</t>
  </si>
  <si>
    <t xml:space="preserve">Goal 17 paid</t>
  </si>
  <si>
    <t xml:space="preserve">Spare money after goal 17</t>
  </si>
  <si>
    <t xml:space="preserve">Buffer after goal 17</t>
  </si>
  <si>
    <t xml:space="preserve">Mortgage after goal 17</t>
  </si>
  <si>
    <t xml:space="preserve">Goal 17 not covered</t>
  </si>
  <si>
    <t xml:space="preserve">Goal 18 due this year (1/0)</t>
  </si>
  <si>
    <t xml:space="preserve">Goal 18 still to come (1/0)</t>
  </si>
  <si>
    <t xml:space="preserve">Goal 18 pot, start</t>
  </si>
  <si>
    <t xml:space="preserve">Goal 18 paid from its pot</t>
  </si>
  <si>
    <t xml:space="preserve">Goal 18 paid from spare money</t>
  </si>
  <si>
    <t xml:space="preserve">Goal 18 paid</t>
  </si>
  <si>
    <t xml:space="preserve">Spare money after goal 18</t>
  </si>
  <si>
    <t xml:space="preserve">Buffer after goal 18</t>
  </si>
  <si>
    <t xml:space="preserve">Mortgage after goal 18</t>
  </si>
  <si>
    <t xml:space="preserve">Goal 18 not covered</t>
  </si>
  <si>
    <t xml:space="preserve">Goal 19 due this year (1/0)</t>
  </si>
  <si>
    <t xml:space="preserve">Goal 19 still to come (1/0)</t>
  </si>
  <si>
    <t xml:space="preserve">Goal 19 pot, start</t>
  </si>
  <si>
    <t xml:space="preserve">Goal 19 paid from its pot</t>
  </si>
  <si>
    <t xml:space="preserve">Goal 19 paid from spare money</t>
  </si>
  <si>
    <t xml:space="preserve">Goal 19 paid</t>
  </si>
  <si>
    <t xml:space="preserve">Spare money after goal 19</t>
  </si>
  <si>
    <t xml:space="preserve">Buffer after goal 19</t>
  </si>
  <si>
    <t xml:space="preserve">Mortgage after goal 19</t>
  </si>
  <si>
    <t xml:space="preserve">Goal 19 not covered</t>
  </si>
  <si>
    <t xml:space="preserve">Goal 20 due this year (1/0)</t>
  </si>
  <si>
    <t xml:space="preserve">Goal 20 still to come (1/0)</t>
  </si>
  <si>
    <t xml:space="preserve">Goal 20 pot, start</t>
  </si>
  <si>
    <t xml:space="preserve">Goal 20 paid from its pot</t>
  </si>
  <si>
    <t xml:space="preserve">Goal 20 paid from spare money</t>
  </si>
  <si>
    <t xml:space="preserve">Goal 20 paid</t>
  </si>
  <si>
    <t xml:space="preserve">Spare money after goal 20</t>
  </si>
  <si>
    <t xml:space="preserve">Buffer after goal 20</t>
  </si>
  <si>
    <t xml:space="preserve">Mortgage after goal 20</t>
  </si>
  <si>
    <t xml:space="preserve">Goal 20 not covered</t>
  </si>
  <si>
    <t xml:space="preserve">Goals paid this year (from savings)</t>
  </si>
  <si>
    <t xml:space="preserve">Goal amounts not covered this year</t>
  </si>
  <si>
    <t xml:space="preserve">Goals due this year (cost)</t>
  </si>
  <si>
    <t xml:space="preserve">Mortgage at the end of the year</t>
  </si>
  <si>
    <t xml:space="preserve">Money left after living costs and repayments</t>
  </si>
  <si>
    <t xml:space="preserve">The Q6 rule's saving today (a month)</t>
  </si>
  <si>
    <t xml:space="preserve">Money left over (1) or a short year (0)</t>
  </si>
  <si>
    <t xml:space="preserve">Spare money a month, today's money</t>
  </si>
  <si>
    <t xml:space="preserve">The Q6 rule on that spare money</t>
  </si>
  <si>
    <t xml:space="preserve">Raising the rule (1) or capping it (0)</t>
  </si>
  <si>
    <t xml:space="preserve">Monthly saving, today's money</t>
  </si>
  <si>
    <t xml:space="preserve">Saving this year (nominal)</t>
  </si>
  <si>
    <t xml:space="preserve">Saving this year after "save less"</t>
  </si>
  <si>
    <t xml:space="preserve">What-if goal still to come (1/0)</t>
  </si>
  <si>
    <t xml:space="preserve">What-if extra wanted this year</t>
  </si>
  <si>
    <t xml:space="preserve">Saving this year, after the money left</t>
  </si>
  <si>
    <t xml:space="preserve">What-if extra this year</t>
  </si>
  <si>
    <t xml:space="preserve">Goal 1: growth factor of saving that rises with pay</t>
  </si>
  <si>
    <t xml:space="preserve">Goal 1: needed for the what-if extra</t>
  </si>
  <si>
    <t xml:space="preserve">Goal 1: what-if extra given</t>
  </si>
  <si>
    <t xml:space="preserve">Goal 1: pot after the what-if extra</t>
  </si>
  <si>
    <t xml:space="preserve">Goal 1: saving needed this year</t>
  </si>
  <si>
    <t xml:space="preserve">Goal 1: saving needed in a short year</t>
  </si>
  <si>
    <t xml:space="preserve">Goal 1: saving given</t>
  </si>
  <si>
    <t xml:space="preserve">Saving left after goal 1</t>
  </si>
  <si>
    <t xml:space="preserve">Goal 2: growth factor of saving that rises with pay</t>
  </si>
  <si>
    <t xml:space="preserve">Goal 2: needed for the what-if extra</t>
  </si>
  <si>
    <t xml:space="preserve">Goal 2: what-if extra given</t>
  </si>
  <si>
    <t xml:space="preserve">Goal 2: pot after the what-if extra</t>
  </si>
  <si>
    <t xml:space="preserve">Goal 2: saving needed this year</t>
  </si>
  <si>
    <t xml:space="preserve">Goal 2: saving needed in a short year</t>
  </si>
  <si>
    <t xml:space="preserve">Goal 2: saving given</t>
  </si>
  <si>
    <t xml:space="preserve">Saving left after goal 2</t>
  </si>
  <si>
    <t xml:space="preserve">Goal 3: growth factor of saving that rises with pay</t>
  </si>
  <si>
    <t xml:space="preserve">Goal 3: needed for the what-if extra</t>
  </si>
  <si>
    <t xml:space="preserve">Goal 3: what-if extra given</t>
  </si>
  <si>
    <t xml:space="preserve">Goal 3: pot after the what-if extra</t>
  </si>
  <si>
    <t xml:space="preserve">Goal 3: saving needed this year</t>
  </si>
  <si>
    <t xml:space="preserve">Goal 3: saving needed in a short year</t>
  </si>
  <si>
    <t xml:space="preserve">Goal 3: saving given</t>
  </si>
  <si>
    <t xml:space="preserve">Saving left after goal 3</t>
  </si>
  <si>
    <t xml:space="preserve">Goal 4: growth factor of saving that rises with pay</t>
  </si>
  <si>
    <t xml:space="preserve">Goal 4: needed for the what-if extra</t>
  </si>
  <si>
    <t xml:space="preserve">Goal 4: what-if extra given</t>
  </si>
  <si>
    <t xml:space="preserve">Goal 4: pot after the what-if extra</t>
  </si>
  <si>
    <t xml:space="preserve">Goal 4: saving needed this year</t>
  </si>
  <si>
    <t xml:space="preserve">Goal 4: saving needed in a short year</t>
  </si>
  <si>
    <t xml:space="preserve">Goal 4: saving given</t>
  </si>
  <si>
    <t xml:space="preserve">Saving left after goal 4</t>
  </si>
  <si>
    <t xml:space="preserve">Goal 5: growth factor of saving that rises with pay</t>
  </si>
  <si>
    <t xml:space="preserve">Goal 5: needed for the what-if extra</t>
  </si>
  <si>
    <t xml:space="preserve">Goal 5: what-if extra given</t>
  </si>
  <si>
    <t xml:space="preserve">Goal 5: pot after the what-if extra</t>
  </si>
  <si>
    <t xml:space="preserve">Goal 5: saving needed this year</t>
  </si>
  <si>
    <t xml:space="preserve">Goal 5: saving needed in a short year</t>
  </si>
  <si>
    <t xml:space="preserve">Goal 5: saving given</t>
  </si>
  <si>
    <t xml:space="preserve">Saving left after goal 5</t>
  </si>
  <si>
    <t xml:space="preserve">Goal 6: growth factor of saving that rises with pay</t>
  </si>
  <si>
    <t xml:space="preserve">Goal 6: needed for the what-if extra</t>
  </si>
  <si>
    <t xml:space="preserve">Goal 6: what-if extra given</t>
  </si>
  <si>
    <t xml:space="preserve">Goal 6: pot after the what-if extra</t>
  </si>
  <si>
    <t xml:space="preserve">Goal 6: saving needed this year</t>
  </si>
  <si>
    <t xml:space="preserve">Goal 6: saving needed in a short year</t>
  </si>
  <si>
    <t xml:space="preserve">Goal 6: saving given</t>
  </si>
  <si>
    <t xml:space="preserve">Saving left after goal 6</t>
  </si>
  <si>
    <t xml:space="preserve">Goal 7: growth factor of saving that rises with pay</t>
  </si>
  <si>
    <t xml:space="preserve">Goal 7: needed for the what-if extra</t>
  </si>
  <si>
    <t xml:space="preserve">Goal 7: what-if extra given</t>
  </si>
  <si>
    <t xml:space="preserve">Goal 7: pot after the what-if extra</t>
  </si>
  <si>
    <t xml:space="preserve">Goal 7: saving needed this year</t>
  </si>
  <si>
    <t xml:space="preserve">Goal 7: saving needed in a short year</t>
  </si>
  <si>
    <t xml:space="preserve">Goal 7: saving given</t>
  </si>
  <si>
    <t xml:space="preserve">Saving left after goal 7</t>
  </si>
  <si>
    <t xml:space="preserve">Goal 8: growth factor of saving that rises with pay</t>
  </si>
  <si>
    <t xml:space="preserve">Goal 8: needed for the what-if extra</t>
  </si>
  <si>
    <t xml:space="preserve">Goal 8: what-if extra given</t>
  </si>
  <si>
    <t xml:space="preserve">Goal 8: pot after the what-if extra</t>
  </si>
  <si>
    <t xml:space="preserve">Goal 8: saving needed this year</t>
  </si>
  <si>
    <t xml:space="preserve">Goal 8: saving needed in a short year</t>
  </si>
  <si>
    <t xml:space="preserve">Goal 8: saving given</t>
  </si>
  <si>
    <t xml:space="preserve">Saving left after goal 8</t>
  </si>
  <si>
    <t xml:space="preserve">Goal 9: growth factor of saving that rises with pay</t>
  </si>
  <si>
    <t xml:space="preserve">Goal 9: needed for the what-if extra</t>
  </si>
  <si>
    <t xml:space="preserve">Goal 9: what-if extra given</t>
  </si>
  <si>
    <t xml:space="preserve">Goal 9: pot after the what-if extra</t>
  </si>
  <si>
    <t xml:space="preserve">Goal 9: saving needed this year</t>
  </si>
  <si>
    <t xml:space="preserve">Goal 9: saving needed in a short year</t>
  </si>
  <si>
    <t xml:space="preserve">Goal 9: saving given</t>
  </si>
  <si>
    <t xml:space="preserve">Saving left after goal 9</t>
  </si>
  <si>
    <t xml:space="preserve">Goal 10: growth factor of saving that rises with pay</t>
  </si>
  <si>
    <t xml:space="preserve">Goal 10: needed for the what-if extra</t>
  </si>
  <si>
    <t xml:space="preserve">Goal 10: what-if extra given</t>
  </si>
  <si>
    <t xml:space="preserve">Goal 10: pot after the what-if extra</t>
  </si>
  <si>
    <t xml:space="preserve">Goal 10: saving needed this year</t>
  </si>
  <si>
    <t xml:space="preserve">Goal 10: saving needed in a short year</t>
  </si>
  <si>
    <t xml:space="preserve">Goal 10: saving given</t>
  </si>
  <si>
    <t xml:space="preserve">Saving left after goal 10</t>
  </si>
  <si>
    <t xml:space="preserve">Goal 11: growth factor of saving that rises with pay</t>
  </si>
  <si>
    <t xml:space="preserve">Goal 11: needed for the what-if extra</t>
  </si>
  <si>
    <t xml:space="preserve">Goal 11: what-if extra given</t>
  </si>
  <si>
    <t xml:space="preserve">Goal 11: pot after the what-if extra</t>
  </si>
  <si>
    <t xml:space="preserve">Goal 11: saving needed this year</t>
  </si>
  <si>
    <t xml:space="preserve">Goal 11: saving needed in a short year</t>
  </si>
  <si>
    <t xml:space="preserve">Goal 11: saving given</t>
  </si>
  <si>
    <t xml:space="preserve">Saving left after goal 11</t>
  </si>
  <si>
    <t xml:space="preserve">Goal 12: growth factor of saving that rises with pay</t>
  </si>
  <si>
    <t xml:space="preserve">Goal 12: needed for the what-if extra</t>
  </si>
  <si>
    <t xml:space="preserve">Goal 12: what-if extra given</t>
  </si>
  <si>
    <t xml:space="preserve">Goal 12: pot after the what-if extra</t>
  </si>
  <si>
    <t xml:space="preserve">Goal 12: saving needed this year</t>
  </si>
  <si>
    <t xml:space="preserve">Goal 12: saving needed in a short year</t>
  </si>
  <si>
    <t xml:space="preserve">Goal 12: saving given</t>
  </si>
  <si>
    <t xml:space="preserve">Saving left after goal 12</t>
  </si>
  <si>
    <t xml:space="preserve">Goal 13: growth factor of saving that rises with pay</t>
  </si>
  <si>
    <t xml:space="preserve">Goal 13: needed for the what-if extra</t>
  </si>
  <si>
    <t xml:space="preserve">Goal 13: what-if extra given</t>
  </si>
  <si>
    <t xml:space="preserve">Goal 13: pot after the what-if extra</t>
  </si>
  <si>
    <t xml:space="preserve">Goal 13: saving needed this year</t>
  </si>
  <si>
    <t xml:space="preserve">Goal 13: saving needed in a short year</t>
  </si>
  <si>
    <t xml:space="preserve">Goal 13: saving given</t>
  </si>
  <si>
    <t xml:space="preserve">Saving left after goal 13</t>
  </si>
  <si>
    <t xml:space="preserve">Goal 14: growth factor of saving that rises with pay</t>
  </si>
  <si>
    <t xml:space="preserve">Goal 14: needed for the what-if extra</t>
  </si>
  <si>
    <t xml:space="preserve">Goal 14: what-if extra given</t>
  </si>
  <si>
    <t xml:space="preserve">Goal 14: pot after the what-if extra</t>
  </si>
  <si>
    <t xml:space="preserve">Goal 14: saving needed this year</t>
  </si>
  <si>
    <t xml:space="preserve">Goal 14: saving needed in a short year</t>
  </si>
  <si>
    <t xml:space="preserve">Goal 14: saving given</t>
  </si>
  <si>
    <t xml:space="preserve">Saving left after goal 14</t>
  </si>
  <si>
    <t xml:space="preserve">Goal 15: growth factor of saving that rises with pay</t>
  </si>
  <si>
    <t xml:space="preserve">Goal 15: needed for the what-if extra</t>
  </si>
  <si>
    <t xml:space="preserve">Goal 15: what-if extra given</t>
  </si>
  <si>
    <t xml:space="preserve">Goal 15: pot after the what-if extra</t>
  </si>
  <si>
    <t xml:space="preserve">Goal 15: saving needed this year</t>
  </si>
  <si>
    <t xml:space="preserve">Goal 15: saving needed in a short year</t>
  </si>
  <si>
    <t xml:space="preserve">Goal 15: saving given</t>
  </si>
  <si>
    <t xml:space="preserve">Saving left after goal 15</t>
  </si>
  <si>
    <t xml:space="preserve">Goal 16: growth factor of saving that rises with pay</t>
  </si>
  <si>
    <t xml:space="preserve">Goal 16: needed for the what-if extra</t>
  </si>
  <si>
    <t xml:space="preserve">Goal 16: what-if extra given</t>
  </si>
  <si>
    <t xml:space="preserve">Goal 16: pot after the what-if extra</t>
  </si>
  <si>
    <t xml:space="preserve">Goal 16: saving needed this year</t>
  </si>
  <si>
    <t xml:space="preserve">Goal 16: saving needed in a short year</t>
  </si>
  <si>
    <t xml:space="preserve">Goal 16: saving given</t>
  </si>
  <si>
    <t xml:space="preserve">Saving left after goal 16</t>
  </si>
  <si>
    <t xml:space="preserve">Goal 17: growth factor of saving that rises with pay</t>
  </si>
  <si>
    <t xml:space="preserve">Goal 17: needed for the what-if extra</t>
  </si>
  <si>
    <t xml:space="preserve">Goal 17: what-if extra given</t>
  </si>
  <si>
    <t xml:space="preserve">Goal 17: pot after the what-if extra</t>
  </si>
  <si>
    <t xml:space="preserve">Goal 17: saving needed this year</t>
  </si>
  <si>
    <t xml:space="preserve">Goal 17: saving needed in a short year</t>
  </si>
  <si>
    <t xml:space="preserve">Goal 17: saving given</t>
  </si>
  <si>
    <t xml:space="preserve">Saving left after goal 17</t>
  </si>
  <si>
    <t xml:space="preserve">Goal 18: growth factor of saving that rises with pay</t>
  </si>
  <si>
    <t xml:space="preserve">Goal 18: needed for the what-if extra</t>
  </si>
  <si>
    <t xml:space="preserve">Goal 18: what-if extra given</t>
  </si>
  <si>
    <t xml:space="preserve">Goal 18: pot after the what-if extra</t>
  </si>
  <si>
    <t xml:space="preserve">Goal 18: saving needed this year</t>
  </si>
  <si>
    <t xml:space="preserve">Goal 18: saving needed in a short year</t>
  </si>
  <si>
    <t xml:space="preserve">Goal 18: saving given</t>
  </si>
  <si>
    <t xml:space="preserve">Saving left after goal 18</t>
  </si>
  <si>
    <t xml:space="preserve">Goal 19: growth factor of saving that rises with pay</t>
  </si>
  <si>
    <t xml:space="preserve">Goal 19: needed for the what-if extra</t>
  </si>
  <si>
    <t xml:space="preserve">Goal 19: what-if extra given</t>
  </si>
  <si>
    <t xml:space="preserve">Goal 19: pot after the what-if extra</t>
  </si>
  <si>
    <t xml:space="preserve">Goal 19: saving needed this year</t>
  </si>
  <si>
    <t xml:space="preserve">Goal 19: saving needed in a short year</t>
  </si>
  <si>
    <t xml:space="preserve">Goal 19: saving given</t>
  </si>
  <si>
    <t xml:space="preserve">Saving left after goal 19</t>
  </si>
  <si>
    <t xml:space="preserve">Goal 20: growth factor of saving that rises with pay</t>
  </si>
  <si>
    <t xml:space="preserve">Goal 20: needed for the what-if extra</t>
  </si>
  <si>
    <t xml:space="preserve">Goal 20: what-if extra given</t>
  </si>
  <si>
    <t xml:space="preserve">Goal 20: pot after the what-if extra</t>
  </si>
  <si>
    <t xml:space="preserve">Goal 20: saving needed this year</t>
  </si>
  <si>
    <t xml:space="preserve">Goal 20: saving needed in a short year</t>
  </si>
  <si>
    <t xml:space="preserve">Goal 20: saving given</t>
  </si>
  <si>
    <t xml:space="preserve">Saving left after goal 20</t>
  </si>
  <si>
    <t xml:space="preserve">What-if extra not needed by the goal (goes to spare money)</t>
  </si>
  <si>
    <t xml:space="preserve">Left over after saving (assumed spent while working)</t>
  </si>
  <si>
    <t xml:space="preserve">Short by</t>
  </si>
  <si>
    <t xml:space="preserve">Short year: taken from spare money</t>
  </si>
  <si>
    <t xml:space="preserve">Still short</t>
  </si>
  <si>
    <t xml:space="preserve">Short year: taken from the buffer</t>
  </si>
  <si>
    <t xml:space="preserve">Still short after the buffer</t>
  </si>
  <si>
    <t xml:space="preserve">Short year: taken from goal 20's pot</t>
  </si>
  <si>
    <t xml:space="preserve">Still short after goal 20</t>
  </si>
  <si>
    <t xml:space="preserve">Short year: taken from goal 19's pot</t>
  </si>
  <si>
    <t xml:space="preserve">Still short after goal 19</t>
  </si>
  <si>
    <t xml:space="preserve">Short year: taken from goal 18's pot</t>
  </si>
  <si>
    <t xml:space="preserve">Still short after goal 18</t>
  </si>
  <si>
    <t xml:space="preserve">Short year: taken from goal 17's pot</t>
  </si>
  <si>
    <t xml:space="preserve">Still short after goal 17</t>
  </si>
  <si>
    <t xml:space="preserve">Short year: taken from goal 16's pot</t>
  </si>
  <si>
    <t xml:space="preserve">Still short after goal 16</t>
  </si>
  <si>
    <t xml:space="preserve">Short year: taken from goal 15's pot</t>
  </si>
  <si>
    <t xml:space="preserve">Still short after goal 15</t>
  </si>
  <si>
    <t xml:space="preserve">Short year: taken from goal 14's pot</t>
  </si>
  <si>
    <t xml:space="preserve">Still short after goal 14</t>
  </si>
  <si>
    <t xml:space="preserve">Short year: taken from goal 13's pot</t>
  </si>
  <si>
    <t xml:space="preserve">Still short after goal 13</t>
  </si>
  <si>
    <t xml:space="preserve">Short year: taken from goal 12's pot</t>
  </si>
  <si>
    <t xml:space="preserve">Still short after goal 12</t>
  </si>
  <si>
    <t xml:space="preserve">Short year: taken from goal 11's pot</t>
  </si>
  <si>
    <t xml:space="preserve">Still short after goal 11</t>
  </si>
  <si>
    <t xml:space="preserve">Short year: taken from goal 10's pot</t>
  </si>
  <si>
    <t xml:space="preserve">Still short after goal 10</t>
  </si>
  <si>
    <t xml:space="preserve">Short year: taken from goal 9's pot</t>
  </si>
  <si>
    <t xml:space="preserve">Still short after goal 9</t>
  </si>
  <si>
    <t xml:space="preserve">Short year: taken from goal 8's pot</t>
  </si>
  <si>
    <t xml:space="preserve">Still short after goal 8</t>
  </si>
  <si>
    <t xml:space="preserve">Short year: taken from goal 7's pot</t>
  </si>
  <si>
    <t xml:space="preserve">Still short after goal 7</t>
  </si>
  <si>
    <t xml:space="preserve">Short year: taken from goal 6's pot</t>
  </si>
  <si>
    <t xml:space="preserve">Still short after goal 6</t>
  </si>
  <si>
    <t xml:space="preserve">Short year: taken from goal 5's pot</t>
  </si>
  <si>
    <t xml:space="preserve">Still short after goal 5</t>
  </si>
  <si>
    <t xml:space="preserve">Short year: taken from goal 4's pot</t>
  </si>
  <si>
    <t xml:space="preserve">Still short after goal 4</t>
  </si>
  <si>
    <t xml:space="preserve">Short year: taken from goal 3's pot</t>
  </si>
  <si>
    <t xml:space="preserve">Still short after goal 3</t>
  </si>
  <si>
    <t xml:space="preserve">Short year: taken from goal 2's pot</t>
  </si>
  <si>
    <t xml:space="preserve">Still short after goal 2</t>
  </si>
  <si>
    <t xml:space="preserve">Short year: taken from goal 1's pot</t>
  </si>
  <si>
    <t xml:space="preserve">Still short after goal 1</t>
  </si>
  <si>
    <t xml:space="preserve">Short for living costs and repayments</t>
  </si>
  <si>
    <t xml:space="preserve">Taken from savings to cover a short year</t>
  </si>
  <si>
    <t xml:space="preserve">Spare money after saving or shortfall</t>
  </si>
  <si>
    <t xml:space="preserve">Buffer after shortfall</t>
  </si>
  <si>
    <t xml:space="preserve">Saved this year</t>
  </si>
  <si>
    <t xml:space="preserve">Spare money assumed spent</t>
  </si>
  <si>
    <t xml:space="preserve">Spare money, end of year</t>
  </si>
  <si>
    <t xml:space="preserve">Buffer, end of year</t>
  </si>
  <si>
    <t xml:space="preserve">Goal 1 pot, end of year</t>
  </si>
  <si>
    <t xml:space="preserve">Goal 1: average saving numerator</t>
  </si>
  <si>
    <t xml:space="preserve">Goal 1: saved in year 0</t>
  </si>
  <si>
    <t xml:space="preserve">Goal 1: need in year 0</t>
  </si>
  <si>
    <t xml:space="preserve">Goal 2 pot, end of year</t>
  </si>
  <si>
    <t xml:space="preserve">Goal 2: average saving numerator</t>
  </si>
  <si>
    <t xml:space="preserve">Goal 2: saved in year 0</t>
  </si>
  <si>
    <t xml:space="preserve">Goal 2: need in year 0</t>
  </si>
  <si>
    <t xml:space="preserve">Goal 3 pot, end of year</t>
  </si>
  <si>
    <t xml:space="preserve">Goal 3: average saving numerator</t>
  </si>
  <si>
    <t xml:space="preserve">Goal 3: saved in year 0</t>
  </si>
  <si>
    <t xml:space="preserve">Goal 3: need in year 0</t>
  </si>
  <si>
    <t xml:space="preserve">Goal 4 pot, end of year</t>
  </si>
  <si>
    <t xml:space="preserve">Goal 4: average saving numerator</t>
  </si>
  <si>
    <t xml:space="preserve">Goal 4: saved in year 0</t>
  </si>
  <si>
    <t xml:space="preserve">Goal 4: need in year 0</t>
  </si>
  <si>
    <t xml:space="preserve">Goal 5 pot, end of year</t>
  </si>
  <si>
    <t xml:space="preserve">Goal 5: average saving numerator</t>
  </si>
  <si>
    <t xml:space="preserve">Goal 5: saved in year 0</t>
  </si>
  <si>
    <t xml:space="preserve">Goal 5: need in year 0</t>
  </si>
  <si>
    <t xml:space="preserve">Goal 6 pot, end of year</t>
  </si>
  <si>
    <t xml:space="preserve">Goal 6: average saving numerator</t>
  </si>
  <si>
    <t xml:space="preserve">Goal 6: saved in year 0</t>
  </si>
  <si>
    <t xml:space="preserve">Goal 6: need in year 0</t>
  </si>
  <si>
    <t xml:space="preserve">Goal 7 pot, end of year</t>
  </si>
  <si>
    <t xml:space="preserve">Goal 7: average saving numerator</t>
  </si>
  <si>
    <t xml:space="preserve">Goal 7: saved in year 0</t>
  </si>
  <si>
    <t xml:space="preserve">Goal 7: need in year 0</t>
  </si>
  <si>
    <t xml:space="preserve">Goal 8 pot, end of year</t>
  </si>
  <si>
    <t xml:space="preserve">Goal 8: average saving numerator</t>
  </si>
  <si>
    <t xml:space="preserve">Goal 8: saved in year 0</t>
  </si>
  <si>
    <t xml:space="preserve">Goal 8: need in year 0</t>
  </si>
  <si>
    <t xml:space="preserve">Goal 9 pot, end of year</t>
  </si>
  <si>
    <t xml:space="preserve">Goal 9: average saving numerator</t>
  </si>
  <si>
    <t xml:space="preserve">Goal 9: saved in year 0</t>
  </si>
  <si>
    <t xml:space="preserve">Goal 9: need in year 0</t>
  </si>
  <si>
    <t xml:space="preserve">Goal 10 pot, end of year</t>
  </si>
  <si>
    <t xml:space="preserve">Goal 10: average saving numerator</t>
  </si>
  <si>
    <t xml:space="preserve">Goal 10: saved in year 0</t>
  </si>
  <si>
    <t xml:space="preserve">Goal 10: need in year 0</t>
  </si>
  <si>
    <t xml:space="preserve">Goal 11 pot, end of year</t>
  </si>
  <si>
    <t xml:space="preserve">Goal 11: average saving numerator</t>
  </si>
  <si>
    <t xml:space="preserve">Goal 11: saved in year 0</t>
  </si>
  <si>
    <t xml:space="preserve">Goal 11: need in year 0</t>
  </si>
  <si>
    <t xml:space="preserve">Goal 12 pot, end of year</t>
  </si>
  <si>
    <t xml:space="preserve">Goal 12: average saving numerator</t>
  </si>
  <si>
    <t xml:space="preserve">Goal 12: saved in year 0</t>
  </si>
  <si>
    <t xml:space="preserve">Goal 12: need in year 0</t>
  </si>
  <si>
    <t xml:space="preserve">Goal 13 pot, end of year</t>
  </si>
  <si>
    <t xml:space="preserve">Goal 13: average saving numerator</t>
  </si>
  <si>
    <t xml:space="preserve">Goal 13: saved in year 0</t>
  </si>
  <si>
    <t xml:space="preserve">Goal 13: need in year 0</t>
  </si>
  <si>
    <t xml:space="preserve">Goal 14 pot, end of year</t>
  </si>
  <si>
    <t xml:space="preserve">Goal 14: average saving numerator</t>
  </si>
  <si>
    <t xml:space="preserve">Goal 14: saved in year 0</t>
  </si>
  <si>
    <t xml:space="preserve">Goal 14: need in year 0</t>
  </si>
  <si>
    <t xml:space="preserve">Goal 15 pot, end of year</t>
  </si>
  <si>
    <t xml:space="preserve">Goal 15: average saving numerator</t>
  </si>
  <si>
    <t xml:space="preserve">Goal 15: saved in year 0</t>
  </si>
  <si>
    <t xml:space="preserve">Goal 15: need in year 0</t>
  </si>
  <si>
    <t xml:space="preserve">Goal 16 pot, end of year</t>
  </si>
  <si>
    <t xml:space="preserve">Goal 16: average saving numerator</t>
  </si>
  <si>
    <t xml:space="preserve">Goal 16: saved in year 0</t>
  </si>
  <si>
    <t xml:space="preserve">Goal 16: need in year 0</t>
  </si>
  <si>
    <t xml:space="preserve">Goal 17 pot, end of year</t>
  </si>
  <si>
    <t xml:space="preserve">Goal 17: average saving numerator</t>
  </si>
  <si>
    <t xml:space="preserve">Goal 17: saved in year 0</t>
  </si>
  <si>
    <t xml:space="preserve">Goal 17: need in year 0</t>
  </si>
  <si>
    <t xml:space="preserve">Goal 18 pot, end of year</t>
  </si>
  <si>
    <t xml:space="preserve">Goal 18: average saving numerator</t>
  </si>
  <si>
    <t xml:space="preserve">Goal 18: saved in year 0</t>
  </si>
  <si>
    <t xml:space="preserve">Goal 18: need in year 0</t>
  </si>
  <si>
    <t xml:space="preserve">Goal 19 pot, end of year</t>
  </si>
  <si>
    <t xml:space="preserve">Goal 19: average saving numerator</t>
  </si>
  <si>
    <t xml:space="preserve">Goal 19: saved in year 0</t>
  </si>
  <si>
    <t xml:space="preserve">Goal 19: need in year 0</t>
  </si>
  <si>
    <t xml:space="preserve">Goal 20 pot, end of year</t>
  </si>
  <si>
    <t xml:space="preserve">Goal 20: average saving numerator</t>
  </si>
  <si>
    <t xml:space="preserve">Goal 20: saved in year 0</t>
  </si>
  <si>
    <t xml:space="preserve">Goal 20: need in year 0</t>
  </si>
  <si>
    <t xml:space="preserve">Savings and pots at the end of the year</t>
  </si>
  <si>
    <t xml:space="preserve">Short (living + goals)</t>
  </si>
  <si>
    <t xml:space="preserve">Needs (living + repayments)</t>
  </si>
  <si>
    <t xml:space="preserve">Retired (1/0)</t>
  </si>
  <si>
    <t xml:space="preserve">Retirement goal: cost this year</t>
  </si>
  <si>
    <t xml:space="preserve">Retirement goal: covered this year</t>
  </si>
  <si>
    <t xml:space="preserve">Short for living costs (1/0)</t>
  </si>
  <si>
    <t xml:space="preserve">Chart: from income</t>
  </si>
  <si>
    <t xml:space="preserve">Chart: from savings</t>
  </si>
  <si>
    <t xml:space="preserve">Chart: shortfall</t>
  </si>
  <si>
    <t xml:space="preserve">Chart: a short year (1/0)</t>
  </si>
  <si>
    <t xml:space="preserve">Chart: a year using savings, not short (1/0)</t>
  </si>
  <si>
    <t xml:space="preserve">Everyday costs short (1/0)</t>
  </si>
  <si>
    <t xml:space="preserve">Chapter: dipping into savings and not short (1/0)</t>
  </si>
  <si>
    <t xml:space="preserve">Year label (chapter detail and report table)</t>
  </si>
  <si>
    <t xml:space="preserve">Chapter decade</t>
  </si>
  <si>
    <t xml:space="preserve">Chapter number</t>
  </si>
  <si>
    <t xml:space="preserve">Working year short for living costs (1/0)</t>
  </si>
  <si>
    <t xml:space="preserve">Retired and short for living costs (1/0)</t>
  </si>
  <si>
    <t xml:space="preserve">A goal short of 95% is due this year (1/0)</t>
  </si>
  <si>
    <t xml:space="preserve">A short year on the road (1/0)</t>
  </si>
  <si>
    <t xml:space="preserve">Plan goals: the goal list in funding order, and how much of each goal is covered</t>
  </si>
  <si>
    <t xml:space="preserve">Part 1 reads your goals from Plan inputs and puts the funded ones in funding order (your ranking; Emergency fund first unless moved; then must-haves before nice-to-haves, then soonest). Part 2 gives each funded goal its starting savings. Part 3 (further down) turns the year table on Plan cashflow into the % covered for each goal and the Option B goal line.</t>
  </si>
  <si>
    <t xml:space="preserve">Goal types (the prototype's GOALCAT)</t>
  </si>
  <si>
    <t xml:space="preserve">Key</t>
  </si>
  <si>
    <t xml:space="preserve">Title</t>
  </si>
  <si>
    <t xml:space="preserve">Default amount</t>
  </si>
  <si>
    <t xml:space="preserve">Default years</t>
  </si>
  <si>
    <t xml:space="preserve">Kind</t>
  </si>
  <si>
    <t xml:space="preserve">Expert it points to</t>
  </si>
  <si>
    <t xml:space="preserve">home</t>
  </si>
  <si>
    <t xml:space="preserve">Buy a home</t>
  </si>
  <si>
    <t xml:space="preserve">spend</t>
  </si>
  <si>
    <t xml:space="preserve">mortgage</t>
  </si>
  <si>
    <t xml:space="preserve">retire</t>
  </si>
  <si>
    <t xml:space="preserve">Retire comfortably</t>
  </si>
  <si>
    <t xml:space="preserve">family</t>
  </si>
  <si>
    <t xml:space="preserve">Grow my family</t>
  </si>
  <si>
    <t xml:space="preserve">protection</t>
  </si>
  <si>
    <t xml:space="preserve">edu</t>
  </si>
  <si>
    <t xml:space="preserve">Kids' education</t>
  </si>
  <si>
    <t xml:space="preserve">planner</t>
  </si>
  <si>
    <t xml:space="preserve">travel</t>
  </si>
  <si>
    <t xml:space="preserve">Travel</t>
  </si>
  <si>
    <t xml:space="preserve">business</t>
  </si>
  <si>
    <t xml:space="preserve">Start a business</t>
  </si>
  <si>
    <t xml:space="preserve">mfree</t>
  </si>
  <si>
    <t xml:space="preserve">Be mortgage-free</t>
  </si>
  <si>
    <t xml:space="preserve">safety</t>
  </si>
  <si>
    <t xml:space="preserve">Emergency fund</t>
  </si>
  <si>
    <t xml:space="preserve">pot</t>
  </si>
  <si>
    <t xml:space="preserve">wealth</t>
  </si>
  <si>
    <t xml:space="preserve">Grow my wealth</t>
  </si>
  <si>
    <t xml:space="preserve">investment</t>
  </si>
  <si>
    <t xml:space="preserve">helpfam</t>
  </si>
  <si>
    <t xml:space="preserve">Help my family</t>
  </si>
  <si>
    <t xml:space="preserve">legacy</t>
  </si>
  <si>
    <t xml:space="preserve">Leave a legacy</t>
  </si>
  <si>
    <t xml:space="preserve">wedding</t>
  </si>
  <si>
    <t xml:space="preserve">Wedding</t>
  </si>
  <si>
    <t xml:space="preserve">car</t>
  </si>
  <si>
    <t xml:space="preserve">Change the car</t>
  </si>
  <si>
    <t xml:space="preserve">health</t>
  </si>
  <si>
    <t xml:space="preserve">Health &amp; care</t>
  </si>
  <si>
    <t xml:space="preserve">other</t>
  </si>
  <si>
    <t xml:space="preserve">Something else</t>
  </si>
  <si>
    <t xml:space="preserve">Part 1. Your goals</t>
  </si>
  <si>
    <t xml:space="preserve">Type (key)</t>
  </si>
  <si>
    <t xml:space="preserve">Name</t>
  </si>
  <si>
    <t xml:space="preserve">Age typed</t>
  </si>
  <si>
    <t xml:space="preserve">Funded from savings (1/0)</t>
  </si>
  <si>
    <t xml:space="preserve">Age used for funding</t>
  </si>
  <si>
    <t xml:space="preserve">Age (ties)</t>
  </si>
  <si>
    <t xml:space="preserve">Amount used</t>
  </si>
  <si>
    <t xml:space="preserve">Rank typed</t>
  </si>
  <si>
    <t xml:space="preserve">Rank order</t>
  </si>
  <si>
    <t xml:space="preserve">Sort key</t>
  </si>
  <si>
    <t xml:space="preserve">Funding position</t>
  </si>
  <si>
    <t xml:space="preserve">The customer has ranked their goals (1/0)</t>
  </si>
  <si>
    <t xml:space="preserve">There is a retirement goal (1/0)</t>
  </si>
  <si>
    <t xml:space="preserve">Retirement goal is goal number</t>
  </si>
  <si>
    <t xml:space="preserve">Retirement goal: income a year in today's money</t>
  </si>
  <si>
    <t xml:space="preserve">Part 2. The funded goals in funding order, and their starting savings</t>
  </si>
  <si>
    <t xml:space="preserve">Slot</t>
  </si>
  <si>
    <t xml:space="preserve">Goal number</t>
  </si>
  <si>
    <t xml:space="preserve">On (1/0)</t>
  </si>
  <si>
    <t xml:space="preserve">Age (when it is paid)</t>
  </si>
  <si>
    <t xml:space="preserve">Amount today</t>
  </si>
  <si>
    <t xml:space="preserve">Years to go</t>
  </si>
  <si>
    <t xml:space="preserve">Growth rate</t>
  </si>
  <si>
    <t xml:space="preserve">Cost (inflated; mortgage-free = the balance then)</t>
  </si>
  <si>
    <t xml:space="preserve">Paid from pot or savings (1/0)</t>
  </si>
  <si>
    <t xml:space="preserve">Pot kind, not emergency (1/0)</t>
  </si>
  <si>
    <t xml:space="preserve">Emergency pot (1/0)</t>
  </si>
  <si>
    <t xml:space="preserve">Mortgage-free (1/0)</t>
  </si>
  <si>
    <t xml:space="preserve">What-if goal (1/0)</t>
  </si>
  <si>
    <t xml:space="preserve">Saved so far taken from cash</t>
  </si>
  <si>
    <t xml:space="preserve">What-if one-off added</t>
  </si>
  <si>
    <t xml:space="preserve">Cash left</t>
  </si>
  <si>
    <t xml:space="preserve">Wanted from spare money</t>
  </si>
  <si>
    <t xml:space="preserve">Taken from spare money</t>
  </si>
  <si>
    <t xml:space="preserve">Spare money left</t>
  </si>
  <si>
    <t xml:space="preserve">Pot at the start</t>
  </si>
  <si>
    <t xml:space="preserve">There is an Emergency fund goal (1/0)</t>
  </si>
  <si>
    <t xml:space="preserve">Buffer held back from cash (months x essential spending, if no Emergency fund goal)</t>
  </si>
  <si>
    <t xml:space="preserve">Spare money at the start (cash left + investments)</t>
  </si>
  <si>
    <t xml:space="preserve">Spare money after the starting top-ups of each goal pot</t>
  </si>
  <si>
    <t xml:space="preserve">Growth of spare money (cash / invested mix)</t>
  </si>
  <si>
    <t xml:space="preserve">Funded goals (the workbook carries up to 20)</t>
  </si>
  <si>
    <t xml:space="preserve">More funded goals than the workbook carries (1 = results are not complete)</t>
  </si>
  <si>
    <t xml:space="preserve">Goal rows used on Plan inputs</t>
  </si>
  <si>
    <t xml:space="preserve">Warning shown on Plan inputs and Plan results when there are more goals than the workbook can carry</t>
  </si>
  <si>
    <t xml:space="preserve">Part 3. Results per funded goal (from Plan cashflow)</t>
  </si>
  <si>
    <t xml:space="preserve">Goal paid (€)</t>
  </si>
  <si>
    <t xml:space="preserve">Goal cost (€)</t>
  </si>
  <si>
    <t xml:space="preserve">% covered</t>
  </si>
  <si>
    <t xml:space="preserve">Below 95% (1/0)</t>
  </si>
  <si>
    <t xml:space="preserve">Need in year 0 (a year)</t>
  </si>
  <si>
    <t xml:space="preserve">Saved in year 0</t>
  </si>
  <si>
    <t xml:space="preserve">Saving given over the plan (today's money)</t>
  </si>
  <si>
    <t xml:space="preserve">Years saved to</t>
  </si>
  <si>
    <t xml:space="preserve">Need a month</t>
  </si>
  <si>
    <t xml:space="preserve">Putting in now a month</t>
  </si>
  <si>
    <t xml:space="preserve">On average a month</t>
  </si>
  <si>
    <t xml:space="preserve">Part 4. Results per goal (the goal list on the Results screen)</t>
  </si>
  <si>
    <t xml:space="preserve">Cost (€)</t>
  </si>
  <si>
    <t xml:space="preserve">Covered (€)</t>
  </si>
  <si>
    <t xml:space="preserve">Band</t>
  </si>
  <si>
    <t xml:space="preserve">Needs a month, no search (Option B)</t>
  </si>
  <si>
    <t xml:space="preserve">On average you put (a month)</t>
  </si>
  <si>
    <t xml:space="preserve">Extra a month to reach 100%: type what the what-if search finds ("none" if it needs over 5,000; blank = not tried)</t>
  </si>
  <si>
    <t xml:space="preserve">Goal line as shown</t>
  </si>
  <si>
    <t xml:space="preserve">Best-strength score</t>
  </si>
  <si>
    <t xml:space="preserve">Worst-gap score</t>
  </si>
  <si>
    <t xml:space="preserve">Pct as a number</t>
  </si>
  <si>
    <t xml:space="preserve">Pct, 9999 if no goal</t>
  </si>
  <si>
    <t xml:space="preserve">When (as on screen)</t>
  </si>
  <si>
    <t xml:space="preserve">Emergency fund amount in months of essential spending</t>
  </si>
  <si>
    <t xml:space="preserve">Calendar year of the goal</t>
  </si>
  <si>
    <t xml:space="preserve">Age and year as shown (e.g. age 41 · 2030)</t>
  </si>
  <si>
    <t xml:space="preserve">Sort key for the next best step (% x 1000 + age)</t>
  </si>
  <si>
    <t xml:space="preserve">Type: % covered with the what-if OFF (blank = the same as the % covered when the what-if is zero)</t>
  </si>
  <si>
    <t xml:space="preserve">What-if sentence for this goal</t>
  </si>
  <si>
    <t xml:space="preserve">Extra a month used (typed in L, or the sample customer's figure when Fill example values = Yes)</t>
  </si>
  <si>
    <t xml:space="preserve">Plan results: what the Results screens show (goal %, goal lines, what we found, foundations, gate)</t>
  </si>
  <si>
    <t xml:space="preserve">Everything on this sheet is a formula on the other Plan sheets. The only two typed cells are the figures the prototype finds by searching (the extra a month to reach 100%, and the extra that closes the main gap): a spreadsheet cannot run that search in one pass, so type the figure the what-if search gives (see Plan how it works).</t>
  </si>
  <si>
    <t xml:space="preserve">SAVING (today's money a month)</t>
  </si>
  <si>
    <t xml:space="preserve">Spare money a month today</t>
  </si>
  <si>
    <t xml:space="preserve">What you save a month</t>
  </si>
  <si>
    <t xml:space="preserve">The Q6 rule's saving a month</t>
  </si>
  <si>
    <t xml:space="preserve">Years short on the road</t>
  </si>
  <si>
    <t xml:space="preserve">Years short for living costs</t>
  </si>
  <si>
    <t xml:space="preserve">THE GATE: "To see your results we need N things" (planMissing: only these four choices block results)</t>
  </si>
  <si>
    <t xml:space="preserve">Still to choose (1/0)</t>
  </si>
  <si>
    <t xml:space="preserve">Name on the card</t>
  </si>
  <si>
    <t xml:space="preserve">Keys so far</t>
  </si>
  <si>
    <t xml:space="preserve">Names so far</t>
  </si>
  <si>
    <t xml:space="preserve">date of birth (age 18 to 80 today)</t>
  </si>
  <si>
    <t xml:space="preserve">Your date of birth</t>
  </si>
  <si>
    <t xml:space="preserve">partner's date of birth (age 18 to 85 today)</t>
  </si>
  <si>
    <t xml:space="preserve">pAge</t>
  </si>
  <si>
    <t xml:space="preserve">Partner's date of birth</t>
  </si>
  <si>
    <t xml:space="preserve">retirement age</t>
  </si>
  <si>
    <t xml:space="preserve">retireAge</t>
  </si>
  <si>
    <t xml:space="preserve">plan-until age</t>
  </si>
  <si>
    <t xml:space="preserve">planEnd</t>
  </si>
  <si>
    <t xml:space="preserve">inflation rate</t>
  </si>
  <si>
    <t xml:space="preserve">infl</t>
  </si>
  <si>
    <t xml:space="preserve">Inflation</t>
  </si>
  <si>
    <t xml:space="preserve">partner's retirement age</t>
  </si>
  <si>
    <t xml:space="preserve">pRetireAge</t>
  </si>
  <si>
    <t xml:space="preserve">Partner's retirement age</t>
  </si>
  <si>
    <t xml:space="preserve">Choices still to make (N on the card)</t>
  </si>
  <si>
    <t xml:space="preserve">Keys, in order</t>
  </si>
  <si>
    <t xml:space="preserve">The names on the card, in order</t>
  </si>
  <si>
    <t xml:space="preserve">Heading of the card</t>
  </si>
  <si>
    <t xml:space="preserve">First thing to choose</t>
  </si>
  <si>
    <t xml:space="preserve">The short gate text (Step 7 and the Plan strip)</t>
  </si>
  <si>
    <t xml:space="preserve">Results can be shown (1) or are gated (0)</t>
  </si>
  <si>
    <t xml:space="preserve">Choices only you can make that block results (3, or 4 with a partner who has income)</t>
  </si>
  <si>
    <t xml:space="preserve">Step 7 heading: "Choose N things" while choosing, "All N chosen" when none is left</t>
  </si>
  <si>
    <t xml:space="preserve">Of those, chosen so far ("n of m chosen" on Step 7)</t>
  </si>
  <si>
    <t xml:space="preserve">WHAT WE FOUND (findings)</t>
  </si>
  <si>
    <t xml:space="preserve">Working-year spending is more than comes in (1/0)</t>
  </si>
  <si>
    <t xml:space="preserve">Best score (a fully covered goal, never while overspending)</t>
  </si>
  <si>
    <t xml:space="preserve">Best goal number</t>
  </si>
  <si>
    <t xml:space="preserve">Worst goal number</t>
  </si>
  <si>
    <t xml:space="preserve">Worst goal: % covered</t>
  </si>
  <si>
    <t xml:space="preserve">Worst goal: name</t>
  </si>
  <si>
    <t xml:space="preserve">Extra a month that closes the main gap (type what the what-if search finds, or "none"; blank = not tried)</t>
  </si>
  <si>
    <t xml:space="preserve">Extra used for the biggest decision (typed above, or the sample customer's "none" when Fill example values = Yes)</t>
  </si>
  <si>
    <t xml:space="preserve">Your main strength</t>
  </si>
  <si>
    <t xml:space="preserve">Your main gap</t>
  </si>
  <si>
    <t xml:space="preserve">Your biggest decision</t>
  </si>
  <si>
    <t xml:space="preserve">RETIREMENT AT A GLANCE (today's money)</t>
  </si>
  <si>
    <t xml:space="preserve">Years until retirement</t>
  </si>
  <si>
    <t xml:space="preserve">Pension pot at the start of the retirement year</t>
  </si>
  <si>
    <t xml:space="preserve">Money in after tax in the first retired year, a month</t>
  </si>
  <si>
    <t xml:space="preserve">Lump sum after tax (nominal)</t>
  </si>
  <si>
    <t xml:space="preserve">FOUNDATIONS (the pyramid on Results)</t>
  </si>
  <si>
    <t xml:space="preserve">Level 1 Spend less than you earn: status</t>
  </si>
  <si>
    <t xml:space="preserve">Level 1: text</t>
  </si>
  <si>
    <t xml:space="preserve">Level 2 Emergency fund: status</t>
  </si>
  <si>
    <t xml:space="preserve">Level 2: text</t>
  </si>
  <si>
    <t xml:space="preserve">Level 3: months to clear the cards</t>
  </si>
  <si>
    <t xml:space="preserve">Level 3: months to clear the loans</t>
  </si>
  <si>
    <t xml:space="preserve">Level 3: debt figures given (1/0)</t>
  </si>
  <si>
    <t xml:space="preserve">Level 3 item: credit card status (blank = no item)</t>
  </si>
  <si>
    <t xml:space="preserve">Level 3 item: credit card text</t>
  </si>
  <si>
    <t xml:space="preserve">Level 3 item: loans status</t>
  </si>
  <si>
    <t xml:space="preserve">Level 3 item: loans text</t>
  </si>
  <si>
    <t xml:space="preserve">Level 3 item: no costly debt</t>
  </si>
  <si>
    <t xml:space="preserve">Level 3 item: text</t>
  </si>
  <si>
    <t xml:space="preserve">Cover through work counted</t>
  </si>
  <si>
    <t xml:space="preserve">Life cover counted</t>
  </si>
  <si>
    <t xml:space="preserve">Life cover is checked (partner or people rely on you)</t>
  </si>
  <si>
    <t xml:space="preserve">Level 3 item: life cover status</t>
  </si>
  <si>
    <t xml:space="preserve">Level 3 item: life cover text</t>
  </si>
  <si>
    <t xml:space="preserve">Level 3 item: income protection status</t>
  </si>
  <si>
    <t xml:space="preserve">Level 3 item: income protection text</t>
  </si>
  <si>
    <t xml:space="preserve">Level 3: weakest item rank</t>
  </si>
  <si>
    <t xml:space="preserve">Level 3 Clear costly debt and protect your family: status</t>
  </si>
  <si>
    <t xml:space="preserve">Level 3: text</t>
  </si>
  <si>
    <t xml:space="preserve">Level 4: goals counted (not legacy)</t>
  </si>
  <si>
    <t xml:space="preserve">Level 4: goals on track</t>
  </si>
  <si>
    <t xml:space="preserve">Level 4: goals under 50%</t>
  </si>
  <si>
    <t xml:space="preserve">Level 4: pension saving under way (1/0)</t>
  </si>
  <si>
    <t xml:space="preserve">Level 4 Goals and retirement: status</t>
  </si>
  <si>
    <t xml:space="preserve">Level 4: text</t>
  </si>
  <si>
    <t xml:space="preserve">Level 5: wealth or legacy goals</t>
  </si>
  <si>
    <t xml:space="preserve">Level 5: first wealth or legacy goal on track</t>
  </si>
  <si>
    <t xml:space="preserve">Level 5: first wealth or legacy goal</t>
  </si>
  <si>
    <t xml:space="preserve">Level 5: investing (1/0)</t>
  </si>
  <si>
    <t xml:space="preserve">Level 5 Grow wealth and legacy: status</t>
  </si>
  <si>
    <t xml:space="preserve">Level 5: text</t>
  </si>
  <si>
    <t xml:space="preserve">Level 2 after the "strengthen first" rule</t>
  </si>
  <si>
    <t xml:space="preserve">Level 3 after the rule</t>
  </si>
  <si>
    <t xml:space="preserve">Level 4 after the rule</t>
  </si>
  <si>
    <t xml:space="preserve">Level 5 after the rule</t>
  </si>
  <si>
    <t xml:space="preserve">Level 1 after the rule</t>
  </si>
  <si>
    <t xml:space="preserve">NEXT FOUNDATION, EXPLORE AND EMERGENCY FUND NOTE</t>
  </si>
  <si>
    <t xml:space="preserve">First level that is not solid (0 = all solid)</t>
  </si>
  <si>
    <t xml:space="preserve">Level 3 weakest item is a card or loan (debtpay)</t>
  </si>
  <si>
    <t xml:space="preserve">Next best step: title</t>
  </si>
  <si>
    <t xml:space="preserve">Next best step: description</t>
  </si>
  <si>
    <t xml:space="preserve">Goals that need a what-if on Explore (under 95%)</t>
  </si>
  <si>
    <t xml:space="preserve">Their names</t>
  </si>
  <si>
    <t xml:space="preserve">MY MONEY: sections, checklist and the "rough picture" note (secStatus, checkItems, qualityCount, roughNote)</t>
  </si>
  <si>
    <t xml:space="preserve">Field</t>
  </si>
  <si>
    <t xml:space="preserve">Shown (1/0)</t>
  </si>
  <si>
    <t xml:space="preserve">Optional (1/0)</t>
  </si>
  <si>
    <t xml:space="preserve">Figure given (1/0)</t>
  </si>
  <si>
    <t xml:space="preserve">Pre-filled, not typed (1/0)</t>
  </si>
  <si>
    <t xml:space="preserve">Flagged "needs a look" (1/0)</t>
  </si>
  <si>
    <t xml:space="preserve">Left for my adviser (1/0)</t>
  </si>
  <si>
    <t xml:space="preserve">Shown and required</t>
  </si>
  <si>
    <t xml:space="preserve">Required and given</t>
  </si>
  <si>
    <t xml:space="preserve">Look, not left for adviser</t>
  </si>
  <si>
    <t xml:space="preserve">Shown and typed or read</t>
  </si>
  <si>
    <t xml:space="preserve">Shown and given or flagged</t>
  </si>
  <si>
    <t xml:space="preserve">Section</t>
  </si>
  <si>
    <t xml:space="preserve">Counts as missing or to look at</t>
  </si>
  <si>
    <t xml:space="preserve">Counts as "looks good"</t>
  </si>
  <si>
    <t xml:space="preserve">First name</t>
  </si>
  <si>
    <t xml:space="preserve">name</t>
  </si>
  <si>
    <t xml:space="preserve">Your work</t>
  </si>
  <si>
    <t xml:space="preserve">work</t>
  </si>
  <si>
    <t xml:space="preserve">income</t>
  </si>
  <si>
    <t xml:space="preserve">pIncome</t>
  </si>
  <si>
    <t xml:space="preserve">otherM</t>
  </si>
  <si>
    <t xml:space="preserve">Monthly living costs</t>
  </si>
  <si>
    <t xml:space="preserve">costsM</t>
  </si>
  <si>
    <t xml:space="preserve">oneOffY</t>
  </si>
  <si>
    <t xml:space="preserve">Your home</t>
  </si>
  <si>
    <t xml:space="preserve">homeValue</t>
  </si>
  <si>
    <t xml:space="preserve">cash</t>
  </si>
  <si>
    <t xml:space="preserve">invest</t>
  </si>
  <si>
    <t xml:space="preserve">Other property: value</t>
  </si>
  <si>
    <t xml:space="preserve">propValue</t>
  </si>
  <si>
    <t xml:space="preserve">Other property: rent a month</t>
  </si>
  <si>
    <t xml:space="preserve">rentM</t>
  </si>
  <si>
    <t xml:space="preserve">Do you have a mortgage?</t>
  </si>
  <si>
    <t xml:space="preserve">mortYN</t>
  </si>
  <si>
    <t xml:space="preserve">mortBal</t>
  </si>
  <si>
    <t xml:space="preserve">mortPayM</t>
  </si>
  <si>
    <t xml:space="preserve">mortYears</t>
  </si>
  <si>
    <t xml:space="preserve">mortRate</t>
  </si>
  <si>
    <t xml:space="preserve">Credit cards: total owed</t>
  </si>
  <si>
    <t xml:space="preserve">cardBal</t>
  </si>
  <si>
    <t xml:space="preserve">cardPayM</t>
  </si>
  <si>
    <t xml:space="preserve">Credit cards: interest rate</t>
  </si>
  <si>
    <t xml:space="preserve">cardRate</t>
  </si>
  <si>
    <t xml:space="preserve">loanBal</t>
  </si>
  <si>
    <t xml:space="preserve">loanPayM</t>
  </si>
  <si>
    <t xml:space="preserve">Other loans: interest rate</t>
  </si>
  <si>
    <t xml:space="preserve">loanRate</t>
  </si>
  <si>
    <t xml:space="preserve">Other-property mortgage: years left or repayment</t>
  </si>
  <si>
    <t xml:space="preserve">mort2</t>
  </si>
  <si>
    <t xml:space="preserve">Life cover</t>
  </si>
  <si>
    <t xml:space="preserve">life</t>
  </si>
  <si>
    <t xml:space="preserve">Income protection</t>
  </si>
  <si>
    <t xml:space="preserve">ip</t>
  </si>
  <si>
    <t xml:space="preserve">Serious illness cover</t>
  </si>
  <si>
    <t xml:space="preserve">ci</t>
  </si>
  <si>
    <t xml:space="preserve">Cover through work</t>
  </si>
  <si>
    <t xml:space="preserve">workCover</t>
  </si>
  <si>
    <t xml:space="preserve">Health insurance</t>
  </si>
  <si>
    <t xml:space="preserve">Paid in each month</t>
  </si>
  <si>
    <t xml:space="preserve">pensionM</t>
  </si>
  <si>
    <t xml:space="preserve">pensionOwnM</t>
  </si>
  <si>
    <t xml:space="preserve">Auto-enrolment answer</t>
  </si>
  <si>
    <t xml:space="preserve">ae</t>
  </si>
  <si>
    <t xml:space="preserve">State Pension</t>
  </si>
  <si>
    <t xml:space="preserve">sp</t>
  </si>
  <si>
    <t xml:space="preserve">pSp</t>
  </si>
  <si>
    <t xml:space="preserve">Details missing or to look at (the banner and the checklist)</t>
  </si>
  <si>
    <t xml:space="preserve">Details that need a look and were not left for the adviser</t>
  </si>
  <si>
    <t xml:space="preserve">Details that look good ("N details look good")</t>
  </si>
  <si>
    <t xml:space="preserve">Section 1 About you: status (none / part / done / look)</t>
  </si>
  <si>
    <t xml:space="preserve">Section 2 Income and expenses: status (none / part / done / look)</t>
  </si>
  <si>
    <t xml:space="preserve">Section 3 Assets: status (none / part / done / look)</t>
  </si>
  <si>
    <t xml:space="preserve">Section 4 Liabilities: status (none / part / done / look)</t>
  </si>
  <si>
    <t xml:space="preserve">Section 5 Protection: status (none / part / done / look)</t>
  </si>
  <si>
    <t xml:space="preserve">Section 6 Pension: status (none / part / done / look)</t>
  </si>
  <si>
    <t xml:space="preserve">Sections done ("5 of 6 done")</t>
  </si>
  <si>
    <t xml:space="preserve">Minimum reached: About you + Income + Assets or Pension (1/0)</t>
  </si>
  <si>
    <t xml:space="preserve">Required details with no figure (qualityCount)</t>
  </si>
  <si>
    <t xml:space="preserve">Sections where nothing was entered (skipped)</t>
  </si>
  <si>
    <t xml:space="preserve">Home says "· rough" beside Overall readiness (1/0)</t>
  </si>
  <si>
    <t xml:space="preserve">The "Rough picture" note shows (1/0): only when no detail is already flagged</t>
  </si>
  <si>
    <t xml:space="preserve">RETIREMENT AGE, THE THREE STATED DEFAULTS (the app's words: Step 7, Your assumptions, Check your details)</t>
  </si>
  <si>
    <t xml:space="preserve">Retirement age: youngest allowed (your age + 1)</t>
  </si>
  <si>
    <t xml:space="preserve">Retirement age: oldest allowed (plan-until age - 1)</t>
  </si>
  <si>
    <t xml:space="preserve">Retirement age: guidance (RETIRE_HELP)</t>
  </si>
  <si>
    <t xml:space="preserve">Retirement age: the line under the box</t>
  </si>
  <si>
    <t xml:space="preserve">Calm note under the retirement age (below 50, or below the pension access age / 60); blank otherwise</t>
  </si>
  <si>
    <t xml:space="preserve">Calm note under the partner's retirement age; blank otherwise</t>
  </si>
  <si>
    <t xml:space="preserve">Your age today (exact, from your date of birth); blank when not given</t>
  </si>
  <si>
    <t xml:space="preserve">Your next birthday</t>
  </si>
  <si>
    <t xml:space="preserve">The line under the date of birth (the app's words)</t>
  </si>
  <si>
    <t xml:space="preserve">Partner's age today (exact); blank when not given</t>
  </si>
  <si>
    <t xml:space="preserve">The line under the partner's date of birth (no partner name in the workbook)</t>
  </si>
  <si>
    <t xml:space="preserve">"We use ..." status beside Years left on the mortgage on Check your details (blank when you gave it)</t>
  </si>
  <si>
    <t xml:space="preserve">"We use ..." status beside Years left on the other-property mortgage on Check your details (blank when you gave it)</t>
  </si>
  <si>
    <t xml:space="preserve">"We use ..." status beside Partner's age on Check your details (blank when you gave it)</t>
  </si>
  <si>
    <t xml:space="preserve">"We use ..." status beside Your work on Check your details (blank when you gave it)</t>
  </si>
  <si>
    <t xml:space="preserve">"We use ..." status beside Mortgage rate on Check your details (blank when you gave it)</t>
  </si>
  <si>
    <t xml:space="preserve">"We use ..." status beside Other loans rate on Check your details (blank when you gave it)</t>
  </si>
  <si>
    <t xml:space="preserve">"We use ..." status beside Credit-card rate on Check your details (blank when you gave it)</t>
  </si>
  <si>
    <t xml:space="preserve">HOME, EXPLORE AND EXPERTS (base plan)</t>
  </si>
  <si>
    <t xml:space="preserve">Goals in the plan</t>
  </si>
  <si>
    <t xml:space="preserve">Overall readiness (average % covered, rounded)</t>
  </si>
  <si>
    <t xml:space="preserve">Goals on track (95% or more): "n of m goals on track" on Home and in the strip</t>
  </si>
  <si>
    <t xml:space="preserve">Overall band</t>
  </si>
  <si>
    <t xml:space="preserve">Tools for you (ids, before the cut to 6)</t>
  </si>
  <si>
    <t xml:space="preserve">Tools for you shown on Explore (first 6)</t>
  </si>
  <si>
    <t xml:space="preserve">Weakest goal (lowest %, first in the list on a tie)</t>
  </si>
  <si>
    <t xml:space="preserve">Specialist it points to</t>
  </si>
  <si>
    <t xml:space="preserve">Specialist type shown</t>
  </si>
  <si>
    <t xml:space="preserve">What you save a month before any what-if</t>
  </si>
  <si>
    <t xml:space="preserve">Try-this saving (a floor to 25) if it is well above what you save</t>
  </si>
  <si>
    <t xml:space="preserve">The "you may be able to save more" nudge shows (1/0)</t>
  </si>
  <si>
    <t xml:space="preserve">What-if: you would save a month</t>
  </si>
  <si>
    <t xml:space="preserve">What-if: more than your spare money (1/0)</t>
  </si>
  <si>
    <t xml:space="preserve">THE ROAD AND THE CHART (what-if included, as on screen)</t>
  </si>
  <si>
    <t xml:space="preserve">Years with a shortfall on the chart</t>
  </si>
  <si>
    <t xml:space="preserve">Years using savings but not short</t>
  </si>
  <si>
    <t xml:space="preserve">First short year (row)</t>
  </si>
  <si>
    <t xml:space="preserve">First shortfall at age</t>
  </si>
  <si>
    <t xml:space="preserve">First shortfall, about</t>
  </si>
  <si>
    <t xml:space="preserve">Total shortfall across the plan</t>
  </si>
  <si>
    <t xml:space="preserve">Years everyday costs run short</t>
  </si>
  <si>
    <t xml:space="preserve">First year everyday costs run short, age</t>
  </si>
  <si>
    <t xml:space="preserve">The road turns coral from age</t>
  </si>
  <si>
    <t xml:space="preserve">Short years on the road</t>
  </si>
  <si>
    <t xml:space="preserve">Chapter</t>
  </si>
  <si>
    <t xml:space="preserve">Decade</t>
  </si>
  <si>
    <t xml:space="preserve">From age</t>
  </si>
  <si>
    <t xml:space="preserve">To age</t>
  </si>
  <si>
    <t xml:space="preserve">Short years</t>
  </si>
  <si>
    <t xml:space="preserve">Dipping years</t>
  </si>
  <si>
    <t xml:space="preserve">Average short a year</t>
  </si>
  <si>
    <t xml:space="preserve">Weather</t>
  </si>
  <si>
    <t xml:space="preserve">Story (as shown)</t>
  </si>
  <si>
    <t xml:space="preserve">HOME: YOUR NEXT BEST STEP (nextStep, base plan)</t>
  </si>
  <si>
    <t xml:space="preserve">Weakest goal for the what-if step (lowest %, then earliest age)</t>
  </si>
  <si>
    <t xml:space="preserve">Its % covered</t>
  </si>
  <si>
    <t xml:space="preserve">Its name</t>
  </si>
  <si>
    <t xml:space="preserve">Your money profile still needs doing before the meeting (needsProfile)</t>
  </si>
  <si>
    <t xml:space="preserve">Which step shows (1 look, 2 foundation, 3 check profile, 4 what-if, 5 finish profile, 6 book, 7 all set)</t>
  </si>
  <si>
    <t xml:space="preserve">Next best step: button</t>
  </si>
  <si>
    <t xml:space="preserve">WHAT-IF: "What changes" (wiText). The % before needs the typed helper column Z on Plan goals when the what-if is on</t>
  </si>
  <si>
    <t xml:space="preserve">What changes</t>
  </si>
  <si>
    <t xml:space="preserve">EXPLORE: what-ifs for your goals, video reasons, tools per category (base plan)</t>
  </si>
  <si>
    <t xml:space="preserve">Videos about mortgage: the goal named in "Why this is for you" (goal number, 0 = none)</t>
  </si>
  <si>
    <t xml:space="preserve">Videos about mortgage: "Your goal is N% covered"</t>
  </si>
  <si>
    <t xml:space="preserve">Videos about pension: the goal named in "Why this is for you" (goal number, 0 = none)</t>
  </si>
  <si>
    <t xml:space="preserve">Videos about pension: "Your goal is N% covered"</t>
  </si>
  <si>
    <t xml:space="preserve">Videos about protection: the goal named in "Why this is for you" (goal number, 0 = none)</t>
  </si>
  <si>
    <t xml:space="preserve">Videos about protection: "Your goal is N% covered"</t>
  </si>
  <si>
    <t xml:space="preserve">Videos about investment: the goal named in "Why this is for you" (goal number, 0 = none)</t>
  </si>
  <si>
    <t xml:space="preserve">Videos about investment: "Your goal is N% covered"</t>
  </si>
  <si>
    <t xml:space="preserve">Videos about planner: the goal named in "Why this is for you" (goal number, 0 = none)</t>
  </si>
  <si>
    <t xml:space="preserve">Videos about planner: "Your goal is N% covered"</t>
  </si>
  <si>
    <t xml:space="preserve">Tools in the category Home &amp; Mortgage ("N tools" on Explore)</t>
  </si>
  <si>
    <t xml:space="preserve">Tools in the category Savings &amp; Goals ("N tools" on Explore)</t>
  </si>
  <si>
    <t xml:space="preserve">Tools in the category Pensions &amp; Retirement ("N tools" on Explore)</t>
  </si>
  <si>
    <t xml:space="preserve">Tools in the category Investments ("N tools" on Explore)</t>
  </si>
  <si>
    <t xml:space="preserve">Tools in the category Protection ("N tools" on Explore)</t>
  </si>
  <si>
    <t xml:space="preserve">Tools in the category Everyday Money ("N tools" on Explore)</t>
  </si>
  <si>
    <t xml:space="preserve">Plan profile: money personality and indicative risk profile (Discover and Understand Me scoring)</t>
  </si>
  <si>
    <t xml:space="preserve">Type the option number the customer picked for each question (1 = the first option on screen). Blank = not answered. Everything below is a formula: the money personality (weights per answer), the indicative risk profile (the lowest of what you want, what you can afford, how long you can wait and your experience), the mismatch message key and the money terms shown on Me. Guidance, not advice.</t>
  </si>
  <si>
    <t xml:space="preserve">ANSWERS</t>
  </si>
  <si>
    <t xml:space="preserve">Option picked (1 to 4; Q6 1 to 5)</t>
  </si>
  <si>
    <t xml:space="preserve">Q1 Money habits (Discover 2)</t>
  </si>
  <si>
    <t xml:space="preserve">Q4 An investment tip (Discover 4)</t>
  </si>
  <si>
    <t xml:space="preserve">Q6 How much could you invest (Discover 6)</t>
  </si>
  <si>
    <t xml:space="preserve">the Q6 answer typed on Plan inputs</t>
  </si>
  <si>
    <t xml:space="preserve">Q7 If a surprise bill came (Discover 7)</t>
  </si>
  <si>
    <t xml:space="preserve">Q8 Your road (Discover 8)</t>
  </si>
  <si>
    <t xml:space="preserve">Q9 A fall in your investments (Discover 9)</t>
  </si>
  <si>
    <t xml:space="preserve">Q12 How you feel about money (Discover 12)</t>
  </si>
  <si>
    <t xml:space="preserve">U4 Who decides (Understand Me)</t>
  </si>
  <si>
    <t xml:space="preserve">U9 How long you can wait (blank = suggested from your goals)</t>
  </si>
  <si>
    <t xml:space="preserve">U10 Income security</t>
  </si>
  <si>
    <t xml:space="preserve">U11 Investing experience</t>
  </si>
  <si>
    <t xml:space="preserve">U12 Dependants and commitments</t>
  </si>
  <si>
    <t xml:space="preserve">U14 Emergency fund cover</t>
  </si>
  <si>
    <t xml:space="preserve">Investments held: how many chips selected</t>
  </si>
  <si>
    <t xml:space="preserve">Investments held: "Shares or funds" selected (Yes/No)</t>
  </si>
  <si>
    <t xml:space="preserve">Investments held: all selected are "None" or "Savings account" (Yes/No)</t>
  </si>
  <si>
    <t xml:space="preserve">Question|option</t>
  </si>
  <si>
    <t xml:space="preserve">Score</t>
  </si>
  <si>
    <t xml:space="preserve">A</t>
  </si>
  <si>
    <t xml:space="preserve">B</t>
  </si>
  <si>
    <t xml:space="preserve">E</t>
  </si>
  <si>
    <t xml:space="preserve">C</t>
  </si>
  <si>
    <t xml:space="preserve">Money term</t>
  </si>
  <si>
    <t xml:space="preserve">2|1</t>
  </si>
  <si>
    <t xml:space="preserve">The Budgeter</t>
  </si>
  <si>
    <t xml:space="preserve">2|2</t>
  </si>
  <si>
    <t xml:space="preserve">Money Vigilant</t>
  </si>
  <si>
    <t xml:space="preserve">2|3</t>
  </si>
  <si>
    <t xml:space="preserve">The Opportunist</t>
  </si>
  <si>
    <t xml:space="preserve">2|4</t>
  </si>
  <si>
    <t xml:space="preserve">The Money Monk</t>
  </si>
  <si>
    <t xml:space="preserve">4|1</t>
  </si>
  <si>
    <t xml:space="preserve">FOMO · Herd behaviour</t>
  </si>
  <si>
    <t xml:space="preserve">4|2</t>
  </si>
  <si>
    <t xml:space="preserve">Due diligence</t>
  </si>
  <si>
    <t xml:space="preserve">4|3</t>
  </si>
  <si>
    <t xml:space="preserve">Advice-seeker</t>
  </si>
  <si>
    <t xml:space="preserve">4|4</t>
  </si>
  <si>
    <t xml:space="preserve">Loss aversion</t>
  </si>
  <si>
    <t xml:space="preserve">6|1</t>
  </si>
  <si>
    <t xml:space="preserve">Starter capacity</t>
  </si>
  <si>
    <t xml:space="preserve">6|2</t>
  </si>
  <si>
    <t xml:space="preserve">Moderate capacity</t>
  </si>
  <si>
    <t xml:space="preserve">6|3</t>
  </si>
  <si>
    <t xml:space="preserve">Good capacity</t>
  </si>
  <si>
    <t xml:space="preserve">6|4</t>
  </si>
  <si>
    <t xml:space="preserve">High capacity</t>
  </si>
  <si>
    <t xml:space="preserve">6|5</t>
  </si>
  <si>
    <t xml:space="preserve">Variable income</t>
  </si>
  <si>
    <t xml:space="preserve">7|1</t>
  </si>
  <si>
    <t xml:space="preserve">7|2</t>
  </si>
  <si>
    <t xml:space="preserve">Thin buffer</t>
  </si>
  <si>
    <t xml:space="preserve">7|3</t>
  </si>
  <si>
    <t xml:space="preserve">Relies on credit</t>
  </si>
  <si>
    <t xml:space="preserve">7|4</t>
  </si>
  <si>
    <t xml:space="preserve">No safety net</t>
  </si>
  <si>
    <t xml:space="preserve">8|1</t>
  </si>
  <si>
    <t xml:space="preserve">Low risk</t>
  </si>
  <si>
    <t xml:space="preserve">8|2</t>
  </si>
  <si>
    <t xml:space="preserve">Cautious</t>
  </si>
  <si>
    <t xml:space="preserve">8|3</t>
  </si>
  <si>
    <t xml:space="preserve">Balanced</t>
  </si>
  <si>
    <t xml:space="preserve">8|4</t>
  </si>
  <si>
    <t xml:space="preserve">High risk</t>
  </si>
  <si>
    <t xml:space="preserve">9|1</t>
  </si>
  <si>
    <t xml:space="preserve">Panic selling</t>
  </si>
  <si>
    <t xml:space="preserve">9|2</t>
  </si>
  <si>
    <t xml:space="preserve">Anchoring</t>
  </si>
  <si>
    <t xml:space="preserve">9|3</t>
  </si>
  <si>
    <t xml:space="preserve">Long-term investor</t>
  </si>
  <si>
    <t xml:space="preserve">9|4</t>
  </si>
  <si>
    <t xml:space="preserve">Buy the dip</t>
  </si>
  <si>
    <t xml:space="preserve">12|1</t>
  </si>
  <si>
    <t xml:space="preserve">Financial anxiety</t>
  </si>
  <si>
    <t xml:space="preserve">12|2</t>
  </si>
  <si>
    <t xml:space="preserve">Cautious optimism</t>
  </si>
  <si>
    <t xml:space="preserve">12|3</t>
  </si>
  <si>
    <t xml:space="preserve">Financially confident</t>
  </si>
  <si>
    <t xml:space="preserve">12|4</t>
  </si>
  <si>
    <t xml:space="preserve">Money avoidance</t>
  </si>
  <si>
    <t xml:space="preserve">u9|1</t>
  </si>
  <si>
    <t xml:space="preserve">u9|2</t>
  </si>
  <si>
    <t xml:space="preserve">u9|3</t>
  </si>
  <si>
    <t xml:space="preserve">u9|4</t>
  </si>
  <si>
    <t xml:space="preserve">u10|1</t>
  </si>
  <si>
    <t xml:space="preserve">u10|2</t>
  </si>
  <si>
    <t xml:space="preserve">u10|3</t>
  </si>
  <si>
    <t xml:space="preserve">u10|4</t>
  </si>
  <si>
    <t xml:space="preserve">u12|1</t>
  </si>
  <si>
    <t xml:space="preserve">u12|2</t>
  </si>
  <si>
    <t xml:space="preserve">u12|3</t>
  </si>
  <si>
    <t xml:space="preserve">u12|4</t>
  </si>
  <si>
    <t xml:space="preserve">u14|1</t>
  </si>
  <si>
    <t xml:space="preserve">u14|2</t>
  </si>
  <si>
    <t xml:space="preserve">u14|3</t>
  </si>
  <si>
    <t xml:space="preserve">u14|4</t>
  </si>
  <si>
    <t xml:space="preserve">u4|1</t>
  </si>
  <si>
    <t xml:space="preserve">u4|2</t>
  </si>
  <si>
    <t xml:space="preserve">u4|3</t>
  </si>
  <si>
    <t xml:space="preserve">u4|4</t>
  </si>
  <si>
    <t xml:space="preserve">Procrastination · Status quo bias</t>
  </si>
  <si>
    <t xml:space="preserve">u11|1</t>
  </si>
  <si>
    <t xml:space="preserve">u11|2</t>
  </si>
  <si>
    <t xml:space="preserve">u11|3</t>
  </si>
  <si>
    <t xml:space="preserve">u11|4</t>
  </si>
  <si>
    <t xml:space="preserve">Overconfidence bias</t>
  </si>
  <si>
    <t xml:space="preserve">Discover answers given (of 6)</t>
  </si>
  <si>
    <t xml:space="preserve">Questions answered (of 13)</t>
  </si>
  <si>
    <t xml:space="preserve">Section 1 Your risk: answered (of 3)</t>
  </si>
  <si>
    <t xml:space="preserve">Section 2 Your capacity: answered (of 5)</t>
  </si>
  <si>
    <t xml:space="preserve">Section 3 Your investor behaviour: answered (of 5)</t>
  </si>
  <si>
    <t xml:space="preserve">New questions still to answer (of 7: Q6, U9, U10, U12, U14, U4, U11)</t>
  </si>
  <si>
    <t xml:space="preserve">Line under "Your money profile"</t>
  </si>
  <si>
    <t xml:space="preserve">Enough Discover answers (4 or more)</t>
  </si>
  <si>
    <t xml:space="preserve">Personality score A</t>
  </si>
  <si>
    <t xml:space="preserve">Personality score B</t>
  </si>
  <si>
    <t xml:space="preserve">Personality score E</t>
  </si>
  <si>
    <t xml:space="preserve">Personality score C</t>
  </si>
  <si>
    <t xml:space="preserve">Highest score</t>
  </si>
  <si>
    <t xml:space="preserve">A is tied for top (1/0)</t>
  </si>
  <si>
    <t xml:space="preserve">B is tied for top (1/0)</t>
  </si>
  <si>
    <t xml:space="preserve">E is tied for top (1/0)</t>
  </si>
  <si>
    <t xml:space="preserve">C is tied for top (1/0)</t>
  </si>
  <si>
    <t xml:space="preserve">Types tied for top</t>
  </si>
  <si>
    <t xml:space="preserve">Q1 type if it is among the tied</t>
  </si>
  <si>
    <t xml:space="preserve">Q4 types among the tied</t>
  </si>
  <si>
    <t xml:space="preserve">Q4 type if exactly one</t>
  </si>
  <si>
    <t xml:space="preserve">First tied type in the order B, A, C, E</t>
  </si>
  <si>
    <t xml:space="preserve">Your type (key)</t>
  </si>
  <si>
    <t xml:space="preserve">Your money personality</t>
  </si>
  <si>
    <t xml:space="preserve">Q6 score (-1 = not answered)</t>
  </si>
  <si>
    <t xml:space="preserve">Q7 score</t>
  </si>
  <si>
    <t xml:space="preserve">Q8 score</t>
  </si>
  <si>
    <t xml:space="preserve">Q9 score</t>
  </si>
  <si>
    <t xml:space="preserve">Full profile (all 13 answered)</t>
  </si>
  <si>
    <t xml:space="preserve">Earliest savings-pot goal more than 2 years away (age)</t>
  </si>
  <si>
    <t xml:space="preserve">Else the earliest other goal more than 2 years away with nothing saved (age)</t>
  </si>
  <si>
    <t xml:space="preserve">Time horizon suggested from your goals (0 to 3)</t>
  </si>
  <si>
    <t xml:space="preserve">Time horizon used (0 to 3, from your answer or the suggestion)</t>
  </si>
  <si>
    <t xml:space="preserve">Willingness (want)</t>
  </si>
  <si>
    <t xml:space="preserve">Capacity for loss (can)</t>
  </si>
  <si>
    <t xml:space="preserve">Time horizon (time)</t>
  </si>
  <si>
    <t xml:space="preserve">Knowledge and experience (experience)</t>
  </si>
  <si>
    <t xml:space="preserve">Level</t>
  </si>
  <si>
    <t xml:space="preserve">Indicative risk profile</t>
  </si>
  <si>
    <t xml:space="preserve">Held back by</t>
  </si>
  <si>
    <t xml:space="preserve">Comfort with ups and downs (Q8 only)</t>
  </si>
  <si>
    <t xml:space="preserve">Cushion (Q7)</t>
  </si>
  <si>
    <t xml:space="preserve">First read (1) or full profile (0)</t>
  </si>
  <si>
    <t xml:space="preserve">Wants more risk (Q8 3 or 4)</t>
  </si>
  <si>
    <t xml:space="preserve">Wants less risk (Q8 1 or 2)</t>
  </si>
  <si>
    <t xml:space="preserve">Stays calm (Q9 3 or 4)</t>
  </si>
  <si>
    <t xml:space="preserve">Gets worried (Q9 1 or 2)</t>
  </si>
  <si>
    <t xml:space="preserve">Thin cushion</t>
  </si>
  <si>
    <t xml:space="preserve">Short time horizon</t>
  </si>
  <si>
    <t xml:space="preserve">Low capacity for loss</t>
  </si>
  <si>
    <t xml:space="preserve">Capacity low</t>
  </si>
  <si>
    <t xml:space="preserve">Capacity high</t>
  </si>
  <si>
    <t xml:space="preserve">Mismatch message key</t>
  </si>
  <si>
    <t xml:space="preserve">Risk profile banner on Results</t>
  </si>
  <si>
    <t xml:space="preserve">Money terms: money mindset</t>
  </si>
  <si>
    <t xml:space="preserve">Money terms: investor behaviour</t>
  </si>
  <si>
    <t xml:space="preserve">Money terms: risk appetite</t>
  </si>
  <si>
    <t xml:space="preserve">Money terms: capacity for loss</t>
  </si>
  <si>
    <t xml:space="preserve">Plan debt months: each loan, card and the mortgage month by month inside each plan year (the prototype's amortYear)</t>
  </si>
  <si>
    <t xml:space="preserve">A debt is paid month by month: interest is added, then the repayment is taken (never more than what is owed), until the balance is 0.50 or less. Columns B1..B12 are the balance after each month and P1..P12 the repayments. "path" is the mortgage with no goal payments, used to price a Be-mortgage-free goal.</t>
  </si>
  <si>
    <t xml:space="preserve">mortgage: balance at the start of the year</t>
  </si>
  <si>
    <t xml:space="preserve">mortgage B1</t>
  </si>
  <si>
    <t xml:space="preserve">mortgage B2</t>
  </si>
  <si>
    <t xml:space="preserve">mortgage B3</t>
  </si>
  <si>
    <t xml:space="preserve">mortgage B4</t>
  </si>
  <si>
    <t xml:space="preserve">mortgage B5</t>
  </si>
  <si>
    <t xml:space="preserve">mortgage B6</t>
  </si>
  <si>
    <t xml:space="preserve">mortgage B7</t>
  </si>
  <si>
    <t xml:space="preserve">mortgage B8</t>
  </si>
  <si>
    <t xml:space="preserve">mortgage B9</t>
  </si>
  <si>
    <t xml:space="preserve">mortgage B10</t>
  </si>
  <si>
    <t xml:space="preserve">mortgage B11</t>
  </si>
  <si>
    <t xml:space="preserve">mortgage B12</t>
  </si>
  <si>
    <t xml:space="preserve">mortgage P1</t>
  </si>
  <si>
    <t xml:space="preserve">mortgage P2</t>
  </si>
  <si>
    <t xml:space="preserve">mortgage P3</t>
  </si>
  <si>
    <t xml:space="preserve">mortgage P4</t>
  </si>
  <si>
    <t xml:space="preserve">mortgage P5</t>
  </si>
  <si>
    <t xml:space="preserve">mortgage P6</t>
  </si>
  <si>
    <t xml:space="preserve">mortgage P7</t>
  </si>
  <si>
    <t xml:space="preserve">mortgage P8</t>
  </si>
  <si>
    <t xml:space="preserve">mortgage P9</t>
  </si>
  <si>
    <t xml:space="preserve">mortgage P10</t>
  </si>
  <si>
    <t xml:space="preserve">mortgage P11</t>
  </si>
  <si>
    <t xml:space="preserve">mortgage P12</t>
  </si>
  <si>
    <t xml:space="preserve">mortgage: balance after the year</t>
  </si>
  <si>
    <t xml:space="preserve">mortgage: paid in the year</t>
  </si>
  <si>
    <t xml:space="preserve">credit cards: balance at the start of the year</t>
  </si>
  <si>
    <t xml:space="preserve">credit cards B1</t>
  </si>
  <si>
    <t xml:space="preserve">credit cards B2</t>
  </si>
  <si>
    <t xml:space="preserve">credit cards B3</t>
  </si>
  <si>
    <t xml:space="preserve">credit cards B4</t>
  </si>
  <si>
    <t xml:space="preserve">credit cards B5</t>
  </si>
  <si>
    <t xml:space="preserve">credit cards B6</t>
  </si>
  <si>
    <t xml:space="preserve">credit cards B7</t>
  </si>
  <si>
    <t xml:space="preserve">credit cards B8</t>
  </si>
  <si>
    <t xml:space="preserve">credit cards B9</t>
  </si>
  <si>
    <t xml:space="preserve">credit cards B10</t>
  </si>
  <si>
    <t xml:space="preserve">credit cards B11</t>
  </si>
  <si>
    <t xml:space="preserve">credit cards B12</t>
  </si>
  <si>
    <t xml:space="preserve">credit cards P1</t>
  </si>
  <si>
    <t xml:space="preserve">credit cards P2</t>
  </si>
  <si>
    <t xml:space="preserve">credit cards P3</t>
  </si>
  <si>
    <t xml:space="preserve">credit cards P4</t>
  </si>
  <si>
    <t xml:space="preserve">credit cards P5</t>
  </si>
  <si>
    <t xml:space="preserve">credit cards P6</t>
  </si>
  <si>
    <t xml:space="preserve">credit cards P7</t>
  </si>
  <si>
    <t xml:space="preserve">credit cards P8</t>
  </si>
  <si>
    <t xml:space="preserve">credit cards P9</t>
  </si>
  <si>
    <t xml:space="preserve">credit cards P10</t>
  </si>
  <si>
    <t xml:space="preserve">credit cards P11</t>
  </si>
  <si>
    <t xml:space="preserve">credit cards P12</t>
  </si>
  <si>
    <t xml:space="preserve">credit cards: balance after the year</t>
  </si>
  <si>
    <t xml:space="preserve">credit cards: paid in the year</t>
  </si>
  <si>
    <t xml:space="preserve">other loans: balance at the start of the year</t>
  </si>
  <si>
    <t xml:space="preserve">other loans B1</t>
  </si>
  <si>
    <t xml:space="preserve">other loans B2</t>
  </si>
  <si>
    <t xml:space="preserve">other loans B3</t>
  </si>
  <si>
    <t xml:space="preserve">other loans B4</t>
  </si>
  <si>
    <t xml:space="preserve">other loans B5</t>
  </si>
  <si>
    <t xml:space="preserve">other loans B6</t>
  </si>
  <si>
    <t xml:space="preserve">other loans B7</t>
  </si>
  <si>
    <t xml:space="preserve">other loans B8</t>
  </si>
  <si>
    <t xml:space="preserve">other loans B9</t>
  </si>
  <si>
    <t xml:space="preserve">other loans B10</t>
  </si>
  <si>
    <t xml:space="preserve">other loans B11</t>
  </si>
  <si>
    <t xml:space="preserve">other loans B12</t>
  </si>
  <si>
    <t xml:space="preserve">other loans P1</t>
  </si>
  <si>
    <t xml:space="preserve">other loans P2</t>
  </si>
  <si>
    <t xml:space="preserve">other loans P3</t>
  </si>
  <si>
    <t xml:space="preserve">other loans P4</t>
  </si>
  <si>
    <t xml:space="preserve">other loans P5</t>
  </si>
  <si>
    <t xml:space="preserve">other loans P6</t>
  </si>
  <si>
    <t xml:space="preserve">other loans P7</t>
  </si>
  <si>
    <t xml:space="preserve">other loans P8</t>
  </si>
  <si>
    <t xml:space="preserve">other loans P9</t>
  </si>
  <si>
    <t xml:space="preserve">other loans P10</t>
  </si>
  <si>
    <t xml:space="preserve">other loans P11</t>
  </si>
  <si>
    <t xml:space="preserve">other loans P12</t>
  </si>
  <si>
    <t xml:space="preserve">other loans: balance after the year</t>
  </si>
  <si>
    <t xml:space="preserve">other loans: paid in the year</t>
  </si>
  <si>
    <t xml:space="preserve">path: balance at the start of the year</t>
  </si>
  <si>
    <t xml:space="preserve">mortgage path B1</t>
  </si>
  <si>
    <t xml:space="preserve">mortgage path B2</t>
  </si>
  <si>
    <t xml:space="preserve">mortgage path B3</t>
  </si>
  <si>
    <t xml:space="preserve">mortgage path B4</t>
  </si>
  <si>
    <t xml:space="preserve">mortgage path B5</t>
  </si>
  <si>
    <t xml:space="preserve">mortgage path B6</t>
  </si>
  <si>
    <t xml:space="preserve">mortgage path B7</t>
  </si>
  <si>
    <t xml:space="preserve">mortgage path B8</t>
  </si>
  <si>
    <t xml:space="preserve">mortgage path B9</t>
  </si>
  <si>
    <t xml:space="preserve">mortgage path B10</t>
  </si>
  <si>
    <t xml:space="preserve">mortgage path B11</t>
  </si>
  <si>
    <t xml:space="preserve">mortgage path B12</t>
  </si>
  <si>
    <t xml:space="preserve">mortgage path P1</t>
  </si>
  <si>
    <t xml:space="preserve">mortgage path P2</t>
  </si>
  <si>
    <t xml:space="preserve">mortgage path P3</t>
  </si>
  <si>
    <t xml:space="preserve">mortgage path P4</t>
  </si>
  <si>
    <t xml:space="preserve">mortgage path P5</t>
  </si>
  <si>
    <t xml:space="preserve">mortgage path P6</t>
  </si>
  <si>
    <t xml:space="preserve">mortgage path P7</t>
  </si>
  <si>
    <t xml:space="preserve">mortgage path P8</t>
  </si>
  <si>
    <t xml:space="preserve">mortgage path P9</t>
  </si>
  <si>
    <t xml:space="preserve">mortgage path P10</t>
  </si>
  <si>
    <t xml:space="preserve">mortgage path P11</t>
  </si>
  <si>
    <t xml:space="preserve">mortgage path P12</t>
  </si>
  <si>
    <t xml:space="preserve">mortgage path: balance after the year</t>
  </si>
  <si>
    <t xml:space="preserve">mortgage path: paid in the year</t>
  </si>
  <si>
    <t xml:space="preserve">path: balance counted at the start of the year (mPath)</t>
  </si>
  <si>
    <t xml:space="preserve">Plan how it works: a plain-English walk through the Plan sheets</t>
  </si>
  <si>
    <t xml:space="preserve">Plan inputs</t>
  </si>
  <si>
    <t xml:space="preserve">Everything the "Make my plan" engine needs, in one yellow block. It mirrors the prototype's customer state: about you and your family, your goals (type, year, amount, saved so far, priority, rank), Your finances (the card, loan, pension and other-property mortgage totals come from the "Your lists" sheet, which wins over a typed figure when it has any figure, exactly like the prototype), your assumptions (a blank one means "not chosen": the plan then uses the standard from Settings, and Plan results lists what still needs choosing), the inflation you choose, your saving choice, and the what-if. A blank figure is €0, never a made-up number. With "Fill example values" on README set to Yes, every blank cell uses the grey example (the sample customer).</t>
  </si>
  <si>
    <t xml:space="preserve">Plan pay &amp; tax</t>
  </si>
  <si>
    <t xml:space="preserve">The top block turns inputs into the figures the plan uses (the prototype's finNums and asmV): standards for any unchosen assumption, the mortgage repayment (given, or worked out from balance, rate and years), cards and loans (the repayment given if it covers the interest, otherwise a 5-year repayment; other-property mortgages are folded into other loans), pension contributions (your own share and the employer's), auto-enrolment, State Pension share, partner, tax credits. The year table below works out, for each year of the plan, your pay and your partner's (rising with pay), pension contributions and tax relief, the pension pot (growth, the lump sum and Standard Fund Threshold at retirement, the minimum or chosen drawdown), the State Pension and other income, and income tax, USC and PRSI (the prototype's hhTax, with joint assessment, age credit, rent, home carer and single-parent credits). Bands and credits rise with prices unless you chose "stay as today".</t>
  </si>
  <si>
    <t xml:space="preserve">Plan debt months</t>
  </si>
  <si>
    <t xml:space="preserve">Each loan, card and the mortgage is paid month by month inside each plan year: interest is added, then the repayment is taken (never more than is owed), until the balance is 50 cent or less. The mortgage "path" (the mortgage with no goal payments) prices a Be-mortgage-free goal at its date.</t>
  </si>
  <si>
    <t xml:space="preserve">Plan cashflow</t>
  </si>
  <si>
    <t xml:space="preserve">One row per year from today to the plan-until age. Order inside a year: money in (after tax and pension contributions) -&gt; living costs and one-offs -&gt; mortgage, card and loan repayments -&gt; goals due this year are paid from their own pot, then from spare money (a goal that cannot be paid leaves a goal gap) -&gt; if money is left over, the saving amount is put towards the goals still to come in funding order (each goal gets what it needs this year, level in real terms, until its pot reaches its cost), and the rest is assumed spent while working (kept as savings once retired) -&gt; if the year is short, spare money, then the buffer, then the goal pots (latest goals first) give way -&gt; growth (spare money at your cash and invested mix, pots at the cash or investment rate). The what-if extra, one-off and "save less" change this table the same way as in the app.</t>
  </si>
  <si>
    <t xml:space="preserve">Plan goals</t>
  </si>
  <si>
    <t xml:space="preserve">Part 1 lists your goals and puts the funded ones in funding order: your ranking if you ranked them (Emergency fund first unless you moved it), otherwise Emergency fund, then must-haves before nice-to-haves, then soonest. Part 2 gives each funded goal its cost (inflated to its date; a mortgage-free goal costs the mortgage balance then), its growth rate (the cash rate if it is less than the "years kept as cash" away, otherwise the investment rate), and its starting pot (saved so far, the what-if one-off, then a share of spare savings in order). Part 3 and 4 turn the Plan cashflow table into the % covered for each goal (rounded down, so 99.6% never reads 100%), its band (95%+ on track, 70%+ needs a nudge, below that needs attention), the average a month you put in, and the Option B goal line.</t>
  </si>
  <si>
    <t xml:space="preserve">Plan results</t>
  </si>
  <si>
    <t xml:space="preserve">What the Results screens show, as formulas: the saving numbers, the gate (the card "To see your results we need N things", with one row each for Retirement age, Plan until age, Inflation and, for a working partner, Partner's retirement age, in the order the app asks), the main strength, gap and biggest decision (a strength is only a fully covered goal, never while working-year spending is more than comes in), retirement at a glance, and the five foundations levels with the "strengthen your foundations first" rule. The what-if affects goal % and goal lines; the findings and foundations are the base plan, so they match the app only when the what-if is zero.</t>
  </si>
  <si>
    <t xml:space="preserve">Plan profile</t>
  </si>
  <si>
    <t xml:space="preserve">The money personality and the risk profile, scored from the Discover and Understand Me answers exactly as the prototype does: each answer adds weight to a personality type (the highest wins, a tie is broken in a fixed order, and at least 4 of the 6 weighted answers are needed); the risk profile is the lowest of your attitude (want), your capacity to bear a loss (can afford), your time horizon and your knowledge and experience; a mismatch between them picks the message, and the profile is shown as provisional until all 13 questions are answered. It is indicative guidance only: an adviser confirms a risk profile with you.</t>
  </si>
  <si>
    <t xml:space="preserve">Calculation register</t>
  </si>
  <si>
    <t xml:space="preserve">A list of every place the prototype calculates, scores or shows a number: the screen, the label, the prototype function and line, the rule in words, where it sits in this workbook and whether a test matched it. Rows that say "Not built" or "Not testable" are the known gaps, so nothing is hidden.</t>
  </si>
  <si>
    <t xml:space="preserve">Units and allowed values</t>
  </si>
  <si>
    <t xml:space="preserve">Money is in euros. Every rate or share is a fraction, the same as on the calculator sheets and on Your lists: 0.0375 means 3.75%, 0.2 means 20%. The statement rates (mortgage, cards, loans, pension charges) are fractions too, although the app shows them as a %. Every yellow cell on Plan inputs, Plan profile and Settings refuses a value outside what the app allows (for example age 18 to 80, plan-until age 80 to 105, retirement age 18 to 105, a mortgage term of 1 to 40 years, the ranges of the Your assumptions sliders). If a value is pasted in anyway, the plan treats it as not given: a required choice then shows the same "Choose your ... to see this" text as the app, and nothing turns into an error value.</t>
  </si>
  <si>
    <t xml:space="preserve">Limits of this workbook</t>
  </si>
  <si>
    <t xml:space="preserve">The app has no limit on goals (a customer can add "Something else" again and again). This workbook holds 22 goal rows: up to 20 goals saved for from savings (each has its own column block on Plan cashflow), plus Retire comfortably and Leave a legacy. If more than 20 funded goals are set, or all 22 rows are used, a red warning appears at the top of Plan inputs and Plan results and the results are not complete. The plan runs to age 105 at most (90 year rows). Tested against the app with 9, 12, 15 and 20 goal plans.</t>
  </si>
  <si>
    <t xml:space="preserve">What the workbook cannot do in one pass</t>
  </si>
  <si>
    <t xml:space="preserve">The app finds some figures by searching: the smallest extra a month that takes a goal to 100% (extraTo100), the extra that closes the main gap (extraFor), and the "before" percentages of the what-if sentence (a second run with the what-if off). A spreadsheet cannot re-run itself, so these are typed cells: Plan goals column L (extra a month, or "none"), Plan results "Find_ExtraFor", and Plan goals column Z (% with the what-if off, only needed while a what-if is on). With Fill example values = Yes, the sample customer's own figures are used so the demo reproduces the app. The findings, foundations, home counts, next best step and video lines are for the base plan: they match the app when the what-if is zero.</t>
  </si>
  <si>
    <t xml:space="preserve">Specification of the two searches (for the developer who builds them in code)</t>
  </si>
  <si>
    <t xml:space="preserve">extraTo100(goal): let w = the what-if if it is for this goal, else extra 0 and one-off 0. ok(m) = the goal % covered when the whole plan is run again with an extra m a month on top of w.extra and the one-off w.lump; "100" means covered to within one euro. If ok(5000) is false the answer is none (the goal line then says "more than your spare money"). Otherwise lo = 0, hi = 5000; repeat 13 times: mid = (lo + hi) / 2; if ok(mid) then hi = mid else lo = mid. The answer is hi rounded UP to the next multiple of 5. The goal line is: needs = average a month you put in + the answer (or the goal's need if none); "more than your spare money" if needs is above spare money a month.  extraFor(goal): the first m in 25, 50, 75, 100, 150, 200, 250, 300, 400, 500, 600, 750, 1000, 1250, 1500, 2000 for which the goal reaches 95% with an extra m a month (and no one-off); none if no m does. Test vector (the sample customer, Fill example values = Yes): Kids' education, 50% covered. ok(m) for m = 5000, 2500, 1250, 625, 312.5 is 100; at 156.25 it is 85; 234.375 gives 97; 273.438 gives 100; 253.906 gives 100; 244.141 gives 98; 249.023 gives 99; 251.465 gives 99; 252.686 gives 99; 253.296 gives 100, so hi = 253.296 and the answer is 255; the line reads "Needs about €462 a month, more than your spare money · on average you'll put €207 a month" (462 = 207 + 255). Travel, 28% covered: extraFor tries 25 to 2000 and reaches only 35, 43, 49, 54, 58 and then stays at 58, so the answer is none; the line reads "Needs about €337 a month, more than your spare money · on average you'll put €97 a month", and the biggest decision reads "Moving travel later, or changing the amount, would make the biggest difference". The test harness (tools/plan-vs-xlsx) feeds the app's own answers into the typed cells for hundreds of customers and checks every goal line and finding word for word.</t>
  </si>
  <si>
    <t xml:space="preserve">Gates and wording</t>
  </si>
  <si>
    <t xml:space="preserve">Only four choices block the plan (journey-spec section 27): retirement age, plan-until age, inflation, and a working partner's retirement age. The gate on Plan results follows the app's planMissing in the app's order and shows the count ("we need N things"). Every other figure has a labelled value and never blocks: the LifeMap standards (Set by LifeMap) are used automatically, and a market rate or figure the customer has not given uses the suggested published rate or the planning rate (Assumed: add yours; the app counts these in "N details missing"). Every calculator sheet follows the app's calcMissing: a LifeMap standard starts from the standard and never gates; the customer's own figures (market rates, State Pension, Illness Benefit, retirement age) still gate, in the app's order, with the inflation gate only after every other one, and the words are the app's words (for example "Choose your mortgage rate to see this"). tools/calc-vs-xlsx checks the text for every calculator.</t>
  </si>
  <si>
    <t xml:space="preserve">Retirement age, access age and "Date has passed"</t>
  </si>
  <si>
    <t xml:space="preserve">Date of birth (journey-spec section 29): Plan inputs take the date of birth, yours and your partner's. Years are calendar years: the age used for a plan year is the year minus the birth year, so the age in the first plan year is Start year - YEAR(date of birth) (changing the plan start year changes it), and every age event (retirement, pension access, State Pension, goals, plan-until) applies for the whole calendar year in which that age is reached; there is no month pro-rating. Age today is exact from the date (DOB_AgeToday, DOB_NextBirthday, DOB_Msg); it must be 18 to 80 today (partner 18 to 85), otherwise the gate card asks for it. A partner's date of birth is only asked when they have income. Retirement age is free: any age from your age + 1 to plan-until age - 1. Below 50 and below 60 the app shows a calm note and the plan carries on. The pension can be drawn from the pension access age: 60 by default (a LifeMap standard on Settings), 50 if the customer says their occupational scheme allows it. Between retiring and the access age (and before the State Pension at 66) the years are paid from savings; any shortfall is shown, for the customer and for a partner. A goal dated before today's age reads "Date has passed" on Plan results instead of "in -4 years" (the app adds a "Change the date" button). The line under the retirement age box, the two calm notes and the three "we use ..." status lines (mortgage years 25, partner age = yours, Employed, and the unchosen rates) are cells on Plan results with the app's words (Retire_RangeText, Retire_Note, PRet_Note, Use_*). An age outside 18 to 80 (partner 18 to 85), a part-year age or a word is never read as 0: the gate card asks for it ("Your age", "Partner's age"). An unchosen deposit-earn rate (Rent vs buy) uses the suggested Central Bank rate after DIRT, as the app does.</t>
  </si>
  <si>
    <t xml:space="preserve">Plan inputs -&gt; prototype state key</t>
  </si>
  <si>
    <t xml:space="preserve">Plan inputs name</t>
  </si>
  <si>
    <t xml:space="preserve">Prototype state key / meaning</t>
  </si>
  <si>
    <t xml:space="preserve">In_name / Has_name</t>
  </si>
  <si>
    <t xml:space="preserve">Your first name (used in the line under your date of birth)   [S.acct.name]</t>
  </si>
  <si>
    <t xml:space="preserve">In_age / Has_age</t>
  </si>
  <si>
    <t xml:space="preserve">Your date of birth (age in the first plan year = start year - birth year; age today 18 to 80)   [About you. The prototype: S.about.dob (S.about.age is derived)]</t>
  </si>
  <si>
    <t xml:space="preserve">In_partner / Has_partner</t>
  </si>
  <si>
    <t xml:space="preserve">Planning with a partner? (Yes/No)   [S.about.partner]</t>
  </si>
  <si>
    <t xml:space="preserve">In_married / Has_married</t>
  </si>
  <si>
    <t xml:space="preserve">Married or civil partners? (Yes/No, blank = not said)   [S.about.married (Yes = joint tax assessment)]</t>
  </si>
  <si>
    <t xml:space="preserve">In_deps / Has_deps</t>
  </si>
  <si>
    <t xml:space="preserve">Children or others who rely on you   [S.about.deps]</t>
  </si>
  <si>
    <t xml:space="preserve">In_retireAge / Has_retireAge</t>
  </si>
  <si>
    <t xml:space="preserve">Retirement age (your choice, never filled in for you)   [S.retireAge]</t>
  </si>
  <si>
    <t xml:space="preserve">In_pRet / Has_pRet</t>
  </si>
  <si>
    <t xml:space="preserve">Partner's retirement age (your choice; needed when your partner has income)   [S.pRet]</t>
  </si>
  <si>
    <t xml:space="preserve">In_infl / Has_infl</t>
  </si>
  <si>
    <t xml:space="preserve">Inflation you choose (a rate, e.g. 0.02 = 2%)   [S.infl]</t>
  </si>
  <si>
    <t xml:space="preserve">In_assumeSet / Has_assumeSet</t>
  </si>
  <si>
    <t xml:space="preserve">Growth set (Standard / Cautious)   [S.assume]</t>
  </si>
  <si>
    <t xml:space="preserve">In_q6 / Has_q6</t>
  </si>
  <si>
    <t xml:space="preserve">Q6 answer: how much could you invest? (0 to 4, blank = not answered)   [S.ans['6']]</t>
  </si>
  <si>
    <t xml:space="preserve">In_saveM / Has_saveM</t>
  </si>
  <si>
    <t xml:space="preserve">My monthly saving (today's money, blank = use the rule)   [S.saveM]</t>
  </si>
  <si>
    <t xml:space="preserve">In_saveUp / Has_saveUp</t>
  </si>
  <si>
    <t xml:space="preserve">My saving: raise the rule (Yes) or cap it (No); blank = decided by the amount   [S.saveUp]</t>
  </si>
  <si>
    <t xml:space="preserve">In_penExtra / Has_penExtra</t>
  </si>
  <si>
    <t xml:space="preserve">Extra monthly pension contribution you chose (€ a month)   [S.penExtra]</t>
  </si>
  <si>
    <t xml:space="preserve">In_credRent / Has_credRent</t>
  </si>
  <si>
    <t xml:space="preserve">Claim the Rent Tax Credit? (Yes/No)   [S.about.cred.rent]</t>
  </si>
  <si>
    <t xml:space="preserve">In_credLone / Has_credLone</t>
  </si>
  <si>
    <t xml:space="preserve">Claim the Single Person Child Carer Credit? (Yes/No)   [S.about.cred.lone]</t>
  </si>
  <si>
    <t xml:space="preserve">In_credCarer / Has_credCarer</t>
  </si>
  <si>
    <t xml:space="preserve">Claim the Home Carer Credit? (Yes/No)   [S.about.cred.carer]</t>
  </si>
  <si>
    <t xml:space="preserve">In_wiGoal / Has_wiGoal</t>
  </si>
  <si>
    <t xml:space="preserve">What if: put it towards goal number (1 to 22, as listed below; blank = none)   [S.wi.g]</t>
  </si>
  <si>
    <t xml:space="preserve">In_wiM / Has_wiM</t>
  </si>
  <si>
    <t xml:space="preserve">What if: extra (or less) each month   [S.wi.m]</t>
  </si>
  <si>
    <t xml:space="preserve">In_wiL / Has_wiL</t>
  </si>
  <si>
    <t xml:space="preserve">What if: one-off amount   [S.wi.l]</t>
  </si>
  <si>
    <t xml:space="preserve">In_work / Has_work</t>
  </si>
  <si>
    <t xml:space="preserve">Your work (Employed / Self-employed / Not working)   [S.fin.work]</t>
  </si>
  <si>
    <t xml:space="preserve">In_income / Has_income</t>
  </si>
  <si>
    <t xml:space="preserve">Your gross yearly income   [S.fin.income]</t>
  </si>
  <si>
    <t xml:space="preserve">In_pIncome / Has_pIncome</t>
  </si>
  <si>
    <t xml:space="preserve">Partner's gross yearly income   [S.fin.pIncome]</t>
  </si>
  <si>
    <t xml:space="preserve">In_pAge / Has_pAge</t>
  </si>
  <si>
    <t xml:space="preserve">Partner's date of birth (age today 18 to 85)   [S.about.pdob (S.fin.pAge is derived)]</t>
  </si>
  <si>
    <t xml:space="preserve">In_otherM / Has_otherM</t>
  </si>
  <si>
    <t xml:space="preserve">Other income a month (before tax)   [S.fin.otherM]</t>
  </si>
  <si>
    <t xml:space="preserve">In_costsM / Has_costsM</t>
  </si>
  <si>
    <t xml:space="preserve">Monthly living costs (leave out mortgage and loan repayments)   [S.fin.costsM]</t>
  </si>
  <si>
    <t xml:space="preserve">In_oneOffY / Has_oneOffY</t>
  </si>
  <si>
    <t xml:space="preserve">Yearly one-off costs   [S.fin.oneOffY]</t>
  </si>
  <si>
    <t xml:space="preserve">In_propValue / Has_propValue</t>
  </si>
  <si>
    <t xml:space="preserve">Other property: value (only used for the section status)   [S.fin.propValue]</t>
  </si>
  <si>
    <t xml:space="preserve">In_rentM / Has_rentM</t>
  </si>
  <si>
    <t xml:space="preserve">Other property: rent received a month   [S.fin.rentM]</t>
  </si>
  <si>
    <t xml:space="preserve">In_home / Has_home</t>
  </si>
  <si>
    <t xml:space="preserve">Your home (Own outright / Own with mortgage / Rent / Live with family)   [S.fin.home]</t>
  </si>
  <si>
    <t xml:space="preserve">In_homeValue / Has_homeValue</t>
  </si>
  <si>
    <t xml:space="preserve">Home value   [S.fin.homeValue (only counted as a missing detail)]</t>
  </si>
  <si>
    <t xml:space="preserve">In_cash / Has_cash</t>
  </si>
  <si>
    <t xml:space="preserve">Cash savings   [S.fin.cash]</t>
  </si>
  <si>
    <t xml:space="preserve">In_invest / Has_invest</t>
  </si>
  <si>
    <t xml:space="preserve">Investments   [S.fin.invest]</t>
  </si>
  <si>
    <t xml:space="preserve">In_mortBal / Has_mortBal</t>
  </si>
  <si>
    <t xml:space="preserve">Mortgage left   [S.fin.mortBal]</t>
  </si>
  <si>
    <t xml:space="preserve">In_mortRate / Has_mortRate</t>
  </si>
  <si>
    <t xml:space="preserve">Mortgage rate, APR (e.g. 0.0385 = 3.85%; blank = your assumption)   [S.fin.mortRate (the app shows it as a %, here a rate)]</t>
  </si>
  <si>
    <t xml:space="preserve">In_mortPayM / Has_mortPayM</t>
  </si>
  <si>
    <t xml:space="preserve">Mortgage monthly repayment   [S.fin.mortPayM]</t>
  </si>
  <si>
    <t xml:space="preserve">In_mortYears / Has_mortYears</t>
  </si>
  <si>
    <t xml:space="preserve">Mortgage years left   [S.fin.mortYears]</t>
  </si>
  <si>
    <t xml:space="preserve">In_cardBal / Has_cardBal</t>
  </si>
  <si>
    <t xml:space="preserve">Credit cards: total owed (a list on "Your lists" wins)   [S.fin.cardBal]</t>
  </si>
  <si>
    <t xml:space="preserve">In_cardPayM / Has_cardPayM</t>
  </si>
  <si>
    <t xml:space="preserve">Credit cards: monthly repayment   [S.fin.cardPayM]</t>
  </si>
  <si>
    <t xml:space="preserve">In_cardRate / Has_cardRate</t>
  </si>
  <si>
    <t xml:space="preserve">Credit cards: APR (e.g. 0.22 = 22%; blank = your assumption)   [S.fin.cardRate (the app shows it as a %, here a rate)]</t>
  </si>
  <si>
    <t xml:space="preserve">In_loanBal / Has_loanBal</t>
  </si>
  <si>
    <t xml:space="preserve">Other loans: total owed   [S.fin.loanBal]</t>
  </si>
  <si>
    <t xml:space="preserve">In_loanPayM / Has_loanPayM</t>
  </si>
  <si>
    <t xml:space="preserve">Other loans: monthly repayment   [S.fin.loanPayM]</t>
  </si>
  <si>
    <t xml:space="preserve">In_loanRate / Has_loanRate</t>
  </si>
  <si>
    <t xml:space="preserve">Other loans: APR (e.g. 0.09 = 9%; blank = your assumption)   [S.fin.loanRate (the app shows it as a %, here a rate)]</t>
  </si>
  <si>
    <t xml:space="preserve">In_debt / Has_debt</t>
  </si>
  <si>
    <t xml:space="preserve">Other debt (older single figure)   [S.fin.debt]</t>
  </si>
  <si>
    <t xml:space="preserve">In_debtPayM / Has_debtPayM</t>
  </si>
  <si>
    <t xml:space="preserve">Other debt monthly repayment   [S.fin.debtPayM]</t>
  </si>
  <si>
    <t xml:space="preserve">In_pension / Has_pension</t>
  </si>
  <si>
    <t xml:space="preserve">Pension value today (a list on "Your lists" wins)   [S.fin.pension]</t>
  </si>
  <si>
    <t xml:space="preserve">In_pensionM / Has_pensionM</t>
  </si>
  <si>
    <t xml:space="preserve">Paid into your pension each month, you + employer   [S.fin.pensionM]</t>
  </si>
  <si>
    <t xml:space="preserve">In_pensionOwnM / Has_pensionOwnM</t>
  </si>
  <si>
    <t xml:space="preserve">Of that, paid by you each month (blank = your share assumption)   [S.fin.pensionOwnM]</t>
  </si>
  <si>
    <t xml:space="preserve">In_penChg / Has_penChg</t>
  </si>
  <si>
    <t xml:space="preserve">Your statement's pension charges, a rate (e.g. 0.01 = 1%; blank = the typical charges are already in the growth rate)   [S.fin.penChg (the app shows it as a %, here a rate)]</t>
  </si>
  <si>
    <t xml:space="preserve">In_ae / Has_ae</t>
  </si>
  <si>
    <t xml:space="preserve">Auto-enrolled in My Future Fund? (Yes/No/Not sure; "No" turns it off)   [S.fin.ae]</t>
  </si>
  <si>
    <t xml:space="preserve">In_sp / Has_sp</t>
  </si>
  <si>
    <t xml:space="preserve">State Pension (Expect full / Partly / Not sure)   [S.fin.sp]</t>
  </si>
  <si>
    <t xml:space="preserve">In_spYears / Has_spYears</t>
  </si>
  <si>
    <t xml:space="preserve">PRSI years at 66 (blank = not known)   [S.fin.spYears]</t>
  </si>
  <si>
    <t xml:space="preserve">In_pSp / Has_pSp</t>
  </si>
  <si>
    <t xml:space="preserve">Partner's State Pension (Own full / Own partial / Qualified adult increase / None / Not sure)   [S.fin.pSp]</t>
  </si>
  <si>
    <t xml:space="preserve">In_life / Has_life</t>
  </si>
  <si>
    <t xml:space="preserve">Life cover (Yes/No/Not sure)   [S.fin.life]</t>
  </si>
  <si>
    <t xml:space="preserve">In_ip / Has_ip</t>
  </si>
  <si>
    <t xml:space="preserve">Income protection (Yes/No/Not sure)   [S.fin.ip]</t>
  </si>
  <si>
    <t xml:space="preserve">In_ci / Has_ci</t>
  </si>
  <si>
    <t xml:space="preserve">Serious illness cover (Yes/No/Not sure)   [S.fin.ci]</t>
  </si>
  <si>
    <t xml:space="preserve">In_workCover / Has_workCover</t>
  </si>
  <si>
    <t xml:space="preserve">Cover through work (Yes/No/Not sure)   [S.fin.workCover]</t>
  </si>
  <si>
    <t xml:space="preserve">In_health / Has_health</t>
  </si>
  <si>
    <t xml:space="preserve">Health insurance (Yes/No/Not sure)   [S.fin.health]</t>
  </si>
  <si>
    <t xml:space="preserve">In_booked / Has_booked</t>
  </si>
  <si>
    <t xml:space="preserve">Adviser meeting booked? (Yes/No)   [S.book.done]</t>
  </si>
  <si>
    <t xml:space="preserve">In_slot / Has_slot</t>
  </si>
  <si>
    <t xml:space="preserve">Meeting slot as shown to you (text, e.g. Tue 14 Oct, 10:00)   [S.book.slot]</t>
  </si>
  <si>
    <t xml:space="preserve">In_rechecked / Has_rechecked</t>
  </si>
  <si>
    <t xml:space="preserve">Re-checked your first answers? (Yes/No)   [S.um.rechecked]</t>
  </si>
  <si>
    <t xml:space="preserve">In_prefSet / Has_prefSet</t>
  </si>
  <si>
    <t xml:space="preserve">Chose a what-if as your plan? (Yes/No)   [S.pref (set)]</t>
  </si>
  <si>
    <t xml:space="preserve">In_saved1 / Has_saved1</t>
  </si>
  <si>
    <t xml:space="preserve">Section saved: About you (Yes/No)   [S.saved.about]</t>
  </si>
  <si>
    <t xml:space="preserve">In_saved2 / Has_saved2</t>
  </si>
  <si>
    <t xml:space="preserve">Section saved: Income and expenses (Yes/No)   [S.saved.income]</t>
  </si>
  <si>
    <t xml:space="preserve">In_saved3 / Has_saved3</t>
  </si>
  <si>
    <t xml:space="preserve">Section saved: Assets (Yes/No)   [S.saved.assets]</t>
  </si>
  <si>
    <t xml:space="preserve">In_saved4 / Has_saved4</t>
  </si>
  <si>
    <t xml:space="preserve">Section saved: Liabilities (Yes/No)   [S.saved.liab]</t>
  </si>
  <si>
    <t xml:space="preserve">In_saved5 / Has_saved5</t>
  </si>
  <si>
    <t xml:space="preserve">Section saved: Protection (Yes/No)   [S.saved.prot]</t>
  </si>
  <si>
    <t xml:space="preserve">In_saved6 / Has_saved6</t>
  </si>
  <si>
    <t xml:space="preserve">Section saved: Pension (Yes/No)   [S.saved.pension]</t>
  </si>
  <si>
    <t xml:space="preserve">In_lookKeys / Has_lookKeys</t>
  </si>
  <si>
    <t xml:space="preserve">Figures flagged "Needs a look" by a document or by you (field keys separated by commas, e.g. income,cash)   [S.look keys (the pay-too-low flags are worked out for you)]</t>
  </si>
  <si>
    <t xml:space="preserve">In_ackKeys / Has_ackKeys</t>
  </si>
  <si>
    <t xml:space="preserve">Flags you chose to "Leave for my adviser" (field keys separated by commas)   [S.ack keys]</t>
  </si>
  <si>
    <t xml:space="preserve">In_a_inv / Has_a_inv</t>
  </si>
  <si>
    <t xml:space="preserve">Investments grow (a year)   [S.asm.inv]</t>
  </si>
  <si>
    <t xml:space="preserve">In_a_cash / Has_a_cash</t>
  </si>
  <si>
    <t xml:space="preserve">Cash savings earn (a year)   [S.asm.cash]</t>
  </si>
  <si>
    <t xml:space="preserve">In_a_pen / Has_a_pen</t>
  </si>
  <si>
    <t xml:space="preserve">Pension grows while you work (a year)   [S.asm.pen]</t>
  </si>
  <si>
    <t xml:space="preserve">In_a_penRet / Has_a_penRet</t>
  </si>
  <si>
    <t xml:space="preserve">Pension grows once retired (a year)   [S.asm.penRet]</t>
  </si>
  <si>
    <t xml:space="preserve">In_a_wage / Has_a_wage</t>
  </si>
  <si>
    <t xml:space="preserve">Pay rises (a year)   [S.asm.wage]</t>
  </si>
  <si>
    <t xml:space="preserve">In_a_bands / Has_a_bands</t>
  </si>
  <si>
    <t xml:space="preserve">Tax bands in future (prices / flat)   [S.asm.bands]</t>
  </si>
  <si>
    <t xml:space="preserve">In_a_spGrow / Has_a_spGrow</t>
  </si>
  <si>
    <t xml:space="preserve">State Pension in future (prices / pay / flat)   [S.asm.spGrow]</t>
  </si>
  <si>
    <t xml:space="preserve">In_a_ownShare / Has_a_ownShare</t>
  </si>
  <si>
    <t xml:space="preserve">Share of your pension you pay yourself   [S.asm.ownShare]</t>
  </si>
  <si>
    <t xml:space="preserve">In_a_accessAge / Has_a_accessAge</t>
  </si>
  <si>
    <t xml:space="preserve">Pension access age (60 is usual; 50 only if your occupational scheme allows it)   [S.asm.accessAge]</t>
  </si>
  <si>
    <t xml:space="preserve">In_a_retireSpend / Has_a_retireSpend</t>
  </si>
  <si>
    <t xml:space="preserve">Retirement spending if no retirement goal (share of today's)   [S.asm.retireSpend]</t>
  </si>
  <si>
    <t xml:space="preserve">In_a_lumpSum / Has_a_lumpSum</t>
  </si>
  <si>
    <t xml:space="preserve">Tax-free lump sum to take (share of pension)   [S.asm.lumpSum]</t>
  </si>
  <si>
    <t xml:space="preserve">In_a_drawRule / Has_a_drawRule</t>
  </si>
  <si>
    <t xml:space="preserve">How you draw your pension (spread / min / fixed)   [S.asm.drawRule]</t>
  </si>
  <si>
    <t xml:space="preserve">In_a_drawFixed / Has_a_drawFixed</t>
  </si>
  <si>
    <t xml:space="preserve">Fixed amount a year, if you chose fixed (today's money)   [S.asm.drawFixed]</t>
  </si>
  <si>
    <t xml:space="preserve">In_a_safetyMonths / Has_a_safetyMonths</t>
  </si>
  <si>
    <t xml:space="preserve">Emergency fund months   [S.asm.safetyMonths]</t>
  </si>
  <si>
    <t xml:space="preserve">In_a_cashYears / Has_a_cashYears</t>
  </si>
  <si>
    <t xml:space="preserve">Money for goals sooner than this is kept as cash (years)   [S.asm.cashYears]</t>
  </si>
  <si>
    <t xml:space="preserve">In_a_investShare / Has_a_investShare</t>
  </si>
  <si>
    <t xml:space="preserve">Spare savings: share invested   [S.asm.investShare]</t>
  </si>
  <si>
    <t xml:space="preserve">In_a_saveShare / Has_a_saveShare</t>
  </si>
  <si>
    <t xml:space="preserve">Share of spare money saved, at most   [S.asm.saveShare]</t>
  </si>
  <si>
    <t xml:space="preserve">In_a_noAnswer / Has_a_noAnswer</t>
  </si>
  <si>
    <t xml:space="preserve">Monthly saving if Q6 not answered   [S.asm.noAnswer]</t>
  </si>
  <si>
    <t xml:space="preserve">In_a_planEnd / Has_a_planEnd</t>
  </si>
  <si>
    <t xml:space="preserve">Plan until age (your choice, never filled in for you)   [S.asm.planEnd]</t>
  </si>
  <si>
    <t xml:space="preserve">In_a_startYear / Has_a_startYear</t>
  </si>
  <si>
    <t xml:space="preserve">Start the plan in (2026 / 2027)   [S.asm.startYear]</t>
  </si>
  <si>
    <t xml:space="preserve">In_a_mortRate / Has_a_mortRate</t>
  </si>
  <si>
    <t xml:space="preserve">Mortgage rate if the statement does not say   [S.asm.mortRate]</t>
  </si>
  <si>
    <t xml:space="preserve">In_a_cardRate / Has_a_cardRate</t>
  </si>
  <si>
    <t xml:space="preserve">Credit-card rate if the statement does not say   [S.asm.cardRate]</t>
  </si>
  <si>
    <t xml:space="preserve">In_a_loanRate / Has_a_loanRate</t>
  </si>
  <si>
    <t xml:space="preserve">Other loans rate if the statement does not say   [S.asm.loanRate]</t>
  </si>
  <si>
    <t xml:space="preserve">In_a_spWeek / Has_a_spWeek</t>
  </si>
  <si>
    <t xml:space="preserve">Your State Pension a week at 66 (if you do not know your PRSI years)   [S.asm.spWeek]</t>
  </si>
  <si>
    <t xml:space="preserve">In_a_pSpWeek / Has_a_pSpWeek</t>
  </si>
  <si>
    <t xml:space="preserve">Partner's State Pension a week at 66   [S.asm.pSpWeek]</t>
  </si>
  <si>
    <t xml:space="preserve">In_a_spYears / Has_a_spYears</t>
  </si>
  <si>
    <t xml:space="preserve">PRSI years at 66 (as an assumption)   [S.asm.spYears]</t>
  </si>
  <si>
    <t xml:space="preserve">In_a_penChg / Has_a_penChg</t>
  </si>
  <si>
    <t xml:space="preserve">Typical pension charges already in the growth rate   [S.asm.penChg]</t>
  </si>
  <si>
    <t xml:space="preserve">Goal{i}_key / name / age / amount / saved / prio / rank / auto</t>
  </si>
  <si>
    <t xml:space="preserve">Goal i: S.goals[i-1] .k / .name / .age / .amount / .saved / .prio; rank = position in S.rank; auto = .auto (Emergency fund amount follows months x essential spending)</t>
  </si>
  <si>
    <t xml:space="preserve">Your lists (cards, loans, pensions, mortgages on other properties)</t>
  </si>
  <si>
    <t xml:space="preserve">S.lists.cards / .loans / .pens / .mort2 (items with owed, pay, rate, years, value, monthly, own)</t>
  </si>
  <si>
    <t xml:space="preserve">Calculation register: every place the prototype calculates, scores or shows a number</t>
  </si>
  <si>
    <t xml:space="preserve">One row for each. "Status": Matched in test = the tools/plan-vs-xlsx or tools/calc-vs-xlsx harness feeds the same inputs to the prototype and to a recalculated copy of this workbook and compares the results (within one euro, or exact text). Not testable / Known gap = not in the workbook, with the reason. Line numbers refer to LifeGoals-Customer-Journey-Prototype.html.</t>
  </si>
  <si>
    <t xml:space="preserve">Screen</t>
  </si>
  <si>
    <t xml:space="preserve">Label as shown</t>
  </si>
  <si>
    <t xml:space="preserve">Prototype function / line</t>
  </si>
  <si>
    <t xml:space="preserve">Formula in words</t>
  </si>
  <si>
    <t xml:space="preserve">Workbook sheet and cell / name</t>
  </si>
  <si>
    <t xml:space="preserve">Home</t>
  </si>
  <si>
    <t xml:space="preserve">Overall readiness ring (%) and "average"</t>
  </si>
  <si>
    <t xml:space="preserve">V.HOME = () =&gt; (line 3033)</t>
  </si>
  <si>
    <t xml:space="preserve">Average of every goal % covered, rounded to a whole number; ring colour from the band (95+ teal, 70+ gold, else coral).</t>
  </si>
  <si>
    <t xml:space="preserve">Plan results: Home_Avg, Home_Band</t>
  </si>
  <si>
    <t xml:space="preserve">Matched in test</t>
  </si>
  <si>
    <t xml:space="preserve">"N of M goals on track"</t>
  </si>
  <si>
    <t xml:space="preserve">Count of goals with % covered at or above 95; M = number of goals.</t>
  </si>
  <si>
    <t xml:space="preserve">Plan results: Home_OnTrack, Home_N</t>
  </si>
  <si>
    <t xml:space="preserve">Home / Results</t>
  </si>
  <si>
    <t xml:space="preserve">Goals strip "N of M goals on track"</t>
  </si>
  <si>
    <t xml:space="preserve">function tlStrip (line 2233)</t>
  </si>
  <si>
    <t xml:space="preserve">Same count of goals at or above 95%.</t>
  </si>
  <si>
    <t xml:space="preserve">Readiness "rough" flag and the "Rough picture" note</t>
  </si>
  <si>
    <t xml:space="preserve">function roughNote (line 1525)</t>
  </si>
  <si>
    <t xml:space="preserve">Rough when a section of Your finances is skipped or more than 2 required figures are missing; the note only shows when no detail is already flagged.</t>
  </si>
  <si>
    <t xml:space="preserve">Plan results: Home_Rough, Rough_Show, Fin_Skipped, Fin_Quality</t>
  </si>
  <si>
    <t xml:space="preserve">Matched in test (a figure counts as given when it is typed; reading it from a document is not recorded, which does not change the count)</t>
  </si>
  <si>
    <t xml:space="preserve">Goals at a glance: % pill and "in N yrs"</t>
  </si>
  <si>
    <t xml:space="preserve">Each goal % covered (rounded down); years = goal age minus your age.</t>
  </si>
  <si>
    <t xml:space="preserve">Plan goals: GR{i}_Pct, GR{i}_Band, GR{i}_When</t>
  </si>
  <si>
    <t xml:space="preserve">Your next best step</t>
  </si>
  <si>
    <t xml:space="preserve">function nextStep (line 3024)</t>
  </si>
  <si>
    <t xml:space="preserve">Picks the lowest-% goal (earliest if tied) and builds the text from its figures; otherwise the next foundation.</t>
  </si>
  <si>
    <t xml:space="preserve">Plan results: Next_N, Next_T, Next_D, Next_B (use Fnd_NextN, Fnd_NextT, Fnd_NextD, Look_Count, Prof_NeedsProfile and the session facts on Plan inputs)</t>
  </si>
  <si>
    <t xml:space="preserve">Matched in test (base plan, what-if off)</t>
  </si>
  <si>
    <t xml:space="preserve">Home / Plan</t>
  </si>
  <si>
    <t xml:space="preserve">Your financial foundations (5 levels) and "Next best step"</t>
  </si>
  <si>
    <t xml:space="preserve">function foundations (line 2974)</t>
  </si>
  <si>
    <t xml:space="preserve">Five levels, each ok / mid / bad from cash buffer, debt, protection, goals on track, investing; "held" levels shown as "strengthen your foundations first".</t>
  </si>
  <si>
    <t xml:space="preserve">Plan results: Fnd1..5_Fin, Fnd1..5_S, Fnd_NextN/T/D</t>
  </si>
  <si>
    <t xml:space="preserve">Level 1 emergency fund months</t>
  </si>
  <si>
    <t xml:space="preserve">Cash and savings divided by essential monthly spending (living costs + mortgage + debt repayments), compared with the months you chose.</t>
  </si>
  <si>
    <t xml:space="preserve">Plan results: Fnd1_St, Fnd1_S</t>
  </si>
  <si>
    <t xml:space="preserve">Level 3 months to clear cards and loans, cover checks</t>
  </si>
  <si>
    <t xml:space="preserve">Months to clear = month-by-month interest and repayment; life cover and income protection checked against your answers.</t>
  </si>
  <si>
    <t xml:space="preserve">Plan results: L3_* rows, Fnd3_St, Fnd3_S</t>
  </si>
  <si>
    <t xml:space="preserve">Tools to try</t>
  </si>
  <si>
    <t xml:space="preserve">function toolsForYou (line 2830)</t>
  </si>
  <si>
    <t xml:space="preserve">Tool list picked from the types of your goals (the first 6 of the list), in a fixed order.</t>
  </si>
  <si>
    <t xml:space="preserve">Plan results: Tools_List</t>
  </si>
  <si>
    <t xml:space="preserve">Update-your-details nudge</t>
  </si>
  <si>
    <t xml:space="preserve">function nudge (line 2250)</t>
  </si>
  <si>
    <t xml:space="preserve">Shown on the booking / profile conditions.</t>
  </si>
  <si>
    <t xml:space="preserve">-</t>
  </si>
  <si>
    <t xml:space="preserve">Not testable: text only, no number. Not built.</t>
  </si>
  <si>
    <t xml:space="preserve">Home, Results, Report, PDF button</t>
  </si>
  <si>
    <t xml:space="preserve">"To see your results we need N things" card and its rows (Retirement age, Plan until age, Inflation, Partner's retirement age)</t>
  </si>
  <si>
    <t xml:space="preserve">function gateHTML (line 2340)</t>
  </si>
  <si>
    <t xml:space="preserve">Only four choices block results: retirement age, plan-until age, inflation, and the partner's retirement age when the partner has income. The card lists those still to choose, in that order, each with a button that jumps to its box.</t>
  </si>
  <si>
    <t xml:space="preserve">Plan results: Gate_Count, Gate_Card, Gate_Names, Gate_Keys, Gate_Text, Gate_Ready</t>
  </si>
  <si>
    <t xml:space="preserve">Step 7</t>
  </si>
  <si>
    <t xml:space="preserve">Choose N things (All N chosen when none is left); N of N chosen</t>
  </si>
  <si>
    <t xml:space="preserve">function p4Asm (line 2330)</t>
  </si>
  <si>
    <t xml:space="preserve">The required choices and how many are made. Everything else is set by LifeMap (Set by LifeMap) or assumed (Assumed: add yours) and listed under What we have set for you.</t>
  </si>
  <si>
    <t xml:space="preserve">Plan results: Req_Count, Req_Got, Req_Heading</t>
  </si>
  <si>
    <t xml:space="preserve">Step 7, Your assumptions</t>
  </si>
  <si>
    <t xml:space="preserve">Retirement age: "any age from X to Y" and the two calm notes; the partner's note</t>
  </si>
  <si>
    <t xml:space="preserve">function retireField (line 2300)</t>
  </si>
  <si>
    <t xml:space="preserve">Youngest = your age + 1, oldest = plan-until age - 1; a calm note below 50 and below 60 (or the access age); never a block.</t>
  </si>
  <si>
    <t xml:space="preserve">Plan results: Retire_Min, Retire_Max, Retire_Help, Retire_RangeText, Retire_Note, PRet_Note</t>
  </si>
  <si>
    <t xml:space="preserve">Check your details</t>
  </si>
  <si>
    <t xml:space="preserve">Assumed: add yours · we use 25 years / your age / Employed / the Central Bank average rate</t>
  </si>
  <si>
    <t xml:space="preserve">function checkItems (line 1744)</t>
  </si>
  <si>
    <t xml:space="preserve">A missing detail the plan fills with a stated default says which one, in the same words.</t>
  </si>
  <si>
    <t xml:space="preserve">Plan results: Use_mortYears, Use_mort2, Use_pAge, Use_work, Use_mortRate, Use_loanRate, Use_cardRate</t>
  </si>
  <si>
    <t xml:space="preserve">About you</t>
  </si>
  <si>
    <t xml:space="preserve">Date of birth, the line under it, age today</t>
  </si>
  <si>
    <t xml:space="preserve">function dobCheck (line 1235)</t>
  </si>
  <si>
    <t xml:space="preserve">Age in the first plan year = start year - birth year; age today exact; the line "Thanks, Pooja. You're 27 today and turn 28 on 21 August 2027."</t>
  </si>
  <si>
    <t xml:space="preserve">Plan inputs: In_age, In_pAge; Plan results: DOB_AgeToday, DOB_NextBirthday, DOB_Msg, PDOB_AgeToday, PDOB_Msg</t>
  </si>
  <si>
    <t xml:space="preserve">Results gate</t>
  </si>
  <si>
    <t xml:space="preserve">An age outside 18 to 80 (yours) or 18 to 85 (partner)</t>
  </si>
  <si>
    <t xml:space="preserve">The workbook asks for the age (it never reads it as 0): the gate card lists "Your age" or "Partner's age".</t>
  </si>
  <si>
    <t xml:space="preserve">Plan results: Gate_Keys, Gate_Names</t>
  </si>
  <si>
    <t xml:space="preserve">My plan</t>
  </si>
  <si>
    <t xml:space="preserve">Required choices got / needed</t>
  </si>
  <si>
    <t xml:space="preserve">const reqKeys (line 1219)</t>
  </si>
  <si>
    <t xml:space="preserve">Inflation, retirement age, plan-until age (+ partner retirement age when the partner has an income).</t>
  </si>
  <si>
    <t xml:space="preserve">Plan results: Req_Count, Req_Got</t>
  </si>
  <si>
    <t xml:space="preserve">Me / Plan</t>
  </si>
  <si>
    <t xml:space="preserve">Missing details count ("N items need a look")</t>
  </si>
  <si>
    <t xml:space="preserve">Count of fields marked missing or needing a look.</t>
  </si>
  <si>
    <t xml:space="preserve">Plan results: Missing_Count</t>
  </si>
  <si>
    <t xml:space="preserve">Matched in test (when not filled by example)</t>
  </si>
  <si>
    <t xml:space="preserve">Plan</t>
  </si>
  <si>
    <t xml:space="preserve">Assumption values (inflation, wage growth, cash and investment rates, pension growth, plan end, buffer months)</t>
  </si>
  <si>
    <t xml:space="preserve">function applyAssume (line 1246)</t>
  </si>
  <si>
    <t xml:space="preserve">The customer's own choice when given, else the standard; wage growth, cash and investment rates after fees.</t>
  </si>
  <si>
    <t xml:space="preserve">Plan pay &amp; tax: AS_Infl, AS_Wage, AS_Cash, AS_Inv, AS_Pen, AS_PenRet, AS_End, AS_Year0, AS_Months</t>
  </si>
  <si>
    <t xml:space="preserve">Finance facts (essential spending, mortgage / card / loan repayments, pension contributions, debt)</t>
  </si>
  <si>
    <t xml:space="preserve">function finNums (line 1345)</t>
  </si>
  <si>
    <t xml:space="preserve">Totals from the lists, with the repayment given or worked out; essential spending = living costs + mortgage + debt repayments.</t>
  </si>
  <si>
    <t xml:space="preserve">Plan pay &amp; tax: F_EssM, F_MortPayM, F_CardPayM, F_LoanPayM, F_PenG, F_PenM, F_Debt (and the other F_*)</t>
  </si>
  <si>
    <t xml:space="preserve">Results &gt; Saving</t>
  </si>
  <si>
    <t xml:space="preserve">Spare money a month ("surplus")</t>
  </si>
  <si>
    <t xml:space="preserve">function saveAuto (line 1394)</t>
  </si>
  <si>
    <t xml:space="preserve">Net income each month minus living costs, one-offs and debt repayments, in today's money.</t>
  </si>
  <si>
    <t xml:space="preserve">Plan results: Save_SurplusM</t>
  </si>
  <si>
    <t xml:space="preserve">How much you save a month (Q6 rule or your choice)</t>
  </si>
  <si>
    <t xml:space="preserve">The Discover Q6 answer sets a share of spare money (saveM); your own choice replaces it; capped at spare money.</t>
  </si>
  <si>
    <t xml:space="preserve">Plan results: Save_SaveM, Save_AutoM, Save_SaveM_Base</t>
  </si>
  <si>
    <t xml:space="preserve">Results &gt; What-if</t>
  </si>
  <si>
    <t xml:space="preserve">"You would save N a month" and "more than your spare money" warning</t>
  </si>
  <si>
    <t xml:space="preserve">function wiLive (line 2196)</t>
  </si>
  <si>
    <t xml:space="preserve">Base saving plus the what-if extra (not below 0); over when above spare money by more than 50 cent.</t>
  </si>
  <si>
    <t xml:space="preserve">Plan results: Wi_Total, Wi_Over</t>
  </si>
  <si>
    <t xml:space="preserve">Goal % and goal lines with the what-if on</t>
  </si>
  <si>
    <t xml:space="preserve">function project (line 1406)</t>
  </si>
  <si>
    <t xml:space="preserve">The whole plan is run again with the extra monthly saving, the one-off and the "save less" setting.</t>
  </si>
  <si>
    <t xml:space="preserve">Plan pay &amp; tax: WI_M, WI_L, WI_Retire (from Plan inputs); Plan cashflow / Plan goals year tables</t>
  </si>
  <si>
    <t xml:space="preserve">"What changes" sentence listing goals that moved</t>
  </si>
  <si>
    <t xml:space="preserve">function wiText (line 1786)</t>
  </si>
  <si>
    <t xml:space="preserve">Lists each goal whose % changed, from old % to new %.</t>
  </si>
  <si>
    <t xml:space="preserve">Plan results: Wi_Text; Plan goals: GR{i}_WiTxt, GR{i}_PctBefore (typed % with the what-if off)</t>
  </si>
  <si>
    <t xml:space="preserve">Matched in test when the before % is typed (the workbook has one run, so the before figure is typed, or the same when there is no what-if)</t>
  </si>
  <si>
    <t xml:space="preserve">Smallest extra a month that takes a goal to 100% / 95%</t>
  </si>
  <si>
    <t xml:space="preserve">function extraTo100 (line 1766)</t>
  </si>
  <si>
    <t xml:space="preserve">Searches 13 trial values of extra saving for the smallest that reaches the target.</t>
  </si>
  <si>
    <t xml:space="preserve">Plan goals: typed helper column L; Plan results: Find_ExtraFor</t>
  </si>
  <si>
    <t xml:space="preserve">Matched in test when the app's own figure is typed in. The workbook cannot search by itself.</t>
  </si>
  <si>
    <t xml:space="preserve">My plan &gt; Results, Road, Timeline</t>
  </si>
  <si>
    <t xml:space="preserve">Every year row: income, needs, from savings, shortfall, savings left, pension pot</t>
  </si>
  <si>
    <t xml:space="preserve">One row per year to the plan-until age: pay after tax and pension, living costs, repayments, goals due, spare money and pots, growth.</t>
  </si>
  <si>
    <t xml:space="preserve">Plan cashflow: year table (inflow, needs, goalPaid, short, used, saved, spent, liquid, pen)</t>
  </si>
  <si>
    <t xml:space="preserve">Pay, tax, USC, PRSI each year (joint assessment, credits)</t>
  </si>
  <si>
    <t xml:space="preserve">function hhTax (line 1275)</t>
  </si>
  <si>
    <t xml:space="preserve">Income tax bands and credits, USC bands, PRSI rate blend by year; State Pension and drawdown included after retirement.</t>
  </si>
  <si>
    <t xml:space="preserve">Plan pay &amp; tax: year table (gross, tax, usc, prsi), PR_* constants</t>
  </si>
  <si>
    <t xml:space="preserve">Retirement pot, lump sum, ARF drawdown, State Pension</t>
  </si>
  <si>
    <t xml:space="preserve">Pension pot grown with contributions and relief; Standard Fund Threshold; lump sum 25% up to the limit; drawdown at the chosen % or the minimum; State Pension share by years paid.</t>
  </si>
  <si>
    <t xml:space="preserve">Plan pay &amp; tax: year table (pot, lump sum, drawdown, State Pension); Plan results: Ret_Year, Ret_PotNominal, Ret_IncomeMonth, Ret_LumpNet</t>
  </si>
  <si>
    <t xml:space="preserve">Debt balances month by month</t>
  </si>
  <si>
    <t xml:space="preserve">function amortYear (line 1367)</t>
  </si>
  <si>
    <t xml:space="preserve">Interest added each month, then the repayment (never more than owed) until the balance is 50 cent or less.</t>
  </si>
  <si>
    <t xml:space="preserve">Each goal: cost at its date, pot, % covered, band</t>
  </si>
  <si>
    <t xml:space="preserve">Cost inflated to the goal year (mortgage-free goal costs the mortgage balance then); pot = saved + share of spare saving + one-off; % = covered amount / cost, rounded down.</t>
  </si>
  <si>
    <t xml:space="preserve">Plan goals: GR{i}_Pct, GR{i}_Band, Slot{K}_* ; GR_* ranges</t>
  </si>
  <si>
    <t xml:space="preserve">Results</t>
  </si>
  <si>
    <t xml:space="preserve">Funding order of goals</t>
  </si>
  <si>
    <t xml:space="preserve">Your ranking if you ranked; otherwise Emergency fund first, then must-have before nice-to-have, then soonest.</t>
  </si>
  <si>
    <t xml:space="preserve">Plan goals: Part 1 (sort key)</t>
  </si>
  <si>
    <t xml:space="preserve">Matched in test (through goal %)</t>
  </si>
  <si>
    <t xml:space="preserve">Goal line: "You are saving N a month ..." (Option B)</t>
  </si>
  <si>
    <t xml:space="preserve">function goalLine (line 1768)</t>
  </si>
  <si>
    <t xml:space="preserve">Average a month you put in, what it covers, what is short and what could close it.</t>
  </si>
  <si>
    <t xml:space="preserve">Plan goals: GR{i}_Line (inputs GR{i}_Extra, GR{i}_Months)</t>
  </si>
  <si>
    <t xml:space="preserve">Matched in test (with the app's search result typed in)</t>
  </si>
  <si>
    <t xml:space="preserve">Average put in a month, months to reach</t>
  </si>
  <si>
    <t xml:space="preserve">Total put into the goal pot divided by the months it is funded.</t>
  </si>
  <si>
    <t xml:space="preserve">Plan goals: GR{i}_Months</t>
  </si>
  <si>
    <t xml:space="preserve">Main strength, main gap, biggest decision</t>
  </si>
  <si>
    <t xml:space="preserve">function findings (line 1776)</t>
  </si>
  <si>
    <t xml:space="preserve">Strength = best fully covered goal (never while working-year spending exceeds income); gap = lowest-% goal; decision = the one change that closes the biggest gap, with its monthly figure.</t>
  </si>
  <si>
    <t xml:space="preserve">Plan results: Find_Strength, Find_Gap, Find_Decision, Find_BestIdx, Find_WorstIdx</t>
  </si>
  <si>
    <t xml:space="preserve">Matched in test (what-if off; extraFor typed)</t>
  </si>
  <si>
    <t xml:space="preserve">Explore &gt; C12 Retirement projection (pre-filled from your plan)</t>
  </si>
  <si>
    <t xml:space="preserve">Years to retirement, pension pot at retirement, income a month, lump sum after tax</t>
  </si>
  <si>
    <t xml:space="preserve">function calcPre (line 2743)</t>
  </si>
  <si>
    <t xml:space="preserve">Pot = the plan pension pot at the start of the retirement year; income a month = money in after tax in the first retired year in today prices; lump sum after tax as in C12.</t>
  </si>
  <si>
    <t xml:space="preserve">Plan results: Ret_Year, Ret_PotNominal, Ret_IncomeMonth, Ret_LumpNet</t>
  </si>
  <si>
    <t xml:space="preserve">Matched in test for years, pot and income (plan-vs-xlsx); the lump sum is checked through C12 only</t>
  </si>
  <si>
    <t xml:space="preserve">Goals to slip / "these goals fall short"</t>
  </si>
  <si>
    <t xml:space="preserve">List of goals below 95%.</t>
  </si>
  <si>
    <t xml:space="preserve">Plan results: Slip_Count, Slip_Names</t>
  </si>
  <si>
    <t xml:space="preserve">Results / Road</t>
  </si>
  <si>
    <t xml:space="preserve">Years you fall short; first short age; amount short; total short</t>
  </si>
  <si>
    <t xml:space="preserve">function chartSummary (line 2182)</t>
  </si>
  <si>
    <t xml:space="preserve">Count of years with a shortfall; age and amount of the first; sum of all.</t>
  </si>
  <si>
    <t xml:space="preserve">Plan results: Chart_ShortYears, Chart_FirstShortAge, Chart_FirstShortAmt, Chart_TotalShort, Chart_DipYears</t>
  </si>
  <si>
    <t xml:space="preserve">Road / Timeline</t>
  </si>
  <si>
    <t xml:space="preserve">Road colours (teal / gold / coral) and first coral age</t>
  </si>
  <si>
    <t xml:space="preserve">function journeyNote (line 1800)</t>
  </si>
  <si>
    <t xml:space="preserve">Year coral when income and savings do not cover needs; first such age quoted.</t>
  </si>
  <si>
    <t xml:space="preserve">Plan results: Road_FirstShortAge, Road_ShortYears, Chart_LivingShortYears, Chart_FirstLivingAge</t>
  </si>
  <si>
    <t xml:space="preserve">Timeline / Chart</t>
  </si>
  <si>
    <t xml:space="preserve">Chart bars: from income / from savings / shortfall</t>
  </si>
  <si>
    <t xml:space="preserve">function rowParts (line 2141)</t>
  </si>
  <si>
    <t xml:space="preserve">From income = lesser of money in and spending; from savings = used + goals paid from pots; shortfall = living shortfall + goal gap.</t>
  </si>
  <si>
    <t xml:space="preserve">Plan cashflow: partsInc, partsSav, partsShort</t>
  </si>
  <si>
    <t xml:space="preserve">Timeline</t>
  </si>
  <si>
    <t xml:space="preserve">Decade chapters: years, short years, dip years, average, weather</t>
  </si>
  <si>
    <t xml:space="preserve">function chapters (line 1868)</t>
  </si>
  <si>
    <t xml:space="preserve">Years grouped by decade (90s joined to the 80s); counts and average of rows in each.</t>
  </si>
  <si>
    <t xml:space="preserve">Plan results: Chap_Dec .. Chap_Weather</t>
  </si>
  <si>
    <t xml:space="preserve">Chart: selected-year detail and the per-year label</t>
  </si>
  <si>
    <t xml:space="preserve">function chaptersHTML (line 1869)</t>
  </si>
  <si>
    <t xml:space="preserve">Each year reads Comfortable, Using savings or Gap to plan for: short €x from the row figures; the goals due that year are named from the goal list.</t>
  </si>
  <si>
    <t xml:space="preserve">Plan cashflow: yrLabel and the row figures; names: Plan goals GR{i}_Name</t>
  </si>
  <si>
    <t xml:space="preserve">Matched in test (labels and figures); the list of names of goals due in a year is display-only (not a calculation)</t>
  </si>
  <si>
    <t xml:space="preserve">Plan &gt; Timeline</t>
  </si>
  <si>
    <t xml:space="preserve">Chapter story under each decade</t>
  </si>
  <si>
    <t xml:space="preserve">Short by about the average shortfall a year in n of these years; else living on pensions and savings; else some years dip into savings; else income comfortably covers life.</t>
  </si>
  <si>
    <t xml:space="preserve">Plan results: Chap_Story</t>
  </si>
  <si>
    <t xml:space="preserve">Goal status ring, "in N years" text</t>
  </si>
  <si>
    <t xml:space="preserve">function yearsTxt (line 1520)</t>
  </si>
  <si>
    <t xml:space="preserve">Years = goal age minus your age; at the end of your plan for a legacy goal; at the retirement age for retire.</t>
  </si>
  <si>
    <t xml:space="preserve">Plan goals: GR{i}_When</t>
  </si>
  <si>
    <t xml:space="preserve">Plan, Timeline, goal tiles, Confirm my LifeMap, Report section 4</t>
  </si>
  <si>
    <t xml:space="preserve">Calendar year beside every goal (age 41 · 2030, Age 63 · 2052, (2037))</t>
  </si>
  <si>
    <t xml:space="preserve">function whenTxt (line 1640)</t>
  </si>
  <si>
    <t xml:space="preserve">First plan year + (goal age - your age).</t>
  </si>
  <si>
    <t xml:space="preserve">Plan goals: GR{i}_Year, GR{i}_AgeYear</t>
  </si>
  <si>
    <t xml:space="preserve">Report / PDF</t>
  </si>
  <si>
    <t xml:space="preserve">Section 1 Summary (strength / gap / decision)</t>
  </si>
  <si>
    <t xml:space="preserve">function openReport (line 3154)</t>
  </si>
  <si>
    <t xml:space="preserve">Same findings as Results.</t>
  </si>
  <si>
    <t xml:space="preserve">Plan results: Find_*</t>
  </si>
  <si>
    <t xml:space="preserve">Section 3 year-by-year table (income, needs, from savings, shortfall, savings left)</t>
  </si>
  <si>
    <t xml:space="preserve">The project() rows, shown to the euro.</t>
  </si>
  <si>
    <t xml:space="preserve">Plan cashflow: inflow, needs, used, short, liquid</t>
  </si>
  <si>
    <t xml:space="preserve">Section 4 per-goal paragraph (% covered, line, extra a month)</t>
  </si>
  <si>
    <t xml:space="preserve">Goal %, goal line and the extra a month that closes the gap (extraFor).</t>
  </si>
  <si>
    <t xml:space="preserve">Plan goals: GR{i}_Pct, GR{i}_Line, GR{i}_Extra</t>
  </si>
  <si>
    <t xml:space="preserve">Matched in test for % and line; the per-goal extraFor search is typed (see Plan how it works).</t>
  </si>
  <si>
    <t xml:space="preserve">Foundations list and next step</t>
  </si>
  <si>
    <t xml:space="preserve">Same as the Foundations card.</t>
  </si>
  <si>
    <t xml:space="preserve">Plan results: Fnd*</t>
  </si>
  <si>
    <t xml:space="preserve">Section 5 what-if text</t>
  </si>
  <si>
    <t xml:space="preserve">See What-if.</t>
  </si>
  <si>
    <t xml:space="preserve">Plan results: Wi_Text; Plan pay &amp; tax: WI_M, WI_L</t>
  </si>
  <si>
    <t xml:space="preserve">Matched in test when the before % is typed</t>
  </si>
  <si>
    <t xml:space="preserve">Section 6 money snapshot (every Your finances figure, tag, "N items missing")</t>
  </si>
  <si>
    <t xml:space="preserve">function fmtField (line 1561)</t>
  </si>
  <si>
    <t xml:space="preserve">Displays the figures you gave and the count of items missing; the tag (document / typed) is display-only.</t>
  </si>
  <si>
    <t xml:space="preserve">Matched in test for the count; the tags are display-only (not a calculation)</t>
  </si>
  <si>
    <t xml:space="preserve">Me &gt; My money, Your finances hub (step 6)</t>
  </si>
  <si>
    <t xml:space="preserve">Section progress (5 of 6 done; Done / Needs a look / Started / Not started per section)</t>
  </si>
  <si>
    <t xml:space="preserve">function secStatus (line 1530)</t>
  </si>
  <si>
    <t xml:space="preserve">A section is done when every required figure shown is given or you saved it; needs a look if a figure is flagged; started if anything beyond the pre-filled age is typed.</t>
  </si>
  <si>
    <t xml:space="preserve">Plan results: Fin1_St, Fin2_St, Fin3_St, Fin4_St, Fin5_St, Fin6_St, Fin_Done, Fin_MinOK</t>
  </si>
  <si>
    <t xml:space="preserve">Me &gt; My money &gt; Check details</t>
  </si>
  <si>
    <t xml:space="preserve">N details look good and N need a look</t>
  </si>
  <si>
    <t xml:space="preserve">Every shown figure that is given and not flagged looks good; flagged or required-and-missing ones need a look.</t>
  </si>
  <si>
    <t xml:space="preserve">Plan results: Good_Count, Missing_Count, Look_Count</t>
  </si>
  <si>
    <t xml:space="preserve">Section 7 personality, money terms, indicative risk profile</t>
  </si>
  <si>
    <t xml:space="preserve">function riskRead (line 1049)</t>
  </si>
  <si>
    <t xml:space="preserve">See Understand Me rows below.</t>
  </si>
  <si>
    <t xml:space="preserve">Plan profile: Prof_*</t>
  </si>
  <si>
    <t xml:space="preserve">Section 9 "What your plan assumes" list</t>
  </si>
  <si>
    <t xml:space="preserve">function assumeRows (line 1307)</t>
  </si>
  <si>
    <t xml:space="preserve">Each assumption with its value and who chose it.</t>
  </si>
  <si>
    <t xml:space="preserve">Plan pay &amp; tax: AS_*</t>
  </si>
  <si>
    <t xml:space="preserve">Values matched in test; the wording of the list is not built.</t>
  </si>
  <si>
    <t xml:space="preserve">Discover / Me</t>
  </si>
  <si>
    <t xml:space="preserve">Questions answered (of 6 and of 13)</t>
  </si>
  <si>
    <t xml:space="preserve">const discCount (line 1091)</t>
  </si>
  <si>
    <t xml:space="preserve">Count of numeric answers among the 6 Discover questions and the 13 profile questions.</t>
  </si>
  <si>
    <t xml:space="preserve">Plan profile: Prof_DiscCount, Prof_UmCount, Prof_Full</t>
  </si>
  <si>
    <t xml:space="preserve">Money personality (Planner, Builder, Explorer, Cautious)</t>
  </si>
  <si>
    <t xml:space="preserve">function personality (line 1005)</t>
  </si>
  <si>
    <t xml:space="preserve">Weighted score for each type from the answers (needs at least 4 of the 6 weighted answers); highest wins; ties broken in a fixed order.</t>
  </si>
  <si>
    <t xml:space="preserve">Plan profile: Prof_SA..SC, Prof_Top, Prof_TypeKey, Prof_Personality</t>
  </si>
  <si>
    <t xml:space="preserve">Me</t>
  </si>
  <si>
    <t xml:space="preserve">Suggested answer to the "fall" question (u9)</t>
  </si>
  <si>
    <t xml:space="preserve">function suggestU9 (line 1023)</t>
  </si>
  <si>
    <t xml:space="preserve">Suggestion from the other answers until the customer chooses.</t>
  </si>
  <si>
    <t xml:space="preserve">Plan profile: Prof_SuggestU9</t>
  </si>
  <si>
    <t xml:space="preserve">Risk profile: attitude (want), capacity (can), time horizon, knowledge and experience</t>
  </si>
  <si>
    <t xml:space="preserve">Each part scored from its answers; the profile is the lowest of want, can afford, time and experience; "limit" names the one that sets it.</t>
  </si>
  <si>
    <t xml:space="preserve">Plan profile: Prof_T, Prof_C, Prof_H, Prof_KE, Prof_Level, Prof_Label, Prof_Limit</t>
  </si>
  <si>
    <t xml:space="preserve">Me &gt; Understand Me</t>
  </si>
  <si>
    <t xml:space="preserve">Per-section counts (2 of 3 answered, 3 of 5) and the line 6 of 7 left · your first 6 answers are filled in</t>
  </si>
  <si>
    <t xml:space="preserve">function umLeftTxt (line 2457)</t>
  </si>
  <si>
    <t xml:space="preserve">Answers given in each of the 3 sections; new questions still to answer of 7.</t>
  </si>
  <si>
    <t xml:space="preserve">Plan profile: Prof_UmSec1, Prof_UmSec2, Prof_UmSec3, Prof_UmLeft, Prof_UmLeftTxt</t>
  </si>
  <si>
    <t xml:space="preserve">Mismatch message (want higher than can afford, etc.)</t>
  </si>
  <si>
    <t xml:space="preserve">MIS_ADV (line 1042)</t>
  </si>
  <si>
    <t xml:space="preserve">Key chosen from comparing want, can and time.</t>
  </si>
  <si>
    <t xml:space="preserve">Plan profile: Prof_MisKey</t>
  </si>
  <si>
    <t xml:space="preserve">Comfort, cushion and provisional marker</t>
  </si>
  <si>
    <t xml:space="preserve">Wording picked from the parts; provisional until all 13 are answered.</t>
  </si>
  <si>
    <t xml:space="preserve">Plan profile: Prof_Comfort, Prof_Cushion, Prof_Provisional</t>
  </si>
  <si>
    <t xml:space="preserve">Money terms (mindset, behaviour, appetite, capacity)</t>
  </si>
  <si>
    <t xml:space="preserve">function myTerms (line 654)</t>
  </si>
  <si>
    <t xml:space="preserve">A term for each group from the answers given.</t>
  </si>
  <si>
    <t xml:space="preserve">Plan profile: Prof_TermsMindset .. Prof_TermsCapacity</t>
  </si>
  <si>
    <t xml:space="preserve">Profile banner on the plan</t>
  </si>
  <si>
    <t xml:space="preserve">function planProfileBanner (line 3041)</t>
  </si>
  <si>
    <t xml:space="preserve">Text from the risk read (provisional or full).</t>
  </si>
  <si>
    <t xml:space="preserve">Plan profile: Prof_Banner</t>
  </si>
  <si>
    <t xml:space="preserve">Section "N of M answered", ring %</t>
  </si>
  <si>
    <t xml:space="preserve">function umCount (line 1093)</t>
  </si>
  <si>
    <t xml:space="preserve">Answered divided by 13, rounded.</t>
  </si>
  <si>
    <t xml:space="preserve">Plan profile: Prof_UmCount (ring % = Prof_UmCount / 13)</t>
  </si>
  <si>
    <t xml:space="preserve">Experts</t>
  </si>
  <si>
    <t xml:space="preserve">Suggested specialist type (weakest goal)</t>
  </si>
  <si>
    <t xml:space="preserve">function specialist (line 3044)</t>
  </si>
  <si>
    <t xml:space="preserve">Weakest goal (lowest %) picks its specialist; otherwise the planner.</t>
  </si>
  <si>
    <t xml:space="preserve">Plan results: Expert_Idx, Expert_Key, Expert_Type</t>
  </si>
  <si>
    <t xml:space="preserve">Adviser shown (rotation) and adviser text</t>
  </si>
  <si>
    <t xml:space="preserve">const ADVISERS (line 960)</t>
  </si>
  <si>
    <t xml:space="preserve">The adviser list is fixed; the customer steps through it.</t>
  </si>
  <si>
    <t xml:space="preserve">Not a calculation (fixed list). No workbook content.</t>
  </si>
  <si>
    <t xml:space="preserve">Adviser meeting date / time options</t>
  </si>
  <si>
    <t xml:space="preserve">async function saveMeeting (line 3232)</t>
  </si>
  <si>
    <t xml:space="preserve">Dates are fixed text.</t>
  </si>
  <si>
    <t xml:space="preserve">Not a calculation.</t>
  </si>
  <si>
    <t xml:space="preserve">Ask / Experts</t>
  </si>
  <si>
    <t xml:space="preserve">Suggested questions that quote plan figures</t>
  </si>
  <si>
    <t xml:space="preserve">function askPlan (line 3100)</t>
  </si>
  <si>
    <t xml:space="preserve">Text built from goal % and ages.</t>
  </si>
  <si>
    <t xml:space="preserve">Display-only text built from figures already in the workbook (goal %, goal line, retirement age): not a calculation, not built.</t>
  </si>
  <si>
    <t xml:space="preserve">Report</t>
  </si>
  <si>
    <t xml:space="preserve">Header: Created 29 Sep 2026 · version 2</t>
  </si>
  <si>
    <t xml:space="preserve">A date typed in the app and the number of saved versions.</t>
  </si>
  <si>
    <t xml:space="preserve">Constant / session count: not a calculation.</t>
  </si>
  <si>
    <t xml:space="preserve">Typed-search goal lines (extraTo100, extraFor)</t>
  </si>
  <si>
    <t xml:space="preserve">Bisection and a fixed ladder; see the specification and test vectors on Plan how it works.</t>
  </si>
  <si>
    <t xml:space="preserve">Plan goals: GR{i}_Extra, GR{i}_ExtraUsed; Plan results: Find_ExtraFor, Find_ExtraUsed</t>
  </si>
  <si>
    <t xml:space="preserve">Matched in test when the app figure is typed in; the sample customer figures are built in for the demo</t>
  </si>
  <si>
    <t xml:space="preserve">Explore</t>
  </si>
  <si>
    <t xml:space="preserve">Tools for you</t>
  </si>
  <si>
    <t xml:space="preserve">See Home.</t>
  </si>
  <si>
    <t xml:space="preserve">Videos for you: order</t>
  </si>
  <si>
    <t xml:space="preserve">function videosForYou (line 2847)</t>
  </si>
  <si>
    <t xml:space="preserve">Videos sorted so the one about the weakest goal comes first, then those about your goals.</t>
  </si>
  <si>
    <t xml:space="preserve">Plan results: Expert_Key</t>
  </si>
  <si>
    <t xml:space="preserve">Display-only: a sort of a fixed list of videos, not a calculation. The weakest goal it is based on is matched (Expert_Idx).</t>
  </si>
  <si>
    <t xml:space="preserve">Explore home</t>
  </si>
  <si>
    <t xml:space="preserve">What-ifs for your goals: Try a what-if for travel, 28% covered now</t>
  </si>
  <si>
    <t xml:space="preserve">function xWorst (line 2846)</t>
  </si>
  <si>
    <t xml:space="preserve">One tile for each goal under 95%, with its % covered.</t>
  </si>
  <si>
    <t xml:space="preserve">Plan results: Slip_Count, Slip_Names; Plan goals: GR{i}_Pct</t>
  </si>
  <si>
    <t xml:space="preserve">Video page</t>
  </si>
  <si>
    <t xml:space="preserve">Why this is for you: your goal is N% covered</t>
  </si>
  <si>
    <t xml:space="preserve">V.VID = id =&gt; (line 2959)</t>
  </si>
  <si>
    <t xml:space="preserve">The first goal whose specialist type matches the video (pension videos use the retirement goal) and its % covered.</t>
  </si>
  <si>
    <t xml:space="preserve">Plan results: Vid_mortgage_Pct, Vid_pension_Pct, Vid_protection_Pct, Vid_investment_Pct, Vid_planner_Pct</t>
  </si>
  <si>
    <t xml:space="preserve">Matched in test (base plan)</t>
  </si>
  <si>
    <t xml:space="preserve">Explore &gt; categories</t>
  </si>
  <si>
    <t xml:space="preserve">7 tools, 3 tools per category</t>
  </si>
  <si>
    <t xml:space="preserve">const CATS (line 2495)</t>
  </si>
  <si>
    <t xml:space="preserve">Count of the 28 tools in each category.</t>
  </si>
  <si>
    <t xml:space="preserve">Plan results: Cat_N1, Cat_N2, Cat_N3, Cat_N4, Cat_N5, Cat_N6 (counted from the README list)</t>
  </si>
  <si>
    <t xml:space="preserve">Tools</t>
  </si>
  <si>
    <t xml:space="preserve">Calculators pre-filled from your plan ("Worked out from your figures")</t>
  </si>
  <si>
    <t xml:space="preserve">Each tool starts from your own figures (mortgage, deposit target, pension, etc.).</t>
  </si>
  <si>
    <t xml:space="preserve">Plan inputs feed Plan sheets; the C01-C28 sheets take their own inputs</t>
  </si>
  <si>
    <t xml:space="preserve">Not built: the C sheets are not linked to the Plan inputs by design (each calculator is independent). Known gap.</t>
  </si>
  <si>
    <t xml:space="preserve">Document reader: figures, confidence %</t>
  </si>
  <si>
    <t xml:space="preserve">function startUpload (line 3469)</t>
  </si>
  <si>
    <t xml:space="preserve">Reads figures from a document (demo).</t>
  </si>
  <si>
    <t xml:space="preserve">Document reader spec sheet</t>
  </si>
  <si>
    <t xml:space="preserve">Not testable (a specification, not a calculation).</t>
  </si>
  <si>
    <t xml:space="preserve">Explore &gt; Tools &gt; Borrowing</t>
  </si>
  <si>
    <t xml:space="preserve">Result lines of Borrowing</t>
  </si>
  <si>
    <t xml:space="preserve">CALCS entry borrow (line 2508)</t>
  </si>
  <si>
    <t xml:space="preserve">Maximum loan by income multiple and by loan-to-value; price = loan + deposit; deposit rules.</t>
  </si>
  <si>
    <t xml:space="preserve">C01 Borrowing: green result cells, each with its formula written beside it</t>
  </si>
  <si>
    <t xml:space="preserve">Matched in test (tools/calc-vs-xlsx: results and gate wording)</t>
  </si>
  <si>
    <t xml:space="preserve">Explore &gt; Tools &gt; Mortgage repayment</t>
  </si>
  <si>
    <t xml:space="preserve">Result lines of Mortgage repayment</t>
  </si>
  <si>
    <t xml:space="preserve">CALCS entry repayment (line 2520)</t>
  </si>
  <si>
    <t xml:space="preserve">Monthly repayment = balance x i / (1 - (1+i)^-n), i = yearly rate / 12; total interest.</t>
  </si>
  <si>
    <t xml:space="preserve">C02 Mortgage repayment: green result cells, each with its formula written beside it</t>
  </si>
  <si>
    <t xml:space="preserve">Explore &gt; Tools &gt; Deposit</t>
  </si>
  <si>
    <t xml:space="preserve">Result lines of Deposit</t>
  </si>
  <si>
    <t xml:space="preserve">CALCS entry deposit (line 2530)</t>
  </si>
  <si>
    <t xml:space="preserve">Months to reach the deposit from savings, monthly saving and growth.</t>
  </si>
  <si>
    <t xml:space="preserve">C03 Deposit: green result cells, each with its formula written beside it</t>
  </si>
  <si>
    <t xml:space="preserve">Explore &gt; Tools &gt; Mortgage overpayment</t>
  </si>
  <si>
    <t xml:space="preserve">Result lines of Mortgage overpayment</t>
  </si>
  <si>
    <t xml:space="preserve">CALCS entry overpay (line 2536)</t>
  </si>
  <si>
    <t xml:space="preserve">Months saved and interest saved when you pay extra each month.</t>
  </si>
  <si>
    <t xml:space="preserve">C04 Mortgage overpayment: green result cells, each with its formula written beside it</t>
  </si>
  <si>
    <t xml:space="preserve">Explore &gt; Tools &gt; Interest rate impact</t>
  </si>
  <si>
    <t xml:space="preserve">Result lines of Interest rate impact</t>
  </si>
  <si>
    <t xml:space="preserve">CALCS entry ratechange (line 2543)</t>
  </si>
  <si>
    <t xml:space="preserve">Repayment at the new rate against the current rate.</t>
  </si>
  <si>
    <t xml:space="preserve">C05 Interest rate impact: green result cells, each with its formula written beside it</t>
  </si>
  <si>
    <t xml:space="preserve">Explore &gt; Tools &gt; Term comparison</t>
  </si>
  <si>
    <t xml:space="preserve">Result lines of Term comparison</t>
  </si>
  <si>
    <t xml:space="preserve">CALCS entry term (line 2548)</t>
  </si>
  <si>
    <t xml:space="preserve">Repayment and total interest for each term.</t>
  </si>
  <si>
    <t xml:space="preserve">C06 Term comparison: green result cells, each with its formula written beside it</t>
  </si>
  <si>
    <t xml:space="preserve">Explore &gt; Tools &gt; Rent vs buy</t>
  </si>
  <si>
    <t xml:space="preserve">Result lines of Rent vs buy</t>
  </si>
  <si>
    <t xml:space="preserve">CALCS entry rentbuy (line 2553)</t>
  </si>
  <si>
    <t xml:space="preserve">Cost of renting against buying over the years (costs, equity, upkeep).</t>
  </si>
  <si>
    <t xml:space="preserve">C07 Rent vs buy: green result cells, each with its formula written beside it</t>
  </si>
  <si>
    <t xml:space="preserve">Explore &gt; Tools &gt; Goal planner</t>
  </si>
  <si>
    <t xml:space="preserve">Result lines of Goal planner</t>
  </si>
  <si>
    <t xml:space="preserve">CALCS entry goalplanner (line 2560)</t>
  </si>
  <si>
    <t xml:space="preserve">Monthly saving needed to reach a goal given growth.</t>
  </si>
  <si>
    <t xml:space="preserve">C08 Goal planner: green result cells, each with its formula written beside it</t>
  </si>
  <si>
    <t xml:space="preserve">Explore &gt; Tools &gt; Compound growth</t>
  </si>
  <si>
    <t xml:space="preserve">Result lines of Compound growth</t>
  </si>
  <si>
    <t xml:space="preserve">CALCS entry compound (line 2566)</t>
  </si>
  <si>
    <t xml:space="preserve">Value of regular saving at the growth rate.</t>
  </si>
  <si>
    <t xml:space="preserve">C09 Compound growth: green result cells, each with its formula written beside it</t>
  </si>
  <si>
    <t xml:space="preserve">Explore &gt; Tools &gt; Lump sum growth</t>
  </si>
  <si>
    <t xml:space="preserve">Result lines of Lump sum growth</t>
  </si>
  <si>
    <t xml:space="preserve">CALCS entry lumpsum (line 2571)</t>
  </si>
  <si>
    <t xml:space="preserve">One-off amount grown for the years, nominal and real.</t>
  </si>
  <si>
    <t xml:space="preserve">C10 Lump sum growth: green result cells, each with its formula written beside it</t>
  </si>
  <si>
    <t xml:space="preserve">Explore &gt; Tools &gt; Emergency fund</t>
  </si>
  <si>
    <t xml:space="preserve">Result lines of Emergency fund</t>
  </si>
  <si>
    <t xml:space="preserve">CALCS entry emergency (line 2578)</t>
  </si>
  <si>
    <t xml:space="preserve">Months covered; target = months x essential spending.</t>
  </si>
  <si>
    <t xml:space="preserve">C11 Emergency fund: green result cells, each with its formula written beside it</t>
  </si>
  <si>
    <t xml:space="preserve">Explore &gt; Tools &gt; Retirement projection</t>
  </si>
  <si>
    <t xml:space="preserve">Result lines of Retirement projection</t>
  </si>
  <si>
    <t xml:space="preserve">CALCS entry retirement (line 2583)</t>
  </si>
  <si>
    <t xml:space="preserve">Pot at retirement, lump sum, income a month against the target.</t>
  </si>
  <si>
    <t xml:space="preserve">C12 Retirement projection: green result cells, each with its formula written beside it</t>
  </si>
  <si>
    <t xml:space="preserve">Explore &gt; Tools &gt; Contribution impact</t>
  </si>
  <si>
    <t xml:space="preserve">Result lines of Contribution impact</t>
  </si>
  <si>
    <t xml:space="preserve">CALCS entry contrib (line 2595)</t>
  </si>
  <si>
    <t xml:space="preserve">Pot with and without a contribution increase.</t>
  </si>
  <si>
    <t xml:space="preserve">C13 Contribution impact: green result cells, each with its formula written beside it</t>
  </si>
  <si>
    <t xml:space="preserve">Explore &gt; Tools &gt; AVC impact</t>
  </si>
  <si>
    <t xml:space="preserve">Result lines of AVC impact</t>
  </si>
  <si>
    <t xml:space="preserve">CALCS entry avc (line 2600)</t>
  </si>
  <si>
    <t xml:space="preserve">Extra pot and tax relief from AVCs.</t>
  </si>
  <si>
    <t xml:space="preserve">C14 AVC impact: green result cells, each with its formula written beside it</t>
  </si>
  <si>
    <t xml:space="preserve">Explore &gt; Tools &gt; Will my money last</t>
  </si>
  <si>
    <t xml:space="preserve">Result lines of Will my money last</t>
  </si>
  <si>
    <t xml:space="preserve">CALCS entry lastmoney (line 2606)</t>
  </si>
  <si>
    <t xml:space="preserve">Years the pot lasts with the drawdown.</t>
  </si>
  <si>
    <t xml:space="preserve">C15 Will my money last: green result cells, each with its formula written beside it</t>
  </si>
  <si>
    <t xml:space="preserve">Explore &gt; Tools &gt; Drawdown scenarios</t>
  </si>
  <si>
    <t xml:space="preserve">Result lines of Drawdown scenarios</t>
  </si>
  <si>
    <t xml:space="preserve">CALCS entry drawdown (line 2611)</t>
  </si>
  <si>
    <t xml:space="preserve">Pot life at three growth rates.</t>
  </si>
  <si>
    <t xml:space="preserve">C16 Drawdown scenarios: green result cells, each with its formula written beside it</t>
  </si>
  <si>
    <t xml:space="preserve">Explore &gt; Tools &gt; Inflation adjusted return</t>
  </si>
  <si>
    <t xml:space="preserve">Result lines of Inflation adjusted return</t>
  </si>
  <si>
    <t xml:space="preserve">CALCS entry realreturn (line 2616)</t>
  </si>
  <si>
    <t xml:space="preserve">Real return and the value in today's money.</t>
  </si>
  <si>
    <t xml:space="preserve">C17 Inflation adjusted return: green result cells, each with its formula written beside it</t>
  </si>
  <si>
    <t xml:space="preserve">Explore &gt; Tools &gt; Regular investing</t>
  </si>
  <si>
    <t xml:space="preserve">Result lines of Regular investing</t>
  </si>
  <si>
    <t xml:space="preserve">CALCS entry regularinvest (line 2622)</t>
  </si>
  <si>
    <t xml:space="preserve">Value of monthly investing after charges.</t>
  </si>
  <si>
    <t xml:space="preserve">C18 Regular investing: green result cells, each with its formula written beside it</t>
  </si>
  <si>
    <t xml:space="preserve">Explore &gt; Tools &gt; Fees impact</t>
  </si>
  <si>
    <t xml:space="preserve">Result lines of Fees impact</t>
  </si>
  <si>
    <t xml:space="preserve">CALCS entry fees (line 2628)</t>
  </si>
  <si>
    <t xml:space="preserve">Cost of fees over time.</t>
  </si>
  <si>
    <t xml:space="preserve">C19 Fees impact: green result cells, each with its formula written beside it</t>
  </si>
  <si>
    <t xml:space="preserve">Explore &gt; Tools &gt; Risk and return</t>
  </si>
  <si>
    <t xml:space="preserve">Result lines of Risk and return</t>
  </si>
  <si>
    <t xml:space="preserve">CALCS entry riskreturn (line 2632)</t>
  </si>
  <si>
    <t xml:space="preserve">Range of outcomes from risk-style return and spread.</t>
  </si>
  <si>
    <t xml:space="preserve">C20 Risk and return: green result cells, each with its formula written beside it</t>
  </si>
  <si>
    <t xml:space="preserve">Explore &gt; Tools &gt; Life cover</t>
  </si>
  <si>
    <t xml:space="preserve">Result lines of Life cover</t>
  </si>
  <si>
    <t xml:space="preserve">CALCS entry lifecover (line 2637)</t>
  </si>
  <si>
    <t xml:space="preserve">Cover needed = debts + income years + extras - assets.</t>
  </si>
  <si>
    <t xml:space="preserve">C21 Life cover: green result cells, each with its formula written beside it</t>
  </si>
  <si>
    <t xml:space="preserve">Explore &gt; Tools &gt; Income protection gap</t>
  </si>
  <si>
    <t xml:space="preserve">Result lines of Income protection gap</t>
  </si>
  <si>
    <t xml:space="preserve">CALCS entry incomegap (line 2643)</t>
  </si>
  <si>
    <t xml:space="preserve">Months you could cope; gap to cover.</t>
  </si>
  <si>
    <t xml:space="preserve">C22 Income protection gap: green result cells, each with its formula written beside it</t>
  </si>
  <si>
    <t xml:space="preserve">Explore &gt; Tools &gt; Mortgage protection</t>
  </si>
  <si>
    <t xml:space="preserve">Result lines of Mortgage protection</t>
  </si>
  <si>
    <t xml:space="preserve">CALCS entry mortgageprotect (line 2649)</t>
  </si>
  <si>
    <t xml:space="preserve">Cover to clear the mortgage over the term.</t>
  </si>
  <si>
    <t xml:space="preserve">C23 Mortgage protection: green result cells, each with its formula written beside it</t>
  </si>
  <si>
    <t xml:space="preserve">Explore &gt; Tools &gt; Net worth</t>
  </si>
  <si>
    <t xml:space="preserve">Result lines of Net worth</t>
  </si>
  <si>
    <t xml:space="preserve">CALCS entry networth (line 2655)</t>
  </si>
  <si>
    <t xml:space="preserve">Assets minus debts.</t>
  </si>
  <si>
    <t xml:space="preserve">C24 Net worth: green result cells, each with its formula written beside it</t>
  </si>
  <si>
    <t xml:space="preserve">Explore &gt; Tools &gt; Monthly surplus</t>
  </si>
  <si>
    <t xml:space="preserve">Result lines of Monthly surplus</t>
  </si>
  <si>
    <t xml:space="preserve">CALCS entry surplus (line 2658)</t>
  </si>
  <si>
    <t xml:space="preserve">Income minus spending each month.</t>
  </si>
  <si>
    <t xml:space="preserve">C25 Monthly surplus: green result cells, each with its formula written beside it</t>
  </si>
  <si>
    <t xml:space="preserve">Explore &gt; Tools &gt; Budget 50 30 20</t>
  </si>
  <si>
    <t xml:space="preserve">Result lines of Budget 50 30 20</t>
  </si>
  <si>
    <t xml:space="preserve">CALCS entry budget (line 2662)</t>
  </si>
  <si>
    <t xml:space="preserve">Needs, wants and savings against the 50 / 30 / 20 split (spending shares of take-home pay).</t>
  </si>
  <si>
    <t xml:space="preserve">C26 Budget 50 30 20: green result cells, each with its formula written beside it</t>
  </si>
  <si>
    <t xml:space="preserve">Explore &gt; Tools &gt; Debt repayment</t>
  </si>
  <si>
    <t xml:space="preserve">Result lines of Debt repayment</t>
  </si>
  <si>
    <t xml:space="preserve">CALCS entry debtpay (line 2665)</t>
  </si>
  <si>
    <t xml:space="preserve">Months and interest to clear the debt (avalanche or snowball).</t>
  </si>
  <si>
    <t xml:space="preserve">C27 Debt repayment: green result cells, each with its formula written beside it</t>
  </si>
  <si>
    <t xml:space="preserve">Explore &gt; Tools &gt; Loan repayment</t>
  </si>
  <si>
    <t xml:space="preserve">Result lines of Loan repayment</t>
  </si>
  <si>
    <t xml:space="preserve">CALCS entry loan (line 2671)</t>
  </si>
  <si>
    <t xml:space="preserve">Repayment, total cost and interest of a loan.</t>
  </si>
  <si>
    <t xml:space="preserve">C28 Loan repayment: green result cells, each with its formula written beside it</t>
  </si>
  <si>
    <t xml:space="preserve">Summary</t>
  </si>
  <si>
    <t xml:space="preserve">Rows in the register</t>
  </si>
  <si>
    <t xml:space="preserve">Matched with a note (typed search figure, partial)</t>
  </si>
  <si>
    <t xml:space="preserve">Not built / not testable (known gaps)</t>
  </si>
  <si>
    <t xml:space="preserve">Tax engine: take-home pay, 2026 rules</t>
  </si>
  <si>
    <t xml:space="preserve">Irish rules 2026 · checked 2 Oct 2026 · income tax bands and credits, USC and PRSI Class A (all values from the Assumptions register). Used by C25 and C26.</t>
  </si>
  <si>
    <t xml:space="preserve">Example only</t>
  </si>
  <si>
    <t xml:space="preserve">Value used</t>
  </si>
  <si>
    <t xml:space="preserve">Tax status</t>
  </si>
  <si>
    <t xml:space="preserve">Type 3 · your figure. Single, Single parent (main carer of a child, no partner), Married one earner, Married two earners (also civil partners).</t>
  </si>
  <si>
    <t xml:space="preserve">Single</t>
  </si>
  <si>
    <t xml:space="preserve">Your gross yearly pay</t>
  </si>
  <si>
    <t xml:space="preserve">Type 3 · your figure. Gross pay before tax, € a year.</t>
  </si>
  <si>
    <t xml:space="preserve">Partner's gross yearly pay (married two earners only)</t>
  </si>
  <si>
    <t xml:space="preserve">Type 3 · optional: leave blank for none. Used only when the status is Married two earners.</t>
  </si>
  <si>
    <t xml:space="preserve">Do you pay rent on your home, not to a relative? (Rent Tax Credit)</t>
  </si>
  <si>
    <t xml:space="preserve">Type 3 · your figure. Rent Tax Credit €1,000 single / €2,000 jointly assessed, to end-2028.</t>
  </si>
  <si>
    <t xml:space="preserve">Home Carer Tax Credit applies? (married one earner caring for a dependant)</t>
  </si>
  <si>
    <t xml:space="preserve">Type 3 · your figure. €1,950 (verify the 2026 rate and carer-income limit).</t>
  </si>
  <si>
    <t xml:space="preserve">PRSI rate basis</t>
  </si>
  <si>
    <t xml:space="preserve">From 1 Oct 2026</t>
  </si>
  <si>
    <t xml:space="preserve">RESULTS (for the inputs above)</t>
  </si>
  <si>
    <t xml:space="preserve">PRSI rate used</t>
  </si>
  <si>
    <t xml:space="preserve">ƒx  =IF(TE_PRSI_Basis="Calendar 2026 blend",PRSI_Rate_2026_Blend,PRSI_Rate)</t>
  </si>
  <si>
    <t xml:space="preserve">Partner's pay counted</t>
  </si>
  <si>
    <t xml:space="preserve">ƒx  =IF(TE_Need&lt;&gt;"",TE_Need,IF(TE_Status="Married two earners",TE_Gross_2,0))</t>
  </si>
  <si>
    <t xml:space="preserve">Standard-rate band</t>
  </si>
  <si>
    <t xml:space="preserve">ƒx  =IF(TE_Need&lt;&gt;"",TE_Need,IF(TE_Status="Single",Band_Single,IF(TE_Status="Single parent",Band_Single_Parent,IF(TE_Status="Married one earner",Band_Married,Band_Married+MIN(MIN(TE_Gross_1,TE_Gross_2),Band_Second_Earner_Max)))))</t>
  </si>
  <si>
    <t xml:space="preserve">Income taxed (household)</t>
  </si>
  <si>
    <t xml:space="preserve">ƒx  =IF(TE_Need&lt;&gt;"",TE_Need,TE_Gross_1+TE_Earner_2)</t>
  </si>
  <si>
    <t xml:space="preserve">Income tax before credits</t>
  </si>
  <si>
    <t xml:space="preserve">ƒx  =IF(TE_Need&lt;&gt;"",TE_Need,Rate_Standard*MIN(TE_Taxable,TE_Band)+Rate_Higher*MAX(0,TE_Taxable-TE_Band))</t>
  </si>
  <si>
    <t xml:space="preserve">Tax credits</t>
  </si>
  <si>
    <t xml:space="preserve">ƒx  =IF(TE_Need&lt;&gt;"",TE_Need,IF(OR(TE_Status="Single",TE_Status="Single parent"),Credit_Personal_Single,Credit_Personal_Married)+IF(TE_Status="Single parent",Credit_SPCCC,0)+MIN(Credit_PAYE,Credit_PAYE_Cap_Pct*TE_Gross_1)+IF(TE_Earner_2&gt;0,MIN(Credit_PAYE,Credit_PAYE_Cap_Pct*TE_Earner_2),0)+IF(TE_Rent_Credit="Yes",IF(LEFT(TE_Status,7)="Married",Credit_Rent_Joint,Credit_Rent_Single),0)+IF(AND(TE_Home_Carer="Yes",TE_Status="Married one earner"),Credit_Home_Carer,0))</t>
  </si>
  <si>
    <t xml:space="preserve">Income tax</t>
  </si>
  <si>
    <t xml:space="preserve">ƒx  =IF(TE_Need&lt;&gt;"",TE_Need,MAX(0,TE_Tax_Before_Credits-TE_Credits))</t>
  </si>
  <si>
    <t xml:space="preserve">USC (each earner separately)</t>
  </si>
  <si>
    <t xml:space="preserve">ƒx  =IF(TE_Need&lt;&gt;"",TE_Need,IF(TE_Gross_1&lt;=USC_Exempt,0,USC_Rate_1*MIN(TE_Gross_1,USC_Band_1)+USC_Rate_2*MAX(0,MIN(TE_Gross_1,USC_Band_2)-USC_Band_1)+USC_Rate_3*MAX(0,MIN(TE_Gross_1,USC_Band_3)-USC_Band_2)+USC_Rate_4*MAX(0,TE_Gross_1-USC_Band_3))+IF(TE_Earner_2&lt;=USC_Exempt,0,USC_Rate_1*MIN(TE_Earner_2,USC_Band_1)+USC_Rate_2*MAX(0,MIN(TE_Earner_2,USC_Band_2)-USC_Band_1)+USC_Rate_3*MAX(0,MIN(TE_Earner_2,USC_Band_3)-USC_Band_2)+USC_Rate_4*MAX(0,TE_Earner_2-USC_Band_3)))</t>
  </si>
  <si>
    <t xml:space="preserve">PRSI (each earner separately, Class A with the PRSI credit)</t>
  </si>
  <si>
    <t xml:space="preserve">ƒx  =IF(TE_Need&lt;&gt;"",TE_Need,IF(TE_Gross_1/Weeks_Per_Year&lt;=PRSI_Free_Week,0,MAX(0,TE_Gross_1/Weeks_Per_Year*TE_PRSI_Rate_Used-IF(TE_Gross_1/Weeks_Per_Year&lt;=PRSI_Credit_Top,MAX(0,PRSI_Credit_Max-(TE_Gross_1/Weeks_Per_Year-(PRSI_Free_Week+0.01))/PRSI_Credit_Taper),0))*Weeks_Per_Year)+IF(TE_Earner_2/Weeks_Per_Year&lt;=PRSI_Free_Week,0,MAX(0,TE_Earner_2/Weeks_Per_Year*TE_PRSI_Rate_Used-IF(TE_Earner_2/Weeks_Per_Year&lt;=PRSI_Credit_Top,MAX(0,PRSI_Credit_Max-(TE_Earner_2/Weeks_Per_Year-(PRSI_Free_Week+0.01))/PRSI_Credit_Taper),0))*Weeks_Per_Year))</t>
  </si>
  <si>
    <t xml:space="preserve">Take-home pay a year (household)</t>
  </si>
  <si>
    <t xml:space="preserve">ƒx  =IF(TE_Need&lt;&gt;"",TE_Need,TE_Taxable-TE_Income_Tax-TE_USC-TE_PRSI)</t>
  </si>
  <si>
    <t xml:space="preserve">Take-home pay a month (used by C25, C26)</t>
  </si>
  <si>
    <t xml:space="preserve">ƒx  =IF(TE_Need&lt;&gt;"",TE_Need,TE_Take_Home/12)</t>
  </si>
  <si>
    <t xml:space="preserve">Marginal income-tax rate (pre-fills the C13 / C14 tax rate)</t>
  </si>
  <si>
    <t xml:space="preserve">ƒx  =IF(TE_Need&lt;&gt;"",TE_Need,IF(TE_Taxable&gt;TE_Band,Rate_Higher,Rate_Standard))</t>
  </si>
  <si>
    <t xml:space="preserve">Choices still needed (helper; blank = all filled)</t>
  </si>
  <si>
    <t xml:space="preserve">• Income tax = 20% up to the band + 40% above, less credits (never below 0). Married couples are jointly assessed: one band of €53,000, plus the lower income up to €35,000 for a second earner.</t>
  </si>
  <si>
    <t xml:space="preserve">• Credits: personal €2,000 (single) or €4,000 (married), plus €2,000 PAYE credit per earner (capped at 20% of their pay); Single Person Child Carer Credit €1,900 with a €48,000 band; Rent Tax Credit and Home Carer Credit if they apply.</t>
  </si>
  <si>
    <t xml:space="preserve">• USC is charged on each person separately: 0.5% / 2% / 3% / 8%, nil if income ≤ €13,000. PRSI is per person, Class A, with the PRSI credit between €352.01 and €424 a week.</t>
  </si>
  <si>
    <t xml:space="preserve">• Not modelled here: age 65+ credits and exemption, PRSI at 66+, self-employed Class S, USC surcharge, other or rental income (see the rules audit).</t>
  </si>
  <si>
    <t xml:space="preserve">CHECKS: the audit's §4 tax test table (expected values from deliverables/irish-rules-and-rates-audit.md)</t>
  </si>
  <si>
    <t xml:space="preserve">Case</t>
  </si>
  <si>
    <t xml:space="preserve">Gross</t>
  </si>
  <si>
    <t xml:space="preserve">Formula (row uses the same templates as above)</t>
  </si>
  <si>
    <t xml:space="preserve">USC</t>
  </si>
  <si>
    <t xml:space="preserve">PRSI 2026 blend</t>
  </si>
  <si>
    <t xml:space="preserve">Take-home 2026</t>
  </si>
  <si>
    <t xml:space="preserve">Expected IT</t>
  </si>
  <si>
    <t xml:space="preserve">Expected USC</t>
  </si>
  <si>
    <t xml:space="preserve">Expected take-home 2026</t>
  </si>
  <si>
    <t xml:space="preserve">Largest difference (engine rounded to the cent; audit table is to the cent)</t>
  </si>
  <si>
    <t xml:space="preserve">T1</t>
  </si>
  <si>
    <t xml:space="preserve">Income tax, USC and PRSI templates; married = joint band and €4,000 + PAYE credits</t>
  </si>
  <si>
    <t xml:space="preserve">T2</t>
  </si>
  <si>
    <t xml:space="preserve">Married one earner</t>
  </si>
  <si>
    <t xml:space="preserve">T3</t>
  </si>
  <si>
    <t xml:space="preserve">T4</t>
  </si>
  <si>
    <t xml:space="preserve">T5</t>
  </si>
  <si>
    <t xml:space="preserve">T6</t>
  </si>
  <si>
    <t xml:space="preserve">T7</t>
  </si>
  <si>
    <t xml:space="preserve">T8</t>
  </si>
  <si>
    <t xml:space="preserve">T9</t>
  </si>
  <si>
    <t xml:space="preserve">Married two earners</t>
  </si>
  <si>
    <t xml:space="preserve">Income tax only (partner €30,000 in column R)</t>
  </si>
  <si>
    <t xml:space="preserve">T10</t>
  </si>
  <si>
    <t xml:space="preserve">Income tax only (partner €50,000 in column R)</t>
  </si>
  <si>
    <t xml:space="preserve">T11</t>
  </si>
  <si>
    <t xml:space="preserve">Income tax only (partner €45,000 in column R)</t>
  </si>
  <si>
    <t xml:space="preserve">All checks</t>
  </si>
  <si>
    <t xml:space="preserve">Document reader spec (for the developer building extraction)</t>
  </si>
  <si>
    <t xml:space="preserve">• Precedence: statement figure &gt; typed figure (as in the prototype: S.src doc &gt; typed). A figure the customer has not given is Missing; nothing is estimated for them. The calculators show this in their FIGURE USED box.</t>
  </si>
  <si>
    <t xml:space="preserve">• Confidence: each extracted field carries a confidence. Below 80% (Assumptions › Reader_Confidence_Min) ask the customer to confirm the figure before it is used.</t>
  </si>
  <si>
    <t xml:space="preserve">• Freshness: a statement dated more than 12 months ago (Assumptions › Statement_Max_Age_Days) is used but flagged "Needs a look".</t>
  </si>
  <si>
    <t xml:space="preserve">• Optional fields (projection, charges, holdings) apply only when shown on the document; a field that is not shown stays blank, it is never defaulted from the document.</t>
  </si>
  <si>
    <t xml:space="preserve">• Convert to the calculator unit: yearly amounts to monthly (÷ 12), dates to ages, months to years, % as fractions.</t>
  </si>
  <si>
    <t xml:space="preserve">• Label wording varies by provider: match on the variants below and on position (e.g. a € figure next to "fund value"). Wording marked "verify" was not confirmed against an official template.</t>
  </si>
  <si>
    <t xml:space="preserve">Document</t>
  </si>
  <si>
    <t xml:space="preserve">Field to extract</t>
  </si>
  <si>
    <t xml:space="preserve">Typical label wording (variants)</t>
  </si>
  <si>
    <t xml:space="preserve">Data type and validation</t>
  </si>
  <si>
    <t xml:space="preserve">Feeds (calculator inputs / plan fields)</t>
  </si>
  <si>
    <t xml:space="preserve">Confidence to auto-use</t>
  </si>
  <si>
    <t xml:space="preserve">Pension benefit statement (occupational DC, from 2023/24) / Statement of Reasonable Projection (PRSA, older DC)</t>
  </si>
  <si>
    <t xml:space="preserve">"Current fund value", "Value of your fund", "Total fund value", "Transfer value" (DB / deferred)</t>
  </si>
  <si>
    <t xml:space="preserve">€ number ≥ 0; &lt; €50m</t>
  </si>
  <si>
    <t xml:space="preserve">C12 Pension value today; C15/C16 savings (if no projection); C24 Pensions; plan: pension</t>
  </si>
  <si>
    <t xml:space="preserve">≥ 80%</t>
  </si>
  <si>
    <t xml:space="preserve">Your contribution</t>
  </si>
  <si>
    <t xml:space="preserve">"Your contributions", "Member contributions", "Employee contributions" (yearly or monthly: convert to monthly)</t>
  </si>
  <si>
    <t xml:space="preserve">€ ≥ 0; flag if &gt; 50% of income</t>
  </si>
  <si>
    <t xml:space="preserve">C12 monthly contributions (with employer); plan: pensionM</t>
  </si>
  <si>
    <t xml:space="preserve">Employer contribution</t>
  </si>
  <si>
    <t xml:space="preserve">"Employer contributions", "Company contributions"</t>
  </si>
  <si>
    <t xml:space="preserve">€ ≥ 0</t>
  </si>
  <si>
    <t xml:space="preserve">C12 monthly contributions; plan: pensionM</t>
  </si>
  <si>
    <t xml:space="preserve">"Normal retirement age", "Normal retirement date" (convert date to age), "Retirement age"</t>
  </si>
  <si>
    <t xml:space="preserve">whole number 50–75</t>
  </si>
  <si>
    <t xml:space="preserve">C12 projection match; C13/C14 years to retirement (with age)</t>
  </si>
  <si>
    <t xml:space="preserve">"Projected fund at normal retirement date", "Projected retirement fund", "Estimated fund value at retirement", "Best estimate" (pension benefit statements also show an "unfavourable" scenario: use best estimate)</t>
  </si>
  <si>
    <t xml:space="preserve">C12 projected fund (if age matches); C15/C16 retirement savings</t>
  </si>
  <si>
    <t xml:space="preserve">Projection in today's money?</t>
  </si>
  <si>
    <t xml:space="preserve">Text near the projection: "in today's terms", "in today's money", "adjusted for inflation" = Yes; "in money terms" = No</t>
  </si>
  <si>
    <t xml:space="preserve">Yes / No / blank</t>
  </si>
  <si>
    <t xml:space="preserve">C12: deflate only if No</t>
  </si>
  <si>
    <t xml:space="preserve">Assumed growth rate</t>
  </si>
  <si>
    <t xml:space="preserve">"Assumed growth rate", "Assumed investment return", "Projection rate"</t>
  </si>
  <si>
    <t xml:space="preserve">% 0–10</t>
  </si>
  <si>
    <t xml:space="preserve">Information only (shown to the adviser); not used</t>
  </si>
  <si>
    <t xml:space="preserve">Annual charges</t>
  </si>
  <si>
    <t xml:space="preserve">"Annual management charge", "Total annual charges", "Fund charges", "Charges deducted"</t>
  </si>
  <si>
    <t xml:space="preserve">% 0–5; apply only if shown</t>
  </si>
  <si>
    <t xml:space="preserve">C12–C14 growth (set rate + 1% − charges); plan: penChg</t>
  </si>
  <si>
    <t xml:space="preserve">"Statement date", "As at", "Valuation date"</t>
  </si>
  <si>
    <t xml:space="preserve">date; older than 12 months → "Needs a look"</t>
  </si>
  <si>
    <t xml:space="preserve">All pension tools (date check)</t>
  </si>
  <si>
    <t xml:space="preserve">PRSA statement</t>
  </si>
  <si>
    <t xml:space="preserve">As the pension benefit statement</t>
  </si>
  <si>
    <t xml:space="preserve">Providers show "PRSA value", "Current value", "Contributions this year", "Projected value at retirement"</t>
  </si>
  <si>
    <t xml:space="preserve">as above</t>
  </si>
  <si>
    <t xml:space="preserve">Occupational scheme benefit statement (defined benefit)</t>
  </si>
  <si>
    <t xml:space="preserve">Pension at normal retirement date</t>
  </si>
  <si>
    <t xml:space="preserve">"Pension payable at normal retirement date", "Accrued pension", "Prospective pension"</t>
  </si>
  <si>
    <t xml:space="preserve">€ a year ≥ 0</t>
  </si>
  <si>
    <t xml:space="preserve">Plan: retirement income (DB); not used by C12, which is DC (verify product scope)</t>
  </si>
  <si>
    <t xml:space="preserve">whole 50–75</t>
  </si>
  <si>
    <t xml:space="preserve">Plan: retirement age</t>
  </si>
  <si>
    <t xml:space="preserve">State Pension record (MyWelfare contribution statement)</t>
  </si>
  <si>
    <t xml:space="preserve">PRSI paid and credited contributions</t>
  </si>
  <si>
    <t xml:space="preserve">"Paid contributions", "Credited contributions", "Reckonable credited contributions" (by year)</t>
  </si>
  <si>
    <t xml:space="preserve">whole numbers ≥ 0; years = contributions ÷ 52</t>
  </si>
  <si>
    <t xml:space="preserve">C12 other income (entitlement: 40+ years full, 10–39 partly); plan: sp. Not a forecast of the pension.</t>
  </si>
  <si>
    <t xml:space="preserve">"Statement date", "up to the end of the tax year"</t>
  </si>
  <si>
    <t xml:space="preserve">Date check</t>
  </si>
  <si>
    <t xml:space="preserve">Mortgage statement (annual statement of account, Consumer Protection Code)</t>
  </si>
  <si>
    <t xml:space="preserve">"Outstanding balance", "Balance outstanding", "Closing balance", "Amount outstanding"</t>
  </si>
  <si>
    <t xml:space="preserve">€ ≥ 0; &lt; €10m</t>
  </si>
  <si>
    <t xml:space="preserve">C02, C04, C05, C06, C21, C23 balance; C24 mortgage; plan: mortBal</t>
  </si>
  <si>
    <t xml:space="preserve">"Interest rate", "Current rate", "Rate applied", "Variable rate", "Fixed rate until …"</t>
  </si>
  <si>
    <t xml:space="preserve">% 0–15</t>
  </si>
  <si>
    <t xml:space="preserve">C02, C04, C05, C06, C23 rate; plan: mortRate</t>
  </si>
  <si>
    <t xml:space="preserve">Rate type and fixed-rate end date</t>
  </si>
  <si>
    <t xml:space="preserve">"Fixed until", "Tracker", "Standard variable"</t>
  </si>
  <si>
    <t xml:space="preserve">text; date</t>
  </si>
  <si>
    <t xml:space="preserve">Information for the adviser (C05 context)</t>
  </si>
  <si>
    <t xml:space="preserve">"Remaining term", "Term remaining", "Years remaining", "Maturity date" (convert)</t>
  </si>
  <si>
    <t xml:space="preserve">whole years 0–40</t>
  </si>
  <si>
    <t xml:space="preserve">C02, C04, C05, C06, C23 term; plan: mortYears</t>
  </si>
  <si>
    <t xml:space="preserve">"Monthly repayment", "Monthly instalment", "Repayment amount"</t>
  </si>
  <si>
    <t xml:space="preserve">C02, C04, C05, C23 actual repayment; plan: mortPayM</t>
  </si>
  <si>
    <t xml:space="preserve">"Statement date", "Statement period to"</t>
  </si>
  <si>
    <t xml:space="preserve">date; &gt; 12 months → "Needs a look"</t>
  </si>
  <si>
    <t xml:space="preserve">Mortgage offer letter / loan offer</t>
  </si>
  <si>
    <t xml:space="preserve">Loan amount, rate, term, monthly repayment, APRC</t>
  </si>
  <si>
    <t xml:space="preserve">"Loan amount", "Interest rate", "Term", "Monthly repayment", "APRC"</t>
  </si>
  <si>
    <t xml:space="preserve">as the statement; APRC % 0–15</t>
  </si>
  <si>
    <t xml:space="preserve">As the mortgage statement (before drawdown: C01/C02 comparison)</t>
  </si>
  <si>
    <t xml:space="preserve">Investment / fund statement (unit-linked policy, fund, brokerage)</t>
  </si>
  <si>
    <t xml:space="preserve">"Total value", "Portfolio value", "Policy value", "Market value", "Valuation"</t>
  </si>
  <si>
    <t xml:space="preserve">C10, C17, C19, C20 amount; C24 investments; plan: invest</t>
  </si>
  <si>
    <t xml:space="preserve">"Regular contribution", "Monthly premium", "Monthly investment"</t>
  </si>
  <si>
    <t xml:space="preserve">C18 monthly amount</t>
  </si>
  <si>
    <t xml:space="preserve">"Annual management charge (AMC)", "Ongoing charges figure (OCF)", "Total annual charges"</t>
  </si>
  <si>
    <t xml:space="preserve">% 0–5; apply only if shown, else 0 when a statement is present</t>
  </si>
  <si>
    <t xml:space="preserve">C10, C18 fees; C19 fee A</t>
  </si>
  <si>
    <t xml:space="preserve">Holdings in shares</t>
  </si>
  <si>
    <t xml:space="preserve">"Asset allocation": "Equities", "Shares"</t>
  </si>
  <si>
    <t xml:space="preserve">% 0–100</t>
  </si>
  <si>
    <t xml:space="preserve">C20 style (≥70% Growth, ≥40% Balanced, else Cautious)</t>
  </si>
  <si>
    <t xml:space="preserve">"Valuation date", "As at"</t>
  </si>
  <si>
    <t xml:space="preserve">Share-scheme statement (ESPP / RSU / SAYE)</t>
  </si>
  <si>
    <t xml:space="preserve">Value of vested shares</t>
  </si>
  <si>
    <t xml:space="preserve">"Vested value", "Market value", "Shares held × price"</t>
  </si>
  <si>
    <t xml:space="preserve">C24 investments; plan: invest (verify treatment of unvested shares)</t>
  </si>
  <si>
    <t xml:space="preserve">Unvested / restricted shares</t>
  </si>
  <si>
    <t xml:space="preserve">"Unvested", "Restricted", "Vesting date"</t>
  </si>
  <si>
    <t xml:space="preserve">€; date</t>
  </si>
  <si>
    <t xml:space="preserve">Information only (not counted until vested)</t>
  </si>
  <si>
    <t xml:space="preserve">Payslip</t>
  </si>
  <si>
    <t xml:space="preserve">Gross pay (period)</t>
  </si>
  <si>
    <t xml:space="preserve">"Gross pay", "Total gross"</t>
  </si>
  <si>
    <t xml:space="preserve">€ ≥ 0; annualise by pay frequency</t>
  </si>
  <si>
    <t xml:space="preserve">C01 income, C13 salary, C21/C22 income; plan: income</t>
  </si>
  <si>
    <t xml:space="preserve">Net pay</t>
  </si>
  <si>
    <t xml:space="preserve">"Net pay", "Take home"</t>
  </si>
  <si>
    <t xml:space="preserve">C25, C26 take-home</t>
  </si>
  <si>
    <t xml:space="preserve">Pension contribution</t>
  </si>
  <si>
    <t xml:space="preserve">"Pension", "Superannuation", "AVC"</t>
  </si>
  <si>
    <t xml:space="preserve">C12 your contribution; C14 AVC</t>
  </si>
  <si>
    <t xml:space="preserve">Pay date</t>
  </si>
  <si>
    <t xml:space="preserve">"Pay date", "Period ending"</t>
  </si>
  <si>
    <t xml:space="preserve">date; &gt; 3 months → "Needs a look"</t>
  </si>
  <si>
    <t xml:space="preserve">Employment Detail Summary (Revenue myAccount; replaced the P60 from 2019)</t>
  </si>
  <si>
    <t xml:space="preserve">Gross pay for the year</t>
  </si>
  <si>
    <t xml:space="preserve">"Gross pay", "Pay for income tax"</t>
  </si>
  <si>
    <t xml:space="preserve">Income tax, USC, employee PRSI</t>
  </si>
  <si>
    <t xml:space="preserve">"Income tax", "USC", "Employee PRSI"</t>
  </si>
  <si>
    <t xml:space="preserve">Check of the plan's take-home</t>
  </si>
  <si>
    <t xml:space="preserve">Pensionable deductions</t>
  </si>
  <si>
    <t xml:space="preserve">"Pensionable deductions", "Employee pension contribution"</t>
  </si>
  <si>
    <t xml:space="preserve">C12 your contribution (÷ 12)</t>
  </si>
  <si>
    <t xml:space="preserve">Tax year</t>
  </si>
  <si>
    <t xml:space="preserve">"Year"</t>
  </si>
  <si>
    <t xml:space="preserve">year; not more than 1 year old</t>
  </si>
  <si>
    <t xml:space="preserve">Credit card statement</t>
  </si>
  <si>
    <t xml:space="preserve">"Statement balance", "Closing balance", "New balance"</t>
  </si>
  <si>
    <t xml:space="preserve">C27 balance; C24 other loans; plan: cardBal</t>
  </si>
  <si>
    <t xml:space="preserve">APR / interest rate</t>
  </si>
  <si>
    <t xml:space="preserve">"APR", "Purchase rate", "Annual percentage rate"</t>
  </si>
  <si>
    <t xml:space="preserve">% 0–40 (an effective annual rate)</t>
  </si>
  <si>
    <t xml:space="preserve">C27 APR; plan: cardRate</t>
  </si>
  <si>
    <t xml:space="preserve">Minimum / monthly payment</t>
  </si>
  <si>
    <t xml:space="preserve">"Minimum payment", "Payment due"</t>
  </si>
  <si>
    <t xml:space="preserve">C27 monthly payment; plan: cardPayM</t>
  </si>
  <si>
    <t xml:space="preserve">Personal loan / car loan statement</t>
  </si>
  <si>
    <t xml:space="preserve">"Outstanding balance", "Amount outstanding"</t>
  </si>
  <si>
    <t xml:space="preserve">C27/C28; C24 other loans; plan: loanBal</t>
  </si>
  <si>
    <t xml:space="preserve">APR</t>
  </si>
  <si>
    <t xml:space="preserve">"APR", "Annual percentage rate"</t>
  </si>
  <si>
    <t xml:space="preserve">% 0–30</t>
  </si>
  <si>
    <t xml:space="preserve">C27, C28 APR; plan: loanRate</t>
  </si>
  <si>
    <t xml:space="preserve">Monthly repayment, term remaining</t>
  </si>
  <si>
    <t xml:space="preserve">"Monthly repayment", "Remaining term"</t>
  </si>
  <si>
    <t xml:space="preserve">€; months</t>
  </si>
  <si>
    <t xml:space="preserve">C27 payment; C28 years; plan: loanPayM</t>
  </si>
  <si>
    <t xml:space="preserve">Sources (label wording beyond these is typical provider wording: verify against real samples before release)</t>
  </si>
  <si>
    <t xml:space="preserve">Pensions Authority: statement of reasonable projection</t>
  </si>
  <si>
    <t xml:space="preserve">https://pensionsauthority.ie/scheme-members-and-prsa-contributors/understanding-pensions/your_right_to_information/statement_of_reasonable_projection/</t>
  </si>
  <si>
    <t xml:space="preserve">Pensions Authority: pension benefit statement projection assumptions (best estimate and unfavourable scenarios)</t>
  </si>
  <si>
    <t xml:space="preserve">https://pensionsauthority.ie/news_press/news_archive/updated-pension-benefit-statement-projection-assumptions/</t>
  </si>
  <si>
    <t xml:space="preserve">Central Bank: Consumer Protection Code (annual statement of account: balance, transactions, interest, charges, rate)</t>
  </si>
  <si>
    <t xml:space="preserve">https://www.centralbank.ie/code</t>
  </si>
  <si>
    <t xml:space="preserve">Revenue: Employment Detail Summary in myAccount (gross pay, tax, USC, PRSI)</t>
  </si>
  <si>
    <t xml:space="preserve">https://www.revenue.ie/en/corporate/press-office/press-releases/2019/pr-200619-employees-new-facility-view-current-pay-and-tax-details-through-revenue-myaccount.aspx</t>
  </si>
  <si>
    <t xml:space="preserve">gov.ie: request a PRSI contribution statement (MyWelfare)</t>
  </si>
  <si>
    <t xml:space="preserve">https://www.gov.ie/en/publication/0fbf7-request-a-contribution-statement</t>
  </si>
  <si>
    <t xml:space="preserve">Prototype DOCT (fields, confidence and pre-fills already used)</t>
  </si>
  <si>
    <t xml:space="preserve">LifeGoals-Customer-Journey-Prototype.html</t>
  </si>
  <si>
    <t xml:space="preserve">Your lists: loans, cards, pensions and policies (journey spec §19)</t>
  </si>
  <si>
    <t xml:space="preserve">One row per item, as in the prototype. Blank = €0 (never type 0). The calculators below use the totals when their own yellow cell is left blank: C12 and C24 (pension value), C12 (monthly paid in), C13/C14 (what you pay in yourself), C21 and C24 (debts), C21 (existing cover), C25 (debt repayments). Typing in a calculator always wins.</t>
  </si>
  <si>
    <t xml:space="preserve">Credit cards</t>
  </si>
  <si>
    <t xml:space="preserve">Card</t>
  </si>
  <si>
    <t xml:space="preserve">Lender (optional)</t>
  </si>
  <si>
    <t xml:space="preserve">Owed (€)</t>
  </si>
  <si>
    <t xml:space="preserve">Repaid a month (€)</t>
  </si>
  <si>
    <t xml:space="preserve">APR (optional, %)</t>
  </si>
  <si>
    <t xml:space="preserve">Card 1</t>
  </si>
  <si>
    <t xml:space="preserve">Card 2</t>
  </si>
  <si>
    <t xml:space="preserve">Card 3</t>
  </si>
  <si>
    <t xml:space="preserve">Card 4</t>
  </si>
  <si>
    <t xml:space="preserve">Card 5</t>
  </si>
  <si>
    <t xml:space="preserve">Card 6</t>
  </si>
  <si>
    <t xml:space="preserve">Card 7</t>
  </si>
  <si>
    <t xml:space="preserve">Card 8</t>
  </si>
  <si>
    <t xml:space="preserve">Cards owed  [Cards_Owed_Total]</t>
  </si>
  <si>
    <t xml:space="preserve">Cards repaid a month  [Cards_Pay_Total]</t>
  </si>
  <si>
    <t xml:space="preserve">Cards APR (weighted by amount owed; blank if none given)  [Cards_Rate_Avg]</t>
  </si>
  <si>
    <t xml:space="preserve">Other loans (car, personal, credit union)</t>
  </si>
  <si>
    <t xml:space="preserve">Loan</t>
  </si>
  <si>
    <t xml:space="preserve">Loan 1</t>
  </si>
  <si>
    <t xml:space="preserve">Loan 2</t>
  </si>
  <si>
    <t xml:space="preserve">Loan 3</t>
  </si>
  <si>
    <t xml:space="preserve">Loan 4</t>
  </si>
  <si>
    <t xml:space="preserve">Loan 5</t>
  </si>
  <si>
    <t xml:space="preserve">Loan 6</t>
  </si>
  <si>
    <t xml:space="preserve">Loan 7</t>
  </si>
  <si>
    <t xml:space="preserve">Loan 8</t>
  </si>
  <si>
    <t xml:space="preserve">Loans owed  [Loans_Owed_Total]</t>
  </si>
  <si>
    <t xml:space="preserve">Loans repaid a month  [Loans_Pay_Total]</t>
  </si>
  <si>
    <t xml:space="preserve">Cards + loans owed  [Debts_Listed_Total]</t>
  </si>
  <si>
    <t xml:space="preserve">Cards + loans repaid a month  [Debts_Pay_Total]</t>
  </si>
  <si>
    <t xml:space="preserve">Loans APR (weighted by amount owed; blank if none given)  [Loans_Rate_Avg]</t>
  </si>
  <si>
    <t xml:space="preserve">Pension</t>
  </si>
  <si>
    <t xml:space="preserve">Name (optional)</t>
  </si>
  <si>
    <t xml:space="preserve">Value today (€)</t>
  </si>
  <si>
    <t xml:space="preserve">Paid in each month, you + employer (€)</t>
  </si>
  <si>
    <t xml:space="preserve">Of that, your own share (€, optional)</t>
  </si>
  <si>
    <t xml:space="preserve">Your own share used (€ a month)</t>
  </si>
  <si>
    <t xml:space="preserve">Pension 1</t>
  </si>
  <si>
    <t xml:space="preserve">Pension 2</t>
  </si>
  <si>
    <t xml:space="preserve">Pension 3</t>
  </si>
  <si>
    <t xml:space="preserve">Pension 4</t>
  </si>
  <si>
    <t xml:space="preserve">Pension 5</t>
  </si>
  <si>
    <t xml:space="preserve">Pension 6</t>
  </si>
  <si>
    <t xml:space="preserve">Pension 7</t>
  </si>
  <si>
    <t xml:space="preserve">Pension 8</t>
  </si>
  <si>
    <t xml:space="preserve">Pension value  [Pens_Value_Total]</t>
  </si>
  <si>
    <t xml:space="preserve">Paid in each month (you + employer)  [Pens_Monthly_Total]</t>
  </si>
  <si>
    <t xml:space="preserve">Your own share a month (a blank share uses the share you chose in Plan inputs, else the Settings standard: AS_OwnShare)  [Pens_Own_Total]</t>
  </si>
  <si>
    <t xml:space="preserve">Your own share counts as given (1/0): every pension that is paid into has your share typed, or you chose a share in Plan inputs and at least one is typed  [Pens_OwnGiven]</t>
  </si>
  <si>
    <t xml:space="preserve">Protection (existing policies)</t>
  </si>
  <si>
    <t xml:space="preserve">Policy</t>
  </si>
  <si>
    <t xml:space="preserve">Cover amount (€)</t>
  </si>
  <si>
    <t xml:space="preserve">Term (years)</t>
  </si>
  <si>
    <t xml:space="preserve">Life cover policy 1</t>
  </si>
  <si>
    <t xml:space="preserve">Life cover policy 2</t>
  </si>
  <si>
    <t xml:space="preserve">Life cover policy 3</t>
  </si>
  <si>
    <t xml:space="preserve">Life cover policy 4</t>
  </si>
  <si>
    <t xml:space="preserve">Life cover total  [Cover_Life_Total]</t>
  </si>
  <si>
    <t xml:space="preserve">Amount (€) if you know it</t>
  </si>
  <si>
    <t xml:space="preserve">Or: times your salary</t>
  </si>
  <si>
    <t xml:space="preserve">Cover through work 1</t>
  </si>
  <si>
    <t xml:space="preserve">Cover through work 2</t>
  </si>
  <si>
    <t xml:space="preserve">Cover through work 3</t>
  </si>
  <si>
    <t xml:space="preserve">Cover through work 4</t>
  </si>
  <si>
    <t xml:space="preserve">Cover through work total (amount, else multiple × salary in C21)  [Cover_Work_Total]</t>
  </si>
  <si>
    <t xml:space="preserve">Existing life cover incl. through work  [Cover_Existing_Total]</t>
  </si>
  <si>
    <t xml:space="preserve">Monthly benefit (€)</t>
  </si>
  <si>
    <t xml:space="preserve">Income protection policy 1</t>
  </si>
  <si>
    <t xml:space="preserve">Income protection policy 2</t>
  </si>
  <si>
    <t xml:space="preserve">Income protection policy 3</t>
  </si>
  <si>
    <t xml:space="preserve">Income protection policy 4</t>
  </si>
  <si>
    <t xml:space="preserve">Income protection total a month  [IP_Listed_Total]</t>
  </si>
  <si>
    <t xml:space="preserve">Serious illness policy 1</t>
  </si>
  <si>
    <t xml:space="preserve">Serious illness policy 2</t>
  </si>
  <si>
    <t xml:space="preserve">Serious illness policy 3</t>
  </si>
  <si>
    <t xml:space="preserve">Serious illness policy 4</t>
  </si>
  <si>
    <t xml:space="preserve">Serious illness total  [CI_Listed_Total]</t>
  </si>
  <si>
    <t xml:space="preserve">Yearly premium (€)</t>
  </si>
  <si>
    <t xml:space="preserve">Health insurance plan 1</t>
  </si>
  <si>
    <t xml:space="preserve">Health insurance plan 2</t>
  </si>
  <si>
    <t xml:space="preserve">Health insurance plan 3</t>
  </si>
  <si>
    <t xml:space="preserve">Health insurance plan 4</t>
  </si>
  <si>
    <t xml:space="preserve">Health insurance a year  [Health_Listed_Total]</t>
  </si>
  <si>
    <t xml:space="preserve">Mortgages on other properties (counted as other loans in the plan)</t>
  </si>
  <si>
    <t xml:space="preserve">Left on it (€)</t>
  </si>
  <si>
    <t xml:space="preserve">Rate (optional, e.g. 0.041 = 4.1%)</t>
  </si>
  <si>
    <t xml:space="preserve">Rate used</t>
  </si>
  <si>
    <t xml:space="preserve">Repayment used (€ a month)</t>
  </si>
  <si>
    <t xml:space="preserve">Mortgage 1</t>
  </si>
  <si>
    <t xml:space="preserve">Mortgage 2</t>
  </si>
  <si>
    <t xml:space="preserve">Mortgage 3</t>
  </si>
  <si>
    <t xml:space="preserve">Mortgage 4</t>
  </si>
  <si>
    <t xml:space="preserve">Left on other-property mortgages  [Mort2_Bal]</t>
  </si>
  <si>
    <t xml:space="preserve">Repaid a month  [Mort2_Pay]</t>
  </si>
  <si>
    <t xml:space="preserve">Rate, weighted by amount left  [Mort2_Rate]</t>
  </si>
  <si>
    <t xml:space="preserve">Other-property mortgage with no years and no repayment (1 = the plan asks for them)  [Mort2_NeedsTerm]</t>
  </si>
  <si>
    <t xml:space="preserve">Other-property mortgage with no rate (1 = the plan asks for a mortgage rate)  [Mort2_NeedsRate]</t>
  </si>
  <si>
    <t xml:space="preserve">Settings: every standard in one block (journey spec §19, option C)</t>
  </si>
  <si>
    <t xml:space="preserve">Each row is a standard LifeMap offers as a starting point, with the wording and source shown to the customer. The customer can change any of them for their own plan (Type 3 choices: the "Use the standard" chip). A partner (credit union, adviser firm, company) puts its name in C4 and its own figure in the "partner figure" cell (column D) of a market-rate row: that suggestion then says "Suggested by [partner]" (blank = the published average). Retirement age and life expectancy are never defaulted. Law values (tax, USC, PRSI, DIRT, relief, State Pension, Central Bank limits) are on the Tax engine and Assumptions sheets, are fixed, and are not editable here.</t>
  </si>
  <si>
    <t xml:space="preserve">The Plan sheets read these standards too (Plan pay &amp; tax, "Assumptions used"): a blank assumption on Plan inputs means "use the standard from here".</t>
  </si>
  <si>
    <t xml:space="preserve">Partner name (blank = published averages)  [Partner_Name]</t>
  </si>
  <si>
    <t xml:space="preserve">Setting [name]</t>
  </si>
  <si>
    <t xml:space="preserve">Standard (value)</t>
  </si>
  <si>
    <t xml:space="preserve">2nd value / (market rates) partner figure</t>
  </si>
  <si>
    <t xml:space="preserve">3rd value</t>
  </si>
  <si>
    <t xml:space="preserve">Cautious value</t>
  </si>
  <si>
    <t xml:space="preserve">Wording shown to the customer ("by")</t>
  </si>
  <si>
    <t xml:space="preserve">Source</t>
  </si>
  <si>
    <t xml:space="preserve">As at</t>
  </si>
  <si>
    <t xml:space="preserve">Guidance text</t>
  </si>
  <si>
    <t xml:space="preserve">Group / type</t>
  </si>
  <si>
    <t xml:space="preserve">Label shown on calculators</t>
  </si>
  <si>
    <t xml:space="preserve">Figure suggested (partner figure if set, else standard)</t>
  </si>
  <si>
    <t xml:space="preserve">Prices &amp; growth</t>
  </si>
  <si>
    <t xml:space="preserve">Inflation: prices rise (a year)  [Set_infl]</t>
  </si>
  <si>
    <t xml:space="preserve">the ECB target for the long term</t>
  </si>
  <si>
    <t xml:space="preserve">https://www.bundesbank.de/en/tasks/topics/european-central-bank-updates-monetary-policy-strategy-970824</t>
  </si>
  <si>
    <t xml:space="preserve">2025 strategy</t>
  </si>
  <si>
    <t xml:space="preserve">Prices &amp; growth · pct</t>
  </si>
  <si>
    <t xml:space="preserve">Pay rises (a year)  [Set_wage]</t>
  </si>
  <si>
    <t xml:space="preserve">Irish pay has grown about 3%–4% a year recently (CSO)</t>
  </si>
  <si>
    <t xml:space="preserve">https://www.cso.ie/en/statistics/earnings/</t>
  </si>
  <si>
    <t xml:space="preserve">2026</t>
  </si>
  <si>
    <t xml:space="preserve">Pick lower if your pay is fixed or you expect to work part-time.</t>
  </si>
  <si>
    <t xml:space="preserve">Cash savings earn (a year, after DIRT)  [Set_cash]</t>
  </si>
  <si>
    <t xml:space="preserve">Irish deposit rates after 33% DIRT</t>
  </si>
  <si>
    <t xml:space="preserve">https://centralbank.ie/statistics/data-and-analysis/credit-and-banking-statistics/retail-interest-rates</t>
  </si>
  <si>
    <t xml:space="preserve">Jun 2026</t>
  </si>
  <si>
    <t xml:space="preserve">Investments grow (a year, after charges and tax)  [Set_inv]</t>
  </si>
  <si>
    <t xml:space="preserve">Derived: the growth before fees and tax (above), the charges (Market rates) and the exit tax and 8-year rule (Tax rules)</t>
  </si>
  <si>
    <t xml:space="preserve">A planning assumption, not a prediction. Growth is never guaranteed and funds can fall in value. It moves if you change the growth before fees and tax, or the charges.</t>
  </si>
  <si>
    <t xml:space="preserve">Investments grow before fees and tax (a year; growth and fees tools)  [Set_invGross]</t>
  </si>
  <si>
    <t xml:space="preserve">LifeMap standard, not a forecast</t>
  </si>
  <si>
    <t xml:space="preserve">LifeMap planning standard, not a prediction. Reference points: Pensions Authority pension-calculator growth assumption; Central Bank of Ireland guidance that returns are not guaranteed</t>
  </si>
  <si>
    <t xml:space="preserve">Used by the lump sum, regular investing, fees and real return tools. Growth is never guaranteed.</t>
  </si>
  <si>
    <t xml:space="preserve">Pension grows while you work (a year, after charges)  [Set_pen]</t>
  </si>
  <si>
    <t xml:space="preserve">a planning assumption after charges, not a prediction</t>
  </si>
  <si>
    <t xml:space="preserve">LifeMap planning standard, not a prediction. Reference point: Pensions Authority pension-calculator assumptions</t>
  </si>
  <si>
    <t xml:space="preserve">A planning assumption, not a prediction. Growth is tax-free inside the fund.</t>
  </si>
  <si>
    <t xml:space="preserve">Pension grows once retired (a year, after charges)  [Set_penRet]</t>
  </si>
  <si>
    <t xml:space="preserve">a lower-risk fund once retired, after charges</t>
  </si>
  <si>
    <t xml:space="preserve">Most people take less risk once retired, so growth is usually lower.</t>
  </si>
  <si>
    <t xml:space="preserve">Rent vs buy: rent rises (a year)  [Set_rentRise]</t>
  </si>
  <si>
    <t xml:space="preserve">a long-run planning figure</t>
  </si>
  <si>
    <t xml:space="preserve">LifeMap long-run planning figure. Reference points: Residential Tenancies Board Rent Index; CSO Consumer Price Index (rent)</t>
  </si>
  <si>
    <t xml:space="preserve">Renting has rent rises. Buying has costs that don't build equity: interest, stamp duty, fees, LPT and repairs.</t>
  </si>
  <si>
    <t xml:space="preserve">Home · pct</t>
  </si>
  <si>
    <t xml:space="preserve">Rent vs buy: house prices rise (a year)  [Set_houseGrow]</t>
  </si>
  <si>
    <t xml:space="preserve">a long-run planning figure; prices can fall</t>
  </si>
  <si>
    <t xml:space="preserve">LifeMap long-run planning figure. Reference point: CSO Residential Property Price Index</t>
  </si>
  <si>
    <t xml:space="preserve">House prices can fall as well as rise.</t>
  </si>
  <si>
    <t xml:space="preserve">Rent vs buy: upkeep a year (share of home value)  [Set_upkeep]</t>
  </si>
  <si>
    <t xml:space="preserve">repairs, insurance and maintenance</t>
  </si>
  <si>
    <t xml:space="preserve">LifeMap planning standard (no official figure exists)</t>
  </si>
  <si>
    <t xml:space="preserve">Retirement</t>
  </si>
  <si>
    <t xml:space="preserve">Share of pension contributions you pay yourself  [Set_ownShare]</t>
  </si>
  <si>
    <t xml:space="preserve">a common 5% + 5% split with your employer; 100% if self-employed</t>
  </si>
  <si>
    <t xml:space="preserve">Pensions Authority and My Future Fund (auto-enrolment) contribution split, 2026</t>
  </si>
  <si>
    <t xml:space="preserve">Your payslip shows what comes out of your pay. Only your own share gets tax relief. If you type your own amount in Your finances, we use that.</t>
  </si>
  <si>
    <t xml:space="preserve">Retirement · pct</t>
  </si>
  <si>
    <t xml:space="preserve">Retirement savings target: times the yearly income needed  [Set_retireMult]</t>
  </si>
  <si>
    <t xml:space="preserve">a common rule of thumb, about 4% a year</t>
  </si>
  <si>
    <t xml:space="preserve">Widely used 4% sustainable-withdrawal rule of thumb (W. Bengen, Journal of Financial Planning, 1994)</t>
  </si>
  <si>
    <t xml:space="preserve">Retiring early or planning to 95 needs more.</t>
  </si>
  <si>
    <t xml:space="preserve">Retirement · num</t>
  </si>
  <si>
    <t xml:space="preserve">Retirement spending if no goal (share of today's spending)  [Set_retireSpend]</t>
  </si>
  <si>
    <t xml:space="preserve">most people spend a bit less once work costs and the mortgage stop</t>
  </si>
  <si>
    <t xml:space="preserve">LifeMap planning standard. Reference points: Pensions Authority and Society of Actuaries in Ireland retirement-income guidance</t>
  </si>
  <si>
    <t xml:space="preserve">Tax-free lump sum to take (share of pension; law limit 25%)  [Set_lumpSum]</t>
  </si>
  <si>
    <t xml:space="preserve">most people take the full tax-free amount</t>
  </si>
  <si>
    <t xml:space="preserve">Revenue Commissioners: tax-free retirement lump sum, up to 25% of the fund (law limit)</t>
  </si>
  <si>
    <t xml:space="preserve">Law limit 25%</t>
  </si>
  <si>
    <t xml:space="preserve">Emergency fund &amp; saving</t>
  </si>
  <si>
    <t xml:space="preserve">Emergency fund: months of essential spending  [Set_safetyMonths]</t>
  </si>
  <si>
    <t xml:space="preserve">6 months for a single income or self-employed, 3 for two secure incomes</t>
  </si>
  <si>
    <t xml:space="preserve">LifeMap planning standard. Reference points: MABS and CCPC (ccpc.ie) guidance on keeping 3 to 6 months of essential spending as an emergency fund</t>
  </si>
  <si>
    <t xml:space="preserve">Easy-access cash for surprises or a gap in pay. Essential spending = living costs + mortgage + loan repayments.</t>
  </si>
  <si>
    <t xml:space="preserve">Emergency fund &amp; saving · num</t>
  </si>
  <si>
    <t xml:space="preserve">Emergency fund: months with two secure incomes  [Set_safetyMonthsTwo]</t>
  </si>
  <si>
    <t xml:space="preserve">two secure incomes</t>
  </si>
  <si>
    <t xml:space="preserve">LifeMap planning standard. Reference points: MABS and CCPC guidance</t>
  </si>
  <si>
    <t xml:space="preserve">Money for goals sooner than this is kept as cash (years)  [Set_cashYears]</t>
  </si>
  <si>
    <t xml:space="preserve">money needed within 5 years is usually kept as cash</t>
  </si>
  <si>
    <t xml:space="preserve">LifeMap planning standard (common planning practice: money needed within about 5 years is not invested)</t>
  </si>
  <si>
    <t xml:space="preserve">Longer-term money has more time to ride out ups and downs.</t>
  </si>
  <si>
    <t xml:space="preserve">Emergency fund &amp; saving · yrs</t>
  </si>
  <si>
    <t xml:space="preserve">Spare savings: share invested  [Set_investShare]</t>
  </si>
  <si>
    <t xml:space="preserve">a balanced cash and invested mix</t>
  </si>
  <si>
    <t xml:space="preserve">LifeMap planning standard (a balanced cash and invested mix)</t>
  </si>
  <si>
    <t xml:space="preserve">Emergency fund &amp; saving · pct</t>
  </si>
  <si>
    <t xml:space="preserve">Share of spare money saved, at most  [Set_saveShare]</t>
  </si>
  <si>
    <t xml:space="preserve">half of your spare money</t>
  </si>
  <si>
    <t xml:space="preserve">LifeMap planning standard</t>
  </si>
  <si>
    <t xml:space="preserve">We never count more than this share of your spare money as saved, unless you set your own monthly saving.</t>
  </si>
  <si>
    <t xml:space="preserve">Monthly saving if not answered  [Set_noAnswer]</t>
  </si>
  <si>
    <t xml:space="preserve">a modest regular amount</t>
  </si>
  <si>
    <t xml:space="preserve">Used until you answer "How much could you comfortably invest each month?".</t>
  </si>
  <si>
    <t xml:space="preserve">Emergency fund &amp; saving · eur</t>
  </si>
  <si>
    <t xml:space="preserve">Life cover: share of income the family needs  [Set_lifeShare]</t>
  </si>
  <si>
    <t xml:space="preserve">families usually need less than full pay</t>
  </si>
  <si>
    <t xml:space="preserve">LifeMap planning standard. Reference point: Irish life-insurer needs calculators</t>
  </si>
  <si>
    <t xml:space="preserve">Protection · pct</t>
  </si>
  <si>
    <t xml:space="preserve">Life cover: years of support  [Set_lifeYears]</t>
  </si>
  <si>
    <t xml:space="preserve">often until your youngest child is 23</t>
  </si>
  <si>
    <t xml:space="preserve">Protection · yrs</t>
  </si>
  <si>
    <t xml:space="preserve">Risk and budget</t>
  </si>
  <si>
    <t xml:space="preserve">Risk and return: growth a year, Cautious / Balanced / Growth  [Set_riskMu]</t>
  </si>
  <si>
    <t xml:space="preserve">illustrations, not forecasts</t>
  </si>
  <si>
    <t xml:space="preserve">LifeMap illustrations, not forecasts</t>
  </si>
  <si>
    <t xml:space="preserve">Your adviser uses the fund's own risk rating (SRI 1–7).</t>
  </si>
  <si>
    <t xml:space="preserve">Risk and budget · pct3</t>
  </si>
  <si>
    <t xml:space="preserve">Risk and return: ups and downs (volatility), Cautious / Balanced / Growth  [Set_riskVol]</t>
  </si>
  <si>
    <t xml:space="preserve">How much a year can swing.</t>
  </si>
  <si>
    <t xml:space="preserve">Budget split: needs / wants / savings and debt  [Set_budget]</t>
  </si>
  <si>
    <t xml:space="preserve">the 50/30/20 rule</t>
  </si>
  <si>
    <t xml:space="preserve">The 50/30/20 budgeting rule (E. Warren and A. Warren Tyagi, All Your Worth, 2005)</t>
  </si>
  <si>
    <t xml:space="preserve">Choices</t>
  </si>
  <si>
    <t xml:space="preserve">Tax bands in future  [Set_bands]</t>
  </si>
  <si>
    <t xml:space="preserve">prices</t>
  </si>
  <si>
    <t xml:space="preserve">Budgets have broadly kept pace over time</t>
  </si>
  <si>
    <t xml:space="preserve">Department of Finance Budget history (tax bands and credits, 2015 to 2026)</t>
  </si>
  <si>
    <t xml:space="preserve">Irish tax bands are set each Budget and don't rise automatically. "Stay as today" is the cautious view (more tax later).</t>
  </si>
  <si>
    <t xml:space="preserve">Choices · choice</t>
  </si>
  <si>
    <t xml:space="preserve">State Pension in future  [Set_spGrow]</t>
  </si>
  <si>
    <t xml:space="preserve">it has broadly kept pace with prices over time</t>
  </si>
  <si>
    <t xml:space="preserve">Department of Social Protection weekly State Pension rate history</t>
  </si>
  <si>
    <t xml:space="preserve">The State Pension is set each Budget.</t>
  </si>
  <si>
    <t xml:space="preserve">How you draw your pension  [Set_drawRule]</t>
  </si>
  <si>
    <t xml:space="preserve">spread</t>
  </si>
  <si>
    <t xml:space="preserve">spread over your plan, at least the legal minimum</t>
  </si>
  <si>
    <t xml:space="preserve">Revenue Commissioners: ARF and vested PRSA minimum annual distribution (4% from 61, 5% from 71; 6% over €2m)</t>
  </si>
  <si>
    <t xml:space="preserve">Drawdown tools: withdrawals taken at the  [Set_ddTiming]</t>
  </si>
  <si>
    <t xml:space="preserve">the prudent choice: the money has less time to grow before you take it</t>
  </si>
  <si>
    <t xml:space="preserve">LifeMap tool setting</t>
  </si>
  <si>
    <t xml:space="preserve">Lump sum tool: years you might wait before investing  [Set_waitYears]</t>
  </si>
  <si>
    <t xml:space="preserve">an illustration of the cost of waiting</t>
  </si>
  <si>
    <t xml:space="preserve">LifeMap tool setting (an illustration of the cost of waiting)</t>
  </si>
  <si>
    <t xml:space="preserve">Choices · yrs</t>
  </si>
  <si>
    <t xml:space="preserve">Risk and return tool: investment style (1 Cautious, 2 Balanced, 3 Growth)  [Set_style]</t>
  </si>
  <si>
    <t xml:space="preserve">Balanced; an adviser checks your attitude to risk</t>
  </si>
  <si>
    <t xml:space="preserve">LifeMap tool setting (Balanced; an adviser checks attitude to risk)</t>
  </si>
  <si>
    <t xml:space="preserve">Choices · num</t>
  </si>
  <si>
    <t xml:space="preserve">Market rates</t>
  </si>
  <si>
    <t xml:space="preserve">Suggested mortgage rate  [Set_mortRate]</t>
  </si>
  <si>
    <t xml:space="preserve">Central Bank of Ireland: average rate on new mortgages, Jul 2026</t>
  </si>
  <si>
    <t xml:space="preserve">https://www.centralbank.ie/statistics/data-and-analysis/credit-and-banking-statistics/retail-interest-rates</t>
  </si>
  <si>
    <t xml:space="preserve">Jul 2026</t>
  </si>
  <si>
    <t xml:space="preserve">Your mortgage statement shows your rate. Typing it is fine: no upload needed.</t>
  </si>
  <si>
    <t xml:space="preserve">Market rates · pct</t>
  </si>
  <si>
    <t xml:space="preserve">Suggested personal and car loan rate (APR)  [Set_loanRate]</t>
  </si>
  <si>
    <t xml:space="preserve">Central Bank of Ireland: average rate on new consumer loans, Jul 2026</t>
  </si>
  <si>
    <t xml:space="preserve">Your loan agreement shows your APR.</t>
  </si>
  <si>
    <t xml:space="preserve">Suggested credit card rate (APR)  [Set_cardRate]</t>
  </si>
  <si>
    <t xml:space="preserve">No published average</t>
  </si>
  <si>
    <t xml:space="preserve">—</t>
  </si>
  <si>
    <t xml:space="preserve">Your card statement shows your APR.</t>
  </si>
  <si>
    <t xml:space="preserve">Suggested deposit rate (fixed term, before 33% DIRT)  [Set_depRate]</t>
  </si>
  <si>
    <t xml:space="preserve">Central Bank of Ireland: average rate on new fixed-term household deposits, Jul 2026</t>
  </si>
  <si>
    <t xml:space="preserve">If you rent, your deposit stays in savings. Optional: leave it blank to leave it out.</t>
  </si>
  <si>
    <t xml:space="preserve">Suggested buying fees (legal and survey)  [Set_buyFees]</t>
  </si>
  <si>
    <t xml:space="preserve">No published figure</t>
  </si>
  <si>
    <t xml:space="preserve">Market rates · eur</t>
  </si>
  <si>
    <t xml:space="preserve">Suggested fund and pension charges (a year)  [Set_fundChg]</t>
  </si>
  <si>
    <t xml:space="preserve">Pensions Authority pension calculator assumption</t>
  </si>
  <si>
    <t xml:space="preserve">https://pensionsauthority.ie/scheme-members-and-prsa-contributors/pension-calculator/assumptions/ · https://www.ccpc.ie/consumers/money/pensions/fees-and-charges/</t>
  </si>
  <si>
    <t xml:space="preserve">When your statement shows your own charges, we use them instead of this.</t>
  </si>
  <si>
    <t xml:space="preserve">Guidance only (shown, never filled in for you)</t>
  </si>
  <si>
    <t xml:space="preserve">Life expectancy at 65, men (years): guidance only  [Set_g_lifeMen65]</t>
  </si>
  <si>
    <t xml:space="preserve">CSO, Irish Life Tables No. 17, 2015–2017</t>
  </si>
  <si>
    <t xml:space="preserve">https://www.cso.ie/en/releasesandpublications/er/ilt/irishlifetablesno172015-2017/</t>
  </si>
  <si>
    <t xml:space="preserve">2015–2017 (latest edition; 65 + 18.3 years)</t>
  </si>
  <si>
    <t xml:space="preserve">Guidance only · num</t>
  </si>
  <si>
    <t xml:space="preserve">Life expectancy at 65, women (years): guidance only  [Set_g_lifeWomen65]</t>
  </si>
  <si>
    <t xml:space="preserve">2015–2017 (latest edition; 65 + 21.0 years)</t>
  </si>
  <si>
    <t xml:space="preserve">Fixed values (not customer-editable)</t>
  </si>
  <si>
    <t xml:space="preserve">Inflation "Ireland now" (CSO HICP flash)  [Set_inflNow]</t>
  </si>
  <si>
    <t xml:space="preserve">CSO HICP flash, Sep 2026</t>
  </si>
  <si>
    <t xml:space="preserve">New credit cards: maximum APR (Central Bank; a legal cap, not a suggestion)  [Card_APR_Cap]</t>
  </si>
  <si>
    <t xml:space="preserve">Central Bank of Ireland: new credit cards cannot charge more than 23% APR (2022); about 400,000 older accounts are higher</t>
  </si>
  <si>
    <t xml:space="preserve">https://www.centralbank.ie/news/article/central-bank-review-finds-over-400-000-credit-cards-are-on-historic-high-interest-rates</t>
  </si>
  <si>
    <t xml:space="preserve">Verify before release</t>
  </si>
  <si>
    <t xml:space="preserve">Pension access age: the earliest age you can draw your pension  [Set_accessAge]</t>
  </si>
  <si>
    <t xml:space="preserve">most pensions can be drawn from 60; some occupational schemes allow 50</t>
  </si>
  <si>
    <t xml:space="preserve">Revenue Commissioners: pension benefits can usually be taken from age 60 (PRSAs and personal pensions); some occupational schemes allow retirement from 50 (see the law register). Verify before release.</t>
  </si>
  <si>
    <t xml:space="preserve">We assume 60. Choose 50 only if your occupational scheme says it allows it. Before this age your plan pays for life from savings and other income.</t>
  </si>
  <si>
    <t xml:space="preserve">Retirement · choice</t>
  </si>
  <si>
    <t xml:space="preserve">Assumptions: Irish rules register</t>
  </si>
  <si>
    <t xml:space="preserve">Irish rules 2026 · checked 2 Oct 2026</t>
  </si>
  <si>
    <t xml:space="preserve">Facts and law only: every statutory rate, band and rule the calculators use, with its source and effective date (from the Irish rules and rates audit, 2 Oct 2026). Type 1 values only (set by Government · 2026; journey spec §14): grey, not inputs. Type 2 (ranges) and type 3 (personal) items are yellow inputs on each calculator. Before release, open the primary page for every row marked "Yes" in Verify and record the date checked.</t>
  </si>
  <si>
    <t xml:space="preserve">The Plan sheets (Plan pay &amp; tax, "RULES the plan uses") read these same values: change a figure here and the plan changes with it. Values the Plan sheets need that are not on this sheet are typed there and labelled.</t>
  </si>
  <si>
    <t xml:space="preserve">INFLATION GUIDANCE (not a value: inflation is the client's own choice on each calculator)</t>
  </si>
  <si>
    <t xml:space="preserve">Rule (name in formulas)</t>
  </si>
  <si>
    <t xml:space="preserve">Used by</t>
  </si>
  <si>
    <t xml:space="preserve">Source URL</t>
  </si>
  <si>
    <t xml:space="preserve">Effective</t>
  </si>
  <si>
    <t xml:space="preserve">Verify before release?</t>
  </si>
  <si>
    <t xml:space="preserve">Audit #</t>
  </si>
  <si>
    <t xml:space="preserve">https://www.cso.ie/en/csolatestnews/pressreleases/2026pressreleases/pressstatementflashestimatefortheharmonisedindexofconsumerpricesseptember2026/ · https://www.rte.ie/news/business/2026/1001/1593629-cso-flash-inflation-reading/</t>
  </si>
  <si>
    <t xml:space="preserve">INCOME TAX 2026 (Tax engine)  ·  Set by Government · 2026 (type 1, not an input)</t>
  </si>
  <si>
    <t xml:space="preserve">Standard-rate band, single  [Band_Single]</t>
  </si>
  <si>
    <t xml:space="preserve">Tax engine; C13/C14 tax-rate pre-fill</t>
  </si>
  <si>
    <t xml:space="preserve">https://www.raisin.com/en-ie/taxes/income-tax-rates/ · https://universityofgalway.ie/media/pensionsandinvestments/Budget-Summary-2026.pdf</t>
  </si>
  <si>
    <t xml:space="preserve">1 Jan 2026</t>
  </si>
  <si>
    <t xml:space="preserve">Yes (primary page quoted, P)</t>
  </si>
  <si>
    <t xml:space="preserve">#1</t>
  </si>
  <si>
    <t xml:space="preserve">Standard-rate band, single person child carer  [Band_Single_Parent]</t>
  </si>
  <si>
    <t xml:space="preserve">Tax engine</t>
  </si>
  <si>
    <t xml:space="preserve">https://www.noonecasey.ie/irish-budget-2026/ · https://www.irishtaxhub.ie/blog/tax-credits-in-ireland-full-list</t>
  </si>
  <si>
    <t xml:space="preserve">Yes (secondary source, S)</t>
  </si>
  <si>
    <t xml:space="preserve">#4</t>
  </si>
  <si>
    <t xml:space="preserve">Standard-rate band, married / civil partners (one earner)  [Band_Married]</t>
  </si>
  <si>
    <t xml:space="preserve">#2</t>
  </si>
  <si>
    <t xml:space="preserve">Band increase for a second earner (lower income, up to)  [Band_Second_Earner_Max]</t>
  </si>
  <si>
    <t xml:space="preserve">#3</t>
  </si>
  <si>
    <t xml:space="preserve">Standard rate of income tax  [Rate_Standard]</t>
  </si>
  <si>
    <t xml:space="preserve">#5</t>
  </si>
  <si>
    <t xml:space="preserve">Higher rate of income tax  [Rate_Higher]</t>
  </si>
  <si>
    <t xml:space="preserve">Tax engine; C13/C14</t>
  </si>
  <si>
    <t xml:space="preserve">Personal tax credit, single  [Credit_Personal_Single]</t>
  </si>
  <si>
    <t xml:space="preserve">#6</t>
  </si>
  <si>
    <t xml:space="preserve">Personal tax credit, married / civil partners  [Credit_Personal_Married]</t>
  </si>
  <si>
    <t xml:space="preserve">Employee (PAYE) tax credit, each earner (capped at 20% of PAYE income)  [Credit_PAYE]</t>
  </si>
  <si>
    <t xml:space="preserve">https://revenue.ie/en/personal-tax-credits-reliefs-and-exemptions/income-and-employment/employee-tax-credit/index.aspx</t>
  </si>
  <si>
    <t xml:space="preserve">#7</t>
  </si>
  <si>
    <t xml:space="preserve">PAYE credit cap, % of PAYE income  [Credit_PAYE_Cap_Pct]</t>
  </si>
  <si>
    <t xml:space="preserve">As above</t>
  </si>
  <si>
    <t xml:space="preserve">Single Person Child Carer Credit  [Credit_SPCCC]</t>
  </si>
  <si>
    <t xml:space="preserve">Rent Tax Credit, single (to end-2028)  [Credit_Rent_Single]</t>
  </si>
  <si>
    <t xml:space="preserve">2025–2028</t>
  </si>
  <si>
    <t xml:space="preserve">#8</t>
  </si>
  <si>
    <t xml:space="preserve">Rent Tax Credit, jointly assessed couple  [Credit_Rent_Joint]</t>
  </si>
  <si>
    <t xml:space="preserve">Home Carer Tax Credit (verify the 2026 rate and the €7,200 carer-income limit and taper)  [Credit_Home_Carer]</t>
  </si>
  <si>
    <t xml:space="preserve">Yes (secondary source, S) · VERIFY rate</t>
  </si>
  <si>
    <t xml:space="preserve">#9</t>
  </si>
  <si>
    <t xml:space="preserve">USC 2026 (Tax engine)  ·  Set by Government · 2026 (type 1, not an input)</t>
  </si>
  <si>
    <t xml:space="preserve">USC exemption limit (total income)  [USC_Exempt]</t>
  </si>
  <si>
    <t xml:space="preserve">#15</t>
  </si>
  <si>
    <t xml:space="preserve">USC band 1 top  [USC_Band_1]</t>
  </si>
  <si>
    <t xml:space="preserve">#14</t>
  </si>
  <si>
    <t xml:space="preserve">USC band 2 top (raised by €1,318 in Budget 2026)  [USC_Band_2]</t>
  </si>
  <si>
    <t xml:space="preserve">USC band 3 top  [USC_Band_3]</t>
  </si>
  <si>
    <t xml:space="preserve">USC rate band 1  [USC_Rate_1]</t>
  </si>
  <si>
    <t xml:space="preserve">USC rate band 2  [USC_Rate_2]</t>
  </si>
  <si>
    <t xml:space="preserve">USC rate band 3  [USC_Rate_3]</t>
  </si>
  <si>
    <t xml:space="preserve">USC rate above band 3  [USC_Rate_4]</t>
  </si>
  <si>
    <t xml:space="preserve">Reduced USC (0.5% / 2%) applies at 70+ (and to full medical-card holders) with income ≤ €60,000; not used by these calculators. The State Pension and other DSP payments are USC-exempt but are taxable income for income tax.</t>
  </si>
  <si>
    <t xml:space="preserve">PRSI CLASS A (Tax engine)  ·  Set by Government · 2026 (type 1, not an input)</t>
  </si>
  <si>
    <t xml:space="preserve">Employee PRSI rate from 1 Oct 2026  [PRSI_Rate]</t>
  </si>
  <si>
    <t xml:space="preserve">https://www.gov.ie/en/publication/ffa563-prsi-class-a-rates · https://www.bdo.ie/en-gb/insights/2025/upcoming-prsi-rate-changes-effective-1st-october-2025</t>
  </si>
  <si>
    <t xml:space="preserve">1 Oct 2026</t>
  </si>
  <si>
    <t xml:space="preserve">#19</t>
  </si>
  <si>
    <t xml:space="preserve">Employee PRSI, calendar-2026 blend (9 months at 4.2%, 3 at 4.35%)  [PRSI_Rate_2026_Blend]</t>
  </si>
  <si>
    <t xml:space="preserve">Tax engine (option)</t>
  </si>
  <si>
    <t xml:space="preserve">#20</t>
  </si>
  <si>
    <t xml:space="preserve">PRSI-free weekly earnings (nil up to)  [PRSI_Free_Week]</t>
  </si>
  <si>
    <t xml:space="preserve">https://payslipiq.co.uk/ie/methodology/prsi · https://www.gov.ie/en/publication/ffa563-prsi-class-a-rates · https://www.bdo.ie/en-gb/insights/2025/upcoming-prsi-rate-changes-effective-1st-october-2025</t>
  </si>
  <si>
    <t xml:space="preserve">#21</t>
  </si>
  <si>
    <t xml:space="preserve">PRSI credit, maximum a week  [PRSI_Credit_Max]</t>
  </si>
  <si>
    <t xml:space="preserve">PRSI credit ends at weekly earnings of  [PRSI_Credit_Top]</t>
  </si>
  <si>
    <t xml:space="preserve">PRSI credit tapers by €1 for every … over €352.01  [PRSI_Credit_Taper]</t>
  </si>
  <si>
    <t xml:space="preserve">No PRSI from age 66, including while still working (#22). Legislated path: 4.5% from 1 Oct 2027, 4.7% from 1 Oct 2028.</t>
  </si>
  <si>
    <t xml:space="preserve">https://www.oireachtas.ie/en/debates/question/2018-11-21/241/ · https://www.gov.ie/en/publication/ffa563-prsi-class-a-rates · https://www.bdo.ie/en-gb/insights/2025/upcoming-prsi-rate-changes-effective-1st-october-2025</t>
  </si>
  <si>
    <t xml:space="preserve">PENSIONS  ·  Set by Government · 2026 (type 1, not an input)</t>
  </si>
  <si>
    <t xml:space="preserve">Pension relief limit from age 0: % of earnings  [Relief_Age_From / Relief_Age_Pct]</t>
  </si>
  <si>
    <t xml:space="preserve">https://www.irishtaxhub.ie/blog/pension-contributions-income-tax-maximize-your-relief · https://yourincomecalculator.com/ie/blog/pension-tax-relief-ireland-2026-higher-earners-guide</t>
  </si>
  <si>
    <t xml:space="preserve">Unchanged</t>
  </si>
  <si>
    <t xml:space="preserve">#26</t>
  </si>
  <si>
    <t xml:space="preserve">Pension relief limit from age 30: % of earnings  [Relief_Age_From / Relief_Age_Pct]</t>
  </si>
  <si>
    <t xml:space="preserve">Pension relief limit from age 40: % of earnings  [Relief_Age_From / Relief_Age_Pct]</t>
  </si>
  <si>
    <t xml:space="preserve">Pension relief limit from age 50: % of earnings  [Relief_Age_From / Relief_Age_Pct]</t>
  </si>
  <si>
    <t xml:space="preserve">Pension relief limit from age 55: % of earnings  [Relief_Age_From / Relief_Age_Pct]</t>
  </si>
  <si>
    <t xml:space="preserve">Pension relief limit from age 60: % of earnings  [Relief_Age_From / Relief_Age_Pct]</t>
  </si>
  <si>
    <t xml:space="preserve">Earnings cap for pension relief  [Relief_Earnings_Cap]</t>
  </si>
  <si>
    <t xml:space="preserve">#27</t>
  </si>
  <si>
    <t xml:space="preserve">Retirement lump sum: up to this share of the fund  [Lump_Sum_Max_Pct]</t>
  </si>
  <si>
    <t xml:space="preserve">https://wtwco.com/en-ie/insights/2024/10/significant-revisions-announced-to-the-standard-fund-threshold · https://pwc.ie/services/workforce/insights/finance-act-2024-pensions-pulse.html</t>
  </si>
  <si>
    <t xml:space="preserve">Finance Act 2024</t>
  </si>
  <si>
    <t xml:space="preserve">#31</t>
  </si>
  <si>
    <t xml:space="preserve">Lump sum: tax-free (lifetime)  [Lump_Sum_Tax_Free]</t>
  </si>
  <si>
    <t xml:space="preserve">Lump sum: taxed at 20% from €200,001 up to  [Lump_Sum_Cap]; above this the excess is taxed at the higher rate [Rate_Higher] (verify on Revenue)</t>
  </si>
  <si>
    <t xml:space="preserve">Lump sum tax rate on €200,001–€500,000 (above €500,000: marginal rate)  [Lump_Sum_Rate]</t>
  </si>
  <si>
    <t xml:space="preserve">Standard Fund Threshold 2026 (€2.4m 2027, €2.6m 2028, €2.8m 2029)  [SFT_2026]</t>
  </si>
  <si>
    <t xml:space="preserve">C12 warning</t>
  </si>
  <si>
    <t xml:space="preserve">#32</t>
  </si>
  <si>
    <t xml:space="preserve">Chargeable excess tax above the threshold  [SFT_Tax]</t>
  </si>
  <si>
    <t xml:space="preserve">Law</t>
  </si>
  <si>
    <t xml:space="preserve">Earliest age for PRSA / personal pension benefits (occupational: from 50 if you have left that job)  [Pension_Earliest_Age]</t>
  </si>
  <si>
    <t xml:space="preserve">Revenue Pensions Manual (verify)</t>
  </si>
  <si>
    <t xml:space="preserve">Yes (primary page quoted, P) · VERIFY</t>
  </si>
  <si>
    <t xml:space="preserve">#36</t>
  </si>
  <si>
    <t xml:space="preserve">Standard Fund Threshold €2.2m (2026) → €2.4m (2027) → €2.6m (2028) → €2.8m (2029), chargeable excess tax 40%: not modelled by these calculators. ARF minimum 4% from the year you turn 61, 5% from 71, 6% if ARFs + vested PRSAs exceed €2m. Most pensions cannot be taken before 60.</t>
  </si>
  <si>
    <t xml:space="preserve">https://wtwco.com/en-ie/insights/2024/10/significant-revisions-announced-to-the-standard-fund-threshold · https://pwc.ie/services/workforce/insights/finance-act-2024-pensions-pulse.html · https://cantorfitzgerald.ie/wp-content/uploads/2026/06/ARF-6pp-A4-Brochure-6-26.pdf</t>
  </si>
  <si>
    <t xml:space="preserve">STATE PENSION AND DSP PAYMENTS 2026 (weekly rates)  ·  Set by Government · 2026 (type 1, not an input)</t>
  </si>
  <si>
    <t xml:space="preserve">State Pension (Contributory), maximum personal rate (taxable; USC-exempt)  [State_Pension_Week]</t>
  </si>
  <si>
    <t xml:space="preserve">C12 other income (pre-fill)</t>
  </si>
  <si>
    <t xml:space="preserve">https://www.gov.ie/en/publication/927721-state-pension-contributory-rates/ · https://www.zurich.ie/blog/pension-changes-2026</t>
  </si>
  <si>
    <t xml:space="preserve">#39</t>
  </si>
  <si>
    <t xml:space="preserve">State Pension a year (€299.30 × 52)  [State_Pension_Year]</t>
  </si>
  <si>
    <t xml:space="preserve">C12 default other income</t>
  </si>
  <si>
    <t xml:space="preserve">State Pension age  [State_Pension_Age]</t>
  </si>
  <si>
    <t xml:space="preserve">C12 (bridge years before 66)</t>
  </si>
  <si>
    <t xml:space="preserve">https://www.gov.ie/en/publication/d8fd8-flexible-pension-options</t>
  </si>
  <si>
    <t xml:space="preserve">#40</t>
  </si>
  <si>
    <t xml:space="preserve">Widow's / Surviving Civil Partner's / Bereaved Partner's (Contributory) Pension, under 66  [Survivor_Pension_Week]</t>
  </si>
  <si>
    <t xml:space="preserve">https://www.raisin.com/en-ie/pensions/widow-pensions · https://www.mhc.ie/latest/insights/social-welfare-bereaved-partners-pension-and-miscellaneous-provisions-act-2025</t>
  </si>
  <si>
    <t xml:space="preserve">#46</t>
  </si>
  <si>
    <t xml:space="preserve">Survivor's pension at 66+  [Survivor_Pension_Week_66]</t>
  </si>
  <si>
    <t xml:space="preserve">C21 guidance</t>
  </si>
  <si>
    <t xml:space="preserve">Illness Benefit, maximum personal rate (graduated if average weekly earnings &lt; €300; 3 waiting days)  [Illness_Benefit_Week]</t>
  </si>
  <si>
    <t xml:space="preserve">https://www.inou.ie/assets/files/pdf/2026_-_inou_budget_factsheet.pdf</t>
  </si>
  <si>
    <t xml:space="preserve">#45</t>
  </si>
  <si>
    <t xml:space="preserve">Income protection maximum: % of gross income less State benefit (an INSURER rule, not law; varies by insurer)  [IP_Max_Pct]</t>
  </si>
  <si>
    <t xml:space="preserve">Insurer literature (Irish Life; Smart Financial)</t>
  </si>
  <si>
    <t xml:space="preserve">Market practice</t>
  </si>
  <si>
    <t xml:space="preserve">Yes (secondary source, S) · verify with insurer partner</t>
  </si>
  <si>
    <t xml:space="preserve">#49</t>
  </si>
  <si>
    <t xml:space="preserve">Weeks in a year  [Weeks_Per_Year]</t>
  </si>
  <si>
    <t xml:space="preserve">C12, C21, C22, Tax engine</t>
  </si>
  <si>
    <t xml:space="preserve">Convention</t>
  </si>
  <si>
    <t xml:space="preserve">SAVINGS AND INVESTMENT TAX (notes on the growth tools)  ·  Set by Government · 2026 (type 1, not an input)</t>
  </si>
  <si>
    <t xml:space="preserve">DIRT on deposit interest  [DIRT]</t>
  </si>
  <si>
    <t xml:space="preserve">C08–C10, C17, C18 notes</t>
  </si>
  <si>
    <t xml:space="preserve">https://cantorfitzgerald.ie/budget-2026-key-updates-for-investors-and-savers</t>
  </si>
  <si>
    <t xml:space="preserve">#50</t>
  </si>
  <si>
    <t xml:space="preserve">Exit tax on funds and life policies (was 41%; Finance Act 2025, Revenue eBrief 016/26)  [Exit_Tax]</t>
  </si>
  <si>
    <t xml:space="preserve">https://www.revenue.ie/en/tax-professionals/ebrief/2026/no-0162026.aspx · https://etf.ie/blog/budget-2026-etf/</t>
  </si>
  <si>
    <t xml:space="preserve">#51</t>
  </si>
  <si>
    <t xml:space="preserve">Deemed disposal on funds every … years  [Deemed_Disposal_Years]</t>
  </si>
  <si>
    <t xml:space="preserve">Notes</t>
  </si>
  <si>
    <t xml:space="preserve">https://etf.ie/blog/budget-2026-etf/</t>
  </si>
  <si>
    <t xml:space="preserve">#52</t>
  </si>
  <si>
    <t xml:space="preserve">Life assurance levy on premiums (pension policies exempt)  [Life_Levy]</t>
  </si>
  <si>
    <t xml:space="preserve">C18 note</t>
  </si>
  <si>
    <t xml:space="preserve">Revenue</t>
  </si>
  <si>
    <t xml:space="preserve">#53</t>
  </si>
  <si>
    <t xml:space="preserve">CENTRAL BANK MORTGAGE MEASURES AND PROPERTY  ·  Set by Government · 2026 (type 1, not an input)</t>
  </si>
  <si>
    <t xml:space="preserve">Loan-to-income limit, first-time buyers  [LTI_FTB]</t>
  </si>
  <si>
    <t xml:space="preserve">https://www.centralbank.ie/news/article/central-bank-announces-targeted-changes-to-mortgage-measures-framework</t>
  </si>
  <si>
    <t xml:space="preserve">1 Jan 2023</t>
  </si>
  <si>
    <t xml:space="preserve">#56</t>
  </si>
  <si>
    <t xml:space="preserve">Loan-to-income limit, second and subsequent buyers  [LTI_SSB]</t>
  </si>
  <si>
    <t xml:space="preserve">Loan-to-value limit, first-time and subsequent buyers (buy-to-let 70%)  [LTV_Max]</t>
  </si>
  <si>
    <t xml:space="preserve">C01, C02 goal, C03, C07</t>
  </si>
  <si>
    <t xml:space="preserve">#57</t>
  </si>
  <si>
    <t xml:space="preserve">Minimum deposit (1 − LTV)  [Min_Deposit_Pct]</t>
  </si>
  <si>
    <t xml:space="preserve">C01, C03, C07 validation</t>
  </si>
  <si>
    <t xml:space="preserve">Derived</t>
  </si>
  <si>
    <t xml:space="preserve">#59</t>
  </si>
  <si>
    <t xml:space="preserve">Lenders may exceed the limits for a small share of loans each year (allowances: about 15% of first-time-buyer and 10% of other lending by value, verify). Principal-home bridging loans are exempt from the LTI limit since 8 Apr 2026.</t>
  </si>
  <si>
    <t xml:space="preserve">https://www.centralbank.ie/news/article/central-bank-announces-targeted-changes-to-mortgage-measures-framework · https://www.centralbank.ie/news/article/press-release-targeted-amendment-to-mortgage-measures-home-bridging-loans-8-april-2026</t>
  </si>
  <si>
    <t xml:space="preserve">Stamp duty on homes up to €1m  [SD_Rate_1]</t>
  </si>
  <si>
    <t xml:space="preserve">C01, C03, C07</t>
  </si>
  <si>
    <t xml:space="preserve">https://www.raisin.com/en-ie/taxes/stamp-duty-ireland/</t>
  </si>
  <si>
    <t xml:space="preserve">Budget 2025</t>
  </si>
  <si>
    <t xml:space="preserve">#60</t>
  </si>
  <si>
    <t xml:space="preserve">Stamp duty band 1 top  [SD_Band_1]</t>
  </si>
  <si>
    <t xml:space="preserve">Stamp duty €1m–€1.5m  [SD_Rate_2]</t>
  </si>
  <si>
    <t xml:space="preserve">Stamp duty band 2 top  [SD_Band_2]</t>
  </si>
  <si>
    <t xml:space="preserve">Stamp duty above €1.5m  [SD_Rate_3]</t>
  </si>
  <si>
    <t xml:space="preserve">APR on cards and loans is an effective annual rate (EU Consumer Credit Directive 2008/48/EC, Annex I): monthly rate = (1 + APR)^(1/12) − 1 (C27, C28). Mortgage rates are nominal: monthly = rate ÷ 12.</t>
  </si>
  <si>
    <t xml:space="preserve">https://eur-lex.europa.eu/eli/dir/2008/48/oj</t>
  </si>
  <si>
    <t xml:space="preserve">STATEMENT READER RULES (product rules)  ·  LifeMap product rule</t>
  </si>
  <si>
    <t xml:space="preserve">Investment statement: shares at or above this = style 3 Growth  [Shares_For_Growth]</t>
  </si>
  <si>
    <t xml:space="preserve">Prototype rule (DOCT.invest.pre)</t>
  </si>
  <si>
    <t xml:space="preserve">Investment statement: shares at or above this = style 2 Balanced (else 1)  [Shares_For_Balanced]</t>
  </si>
  <si>
    <t xml:space="preserve">Prototype rule</t>
  </si>
  <si>
    <t xml:space="preserve">A statement older than this (days) is flagged "Needs a look"  [Statement_Max_Age_Days]</t>
  </si>
  <si>
    <t xml:space="preserve">All statement blocks</t>
  </si>
  <si>
    <t xml:space="preserve">Pooja, 2 Oct 2026</t>
  </si>
  <si>
    <t xml:space="preserve">Reader confidence below this: ask the customer to confirm  [Reader_Confidence_Min]</t>
  </si>
  <si>
    <t xml:space="preserve">Document reader spec</t>
  </si>
  <si>
    <t xml:space="preserve">DISPLAY RULES AND STATISTICAL CONSTANTS  ·  LifeMap product rule</t>
  </si>
  <si>
    <t xml:space="preserve">Show "Over 100 years" above this many months  [Cap_Months]</t>
  </si>
  <si>
    <t xml:space="preserve">C02, C04, C27</t>
  </si>
  <si>
    <t xml:space="preserve">Display rule</t>
  </si>
  <si>
    <t xml:space="preserve">Drawdown working table length ("60+ years")  [Cap_Years]</t>
  </si>
  <si>
    <t xml:space="preserve">Mortgage protection: first checkpoint (years)  [MP_Year_1]</t>
  </si>
  <si>
    <t xml:space="preserve">Mortgage protection: second checkpoint (years)  [MP_Year_2]</t>
  </si>
  <si>
    <t xml:space="preserve">Mortgage protection: third checkpoint (years)  [MP_Year_3]</t>
  </si>
  <si>
    <t xml:space="preserve">Standard-normal value for a 1-in-20 bad year  [One_In_20_Z]</t>
  </si>
  <si>
    <t xml:space="preserve">Normal distribution (5% tail); audit #81</t>
  </si>
  <si>
    <t xml:space="preserve">#81</t>
  </si>
  <si>
    <t xml:space="preserve">Risk style 1 name  [Risk_Names]</t>
  </si>
  <si>
    <t xml:space="preserve">Label</t>
  </si>
  <si>
    <t xml:space="preserve">Risk style 2 name  [Risk_Names]</t>
  </si>
  <si>
    <t xml:space="preserve">Risk style 3 name  [Risk_Names]</t>
  </si>
  <si>
    <t xml:space="preserve">Growth</t>
  </si>
  <si>
    <t xml:space="preserve">Inflation "Ireland now" 3.9% (CSO HICP flash Sep 2026)</t>
  </si>
  <si>
    <t xml:space="preserve">Market rates, partner name and every other standard now live on the Settings sheet (journey spec §19, option C). Names (Suggest_*, Partner_Name, Card_APR_Cap) are unchanged.</t>
  </si>
  <si>
    <t xml:space="preserve">Rules year: the tax year the figures on this sheet apply to  [Rules_Year]</t>
  </si>
  <si>
    <t xml:space="preserve">Plan sheets</t>
  </si>
  <si>
    <t xml:space="preserve">Next rules year (the plan starts here from October)  [Rules_Year_Next]</t>
  </si>
  <si>
    <t xml:space="preserve">Earliest age some occupational pension schemes allow benefits  [Scheme_Earliest_Age]</t>
  </si>
  <si>
    <t xml:space="preserve">Plan results, C12</t>
  </si>
  <si>
    <t xml:space="preserve">Biggest euro amount a calculator input accepts (validation limit)  [Max_Money_Input]</t>
  </si>
  <si>
    <t xml:space="preserve">C12, C25, C26</t>
  </si>
  <si>
    <t xml:space="preserve">Report spec: what the plan report shows and where each number comes from (journey-spec section 28)</t>
  </si>
  <si>
    <t xml:space="preserve">The app builds the report from ONE function, reportData(), which returns every number, text and chart series (schema: docs/report-data.schema.json, examples: tools/report/vectors.json). This sheet lists each element of the 11 pages. "Live formulas" = the workbook reproduces it with the cells named. "Partly" = the live inputs are here but the result needs the plan engine run with changes (see the table below). "Engine function only" = it only exists in the app's engine; use the test vectors. No result is pasted from the app.</t>
  </si>
  <si>
    <t xml:space="preserve">Page</t>
  </si>
  <si>
    <t xml:space="preserve">Element</t>
  </si>
  <si>
    <t xml:space="preserve">reportData field</t>
  </si>
  <si>
    <t xml:space="preserve">Workbook cells (live)</t>
  </si>
  <si>
    <t xml:space="preserve">Reproduced here?</t>
  </si>
  <si>
    <t xml:space="preserve">Test vector</t>
  </si>
  <si>
    <t xml:space="preserve">All pages</t>
  </si>
  <si>
    <t xml:space="preserve">Header and footer, version</t>
  </si>
  <si>
    <t xml:space="preserve">meta.*, footer.*</t>
  </si>
  <si>
    <t xml:space="preserve">Customer name (possessive), date as 8 Oct 2026, version 1; "Guidance, not advice" footer on every page.</t>
  </si>
  <si>
    <t xml:space="preserve">none: engine function only</t>
  </si>
  <si>
    <t xml:space="preserve">Engine function only</t>
  </si>
  <si>
    <t xml:space="preserve">tools/report/vectors.json (v5-customer first)</t>
  </si>
  <si>
    <t xml:space="preserve">Age today and age in year 0</t>
  </si>
  <si>
    <t xml:space="preserve">meta.currentAge, meta.currentYear</t>
  </si>
  <si>
    <t xml:space="preserve">Age today is exact from the date of birth; the age used for plan year 0 is start year minus birth year.</t>
  </si>
  <si>
    <t xml:space="preserve">DOB_AgeToday, DOB_NextBirthday, DOB_Msg, F_Age, AS_Year0</t>
  </si>
  <si>
    <t xml:space="preserve">Live formulas</t>
  </si>
  <si>
    <t xml:space="preserve">1 Cover</t>
  </si>
  <si>
    <t xml:space="preserve">Tile: goals on track</t>
  </si>
  <si>
    <t xml:space="preserve">cover.tiles[0]</t>
  </si>
  <si>
    <t xml:space="preserve">Count of goals with covered % of 95 or more, out of all goals.</t>
  </si>
  <si>
    <t xml:space="preserve">Home_OnTrack, Home_N</t>
  </si>
  <si>
    <t xml:space="preserve">Tile: age savings run out</t>
  </si>
  <si>
    <t xml:space="preserve">cover.tiles[1]</t>
  </si>
  <si>
    <t xml:space="preserve">First year everyday costs and goals are not fully paid (the first shortfall year); "Covered" when there is none.</t>
  </si>
  <si>
    <t xml:space="preserve">Chart_FirstShortAge</t>
  </si>
  <si>
    <t xml:space="preserve">Road: segments and milestones</t>
  </si>
  <si>
    <t xml:space="preserve">road.*</t>
  </si>
  <si>
    <t xml:space="preserve">Working years green until the retirement age, gold while savings pay, coral from the first shortfall year to the plan end; milestones are the goals (not Retire or Legacy), the retirement age, the run-out age and the State Pension age, sorted by age, at most 8.</t>
  </si>
  <si>
    <t xml:space="preserve">Retire_Min, Chart_FirstShortAge, GR1_AgeYear</t>
  </si>
  <si>
    <t xml:space="preserve">Partly: live inputs, result needs a plan run</t>
  </si>
  <si>
    <t xml:space="preserve">2 Plan on a page</t>
  </si>
  <si>
    <t xml:space="preserve">Big number and goal cards</t>
  </si>
  <si>
    <t xml:space="preserve">plan.big, plan.goals[]</t>
  </si>
  <si>
    <t xml:space="preserve">Goal covered %, band (95 and over good, 70 to 94 gold, under 70 alert), age, calendar year and amount; the goal sentence is built from the covered %, the retirement years and the full State Pension cover.</t>
  </si>
  <si>
    <t xml:space="preserve">GR1_Pct, GR1_AgeYear, Home_OnTrack, Home_N</t>
  </si>
  <si>
    <t xml:space="preserve">Gap band: run-out age, years with a gap, gap today and in future euros</t>
  </si>
  <si>
    <t xml:space="preserve">plan.band.cells[]</t>
  </si>
  <si>
    <t xml:space="preserve">Run-out age = first shortfall year; years with a gap = count of years with shortfall above 50 cents; future gap = sum of the shortfalls; today's-money gap = each year's shortfall divided by (1 + inflation) to the power of the years from the start.</t>
  </si>
  <si>
    <t xml:space="preserve">Chart_FirstShortAge, Chart_ShortYears, Chart_TotalShort</t>
  </si>
  <si>
    <t xml:space="preserve">What could close the gap (top three)</t>
  </si>
  <si>
    <t xml:space="preserve">plan.close.items[]</t>
  </si>
  <si>
    <t xml:space="preserve">The best row in each lever (State Pension, start a pension, retirement age, save more) from the page 7 scenarios; the three with most points gained. "Pay more into a pension" is not its own card.</t>
  </si>
  <si>
    <t xml:space="preserve">3 Money today</t>
  </si>
  <si>
    <t xml:space="preserve">Left each month, living costs, goals, left over, per 100</t>
  </si>
  <si>
    <t xml:space="preserve">money.big, money.tiles[], money.sentence</t>
  </si>
  <si>
    <t xml:space="preserve">Take-home a month (first-year income after tax, USC and PRSI, divided by 12) minus living costs and loan payments minus the monthly saving towards goals; per 100 = left over divided by take-home.</t>
  </si>
  <si>
    <t xml:space="preserve">Save_SurplusM, Save_SaveM, F_EssM</t>
  </si>
  <si>
    <t xml:space="preserve">You own, you owe, net worth</t>
  </si>
  <si>
    <t xml:space="preserve">money.own, money.owe, money.netWorth</t>
  </si>
  <si>
    <t xml:space="preserve">Cash, investments, pension, home and debts as given; a missing figure shows "Missing"; net worth is "not yet known" while any of them is missing, otherwise assets minus debts.</t>
  </si>
  <si>
    <t xml:space="preserve">Fin_Quality, Missing_Count</t>
  </si>
  <si>
    <t xml:space="preserve">How complete is your picture</t>
  </si>
  <si>
    <t xml:space="preserve">money.complete</t>
  </si>
  <si>
    <t xml:space="preserve">Details given out of the Check your details items; the next four missing items ordered High then Medium (pension value, cash savings, State Pension record, loans and cards, investments ...).</t>
  </si>
  <si>
    <t xml:space="preserve">Good_Count, Missing_Count, Look_Count, Fin_Sec, Fin_Key</t>
  </si>
  <si>
    <t xml:space="preserve">Stated defaults ("we use 25 years / your age / Employed")</t>
  </si>
  <si>
    <t xml:space="preserve">checklist rows</t>
  </si>
  <si>
    <t xml:space="preserve">Beside a missing detail the plan fills with a stated default.</t>
  </si>
  <si>
    <t xml:space="preserve">Use_mortYears, Use_mort2, Use_pAge, Use_work, Use_mortRate, Use_loanRate, Use_cardRate</t>
  </si>
  <si>
    <t xml:space="preserve">4 Roadmap</t>
  </si>
  <si>
    <t xml:space="preserve">One row per decade: status, headline, sentence, goal chips, sparkline</t>
  </si>
  <si>
    <t xml:space="preserve">roadmap.decades[]</t>
  </si>
  <si>
    <t xml:space="preserve">Years grouped by age decade; gap decade = any shortfall year; sentence from the average shortfall or the savings reached; goal chips for goals dated in the decade plus the State Pension age; sparkline = savings at each age.</t>
  </si>
  <si>
    <t xml:space="preserve">Chap_Dec, Chap_From, Chap_To, Chap_Short, Chap_Avg, Chap_Story, Chap_Weather</t>
  </si>
  <si>
    <t xml:space="preserve">5 Goals in detail</t>
  </si>
  <si>
    <t xml:space="preserve">Goal percentage, band, meta line, sentence</t>
  </si>
  <si>
    <t xml:space="preserve">goalsDetail.goals[]</t>
  </si>
  <si>
    <t xml:space="preserve">As page 2; the retirement goal comes first.</t>
  </si>
  <si>
    <t xml:space="preserve">GR1_Pct, GR1_AgeYear, GR1_Year</t>
  </si>
  <si>
    <t xml:space="preserve">Needs a month and you're putting in</t>
  </si>
  <si>
    <t xml:space="preserve">bars (type saving)</t>
  </si>
  <si>
    <t xml:space="preserve">Average monthly saving the plan pays towards the goal, and the monthly amount that would reach 100% (found by trying values in the app; typed in the workbook).</t>
  </si>
  <si>
    <t xml:space="preserve">GR1_Months, GR1_Extra</t>
  </si>
  <si>
    <t xml:space="preserve">Retirement costs and what the plan covers</t>
  </si>
  <si>
    <t xml:space="preserve">bars (type retire)</t>
  </si>
  <si>
    <t xml:space="preserve">Costs = sum of yearly needs over retirement years; covered = costs minus the retirement shortfall; both in today's money (each year divided by (1 + inflation) to the power of the years from the start) and in future euros.</t>
  </si>
  <si>
    <t xml:space="preserve">Ret_Year</t>
  </si>
  <si>
    <t xml:space="preserve">Your retirement years strip</t>
  </si>
  <si>
    <t xml:space="preserve">years.cells[]</t>
  </si>
  <si>
    <t xml:space="preserve">Each retirement year is paid from income (pension, State Pension), from savings, or is a gap.</t>
  </si>
  <si>
    <t xml:space="preserve">Plan_YearsShort</t>
  </si>
  <si>
    <t xml:space="preserve">6 Cashflow</t>
  </si>
  <si>
    <t xml:space="preserve">Savings by age, peak and run-out</t>
  </si>
  <si>
    <t xml:space="preserve">cashflow.savingsChart</t>
  </si>
  <si>
    <t xml:space="preserve">Liquid savings at the end of each plan year; peak = the highest value; run-out = first shortfall year.</t>
  </si>
  <si>
    <t xml:space="preserve">Chart_FirstShortAge, Chart_FirstShortAmt</t>
  </si>
  <si>
    <t xml:space="preserve">How each year is paid</t>
  </si>
  <si>
    <t xml:space="preserve">cashflow.paidChart.bars[]</t>
  </si>
  <si>
    <t xml:space="preserve">Per year: paid from income (up to costs), paid from savings, shortfall not covered. Goal payments are included.</t>
  </si>
  <si>
    <t xml:space="preserve">Chart_DipYears, Chart_ShortYears, Chart_TotalShort</t>
  </si>
  <si>
    <t xml:space="preserve">7 What could change</t>
  </si>
  <si>
    <t xml:space="preserve">Today's plan row</t>
  </si>
  <si>
    <t xml:space="preserve">scenarios.groups[0].rows[0]</t>
  </si>
  <si>
    <t xml:space="preserve">Covered % of the goal with the lowest covered % today (the retirement goal when it is lowest) and the first year everyday costs are not covered.</t>
  </si>
  <si>
    <t xml:space="preserve">Find_WorstPct, Chart_FirstLivingAge</t>
  </si>
  <si>
    <t xml:space="preserve">Retire at 60 / Retire at 65</t>
  </si>
  <si>
    <t xml:space="preserve">scenarios rows retire60, retire65</t>
  </si>
  <si>
    <t xml:space="preserve">Run the plan with the retirement age set to 60 (or 65). Only when the retirement age is before that age and after today's age.</t>
  </si>
  <si>
    <t xml:space="preserve">Save N more a month</t>
  </si>
  <si>
    <t xml:space="preserve">scenarios row save</t>
  </si>
  <si>
    <t xml:space="preserve">Run the plan with the monthly saving raised by N, where N = 18% of the monthly take-home pay rounded to the nearest 50. Skipped when spare money cannot take at least half of it.</t>
  </si>
  <si>
    <t xml:space="preserve">Rep_TakeHomeM, Rep_MoreM</t>
  </si>
  <si>
    <t xml:space="preserve">Start a pension at the limit</t>
  </si>
  <si>
    <t xml:space="preserve">scenarios row pension</t>
  </si>
  <si>
    <t xml:space="preserve">Run the plan with own pension contributions raised by the monthly limit: the age-band share of earnings (earnings capped), minus what is already paid, divided by 12 and rounded down; cost after tax relief = limit x (1 - tax rate). Needs work income.</t>
  </si>
  <si>
    <t xml:space="preserve">Rep_LimitM, Rep_TaxRate, Rep_AfterReliefM</t>
  </si>
  <si>
    <t xml:space="preserve">Count your State Pension</t>
  </si>
  <si>
    <t xml:space="preserve">scenarios row statePension</t>
  </si>
  <si>
    <t xml:space="preserve">Run the plan with the full State Pension counted. Skipped when it is already full.</t>
  </si>
  <si>
    <t xml:space="preserve">PR_SPweek</t>
  </si>
  <si>
    <t xml:space="preserve">Pay N more a month into a pension</t>
  </si>
  <si>
    <t xml:space="preserve">scenarios row morePension</t>
  </si>
  <si>
    <t xml:space="preserve">Run the plan with own pension contributions raised by N / (1 - tax rate); the app's engine gives relief only up to the age limit and takes the money from spare money.</t>
  </si>
  <si>
    <t xml:space="preserve">Rep_MoreM, Rep_GrossMoreM</t>
  </si>
  <si>
    <t xml:space="preserve">Combined rows</t>
  </si>
  <si>
    <t xml:space="preserve">scenarios rows c60pension, c60more, c65pension</t>
  </si>
  <si>
    <t xml:space="preserve">Retire at 60 (or 65) with a pension at the limit and a full State Pension; the second row adds N/2 more after relief. A row is dropped when it is worse than today or than its retire-only row.</t>
  </si>
  <si>
    <t xml:space="preserve">Rep_MoreM2, Rep_GrossMoreM2</t>
  </si>
  <si>
    <t xml:space="preserve">Rows kept, order, A path to explore</t>
  </si>
  <si>
    <t xml:space="preserve">scenarios.groups, scenarios.explore</t>
  </si>
  <si>
    <t xml:space="preserve">Rows that do nothing or are worse than today are removed; rows are sorted by covered % (ties by definition order); the path to explore is the best combined row.</t>
  </si>
  <si>
    <t xml:space="preserve">8 Foundations</t>
  </si>
  <si>
    <t xml:space="preserve">Five levels, big number, protection table, next best step</t>
  </si>
  <si>
    <t xml:space="preserve">foundations.*</t>
  </si>
  <si>
    <t xml:space="preserve">Foundations from the bottom: spend less than you earn, emergency fund, debt and protection, goals and retirement, wealth and legacy; status per level; "n of 5 solid".</t>
  </si>
  <si>
    <t xml:space="preserve">Fnd1_St, Fnd2_St, Fnd3_St, Fnd4_St, Fnd5_St, Fnd_NextN, Fnd_NextT, Fnd_NextD</t>
  </si>
  <si>
    <t xml:space="preserve">Money personality, terms, risk profile</t>
  </si>
  <si>
    <t xml:space="preserve">foundations.personality</t>
  </si>
  <si>
    <t xml:space="preserve">Personality type and money terms from the Discover answers; risk scale from the Understand me answers.</t>
  </si>
  <si>
    <t xml:space="preserve">Prof_Banner, Prof_Full</t>
  </si>
  <si>
    <t xml:space="preserve">9 Share with an expert</t>
  </si>
  <si>
    <t xml:space="preserve">Topics, checklist, four questions</t>
  </si>
  <si>
    <t xml:space="preserve">next.*</t>
  </si>
  <si>
    <t xml:space="preserve">Topics from the goals, the State Pension and protection gaps; checklist from what is missing; questions built from the retirement goal, pension room, the years before the pension can be drawn, protection and State Pension gaps.</t>
  </si>
  <si>
    <t xml:space="preserve">Tools_List, Missing_Count</t>
  </si>
  <si>
    <t xml:space="preserve">10 Assumptions</t>
  </si>
  <si>
    <t xml:space="preserve">What your plan assumes (12 rows) and small print</t>
  </si>
  <si>
    <t xml:space="preserve">assumptions.*</t>
  </si>
  <si>
    <t xml:space="preserve">Inflation, pay rises, cash, investment and pension growth, State Pension counted, tax year, monthly saving, emergency fund months, goal order, retirement age, plan end (plus partner and mortgage rows when they apply).</t>
  </si>
  <si>
    <t xml:space="preserve">AS_Infl, AS_Wage, AS_Cash, AS_Inv, AS_Pen, AS_PenRet, AS_End, AS_Months, Save_SaveM</t>
  </si>
  <si>
    <t xml:space="preserve">11 Appendix</t>
  </si>
  <si>
    <t xml:space="preserve">Every year in numbers</t>
  </si>
  <si>
    <t xml:space="preserve">appendix.rows[]</t>
  </si>
  <si>
    <t xml:space="preserve">One row per plan year: age, calendar year, income, needs, shortfall, savings left (future euros).</t>
  </si>
  <si>
    <t xml:space="preserve">Total note</t>
  </si>
  <si>
    <t xml:space="preserve">appendix.note</t>
  </si>
  <si>
    <t xml:space="preserve">Years with a shortfall, their sum in future euros and about the same in today's money.</t>
  </si>
  <si>
    <t xml:space="preserve">Chart_ShortYears, Chart_TotalShort</t>
  </si>
  <si>
    <t xml:space="preserve">Page 4 and 7</t>
  </si>
  <si>
    <t xml:space="preserve">Retirement age range and calm notes</t>
  </si>
  <si>
    <t xml:space="preserve">Step 7 text</t>
  </si>
  <si>
    <t xml:space="preserve">Any age from age + 1 to plan end - 1; a calm note below 50 and below 60 or the pension access age.</t>
  </si>
  <si>
    <t xml:space="preserve">Retire_Min, Retire_Max, Retire_RangeText, Retire_Note, PRet_Note</t>
  </si>
  <si>
    <t xml:space="preserve">SCENARIO INPUTS (live): the numbers the page 7 rows use</t>
  </si>
  <si>
    <t xml:space="preserve">Share of take-home for "save more" (a planning choice of the report)</t>
  </si>
  <si>
    <t xml:space="preserve">Rounded to the nearest</t>
  </si>
  <si>
    <t xml:space="preserve">Take-home pay a month (first plan year)</t>
  </si>
  <si>
    <t xml:space="preserve">N: save / pay this much more a month</t>
  </si>
  <si>
    <t xml:space="preserve">N/2: the extra in the last combined row</t>
  </si>
  <si>
    <t xml:space="preserve">Your top tax rate</t>
  </si>
  <si>
    <t xml:space="preserve">Pension at the limit: most you can claim relief on, a month (age band share of earnings up to the cap, less what you already pay, rounded down)</t>
  </si>
  <si>
    <t xml:space="preserve">Cost of that after tax relief, a month</t>
  </si>
  <si>
    <t xml:space="preserve">Gross a month for "pay N more after relief": N / (1 - tax rate)</t>
  </si>
  <si>
    <t xml:space="preserve">Gross a month for the combined row's extra: N/2 / (1 - tax rate)</t>
  </si>
  <si>
    <t xml:space="preserve">RUN THE PLAN WITH THESE OVERRIDES (on a copy of Plan inputs; one change at a time, then the combined rows)</t>
  </si>
  <si>
    <t xml:space="preserve">Row id</t>
  </si>
  <si>
    <t xml:space="preserve">Row</t>
  </si>
  <si>
    <t xml:space="preserve">Change these Plan inputs</t>
  </si>
  <si>
    <t xml:space="preserve">Then read</t>
  </si>
  <si>
    <t xml:space="preserve">retire60</t>
  </si>
  <si>
    <t xml:space="preserve">Retire at 60</t>
  </si>
  <si>
    <t xml:space="preserve">Plan inputs: retirement age = 60</t>
  </si>
  <si>
    <t xml:space="preserve">covered % = goal % of the lowest goal today; gap starts = Chart_FirstLivingAge</t>
  </si>
  <si>
    <t xml:space="preserve">save</t>
  </si>
  <si>
    <t xml:space="preserve">Plan inputs: monthly saving (what you save) = today's saving + Rep_MoreM (the saving is capped by spare money)</t>
  </si>
  <si>
    <t xml:space="preserve">same cells</t>
  </si>
  <si>
    <t xml:space="preserve">retire65</t>
  </si>
  <si>
    <t xml:space="preserve">Retire at 65</t>
  </si>
  <si>
    <t xml:space="preserve">Plan inputs: retirement age = 65</t>
  </si>
  <si>
    <t xml:space="preserve">Plan inputs: pension monthly total and "paid by you" each raised by Rep_LimitM</t>
  </si>
  <si>
    <t xml:space="preserve">statePension</t>
  </si>
  <si>
    <t xml:space="preserve">Plan inputs: State Pension = Expect full (and clear PRSI years and weekly amount)</t>
  </si>
  <si>
    <t xml:space="preserve">morePension</t>
  </si>
  <si>
    <t xml:space="preserve">Pay N more into a pension</t>
  </si>
  <si>
    <t xml:space="preserve">Plan inputs: pension monthly total and "paid by you" each raised by Rep_GrossMoreM</t>
  </si>
  <si>
    <t xml:space="preserve">c60pension</t>
  </si>
  <si>
    <t xml:space="preserve">Retire at 60 + pension at the limit</t>
  </si>
  <si>
    <t xml:space="preserve">retirement age = 60; pension raised by Rep_LimitM; State Pension = Expect full</t>
  </si>
  <si>
    <t xml:space="preserve">c60more</t>
  </si>
  <si>
    <t xml:space="preserve">... and N/2 more into a pension</t>
  </si>
  <si>
    <t xml:space="preserve">as c60pension and pension raised by a further Rep_GrossMoreM2</t>
  </si>
  <si>
    <t xml:space="preserve">c65pension</t>
  </si>
  <si>
    <t xml:space="preserve">Retire at 65 + pension at the limit</t>
  </si>
  <si>
    <t xml:space="preserve">retirement age = 65; pension raised by Rep_LimitM; State Pension = Expect full</t>
  </si>
  <si>
    <t xml:space="preserve">Read: the covered % of the goal with the lowest covered % today (GR*_Pct) and the first year everyday costs are not covered (Chart_FirstLivingAge). Rows that do not improve on today are dropped; rows are sorted by covered %.</t>
  </si>
  <si>
    <t xml:space="preserve">UI Guide: how to read the UI layer of this workbook</t>
  </si>
  <si>
    <t xml:space="preserve">What this is</t>
  </si>
  <si>
    <t xml:space="preserve">The developer sheets (C01 to C28, the Plan sheets, Tax engine, Settings and the others) hold the formulas. The four "UI" sheets (teal tabs, listed below with links) show the same 28 calculators, and the Make-my-plan journey with its journey-spec 27 states, as they look in the LifeMap application, so the UI/UX person and the developer work from one file.</t>
  </si>
  <si>
    <t xml:space="preserve">Where it comes from</t>
  </si>
  <si>
    <t xml:space="preserve">Every label, range, start value, chip, help text and picture was read from the running prototype (LifeGoals-Customer-Journey-Prototype.html at commit 8c3d4ca) by tools/extract_ui.js with a real browser. Nothing was typed by hand. Re-run tools/build_ui_sheets.py on the final workbook to refresh it.</t>
  </si>
  <si>
    <t xml:space="preserve">How to read UI Calculators</t>
  </si>
  <si>
    <t xml:space="preserve">One row per element of a screen, top to bottom. Filter column A for a calculator or column G for an element type. The "Developer ..." columns point to the cell in that calculator's developer sheet (click the sheet name to jump to the cell). The last column compares the screen with that cell.</t>
  </si>
  <si>
    <t xml:space="preserve">"Without a plan" and "With a plan"</t>
  </si>
  <si>
    <t xml:space="preserve">Without a plan: the tool opened from Explore with no profile; it shows its own example figures, labelled "Example figures. Change them to yours." With a plan: the Aoife sample customer, whose own figures fill the inputs. Results without a plan are read after the standards are chosen.</t>
  </si>
  <si>
    <t xml:space="preserve">Developer vs screen</t>
  </si>
  <si>
    <t xml:space="preserve">Slider ranges on screen are narrower than the developer's allowed ranges by design. The last column says "default same" or "DEFAULT DIFFERS" for the start value, and whether the slider range sits inside the developer's allowed range. A blank start on screen means the customer must choose (journey-spec §14); the developer sheet may carry an example default.</t>
  </si>
  <si>
    <t xml:space="preserve">Screenshots</t>
  </si>
  <si>
    <t xml:space="preserve">UI Screens has two pictures per calculator (390 px wide, without a plan and with the sample plan) next to the row range in UI Calculators; a third picture (retiring at 50) for each tool that follows the retirement age. UI Make my plan has the picture of each step and of each journey-spec 27 state beside its rows.</t>
  </si>
  <si>
    <t xml:space="preserve">Journey-spec 27 states</t>
  </si>
  <si>
    <t xml:space="preserve">UI Make my plan also shows the states added by journey-spec 27: the "To see your results we need N things" card on Results, Home and the Report (1 to 4 things, with and without a working partner) and its jump buttons; Step 7 "Choose 3 / 4 things" and "What we've set for you (change any)" with the tags Set by LifeMap, Your choice, Assumed: add yours, Not chosen yet and the "Back to LifeMap's figure" button; the free retirement age (help text and the two calm notes, for the customer and the partner); "Date has passed" with "Change the date"; early-retirement results (income stops, bridge years, shortfall); and the "N details missing" banner with the Assumed rows. Each state starts with a "Screen state" row. The Settings standards table lists all 47 standards, including "Pension access age" (From 60 (most pensions) / From 50 (some occupational schemes)).</t>
  </si>
  <si>
    <t xml:space="preserve">The four UI sheets (all in this workbook; click to open)</t>
  </si>
  <si>
    <t xml:space="preserve">UI Guide</t>
  </si>
  <si>
    <t xml:space="preserve">This sheet: how to read the layer, the colour legend, the screen order and links to every sheet.</t>
  </si>
  <si>
    <t xml:space="preserve">UI Calculators</t>
  </si>
  <si>
    <t xml:space="preserve">One row per screen element of the 28 calculators, with the developer cell each maps to and a check against it.</t>
  </si>
  <si>
    <t xml:space="preserve">UI Screens</t>
  </si>
  <si>
    <t xml:space="preserve">A 390 px picture of each calculator, without a plan and with the sample plan (and retiring at 50 where it matters).</t>
  </si>
  <si>
    <t xml:space="preserve">UI Make my plan</t>
  </si>
  <si>
    <t xml:space="preserve">One row per element of the eight steps, the results, the journey-spec 27 states and the Settings standards, with the pictures.</t>
  </si>
  <si>
    <t xml:space="preserve">Colour legend (element type column)</t>
  </si>
  <si>
    <t xml:space="preserve">Input slider</t>
  </si>
  <si>
    <t xml:space="preserve">A figure the customer sets with a slider and a typed box (min, max and step are shown).</t>
  </si>
  <si>
    <t xml:space="preserve">Input text</t>
  </si>
  <si>
    <t xml:space="preserve">A box the customer types in.</t>
  </si>
  <si>
    <t xml:space="preserve">Input choice</t>
  </si>
  <si>
    <t xml:space="preserve">A Yes/No pair, chips, ticks or a list: the options are in the "Choice / chip" column.</t>
  </si>
  <si>
    <t xml:space="preserve">Gate message</t>
  </si>
  <si>
    <t xml:space="preserve">What the result card says until a choice is made ("Choose your ... to see this").</t>
  </si>
  <si>
    <t xml:space="preserve">Result / Result line / Sub-result row</t>
  </si>
  <si>
    <t xml:space="preserve">The big result, the sentence under it and the small rows below it.</t>
  </si>
  <si>
    <t xml:space="preserve">Note / Tip / Example-figures label / Disclaimer</t>
  </si>
  <si>
    <t xml:space="preserve">Text that explains, with no input.</t>
  </si>
  <si>
    <t xml:space="preserve">Button / Link</t>
  </si>
  <si>
    <t xml:space="preserve">Something the customer taps; the behaviour is in the "Help / behaviour" column.</t>
  </si>
  <si>
    <t xml:space="preserve">Screen state</t>
  </si>
  <si>
    <t xml:space="preserve">First row of a journey-spec 27 state in UI Make my plan: what the state is and what to look at. The rows under it are what the screen shows in that state.</t>
  </si>
  <si>
    <t xml:space="preserve">Screen order in the app</t>
  </si>
  <si>
    <t xml:space="preserve">The Explore tab: "Focus on one area" tiles, the Calculators list in six groups, videos and tools.</t>
  </si>
  <si>
    <t xml:space="preserve">Calculators · Home &amp; Mortgage</t>
  </si>
  <si>
    <t xml:space="preserve">C01 How much could I borrow?, C02 Monthly mortgage repayment, C03 Deposit calculator, C04 Mortgage overpayment, C05 Interest-rate impact, C06 Mortgage term comparison, C07 Rent vs buy</t>
  </si>
  <si>
    <t xml:space="preserve">Calculators · Savings &amp; Goals</t>
  </si>
  <si>
    <t xml:space="preserve">C08 Goal planner, C09 Compound growth, C11 Emergency fund</t>
  </si>
  <si>
    <t xml:space="preserve">Calculators · Pensions &amp; Retirement</t>
  </si>
  <si>
    <t xml:space="preserve">C12 Retirement projection, C13 Contribution impact, C14 AVC impact, C15 Will my money last?, C16 Retirement drawdown scenarios</t>
  </si>
  <si>
    <t xml:space="preserve">Calculators · Investments</t>
  </si>
  <si>
    <t xml:space="preserve">C10 Lump-sum growth, C17 Inflation-adjusted return, C18 Regular investing, C19 Fees impact, C20 Risk &amp; return simulator</t>
  </si>
  <si>
    <t xml:space="preserve">Calculators · Protection</t>
  </si>
  <si>
    <t xml:space="preserve">C21 Life cover estimator, C22 Income protection gap, C23 Mortgage protection</t>
  </si>
  <si>
    <t xml:space="preserve">Calculators · Everyday Money</t>
  </si>
  <si>
    <t xml:space="preserve">C24 Net worth, C25 Monthly surplus, C26 Budget (50/30/20), C27 Debt repayment, C28 Loan repayment</t>
  </si>
  <si>
    <t xml:space="preserve">Make my plan: steps 1 to 8, Results and the journey-spec 27 states</t>
  </si>
  <si>
    <t xml:space="preserve">Rows in UI Make my plan</t>
  </si>
  <si>
    <t xml:space="preserve">ME-ASM</t>
  </si>
  <si>
    <t xml:space="preserve">Your assumptions (the Settings standards)</t>
  </si>
  <si>
    <t xml:space="preserve">rows 5 to 305</t>
  </si>
  <si>
    <t xml:space="preserve">B1</t>
  </si>
  <si>
    <t xml:space="preserve">1 · About you &amp; family</t>
  </si>
  <si>
    <t xml:space="preserve">rows 306 to 391</t>
  </si>
  <si>
    <t xml:space="preserve">F1</t>
  </si>
  <si>
    <t xml:space="preserve">2 · Your goals</t>
  </si>
  <si>
    <t xml:space="preserve">rows 392 to 457</t>
  </si>
  <si>
    <t xml:space="preserve">F2</t>
  </si>
  <si>
    <t xml:space="preserve">3 · Your timeline (drag)</t>
  </si>
  <si>
    <t xml:space="preserve">rows 458 to 587</t>
  </si>
  <si>
    <t xml:space="preserve">F4</t>
  </si>
  <si>
    <t xml:space="preserve">3 · Confirm my LifeMap</t>
  </si>
  <si>
    <t xml:space="preserve">rows 588 to 652</t>
  </si>
  <si>
    <t xml:space="preserve">B4</t>
  </si>
  <si>
    <t xml:space="preserve">4 · Your money profile</t>
  </si>
  <si>
    <t xml:space="preserve">rows 653 to 921</t>
  </si>
  <si>
    <t xml:space="preserve">P1</t>
  </si>
  <si>
    <t xml:space="preserve">5 · Secure your account</t>
  </si>
  <si>
    <t xml:space="preserve">rows 922 to 972</t>
  </si>
  <si>
    <t xml:space="preserve">P1E</t>
  </si>
  <si>
    <t xml:space="preserve">5 · Email code</t>
  </si>
  <si>
    <t xml:space="preserve">rows 973 to 1008</t>
  </si>
  <si>
    <t xml:space="preserve">P2</t>
  </si>
  <si>
    <t xml:space="preserve">6 · Your finances hub</t>
  </si>
  <si>
    <t xml:space="preserve">rows 1009 to 1070</t>
  </si>
  <si>
    <t xml:space="preserve">P3 section 1 About you</t>
  </si>
  <si>
    <t xml:space="preserve">6 · Your finances: section · section 1 About you</t>
  </si>
  <si>
    <t xml:space="preserve">rows 1071 to 1159</t>
  </si>
  <si>
    <t xml:space="preserve">P3 section 2 Income and expenses</t>
  </si>
  <si>
    <t xml:space="preserve">6 · Your finances: section · section 2 Income and expenses</t>
  </si>
  <si>
    <t xml:space="preserve">rows 1160 to 1256</t>
  </si>
  <si>
    <t xml:space="preserve">P3 section 3 Assets</t>
  </si>
  <si>
    <t xml:space="preserve">6 · Your finances: section · section 3 Assets</t>
  </si>
  <si>
    <t xml:space="preserve">rows 1257 to 1349</t>
  </si>
  <si>
    <t xml:space="preserve">P3 section 4 Liabilities</t>
  </si>
  <si>
    <t xml:space="preserve">6 · Your finances: section · section 4 Liabilities</t>
  </si>
  <si>
    <t xml:space="preserve">rows 1350 to 1533</t>
  </si>
  <si>
    <t xml:space="preserve">P3 section 5 Protection</t>
  </si>
  <si>
    <t xml:space="preserve">6 · Your finances: section · section 5 Protection</t>
  </si>
  <si>
    <t xml:space="preserve">rows 1534 to 1675</t>
  </si>
  <si>
    <t xml:space="preserve">P3 section 6 Pension</t>
  </si>
  <si>
    <t xml:space="preserve">6 · Your finances: section · section 6 Pension</t>
  </si>
  <si>
    <t xml:space="preserve">rows 1676 to 1784</t>
  </si>
  <si>
    <t xml:space="preserve">P4</t>
  </si>
  <si>
    <t xml:space="preserve">7 · Check your details</t>
  </si>
  <si>
    <t xml:space="preserve">rows 1785 to 2085</t>
  </si>
  <si>
    <t xml:space="preserve">P4-start start: nothing chosen yet</t>
  </si>
  <si>
    <t xml:space="preserve">7 · Check your details · start: nothing chosen yet</t>
  </si>
  <si>
    <t xml:space="preserve">rows 2086 to 2386</t>
  </si>
  <si>
    <t xml:space="preserve">HOME</t>
  </si>
  <si>
    <t xml:space="preserve">Home dashboard</t>
  </si>
  <si>
    <t xml:space="preserve">rows 2387 to 2468</t>
  </si>
  <si>
    <t xml:space="preserve">PLAN</t>
  </si>
  <si>
    <t xml:space="preserve">My Plan (timeline + results)</t>
  </si>
  <si>
    <t xml:space="preserve">rows 2469 to 2747</t>
  </si>
  <si>
    <t xml:space="preserve">PLAN-WI</t>
  </si>
  <si>
    <t xml:space="preserve">My Plan: What if…? card</t>
  </si>
  <si>
    <t xml:space="preserve">rows 2748 to 2770</t>
  </si>
  <si>
    <t xml:space="preserve">PLAN-RANK</t>
  </si>
  <si>
    <t xml:space="preserve">My Plan: goal ranking</t>
  </si>
  <si>
    <t xml:space="preserve">rows 2771 to 2788</t>
  </si>
  <si>
    <t xml:space="preserve">HOME-FND</t>
  </si>
  <si>
    <t xml:space="preserve">Home: Your financial foundations</t>
  </si>
  <si>
    <t xml:space="preserve">rows 2789 to 2794</t>
  </si>
  <si>
    <t xml:space="preserve">ME-MONEY</t>
  </si>
  <si>
    <t xml:space="preserve">My money</t>
  </si>
  <si>
    <t xml:space="preserve">rows 2795 to 2851</t>
  </si>
  <si>
    <t xml:space="preserve">ME-CHK</t>
  </si>
  <si>
    <t xml:space="preserve">Your first answers (re-check)</t>
  </si>
  <si>
    <t xml:space="preserve">rows 2852 to 2904</t>
  </si>
  <si>
    <t xml:space="preserve">XPL</t>
  </si>
  <si>
    <t xml:space="preserve">Explore (with a plan)</t>
  </si>
  <si>
    <t xml:space="preserve">rows 2905 to 3035</t>
  </si>
  <si>
    <t xml:space="preserve">S27-G-R4</t>
  </si>
  <si>
    <t xml:space="preserve">Results gate: 4 things (partner works)</t>
  </si>
  <si>
    <t xml:space="preserve">rows 3038 to 3114</t>
  </si>
  <si>
    <t xml:space="preserve">S27-G-R3P</t>
  </si>
  <si>
    <t xml:space="preserve">Results gate: 3 things (partner works)</t>
  </si>
  <si>
    <t xml:space="preserve">rows 3115 to 3188</t>
  </si>
  <si>
    <t xml:space="preserve">S27-G-R2P</t>
  </si>
  <si>
    <t xml:space="preserve">Results gate: 2 things (partner works)</t>
  </si>
  <si>
    <t xml:space="preserve">rows 3189 to 3258</t>
  </si>
  <si>
    <t xml:space="preserve">S27-G-R1P</t>
  </si>
  <si>
    <t xml:space="preserve">Results gate: 1 thing (partner works)</t>
  </si>
  <si>
    <t xml:space="preserve">rows 3259 to 3328</t>
  </si>
  <si>
    <t xml:space="preserve">S27-G-R3</t>
  </si>
  <si>
    <t xml:space="preserve">Results gate: 3 things (no working partner)</t>
  </si>
  <si>
    <t xml:space="preserve">rows 3329 to 3402</t>
  </si>
  <si>
    <t xml:space="preserve">S27-G-R2</t>
  </si>
  <si>
    <t xml:space="preserve">Results gate: 2 things (no working partner)</t>
  </si>
  <si>
    <t xml:space="preserve">rows 3403 to 3472</t>
  </si>
  <si>
    <t xml:space="preserve">S27-G-R1</t>
  </si>
  <si>
    <t xml:space="preserve">Results gate: 1 thing (no working partner)</t>
  </si>
  <si>
    <t xml:space="preserve">rows 3473 to 3542</t>
  </si>
  <si>
    <t xml:space="preserve">S27-G-H4</t>
  </si>
  <si>
    <t xml:space="preserve">Home gate: 4 things (partner works)</t>
  </si>
  <si>
    <t xml:space="preserve">rows 3543 to 3578</t>
  </si>
  <si>
    <t xml:space="preserve">S27-G-H3</t>
  </si>
  <si>
    <t xml:space="preserve">Home gate: 3 things (no working partner)</t>
  </si>
  <si>
    <t xml:space="preserve">rows 3579 to 3614</t>
  </si>
  <si>
    <t xml:space="preserve">S27-G-H1</t>
  </si>
  <si>
    <t xml:space="preserve">Home gate: 1 thing (no working partner)</t>
  </si>
  <si>
    <t xml:space="preserve">rows 3615 to 3650</t>
  </si>
  <si>
    <t xml:space="preserve">S27-G-P4</t>
  </si>
  <si>
    <t xml:space="preserve">Report / PDF gate: 4 things (partner works)</t>
  </si>
  <si>
    <t xml:space="preserve">rows 3651 to 3727</t>
  </si>
  <si>
    <t xml:space="preserve">S27-G-P3</t>
  </si>
  <si>
    <t xml:space="preserve">Report / PDF gate: 3 things (no working partner)</t>
  </si>
  <si>
    <t xml:space="preserve">rows 3728 to 3801</t>
  </si>
  <si>
    <t xml:space="preserve">S27-G-P1</t>
  </si>
  <si>
    <t xml:space="preserve">Report / PDF gate: 1 thing (no working partner)</t>
  </si>
  <si>
    <t xml:space="preserve">rows 3802 to 3871</t>
  </si>
  <si>
    <t xml:space="preserve">S27-G-JUMP</t>
  </si>
  <si>
    <t xml:space="preserve">Gate: after tapping Choose (Inflation) the box is highlighted in Your assumptions</t>
  </si>
  <si>
    <t xml:space="preserve">rows 3872 to 4172</t>
  </si>
  <si>
    <t xml:space="preserve">S27-S7-3</t>
  </si>
  <si>
    <t xml:space="preserve">7 · Choose 3 things (no working partner), none chosen</t>
  </si>
  <si>
    <t xml:space="preserve">rows 4174 to 4474</t>
  </si>
  <si>
    <t xml:space="preserve">S27-S7-3C</t>
  </si>
  <si>
    <t xml:space="preserve">7 · Choose 3 things (no working partner), all chosen</t>
  </si>
  <si>
    <t xml:space="preserve">rows 4475 to 4775</t>
  </si>
  <si>
    <t xml:space="preserve">S27-S7-4P</t>
  </si>
  <si>
    <t xml:space="preserve">7 · Choose 4 things (partner works), 2 of 4 chosen</t>
  </si>
  <si>
    <t xml:space="preserve">rows 4776 to 5076</t>
  </si>
  <si>
    <t xml:space="preserve">S27-S7-LIST</t>
  </si>
  <si>
    <t xml:space="preserve">7 · What we've set for you (change any): opened, with Your choice and Back to LifeMap's figure</t>
  </si>
  <si>
    <t xml:space="preserve">rows 5077 to 5377</t>
  </si>
  <si>
    <t xml:space="preserve">S27-S7-ASSUMED</t>
  </si>
  <si>
    <t xml:space="preserve">7 · Details we assumed: "Assumed: add yours" rows and the N details missing count</t>
  </si>
  <si>
    <t xml:space="preserve">rows 5378 to 5678</t>
  </si>
  <si>
    <t xml:space="preserve">S27-RA-C-45</t>
  </si>
  <si>
    <t xml:space="preserve">7 · Retirement age 45: free choice with a calm note (below 50)</t>
  </si>
  <si>
    <t xml:space="preserve">rows 5680 to 5980</t>
  </si>
  <si>
    <t xml:space="preserve">S27-RA-C-55</t>
  </si>
  <si>
    <t xml:space="preserve">7 · Retirement age 55: free choice with a calm note (below 60)</t>
  </si>
  <si>
    <t xml:space="preserve">rows 5981 to 6281</t>
  </si>
  <si>
    <t xml:space="preserve">S27-RA-P-45</t>
  </si>
  <si>
    <t xml:space="preserve">7 · Partner's retirement age 45: free choice with a calm note (below 50)</t>
  </si>
  <si>
    <t xml:space="preserve">rows 6282 to 6582</t>
  </si>
  <si>
    <t xml:space="preserve">S27-RA-P-55</t>
  </si>
  <si>
    <t xml:space="preserve">7 · Partner's retirement age 55: free choice with a calm note (below 60)</t>
  </si>
  <si>
    <t xml:space="preserve">rows 6583 to 6883</t>
  </si>
  <si>
    <t xml:space="preserve">S27-RA-C-63</t>
  </si>
  <si>
    <t xml:space="preserve">7 · Retirement age 63: no note</t>
  </si>
  <si>
    <t xml:space="preserve">rows 6884 to 7184</t>
  </si>
  <si>
    <t xml:space="preserve">S27-DP-PLAN</t>
  </si>
  <si>
    <t xml:space="preserve">Results: goals whose age is in the past ("Date has passed")</t>
  </si>
  <si>
    <t xml:space="preserve">rows 7186 to 7474</t>
  </si>
  <si>
    <t xml:space="preserve">S27-DP-HOME</t>
  </si>
  <si>
    <t xml:space="preserve">Home: goals at a glance with "Date has passed"</t>
  </si>
  <si>
    <t xml:space="preserve">rows 7475 to 7560</t>
  </si>
  <si>
    <t xml:space="preserve">S27-DP-F4</t>
  </si>
  <si>
    <t xml:space="preserve">3 · Confirm my LifeMap with "Date has passed"</t>
  </si>
  <si>
    <t xml:space="preserve">rows 7561 to 7628</t>
  </si>
  <si>
    <t xml:space="preserve">S27-ER-50-50</t>
  </si>
  <si>
    <t xml:space="preserve">Results: retiring at 50 · Income stops: the year retirement starts (age 50)</t>
  </si>
  <si>
    <t xml:space="preserve">rows 7630 to 7930</t>
  </si>
  <si>
    <t xml:space="preserve">S27-ER-50-55</t>
  </si>
  <si>
    <t xml:space="preserve">Results: retiring at 50 · Bridge year: age 55, before the pension can be drawn (60) and the State Pension (66)</t>
  </si>
  <si>
    <t xml:space="preserve">rows 7931 to 8231</t>
  </si>
  <si>
    <t xml:space="preserve">S27-ER-50-60</t>
  </si>
  <si>
    <t xml:space="preserve">Results: retiring at 50 · Pension drawn from 60</t>
  </si>
  <si>
    <t xml:space="preserve">rows 8232 to 8532</t>
  </si>
  <si>
    <t xml:space="preserve">S27-ER-45-J</t>
  </si>
  <si>
    <t xml:space="preserve">Results: retiring at 45 · Retiring at 45: the road turns coral where money runs short</t>
  </si>
  <si>
    <t xml:space="preserve">rows 8533 to 8816</t>
  </si>
  <si>
    <t xml:space="preserve">S27-ER-55-ACC50</t>
  </si>
  <si>
    <t xml:space="preserve">Results: retiring at 55 with the pension access age set to 50 (occupational scheme)</t>
  </si>
  <si>
    <t xml:space="preserve">rows 8817 to 9116</t>
  </si>
  <si>
    <t xml:space="preserve">S27-ER-HOME</t>
  </si>
  <si>
    <t xml:space="preserve">Home: retiring at 50</t>
  </si>
  <si>
    <t xml:space="preserve">rows 9117 to 9198</t>
  </si>
  <si>
    <t xml:space="preserve">S27-ER-NOP</t>
  </si>
  <si>
    <t xml:space="preserve">Results: retiring at 45, no working partner, detail year 50</t>
  </si>
  <si>
    <t xml:space="preserve">rows 9199 to 9499</t>
  </si>
  <si>
    <t xml:space="preserve">S27-BN-1</t>
  </si>
  <si>
    <t xml:space="preserve">Results: "1 detail missing" banner</t>
  </si>
  <si>
    <t xml:space="preserve">rows 9501 to 9779</t>
  </si>
  <si>
    <t xml:space="preserve">S27-BN-N</t>
  </si>
  <si>
    <t xml:space="preserve">Results: "N details missing" banner (assumed figures)</t>
  </si>
  <si>
    <t xml:space="preserve">rows 9780 to 10058</t>
  </si>
  <si>
    <t xml:space="preserve">Links to every sheet</t>
  </si>
  <si>
    <t xml:space="preserve">Calculator</t>
  </si>
  <si>
    <t xml:space="preserve">Developer sheet</t>
  </si>
  <si>
    <t xml:space="preserve">UI rows</t>
  </si>
  <si>
    <t xml:space="preserve">Picture</t>
  </si>
  <si>
    <t xml:space="preserve">C01 How much could I borrow?</t>
  </si>
  <si>
    <t xml:space="preserve">C01 Borrowing</t>
  </si>
  <si>
    <t xml:space="preserve">rows 5 to 26</t>
  </si>
  <si>
    <t xml:space="preserve">see UI Screens</t>
  </si>
  <si>
    <t xml:space="preserve">C02 Monthly mortgage repayment</t>
  </si>
  <si>
    <t xml:space="preserve">C02 Mortgage repayment</t>
  </si>
  <si>
    <t xml:space="preserve">rows 27 to 42</t>
  </si>
  <si>
    <t xml:space="preserve">C03 Deposit calculator</t>
  </si>
  <si>
    <t xml:space="preserve">C03 Deposit</t>
  </si>
  <si>
    <t xml:space="preserve">rows 43 to 60</t>
  </si>
  <si>
    <t xml:space="preserve">C04 Mortgage overpayment</t>
  </si>
  <si>
    <t xml:space="preserve">rows 61 to 76</t>
  </si>
  <si>
    <t xml:space="preserve">C05 Interest-rate impact</t>
  </si>
  <si>
    <t xml:space="preserve">C05 Interest rate impact</t>
  </si>
  <si>
    <t xml:space="preserve">rows 77 to 92</t>
  </si>
  <si>
    <t xml:space="preserve">C06 Mortgage term comparison</t>
  </si>
  <si>
    <t xml:space="preserve">C06 Term comparison</t>
  </si>
  <si>
    <t xml:space="preserve">rows 93 to 109</t>
  </si>
  <si>
    <t xml:space="preserve">C07 Rent vs buy</t>
  </si>
  <si>
    <t xml:space="preserve">rows 110 to 133</t>
  </si>
  <si>
    <t xml:space="preserve">C08 Goal planner</t>
  </si>
  <si>
    <t xml:space="preserve">rows 134 to 150</t>
  </si>
  <si>
    <t xml:space="preserve">C09 Compound growth</t>
  </si>
  <si>
    <t xml:space="preserve">rows 151 to 166</t>
  </si>
  <si>
    <t xml:space="preserve">C10 Lump-sum growth</t>
  </si>
  <si>
    <t xml:space="preserve">C10 Lump sum growth</t>
  </si>
  <si>
    <t xml:space="preserve">rows 167 to 184</t>
  </si>
  <si>
    <t xml:space="preserve">C11 Emergency fund</t>
  </si>
  <si>
    <t xml:space="preserve">rows 185 to 198</t>
  </si>
  <si>
    <t xml:space="preserve">C12 Retirement projection</t>
  </si>
  <si>
    <t xml:space="preserve">rows 199 to 233</t>
  </si>
  <si>
    <t xml:space="preserve">C13 Contribution impact</t>
  </si>
  <si>
    <t xml:space="preserve">rows 234 to 255</t>
  </si>
  <si>
    <t xml:space="preserve">C14 AVC impact</t>
  </si>
  <si>
    <t xml:space="preserve">rows 256 to 279</t>
  </si>
  <si>
    <t xml:space="preserve">C15 Will my money last?</t>
  </si>
  <si>
    <t xml:space="preserve">C15 Will my money last</t>
  </si>
  <si>
    <t xml:space="preserve">rows 280 to 300</t>
  </si>
  <si>
    <t xml:space="preserve">C16 Retirement drawdown scenarios</t>
  </si>
  <si>
    <t xml:space="preserve">C16 Drawdown scenarios</t>
  </si>
  <si>
    <t xml:space="preserve">rows 301 to 322</t>
  </si>
  <si>
    <t xml:space="preserve">C17 Inflation-adjusted return</t>
  </si>
  <si>
    <t xml:space="preserve">C17 Inflation adjusted return</t>
  </si>
  <si>
    <t xml:space="preserve">rows 323 to 337</t>
  </si>
  <si>
    <t xml:space="preserve">C18 Regular investing</t>
  </si>
  <si>
    <t xml:space="preserve">rows 338 to 354</t>
  </si>
  <si>
    <t xml:space="preserve">C19 Fees impact</t>
  </si>
  <si>
    <t xml:space="preserve">rows 355 to 370</t>
  </si>
  <si>
    <t xml:space="preserve">C20 Risk &amp; return simulator</t>
  </si>
  <si>
    <t xml:space="preserve">C20 Risk and return</t>
  </si>
  <si>
    <t xml:space="preserve">rows 371 to 390</t>
  </si>
  <si>
    <t xml:space="preserve">C21 Life cover estimator</t>
  </si>
  <si>
    <t xml:space="preserve">C21 Life cover</t>
  </si>
  <si>
    <t xml:space="preserve">rows 391 to 411</t>
  </si>
  <si>
    <t xml:space="preserve">C22 Income protection gap</t>
  </si>
  <si>
    <t xml:space="preserve">rows 412 to 429</t>
  </si>
  <si>
    <t xml:space="preserve">C23 Mortgage protection</t>
  </si>
  <si>
    <t xml:space="preserve">rows 430 to 444</t>
  </si>
  <si>
    <t xml:space="preserve">C24 Net worth</t>
  </si>
  <si>
    <t xml:space="preserve">rows 445 to 460</t>
  </si>
  <si>
    <t xml:space="preserve">C25 Monthly surplus</t>
  </si>
  <si>
    <t xml:space="preserve">rows 461 to 474</t>
  </si>
  <si>
    <t xml:space="preserve">C26 Budget (50/30/20)</t>
  </si>
  <si>
    <t xml:space="preserve">C26 Budget 50 30 20</t>
  </si>
  <si>
    <t xml:space="preserve">rows 475 to 489</t>
  </si>
  <si>
    <t xml:space="preserve">C27 Debt repayment</t>
  </si>
  <si>
    <t xml:space="preserve">rows 490 to 502</t>
  </si>
  <si>
    <t xml:space="preserve">C28 Loan repayment</t>
  </si>
  <si>
    <t xml:space="preserve">rows 503 to 516</t>
  </si>
  <si>
    <t xml:space="preserve">README (developer)</t>
  </si>
  <si>
    <t xml:space="preserve">README</t>
  </si>
  <si>
    <t xml:space="preserve">Plan inputs (developer)</t>
  </si>
  <si>
    <t xml:space="preserve">Plan pay &amp; tax (developer)</t>
  </si>
  <si>
    <t xml:space="preserve">Plan cashflow (developer)</t>
  </si>
  <si>
    <t xml:space="preserve">Plan goals (developer)</t>
  </si>
  <si>
    <t xml:space="preserve">Plan results (developer)</t>
  </si>
  <si>
    <t xml:space="preserve">Plan profile (developer)</t>
  </si>
  <si>
    <t xml:space="preserve">Plan debt months (developer)</t>
  </si>
  <si>
    <t xml:space="preserve">Plan how it works (developer)</t>
  </si>
  <si>
    <t xml:space="preserve">Plan how it works</t>
  </si>
  <si>
    <t xml:space="preserve">Calculation register (developer)</t>
  </si>
  <si>
    <t xml:space="preserve">Tax engine (developer)</t>
  </si>
  <si>
    <t xml:space="preserve">Document reader spec (developer)</t>
  </si>
  <si>
    <t xml:space="preserve">Your lists (developer)</t>
  </si>
  <si>
    <t xml:space="preserve">Your lists</t>
  </si>
  <si>
    <t xml:space="preserve">Settings (developer)</t>
  </si>
  <si>
    <t xml:space="preserve">Settings</t>
  </si>
  <si>
    <t xml:space="preserve">Assumptions (developer)</t>
  </si>
  <si>
    <t xml:space="preserve">Report spec (developer)</t>
  </si>
  <si>
    <t xml:space="preserve">Report spec</t>
  </si>
  <si>
    <t xml:space="preserve">UI Calculators: one row per screen element of the 28 calculators, read from the live prototype (LifeGoals-Customer-Journey-Prototype.html)</t>
  </si>
  <si>
    <t xml:space="preserve">"Without a plan" = opened from Explore with no profile (the tool shows its own example figures, labelled). "With a plan" = the Aoife sample customer. Results "without a plan" are shown after the standards are chosen. Colours: see UI Guide. Developer columns come from the developer sheet of the same calculator in this workbook.</t>
  </si>
  <si>
    <t xml:space="preserve">Explore group</t>
  </si>
  <si>
    <t xml:space="preserve">Calculator title</t>
  </si>
  <si>
    <t xml:space="preserve">#</t>
  </si>
  <si>
    <t xml:space="preserve">Element type</t>
  </si>
  <si>
    <t xml:space="preserve">Where on the screen</t>
  </si>
  <si>
    <t xml:space="preserve">Label exactly as shown</t>
  </si>
  <si>
    <t xml:space="preserve">Min</t>
  </si>
  <si>
    <t xml:space="preserve">Max</t>
  </si>
  <si>
    <t xml:space="preserve">Step</t>
  </si>
  <si>
    <t xml:space="preserve">Starts at WITHOUT a plan (as the screen shows it)</t>
  </si>
  <si>
    <t xml:space="preserve">Starts at WITH a plan (Aoife sample)</t>
  </si>
  <si>
    <t xml:space="preserve">Where the with-plan figure comes from</t>
  </si>
  <si>
    <t xml:space="preserve">Choice / chip text</t>
  </si>
  <si>
    <t xml:space="preserve">Help / hint / behaviour</t>
  </si>
  <si>
    <t xml:space="preserve">Tags shown</t>
  </si>
  <si>
    <t xml:space="preserve">Developer name (sheet!name)</t>
  </si>
  <si>
    <t xml:space="preserve">Developer cell</t>
  </si>
  <si>
    <t xml:space="preserve">Developer default (example value)</t>
  </si>
  <si>
    <t xml:space="preserve">Developer allowed range (validation)</t>
  </si>
  <si>
    <t xml:space="preserve">Screen vs developer sheet</t>
  </si>
  <si>
    <t xml:space="preserve">How much could I borrow?</t>
  </si>
  <si>
    <t xml:space="preserve">Example-figures label</t>
  </si>
  <si>
    <t xml:space="preserve">Top of the screen</t>
  </si>
  <si>
    <t xml:space="preserve">Example figures. Change them to yours.</t>
  </si>
  <si>
    <t xml:space="preserve">Shown (no plan)</t>
  </si>
  <si>
    <t xml:space="preserve">Hidden</t>
  </si>
  <si>
    <t xml:space="preserve">Shown while any input still holds an example figure; hidden once the customer has their own figures or a plan (journey-spec §26).</t>
  </si>
  <si>
    <t xml:space="preserve">Note</t>
  </si>
  <si>
    <t xml:space="preserve">Category line (the Explore group).</t>
  </si>
  <si>
    <t xml:space="preserve">Inputs</t>
  </si>
  <si>
    <t xml:space="preserve">€60,000</t>
  </si>
  <si>
    <t xml:space="preserve">€58,000</t>
  </si>
  <si>
    <t xml:space="preserve">Your finances / plan: Your gross yearly income</t>
  </si>
  <si>
    <t xml:space="preserve">C01 Borrowing!Income</t>
  </si>
  <si>
    <t xml:space="preserve">G6</t>
  </si>
  <si>
    <t xml:space="preserve">15000 to 2.5e+06</t>
  </si>
  <si>
    <t xml:space="preserve">default same (60000); slider 15000 to 250000 is inside the developer range</t>
  </si>
  <si>
    <t xml:space="preserve">€0</t>
  </si>
  <si>
    <t xml:space="preserve">€22,000</t>
  </si>
  <si>
    <t xml:space="preserve">Your finances / plan: Partner's gross yearly income</t>
  </si>
  <si>
    <t xml:space="preserve">C01 Borrowing!Partner_Income</t>
  </si>
  <si>
    <t xml:space="preserve">G7</t>
  </si>
  <si>
    <t xml:space="preserve">0 to 2.5e+06</t>
  </si>
  <si>
    <t xml:space="preserve">default same (0); slider 0 to 250000 is inside the developer range</t>
  </si>
  <si>
    <t xml:space="preserve">€25,000</t>
  </si>
  <si>
    <t xml:space="preserve">The tool's own example figure (the plan has nothing for it)</t>
  </si>
  <si>
    <t xml:space="preserve">C01 Borrowing!Deposit</t>
  </si>
  <si>
    <t xml:space="preserve">G8</t>
  </si>
  <si>
    <t xml:space="preserve">0 to 2e+06</t>
  </si>
  <si>
    <t xml:space="preserve">default same (25000); slider 0 to 200000 is inside the developer range</t>
  </si>
  <si>
    <t xml:space="preserve">Customer's choice or the tool's own figure</t>
  </si>
  <si>
    <t xml:space="preserve">Yes; No</t>
  </si>
  <si>
    <t xml:space="preserve">C01 Borrowing!First_Time_Buyer</t>
  </si>
  <si>
    <t xml:space="preserve">G9</t>
  </si>
  <si>
    <t xml:space="preserve">developer default is text: Yes</t>
  </si>
  <si>
    <t xml:space="preserve">(blank: the customer chooses)</t>
  </si>
  <si>
    <t xml:space="preserve">3.75%</t>
  </si>
  <si>
    <t xml:space="preserve">Your assumption (a choice made in Your assumptions): mortgage rate</t>
  </si>
  <si>
    <t xml:space="preserve">Use the suggested rate (3.48%) · Central Bank of Ireland: average rate on new mortgages, Jul 2026</t>
  </si>
  <si>
    <t xml:space="preserve">Not chosen yet</t>
  </si>
  <si>
    <t xml:space="preserve">C01 Borrowing!Interest_Rate</t>
  </si>
  <si>
    <t xml:space="preserve">G10</t>
  </si>
  <si>
    <t xml:space="preserve">3.48%</t>
  </si>
  <si>
    <t xml:space="preserve">1 to 8 % · steps of 0.05</t>
  </si>
  <si>
    <t xml:space="preserve">screen starts blank (customer chooses); developer default 3.48</t>
  </si>
  <si>
    <t xml:space="preserve">yrs</t>
  </si>
  <si>
    <t xml:space="preserve">30 yrs</t>
  </si>
  <si>
    <t xml:space="preserve">C01 Borrowing!Term_Years</t>
  </si>
  <si>
    <t xml:space="preserve">G11</t>
  </si>
  <si>
    <t xml:space="preserve">10 to 35 · steps of 1</t>
  </si>
  <si>
    <t xml:space="preserve">default same (30); slider 10 to 35 is inside the developer range</t>
  </si>
  <si>
    <t xml:space="preserve">Assumptions this tool uses</t>
  </si>
  <si>
    <t xml:space="preserve">Buying fees (legal and survey), plus stamp duty</t>
  </si>
  <si>
    <t xml:space="preserve">€3,000</t>
  </si>
  <si>
    <t xml:space="preserve">Optional: no published figure, so no suggestion. Leave it blank to count €0. Stamp duty is set by law and added on top: 1% up to €1m.</t>
  </si>
  <si>
    <t xml:space="preserve">Optional; Your choice</t>
  </si>
  <si>
    <t xml:space="preserve">no matching cell in the developer sheet</t>
  </si>
  <si>
    <t xml:space="preserve">What if…</t>
  </si>
  <si>
    <t xml:space="preserve">Save extra towards deposit</t>
  </si>
  <si>
    <t xml:space="preserve">C01 Borrowing!Extra_Deposit</t>
  </si>
  <si>
    <t xml:space="preserve">G14</t>
  </si>
  <si>
    <t xml:space="preserve">0 to 500000</t>
  </si>
  <si>
    <t xml:space="preserve">default same (0); slider 0 to 50000 is inside the developer range</t>
  </si>
  <si>
    <t xml:space="preserve">Choose your mortgage rate to see this</t>
  </si>
  <si>
    <t xml:space="preserve">(no gate: the result shows)</t>
  </si>
  <si>
    <t xml:space="preserve">Shown until the choices the result needs are made; "Also still to add or choose" lists the rest.</t>
  </si>
  <si>
    <t xml:space="preserve">€227,273</t>
  </si>
  <si>
    <t xml:space="preserve">€200,000</t>
  </si>
  <si>
    <t xml:space="preserve">C01 Borrowing!Home_Price</t>
  </si>
  <si>
    <t xml:space="preserve">Example-figures label (on result)</t>
  </si>
  <si>
    <t xml:space="preserve">Shown under the result</t>
  </si>
  <si>
    <t xml:space="preserve">Not shown</t>
  </si>
  <si>
    <t xml:space="preserve">Results made from example figures carry the label.</t>
  </si>
  <si>
    <t xml:space="preserve">Result line</t>
  </si>
  <si>
    <t xml:space="preserve">Line under the result</t>
  </si>
  <si>
    <t xml:space="preserve">Central Bank rules: up to 4× income for first-time buyers, and at least a 10% deposit (90% loan-to-value). Your deposit also pays the stamp duty (1% up to €1m) and buying fees (€0, your assumption). Stamp duty is worked out on the price shown; for a new home it is charged on the price excluding VAT, and Help to Buy is not included. Here your deposit sets the amount. Lenders can lend above these limits for a small share of loans each year, so some buyers get an exception. Your lender decides.</t>
  </si>
  <si>
    <t xml:space="preserve">Central Bank rules: up to 3.5× income for second and subsequent buyers, and at least a 10% deposit (90% loan-to-value). Your deposit also pays the stamp duty (1% up to €1m) and buying fees (€3,000, your assumption). Stamp duty is worked out on the price shown; for a new home it is charged on the price excluding VAT, and Help to Buy is not included. Here your deposit sets the amount. Lenders can lend above these limits for a small share of loans each year, so some buyers get an exception. Your lender decides.</t>
  </si>
  <si>
    <t xml:space="preserve">Sub-result row</t>
  </si>
  <si>
    <t xml:space="preserve">€204,545</t>
  </si>
  <si>
    <t xml:space="preserve">€180,000</t>
  </si>
  <si>
    <t xml:space="preserve">C01 Borrowing!Max_Loan</t>
  </si>
  <si>
    <t xml:space="preserve">Borrowing allowed by income (3.5×)</t>
  </si>
  <si>
    <t xml:space="preserve">€240,000</t>
  </si>
  <si>
    <t xml:space="preserve">€280,000</t>
  </si>
  <si>
    <t xml:space="preserve">C01 Borrowing!Borrow_By_Income</t>
  </si>
  <si>
    <t xml:space="preserve">€2,273</t>
  </si>
  <si>
    <t xml:space="preserve">€2,000</t>
  </si>
  <si>
    <t xml:space="preserve">C01 Borrowing!Stamp_Duty</t>
  </si>
  <si>
    <t xml:space="preserve">Your deposit</t>
  </si>
  <si>
    <t xml:space="preserve">C01 Borrowing!Total_Deposit</t>
  </si>
  <si>
    <t xml:space="preserve">€916</t>
  </si>
  <si>
    <t xml:space="preserve">€834</t>
  </si>
  <si>
    <t xml:space="preserve">C01 Borrowing!Monthly_Repayment</t>
  </si>
  <si>
    <t xml:space="preserve">Button</t>
  </si>
  <si>
    <t xml:space="preserve">Bottom</t>
  </si>
  <si>
    <t xml:space="preserve">＋ Add to my plan</t>
  </si>
  <si>
    <t xml:space="preserve">Tap</t>
  </si>
  <si>
    <t xml:space="preserve">Choices missing: a message "Choose your mortgage rate first". No plan, choices made: a sheet "Add your age first": "A goal sits on your timeline at an age, so we need yours. It is step 1 of Make my plan, and the figures you tried here stay as they are." Buttons: "Add my age", "Not now". With a plan: a sheet "🏡 Buy a home (deposit goal)": "€25,000 in today's money in about 3 years (age 41), with €25,000 already saved. This saves a new version of your plan." Buttons: "Add it", "Not now". (Eyebrow "Add to my plan")</t>
  </si>
  <si>
    <t xml:space="preserve">Ask an expert</t>
  </si>
  <si>
    <t xml:space="preserve">Opens the Experts tab (screen EXP-00 "Experts"), pre-set to the home specialist: 🧭Check your profile before your adviser meetingCheck nowNBNiamh ByrneMortgage expert · QFA, CFP®🗣️ English, Irish · 📍 Du</t>
  </si>
  <si>
    <t xml:space="preserve">Disclaimer</t>
  </si>
  <si>
    <t xml:space="preserve">Illustrative figures, not a guarantee and not advice.</t>
  </si>
  <si>
    <t xml:space="preserve">Monthly mortgage repayment</t>
  </si>
  <si>
    <t xml:space="preserve">€300,000</t>
  </si>
  <si>
    <t xml:space="preserve">€203,700</t>
  </si>
  <si>
    <t xml:space="preserve">Your finances / plan: Mortgage left</t>
  </si>
  <si>
    <t xml:space="preserve">C02 Mortgage repayment!Loan_Amount</t>
  </si>
  <si>
    <t xml:space="preserve">50000 to 1e+07</t>
  </si>
  <si>
    <t xml:space="preserve">default same (300000); slider 50000 to 1e+06 is inside the developer range</t>
  </si>
  <si>
    <t xml:space="preserve">3.85%</t>
  </si>
  <si>
    <t xml:space="preserve">Your finances / plan: Interest rate, APR %</t>
  </si>
  <si>
    <t xml:space="preserve">C02 Mortgage repayment!Interest_Rate</t>
  </si>
  <si>
    <t xml:space="preserve">G15</t>
  </si>
  <si>
    <t xml:space="preserve">21 yrs</t>
  </si>
  <si>
    <t xml:space="preserve">Your finances / plan: Years left</t>
  </si>
  <si>
    <t xml:space="preserve">C02 Mortgage repayment!Term_Years</t>
  </si>
  <si>
    <t xml:space="preserve">G16</t>
  </si>
  <si>
    <t xml:space="preserve">5 to 35 · steps of 1</t>
  </si>
  <si>
    <t xml:space="preserve">default same (30); slider 5 to 35 is inside the developer range</t>
  </si>
  <si>
    <t xml:space="preserve">If rates changed by</t>
  </si>
  <si>
    <t xml:space="preserve">0%</t>
  </si>
  <si>
    <t xml:space="preserve">C02 Mortgage repayment!Rate_Change</t>
  </si>
  <si>
    <t xml:space="preserve">G19</t>
  </si>
  <si>
    <t xml:space="preserve">-2 to 3 % · steps of 0.25</t>
  </si>
  <si>
    <t xml:space="preserve">default same (0); slider -2 to 3 is inside the developer range</t>
  </si>
  <si>
    <t xml:space="preserve">Your monthly repayment</t>
  </si>
  <si>
    <t xml:space="preserve">€1,344</t>
  </si>
  <si>
    <t xml:space="preserve">€1,180</t>
  </si>
  <si>
    <t xml:space="preserve">Over 30 years at 3.48%, using the standard repayment formula. The rate is a yearly rate, compounded monthly (the way lenders quote mortgage rates).</t>
  </si>
  <si>
    <t xml:space="preserve">From your statement.</t>
  </si>
  <si>
    <t xml:space="preserve">Mortgage free in</t>
  </si>
  <si>
    <t xml:space="preserve">C02 Mortgage repayment!Months_To_Pay</t>
  </si>
  <si>
    <t xml:space="preserve">C30</t>
  </si>
  <si>
    <t xml:space="preserve">€183,763</t>
  </si>
  <si>
    <t xml:space="preserve">€93,617</t>
  </si>
  <si>
    <t xml:space="preserve">C02 Mortgage repayment!Total_Interest</t>
  </si>
  <si>
    <t xml:space="preserve">C31</t>
  </si>
  <si>
    <t xml:space="preserve">€483,763</t>
  </si>
  <si>
    <t xml:space="preserve">€297,317</t>
  </si>
  <si>
    <t xml:space="preserve">C02 Mortgage repayment!Total_Repaid</t>
  </si>
  <si>
    <t xml:space="preserve">C32</t>
  </si>
  <si>
    <t xml:space="preserve">Choices missing: a message "Choose your mortgage rate first". No plan, choices made: a sheet "Add your age first": "A goal sits on your timeline at an age, so we need yours. It is step 1 of Make my plan, and the figures you tried here stay as they are." Buttons: "Add my age", "Not now". With a plan: a sheet "🏡 Buy a home (deposit goal)": "€22,633 in today's money in about 3 years (age 41). This saves a new version of your plan." Buttons: "Add it", "Not now". (Eyebrow "Add to my plan")</t>
  </si>
  <si>
    <t xml:space="preserve">Deposit calculator</t>
  </si>
  <si>
    <t xml:space="preserve">€350,000</t>
  </si>
  <si>
    <t xml:space="preserve">C03 Deposit!Home_Price</t>
  </si>
  <si>
    <t xml:space="preserve">100000 to 1e+07</t>
  </si>
  <si>
    <t xml:space="preserve">default same (350000); slider 100000 to 1e+06 is inside the developer range</t>
  </si>
  <si>
    <t xml:space="preserve">10%</t>
  </si>
  <si>
    <t xml:space="preserve">C03 Deposit!Deposit_Pct</t>
  </si>
  <si>
    <t xml:space="preserve">10 to 30 % · steps of 1</t>
  </si>
  <si>
    <t xml:space="preserve">default same (10); slider 10 to 30 is inside the developer range</t>
  </si>
  <si>
    <t xml:space="preserve">€12,000</t>
  </si>
  <si>
    <t xml:space="preserve">C03 Deposit!Saved</t>
  </si>
  <si>
    <t xml:space="preserve">default same (12000); slider 0 to 200000 is inside the developer range</t>
  </si>
  <si>
    <t xml:space="preserve">€800</t>
  </si>
  <si>
    <t xml:space="preserve">C03 Deposit!Monthly_Saving</t>
  </si>
  <si>
    <t xml:space="preserve">50 to 50000</t>
  </si>
  <si>
    <t xml:space="preserve">default same (800); slider 50 to 5000 is inside the developer range</t>
  </si>
  <si>
    <t xml:space="preserve">Save extra each month</t>
  </si>
  <si>
    <t xml:space="preserve">C03 Deposit!Extra_Saving</t>
  </si>
  <si>
    <t xml:space="preserve">0 to 15000</t>
  </si>
  <si>
    <t xml:space="preserve">default same (0); slider 0 to 1500 is inside the developer range</t>
  </si>
  <si>
    <t xml:space="preserve">Time to your deposit</t>
  </si>
  <si>
    <t xml:space="preserve">2 yrs 10 mo</t>
  </si>
  <si>
    <t xml:space="preserve">3 yrs 1 mo</t>
  </si>
  <si>
    <t xml:space="preserve">C03 Deposit!Months_To_Deposit</t>
  </si>
  <si>
    <t xml:space="preserve">You need €38,500 (deposit €35,000, stamp duty €3,500 and fees €0) and have €12,000. Saving €800 a month closes the gap (no interest and no house-price rises assumed). The Central Bank minimum deposit is 10%. Stamp duty is worked out on the price shown; for a new home it is charged on the price excluding VAT, and Help to Buy is not included.</t>
  </si>
  <si>
    <t xml:space="preserve">You need €41,500 (deposit €35,000, stamp duty €3,500 and fees €3,000) and have €12,000. Saving €800 a month closes the gap (no interest and no house-price rises assumed). The Central Bank minimum deposit is 10%. Stamp duty is worked out on the price shown; for a new home it is charged on the price excluding VAT, and Help to Buy is not included.</t>
  </si>
  <si>
    <t xml:space="preserve">Total you need</t>
  </si>
  <si>
    <t xml:space="preserve">€38,500</t>
  </si>
  <si>
    <t xml:space="preserve">€41,500</t>
  </si>
  <si>
    <t xml:space="preserve">C03 Deposit!Total_Needed</t>
  </si>
  <si>
    <t xml:space="preserve">€35,000</t>
  </si>
  <si>
    <t xml:space="preserve">C03 Deposit!Deposit_Needed</t>
  </si>
  <si>
    <t xml:space="preserve">€3,500</t>
  </si>
  <si>
    <t xml:space="preserve">C03 Deposit!Stamp_Duty</t>
  </si>
  <si>
    <t xml:space="preserve">€26,500</t>
  </si>
  <si>
    <t xml:space="preserve">€29,500</t>
  </si>
  <si>
    <t xml:space="preserve">C03 Deposit!Still_To_Save</t>
  </si>
  <si>
    <t xml:space="preserve">No plan, choices made: a sheet "Add your age first": "A goal sits on your timeline at an age, so we need yours. It is step 1 of Make my plan, and the figures you tried here stay as they are." Buttons: "Add my age", "Not now". With a plan: a sheet "🔑 Home deposit": "€41,500 in today's money in about 4 years (age 42), with €12,000 already saved. This saves a new version of your plan." Buttons: "Add it", "Not now". (Eyebrow "Add to my plan")</t>
  </si>
  <si>
    <t xml:space="preserve">Mortgage overpayment</t>
  </si>
  <si>
    <t xml:space="preserve">€250,000</t>
  </si>
  <si>
    <t xml:space="preserve">C04 Mortgage overpayment!Mortgage_Balance</t>
  </si>
  <si>
    <t xml:space="preserve">20000 to 1e+07</t>
  </si>
  <si>
    <t xml:space="preserve">default same (250000); slider 20000 to 1e+06 is inside the developer range</t>
  </si>
  <si>
    <t xml:space="preserve">C04 Mortgage overpayment!Interest_Rate</t>
  </si>
  <si>
    <t xml:space="preserve">25 yrs</t>
  </si>
  <si>
    <t xml:space="preserve">C04 Mortgage overpayment!Years_Left</t>
  </si>
  <si>
    <t xml:space="preserve">3 to 35 · steps of 1</t>
  </si>
  <si>
    <t xml:space="preserve">default same (25); slider 3 to 35 is inside the developer range</t>
  </si>
  <si>
    <t xml:space="preserve">€200</t>
  </si>
  <si>
    <t xml:space="preserve">C04 Mortgage overpayment!Extra_Payment</t>
  </si>
  <si>
    <t xml:space="preserve">G17</t>
  </si>
  <si>
    <t xml:space="preserve">0 to 20000</t>
  </si>
  <si>
    <t xml:space="preserve">default same (200); slider 0 to 2000 is inside the developer range</t>
  </si>
  <si>
    <t xml:space="preserve">Mortgage free sooner by</t>
  </si>
  <si>
    <t xml:space="preserve">5 yrs</t>
  </si>
  <si>
    <t xml:space="preserve">4 yrs 3 mo</t>
  </si>
  <si>
    <t xml:space="preserve">C04 Mortgage overpayment!Months_Sooner</t>
  </si>
  <si>
    <t xml:space="preserve">Paying €200 extra a month on top of €1,249 could save about €27,468 in interest (illustrative; check your lender's overpayment terms).</t>
  </si>
  <si>
    <t xml:space="preserve">Paying €200 extra a month on top of €1,180 (from your statement) could save about €20,881 in interest (illustrative; check your lender's overpayment terms).</t>
  </si>
  <si>
    <t xml:space="preserve">Mortgage free now in</t>
  </si>
  <si>
    <t xml:space="preserve">C04 Mortgage overpayment!Months_Now</t>
  </si>
  <si>
    <t xml:space="preserve">With the extra</t>
  </si>
  <si>
    <t xml:space="preserve">20 yrs</t>
  </si>
  <si>
    <t xml:space="preserve">16 yrs 9 mo</t>
  </si>
  <si>
    <t xml:space="preserve">C04 Mortgage overpayment!Months_With_Extra</t>
  </si>
  <si>
    <t xml:space="preserve">€27,468</t>
  </si>
  <si>
    <t xml:space="preserve">€20,881</t>
  </si>
  <si>
    <t xml:space="preserve">C04 Mortgage overpayment!Interest_Saved</t>
  </si>
  <si>
    <t xml:space="preserve">C29</t>
  </si>
  <si>
    <t xml:space="preserve">Choices missing: a message "Choose your mortgage rate first". No plan, choices made: a sheet "Add your age first": "A goal sits on your timeline at an age, so we need yours. It is step 1 of Make my plan, and the figures you tried here stay as they are." Buttons: "Add my age", "Not now". With a plan: a sheet "🔑 Mortgage free": "A "Mortgage free" milestone in about 17 years (age 55), priced from your mortgage (no cash amount). This saves a new version of your plan." Buttons: "Add it", "Not now". (Eyebrow "Add to my plan")</t>
  </si>
  <si>
    <t xml:space="preserve">Interest-rate impact</t>
  </si>
  <si>
    <t xml:space="preserve">C05 Interest rate impact!Mortgage_Balance</t>
  </si>
  <si>
    <t xml:space="preserve">C05 Interest rate impact!Current_Rate</t>
  </si>
  <si>
    <t xml:space="preserve">C05 Interest rate impact!Years_Left</t>
  </si>
  <si>
    <t xml:space="preserve">default same (25); slider 5 to 35 is inside the developer range</t>
  </si>
  <si>
    <t xml:space="preserve">1%</t>
  </si>
  <si>
    <t xml:space="preserve">C05 Interest rate impact!Rate_Change</t>
  </si>
  <si>
    <t xml:space="preserve">default same (1); slider -2 to 3 is inside the developer range</t>
  </si>
  <si>
    <t xml:space="preserve">+€165</t>
  </si>
  <si>
    <t xml:space="preserve">+€110</t>
  </si>
  <si>
    <t xml:space="preserve">C05 Interest rate impact!Monthly_Change</t>
  </si>
  <si>
    <t xml:space="preserve">What-if: if your rate changed to 4.48%, your repayment would be about €1,664 a month instead of €1,499.</t>
  </si>
  <si>
    <t xml:space="preserve">What-if: if your rate changed to 4.85%, your repayment would be about €1,290 a month instead of €1,180 (from your statement).</t>
  </si>
  <si>
    <t xml:space="preserve">Now</t>
  </si>
  <si>
    <t xml:space="preserve">€1,499</t>
  </si>
  <si>
    <t xml:space="preserve">After change</t>
  </si>
  <si>
    <t xml:space="preserve">€1,664</t>
  </si>
  <si>
    <t xml:space="preserve">€1,290</t>
  </si>
  <si>
    <t xml:space="preserve">C05 Interest rate impact!Repayment_After</t>
  </si>
  <si>
    <t xml:space="preserve">+€1,985</t>
  </si>
  <si>
    <t xml:space="preserve">+€1,323</t>
  </si>
  <si>
    <t xml:space="preserve">C05 Interest rate impact!Yearly_Change</t>
  </si>
  <si>
    <t xml:space="preserve">Choices missing: a message "Choose your mortgage rate first". No plan, choices made: a sheet "Add your age first": "A goal sits on your timeline at an age, so we need yours. It is step 1 of Make my plan, and the figures you tried here stay as they are." Buttons: "Add my age", "Not now". With a plan: a sheet "Nothing to add": "This result doesn't create a goal." Buttons: "OK". (Eyebrow "None")</t>
  </si>
  <si>
    <t xml:space="preserve">Mortgage term comparison</t>
  </si>
  <si>
    <t xml:space="preserve">C06 Term comparison!Loan_Amount</t>
  </si>
  <si>
    <t xml:space="preserve">G13</t>
  </si>
  <si>
    <t xml:space="preserve">C06 Term comparison!Interest_Rate</t>
  </si>
  <si>
    <t xml:space="preserve">C06 Term comparison!Term_A</t>
  </si>
  <si>
    <t xml:space="preserve">35 yrs</t>
  </si>
  <si>
    <t xml:space="preserve">C06 Term comparison!Term_B</t>
  </si>
  <si>
    <t xml:space="preserve">default same (35); slider 5 to 35 is inside the developer range</t>
  </si>
  <si>
    <t xml:space="preserve">€69,691</t>
  </si>
  <si>
    <t xml:space="preserve">€73,820</t>
  </si>
  <si>
    <t xml:space="preserve">C06 Term comparison!Interest_Difference</t>
  </si>
  <si>
    <t xml:space="preserve">The 25-year term costs more each month but less interest overall.</t>
  </si>
  <si>
    <t xml:space="preserve">The 21-year term costs more each month but less interest overall.</t>
  </si>
  <si>
    <t xml:space="preserve">21-year monthly</t>
  </si>
  <si>
    <t xml:space="preserve">C06 Term comparison!Monthly_A</t>
  </si>
  <si>
    <t xml:space="preserve">35-year monthly</t>
  </si>
  <si>
    <t xml:space="preserve">€1,236</t>
  </si>
  <si>
    <t xml:space="preserve">€884</t>
  </si>
  <si>
    <t xml:space="preserve">C06 Term comparison!Monthly_B</t>
  </si>
  <si>
    <t xml:space="preserve">21-year total interest</t>
  </si>
  <si>
    <t xml:space="preserve">€149,596</t>
  </si>
  <si>
    <t xml:space="preserve">€93,632</t>
  </si>
  <si>
    <t xml:space="preserve">C06 Term comparison!Interest_A</t>
  </si>
  <si>
    <t xml:space="preserve">35-year total interest</t>
  </si>
  <si>
    <t xml:space="preserve">€219,287</t>
  </si>
  <si>
    <t xml:space="preserve">€167,453</t>
  </si>
  <si>
    <t xml:space="preserve">C06 Term comparison!Interest_B</t>
  </si>
  <si>
    <t xml:space="preserve">Rent vs buy</t>
  </si>
  <si>
    <t xml:space="preserve">€1,800</t>
  </si>
  <si>
    <t xml:space="preserve">C07 Rent vs buy!Monthly_Rent</t>
  </si>
  <si>
    <t xml:space="preserve">500 to 50000</t>
  </si>
  <si>
    <t xml:space="preserve">default same (1800); slider 500 to 5000 is inside the developer range</t>
  </si>
  <si>
    <t xml:space="preserve">C07 Rent vs buy!Home_Price</t>
  </si>
  <si>
    <t xml:space="preserve">C07 Rent vs buy!Deposit</t>
  </si>
  <si>
    <t xml:space="preserve">default same (35000)</t>
  </si>
  <si>
    <t xml:space="preserve">C07 Rent vs buy!Mortgage_Rate</t>
  </si>
  <si>
    <t xml:space="preserve">C07 Rent vs buy!RentBuy_Term</t>
  </si>
  <si>
    <t xml:space="preserve">10 yrs</t>
  </si>
  <si>
    <t xml:space="preserve">C07 Rent vs buy!Years</t>
  </si>
  <si>
    <t xml:space="preserve">1 to 30 · steps of 1</t>
  </si>
  <si>
    <t xml:space="preserve">default same (10); slider 1 to 30 is inside the developer range</t>
  </si>
  <si>
    <t xml:space="preserve">2%</t>
  </si>
  <si>
    <t xml:space="preserve">Your assumption (a choice made in Your assumptions): house price growth</t>
  </si>
  <si>
    <t xml:space="preserve">Set by LifeMap; Your choice</t>
  </si>
  <si>
    <t xml:space="preserve">C07 Rent vs buy!House_Growth</t>
  </si>
  <si>
    <t xml:space="preserve">G12</t>
  </si>
  <si>
    <t xml:space="preserve">0 to 6 % · steps of 0.5</t>
  </si>
  <si>
    <t xml:space="preserve">default same (2); slider 0 to 6 is inside the developer range</t>
  </si>
  <si>
    <t xml:space="preserve">Rent vs buy: rent rises (a year)</t>
  </si>
  <si>
    <t xml:space="preserve">3 %</t>
  </si>
  <si>
    <t xml:space="preserve">Back to LifeMap's figure (3%)</t>
  </si>
  <si>
    <t xml:space="preserve">LifeMap uses 3% (a long-run planning figure). Change it if you want to use your own. Renting has rent rises. Buying has costs that don't build equity: interest, stamp duty, fees, LPT and repairs. · a long-run planning figure. Source: LifeMap long-run planning figure. Reference points: Residential Tenancies Board Rent Index; CSO Consumer Price Index (rent) (2026).</t>
  </si>
  <si>
    <t xml:space="preserve">Rent vs buy: upkeep a year (share of the home value)</t>
  </si>
  <si>
    <t xml:space="preserve">1 %</t>
  </si>
  <si>
    <t xml:space="preserve">Back to LifeMap's figure (1%)</t>
  </si>
  <si>
    <t xml:space="preserve">LifeMap uses 1% (repairs, insurance and maintenance). Change it if you want to use your own. · repairs, insurance and maintenance. Source: LifeMap planning standard (no official figure exists) (2026).</t>
  </si>
  <si>
    <t xml:space="preserve">Rent vs buy: what the deposit could earn instead (a year, after tax)</t>
  </si>
  <si>
    <t xml:space="preserve">1.29 %</t>
  </si>
  <si>
    <t xml:space="preserve">Back to the assumed rate (1.29% after DIRT)</t>
  </si>
  <si>
    <t xml:space="preserve">If you rent, your deposit stays in savings. Leave it blank and we use the suggested rate (Assumed: add yours). · We are using 1.29% (Central Bank of Ireland: average rate on new fixed-term household deposits, Jul 2026) until you add yours.</t>
  </si>
  <si>
    <t xml:space="preserve">Assumed: add yours; Your choice</t>
  </si>
  <si>
    <t xml:space="preserve">Home equity after 10 years</t>
  </si>
  <si>
    <t xml:space="preserve">€182,928</t>
  </si>
  <si>
    <t xml:space="preserve">€180,596</t>
  </si>
  <si>
    <t xml:space="preserve">C07 Rent vs buy!Home_Equity</t>
  </si>
  <si>
    <t xml:space="preserve">Illustration only: renting costs about €247,620 over 10 years (rent rising 3% a year), while the costs of buying that don't build equity are about €144,648: interest, upkeep, stamp duty, fees and what your deposit could have earned. Local Property Tax and insurance are not included. Home equity is before selling costs. Stamp duty is worked out on the price shown; for a new home it is charged on the price excluding VAT, and Help to Buy is not included.</t>
  </si>
  <si>
    <t xml:space="preserve">Illustration only: renting costs about €247,620 over 10 years (rent rising 3% a year), while the costs of buying that don't build equity are about €154,596: interest, upkeep, stamp duty, fees and what your deposit could have earned. Local Property Tax and insurance are not included. Home equity is before selling costs. Stamp duty is worked out on the price shown; for a new home it is charged on the price excluding VAT, and Help to Buy is not included.</t>
  </si>
  <si>
    <t xml:space="preserve">€247,620</t>
  </si>
  <si>
    <t xml:space="preserve">C07 Rent vs buy!Rent_Paid</t>
  </si>
  <si>
    <t xml:space="preserve">€144,648</t>
  </si>
  <si>
    <t xml:space="preserve">€154,596</t>
  </si>
  <si>
    <t xml:space="preserve">C07 Rent vs buy!Buying_Costs</t>
  </si>
  <si>
    <t xml:space="preserve">€426,648</t>
  </si>
  <si>
    <t xml:space="preserve">C07 Rent vs buy!Home_Value</t>
  </si>
  <si>
    <t xml:space="preserve">€243,720</t>
  </si>
  <si>
    <t xml:space="preserve">€246,052</t>
  </si>
  <si>
    <t xml:space="preserve">C07 Rent vs buy!Balance_After</t>
  </si>
  <si>
    <t xml:space="preserve">Choices missing: a message "Choose your mortgage rate first". No plan, choices made: a sheet "Add your age first": "A goal sits on your timeline at an age, so we need yours. It is step 1 of Make my plan, and the figures you tried here stay as they are." Buttons: "Add my age", "Not now". With a plan: a sheet "🏡 Buy a home (deposit goal)": "€41,500 in today's money in about 3 years (age 41). This saves a new version of your plan." Buttons: "Add it", "Not now". (Eyebrow "Add to my plan")</t>
  </si>
  <si>
    <t xml:space="preserve">Goal planner</t>
  </si>
  <si>
    <t xml:space="preserve">€15,000</t>
  </si>
  <si>
    <t xml:space="preserve">C08 Goal planner!Goal_Amount</t>
  </si>
  <si>
    <t xml:space="preserve">500 to 5e+06</t>
  </si>
  <si>
    <t xml:space="preserve">default same (15000); slider 500 to 500000 is inside the developer range</t>
  </si>
  <si>
    <t xml:space="preserve">3 yrs</t>
  </si>
  <si>
    <t xml:space="preserve">C08 Goal planner!Years</t>
  </si>
  <si>
    <t xml:space="preserve">default same (3); slider 1 to 30 is inside the developer range</t>
  </si>
  <si>
    <t xml:space="preserve">C08 Goal planner!Saved</t>
  </si>
  <si>
    <t xml:space="preserve">default same (2000); slider 0 to 200000 is inside the developer range</t>
  </si>
  <si>
    <t xml:space="preserve">Growth / interest a year</t>
  </si>
  <si>
    <t xml:space="preserve">Your assumption (a choice made in Your assumptions): cash growth</t>
  </si>
  <si>
    <t xml:space="preserve">C08 Goal planner!Growth_Rate</t>
  </si>
  <si>
    <t xml:space="preserve">0 to 7 % · steps of 0.5</t>
  </si>
  <si>
    <t xml:space="preserve">default same (1); slider 0 to 7 is inside the developer range</t>
  </si>
  <si>
    <t xml:space="preserve">Below the inputs</t>
  </si>
  <si>
    <t xml:space="preserve">Prices rising 2% a year (your choice) · Change</t>
  </si>
  <si>
    <t xml:space="preserve">€379</t>
  </si>
  <si>
    <t xml:space="preserve">C08 Goal planner!Monthly_Saving</t>
  </si>
  <si>
    <t xml:space="preserve">Your goal will cost about €15,918 in 3 years. Setting aside about €379 a month could reach it. Prices rising 2% a year, your choice. Before tax: deposit interest pays DIRT at 33%; investment funds and life policies pay exit tax at 38% (plus 8-year deemed disposal). No tax is taken off here.</t>
  </si>
  <si>
    <t xml:space="preserve">Goal in today's prices</t>
  </si>
  <si>
    <t xml:space="preserve">C08 Goal planner!Plan_Goal_Amount</t>
  </si>
  <si>
    <t xml:space="preserve">C33</t>
  </si>
  <si>
    <t xml:space="preserve">Will cost about (in 3 years)</t>
  </si>
  <si>
    <t xml:space="preserve">€15,918</t>
  </si>
  <si>
    <t xml:space="preserve">C08 Goal planner!Future_Cost</t>
  </si>
  <si>
    <t xml:space="preserve">€2,061</t>
  </si>
  <si>
    <t xml:space="preserve">C08 Goal planner!Saved_Grows_To</t>
  </si>
  <si>
    <t xml:space="preserve">€13,858</t>
  </si>
  <si>
    <t xml:space="preserve">C08 Goal planner!Still_Needed</t>
  </si>
  <si>
    <t xml:space="preserve">No plan, choices made: a sheet "Add your age first": "A goal sits on your timeline at an age, so we need yours. It is step 1 of Make my plan, and the figures you tried here stay as they are." Buttons: "Add my age", "Not now". With a plan: a sheet "🎯 My goal": "€15,000 in today's money in about 3 years (age 41), with €2,000 already saved. This saves a new version of your plan." Buttons: "Add it", "Not now". (Eyebrow "Add to my plan")</t>
  </si>
  <si>
    <t xml:space="preserve">Opens the Experts tab (screen EXP-00 "Experts"), pre-set to the home specialist: 🧭Check your profile before your adviser meetingCheck nowNBNiamh ByrneFinancial planner · QFA, CFP®🗣️ English, Irish · 📍 </t>
  </si>
  <si>
    <t xml:space="preserve">Compound growth</t>
  </si>
  <si>
    <t xml:space="preserve">€5,000</t>
  </si>
  <si>
    <t xml:space="preserve">C09 Compound growth!Starting_Amount</t>
  </si>
  <si>
    <t xml:space="preserve">default same (5000); slider 0 to 200000 is inside the developer range</t>
  </si>
  <si>
    <t xml:space="preserve">C09 Compound growth!Monthly_Addition</t>
  </si>
  <si>
    <t xml:space="preserve">0 to 30000</t>
  </si>
  <si>
    <t xml:space="preserve">default same (200); slider 0 to 3000 is inside the developer range</t>
  </si>
  <si>
    <t xml:space="preserve">5%</t>
  </si>
  <si>
    <t xml:space="preserve">Your assumption (a choice made in Your assumptions): growth before fees</t>
  </si>
  <si>
    <t xml:space="preserve">C09 Compound growth!Growth_Rate</t>
  </si>
  <si>
    <t xml:space="preserve">0 to 8 % · steps of 0.5</t>
  </si>
  <si>
    <t xml:space="preserve">default same (5); slider 0 to 8 is inside the developer range</t>
  </si>
  <si>
    <t xml:space="preserve">C09 Compound growth!Years</t>
  </si>
  <si>
    <t xml:space="preserve">1 to 40 · steps of 1</t>
  </si>
  <si>
    <t xml:space="preserve">default same (20); slider 1 to 40 is inside the developer range</t>
  </si>
  <si>
    <t xml:space="preserve">€94,427</t>
  </si>
  <si>
    <t xml:space="preserve">C09 Compound growth!Grows_To</t>
  </si>
  <si>
    <t xml:space="preserve">You would put in €53,000. Growth could add about €41,427 (illustrative, not guaranteed). Worth about €63,547 in today's money. Prices rising 2% a year, your choice. Before tax: deposit interest pays DIRT at 33%; investment funds and life policies pay exit tax at 38% (plus 8-year deemed disposal). No tax is taken off here.</t>
  </si>
  <si>
    <t xml:space="preserve">€53,000</t>
  </si>
  <si>
    <t xml:space="preserve">C09 Compound growth!Paid_In</t>
  </si>
  <si>
    <t xml:space="preserve">€41,427</t>
  </si>
  <si>
    <t xml:space="preserve">C09 Compound growth!Growth_Earned</t>
  </si>
  <si>
    <t xml:space="preserve">€63,547</t>
  </si>
  <si>
    <t xml:space="preserve">C09 Compound growth!Value_Today</t>
  </si>
  <si>
    <t xml:space="preserve">No plan, choices made: a sheet "Add your age first": "A goal sits on your timeline at an age, so we need yours. It is step 1 of Make my plan, and the figures you tried here stay as they are." Buttons: "Add my age", "Not now". With a plan: a sheet "📈 Grow my wealth": "A savings pot of €63,547 in today's money in about 20 years (age 58). This saves a new version of your plan." Buttons: "Add it", "Not now". (Eyebrow "Add to my plan")</t>
  </si>
  <si>
    <t xml:space="preserve">Lump-sum growth</t>
  </si>
  <si>
    <t xml:space="preserve">Input choice (switch)</t>
  </si>
  <si>
    <t xml:space="preserve">Adjust for inflation</t>
  </si>
  <si>
    <t xml:space="preserve">Off</t>
  </si>
  <si>
    <t xml:space="preserve">Switch: show the result in today's money. Off by default. · Show the result in today's money</t>
  </si>
  <si>
    <t xml:space="preserve">€10,000</t>
  </si>
  <si>
    <t xml:space="preserve">€6,200</t>
  </si>
  <si>
    <t xml:space="preserve">Your finances / plan: Investments</t>
  </si>
  <si>
    <t xml:space="preserve">C10 Lump sum growth!Amount</t>
  </si>
  <si>
    <t xml:space="preserve">default same (10000); slider 500 to 500000 is inside the developer range</t>
  </si>
  <si>
    <t xml:space="preserve">C10 Lump sum growth!Growth_Rate</t>
  </si>
  <si>
    <t xml:space="preserve">15 yrs</t>
  </si>
  <si>
    <t xml:space="preserve">C10 Lump sum growth!Years</t>
  </si>
  <si>
    <t xml:space="preserve">G18</t>
  </si>
  <si>
    <t xml:space="preserve">default same (15); slider 1 to 40 is inside the developer range</t>
  </si>
  <si>
    <t xml:space="preserve">Your assumption (a choice made in Your assumptions): yearly fees</t>
  </si>
  <si>
    <t xml:space="preserve">Use the suggested rate (1%) · Pensions Authority pension calculator assumption</t>
  </si>
  <si>
    <t xml:space="preserve">Your statement shows your fund charges. Usually between 0.5% and 2% a year (CCPC).</t>
  </si>
  <si>
    <t xml:space="preserve">C10 Lump sum growth!Yearly_Fees</t>
  </si>
  <si>
    <t xml:space="preserve">0 to 3 % · steps of 0.05</t>
  </si>
  <si>
    <t xml:space="preserve">screen starts blank (customer chooses); developer default 1</t>
  </si>
  <si>
    <t xml:space="preserve">Your assumption (a choice made in Your assumptions): years you might wait</t>
  </si>
  <si>
    <t xml:space="preserve">Set by LifeMap</t>
  </si>
  <si>
    <t xml:space="preserve">C10 Lump sum growth!Wait_Years</t>
  </si>
  <si>
    <t xml:space="preserve">G20</t>
  </si>
  <si>
    <t xml:space="preserve">1 to 20 · steps of 1</t>
  </si>
  <si>
    <t xml:space="preserve">default same (5); slider 1 to 20 is inside the developer range</t>
  </si>
  <si>
    <t xml:space="preserve">Choose your yearly fees to see this</t>
  </si>
  <si>
    <t xml:space="preserve">€17,880</t>
  </si>
  <si>
    <t xml:space="preserve">€12,889</t>
  </si>
  <si>
    <t xml:space="preserve">C10 Lump sum growth!Headline</t>
  </si>
  <si>
    <t xml:space="preserve">We assume the money earns nothing while it waits. Waiting 5 years before starting could mean about €3,149 less, which is the cost of waiting. Before tax: deposit interest pays DIRT at 33%; investment funds and life policies pay exit tax at 38% (plus 8-year deemed disposal). No tax is taken off here.</t>
  </si>
  <si>
    <t xml:space="preserve">We assume the money earns nothing while it waits. Waiting 5 years before starting could mean about €2,790 less, which is the cost of waiting. Before tax: deposit interest pays DIRT at 33%; investment funds and life policies pay exit tax at 38% (plus 8-year deemed disposal). No tax is taken off here.</t>
  </si>
  <si>
    <t xml:space="preserve">C10 Lump sum growth!Grows_To</t>
  </si>
  <si>
    <t xml:space="preserve">If you start in 5 years</t>
  </si>
  <si>
    <t xml:space="preserve">€14,731</t>
  </si>
  <si>
    <t xml:space="preserve">€10,099</t>
  </si>
  <si>
    <t xml:space="preserve">C10 Lump sum growth!Value_Start_Later</t>
  </si>
  <si>
    <t xml:space="preserve">€2,909</t>
  </si>
  <si>
    <t xml:space="preserve">C10 Lump sum growth!Fees_Cost</t>
  </si>
  <si>
    <t xml:space="preserve">C35</t>
  </si>
  <si>
    <t xml:space="preserve">Choices missing: a message "Choose your yearly fees first". No plan, choices made: a sheet "Add your age first": "A goal sits on your timeline at an age, so we need yours. It is step 1 of Make my plan, and the figures you tried here stay as they are." Buttons: "Add my age", "Not now". With a plan: a sheet "📈 Grow my wealth": "A savings pot of €9,577 in today's money in about 15 years (age 53). This saves a new version of your plan." Buttons: "Add it", "Not now". (Eyebrow "Add to my plan")</t>
  </si>
  <si>
    <t xml:space="preserve">Opens the Experts tab (screen EXP-00 "Experts"), pre-set to the home specialist: 🧭Check your profile before your adviser meetingCheck nowNBNiamh ByrneInvestment expert · QFA, CFP®🗣️ English, Irish · 📍 </t>
  </si>
  <si>
    <t xml:space="preserve">Tip</t>
  </si>
  <si>
    <t xml:space="preserve">Under the title</t>
  </si>
  <si>
    <t xml:space="preserve">💡 Ideal emergency fund: 6 months of your monthly spending.</t>
  </si>
  <si>
    <t xml:space="preserve">Light-bulb tip in the header.</t>
  </si>
  <si>
    <t xml:space="preserve">€2,500</t>
  </si>
  <si>
    <t xml:space="preserve">€4,920</t>
  </si>
  <si>
    <t xml:space="preserve">Your finances / plan: Monthly living costs; Monthly repayment; Credit cards: monthly repayment; Other loans: monthly repayment</t>
  </si>
  <si>
    <t xml:space="preserve">C11 Emergency fund!Essential_Spending</t>
  </si>
  <si>
    <t xml:space="preserve">500 to 100000</t>
  </si>
  <si>
    <t xml:space="preserve">default same (2500); slider 500 to 10000 is inside the developer range</t>
  </si>
  <si>
    <t xml:space="preserve">Months you want covered</t>
  </si>
  <si>
    <t xml:space="preserve">mo</t>
  </si>
  <si>
    <t xml:space="preserve">6 mo</t>
  </si>
  <si>
    <t xml:space="preserve">3 mo</t>
  </si>
  <si>
    <t xml:space="preserve">Your assumption (a choice made in Your assumptions): emergency fund months</t>
  </si>
  <si>
    <t xml:space="preserve">C11 Emergency fund!Months_Wanted</t>
  </si>
  <si>
    <t xml:space="preserve">1 to 12 · steps of 1</t>
  </si>
  <si>
    <t xml:space="preserve">default same (6); slider 1 to 12 is inside the developer range</t>
  </si>
  <si>
    <t xml:space="preserve">€6,250</t>
  </si>
  <si>
    <t xml:space="preserve">€9,000</t>
  </si>
  <si>
    <t xml:space="preserve">Your finances / plan: Cash savings</t>
  </si>
  <si>
    <t xml:space="preserve">C11 Emergency fund!Savings</t>
  </si>
  <si>
    <t xml:space="preserve">0 to 1e+06</t>
  </si>
  <si>
    <t xml:space="preserve">default same (6250); slider 0 to 100000 is inside the developer range</t>
  </si>
  <si>
    <t xml:space="preserve">You currently have</t>
  </si>
  <si>
    <t xml:space="preserve">2.5 months</t>
  </si>
  <si>
    <t xml:space="preserve">1.8 months</t>
  </si>
  <si>
    <t xml:space="preserve">C11 Emergency fund!Months_Covered</t>
  </si>
  <si>
    <t xml:space="preserve">Your target is €15,000 (6 months). You are €8,750 away.</t>
  </si>
  <si>
    <t xml:space="preserve">Your target is €14,760 (3 months). You are €5,760 away.</t>
  </si>
  <si>
    <t xml:space="preserve">€14,760</t>
  </si>
  <si>
    <t xml:space="preserve">C11 Emergency fund!Target</t>
  </si>
  <si>
    <t xml:space="preserve">€8,750</t>
  </si>
  <si>
    <t xml:space="preserve">€5,760</t>
  </si>
  <si>
    <t xml:space="preserve">C11 Emergency fund!Still_To_Build</t>
  </si>
  <si>
    <t xml:space="preserve">No plan, choices made: a sheet "Add your age first": "A goal sits on your timeline at an age, so we need yours. It is step 1 of Make my plan, and the figures you tried here stay as they are." Buttons: "Add my age", "Not now". With a plan: a sheet "🪂 Emergency fund": "An emergency fund (a reserve, not a spend) of €14,760 in today's money in about 2 years (age 40), with €9,000 already saved. This saves a new version of your plan." Buttons: "Add it", "Not now". (Eyebrow "Add to my plan")</t>
  </si>
  <si>
    <t xml:space="preserve">Retirement projection</t>
  </si>
  <si>
    <t xml:space="preserve">age 40</t>
  </si>
  <si>
    <t xml:space="preserve">age 38</t>
  </si>
  <si>
    <t xml:space="preserve">Your finances / plan: Your age</t>
  </si>
  <si>
    <t xml:space="preserve">C12 Retirement projection!Age</t>
  </si>
  <si>
    <t xml:space="preserve">G21</t>
  </si>
  <si>
    <t xml:space="preserve">20 to 70 · steps of 1</t>
  </si>
  <si>
    <t xml:space="preserve">default same (40); slider 20 to 70 is inside the developer range</t>
  </si>
  <si>
    <t xml:space="preserve">age 63</t>
  </si>
  <si>
    <t xml:space="preserve">Your finances / plan: Your retirement age</t>
  </si>
  <si>
    <t xml:space="preserve">You can usually draw a pension from 60 (some occupational schemes from 50); State Pension is paid from 66.</t>
  </si>
  <si>
    <t xml:space="preserve">C12 Retirement projection!Retirement_Age</t>
  </si>
  <si>
    <t xml:space="preserve">G22</t>
  </si>
  <si>
    <t xml:space="preserve">21 to 104 · steps of 1</t>
  </si>
  <si>
    <t xml:space="preserve">screen starts blank (customer chooses); developer default 65</t>
  </si>
  <si>
    <t xml:space="preserve">€72,000</t>
  </si>
  <si>
    <t xml:space="preserve">Your finances / plan: Pension value today</t>
  </si>
  <si>
    <t xml:space="preserve">C12 Retirement projection!Pension_Today</t>
  </si>
  <si>
    <t xml:space="preserve">G23</t>
  </si>
  <si>
    <t xml:space="preserve">0 to 1.5e+07</t>
  </si>
  <si>
    <t xml:space="preserve">default same (60000); slider 0 to 1.5e+06 is inside the developer range</t>
  </si>
  <si>
    <t xml:space="preserve">€500</t>
  </si>
  <si>
    <t xml:space="preserve">€520</t>
  </si>
  <si>
    <t xml:space="preserve">Your finances / plan: Paid in each month</t>
  </si>
  <si>
    <t xml:space="preserve">C12 Retirement projection!Monthly_Contribution</t>
  </si>
  <si>
    <t xml:space="preserve">G24</t>
  </si>
  <si>
    <t xml:space="preserve">0 to 50000</t>
  </si>
  <si>
    <t xml:space="preserve">default same (500); slider 0 to 5000 is inside the developer range</t>
  </si>
  <si>
    <t xml:space="preserve">Desired yearly income in retirement (today's money, before tax)</t>
  </si>
  <si>
    <t xml:space="preserve">€40,000</t>
  </si>
  <si>
    <t xml:space="preserve">€46,000</t>
  </si>
  <si>
    <t xml:space="preserve">C12 Retirement projection!Desired_Income</t>
  </si>
  <si>
    <t xml:space="preserve">G25</t>
  </si>
  <si>
    <t xml:space="preserve">10000 to 1.5e+06</t>
  </si>
  <si>
    <t xml:space="preserve">default same (40000); slider 10000 to 150000 is inside the developer range</t>
  </si>
  <si>
    <t xml:space="preserve">Other yearly income, e.g. State Pension (today's money)</t>
  </si>
  <si>
    <t xml:space="preserve">€15,564</t>
  </si>
  <si>
    <t xml:space="preserve">Your assumption (a choice made in Your assumptions): State Pension (other yearly income)</t>
  </si>
  <si>
    <t xml:space="preserve">Usually between €0 and €15,564 (DSP 2026: the full State Pension is €15,564 a year; it depends on your PRSI record).</t>
  </si>
  <si>
    <t xml:space="preserve">C12 Retirement projection!Other_Income</t>
  </si>
  <si>
    <t xml:space="preserve">G26</t>
  </si>
  <si>
    <t xml:space="preserve">screen starts blank (customer chooses); developer default 15564</t>
  </si>
  <si>
    <t xml:space="preserve">4.5%</t>
  </si>
  <si>
    <t xml:space="preserve">Your assumption (a choice made in Your assumptions): pension growth</t>
  </si>
  <si>
    <t xml:space="preserve">C12 Retirement projection!Growth_Rate</t>
  </si>
  <si>
    <t xml:space="preserve">G27</t>
  </si>
  <si>
    <t xml:space="preserve">1 to 7 % · steps of 0.25</t>
  </si>
  <si>
    <t xml:space="preserve">default same (4.5); slider 1 to 7 is inside the developer range</t>
  </si>
  <si>
    <t xml:space="preserve">LifeMap uses 3% (Irish pay has grown about 3%–4% a year recently (CSO)). Change it if you want to use your own. Pick lower if your pay is fixed or you expect to work part-time. · Irish pay has grown about 3%–4% a year recently (CSO). Source: cso.ie (2026).</t>
  </si>
  <si>
    <t xml:space="preserve">Retirement savings target: times the yearly income you need</t>
  </si>
  <si>
    <t xml:space="preserve">25</t>
  </si>
  <si>
    <t xml:space="preserve">Back to LifeMap's figure (25× (about 4% a year))</t>
  </si>
  <si>
    <t xml:space="preserve">LifeMap uses 25× (about 4% a year) (a common rule of thumb, about 4% a year). Change it if you want to use your own. Retiring early or planning to 95 needs more. · a common rule of thumb, about 4% a year. Source: Widely used 4% sustainable-withdrawal rule of thumb (W. Bengen, Journal of Financial Planning, 1994) (2026).</t>
  </si>
  <si>
    <t xml:space="preserve">Tax-free lump sum to take at retirement (share of your pension, 0% = none)</t>
  </si>
  <si>
    <t xml:space="preserve">25 %</t>
  </si>
  <si>
    <t xml:space="preserve">Back to LifeMap's figure (25%)</t>
  </si>
  <si>
    <t xml:space="preserve">LifeMap uses 25% (most people take the full tax-free amount). Change it if you want to use your own. Set by law: up to €200,000 tax-free, the next €300,000 taxed at 20%, and anything above €500,000 taxed at your marginal rate (40% here). Your adviser can compare it with leaving it invested. · most people take the full tax-free amount. Source: Revenue Commissioners: tax-free retirement lump sum, up to 25% of the fund (law limit) (Law limit 25%).</t>
  </si>
  <si>
    <t xml:space="preserve">Earliest age you can draw your pension</t>
  </si>
  <si>
    <t xml:space="preserve">From 60 (most pensions)</t>
  </si>
  <si>
    <t xml:space="preserve">Back to LifeMap's figure (From 60 (most pensions)); From 60 (most pensions); From 50 (some occupational schemes)</t>
  </si>
  <si>
    <t xml:space="preserve">LifeMap uses From 60 (most pensions) (most pensions can be drawn from 60; some occupational schemes allow 50). Change it if you want to use your own. We assume 60. Choose 50 only if your occupational scheme says it allows it. Before this age your plan pays for life from savings and other income. · most pensions can be drawn from 60; some occupational schemes allow 50. Source: Revenue Commissioners: pension benefits can usually be taken from age 60 (PRSAs and personal pensions); some occupational schemes allow retirement from 50 (see the law register) (2026).</t>
  </si>
  <si>
    <t xml:space="preserve">Retire later by</t>
  </si>
  <si>
    <t xml:space="preserve">0 yrs</t>
  </si>
  <si>
    <t xml:space="preserve">C12 Retirement projection!Retire_Later</t>
  </si>
  <si>
    <t xml:space="preserve">G32</t>
  </si>
  <si>
    <t xml:space="preserve">0 to 5 · steps of 1</t>
  </si>
  <si>
    <t xml:space="preserve">default same (0); slider 0 to 5 is inside the developer range</t>
  </si>
  <si>
    <t xml:space="preserve">Save more each month</t>
  </si>
  <si>
    <t xml:space="preserve">C12 Retirement projection!Save_More</t>
  </si>
  <si>
    <t xml:space="preserve">G33</t>
  </si>
  <si>
    <t xml:space="preserve">Spend less in retirement (a year)</t>
  </si>
  <si>
    <t xml:space="preserve">C12 Retirement projection!Spend_Less</t>
  </si>
  <si>
    <t xml:space="preserve">G34</t>
  </si>
  <si>
    <t xml:space="preserve">Type 3 · optional · Optional: leave blank for none. Allowed: €0 to €200,000 · steps of €500</t>
  </si>
  <si>
    <t xml:space="preserve">default same (0)</t>
  </si>
  <si>
    <t xml:space="preserve">Choose your retirement age to see this</t>
  </si>
  <si>
    <t xml:space="preserve">Choose your retirement age to see this · Also still to add or choose: State Pension (other yearly income).</t>
  </si>
  <si>
    <t xml:space="preserve">(gated until a choice is made)</t>
  </si>
  <si>
    <t xml:space="preserve">€444,531</t>
  </si>
  <si>
    <t xml:space="preserve">C12 Retirement projection!Gap_Today</t>
  </si>
  <si>
    <t xml:space="preserve">C44</t>
  </si>
  <si>
    <t xml:space="preserve">Your projected fund is worth about €363,061 in today's money, against a target of €807,592. Contributions are assumed to rise with pay (3% a year), as in your plan. The target includes the State Pension you fund yourself for each year you retire before 66. Desired income and the State Pension are before tax: the State Pension is taxable (USC-exempt) and drawdown pays income tax and USC. Here 25% of the fund is taken as a lump sum (the most allowed is 25%): up to €200,000 tax-free, the next €300,000 taxed at 20%, and anything above €500,000 taxed at your marginal rate (40% here). Contributions are counted as paid at the end of each year.</t>
  </si>
  <si>
    <t xml:space="preserve">€595,640</t>
  </si>
  <si>
    <t xml:space="preserve">C12 Retirement projection!Projected_Fund</t>
  </si>
  <si>
    <t xml:space="preserve">C45</t>
  </si>
  <si>
    <t xml:space="preserve">€363,061</t>
  </si>
  <si>
    <t xml:space="preserve">C12 Retirement projection!Fund_Today</t>
  </si>
  <si>
    <t xml:space="preserve">C46</t>
  </si>
  <si>
    <t xml:space="preserve">Illustrative target (25 × the income you need + 3 years before the State Pension, today's money)</t>
  </si>
  <si>
    <t xml:space="preserve">€807,592</t>
  </si>
  <si>
    <t xml:space="preserve">C12 Retirement projection!Target_Today</t>
  </si>
  <si>
    <t xml:space="preserve">C48</t>
  </si>
  <si>
    <t xml:space="preserve">Lump sum you could take (after tax)</t>
  </si>
  <si>
    <t xml:space="preserve">€148,910</t>
  </si>
  <si>
    <t xml:space="preserve">Retiring at</t>
  </si>
  <si>
    <t xml:space="preserve">63</t>
  </si>
  <si>
    <t xml:space="preserve">C12 Retirement projection!Plan_Goal_Age</t>
  </si>
  <si>
    <t xml:space="preserve">C72</t>
  </si>
  <si>
    <t xml:space="preserve">Result (retiring at 50)</t>
  </si>
  <si>
    <t xml:space="preserve">€825,043</t>
  </si>
  <si>
    <t xml:space="preserve">The sample plan with the retirement age set to 50</t>
  </si>
  <si>
    <t xml:space="preserve">Same tool with the retirement age at 50: income stops at 50, the years before the pension (60) and the State Pension (66) are paid from savings, and the gap is shown.</t>
  </si>
  <si>
    <t xml:space="preserve">Most pensions can't be taken before 60 (PRSA and personal pensions; some occupational schemes allow it from 50). Until then you would live on savings and other income.</t>
  </si>
  <si>
    <t xml:space="preserve">Shown when retiring at 50</t>
  </si>
  <si>
    <t xml:space="preserve">Early-retirement warning: shown when the retirement age is before the pension access age (journey-spec 27.3). The access age is the Settings standard "Pension access age" (60, or 50 for some occupational schemes).</t>
  </si>
  <si>
    <t xml:space="preserve">Sub-result row (retiring at 50)</t>
  </si>
  <si>
    <t xml:space="preserve">€234,474</t>
  </si>
  <si>
    <t xml:space="preserve">€184,881</t>
  </si>
  <si>
    <t xml:space="preserve">Illustrative target (25 × the income you need + 16 years before the State Pension, today's money)</t>
  </si>
  <si>
    <t xml:space="preserve">€1,009,924</t>
  </si>
  <si>
    <t xml:space="preserve">€58,618</t>
  </si>
  <si>
    <t xml:space="preserve">50</t>
  </si>
  <si>
    <t xml:space="preserve">Choices missing: a message "Choose your retirement age first". With a plan: a sheet "🌅 Retire comfortably": "Your retirement goal becomes €46,000 a year from age 63. No new goal is added. This saves a new version of your plan." Buttons: "Update it", "Not now". (Eyebrow "Add to my plan")</t>
  </si>
  <si>
    <t xml:space="preserve">Opens the Experts tab (screen EXP-00 "Experts"), pre-set to the home specialist: 🧭Check your profile before your adviser meetingCheck nowNBNiamh ByrnePension &amp; retirement expert · QFA, CFP®🗣️ English, </t>
  </si>
  <si>
    <t xml:space="preserve">Contribution impact</t>
  </si>
  <si>
    <t xml:space="preserve">C13 Contribution impact!Salary</t>
  </si>
  <si>
    <t xml:space="preserve">C13 Contribution impact!Increase_Pct</t>
  </si>
  <si>
    <t xml:space="preserve">0.5 to 10 % · steps of 0.5</t>
  </si>
  <si>
    <t xml:space="preserve">default same (2); slider 0.5 to 10 is inside the developer range</t>
  </si>
  <si>
    <t xml:space="preserve">Your finances / plan: Your age; Your retirement age</t>
  </si>
  <si>
    <t xml:space="preserve">C13 Contribution impact!Years</t>
  </si>
  <si>
    <t xml:space="preserve">1 to 45 · steps of 1</t>
  </si>
  <si>
    <t xml:space="preserve">default same (25); slider 1 to 45 is inside the developer range</t>
  </si>
  <si>
    <t xml:space="preserve">C13 Contribution impact!Growth_Rate</t>
  </si>
  <si>
    <t xml:space="preserve">Your tax rate</t>
  </si>
  <si>
    <t xml:space="preserve">40%</t>
  </si>
  <si>
    <t xml:space="preserve">20%; 40%</t>
  </si>
  <si>
    <t xml:space="preserve">C13 Contribution impact!Tax_Rate</t>
  </si>
  <si>
    <t xml:space="preserve">Choose your tax status to see this%</t>
  </si>
  <si>
    <t xml:space="preserve">developer default is text: Choose your tax status to see this</t>
  </si>
  <si>
    <t xml:space="preserve">Your age (for the relief limit)</t>
  </si>
  <si>
    <t xml:space="preserve">C13 Contribution impact!Age</t>
  </si>
  <si>
    <t xml:space="preserve">18 to 75 · steps of 1</t>
  </si>
  <si>
    <t xml:space="preserve">default same (40); slider 18 to 75 is inside the developer range</t>
  </si>
  <si>
    <t xml:space="preserve">What you pay in yourself now, a year</t>
  </si>
  <si>
    <t xml:space="preserve">€3,120</t>
  </si>
  <si>
    <t xml:space="preserve">C13 Contribution impact!Existing_Pension_Year</t>
  </si>
  <si>
    <t xml:space="preserve">default same (0); slider 0 to 100000 is inside the developer range</t>
  </si>
  <si>
    <t xml:space="preserve">€170,029</t>
  </si>
  <si>
    <t xml:space="preserve">€52,753</t>
  </si>
  <si>
    <t xml:space="preserve">C13 Contribution impact!Grows_To</t>
  </si>
  <si>
    <t xml:space="preserve">An extra €100 a month could cost about €60 after tax relief at 40% (USC and PRSI still apply). Tax relief has an age limit: at 40 it applies to up to 25% of your earnings (earnings counted up to €115,000), which is €15,000 a year. You already pay in €0 a year, so up to €15,000 a year more gets relief. The extra is the same every year; it does not rise with pay. Prices rising 2% a year, your choice.</t>
  </si>
  <si>
    <t xml:space="preserve">An extra €97 a month could cost about €58 after tax relief at 40% (USC and PRSI still apply). Tax relief has an age limit: at 38 it applies to up to 20% of your earnings (earnings counted up to €115,000), which is €11,600 a year. You already pay in €3,120 a year, so up to €8,480 a year more gets relief. The extra is the same every year; it does not rise with pay. Prices rising 2% a year, your choice.</t>
  </si>
  <si>
    <t xml:space="preserve">€100</t>
  </si>
  <si>
    <t xml:space="preserve">€97</t>
  </si>
  <si>
    <t xml:space="preserve">C13 Contribution impact!Extra_Per_Month</t>
  </si>
  <si>
    <t xml:space="preserve">€60</t>
  </si>
  <si>
    <t xml:space="preserve">€58</t>
  </si>
  <si>
    <t xml:space="preserve">C13 Contribution impact!Net_Cost_Per_Month</t>
  </si>
  <si>
    <t xml:space="preserve">€40</t>
  </si>
  <si>
    <t xml:space="preserve">€39</t>
  </si>
  <si>
    <t xml:space="preserve">C13 Contribution impact!Relief_Per_Month</t>
  </si>
  <si>
    <t xml:space="preserve">C36</t>
  </si>
  <si>
    <t xml:space="preserve">€69,745</t>
  </si>
  <si>
    <t xml:space="preserve">€32,155</t>
  </si>
  <si>
    <t xml:space="preserve">C13 Contribution impact!Value_Today</t>
  </si>
  <si>
    <t xml:space="preserve">€18,305</t>
  </si>
  <si>
    <t xml:space="preserve">€14,434</t>
  </si>
  <si>
    <t xml:space="preserve">No plan, choices made: a sheet "Add your age first": "A goal sits on your timeline at an age, so we need yours. It is step 1 of Make my plan, and the figures you tried here stay as they are." Buttons: "Add my age", "Not now". With a plan: a sheet "🌅 Raise my pension contribution": "Your plan's pension contribution goes up by €97 a month. Pension money is not a spending goal. This saves a new version of your plan." Buttons: "Raise it", "Not now". (Eyebrow "Add to my plan")</t>
  </si>
  <si>
    <t xml:space="preserve">AVC impact</t>
  </si>
  <si>
    <t xml:space="preserve">C14 AVC impact!AVC_Per_Month</t>
  </si>
  <si>
    <t xml:space="preserve">25 to 20000</t>
  </si>
  <si>
    <t xml:space="preserve">default same (200); slider 25 to 2000 is inside the developer range</t>
  </si>
  <si>
    <t xml:space="preserve">C14 AVC impact!Salary</t>
  </si>
  <si>
    <t xml:space="preserve">C14 AVC impact!Years</t>
  </si>
  <si>
    <t xml:space="preserve">C14 AVC impact!Growth_Rate</t>
  </si>
  <si>
    <t xml:space="preserve">C14 AVC impact!Tax_Rate</t>
  </si>
  <si>
    <t xml:space="preserve">C14 AVC impact!Age</t>
  </si>
  <si>
    <t xml:space="preserve">C14 AVC impact!Existing_Pension_Year</t>
  </si>
  <si>
    <t xml:space="preserve">€262,129</t>
  </si>
  <si>
    <t xml:space="preserve">€109,145</t>
  </si>
  <si>
    <t xml:space="preserve">C14 AVC impact!Grows_To</t>
  </si>
  <si>
    <t xml:space="preserve">Each €200 AVC could cost about €120 after tax relief. Tax relief has an age limit: at 40 it applies to up to 25% of your earnings (earnings counted up to €115,000), which is €15,000 a year for your main scheme and AVCs together. You already pay in €0 a year, so up to €15,000 a year more gets relief. Prices rising 2% a year, your choice.</t>
  </si>
  <si>
    <t xml:space="preserve">Each €200 AVC could cost about €120 after tax relief. Tax relief has an age limit: at 38 it applies to up to 20% of your earnings (earnings counted up to €115,000), which is €11,600 a year for your main scheme and AVCs together. You already pay in €3,120 a year, so up to €8,480 a year more gets relief. Prices rising 2% a year, your choice.</t>
  </si>
  <si>
    <t xml:space="preserve">€96,000</t>
  </si>
  <si>
    <t xml:space="preserve">C14 AVC impact!Paid_In</t>
  </si>
  <si>
    <t xml:space="preserve">€57,600</t>
  </si>
  <si>
    <t xml:space="preserve">€36,000</t>
  </si>
  <si>
    <t xml:space="preserve">C14 AVC impact!Net_Cost</t>
  </si>
  <si>
    <t xml:space="preserve">€80</t>
  </si>
  <si>
    <t xml:space="preserve">C14 AVC impact!Relief_Per_Month</t>
  </si>
  <si>
    <t xml:space="preserve">C37</t>
  </si>
  <si>
    <t xml:space="preserve">€118,716</t>
  </si>
  <si>
    <t xml:space="preserve">€66,527</t>
  </si>
  <si>
    <t xml:space="preserve">C14 AVC impact!Value_Today</t>
  </si>
  <si>
    <t xml:space="preserve">€37,873</t>
  </si>
  <si>
    <t xml:space="preserve">€28,800</t>
  </si>
  <si>
    <t xml:space="preserve">€17,280</t>
  </si>
  <si>
    <t xml:space="preserve">€29,863</t>
  </si>
  <si>
    <t xml:space="preserve">No plan, choices made: a sheet "Add your age first": "A goal sits on your timeline at an age, so we need yours. It is step 1 of Make my plan, and the figures you tried here stay as they are." Buttons: "Add my age", "Not now". With a plan: a sheet "🌅 Raise my pension contribution (AVC)": "Your plan's pension contribution goes up by €200 a month. Pension money is not a spending goal. This saves a new version of your plan." Buttons: "Raise it", "Not now". (Eyebrow "Add to my plan")</t>
  </si>
  <si>
    <t xml:space="preserve">Will my money last?</t>
  </si>
  <si>
    <t xml:space="preserve">€400,000</t>
  </si>
  <si>
    <t xml:space="preserve">Your finances / plan: Pension value today; Paid in each month; Your age; Your retirement age</t>
  </si>
  <si>
    <t xml:space="preserve">C15 Will my money last!Retirement_Savings</t>
  </si>
  <si>
    <t xml:space="preserve">10000 to 3e+07</t>
  </si>
  <si>
    <t xml:space="preserve">default same (400000); slider 10000 to 3e+06 is inside the developer range</t>
  </si>
  <si>
    <t xml:space="preserve">€24,000</t>
  </si>
  <si>
    <t xml:space="preserve">C15 Will my money last!Yearly_Withdrawal</t>
  </si>
  <si>
    <t xml:space="preserve">1000 to 2e+06</t>
  </si>
  <si>
    <t xml:space="preserve">default same (24000); slider 1000 to 200000 is inside the developer range</t>
  </si>
  <si>
    <t xml:space="preserve">3.15%</t>
  </si>
  <si>
    <t xml:space="preserve">Your assumption (a choice made in Your assumptions): pension growth once retired</t>
  </si>
  <si>
    <t xml:space="preserve">C15 Will my money last!Growth_Rate</t>
  </si>
  <si>
    <t xml:space="preserve">0 to 7 % · steps of 0.05</t>
  </si>
  <si>
    <t xml:space="preserve">default same (3.15); slider 0 to 7 is inside the developer range</t>
  </si>
  <si>
    <t xml:space="preserve">C15 Will my money last!Age_At_Start</t>
  </si>
  <si>
    <t xml:space="preserve">50 to 90 · steps of 1</t>
  </si>
  <si>
    <t xml:space="preserve">screen starts blank (customer chooses); developer default 66</t>
  </si>
  <si>
    <t xml:space="preserve">Drawdown tools: withdrawals taken at the</t>
  </si>
  <si>
    <t xml:space="preserve">Start of the year</t>
  </si>
  <si>
    <t xml:space="preserve">Back to LifeMap's figure (Start of the year); Start of the year; End of the year</t>
  </si>
  <si>
    <t xml:space="preserve">LifeMap uses Start of the year (the prudent choice: the money has less time to grow before you take it). Change it if you want to use your own. · the prudent choice: the money has less time to grow before you take it. Source: LifeMap tool setting (2026).</t>
  </si>
  <si>
    <t xml:space="preserve">Plan until age (life expectancy)</t>
  </si>
  <si>
    <t xml:space="preserve">age95</t>
  </si>
  <si>
    <t xml:space="preserve">At 65, average life expectancy in Ireland is about 83 for men and 86 for women (CSO, Irish Life Tables No. 17, 2015–2017). Choose the age you want to plan to.</t>
  </si>
  <si>
    <t xml:space="preserve">Not chosen yet; Your choice</t>
  </si>
  <si>
    <t xml:space="preserve">Choose your age when withdrawals start to see this</t>
  </si>
  <si>
    <t xml:space="preserve">Choose your age when withdrawals start to see this · Also still to add or choose: plan-until age.</t>
  </si>
  <si>
    <t xml:space="preserve">Could last about</t>
  </si>
  <si>
    <t xml:space="preserve">18 years</t>
  </si>
  <si>
    <t xml:space="preserve">28 years</t>
  </si>
  <si>
    <t xml:space="preserve">C15 Will my money last!Years_Lasting</t>
  </si>
  <si>
    <t xml:space="preserve">Withdrawing €24,000 at the start of each year, rising with prices (2% a year): money lasts to about age 84, before the end of your plan (90). Before tax: ARF and vested PRSA withdrawals pay income tax and USC (and PRSI before 66). From 61 you must take at least 4% a year (5% from 71). An illustration, not a guarantee.</t>
  </si>
  <si>
    <t xml:space="preserve">Withdrawing €24,000 at the start of each year, rising with prices (2% a year): money lasts to about age 91, before the end of your plan (95). Before tax: ARF and vested PRSA withdrawals pay income tax and USC (and PRSI before 66). From 61 you must take at least 4% a year (5% from 71). An illustration, not a guarantee.</t>
  </si>
  <si>
    <t xml:space="preserve">84</t>
  </si>
  <si>
    <t xml:space="preserve">91</t>
  </si>
  <si>
    <t xml:space="preserve">C15 Will my money last!Lasts_To_Age</t>
  </si>
  <si>
    <t xml:space="preserve">6.0%</t>
  </si>
  <si>
    <t xml:space="preserve">4.0%</t>
  </si>
  <si>
    <t xml:space="preserve">C15 Will my money last!Withdrawal_Rate</t>
  </si>
  <si>
    <t xml:space="preserve">10 years</t>
  </si>
  <si>
    <t xml:space="preserve">70</t>
  </si>
  <si>
    <t xml:space="preserve">10.2%</t>
  </si>
  <si>
    <t xml:space="preserve">Choices missing: a message "Choose your age when withdrawals start first". No plan, choices made: a sheet "Add your age first": "A goal sits on your timeline at an age, so we need yours. It is step 1 of Make my plan, and the figures you tried here stay as they are." Buttons: "Add my age", "Not now". With a plan: a sheet "Nothing to add": "This result doesn't create a goal." Buttons: "OK". (Eyebrow "None")</t>
  </si>
  <si>
    <t xml:space="preserve">Retirement drawdown scenarios</t>
  </si>
  <si>
    <t xml:space="preserve">C16 Drawdown scenarios!Retirement_Savings</t>
  </si>
  <si>
    <t xml:space="preserve">€20,000</t>
  </si>
  <si>
    <t xml:space="preserve">C16 Drawdown scenarios!Yearly_Withdrawal</t>
  </si>
  <si>
    <t xml:space="preserve">default same (20000); slider 1000 to 200000 is inside the developer range</t>
  </si>
  <si>
    <t xml:space="preserve">Risk &amp; return: Cautious style growth (a year)</t>
  </si>
  <si>
    <t xml:space="preserve">2 %</t>
  </si>
  <si>
    <t xml:space="preserve">Back to LifeMap's figure (2%)</t>
  </si>
  <si>
    <t xml:space="preserve">LifeMap uses 2% (illustrations, not forecasts). Change it if you want to use your own. Your adviser uses the fund's own risk rating (SRI 1–7). · illustrations, not forecasts. Source: LifeMap illustrations, not forecasts (2026).</t>
  </si>
  <si>
    <t xml:space="preserve">Risk &amp; return: Balanced style growth (a year)</t>
  </si>
  <si>
    <t xml:space="preserve">4 %</t>
  </si>
  <si>
    <t xml:space="preserve">Back to LifeMap's figure (4%)</t>
  </si>
  <si>
    <t xml:space="preserve">LifeMap uses 4% (illustrations, not forecasts). Change it if you want to use your own. Your adviser uses the fund's own risk rating (SRI 1–7). · illustrations, not forecasts. Source: LifeMap illustrations, not forecasts (2026).</t>
  </si>
  <si>
    <t xml:space="preserve">Risk &amp; return: Growth style growth (a year)</t>
  </si>
  <si>
    <t xml:space="preserve">6 %</t>
  </si>
  <si>
    <t xml:space="preserve">Back to LifeMap's figure (6%)</t>
  </si>
  <si>
    <t xml:space="preserve">LifeMap uses 6% (illustrations, not forecasts). Change it if you want to use your own. Your adviser uses the fund's own risk rating (SRI 1–7). · illustrations, not forecasts. Source: LifeMap illustrations, not forecasts (2026).</t>
  </si>
  <si>
    <t xml:space="preserve">Balanced scenario lasts</t>
  </si>
  <si>
    <t xml:space="preserve">25 years</t>
  </si>
  <si>
    <t xml:space="preserve">43 years</t>
  </si>
  <si>
    <t xml:space="preserve">C16 Drawdown scenarios!Years_Balanced</t>
  </si>
  <si>
    <t xml:space="preserve">Three illustrative growth scenarios (your assumptions); withdrawals at the start of each year, rising with prices (2% a year). Real returns vary year to year. Before tax.</t>
  </si>
  <si>
    <t xml:space="preserve">Cautious (2%)</t>
  </si>
  <si>
    <t xml:space="preserve">20 years</t>
  </si>
  <si>
    <t xml:space="preserve">29 years</t>
  </si>
  <si>
    <t xml:space="preserve">C16 Drawdown scenarios!Years_Cautious</t>
  </si>
  <si>
    <t xml:space="preserve">Balanced (4%)</t>
  </si>
  <si>
    <t xml:space="preserve">Growth (6%)</t>
  </si>
  <si>
    <t xml:space="preserve">36 years</t>
  </si>
  <si>
    <t xml:space="preserve">60+ years</t>
  </si>
  <si>
    <t xml:space="preserve">C16 Drawdown scenarios!Years_Growth</t>
  </si>
  <si>
    <t xml:space="preserve">13 years</t>
  </si>
  <si>
    <t xml:space="preserve">11 years</t>
  </si>
  <si>
    <t xml:space="preserve">15 years</t>
  </si>
  <si>
    <t xml:space="preserve">No plan, choices made: a sheet "Add your age first": "A goal sits on your timeline at an age, so we need yours. It is step 1 of Make my plan, and the figures you tried here stay as they are." Buttons: "Add my age", "Not now". With a plan: a sheet "Nothing to add": "This result doesn't create a goal." Buttons: "OK". (Eyebrow "None")</t>
  </si>
  <si>
    <t xml:space="preserve">Inflation-adjusted return</t>
  </si>
  <si>
    <t xml:space="preserve">C17 Inflation adjusted return!Amount</t>
  </si>
  <si>
    <t xml:space="preserve">default same (20000); slider 500 to 500000 is inside the developer range</t>
  </si>
  <si>
    <t xml:space="preserve">C17 Inflation adjusted return!Nominal_Return</t>
  </si>
  <si>
    <t xml:space="preserve">0 to 10 % · steps of 0.25</t>
  </si>
  <si>
    <t xml:space="preserve">default same (5); slider 0 to 10 is inside the developer range</t>
  </si>
  <si>
    <t xml:space="preserve">C17 Inflation adjusted return!Years</t>
  </si>
  <si>
    <t xml:space="preserve">€30,893</t>
  </si>
  <si>
    <t xml:space="preserve">€9,577</t>
  </si>
  <si>
    <t xml:space="preserve">C17 Inflation adjusted return!Value_Today</t>
  </si>
  <si>
    <t xml:space="preserve">A 5% return with prices rising 2% is really about 2.9% a year. Before tax: deposit interest pays DIRT at 33%; investment funds and life policies pay exit tax at 38% (plus 8-year deemed disposal). No tax is taken off here.</t>
  </si>
  <si>
    <t xml:space="preserve">€41,579</t>
  </si>
  <si>
    <t xml:space="preserve">C17 Inflation adjusted return!Future_Value</t>
  </si>
  <si>
    <t xml:space="preserve">2.94%</t>
  </si>
  <si>
    <t xml:space="preserve">C17 Inflation adjusted return!Real_Return</t>
  </si>
  <si>
    <t xml:space="preserve">Value in today's money</t>
  </si>
  <si>
    <t xml:space="preserve">Regular investing</t>
  </si>
  <si>
    <t xml:space="preserve">€300</t>
  </si>
  <si>
    <t xml:space="preserve">C18 Regular investing!Monthly_Amount</t>
  </si>
  <si>
    <t xml:space="preserve">25 to 50000</t>
  </si>
  <si>
    <t xml:space="preserve">default same (300); slider 25 to 5000 is inside the developer range</t>
  </si>
  <si>
    <t xml:space="preserve">C18 Regular investing!Years</t>
  </si>
  <si>
    <t xml:space="preserve">C18 Regular investing!Growth_Rate</t>
  </si>
  <si>
    <t xml:space="preserve">C18 Regular investing!Yearly_Fees</t>
  </si>
  <si>
    <t xml:space="preserve">Could grow to (after fees)</t>
  </si>
  <si>
    <t xml:space="preserve">€73,109</t>
  </si>
  <si>
    <t xml:space="preserve">C18 Regular investing!Headline</t>
  </si>
  <si>
    <t xml:space="preserve">Fees of 1% a year could cost about €6,339 over 15 years. Before tax: deposit interest pays DIRT at 33%; investment funds and life policies pay exit tax at 38% (plus 8-year deemed disposal). No tax is taken off here.</t>
  </si>
  <si>
    <t xml:space="preserve">€54,000</t>
  </si>
  <si>
    <t xml:space="preserve">C18 Regular investing!Paid_In</t>
  </si>
  <si>
    <t xml:space="preserve">€79,447</t>
  </si>
  <si>
    <t xml:space="preserve">C18 Regular investing!Value_Before_Fees</t>
  </si>
  <si>
    <t xml:space="preserve">€6,339</t>
  </si>
  <si>
    <t xml:space="preserve">C18 Regular investing!Fees_Cost</t>
  </si>
  <si>
    <t xml:space="preserve">Choices missing: a message "Choose your yearly fees first". No plan, choices made: a sheet "Add your age first": "A goal sits on your timeline at an age, so we need yours. It is step 1 of Make my plan, and the figures you tried here stay as they are." Buttons: "Add my age", "Not now". With a plan: a sheet "📈 Grow my wealth": "A savings pot of €54,321 in today's money in about 15 years (age 53). This saves a new version of your plan." Buttons: "Add it", "Not now". (Eyebrow "Add to my plan")</t>
  </si>
  <si>
    <t xml:space="preserve">Fees impact</t>
  </si>
  <si>
    <t xml:space="preserve">€50,000</t>
  </si>
  <si>
    <t xml:space="preserve">C19 Fees impact!Amount_Invested</t>
  </si>
  <si>
    <t xml:space="preserve">1000 to 1e+07</t>
  </si>
  <si>
    <t xml:space="preserve">default same (50000); slider 1000 to 1e+06 is inside the developer range</t>
  </si>
  <si>
    <t xml:space="preserve">C19 Fees impact!Years</t>
  </si>
  <si>
    <t xml:space="preserve">C19 Fees impact!Growth_Rate</t>
  </si>
  <si>
    <t xml:space="preserve">0.5%</t>
  </si>
  <si>
    <t xml:space="preserve">C19 Fees impact!Fee_A</t>
  </si>
  <si>
    <t xml:space="preserve">1.5%</t>
  </si>
  <si>
    <t xml:space="preserve">C19 Fees impact!Fee_B</t>
  </si>
  <si>
    <t xml:space="preserve">Choose the first fee (fee A) to see this</t>
  </si>
  <si>
    <t xml:space="preserve">Choose the first fee (fee A) to see this · Also still to add or choose: the second fee (fee B).</t>
  </si>
  <si>
    <t xml:space="preserve">€2,722</t>
  </si>
  <si>
    <t xml:space="preserve">C19 Fees impact!Difference</t>
  </si>
  <si>
    <t xml:space="preserve">A 0.00% difference in yearly fees could change the outcome by about €0. Before tax.</t>
  </si>
  <si>
    <t xml:space="preserve">A 1.00% difference in yearly fees could change the outcome by about €2,722. Before tax.</t>
  </si>
  <si>
    <t xml:space="preserve">With 0.5% fees</t>
  </si>
  <si>
    <t xml:space="preserve">€108,508</t>
  </si>
  <si>
    <t xml:space="preserve">€14,881</t>
  </si>
  <si>
    <t xml:space="preserve">C19 Fees impact!Value_With_Fee_A</t>
  </si>
  <si>
    <t xml:space="preserve">With 1.5% fees</t>
  </si>
  <si>
    <t xml:space="preserve">€12,159</t>
  </si>
  <si>
    <t xml:space="preserve">C19 Fees impact!Value_With_Fee_B</t>
  </si>
  <si>
    <t xml:space="preserve">Choices missing: a message "Choose the first fee (fee A) first". No plan, choices made: a sheet "Add your age first": "A goal sits on your timeline at an age, so we need yours. It is step 1 of Make my plan, and the figures you tried here stay as they are." Buttons: "Add my age", "Not now". With a plan: a sheet "Nothing to add": "This result doesn't create a goal." Buttons: "OK". (Eyebrow "None")</t>
  </si>
  <si>
    <t xml:space="preserve">Risk &amp; return simulator</t>
  </si>
  <si>
    <t xml:space="preserve">C20 Risk and return!Amount</t>
  </si>
  <si>
    <t xml:space="preserve">default same (20000); slider 1000 to 1e+06 is inside the developer range</t>
  </si>
  <si>
    <t xml:space="preserve">C20 Risk and return!Years</t>
  </si>
  <si>
    <t xml:space="preserve">2 · Balanced</t>
  </si>
  <si>
    <t xml:space="preserve">Your assumption (a choice made in Your assumptions): investment style</t>
  </si>
  <si>
    <t xml:space="preserve">1 · Cautious; 2 · Balanced; 3 · Growth</t>
  </si>
  <si>
    <t xml:space="preserve">C20 Risk and return!Style</t>
  </si>
  <si>
    <t xml:space="preserve">default same (2)</t>
  </si>
  <si>
    <t xml:space="preserve">Risk &amp; return: Cautious style ups and downs (volatility)</t>
  </si>
  <si>
    <t xml:space="preserve">5 %</t>
  </si>
  <si>
    <t xml:space="preserve">Back to LifeMap's figure (5%)</t>
  </si>
  <si>
    <t xml:space="preserve">LifeMap uses 5% (illustrations, not forecasts). Change it if you want to use your own. How much a year can swing. · illustrations, not forecasts. Source: LifeMap illustrations, not forecasts (2026).</t>
  </si>
  <si>
    <t xml:space="preserve">Risk &amp; return: Balanced style ups and downs (volatility)</t>
  </si>
  <si>
    <t xml:space="preserve">10 %</t>
  </si>
  <si>
    <t xml:space="preserve">Back to LifeMap's figure (10%)</t>
  </si>
  <si>
    <t xml:space="preserve">LifeMap uses 10% (illustrations, not forecasts). Change it if you want to use your own. How much a year can swing. · illustrations, not forecasts. Source: LifeMap illustrations, not forecasts (2026).</t>
  </si>
  <si>
    <t xml:space="preserve">Risk &amp; return: Growth style ups and downs (volatility)</t>
  </si>
  <si>
    <t xml:space="preserve">16 %</t>
  </si>
  <si>
    <t xml:space="preserve">Back to LifeMap's figure (16%)</t>
  </si>
  <si>
    <t xml:space="preserve">LifeMap uses 16% (illustrations, not forecasts). Change it if you want to use your own. How much a year can swing. · illustrations, not forecasts. Source: LifeMap illustrations, not forecasts (2026).</t>
  </si>
  <si>
    <t xml:space="preserve">Balanced · middle outcome</t>
  </si>
  <si>
    <t xml:space="preserve">€29,605</t>
  </si>
  <si>
    <t xml:space="preserve">€9,178</t>
  </si>
  <si>
    <t xml:space="preserve">C20 Risk and return!Middle</t>
  </si>
  <si>
    <t xml:space="preserve">Illustrative only. About a 1-in-20 bad year could see a fall of around 12%. Over longer timeframes the yearly return range narrows, but the gap in euros between the weaker and stronger outcomes widens; "weaker" is roughly a 1-in-6 chance of doing worse, not the worst case.</t>
  </si>
  <si>
    <t xml:space="preserve">€21,740</t>
  </si>
  <si>
    <t xml:space="preserve">€6,739</t>
  </si>
  <si>
    <t xml:space="preserve">C20 Risk and return!Weaker</t>
  </si>
  <si>
    <t xml:space="preserve">€39,944</t>
  </si>
  <si>
    <t xml:space="preserve">€12,383</t>
  </si>
  <si>
    <t xml:space="preserve">C20 Risk and return!Stronger</t>
  </si>
  <si>
    <t xml:space="preserve">Life cover estimator</t>
  </si>
  <si>
    <t xml:space="preserve">C21 Life cover!Yearly_Income</t>
  </si>
  <si>
    <t xml:space="preserve">0 to 3e+06</t>
  </si>
  <si>
    <t xml:space="preserve">default same (60000); slider 0 to 300000 is inside the developer range</t>
  </si>
  <si>
    <t xml:space="preserve">Your assumption (a choice made in Your assumptions): years of support</t>
  </si>
  <si>
    <t xml:space="preserve">C21 Life cover!Years_Support</t>
  </si>
  <si>
    <t xml:space="preserve">default same (15); slider 1 to 30 is inside the developer range</t>
  </si>
  <si>
    <t xml:space="preserve">C21 Life cover!Mortgage_Balance</t>
  </si>
  <si>
    <t xml:space="preserve">0 to 1e+07</t>
  </si>
  <si>
    <t xml:space="preserve">default same (250000); slider 0 to 1e+06 is inside the developer range</t>
  </si>
  <si>
    <t xml:space="preserve">C21 Life cover!Mortgage_Protected</t>
  </si>
  <si>
    <t xml:space="preserve">€3,900</t>
  </si>
  <si>
    <t xml:space="preserve">Your finances / plan: Credit cards: total owed; Other loans (car, personal, credit union): total owed</t>
  </si>
  <si>
    <t xml:space="preserve">C21 Life cover!Other_Debts</t>
  </si>
  <si>
    <t xml:space="preserve">default same (10000); slider 0 to 200000 is inside the developer range</t>
  </si>
  <si>
    <t xml:space="preserve">€15,200</t>
  </si>
  <si>
    <t xml:space="preserve">Your finances / plan: Cash savings; Investments</t>
  </si>
  <si>
    <t xml:space="preserve">C21 Life cover!Savings</t>
  </si>
  <si>
    <t xml:space="preserve">default same (20000); slider 0 to 1e+06 is inside the developer range</t>
  </si>
  <si>
    <t xml:space="preserve">€100,000</t>
  </si>
  <si>
    <t xml:space="preserve">€424,000</t>
  </si>
  <si>
    <t xml:space="preserve">C21 Life cover!Existing_Cover</t>
  </si>
  <si>
    <t xml:space="preserve">0 to 2e+07</t>
  </si>
  <si>
    <t xml:space="preserve">default same (100000); slider 0 to 2e+06 is inside the developer range</t>
  </si>
  <si>
    <t xml:space="preserve">€260</t>
  </si>
  <si>
    <t xml:space="preserve">Your assumption (a choice made in Your assumptions): survivor's pension</t>
  </si>
  <si>
    <t xml:space="preserve">Usually between €0 a week and €299.30 a week (DSP 2026: €259.50 under 66, €299.30 at 66+, nothing if not eligible).</t>
  </si>
  <si>
    <t xml:space="preserve">C21 Life cover!Survivor_Pension</t>
  </si>
  <si>
    <t xml:space="preserve">0 to 1000</t>
  </si>
  <si>
    <t xml:space="preserve">screen starts blank (customer chooses); developer default 259.5</t>
  </si>
  <si>
    <t xml:space="preserve">Life cover: share of your income your family would need</t>
  </si>
  <si>
    <t xml:space="preserve">60 %</t>
  </si>
  <si>
    <t xml:space="preserve">Back to LifeMap's figure (60%)</t>
  </si>
  <si>
    <t xml:space="preserve">LifeMap uses 60% (families usually need less than full pay). Change it if you want to use your own. · families usually need less than full pay. Source: LifeMap planning standard. Reference point: Irish life-insurer needs calculators (2026).</t>
  </si>
  <si>
    <t xml:space="preserve">Choose your survivor's pension to see this</t>
  </si>
  <si>
    <t xml:space="preserve">C21 Life cover!Cover_Gap</t>
  </si>
  <si>
    <t xml:space="preserve">Your existing cover and savings look like they meet this rough estimate.</t>
  </si>
  <si>
    <t xml:space="preserve">Income your family would need (after the State pension)</t>
  </si>
  <si>
    <t xml:space="preserve">€319,590</t>
  </si>
  <si>
    <t xml:space="preserve">C21 Life cover!Income_Need</t>
  </si>
  <si>
    <t xml:space="preserve">C21 Life cover!Debts_To_Clear</t>
  </si>
  <si>
    <t xml:space="preserve">€439,200</t>
  </si>
  <si>
    <t xml:space="preserve">C21 Life cover!Already_Have</t>
  </si>
  <si>
    <t xml:space="preserve">€522,000</t>
  </si>
  <si>
    <t xml:space="preserve">C21 Life cover!Income_Replacement</t>
  </si>
  <si>
    <t xml:space="preserve">Choices missing: a message "Choose your survivor's pension first". With a plan: a sheet "Nothing to add": "This result doesn't create a goal." Buttons: "OK". (Eyebrow "None")</t>
  </si>
  <si>
    <t xml:space="preserve">Opens the Experts tab (screen EXP-00 "Experts"), pre-set to the home specialist: 🧭Check your profile before your adviser meetingCheck nowNBNiamh ByrneProtection expert · QFA, CFP®🗣️ English, Irish · 📍 </t>
  </si>
  <si>
    <t xml:space="preserve">Income protection gap</t>
  </si>
  <si>
    <t xml:space="preserve">C22 Income protection gap!Essential_Spending</t>
  </si>
  <si>
    <t xml:space="preserve">C22 Income protection gap!Sick_Pay_Months</t>
  </si>
  <si>
    <t xml:space="preserve">0 to 12 · steps of 1</t>
  </si>
  <si>
    <t xml:space="preserve">default same (3); slider 0 to 12 is inside the developer range</t>
  </si>
  <si>
    <t xml:space="preserve">€8,000</t>
  </si>
  <si>
    <t xml:space="preserve">C22 Income protection gap!Savings</t>
  </si>
  <si>
    <t xml:space="preserve">default same (8000); slider 0 to 200000 is inside the developer range</t>
  </si>
  <si>
    <t xml:space="preserve">C22 Income protection gap!Gross_Income</t>
  </si>
  <si>
    <t xml:space="preserve">€254</t>
  </si>
  <si>
    <t xml:space="preserve">Your assumption (a choice made in Your assumptions): Illness Benefit</t>
  </si>
  <si>
    <t xml:space="preserve">Usually between €0 a week and €254 a week (DSP 2026 maximum; lower if you earned under €300 a week; needs enough PRSI).</t>
  </si>
  <si>
    <t xml:space="preserve">C22 Income protection gap!Illness_Benefit</t>
  </si>
  <si>
    <t xml:space="preserve">0 to 500</t>
  </si>
  <si>
    <t xml:space="preserve">screen starts blank (customer chooses); developer default 254</t>
  </si>
  <si>
    <t xml:space="preserve">Choose your Illness Benefit to see this</t>
  </si>
  <si>
    <t xml:space="preserve">You could cope for about</t>
  </si>
  <si>
    <t xml:space="preserve">5.4 months</t>
  </si>
  <si>
    <t xml:space="preserve">C22 Income protection gap!Months_Coping</t>
  </si>
  <si>
    <t xml:space="preserve">After Illness Benefit (€254 a week, if you have enough PRSI; lower if you earned under €300 a week) you would have a gap of about €3,819 a month. Some people cover a gap like this with income protection; your adviser can explain the options. Statutory sick pay is only 5 days a year. Illness Benefit is paid for up to 2 years (624 days), so we do not count time after that.</t>
  </si>
  <si>
    <t xml:space="preserve">€3,819</t>
  </si>
  <si>
    <t xml:space="preserve">C22 Income protection gap!Monthly_Gap</t>
  </si>
  <si>
    <t xml:space="preserve">€2,524</t>
  </si>
  <si>
    <t xml:space="preserve">C22 Income protection gap!IP_Needed</t>
  </si>
  <si>
    <t xml:space="preserve">Savings would cover</t>
  </si>
  <si>
    <t xml:space="preserve">2.4 months</t>
  </si>
  <si>
    <t xml:space="preserve">C22 Income protection gap!Savings_Months</t>
  </si>
  <si>
    <t xml:space="preserve">Sick pay</t>
  </si>
  <si>
    <t xml:space="preserve">3 months</t>
  </si>
  <si>
    <t xml:space="preserve">Illness Benefit a week (your figure; the most is €254)</t>
  </si>
  <si>
    <t xml:space="preserve">Choices missing: a message "Choose your Illness Benefit first". With a plan: a sheet "🩺 Income protection need (for your adviser)": "We note an income protection need of €2,524 a month for your adviser. Cover is bought for a premium; it is not money to save. This saves a new version of your plan." Buttons: "Note it", "Not now". (Eyebrow "Add to my plan")</t>
  </si>
  <si>
    <t xml:space="preserve">Mortgage protection</t>
  </si>
  <si>
    <t xml:space="preserve">C23 Mortgage protection!Mortgage_Balance</t>
  </si>
  <si>
    <t xml:space="preserve">C23 Mortgage protection!Interest_Rate</t>
  </si>
  <si>
    <t xml:space="preserve">C23 Mortgage protection!Years_Left</t>
  </si>
  <si>
    <t xml:space="preserve">C23 Mortgage protection!Cover_Today</t>
  </si>
  <si>
    <t xml:space="preserve">Mortgage protection usually reduces as your mortgage does. Illustrative balance over time, repaying €1,249 a month:</t>
  </si>
  <si>
    <t xml:space="preserve">Mortgage protection usually reduces as your mortgage does. Illustrative balance over time, repaying €1,180 a month:</t>
  </si>
  <si>
    <t xml:space="preserve">In 5 years</t>
  </si>
  <si>
    <t xml:space="preserve">€215,721</t>
  </si>
  <si>
    <t xml:space="preserve">€168,928</t>
  </si>
  <si>
    <t xml:space="preserve">C23 Mortgage protection!Balance_Year_1</t>
  </si>
  <si>
    <t xml:space="preserve">In 10 years</t>
  </si>
  <si>
    <t xml:space="preserve">€174,937</t>
  </si>
  <si>
    <t xml:space="preserve">€126,789</t>
  </si>
  <si>
    <t xml:space="preserve">C23 Mortgage protection!Balance_Year_2</t>
  </si>
  <si>
    <t xml:space="preserve">In 15 years</t>
  </si>
  <si>
    <t xml:space="preserve">€126,415</t>
  </si>
  <si>
    <t xml:space="preserve">€75,719</t>
  </si>
  <si>
    <t xml:space="preserve">C23 Mortgage protection!Balance_Year_3</t>
  </si>
  <si>
    <t xml:space="preserve">Net worth</t>
  </si>
  <si>
    <t xml:space="preserve">C24 Net worth!Savings</t>
  </si>
  <si>
    <t xml:space="preserve">default same (15000); slider 0 to 1e+06 is inside the developer range</t>
  </si>
  <si>
    <t xml:space="preserve">C24 Net worth!Investments</t>
  </si>
  <si>
    <t xml:space="preserve">default same (10000); slider 0 to 2e+06 is inside the developer range</t>
  </si>
  <si>
    <t xml:space="preserve">C24 Net worth!Pensions</t>
  </si>
  <si>
    <t xml:space="preserve">0 to 3e+07</t>
  </si>
  <si>
    <t xml:space="preserve">default same (60000); slider 0 to 3e+06 is inside the developer range</t>
  </si>
  <si>
    <t xml:space="preserve">€420,000</t>
  </si>
  <si>
    <t xml:space="preserve">Your finances / plan: Home value</t>
  </si>
  <si>
    <t xml:space="preserve">C24 Net worth!Property</t>
  </si>
  <si>
    <t xml:space="preserve">0 to 5e+07</t>
  </si>
  <si>
    <t xml:space="preserve">default same (350000); slider 0 to 5e+06 is inside the developer range</t>
  </si>
  <si>
    <t xml:space="preserve">C24 Net worth!Mortgage</t>
  </si>
  <si>
    <t xml:space="preserve">default same (250000); slider 0 to 3e+06 is inside the developer range</t>
  </si>
  <si>
    <t xml:space="preserve">C24 Net worth!Other_Loans</t>
  </si>
  <si>
    <t xml:space="preserve">0 to 5e+06</t>
  </si>
  <si>
    <t xml:space="preserve">default same (8000); slider 0 to 500000 is inside the developer range</t>
  </si>
  <si>
    <t xml:space="preserve">€177,000</t>
  </si>
  <si>
    <t xml:space="preserve">€299,600</t>
  </si>
  <si>
    <t xml:space="preserve">C24 Net worth!Net_Worth</t>
  </si>
  <si>
    <t xml:space="preserve">Everything you own minus everything you owe. Pensions are before tax; property is before selling costs. Track it once or twice a year.</t>
  </si>
  <si>
    <t xml:space="preserve">€435,000</t>
  </si>
  <si>
    <t xml:space="preserve">€507,200</t>
  </si>
  <si>
    <t xml:space="preserve">C24 Net worth!You_Own</t>
  </si>
  <si>
    <t xml:space="preserve">€258,000</t>
  </si>
  <si>
    <t xml:space="preserve">€207,600</t>
  </si>
  <si>
    <t xml:space="preserve">C24 Net worth!You_Owe</t>
  </si>
  <si>
    <t xml:space="preserve">€5,191</t>
  </si>
  <si>
    <t xml:space="preserve">Your finances / plan: Your gross yearly income; Partner's gross yearly income; Other income a month (before tax); Paid in each month</t>
  </si>
  <si>
    <t xml:space="preserve">C25 Monthly surplus!Take_Home</t>
  </si>
  <si>
    <t xml:space="preserve">Type 3 · optional · Optional: leave blank for none. Allowed: €500 to €200,000 · steps of €50</t>
  </si>
  <si>
    <t xml:space="preserve">default same (3500)</t>
  </si>
  <si>
    <t xml:space="preserve">€4,930</t>
  </si>
  <si>
    <t xml:space="preserve">Your finances / plan: Monthly living costs; Yearly one-off costs; Monthly repayment</t>
  </si>
  <si>
    <t xml:space="preserve">C25 Monthly surplus!Essentials</t>
  </si>
  <si>
    <t xml:space="preserve">0 to 150000</t>
  </si>
  <si>
    <t xml:space="preserve">default same (2000); slider 0 to 15000 is inside the developer range</t>
  </si>
  <si>
    <t xml:space="preserve">C25 Monthly surplus!Lifestyle</t>
  </si>
  <si>
    <t xml:space="preserve">0 to 100000</t>
  </si>
  <si>
    <t xml:space="preserve">default same (800); slider 0 to 10000 is inside the developer range</t>
  </si>
  <si>
    <t xml:space="preserve">€140</t>
  </si>
  <si>
    <t xml:space="preserve">Your finances / plan: Credit cards: monthly repayment; Other loans: monthly repayment</t>
  </si>
  <si>
    <t xml:space="preserve">C25 Monthly surplus!Debt_Repayments</t>
  </si>
  <si>
    <t xml:space="preserve">default same (200); slider 0 to 5000 is inside the developer range</t>
  </si>
  <si>
    <t xml:space="preserve">€121</t>
  </si>
  <si>
    <t xml:space="preserve">C25 Monthly surplus!Surplus</t>
  </si>
  <si>
    <t xml:space="preserve">About 14% of your take-home pay is free for goals.</t>
  </si>
  <si>
    <t xml:space="preserve">About 2% of your take-home pay is free for goals.</t>
  </si>
  <si>
    <t xml:space="preserve">Take-home</t>
  </si>
  <si>
    <t xml:space="preserve">€5,070</t>
  </si>
  <si>
    <t xml:space="preserve">C25 Monthly surplus!Going_Out</t>
  </si>
  <si>
    <t xml:space="preserve">No plan, choices made: a sheet "Add your age first": "A goal sits on your timeline at an age, so we need yours. It is step 1 of Make my plan, and the figures you tried here stay as they are." Buttons: "Add my age", "Not now". With a plan: a sheet "🐷 Save my surplus": "A savings pot of €1,453 in today's money in about 1 year (age 39). This saves a new version of your plan." Buttons: "Add it", "Not now". (Eyebrow "Add to my plan")</t>
  </si>
  <si>
    <t xml:space="preserve">Budget (50/30/20)</t>
  </si>
  <si>
    <t xml:space="preserve">C26 Budget 50 30 20!Take_Home</t>
  </si>
  <si>
    <t xml:space="preserve">Budget split: needs</t>
  </si>
  <si>
    <t xml:space="preserve">50 %</t>
  </si>
  <si>
    <t xml:space="preserve">Back to LifeMap's figure (50%)</t>
  </si>
  <si>
    <t xml:space="preserve">LifeMap uses 50% (the 50/30/20 rule). Change it if you want to use your own. · the 50/30/20 rule. Source: The 50/30/20 budgeting rule (E. Warren and A. Warren Tyagi, All Your Worth, 2005) (2026).</t>
  </si>
  <si>
    <t xml:space="preserve">Budget split: wants</t>
  </si>
  <si>
    <t xml:space="preserve">30 %</t>
  </si>
  <si>
    <t xml:space="preserve">Back to LifeMap's figure (30%)</t>
  </si>
  <si>
    <t xml:space="preserve">LifeMap uses 30% (the 50/30/20 rule). Change it if you want to use your own. · the 50/30/20 rule. Source: The 50/30/20 budgeting rule (E. Warren and A. Warren Tyagi, All Your Worth, 2005) (2026).</t>
  </si>
  <si>
    <t xml:space="preserve">Budget split: savings and debt</t>
  </si>
  <si>
    <t xml:space="preserve">20 %</t>
  </si>
  <si>
    <t xml:space="preserve">Back to LifeMap's figure (20%)</t>
  </si>
  <si>
    <t xml:space="preserve">LifeMap uses 20% (the 50/30/20 rule). Change it if you want to use your own. · the 50/30/20 rule. Source: The 50/30/20 budgeting rule (E. Warren and A. Warren Tyagi, All Your Worth, 2005) (2026).</t>
  </si>
  <si>
    <t xml:space="preserve">€700</t>
  </si>
  <si>
    <t xml:space="preserve">€1,038</t>
  </si>
  <si>
    <t xml:space="preserve">C26 Budget 50 30 20!Save</t>
  </si>
  <si>
    <t xml:space="preserve">A common starting point: 50% needs, 30% wants, 20% savings and debt. Adjust it to fit your life in Your assumptions.</t>
  </si>
  <si>
    <t xml:space="preserve">Needs (50%)</t>
  </si>
  <si>
    <t xml:space="preserve">€1,750</t>
  </si>
  <si>
    <t xml:space="preserve">€2,596</t>
  </si>
  <si>
    <t xml:space="preserve">C26 Budget 50 30 20!Needs</t>
  </si>
  <si>
    <t xml:space="preserve">Wants (30%)</t>
  </si>
  <si>
    <t xml:space="preserve">€1,050</t>
  </si>
  <si>
    <t xml:space="preserve">€1,557</t>
  </si>
  <si>
    <t xml:space="preserve">C26 Budget 50 30 20!Wants</t>
  </si>
  <si>
    <t xml:space="preserve">Savings &amp; debt (20%)</t>
  </si>
  <si>
    <t xml:space="preserve">Debt repayment</t>
  </si>
  <si>
    <t xml:space="preserve">Your finances / plan: Credit cards: total owed; Other loans (car, personal, credit union): total owed; Other loans: monthly repayment</t>
  </si>
  <si>
    <t xml:space="preserve">C27 Debt repayment!Balance</t>
  </si>
  <si>
    <t xml:space="preserve">100 to 1e+06</t>
  </si>
  <si>
    <t xml:space="preserve">default same (5000); slider 100 to 100000 is inside the developer range</t>
  </si>
  <si>
    <t xml:space="preserve">8%</t>
  </si>
  <si>
    <t xml:space="preserve">Your finances / plan: Credit cards: total owed; Other loans: monthly repayment</t>
  </si>
  <si>
    <t xml:space="preserve">Your card statement shows your APR. New credit cards can't charge more than 23% APR (Central Bank of Ireland); some older cards are higher.</t>
  </si>
  <si>
    <t xml:space="preserve">C27 Debt repayment!APR</t>
  </si>
  <si>
    <t xml:space="preserve">0 to 35 % · steps of 0.5</t>
  </si>
  <si>
    <t xml:space="preserve">screen starts blank (customer chooses); developer default None</t>
  </si>
  <si>
    <t xml:space="preserve">€250</t>
  </si>
  <si>
    <t xml:space="preserve">C27 Debt repayment!Monthly_Payment</t>
  </si>
  <si>
    <t xml:space="preserve">10 to 50000</t>
  </si>
  <si>
    <t xml:space="preserve">default same (250); slider 10 to 5000 is inside the developer range</t>
  </si>
  <si>
    <t xml:space="preserve">Pay extra each month</t>
  </si>
  <si>
    <t xml:space="preserve">C27 Debt repayment!Extra_Payment</t>
  </si>
  <si>
    <t xml:space="preserve">0 to 10000</t>
  </si>
  <si>
    <t xml:space="preserve">default same (0); slider 0 to 1000 is inside the developer range</t>
  </si>
  <si>
    <t xml:space="preserve">Choose your credit-card rate to see this</t>
  </si>
  <si>
    <t xml:space="preserve">Debt free in</t>
  </si>
  <si>
    <t xml:space="preserve">3 yrs 4 mo</t>
  </si>
  <si>
    <t xml:space="preserve">C27 Debt repayment!Months_To_Clear</t>
  </si>
  <si>
    <t xml:space="preserve">You would pay about €478 in interest. The APR is a yearly rate: about 0.64% a month.</t>
  </si>
  <si>
    <t xml:space="preserve">€478</t>
  </si>
  <si>
    <t xml:space="preserve">C27 Debt repayment!Total_Interest</t>
  </si>
  <si>
    <t xml:space="preserve">Choices missing: a message "Choose your credit-card rate first". With a plan: a sheet "Nothing to add": "This result doesn't create a goal: your plan already repays this debt." Buttons: "OK". (Eyebrow "None")</t>
  </si>
  <si>
    <t xml:space="preserve">Loan repayment</t>
  </si>
  <si>
    <t xml:space="preserve">C28 Loan repayment!Loan_Amount</t>
  </si>
  <si>
    <t xml:space="preserve">500 to 1e+06</t>
  </si>
  <si>
    <t xml:space="preserve">default same (15000); slider 500 to 100000 is inside the developer range</t>
  </si>
  <si>
    <t xml:space="preserve">Your assumption (a choice made in Your assumptions): loan rate</t>
  </si>
  <si>
    <t xml:space="preserve">Use the suggested rate (6.72%) · Central Bank of Ireland: average rate on new consumer loans, Jul 2026</t>
  </si>
  <si>
    <t xml:space="preserve">C28 Loan repayment!APR</t>
  </si>
  <si>
    <t xml:space="preserve">6.72%</t>
  </si>
  <si>
    <t xml:space="preserve">0 to 25 % · steps of 0.25</t>
  </si>
  <si>
    <t xml:space="preserve">screen starts blank (customer chooses); developer default 6.72</t>
  </si>
  <si>
    <t xml:space="preserve">C28 Loan repayment!Years</t>
  </si>
  <si>
    <t xml:space="preserve">1 to 10 · steps of 1</t>
  </si>
  <si>
    <t xml:space="preserve">default same (5); slider 1 to 10 is inside the developer range</t>
  </si>
  <si>
    <t xml:space="preserve">Choose your loan rate to see this</t>
  </si>
  <si>
    <t xml:space="preserve">€294</t>
  </si>
  <si>
    <t xml:space="preserve">€302</t>
  </si>
  <si>
    <t xml:space="preserve">C28 Loan repayment!Monthly_Repayment</t>
  </si>
  <si>
    <t xml:space="preserve">Total interest of about €2,619 over 5 years. The APR is treated as an effective yearly rate (as for cards and loans; mortgage tools use the nominal rate ÷ 12, so the same percentage gives a slightly different repayment).</t>
  </si>
  <si>
    <t xml:space="preserve">Total interest of about €3,129 over 5 years. The APR is treated as an effective yearly rate (as for cards and loans; mortgage tools use the nominal rate ÷ 12, so the same percentage gives a slightly different repayment).</t>
  </si>
  <si>
    <t xml:space="preserve">€17,619</t>
  </si>
  <si>
    <t xml:space="preserve">€18,129</t>
  </si>
  <si>
    <t xml:space="preserve">C28 Loan repayment!Total_Repaid</t>
  </si>
  <si>
    <t xml:space="preserve">€2,619</t>
  </si>
  <si>
    <t xml:space="preserve">€3,129</t>
  </si>
  <si>
    <t xml:space="preserve">C28 Loan repayment!Total_Interest</t>
  </si>
  <si>
    <t xml:space="preserve">Choices missing: a message "Choose your loan rate first". No plan, choices made: a sheet "Add your age first": "A goal sits on your timeline at an age, so we need yours. It is step 1 of Make my plan, and the figures you tried here stay as they are." Buttons: "Add my age", "Not now". With a plan: a sheet "Nothing to add": "This result doesn't create a goal." Buttons: "OK". (Eyebrow "None")</t>
  </si>
  <si>
    <t xml:space="preserve">UI Screens: each calculator as it looks in the app (390 px wide), without a plan and with the sample plan</t>
  </si>
  <si>
    <t xml:space="preserve">C01 · How much could I borrow? · Home &amp; Mortgage</t>
  </si>
  <si>
    <t xml:space="preserve">Rows 5 to 26 in UI Calculators (22 elements)</t>
  </si>
  <si>
    <t xml:space="preserve">Without a plan (example figures)</t>
  </si>
  <si>
    <t xml:space="preserve">With the sample plan (Aoife)</t>
  </si>
  <si>
    <t xml:space="preserve">C02 · Monthly mortgage repayment · Home &amp; Mortgage</t>
  </si>
  <si>
    <t xml:space="preserve">Rows 27 to 42 in UI Calculators (16 elements)</t>
  </si>
  <si>
    <t xml:space="preserve">C03 · Deposit calculator · Home &amp; Mortgage</t>
  </si>
  <si>
    <t xml:space="preserve">Rows 43 to 60 in UI Calculators (18 elements)</t>
  </si>
  <si>
    <t xml:space="preserve">C04 · Mortgage overpayment · Home &amp; Mortgage</t>
  </si>
  <si>
    <t xml:space="preserve">Rows 61 to 76 in UI Calculators (16 elements)</t>
  </si>
  <si>
    <t xml:space="preserve">C05 · Interest-rate impact · Home &amp; Mortgage</t>
  </si>
  <si>
    <t xml:space="preserve">Rows 77 to 92 in UI Calculators (16 elements)</t>
  </si>
  <si>
    <t xml:space="preserve">C06 · Mortgage term comparison · Home &amp; Mortgage</t>
  </si>
  <si>
    <t xml:space="preserve">Rows 93 to 109 in UI Calculators (17 elements)</t>
  </si>
  <si>
    <t xml:space="preserve">C07 · Rent vs buy · Home &amp; Mortgage</t>
  </si>
  <si>
    <t xml:space="preserve">Rows 110 to 133 in UI Calculators (24 elements)</t>
  </si>
  <si>
    <t xml:space="preserve">C08 · Goal planner · Savings &amp; Goals</t>
  </si>
  <si>
    <t xml:space="preserve">Rows 134 to 150 in UI Calculators (17 elements)</t>
  </si>
  <si>
    <t xml:space="preserve">C09 · Compound growth · Savings &amp; Goals</t>
  </si>
  <si>
    <t xml:space="preserve">Rows 151 to 166 in UI Calculators (16 elements)</t>
  </si>
  <si>
    <t xml:space="preserve">C10 · Lump-sum growth · Investments</t>
  </si>
  <si>
    <t xml:space="preserve">Rows 167 to 184 in UI Calculators (18 elements)</t>
  </si>
  <si>
    <t xml:space="preserve">C11 · Emergency fund · Savings &amp; Goals</t>
  </si>
  <si>
    <t xml:space="preserve">Rows 185 to 198 in UI Calculators (14 elements)</t>
  </si>
  <si>
    <t xml:space="preserve">C12 · Retirement projection · Pensions &amp; Retirement</t>
  </si>
  <si>
    <t xml:space="preserve">Rows 199 to 233 in UI Calculators (35 elements)</t>
  </si>
  <si>
    <t xml:space="preserve">C12 retiring at 50 (journey-spec 27.3: the early-retirement warning and the years before the State Pension)</t>
  </si>
  <si>
    <t xml:space="preserve">C13 · Contribution impact · Pensions &amp; Retirement</t>
  </si>
  <si>
    <t xml:space="preserve">Rows 234 to 255 in UI Calculators (22 elements)</t>
  </si>
  <si>
    <t xml:space="preserve">C13 retiring at 50 (journey-spec 27.3: the early-retirement warning and the years before the State Pension)</t>
  </si>
  <si>
    <t xml:space="preserve">C14 · AVC impact · Pensions &amp; Retirement</t>
  </si>
  <si>
    <t xml:space="preserve">Rows 256 to 279 in UI Calculators (24 elements)</t>
  </si>
  <si>
    <t xml:space="preserve">C14 retiring at 50 (journey-spec 27.3: the early-retirement warning and the years before the State Pension)</t>
  </si>
  <si>
    <t xml:space="preserve">C15 · Will my money last? · Pensions &amp; Retirement</t>
  </si>
  <si>
    <t xml:space="preserve">Rows 280 to 300 in UI Calculators (21 elements)</t>
  </si>
  <si>
    <t xml:space="preserve">C15 retiring at 50 (journey-spec 27.3: the early-retirement warning and the years before the State Pension)</t>
  </si>
  <si>
    <t xml:space="preserve">C16 · Retirement drawdown scenarios · Pensions &amp; Retirement</t>
  </si>
  <si>
    <t xml:space="preserve">Rows 301 to 322 in UI Calculators (22 elements)</t>
  </si>
  <si>
    <t xml:space="preserve">C16 retiring at 50 (journey-spec 27.3: the early-retirement warning and the years before the State Pension)</t>
  </si>
  <si>
    <t xml:space="preserve">C17 · Inflation-adjusted return · Investments</t>
  </si>
  <si>
    <t xml:space="preserve">Rows 323 to 337 in UI Calculators (15 elements)</t>
  </si>
  <si>
    <t xml:space="preserve">C18 · Regular investing · Investments</t>
  </si>
  <si>
    <t xml:space="preserve">Rows 338 to 354 in UI Calculators (17 elements)</t>
  </si>
  <si>
    <t xml:space="preserve">C19 · Fees impact · Investments</t>
  </si>
  <si>
    <t xml:space="preserve">Rows 355 to 370 in UI Calculators (16 elements)</t>
  </si>
  <si>
    <t xml:space="preserve">C20 · Risk &amp; return simulator · Investments</t>
  </si>
  <si>
    <t xml:space="preserve">Rows 371 to 390 in UI Calculators (20 elements)</t>
  </si>
  <si>
    <t xml:space="preserve">C21 · Life cover estimator · Protection</t>
  </si>
  <si>
    <t xml:space="preserve">Rows 391 to 411 in UI Calculators (21 elements)</t>
  </si>
  <si>
    <t xml:space="preserve">C22 · Income protection gap · Protection</t>
  </si>
  <si>
    <t xml:space="preserve">Rows 412 to 429 in UI Calculators (18 elements)</t>
  </si>
  <si>
    <t xml:space="preserve">C23 · Mortgage protection · Protection</t>
  </si>
  <si>
    <t xml:space="preserve">Rows 430 to 444 in UI Calculators (15 elements)</t>
  </si>
  <si>
    <t xml:space="preserve">C24 · Net worth · Everyday Money</t>
  </si>
  <si>
    <t xml:space="preserve">Rows 445 to 460 in UI Calculators (16 elements)</t>
  </si>
  <si>
    <t xml:space="preserve">C25 · Monthly surplus · Everyday Money</t>
  </si>
  <si>
    <t xml:space="preserve">Rows 461 to 474 in UI Calculators (14 elements)</t>
  </si>
  <si>
    <t xml:space="preserve">C26 · Budget (50/30/20) · Everyday Money</t>
  </si>
  <si>
    <t xml:space="preserve">Rows 475 to 489 in UI Calculators (15 elements)</t>
  </si>
  <si>
    <t xml:space="preserve">C27 · Debt repayment · Everyday Money</t>
  </si>
  <si>
    <t xml:space="preserve">Rows 490 to 502 in UI Calculators (13 elements)</t>
  </si>
  <si>
    <t xml:space="preserve">C28 · Loan repayment · Everyday Money</t>
  </si>
  <si>
    <t xml:space="preserve">Rows 503 to 516 in UI Calculators (14 elements)</t>
  </si>
  <si>
    <t xml:space="preserve">UI Make my plan: one row per element of the plan-builder steps, the results and Your assumptions (from the live prototype)</t>
  </si>
  <si>
    <t xml:space="preserve">Steps 1 to 8: 1 About you &amp; family, 2 Your goals, 3 Your timeline (and Confirm), 4 Your money profile, 5 Secure your account, 6 Your finances (six sections), 7 Check your details, 8 Results; then the journey-spec 27 states (gate card, Step 7 lists, free retirement age, Date has passed, early retirement, details missing). Pre-filled values are the sample customer's. A "Where the pre-fill comes from" tag is the tag the screen shows.</t>
  </si>
  <si>
    <t xml:space="preserve">Screen name</t>
  </si>
  <si>
    <t xml:space="preserve">Label / text exactly as shown</t>
  </si>
  <si>
    <t xml:space="preserve">Starts at / pre-filled with (Aoife sample)</t>
  </si>
  <si>
    <t xml:space="preserve">Where the pre-fill comes from (tag on screen)</t>
  </si>
  <si>
    <t xml:space="preserve">Choice / option texts</t>
  </si>
  <si>
    <t xml:space="preserve">Example card (Not sure? See an example)</t>
  </si>
  <si>
    <t xml:space="preserve">Picture (390 px)</t>
  </si>
  <si>
    <t xml:space="preserve">‹ Back</t>
  </si>
  <si>
    <t xml:space="preserve">action: meback</t>
  </si>
  <si>
    <t xml:space="preserve">action: sheet profile</t>
  </si>
  <si>
    <t xml:space="preserve">Heading</t>
  </si>
  <si>
    <t xml:space="preserve">Your assumptions</t>
  </si>
  <si>
    <t xml:space="preserve">Text</t>
  </si>
  <si>
    <t xml:space="preserve">Some values are set by law. For the rest we show a suggestion or the standard, and you choose.</t>
  </si>
  <si>
    <t xml:space="preserve">Text (bold)</t>
  </si>
  <si>
    <t xml:space="preserve">Everything your results need is chosen</t>
  </si>
  <si>
    <t xml:space="preserve">Help text</t>
  </si>
  <si>
    <t xml:space="preserve">LifeMap sets the figures that are the same for everyone (tagged Set by LifeMap) and uses them from the start. Change any of them and it reads Your choice. A rate we don't know is tagged Assumed: add yours.</t>
  </si>
  <si>
    <t xml:space="preserve">Section header (opens)</t>
  </si>
  <si>
    <t xml:space="preserve">Use the standard (2%)</t>
  </si>
  <si>
    <t xml:space="preserve">Use the standard (2%); 3.9% · Ireland now (CSO HICP flash, Sep 2026); Other</t>
  </si>
  <si>
    <t xml:space="preserve">Generally the standard is 2% (the ECB target for the long term). Prices in Ireland are rising 3.9% a year right now (CSO HICP flash, Sep 2026), mostly because of energy. Choose what you want to use.</t>
  </si>
  <si>
    <t xml:space="preserve">Growth assumptions</t>
  </si>
  <si>
    <t xml:space="preserve">Standard; Cautious</t>
  </si>
  <si>
    <t xml:space="preserve">Standard uses typical long-run growth. Cautious assumes slower growth, so results are lower but safer. Choosing a set fills pay rises, cash, investment and pension growth with its rates. Growth is never guaranteed.</t>
  </si>
  <si>
    <t xml:space="preserve">Investments grow (a year, after charges and tax)</t>
  </si>
  <si>
    <t xml:space="preserve">2.6</t>
  </si>
  <si>
    <t xml:space="preserve">LifeMap uses 2.6% (a planning assumption, not a prediction: 5% before fees and tax, less about 1% charges, less 38% exit tax taken every 8 years). Change it if you want to use your own. A planning assumption, not a prediction. Growth is never guaranteed and funds can fall in value. It moves if you change the growth before fees and tax, or the charges. · a planning assumption, not a prediction: 5% before fees and tax, less about 1% charges, less 38% exit tax taken every 8 years. Source: Derived: the growth before fees and tax (above), the charges (Market rates) and the exit tax and 8-year rule (Tax rules) (2026).</t>
  </si>
  <si>
    <t xml:space="preserve">Investments grow before fees and tax (a year; the growth and fees tools)</t>
  </si>
  <si>
    <t xml:space="preserve">5</t>
  </si>
  <si>
    <t xml:space="preserve">LifeMap uses 5% (LifeMap standard, not a forecast). Change it if you want to use your own. Used by the lump sum, regular investing, fees and real return tools. Growth is never guaranteed. · LifeMap standard, not a forecast. Source: LifeMap planning standard, not a prediction. Reference points: Pensions Authority pension-calculator growth assumption; Central Bank of Ireland guidance that returns are not guaranteed (2026).</t>
  </si>
  <si>
    <t xml:space="preserve">Cash savings earn (a year, after DIRT)</t>
  </si>
  <si>
    <t xml:space="preserve">1</t>
  </si>
  <si>
    <t xml:space="preserve">LifeMap uses 1% (Irish deposit rates after 33% DIRT). Change it if you want to use your own. New fixed-term household deposits averaged 1.92% before 33% DIRT (Central Bank of Ireland, Jul 2026). Demand accounts pay less. · Irish deposit rates after 33% DIRT. Source: centralbank.ie (Jun 2026).</t>
  </si>
  <si>
    <t xml:space="preserve">Pension grows while you work (a year, after charges)</t>
  </si>
  <si>
    <t xml:space="preserve">4.5</t>
  </si>
  <si>
    <t xml:space="preserve">LifeMap uses 4.5% (a planning assumption after charges, not a prediction). Change it if you want to use your own. A planning assumption, not a prediction. Growth is tax-free inside the fund. · a planning assumption after charges, not a prediction. Source: LifeMap planning standard, not a prediction. Reference point: Pensions Authority pension-calculator assumptions (2026).</t>
  </si>
  <si>
    <t xml:space="preserve">Pension grows once you retire (a year, after charges)</t>
  </si>
  <si>
    <t xml:space="preserve">3.15</t>
  </si>
  <si>
    <t xml:space="preserve">LifeMap uses 3.15% (a lower-risk fund once retired, after charges). Change it if you want to use your own. Most people take less risk once retired, so growth is usually lower. · a lower-risk fund once retired, after charges. Source: LifeMap planning standard, not a prediction. Reference point: Pensions Authority pension-calculator assumptions (2026).</t>
  </si>
  <si>
    <t xml:space="preserve">Typical pension charges already allowed for in the pension growth above</t>
  </si>
  <si>
    <t xml:space="preserve">Assumed: add yours</t>
  </si>
  <si>
    <t xml:space="preserve">We are using 1% (Pensions Authority pension calculator assumption) until you add yours. · When your statement shows your own charges, we use them instead of this. Usually between 0.5% and 2% a year (CCPC).</t>
  </si>
  <si>
    <t xml:space="preserve">3</t>
  </si>
  <si>
    <t xml:space="preserve">Rise with prices</t>
  </si>
  <si>
    <t xml:space="preserve">Rise with prices; Stay as today</t>
  </si>
  <si>
    <t xml:space="preserve">LifeMap uses Rise with prices (Budgets have broadly kept pace over time). Change it if you want to use your own. Irish tax bands are set each Budget and don't rise automatically. "Stay as today" is the cautious view (more tax later). · Budgets have broadly kept pace over time. Source: Department of Finance Budget history (tax bands and credits, 2015 to 2026) (2026).</t>
  </si>
  <si>
    <t xml:space="preserve">Rent vs buy: house prices rise (a year)</t>
  </si>
  <si>
    <t xml:space="preserve">2</t>
  </si>
  <si>
    <t xml:space="preserve">LifeMap uses 2% (a long-run planning figure; prices can fall). Change it if you want to use your own. House prices can fall as well as rise. · a long-run planning figure; prices can fall. Source: LifeMap long-run planning figure. Reference point: CSO Residential Property Price Index (2026).</t>
  </si>
  <si>
    <t xml:space="preserve">3,000</t>
  </si>
  <si>
    <t xml:space="preserve">Your choice</t>
  </si>
  <si>
    <t xml:space="preserve">If you rent, your deposit stays in savings. Leave it blank and we use the suggested rate (Assumed: add yours).</t>
  </si>
  <si>
    <t xml:space="preserve">4</t>
  </si>
  <si>
    <t xml:space="preserve">6</t>
  </si>
  <si>
    <t xml:space="preserve">10</t>
  </si>
  <si>
    <t xml:space="preserve">16</t>
  </si>
  <si>
    <t xml:space="preserve">Rises with prices</t>
  </si>
  <si>
    <t xml:space="preserve">Rises with prices; Rises with pay; Stays flat</t>
  </si>
  <si>
    <t xml:space="preserve">LifeMap uses Rises with prices (it has broadly kept pace with prices over time). Change it if you want to use your own. The State Pension is set each Budget. · it has broadly kept pace with prices over time. Source: Department of Social Protection weekly State Pension rate history (2026).</t>
  </si>
  <si>
    <t xml:space="preserve">How many years of PRSI will you have at 66? (leave blank if you don't know)</t>
  </si>
  <si>
    <t xml:space="preserve">Optional</t>
  </si>
  <si>
    <t xml:space="preserve">Usually between 10 years and 40 years (DSP: 40 for the full rate, at least 10 to qualify). Check your record on MyWelfare. If you give your years, we work out your State Pension from them (set by law).</t>
  </si>
  <si>
    <t xml:space="preserve">Your State Pension a week at 66</t>
  </si>
  <si>
    <t xml:space="preserve">239.44</t>
  </si>
  <si>
    <t xml:space="preserve">We are using €239.44 a week (a planning figure) until you add yours. · Usually between €0 a week and €299.30 a week (DSP 2026: the full rate needs 40 years of PRSI; partial rates are lower). Your State Pension statement on MyWelfare shows your expected rate. Or tell us your PRSI years.</t>
  </si>
  <si>
    <t xml:space="preserve">Your partner's State Pension a week at 66</t>
  </si>
  <si>
    <t xml:space="preserve">Usually between €0 a week and €299.30 a week (DSP 2026). Their MyWelfare statement shows it.</t>
  </si>
  <si>
    <t xml:space="preserve">Of the money paid into your pension each month, the share you pay yourself (the rest is your employer)</t>
  </si>
  <si>
    <t xml:space="preserve">LifeMap uses 50% (a common 5% + 5% split with your employer; 100% if self-employed). Change it if you want to use your own. Your payslip shows what comes out of your pay. Only your own share gets tax relief. If you type your own amount in Your finances, we use that. · a common 5% + 5% split with your employer; 100% if self-employed. Source: Pensions Authority and My Future Fund (auto-enrolment) contribution split, 2026 (2026).</t>
  </si>
  <si>
    <t xml:space="preserve">Retirement spending if you haven't set a goal (share of today's spending)</t>
  </si>
  <si>
    <t xml:space="preserve">80</t>
  </si>
  <si>
    <t xml:space="preserve">LifeMap uses 80% (most people spend a bit less once work costs and the mortgage stop). Change it if you want to use your own. · most people spend a bit less once work costs and the mortgage stop. Source: LifeMap planning standard. Reference points: Pensions Authority and Society of Actuaries in Ireland retirement-income guidance (2026).</t>
  </si>
  <si>
    <t xml:space="preserve">From 60 (most pensions); From 50 (some occupational schemes)</t>
  </si>
  <si>
    <t xml:space="preserve">How you draw your pension</t>
  </si>
  <si>
    <t xml:space="preserve">Spread to plan end</t>
  </si>
  <si>
    <t xml:space="preserve">Spread to plan end; Minimum only (4% / 5%); Fixed amount</t>
  </si>
  <si>
    <t xml:space="preserve">LifeMap uses Spread to plan end (spread over your plan, at least the legal minimum). Change it if you want to use your own. Set by law: from 61 you must take at least 4% a year (5% from 71) from an ARF. · spread over your plan, at least the legal minimum. Source: Revenue Commissioners: ARF and vested PRSA minimum annual distribution (4% from 61, 5% from 71; 6% over €2m) (2026).</t>
  </si>
  <si>
    <t xml:space="preserve">Start of the year; End of the year</t>
  </si>
  <si>
    <t xml:space="preserve">Fixed amount a year (today's money), if you chose "Fixed amount"</t>
  </si>
  <si>
    <t xml:space="preserve">20,000</t>
  </si>
  <si>
    <t xml:space="preserve">We are using €20,000 (a planning figure) until you add yours. · Never less than the legal minimum once you are 61.</t>
  </si>
  <si>
    <t xml:space="preserve">Emergency fund &amp; debt</t>
  </si>
  <si>
    <t xml:space="preserve">LifeMap uses 3 months (6 months for a single income or self-employed, 3 for two secure incomes). Change it if you want to use your own. Easy-access cash for surprises or a gap in pay. Essential spending = living costs + mortgage + loan repayments. · 6 months for a single income or self-employed, 3 for two secure incomes. Source: LifeMap planning standard. Reference points: MABS and CCPC (ccpc.ie) guidance on keeping 3 to 6 months of essential spending as an emergency fund (2026).</t>
  </si>
  <si>
    <t xml:space="preserve">Your mortgage rate (if your statement doesn't say)</t>
  </si>
  <si>
    <t xml:space="preserve">3.75</t>
  </si>
  <si>
    <t xml:space="preserve">Back to the assumed rate (3.48%)</t>
  </si>
  <si>
    <t xml:space="preserve">Your credit-card rate, APR (if your statement doesn't say)</t>
  </si>
  <si>
    <t xml:space="preserve">20</t>
  </si>
  <si>
    <t xml:space="preserve">Your other loans rate, APR (if your statement doesn't say)</t>
  </si>
  <si>
    <t xml:space="preserve">8</t>
  </si>
  <si>
    <t xml:space="preserve">Back to the assumed rate (6.72%)</t>
  </si>
  <si>
    <t xml:space="preserve">LifeMap uses 5 years (money needed within 5 years is usually kept as cash). Change it if you want to use your own. Longer-term money has more time to ride out ups and downs. · money needed within 5 years is usually kept as cash. Source: LifeMap planning standard (common planning practice: money needed within about 5 years is not invested) (2026).</t>
  </si>
  <si>
    <t xml:space="preserve">Spare savings: share invested (the rest stays in cash)</t>
  </si>
  <si>
    <t xml:space="preserve">40</t>
  </si>
  <si>
    <t xml:space="preserve">LifeMap uses 40% (a balanced cash and invested mix). Change it if you want to use your own. · a balanced cash and invested mix. Source: LifeMap planning standard (a balanced cash and invested mix) (2026).</t>
  </si>
  <si>
    <t xml:space="preserve">Share of your spare money you save, at most</t>
  </si>
  <si>
    <t xml:space="preserve">LifeMap uses 50% (half of your spare money). Change it if you want to use your own. We never count more than this share of your spare money as saved, unless you set your own monthly saving. · half of your spare money. Source: LifeMap planning standard (2026).</t>
  </si>
  <si>
    <t xml:space="preserve">Monthly saving if you haven't told us how much you could invest</t>
  </si>
  <si>
    <t xml:space="preserve">300</t>
  </si>
  <si>
    <t xml:space="preserve">LifeMap uses €300 (a modest regular amount). Change it if you want to use your own. Used until you answer "How much could you comfortably invest each month?". · a modest regular amount. Source: LifeMap planning standard (2026).</t>
  </si>
  <si>
    <t xml:space="preserve">60</t>
  </si>
  <si>
    <t xml:space="preserve">Life cover: years your family would need support</t>
  </si>
  <si>
    <t xml:space="preserve">15</t>
  </si>
  <si>
    <t xml:space="preserve">LifeMap uses 15 years (often until your youngest child is 23). Change it if you want to use your own. · often until your youngest child is 23. Source: LifeMap planning standard. Reference point: Irish life-insurer needs calculators (2026).</t>
  </si>
  <si>
    <t xml:space="preserve">Life cover: State survivor's pension a week</t>
  </si>
  <si>
    <t xml:space="preserve">259.5</t>
  </si>
  <si>
    <t xml:space="preserve">Usually between €0 a week and €299.30 a week (DSP 2026: €259.50 under 66, €299.30 at 66+, nothing if not eligible). Cohabiting partners can now qualify (Bereaved Partner's Pension).</t>
  </si>
  <si>
    <t xml:space="preserve">30</t>
  </si>
  <si>
    <t xml:space="preserve">Plan length</t>
  </si>
  <si>
    <t xml:space="preserve">You can usually draw a pension from 60 (some occupational schemes from 50); State Pension is paid from 66. Choose the age you want to plan for, any age from 39 to 94.</t>
  </si>
  <si>
    <t xml:space="preserve">Your partner's retirement age</t>
  </si>
  <si>
    <t xml:space="preserve">66</t>
  </si>
  <si>
    <t xml:space="preserve">We count their pay until this age, then only their State Pension. Only you can choose it, so we never fill it in for you.</t>
  </si>
  <si>
    <t xml:space="preserve">95</t>
  </si>
  <si>
    <t xml:space="preserve">Start the plan in</t>
  </si>
  <si>
    <t xml:space="preserve">2026; 2027</t>
  </si>
  <si>
    <t xml:space="preserve">LifeMap uses 2027 (from October most of this year has passed). Change it if you want to use your own.</t>
  </si>
  <si>
    <t xml:space="preserve">Set by Government · 2026</t>
  </si>
  <si>
    <t xml:space="preserve">Income tax20% up to €44,000 (single; €53,000 married, plus up to €35,000 for a second income), 40% above. Personal credit €2,000 (€4,000 married), employee credit €2,000</t>
  </si>
  <si>
    <t xml:space="preserve">Income tax | 20% up to €44,000 (single; €53,000 married, plus up to €35,000 for a second income), 40% above. Personal credit €2,000 (€4,000 married), employee credit €2,000</t>
  </si>
  <si>
    <t xml:space="preserve">USC0.5% / 2% / 3% / 8% in bands; none if your income is €13,000 or less. The State Pension is exempt</t>
  </si>
  <si>
    <t xml:space="preserve">USC | 0.5% / 2% / 3% / 8% in bands; none if your income is €13,000 or less. The State Pension is exempt</t>
  </si>
  <si>
    <t xml:space="preserve">PRSI4.2% from Oct 2025, 4.35% from Oct 2026, 4.5% from Oct 2027, 4.7% from Oct 2028; none from 66</t>
  </si>
  <si>
    <t xml:space="preserve">PRSI | 4.2% from Oct 2025, 4.35% from Oct 2026, 4.5% from Oct 2027, 4.7% from Oct 2028; none from 66</t>
  </si>
  <si>
    <t xml:space="preserve">Pension tax relief15% / 20% / 25% / 30% / 35% / 40% of pay by age, on pay up to €115,000</t>
  </si>
  <si>
    <t xml:space="preserve">Pension tax relief | 15% / 20% / 25% / 30% / 35% / 40% of pay by age, on pay up to €115,000</t>
  </si>
  <si>
    <t xml:space="preserve">Retirement lump sumUp to 25% of the fund: €200,000 tax-free, the next €300,000 taxed at 20%, anything above €500,000 taxed at your marginal rate (40% here)</t>
  </si>
  <si>
    <t xml:space="preserve">Retirement lump sum | Up to 25% of the fund: €200,000 tax-free, the next €300,000 taxed at 20%, anything above €500,000 taxed at your marginal rate (40% here)</t>
  </si>
  <si>
    <t xml:space="preserve">Standard Fund Threshold€2,200,000 in 2026, rising to €2,800,000 by 2029; 40% tax above it</t>
  </si>
  <si>
    <t xml:space="preserve">Standard Fund Threshold | €2,200,000 in 2026, rising to €2,800,000 by 2029; 40% tax above it</t>
  </si>
  <si>
    <t xml:space="preserve">Pension withdrawalsFrom 60 at the earliest (50 for some occupational schemes); at least 4% a year from 61, 5% from 71 (6% over €2,000,000)</t>
  </si>
  <si>
    <t xml:space="preserve">Pension withdrawals | From 60 at the earliest (50 for some occupational schemes); at least 4% a year from 61, 5% from 71 (6% over €2,000,000)</t>
  </si>
  <si>
    <t xml:space="preserve">State Pension (full rate)€299.30 a week from 66 (€10 more from 80); Qualified Adult €268.40</t>
  </si>
  <si>
    <t xml:space="preserve">State Pension (full rate) | €299.30 a week from 66 (€10 more from 80); Qualified Adult €268.40</t>
  </si>
  <si>
    <t xml:space="preserve">Illness Benefit and survivor's pension€254 a week; survivor's pension €259.50 under 66, €299.30 at 66+</t>
  </si>
  <si>
    <t xml:space="preserve">Illness Benefit and survivor's pension | €254 a week; survivor's pension €259.50 under 66, €299.30 at 66+</t>
  </si>
  <si>
    <t xml:space="preserve">Auto-enrolment (My Future Fund)1.5% you + 1.5% employer + 0.5% State, on pay up to €80,000</t>
  </si>
  <si>
    <t xml:space="preserve">Auto-enrolment (My Future Fund) | 1.5% you + 1.5% employer + 0.5% State, on pay up to €80,000</t>
  </si>
  <si>
    <t xml:space="preserve">Savings taxDIRT 33% on deposit interest; exit tax 38% on funds</t>
  </si>
  <si>
    <t xml:space="preserve">Savings tax | DIRT 33% on deposit interest; exit tax 38% on funds</t>
  </si>
  <si>
    <t xml:space="preserve">Mortgage limits (Central Bank)4× income for first-time buyers, 3.5× for others; at least a 10% deposit</t>
  </si>
  <si>
    <t xml:space="preserve">Mortgage limits (Central Bank) | 4× income for first-time buyers, 3.5× for others; at least a 10% deposit</t>
  </si>
  <si>
    <t xml:space="preserve">Stamp duty1% up to €1,000,000, 2% to €1,500,000, 6% above</t>
  </si>
  <si>
    <t xml:space="preserve">Stamp duty | 1% up to €1,000,000, 2% to €1,500,000, 6% above</t>
  </si>
  <si>
    <t xml:space="preserve">Set by law and the same for everyone, so you can't change them. Irish rules 2026 · checked 2 Oct 2026.</t>
  </si>
  <si>
    <t xml:space="preserve">action: pbexit</t>
  </si>
  <si>
    <t xml:space="preserve">Eyebrow</t>
  </si>
  <si>
    <t xml:space="preserve">Step 1 of 8 · About you &amp; family</t>
  </si>
  <si>
    <t xml:space="preserve">About you &amp; your family</t>
  </si>
  <si>
    <t xml:space="preserve">So we can suggest goals that fit your life stage.</t>
  </si>
  <si>
    <t xml:space="preserve">Your first name</t>
  </si>
  <si>
    <t xml:space="preserve">Day of birth</t>
  </si>
  <si>
    <t xml:space="preserve">21</t>
  </si>
  <si>
    <t xml:space="preserve">Thanks, Aoife. You're 37 today and turn 38 on 21 August 2027. · We use it to get your ages and years exactly right. It stays on your device in this prototype.</t>
  </si>
  <si>
    <t xml:space="preserve">Month of birth</t>
  </si>
  <si>
    <t xml:space="preserve">Year of birth</t>
  </si>
  <si>
    <t xml:space="preserve">1989</t>
  </si>
  <si>
    <t xml:space="preserve">Planning with a partner</t>
  </si>
  <si>
    <t xml:space="preserve">If yes, we use joint assessment for income tax, which can lower your tax. · They add their own details, privately · Name, age and income (optional) · Thanks. Cian is 36 today and turns 37 on 3 March 2027. · We use it to get your ages and years exactly right. It stays on your device in this prototype. · Before tax. Leave it blank and we'll ask in Income.</t>
  </si>
  <si>
    <t xml:space="preserve">pAge: Example: Partner's date of birthAoife's partner Cian was born on 3 March 1990. She enters 3, 3 and 1990.📍 Where to find yours: your partner's passport, driving licence or birth certificate.Example only. Not a typical or recommended amount.Got it</t>
  </si>
  <si>
    <t xml:space="preserve">Married or in a civil partnership?</t>
  </si>
  <si>
    <t xml:space="preserve">Their first name</t>
  </si>
  <si>
    <t xml:space="preserve">Cian</t>
  </si>
  <si>
    <t xml:space="preserve">1990</t>
  </si>
  <si>
    <t xml:space="preserve">Their gross yearly income</t>
  </si>
  <si>
    <t xml:space="preserve">22000</t>
  </si>
  <si>
    <t xml:space="preserve">Dependants</t>
  </si>
  <si>
    <t xml:space="preserve">0; 1; 2; 3+</t>
  </si>
  <si>
    <t xml:space="preserve">Next: your goals</t>
  </si>
  <si>
    <t xml:space="preserve">action: go F1</t>
  </si>
  <si>
    <t xml:space="preserve">action: go|B1</t>
  </si>
  <si>
    <t xml:space="preserve">Step 2 of 8 · Your goals</t>
  </si>
  <si>
    <t xml:space="preserve">What's next in your life story?</t>
  </si>
  <si>
    <t xml:space="preserve">Pick any. You'll place them on your timeline next.</t>
  </si>
  <si>
    <t xml:space="preserve">Link</t>
  </si>
  <si>
    <t xml:space="preserve">Save and come back later</t>
  </si>
  <si>
    <t xml:space="preserve">action: sheet save</t>
  </si>
  <si>
    <t xml:space="preserve">Suggested for you</t>
  </si>
  <si>
    <t xml:space="preserve">Suggested goals</t>
  </si>
  <si>
    <t xml:space="preserve">✓🎓Kids' education</t>
  </si>
  <si>
    <t xml:space="preserve">🏡Buy a home; 👶Grow my family; 💼Start a business; ✓🎓Kids' education</t>
  </si>
  <si>
    <t xml:space="preserve">More goals</t>
  </si>
  <si>
    <t xml:space="preserve">✓🌅Retire comfortably, ✓✈️Travel, ✓🏦Be mortgage-freeFor homeowners with a mortgage, ✓🪂Emergency fund</t>
  </si>
  <si>
    <t xml:space="preserve">✓🌅Retire comfortably; ✓✈️Travel; ✓🏦Be mortgage-freeFor homeowners with a mortgage; ✓🪂Emergency fund; 📈Grow my wealth; 🤝Help my family; 🎁Leave a legacy; 💍Wedding; 🚗Change the car; 🩺Health &amp; care; ⭐Something else</t>
  </si>
  <si>
    <t xml:space="preserve">Place them on my timeline</t>
  </si>
  <si>
    <t xml:space="preserve">action: go F2</t>
  </si>
  <si>
    <t xml:space="preserve">action: go|F1</t>
  </si>
  <si>
    <t xml:space="preserve">Step 3 of 8 · Your timeline</t>
  </si>
  <si>
    <t xml:space="preserve">Your timeline</t>
  </si>
  <si>
    <t xml:space="preserve">Drag each goal to when you'd like it. Rough is fine. You can change anything later.</t>
  </si>
  <si>
    <t xml:space="preserve">Your goals</t>
  </si>
  <si>
    <t xml:space="preserve">＋ Add a goal</t>
  </si>
  <si>
    <t xml:space="preserve">Goal name</t>
  </si>
  <si>
    <t xml:space="preserve">Remove</t>
  </si>
  <si>
    <t xml:space="preserve">action: gdel 4</t>
  </si>
  <si>
    <t xml:space="preserve">−</t>
  </si>
  <si>
    <t xml:space="preserve">action: gyr 4|-1</t>
  </si>
  <si>
    <t xml:space="preserve">+</t>
  </si>
  <si>
    <t xml:space="preserve">action: gyr 4|1</t>
  </si>
  <si>
    <t xml:space="preserve">Amount €</t>
  </si>
  <si>
    <t xml:space="preserve">15000</t>
  </si>
  <si>
    <t xml:space="preserve">Saved so far €</t>
  </si>
  <si>
    <t xml:space="preserve">5000</t>
  </si>
  <si>
    <t xml:space="preserve">Months of essential spending to keep</t>
  </si>
  <si>
    <t xml:space="preserve">Your amount follows this once we know your spending. Your assumptions and the Emergency fund calculator use the same number.</t>
  </si>
  <si>
    <t xml:space="preserve">€15,000 is about 3 months of your essential spending (€4,920 a month).</t>
  </si>
  <si>
    <t xml:space="preserve">Today's money</t>
  </si>
  <si>
    <t xml:space="preserve">▼ More details (optional)</t>
  </si>
  <si>
    <t xml:space="preserve">action: gmore 4</t>
  </si>
  <si>
    <t xml:space="preserve">action: gdel 2</t>
  </si>
  <si>
    <t xml:space="preserve">action: gyr 2|-1</t>
  </si>
  <si>
    <t xml:space="preserve">action: gyr 2|1</t>
  </si>
  <si>
    <t xml:space="preserve">12000</t>
  </si>
  <si>
    <t xml:space="preserve">0</t>
  </si>
  <si>
    <t xml:space="preserve">action: gmore 2</t>
  </si>
  <si>
    <t xml:space="preserve">action: gdel 1</t>
  </si>
  <si>
    <t xml:space="preserve">action: gyr 1|-1</t>
  </si>
  <si>
    <t xml:space="preserve">action: gyr 1|1</t>
  </si>
  <si>
    <t xml:space="preserve">50000</t>
  </si>
  <si>
    <t xml:space="preserve">action: gmore 1</t>
  </si>
  <si>
    <t xml:space="preserve">action: gdel 3</t>
  </si>
  <si>
    <t xml:space="preserve">action: gyr 3|-1</t>
  </si>
  <si>
    <t xml:space="preserve">action: gyr 3|1</t>
  </si>
  <si>
    <t xml:space="preserve">Mortgage left €</t>
  </si>
  <si>
    <t xml:space="preserve">150000</t>
  </si>
  <si>
    <t xml:space="preserve">Today's money · from your Liabilities</t>
  </si>
  <si>
    <t xml:space="preserve">action: gmore 3</t>
  </si>
  <si>
    <t xml:space="preserve">action: gyr 5|-1</t>
  </si>
  <si>
    <t xml:space="preserve">action: gyr 5|1</t>
  </si>
  <si>
    <t xml:space="preserve">Income a year €</t>
  </si>
  <si>
    <t xml:space="preserve">46000</t>
  </si>
  <si>
    <t xml:space="preserve">From Your finances</t>
  </si>
  <si>
    <t xml:space="preserve">Next</t>
  </si>
  <si>
    <t xml:space="preserve">action: f2next</t>
  </si>
  <si>
    <t xml:space="preserve">action: go|F2</t>
  </si>
  <si>
    <t xml:space="preserve">Your LifeMap</t>
  </si>
  <si>
    <t xml:space="preserve">A quick check before we add your money.</t>
  </si>
  <si>
    <t xml:space="preserve">🪂 Emergency fundin 2 yrs · age 40 · 2029 · €15,000</t>
  </si>
  <si>
    <t xml:space="preserve">✈️ Travelin 3 yrs · age 41 · 2030 · €12,000</t>
  </si>
  <si>
    <t xml:space="preserve">🎓 Kids' educationin 10 yrs · age 48 · 2037 · €50,000</t>
  </si>
  <si>
    <t xml:space="preserve">🏦 Be mortgage-freein 17 yrs · age 55 · 2044 · €150,000</t>
  </si>
  <si>
    <t xml:space="preserve">🌅 Retire comfortablyAge 63 · 2052 · €46,000 a year</t>
  </si>
  <si>
    <t xml:space="preserve">Which goal first?</t>
  </si>
  <si>
    <t xml:space="preserve">Your savings go to the goal at the top first. We start with your Emergency fund; move it if you like. (Not changed yet.)</t>
  </si>
  <si>
    <t xml:space="preserve">1. 🪂 Emergency fundin 2 yrs · age 40 · 2029▲</t>
  </si>
  <si>
    <t xml:space="preserve">1. 🪂 Emergency fundin 2 yrs · age 40 · 2029 | ▲</t>
  </si>
  <si>
    <t xml:space="preserve">Input choice (chip)</t>
  </si>
  <si>
    <t xml:space="preserve">▲</t>
  </si>
  <si>
    <t xml:space="preserve">action: grank 4|up</t>
  </si>
  <si>
    <t xml:space="preserve">▼</t>
  </si>
  <si>
    <t xml:space="preserve">action: grank 4|down</t>
  </si>
  <si>
    <t xml:space="preserve">2. ✈️ Travelin 3 yrs · age 41 · 2030▲</t>
  </si>
  <si>
    <t xml:space="preserve">2. ✈️ Travelin 3 yrs · age 41 · 2030 | ▲</t>
  </si>
  <si>
    <t xml:space="preserve">action: grank 2|up</t>
  </si>
  <si>
    <t xml:space="preserve">action: grank 2|down</t>
  </si>
  <si>
    <t xml:space="preserve">3. 🎓 Kids' educationin 10 yrs · age 48 · 2037▲</t>
  </si>
  <si>
    <t xml:space="preserve">3. 🎓 Kids' educationin 10 yrs · age 48 · 2037 | ▲</t>
  </si>
  <si>
    <t xml:space="preserve">action: grank 1|up</t>
  </si>
  <si>
    <t xml:space="preserve">action: grank 1|down</t>
  </si>
  <si>
    <t xml:space="preserve">4. 🏦 Be mortgage-freein 17 yrs · age 55 · 2044▲</t>
  </si>
  <si>
    <t xml:space="preserve">4. 🏦 Be mortgage-freein 17 yrs · age 55 · 2044 | ▲</t>
  </si>
  <si>
    <t xml:space="preserve">action: grank 3|up</t>
  </si>
  <si>
    <t xml:space="preserve">action: grank 3|down</t>
  </si>
  <si>
    <t xml:space="preserve">5. 🌅 Retire comfortablyPaid from your pension, so its place here doesn't change how your savings are shared▲</t>
  </si>
  <si>
    <t xml:space="preserve">5. 🌅 Retire comfortablyPaid from your pension, so its place here doesn't change how your savings are shared | ▲</t>
  </si>
  <si>
    <t xml:space="preserve">action: grank 5|up</t>
  </si>
  <si>
    <t xml:space="preserve">action: grank 5|down</t>
  </si>
  <si>
    <t xml:space="preserve">Next: your money profile, a few quick questions about risk.</t>
  </si>
  <si>
    <t xml:space="preserve">This looks right</t>
  </si>
  <si>
    <t xml:space="preserve">action: f4ok</t>
  </si>
  <si>
    <t xml:space="preserve">action: go|F4</t>
  </si>
  <si>
    <t xml:space="preserve">Step 4 of 8 · Your money profile</t>
  </si>
  <si>
    <t xml:space="preserve">Your money profile</t>
  </si>
  <si>
    <t xml:space="preserve">7 quick questions · your first 6 answers are filled in. You can skip this.</t>
  </si>
  <si>
    <t xml:space="preserve">🌦️ Risk appetite &amp; time horizon: how much risk you want, and how long you can wait</t>
  </si>
  <si>
    <t xml:space="preserve">Your first answers✓ Pre-filled — change if you like</t>
  </si>
  <si>
    <t xml:space="preserve">Your first answers | ✓ Pre-filled — change if you like</t>
  </si>
  <si>
    <t xml:space="preserve">Pick your road for your long-term money.</t>
  </si>
  <si>
    <t xml:space="preserve">Change</t>
  </si>
  <si>
    <t xml:space="preserve">action: umedit d8</t>
  </si>
  <si>
    <t xml:space="preserve">Your €10,000 investment drops to €8,500. What do you do?</t>
  </si>
  <si>
    <t xml:space="preserve">action: umedit d9</t>
  </si>
  <si>
    <t xml:space="preserve">New · Time horizon · how long your money can stay invested</t>
  </si>
  <si>
    <t xml:space="preserve">If you put money away to grow, when might you need it back?</t>
  </si>
  <si>
    <t xml:space="preserve">📆In 2 to 5 years◆ Medium horizon</t>
  </si>
  <si>
    <t xml:space="preserve">⏱️Within 2 years◆ Short horizon; 📆In 2 to 5 years◆ Medium horizon; 🗓️In 5 to 10 years◆ Long horizon; 🌳Not for 10+ years◆ Very long horizon · time in the market</t>
  </si>
  <si>
    <t xml:space="preserve">🛟 Capacity for loss: how much you can afford to lose</t>
  </si>
  <si>
    <t xml:space="preserve">A €1,000 bill arrives tomorrow. How do you pay it?</t>
  </si>
  <si>
    <t xml:space="preserve">action: umedit d7</t>
  </si>
  <si>
    <t xml:space="preserve">To answer · Investment capacity · what you can put to work</t>
  </si>
  <si>
    <t xml:space="preserve">How much could you comfortably invest each month?</t>
  </si>
  <si>
    <t xml:space="preserve">🪙Under €100◆ Starter capacity; 💶€100 to €300◆ Moderate capacity; 💰€300 to €750◆ Good capacity; 🏦Over €750◆ High capacity; 🎢It changes month to month◆ Variable income</t>
  </si>
  <si>
    <t xml:space="preserve">New · Capacity for loss · what a fall would really cost you</t>
  </si>
  <si>
    <t xml:space="preserve">Markets dip and your investments are down 20% for a whole year. What would that actually mean for your life?</t>
  </si>
  <si>
    <t xml:space="preserve">Not how you'd feel. What would really change.</t>
  </si>
  <si>
    <t xml:space="preserve">😟I'd struggle to pay the bills◆ Low capacity for loss; ⏸️I'd have to put a goal on hold◆ Limited capacity for loss; 🙂Annoying, but life goes on◆ Moderate capacity for loss; 😎Nothing changes, I won't need it for years◆ High capacity for loss</t>
  </si>
  <si>
    <t xml:space="preserve">New · Income stability · how steady your pay is</t>
  </si>
  <si>
    <t xml:space="preserve">How steady is your income?</t>
  </si>
  <si>
    <t xml:space="preserve">🌪️Uncertain right now◆ Income risk; 🌦️It changes month to month◆ Variable income; ⛅Fairly steady◆ Stable income; ☀️Very steady (e.g. permanent job or pension)◆ Very stable income</t>
  </si>
  <si>
    <t xml:space="preserve">New · Emergency fund · your emergency fund</t>
  </si>
  <si>
    <t xml:space="preserve">If your income stopped tomorrow, how long could your savings keep you going?</t>
  </si>
  <si>
    <t xml:space="preserve">😬Less than a month◆ No emergency fund; 🐷1 to 3 months◆ Thin buffer; 🛟3 to 6 months◆ Emergency fund in place; 🏰6 months or more◆ Strong safety net</t>
  </si>
  <si>
    <t xml:space="preserve">🧭 Investor behaviour: how you tend to act</t>
  </si>
  <si>
    <t xml:space="preserve">Your friends would say you're always…</t>
  </si>
  <si>
    <t xml:space="preserve">action: umedit d2</t>
  </si>
  <si>
    <t xml:space="preserve">How do you feel about your financial future?</t>
  </si>
  <si>
    <t xml:space="preserve">action: umedit d12</t>
  </si>
  <si>
    <t xml:space="preserve">A friend's investment doubled in a month. What do you do?</t>
  </si>
  <si>
    <t xml:space="preserve">action: umedit d4</t>
  </si>
  <si>
    <t xml:space="preserve">New · Decision style · how you make big money calls</t>
  </si>
  <si>
    <t xml:space="preserve">A big money decision lands on your desk, like switching your pension. What's your move?</t>
  </si>
  <si>
    <t xml:space="preserve">🔬Dig into every detail myself◆ Self-directed · Due diligence; 🧭Get the gist, then check with an expert◆ Validator; 🤝Hand it to an expert I trust◆ Delegator · Advice-seeker; ⏳Leave it for another day◆ Procrastination · Status quo bias</t>
  </si>
  <si>
    <t xml:space="preserve">New · Knowledge &amp; experience · what you've done before</t>
  </si>
  <si>
    <t xml:space="preserve">How would you describe your investing know-how?</t>
  </si>
  <si>
    <t xml:space="preserve">🌱Total beginner◆ Novice investor; 📘I know the basics: savings and pension◆ Basic knowledge; 📈I've invested in funds or shares◆ Some investing experience; 🏆I'm confident I can beat the market◆ Self-rated expert · watch for overconfidence bias</t>
  </si>
  <si>
    <t xml:space="preserve">Which have you had? (optional)</t>
  </si>
  <si>
    <t xml:space="preserve">Savings account; Pension; Shares or funds; Crypto; None</t>
  </si>
  <si>
    <t xml:space="preserve">Indicative only, to guide your conversation. Your adviser confirms your risk profile with you. This tool is designed to help you explore your preferences. It does not replace a formal suitability or risk assessment where financial advice is provided.</t>
  </si>
  <si>
    <t xml:space="preserve">Save and continue</t>
  </si>
  <si>
    <t xml:space="preserve">action: pbprofile</t>
  </si>
  <si>
    <t xml:space="preserve">Skip for now</t>
  </si>
  <si>
    <t xml:space="preserve">action: pbprofile skip</t>
  </si>
  <si>
    <t xml:space="preserve">action: go|B4</t>
  </si>
  <si>
    <t xml:space="preserve">Step 5 of 8 · Secure your account</t>
  </si>
  <si>
    <t xml:space="preserve">Secure your account</t>
  </si>
  <si>
    <t xml:space="preserve">Before you add any money figures, we check your email and mobile once.</t>
  </si>
  <si>
    <t xml:space="preserve">Email</t>
  </si>
  <si>
    <t xml:space="preserve">aoife@example.ie</t>
  </si>
  <si>
    <t xml:space="preserve">Mobile</t>
  </si>
  <si>
    <t xml:space="preserve">087 123 4567</t>
  </si>
  <si>
    <t xml:space="preserve">Required: Use my details to build my plan</t>
  </si>
  <si>
    <t xml:space="preserve">not ticked</t>
  </si>
  <si>
    <t xml:space="preserve">Required:</t>
  </si>
  <si>
    <t xml:space="preserve">Optional: Send me reminders and updates</t>
  </si>
  <si>
    <t xml:space="preserve">Stored in the EU · never sold · nothing shared with an adviser unless you choose · delete everything any time.</t>
  </si>
  <si>
    <t xml:space="preserve">How LifeMap makes money</t>
  </si>
  <si>
    <t xml:space="preserve">action: sheet money</t>
  </si>
  <si>
    <t xml:space="preserve">Send my email code</t>
  </si>
  <si>
    <t xml:space="preserve">action: go P1E · off until the required choices are made</t>
  </si>
  <si>
    <t xml:space="preserve">action: go|P1</t>
  </si>
  <si>
    <t xml:space="preserve">Check your email</t>
  </si>
  <si>
    <t xml:space="preserve">We sent a 6-digit code to aoife@example.ie.</t>
  </si>
  <si>
    <t xml:space="preserve">Digit 1</t>
  </si>
  <si>
    <t xml:space="preserve">Digit 2</t>
  </si>
  <si>
    <t xml:space="preserve">Digit 3</t>
  </si>
  <si>
    <t xml:space="preserve">Digit 4</t>
  </si>
  <si>
    <t xml:space="preserve">Digit 5</t>
  </si>
  <si>
    <t xml:space="preserve">Digit 6</t>
  </si>
  <si>
    <t xml:space="preserve">Demo code: 123456</t>
  </si>
  <si>
    <t xml:space="preserve">Send a new code</t>
  </si>
  <si>
    <t xml:space="preserve">action: toast New code sent</t>
  </si>
  <si>
    <t xml:space="preserve">Verify</t>
  </si>
  <si>
    <t xml:space="preserve">action: vemail</t>
  </si>
  <si>
    <t xml:space="preserve">Step 6 of 8 · Your finances</t>
  </si>
  <si>
    <t xml:space="preserve">Your finances</t>
  </si>
  <si>
    <t xml:space="preserve">Add your money once. Rough figures are fine.</t>
  </si>
  <si>
    <t xml:space="preserve">We'll sort them into the right sections. You check what we read.</t>
  </si>
  <si>
    <t xml:space="preserve">Upload</t>
  </si>
  <si>
    <t xml:space="preserve">action: upl smart</t>
  </si>
  <si>
    <t xml:space="preserve">5 of 6 doneSkip any you like</t>
  </si>
  <si>
    <t xml:space="preserve">5 of 6 done | Skip any you like</t>
  </si>
  <si>
    <t xml:space="preserve">🙋About youFirst name: Aoife · Retirement age: 63 · Partner's date of birth: 37Done✓</t>
  </si>
  <si>
    <t xml:space="preserve">action: fsec 0</t>
  </si>
  <si>
    <t xml:space="preserve">💶Income and expenseswork: Employed · gross yearly income: €58,000 · Partner's gross yearly income: €22,000Done✓</t>
  </si>
  <si>
    <t xml:space="preserve">action: fsec 1</t>
  </si>
  <si>
    <t xml:space="preserve">🏠Assetshome: Own with mortgage · Home value: €420,000 · Cash savings: €9,000Done✓</t>
  </si>
  <si>
    <t xml:space="preserve">action: fsec 2</t>
  </si>
  <si>
    <t xml:space="preserve">💳LiabilitiesMortgage left: €203,700 · Monthly repayment: €1,180 · Years left: 21Done✓</t>
  </si>
  <si>
    <t xml:space="preserve">action: fsec 3</t>
  </si>
  <si>
    <t xml:space="preserve">🛡️ProtectionLife cover: Yes · Income protection: No · Serious illness cover: Not sureDone✓</t>
  </si>
  <si>
    <t xml:space="preserve">action: fsec 4</t>
  </si>
  <si>
    <t xml:space="preserve">🌅PensionPension value today: €72,000 · Paid in each month: €520 · State Pension: Expect fullNeeds a look!</t>
  </si>
  <si>
    <t xml:space="preserve">action: fsec 5</t>
  </si>
  <si>
    <t xml:space="preserve">Check my details</t>
  </si>
  <si>
    <t xml:space="preserve">action: go P4</t>
  </si>
  <si>
    <t xml:space="preserve">P3</t>
  </si>
  <si>
    <t xml:space="preserve">action: fback</t>
  </si>
  <si>
    <t xml:space="preserve">Your finances · 1 of 6</t>
  </si>
  <si>
    <t xml:space="preserve">🙋 About you</t>
  </si>
  <si>
    <t xml:space="preserve">Mostly filled in from your answers. Just check it.</t>
  </si>
  <si>
    <t xml:space="preserve">No documents needed here. ID and proof of address are handled by your adviser later.</t>
  </si>
  <si>
    <t xml:space="preserve">✏️ Your figure · from your answers</t>
  </si>
  <si>
    <t xml:space="preserve">From your timeline flag</t>
  </si>
  <si>
    <t xml:space="preserve">retireAge: Example: Retirement ageAoife wants to retire at 63, before her State Pension starts at 66. She enters 63.📍 Where to find yours: the normal retirement age on your annual pension benefit statement.Example only. Not a typical or recommended amount.Got it</t>
  </si>
  <si>
    <t xml:space="preserve">From your answers</t>
  </si>
  <si>
    <t xml:space="preserve">Your partner</t>
  </si>
  <si>
    <t xml:space="preserve">How to add your partner</t>
  </si>
  <si>
    <t xml:space="preserve">✍️Add their details myselfName, age and income (optional)</t>
  </si>
  <si>
    <t xml:space="preserve">💌Invite my partnerThey add their own details, privately; ✍️Add their details myselfName, age and income (optional)</t>
  </si>
  <si>
    <t xml:space="preserve">✏️ Your figure</t>
  </si>
  <si>
    <t xml:space="preserve">Thanks. Cian is 36 today and turns 37 on 3 March 2027. · We use it to get your ages and years exactly right. It stays on your device in this prototype.</t>
  </si>
  <si>
    <t xml:space="preserve">Before tax. Leave it blank and we'll ask in Income.</t>
  </si>
  <si>
    <t xml:space="preserve">Save this section</t>
  </si>
  <si>
    <t xml:space="preserve">action: fsave</t>
  </si>
  <si>
    <t xml:space="preserve">Your finances · 2 of 6</t>
  </si>
  <si>
    <t xml:space="preserve">💶 Income and expenses</t>
  </si>
  <si>
    <t xml:space="preserve">Upload a document or type it in. Round figures are fine.</t>
  </si>
  <si>
    <t xml:space="preserve">How to add</t>
  </si>
  <si>
    <t xml:space="preserve">⌨️ Type it</t>
  </si>
  <si>
    <t xml:space="preserve">📄 Upload; ⌨️ Type it</t>
  </si>
  <si>
    <t xml:space="preserve">Leave blank anything you don't have. It counts as €0 and stays on your list as optional. You never need to type 0.</t>
  </si>
  <si>
    <t xml:space="preserve">📄 3 figures from your statement</t>
  </si>
  <si>
    <t xml:space="preserve">Statement figures are used ahead of anything typed. To use your own figures instead, remove the statement.</t>
  </si>
  <si>
    <t xml:space="preserve">Replace statement</t>
  </si>
  <si>
    <t xml:space="preserve">action: docrep 1</t>
  </si>
  <si>
    <t xml:space="preserve">Remove statement</t>
  </si>
  <si>
    <t xml:space="preserve">action: docrem 1</t>
  </si>
  <si>
    <t xml:space="preserve">✅ From document · 99%</t>
  </si>
  <si>
    <t xml:space="preserve">Employed; Self-employed; Not working</t>
  </si>
  <si>
    <t xml:space="preserve">work: Example: Your workEmployed: you get a payslipSelf-employed: you file a Form 11Not working: no earnings right nowAoife has a payslip, so she picks Employed.📍 Where to find yours: your payslip, or your Form 11 if self-employed.Example only. Not a typical or recommended amount.Got it</t>
  </si>
  <si>
    <t xml:space="preserve">58000</t>
  </si>
  <si>
    <t xml:space="preserve">✅ From document · 98%</t>
  </si>
  <si>
    <t xml:space="preserve">Before tax</t>
  </si>
  <si>
    <t xml:space="preserve">income: Example: Your gross yearly incomeAoife earns €58,000 a year before tax. She enters €58,000.📍 Where to find yours: gross pay on your payslip, or your Employment Detail Summary in Revenue myAccount.Nothing to add? Enter 0.Example only. Not a typical or recommended amount.Got it</t>
  </si>
  <si>
    <t xml:space="preserve">pIncome: Example: Partner's gross yearly incomeCian earns €22,000 a year before tax. Aoife enters €22,000.📍 Where to find yours: your partner's payslip or Employment Detail Summary (Revenue myAccount).Nothing to add? Enter 0.Example only. Not a typical or recommended amount.Got it</t>
  </si>
  <si>
    <t xml:space="preserve">Optional. Taxed with your other income</t>
  </si>
  <si>
    <t xml:space="preserve">otherM: Example: Other income a month (before tax)Aoife and Cian have no other income, such as rent or maintenance. They enter €0.📍 Where to find yours: your bank statements, or Revenue myAccount for rental income.Nothing to add? Enter 0.Example only. Not a typical or recommended amount.Got it</t>
  </si>
  <si>
    <t xml:space="preserve">3600</t>
  </si>
  <si>
    <t xml:space="preserve">Rent, bills, food and extras. Leave out mortgage and loan repayments.</t>
  </si>
  <si>
    <t xml:space="preserve">costsM: Example: Monthly living costsAoife and Cian spend €3,600 a month on bills, food and extras, not counting the mortgage or loans. They enter €3,600.📍 Where to find yours: your banking app's spending summary, or 3 months of current-account statements.Nothing to add? Enter 0.Example only. Not a typical or recommended amount.Got it</t>
  </si>
  <si>
    <t xml:space="preserve">1800</t>
  </si>
  <si>
    <t xml:space="preserve">✅ From document · 81%</t>
  </si>
  <si>
    <t xml:space="preserve">Optional. Car tax, insurance, holidays</t>
  </si>
  <si>
    <t xml:space="preserve">oneOffY: Example: Yearly one-off costsAoife and Cian's yearly one-off costs, such as car tax, insurance and holidays, come to €1,800. They enter €1,800.📍 Where to find yours: last year's bank statements.Nothing to add? Enter 0.Example only. Not a typical or recommended amount.Got it</t>
  </si>
  <si>
    <t xml:space="preserve">Your finances · 3 of 6</t>
  </si>
  <si>
    <t xml:space="preserve">🏠 Assets</t>
  </si>
  <si>
    <t xml:space="preserve">action: docrep 2</t>
  </si>
  <si>
    <t xml:space="preserve">action: docrem 2</t>
  </si>
  <si>
    <t xml:space="preserve">Own outright; Own with mortgage; Rent; Live with family</t>
  </si>
  <si>
    <t xml:space="preserve">home: Example: Your homeOwn outright: no mortgageOwn with mortgage: still paying it offRent: you pay a landlordLive with family: no rent or mortgageThey're paying off a mortgage, so Aoife picks Own with mortgage.📍 Where to find yours: your mortgage statement or tenancy agreement.Example only. Not a typical or recommended amount.Got it</t>
  </si>
  <si>
    <t xml:space="preserve">420000</t>
  </si>
  <si>
    <t xml:space="preserve">homeValue: Example: Home valueAoife and Cian think their home is worth about €420,000. They enter €420,000.📍 Where to find yours: sale prices of similar homes on the Property Price Register, or your LPT valuation.Nothing to add? Enter 0.Example only. Not a typical or recommended amount.Got it</t>
  </si>
  <si>
    <t xml:space="preserve">9000</t>
  </si>
  <si>
    <t xml:space="preserve">✅ From document · 97%</t>
  </si>
  <si>
    <t xml:space="preserve">Incl. credit union and State Savings</t>
  </si>
  <si>
    <t xml:space="preserve">cash: Example: Cash savingsAoife and Cian have €9,000 in savings, including the credit union. They enter €9,000.📍 Where to find yours: your banking and credit union apps, or An Post State Savings.Nothing to add? Enter 0.Example only. Not a typical or recommended amount.Got it</t>
  </si>
  <si>
    <t xml:space="preserve">6200</t>
  </si>
  <si>
    <t xml:space="preserve">✅ From document · 88%</t>
  </si>
  <si>
    <t xml:space="preserve">Shares, funds, share schemes, crypto: one total</t>
  </si>
  <si>
    <t xml:space="preserve">invest: Example: InvestmentsAoife's investment statement shows €6,200. She enters €6,200.📍 Where to find yours: your investment, share-scheme or broker statement or app.Nothing to add? Enter 0.Example only. Not a typical or recommended amount.Got it</t>
  </si>
  <si>
    <t xml:space="preserve">❓ Missing</t>
  </si>
  <si>
    <t xml:space="preserve">propValue: Example: Other property: valueAoife and Cian don't own another property. They enter €0.📍 Where to find yours: for a property you own, the Property Price Register or your LPT return.Nothing to add? Enter 0.Example only. Not a typical or recommended amount.Got it</t>
  </si>
  <si>
    <t xml:space="preserve">Other property: rent received a month (before tax)</t>
  </si>
  <si>
    <t xml:space="preserve">Optional. Rental profit is taxed at your marginal rate, with USC and PRSI</t>
  </si>
  <si>
    <t xml:space="preserve">rentM: Example: Other property: rent received a month (before tax)Aoife and Cian don't rent out a property, so no rent comes in. They enter €0.📍 Where to find yours: your tenancy agreement or RTB registration.Nothing to add? Enter 0.Example only. Not a typical or recommended amount.Got it</t>
  </si>
  <si>
    <t xml:space="preserve">Your finances · 4 of 6</t>
  </si>
  <si>
    <t xml:space="preserve">💳 Liabilities</t>
  </si>
  <si>
    <t xml:space="preserve">📄 8 figures from your statement</t>
  </si>
  <si>
    <t xml:space="preserve">action: docrep 3</t>
  </si>
  <si>
    <t xml:space="preserve">action: docrem 3</t>
  </si>
  <si>
    <t xml:space="preserve">🏠 Mortgage</t>
  </si>
  <si>
    <t xml:space="preserve">The mortgage on the home you live in comes first.</t>
  </si>
  <si>
    <t xml:space="preserve">✅ From document</t>
  </si>
  <si>
    <t xml:space="preserve">mortYN: Example: Do you have a mortgage?Yes: you owe money on the home you live inNo: you own it outright, rent, or live with familyAoife and Cian are still paying off their home, so Aoife picks Yes.📍 Where to find yours: your mortgage statement, or your lender's app.Example only. Not a typical or recommended amount.Got it</t>
  </si>
  <si>
    <t xml:space="preserve">203700</t>
  </si>
  <si>
    <t xml:space="preserve">✅ From document · 96%</t>
  </si>
  <si>
    <t xml:space="preserve">mortBal: Example: Mortgage leftAoife and Cian owe €203,700 on their mortgage. They enter €203,700.📍 Where to find yours: your annual mortgage statement or your lender's app.Nothing to add? Enter 0.Example only. Not a typical or recommended amount.Got it</t>
  </si>
  <si>
    <t xml:space="preserve">1180</t>
  </si>
  <si>
    <t xml:space="preserve">✅ From document · 93%</t>
  </si>
  <si>
    <t xml:space="preserve">mortPayM: Example: Monthly repaymentAoife and Cian repay €1,180 a month. They enter €1,180.📍 Where to find yours: your mortgage statement, or the direct debit on your bank statement.Nothing to add? Enter 0.Example only. Not a typical or recommended amount.Got it</t>
  </si>
  <si>
    <t xml:space="preserve">✅ From document · 90%</t>
  </si>
  <si>
    <t xml:space="preserve">mortYears: Example: Years leftAoife and Cian's mortgage has 21 years left. They enter 21.📍 Where to find yours: the remaining term on your annual mortgage statement.Example only. Not a typical or recommended amount.Got it</t>
  </si>
  <si>
    <t xml:space="preserve">Interest rate, APR %</t>
  </si>
  <si>
    <t xml:space="preserve">3.85</t>
  </si>
  <si>
    <t xml:space="preserve">✅ From document · 94%</t>
  </si>
  <si>
    <t xml:space="preserve">Your statement shows it. If you leave it blank we use the Central Bank average and say so: "Assumed: add yours"</t>
  </si>
  <si>
    <t xml:space="preserve">mortRate: Example: Interest rate, APR %Their mortgage statement shows 3.85% APR. They enter 3.85.📍 Where to find yours: the interest rate (APR) on your annual mortgage statement.Example only. Not a typical or recommended amount.Got it</t>
  </si>
  <si>
    <t xml:space="preserve">📄 Upload your mortgage statement (optional)</t>
  </si>
  <si>
    <t xml:space="preserve">action: upl liab</t>
  </si>
  <si>
    <t xml:space="preserve">＋ Add a mortgage on another property</t>
  </si>
  <si>
    <t xml:space="preserve">action: iadd mort2</t>
  </si>
  <si>
    <t xml:space="preserve">💳 Credit cards</t>
  </si>
  <si>
    <t xml:space="preserve">action: idel cards|4</t>
  </si>
  <si>
    <t xml:space="preserve">Owed on this card</t>
  </si>
  <si>
    <t xml:space="preserve">400</t>
  </si>
  <si>
    <t xml:space="preserve">✅ From document · 86%</t>
  </si>
  <si>
    <t xml:space="preserve">cards.owed: Example: Owed on this cardAoife and Cian owe €400 on their credit card. They enter €400.📍 Where to find yours: your latest credit-card statement or banking app.Nothing to add? Enter 0.Example only. Not a typical or recommended amount.Got it</t>
  </si>
  <si>
    <t xml:space="preserve">Monthly repayment on this card</t>
  </si>
  <si>
    <t xml:space="preserve">✅ From document · 80%</t>
  </si>
  <si>
    <t xml:space="preserve">cards.pay: Example: Monthly repayment on this cardThey pay €40 a month off the card. They enter €40.📍 Where to find yours: your card statement or banking app: what you actually pay.Nothing to add? Enter 0.Example only. Not a typical or recommended amount.Got it</t>
  </si>
  <si>
    <t xml:space="preserve">cards.lender: Example: Lender (optional)Their card statement names the lender: Demo Bank B. They enter Demo Bank B.📍 Where to find yours: the top of your credit-card statement.Example only. Not a typical or recommended amount.Got it</t>
  </si>
  <si>
    <t xml:space="preserve">Interest rate, APR % (optional)</t>
  </si>
  <si>
    <t xml:space="preserve">cards.rate: Example: Interest rate, APR % (optional)Their card statement shows 20% APR. They enter 20.📍 Where to find yours: the interest rate (APR) on your credit-card statement.Example only. Not a typical or recommended amount.Got it</t>
  </si>
  <si>
    <t xml:space="preserve">✅ From Credit-card statement · Sep 2026Replace statement</t>
  </si>
  <si>
    <t xml:space="preserve">✅ From Credit-card statement · Sep 2026 | Replace statement</t>
  </si>
  <si>
    <t xml:space="preserve">action: iupl cards|4</t>
  </si>
  <si>
    <t xml:space="preserve">action: irem cards|4</t>
  </si>
  <si>
    <t xml:space="preserve">＋ Add a credit card</t>
  </si>
  <si>
    <t xml:space="preserve">action: iadd cards</t>
  </si>
  <si>
    <t xml:space="preserve">📄 Other loans (car, personal, credit union)</t>
  </si>
  <si>
    <t xml:space="preserve">action: idel loans|5</t>
  </si>
  <si>
    <t xml:space="preserve">Owed on this loan</t>
  </si>
  <si>
    <t xml:space="preserve">3500</t>
  </si>
  <si>
    <t xml:space="preserve">loans.owed: Example: Owed on this loanAoife and Cian owe €3,500 on a car loan. They enter €3,500.📍 Where to find yours: your loan statement, credit union app or Central Credit Register report.Nothing to add? Enter 0.Example only. Not a typical or recommended amount.Got it</t>
  </si>
  <si>
    <t xml:space="preserve">Monthly repayment on this loan</t>
  </si>
  <si>
    <t xml:space="preserve">100</t>
  </si>
  <si>
    <t xml:space="preserve">✅ From document · 84%</t>
  </si>
  <si>
    <t xml:space="preserve">loans.pay: Example: Monthly repayment on this loanThey repay €100 a month on the car loan. They enter €100.📍 Where to find yours: your loan agreement, or the payment on your bank statement.Nothing to add? Enter 0.Example only. Not a typical or recommended amount.Got it</t>
  </si>
  <si>
    <t xml:space="preserve">loans.lender: Example: Lender (optional)Their car loan is with Demo Credit Union. They enter Demo Credit Union.📍 Where to find yours: your loan agreement or statement.Example only. Not a typical or recommended amount.Got it</t>
  </si>
  <si>
    <t xml:space="preserve">loans.rate: Example: Interest rate, APR % (optional)Their car loan charges 8% APR. They enter 8.📍 Where to find yours: the APR on your loan agreement.Example only. Not a typical or recommended amount.Got it</t>
  </si>
  <si>
    <t xml:space="preserve">✅ From Car loan statement · Aug 2026Replace statement</t>
  </si>
  <si>
    <t xml:space="preserve">✅ From Car loan statement · Aug 2026 | Replace statement</t>
  </si>
  <si>
    <t xml:space="preserve">action: iupl loans|5</t>
  </si>
  <si>
    <t xml:space="preserve">action: irem loans|5</t>
  </si>
  <si>
    <t xml:space="preserve">＋ Add a loan</t>
  </si>
  <si>
    <t xml:space="preserve">action: iadd loans</t>
  </si>
  <si>
    <t xml:space="preserve">Your finances · 5 of 6</t>
  </si>
  <si>
    <t xml:space="preserve">🛡️ Protection</t>
  </si>
  <si>
    <t xml:space="preserve">Say Yes or No for each type. Add the details if you like.</t>
  </si>
  <si>
    <t xml:space="preserve">Add a policy under each type if you like. No other documents needed.</t>
  </si>
  <si>
    <t xml:space="preserve">Do you have any of the following?</t>
  </si>
  <si>
    <t xml:space="preserve">Say Yes to add the details, and a policy if you like. Add more than one of each if you have them.</t>
  </si>
  <si>
    <t xml:space="preserve">✅ From document · 95%</t>
  </si>
  <si>
    <t xml:space="preserve">Yes; No; Not sure</t>
  </si>
  <si>
    <t xml:space="preserve">life: Example: Life coverYes: you have itNo: you don'tNot sure: check your documents, then come backAoife has life cover, so she picks Yes.📍 Where to find yours: your policy schedule, or HR for cover through work.Example only. Not a typical or recommended amount.Got it</t>
  </si>
  <si>
    <t xml:space="preserve">action: idel life|1</t>
  </si>
  <si>
    <t xml:space="preserve">Amount covered</t>
  </si>
  <si>
    <t xml:space="preserve">250000</t>
  </si>
  <si>
    <t xml:space="preserve">life.amount: Example: Amount coveredAoife and Cian's life cover pays out €250,000. They enter €250,000.📍 Where to find yours: your policy schedule, or your insurer's online account.Nothing to add? Enter 0.Example only. Not a typical or recommended amount.Got it</t>
  </si>
  <si>
    <t xml:space="preserve">Years left on the policy</t>
  </si>
  <si>
    <t xml:space="preserve">life.term: Example: Years left on the policyTheir policy has 21 years to run, to match the mortgage. They enter 21.📍 Where to find yours: the end date on your policy schedule.Example only. Not a typical or recommended amount.Got it</t>
  </si>
  <si>
    <t xml:space="preserve">📄 Upload this policy (optional)</t>
  </si>
  <si>
    <t xml:space="preserve">action: iupl life|1</t>
  </si>
  <si>
    <t xml:space="preserve">＋ Add another life cover policy</t>
  </si>
  <si>
    <t xml:space="preserve">action: iadd life</t>
  </si>
  <si>
    <t xml:space="preserve">ip: Example: Income protectionYes: you have itNo: you don'tNot sure: check your documents, then come backAoife has no income protection, so she picks No.📍 Where to find yours: your policy documents or your employer's benefits booklet.Example only. Not a typical or recommended amount.Got it</t>
  </si>
  <si>
    <t xml:space="preserve">ci: Example: Serious illness coverYes: you have itNo: you don'tNot sure: check your documents, then come backAoife isn't sure about serious illness cover, so she picks Not sure.📍 Where to find yours: your policy documents, or ask your insurer.Example only. Not a typical or recommended amount.Got it</t>
  </si>
  <si>
    <t xml:space="preserve">workCover: Example: Cover through workYes: you have itNo: you don'tNot sure: check your documents, then come backAoife's job includes cover, such as death-in-service, so she picks Yes.📍 Where to find yours: your employer's benefits booklet or HR.Example only. Not a typical or recommended amount.Got it</t>
  </si>
  <si>
    <t xml:space="preserve">How to find out: ask HR, or look in your employer benefits booklet. Death-in-service is usually a multiple of your salary. Enter what you know; leave the rest blank.</t>
  </si>
  <si>
    <t xml:space="preserve">action: idel workCover|2</t>
  </si>
  <si>
    <t xml:space="preserve">Death-in-service: lump sum</t>
  </si>
  <si>
    <t xml:space="preserve">workCover.amount: Example: Death-in-service: lump sumAoife's benefits booklet says her death-in-service is 3 times her €58,000 salary. She enters €174,000.📍 Where to find yours: your employer benefits booklet, or ask HR.Nothing to add? Enter 0.Example only. Not a typical or recommended amount.Got it</t>
  </si>
  <si>
    <t xml:space="preserve">Or: how many times your salary</t>
  </si>
  <si>
    <t xml:space="preserve">workCover.mult: Example: Or: how many times your salaryAoife's benefits booklet says death-in-service is 3 times salary. She enters 3.📍 Where to find yours: your employer benefits booklet, or ask HR.Example only. Not a typical or recommended amount.Got it</t>
  </si>
  <si>
    <t xml:space="preserve">📄 Upload your employer benefits statement (optional)</t>
  </si>
  <si>
    <t xml:space="preserve">action: iupl workCover|2</t>
  </si>
  <si>
    <t xml:space="preserve">＋ Add other cover through work</t>
  </si>
  <si>
    <t xml:space="preserve">action: iadd workCover</t>
  </si>
  <si>
    <t xml:space="preserve">health: Example: Health insuranceYes: you have itNo: you don'tNot sure: check your documents, then come backAoife and Cian have health insurance, so Aoife picks Yes.📍 Where to find yours: your health insurer's renewal letter or app.Example only. Not a typical or recommended amount.Got it</t>
  </si>
  <si>
    <t xml:space="preserve">action: idel health|3</t>
  </si>
  <si>
    <t xml:space="preserve">Yearly cost (optional)</t>
  </si>
  <si>
    <t xml:space="preserve">2400</t>
  </si>
  <si>
    <t xml:space="preserve">health.amount: Example: Yearly cost (optional)Aoife and Cian's health insurance costs €2,400 a year. They enter €2,400.📍 Where to find yours: your health insurer's renewal letter or app.Nothing to add? Enter 0.Example only. Not a typical or recommended amount.Got it</t>
  </si>
  <si>
    <t xml:space="preserve">action: iupl health|3</t>
  </si>
  <si>
    <t xml:space="preserve">＋ Add another health insurance plan</t>
  </si>
  <si>
    <t xml:space="preserve">action: iadd health</t>
  </si>
  <si>
    <t xml:space="preserve">Your finances · 6 of 6</t>
  </si>
  <si>
    <t xml:space="preserve">🌅 Pension</t>
  </si>
  <si>
    <t xml:space="preserve">📄 2 figures from your statement</t>
  </si>
  <si>
    <t xml:space="preserve">action: docrep 5</t>
  </si>
  <si>
    <t xml:space="preserve">action: docrem 5</t>
  </si>
  <si>
    <t xml:space="preserve">🌅 Your pensions</t>
  </si>
  <si>
    <t xml:space="preserve">action: idel pens|4</t>
  </si>
  <si>
    <t xml:space="preserve">Name or provider (optional)</t>
  </si>
  <si>
    <t xml:space="preserve">pens.name: Example: Name or provider (optional)Aoife has one pension, through her job. She enters Work pension.📍 Where to find yours: your annual pension benefit statement or the provider's app.Example only. Not a typical or recommended amount.Got it</t>
  </si>
  <si>
    <t xml:space="preserve">Value today</t>
  </si>
  <si>
    <t xml:space="preserve">72000</t>
  </si>
  <si>
    <t xml:space="preserve">pens.value: Example: Value todayAoife's pension statement shows €72,000. She enters €72,000.📍 Where to find yours: your annual pension benefit statement or the provider's app.Nothing to add? Enter 0.Example only. Not a typical or recommended amount.Got it</t>
  </si>
  <si>
    <t xml:space="preserve">Paid in each month, including your employer</t>
  </si>
  <si>
    <t xml:space="preserve">520</t>
  </si>
  <si>
    <t xml:space="preserve">✅ From document · 91%</t>
  </si>
  <si>
    <t xml:space="preserve">pens.monthly: Example: Paid in each month, including your employer€520 goes into Aoife's pension each month, including her employer's share. She enters €520.📍 Where to find yours: your payslip (your share) and annual benefit statement (your employer's).Nothing to add? Enter 0.Example only. Not a typical or recommended amount.Got it</t>
  </si>
  <si>
    <t xml:space="preserve">Of that, paid by you each month (optional)</t>
  </si>
  <si>
    <t xml:space="preserve">Only your own share gets tax relief. If you leave it blank, you choose your share in Your assumptions.</t>
  </si>
  <si>
    <t xml:space="preserve">pens.own: Example: Of that, paid by you each month (optional)Of the €520, Aoife pays €260 herself. She enters €260.📍 Where to find yours: the pension deduction on your payslip.Nothing to add? Enter 0.Example only. Not a typical or recommended amount.Got it</t>
  </si>
  <si>
    <t xml:space="preserve">✅ From Pension statement · Jul 2025Replace statement</t>
  </si>
  <si>
    <t xml:space="preserve">✅ From Pension statement · Jul 2025 | Replace statement</t>
  </si>
  <si>
    <t xml:space="preserve">action: iupl pens|4</t>
  </si>
  <si>
    <t xml:space="preserve">action: irem pens|4</t>
  </si>
  <si>
    <t xml:space="preserve">＋ Add another pension</t>
  </si>
  <si>
    <t xml:space="preserve">action: iadd pens</t>
  </si>
  <si>
    <t xml:space="preserve">Expect full; Partly; Not sure</t>
  </si>
  <si>
    <t xml:space="preserve">sp: Example: State PensionExpect full: about 40 years of PRSI by 66Partly: fewer yearsNot sure: check firstAoife expects the full rate, so she picks Expect full.📍 Where to find yours: your PRSI record and State Pension statement on MyWelfare.ie.Example only. Not a typical or recommended amount.Got it</t>
  </si>
  <si>
    <t xml:space="preserve">Your partner's State Pension</t>
  </si>
  <si>
    <t xml:space="preserve">Own full; Own partial; Qualified adult increase; None; Not sure</t>
  </si>
  <si>
    <t xml:space="preserve">pSp: Example: Your partner's State PensionOwn full: their own full rateOwn partial: a reduced rateQualified adult increase: an addition to yoursNoneNot sureCian isn't sure of his rate yet, so Aoife picks Not sure.📍 Where to find yours: your partner's MyWelfare.ie record.Example only. Not a typical or recommended amount.Got it</t>
  </si>
  <si>
    <t xml:space="preserve">action: go|P2</t>
  </si>
  <si>
    <t xml:space="preserve">Step 7 of 8 · Check your details</t>
  </si>
  <si>
    <t xml:space="preserve">Only the items worth a second look are shown.</t>
  </si>
  <si>
    <t xml:space="preserve">All 4 chosen</t>
  </si>
  <si>
    <t xml:space="preserve">Your results have what they need. You can change any of these.</t>
  </si>
  <si>
    <t xml:space="preserve">4 of 4 chosen</t>
  </si>
  <si>
    <t xml:space="preserve">What we've set for you (change any)</t>
  </si>
  <si>
    <t xml:space="preserve">Everything else is set from the start, so nothing else blocks your results. Figures that are the same for everyone are tagged Set by LifeMap; a rate we don't know is tagged Assumed: add yours. Change any one and it reads Your choice. You have changed 7.</t>
  </si>
  <si>
    <t xml:space="preserve">· Pension</t>
  </si>
  <si>
    <t xml:space="preserve">Needs a look: Statement is over 12 months old</t>
  </si>
  <si>
    <t xml:space="preserve">Fix now</t>
  </si>
  <si>
    <t xml:space="preserve">action: fix 5</t>
  </si>
  <si>
    <t xml:space="preserve">Leave for my adviser</t>
  </si>
  <si>
    <t xml:space="preserve">action: ack pension</t>
  </si>
  <si>
    <t xml:space="preserve">✅ 29 details look good</t>
  </si>
  <si>
    <t xml:space="preserve">First nameAoife ✏️ Your figure · from your answers</t>
  </si>
  <si>
    <t xml:space="preserve">First name | Aoife ✏️ Your figure · from your answers</t>
  </si>
  <si>
    <t xml:space="preserve">Partner's date of birth37 ✏️ Your figure</t>
  </si>
  <si>
    <t xml:space="preserve">Partner's date of birth | 37 ✏️ Your figure</t>
  </si>
  <si>
    <t xml:space="preserve">Your workEmployed ✅ From document · 99%</t>
  </si>
  <si>
    <t xml:space="preserve">Your work | Employed ✅ From document · 99%</t>
  </si>
  <si>
    <t xml:space="preserve">Your gross yearly income€58,000 ✅ From document · 98%</t>
  </si>
  <si>
    <t xml:space="preserve">Your gross yearly income | €58,000 ✅ From document · 98%</t>
  </si>
  <si>
    <t xml:space="preserve">Partner's gross yearly income€22,000 ✏️ Your figure</t>
  </si>
  <si>
    <t xml:space="preserve">Partner's gross yearly income | €22,000 ✏️ Your figure</t>
  </si>
  <si>
    <t xml:space="preserve">Other income a month (before tax)€0 ✏️ Your figure</t>
  </si>
  <si>
    <t xml:space="preserve">Other income a month (before tax) | €0 ✏️ Your figure</t>
  </si>
  <si>
    <t xml:space="preserve">Monthly living costs€3,600 ✏️ Your figure</t>
  </si>
  <si>
    <t xml:space="preserve">Monthly living costs | €3,600 ✏️ Your figure</t>
  </si>
  <si>
    <t xml:space="preserve">Yearly one-off costs€1,800 ✅ From document · 81%</t>
  </si>
  <si>
    <t xml:space="preserve">Yearly one-off costs | €1,800 ✅ From document · 81%</t>
  </si>
  <si>
    <t xml:space="preserve">Your homeOwn with mortgage ✅ From document · 99%</t>
  </si>
  <si>
    <t xml:space="preserve">Your home | Own with mortgage ✅ From document · 99%</t>
  </si>
  <si>
    <t xml:space="preserve">Home value€420,000 ✏️ Your figure</t>
  </si>
  <si>
    <t xml:space="preserve">Home value | €420,000 ✏️ Your figure</t>
  </si>
  <si>
    <t xml:space="preserve">Cash savings€9,000 ✅ From document · 97%</t>
  </si>
  <si>
    <t xml:space="preserve">Cash savings | €9,000 ✅ From document · 97%</t>
  </si>
  <si>
    <t xml:space="preserve">Investments€6,200 ✅ From document · 88%</t>
  </si>
  <si>
    <t xml:space="preserve">Investments | €6,200 ✅ From document · 88%</t>
  </si>
  <si>
    <t xml:space="preserve">Mortgage left€203,700 ✅ From document · 96%</t>
  </si>
  <si>
    <t xml:space="preserve">Mortgage left | €203,700 ✅ From document · 96%</t>
  </si>
  <si>
    <t xml:space="preserve">Monthly repayment€1,180 ✅ From document · 93%</t>
  </si>
  <si>
    <t xml:space="preserve">Monthly repayment | €1,180 ✅ From document · 93%</t>
  </si>
  <si>
    <t xml:space="preserve">Years left21 ✅ From document · 90%</t>
  </si>
  <si>
    <t xml:space="preserve">Years left | 21 ✅ From document · 90%</t>
  </si>
  <si>
    <t xml:space="preserve">Interest rate, APR %3.85 ✅ From document · 94%</t>
  </si>
  <si>
    <t xml:space="preserve">Interest rate, APR % | 3.85 ✅ From document · 94%</t>
  </si>
  <si>
    <t xml:space="preserve">Credit cards: total owed€400 ✅ From document · 86%</t>
  </si>
  <si>
    <t xml:space="preserve">Credit cards: total owed | €400 ✅ From document · 86%</t>
  </si>
  <si>
    <t xml:space="preserve">Credit cards: monthly repayment€40 ✅ From document · 80%</t>
  </si>
  <si>
    <t xml:space="preserve">Credit cards: monthly repayment | €40 ✅ From document · 80%</t>
  </si>
  <si>
    <t xml:space="preserve">Credit cards: interest rate (APR %)— ❓ Missing</t>
  </si>
  <si>
    <t xml:space="preserve">Credit cards: interest rate (APR %) | — ❓ Missing</t>
  </si>
  <si>
    <t xml:space="preserve">Other loans (car, personal, credit union): total owed€3,500 ✅ From document · 88%</t>
  </si>
  <si>
    <t xml:space="preserve">Other loans (car, personal, credit union): total owed | €3,500 ✅ From document · 88%</t>
  </si>
  <si>
    <t xml:space="preserve">Other loans: monthly repayment€100 ✅ From document · 84%</t>
  </si>
  <si>
    <t xml:space="preserve">Other loans: monthly repayment | €100 ✅ From document · 84%</t>
  </si>
  <si>
    <t xml:space="preserve">Other loans: interest rate (APR %)— ❓ Missing</t>
  </si>
  <si>
    <t xml:space="preserve">Other loans: interest rate (APR %) | — ❓ Missing</t>
  </si>
  <si>
    <t xml:space="preserve">Life coverYes ✅ From document · 95%</t>
  </si>
  <si>
    <t xml:space="preserve">Life cover | Yes ✅ From document · 95%</t>
  </si>
  <si>
    <t xml:space="preserve">Income protectionNo ✏️ Your figure</t>
  </si>
  <si>
    <t xml:space="preserve">Income protection | No ✏️ Your figure</t>
  </si>
  <si>
    <t xml:space="preserve">Serious illness coverNot sure ✏️ Your figure</t>
  </si>
  <si>
    <t xml:space="preserve">Serious illness cover | Not sure ✏️ Your figure</t>
  </si>
  <si>
    <t xml:space="preserve">Cover through workYes ✅ From document · 90%</t>
  </si>
  <si>
    <t xml:space="preserve">Cover through work | Yes ✅ From document · 90%</t>
  </si>
  <si>
    <t xml:space="preserve">Health insuranceYes ✏️ Your figure</t>
  </si>
  <si>
    <t xml:space="preserve">Health insurance | Yes ✏️ Your figure</t>
  </si>
  <si>
    <t xml:space="preserve">Paid in each month€520 ✅ From document · 91%</t>
  </si>
  <si>
    <t xml:space="preserve">Paid in each month | €520 ✅ From document · 91%</t>
  </si>
  <si>
    <t xml:space="preserve">State PensionExpect full ✏️ Your figure</t>
  </si>
  <si>
    <t xml:space="preserve">State Pension | Expect full ✏️ Your figure</t>
  </si>
  <si>
    <t xml:space="preserve">See my results</t>
  </si>
  <si>
    <t xml:space="preserve">action: toresults</t>
  </si>
  <si>
    <t xml:space="preserve">Skip, show my results</t>
  </si>
  <si>
    <t xml:space="preserve">action: skipres</t>
  </si>
  <si>
    <t xml:space="preserve">P4-start</t>
  </si>
  <si>
    <t xml:space="preserve">Choose 4 things</t>
  </si>
  <si>
    <t xml:space="preserve">Your results need these four. Only you can choose them, so we never fill them in for you.</t>
  </si>
  <si>
    <t xml:space="preserve">0 of 4 chosen</t>
  </si>
  <si>
    <t xml:space="preserve">Everything else is set from the start, so nothing else blocks your results. Figures that are the same for everyone are tagged Set by LifeMap; a rate we don't know is tagged Assumed: add yours. Change any one and it reads Your choice.</t>
  </si>
  <si>
    <t xml:space="preserve">1.29</t>
  </si>
  <si>
    <t xml:space="preserve">We are using 1.29% (Central Bank of Ireland: average rate on new fixed-term household deposits, Jul 2026) until you add yours. · If you rent, your deposit stays in savings. Leave it blank and we use the suggested rate (Assumed: add yours).</t>
  </si>
  <si>
    <t xml:space="preserve">We are using €239.44 a week (a planning figure) until you add yours. · Usually between €0 a week and €299.30 a week (DSP 2026). Their MyWelfare statement shows it.</t>
  </si>
  <si>
    <t xml:space="preserve">3.48</t>
  </si>
  <si>
    <t xml:space="preserve">We are using 3.48% (Central Bank of Ireland: average rate on new mortgages, Jul 2026) until you add yours. · Your mortgage statement shows your rate. Typing it is fine: no upload needed.</t>
  </si>
  <si>
    <t xml:space="preserve">We are using 20% (a planning figure) until you add yours. · Your card statement shows your APR. New credit cards can't charge more than 23% APR (Central Bank of Ireland); some older cards are higher.</t>
  </si>
  <si>
    <t xml:space="preserve">Use 23% (the legal limit for new cards): cautious, not typical; I don't know my rate: use a planning rate (20%) and leave it for my adviser</t>
  </si>
  <si>
    <t xml:space="preserve">6.72</t>
  </si>
  <si>
    <t xml:space="preserve">We are using 6.72% (Central Bank of Ireland: average rate on new consumer loans, Jul 2026) until you add yours. · Your loan agreement shows your APR.</t>
  </si>
  <si>
    <t xml:space="preserve">I don't know my rate: use a planning rate (8%) and leave it for my adviser</t>
  </si>
  <si>
    <t xml:space="preserve">We are using €259.50 a week (a planning figure) until you add yours. · Usually between €0 a week and €299.30 a week (DSP 2026: €259.50 under 66, €299.30 at 66+, nothing if not eligible). Cohabiting partners can now qualify (Bereaved Partner's Pension).</t>
  </si>
  <si>
    <t xml:space="preserve">Credit cards: interest rate (APR %)</t>
  </si>
  <si>
    <t xml:space="preserve">· Liabilities</t>
  </si>
  <si>
    <t xml:space="preserve">Assumed: add yours · we use a planning rate of 20%</t>
  </si>
  <si>
    <t xml:space="preserve">action: fix 3</t>
  </si>
  <si>
    <t xml:space="preserve">action: ack cardRate</t>
  </si>
  <si>
    <t xml:space="preserve">Other loans: interest rate (APR %)</t>
  </si>
  <si>
    <t xml:space="preserve">Assumed: add yours · we use the Central Bank average rate</t>
  </si>
  <si>
    <t xml:space="preserve">action: ack loanRate</t>
  </si>
  <si>
    <t xml:space="preserve">✅ 27 details look good</t>
  </si>
  <si>
    <t xml:space="preserve">Choose your retirement age above to see your results.</t>
  </si>
  <si>
    <t xml:space="preserve">action: toresults · off until the required choices are made</t>
  </si>
  <si>
    <t xml:space="preserve">action: skipres · off until the required choices are made</t>
  </si>
  <si>
    <t xml:space="preserve">Hi Aoife</t>
  </si>
  <si>
    <t xml:space="preserve">Here's where you stand today.</t>
  </si>
  <si>
    <t xml:space="preserve">73%Overall readiness2 of 5 goals on trackHow much of your goals your money can cover, on average.</t>
  </si>
  <si>
    <t xml:space="preserve">73% | Overall readiness2 of 5 goals on trackHow much of your goals your money can cover, on average.</t>
  </si>
  <si>
    <t xml:space="preserve">See all</t>
  </si>
  <si>
    <t xml:space="preserve">action: seg fnd</t>
  </si>
  <si>
    <t xml:space="preserve">List item</t>
  </si>
  <si>
    <t xml:space="preserve">💶1. Spend less than you earnIn progress</t>
  </si>
  <si>
    <t xml:space="preserve">🪂2. Emergency fundNeeds attention</t>
  </si>
  <si>
    <t xml:space="preserve">🛡️3. Clear costly debt &amp; protect your familyNeeds attention</t>
  </si>
  <si>
    <t xml:space="preserve">🎯4. Goals &amp; retirementIn progress</t>
  </si>
  <si>
    <t xml:space="preserve">🌳5. Grow wealth &amp; legacyIn place</t>
  </si>
  <si>
    <t xml:space="preserve">⚠️One detail needs a lookSo your plan stays accurate. It takes a minute.</t>
  </si>
  <si>
    <t xml:space="preserve">⚠️ | One detail needs a lookSo your plan stays accurate. It takes a minute.</t>
  </si>
  <si>
    <t xml:space="preserve">Check it</t>
  </si>
  <si>
    <t xml:space="preserve">action: me money</t>
  </si>
  <si>
    <t xml:space="preserve">Your goals at a glance</t>
  </si>
  <si>
    <t xml:space="preserve">See results</t>
  </si>
  <si>
    <t xml:space="preserve">action: seg results</t>
  </si>
  <si>
    <t xml:space="preserve">🪂 Emergency fund · in 2 years100%</t>
  </si>
  <si>
    <t xml:space="preserve">🪂 Emergency fund · in 2 years | 100%</t>
  </si>
  <si>
    <t xml:space="preserve">✈️ Travel · in 3 years28%</t>
  </si>
  <si>
    <t xml:space="preserve">✈️ Travel · in 3 years | 28%</t>
  </si>
  <si>
    <t xml:space="preserve">🎓 Kids' education · in 10 years50%</t>
  </si>
  <si>
    <t xml:space="preserve">🎓 Kids' education · in 10 years | 50%</t>
  </si>
  <si>
    <t xml:space="preserve">🏦 Be mortgage-free · in 17 years100%</t>
  </si>
  <si>
    <t xml:space="preserve">🏦 Be mortgage-free · in 17 years | 100%</t>
  </si>
  <si>
    <t xml:space="preserve">🌅 Retire comfortably · at 6386%</t>
  </si>
  <si>
    <t xml:space="preserve">🌅 Retire comfortably · at 63 | 86%</t>
  </si>
  <si>
    <t xml:space="preserve">Shortcuts</t>
  </si>
  <si>
    <t xml:space="preserve">🗓️My timeline</t>
  </si>
  <si>
    <t xml:space="preserve">action: seg timeline</t>
  </si>
  <si>
    <t xml:space="preserve">🔮Try a what-if</t>
  </si>
  <si>
    <t xml:space="preserve">action: gowi</t>
  </si>
  <si>
    <t xml:space="preserve">📥Add a document</t>
  </si>
  <si>
    <t xml:space="preserve">⬇️Download my plan</t>
  </si>
  <si>
    <t xml:space="preserve">action: report</t>
  </si>
  <si>
    <t xml:space="preserve">Guidance, not advice. Figures are illustrative and based on your details and our assumptions.</t>
  </si>
  <si>
    <t xml:space="preserve">My Plan</t>
  </si>
  <si>
    <t xml:space="preserve">Drag your goals. Your results update below.</t>
  </si>
  <si>
    <t xml:space="preserve">action: addgoal</t>
  </si>
  <si>
    <t xml:space="preserve">✏️ Edit goal details</t>
  </si>
  <si>
    <t xml:space="preserve">action: planedit</t>
  </si>
  <si>
    <t xml:space="preserve">Updates as you move things.</t>
  </si>
  <si>
    <t xml:space="preserve">See results ↓</t>
  </si>
  <si>
    <t xml:space="preserve">Your results</t>
  </si>
  <si>
    <t xml:space="preserve">Banner</t>
  </si>
  <si>
    <t xml:space="preserve">ℹ️Based on what you've told us. 1 detail missing. Missing figures count as €0, so this is a rough picture.Add it</t>
  </si>
  <si>
    <t xml:space="preserve">What your plan assumes</t>
  </si>
  <si>
    <t xml:space="preserve">action: sheet assume</t>
  </si>
  <si>
    <t xml:space="preserve">Risk profile (first read): Cautious–balanced</t>
  </si>
  <si>
    <t xml:space="preserve">· Finish in Me to confirm</t>
  </si>
  <si>
    <t xml:space="preserve">Finish in Me</t>
  </si>
  <si>
    <t xml:space="preserve">action: toprofile</t>
  </si>
  <si>
    <t xml:space="preserve">How much of each goal your future income and savings can cover.</t>
  </si>
  <si>
    <t xml:space="preserve">🪂Emergency fund · in 2 yearsFully funded · on average you'll put €4 a month100%☀️ On track</t>
  </si>
  <si>
    <t xml:space="preserve">🪂 | Emergency fund · in 2 yearsFully funded · on average you'll put €4 a month | 100%☀️ On track</t>
  </si>
  <si>
    <t xml:space="preserve">✈️Travel · in 3 yearsNeeds about €337 a month, more than your spare money · on average you'll put €97 a month28%⛈️ Needs attention</t>
  </si>
  <si>
    <t xml:space="preserve">✈️ | Travel · in 3 yearsNeeds about €337 a month, more than your spare money · on average you'll put €97 a month | 28%⛈️ Needs attention</t>
  </si>
  <si>
    <t xml:space="preserve">🎓Kids' education · in 10 yearsNeeds about €462 a month, more than your spare money · on average you'll put €207 a month50%⛈️ Needs attention</t>
  </si>
  <si>
    <t xml:space="preserve">🎓 | Kids' education · in 10 yearsNeeds about €462 a month, more than your spare money · on average you'll put €207 a month | 50%⛈️ Needs attention</t>
  </si>
  <si>
    <t xml:space="preserve">🏦Be mortgage-free · in 17 yearsFully funded · on average you'll put €137 a month100%☀️ On track</t>
  </si>
  <si>
    <t xml:space="preserve">🏦 | Be mortgage-free · in 17 yearsFully funded · on average you'll put €137 a month | 100%☀️ On track</t>
  </si>
  <si>
    <t xml:space="preserve">🌅Retire comfortably · at 6386%🌦️ Needs a nudge</t>
  </si>
  <si>
    <t xml:space="preserve">🌅 | Retire comfortably · at 63 | 86%🌦️ Needs a nudge</t>
  </si>
  <si>
    <t xml:space="preserve">What we found</t>
  </si>
  <si>
    <t xml:space="preserve">Emergency fund is 100% covered</t>
  </si>
  <si>
    <t xml:space="preserve">Explain this</t>
  </si>
  <si>
    <t xml:space="preserve">action: sheet explain|str</t>
  </si>
  <si>
    <t xml:space="preserve">Travel is 28% covered</t>
  </si>
  <si>
    <t xml:space="preserve">action: sheet explain|gap</t>
  </si>
  <si>
    <t xml:space="preserve">Moving travel later, or changing the amount, would make the biggest difference</t>
  </si>
  <si>
    <t xml:space="preserve">action: sheet explain|dec</t>
  </si>
  <si>
    <t xml:space="preserve">That makes sense</t>
  </si>
  <si>
    <t xml:space="preserve">action: understood</t>
  </si>
  <si>
    <t xml:space="preserve">Your financial foundations</t>
  </si>
  <si>
    <t xml:space="preserve">Good planning is built from the bottom up. Tap a level to see why it matters.</t>
  </si>
  <si>
    <t xml:space="preserve">💶1. Spend less than you earnAbout €125 a month spareIn progress</t>
  </si>
  <si>
    <t xml:space="preserve">🪂2. Emergency fund1.8 of 3 months of essential spendingNeeds attention</t>
  </si>
  <si>
    <t xml:space="preserve">🛡️3. Clear costly debt &amp; protect your familyLoans of €3,500 take about 4 years to clearNeeds attention</t>
  </si>
  <si>
    <t xml:space="preserve">🎯4. Goals &amp; retirement2 of 5 goals on track · pension saving under wayIn progress</t>
  </si>
  <si>
    <t xml:space="preserve">🌳5. Grow wealth &amp; legacyInvesting €6,200 · strengthen your foundations firstIn place</t>
  </si>
  <si>
    <t xml:space="preserve">Next best step: Give yourself more room each month. About €125 a month spare.</t>
  </si>
  <si>
    <t xml:space="preserve">What if…?</t>
  </si>
  <si>
    <t xml:space="preserve">Try saving a bit more or less, or adding a one-off amount.</t>
  </si>
  <si>
    <t xml:space="preserve">Your monthly saving</t>
  </si>
  <si>
    <t xml:space="preserve">What you save now. Change it here, or leave it.</t>
  </si>
  <si>
    <t xml:space="preserve">Your saving today</t>
  </si>
  <si>
    <t xml:space="preserve">62</t>
  </si>
  <si>
    <t xml:space="preserve">a month · From your answer "€300 to €750". Your spare money is about €125 a month; the rest is assumed spent.</t>
  </si>
  <si>
    <t xml:space="preserve">Try an extra amount for travel</t>
  </si>
  <si>
    <t xml:space="preserve">This is on top of your saving above. It only changes the what-if.</t>
  </si>
  <si>
    <t xml:space="preserve">Goal for the what-if</t>
  </si>
  <si>
    <t xml:space="preserve">✈️ Travel</t>
  </si>
  <si>
    <t xml:space="preserve">🪂 Emergency fund; ✈️ Travel; 🎓 Kids' education; 🏦 Be mortgage-free; 🌅 Retire comfortably</t>
  </si>
  <si>
    <t xml:space="preserve">-500</t>
  </si>
  <si>
    <t xml:space="preserve">1000</t>
  </si>
  <si>
    <t xml:space="preserve">−€500 to +€1,000 a month</t>
  </si>
  <si>
    <t xml:space="preserve">One-off amount</t>
  </si>
  <si>
    <t xml:space="preserve">500</t>
  </si>
  <si>
    <t xml:space="preserve">Once, e.g. from savings or a bonus</t>
  </si>
  <si>
    <t xml:space="preserve">€62 a month</t>
  </si>
  <si>
    <t xml:space="preserve">Growth and inflation settings</t>
  </si>
  <si>
    <t xml:space="preserve">Prices rising (inflation)</t>
  </si>
  <si>
    <t xml:space="preserve">Tag</t>
  </si>
  <si>
    <t xml:space="preserve">Generally the standard is 2% (the ECB target for the long term). Prices in Ireland are rising 3.9% a year right now (CSO HICP flash, Sep 2026), mostly because o</t>
  </si>
  <si>
    <t xml:space="preserve">Your assumptions · prices, growth, retirement and emergency fund settings</t>
  </si>
  <si>
    <t xml:space="preserve">Save as my preferred plan</t>
  </si>
  <si>
    <t xml:space="preserve">action: wisave</t>
  </si>
  <si>
    <t xml:space="preserve">Back to my plan</t>
  </si>
  <si>
    <t xml:space="preserve">action: wireset</t>
  </si>
  <si>
    <t xml:space="preserve">Your future, at a glance</t>
  </si>
  <si>
    <t xml:space="preserve">🛤️ Journey</t>
  </si>
  <si>
    <t xml:space="preserve">action: view journey</t>
  </si>
  <si>
    <t xml:space="preserve">📖 Life chapters</t>
  </si>
  <si>
    <t xml:space="preserve">action: view chapters</t>
  </si>
  <si>
    <t xml:space="preserve">📊 Detail</t>
  </si>
  <si>
    <t xml:space="preserve">action: view detail</t>
  </si>
  <si>
    <t xml:space="preserve">Your life as one road, from today to age 90. The milestones are the goals you chose.</t>
  </si>
  <si>
    <t xml:space="preserve">· age 40 · 100% ☀️ On track</t>
  </si>
  <si>
    <t xml:space="preserve">· age 41 · 28% ⛈️ Needs attention</t>
  </si>
  <si>
    <t xml:space="preserve">· age 48 · 50% ⛈️ Needs attention</t>
  </si>
  <si>
    <t xml:space="preserve">· age 55 · 100% ☀️ On track</t>
  </si>
  <si>
    <t xml:space="preserve">Reading your road: ☀️ teal means your income covers life; 🌦️ gold means you're drawing on savings, which is what they're for. Around age 41, money for travel falls short, so the road turns ⛈️ coral there. Each milestone ring shows its goal's status the same way.</t>
  </si>
  <si>
    <t xml:space="preserve">⬇ Download my plan</t>
  </si>
  <si>
    <t xml:space="preserve">📅 Book my adviser meeting</t>
  </si>
  <si>
    <t xml:space="preserve">action: book</t>
  </si>
  <si>
    <t xml:space="preserve">✏️ Adjust my goals</t>
  </si>
  <si>
    <t xml:space="preserve">action: adjust</t>
  </si>
  <si>
    <t xml:space="preserve">Budget 2027 changes (announced 6 Oct 2026) aren't included yet. We'll update LifeMap once they're final.</t>
  </si>
  <si>
    <t xml:space="preserve">Guidance, not advice. Projections are illustrative, use standard assumptions and are not guaranteed. Only an authorised adviser who knows your full situation can give advice. Plan history (2)</t>
  </si>
  <si>
    <t xml:space="preserve">+325</t>
  </si>
  <si>
    <t xml:space="preserve">Extra each month towards travel until it happens</t>
  </si>
  <si>
    <t xml:space="preserve">€387 a month</t>
  </si>
  <si>
    <t xml:space="preserve">58%</t>
  </si>
  <si>
    <t xml:space="preserve">Keep your figures up to date. Your plan recalculates.</t>
  </si>
  <si>
    <t xml:space="preserve">📥 Add a document</t>
  </si>
  <si>
    <t xml:space="preserve">To sharpen your plan</t>
  </si>
  <si>
    <t xml:space="preserve">⚠️ Pension value today</t>
  </si>
  <si>
    <t xml:space="preserve">Fix</t>
  </si>
  <si>
    <t xml:space="preserve">Your first answers</t>
  </si>
  <si>
    <t xml:space="preserve">From when you started. Do they still fit you?</t>
  </si>
  <si>
    <t xml:space="preserve">These still look right</t>
  </si>
  <si>
    <t xml:space="preserve">action: recheckok</t>
  </si>
  <si>
    <t xml:space="preserve">Tools, calculators and short videos. Try anything, no plan needed.</t>
  </si>
  <si>
    <t xml:space="preserve">What-ifs for your goals</t>
  </si>
  <si>
    <t xml:space="preserve">🎓Try a what-if for kids' education50% covered now›</t>
  </si>
  <si>
    <t xml:space="preserve">action: gowi 1</t>
  </si>
  <si>
    <t xml:space="preserve">✈️Try a what-if for travel28% covered now›</t>
  </si>
  <si>
    <t xml:space="preserve">action: gowi 2</t>
  </si>
  <si>
    <t xml:space="preserve">🌅Try a what-if for retire comfortably86% covered now›</t>
  </si>
  <si>
    <t xml:space="preserve">action: gowi 5</t>
  </si>
  <si>
    <t xml:space="preserve">Focus on one area</t>
  </si>
  <si>
    <t xml:space="preserve">🏡›MortgagesBuying, switching and paying off faster</t>
  </si>
  <si>
    <t xml:space="preserve">action: topic Mortgages</t>
  </si>
  <si>
    <t xml:space="preserve">🌅›PensionsTax relief, PRSAs and retirement income</t>
  </si>
  <si>
    <t xml:space="preserve">action: topic Pensions</t>
  </si>
  <si>
    <t xml:space="preserve">🛡️›ProtectionLife cover, income protection, serious illness</t>
  </si>
  <si>
    <t xml:space="preserve">action: topic Protection</t>
  </si>
  <si>
    <t xml:space="preserve">📈›InvestingRisk, time and fees, explained simply</t>
  </si>
  <si>
    <t xml:space="preserve">action: topic Investing</t>
  </si>
  <si>
    <t xml:space="preserve">🐷›SavingsEmergency fund and goal saving</t>
  </si>
  <si>
    <t xml:space="preserve">action: topic Savings</t>
  </si>
  <si>
    <t xml:space="preserve">💶›Everyday moneyBudget, surplus and debt</t>
  </si>
  <si>
    <t xml:space="preserve">action: topic Everyday money</t>
  </si>
  <si>
    <t xml:space="preserve">🏡How much could I borrow?</t>
  </si>
  <si>
    <t xml:space="preserve">action: calc borrow</t>
  </si>
  <si>
    <t xml:space="preserve">🐷Deposit calculator</t>
  </si>
  <si>
    <t xml:space="preserve">action: calc deposit</t>
  </si>
  <si>
    <t xml:space="preserve">🌅Retirement projection</t>
  </si>
  <si>
    <t xml:space="preserve">action: calc retirement</t>
  </si>
  <si>
    <t xml:space="preserve">➕Contribution impact</t>
  </si>
  <si>
    <t xml:space="preserve">action: calc contrib</t>
  </si>
  <si>
    <t xml:space="preserve">🎯Goal planner</t>
  </si>
  <si>
    <t xml:space="preserve">action: calc goalplanner</t>
  </si>
  <si>
    <t xml:space="preserve">🪂Emergency fund</t>
  </si>
  <si>
    <t xml:space="preserve">action: calc emergency</t>
  </si>
  <si>
    <t xml:space="preserve">Watch · picked for you</t>
  </si>
  <si>
    <t xml:space="preserve">All videos</t>
  </si>
  <si>
    <t xml:space="preserve">action: videos</t>
  </si>
  <si>
    <t xml:space="preserve">▶2 minBecause travel needs a nudgeHow much emergency money do you need?Aisling Doyle · Financial planner</t>
  </si>
  <si>
    <t xml:space="preserve">action: video v3</t>
  </si>
  <si>
    <t xml:space="preserve">▶2 minWhy we spend the way we doFinancial planner</t>
  </si>
  <si>
    <t xml:space="preserve">action: video v6</t>
  </si>
  <si>
    <t xml:space="preserve">▶1:14What is auto-enrolment?Pensions explainer</t>
  </si>
  <si>
    <t xml:space="preserve">action: video v7</t>
  </si>
  <si>
    <t xml:space="preserve">▶1:22Your retirement plan: how it worksPensions explainer</t>
  </si>
  <si>
    <t xml:space="preserve">action: video v8</t>
  </si>
  <si>
    <t xml:space="preserve">▶3 minYour first home: deposit to keysMortgage expert</t>
  </si>
  <si>
    <t xml:space="preserve">action: video v1</t>
  </si>
  <si>
    <t xml:space="preserve">Remind me</t>
  </si>
  <si>
    <t xml:space="preserve">action: remind</t>
  </si>
  <si>
    <t xml:space="preserve">🏡Home &amp; MortgageBorrowing, deposits, repayments · 7 tools›</t>
  </si>
  <si>
    <t xml:space="preserve">action: cat home</t>
  </si>
  <si>
    <t xml:space="preserve">🎯Savings &amp; GoalsPlan any goal, see growth · 3 tools›</t>
  </si>
  <si>
    <t xml:space="preserve">action: cat savings</t>
  </si>
  <si>
    <t xml:space="preserve">🌅Pensions &amp; RetirementProjections and income · 5 tools›</t>
  </si>
  <si>
    <t xml:space="preserve">action: cat retire</t>
  </si>
  <si>
    <t xml:space="preserve">📈InvestmentsGrowth, fees, ups and downs · 5 tools›</t>
  </si>
  <si>
    <t xml:space="preserve">action: cat invest</t>
  </si>
  <si>
    <t xml:space="preserve">🛡️ProtectionCover for you and your family · 3 tools›</t>
  </si>
  <si>
    <t xml:space="preserve">action: cat protect</t>
  </si>
  <si>
    <t xml:space="preserve">💶Everyday MoneyBudget, surplus, debt, net worth · 5 tools›</t>
  </si>
  <si>
    <t xml:space="preserve">action: cat everyday</t>
  </si>
  <si>
    <t xml:space="preserve">Calculators and videos explain general topics. Figures are illustrative, not a guarantee and not advice.</t>
  </si>
  <si>
    <t xml:space="preserve">Journey-spec 27 states: the screens as they look in each state (gate card, Step 7, free retirement age, "Date has passed", early retirement, details missing). Each block starts with a "Screen state" row.</t>
  </si>
  <si>
    <t xml:space="preserve">State group: Gate card</t>
  </si>
  <si>
    <t xml:space="preserve">State: Results gate: 4 things (partner works)</t>
  </si>
  <si>
    <t xml:space="preserve">journey-spec 27.7: one calm card, never more than the 3 to 4 required rows. Each row names the choice and its Choose button jumps to that box in Your assumptions and highlights it. On My Plan the strip above the timeline carries the same count.</t>
  </si>
  <si>
    <t xml:space="preserve">To see your results we need 4 things</t>
  </si>
  <si>
    <t xml:space="preserve">Your goals' progress shows once they are chosen.</t>
  </si>
  <si>
    <t xml:space="preserve">Choose</t>
  </si>
  <si>
    <t xml:space="preserve">action: gofix retireAge</t>
  </si>
  <si>
    <t xml:space="preserve">Only you can choose these, so we never fill them in for you. Everything else is set for you and can be changed later.</t>
  </si>
  <si>
    <t xml:space="preserve">action: gofix planEnd</t>
  </si>
  <si>
    <t xml:space="preserve">action: gofix infl</t>
  </si>
  <si>
    <t xml:space="preserve">action: gofix pRetireAge</t>
  </si>
  <si>
    <t xml:space="preserve">State: Results gate: 3 things (partner works)</t>
  </si>
  <si>
    <t xml:space="preserve">To see your results we need 3 things</t>
  </si>
  <si>
    <t xml:space="preserve">State: Results gate: 2 things (partner works)</t>
  </si>
  <si>
    <t xml:space="preserve">To see your results we need 2 things</t>
  </si>
  <si>
    <t xml:space="preserve">State: Results gate: 1 thing (partner works)</t>
  </si>
  <si>
    <t xml:space="preserve">To see your results we need 1 thing</t>
  </si>
  <si>
    <t xml:space="preserve">Your goals' progress shows once it is chosen.</t>
  </si>
  <si>
    <t xml:space="preserve">Only you can choose this, so we never fill it in for you. Everything else is set for you and can be changed later.</t>
  </si>
  <si>
    <t xml:space="preserve">State: Results gate: 3 things (no working partner)</t>
  </si>
  <si>
    <t xml:space="preserve">State: Results gate: 2 things (no working partner)</t>
  </si>
  <si>
    <t xml:space="preserve">State: Results gate: 1 thing (no working partner)</t>
  </si>
  <si>
    <t xml:space="preserve">State: Home gate: 4 things (partner works)</t>
  </si>
  <si>
    <t xml:space="preserve">journey-spec 27.7: one calm card, never more than the 3 to 4 required rows. Each row names the choice and its Choose button jumps to that box in Your assumptions and highlights it.</t>
  </si>
  <si>
    <t xml:space="preserve">State: Home gate: 3 things (no working partner)</t>
  </si>
  <si>
    <t xml:space="preserve">State: Home gate: 1 thing (no working partner)</t>
  </si>
  <si>
    <t xml:space="preserve">State: Report / PDF gate: 4 things (partner works)</t>
  </si>
  <si>
    <t xml:space="preserve">journey-spec 27.7: one calm card, never more than the 3 to 4 required rows. Each row names the choice and its Choose button jumps to that box in Your assumptions and highlights it. This is the sheet that opens from "Download my plan" before the choices are made.</t>
  </si>
  <si>
    <t xml:space="preserve">✕</t>
  </si>
  <si>
    <t xml:space="preserve">action: closesheet</t>
  </si>
  <si>
    <t xml:space="preserve">Almost there</t>
  </si>
  <si>
    <t xml:space="preserve">Not now</t>
  </si>
  <si>
    <t xml:space="preserve">State: Report / PDF gate: 3 things (no working partner)</t>
  </si>
  <si>
    <t xml:space="preserve">State: Report / PDF gate: 1 thing (no working partner)</t>
  </si>
  <si>
    <t xml:space="preserve">State: Gate: after tapping Choose (Inflation) the box is highlighted in Your assumptions</t>
  </si>
  <si>
    <t xml:space="preserve">The Choose button on the gate card jumps to Your assumptions, opens the group and highlights the box (the flash).</t>
  </si>
  <si>
    <t xml:space="preserve">action: infl 0.02</t>
  </si>
  <si>
    <t xml:space="preserve">3.9% · Ireland now (CSO HICP flash, Sep 2026)</t>
  </si>
  <si>
    <t xml:space="preserve">action: infl 0.039</t>
  </si>
  <si>
    <t xml:space="preserve">Other</t>
  </si>
  <si>
    <t xml:space="preserve">action: infl other</t>
  </si>
  <si>
    <t xml:space="preserve">State group: Step 7</t>
  </si>
  <si>
    <t xml:space="preserve">State: 7 · Choose 3 things (no working partner), none chosen</t>
  </si>
  <si>
    <t xml:space="preserve">Step 7 with no working partner: three required choices. The two buttons below stay off until all three are chosen.</t>
  </si>
  <si>
    <t xml:space="preserve">Choose 3 things</t>
  </si>
  <si>
    <t xml:space="preserve">Your results need these three. Only you can choose them, so we never fill them in for you.</t>
  </si>
  <si>
    <t xml:space="preserve">0 of 3 chosen</t>
  </si>
  <si>
    <t xml:space="preserve">You can usually draw a pension from 60 (some occupational schemes from 50); State Pension is paid from 66. Choose the age you want to plan for, any age from 39 to 89.</t>
  </si>
  <si>
    <t xml:space="preserve">LifeMap uses 6 months (6 months for a single income or self-employed, 3 for two secure incomes). Change it if you want to use your own. Easy-access cash for surprises or a gap in pay. Essential spending = living costs + mortgage + loan repayments. · 6 months for a single income or self-employed, 3 for two secure incomes. Source: LifeMap planning standard. Reference points: MABS and CCPC (ccpc.ie) guidance on keeping 3 to 6 months of essential spending as an emergency fund (2026).</t>
  </si>
  <si>
    <t xml:space="preserve">State: 7 · Choose 3 things (no working partner), all chosen</t>
  </si>
  <si>
    <t xml:space="preserve">All three chosen: "3 of 3 chosen" and the buttons are on.</t>
  </si>
  <si>
    <t xml:space="preserve">All 3 chosen</t>
  </si>
  <si>
    <t xml:space="preserve">3 of 3 chosen</t>
  </si>
  <si>
    <t xml:space="preserve">State: 7 · Choose 4 things (partner works), 2 of 4 chosen</t>
  </si>
  <si>
    <t xml:space="preserve">Partner works: four required choices; two chosen, the footer line names the next one.</t>
  </si>
  <si>
    <t xml:space="preserve">2 of 4 chosen</t>
  </si>
  <si>
    <t xml:space="preserve">Choose your inflation rate above to see your results.</t>
  </si>
  <si>
    <t xml:space="preserve">State: 7 · What we've set for you (change any): opened, with Your choice and Back to LifeMap's figure</t>
  </si>
  <si>
    <t xml:space="preserve">The collapsed list opened. Tags: Set by LifeMap (a standard everyone shares), Your choice (the customer changed it, with a Back to LifeMap's figure button), Assumed: add yours (a market rate or figure we assume), Not chosen yet (a required choice).</t>
  </si>
  <si>
    <t xml:space="preserve">Everything else is set from the start, so nothing else blocks your results. Figures that are the same for everyone are tagged Set by LifeMap; a rate we don't know is tagged Assumed: add yours. Change any one and it reads Your choice. You have changed 6.</t>
  </si>
  <si>
    <t xml:space="preserve">State: 7 · Details we assumed: "Assumed: add yours" rows and the N details missing count</t>
  </si>
  <si>
    <t xml:space="preserve">Figures the customer did not give never block: the list says what we use instead (25 years, your age, Employed, the Central Bank average rate, a planning rate).</t>
  </si>
  <si>
    <t xml:space="preserve">Everything else is set from the start, so nothing else blocks your results. Figures that are the same for everyone are tagged Set by LifeMap; a rate we don't know is tagged Assumed: add yours. Change any one and it reads Your choice. You have changed 4.</t>
  </si>
  <si>
    <t xml:space="preserve">· About you</t>
  </si>
  <si>
    <t xml:space="preserve">Assumed: add yours · we use your age</t>
  </si>
  <si>
    <t xml:space="preserve">action: fix 0</t>
  </si>
  <si>
    <t xml:space="preserve">action: ack pAge</t>
  </si>
  <si>
    <t xml:space="preserve">· Income and expenses</t>
  </si>
  <si>
    <t xml:space="preserve">Assumed: add yours · we use Employed</t>
  </si>
  <si>
    <t xml:space="preserve">action: fix 1</t>
  </si>
  <si>
    <t xml:space="preserve">action: ack work</t>
  </si>
  <si>
    <t xml:space="preserve">Assumed: add yours · we use 25 years</t>
  </si>
  <si>
    <t xml:space="preserve">action: ack mortYears</t>
  </si>
  <si>
    <t xml:space="preserve">✅ 24 details look good</t>
  </si>
  <si>
    <t xml:space="preserve">State group: Retirement age</t>
  </si>
  <si>
    <t xml:space="preserve">State: 7 · Retirement age 45: free choice with a calm note (below 50)</t>
  </si>
  <si>
    <t xml:space="preserve">Help text "Choose the age you want to plan for, any age from X to Y" (X = your age + 1, Y = plan-until age - 1) and, below 50, one calm line (never a block). Same box in Your assumptions.</t>
  </si>
  <si>
    <t xml:space="preserve">45</t>
  </si>
  <si>
    <t xml:space="preserve">You can usually draw a pension from 60 (some occupational schemes from 50); State Pension is paid from 66. Choose the age you want to plan for, any age from 39 to 94. · Retiring before 50 is possible. Pensions can usually be drawn from 60 (some schemes from 50) and the State Pension from 66, so until then your plan uses savings and other income. Your results will show any gap honestly.</t>
  </si>
  <si>
    <t xml:space="preserve">State: 7 · Retirement age 55: free choice with a calm note (below 60)</t>
  </si>
  <si>
    <t xml:space="preserve">Help text "Choose the age you want to plan for, any age from X to Y" (X = your age + 1, Y = plan-until age - 1) and, below 60, one calm line (never a block). Same box in Your assumptions.</t>
  </si>
  <si>
    <t xml:space="preserve">55</t>
  </si>
  <si>
    <t xml:space="preserve">You can usually draw a pension from 60 (some occupational schemes from 50); State Pension is paid from 66. Choose the age you want to plan for, any age from 39 to 94. · Pensions can usually be drawn from 60 (some schemes from 50) and the State Pension from 66, so until then your plan uses savings and other income. Your results will show any gap honestly.</t>
  </si>
  <si>
    <t xml:space="preserve">State: 7 · Partner's retirement age 45: free choice with a calm note (below 50)</t>
  </si>
  <si>
    <t xml:space="preserve">The partner's box with its own calm note: their pay stops at this age; their own pension is not modelled below 60.</t>
  </si>
  <si>
    <t xml:space="preserve">We count their pay until this age, then only their State Pension. Only you can choose it, so we never fill it in for you. · Their pay stops at this age. Until their State Pension at 66 your plan uses savings and other income, and the results will show any gap honestly.</t>
  </si>
  <si>
    <t xml:space="preserve">State: 7 · Partner's retirement age 55: free choice with a calm note (below 60)</t>
  </si>
  <si>
    <t xml:space="preserve">We count their pay until this age, then only their State Pension. Only you can choose it, so we never fill it in for you. · Their pay stops at this age. Their own pension is not modelled, so until their State Pension at 66 your plan relies on savings and other income. Your results will show any gap honestly.</t>
  </si>
  <si>
    <t xml:space="preserve">State: 7 · Retirement age 63: no note</t>
  </si>
  <si>
    <t xml:space="preserve">From 60 up there is no note; the help text still shows the allowed range.</t>
  </si>
  <si>
    <t xml:space="preserve">State group: Date has passed</t>
  </si>
  <si>
    <t xml:space="preserve">State: Results: goals whose age is in the past ("Date has passed")</t>
  </si>
  <si>
    <t xml:space="preserve">The customer later raised their age (here 45). Goals set for 40 and 41 read "Date has passed" with a Change the date button, never "in -4 years".</t>
  </si>
  <si>
    <t xml:space="preserve">🪂Emergency fund · Date has passed Change the dateFully funded100%☀️ On track</t>
  </si>
  <si>
    <t xml:space="preserve">🪂 | Emergency fund · Date has passed Change the dateFully funded | 100%☀️ On track</t>
  </si>
  <si>
    <t xml:space="preserve">Change the date</t>
  </si>
  <si>
    <t xml:space="preserve">action: gdate 4</t>
  </si>
  <si>
    <t xml:space="preserve">✈️Travel · Date has passed Change the dateNeeds about €1,006 a month, more than your spare money · on average you'll put €62 a month6%⛈️ Needs attention</t>
  </si>
  <si>
    <t xml:space="preserve">✈️ | Travel · Date has passed Change the dateNeeds about €1,006 a month, more than your spare money · on average you'll put €62 a month | 6%⛈️ Needs attention</t>
  </si>
  <si>
    <t xml:space="preserve">action: gdate 2</t>
  </si>
  <si>
    <t xml:space="preserve">🎓Kids' education · in 3 yearsNeeds about €1,403 a month, more than your spare money · on average you'll put €79 a month5%⛈️ Needs attention</t>
  </si>
  <si>
    <t xml:space="preserve">🎓 | Kids' education · in 3 yearsNeeds about €1,403 a month, more than your spare money · on average you'll put €79 a month | 5%⛈️ Needs attention</t>
  </si>
  <si>
    <t xml:space="preserve">🏦Be mortgage-free · in 10 yearsNeeds about €743 a month, more than your spare money · on average you'll put €207 a month26%⛈️ Needs attention</t>
  </si>
  <si>
    <t xml:space="preserve">🏦 | Be mortgage-free · in 10 yearsNeeds about €743 a month, more than your spare money · on average you'll put €207 a month | 26%⛈️ Needs attention</t>
  </si>
  <si>
    <t xml:space="preserve">🌅Retire comfortably · at 6383%🌦️ Needs a nudge</t>
  </si>
  <si>
    <t xml:space="preserve">🌅 | Retire comfortably · at 63 | 83%🌦️ Needs a nudge</t>
  </si>
  <si>
    <t xml:space="preserve">State: Home: goals at a glance with "Date has passed"</t>
  </si>
  <si>
    <t xml:space="preserve">Same wording on Home.</t>
  </si>
  <si>
    <t xml:space="preserve">44%Overall readiness1 of 5 goals on trackHow much of your goals your money can cover, on average.</t>
  </si>
  <si>
    <t xml:space="preserve">44% | Overall readiness1 of 5 goals on trackHow much of your goals your money can cover, on average.</t>
  </si>
  <si>
    <t xml:space="preserve">🎯4. Goals &amp; retirementNeeds attention</t>
  </si>
  <si>
    <t xml:space="preserve">🪂 Emergency fund · Date has passed Change the date100%</t>
  </si>
  <si>
    <t xml:space="preserve">🪂 Emergency fund · Date has passed | 100%</t>
  </si>
  <si>
    <t xml:space="preserve">✈️ Travel · Date has passed Change the date6%</t>
  </si>
  <si>
    <t xml:space="preserve">✈️ Travel · Date has passed | 6%</t>
  </si>
  <si>
    <t xml:space="preserve">🎓 Kids' education · in 3 years5%</t>
  </si>
  <si>
    <t xml:space="preserve">🎓 Kids' education · in 3 years | 5%</t>
  </si>
  <si>
    <t xml:space="preserve">🏦 Be mortgage-free · in 10 years26%</t>
  </si>
  <si>
    <t xml:space="preserve">🏦 Be mortgage-free · in 10 years | 26%</t>
  </si>
  <si>
    <t xml:space="preserve">🌅 Retire comfortably · at 6383%</t>
  </si>
  <si>
    <t xml:space="preserve">🌅 Retire comfortably · at 63 | 83%</t>
  </si>
  <si>
    <t xml:space="preserve">State: 3 · Confirm my LifeMap with "Date has passed"</t>
  </si>
  <si>
    <t xml:space="preserve">Same wording where the goals are confirmed.</t>
  </si>
  <si>
    <t xml:space="preserve">🪂 Emergency fundDate has passed · €15,000</t>
  </si>
  <si>
    <t xml:space="preserve">✈️ TravelDate has passed · €12,000</t>
  </si>
  <si>
    <t xml:space="preserve">🎓 Kids' educationin 3 yrs · age 48 · 2030 · €50,000</t>
  </si>
  <si>
    <t xml:space="preserve">🏦 Be mortgage-freein 10 yrs · age 55 · 2037 · €150,000</t>
  </si>
  <si>
    <t xml:space="preserve">🌅 Retire comfortablyAge 63 · 2045 · €46,000 a year</t>
  </si>
  <si>
    <t xml:space="preserve">1. 🪂 Emergency fundDate has passed▲</t>
  </si>
  <si>
    <t xml:space="preserve">1. 🪂 Emergency fundDate has passed | ▲</t>
  </si>
  <si>
    <t xml:space="preserve">2. ✈️ TravelDate has passed▲</t>
  </si>
  <si>
    <t xml:space="preserve">2. ✈️ TravelDate has passed | ▲</t>
  </si>
  <si>
    <t xml:space="preserve">3. 🎓 Kids' educationin 3 yrs · age 48 · 2030▲</t>
  </si>
  <si>
    <t xml:space="preserve">3. 🎓 Kids' educationin 3 yrs · age 48 · 2030 | ▲</t>
  </si>
  <si>
    <t xml:space="preserve">4. 🏦 Be mortgage-freein 10 yrs · age 55 · 2037▲</t>
  </si>
  <si>
    <t xml:space="preserve">4. 🏦 Be mortgage-freein 10 yrs · age 55 · 2037 | ▲</t>
  </si>
  <si>
    <t xml:space="preserve">State group: Early retirement</t>
  </si>
  <si>
    <t xml:space="preserve">State: Results: retiring at 50 · Income stops: the year retirement starts (age 50)</t>
  </si>
  <si>
    <t xml:space="preserve">Journey-spec 27.3: income stops at the chosen age; the pension is drawn only from the access age (60, or 50 if an occupational scheme allows it); the bridge years are paid from savings; any shortfall is shown, not hidden.</t>
  </si>
  <si>
    <t xml:space="preserve">🌅Retire comfortably · at 5067%⛈️ Needs attention</t>
  </si>
  <si>
    <t xml:space="preserve">🌅 | Retire comfortably · at 50 | 67%⛈️ Needs attention</t>
  </si>
  <si>
    <t xml:space="preserve">🏦Be mortgage-free · in 17 yearsNeeds about €123 a month, more than your spare money · on average you'll put €38 a month0%⛈️ Needs attention</t>
  </si>
  <si>
    <t xml:space="preserve">🏦 | Be mortgage-free · in 17 yearsNeeds about €123 a month, more than your spare money · on average you'll put €38 a month | 0%⛈️ Needs attention</t>
  </si>
  <si>
    <t xml:space="preserve">Each bar is one year of spending: living costs, loans and goals. Tap a bar to see that year.</t>
  </si>
  <si>
    <t xml:space="preserve">Show savings</t>
  </si>
  <si>
    <t xml:space="preserve">action: csave</t>
  </si>
  <si>
    <t xml:space="preserve">Age 50 (2039) · retirement startsTap a bar or use ← →</t>
  </si>
  <si>
    <t xml:space="preserve">Age 50 (2039) · retirement starts | Tap a bar or use ← →</t>
  </si>
  <si>
    <t xml:space="preserve">Income€28,293</t>
  </si>
  <si>
    <t xml:space="preserve">Income | €28,293</t>
  </si>
  <si>
    <t xml:space="preserve">Spending€74,782</t>
  </si>
  <si>
    <t xml:space="preserve">Spending | €74,782</t>
  </si>
  <si>
    <t xml:space="preserve">Living costs€60,622</t>
  </si>
  <si>
    <t xml:space="preserve">Living costs | €60,622</t>
  </si>
  <si>
    <t xml:space="preserve">Loans &amp; mortgage€14,160</t>
  </si>
  <si>
    <t xml:space="preserve">Loans &amp; mortgage | €14,160</t>
  </si>
  <si>
    <t xml:space="preserve">Paid from income€28,293</t>
  </si>
  <si>
    <t xml:space="preserve">Paid from income | €28,293</t>
  </si>
  <si>
    <t xml:space="preserve">Paid from savings€30,427</t>
  </si>
  <si>
    <t xml:space="preserve">Paid from savings | €30,427</t>
  </si>
  <si>
    <t xml:space="preserve">Shortfall€16,061</t>
  </si>
  <si>
    <t xml:space="preserve">Shortfall | €16,061</t>
  </si>
  <si>
    <t xml:space="preserve">Savings left at year end€0</t>
  </si>
  <si>
    <t xml:space="preserve">Savings left at year end | €0</t>
  </si>
  <si>
    <t xml:space="preserve">SP</t>
  </si>
  <si>
    <t xml:space="preserve">In plain English: the first shortfall is at age 41, about €9,091 (travel). Across your plan there are 45 years with a gap, about €1,536,619 in total. Goals involved: travel, kids' education, be mortgage-free. Everyday costs run short in 43 years, from age 50. Saving more, changing timing or rethinking a goal closes it.</t>
  </si>
  <si>
    <t xml:space="preserve">State: Results: retiring at 50 · Bridge year: age 55, before the pension can be drawn (60) and the State Pension (66)</t>
  </si>
  <si>
    <t xml:space="preserve">Age 55 (2044)Tap a bar or use ← →</t>
  </si>
  <si>
    <t xml:space="preserve">Age 55 (2044) | Tap a bar or use ← →</t>
  </si>
  <si>
    <t xml:space="preserve">Income€32,507</t>
  </si>
  <si>
    <t xml:space="preserve">Income | €32,507</t>
  </si>
  <si>
    <t xml:space="preserve">Spending€121,111</t>
  </si>
  <si>
    <t xml:space="preserve">Spending | €121,111</t>
  </si>
  <si>
    <t xml:space="preserve">Living costs€66,932</t>
  </si>
  <si>
    <t xml:space="preserve">Living costs | €66,932</t>
  </si>
  <si>
    <t xml:space="preserve">Goals: 🏦 Be mortgage-free€40,020</t>
  </si>
  <si>
    <t xml:space="preserve">Goals: 🏦 Be mortgage-free | €40,020</t>
  </si>
  <si>
    <t xml:space="preserve">Paid from income€32,507</t>
  </si>
  <si>
    <t xml:space="preserve">Paid from income | €32,507</t>
  </si>
  <si>
    <t xml:space="preserve">Paid from savings€0</t>
  </si>
  <si>
    <t xml:space="preserve">Paid from savings | €0</t>
  </si>
  <si>
    <t xml:space="preserve">Shortfall€88,604</t>
  </si>
  <si>
    <t xml:space="preserve">Shortfall | €88,604</t>
  </si>
  <si>
    <t xml:space="preserve">State: Results: retiring at 50 · Pension drawn from 60</t>
  </si>
  <si>
    <t xml:space="preserve">Age 60 (2049)Tap a bar or use ← →</t>
  </si>
  <si>
    <t xml:space="preserve">Age 60 (2049) | Tap a bar or use ← →</t>
  </si>
  <si>
    <t xml:space="preserve">Income€44,591</t>
  </si>
  <si>
    <t xml:space="preserve">Income | €44,591</t>
  </si>
  <si>
    <t xml:space="preserve">Spending€73,898</t>
  </si>
  <si>
    <t xml:space="preserve">Spending | €73,898</t>
  </si>
  <si>
    <t xml:space="preserve">Living costs€73,898</t>
  </si>
  <si>
    <t xml:space="preserve">Living costs | €73,898</t>
  </si>
  <si>
    <t xml:space="preserve">Loans &amp; mortgage€0</t>
  </si>
  <si>
    <t xml:space="preserve">Loans &amp; mortgage | €0</t>
  </si>
  <si>
    <t xml:space="preserve">Paid from income€44,591</t>
  </si>
  <si>
    <t xml:space="preserve">Paid from income | €44,591</t>
  </si>
  <si>
    <t xml:space="preserve">Paid from savings€29,307</t>
  </si>
  <si>
    <t xml:space="preserve">Paid from savings | €29,307</t>
  </si>
  <si>
    <t xml:space="preserve">Shortfall€0</t>
  </si>
  <si>
    <t xml:space="preserve">Shortfall | €0</t>
  </si>
  <si>
    <t xml:space="preserve">Savings left at year end€62,738</t>
  </si>
  <si>
    <t xml:space="preserve">Savings left at year end | €62,738</t>
  </si>
  <si>
    <t xml:space="preserve">State: Results: retiring at 45 · Retiring at 45: the road turns coral where money runs short</t>
  </si>
  <si>
    <t xml:space="preserve">🌅Retire comfortably · at 4562%⛈️ Needs attention</t>
  </si>
  <si>
    <t xml:space="preserve">🌅 | Retire comfortably · at 45 | 62%⛈️ Needs attention</t>
  </si>
  <si>
    <t xml:space="preserve">🎓Kids' education · in 10 yearsNeeds about €386 a month, more than your spare money · on average you'll put €100 a month0%⛈️ Needs attention</t>
  </si>
  <si>
    <t xml:space="preserve">🎓 | Kids' education · in 10 yearsNeeds about €386 a month, more than your spare money · on average you'll put €100 a month | 0%⛈️ Needs attention</t>
  </si>
  <si>
    <t xml:space="preserve">🏦Be mortgage-free · in 17 yearsNeeds about €123 a month, more than your spare money · on average you'll put €0 a month0%⛈️ Needs attention</t>
  </si>
  <si>
    <t xml:space="preserve">🏦 | Be mortgage-free · in 17 yearsNeeds about €123 a month, more than your spare money · on average you'll put €0 a month | 0%⛈️ Needs attention</t>
  </si>
  <si>
    <t xml:space="preserve">· age 48 · 0% ⛈️ Needs attention</t>
  </si>
  <si>
    <t xml:space="preserve">· age 55 · 0% ⛈️ Needs attention</t>
  </si>
  <si>
    <t xml:space="preserve">State: Results: retiring at 55 with the pension access age set to 50 (occupational scheme)</t>
  </si>
  <si>
    <t xml:space="preserve">The Settings standard "Pension access age" set to From 50 (some occupational schemes): the pension can be drawn from retirement, so there is no bridge before it.</t>
  </si>
  <si>
    <t xml:space="preserve">🌅Retire comfortably · at 5572%🌦️ Needs a nudge</t>
  </si>
  <si>
    <t xml:space="preserve">🌅 | Retire comfortably · at 55 | 72%🌦️ Needs a nudge</t>
  </si>
  <si>
    <t xml:space="preserve">Age 55 (2044) · retirement startsTap a bar or use ← →</t>
  </si>
  <si>
    <t xml:space="preserve">Age 55 (2044) · retirement starts | Tap a bar or use ← →</t>
  </si>
  <si>
    <t xml:space="preserve">Income€38,500</t>
  </si>
  <si>
    <t xml:space="preserve">Income | €38,500</t>
  </si>
  <si>
    <t xml:space="preserve">Paid from income€38,500</t>
  </si>
  <si>
    <t xml:space="preserve">Paid from income | €38,500</t>
  </si>
  <si>
    <t xml:space="preserve">Paid from savings€82,612</t>
  </si>
  <si>
    <t xml:space="preserve">Paid from savings | €82,612</t>
  </si>
  <si>
    <t xml:space="preserve">Savings left at year end€79,386</t>
  </si>
  <si>
    <t xml:space="preserve">Savings left at year end | €79,386</t>
  </si>
  <si>
    <t xml:space="preserve">In plain English: the first shortfall is at age 41, about €9,091 (travel). Across your plan there are 40 years with a gap, about €1,199,110 in total. Goals involved: travel, kids' education. Everyday costs run short in 38 years, from age 58. Saving more, changing timing or rethinking a goal closes it.</t>
  </si>
  <si>
    <t xml:space="preserve">State: Home: retiring at 50</t>
  </si>
  <si>
    <t xml:space="preserve">The Home goals list shows the retirement goal at the chosen age and its coverage.</t>
  </si>
  <si>
    <t xml:space="preserve">49%Overall readiness1 of 5 goals on trackHow much of your goals your money can cover, on average.</t>
  </si>
  <si>
    <t xml:space="preserve">49% | Overall readiness1 of 5 goals on trackHow much of your goals your money can cover, on average.</t>
  </si>
  <si>
    <t xml:space="preserve">🌅 Retire comfortably · at 5067%</t>
  </si>
  <si>
    <t xml:space="preserve">🌅 Retire comfortably · at 50 | 67%</t>
  </si>
  <si>
    <t xml:space="preserve">🏦 Be mortgage-free · in 17 years0%</t>
  </si>
  <si>
    <t xml:space="preserve">🏦 Be mortgage-free · in 17 years | 0%</t>
  </si>
  <si>
    <t xml:space="preserve">State: Results: retiring at 45, no working partner, detail year 50</t>
  </si>
  <si>
    <t xml:space="preserve">Without a partner the household income stops completely at the retirement age.</t>
  </si>
  <si>
    <t xml:space="preserve">🪂Emergency fund · in 2 yearsNeeds about €5 a month, more than your spare money · on average you'll put €0 a month0%⛈️ Needs attention</t>
  </si>
  <si>
    <t xml:space="preserve">🪂 | Emergency fund · in 2 yearsNeeds about €5 a month, more than your spare money · on average you'll put €0 a month | 0%⛈️ Needs attention</t>
  </si>
  <si>
    <t xml:space="preserve">✈️Travel · in 3 yearsNeeds about €337 a month, more than your spare money · on average you'll put €0 a month0%⛈️ Needs attention</t>
  </si>
  <si>
    <t xml:space="preserve">✈️ | Travel · in 3 yearsNeeds about €337 a month, more than your spare money · on average you'll put €0 a month | 0%⛈️ Needs attention</t>
  </si>
  <si>
    <t xml:space="preserve">🌅Retire comfortably · at 4532%⛈️ Needs attention</t>
  </si>
  <si>
    <t xml:space="preserve">🌅 | Retire comfortably · at 45 | 32%⛈️ Needs attention</t>
  </si>
  <si>
    <t xml:space="preserve">🎓Kids' education · in 10 yearsNeeds about €386 a month, more than your spare money · on average you'll put €0 a month0%⛈️ Needs attention</t>
  </si>
  <si>
    <t xml:space="preserve">🎓 | Kids' education · in 10 yearsNeeds about €386 a month, more than your spare money · on average you'll put €0 a month | 0%⛈️ Needs attention</t>
  </si>
  <si>
    <t xml:space="preserve">Age 50 (2039)Tap a bar or use ← →</t>
  </si>
  <si>
    <t xml:space="preserve">Age 50 (2039) | Tap a bar or use ← →</t>
  </si>
  <si>
    <t xml:space="preserve">Income€0</t>
  </si>
  <si>
    <t xml:space="preserve">Income | €0</t>
  </si>
  <si>
    <t xml:space="preserve">Paid from income€0</t>
  </si>
  <si>
    <t xml:space="preserve">Paid from income | €0</t>
  </si>
  <si>
    <t xml:space="preserve">Shortfall€74,782</t>
  </si>
  <si>
    <t xml:space="preserve">Shortfall | €74,782</t>
  </si>
  <si>
    <t xml:space="preserve">In plain English: the first shortfall is at age 38, about €3,687. Across your plan there are 57 years with a gap, about €3,644,865 in total. Goals involved: emergency fund, travel, kids' education, be mortgage-free. Everyday costs run short in 57 years, from age 38. Saving more, changing timing or rethinking a goal closes it.</t>
  </si>
  <si>
    <t xml:space="preserve">State group: Details missing</t>
  </si>
  <si>
    <t xml:space="preserve">State: Results: "1 detail missing" banner</t>
  </si>
  <si>
    <t xml:space="preserve">Never blocks: the banner on Results says how many details are missing and that missing figures count as 0 (journey-spec 22 and 27.6). The sample customer has one detail to look at.</t>
  </si>
  <si>
    <t xml:space="preserve">State: Results: "N details missing" banner (assumed figures)</t>
  </si>
  <si>
    <t xml:space="preserve">With several details assumed the same banner counts them and offers Add them.</t>
  </si>
  <si>
    <t xml:space="preserve">ℹ️Based on what you've told us. 6 details missing. Missing figures count as €0, so this is a rough picture.Add them</t>
  </si>
  <si>
    <t xml:space="preserve">Your assumptions: the 47 Settings standards as the customer sees them (wording and chip text). Tags in brackets, and the "Back to ..." button, appear once the customer has changed the figure (it then reads "Your choice").</t>
  </si>
  <si>
    <t xml:space="preserve">Group</t>
  </si>
  <si>
    <t xml:space="preserve">Standard (screen label)</t>
  </si>
  <si>
    <t xml:space="preserve">Standard value</t>
  </si>
  <si>
    <t xml:space="preserve">Chip text</t>
  </si>
  <si>
    <t xml:space="preserve">Help text on the field</t>
  </si>
  <si>
    <t xml:space="preserve">Wording of the standard</t>
  </si>
  <si>
    <t xml:space="preserve">Developer name</t>
  </si>
  <si>
    <t xml:space="preserve">Developer value</t>
  </si>
  <si>
    <t xml:space="preserve">Name in the Settings sheet</t>
  </si>
  <si>
    <t xml:space="preserve">Set by LifeMap; Your choice (after a change)</t>
  </si>
  <si>
    <t xml:space="preserve">2.6%</t>
  </si>
  <si>
    <t xml:space="preserve">Back to LifeMap's figure (2.6%)</t>
  </si>
  <si>
    <t xml:space="preserve">LifeMap uses 2.6% (a planning assumption, not a prediction: 5% before fees and tax, less about 1% charges, less 38% exit tax taken every 8 years). Change it if you want to use your own. A planning assumption, not a prediction. Growth is never guaranteed and funds can fall in value. It moves if you change the growth before fees and tax, or the charges. a planning assumption, not a prediction: 5% before fees and tax, less about 1% charges, less 38% exit tax taken every 8 years. Source: Derived: the growth before fees and tax (above), the charges (Market rates) and the exit tax and 8-year rule (Tax rules) (2026).</t>
  </si>
  <si>
    <t xml:space="preserve">a planning assumption, not a prediction: 5% before fees and tax, less about 1% charges, less 38% exit tax taken every 8 years</t>
  </si>
  <si>
    <t xml:space="preserve">yes</t>
  </si>
  <si>
    <t xml:space="preserve">Set_inv</t>
  </si>
  <si>
    <t xml:space="preserve">Settings!C11</t>
  </si>
  <si>
    <t xml:space="preserve">LifeMap uses 5% (LifeMap standard, not a forecast). Change it if you want to use your own. Used by the lump sum, regular investing, fees and real return tools. Growth is never guaranteed. LifeMap standard, not a forecast. Source: LifeMap planning standard, not a prediction. Reference points: Pensions Authority pension-calculator growth assumption; Central Bank of Ireland guidance that returns are not guaranteed (2026).</t>
  </si>
  <si>
    <t xml:space="preserve">Set_invGross</t>
  </si>
  <si>
    <t xml:space="preserve">Settings!C12</t>
  </si>
  <si>
    <t xml:space="preserve">Investments grow before fees and tax (a year; growth and fees tools)</t>
  </si>
  <si>
    <t xml:space="preserve">LifeMap uses 1% (Irish deposit rates after 33% DIRT). Change it if you want to use your own. New fixed-term household deposits averaged 1.92% before 33% DIRT (Central Bank of Ireland, Jul 2026). Demand accounts pay less. Irish deposit rates after 33% DIRT. Source: centralbank.ie (Jun 2026).</t>
  </si>
  <si>
    <t xml:space="preserve">Set_cash</t>
  </si>
  <si>
    <t xml:space="preserve">Settings!C10</t>
  </si>
  <si>
    <t xml:space="preserve">Back to LifeMap's figure (4.5%)</t>
  </si>
  <si>
    <t xml:space="preserve">LifeMap uses 4.5% (a planning assumption after charges, not a prediction). Change it if you want to use your own. A planning assumption, not a prediction. Growth is tax-free inside the fund. a planning assumption after charges, not a prediction. Source: LifeMap planning standard, not a prediction. Reference point: Pensions Authority pension-calculator assumptions (2026).</t>
  </si>
  <si>
    <t xml:space="preserve">Set_pen</t>
  </si>
  <si>
    <t xml:space="preserve">Settings!C13</t>
  </si>
  <si>
    <t xml:space="preserve">Back to LifeMap's figure (3.15%)</t>
  </si>
  <si>
    <t xml:space="preserve">LifeMap uses 3.15% (a lower-risk fund once retired, after charges). Change it if you want to use your own. Most people take less risk once retired, so growth is usually lower. a lower-risk fund once retired, after charges. Source: LifeMap planning standard, not a prediction. Reference point: Pensions Authority pension-calculator assumptions (2026).</t>
  </si>
  <si>
    <t xml:space="preserve">Set_penRet</t>
  </si>
  <si>
    <t xml:space="preserve">Settings!C14</t>
  </si>
  <si>
    <t xml:space="preserve">Pension grows once retired (a year, after charges)</t>
  </si>
  <si>
    <t xml:space="preserve">Assumed: add yours; Your choice (after a change)</t>
  </si>
  <si>
    <t xml:space="preserve">Back to the assumed rate (1%)</t>
  </si>
  <si>
    <t xml:space="preserve">We are using 1% (Pensions Authority pension calculator assumption) until you add yours. When your statement shows your own charges, we use them instead of this. Usually between 0.5% and 2% a year (CCPC).</t>
  </si>
  <si>
    <t xml:space="preserve">3%</t>
  </si>
  <si>
    <t xml:space="preserve">LifeMap uses 3% (Irish pay has grown about 3%–4% a year recently (CSO)). Change it if you want to use your own. Pick lower if your pay is fixed or you expect to work part-time. Irish pay has grown about 3%–4% a year recently (CSO). Source: cso.ie (2026).</t>
  </si>
  <si>
    <t xml:space="preserve">Set_wage</t>
  </si>
  <si>
    <t xml:space="preserve">Settings!C9</t>
  </si>
  <si>
    <t xml:space="preserve">Rise with prices; Stay as today; Back to LifeMap's figure (Rise with prices)</t>
  </si>
  <si>
    <t xml:space="preserve">LifeMap uses Rise with prices (Budgets have broadly kept pace over time). Change it if you want to use your own. Irish tax bands are set each Budget and don't rise automatically. "Stay as today" is the cautious view (more tax later). Budgets have broadly kept pace over time. Source: Department of Finance Budget history (tax bands and credits, 2015 to 2026) (2026).</t>
  </si>
  <si>
    <t xml:space="preserve">no</t>
  </si>
  <si>
    <t xml:space="preserve">Set_bands</t>
  </si>
  <si>
    <t xml:space="preserve">Settings!C39</t>
  </si>
  <si>
    <t xml:space="preserve">LifeMap uses 3% (a long-run planning figure). Change it if you want to use your own. Renting has rent rises. Buying has costs that don't build equity: interest, stamp duty, fees, LPT and repairs. a long-run planning figure. Source: LifeMap long-run planning figure. Reference points: Residential Tenancies Board Rent Index; CSO Consumer Price Index (rent) (2026).</t>
  </si>
  <si>
    <t xml:space="preserve">Set_rentRise</t>
  </si>
  <si>
    <t xml:space="preserve">Settings!C16</t>
  </si>
  <si>
    <t xml:space="preserve">LifeMap uses 2% (a long-run planning figure; prices can fall). Change it if you want to use your own. House prices can fall as well as rise. a long-run planning figure; prices can fall. Source: LifeMap long-run planning figure. Reference point: CSO Residential Property Price Index (2026).</t>
  </si>
  <si>
    <t xml:space="preserve">Set_houseGrow</t>
  </si>
  <si>
    <t xml:space="preserve">Settings!C17</t>
  </si>
  <si>
    <t xml:space="preserve">LifeMap uses 1% (repairs, insurance and maintenance). Change it if you want to use your own. repairs, insurance and maintenance. Source: LifeMap planning standard (no official figure exists) (2026).</t>
  </si>
  <si>
    <t xml:space="preserve">Set_upkeep</t>
  </si>
  <si>
    <t xml:space="preserve">Settings!C18</t>
  </si>
  <si>
    <t xml:space="preserve">Rent vs buy: upkeep a year (share of home value)</t>
  </si>
  <si>
    <t xml:space="preserve">Your choice; Your choice (after a change)</t>
  </si>
  <si>
    <t xml:space="preserve">Set_buyFees</t>
  </si>
  <si>
    <t xml:space="preserve">Settings!C50</t>
  </si>
  <si>
    <t xml:space="preserve">Suggested buying fees (legal and survey)</t>
  </si>
  <si>
    <t xml:space="preserve">LifeMap uses 2% (illustrations, not forecasts). Change it if you want to use your own. Your adviser uses the fund's own risk rating (SRI 1–7). illustrations, not forecasts. Source: LifeMap illustrations, not forecasts (2026).</t>
  </si>
  <si>
    <t xml:space="preserve">4%</t>
  </si>
  <si>
    <t xml:space="preserve">LifeMap uses 4% (illustrations, not forecasts). Change it if you want to use your own. Your adviser uses the fund's own risk rating (SRI 1–7). illustrations, not forecasts. Source: LifeMap illustrations, not forecasts (2026).</t>
  </si>
  <si>
    <t xml:space="preserve">6%</t>
  </si>
  <si>
    <t xml:space="preserve">LifeMap uses 6% (illustrations, not forecasts). Change it if you want to use your own. Your adviser uses the fund's own risk rating (SRI 1–7). illustrations, not forecasts. Source: LifeMap illustrations, not forecasts (2026).</t>
  </si>
  <si>
    <t xml:space="preserve">LifeMap uses 5% (illustrations, not forecasts). Change it if you want to use your own. How much a year can swing. illustrations, not forecasts. Source: LifeMap illustrations, not forecasts (2026).</t>
  </si>
  <si>
    <t xml:space="preserve">LifeMap uses 10% (illustrations, not forecasts). Change it if you want to use your own. How much a year can swing. illustrations, not forecasts. Source: LifeMap illustrations, not forecasts (2026).</t>
  </si>
  <si>
    <t xml:space="preserve">16%</t>
  </si>
  <si>
    <t xml:space="preserve">LifeMap uses 16% (illustrations, not forecasts). Change it if you want to use your own. How much a year can swing. illustrations, not forecasts. Source: LifeMap illustrations, not forecasts (2026).</t>
  </si>
  <si>
    <t xml:space="preserve">Rises with prices; Rises with pay; Stays flat; Back to LifeMap's figure (Rises with prices)</t>
  </si>
  <si>
    <t xml:space="preserve">LifeMap uses Rises with prices (it has broadly kept pace with prices over time). Change it if you want to use your own. The State Pension is set each Budget. it has broadly kept pace with prices over time. Source: Department of Social Protection weekly State Pension rate history (2026).</t>
  </si>
  <si>
    <t xml:space="preserve">Set_spGrow</t>
  </si>
  <si>
    <t xml:space="preserve">Settings!C40</t>
  </si>
  <si>
    <t xml:space="preserve">Optional; Your choice (after a change)</t>
  </si>
  <si>
    <t xml:space="preserve">We are using €239.44 a week (a planning figure) until you add yours. Usually between €0 a week and €299.30 a week (DSP 2026: the full rate needs 40 years of PRSI; partial rates are lower). Your State Pension statement on MyWelfare shows your expected rate. Or tell us your PRSI years.</t>
  </si>
  <si>
    <t xml:space="preserve">50%</t>
  </si>
  <si>
    <t xml:space="preserve">LifeMap uses 50% (a common 5% + 5% split with your employer; 100% if self-employed). Change it if you want to use your own. Your payslip shows what comes out of your pay. Only your own share gets tax relief. If you type your own amount in Your finances, we use that. a common 5% + 5% split with your employer; 100% if self-employed. Source: Pensions Authority and My Future Fund (auto-enrolment) contribution split, 2026 (2026).</t>
  </si>
  <si>
    <t xml:space="preserve">Set_ownShare</t>
  </si>
  <si>
    <t xml:space="preserve">Settings!C20</t>
  </si>
  <si>
    <t xml:space="preserve">Share of pension contributions you pay yourself</t>
  </si>
  <si>
    <t xml:space="preserve">25× (about 4% a year)</t>
  </si>
  <si>
    <t xml:space="preserve">LifeMap uses 25× (about 4% a year) (a common rule of thumb, about 4% a year). Change it if you want to use your own. Retiring early or planning to 95 needs more. a common rule of thumb, about 4% a year. Source: Widely used 4% sustainable-withdrawal rule of thumb (W. Bengen, Journal of Financial Planning, 1994) (2026).</t>
  </si>
  <si>
    <t xml:space="preserve">Set_retireMult</t>
  </si>
  <si>
    <t xml:space="preserve">Settings!C21</t>
  </si>
  <si>
    <t xml:space="preserve">Retirement savings target: times the yearly income needed</t>
  </si>
  <si>
    <t xml:space="preserve">80%</t>
  </si>
  <si>
    <t xml:space="preserve">Back to LifeMap's figure (80%)</t>
  </si>
  <si>
    <t xml:space="preserve">LifeMap uses 80% (most people spend a bit less once work costs and the mortgage stop). Change it if you want to use your own. most people spend a bit less once work costs and the mortgage stop. Source: LifeMap planning standard. Reference points: Pensions Authority and Society of Actuaries in Ireland retirement-income guidance (2026).</t>
  </si>
  <si>
    <t xml:space="preserve">Set_retireSpend</t>
  </si>
  <si>
    <t xml:space="preserve">Settings!C22</t>
  </si>
  <si>
    <t xml:space="preserve">Retirement spending if no goal (share of today's spending)</t>
  </si>
  <si>
    <t xml:space="preserve">25%</t>
  </si>
  <si>
    <t xml:space="preserve">LifeMap uses 25% (most people take the full tax-free amount). Change it if you want to use your own. Set by law: up to €200,000 tax-free, the next €300,000 taxed at 20%, and anything above €500,000 taxed at your marginal rate (40% here). Your adviser can compare it with leaving it invested. most people take the full tax-free amount. Source: Revenue Commissioners: tax-free retirement lump sum, up to 25% of the fund (law limit) (Law limit 25%).</t>
  </si>
  <si>
    <t xml:space="preserve">Set_lumpSum</t>
  </si>
  <si>
    <t xml:space="preserve">Settings!C23</t>
  </si>
  <si>
    <t xml:space="preserve">Tax-free lump sum to take (share of pension; law limit 25%)</t>
  </si>
  <si>
    <t xml:space="preserve">From 60 (most pensions); From 50 (some occupational schemes); Back to LifeMap's figure (From 60 (most pensions))</t>
  </si>
  <si>
    <t xml:space="preserve">LifeMap uses From 60 (most pensions) (most pensions can be drawn from 60; some occupational schemes allow 50). Change it if you want to use your own. We assume 60. Choose 50 only if your occupational scheme says it allows it. Before this age your plan pays for life from savings and other income. most pensions can be drawn from 60; some occupational schemes allow 50. Source: Revenue Commissioners: pension benefits can usually be taken from age 60 (PRSAs and personal pensions); some occupational schemes allow retirement from 50 (see the law register) (2026).</t>
  </si>
  <si>
    <t xml:space="preserve">Revenue Commissioners: pension benefits can usually be taken from age 60 (PRSAs and personal pensions); some occupational schemes allow retirement from 50 (see the law register)</t>
  </si>
  <si>
    <t xml:space="preserve">Set_accessAge</t>
  </si>
  <si>
    <t xml:space="preserve">Settings!C59</t>
  </si>
  <si>
    <t xml:space="preserve">Spread to plan end; Minimum only (4% / 5%); Fixed amount; Back to LifeMap's figure (Spread to plan end)</t>
  </si>
  <si>
    <t xml:space="preserve">LifeMap uses Spread to plan end (spread over your plan, at least the legal minimum). Change it if you want to use your own. Set by law: from 61 you must take at least 4% a year (5% from 71) from an ARF. spread over your plan, at least the legal minimum. Source: Revenue Commissioners: ARF and vested PRSA minimum annual distribution (4% from 61, 5% from 71; 6% over €2m) (2026).</t>
  </si>
  <si>
    <t xml:space="preserve">Set_drawRule</t>
  </si>
  <si>
    <t xml:space="preserve">Settings!C41</t>
  </si>
  <si>
    <t xml:space="preserve">Start of the year; End of the year; Back to LifeMap's figure (Start of the year)</t>
  </si>
  <si>
    <t xml:space="preserve">LifeMap uses Start of the year (the prudent choice: the money has less time to grow before you take it). Change it if you want to use your own. the prudent choice: the money has less time to grow before you take it. Source: LifeMap tool setting (2026).</t>
  </si>
  <si>
    <t xml:space="preserve">Set_ddTiming</t>
  </si>
  <si>
    <t xml:space="preserve">Settings!C42</t>
  </si>
  <si>
    <t xml:space="preserve">We are using €20,000 (a planning figure) until you add yours. Never less than the legal minimum once you are 61.</t>
  </si>
  <si>
    <t xml:space="preserve">Back to LifeMap's figure (3 months)</t>
  </si>
  <si>
    <t xml:space="preserve">LifeMap uses 3 months (6 months for a single income or self-employed, 3 for two secure incomes). Change it if you want to use your own. Easy-access cash for surprises or a gap in pay. Essential spending = living costs + mortgage + loan repayments. 6 months for a single income or self-employed, 3 for two secure incomes. Source: LifeMap planning standard. Reference points: MABS and CCPC (ccpc.ie) guidance on keeping 3 to 6 months of essential spending as an emergency fund (2026).</t>
  </si>
  <si>
    <t xml:space="preserve">Set_safetyMonths</t>
  </si>
  <si>
    <t xml:space="preserve">Settings!C25</t>
  </si>
  <si>
    <t xml:space="preserve">Set_mortRate</t>
  </si>
  <si>
    <t xml:space="preserve">Settings!C46</t>
  </si>
  <si>
    <t xml:space="preserve">Suggested mortgage rate</t>
  </si>
  <si>
    <t xml:space="preserve">Set_cardRate</t>
  </si>
  <si>
    <t xml:space="preserve">Settings!C48</t>
  </si>
  <si>
    <t xml:space="preserve">Suggested credit card rate (APR)</t>
  </si>
  <si>
    <t xml:space="preserve">Set_loanRate</t>
  </si>
  <si>
    <t xml:space="preserve">Settings!C47</t>
  </si>
  <si>
    <t xml:space="preserve">Suggested personal and car loan rate (APR)</t>
  </si>
  <si>
    <t xml:space="preserve">5 years</t>
  </si>
  <si>
    <t xml:space="preserve">Back to LifeMap's figure (5 years)</t>
  </si>
  <si>
    <t xml:space="preserve">LifeMap uses 5 years (money needed within 5 years is usually kept as cash). Change it if you want to use your own. Longer-term money has more time to ride out ups and downs. money needed within 5 years is usually kept as cash. Source: LifeMap planning standard (common planning practice: money needed within about 5 years is not invested) (2026).</t>
  </si>
  <si>
    <t xml:space="preserve">Set_cashYears</t>
  </si>
  <si>
    <t xml:space="preserve">Settings!C27</t>
  </si>
  <si>
    <t xml:space="preserve">Back to LifeMap's figure (40%)</t>
  </si>
  <si>
    <t xml:space="preserve">LifeMap uses 40% (a balanced cash and invested mix). Change it if you want to use your own. a balanced cash and invested mix. Source: LifeMap planning standard (a balanced cash and invested mix) (2026).</t>
  </si>
  <si>
    <t xml:space="preserve">Set_investShare</t>
  </si>
  <si>
    <t xml:space="preserve">Settings!C28</t>
  </si>
  <si>
    <t xml:space="preserve">LifeMap uses 50% (half of your spare money). Change it if you want to use your own. We never count more than this share of your spare money as saved, unless you set your own monthly saving. half of your spare money. Source: LifeMap planning standard (2026).</t>
  </si>
  <si>
    <t xml:space="preserve">Set_saveShare</t>
  </si>
  <si>
    <t xml:space="preserve">Settings!C29</t>
  </si>
  <si>
    <t xml:space="preserve">Back to LifeMap's figure (€300)</t>
  </si>
  <si>
    <t xml:space="preserve">LifeMap uses €300 (a modest regular amount). Change it if you want to use your own. Used until you answer "How much could you comfortably invest each month?". a modest regular amount. Source: LifeMap planning standard (2026).</t>
  </si>
  <si>
    <t xml:space="preserve">Set_noAnswer</t>
  </si>
  <si>
    <t xml:space="preserve">Settings!C30</t>
  </si>
  <si>
    <t xml:space="preserve">Monthly saving if not answered</t>
  </si>
  <si>
    <t xml:space="preserve">60%</t>
  </si>
  <si>
    <t xml:space="preserve">LifeMap uses 60% (families usually need less than full pay). Change it if you want to use your own. families usually need less than full pay. Source: LifeMap planning standard. Reference point: Irish life-insurer needs calculators (2026).</t>
  </si>
  <si>
    <t xml:space="preserve">Set_lifeShare</t>
  </si>
  <si>
    <t xml:space="preserve">Settings!C32</t>
  </si>
  <si>
    <t xml:space="preserve">Life cover: share of income the family needs</t>
  </si>
  <si>
    <t xml:space="preserve">Back to LifeMap's figure (15 years)</t>
  </si>
  <si>
    <t xml:space="preserve">LifeMap uses 15 years (often until your youngest child is 23). Change it if you want to use your own. often until your youngest child is 23. Source: LifeMap planning standard. Reference point: Irish life-insurer needs calculators (2026).</t>
  </si>
  <si>
    <t xml:space="preserve">Set_lifeYears</t>
  </si>
  <si>
    <t xml:space="preserve">Settings!C33</t>
  </si>
  <si>
    <t xml:space="preserve">Life cover: years of support</t>
  </si>
  <si>
    <t xml:space="preserve">LifeMap uses 50% (the 50/30/20 rule). Change it if you want to use your own. the 50/30/20 rule. Source: The 50/30/20 budgeting rule (E. Warren and A. Warren Tyagi, All Your Worth, 2005) (2026).</t>
  </si>
  <si>
    <t xml:space="preserve">30%</t>
  </si>
  <si>
    <t xml:space="preserve">LifeMap uses 30% (the 50/30/20 rule). Change it if you want to use your own. the 50/30/20 rule. Source: The 50/30/20 budgeting rule (E. Warren and A. Warren Tyagi, All Your Worth, 2005) (2026).</t>
  </si>
  <si>
    <t xml:space="preserve">20%</t>
  </si>
  <si>
    <t xml:space="preserve">LifeMap uses 20% (the 50/30/20 rule). Change it if you want to use your own. the 50/30/20 rule. Source: The 50/30/20 budgeting rule (E. Warren and A. Warren Tyagi, All Your Worth, 2005) (2026).</t>
  </si>
  <si>
    <t xml:space="preserve">2026; 2027; Back to LifeMap's figure (2027)</t>
  </si>
</sst>
</file>

<file path=xl/styles.xml><?xml version="1.0" encoding="utf-8"?>
<styleSheet xmlns="http://schemas.openxmlformats.org/spreadsheetml/2006/main">
  <numFmts count="17">
    <numFmt numFmtId="164" formatCode="General"/>
    <numFmt numFmtId="165" formatCode="\€#,##0"/>
    <numFmt numFmtId="166" formatCode="0.00%"/>
    <numFmt numFmtId="167" formatCode="0"/>
    <numFmt numFmtId="168" formatCode="0.0\×"/>
    <numFmt numFmtId="169" formatCode="dd\ mmm\ yyyy"/>
    <numFmt numFmtId="170" formatCode="0.0000%"/>
    <numFmt numFmtId="171" formatCode="0.0"/>
    <numFmt numFmtId="172" formatCode="0%"/>
    <numFmt numFmtId="173" formatCode="0.0%"/>
    <numFmt numFmtId="174" formatCode="\€#,##0.00"/>
    <numFmt numFmtId="175" formatCode="dd/mm/yyyy"/>
    <numFmt numFmtId="176" formatCode="#,##0"/>
    <numFmt numFmtId="177" formatCode="General"/>
    <numFmt numFmtId="178" formatCode="0.0000"/>
    <numFmt numFmtId="179" formatCode="0.00"/>
    <numFmt numFmtId="180" formatCode="0.000"/>
  </numFmts>
  <fonts count="59">
    <font>
      <sz val="11"/>
      <color theme="1"/>
      <name val="Calibri"/>
      <family val="2"/>
      <charset val="1"/>
    </font>
    <font>
      <sz val="10"/>
      <name val="Arial"/>
      <family val="0"/>
    </font>
    <font>
      <sz val="10"/>
      <name val="Arial"/>
      <family val="0"/>
    </font>
    <font>
      <sz val="10"/>
      <name val="Arial"/>
      <family val="0"/>
    </font>
    <font>
      <b val="true"/>
      <sz val="18"/>
      <color rgb="FF1F3864"/>
      <name val="Arial"/>
      <family val="0"/>
      <charset val="1"/>
    </font>
    <font>
      <sz val="9"/>
      <color rgb="FF808080"/>
      <name val="Arial"/>
      <family val="0"/>
      <charset val="1"/>
    </font>
    <font>
      <b val="true"/>
      <sz val="12"/>
      <color rgb="FF000000"/>
      <name val="Arial"/>
      <family val="0"/>
      <charset val="1"/>
    </font>
    <font>
      <b val="true"/>
      <sz val="12"/>
      <color rgb="FF0000FF"/>
      <name val="Arial"/>
      <family val="0"/>
      <charset val="1"/>
    </font>
    <font>
      <i val="true"/>
      <sz val="9"/>
      <color rgb="FFC00000"/>
      <name val="Arial"/>
      <family val="0"/>
      <charset val="1"/>
    </font>
    <font>
      <b val="true"/>
      <sz val="12"/>
      <color rgb="FF1F3864"/>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u val="single"/>
      <sz val="10"/>
      <color rgb="FF0563C1"/>
      <name val="Arial"/>
      <family val="0"/>
      <charset val="1"/>
    </font>
    <font>
      <sz val="9"/>
      <color rgb="FF000000"/>
      <name val="Arial"/>
      <family val="0"/>
      <charset val="1"/>
    </font>
    <font>
      <b val="true"/>
      <sz val="11"/>
      <color rgb="FFFFFFFF"/>
      <name val="Arial"/>
      <family val="0"/>
      <charset val="1"/>
    </font>
    <font>
      <i val="true"/>
      <sz val="9"/>
      <color rgb="FF000000"/>
      <name val="Arial"/>
      <family val="0"/>
      <charset val="1"/>
    </font>
    <font>
      <b val="true"/>
      <sz val="9"/>
      <color rgb="FF000000"/>
      <name val="Arial"/>
      <family val="0"/>
      <charset val="1"/>
    </font>
    <font>
      <sz val="11"/>
      <color rgb="FF7F7F7F"/>
      <name val="Cambria"/>
      <family val="0"/>
      <charset val="1"/>
    </font>
    <font>
      <b val="true"/>
      <sz val="16"/>
      <color rgb="FF1F3864"/>
      <name val="Arial"/>
      <family val="0"/>
      <charset val="1"/>
    </font>
    <font>
      <b val="true"/>
      <sz val="11"/>
      <color rgb="FF000000"/>
      <name val="Arial"/>
      <family val="0"/>
      <charset val="1"/>
    </font>
    <font>
      <b val="true"/>
      <sz val="9"/>
      <color rgb="FFC00000"/>
      <name val="Arial"/>
      <family val="0"/>
      <charset val="1"/>
    </font>
    <font>
      <i val="true"/>
      <sz val="10"/>
      <color rgb="FF000000"/>
      <name val="Arial"/>
      <family val="0"/>
      <charset val="1"/>
    </font>
    <font>
      <b val="true"/>
      <sz val="9"/>
      <color rgb="FFFFFFFF"/>
      <name val="Arial"/>
      <family val="0"/>
      <charset val="1"/>
    </font>
    <font>
      <i val="true"/>
      <sz val="11"/>
      <color rgb="FF7F7F7F"/>
      <name val="Cambria"/>
      <family val="0"/>
      <charset val="1"/>
    </font>
    <font>
      <b val="true"/>
      <sz val="11"/>
      <color rgb="FF0000FF"/>
      <name val="Arial"/>
      <family val="0"/>
      <charset val="1"/>
    </font>
    <font>
      <sz val="10"/>
      <color rgb="FF808080"/>
      <name val="Arial"/>
      <family val="0"/>
      <charset val="1"/>
    </font>
    <font>
      <sz val="8"/>
      <color rgb="FF808080"/>
      <name val="Arial"/>
      <family val="0"/>
      <charset val="1"/>
    </font>
    <font>
      <i val="true"/>
      <sz val="9"/>
      <color rgb="FF808080"/>
      <name val="Arial"/>
      <family val="0"/>
      <charset val="1"/>
    </font>
    <font>
      <sz val="8"/>
      <color rgb="FF7F6000"/>
      <name val="Arial"/>
      <family val="0"/>
      <charset val="1"/>
    </font>
    <font>
      <b val="true"/>
      <sz val="14"/>
      <color rgb="FF000000"/>
      <name val="Arial"/>
      <family val="0"/>
      <charset val="1"/>
    </font>
    <font>
      <sz val="9"/>
      <color rgb="FF595959"/>
      <name val="Arial"/>
      <family val="0"/>
      <charset val="1"/>
    </font>
    <font>
      <sz val="10"/>
      <name val="Arial"/>
      <family val="2"/>
    </font>
    <font>
      <i val="true"/>
      <sz val="9"/>
      <color rgb="FF595959"/>
      <name val="Arial"/>
      <family val="0"/>
      <charset val="1"/>
    </font>
    <font>
      <b val="true"/>
      <sz val="9"/>
      <color rgb="FF1F6E43"/>
      <name val="Arial"/>
      <family val="0"/>
      <charset val="1"/>
    </font>
    <font>
      <b val="true"/>
      <sz val="10"/>
      <color rgb="FFC00000"/>
      <name val="Arial"/>
      <family val="0"/>
      <charset val="1"/>
    </font>
    <font>
      <b val="true"/>
      <sz val="14"/>
      <name val="Cambria"/>
      <family val="0"/>
      <charset val="1"/>
    </font>
    <font>
      <b val="true"/>
      <sz val="11"/>
      <color rgb="FF9C0006"/>
      <name val="Cambria"/>
      <family val="0"/>
      <charset val="1"/>
    </font>
    <font>
      <b val="true"/>
      <sz val="11"/>
      <color rgb="FFFFFFFF"/>
      <name val="Cambria"/>
      <family val="0"/>
      <charset val="1"/>
    </font>
    <font>
      <sz val="11"/>
      <color rgb="FF0000FF"/>
      <name val="Cambria"/>
      <family val="0"/>
      <charset val="1"/>
    </font>
    <font>
      <b val="true"/>
      <sz val="11"/>
      <name val="Cambria"/>
      <family val="0"/>
      <charset val="1"/>
    </font>
    <font>
      <sz val="8"/>
      <color rgb="FF595959"/>
      <name val="Arial"/>
      <family val="0"/>
      <charset val="1"/>
    </font>
    <font>
      <b val="true"/>
      <sz val="8"/>
      <color rgb="FF000000"/>
      <name val="Arial"/>
      <family val="0"/>
      <charset val="1"/>
    </font>
    <font>
      <b val="true"/>
      <sz val="10"/>
      <color rgb="FF1F6E43"/>
      <name val="Arial"/>
      <family val="0"/>
      <charset val="1"/>
    </font>
    <font>
      <b val="true"/>
      <sz val="11"/>
      <color rgb="FF1F3864"/>
      <name val="Arial"/>
      <family val="0"/>
      <charset val="1"/>
    </font>
    <font>
      <u val="single"/>
      <sz val="9"/>
      <color rgb="FF0563C1"/>
      <name val="Arial"/>
      <family val="0"/>
      <charset val="1"/>
    </font>
    <font>
      <sz val="9"/>
      <color rgb="FF0563C1"/>
      <name val="Arial"/>
      <family val="0"/>
      <charset val="1"/>
    </font>
    <font>
      <sz val="11"/>
      <color rgb="FF000000"/>
      <name val="Cambria"/>
      <family val="0"/>
      <charset val="1"/>
    </font>
    <font>
      <b val="true"/>
      <sz val="11"/>
      <color rgb="FFC00000"/>
      <name val="Arial"/>
      <family val="0"/>
      <charset val="1"/>
    </font>
    <font>
      <sz val="8"/>
      <color rgb="FF000000"/>
      <name val="Arial"/>
      <family val="0"/>
      <charset val="1"/>
    </font>
    <font>
      <sz val="8"/>
      <color rgb="FFC00000"/>
      <name val="Arial"/>
      <family val="0"/>
      <charset val="1"/>
    </font>
    <font>
      <b val="true"/>
      <sz val="14"/>
      <color rgb="FF0B2545"/>
      <name val="Cambria"/>
      <family val="0"/>
      <charset val="1"/>
    </font>
    <font>
      <b val="true"/>
      <sz val="12"/>
      <color rgb="FF0B2545"/>
      <name val="Cambria"/>
      <family val="0"/>
      <charset val="1"/>
    </font>
    <font>
      <u val="single"/>
      <sz val="11"/>
      <color rgb="FF0563C1"/>
      <name val="Cambria"/>
      <family val="0"/>
      <charset val="1"/>
    </font>
    <font>
      <b val="true"/>
      <sz val="13"/>
      <color rgb="FF0B2545"/>
      <name val="Cambria"/>
      <family val="0"/>
      <charset val="1"/>
    </font>
    <font>
      <sz val="11"/>
      <color theme="1"/>
      <name val="WenQuanYi Zen Hei"/>
      <family val="2"/>
      <charset val="1"/>
    </font>
    <font>
      <b val="true"/>
      <sz val="12"/>
      <color rgb="FFFFFFFF"/>
      <name val="Cambria"/>
      <family val="0"/>
      <charset val="1"/>
    </font>
    <font>
      <b val="true"/>
      <u val="single"/>
      <sz val="11"/>
      <color rgb="FFFFFFFF"/>
      <name val="Cambria"/>
      <family val="0"/>
      <charset val="1"/>
    </font>
    <font>
      <i val="true"/>
      <sz val="11"/>
      <name val="Cambria"/>
      <family val="0"/>
      <charset val="1"/>
    </font>
  </fonts>
  <fills count="12">
    <fill>
      <patternFill patternType="none"/>
    </fill>
    <fill>
      <patternFill patternType="gray125"/>
    </fill>
    <fill>
      <patternFill patternType="solid">
        <fgColor rgb="FFFFF2CC"/>
        <bgColor rgb="FFFCE4D6"/>
      </patternFill>
    </fill>
    <fill>
      <patternFill patternType="solid">
        <fgColor rgb="FF1F3864"/>
        <bgColor rgb="FF1F4E79"/>
      </patternFill>
    </fill>
    <fill>
      <patternFill patternType="solid">
        <fgColor rgb="FFF2F2F2"/>
        <bgColor rgb="FFEDEDED"/>
      </patternFill>
    </fill>
    <fill>
      <patternFill patternType="solid">
        <fgColor rgb="FFE2EFDA"/>
        <bgColor rgb="FFEDEDED"/>
      </patternFill>
    </fill>
    <fill>
      <patternFill patternType="solid">
        <fgColor rgb="FFDDEBF7"/>
        <bgColor rgb="FFD9E1F2"/>
      </patternFill>
    </fill>
    <fill>
      <patternFill patternType="solid">
        <fgColor rgb="FFFCE4D6"/>
        <bgColor rgb="FFFFF2CC"/>
      </patternFill>
    </fill>
    <fill>
      <patternFill patternType="solid">
        <fgColor rgb="FF1F4E79"/>
        <bgColor rgb="FF1F3864"/>
      </patternFill>
    </fill>
    <fill>
      <patternFill patternType="solid">
        <fgColor rgb="FFEDEDED"/>
        <bgColor rgb="FFF2F2F2"/>
      </patternFill>
    </fill>
    <fill>
      <patternFill patternType="solid">
        <fgColor rgb="FFD9E1F2"/>
        <bgColor rgb="FFDDEBF7"/>
      </patternFill>
    </fill>
    <fill>
      <patternFill patternType="solid">
        <fgColor rgb="FF0B7A70"/>
        <bgColor rgb="FF1F6E43"/>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C9D3DC"/>
      </left>
      <right style="thin">
        <color rgb="FFC9D3DC"/>
      </right>
      <top style="thin">
        <color rgb="FFC9D3DC"/>
      </top>
      <bottom style="thin">
        <color rgb="FFC9D3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3" borderId="0" xfId="0" applyFont="true" applyBorder="false" applyAlignment="true" applyProtection="false">
      <alignment horizontal="general" vertical="bottom" textRotation="0" wrapText="false" indent="0" shrinkToFit="false"/>
      <protection locked="true" hidden="false"/>
    </xf>
    <xf numFmtId="164" fontId="24" fillId="3" borderId="0" xfId="0" applyFont="true" applyBorder="false" applyAlignment="true" applyProtection="false">
      <alignment horizontal="general" vertical="bottom" textRotation="0" wrapText="false" indent="0" shrinkToFit="false"/>
      <protection locked="true" hidden="false"/>
    </xf>
    <xf numFmtId="165" fontId="25" fillId="2" borderId="1" xfId="0" applyFont="true" applyBorder="true" applyAlignment="true" applyProtection="false">
      <alignment horizontal="right"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5" fontId="28" fillId="4" borderId="0" xfId="0" applyFont="true" applyBorder="false" applyAlignment="true" applyProtection="false">
      <alignment horizontal="right" vertical="bottom" textRotation="0" wrapText="false" indent="0" shrinkToFit="false"/>
      <protection locked="true" hidden="false"/>
    </xf>
    <xf numFmtId="165" fontId="14" fillId="0" borderId="0" xfId="0" applyFont="true" applyBorder="false" applyAlignment="true" applyProtection="false">
      <alignment horizontal="right" vertical="bottom" textRotation="0" wrapText="false" indent="0" shrinkToFit="false"/>
      <protection locked="true" hidden="false"/>
    </xf>
    <xf numFmtId="164" fontId="25" fillId="2" borderId="1" xfId="0" applyFont="true" applyBorder="true" applyAlignment="true" applyProtection="false">
      <alignment horizontal="right" vertical="bottom" textRotation="0" wrapText="false" indent="0" shrinkToFit="false"/>
      <protection locked="true" hidden="false"/>
    </xf>
    <xf numFmtId="164" fontId="28" fillId="4"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6" fontId="25" fillId="2" borderId="1" xfId="0" applyFont="true" applyBorder="true" applyAlignment="true" applyProtection="false">
      <alignment horizontal="right" vertical="bottom" textRotation="0" wrapText="fals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6" fontId="28" fillId="4" borderId="0" xfId="0" applyFont="true" applyBorder="false" applyAlignment="true" applyProtection="false">
      <alignment horizontal="right" vertical="bottom" textRotation="0" wrapText="false" indent="0" shrinkToFit="false"/>
      <protection locked="true" hidden="false"/>
    </xf>
    <xf numFmtId="166" fontId="14" fillId="0" borderId="0" xfId="0" applyFont="true" applyBorder="false" applyAlignment="true" applyProtection="false">
      <alignment horizontal="right" vertical="bottom" textRotation="0" wrapText="false" indent="0" shrinkToFit="false"/>
      <protection locked="true" hidden="false"/>
    </xf>
    <xf numFmtId="167" fontId="25" fillId="2" borderId="1" xfId="0" applyFont="true" applyBorder="true" applyAlignment="true" applyProtection="false">
      <alignment horizontal="right" vertical="bottom" textRotation="0" wrapText="false" indent="0" shrinkToFit="false"/>
      <protection locked="true" hidden="false"/>
    </xf>
    <xf numFmtId="167" fontId="28" fillId="4" borderId="0" xfId="0" applyFont="true" applyBorder="false" applyAlignment="true" applyProtection="false">
      <alignment horizontal="right" vertical="bottom" textRotation="0" wrapText="false" indent="0" shrinkToFit="false"/>
      <protection locked="true" hidden="false"/>
    </xf>
    <xf numFmtId="167" fontId="14" fillId="0" borderId="0" xfId="0" applyFont="true" applyBorder="false" applyAlignment="true" applyProtection="false">
      <alignment horizontal="right" vertical="bottom" textRotation="0" wrapText="false" indent="0" shrinkToFit="false"/>
      <protection locked="true" hidden="false"/>
    </xf>
    <xf numFmtId="165" fontId="30" fillId="5" borderId="1" xfId="0" applyFont="true" applyBorder="true" applyAlignment="true" applyProtection="false">
      <alignment horizontal="right" vertical="bottom" textRotation="0" wrapText="false" indent="0" shrinkToFit="tru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5" fontId="10" fillId="4" borderId="1" xfId="0" applyFont="true" applyBorder="true" applyAlignment="true" applyProtection="false">
      <alignment horizontal="right" vertical="bottom" textRotation="0" wrapText="false" indent="0" shrinkToFit="true"/>
      <protection locked="true" hidden="false"/>
    </xf>
    <xf numFmtId="168" fontId="10" fillId="4" borderId="1" xfId="0" applyFont="true" applyBorder="true" applyAlignment="true" applyProtection="false">
      <alignment horizontal="right" vertical="bottom" textRotation="0" wrapText="false" indent="0" shrinkToFit="true"/>
      <protection locked="true" hidden="false"/>
    </xf>
    <xf numFmtId="164" fontId="10" fillId="4" borderId="1" xfId="0" applyFont="true" applyBorder="true" applyAlignment="true" applyProtection="false">
      <alignment horizontal="right" vertical="bottom" textRotation="0" wrapText="false" indent="0" shrinkToFit="tru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right" vertical="bottom" textRotation="0" wrapText="false" indent="0" shrinkToFit="tru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5" fontId="12" fillId="4" borderId="1" xfId="0" applyFont="true" applyBorder="true" applyAlignment="true" applyProtection="false">
      <alignment horizontal="right" vertical="bottom" textRotation="0" wrapText="false" indent="0" shrinkToFit="true"/>
      <protection locked="true" hidden="false"/>
    </xf>
    <xf numFmtId="167" fontId="12" fillId="4" borderId="1" xfId="0" applyFont="true" applyBorder="true" applyAlignment="true" applyProtection="false">
      <alignment horizontal="right" vertical="bottom" textRotation="0" wrapText="false" indent="0" shrinkToFit="tru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general" vertical="top" textRotation="0" wrapText="true" indent="0" shrinkToFit="false"/>
      <protection locked="true" hidden="false"/>
    </xf>
    <xf numFmtId="165" fontId="25" fillId="6" borderId="1" xfId="0" applyFont="true" applyBorder="true" applyAlignment="true" applyProtection="false">
      <alignment horizontal="right" vertical="bottom" textRotation="0" wrapText="false" indent="0" shrinkToFit="false"/>
      <protection locked="true" hidden="false"/>
    </xf>
    <xf numFmtId="166" fontId="25" fillId="6" borderId="1" xfId="0" applyFont="true" applyBorder="true" applyAlignment="true" applyProtection="false">
      <alignment horizontal="right" vertical="bottom" textRotation="0" wrapText="false" indent="0" shrinkToFit="false"/>
      <protection locked="true" hidden="false"/>
    </xf>
    <xf numFmtId="167" fontId="25" fillId="6" borderId="1" xfId="0" applyFont="true" applyBorder="true" applyAlignment="true" applyProtection="false">
      <alignment horizontal="right" vertical="bottom" textRotation="0" wrapText="false" indent="0" shrinkToFit="false"/>
      <protection locked="true" hidden="false"/>
    </xf>
    <xf numFmtId="169" fontId="25" fillId="6" borderId="1" xfId="0" applyFont="true" applyBorder="true" applyAlignment="true" applyProtection="false">
      <alignment horizontal="right" vertical="bottom" textRotation="0" wrapText="false" indent="0" shrinkToFit="false"/>
      <protection locked="true" hidden="false"/>
    </xf>
    <xf numFmtId="165" fontId="12" fillId="4" borderId="1" xfId="0" applyFont="true" applyBorder="true" applyAlignment="true" applyProtection="false">
      <alignment horizontal="right"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6" fontId="12" fillId="4" borderId="1" xfId="0" applyFont="true" applyBorder="true" applyAlignment="true" applyProtection="false">
      <alignment horizontal="right" vertical="bottom" textRotation="0" wrapText="false" indent="0" shrinkToFit="false"/>
      <protection locked="true" hidden="false"/>
    </xf>
    <xf numFmtId="167" fontId="12" fillId="4" borderId="1" xfId="0" applyFont="true" applyBorder="true" applyAlignment="true" applyProtection="false">
      <alignment horizontal="right" vertical="bottom" textRotation="0" wrapText="false" indent="0" shrinkToFit="false"/>
      <protection locked="true" hidden="false"/>
    </xf>
    <xf numFmtId="167" fontId="30" fillId="5" borderId="1" xfId="0" applyFont="true" applyBorder="true" applyAlignment="true" applyProtection="false">
      <alignment horizontal="right" vertical="bottom" textRotation="0" wrapText="false" indent="0" shrinkToFit="tru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70" fontId="10" fillId="4" borderId="1" xfId="0" applyFont="true" applyBorder="true" applyAlignment="true" applyProtection="false">
      <alignment horizontal="right" vertical="bottom" textRotation="0" wrapText="false" indent="0" shrinkToFit="true"/>
      <protection locked="true" hidden="false"/>
    </xf>
    <xf numFmtId="166" fontId="10" fillId="4" borderId="1" xfId="0" applyFont="true" applyBorder="true" applyAlignment="true" applyProtection="false">
      <alignment horizontal="right" vertical="bottom" textRotation="0" wrapText="false" indent="0" shrinkToFit="true"/>
      <protection locked="true" hidden="false"/>
    </xf>
    <xf numFmtId="167" fontId="10" fillId="4" borderId="1" xfId="0" applyFont="true" applyBorder="true" applyAlignment="true" applyProtection="false">
      <alignment horizontal="right" vertical="bottom" textRotation="0" wrapText="false" indent="0" shrinkToFit="tru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33" fillId="0" borderId="0" xfId="0" applyFont="true" applyBorder="true" applyAlignment="true" applyProtection="false">
      <alignment horizontal="general" vertical="bottom" textRotation="0" wrapText="false" indent="0" shrinkToFit="false"/>
      <protection locked="true" hidden="false"/>
    </xf>
    <xf numFmtId="166" fontId="12" fillId="4" borderId="1" xfId="0" applyFont="true" applyBorder="true" applyAlignment="true" applyProtection="false">
      <alignment horizontal="right" vertical="bottom" textRotation="0" wrapText="false" indent="0" shrinkToFit="true"/>
      <protection locked="true" hidden="false"/>
    </xf>
    <xf numFmtId="171" fontId="30" fillId="5" borderId="1" xfId="0" applyFont="true" applyBorder="true" applyAlignment="true" applyProtection="false">
      <alignment horizontal="right" vertical="bottom" textRotation="0" wrapText="false" indent="0" shrinkToFit="true"/>
      <protection locked="true" hidden="false"/>
    </xf>
    <xf numFmtId="164" fontId="25" fillId="6" borderId="1"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7" borderId="0" xfId="0" applyFont="true" applyBorder="true" applyAlignment="true" applyProtection="false">
      <alignment horizontal="general" vertical="bottom" textRotation="0" wrapText="false" indent="0" shrinkToFit="false"/>
      <protection locked="true" hidden="false"/>
    </xf>
    <xf numFmtId="172" fontId="25" fillId="2" borderId="1" xfId="0" applyFont="true" applyBorder="true" applyAlignment="true" applyProtection="false">
      <alignment horizontal="right" vertical="bottom" textRotation="0" wrapText="false" indent="0" shrinkToFit="false"/>
      <protection locked="true" hidden="false"/>
    </xf>
    <xf numFmtId="172" fontId="28" fillId="4" borderId="0" xfId="0" applyFont="true" applyBorder="false" applyAlignment="true" applyProtection="false">
      <alignment horizontal="right" vertical="bottom" textRotation="0" wrapText="false" indent="0" shrinkToFit="false"/>
      <protection locked="true" hidden="false"/>
    </xf>
    <xf numFmtId="172" fontId="14" fillId="0" borderId="0" xfId="0" applyFont="true" applyBorder="false" applyAlignment="true" applyProtection="false">
      <alignment horizontal="right" vertical="bottom" textRotation="0" wrapText="false" indent="0" shrinkToFit="false"/>
      <protection locked="true" hidden="false"/>
    </xf>
    <xf numFmtId="173" fontId="10" fillId="4" borderId="1" xfId="0" applyFont="true" applyBorder="true" applyAlignment="true" applyProtection="false">
      <alignment horizontal="right" vertical="bottom" textRotation="0" wrapText="false" indent="0" shrinkToFit="true"/>
      <protection locked="true" hidden="false"/>
    </xf>
    <xf numFmtId="164" fontId="17" fillId="4" borderId="0" xfId="0" applyFont="true" applyBorder="false" applyAlignment="true" applyProtection="false">
      <alignment horizontal="general" vertical="bottom" textRotation="0" wrapText="tru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70" fontId="30" fillId="5" borderId="1" xfId="0" applyFont="true" applyBorder="true" applyAlignment="true" applyProtection="false">
      <alignment horizontal="right" vertical="bottom" textRotation="0" wrapText="false" indent="0" shrinkToFit="true"/>
      <protection locked="true" hidden="false"/>
    </xf>
    <xf numFmtId="174" fontId="25" fillId="2" borderId="1" xfId="0" applyFont="true" applyBorder="true" applyAlignment="true" applyProtection="false">
      <alignment horizontal="right" vertical="bottom" textRotation="0" wrapText="false" indent="0" shrinkToFit="false"/>
      <protection locked="true" hidden="false"/>
    </xf>
    <xf numFmtId="174" fontId="28" fillId="4" borderId="0" xfId="0" applyFont="true" applyBorder="false" applyAlignment="true" applyProtection="false">
      <alignment horizontal="right" vertical="bottom" textRotation="0" wrapText="false" indent="0" shrinkToFit="false"/>
      <protection locked="true" hidden="false"/>
    </xf>
    <xf numFmtId="174" fontId="14" fillId="0" borderId="0" xfId="0" applyFont="true" applyBorder="false" applyAlignment="true" applyProtection="false">
      <alignment horizontal="right" vertical="bottom" textRotation="0" wrapText="false" indent="0" shrinkToFit="false"/>
      <protection locked="true" hidden="false"/>
    </xf>
    <xf numFmtId="171" fontId="10" fillId="4" borderId="1" xfId="0" applyFont="true" applyBorder="true" applyAlignment="true" applyProtection="false">
      <alignment horizontal="right" vertical="bottom" textRotation="0" wrapText="false" indent="0" shrinkToFit="tru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37" fillId="0" borderId="0" xfId="0" applyFont="true" applyBorder="true" applyAlignment="true" applyProtection="false">
      <alignment horizontal="general" vertical="top" textRotation="0" wrapText="true" indent="0" shrinkToFit="false"/>
      <protection locked="true" hidden="false"/>
    </xf>
    <xf numFmtId="164" fontId="38" fillId="8" borderId="0" xfId="0" applyFont="true" applyBorder="false" applyAlignment="true" applyProtection="false">
      <alignment horizontal="general" vertical="bottom" textRotation="0" wrapText="false" indent="0" shrinkToFit="false"/>
      <protection locked="true" hidden="false"/>
    </xf>
    <xf numFmtId="164" fontId="39" fillId="2"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75" fontId="39" fillId="2" borderId="0" xfId="0" applyFont="true" applyBorder="false" applyAlignment="true" applyProtection="false">
      <alignment horizontal="general" vertical="bottom" textRotation="0" wrapText="false" indent="0" shrinkToFit="false"/>
      <protection locked="true" hidden="false"/>
    </xf>
    <xf numFmtId="175" fontId="18" fillId="0" borderId="0" xfId="0" applyFont="true" applyBorder="false" applyAlignment="true" applyProtection="false">
      <alignment horizontal="general" vertical="bottom" textRotation="0" wrapText="false" indent="0" shrinkToFit="false"/>
      <protection locked="true" hidden="false"/>
    </xf>
    <xf numFmtId="173" fontId="18" fillId="0" borderId="0" xfId="0" applyFont="true" applyBorder="false" applyAlignment="true" applyProtection="false">
      <alignment horizontal="general" vertical="bottom" textRotation="0" wrapText="false" indent="0" shrinkToFit="false"/>
      <protection locked="true" hidden="false"/>
    </xf>
    <xf numFmtId="176" fontId="18" fillId="0" borderId="0" xfId="0" applyFont="true" applyBorder="false" applyAlignment="true" applyProtection="false">
      <alignment horizontal="general" vertical="bottom" textRotation="0" wrapText="false" indent="0" shrinkToFit="false"/>
      <protection locked="true" hidden="false"/>
    </xf>
    <xf numFmtId="164" fontId="38" fillId="8" borderId="0" xfId="0" applyFont="true" applyBorder="false" applyAlignment="true" applyProtection="false">
      <alignment horizontal="general" vertical="top" textRotation="0" wrapText="true" indent="0" shrinkToFit="false"/>
      <protection locked="true" hidden="false"/>
    </xf>
    <xf numFmtId="165" fontId="0" fillId="6" borderId="0" xfId="0" applyFont="false" applyBorder="false" applyAlignment="true" applyProtection="false">
      <alignment horizontal="general" vertical="bottom" textRotation="0" wrapText="false" indent="0" shrinkToFit="false"/>
      <protection locked="true" hidden="false"/>
    </xf>
    <xf numFmtId="172" fontId="0" fillId="6" borderId="0" xfId="0" applyFont="fals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73" fontId="0" fillId="6" borderId="0" xfId="0" applyFont="false" applyBorder="false" applyAlignment="true" applyProtection="false">
      <alignment horizontal="general" vertical="bottom" textRotation="0" wrapText="false" indent="0" shrinkToFit="false"/>
      <protection locked="true" hidden="false"/>
    </xf>
    <xf numFmtId="167" fontId="0" fillId="6" borderId="0" xfId="0" applyFont="false" applyBorder="false" applyAlignment="true" applyProtection="false">
      <alignment horizontal="general" vertical="bottom" textRotation="0" wrapText="false" indent="0" shrinkToFit="false"/>
      <protection locked="true" hidden="false"/>
    </xf>
    <xf numFmtId="174" fontId="0" fillId="6" borderId="0" xfId="0" applyFont="false" applyBorder="false" applyAlignment="true" applyProtection="false">
      <alignment horizontal="general" vertical="bottom" textRotation="0" wrapText="false" indent="0" shrinkToFit="false"/>
      <protection locked="true" hidden="false"/>
    </xf>
    <xf numFmtId="175" fontId="0" fillId="6" borderId="0" xfId="0" applyFont="false" applyBorder="false" applyAlignment="true" applyProtection="false">
      <alignment horizontal="general" vertical="bottom" textRotation="0" wrapText="false" indent="0" shrinkToFit="false"/>
      <protection locked="true" hidden="false"/>
    </xf>
    <xf numFmtId="176" fontId="0" fillId="6" borderId="0" xfId="0" applyFont="false" applyBorder="false" applyAlignment="true" applyProtection="false">
      <alignment horizontal="general" vertical="bottom" textRotation="0" wrapText="false" indent="0" shrinkToFit="false"/>
      <protection locked="true" hidden="false"/>
    </xf>
    <xf numFmtId="166" fontId="0" fillId="6" borderId="0" xfId="0" applyFont="false" applyBorder="false" applyAlignment="true" applyProtection="false">
      <alignment horizontal="general" vertical="bottom" textRotation="0" wrapText="false" indent="0" shrinkToFit="false"/>
      <protection locked="true" hidden="false"/>
    </xf>
    <xf numFmtId="177" fontId="0" fillId="9" borderId="0" xfId="0" applyFont="fals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4" fontId="39" fillId="9" borderId="0" xfId="0" applyFont="true" applyBorder="false" applyAlignment="true" applyProtection="false">
      <alignment horizontal="general" vertical="bottom" textRotation="0" wrapText="false" indent="0" shrinkToFit="false"/>
      <protection locked="true" hidden="false"/>
    </xf>
    <xf numFmtId="164" fontId="0" fillId="8"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0" fillId="7" borderId="0" xfId="0" applyFont="true" applyBorder="false" applyAlignment="true" applyProtection="false">
      <alignment horizontal="general" vertical="top" textRotation="0" wrapText="true" indent="0" shrinkToFit="false"/>
      <protection locked="true" hidden="false"/>
    </xf>
    <xf numFmtId="164" fontId="0" fillId="6"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70" fontId="10" fillId="4" borderId="1" xfId="0" applyFont="true" applyBorder="tru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true" indent="0" shrinkToFit="false"/>
      <protection locked="true" hidden="false"/>
    </xf>
    <xf numFmtId="165" fontId="10" fillId="4" borderId="1" xfId="0" applyFont="true" applyBorder="true" applyAlignment="true" applyProtection="false">
      <alignment horizontal="general" vertical="bottom" textRotation="0" wrapText="false" indent="0" shrinkToFit="false"/>
      <protection locked="true" hidden="false"/>
    </xf>
    <xf numFmtId="174" fontId="10" fillId="4" borderId="1" xfId="0" applyFont="true" applyBorder="true" applyAlignment="true" applyProtection="false">
      <alignment horizontal="general" vertical="bottom" textRotation="0" wrapText="false" indent="0" shrinkToFit="false"/>
      <protection locked="true" hidden="false"/>
    </xf>
    <xf numFmtId="174" fontId="6" fillId="5" borderId="1" xfId="0" applyFont="true" applyBorder="true" applyAlignment="true" applyProtection="false">
      <alignment horizontal="general" vertical="bottom" textRotation="0" wrapText="false" indent="0" shrinkToFit="false"/>
      <protection locked="true" hidden="false"/>
    </xf>
    <xf numFmtId="172" fontId="6" fillId="5" borderId="1"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42" fillId="4" borderId="0" xfId="0" applyFont="true" applyBorder="false" applyAlignment="true" applyProtection="false">
      <alignment horizontal="general" vertical="bottom" textRotation="0" wrapText="true" indent="0" shrinkToFit="false"/>
      <protection locked="true" hidden="false"/>
    </xf>
    <xf numFmtId="174" fontId="1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38" fillId="8" borderId="0" xfId="0" applyFont="true" applyBorder="false" applyAlignment="true" applyProtection="false">
      <alignment horizontal="general" vertical="bottom" textRotation="0" wrapText="true" indent="0" shrinkToFit="false"/>
      <protection locked="true" hidden="false"/>
    </xf>
    <xf numFmtId="176" fontId="39" fillId="2" borderId="0" xfId="0" applyFont="true" applyBorder="false" applyAlignment="true" applyProtection="false">
      <alignment horizontal="general" vertical="bottom" textRotation="0" wrapText="false" indent="0" shrinkToFit="false"/>
      <protection locked="true" hidden="false"/>
    </xf>
    <xf numFmtId="173" fontId="39" fillId="2" borderId="0" xfId="0" applyFont="true" applyBorder="false" applyAlignment="true" applyProtection="false">
      <alignment horizontal="general" vertical="bottom" textRotation="0" wrapText="false" indent="0" shrinkToFit="false"/>
      <protection locked="true" hidden="false"/>
    </xf>
    <xf numFmtId="176" fontId="0" fillId="5" borderId="0" xfId="0" applyFont="false" applyBorder="false" applyAlignment="true" applyProtection="false">
      <alignment horizontal="general" vertical="bottom" textRotation="0" wrapText="false" indent="0" shrinkToFit="false"/>
      <protection locked="true" hidden="false"/>
    </xf>
    <xf numFmtId="173" fontId="0" fillId="5" borderId="0" xfId="0" applyFont="false" applyBorder="false" applyAlignment="true" applyProtection="false">
      <alignment horizontal="general" vertical="bottom" textRotation="0" wrapText="false" indent="0" shrinkToFit="false"/>
      <protection locked="true" hidden="false"/>
    </xf>
    <xf numFmtId="176" fontId="0" fillId="9" borderId="0" xfId="0" applyFont="false" applyBorder="false" applyAlignment="true" applyProtection="false">
      <alignment horizontal="general" vertical="bottom" textRotation="0" wrapText="false" indent="0" shrinkToFit="false"/>
      <protection locked="true" hidden="false"/>
    </xf>
    <xf numFmtId="173" fontId="0" fillId="9" borderId="0" xfId="0" applyFont="false" applyBorder="false" applyAlignment="true" applyProtection="false">
      <alignment horizontal="general" vertical="bottom" textRotation="0" wrapText="false" indent="0" shrinkToFit="false"/>
      <protection locked="true" hidden="false"/>
    </xf>
    <xf numFmtId="166" fontId="0" fillId="5" borderId="0" xfId="0" applyFont="false" applyBorder="false" applyAlignment="true" applyProtection="false">
      <alignment horizontal="general" vertical="bottom" textRotation="0" wrapText="false" indent="0" shrinkToFit="false"/>
      <protection locked="true" hidden="false"/>
    </xf>
    <xf numFmtId="164" fontId="40" fillId="9" borderId="0" xfId="0" applyFont="true" applyBorder="false" applyAlignment="true" applyProtection="false">
      <alignment horizontal="general" vertical="bottom" textRotation="0" wrapText="false" indent="0" shrinkToFit="false"/>
      <protection locked="true" hidden="false"/>
    </xf>
    <xf numFmtId="173" fontId="47" fillId="9" borderId="0" xfId="0" applyFont="true" applyBorder="false" applyAlignment="true" applyProtection="false">
      <alignment horizontal="general" vertical="bottom" textRotation="0" wrapText="false" indent="0" shrinkToFit="false"/>
      <protection locked="true" hidden="false"/>
    </xf>
    <xf numFmtId="172" fontId="39" fillId="2"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true" indent="0" shrinkToFit="false"/>
      <protection locked="true" hidden="false"/>
    </xf>
    <xf numFmtId="164" fontId="49" fillId="0" borderId="0" xfId="0" applyFont="true" applyBorder="false" applyAlignment="true" applyProtection="false">
      <alignment horizontal="general" vertical="top" textRotation="0" wrapText="true" indent="0" shrinkToFit="false"/>
      <protection locked="true" hidden="false"/>
    </xf>
    <xf numFmtId="165" fontId="12" fillId="4" borderId="1" xfId="0" applyFont="true" applyBorder="tru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top" textRotation="0" wrapText="true" indent="0" shrinkToFit="false"/>
      <protection locked="true" hidden="false"/>
    </xf>
    <xf numFmtId="172" fontId="12" fillId="4" borderId="1" xfId="0" applyFont="true" applyBorder="true" applyAlignment="true" applyProtection="false">
      <alignment horizontal="general" vertical="bottom" textRotation="0" wrapText="false" indent="0" shrinkToFit="false"/>
      <protection locked="true" hidden="false"/>
    </xf>
    <xf numFmtId="173" fontId="12" fillId="4" borderId="1" xfId="0" applyFont="true" applyBorder="true" applyAlignment="true" applyProtection="false">
      <alignment horizontal="general" vertical="bottom" textRotation="0" wrapText="false" indent="0" shrinkToFit="false"/>
      <protection locked="true" hidden="false"/>
    </xf>
    <xf numFmtId="166" fontId="12" fillId="4" borderId="1" xfId="0" applyFont="true" applyBorder="true" applyAlignment="true" applyProtection="false">
      <alignment horizontal="general" vertical="bottom" textRotation="0" wrapText="false" indent="0" shrinkToFit="false"/>
      <protection locked="true" hidden="false"/>
    </xf>
    <xf numFmtId="170" fontId="12" fillId="4" borderId="1" xfId="0" applyFont="true" applyBorder="true" applyAlignment="true" applyProtection="false">
      <alignment horizontal="general" vertical="bottom" textRotation="0" wrapText="false" indent="0" shrinkToFit="false"/>
      <protection locked="true" hidden="false"/>
    </xf>
    <xf numFmtId="167" fontId="12" fillId="4" borderId="1" xfId="0" applyFont="true" applyBorder="true" applyAlignment="tru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74" fontId="12" fillId="4" borderId="1" xfId="0" applyFont="true" applyBorder="true" applyAlignment="true" applyProtection="false">
      <alignment horizontal="general" vertical="bottom" textRotation="0" wrapText="false" indent="0" shrinkToFit="false"/>
      <protection locked="true" hidden="false"/>
    </xf>
    <xf numFmtId="168" fontId="12" fillId="4" borderId="1" xfId="0" applyFont="true" applyBorder="true" applyAlignment="true" applyProtection="false">
      <alignment horizontal="general" vertical="bottom" textRotation="0" wrapText="false" indent="0" shrinkToFit="false"/>
      <protection locked="true" hidden="false"/>
    </xf>
    <xf numFmtId="180" fontId="12" fillId="4" borderId="1" xfId="0" applyFont="true" applyBorder="true" applyAlignment="true" applyProtection="false">
      <alignment horizontal="general" vertical="bottom" textRotation="0" wrapText="false" indent="0" shrinkToFit="false"/>
      <protection locked="true" hidden="false"/>
    </xf>
    <xf numFmtId="176" fontId="12" fillId="4" borderId="1" xfId="0" applyFont="true" applyBorder="true" applyAlignment="true" applyProtection="false">
      <alignment horizontal="general" vertical="bottom" textRotation="0" wrapText="false" indent="0" shrinkToFit="false"/>
      <protection locked="true" hidden="false"/>
    </xf>
    <xf numFmtId="166" fontId="0" fillId="2" borderId="0" xfId="0" applyFont="false" applyBorder="false" applyAlignment="true" applyProtection="false">
      <alignment horizontal="general" vertical="bottom" textRotation="0" wrapText="false" indent="0" shrinkToFit="false"/>
      <protection locked="true" hidden="false"/>
    </xf>
    <xf numFmtId="165" fontId="0" fillId="2"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top"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general" vertical="top" textRotation="0" wrapText="true" indent="0" shrinkToFit="false"/>
      <protection locked="true" hidden="false"/>
    </xf>
    <xf numFmtId="164" fontId="0" fillId="7" borderId="2" xfId="0" applyFont="true" applyBorder="true" applyAlignment="true" applyProtection="false">
      <alignment horizontal="general" vertical="top" textRotation="0" wrapText="true" indent="0" shrinkToFit="false"/>
      <protection locked="true" hidden="false"/>
    </xf>
    <xf numFmtId="164" fontId="0" fillId="5" borderId="2" xfId="0" applyFont="true" applyBorder="true" applyAlignment="true" applyProtection="false">
      <alignment horizontal="general" vertical="top" textRotation="0" wrapText="true" indent="0" shrinkToFit="false"/>
      <protection locked="true" hidden="false"/>
    </xf>
    <xf numFmtId="164" fontId="0" fillId="6" borderId="2" xfId="0" applyFont="true" applyBorder="true" applyAlignment="true" applyProtection="false">
      <alignment horizontal="general" vertical="top" textRotation="0" wrapText="true" indent="0" shrinkToFit="false"/>
      <protection locked="true" hidden="false"/>
    </xf>
    <xf numFmtId="164" fontId="0" fillId="9" borderId="2" xfId="0" applyFont="true" applyBorder="true" applyAlignment="true" applyProtection="false">
      <alignment horizontal="general" vertical="top" textRotation="0" wrapText="true" indent="0" shrinkToFit="false"/>
      <protection locked="true" hidden="false"/>
    </xf>
    <xf numFmtId="164" fontId="0" fillId="10" borderId="2" xfId="0" applyFont="true" applyBorder="true" applyAlignment="true" applyProtection="false">
      <alignment horizontal="general" vertical="top" textRotation="0" wrapText="true" indent="0" shrinkToFit="false"/>
      <protection locked="true" hidden="false"/>
    </xf>
    <xf numFmtId="164" fontId="40" fillId="0" borderId="0" xfId="0" applyFont="true" applyBorder="false" applyAlignment="true" applyProtection="false">
      <alignment horizontal="general" vertical="top" textRotation="0" wrapText="true" indent="0" shrinkToFit="false"/>
      <protection locked="true" hidden="false"/>
    </xf>
    <xf numFmtId="164" fontId="38" fillId="11" borderId="0" xfId="0" applyFont="true" applyBorder="false" applyAlignment="tru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38" fillId="11" borderId="2" xfId="0" applyFont="true" applyBorder="true" applyAlignment="true" applyProtection="false">
      <alignment horizontal="general" vertical="center" textRotation="0" wrapText="tru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53" fillId="0" borderId="2" xfId="0" applyFont="true" applyBorder="true" applyAlignment="true" applyProtection="false">
      <alignment horizontal="general" vertical="top" textRotation="0" wrapText="true" indent="0" shrinkToFit="false"/>
      <protection locked="true" hidden="false"/>
    </xf>
    <xf numFmtId="164" fontId="55" fillId="0" borderId="2" xfId="0" applyFont="true" applyBorder="true" applyAlignment="true" applyProtection="false">
      <alignment horizontal="general" vertical="top" textRotation="0" wrapText="true" indent="0" shrinkToFit="false"/>
      <protection locked="true" hidden="false"/>
    </xf>
    <xf numFmtId="164" fontId="56" fillId="11" borderId="0" xfId="0" applyFont="tru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57" fillId="11" borderId="0" xfId="0" applyFont="true" applyBorder="false" applyAlignment="true" applyProtection="false">
      <alignment horizontal="general" vertical="bottom" textRotation="0" wrapText="fals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38" fillId="11" borderId="2"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ont>
        <b val="1"/>
        <color rgb="FF9C0006"/>
      </font>
      <fill>
        <patternFill>
          <bgColor rgb="FFFFC7CE"/>
        </patternFill>
      </fill>
    </dxf>
    <dxf>
      <fill>
        <patternFill patternType="solid">
          <fgColor rgb="FF1F4E7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0B7A70"/>
          <bgColor rgb="FF000000"/>
        </patternFill>
      </fill>
    </dxf>
    <dxf>
      <fill>
        <patternFill patternType="solid">
          <fgColor rgb="FF0563C1"/>
          <bgColor rgb="FF000000"/>
        </patternFill>
      </fill>
    </dxf>
    <dxf>
      <fill>
        <patternFill patternType="solid">
          <fgColor rgb="FFEDEDED"/>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7F6000"/>
      <rgbColor rgb="FF800080"/>
      <rgbColor rgb="FF0B7A70"/>
      <rgbColor rgb="FFBFBFBF"/>
      <rgbColor rgb="FF808080"/>
      <rgbColor rgb="FF5B9BD5"/>
      <rgbColor rgb="FF993366"/>
      <rgbColor rgb="FFFFF2CC"/>
      <rgbColor rgb="FFDDEBF7"/>
      <rgbColor rgb="FF660066"/>
      <rgbColor rgb="FFFF8080"/>
      <rgbColor rgb="FF0563C1"/>
      <rgbColor rgb="FFC9D3DC"/>
      <rgbColor rgb="FF000080"/>
      <rgbColor rgb="FFFF00FF"/>
      <rgbColor rgb="FFFFFF00"/>
      <rgbColor rgb="FF00FFFF"/>
      <rgbColor rgb="FF800080"/>
      <rgbColor rgb="FF800000"/>
      <rgbColor rgb="FF1F6E43"/>
      <rgbColor rgb="FF0000FF"/>
      <rgbColor rgb="FF00CCFF"/>
      <rgbColor rgb="FFF2F2F2"/>
      <rgbColor rgb="FFE2EFDA"/>
      <rgbColor rgb="FFFCE4D6"/>
      <rgbColor rgb="FFD9E1F2"/>
      <rgbColor rgb="FFEDEDED"/>
      <rgbColor rgb="FFCC99FF"/>
      <rgbColor rgb="FFFFC7CE"/>
      <rgbColor rgb="FF2E75B6"/>
      <rgbColor rgb="FF33CCCC"/>
      <rgbColor rgb="FF99CC00"/>
      <rgbColor rgb="FFFFCC00"/>
      <rgbColor rgb="FFFF9900"/>
      <rgbColor rgb="FFFF6600"/>
      <rgbColor rgb="FF595959"/>
      <rgbColor rgb="FF7F7F7F"/>
      <rgbColor rgb="FF0B2545"/>
      <rgbColor rgb="FF339966"/>
      <rgbColor rgb="FF003300"/>
      <rgbColor rgb="FF333300"/>
      <rgbColor rgb="FF993300"/>
      <rgbColor rgb="FF993366"/>
      <rgbColor rgb="FF1F4E7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 Id="rId51" Type="http://schemas.openxmlformats.org/officeDocument/2006/relationships/image" Target="../media/image51.png"/><Relationship Id="rId52" Type="http://schemas.openxmlformats.org/officeDocument/2006/relationships/image" Target="../media/image52.png"/><Relationship Id="rId53" Type="http://schemas.openxmlformats.org/officeDocument/2006/relationships/image" Target="../media/image53.png"/><Relationship Id="rId54" Type="http://schemas.openxmlformats.org/officeDocument/2006/relationships/image" Target="../media/image54.png"/><Relationship Id="rId55" Type="http://schemas.openxmlformats.org/officeDocument/2006/relationships/image" Target="../media/image55.png"/><Relationship Id="rId56" Type="http://schemas.openxmlformats.org/officeDocument/2006/relationships/image" Target="../media/image56.png"/><Relationship Id="rId57" Type="http://schemas.openxmlformats.org/officeDocument/2006/relationships/image" Target="../media/image57.png"/><Relationship Id="rId58" Type="http://schemas.openxmlformats.org/officeDocument/2006/relationships/image" Target="../media/image58.png"/><Relationship Id="rId59" Type="http://schemas.openxmlformats.org/officeDocument/2006/relationships/image" Target="../media/image59.png"/><Relationship Id="rId60" Type="http://schemas.openxmlformats.org/officeDocument/2006/relationships/image" Target="../media/image60.png"/><Relationship Id="rId61" Type="http://schemas.openxmlformats.org/officeDocument/2006/relationships/image" Target="../media/image61.png"/>
</Relationships>
</file>

<file path=xl/drawings/_rels/drawing4.xml.rels><?xml version="1.0" encoding="UTF-8"?>
<Relationships xmlns="http://schemas.openxmlformats.org/package/2006/relationships"><Relationship Id="rId1" Type="http://schemas.openxmlformats.org/officeDocument/2006/relationships/image" Target="../media/image62.png"/><Relationship Id="rId2" Type="http://schemas.openxmlformats.org/officeDocument/2006/relationships/image" Target="../media/image63.png"/><Relationship Id="rId3" Type="http://schemas.openxmlformats.org/officeDocument/2006/relationships/image" Target="../media/image64.png"/><Relationship Id="rId4" Type="http://schemas.openxmlformats.org/officeDocument/2006/relationships/image" Target="../media/image65.png"/><Relationship Id="rId5" Type="http://schemas.openxmlformats.org/officeDocument/2006/relationships/image" Target="../media/image66.png"/><Relationship Id="rId6" Type="http://schemas.openxmlformats.org/officeDocument/2006/relationships/image" Target="../media/image67.png"/><Relationship Id="rId7" Type="http://schemas.openxmlformats.org/officeDocument/2006/relationships/image" Target="../media/image68.png"/><Relationship Id="rId8" Type="http://schemas.openxmlformats.org/officeDocument/2006/relationships/image" Target="../media/image69.png"/><Relationship Id="rId9" Type="http://schemas.openxmlformats.org/officeDocument/2006/relationships/image" Target="../media/image70.png"/><Relationship Id="rId10" Type="http://schemas.openxmlformats.org/officeDocument/2006/relationships/image" Target="../media/image71.png"/><Relationship Id="rId11" Type="http://schemas.openxmlformats.org/officeDocument/2006/relationships/image" Target="../media/image72.png"/><Relationship Id="rId12" Type="http://schemas.openxmlformats.org/officeDocument/2006/relationships/image" Target="../media/image73.png"/><Relationship Id="rId13" Type="http://schemas.openxmlformats.org/officeDocument/2006/relationships/image" Target="../media/image74.png"/><Relationship Id="rId14" Type="http://schemas.openxmlformats.org/officeDocument/2006/relationships/image" Target="../media/image75.png"/><Relationship Id="rId15" Type="http://schemas.openxmlformats.org/officeDocument/2006/relationships/image" Target="../media/image76.png"/><Relationship Id="rId16" Type="http://schemas.openxmlformats.org/officeDocument/2006/relationships/image" Target="../media/image77.png"/><Relationship Id="rId17" Type="http://schemas.openxmlformats.org/officeDocument/2006/relationships/image" Target="../media/image78.png"/><Relationship Id="rId18" Type="http://schemas.openxmlformats.org/officeDocument/2006/relationships/image" Target="../media/image79.png"/><Relationship Id="rId19" Type="http://schemas.openxmlformats.org/officeDocument/2006/relationships/image" Target="../media/image80.png"/><Relationship Id="rId20" Type="http://schemas.openxmlformats.org/officeDocument/2006/relationships/image" Target="../media/image81.png"/><Relationship Id="rId21" Type="http://schemas.openxmlformats.org/officeDocument/2006/relationships/image" Target="../media/image82.png"/><Relationship Id="rId22" Type="http://schemas.openxmlformats.org/officeDocument/2006/relationships/image" Target="../media/image83.png"/><Relationship Id="rId23" Type="http://schemas.openxmlformats.org/officeDocument/2006/relationships/image" Target="../media/image84.png"/><Relationship Id="rId24" Type="http://schemas.openxmlformats.org/officeDocument/2006/relationships/image" Target="../media/image85.png"/><Relationship Id="rId25" Type="http://schemas.openxmlformats.org/officeDocument/2006/relationships/image" Target="../media/image86.png"/><Relationship Id="rId26" Type="http://schemas.openxmlformats.org/officeDocument/2006/relationships/image" Target="../media/image87.png"/><Relationship Id="rId27" Type="http://schemas.openxmlformats.org/officeDocument/2006/relationships/image" Target="../media/image88.png"/><Relationship Id="rId28" Type="http://schemas.openxmlformats.org/officeDocument/2006/relationships/image" Target="../media/image89.png"/><Relationship Id="rId29" Type="http://schemas.openxmlformats.org/officeDocument/2006/relationships/image" Target="../media/image90.png"/><Relationship Id="rId30" Type="http://schemas.openxmlformats.org/officeDocument/2006/relationships/image" Target="../media/image91.png"/><Relationship Id="rId31" Type="http://schemas.openxmlformats.org/officeDocument/2006/relationships/image" Target="../media/image92.png"/><Relationship Id="rId32" Type="http://schemas.openxmlformats.org/officeDocument/2006/relationships/image" Target="../media/image93.png"/><Relationship Id="rId33" Type="http://schemas.openxmlformats.org/officeDocument/2006/relationships/image" Target="../media/image94.png"/><Relationship Id="rId34" Type="http://schemas.openxmlformats.org/officeDocument/2006/relationships/image" Target="../media/image95.png"/><Relationship Id="rId35" Type="http://schemas.openxmlformats.org/officeDocument/2006/relationships/image" Target="../media/image96.png"/><Relationship Id="rId36" Type="http://schemas.openxmlformats.org/officeDocument/2006/relationships/image" Target="../media/image97.png"/><Relationship Id="rId37" Type="http://schemas.openxmlformats.org/officeDocument/2006/relationships/image" Target="../media/image98.png"/><Relationship Id="rId38" Type="http://schemas.openxmlformats.org/officeDocument/2006/relationships/image" Target="../media/image99.png"/><Relationship Id="rId39" Type="http://schemas.openxmlformats.org/officeDocument/2006/relationships/image" Target="../media/image100.png"/><Relationship Id="rId40" Type="http://schemas.openxmlformats.org/officeDocument/2006/relationships/image" Target="../media/image101.png"/><Relationship Id="rId41" Type="http://schemas.openxmlformats.org/officeDocument/2006/relationships/image" Target="../media/image102.png"/><Relationship Id="rId42" Type="http://schemas.openxmlformats.org/officeDocument/2006/relationships/image" Target="../media/image103.png"/><Relationship Id="rId43" Type="http://schemas.openxmlformats.org/officeDocument/2006/relationships/image" Target="../media/image104.png"/><Relationship Id="rId44" Type="http://schemas.openxmlformats.org/officeDocument/2006/relationships/image" Target="../media/image105.png"/><Relationship Id="rId45" Type="http://schemas.openxmlformats.org/officeDocument/2006/relationships/image" Target="../media/image106.png"/><Relationship Id="rId46" Type="http://schemas.openxmlformats.org/officeDocument/2006/relationships/image" Target="../media/image77.png"/><Relationship Id="rId47" Type="http://schemas.openxmlformats.org/officeDocument/2006/relationships/image" Target="../media/image107.png"/><Relationship Id="rId48" Type="http://schemas.openxmlformats.org/officeDocument/2006/relationships/image" Target="../media/image108.png"/><Relationship Id="rId49" Type="http://schemas.openxmlformats.org/officeDocument/2006/relationships/image" Target="../media/image109.png"/><Relationship Id="rId50" Type="http://schemas.openxmlformats.org/officeDocument/2006/relationships/image" Target="../media/image110.png"/><Relationship Id="rId51" Type="http://schemas.openxmlformats.org/officeDocument/2006/relationships/image" Target="../media/image111.png"/><Relationship Id="rId52" Type="http://schemas.openxmlformats.org/officeDocument/2006/relationships/image" Target="../media/image112.png"/><Relationship Id="rId53" Type="http://schemas.openxmlformats.org/officeDocument/2006/relationships/image" Target="../media/image113.png"/><Relationship Id="rId54" Type="http://schemas.openxmlformats.org/officeDocument/2006/relationships/image" Target="../media/image114.png"/><Relationship Id="rId55" Type="http://schemas.openxmlformats.org/officeDocument/2006/relationships/image" Target="../media/image115.png"/><Relationship Id="rId56" Type="http://schemas.openxmlformats.org/officeDocument/2006/relationships/image" Target="../media/image116.png"/><Relationship Id="rId57" Type="http://schemas.openxmlformats.org/officeDocument/2006/relationships/image" Target="../media/image80.png"/><Relationship Id="rId58" Type="http://schemas.openxmlformats.org/officeDocument/2006/relationships/image" Target="../media/image117.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xdr:row>
      <xdr:rowOff>176040</xdr:rowOff>
    </xdr:from>
    <xdr:to>
      <xdr:col>1</xdr:col>
      <xdr:colOff>3714120</xdr:colOff>
      <xdr:row>80</xdr:row>
      <xdr:rowOff>99000</xdr:rowOff>
    </xdr:to>
    <xdr:pic>
      <xdr:nvPicPr>
        <xdr:cNvPr id="0" name="Image 1" descr="Picture"/>
        <xdr:cNvPicPr/>
      </xdr:nvPicPr>
      <xdr:blipFill>
        <a:blip r:embed="rId1"/>
        <a:stretch/>
      </xdr:blipFill>
      <xdr:spPr>
        <a:xfrm>
          <a:off x="266760" y="757080"/>
          <a:ext cx="3714120" cy="14591520"/>
        </a:xfrm>
        <a:prstGeom prst="rect">
          <a:avLst/>
        </a:prstGeom>
        <a:ln w="0">
          <a:noFill/>
        </a:ln>
      </xdr:spPr>
    </xdr:pic>
    <xdr:clientData/>
  </xdr:twoCellAnchor>
  <xdr:twoCellAnchor editAs="oneCell">
    <xdr:from>
      <xdr:col>3</xdr:col>
      <xdr:colOff>0</xdr:colOff>
      <xdr:row>3</xdr:row>
      <xdr:rowOff>176040</xdr:rowOff>
    </xdr:from>
    <xdr:to>
      <xdr:col>3</xdr:col>
      <xdr:colOff>3714120</xdr:colOff>
      <xdr:row>103</xdr:row>
      <xdr:rowOff>32400</xdr:rowOff>
    </xdr:to>
    <xdr:pic>
      <xdr:nvPicPr>
        <xdr:cNvPr id="1" name="Image 2" descr="Picture"/>
        <xdr:cNvPicPr/>
      </xdr:nvPicPr>
      <xdr:blipFill>
        <a:blip r:embed="rId2"/>
        <a:stretch/>
      </xdr:blipFill>
      <xdr:spPr>
        <a:xfrm>
          <a:off x="5689440" y="757080"/>
          <a:ext cx="3714120" cy="18906480"/>
        </a:xfrm>
        <a:prstGeom prst="rect">
          <a:avLst/>
        </a:prstGeom>
        <a:ln w="0">
          <a:noFill/>
        </a:ln>
      </xdr:spPr>
    </xdr:pic>
    <xdr:clientData/>
  </xdr:twoCellAnchor>
  <xdr:twoCellAnchor editAs="oneCell">
    <xdr:from>
      <xdr:col>1</xdr:col>
      <xdr:colOff>0</xdr:colOff>
      <xdr:row>107</xdr:row>
      <xdr:rowOff>176040</xdr:rowOff>
    </xdr:from>
    <xdr:to>
      <xdr:col>1</xdr:col>
      <xdr:colOff>3714120</xdr:colOff>
      <xdr:row>165</xdr:row>
      <xdr:rowOff>156240</xdr:rowOff>
    </xdr:to>
    <xdr:pic>
      <xdr:nvPicPr>
        <xdr:cNvPr id="2" name="Image 3" descr="Picture"/>
        <xdr:cNvPicPr/>
      </xdr:nvPicPr>
      <xdr:blipFill>
        <a:blip r:embed="rId3"/>
        <a:stretch/>
      </xdr:blipFill>
      <xdr:spPr>
        <a:xfrm>
          <a:off x="266760" y="20568960"/>
          <a:ext cx="3714120" cy="11029320"/>
        </a:xfrm>
        <a:prstGeom prst="rect">
          <a:avLst/>
        </a:prstGeom>
        <a:ln w="0">
          <a:noFill/>
        </a:ln>
      </xdr:spPr>
    </xdr:pic>
    <xdr:clientData/>
  </xdr:twoCellAnchor>
  <xdr:twoCellAnchor editAs="oneCell">
    <xdr:from>
      <xdr:col>3</xdr:col>
      <xdr:colOff>0</xdr:colOff>
      <xdr:row>107</xdr:row>
      <xdr:rowOff>176040</xdr:rowOff>
    </xdr:from>
    <xdr:to>
      <xdr:col>3</xdr:col>
      <xdr:colOff>3714120</xdr:colOff>
      <xdr:row>170</xdr:row>
      <xdr:rowOff>41760</xdr:rowOff>
    </xdr:to>
    <xdr:pic>
      <xdr:nvPicPr>
        <xdr:cNvPr id="3" name="Image 4" descr="Picture"/>
        <xdr:cNvPicPr/>
      </xdr:nvPicPr>
      <xdr:blipFill>
        <a:blip r:embed="rId4"/>
        <a:stretch/>
      </xdr:blipFill>
      <xdr:spPr>
        <a:xfrm>
          <a:off x="5689440" y="20568960"/>
          <a:ext cx="3714120" cy="11867400"/>
        </a:xfrm>
        <a:prstGeom prst="rect">
          <a:avLst/>
        </a:prstGeom>
        <a:ln w="0">
          <a:noFill/>
        </a:ln>
      </xdr:spPr>
    </xdr:pic>
    <xdr:clientData/>
  </xdr:twoCellAnchor>
  <xdr:twoCellAnchor editAs="oneCell">
    <xdr:from>
      <xdr:col>1</xdr:col>
      <xdr:colOff>0</xdr:colOff>
      <xdr:row>174</xdr:row>
      <xdr:rowOff>175680</xdr:rowOff>
    </xdr:from>
    <xdr:to>
      <xdr:col>1</xdr:col>
      <xdr:colOff>3714120</xdr:colOff>
      <xdr:row>256</xdr:row>
      <xdr:rowOff>79920</xdr:rowOff>
    </xdr:to>
    <xdr:pic>
      <xdr:nvPicPr>
        <xdr:cNvPr id="4" name="Image 5" descr="Picture"/>
        <xdr:cNvPicPr/>
      </xdr:nvPicPr>
      <xdr:blipFill>
        <a:blip r:embed="rId5"/>
        <a:stretch/>
      </xdr:blipFill>
      <xdr:spPr>
        <a:xfrm>
          <a:off x="266760" y="33332040"/>
          <a:ext cx="3714120" cy="15525360"/>
        </a:xfrm>
        <a:prstGeom prst="rect">
          <a:avLst/>
        </a:prstGeom>
        <a:ln w="0">
          <a:noFill/>
        </a:ln>
      </xdr:spPr>
    </xdr:pic>
    <xdr:clientData/>
  </xdr:twoCellAnchor>
  <xdr:twoCellAnchor editAs="oneCell">
    <xdr:from>
      <xdr:col>3</xdr:col>
      <xdr:colOff>0</xdr:colOff>
      <xdr:row>174</xdr:row>
      <xdr:rowOff>175680</xdr:rowOff>
    </xdr:from>
    <xdr:to>
      <xdr:col>3</xdr:col>
      <xdr:colOff>3714120</xdr:colOff>
      <xdr:row>253</xdr:row>
      <xdr:rowOff>79920</xdr:rowOff>
    </xdr:to>
    <xdr:pic>
      <xdr:nvPicPr>
        <xdr:cNvPr id="5" name="Image 6" descr="Picture"/>
        <xdr:cNvPicPr/>
      </xdr:nvPicPr>
      <xdr:blipFill>
        <a:blip r:embed="rId6"/>
        <a:stretch/>
      </xdr:blipFill>
      <xdr:spPr>
        <a:xfrm>
          <a:off x="5689440" y="33332040"/>
          <a:ext cx="3714120" cy="14954040"/>
        </a:xfrm>
        <a:prstGeom prst="rect">
          <a:avLst/>
        </a:prstGeom>
        <a:ln w="0">
          <a:noFill/>
        </a:ln>
      </xdr:spPr>
    </xdr:pic>
    <xdr:clientData/>
  </xdr:twoCellAnchor>
  <xdr:twoCellAnchor editAs="oneCell">
    <xdr:from>
      <xdr:col>1</xdr:col>
      <xdr:colOff>0</xdr:colOff>
      <xdr:row>260</xdr:row>
      <xdr:rowOff>176040</xdr:rowOff>
    </xdr:from>
    <xdr:to>
      <xdr:col>1</xdr:col>
      <xdr:colOff>3714120</xdr:colOff>
      <xdr:row>315</xdr:row>
      <xdr:rowOff>108720</xdr:rowOff>
    </xdr:to>
    <xdr:pic>
      <xdr:nvPicPr>
        <xdr:cNvPr id="6" name="Image 7" descr="Picture"/>
        <xdr:cNvPicPr/>
      </xdr:nvPicPr>
      <xdr:blipFill>
        <a:blip r:embed="rId7"/>
        <a:stretch/>
      </xdr:blipFill>
      <xdr:spPr>
        <a:xfrm>
          <a:off x="266760" y="49715640"/>
          <a:ext cx="3714120" cy="10410120"/>
        </a:xfrm>
        <a:prstGeom prst="rect">
          <a:avLst/>
        </a:prstGeom>
        <a:ln w="0">
          <a:noFill/>
        </a:ln>
      </xdr:spPr>
    </xdr:pic>
    <xdr:clientData/>
  </xdr:twoCellAnchor>
  <xdr:twoCellAnchor editAs="oneCell">
    <xdr:from>
      <xdr:col>3</xdr:col>
      <xdr:colOff>0</xdr:colOff>
      <xdr:row>260</xdr:row>
      <xdr:rowOff>176040</xdr:rowOff>
    </xdr:from>
    <xdr:to>
      <xdr:col>3</xdr:col>
      <xdr:colOff>3714120</xdr:colOff>
      <xdr:row>323</xdr:row>
      <xdr:rowOff>23040</xdr:rowOff>
    </xdr:to>
    <xdr:pic>
      <xdr:nvPicPr>
        <xdr:cNvPr id="7" name="Image 8" descr="Picture"/>
        <xdr:cNvPicPr/>
      </xdr:nvPicPr>
      <xdr:blipFill>
        <a:blip r:embed="rId8"/>
        <a:stretch/>
      </xdr:blipFill>
      <xdr:spPr>
        <a:xfrm>
          <a:off x="5689440" y="49715640"/>
          <a:ext cx="3714120" cy="11848320"/>
        </a:xfrm>
        <a:prstGeom prst="rect">
          <a:avLst/>
        </a:prstGeom>
        <a:ln w="0">
          <a:noFill/>
        </a:ln>
      </xdr:spPr>
    </xdr:pic>
    <xdr:clientData/>
  </xdr:twoCellAnchor>
  <xdr:twoCellAnchor editAs="oneCell">
    <xdr:from>
      <xdr:col>1</xdr:col>
      <xdr:colOff>0</xdr:colOff>
      <xdr:row>327</xdr:row>
      <xdr:rowOff>176040</xdr:rowOff>
    </xdr:from>
    <xdr:to>
      <xdr:col>1</xdr:col>
      <xdr:colOff>3714120</xdr:colOff>
      <xdr:row>381</xdr:row>
      <xdr:rowOff>13320</xdr:rowOff>
    </xdr:to>
    <xdr:pic>
      <xdr:nvPicPr>
        <xdr:cNvPr id="8" name="Image 9" descr="Picture"/>
        <xdr:cNvPicPr/>
      </xdr:nvPicPr>
      <xdr:blipFill>
        <a:blip r:embed="rId9"/>
        <a:stretch/>
      </xdr:blipFill>
      <xdr:spPr>
        <a:xfrm>
          <a:off x="266760" y="62479080"/>
          <a:ext cx="3714120" cy="10124280"/>
        </a:xfrm>
        <a:prstGeom prst="rect">
          <a:avLst/>
        </a:prstGeom>
        <a:ln w="0">
          <a:noFill/>
        </a:ln>
      </xdr:spPr>
    </xdr:pic>
    <xdr:clientData/>
  </xdr:twoCellAnchor>
  <xdr:twoCellAnchor editAs="oneCell">
    <xdr:from>
      <xdr:col>3</xdr:col>
      <xdr:colOff>0</xdr:colOff>
      <xdr:row>327</xdr:row>
      <xdr:rowOff>176040</xdr:rowOff>
    </xdr:from>
    <xdr:to>
      <xdr:col>3</xdr:col>
      <xdr:colOff>3714120</xdr:colOff>
      <xdr:row>387</xdr:row>
      <xdr:rowOff>108720</xdr:rowOff>
    </xdr:to>
    <xdr:pic>
      <xdr:nvPicPr>
        <xdr:cNvPr id="9" name="Image 10" descr="Picture"/>
        <xdr:cNvPicPr/>
      </xdr:nvPicPr>
      <xdr:blipFill>
        <a:blip r:embed="rId10"/>
        <a:stretch/>
      </xdr:blipFill>
      <xdr:spPr>
        <a:xfrm>
          <a:off x="5689440" y="62479080"/>
          <a:ext cx="3714120" cy="11362680"/>
        </a:xfrm>
        <a:prstGeom prst="rect">
          <a:avLst/>
        </a:prstGeom>
        <a:ln w="0">
          <a:noFill/>
        </a:ln>
      </xdr:spPr>
    </xdr:pic>
    <xdr:clientData/>
  </xdr:twoCellAnchor>
  <xdr:twoCellAnchor editAs="oneCell">
    <xdr:from>
      <xdr:col>1</xdr:col>
      <xdr:colOff>0</xdr:colOff>
      <xdr:row>391</xdr:row>
      <xdr:rowOff>175680</xdr:rowOff>
    </xdr:from>
    <xdr:to>
      <xdr:col>1</xdr:col>
      <xdr:colOff>3714120</xdr:colOff>
      <xdr:row>446</xdr:row>
      <xdr:rowOff>108360</xdr:rowOff>
    </xdr:to>
    <xdr:pic>
      <xdr:nvPicPr>
        <xdr:cNvPr id="10" name="Image 11" descr="Picture"/>
        <xdr:cNvPicPr/>
      </xdr:nvPicPr>
      <xdr:blipFill>
        <a:blip r:embed="rId11"/>
        <a:stretch/>
      </xdr:blipFill>
      <xdr:spPr>
        <a:xfrm>
          <a:off x="266760" y="74670840"/>
          <a:ext cx="3714120" cy="10410120"/>
        </a:xfrm>
        <a:prstGeom prst="rect">
          <a:avLst/>
        </a:prstGeom>
        <a:ln w="0">
          <a:noFill/>
        </a:ln>
      </xdr:spPr>
    </xdr:pic>
    <xdr:clientData/>
  </xdr:twoCellAnchor>
  <xdr:twoCellAnchor editAs="oneCell">
    <xdr:from>
      <xdr:col>3</xdr:col>
      <xdr:colOff>0</xdr:colOff>
      <xdr:row>391</xdr:row>
      <xdr:rowOff>175680</xdr:rowOff>
    </xdr:from>
    <xdr:to>
      <xdr:col>3</xdr:col>
      <xdr:colOff>3714120</xdr:colOff>
      <xdr:row>454</xdr:row>
      <xdr:rowOff>13320</xdr:rowOff>
    </xdr:to>
    <xdr:pic>
      <xdr:nvPicPr>
        <xdr:cNvPr id="11" name="Image 12" descr="Picture"/>
        <xdr:cNvPicPr/>
      </xdr:nvPicPr>
      <xdr:blipFill>
        <a:blip r:embed="rId12"/>
        <a:stretch/>
      </xdr:blipFill>
      <xdr:spPr>
        <a:xfrm>
          <a:off x="5689440" y="74670840"/>
          <a:ext cx="3714120" cy="11838960"/>
        </a:xfrm>
        <a:prstGeom prst="rect">
          <a:avLst/>
        </a:prstGeom>
        <a:ln w="0">
          <a:noFill/>
        </a:ln>
      </xdr:spPr>
    </xdr:pic>
    <xdr:clientData/>
  </xdr:twoCellAnchor>
  <xdr:twoCellAnchor editAs="oneCell">
    <xdr:from>
      <xdr:col>1</xdr:col>
      <xdr:colOff>0</xdr:colOff>
      <xdr:row>458</xdr:row>
      <xdr:rowOff>176040</xdr:rowOff>
    </xdr:from>
    <xdr:to>
      <xdr:col>1</xdr:col>
      <xdr:colOff>3714120</xdr:colOff>
      <xdr:row>576</xdr:row>
      <xdr:rowOff>3600</xdr:rowOff>
    </xdr:to>
    <xdr:pic>
      <xdr:nvPicPr>
        <xdr:cNvPr id="12" name="Image 13" descr="Picture"/>
        <xdr:cNvPicPr/>
      </xdr:nvPicPr>
      <xdr:blipFill>
        <a:blip r:embed="rId13"/>
        <a:stretch/>
      </xdr:blipFill>
      <xdr:spPr>
        <a:xfrm>
          <a:off x="266760" y="87434640"/>
          <a:ext cx="3714120" cy="22306320"/>
        </a:xfrm>
        <a:prstGeom prst="rect">
          <a:avLst/>
        </a:prstGeom>
        <a:ln w="0">
          <a:noFill/>
        </a:ln>
      </xdr:spPr>
    </xdr:pic>
    <xdr:clientData/>
  </xdr:twoCellAnchor>
  <xdr:twoCellAnchor editAs="oneCell">
    <xdr:from>
      <xdr:col>3</xdr:col>
      <xdr:colOff>0</xdr:colOff>
      <xdr:row>458</xdr:row>
      <xdr:rowOff>176040</xdr:rowOff>
    </xdr:from>
    <xdr:to>
      <xdr:col>3</xdr:col>
      <xdr:colOff>3714120</xdr:colOff>
      <xdr:row>572</xdr:row>
      <xdr:rowOff>146880</xdr:rowOff>
    </xdr:to>
    <xdr:pic>
      <xdr:nvPicPr>
        <xdr:cNvPr id="13" name="Image 14" descr="Picture"/>
        <xdr:cNvPicPr/>
      </xdr:nvPicPr>
      <xdr:blipFill>
        <a:blip r:embed="rId14"/>
        <a:stretch/>
      </xdr:blipFill>
      <xdr:spPr>
        <a:xfrm>
          <a:off x="5689440" y="87434640"/>
          <a:ext cx="3714120" cy="21687840"/>
        </a:xfrm>
        <a:prstGeom prst="rect">
          <a:avLst/>
        </a:prstGeom>
        <a:ln w="0">
          <a:noFill/>
        </a:ln>
      </xdr:spPr>
    </xdr:pic>
    <xdr:clientData/>
  </xdr:twoCellAnchor>
  <xdr:twoCellAnchor editAs="oneCell">
    <xdr:from>
      <xdr:col>1</xdr:col>
      <xdr:colOff>0</xdr:colOff>
      <xdr:row>580</xdr:row>
      <xdr:rowOff>176040</xdr:rowOff>
    </xdr:from>
    <xdr:to>
      <xdr:col>1</xdr:col>
      <xdr:colOff>3714120</xdr:colOff>
      <xdr:row>670</xdr:row>
      <xdr:rowOff>3960</xdr:rowOff>
    </xdr:to>
    <xdr:pic>
      <xdr:nvPicPr>
        <xdr:cNvPr id="14" name="Image 15" descr="Picture"/>
        <xdr:cNvPicPr/>
      </xdr:nvPicPr>
      <xdr:blipFill>
        <a:blip r:embed="rId15"/>
        <a:stretch/>
      </xdr:blipFill>
      <xdr:spPr>
        <a:xfrm>
          <a:off x="266760" y="110675520"/>
          <a:ext cx="3714120" cy="16972920"/>
        </a:xfrm>
        <a:prstGeom prst="rect">
          <a:avLst/>
        </a:prstGeom>
        <a:ln w="0">
          <a:noFill/>
        </a:ln>
      </xdr:spPr>
    </xdr:pic>
    <xdr:clientData/>
  </xdr:twoCellAnchor>
  <xdr:twoCellAnchor editAs="oneCell">
    <xdr:from>
      <xdr:col>3</xdr:col>
      <xdr:colOff>0</xdr:colOff>
      <xdr:row>580</xdr:row>
      <xdr:rowOff>176040</xdr:rowOff>
    </xdr:from>
    <xdr:to>
      <xdr:col>3</xdr:col>
      <xdr:colOff>3714120</xdr:colOff>
      <xdr:row>649</xdr:row>
      <xdr:rowOff>70200</xdr:rowOff>
    </xdr:to>
    <xdr:pic>
      <xdr:nvPicPr>
        <xdr:cNvPr id="15" name="Image 16" descr="Picture"/>
        <xdr:cNvPicPr/>
      </xdr:nvPicPr>
      <xdr:blipFill>
        <a:blip r:embed="rId16"/>
        <a:stretch/>
      </xdr:blipFill>
      <xdr:spPr>
        <a:xfrm>
          <a:off x="5689440" y="110675520"/>
          <a:ext cx="3714120" cy="13038840"/>
        </a:xfrm>
        <a:prstGeom prst="rect">
          <a:avLst/>
        </a:prstGeom>
        <a:ln w="0">
          <a:noFill/>
        </a:ln>
      </xdr:spPr>
    </xdr:pic>
    <xdr:clientData/>
  </xdr:twoCellAnchor>
  <xdr:twoCellAnchor editAs="oneCell">
    <xdr:from>
      <xdr:col>1</xdr:col>
      <xdr:colOff>0</xdr:colOff>
      <xdr:row>674</xdr:row>
      <xdr:rowOff>176040</xdr:rowOff>
    </xdr:from>
    <xdr:to>
      <xdr:col>1</xdr:col>
      <xdr:colOff>3714120</xdr:colOff>
      <xdr:row>758</xdr:row>
      <xdr:rowOff>32400</xdr:rowOff>
    </xdr:to>
    <xdr:pic>
      <xdr:nvPicPr>
        <xdr:cNvPr id="16" name="Image 17" descr="Picture"/>
        <xdr:cNvPicPr/>
      </xdr:nvPicPr>
      <xdr:blipFill>
        <a:blip r:embed="rId17"/>
        <a:stretch/>
      </xdr:blipFill>
      <xdr:spPr>
        <a:xfrm>
          <a:off x="266760" y="128582640"/>
          <a:ext cx="3714120" cy="15858360"/>
        </a:xfrm>
        <a:prstGeom prst="rect">
          <a:avLst/>
        </a:prstGeom>
        <a:ln w="0">
          <a:noFill/>
        </a:ln>
      </xdr:spPr>
    </xdr:pic>
    <xdr:clientData/>
  </xdr:twoCellAnchor>
  <xdr:twoCellAnchor editAs="oneCell">
    <xdr:from>
      <xdr:col>3</xdr:col>
      <xdr:colOff>0</xdr:colOff>
      <xdr:row>674</xdr:row>
      <xdr:rowOff>176040</xdr:rowOff>
    </xdr:from>
    <xdr:to>
      <xdr:col>3</xdr:col>
      <xdr:colOff>3714120</xdr:colOff>
      <xdr:row>741</xdr:row>
      <xdr:rowOff>70560</xdr:rowOff>
    </xdr:to>
    <xdr:pic>
      <xdr:nvPicPr>
        <xdr:cNvPr id="17" name="Image 18" descr="Picture"/>
        <xdr:cNvPicPr/>
      </xdr:nvPicPr>
      <xdr:blipFill>
        <a:blip r:embed="rId18"/>
        <a:stretch/>
      </xdr:blipFill>
      <xdr:spPr>
        <a:xfrm>
          <a:off x="5689440" y="128582640"/>
          <a:ext cx="3714120" cy="12657960"/>
        </a:xfrm>
        <a:prstGeom prst="rect">
          <a:avLst/>
        </a:prstGeom>
        <a:ln w="0">
          <a:noFill/>
        </a:ln>
      </xdr:spPr>
    </xdr:pic>
    <xdr:clientData/>
  </xdr:twoCellAnchor>
  <xdr:twoCellAnchor editAs="oneCell">
    <xdr:from>
      <xdr:col>1</xdr:col>
      <xdr:colOff>0</xdr:colOff>
      <xdr:row>762</xdr:row>
      <xdr:rowOff>175680</xdr:rowOff>
    </xdr:from>
    <xdr:to>
      <xdr:col>1</xdr:col>
      <xdr:colOff>3714120</xdr:colOff>
      <xdr:row>827</xdr:row>
      <xdr:rowOff>175320</xdr:rowOff>
    </xdr:to>
    <xdr:pic>
      <xdr:nvPicPr>
        <xdr:cNvPr id="18" name="Image 19" descr="Picture"/>
        <xdr:cNvPicPr/>
      </xdr:nvPicPr>
      <xdr:blipFill>
        <a:blip r:embed="rId19"/>
        <a:stretch/>
      </xdr:blipFill>
      <xdr:spPr>
        <a:xfrm>
          <a:off x="266760" y="145346040"/>
          <a:ext cx="3714120" cy="12382200"/>
        </a:xfrm>
        <a:prstGeom prst="rect">
          <a:avLst/>
        </a:prstGeom>
        <a:ln w="0">
          <a:noFill/>
        </a:ln>
      </xdr:spPr>
    </xdr:pic>
    <xdr:clientData/>
  </xdr:twoCellAnchor>
  <xdr:twoCellAnchor editAs="oneCell">
    <xdr:from>
      <xdr:col>3</xdr:col>
      <xdr:colOff>0</xdr:colOff>
      <xdr:row>762</xdr:row>
      <xdr:rowOff>175680</xdr:rowOff>
    </xdr:from>
    <xdr:to>
      <xdr:col>3</xdr:col>
      <xdr:colOff>3714120</xdr:colOff>
      <xdr:row>836</xdr:row>
      <xdr:rowOff>108360</xdr:rowOff>
    </xdr:to>
    <xdr:pic>
      <xdr:nvPicPr>
        <xdr:cNvPr id="19" name="Image 20" descr="Picture"/>
        <xdr:cNvPicPr/>
      </xdr:nvPicPr>
      <xdr:blipFill>
        <a:blip r:embed="rId20"/>
        <a:stretch/>
      </xdr:blipFill>
      <xdr:spPr>
        <a:xfrm>
          <a:off x="5689440" y="145346040"/>
          <a:ext cx="3714120" cy="14029920"/>
        </a:xfrm>
        <a:prstGeom prst="rect">
          <a:avLst/>
        </a:prstGeom>
        <a:ln w="0">
          <a:noFill/>
        </a:ln>
      </xdr:spPr>
    </xdr:pic>
    <xdr:clientData/>
  </xdr:twoCellAnchor>
  <xdr:twoCellAnchor editAs="oneCell">
    <xdr:from>
      <xdr:col>1</xdr:col>
      <xdr:colOff>0</xdr:colOff>
      <xdr:row>840</xdr:row>
      <xdr:rowOff>175680</xdr:rowOff>
    </xdr:from>
    <xdr:to>
      <xdr:col>1</xdr:col>
      <xdr:colOff>3714120</xdr:colOff>
      <xdr:row>898</xdr:row>
      <xdr:rowOff>51480</xdr:rowOff>
    </xdr:to>
    <xdr:pic>
      <xdr:nvPicPr>
        <xdr:cNvPr id="20" name="Image 21" descr="Picture"/>
        <xdr:cNvPicPr/>
      </xdr:nvPicPr>
      <xdr:blipFill>
        <a:blip r:embed="rId21"/>
        <a:stretch/>
      </xdr:blipFill>
      <xdr:spPr>
        <a:xfrm>
          <a:off x="266760" y="160205040"/>
          <a:ext cx="3714120" cy="10924920"/>
        </a:xfrm>
        <a:prstGeom prst="rect">
          <a:avLst/>
        </a:prstGeom>
        <a:ln w="0">
          <a:noFill/>
        </a:ln>
      </xdr:spPr>
    </xdr:pic>
    <xdr:clientData/>
  </xdr:twoCellAnchor>
  <xdr:twoCellAnchor editAs="oneCell">
    <xdr:from>
      <xdr:col>3</xdr:col>
      <xdr:colOff>0</xdr:colOff>
      <xdr:row>840</xdr:row>
      <xdr:rowOff>175680</xdr:rowOff>
    </xdr:from>
    <xdr:to>
      <xdr:col>3</xdr:col>
      <xdr:colOff>3714120</xdr:colOff>
      <xdr:row>895</xdr:row>
      <xdr:rowOff>51120</xdr:rowOff>
    </xdr:to>
    <xdr:pic>
      <xdr:nvPicPr>
        <xdr:cNvPr id="21" name="Image 22" descr="Picture"/>
        <xdr:cNvPicPr/>
      </xdr:nvPicPr>
      <xdr:blipFill>
        <a:blip r:embed="rId22"/>
        <a:stretch/>
      </xdr:blipFill>
      <xdr:spPr>
        <a:xfrm>
          <a:off x="5689440" y="160205040"/>
          <a:ext cx="3714120" cy="10353240"/>
        </a:xfrm>
        <a:prstGeom prst="rect">
          <a:avLst/>
        </a:prstGeom>
        <a:ln w="0">
          <a:noFill/>
        </a:ln>
      </xdr:spPr>
    </xdr:pic>
    <xdr:clientData/>
  </xdr:twoCellAnchor>
  <xdr:twoCellAnchor editAs="oneCell">
    <xdr:from>
      <xdr:col>1</xdr:col>
      <xdr:colOff>0</xdr:colOff>
      <xdr:row>902</xdr:row>
      <xdr:rowOff>176040</xdr:rowOff>
    </xdr:from>
    <xdr:to>
      <xdr:col>1</xdr:col>
      <xdr:colOff>3714120</xdr:colOff>
      <xdr:row>1059</xdr:row>
      <xdr:rowOff>42120</xdr:rowOff>
    </xdr:to>
    <xdr:pic>
      <xdr:nvPicPr>
        <xdr:cNvPr id="22" name="Image 23" descr="Picture"/>
        <xdr:cNvPicPr/>
      </xdr:nvPicPr>
      <xdr:blipFill>
        <a:blip r:embed="rId23"/>
        <a:stretch/>
      </xdr:blipFill>
      <xdr:spPr>
        <a:xfrm>
          <a:off x="266760" y="172016640"/>
          <a:ext cx="3714120" cy="29774520"/>
        </a:xfrm>
        <a:prstGeom prst="rect">
          <a:avLst/>
        </a:prstGeom>
        <a:ln w="0">
          <a:noFill/>
        </a:ln>
      </xdr:spPr>
    </xdr:pic>
    <xdr:clientData/>
  </xdr:twoCellAnchor>
  <xdr:twoCellAnchor editAs="oneCell">
    <xdr:from>
      <xdr:col>3</xdr:col>
      <xdr:colOff>0</xdr:colOff>
      <xdr:row>902</xdr:row>
      <xdr:rowOff>176040</xdr:rowOff>
    </xdr:from>
    <xdr:to>
      <xdr:col>3</xdr:col>
      <xdr:colOff>3714120</xdr:colOff>
      <xdr:row>1040</xdr:row>
      <xdr:rowOff>184680</xdr:rowOff>
    </xdr:to>
    <xdr:pic>
      <xdr:nvPicPr>
        <xdr:cNvPr id="23" name="Image 24" descr="Picture"/>
        <xdr:cNvPicPr/>
      </xdr:nvPicPr>
      <xdr:blipFill>
        <a:blip r:embed="rId24"/>
        <a:stretch/>
      </xdr:blipFill>
      <xdr:spPr>
        <a:xfrm>
          <a:off x="5689440" y="172016640"/>
          <a:ext cx="3714120" cy="26297640"/>
        </a:xfrm>
        <a:prstGeom prst="rect">
          <a:avLst/>
        </a:prstGeom>
        <a:ln w="0">
          <a:noFill/>
        </a:ln>
      </xdr:spPr>
    </xdr:pic>
    <xdr:clientData/>
  </xdr:twoCellAnchor>
  <xdr:twoCellAnchor editAs="oneCell">
    <xdr:from>
      <xdr:col>1</xdr:col>
      <xdr:colOff>0</xdr:colOff>
      <xdr:row>1062</xdr:row>
      <xdr:rowOff>175680</xdr:rowOff>
    </xdr:from>
    <xdr:to>
      <xdr:col>1</xdr:col>
      <xdr:colOff>3714120</xdr:colOff>
      <xdr:row>1200</xdr:row>
      <xdr:rowOff>184320</xdr:rowOff>
    </xdr:to>
    <xdr:pic>
      <xdr:nvPicPr>
        <xdr:cNvPr id="24" name="Image 25" descr="Picture"/>
        <xdr:cNvPicPr/>
      </xdr:nvPicPr>
      <xdr:blipFill>
        <a:blip r:embed="rId25"/>
        <a:stretch/>
      </xdr:blipFill>
      <xdr:spPr>
        <a:xfrm>
          <a:off x="266760" y="202496040"/>
          <a:ext cx="3714120" cy="26297640"/>
        </a:xfrm>
        <a:prstGeom prst="rect">
          <a:avLst/>
        </a:prstGeom>
        <a:ln w="0">
          <a:noFill/>
        </a:ln>
      </xdr:spPr>
    </xdr:pic>
    <xdr:clientData/>
  </xdr:twoCellAnchor>
  <xdr:twoCellAnchor editAs="oneCell">
    <xdr:from>
      <xdr:col>1</xdr:col>
      <xdr:colOff>0</xdr:colOff>
      <xdr:row>1205</xdr:row>
      <xdr:rowOff>176040</xdr:rowOff>
    </xdr:from>
    <xdr:to>
      <xdr:col>1</xdr:col>
      <xdr:colOff>3714120</xdr:colOff>
      <xdr:row>1308</xdr:row>
      <xdr:rowOff>108360</xdr:rowOff>
    </xdr:to>
    <xdr:pic>
      <xdr:nvPicPr>
        <xdr:cNvPr id="25" name="Image 26" descr="Picture"/>
        <xdr:cNvPicPr/>
      </xdr:nvPicPr>
      <xdr:blipFill>
        <a:blip r:embed="rId26"/>
        <a:stretch/>
      </xdr:blipFill>
      <xdr:spPr>
        <a:xfrm>
          <a:off x="266760" y="229737960"/>
          <a:ext cx="3714120" cy="19553760"/>
        </a:xfrm>
        <a:prstGeom prst="rect">
          <a:avLst/>
        </a:prstGeom>
        <a:ln w="0">
          <a:noFill/>
        </a:ln>
      </xdr:spPr>
    </xdr:pic>
    <xdr:clientData/>
  </xdr:twoCellAnchor>
  <xdr:twoCellAnchor editAs="oneCell">
    <xdr:from>
      <xdr:col>3</xdr:col>
      <xdr:colOff>0</xdr:colOff>
      <xdr:row>1205</xdr:row>
      <xdr:rowOff>176040</xdr:rowOff>
    </xdr:from>
    <xdr:to>
      <xdr:col>3</xdr:col>
      <xdr:colOff>3714120</xdr:colOff>
      <xdr:row>1292</xdr:row>
      <xdr:rowOff>156240</xdr:rowOff>
    </xdr:to>
    <xdr:pic>
      <xdr:nvPicPr>
        <xdr:cNvPr id="26" name="Image 27" descr="Picture"/>
        <xdr:cNvPicPr/>
      </xdr:nvPicPr>
      <xdr:blipFill>
        <a:blip r:embed="rId27"/>
        <a:stretch/>
      </xdr:blipFill>
      <xdr:spPr>
        <a:xfrm>
          <a:off x="5689440" y="229737960"/>
          <a:ext cx="3714120" cy="16553880"/>
        </a:xfrm>
        <a:prstGeom prst="rect">
          <a:avLst/>
        </a:prstGeom>
        <a:ln w="0">
          <a:noFill/>
        </a:ln>
      </xdr:spPr>
    </xdr:pic>
    <xdr:clientData/>
  </xdr:twoCellAnchor>
  <xdr:twoCellAnchor editAs="oneCell">
    <xdr:from>
      <xdr:col>1</xdr:col>
      <xdr:colOff>0</xdr:colOff>
      <xdr:row>1311</xdr:row>
      <xdr:rowOff>176040</xdr:rowOff>
    </xdr:from>
    <xdr:to>
      <xdr:col>1</xdr:col>
      <xdr:colOff>3714120</xdr:colOff>
      <xdr:row>1398</xdr:row>
      <xdr:rowOff>156240</xdr:rowOff>
    </xdr:to>
    <xdr:pic>
      <xdr:nvPicPr>
        <xdr:cNvPr id="27" name="Image 28" descr="Picture"/>
        <xdr:cNvPicPr/>
      </xdr:nvPicPr>
      <xdr:blipFill>
        <a:blip r:embed="rId28"/>
        <a:stretch/>
      </xdr:blipFill>
      <xdr:spPr>
        <a:xfrm>
          <a:off x="266760" y="249931080"/>
          <a:ext cx="3714120" cy="16553520"/>
        </a:xfrm>
        <a:prstGeom prst="rect">
          <a:avLst/>
        </a:prstGeom>
        <a:ln w="0">
          <a:noFill/>
        </a:ln>
      </xdr:spPr>
    </xdr:pic>
    <xdr:clientData/>
  </xdr:twoCellAnchor>
  <xdr:twoCellAnchor editAs="oneCell">
    <xdr:from>
      <xdr:col>1</xdr:col>
      <xdr:colOff>0</xdr:colOff>
      <xdr:row>1402</xdr:row>
      <xdr:rowOff>176040</xdr:rowOff>
    </xdr:from>
    <xdr:to>
      <xdr:col>1</xdr:col>
      <xdr:colOff>3714120</xdr:colOff>
      <xdr:row>1502</xdr:row>
      <xdr:rowOff>89640</xdr:rowOff>
    </xdr:to>
    <xdr:pic>
      <xdr:nvPicPr>
        <xdr:cNvPr id="28" name="Image 29" descr="Picture"/>
        <xdr:cNvPicPr/>
      </xdr:nvPicPr>
      <xdr:blipFill>
        <a:blip r:embed="rId29"/>
        <a:stretch/>
      </xdr:blipFill>
      <xdr:spPr>
        <a:xfrm>
          <a:off x="266760" y="267266520"/>
          <a:ext cx="3714120" cy="18963720"/>
        </a:xfrm>
        <a:prstGeom prst="rect">
          <a:avLst/>
        </a:prstGeom>
        <a:ln w="0">
          <a:noFill/>
        </a:ln>
      </xdr:spPr>
    </xdr:pic>
    <xdr:clientData/>
  </xdr:twoCellAnchor>
  <xdr:twoCellAnchor editAs="oneCell">
    <xdr:from>
      <xdr:col>3</xdr:col>
      <xdr:colOff>0</xdr:colOff>
      <xdr:row>1402</xdr:row>
      <xdr:rowOff>176040</xdr:rowOff>
    </xdr:from>
    <xdr:to>
      <xdr:col>3</xdr:col>
      <xdr:colOff>3714120</xdr:colOff>
      <xdr:row>1486</xdr:row>
      <xdr:rowOff>137160</xdr:rowOff>
    </xdr:to>
    <xdr:pic>
      <xdr:nvPicPr>
        <xdr:cNvPr id="29" name="Image 30" descr="Picture"/>
        <xdr:cNvPicPr/>
      </xdr:nvPicPr>
      <xdr:blipFill>
        <a:blip r:embed="rId30"/>
        <a:stretch/>
      </xdr:blipFill>
      <xdr:spPr>
        <a:xfrm>
          <a:off x="5689440" y="267266520"/>
          <a:ext cx="3714120" cy="15963120"/>
        </a:xfrm>
        <a:prstGeom prst="rect">
          <a:avLst/>
        </a:prstGeom>
        <a:ln w="0">
          <a:noFill/>
        </a:ln>
      </xdr:spPr>
    </xdr:pic>
    <xdr:clientData/>
  </xdr:twoCellAnchor>
  <xdr:twoCellAnchor editAs="oneCell">
    <xdr:from>
      <xdr:col>1</xdr:col>
      <xdr:colOff>0</xdr:colOff>
      <xdr:row>1505</xdr:row>
      <xdr:rowOff>176040</xdr:rowOff>
    </xdr:from>
    <xdr:to>
      <xdr:col>1</xdr:col>
      <xdr:colOff>3714120</xdr:colOff>
      <xdr:row>1589</xdr:row>
      <xdr:rowOff>137160</xdr:rowOff>
    </xdr:to>
    <xdr:pic>
      <xdr:nvPicPr>
        <xdr:cNvPr id="30" name="Image 31" descr="Picture"/>
        <xdr:cNvPicPr/>
      </xdr:nvPicPr>
      <xdr:blipFill>
        <a:blip r:embed="rId31"/>
        <a:stretch/>
      </xdr:blipFill>
      <xdr:spPr>
        <a:xfrm>
          <a:off x="266760" y="286887960"/>
          <a:ext cx="3714120" cy="15963120"/>
        </a:xfrm>
        <a:prstGeom prst="rect">
          <a:avLst/>
        </a:prstGeom>
        <a:ln w="0">
          <a:noFill/>
        </a:ln>
      </xdr:spPr>
    </xdr:pic>
    <xdr:clientData/>
  </xdr:twoCellAnchor>
  <xdr:twoCellAnchor editAs="oneCell">
    <xdr:from>
      <xdr:col>1</xdr:col>
      <xdr:colOff>0</xdr:colOff>
      <xdr:row>1593</xdr:row>
      <xdr:rowOff>176040</xdr:rowOff>
    </xdr:from>
    <xdr:to>
      <xdr:col>1</xdr:col>
      <xdr:colOff>3714120</xdr:colOff>
      <xdr:row>1697</xdr:row>
      <xdr:rowOff>80280</xdr:rowOff>
    </xdr:to>
    <xdr:pic>
      <xdr:nvPicPr>
        <xdr:cNvPr id="31" name="Image 32" descr="Picture"/>
        <xdr:cNvPicPr/>
      </xdr:nvPicPr>
      <xdr:blipFill>
        <a:blip r:embed="rId32"/>
        <a:stretch/>
      </xdr:blipFill>
      <xdr:spPr>
        <a:xfrm>
          <a:off x="266760" y="303652080"/>
          <a:ext cx="3714120" cy="19716120"/>
        </a:xfrm>
        <a:prstGeom prst="rect">
          <a:avLst/>
        </a:prstGeom>
        <a:ln w="0">
          <a:noFill/>
        </a:ln>
      </xdr:spPr>
    </xdr:pic>
    <xdr:clientData/>
  </xdr:twoCellAnchor>
  <xdr:twoCellAnchor editAs="oneCell">
    <xdr:from>
      <xdr:col>3</xdr:col>
      <xdr:colOff>0</xdr:colOff>
      <xdr:row>1593</xdr:row>
      <xdr:rowOff>176040</xdr:rowOff>
    </xdr:from>
    <xdr:to>
      <xdr:col>3</xdr:col>
      <xdr:colOff>3714120</xdr:colOff>
      <xdr:row>1666</xdr:row>
      <xdr:rowOff>32400</xdr:rowOff>
    </xdr:to>
    <xdr:pic>
      <xdr:nvPicPr>
        <xdr:cNvPr id="32" name="Image 33" descr="Picture"/>
        <xdr:cNvPicPr/>
      </xdr:nvPicPr>
      <xdr:blipFill>
        <a:blip r:embed="rId33"/>
        <a:stretch/>
      </xdr:blipFill>
      <xdr:spPr>
        <a:xfrm>
          <a:off x="5689440" y="303652080"/>
          <a:ext cx="3714120" cy="13762800"/>
        </a:xfrm>
        <a:prstGeom prst="rect">
          <a:avLst/>
        </a:prstGeom>
        <a:ln w="0">
          <a:noFill/>
        </a:ln>
      </xdr:spPr>
    </xdr:pic>
    <xdr:clientData/>
  </xdr:twoCellAnchor>
  <xdr:twoCellAnchor editAs="oneCell">
    <xdr:from>
      <xdr:col>1</xdr:col>
      <xdr:colOff>0</xdr:colOff>
      <xdr:row>1700</xdr:row>
      <xdr:rowOff>176040</xdr:rowOff>
    </xdr:from>
    <xdr:to>
      <xdr:col>1</xdr:col>
      <xdr:colOff>3714120</xdr:colOff>
      <xdr:row>1773</xdr:row>
      <xdr:rowOff>32400</xdr:rowOff>
    </xdr:to>
    <xdr:pic>
      <xdr:nvPicPr>
        <xdr:cNvPr id="33" name="Image 34" descr="Picture"/>
        <xdr:cNvPicPr/>
      </xdr:nvPicPr>
      <xdr:blipFill>
        <a:blip r:embed="rId34"/>
        <a:stretch/>
      </xdr:blipFill>
      <xdr:spPr>
        <a:xfrm>
          <a:off x="266760" y="324035640"/>
          <a:ext cx="3714120" cy="13762800"/>
        </a:xfrm>
        <a:prstGeom prst="rect">
          <a:avLst/>
        </a:prstGeom>
        <a:ln w="0">
          <a:noFill/>
        </a:ln>
      </xdr:spPr>
    </xdr:pic>
    <xdr:clientData/>
  </xdr:twoCellAnchor>
  <xdr:twoCellAnchor editAs="oneCell">
    <xdr:from>
      <xdr:col>1</xdr:col>
      <xdr:colOff>0</xdr:colOff>
      <xdr:row>1777</xdr:row>
      <xdr:rowOff>175680</xdr:rowOff>
    </xdr:from>
    <xdr:to>
      <xdr:col>1</xdr:col>
      <xdr:colOff>3714120</xdr:colOff>
      <xdr:row>1881</xdr:row>
      <xdr:rowOff>79920</xdr:rowOff>
    </xdr:to>
    <xdr:pic>
      <xdr:nvPicPr>
        <xdr:cNvPr id="34" name="Image 35" descr="Picture"/>
        <xdr:cNvPicPr/>
      </xdr:nvPicPr>
      <xdr:blipFill>
        <a:blip r:embed="rId35"/>
        <a:stretch/>
      </xdr:blipFill>
      <xdr:spPr>
        <a:xfrm>
          <a:off x="266760" y="338703840"/>
          <a:ext cx="3714120" cy="19716120"/>
        </a:xfrm>
        <a:prstGeom prst="rect">
          <a:avLst/>
        </a:prstGeom>
        <a:ln w="0">
          <a:noFill/>
        </a:ln>
      </xdr:spPr>
    </xdr:pic>
    <xdr:clientData/>
  </xdr:twoCellAnchor>
  <xdr:twoCellAnchor editAs="oneCell">
    <xdr:from>
      <xdr:col>3</xdr:col>
      <xdr:colOff>0</xdr:colOff>
      <xdr:row>1777</xdr:row>
      <xdr:rowOff>175680</xdr:rowOff>
    </xdr:from>
    <xdr:to>
      <xdr:col>3</xdr:col>
      <xdr:colOff>3714120</xdr:colOff>
      <xdr:row>1863</xdr:row>
      <xdr:rowOff>165600</xdr:rowOff>
    </xdr:to>
    <xdr:pic>
      <xdr:nvPicPr>
        <xdr:cNvPr id="35" name="Image 36" descr="Picture"/>
        <xdr:cNvPicPr/>
      </xdr:nvPicPr>
      <xdr:blipFill>
        <a:blip r:embed="rId36"/>
        <a:stretch/>
      </xdr:blipFill>
      <xdr:spPr>
        <a:xfrm>
          <a:off x="5689440" y="338703840"/>
          <a:ext cx="3714120" cy="16372800"/>
        </a:xfrm>
        <a:prstGeom prst="rect">
          <a:avLst/>
        </a:prstGeom>
        <a:ln w="0">
          <a:noFill/>
        </a:ln>
      </xdr:spPr>
    </xdr:pic>
    <xdr:clientData/>
  </xdr:twoCellAnchor>
  <xdr:twoCellAnchor editAs="oneCell">
    <xdr:from>
      <xdr:col>1</xdr:col>
      <xdr:colOff>0</xdr:colOff>
      <xdr:row>1884</xdr:row>
      <xdr:rowOff>175680</xdr:rowOff>
    </xdr:from>
    <xdr:to>
      <xdr:col>1</xdr:col>
      <xdr:colOff>3714120</xdr:colOff>
      <xdr:row>1970</xdr:row>
      <xdr:rowOff>165600</xdr:rowOff>
    </xdr:to>
    <xdr:pic>
      <xdr:nvPicPr>
        <xdr:cNvPr id="36" name="Image 37" descr="Picture"/>
        <xdr:cNvPicPr/>
      </xdr:nvPicPr>
      <xdr:blipFill>
        <a:blip r:embed="rId37"/>
        <a:stretch/>
      </xdr:blipFill>
      <xdr:spPr>
        <a:xfrm>
          <a:off x="266760" y="359087040"/>
          <a:ext cx="3714120" cy="16373160"/>
        </a:xfrm>
        <a:prstGeom prst="rect">
          <a:avLst/>
        </a:prstGeom>
        <a:ln w="0">
          <a:noFill/>
        </a:ln>
      </xdr:spPr>
    </xdr:pic>
    <xdr:clientData/>
  </xdr:twoCellAnchor>
  <xdr:twoCellAnchor editAs="oneCell">
    <xdr:from>
      <xdr:col>1</xdr:col>
      <xdr:colOff>0</xdr:colOff>
      <xdr:row>1974</xdr:row>
      <xdr:rowOff>175680</xdr:rowOff>
    </xdr:from>
    <xdr:to>
      <xdr:col>1</xdr:col>
      <xdr:colOff>3714120</xdr:colOff>
      <xdr:row>2054</xdr:row>
      <xdr:rowOff>13320</xdr:rowOff>
    </xdr:to>
    <xdr:pic>
      <xdr:nvPicPr>
        <xdr:cNvPr id="37" name="Image 38" descr="Picture"/>
        <xdr:cNvPicPr/>
      </xdr:nvPicPr>
      <xdr:blipFill>
        <a:blip r:embed="rId38"/>
        <a:stretch/>
      </xdr:blipFill>
      <xdr:spPr>
        <a:xfrm>
          <a:off x="266760" y="376232040"/>
          <a:ext cx="3714120" cy="15077880"/>
        </a:xfrm>
        <a:prstGeom prst="rect">
          <a:avLst/>
        </a:prstGeom>
        <a:ln w="0">
          <a:noFill/>
        </a:ln>
      </xdr:spPr>
    </xdr:pic>
    <xdr:clientData/>
  </xdr:twoCellAnchor>
  <xdr:twoCellAnchor editAs="oneCell">
    <xdr:from>
      <xdr:col>3</xdr:col>
      <xdr:colOff>0</xdr:colOff>
      <xdr:row>1974</xdr:row>
      <xdr:rowOff>175680</xdr:rowOff>
    </xdr:from>
    <xdr:to>
      <xdr:col>3</xdr:col>
      <xdr:colOff>3714120</xdr:colOff>
      <xdr:row>2036</xdr:row>
      <xdr:rowOff>89280</xdr:rowOff>
    </xdr:to>
    <xdr:pic>
      <xdr:nvPicPr>
        <xdr:cNvPr id="38" name="Image 39" descr="Picture"/>
        <xdr:cNvPicPr/>
      </xdr:nvPicPr>
      <xdr:blipFill>
        <a:blip r:embed="rId39"/>
        <a:stretch/>
      </xdr:blipFill>
      <xdr:spPr>
        <a:xfrm>
          <a:off x="5689440" y="376232040"/>
          <a:ext cx="3714120" cy="11724840"/>
        </a:xfrm>
        <a:prstGeom prst="rect">
          <a:avLst/>
        </a:prstGeom>
        <a:ln w="0">
          <a:noFill/>
        </a:ln>
      </xdr:spPr>
    </xdr:pic>
    <xdr:clientData/>
  </xdr:twoCellAnchor>
  <xdr:twoCellAnchor editAs="oneCell">
    <xdr:from>
      <xdr:col>1</xdr:col>
      <xdr:colOff>0</xdr:colOff>
      <xdr:row>2058</xdr:row>
      <xdr:rowOff>175680</xdr:rowOff>
    </xdr:from>
    <xdr:to>
      <xdr:col>1</xdr:col>
      <xdr:colOff>3714120</xdr:colOff>
      <xdr:row>2116</xdr:row>
      <xdr:rowOff>156240</xdr:rowOff>
    </xdr:to>
    <xdr:pic>
      <xdr:nvPicPr>
        <xdr:cNvPr id="39" name="Image 40" descr="Picture"/>
        <xdr:cNvPicPr/>
      </xdr:nvPicPr>
      <xdr:blipFill>
        <a:blip r:embed="rId40"/>
        <a:stretch/>
      </xdr:blipFill>
      <xdr:spPr>
        <a:xfrm>
          <a:off x="266760" y="392234040"/>
          <a:ext cx="3714120" cy="11029680"/>
        </a:xfrm>
        <a:prstGeom prst="rect">
          <a:avLst/>
        </a:prstGeom>
        <a:ln w="0">
          <a:noFill/>
        </a:ln>
      </xdr:spPr>
    </xdr:pic>
    <xdr:clientData/>
  </xdr:twoCellAnchor>
  <xdr:twoCellAnchor editAs="oneCell">
    <xdr:from>
      <xdr:col>3</xdr:col>
      <xdr:colOff>0</xdr:colOff>
      <xdr:row>2058</xdr:row>
      <xdr:rowOff>175680</xdr:rowOff>
    </xdr:from>
    <xdr:to>
      <xdr:col>3</xdr:col>
      <xdr:colOff>3714120</xdr:colOff>
      <xdr:row>2125</xdr:row>
      <xdr:rowOff>79920</xdr:rowOff>
    </xdr:to>
    <xdr:pic>
      <xdr:nvPicPr>
        <xdr:cNvPr id="40" name="Image 41" descr="Picture"/>
        <xdr:cNvPicPr/>
      </xdr:nvPicPr>
      <xdr:blipFill>
        <a:blip r:embed="rId41"/>
        <a:stretch/>
      </xdr:blipFill>
      <xdr:spPr>
        <a:xfrm>
          <a:off x="5689440" y="392234040"/>
          <a:ext cx="3714120" cy="12668040"/>
        </a:xfrm>
        <a:prstGeom prst="rect">
          <a:avLst/>
        </a:prstGeom>
        <a:ln w="0">
          <a:noFill/>
        </a:ln>
      </xdr:spPr>
    </xdr:pic>
    <xdr:clientData/>
  </xdr:twoCellAnchor>
  <xdr:twoCellAnchor editAs="oneCell">
    <xdr:from>
      <xdr:col>1</xdr:col>
      <xdr:colOff>0</xdr:colOff>
      <xdr:row>2129</xdr:row>
      <xdr:rowOff>176040</xdr:rowOff>
    </xdr:from>
    <xdr:to>
      <xdr:col>1</xdr:col>
      <xdr:colOff>3714120</xdr:colOff>
      <xdr:row>2194</xdr:row>
      <xdr:rowOff>165600</xdr:rowOff>
    </xdr:to>
    <xdr:pic>
      <xdr:nvPicPr>
        <xdr:cNvPr id="41" name="Image 42" descr="Picture"/>
        <xdr:cNvPicPr/>
      </xdr:nvPicPr>
      <xdr:blipFill>
        <a:blip r:embed="rId42"/>
        <a:stretch/>
      </xdr:blipFill>
      <xdr:spPr>
        <a:xfrm>
          <a:off x="266760" y="405759960"/>
          <a:ext cx="3714120" cy="12372120"/>
        </a:xfrm>
        <a:prstGeom prst="rect">
          <a:avLst/>
        </a:prstGeom>
        <a:ln w="0">
          <a:noFill/>
        </a:ln>
      </xdr:spPr>
    </xdr:pic>
    <xdr:clientData/>
  </xdr:twoCellAnchor>
  <xdr:twoCellAnchor editAs="oneCell">
    <xdr:from>
      <xdr:col>3</xdr:col>
      <xdr:colOff>0</xdr:colOff>
      <xdr:row>2129</xdr:row>
      <xdr:rowOff>176040</xdr:rowOff>
    </xdr:from>
    <xdr:to>
      <xdr:col>3</xdr:col>
      <xdr:colOff>3714120</xdr:colOff>
      <xdr:row>2196</xdr:row>
      <xdr:rowOff>174960</xdr:rowOff>
    </xdr:to>
    <xdr:pic>
      <xdr:nvPicPr>
        <xdr:cNvPr id="42" name="Image 43" descr="Picture"/>
        <xdr:cNvPicPr/>
      </xdr:nvPicPr>
      <xdr:blipFill>
        <a:blip r:embed="rId43"/>
        <a:stretch/>
      </xdr:blipFill>
      <xdr:spPr>
        <a:xfrm>
          <a:off x="5689440" y="405759960"/>
          <a:ext cx="3714120" cy="12762360"/>
        </a:xfrm>
        <a:prstGeom prst="rect">
          <a:avLst/>
        </a:prstGeom>
        <a:ln w="0">
          <a:noFill/>
        </a:ln>
      </xdr:spPr>
    </xdr:pic>
    <xdr:clientData/>
  </xdr:twoCellAnchor>
  <xdr:twoCellAnchor editAs="oneCell">
    <xdr:from>
      <xdr:col>1</xdr:col>
      <xdr:colOff>0</xdr:colOff>
      <xdr:row>2200</xdr:row>
      <xdr:rowOff>176040</xdr:rowOff>
    </xdr:from>
    <xdr:to>
      <xdr:col>1</xdr:col>
      <xdr:colOff>3714120</xdr:colOff>
      <xdr:row>2317</xdr:row>
      <xdr:rowOff>41760</xdr:rowOff>
    </xdr:to>
    <xdr:pic>
      <xdr:nvPicPr>
        <xdr:cNvPr id="43" name="Image 44" descr="Picture"/>
        <xdr:cNvPicPr/>
      </xdr:nvPicPr>
      <xdr:blipFill>
        <a:blip r:embed="rId44"/>
        <a:stretch/>
      </xdr:blipFill>
      <xdr:spPr>
        <a:xfrm>
          <a:off x="266760" y="419285520"/>
          <a:ext cx="3714120" cy="22154400"/>
        </a:xfrm>
        <a:prstGeom prst="rect">
          <a:avLst/>
        </a:prstGeom>
        <a:ln w="0">
          <a:noFill/>
        </a:ln>
      </xdr:spPr>
    </xdr:pic>
    <xdr:clientData/>
  </xdr:twoCellAnchor>
  <xdr:twoCellAnchor editAs="oneCell">
    <xdr:from>
      <xdr:col>3</xdr:col>
      <xdr:colOff>0</xdr:colOff>
      <xdr:row>2200</xdr:row>
      <xdr:rowOff>176040</xdr:rowOff>
    </xdr:from>
    <xdr:to>
      <xdr:col>3</xdr:col>
      <xdr:colOff>3714120</xdr:colOff>
      <xdr:row>2315</xdr:row>
      <xdr:rowOff>51480</xdr:rowOff>
    </xdr:to>
    <xdr:pic>
      <xdr:nvPicPr>
        <xdr:cNvPr id="44" name="Image 45" descr="Picture"/>
        <xdr:cNvPicPr/>
      </xdr:nvPicPr>
      <xdr:blipFill>
        <a:blip r:embed="rId45"/>
        <a:stretch/>
      </xdr:blipFill>
      <xdr:spPr>
        <a:xfrm>
          <a:off x="5689440" y="419285520"/>
          <a:ext cx="3714120" cy="21782880"/>
        </a:xfrm>
        <a:prstGeom prst="rect">
          <a:avLst/>
        </a:prstGeom>
        <a:ln w="0">
          <a:noFill/>
        </a:ln>
      </xdr:spPr>
    </xdr:pic>
    <xdr:clientData/>
  </xdr:twoCellAnchor>
  <xdr:twoCellAnchor editAs="oneCell">
    <xdr:from>
      <xdr:col>1</xdr:col>
      <xdr:colOff>0</xdr:colOff>
      <xdr:row>2321</xdr:row>
      <xdr:rowOff>176040</xdr:rowOff>
    </xdr:from>
    <xdr:to>
      <xdr:col>1</xdr:col>
      <xdr:colOff>3714120</xdr:colOff>
      <xdr:row>2408</xdr:row>
      <xdr:rowOff>32400</xdr:rowOff>
    </xdr:to>
    <xdr:pic>
      <xdr:nvPicPr>
        <xdr:cNvPr id="45" name="Image 46" descr="Picture"/>
        <xdr:cNvPicPr/>
      </xdr:nvPicPr>
      <xdr:blipFill>
        <a:blip r:embed="rId46"/>
        <a:stretch/>
      </xdr:blipFill>
      <xdr:spPr>
        <a:xfrm>
          <a:off x="266760" y="442335960"/>
          <a:ext cx="3714120" cy="16430040"/>
        </a:xfrm>
        <a:prstGeom prst="rect">
          <a:avLst/>
        </a:prstGeom>
        <a:ln w="0">
          <a:noFill/>
        </a:ln>
      </xdr:spPr>
    </xdr:pic>
    <xdr:clientData/>
  </xdr:twoCellAnchor>
  <xdr:twoCellAnchor editAs="oneCell">
    <xdr:from>
      <xdr:col>3</xdr:col>
      <xdr:colOff>0</xdr:colOff>
      <xdr:row>2321</xdr:row>
      <xdr:rowOff>176040</xdr:rowOff>
    </xdr:from>
    <xdr:to>
      <xdr:col>3</xdr:col>
      <xdr:colOff>3714120</xdr:colOff>
      <xdr:row>2414</xdr:row>
      <xdr:rowOff>108360</xdr:rowOff>
    </xdr:to>
    <xdr:pic>
      <xdr:nvPicPr>
        <xdr:cNvPr id="46" name="Image 47" descr="Picture"/>
        <xdr:cNvPicPr/>
      </xdr:nvPicPr>
      <xdr:blipFill>
        <a:blip r:embed="rId47"/>
        <a:stretch/>
      </xdr:blipFill>
      <xdr:spPr>
        <a:xfrm>
          <a:off x="5689440" y="442335960"/>
          <a:ext cx="3714120" cy="17649000"/>
        </a:xfrm>
        <a:prstGeom prst="rect">
          <a:avLst/>
        </a:prstGeom>
        <a:ln w="0">
          <a:noFill/>
        </a:ln>
      </xdr:spPr>
    </xdr:pic>
    <xdr:clientData/>
  </xdr:twoCellAnchor>
  <xdr:twoCellAnchor editAs="oneCell">
    <xdr:from>
      <xdr:col>1</xdr:col>
      <xdr:colOff>0</xdr:colOff>
      <xdr:row>2418</xdr:row>
      <xdr:rowOff>175680</xdr:rowOff>
    </xdr:from>
    <xdr:to>
      <xdr:col>1</xdr:col>
      <xdr:colOff>3714120</xdr:colOff>
      <xdr:row>2479</xdr:row>
      <xdr:rowOff>155880</xdr:rowOff>
    </xdr:to>
    <xdr:pic>
      <xdr:nvPicPr>
        <xdr:cNvPr id="47" name="Image 48" descr="Picture"/>
        <xdr:cNvPicPr/>
      </xdr:nvPicPr>
      <xdr:blipFill>
        <a:blip r:embed="rId48"/>
        <a:stretch/>
      </xdr:blipFill>
      <xdr:spPr>
        <a:xfrm>
          <a:off x="266760" y="460814040"/>
          <a:ext cx="3714120" cy="11601000"/>
        </a:xfrm>
        <a:prstGeom prst="rect">
          <a:avLst/>
        </a:prstGeom>
        <a:ln w="0">
          <a:noFill/>
        </a:ln>
      </xdr:spPr>
    </xdr:pic>
    <xdr:clientData/>
  </xdr:twoCellAnchor>
  <xdr:twoCellAnchor editAs="oneCell">
    <xdr:from>
      <xdr:col>3</xdr:col>
      <xdr:colOff>0</xdr:colOff>
      <xdr:row>2418</xdr:row>
      <xdr:rowOff>175680</xdr:rowOff>
    </xdr:from>
    <xdr:to>
      <xdr:col>3</xdr:col>
      <xdr:colOff>3714120</xdr:colOff>
      <xdr:row>2499</xdr:row>
      <xdr:rowOff>22680</xdr:rowOff>
    </xdr:to>
    <xdr:pic>
      <xdr:nvPicPr>
        <xdr:cNvPr id="48" name="Image 49" descr="Picture"/>
        <xdr:cNvPicPr/>
      </xdr:nvPicPr>
      <xdr:blipFill>
        <a:blip r:embed="rId49"/>
        <a:stretch/>
      </xdr:blipFill>
      <xdr:spPr>
        <a:xfrm>
          <a:off x="5689440" y="460814040"/>
          <a:ext cx="3714120" cy="15277680"/>
        </a:xfrm>
        <a:prstGeom prst="rect">
          <a:avLst/>
        </a:prstGeom>
        <a:ln w="0">
          <a:noFill/>
        </a:ln>
      </xdr:spPr>
    </xdr:pic>
    <xdr:clientData/>
  </xdr:twoCellAnchor>
  <xdr:twoCellAnchor editAs="oneCell">
    <xdr:from>
      <xdr:col>1</xdr:col>
      <xdr:colOff>0</xdr:colOff>
      <xdr:row>2503</xdr:row>
      <xdr:rowOff>175680</xdr:rowOff>
    </xdr:from>
    <xdr:to>
      <xdr:col>1</xdr:col>
      <xdr:colOff>3714120</xdr:colOff>
      <xdr:row>2551</xdr:row>
      <xdr:rowOff>184320</xdr:rowOff>
    </xdr:to>
    <xdr:pic>
      <xdr:nvPicPr>
        <xdr:cNvPr id="49" name="Image 50" descr="Picture"/>
        <xdr:cNvPicPr/>
      </xdr:nvPicPr>
      <xdr:blipFill>
        <a:blip r:embed="rId50"/>
        <a:stretch/>
      </xdr:blipFill>
      <xdr:spPr>
        <a:xfrm>
          <a:off x="266760" y="477006840"/>
          <a:ext cx="3714120" cy="9152640"/>
        </a:xfrm>
        <a:prstGeom prst="rect">
          <a:avLst/>
        </a:prstGeom>
        <a:ln w="0">
          <a:noFill/>
        </a:ln>
      </xdr:spPr>
    </xdr:pic>
    <xdr:clientData/>
  </xdr:twoCellAnchor>
  <xdr:twoCellAnchor editAs="oneCell">
    <xdr:from>
      <xdr:col>3</xdr:col>
      <xdr:colOff>0</xdr:colOff>
      <xdr:row>2503</xdr:row>
      <xdr:rowOff>175680</xdr:rowOff>
    </xdr:from>
    <xdr:to>
      <xdr:col>3</xdr:col>
      <xdr:colOff>3714120</xdr:colOff>
      <xdr:row>2558</xdr:row>
      <xdr:rowOff>89280</xdr:rowOff>
    </xdr:to>
    <xdr:pic>
      <xdr:nvPicPr>
        <xdr:cNvPr id="50" name="Image 51" descr="Picture"/>
        <xdr:cNvPicPr/>
      </xdr:nvPicPr>
      <xdr:blipFill>
        <a:blip r:embed="rId51"/>
        <a:stretch/>
      </xdr:blipFill>
      <xdr:spPr>
        <a:xfrm>
          <a:off x="5689440" y="477006840"/>
          <a:ext cx="3714120" cy="10391040"/>
        </a:xfrm>
        <a:prstGeom prst="rect">
          <a:avLst/>
        </a:prstGeom>
        <a:ln w="0">
          <a:noFill/>
        </a:ln>
      </xdr:spPr>
    </xdr:pic>
    <xdr:clientData/>
  </xdr:twoCellAnchor>
  <xdr:twoCellAnchor editAs="oneCell">
    <xdr:from>
      <xdr:col>1</xdr:col>
      <xdr:colOff>0</xdr:colOff>
      <xdr:row>2562</xdr:row>
      <xdr:rowOff>175680</xdr:rowOff>
    </xdr:from>
    <xdr:to>
      <xdr:col>1</xdr:col>
      <xdr:colOff>3714120</xdr:colOff>
      <xdr:row>2632</xdr:row>
      <xdr:rowOff>99000</xdr:rowOff>
    </xdr:to>
    <xdr:pic>
      <xdr:nvPicPr>
        <xdr:cNvPr id="51" name="Image 52" descr="Picture"/>
        <xdr:cNvPicPr/>
      </xdr:nvPicPr>
      <xdr:blipFill>
        <a:blip r:embed="rId52"/>
        <a:stretch/>
      </xdr:blipFill>
      <xdr:spPr>
        <a:xfrm>
          <a:off x="266760" y="488246040"/>
          <a:ext cx="3714120" cy="13258440"/>
        </a:xfrm>
        <a:prstGeom prst="rect">
          <a:avLst/>
        </a:prstGeom>
        <a:ln w="0">
          <a:noFill/>
        </a:ln>
      </xdr:spPr>
    </xdr:pic>
    <xdr:clientData/>
  </xdr:twoCellAnchor>
  <xdr:twoCellAnchor editAs="oneCell">
    <xdr:from>
      <xdr:col>3</xdr:col>
      <xdr:colOff>0</xdr:colOff>
      <xdr:row>2562</xdr:row>
      <xdr:rowOff>175680</xdr:rowOff>
    </xdr:from>
    <xdr:to>
      <xdr:col>3</xdr:col>
      <xdr:colOff>3714120</xdr:colOff>
      <xdr:row>2629</xdr:row>
      <xdr:rowOff>99000</xdr:rowOff>
    </xdr:to>
    <xdr:pic>
      <xdr:nvPicPr>
        <xdr:cNvPr id="52" name="Image 53" descr="Picture"/>
        <xdr:cNvPicPr/>
      </xdr:nvPicPr>
      <xdr:blipFill>
        <a:blip r:embed="rId53"/>
        <a:stretch/>
      </xdr:blipFill>
      <xdr:spPr>
        <a:xfrm>
          <a:off x="5689440" y="488246040"/>
          <a:ext cx="3714120" cy="12687120"/>
        </a:xfrm>
        <a:prstGeom prst="rect">
          <a:avLst/>
        </a:prstGeom>
        <a:ln w="0">
          <a:noFill/>
        </a:ln>
      </xdr:spPr>
    </xdr:pic>
    <xdr:clientData/>
  </xdr:twoCellAnchor>
  <xdr:twoCellAnchor editAs="oneCell">
    <xdr:from>
      <xdr:col>1</xdr:col>
      <xdr:colOff>0</xdr:colOff>
      <xdr:row>2636</xdr:row>
      <xdr:rowOff>176040</xdr:rowOff>
    </xdr:from>
    <xdr:to>
      <xdr:col>1</xdr:col>
      <xdr:colOff>3714120</xdr:colOff>
      <xdr:row>2695</xdr:row>
      <xdr:rowOff>41760</xdr:rowOff>
    </xdr:to>
    <xdr:pic>
      <xdr:nvPicPr>
        <xdr:cNvPr id="53" name="Image 54" descr="Picture"/>
        <xdr:cNvPicPr/>
      </xdr:nvPicPr>
      <xdr:blipFill>
        <a:blip r:embed="rId54"/>
        <a:stretch/>
      </xdr:blipFill>
      <xdr:spPr>
        <a:xfrm>
          <a:off x="266760" y="502343640"/>
          <a:ext cx="3714120" cy="11105280"/>
        </a:xfrm>
        <a:prstGeom prst="rect">
          <a:avLst/>
        </a:prstGeom>
        <a:ln w="0">
          <a:noFill/>
        </a:ln>
      </xdr:spPr>
    </xdr:pic>
    <xdr:clientData/>
  </xdr:twoCellAnchor>
  <xdr:twoCellAnchor editAs="oneCell">
    <xdr:from>
      <xdr:col>3</xdr:col>
      <xdr:colOff>0</xdr:colOff>
      <xdr:row>2636</xdr:row>
      <xdr:rowOff>176040</xdr:rowOff>
    </xdr:from>
    <xdr:to>
      <xdr:col>3</xdr:col>
      <xdr:colOff>3714120</xdr:colOff>
      <xdr:row>2693</xdr:row>
      <xdr:rowOff>42120</xdr:rowOff>
    </xdr:to>
    <xdr:pic>
      <xdr:nvPicPr>
        <xdr:cNvPr id="54" name="Image 55" descr="Picture"/>
        <xdr:cNvPicPr/>
      </xdr:nvPicPr>
      <xdr:blipFill>
        <a:blip r:embed="rId55"/>
        <a:stretch/>
      </xdr:blipFill>
      <xdr:spPr>
        <a:xfrm>
          <a:off x="5689440" y="502343640"/>
          <a:ext cx="3714120" cy="10724400"/>
        </a:xfrm>
        <a:prstGeom prst="rect">
          <a:avLst/>
        </a:prstGeom>
        <a:ln w="0">
          <a:noFill/>
        </a:ln>
      </xdr:spPr>
    </xdr:pic>
    <xdr:clientData/>
  </xdr:twoCellAnchor>
  <xdr:twoCellAnchor editAs="oneCell">
    <xdr:from>
      <xdr:col>1</xdr:col>
      <xdr:colOff>0</xdr:colOff>
      <xdr:row>2699</xdr:row>
      <xdr:rowOff>176040</xdr:rowOff>
    </xdr:from>
    <xdr:to>
      <xdr:col>1</xdr:col>
      <xdr:colOff>3714120</xdr:colOff>
      <xdr:row>2762</xdr:row>
      <xdr:rowOff>60840</xdr:rowOff>
    </xdr:to>
    <xdr:pic>
      <xdr:nvPicPr>
        <xdr:cNvPr id="55" name="Image 56" descr="Picture"/>
        <xdr:cNvPicPr/>
      </xdr:nvPicPr>
      <xdr:blipFill>
        <a:blip r:embed="rId56"/>
        <a:stretch/>
      </xdr:blipFill>
      <xdr:spPr>
        <a:xfrm>
          <a:off x="266760" y="514344960"/>
          <a:ext cx="3714120" cy="11886480"/>
        </a:xfrm>
        <a:prstGeom prst="rect">
          <a:avLst/>
        </a:prstGeom>
        <a:ln w="0">
          <a:noFill/>
        </a:ln>
      </xdr:spPr>
    </xdr:pic>
    <xdr:clientData/>
  </xdr:twoCellAnchor>
  <xdr:twoCellAnchor editAs="oneCell">
    <xdr:from>
      <xdr:col>3</xdr:col>
      <xdr:colOff>0</xdr:colOff>
      <xdr:row>2699</xdr:row>
      <xdr:rowOff>176040</xdr:rowOff>
    </xdr:from>
    <xdr:to>
      <xdr:col>3</xdr:col>
      <xdr:colOff>3714120</xdr:colOff>
      <xdr:row>2761</xdr:row>
      <xdr:rowOff>70200</xdr:rowOff>
    </xdr:to>
    <xdr:pic>
      <xdr:nvPicPr>
        <xdr:cNvPr id="56" name="Image 57" descr="Picture"/>
        <xdr:cNvPicPr/>
      </xdr:nvPicPr>
      <xdr:blipFill>
        <a:blip r:embed="rId57"/>
        <a:stretch/>
      </xdr:blipFill>
      <xdr:spPr>
        <a:xfrm>
          <a:off x="5689440" y="514344960"/>
          <a:ext cx="3714120" cy="11705400"/>
        </a:xfrm>
        <a:prstGeom prst="rect">
          <a:avLst/>
        </a:prstGeom>
        <a:ln w="0">
          <a:noFill/>
        </a:ln>
      </xdr:spPr>
    </xdr:pic>
    <xdr:clientData/>
  </xdr:twoCellAnchor>
  <xdr:twoCellAnchor editAs="oneCell">
    <xdr:from>
      <xdr:col>1</xdr:col>
      <xdr:colOff>0</xdr:colOff>
      <xdr:row>2766</xdr:row>
      <xdr:rowOff>175680</xdr:rowOff>
    </xdr:from>
    <xdr:to>
      <xdr:col>1</xdr:col>
      <xdr:colOff>3714120</xdr:colOff>
      <xdr:row>2821</xdr:row>
      <xdr:rowOff>89280</xdr:rowOff>
    </xdr:to>
    <xdr:pic>
      <xdr:nvPicPr>
        <xdr:cNvPr id="57" name="Image 58" descr="Picture"/>
        <xdr:cNvPicPr/>
      </xdr:nvPicPr>
      <xdr:blipFill>
        <a:blip r:embed="rId58"/>
        <a:stretch/>
      </xdr:blipFill>
      <xdr:spPr>
        <a:xfrm>
          <a:off x="266760" y="527108040"/>
          <a:ext cx="3714120" cy="10391400"/>
        </a:xfrm>
        <a:prstGeom prst="rect">
          <a:avLst/>
        </a:prstGeom>
        <a:ln w="0">
          <a:noFill/>
        </a:ln>
      </xdr:spPr>
    </xdr:pic>
    <xdr:clientData/>
  </xdr:twoCellAnchor>
  <xdr:twoCellAnchor editAs="oneCell">
    <xdr:from>
      <xdr:col>3</xdr:col>
      <xdr:colOff>0</xdr:colOff>
      <xdr:row>2766</xdr:row>
      <xdr:rowOff>175680</xdr:rowOff>
    </xdr:from>
    <xdr:to>
      <xdr:col>3</xdr:col>
      <xdr:colOff>3714120</xdr:colOff>
      <xdr:row>2825</xdr:row>
      <xdr:rowOff>118080</xdr:rowOff>
    </xdr:to>
    <xdr:pic>
      <xdr:nvPicPr>
        <xdr:cNvPr id="58" name="Image 59" descr="Picture"/>
        <xdr:cNvPicPr/>
      </xdr:nvPicPr>
      <xdr:blipFill>
        <a:blip r:embed="rId59"/>
        <a:stretch/>
      </xdr:blipFill>
      <xdr:spPr>
        <a:xfrm>
          <a:off x="5689440" y="527108040"/>
          <a:ext cx="3714120" cy="11181960"/>
        </a:xfrm>
        <a:prstGeom prst="rect">
          <a:avLst/>
        </a:prstGeom>
        <a:ln w="0">
          <a:noFill/>
        </a:ln>
      </xdr:spPr>
    </xdr:pic>
    <xdr:clientData/>
  </xdr:twoCellAnchor>
  <xdr:twoCellAnchor editAs="oneCell">
    <xdr:from>
      <xdr:col>1</xdr:col>
      <xdr:colOff>0</xdr:colOff>
      <xdr:row>2829</xdr:row>
      <xdr:rowOff>176040</xdr:rowOff>
    </xdr:from>
    <xdr:to>
      <xdr:col>1</xdr:col>
      <xdr:colOff>3714120</xdr:colOff>
      <xdr:row>2877</xdr:row>
      <xdr:rowOff>13320</xdr:rowOff>
    </xdr:to>
    <xdr:pic>
      <xdr:nvPicPr>
        <xdr:cNvPr id="59" name="Image 60" descr="Picture"/>
        <xdr:cNvPicPr/>
      </xdr:nvPicPr>
      <xdr:blipFill>
        <a:blip r:embed="rId60"/>
        <a:stretch/>
      </xdr:blipFill>
      <xdr:spPr>
        <a:xfrm>
          <a:off x="266760" y="539110080"/>
          <a:ext cx="3714120" cy="8981280"/>
        </a:xfrm>
        <a:prstGeom prst="rect">
          <a:avLst/>
        </a:prstGeom>
        <a:ln w="0">
          <a:noFill/>
        </a:ln>
      </xdr:spPr>
    </xdr:pic>
    <xdr:clientData/>
  </xdr:twoCellAnchor>
  <xdr:twoCellAnchor editAs="oneCell">
    <xdr:from>
      <xdr:col>3</xdr:col>
      <xdr:colOff>0</xdr:colOff>
      <xdr:row>2829</xdr:row>
      <xdr:rowOff>176040</xdr:rowOff>
    </xdr:from>
    <xdr:to>
      <xdr:col>3</xdr:col>
      <xdr:colOff>3714120</xdr:colOff>
      <xdr:row>2884</xdr:row>
      <xdr:rowOff>127800</xdr:rowOff>
    </xdr:to>
    <xdr:pic>
      <xdr:nvPicPr>
        <xdr:cNvPr id="60" name="Image 61" descr="Picture"/>
        <xdr:cNvPicPr/>
      </xdr:nvPicPr>
      <xdr:blipFill>
        <a:blip r:embed="rId61"/>
        <a:stretch/>
      </xdr:blipFill>
      <xdr:spPr>
        <a:xfrm>
          <a:off x="5689440" y="539110080"/>
          <a:ext cx="3714120" cy="104292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14</xdr:col>
      <xdr:colOff>0</xdr:colOff>
      <xdr:row>3</xdr:row>
      <xdr:rowOff>176040</xdr:rowOff>
    </xdr:from>
    <xdr:to>
      <xdr:col>14</xdr:col>
      <xdr:colOff>3714120</xdr:colOff>
      <xdr:row>71</xdr:row>
      <xdr:rowOff>97200</xdr:rowOff>
    </xdr:to>
    <xdr:pic>
      <xdr:nvPicPr>
        <xdr:cNvPr id="61" name="Image 1" descr="Picture"/>
        <xdr:cNvPicPr/>
      </xdr:nvPicPr>
      <xdr:blipFill>
        <a:blip r:embed="rId1"/>
        <a:stretch/>
      </xdr:blipFill>
      <xdr:spPr>
        <a:xfrm>
          <a:off x="28803600" y="966600"/>
          <a:ext cx="3714120" cy="56785320"/>
        </a:xfrm>
        <a:prstGeom prst="rect">
          <a:avLst/>
        </a:prstGeom>
        <a:ln w="0">
          <a:noFill/>
        </a:ln>
      </xdr:spPr>
    </xdr:pic>
    <xdr:clientData/>
  </xdr:twoCellAnchor>
  <xdr:twoCellAnchor editAs="oneCell">
    <xdr:from>
      <xdr:col>14</xdr:col>
      <xdr:colOff>0</xdr:colOff>
      <xdr:row>71</xdr:row>
      <xdr:rowOff>288360</xdr:rowOff>
    </xdr:from>
    <xdr:to>
      <xdr:col>14</xdr:col>
      <xdr:colOff>3714120</xdr:colOff>
      <xdr:row>147</xdr:row>
      <xdr:rowOff>11880</xdr:rowOff>
    </xdr:to>
    <xdr:pic>
      <xdr:nvPicPr>
        <xdr:cNvPr id="62" name="Image 2" descr="Picture"/>
        <xdr:cNvPicPr/>
      </xdr:nvPicPr>
      <xdr:blipFill>
        <a:blip r:embed="rId2"/>
        <a:stretch/>
      </xdr:blipFill>
      <xdr:spPr>
        <a:xfrm>
          <a:off x="28803600" y="57943080"/>
          <a:ext cx="3714120" cy="16002000"/>
        </a:xfrm>
        <a:prstGeom prst="rect">
          <a:avLst/>
        </a:prstGeom>
        <a:ln w="0">
          <a:noFill/>
        </a:ln>
      </xdr:spPr>
    </xdr:pic>
    <xdr:clientData/>
  </xdr:twoCellAnchor>
  <xdr:twoCellAnchor editAs="oneCell">
    <xdr:from>
      <xdr:col>14</xdr:col>
      <xdr:colOff>0</xdr:colOff>
      <xdr:row>148</xdr:row>
      <xdr:rowOff>136440</xdr:rowOff>
    </xdr:from>
    <xdr:to>
      <xdr:col>14</xdr:col>
      <xdr:colOff>3714120</xdr:colOff>
      <xdr:row>213</xdr:row>
      <xdr:rowOff>126000</xdr:rowOff>
    </xdr:to>
    <xdr:pic>
      <xdr:nvPicPr>
        <xdr:cNvPr id="63" name="Image 3" descr="Picture"/>
        <xdr:cNvPicPr/>
      </xdr:nvPicPr>
      <xdr:blipFill>
        <a:blip r:embed="rId3"/>
        <a:stretch/>
      </xdr:blipFill>
      <xdr:spPr>
        <a:xfrm>
          <a:off x="28803600" y="74260080"/>
          <a:ext cx="3714120" cy="12372120"/>
        </a:xfrm>
        <a:prstGeom prst="rect">
          <a:avLst/>
        </a:prstGeom>
        <a:ln w="0">
          <a:noFill/>
        </a:ln>
      </xdr:spPr>
    </xdr:pic>
    <xdr:clientData/>
  </xdr:twoCellAnchor>
  <xdr:twoCellAnchor editAs="oneCell">
    <xdr:from>
      <xdr:col>14</xdr:col>
      <xdr:colOff>0</xdr:colOff>
      <xdr:row>214</xdr:row>
      <xdr:rowOff>136440</xdr:rowOff>
    </xdr:from>
    <xdr:to>
      <xdr:col>14</xdr:col>
      <xdr:colOff>3714120</xdr:colOff>
      <xdr:row>329</xdr:row>
      <xdr:rowOff>190440</xdr:rowOff>
    </xdr:to>
    <xdr:pic>
      <xdr:nvPicPr>
        <xdr:cNvPr id="64" name="Image 4" descr="Picture"/>
        <xdr:cNvPicPr/>
      </xdr:nvPicPr>
      <xdr:blipFill>
        <a:blip r:embed="rId4"/>
        <a:stretch/>
      </xdr:blipFill>
      <xdr:spPr>
        <a:xfrm>
          <a:off x="28803600" y="86833080"/>
          <a:ext cx="3714120" cy="24504480"/>
        </a:xfrm>
        <a:prstGeom prst="rect">
          <a:avLst/>
        </a:prstGeom>
        <a:ln w="0">
          <a:noFill/>
        </a:ln>
      </xdr:spPr>
    </xdr:pic>
    <xdr:clientData/>
  </xdr:twoCellAnchor>
  <xdr:twoCellAnchor editAs="oneCell">
    <xdr:from>
      <xdr:col>14</xdr:col>
      <xdr:colOff>0</xdr:colOff>
      <xdr:row>331</xdr:row>
      <xdr:rowOff>57960</xdr:rowOff>
    </xdr:from>
    <xdr:to>
      <xdr:col>14</xdr:col>
      <xdr:colOff>3714120</xdr:colOff>
      <xdr:row>395</xdr:row>
      <xdr:rowOff>38160</xdr:rowOff>
    </xdr:to>
    <xdr:pic>
      <xdr:nvPicPr>
        <xdr:cNvPr id="65" name="Image 5" descr="Picture"/>
        <xdr:cNvPicPr/>
      </xdr:nvPicPr>
      <xdr:blipFill>
        <a:blip r:embed="rId5"/>
        <a:stretch/>
      </xdr:blipFill>
      <xdr:spPr>
        <a:xfrm>
          <a:off x="28803600" y="111586320"/>
          <a:ext cx="3714120" cy="12171960"/>
        </a:xfrm>
        <a:prstGeom prst="rect">
          <a:avLst/>
        </a:prstGeom>
        <a:ln w="0">
          <a:noFill/>
        </a:ln>
      </xdr:spPr>
    </xdr:pic>
    <xdr:clientData/>
  </xdr:twoCellAnchor>
  <xdr:twoCellAnchor editAs="oneCell">
    <xdr:from>
      <xdr:col>14</xdr:col>
      <xdr:colOff>0</xdr:colOff>
      <xdr:row>396</xdr:row>
      <xdr:rowOff>57960</xdr:rowOff>
    </xdr:from>
    <xdr:to>
      <xdr:col>14</xdr:col>
      <xdr:colOff>3714120</xdr:colOff>
      <xdr:row>649</xdr:row>
      <xdr:rowOff>185400</xdr:rowOff>
    </xdr:to>
    <xdr:pic>
      <xdr:nvPicPr>
        <xdr:cNvPr id="66" name="Image 6" descr="Picture"/>
        <xdr:cNvPicPr/>
      </xdr:nvPicPr>
      <xdr:blipFill>
        <a:blip r:embed="rId6"/>
        <a:stretch/>
      </xdr:blipFill>
      <xdr:spPr>
        <a:xfrm>
          <a:off x="28803600" y="123968520"/>
          <a:ext cx="3714120" cy="50810040"/>
        </a:xfrm>
        <a:prstGeom prst="rect">
          <a:avLst/>
        </a:prstGeom>
        <a:ln w="0">
          <a:noFill/>
        </a:ln>
      </xdr:spPr>
    </xdr:pic>
    <xdr:clientData/>
  </xdr:twoCellAnchor>
  <xdr:twoCellAnchor editAs="oneCell">
    <xdr:from>
      <xdr:col>14</xdr:col>
      <xdr:colOff>0</xdr:colOff>
      <xdr:row>651</xdr:row>
      <xdr:rowOff>176760</xdr:rowOff>
    </xdr:from>
    <xdr:to>
      <xdr:col>14</xdr:col>
      <xdr:colOff>3714120</xdr:colOff>
      <xdr:row>682</xdr:row>
      <xdr:rowOff>8280</xdr:rowOff>
    </xdr:to>
    <xdr:pic>
      <xdr:nvPicPr>
        <xdr:cNvPr id="67" name="Image 7" descr="Picture"/>
        <xdr:cNvPicPr/>
      </xdr:nvPicPr>
      <xdr:blipFill>
        <a:blip r:embed="rId7"/>
        <a:stretch/>
      </xdr:blipFill>
      <xdr:spPr>
        <a:xfrm>
          <a:off x="28803600" y="175151160"/>
          <a:ext cx="3714120" cy="9394560"/>
        </a:xfrm>
        <a:prstGeom prst="rect">
          <a:avLst/>
        </a:prstGeom>
        <a:ln w="0">
          <a:noFill/>
        </a:ln>
      </xdr:spPr>
    </xdr:pic>
    <xdr:clientData/>
  </xdr:twoCellAnchor>
  <xdr:twoCellAnchor editAs="oneCell">
    <xdr:from>
      <xdr:col>14</xdr:col>
      <xdr:colOff>0</xdr:colOff>
      <xdr:row>682</xdr:row>
      <xdr:rowOff>246960</xdr:rowOff>
    </xdr:from>
    <xdr:to>
      <xdr:col>14</xdr:col>
      <xdr:colOff>3714120</xdr:colOff>
      <xdr:row>700</xdr:row>
      <xdr:rowOff>763920</xdr:rowOff>
    </xdr:to>
    <xdr:pic>
      <xdr:nvPicPr>
        <xdr:cNvPr id="68" name="Image 8" descr="Picture"/>
        <xdr:cNvPicPr/>
      </xdr:nvPicPr>
      <xdr:blipFill>
        <a:blip r:embed="rId8"/>
        <a:stretch/>
      </xdr:blipFill>
      <xdr:spPr>
        <a:xfrm>
          <a:off x="28803600" y="184784400"/>
          <a:ext cx="3714120" cy="6612840"/>
        </a:xfrm>
        <a:prstGeom prst="rect">
          <a:avLst/>
        </a:prstGeom>
        <a:ln w="0">
          <a:noFill/>
        </a:ln>
      </xdr:spPr>
    </xdr:pic>
    <xdr:clientData/>
  </xdr:twoCellAnchor>
  <xdr:twoCellAnchor editAs="oneCell">
    <xdr:from>
      <xdr:col>14</xdr:col>
      <xdr:colOff>0</xdr:colOff>
      <xdr:row>701</xdr:row>
      <xdr:rowOff>83160</xdr:rowOff>
    </xdr:from>
    <xdr:to>
      <xdr:col>14</xdr:col>
      <xdr:colOff>3714120</xdr:colOff>
      <xdr:row>761</xdr:row>
      <xdr:rowOff>139680</xdr:rowOff>
    </xdr:to>
    <xdr:pic>
      <xdr:nvPicPr>
        <xdr:cNvPr id="69" name="Image 9" descr="Picture"/>
        <xdr:cNvPicPr/>
      </xdr:nvPicPr>
      <xdr:blipFill>
        <a:blip r:embed="rId9"/>
        <a:stretch/>
      </xdr:blipFill>
      <xdr:spPr>
        <a:xfrm>
          <a:off x="28803600" y="191583360"/>
          <a:ext cx="3714120" cy="11486520"/>
        </a:xfrm>
        <a:prstGeom prst="rect">
          <a:avLst/>
        </a:prstGeom>
        <a:ln w="0">
          <a:noFill/>
        </a:ln>
      </xdr:spPr>
    </xdr:pic>
    <xdr:clientData/>
  </xdr:twoCellAnchor>
  <xdr:twoCellAnchor editAs="oneCell">
    <xdr:from>
      <xdr:col>14</xdr:col>
      <xdr:colOff>0</xdr:colOff>
      <xdr:row>763</xdr:row>
      <xdr:rowOff>83160</xdr:rowOff>
    </xdr:from>
    <xdr:to>
      <xdr:col>14</xdr:col>
      <xdr:colOff>3714120</xdr:colOff>
      <xdr:row>850</xdr:row>
      <xdr:rowOff>110880</xdr:rowOff>
    </xdr:to>
    <xdr:pic>
      <xdr:nvPicPr>
        <xdr:cNvPr id="70" name="Image 10" descr="Picture"/>
        <xdr:cNvPicPr/>
      </xdr:nvPicPr>
      <xdr:blipFill>
        <a:blip r:embed="rId10"/>
        <a:stretch/>
      </xdr:blipFill>
      <xdr:spPr>
        <a:xfrm>
          <a:off x="28803600" y="203394240"/>
          <a:ext cx="3714120" cy="16601400"/>
        </a:xfrm>
        <a:prstGeom prst="rect">
          <a:avLst/>
        </a:prstGeom>
        <a:ln w="0">
          <a:noFill/>
        </a:ln>
      </xdr:spPr>
    </xdr:pic>
    <xdr:clientData/>
  </xdr:twoCellAnchor>
  <xdr:twoCellAnchor editAs="oneCell">
    <xdr:from>
      <xdr:col>14</xdr:col>
      <xdr:colOff>0</xdr:colOff>
      <xdr:row>852</xdr:row>
      <xdr:rowOff>83160</xdr:rowOff>
    </xdr:from>
    <xdr:to>
      <xdr:col>14</xdr:col>
      <xdr:colOff>3714120</xdr:colOff>
      <xdr:row>944</xdr:row>
      <xdr:rowOff>89280</xdr:rowOff>
    </xdr:to>
    <xdr:pic>
      <xdr:nvPicPr>
        <xdr:cNvPr id="71" name="Image 11" descr="Picture"/>
        <xdr:cNvPicPr/>
      </xdr:nvPicPr>
      <xdr:blipFill>
        <a:blip r:embed="rId11"/>
        <a:stretch/>
      </xdr:blipFill>
      <xdr:spPr>
        <a:xfrm>
          <a:off x="28803600" y="220348800"/>
          <a:ext cx="3714120" cy="18189360"/>
        </a:xfrm>
        <a:prstGeom prst="rect">
          <a:avLst/>
        </a:prstGeom>
        <a:ln w="0">
          <a:noFill/>
        </a:ln>
      </xdr:spPr>
    </xdr:pic>
    <xdr:clientData/>
  </xdr:twoCellAnchor>
  <xdr:twoCellAnchor editAs="oneCell">
    <xdr:from>
      <xdr:col>14</xdr:col>
      <xdr:colOff>0</xdr:colOff>
      <xdr:row>945</xdr:row>
      <xdr:rowOff>166320</xdr:rowOff>
    </xdr:from>
    <xdr:to>
      <xdr:col>14</xdr:col>
      <xdr:colOff>3714120</xdr:colOff>
      <xdr:row>1030</xdr:row>
      <xdr:rowOff>122760</xdr:rowOff>
    </xdr:to>
    <xdr:pic>
      <xdr:nvPicPr>
        <xdr:cNvPr id="72" name="Image 12" descr="Picture"/>
        <xdr:cNvPicPr/>
      </xdr:nvPicPr>
      <xdr:blipFill>
        <a:blip r:embed="rId12"/>
        <a:stretch/>
      </xdr:blipFill>
      <xdr:spPr>
        <a:xfrm>
          <a:off x="28803600" y="238805640"/>
          <a:ext cx="3714120" cy="17453880"/>
        </a:xfrm>
        <a:prstGeom prst="rect">
          <a:avLst/>
        </a:prstGeom>
        <a:ln w="0">
          <a:noFill/>
        </a:ln>
      </xdr:spPr>
    </xdr:pic>
    <xdr:clientData/>
  </xdr:twoCellAnchor>
  <xdr:twoCellAnchor editAs="oneCell">
    <xdr:from>
      <xdr:col>14</xdr:col>
      <xdr:colOff>0</xdr:colOff>
      <xdr:row>1031</xdr:row>
      <xdr:rowOff>142920</xdr:rowOff>
    </xdr:from>
    <xdr:to>
      <xdr:col>14</xdr:col>
      <xdr:colOff>3714120</xdr:colOff>
      <xdr:row>1170</xdr:row>
      <xdr:rowOff>18360</xdr:rowOff>
    </xdr:to>
    <xdr:pic>
      <xdr:nvPicPr>
        <xdr:cNvPr id="73" name="Image 13" descr="Picture"/>
        <xdr:cNvPicPr/>
      </xdr:nvPicPr>
      <xdr:blipFill>
        <a:blip r:embed="rId13"/>
        <a:stretch/>
      </xdr:blipFill>
      <xdr:spPr>
        <a:xfrm>
          <a:off x="28803600" y="256470120"/>
          <a:ext cx="3714120" cy="34489440"/>
        </a:xfrm>
        <a:prstGeom prst="rect">
          <a:avLst/>
        </a:prstGeom>
        <a:ln w="0">
          <a:noFill/>
        </a:ln>
      </xdr:spPr>
    </xdr:pic>
    <xdr:clientData/>
  </xdr:twoCellAnchor>
  <xdr:twoCellAnchor editAs="oneCell">
    <xdr:from>
      <xdr:col>14</xdr:col>
      <xdr:colOff>0</xdr:colOff>
      <xdr:row>1170</xdr:row>
      <xdr:rowOff>390600</xdr:rowOff>
    </xdr:from>
    <xdr:to>
      <xdr:col>14</xdr:col>
      <xdr:colOff>3714120</xdr:colOff>
      <xdr:row>1268</xdr:row>
      <xdr:rowOff>300240</xdr:rowOff>
    </xdr:to>
    <xdr:pic>
      <xdr:nvPicPr>
        <xdr:cNvPr id="74" name="Image 14" descr="Picture"/>
        <xdr:cNvPicPr/>
      </xdr:nvPicPr>
      <xdr:blipFill>
        <a:blip r:embed="rId14"/>
        <a:stretch/>
      </xdr:blipFill>
      <xdr:spPr>
        <a:xfrm>
          <a:off x="28803600" y="291331800"/>
          <a:ext cx="3714120" cy="26636760"/>
        </a:xfrm>
        <a:prstGeom prst="rect">
          <a:avLst/>
        </a:prstGeom>
        <a:ln w="0">
          <a:noFill/>
        </a:ln>
      </xdr:spPr>
    </xdr:pic>
    <xdr:clientData/>
  </xdr:twoCellAnchor>
  <xdr:twoCellAnchor editAs="oneCell">
    <xdr:from>
      <xdr:col>14</xdr:col>
      <xdr:colOff>0</xdr:colOff>
      <xdr:row>1268</xdr:row>
      <xdr:rowOff>605520</xdr:rowOff>
    </xdr:from>
    <xdr:to>
      <xdr:col>14</xdr:col>
      <xdr:colOff>3714120</xdr:colOff>
      <xdr:row>1356</xdr:row>
      <xdr:rowOff>1080</xdr:rowOff>
    </xdr:to>
    <xdr:pic>
      <xdr:nvPicPr>
        <xdr:cNvPr id="75" name="Image 15" descr="Picture"/>
        <xdr:cNvPicPr/>
      </xdr:nvPicPr>
      <xdr:blipFill>
        <a:blip r:embed="rId15"/>
        <a:stretch/>
      </xdr:blipFill>
      <xdr:spPr>
        <a:xfrm>
          <a:off x="28803600" y="318273840"/>
          <a:ext cx="3714120" cy="20331360"/>
        </a:xfrm>
        <a:prstGeom prst="rect">
          <a:avLst/>
        </a:prstGeom>
        <a:ln w="0">
          <a:noFill/>
        </a:ln>
      </xdr:spPr>
    </xdr:pic>
    <xdr:clientData/>
  </xdr:twoCellAnchor>
  <xdr:twoCellAnchor editAs="oneCell">
    <xdr:from>
      <xdr:col>14</xdr:col>
      <xdr:colOff>0</xdr:colOff>
      <xdr:row>1356</xdr:row>
      <xdr:rowOff>354240</xdr:rowOff>
    </xdr:from>
    <xdr:to>
      <xdr:col>14</xdr:col>
      <xdr:colOff>3714120</xdr:colOff>
      <xdr:row>1552</xdr:row>
      <xdr:rowOff>946080</xdr:rowOff>
    </xdr:to>
    <xdr:pic>
      <xdr:nvPicPr>
        <xdr:cNvPr id="76" name="Image 16" descr="Picture"/>
        <xdr:cNvPicPr/>
      </xdr:nvPicPr>
      <xdr:blipFill>
        <a:blip r:embed="rId16"/>
        <a:stretch/>
      </xdr:blipFill>
      <xdr:spPr>
        <a:xfrm>
          <a:off x="28803600" y="338958360"/>
          <a:ext cx="3714120" cy="56808360"/>
        </a:xfrm>
        <a:prstGeom prst="rect">
          <a:avLst/>
        </a:prstGeom>
        <a:ln w="0">
          <a:noFill/>
        </a:ln>
      </xdr:spPr>
    </xdr:pic>
    <xdr:clientData/>
  </xdr:twoCellAnchor>
  <xdr:twoCellAnchor editAs="oneCell">
    <xdr:from>
      <xdr:col>14</xdr:col>
      <xdr:colOff>0</xdr:colOff>
      <xdr:row>1553</xdr:row>
      <xdr:rowOff>95400</xdr:rowOff>
    </xdr:from>
    <xdr:to>
      <xdr:col>14</xdr:col>
      <xdr:colOff>3714120</xdr:colOff>
      <xdr:row>1791</xdr:row>
      <xdr:rowOff>683280</xdr:rowOff>
    </xdr:to>
    <xdr:pic>
      <xdr:nvPicPr>
        <xdr:cNvPr id="77" name="Image 17" descr="Picture"/>
        <xdr:cNvPicPr/>
      </xdr:nvPicPr>
      <xdr:blipFill>
        <a:blip r:embed="rId17"/>
        <a:stretch/>
      </xdr:blipFill>
      <xdr:spPr>
        <a:xfrm>
          <a:off x="28803600" y="395954280"/>
          <a:ext cx="3714120" cy="56928240"/>
        </a:xfrm>
        <a:prstGeom prst="rect">
          <a:avLst/>
        </a:prstGeom>
        <a:ln w="0">
          <a:noFill/>
        </a:ln>
      </xdr:spPr>
    </xdr:pic>
    <xdr:clientData/>
  </xdr:twoCellAnchor>
  <xdr:twoCellAnchor editAs="oneCell">
    <xdr:from>
      <xdr:col>14</xdr:col>
      <xdr:colOff>0</xdr:colOff>
      <xdr:row>1792</xdr:row>
      <xdr:rowOff>173520</xdr:rowOff>
    </xdr:from>
    <xdr:to>
      <xdr:col>14</xdr:col>
      <xdr:colOff>3714120</xdr:colOff>
      <xdr:row>1806</xdr:row>
      <xdr:rowOff>120240</xdr:rowOff>
    </xdr:to>
    <xdr:pic>
      <xdr:nvPicPr>
        <xdr:cNvPr id="78" name="Image 18" descr="Picture"/>
        <xdr:cNvPicPr/>
      </xdr:nvPicPr>
      <xdr:blipFill>
        <a:blip r:embed="rId18"/>
        <a:stretch/>
      </xdr:blipFill>
      <xdr:spPr>
        <a:xfrm>
          <a:off x="28803600" y="453068280"/>
          <a:ext cx="3714120" cy="15329520"/>
        </a:xfrm>
        <a:prstGeom prst="rect">
          <a:avLst/>
        </a:prstGeom>
        <a:ln w="0">
          <a:noFill/>
        </a:ln>
      </xdr:spPr>
    </xdr:pic>
    <xdr:clientData/>
  </xdr:twoCellAnchor>
  <xdr:twoCellAnchor editAs="oneCell">
    <xdr:from>
      <xdr:col>14</xdr:col>
      <xdr:colOff>0</xdr:colOff>
      <xdr:row>1806</xdr:row>
      <xdr:rowOff>349200</xdr:rowOff>
    </xdr:from>
    <xdr:to>
      <xdr:col>14</xdr:col>
      <xdr:colOff>3714120</xdr:colOff>
      <xdr:row>1934</xdr:row>
      <xdr:rowOff>167400</xdr:rowOff>
    </xdr:to>
    <xdr:pic>
      <xdr:nvPicPr>
        <xdr:cNvPr id="79" name="Image 19" descr="Picture"/>
        <xdr:cNvPicPr/>
      </xdr:nvPicPr>
      <xdr:blipFill>
        <a:blip r:embed="rId19"/>
        <a:stretch/>
      </xdr:blipFill>
      <xdr:spPr>
        <a:xfrm>
          <a:off x="28803600" y="468626760"/>
          <a:ext cx="3714120" cy="52539120"/>
        </a:xfrm>
        <a:prstGeom prst="rect">
          <a:avLst/>
        </a:prstGeom>
        <a:ln w="0">
          <a:noFill/>
        </a:ln>
      </xdr:spPr>
    </xdr:pic>
    <xdr:clientData/>
  </xdr:twoCellAnchor>
  <xdr:twoCellAnchor editAs="oneCell">
    <xdr:from>
      <xdr:col>14</xdr:col>
      <xdr:colOff>0</xdr:colOff>
      <xdr:row>1983</xdr:row>
      <xdr:rowOff>130320</xdr:rowOff>
    </xdr:from>
    <xdr:to>
      <xdr:col>14</xdr:col>
      <xdr:colOff>3714120</xdr:colOff>
      <xdr:row>2039</xdr:row>
      <xdr:rowOff>15480</xdr:rowOff>
    </xdr:to>
    <xdr:pic>
      <xdr:nvPicPr>
        <xdr:cNvPr id="80" name="Image 20" descr="Picture"/>
        <xdr:cNvPicPr/>
      </xdr:nvPicPr>
      <xdr:blipFill>
        <a:blip r:embed="rId20"/>
        <a:stretch/>
      </xdr:blipFill>
      <xdr:spPr>
        <a:xfrm>
          <a:off x="28803600" y="530463240"/>
          <a:ext cx="3714120" cy="10553040"/>
        </a:xfrm>
        <a:prstGeom prst="rect">
          <a:avLst/>
        </a:prstGeom>
        <a:ln w="0">
          <a:noFill/>
        </a:ln>
      </xdr:spPr>
    </xdr:pic>
    <xdr:clientData/>
  </xdr:twoCellAnchor>
  <xdr:twoCellAnchor editAs="oneCell">
    <xdr:from>
      <xdr:col>14</xdr:col>
      <xdr:colOff>0</xdr:colOff>
      <xdr:row>2040</xdr:row>
      <xdr:rowOff>129960</xdr:rowOff>
    </xdr:from>
    <xdr:to>
      <xdr:col>14</xdr:col>
      <xdr:colOff>3714120</xdr:colOff>
      <xdr:row>2088</xdr:row>
      <xdr:rowOff>220680</xdr:rowOff>
    </xdr:to>
    <xdr:pic>
      <xdr:nvPicPr>
        <xdr:cNvPr id="81" name="Image 21" descr="Picture"/>
        <xdr:cNvPicPr/>
      </xdr:nvPicPr>
      <xdr:blipFill>
        <a:blip r:embed="rId21"/>
        <a:stretch/>
      </xdr:blipFill>
      <xdr:spPr>
        <a:xfrm>
          <a:off x="28803600" y="541321560"/>
          <a:ext cx="3714120" cy="9720360"/>
        </a:xfrm>
        <a:prstGeom prst="rect">
          <a:avLst/>
        </a:prstGeom>
        <a:ln w="0">
          <a:noFill/>
        </a:ln>
      </xdr:spPr>
    </xdr:pic>
    <xdr:clientData/>
  </xdr:twoCellAnchor>
  <xdr:twoCellAnchor editAs="oneCell">
    <xdr:from>
      <xdr:col>14</xdr:col>
      <xdr:colOff>0</xdr:colOff>
      <xdr:row>2089</xdr:row>
      <xdr:rowOff>213840</xdr:rowOff>
    </xdr:from>
    <xdr:to>
      <xdr:col>14</xdr:col>
      <xdr:colOff>3714120</xdr:colOff>
      <xdr:row>2116</xdr:row>
      <xdr:rowOff>313560</xdr:rowOff>
    </xdr:to>
    <xdr:pic>
      <xdr:nvPicPr>
        <xdr:cNvPr id="82" name="Image 22" descr="Picture"/>
        <xdr:cNvPicPr/>
      </xdr:nvPicPr>
      <xdr:blipFill>
        <a:blip r:embed="rId22"/>
        <a:stretch/>
      </xdr:blipFill>
      <xdr:spPr>
        <a:xfrm>
          <a:off x="28803600" y="551387520"/>
          <a:ext cx="3714120" cy="24521760"/>
        </a:xfrm>
        <a:prstGeom prst="rect">
          <a:avLst/>
        </a:prstGeom>
        <a:ln w="0">
          <a:noFill/>
        </a:ln>
      </xdr:spPr>
    </xdr:pic>
    <xdr:clientData/>
  </xdr:twoCellAnchor>
  <xdr:twoCellAnchor editAs="oneCell">
    <xdr:from>
      <xdr:col>14</xdr:col>
      <xdr:colOff>0</xdr:colOff>
      <xdr:row>2117</xdr:row>
      <xdr:rowOff>289440</xdr:rowOff>
    </xdr:from>
    <xdr:to>
      <xdr:col>14</xdr:col>
      <xdr:colOff>3714120</xdr:colOff>
      <xdr:row>2129</xdr:row>
      <xdr:rowOff>440280</xdr:rowOff>
    </xdr:to>
    <xdr:pic>
      <xdr:nvPicPr>
        <xdr:cNvPr id="83" name="Image 23" descr="Picture"/>
        <xdr:cNvPicPr/>
      </xdr:nvPicPr>
      <xdr:blipFill>
        <a:blip r:embed="rId23"/>
        <a:stretch/>
      </xdr:blipFill>
      <xdr:spPr>
        <a:xfrm>
          <a:off x="28803600" y="576580680"/>
          <a:ext cx="3714120" cy="14314320"/>
        </a:xfrm>
        <a:prstGeom prst="rect">
          <a:avLst/>
        </a:prstGeom>
        <a:ln w="0">
          <a:noFill/>
        </a:ln>
      </xdr:spPr>
    </xdr:pic>
    <xdr:clientData/>
  </xdr:twoCellAnchor>
  <xdr:twoCellAnchor editAs="oneCell">
    <xdr:from>
      <xdr:col>14</xdr:col>
      <xdr:colOff>0</xdr:colOff>
      <xdr:row>2129</xdr:row>
      <xdr:rowOff>745920</xdr:rowOff>
    </xdr:from>
    <xdr:to>
      <xdr:col>14</xdr:col>
      <xdr:colOff>3714120</xdr:colOff>
      <xdr:row>2146</xdr:row>
      <xdr:rowOff>11880</xdr:rowOff>
    </xdr:to>
    <xdr:pic>
      <xdr:nvPicPr>
        <xdr:cNvPr id="84" name="Image 24" descr="Picture"/>
        <xdr:cNvPicPr/>
      </xdr:nvPicPr>
      <xdr:blipFill>
        <a:blip r:embed="rId24"/>
        <a:stretch/>
      </xdr:blipFill>
      <xdr:spPr>
        <a:xfrm>
          <a:off x="28803600" y="591200640"/>
          <a:ext cx="3714120" cy="13658400"/>
        </a:xfrm>
        <a:prstGeom prst="rect">
          <a:avLst/>
        </a:prstGeom>
        <a:ln w="0">
          <a:noFill/>
        </a:ln>
      </xdr:spPr>
    </xdr:pic>
    <xdr:clientData/>
  </xdr:twoCellAnchor>
  <xdr:twoCellAnchor editAs="oneCell">
    <xdr:from>
      <xdr:col>14</xdr:col>
      <xdr:colOff>0</xdr:colOff>
      <xdr:row>2147</xdr:row>
      <xdr:rowOff>5040</xdr:rowOff>
    </xdr:from>
    <xdr:to>
      <xdr:col>14</xdr:col>
      <xdr:colOff>3714120</xdr:colOff>
      <xdr:row>2183</xdr:row>
      <xdr:rowOff>168120</xdr:rowOff>
    </xdr:to>
    <xdr:pic>
      <xdr:nvPicPr>
        <xdr:cNvPr id="85" name="Image 25" descr="Picture"/>
        <xdr:cNvPicPr/>
      </xdr:nvPicPr>
      <xdr:blipFill>
        <a:blip r:embed="rId25"/>
        <a:stretch/>
      </xdr:blipFill>
      <xdr:spPr>
        <a:xfrm>
          <a:off x="28803600" y="605204640"/>
          <a:ext cx="3714120" cy="12850200"/>
        </a:xfrm>
        <a:prstGeom prst="rect">
          <a:avLst/>
        </a:prstGeom>
        <a:ln w="0">
          <a:noFill/>
        </a:ln>
      </xdr:spPr>
    </xdr:pic>
    <xdr:clientData/>
  </xdr:twoCellAnchor>
  <xdr:twoCellAnchor editAs="oneCell">
    <xdr:from>
      <xdr:col>14</xdr:col>
      <xdr:colOff>0</xdr:colOff>
      <xdr:row>2184</xdr:row>
      <xdr:rowOff>18360</xdr:rowOff>
    </xdr:from>
    <xdr:to>
      <xdr:col>14</xdr:col>
      <xdr:colOff>3714120</xdr:colOff>
      <xdr:row>2245</xdr:row>
      <xdr:rowOff>137520</xdr:rowOff>
    </xdr:to>
    <xdr:pic>
      <xdr:nvPicPr>
        <xdr:cNvPr id="86" name="Image 26" descr="Picture"/>
        <xdr:cNvPicPr/>
      </xdr:nvPicPr>
      <xdr:blipFill>
        <a:blip r:embed="rId26"/>
        <a:stretch/>
      </xdr:blipFill>
      <xdr:spPr>
        <a:xfrm>
          <a:off x="28803600" y="618257520"/>
          <a:ext cx="3714120" cy="13035240"/>
        </a:xfrm>
        <a:prstGeom prst="rect">
          <a:avLst/>
        </a:prstGeom>
        <a:ln w="0">
          <a:noFill/>
        </a:ln>
      </xdr:spPr>
    </xdr:pic>
    <xdr:clientData/>
  </xdr:twoCellAnchor>
  <xdr:twoCellAnchor editAs="oneCell">
    <xdr:from>
      <xdr:col>14</xdr:col>
      <xdr:colOff>0</xdr:colOff>
      <xdr:row>2246</xdr:row>
      <xdr:rowOff>186120</xdr:rowOff>
    </xdr:from>
    <xdr:to>
      <xdr:col>14</xdr:col>
      <xdr:colOff>3714120</xdr:colOff>
      <xdr:row>2319</xdr:row>
      <xdr:rowOff>23400</xdr:rowOff>
    </xdr:to>
    <xdr:pic>
      <xdr:nvPicPr>
        <xdr:cNvPr id="87" name="Image 27" descr="Picture"/>
        <xdr:cNvPicPr/>
      </xdr:nvPicPr>
      <xdr:blipFill>
        <a:blip r:embed="rId27"/>
        <a:stretch/>
      </xdr:blipFill>
      <xdr:spPr>
        <a:xfrm>
          <a:off x="28803600" y="631531800"/>
          <a:ext cx="3714120" cy="13743720"/>
        </a:xfrm>
        <a:prstGeom prst="rect">
          <a:avLst/>
        </a:prstGeom>
        <a:ln w="0">
          <a:noFill/>
        </a:ln>
      </xdr:spPr>
    </xdr:pic>
    <xdr:clientData/>
  </xdr:twoCellAnchor>
  <xdr:twoCellAnchor editAs="oneCell">
    <xdr:from>
      <xdr:col>14</xdr:col>
      <xdr:colOff>0</xdr:colOff>
      <xdr:row>2320</xdr:row>
      <xdr:rowOff>186120</xdr:rowOff>
    </xdr:from>
    <xdr:to>
      <xdr:col>14</xdr:col>
      <xdr:colOff>3714120</xdr:colOff>
      <xdr:row>2389</xdr:row>
      <xdr:rowOff>166320</xdr:rowOff>
    </xdr:to>
    <xdr:pic>
      <xdr:nvPicPr>
        <xdr:cNvPr id="88" name="Image 28" descr="Picture"/>
        <xdr:cNvPicPr/>
      </xdr:nvPicPr>
      <xdr:blipFill>
        <a:blip r:embed="rId28"/>
        <a:stretch/>
      </xdr:blipFill>
      <xdr:spPr>
        <a:xfrm>
          <a:off x="28803600" y="645628680"/>
          <a:ext cx="3714120" cy="13124880"/>
        </a:xfrm>
        <a:prstGeom prst="rect">
          <a:avLst/>
        </a:prstGeom>
        <a:ln w="0">
          <a:noFill/>
        </a:ln>
      </xdr:spPr>
    </xdr:pic>
    <xdr:clientData/>
  </xdr:twoCellAnchor>
  <xdr:twoCellAnchor editAs="oneCell">
    <xdr:from>
      <xdr:col>14</xdr:col>
      <xdr:colOff>0</xdr:colOff>
      <xdr:row>2389</xdr:row>
      <xdr:rowOff>376560</xdr:rowOff>
    </xdr:from>
    <xdr:to>
      <xdr:col>14</xdr:col>
      <xdr:colOff>3714120</xdr:colOff>
      <xdr:row>2455</xdr:row>
      <xdr:rowOff>51480</xdr:rowOff>
    </xdr:to>
    <xdr:pic>
      <xdr:nvPicPr>
        <xdr:cNvPr id="89" name="Image 29" descr="Picture"/>
        <xdr:cNvPicPr/>
      </xdr:nvPicPr>
      <xdr:blipFill>
        <a:blip r:embed="rId29"/>
        <a:stretch/>
      </xdr:blipFill>
      <xdr:spPr>
        <a:xfrm>
          <a:off x="28803600" y="658963800"/>
          <a:ext cx="3714120" cy="13066920"/>
        </a:xfrm>
        <a:prstGeom prst="rect">
          <a:avLst/>
        </a:prstGeom>
        <a:ln w="0">
          <a:noFill/>
        </a:ln>
      </xdr:spPr>
    </xdr:pic>
    <xdr:clientData/>
  </xdr:twoCellAnchor>
  <xdr:twoCellAnchor editAs="oneCell">
    <xdr:from>
      <xdr:col>14</xdr:col>
      <xdr:colOff>0</xdr:colOff>
      <xdr:row>2456</xdr:row>
      <xdr:rowOff>99720</xdr:rowOff>
    </xdr:from>
    <xdr:to>
      <xdr:col>14</xdr:col>
      <xdr:colOff>3714120</xdr:colOff>
      <xdr:row>2488</xdr:row>
      <xdr:rowOff>161280</xdr:rowOff>
    </xdr:to>
    <xdr:pic>
      <xdr:nvPicPr>
        <xdr:cNvPr id="90" name="Image 30" descr="Picture"/>
        <xdr:cNvPicPr/>
      </xdr:nvPicPr>
      <xdr:blipFill>
        <a:blip r:embed="rId30"/>
        <a:stretch/>
      </xdr:blipFill>
      <xdr:spPr>
        <a:xfrm>
          <a:off x="28803600" y="672269400"/>
          <a:ext cx="3714120" cy="6652800"/>
        </a:xfrm>
        <a:prstGeom prst="rect">
          <a:avLst/>
        </a:prstGeom>
        <a:ln w="0">
          <a:noFill/>
        </a:ln>
      </xdr:spPr>
    </xdr:pic>
    <xdr:clientData/>
  </xdr:twoCellAnchor>
  <xdr:twoCellAnchor editAs="oneCell">
    <xdr:from>
      <xdr:col>14</xdr:col>
      <xdr:colOff>0</xdr:colOff>
      <xdr:row>2489</xdr:row>
      <xdr:rowOff>161640</xdr:rowOff>
    </xdr:from>
    <xdr:to>
      <xdr:col>14</xdr:col>
      <xdr:colOff>3714120</xdr:colOff>
      <xdr:row>2513</xdr:row>
      <xdr:rowOff>50040</xdr:rowOff>
    </xdr:to>
    <xdr:pic>
      <xdr:nvPicPr>
        <xdr:cNvPr id="91" name="Image 31" descr="Picture"/>
        <xdr:cNvPicPr/>
      </xdr:nvPicPr>
      <xdr:blipFill>
        <a:blip r:embed="rId31"/>
        <a:stretch/>
      </xdr:blipFill>
      <xdr:spPr>
        <a:xfrm>
          <a:off x="28803600" y="679113000"/>
          <a:ext cx="3714120" cy="6603840"/>
        </a:xfrm>
        <a:prstGeom prst="rect">
          <a:avLst/>
        </a:prstGeom>
        <a:ln w="0">
          <a:noFill/>
        </a:ln>
      </xdr:spPr>
    </xdr:pic>
    <xdr:clientData/>
  </xdr:twoCellAnchor>
  <xdr:twoCellAnchor editAs="oneCell">
    <xdr:from>
      <xdr:col>14</xdr:col>
      <xdr:colOff>0</xdr:colOff>
      <xdr:row>2514</xdr:row>
      <xdr:rowOff>50760</xdr:rowOff>
    </xdr:from>
    <xdr:to>
      <xdr:col>14</xdr:col>
      <xdr:colOff>3714120</xdr:colOff>
      <xdr:row>2535</xdr:row>
      <xdr:rowOff>342000</xdr:rowOff>
    </xdr:to>
    <xdr:pic>
      <xdr:nvPicPr>
        <xdr:cNvPr id="92" name="Image 32" descr="Picture"/>
        <xdr:cNvPicPr/>
      </xdr:nvPicPr>
      <xdr:blipFill>
        <a:blip r:embed="rId32"/>
        <a:stretch/>
      </xdr:blipFill>
      <xdr:spPr>
        <a:xfrm>
          <a:off x="28803600" y="685908000"/>
          <a:ext cx="3714120" cy="6577560"/>
        </a:xfrm>
        <a:prstGeom prst="rect">
          <a:avLst/>
        </a:prstGeom>
        <a:ln w="0">
          <a:noFill/>
        </a:ln>
      </xdr:spPr>
    </xdr:pic>
    <xdr:clientData/>
  </xdr:twoCellAnchor>
  <xdr:twoCellAnchor editAs="oneCell">
    <xdr:from>
      <xdr:col>14</xdr:col>
      <xdr:colOff>0</xdr:colOff>
      <xdr:row>2535</xdr:row>
      <xdr:rowOff>533160</xdr:rowOff>
    </xdr:from>
    <xdr:to>
      <xdr:col>14</xdr:col>
      <xdr:colOff>3714120</xdr:colOff>
      <xdr:row>2595</xdr:row>
      <xdr:rowOff>63360</xdr:rowOff>
    </xdr:to>
    <xdr:pic>
      <xdr:nvPicPr>
        <xdr:cNvPr id="93" name="Image 33" descr="Picture"/>
        <xdr:cNvPicPr/>
      </xdr:nvPicPr>
      <xdr:blipFill>
        <a:blip r:embed="rId33"/>
        <a:stretch/>
      </xdr:blipFill>
      <xdr:spPr>
        <a:xfrm>
          <a:off x="28803600" y="692676720"/>
          <a:ext cx="3714120" cy="14313240"/>
        </a:xfrm>
        <a:prstGeom prst="rect">
          <a:avLst/>
        </a:prstGeom>
        <a:ln w="0">
          <a:noFill/>
        </a:ln>
      </xdr:spPr>
    </xdr:pic>
    <xdr:clientData/>
  </xdr:twoCellAnchor>
  <xdr:twoCellAnchor editAs="oneCell">
    <xdr:from>
      <xdr:col>14</xdr:col>
      <xdr:colOff>0</xdr:colOff>
      <xdr:row>2596</xdr:row>
      <xdr:rowOff>178200</xdr:rowOff>
    </xdr:from>
    <xdr:to>
      <xdr:col>14</xdr:col>
      <xdr:colOff>3714120</xdr:colOff>
      <xdr:row>2669</xdr:row>
      <xdr:rowOff>15480</xdr:rowOff>
    </xdr:to>
    <xdr:pic>
      <xdr:nvPicPr>
        <xdr:cNvPr id="94" name="Image 34" descr="Picture"/>
        <xdr:cNvPicPr/>
      </xdr:nvPicPr>
      <xdr:blipFill>
        <a:blip r:embed="rId34"/>
        <a:stretch/>
      </xdr:blipFill>
      <xdr:spPr>
        <a:xfrm>
          <a:off x="28803600" y="707295240"/>
          <a:ext cx="3714120" cy="13743720"/>
        </a:xfrm>
        <a:prstGeom prst="rect">
          <a:avLst/>
        </a:prstGeom>
        <a:ln w="0">
          <a:noFill/>
        </a:ln>
      </xdr:spPr>
    </xdr:pic>
    <xdr:clientData/>
  </xdr:twoCellAnchor>
  <xdr:twoCellAnchor editAs="oneCell">
    <xdr:from>
      <xdr:col>14</xdr:col>
      <xdr:colOff>0</xdr:colOff>
      <xdr:row>2670</xdr:row>
      <xdr:rowOff>178560</xdr:rowOff>
    </xdr:from>
    <xdr:to>
      <xdr:col>14</xdr:col>
      <xdr:colOff>3714120</xdr:colOff>
      <xdr:row>2739</xdr:row>
      <xdr:rowOff>130320</xdr:rowOff>
    </xdr:to>
    <xdr:pic>
      <xdr:nvPicPr>
        <xdr:cNvPr id="95" name="Image 35" descr="Picture"/>
        <xdr:cNvPicPr/>
      </xdr:nvPicPr>
      <xdr:blipFill>
        <a:blip r:embed="rId35"/>
        <a:stretch/>
      </xdr:blipFill>
      <xdr:spPr>
        <a:xfrm>
          <a:off x="28803600" y="721392480"/>
          <a:ext cx="3714120" cy="13096440"/>
        </a:xfrm>
        <a:prstGeom prst="rect">
          <a:avLst/>
        </a:prstGeom>
        <a:ln w="0">
          <a:noFill/>
        </a:ln>
      </xdr:spPr>
    </xdr:pic>
    <xdr:clientData/>
  </xdr:twoCellAnchor>
  <xdr:twoCellAnchor editAs="oneCell">
    <xdr:from>
      <xdr:col>14</xdr:col>
      <xdr:colOff>0</xdr:colOff>
      <xdr:row>2740</xdr:row>
      <xdr:rowOff>178200</xdr:rowOff>
    </xdr:from>
    <xdr:to>
      <xdr:col>14</xdr:col>
      <xdr:colOff>3714120</xdr:colOff>
      <xdr:row>2997</xdr:row>
      <xdr:rowOff>50760</xdr:rowOff>
    </xdr:to>
    <xdr:pic>
      <xdr:nvPicPr>
        <xdr:cNvPr id="96" name="Image 36" descr="Picture"/>
        <xdr:cNvPicPr/>
      </xdr:nvPicPr>
      <xdr:blipFill>
        <a:blip r:embed="rId36"/>
        <a:stretch/>
      </xdr:blipFill>
      <xdr:spPr>
        <a:xfrm>
          <a:off x="28803600" y="734727240"/>
          <a:ext cx="3714120" cy="56889000"/>
        </a:xfrm>
        <a:prstGeom prst="rect">
          <a:avLst/>
        </a:prstGeom>
        <a:ln w="0">
          <a:noFill/>
        </a:ln>
      </xdr:spPr>
    </xdr:pic>
    <xdr:clientData/>
  </xdr:twoCellAnchor>
  <xdr:twoCellAnchor editAs="oneCell">
    <xdr:from>
      <xdr:col>14</xdr:col>
      <xdr:colOff>0</xdr:colOff>
      <xdr:row>2999</xdr:row>
      <xdr:rowOff>51480</xdr:rowOff>
    </xdr:from>
    <xdr:to>
      <xdr:col>14</xdr:col>
      <xdr:colOff>3714120</xdr:colOff>
      <xdr:row>3256</xdr:row>
      <xdr:rowOff>92880</xdr:rowOff>
    </xdr:to>
    <xdr:pic>
      <xdr:nvPicPr>
        <xdr:cNvPr id="97" name="Image 37" descr="Picture"/>
        <xdr:cNvPicPr/>
      </xdr:nvPicPr>
      <xdr:blipFill>
        <a:blip r:embed="rId37"/>
        <a:stretch/>
      </xdr:blipFill>
      <xdr:spPr>
        <a:xfrm>
          <a:off x="28803600" y="791998200"/>
          <a:ext cx="3714120" cy="56886480"/>
        </a:xfrm>
        <a:prstGeom prst="rect">
          <a:avLst/>
        </a:prstGeom>
        <a:ln w="0">
          <a:noFill/>
        </a:ln>
      </xdr:spPr>
    </xdr:pic>
    <xdr:clientData/>
  </xdr:twoCellAnchor>
  <xdr:twoCellAnchor editAs="oneCell">
    <xdr:from>
      <xdr:col>14</xdr:col>
      <xdr:colOff>0</xdr:colOff>
      <xdr:row>3257</xdr:row>
      <xdr:rowOff>93600</xdr:rowOff>
    </xdr:from>
    <xdr:to>
      <xdr:col>14</xdr:col>
      <xdr:colOff>3714120</xdr:colOff>
      <xdr:row>3509</xdr:row>
      <xdr:rowOff>65880</xdr:rowOff>
    </xdr:to>
    <xdr:pic>
      <xdr:nvPicPr>
        <xdr:cNvPr id="98" name="Image 38" descr="Picture"/>
        <xdr:cNvPicPr/>
      </xdr:nvPicPr>
      <xdr:blipFill>
        <a:blip r:embed="rId38"/>
        <a:stretch/>
      </xdr:blipFill>
      <xdr:spPr>
        <a:xfrm>
          <a:off x="28803600" y="849075840"/>
          <a:ext cx="3714120" cy="56874600"/>
        </a:xfrm>
        <a:prstGeom prst="rect">
          <a:avLst/>
        </a:prstGeom>
        <a:ln w="0">
          <a:noFill/>
        </a:ln>
      </xdr:spPr>
    </xdr:pic>
    <xdr:clientData/>
  </xdr:twoCellAnchor>
  <xdr:twoCellAnchor editAs="oneCell">
    <xdr:from>
      <xdr:col>14</xdr:col>
      <xdr:colOff>0</xdr:colOff>
      <xdr:row>3510</xdr:row>
      <xdr:rowOff>66600</xdr:rowOff>
    </xdr:from>
    <xdr:to>
      <xdr:col>14</xdr:col>
      <xdr:colOff>3714120</xdr:colOff>
      <xdr:row>3747</xdr:row>
      <xdr:rowOff>182880</xdr:rowOff>
    </xdr:to>
    <xdr:pic>
      <xdr:nvPicPr>
        <xdr:cNvPr id="99" name="Image 39" descr="Picture"/>
        <xdr:cNvPicPr/>
      </xdr:nvPicPr>
      <xdr:blipFill>
        <a:blip r:embed="rId39"/>
        <a:stretch/>
      </xdr:blipFill>
      <xdr:spPr>
        <a:xfrm>
          <a:off x="28803600" y="906141600"/>
          <a:ext cx="3714120" cy="56780640"/>
        </a:xfrm>
        <a:prstGeom prst="rect">
          <a:avLst/>
        </a:prstGeom>
        <a:ln w="0">
          <a:noFill/>
        </a:ln>
      </xdr:spPr>
    </xdr:pic>
    <xdr:clientData/>
  </xdr:twoCellAnchor>
  <xdr:twoCellAnchor editAs="oneCell">
    <xdr:from>
      <xdr:col>14</xdr:col>
      <xdr:colOff>0</xdr:colOff>
      <xdr:row>3748</xdr:row>
      <xdr:rowOff>183600</xdr:rowOff>
    </xdr:from>
    <xdr:to>
      <xdr:col>14</xdr:col>
      <xdr:colOff>3714120</xdr:colOff>
      <xdr:row>4012</xdr:row>
      <xdr:rowOff>66600</xdr:rowOff>
    </xdr:to>
    <xdr:pic>
      <xdr:nvPicPr>
        <xdr:cNvPr id="100" name="Image 40" descr="Picture"/>
        <xdr:cNvPicPr/>
      </xdr:nvPicPr>
      <xdr:blipFill>
        <a:blip r:embed="rId40"/>
        <a:stretch/>
      </xdr:blipFill>
      <xdr:spPr>
        <a:xfrm>
          <a:off x="28803600" y="963113400"/>
          <a:ext cx="3714120" cy="57042720"/>
        </a:xfrm>
        <a:prstGeom prst="rect">
          <a:avLst/>
        </a:prstGeom>
        <a:ln w="0">
          <a:noFill/>
        </a:ln>
      </xdr:spPr>
    </xdr:pic>
    <xdr:clientData/>
  </xdr:twoCellAnchor>
  <xdr:twoCellAnchor editAs="oneCell">
    <xdr:from>
      <xdr:col>14</xdr:col>
      <xdr:colOff>0</xdr:colOff>
      <xdr:row>4013</xdr:row>
      <xdr:rowOff>67320</xdr:rowOff>
    </xdr:from>
    <xdr:to>
      <xdr:col>14</xdr:col>
      <xdr:colOff>3714120</xdr:colOff>
      <xdr:row>4205</xdr:row>
      <xdr:rowOff>376920</xdr:rowOff>
    </xdr:to>
    <xdr:pic>
      <xdr:nvPicPr>
        <xdr:cNvPr id="101" name="Image 41" descr="Picture"/>
        <xdr:cNvPicPr/>
      </xdr:nvPicPr>
      <xdr:blipFill>
        <a:blip r:embed="rId41"/>
        <a:stretch/>
      </xdr:blipFill>
      <xdr:spPr>
        <a:xfrm>
          <a:off x="28803600" y="1020347280"/>
          <a:ext cx="3714120" cy="56973600"/>
        </a:xfrm>
        <a:prstGeom prst="rect">
          <a:avLst/>
        </a:prstGeom>
        <a:ln w="0">
          <a:noFill/>
        </a:ln>
      </xdr:spPr>
    </xdr:pic>
    <xdr:clientData/>
  </xdr:twoCellAnchor>
  <xdr:twoCellAnchor editAs="oneCell">
    <xdr:from>
      <xdr:col>14</xdr:col>
      <xdr:colOff>0</xdr:colOff>
      <xdr:row>4205</xdr:row>
      <xdr:rowOff>758880</xdr:rowOff>
    </xdr:from>
    <xdr:to>
      <xdr:col>14</xdr:col>
      <xdr:colOff>3714120</xdr:colOff>
      <xdr:row>4366</xdr:row>
      <xdr:rowOff>183600</xdr:rowOff>
    </xdr:to>
    <xdr:pic>
      <xdr:nvPicPr>
        <xdr:cNvPr id="102" name="Image 42" descr="Picture"/>
        <xdr:cNvPicPr/>
      </xdr:nvPicPr>
      <xdr:blipFill>
        <a:blip r:embed="rId42"/>
        <a:stretch/>
      </xdr:blipFill>
      <xdr:spPr>
        <a:xfrm>
          <a:off x="28803600" y="1077702840"/>
          <a:ext cx="3714120" cy="56746440"/>
        </a:xfrm>
        <a:prstGeom prst="rect">
          <a:avLst/>
        </a:prstGeom>
        <a:ln w="0">
          <a:noFill/>
        </a:ln>
      </xdr:spPr>
    </xdr:pic>
    <xdr:clientData/>
  </xdr:twoCellAnchor>
  <xdr:twoCellAnchor editAs="oneCell">
    <xdr:from>
      <xdr:col>14</xdr:col>
      <xdr:colOff>0</xdr:colOff>
      <xdr:row>4367</xdr:row>
      <xdr:rowOff>184320</xdr:rowOff>
    </xdr:from>
    <xdr:to>
      <xdr:col>14</xdr:col>
      <xdr:colOff>3714120</xdr:colOff>
      <xdr:row>4514</xdr:row>
      <xdr:rowOff>1911240</xdr:rowOff>
    </xdr:to>
    <xdr:pic>
      <xdr:nvPicPr>
        <xdr:cNvPr id="103" name="Image 43" descr="Picture"/>
        <xdr:cNvPicPr/>
      </xdr:nvPicPr>
      <xdr:blipFill>
        <a:blip r:embed="rId43"/>
        <a:stretch/>
      </xdr:blipFill>
      <xdr:spPr>
        <a:xfrm>
          <a:off x="28803600" y="1134640440"/>
          <a:ext cx="3714120" cy="56943360"/>
        </a:xfrm>
        <a:prstGeom prst="rect">
          <a:avLst/>
        </a:prstGeom>
        <a:ln w="0">
          <a:noFill/>
        </a:ln>
      </xdr:spPr>
    </xdr:pic>
    <xdr:clientData/>
  </xdr:twoCellAnchor>
  <xdr:twoCellAnchor editAs="oneCell">
    <xdr:from>
      <xdr:col>14</xdr:col>
      <xdr:colOff>0</xdr:colOff>
      <xdr:row>4515</xdr:row>
      <xdr:rowOff>36720</xdr:rowOff>
    </xdr:from>
    <xdr:to>
      <xdr:col>14</xdr:col>
      <xdr:colOff>3714120</xdr:colOff>
      <xdr:row>4722</xdr:row>
      <xdr:rowOff>68400</xdr:rowOff>
    </xdr:to>
    <xdr:pic>
      <xdr:nvPicPr>
        <xdr:cNvPr id="104" name="Image 44" descr="Picture"/>
        <xdr:cNvPicPr/>
      </xdr:nvPicPr>
      <xdr:blipFill>
        <a:blip r:embed="rId44"/>
        <a:stretch/>
      </xdr:blipFill>
      <xdr:spPr>
        <a:xfrm>
          <a:off x="28803600" y="1191766680"/>
          <a:ext cx="3714120" cy="56791080"/>
        </a:xfrm>
        <a:prstGeom prst="rect">
          <a:avLst/>
        </a:prstGeom>
        <a:ln w="0">
          <a:noFill/>
        </a:ln>
      </xdr:spPr>
    </xdr:pic>
    <xdr:clientData/>
  </xdr:twoCellAnchor>
  <xdr:twoCellAnchor editAs="oneCell">
    <xdr:from>
      <xdr:col>14</xdr:col>
      <xdr:colOff>0</xdr:colOff>
      <xdr:row>4723</xdr:row>
      <xdr:rowOff>69120</xdr:rowOff>
    </xdr:from>
    <xdr:to>
      <xdr:col>14</xdr:col>
      <xdr:colOff>3714120</xdr:colOff>
      <xdr:row>4827</xdr:row>
      <xdr:rowOff>278640</xdr:rowOff>
    </xdr:to>
    <xdr:pic>
      <xdr:nvPicPr>
        <xdr:cNvPr id="105" name="Image 45" descr="Picture"/>
        <xdr:cNvPicPr/>
      </xdr:nvPicPr>
      <xdr:blipFill>
        <a:blip r:embed="rId45"/>
        <a:stretch/>
      </xdr:blipFill>
      <xdr:spPr>
        <a:xfrm>
          <a:off x="28803600" y="1248748920"/>
          <a:ext cx="3714120" cy="56883240"/>
        </a:xfrm>
        <a:prstGeom prst="rect">
          <a:avLst/>
        </a:prstGeom>
        <a:ln w="0">
          <a:noFill/>
        </a:ln>
      </xdr:spPr>
    </xdr:pic>
    <xdr:clientData/>
  </xdr:twoCellAnchor>
  <xdr:twoCellAnchor editAs="oneCell">
    <xdr:from>
      <xdr:col>14</xdr:col>
      <xdr:colOff>0</xdr:colOff>
      <xdr:row>4827</xdr:row>
      <xdr:rowOff>469800</xdr:rowOff>
    </xdr:from>
    <xdr:to>
      <xdr:col>14</xdr:col>
      <xdr:colOff>3714120</xdr:colOff>
      <xdr:row>5073</xdr:row>
      <xdr:rowOff>57600</xdr:rowOff>
    </xdr:to>
    <xdr:pic>
      <xdr:nvPicPr>
        <xdr:cNvPr id="106" name="Image 46" descr="Picture"/>
        <xdr:cNvPicPr/>
      </xdr:nvPicPr>
      <xdr:blipFill>
        <a:blip r:embed="rId46"/>
        <a:stretch/>
      </xdr:blipFill>
      <xdr:spPr>
        <a:xfrm>
          <a:off x="28803600" y="1305823320"/>
          <a:ext cx="3714120" cy="56814120"/>
        </a:xfrm>
        <a:prstGeom prst="rect">
          <a:avLst/>
        </a:prstGeom>
        <a:ln w="0">
          <a:noFill/>
        </a:ln>
      </xdr:spPr>
    </xdr:pic>
    <xdr:clientData/>
  </xdr:twoCellAnchor>
  <xdr:twoCellAnchor editAs="oneCell">
    <xdr:from>
      <xdr:col>14</xdr:col>
      <xdr:colOff>0</xdr:colOff>
      <xdr:row>5075</xdr:row>
      <xdr:rowOff>58680</xdr:rowOff>
    </xdr:from>
    <xdr:to>
      <xdr:col>14</xdr:col>
      <xdr:colOff>3714120</xdr:colOff>
      <xdr:row>5130</xdr:row>
      <xdr:rowOff>163080</xdr:rowOff>
    </xdr:to>
    <xdr:pic>
      <xdr:nvPicPr>
        <xdr:cNvPr id="107" name="Image 47" descr="Picture"/>
        <xdr:cNvPicPr/>
      </xdr:nvPicPr>
      <xdr:blipFill>
        <a:blip r:embed="rId47"/>
        <a:stretch/>
      </xdr:blipFill>
      <xdr:spPr>
        <a:xfrm>
          <a:off x="28803600" y="1363019400"/>
          <a:ext cx="3714120" cy="54454320"/>
        </a:xfrm>
        <a:prstGeom prst="rect">
          <a:avLst/>
        </a:prstGeom>
        <a:ln w="0">
          <a:noFill/>
        </a:ln>
      </xdr:spPr>
    </xdr:pic>
    <xdr:clientData/>
  </xdr:twoCellAnchor>
  <xdr:twoCellAnchor editAs="oneCell">
    <xdr:from>
      <xdr:col>14</xdr:col>
      <xdr:colOff>0</xdr:colOff>
      <xdr:row>5130</xdr:row>
      <xdr:rowOff>516240</xdr:rowOff>
    </xdr:from>
    <xdr:to>
      <xdr:col>14</xdr:col>
      <xdr:colOff>3714120</xdr:colOff>
      <xdr:row>5206</xdr:row>
      <xdr:rowOff>168840</xdr:rowOff>
    </xdr:to>
    <xdr:pic>
      <xdr:nvPicPr>
        <xdr:cNvPr id="108" name="Image 48" descr="Picture"/>
        <xdr:cNvPicPr/>
      </xdr:nvPicPr>
      <xdr:blipFill>
        <a:blip r:embed="rId48"/>
        <a:stretch/>
      </xdr:blipFill>
      <xdr:spPr>
        <a:xfrm>
          <a:off x="28803600" y="1417826880"/>
          <a:ext cx="3714120" cy="16149600"/>
        </a:xfrm>
        <a:prstGeom prst="rect">
          <a:avLst/>
        </a:prstGeom>
        <a:ln w="0">
          <a:noFill/>
        </a:ln>
      </xdr:spPr>
    </xdr:pic>
    <xdr:clientData/>
  </xdr:twoCellAnchor>
  <xdr:twoCellAnchor editAs="oneCell">
    <xdr:from>
      <xdr:col>14</xdr:col>
      <xdr:colOff>0</xdr:colOff>
      <xdr:row>5207</xdr:row>
      <xdr:rowOff>188640</xdr:rowOff>
    </xdr:from>
    <xdr:to>
      <xdr:col>14</xdr:col>
      <xdr:colOff>3714120</xdr:colOff>
      <xdr:row>5274</xdr:row>
      <xdr:rowOff>73800</xdr:rowOff>
    </xdr:to>
    <xdr:pic>
      <xdr:nvPicPr>
        <xdr:cNvPr id="109" name="Image 49" descr="Picture"/>
        <xdr:cNvPicPr/>
      </xdr:nvPicPr>
      <xdr:blipFill>
        <a:blip r:embed="rId49"/>
        <a:stretch/>
      </xdr:blipFill>
      <xdr:spPr>
        <a:xfrm>
          <a:off x="28803600" y="1434187080"/>
          <a:ext cx="3714120" cy="12648600"/>
        </a:xfrm>
        <a:prstGeom prst="rect">
          <a:avLst/>
        </a:prstGeom>
        <a:ln w="0">
          <a:noFill/>
        </a:ln>
      </xdr:spPr>
    </xdr:pic>
    <xdr:clientData/>
  </xdr:twoCellAnchor>
  <xdr:twoCellAnchor editAs="oneCell">
    <xdr:from>
      <xdr:col>14</xdr:col>
      <xdr:colOff>0</xdr:colOff>
      <xdr:row>5276</xdr:row>
      <xdr:rowOff>188640</xdr:rowOff>
    </xdr:from>
    <xdr:to>
      <xdr:col>14</xdr:col>
      <xdr:colOff>3714120</xdr:colOff>
      <xdr:row>5417</xdr:row>
      <xdr:rowOff>330840</xdr:rowOff>
    </xdr:to>
    <xdr:pic>
      <xdr:nvPicPr>
        <xdr:cNvPr id="110" name="Image 50" descr="Picture"/>
        <xdr:cNvPicPr/>
      </xdr:nvPicPr>
      <xdr:blipFill>
        <a:blip r:embed="rId50"/>
        <a:stretch/>
      </xdr:blipFill>
      <xdr:spPr>
        <a:xfrm>
          <a:off x="28803600" y="1447331400"/>
          <a:ext cx="3714120" cy="56958840"/>
        </a:xfrm>
        <a:prstGeom prst="rect">
          <a:avLst/>
        </a:prstGeom>
        <a:ln w="0">
          <a:noFill/>
        </a:ln>
      </xdr:spPr>
    </xdr:pic>
    <xdr:clientData/>
  </xdr:twoCellAnchor>
  <xdr:twoCellAnchor editAs="oneCell">
    <xdr:from>
      <xdr:col>14</xdr:col>
      <xdr:colOff>0</xdr:colOff>
      <xdr:row>5417</xdr:row>
      <xdr:rowOff>522000</xdr:rowOff>
    </xdr:from>
    <xdr:to>
      <xdr:col>14</xdr:col>
      <xdr:colOff>3714120</xdr:colOff>
      <xdr:row>5490</xdr:row>
      <xdr:rowOff>11520</xdr:rowOff>
    </xdr:to>
    <xdr:pic>
      <xdr:nvPicPr>
        <xdr:cNvPr id="111" name="Image 51" descr="Picture"/>
        <xdr:cNvPicPr/>
      </xdr:nvPicPr>
      <xdr:blipFill>
        <a:blip r:embed="rId51"/>
        <a:stretch/>
      </xdr:blipFill>
      <xdr:spPr>
        <a:xfrm>
          <a:off x="28803600" y="1504481400"/>
          <a:ext cx="3714120" cy="56754000"/>
        </a:xfrm>
        <a:prstGeom prst="rect">
          <a:avLst/>
        </a:prstGeom>
        <a:ln w="0">
          <a:noFill/>
        </a:ln>
      </xdr:spPr>
    </xdr:pic>
    <xdr:clientData/>
  </xdr:twoCellAnchor>
  <xdr:twoCellAnchor editAs="oneCell">
    <xdr:from>
      <xdr:col>14</xdr:col>
      <xdr:colOff>0</xdr:colOff>
      <xdr:row>5490</xdr:row>
      <xdr:rowOff>202680</xdr:rowOff>
    </xdr:from>
    <xdr:to>
      <xdr:col>14</xdr:col>
      <xdr:colOff>3714120</xdr:colOff>
      <xdr:row>5752</xdr:row>
      <xdr:rowOff>123840</xdr:rowOff>
    </xdr:to>
    <xdr:pic>
      <xdr:nvPicPr>
        <xdr:cNvPr id="112" name="Image 52" descr="Picture"/>
        <xdr:cNvPicPr/>
      </xdr:nvPicPr>
      <xdr:blipFill>
        <a:blip r:embed="rId52"/>
        <a:stretch/>
      </xdr:blipFill>
      <xdr:spPr>
        <a:xfrm>
          <a:off x="28803600" y="1561426560"/>
          <a:ext cx="3714120" cy="57071160"/>
        </a:xfrm>
        <a:prstGeom prst="rect">
          <a:avLst/>
        </a:prstGeom>
        <a:ln w="0">
          <a:noFill/>
        </a:ln>
      </xdr:spPr>
    </xdr:pic>
    <xdr:clientData/>
  </xdr:twoCellAnchor>
  <xdr:twoCellAnchor editAs="oneCell">
    <xdr:from>
      <xdr:col>14</xdr:col>
      <xdr:colOff>0</xdr:colOff>
      <xdr:row>5753</xdr:row>
      <xdr:rowOff>124560</xdr:rowOff>
    </xdr:from>
    <xdr:to>
      <xdr:col>14</xdr:col>
      <xdr:colOff>3714120</xdr:colOff>
      <xdr:row>6014</xdr:row>
      <xdr:rowOff>136080</xdr:rowOff>
    </xdr:to>
    <xdr:pic>
      <xdr:nvPicPr>
        <xdr:cNvPr id="113" name="Image 53" descr="Picture"/>
        <xdr:cNvPicPr/>
      </xdr:nvPicPr>
      <xdr:blipFill>
        <a:blip r:embed="rId53"/>
        <a:stretch/>
      </xdr:blipFill>
      <xdr:spPr>
        <a:xfrm>
          <a:off x="28803600" y="1618688880"/>
          <a:ext cx="3714120" cy="53770680"/>
        </a:xfrm>
        <a:prstGeom prst="rect">
          <a:avLst/>
        </a:prstGeom>
        <a:ln w="0">
          <a:noFill/>
        </a:ln>
      </xdr:spPr>
    </xdr:pic>
    <xdr:clientData/>
  </xdr:twoCellAnchor>
  <xdr:twoCellAnchor editAs="oneCell">
    <xdr:from>
      <xdr:col>14</xdr:col>
      <xdr:colOff>0</xdr:colOff>
      <xdr:row>6016</xdr:row>
      <xdr:rowOff>41040</xdr:rowOff>
    </xdr:from>
    <xdr:to>
      <xdr:col>14</xdr:col>
      <xdr:colOff>3714120</xdr:colOff>
      <xdr:row>6295</xdr:row>
      <xdr:rowOff>108360</xdr:rowOff>
    </xdr:to>
    <xdr:pic>
      <xdr:nvPicPr>
        <xdr:cNvPr id="114" name="Image 54" descr="Picture"/>
        <xdr:cNvPicPr/>
      </xdr:nvPicPr>
      <xdr:blipFill>
        <a:blip r:embed="rId54"/>
        <a:stretch/>
      </xdr:blipFill>
      <xdr:spPr>
        <a:xfrm>
          <a:off x="28803600" y="1672745400"/>
          <a:ext cx="3714120" cy="56912400"/>
        </a:xfrm>
        <a:prstGeom prst="rect">
          <a:avLst/>
        </a:prstGeom>
        <a:ln w="0">
          <a:noFill/>
        </a:ln>
      </xdr:spPr>
    </xdr:pic>
    <xdr:clientData/>
  </xdr:twoCellAnchor>
  <xdr:twoCellAnchor editAs="oneCell">
    <xdr:from>
      <xdr:col>14</xdr:col>
      <xdr:colOff>0</xdr:colOff>
      <xdr:row>6296</xdr:row>
      <xdr:rowOff>109080</xdr:rowOff>
    </xdr:from>
    <xdr:to>
      <xdr:col>14</xdr:col>
      <xdr:colOff>3714120</xdr:colOff>
      <xdr:row>6377</xdr:row>
      <xdr:rowOff>70200</xdr:rowOff>
    </xdr:to>
    <xdr:pic>
      <xdr:nvPicPr>
        <xdr:cNvPr id="115" name="Image 55" descr="Picture"/>
        <xdr:cNvPicPr/>
      </xdr:nvPicPr>
      <xdr:blipFill>
        <a:blip r:embed="rId55"/>
        <a:stretch/>
      </xdr:blipFill>
      <xdr:spPr>
        <a:xfrm>
          <a:off x="28803600" y="1729848960"/>
          <a:ext cx="3714120" cy="15391800"/>
        </a:xfrm>
        <a:prstGeom prst="rect">
          <a:avLst/>
        </a:prstGeom>
        <a:ln w="0">
          <a:noFill/>
        </a:ln>
      </xdr:spPr>
    </xdr:pic>
    <xdr:clientData/>
  </xdr:twoCellAnchor>
  <xdr:twoCellAnchor editAs="oneCell">
    <xdr:from>
      <xdr:col>14</xdr:col>
      <xdr:colOff>0</xdr:colOff>
      <xdr:row>6378</xdr:row>
      <xdr:rowOff>109080</xdr:rowOff>
    </xdr:from>
    <xdr:to>
      <xdr:col>14</xdr:col>
      <xdr:colOff>3714120</xdr:colOff>
      <xdr:row>6658</xdr:row>
      <xdr:rowOff>176400</xdr:rowOff>
    </xdr:to>
    <xdr:pic>
      <xdr:nvPicPr>
        <xdr:cNvPr id="116" name="Image 56" descr="Picture"/>
        <xdr:cNvPicPr/>
      </xdr:nvPicPr>
      <xdr:blipFill>
        <a:blip r:embed="rId56"/>
        <a:stretch/>
      </xdr:blipFill>
      <xdr:spPr>
        <a:xfrm>
          <a:off x="28803600" y="1745470080"/>
          <a:ext cx="3714120" cy="57103200"/>
        </a:xfrm>
        <a:prstGeom prst="rect">
          <a:avLst/>
        </a:prstGeom>
        <a:ln w="0">
          <a:noFill/>
        </a:ln>
      </xdr:spPr>
    </xdr:pic>
    <xdr:clientData/>
  </xdr:twoCellAnchor>
  <xdr:twoCellAnchor editAs="oneCell">
    <xdr:from>
      <xdr:col>14</xdr:col>
      <xdr:colOff>0</xdr:colOff>
      <xdr:row>6660</xdr:row>
      <xdr:rowOff>177120</xdr:rowOff>
    </xdr:from>
    <xdr:to>
      <xdr:col>14</xdr:col>
      <xdr:colOff>3714120</xdr:colOff>
      <xdr:row>6924</xdr:row>
      <xdr:rowOff>141480</xdr:rowOff>
    </xdr:to>
    <xdr:pic>
      <xdr:nvPicPr>
        <xdr:cNvPr id="117" name="Image 57" descr="Picture"/>
        <xdr:cNvPicPr/>
      </xdr:nvPicPr>
      <xdr:blipFill>
        <a:blip r:embed="rId57"/>
        <a:stretch/>
      </xdr:blipFill>
      <xdr:spPr>
        <a:xfrm>
          <a:off x="28803600" y="1802954880"/>
          <a:ext cx="3714120" cy="52751880"/>
        </a:xfrm>
        <a:prstGeom prst="rect">
          <a:avLst/>
        </a:prstGeom>
        <a:ln w="0">
          <a:noFill/>
        </a:ln>
      </xdr:spPr>
    </xdr:pic>
    <xdr:clientData/>
  </xdr:twoCellAnchor>
  <xdr:twoCellAnchor editAs="oneCell">
    <xdr:from>
      <xdr:col>14</xdr:col>
      <xdr:colOff>0</xdr:colOff>
      <xdr:row>6926</xdr:row>
      <xdr:rowOff>104040</xdr:rowOff>
    </xdr:from>
    <xdr:to>
      <xdr:col>14</xdr:col>
      <xdr:colOff>3714120</xdr:colOff>
      <xdr:row>7192</xdr:row>
      <xdr:rowOff>27720</xdr:rowOff>
    </xdr:to>
    <xdr:pic>
      <xdr:nvPicPr>
        <xdr:cNvPr id="118" name="Image 58" descr="Picture"/>
        <xdr:cNvPicPr/>
      </xdr:nvPicPr>
      <xdr:blipFill>
        <a:blip r:embed="rId58"/>
        <a:stretch/>
      </xdr:blipFill>
      <xdr:spPr>
        <a:xfrm>
          <a:off x="28803600" y="1856050200"/>
          <a:ext cx="3714120" cy="52759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8.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9.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0.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1.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2.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3.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4.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7.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8.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9.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20.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21.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22.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23.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24.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25.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26.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7.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8.vml"/>
</Relationships>
</file>

<file path=xl/worksheets/_rels/sheet38.xml.rels><?xml version="1.0" encoding="UTF-8"?>
<Relationships xmlns="http://schemas.openxmlformats.org/package/2006/relationships"><Relationship Id="rId1" Type="http://schemas.openxmlformats.org/officeDocument/2006/relationships/drawing" Target="../drawings/drawing1.xml"/>
</Relationships>
</file>

<file path=xl/worksheets/_rels/sheet39.xml.rels><?xml version="1.0" encoding="UTF-8"?>
<Relationships xmlns="http://schemas.openxmlformats.org/package/2006/relationships"><Relationship Id="rId1" Type="http://schemas.openxmlformats.org/officeDocument/2006/relationships/comments" Target="../comments39.xml"/><Relationship Id="rId2" Type="http://schemas.openxmlformats.org/officeDocument/2006/relationships/vmlDrawing" Target="../drawings/vmlDrawing29.vml"/>
</Relationships>
</file>

<file path=xl/worksheets/_rels/sheet40.xml.rels><?xml version="1.0" encoding="UTF-8"?>
<Relationships xmlns="http://schemas.openxmlformats.org/package/2006/relationships"><Relationship Id="rId1" Type="http://schemas.openxmlformats.org/officeDocument/2006/relationships/hyperlink" Target="https://pensionsauthority.ie/scheme-members-and-prsa-contributors/understanding-pensions/your_right_to_information/statement_of_reasonable_projection/" TargetMode="External"/><Relationship Id="rId2" Type="http://schemas.openxmlformats.org/officeDocument/2006/relationships/hyperlink" Target="https://pensionsauthority.ie/news_press/news_archive/updated-pension-benefit-statement-projection-assumptions/" TargetMode="External"/><Relationship Id="rId3" Type="http://schemas.openxmlformats.org/officeDocument/2006/relationships/hyperlink" Target="https://www.centralbank.ie/code" TargetMode="External"/><Relationship Id="rId4" Type="http://schemas.openxmlformats.org/officeDocument/2006/relationships/hyperlink" Target="https://www.revenue.ie/en/corporate/press-office/press-releases/2019/pr-200619-employees-new-facility-view-current-pay-and-tax-details-through-revenue-myaccount.aspx" TargetMode="External"/><Relationship Id="rId5" Type="http://schemas.openxmlformats.org/officeDocument/2006/relationships/hyperlink" Target="https://www.gov.ie/en/publication/0fbf7-request-a-contribution-statement" TargetMode="External"/>
</Relationships>
</file>

<file path=xl/worksheets/_rels/sheet46.xml.rels><?xml version="1.0" encoding="UTF-8"?>
<Relationships xmlns="http://schemas.openxmlformats.org/package/2006/relationships"><Relationship Id="rId1" Type="http://schemas.openxmlformats.org/officeDocument/2006/relationships/drawing" Target="../drawings/drawing2.xml"/>
</Relationships>
</file>

<file path=xl/worksheets/_rels/sheet47.xml.rels><?xml version="1.0" encoding="UTF-8"?>
<Relationships xmlns="http://schemas.openxmlformats.org/package/2006/relationships"><Relationship Id="rId1" Type="http://schemas.openxmlformats.org/officeDocument/2006/relationships/drawing" Target="../drawings/drawing3.xml"/>
</Relationships>
</file>

<file path=xl/worksheets/_rels/sheet4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3" min="3" style="1" width="40"/>
    <col collapsed="false" customWidth="true" hidden="false" outlineLevel="0" max="4" min="4" style="1" width="70"/>
    <col collapsed="false" customWidth="true" hidden="false" outlineLevel="0" max="5" min="5" style="1" width="30"/>
  </cols>
  <sheetData>
    <row r="1" customFormat="false" ht="21.75" hidden="false" customHeight="true" outlineLevel="0" collapsed="false">
      <c r="B1" s="2" t="s">
        <v>0</v>
      </c>
    </row>
    <row r="2" customFormat="false" ht="15" hidden="false" customHeight="true" outlineLevel="0" collapsed="false">
      <c r="B2" s="3" t="s">
        <v>1</v>
      </c>
    </row>
    <row r="3" customFormat="false" ht="15" hidden="false" customHeight="true" outlineLevel="0" collapsed="false">
      <c r="B3" s="4" t="s">
        <v>2</v>
      </c>
      <c r="C3" s="5" t="s">
        <v>3</v>
      </c>
      <c r="D3" s="6" t="s">
        <v>4</v>
      </c>
    </row>
    <row r="4" customFormat="false" ht="15" hidden="false" customHeight="true" outlineLevel="0" collapsed="false">
      <c r="B4" s="7" t="s">
        <v>5</v>
      </c>
    </row>
    <row r="5" customFormat="false" ht="15" hidden="false" customHeight="true" outlineLevel="0" collapsed="false">
      <c r="B5" s="8" t="s">
        <v>6</v>
      </c>
      <c r="C5" s="8"/>
      <c r="D5" s="8"/>
      <c r="E5" s="8"/>
    </row>
    <row r="6" customFormat="false" ht="15" hidden="false" customHeight="true" outlineLevel="0" collapsed="false">
      <c r="B6" s="8" t="s">
        <v>7</v>
      </c>
      <c r="C6" s="8"/>
      <c r="D6" s="8"/>
      <c r="E6" s="8"/>
    </row>
    <row r="7" customFormat="false" ht="15" hidden="false" customHeight="true" outlineLevel="0" collapsed="false">
      <c r="B7" s="8" t="s">
        <v>8</v>
      </c>
      <c r="C7" s="8"/>
      <c r="D7" s="8"/>
      <c r="E7" s="8"/>
    </row>
    <row r="8" customFormat="false" ht="15" hidden="false" customHeight="true" outlineLevel="0" collapsed="false">
      <c r="B8" s="8" t="s">
        <v>9</v>
      </c>
      <c r="C8" s="8"/>
      <c r="D8" s="8"/>
      <c r="E8" s="8"/>
    </row>
    <row r="9" customFormat="false" ht="15" hidden="false" customHeight="true" outlineLevel="0" collapsed="false">
      <c r="B9" s="8" t="s">
        <v>10</v>
      </c>
      <c r="C9" s="8"/>
      <c r="D9" s="8"/>
      <c r="E9" s="8"/>
    </row>
    <row r="10" customFormat="false" ht="15" hidden="false" customHeight="true" outlineLevel="0" collapsed="false">
      <c r="B10" s="8" t="s">
        <v>11</v>
      </c>
      <c r="C10" s="8"/>
      <c r="D10" s="8"/>
      <c r="E10" s="8"/>
    </row>
    <row r="11" customFormat="false" ht="15" hidden="false" customHeight="true" outlineLevel="0" collapsed="false">
      <c r="B11" s="8" t="s">
        <v>12</v>
      </c>
      <c r="C11" s="8"/>
      <c r="D11" s="8"/>
      <c r="E11" s="8"/>
    </row>
    <row r="12" customFormat="false" ht="15" hidden="false" customHeight="true" outlineLevel="0" collapsed="false">
      <c r="B12" s="8" t="s">
        <v>13</v>
      </c>
      <c r="C12" s="8"/>
      <c r="D12" s="8"/>
      <c r="E12" s="8"/>
    </row>
    <row r="13" customFormat="false" ht="15" hidden="false" customHeight="true" outlineLevel="0" collapsed="false">
      <c r="B13" s="8" t="s">
        <v>14</v>
      </c>
      <c r="C13" s="8"/>
      <c r="D13" s="8"/>
      <c r="E13" s="8"/>
    </row>
    <row r="14" customFormat="false" ht="15" hidden="false" customHeight="true" outlineLevel="0" collapsed="false">
      <c r="B14" s="8" t="s">
        <v>15</v>
      </c>
      <c r="C14" s="8"/>
      <c r="D14" s="8"/>
      <c r="E14" s="8"/>
    </row>
    <row r="15" customFormat="false" ht="15" hidden="false" customHeight="true" outlineLevel="0" collapsed="false">
      <c r="B15" s="1" t="s">
        <v>16</v>
      </c>
    </row>
    <row r="16" customFormat="false" ht="15" hidden="false" customHeight="true" outlineLevel="0" collapsed="false">
      <c r="B16" s="7" t="s">
        <v>17</v>
      </c>
    </row>
    <row r="17" customFormat="false" ht="15" hidden="false" customHeight="true" outlineLevel="0" collapsed="false">
      <c r="B17" s="8" t="s">
        <v>18</v>
      </c>
      <c r="C17" s="8"/>
      <c r="D17" s="8"/>
      <c r="E17" s="8"/>
    </row>
    <row r="18" customFormat="false" ht="15" hidden="false" customHeight="true" outlineLevel="0" collapsed="false">
      <c r="B18" s="8" t="s">
        <v>19</v>
      </c>
      <c r="C18" s="8"/>
      <c r="D18" s="8"/>
      <c r="E18" s="8"/>
    </row>
    <row r="19" customFormat="false" ht="15" hidden="false" customHeight="true" outlineLevel="0" collapsed="false">
      <c r="B19" s="8" t="s">
        <v>20</v>
      </c>
      <c r="C19" s="8"/>
      <c r="D19" s="8"/>
      <c r="E19" s="8"/>
    </row>
    <row r="20" customFormat="false" ht="15" hidden="false" customHeight="true" outlineLevel="0" collapsed="false">
      <c r="B20" s="8" t="s">
        <v>21</v>
      </c>
      <c r="C20" s="8"/>
      <c r="D20" s="8"/>
      <c r="E20" s="8"/>
    </row>
    <row r="21" customFormat="false" ht="15" hidden="false" customHeight="true" outlineLevel="0" collapsed="false">
      <c r="B21" s="8" t="s">
        <v>22</v>
      </c>
      <c r="C21" s="8"/>
      <c r="D21" s="8"/>
      <c r="E21" s="8"/>
    </row>
    <row r="22" customFormat="false" ht="15" hidden="false" customHeight="true" outlineLevel="0" collapsed="false">
      <c r="B22" s="8" t="s">
        <v>23</v>
      </c>
      <c r="C22" s="8"/>
      <c r="D22" s="8"/>
      <c r="E22" s="8"/>
    </row>
    <row r="23" customFormat="false" ht="15" hidden="false" customHeight="true" outlineLevel="0" collapsed="false">
      <c r="B23" s="9" t="s">
        <v>24</v>
      </c>
    </row>
    <row r="24" customFormat="false" ht="15" hidden="false" customHeight="true" outlineLevel="0" collapsed="false">
      <c r="B24" s="7" t="s">
        <v>25</v>
      </c>
    </row>
    <row r="25" customFormat="false" ht="15" hidden="false" customHeight="true" outlineLevel="0" collapsed="false">
      <c r="B25" s="8" t="s">
        <v>26</v>
      </c>
      <c r="C25" s="8"/>
      <c r="D25" s="8"/>
      <c r="E25" s="8"/>
    </row>
    <row r="27" customFormat="false" ht="15" hidden="false" customHeight="true" outlineLevel="0" collapsed="false">
      <c r="B27" s="7" t="s">
        <v>27</v>
      </c>
    </row>
    <row r="28" customFormat="false" ht="48" hidden="false" customHeight="true" outlineLevel="0" collapsed="false">
      <c r="B28" s="10" t="s">
        <v>28</v>
      </c>
      <c r="C28" s="10"/>
      <c r="D28" s="10"/>
      <c r="E28" s="10"/>
    </row>
    <row r="30" customFormat="false" ht="15" hidden="false" customHeight="true" outlineLevel="0" collapsed="false">
      <c r="B30" s="7" t="s">
        <v>29</v>
      </c>
    </row>
    <row r="31" customFormat="false" ht="15" hidden="false" customHeight="true" outlineLevel="0" collapsed="false">
      <c r="B31" s="11" t="s">
        <v>30</v>
      </c>
      <c r="C31" s="11" t="s">
        <v>31</v>
      </c>
      <c r="D31" s="11" t="s">
        <v>32</v>
      </c>
      <c r="E31" s="11" t="s">
        <v>33</v>
      </c>
    </row>
    <row r="32" customFormat="false" ht="15" hidden="false" customHeight="true" outlineLevel="0" collapsed="false">
      <c r="B32" s="12" t="s">
        <v>34</v>
      </c>
      <c r="C32" s="13" t="str">
        <f aca="false">HYPERLINK("#'C01 Borrowing'!A1","How much could I borrow?")</f>
        <v>How much could I borrow?</v>
      </c>
      <c r="D32" s="14" t="s">
        <v>35</v>
      </c>
      <c r="E32" s="14" t="s">
        <v>36</v>
      </c>
    </row>
    <row r="33" customFormat="false" ht="15" hidden="false" customHeight="true" outlineLevel="0" collapsed="false">
      <c r="B33" s="12" t="s">
        <v>37</v>
      </c>
      <c r="C33" s="13" t="str">
        <f aca="false">HYPERLINK("#'C02 Mortgage repayment'!A1","Monthly mortgage repayment")</f>
        <v>Monthly mortgage repayment</v>
      </c>
      <c r="D33" s="14" t="s">
        <v>38</v>
      </c>
      <c r="E33" s="14" t="s">
        <v>36</v>
      </c>
    </row>
    <row r="34" customFormat="false" ht="15" hidden="false" customHeight="true" outlineLevel="0" collapsed="false">
      <c r="B34" s="12" t="s">
        <v>39</v>
      </c>
      <c r="C34" s="13" t="str">
        <f aca="false">HYPERLINK("#'C03 Deposit'!A1","Deposit calculator")</f>
        <v>Deposit calculator</v>
      </c>
      <c r="D34" s="14" t="s">
        <v>40</v>
      </c>
      <c r="E34" s="14" t="s">
        <v>36</v>
      </c>
    </row>
    <row r="35" customFormat="false" ht="15" hidden="false" customHeight="true" outlineLevel="0" collapsed="false">
      <c r="B35" s="12" t="s">
        <v>41</v>
      </c>
      <c r="C35" s="13" t="str">
        <f aca="false">HYPERLINK("#'C04 Mortgage overpayment'!A1","Mortgage overpayment")</f>
        <v>Mortgage overpayment</v>
      </c>
      <c r="D35" s="14" t="s">
        <v>42</v>
      </c>
      <c r="E35" s="14" t="s">
        <v>36</v>
      </c>
    </row>
    <row r="36" customFormat="false" ht="15" hidden="false" customHeight="true" outlineLevel="0" collapsed="false">
      <c r="B36" s="12" t="s">
        <v>43</v>
      </c>
      <c r="C36" s="13" t="str">
        <f aca="false">HYPERLINK("#'C05 Interest rate impact'!A1","Interest-rate impact")</f>
        <v>Interest-rate impact</v>
      </c>
      <c r="D36" s="14" t="s">
        <v>44</v>
      </c>
      <c r="E36" s="14" t="s">
        <v>36</v>
      </c>
    </row>
    <row r="37" customFormat="false" ht="15" hidden="false" customHeight="true" outlineLevel="0" collapsed="false">
      <c r="B37" s="12" t="s">
        <v>45</v>
      </c>
      <c r="C37" s="13" t="str">
        <f aca="false">HYPERLINK("#'C06 Term comparison'!A1","Mortgage term comparison")</f>
        <v>Mortgage term comparison</v>
      </c>
      <c r="D37" s="14" t="s">
        <v>46</v>
      </c>
      <c r="E37" s="14" t="s">
        <v>36</v>
      </c>
    </row>
    <row r="38" customFormat="false" ht="15" hidden="false" customHeight="true" outlineLevel="0" collapsed="false">
      <c r="B38" s="12" t="s">
        <v>47</v>
      </c>
      <c r="C38" s="13" t="str">
        <f aca="false">HYPERLINK("#'C07 Rent vs buy'!A1","Rent vs buy")</f>
        <v>Rent vs buy</v>
      </c>
      <c r="D38" s="14" t="s">
        <v>48</v>
      </c>
      <c r="E38" s="14" t="s">
        <v>36</v>
      </c>
    </row>
    <row r="39" customFormat="false" ht="15" hidden="false" customHeight="true" outlineLevel="0" collapsed="false">
      <c r="B39" s="12" t="s">
        <v>49</v>
      </c>
      <c r="C39" s="13" t="str">
        <f aca="false">HYPERLINK("#'C08 Goal planner'!A1","Goal planner")</f>
        <v>Goal planner</v>
      </c>
      <c r="D39" s="14" t="s">
        <v>50</v>
      </c>
      <c r="E39" s="14" t="s">
        <v>51</v>
      </c>
    </row>
    <row r="40" customFormat="false" ht="15" hidden="false" customHeight="true" outlineLevel="0" collapsed="false">
      <c r="B40" s="12" t="s">
        <v>52</v>
      </c>
      <c r="C40" s="13" t="str">
        <f aca="false">HYPERLINK("#'C09 Compound growth'!A1","Compound growth")</f>
        <v>Compound growth</v>
      </c>
      <c r="D40" s="14" t="s">
        <v>53</v>
      </c>
      <c r="E40" s="14" t="s">
        <v>51</v>
      </c>
    </row>
    <row r="41" customFormat="false" ht="15" hidden="false" customHeight="true" outlineLevel="0" collapsed="false">
      <c r="B41" s="12" t="s">
        <v>54</v>
      </c>
      <c r="C41" s="13" t="str">
        <f aca="false">HYPERLINK("#'C10 Lump sum growth'!A1","Lump-sum growth")</f>
        <v>Lump-sum growth</v>
      </c>
      <c r="D41" s="14" t="s">
        <v>55</v>
      </c>
      <c r="E41" s="14" t="s">
        <v>56</v>
      </c>
    </row>
    <row r="42" customFormat="false" ht="15" hidden="false" customHeight="true" outlineLevel="0" collapsed="false">
      <c r="B42" s="12" t="s">
        <v>57</v>
      </c>
      <c r="C42" s="13" t="str">
        <f aca="false">HYPERLINK("#'C11 Emergency fund'!A1","Emergency fund")</f>
        <v>Emergency fund</v>
      </c>
      <c r="D42" s="14" t="s">
        <v>58</v>
      </c>
      <c r="E42" s="14" t="s">
        <v>51</v>
      </c>
    </row>
    <row r="43" customFormat="false" ht="15" hidden="false" customHeight="true" outlineLevel="0" collapsed="false">
      <c r="B43" s="12" t="s">
        <v>59</v>
      </c>
      <c r="C43" s="13" t="str">
        <f aca="false">HYPERLINK("#'C12 Retirement projection'!A1","Retirement projection")</f>
        <v>Retirement projection</v>
      </c>
      <c r="D43" s="14" t="s">
        <v>60</v>
      </c>
      <c r="E43" s="14" t="s">
        <v>61</v>
      </c>
    </row>
    <row r="44" customFormat="false" ht="15" hidden="false" customHeight="true" outlineLevel="0" collapsed="false">
      <c r="B44" s="12" t="s">
        <v>62</v>
      </c>
      <c r="C44" s="13" t="str">
        <f aca="false">HYPERLINK("#'C13 Contribution impact'!A1","Contribution impact")</f>
        <v>Contribution impact</v>
      </c>
      <c r="D44" s="14" t="s">
        <v>63</v>
      </c>
      <c r="E44" s="14" t="s">
        <v>61</v>
      </c>
    </row>
    <row r="45" customFormat="false" ht="15" hidden="false" customHeight="true" outlineLevel="0" collapsed="false">
      <c r="B45" s="12" t="s">
        <v>64</v>
      </c>
      <c r="C45" s="13" t="str">
        <f aca="false">HYPERLINK("#'C14 AVC impact'!A1","AVC impact")</f>
        <v>AVC impact</v>
      </c>
      <c r="D45" s="14" t="s">
        <v>65</v>
      </c>
      <c r="E45" s="14" t="s">
        <v>61</v>
      </c>
    </row>
    <row r="46" customFormat="false" ht="15" hidden="false" customHeight="true" outlineLevel="0" collapsed="false">
      <c r="B46" s="12" t="s">
        <v>66</v>
      </c>
      <c r="C46" s="13" t="str">
        <f aca="false">HYPERLINK("#'C15 Will my money last'!A1","Will my money last?")</f>
        <v>Will my money last?</v>
      </c>
      <c r="D46" s="14" t="s">
        <v>67</v>
      </c>
      <c r="E46" s="14" t="s">
        <v>61</v>
      </c>
    </row>
    <row r="47" customFormat="false" ht="15" hidden="false" customHeight="true" outlineLevel="0" collapsed="false">
      <c r="B47" s="12" t="s">
        <v>68</v>
      </c>
      <c r="C47" s="13" t="str">
        <f aca="false">HYPERLINK("#'C16 Drawdown scenarios'!A1","Retirement drawdown scenarios")</f>
        <v>Retirement drawdown scenarios</v>
      </c>
      <c r="D47" s="14" t="s">
        <v>69</v>
      </c>
      <c r="E47" s="14" t="s">
        <v>61</v>
      </c>
    </row>
    <row r="48" customFormat="false" ht="15" hidden="false" customHeight="true" outlineLevel="0" collapsed="false">
      <c r="B48" s="12" t="s">
        <v>70</v>
      </c>
      <c r="C48" s="13" t="str">
        <f aca="false">HYPERLINK("#'C17 Inflation adjusted return'!A1","Inflation-adjusted return")</f>
        <v>Inflation-adjusted return</v>
      </c>
      <c r="D48" s="14" t="s">
        <v>71</v>
      </c>
      <c r="E48" s="14" t="s">
        <v>56</v>
      </c>
    </row>
    <row r="49" customFormat="false" ht="15" hidden="false" customHeight="true" outlineLevel="0" collapsed="false">
      <c r="B49" s="12" t="s">
        <v>72</v>
      </c>
      <c r="C49" s="13" t="str">
        <f aca="false">HYPERLINK("#'C18 Regular investing'!A1","Regular investing")</f>
        <v>Regular investing</v>
      </c>
      <c r="D49" s="14" t="s">
        <v>73</v>
      </c>
      <c r="E49" s="14" t="s">
        <v>56</v>
      </c>
    </row>
    <row r="50" customFormat="false" ht="15" hidden="false" customHeight="true" outlineLevel="0" collapsed="false">
      <c r="B50" s="12" t="s">
        <v>74</v>
      </c>
      <c r="C50" s="13" t="str">
        <f aca="false">HYPERLINK("#'C19 Fees impact'!A1","Fees impact")</f>
        <v>Fees impact</v>
      </c>
      <c r="D50" s="14" t="s">
        <v>75</v>
      </c>
      <c r="E50" s="14" t="s">
        <v>56</v>
      </c>
    </row>
    <row r="51" customFormat="false" ht="15" hidden="false" customHeight="true" outlineLevel="0" collapsed="false">
      <c r="B51" s="12" t="s">
        <v>76</v>
      </c>
      <c r="C51" s="13" t="str">
        <f aca="false">HYPERLINK("#'C20 Risk and return'!A1","Risk &amp; return simulator")</f>
        <v>Risk &amp; return simulator</v>
      </c>
      <c r="D51" s="14" t="s">
        <v>77</v>
      </c>
      <c r="E51" s="14" t="s">
        <v>56</v>
      </c>
    </row>
    <row r="52" customFormat="false" ht="15" hidden="false" customHeight="true" outlineLevel="0" collapsed="false">
      <c r="B52" s="12" t="s">
        <v>78</v>
      </c>
      <c r="C52" s="13" t="str">
        <f aca="false">HYPERLINK("#'C21 Life cover'!A1","Life cover estimator")</f>
        <v>Life cover estimator</v>
      </c>
      <c r="D52" s="14" t="s">
        <v>79</v>
      </c>
      <c r="E52" s="14" t="s">
        <v>80</v>
      </c>
    </row>
    <row r="53" customFormat="false" ht="15" hidden="false" customHeight="true" outlineLevel="0" collapsed="false">
      <c r="B53" s="12" t="s">
        <v>81</v>
      </c>
      <c r="C53" s="13" t="str">
        <f aca="false">HYPERLINK("#'C22 Income protection gap'!A1","Income protection gap")</f>
        <v>Income protection gap</v>
      </c>
      <c r="D53" s="14" t="s">
        <v>82</v>
      </c>
      <c r="E53" s="14" t="s">
        <v>80</v>
      </c>
    </row>
    <row r="54" customFormat="false" ht="15" hidden="false" customHeight="true" outlineLevel="0" collapsed="false">
      <c r="B54" s="12" t="s">
        <v>83</v>
      </c>
      <c r="C54" s="13" t="str">
        <f aca="false">HYPERLINK("#'C23 Mortgage protection'!A1","Mortgage protection")</f>
        <v>Mortgage protection</v>
      </c>
      <c r="D54" s="14" t="s">
        <v>84</v>
      </c>
      <c r="E54" s="14" t="s">
        <v>80</v>
      </c>
    </row>
    <row r="55" customFormat="false" ht="15" hidden="false" customHeight="true" outlineLevel="0" collapsed="false">
      <c r="B55" s="12" t="s">
        <v>85</v>
      </c>
      <c r="C55" s="13" t="str">
        <f aca="false">HYPERLINK("#'C24 Net worth'!A1","Net worth")</f>
        <v>Net worth</v>
      </c>
      <c r="D55" s="14" t="s">
        <v>86</v>
      </c>
      <c r="E55" s="14" t="s">
        <v>87</v>
      </c>
    </row>
    <row r="56" customFormat="false" ht="15" hidden="false" customHeight="true" outlineLevel="0" collapsed="false">
      <c r="B56" s="12" t="s">
        <v>88</v>
      </c>
      <c r="C56" s="13" t="str">
        <f aca="false">HYPERLINK("#'C25 Monthly surplus'!A1","Monthly surplus")</f>
        <v>Monthly surplus</v>
      </c>
      <c r="D56" s="14" t="s">
        <v>89</v>
      </c>
      <c r="E56" s="14" t="s">
        <v>87</v>
      </c>
    </row>
    <row r="57" customFormat="false" ht="15" hidden="false" customHeight="true" outlineLevel="0" collapsed="false">
      <c r="B57" s="12" t="s">
        <v>90</v>
      </c>
      <c r="C57" s="13" t="str">
        <f aca="false">HYPERLINK("#'C26 Budget 50 30 20'!A1","Budget (50/30/20)")</f>
        <v>Budget (50/30/20)</v>
      </c>
      <c r="D57" s="14" t="s">
        <v>91</v>
      </c>
      <c r="E57" s="14" t="s">
        <v>87</v>
      </c>
    </row>
    <row r="58" customFormat="false" ht="15" hidden="false" customHeight="true" outlineLevel="0" collapsed="false">
      <c r="B58" s="12" t="s">
        <v>92</v>
      </c>
      <c r="C58" s="13" t="str">
        <f aca="false">HYPERLINK("#'C27 Debt repayment'!A1","Debt repayment")</f>
        <v>Debt repayment</v>
      </c>
      <c r="D58" s="14" t="s">
        <v>93</v>
      </c>
      <c r="E58" s="14" t="s">
        <v>87</v>
      </c>
    </row>
    <row r="59" customFormat="false" ht="15" hidden="false" customHeight="true" outlineLevel="0" collapsed="false">
      <c r="B59" s="12" t="s">
        <v>94</v>
      </c>
      <c r="C59" s="13" t="str">
        <f aca="false">HYPERLINK("#'C28 Loan repayment'!A1","Loan repayment")</f>
        <v>Loan repayment</v>
      </c>
      <c r="D59" s="14" t="s">
        <v>95</v>
      </c>
      <c r="E59" s="14" t="s">
        <v>87</v>
      </c>
    </row>
    <row r="60" customFormat="false" ht="15" hidden="false" customHeight="true" outlineLevel="0" collapsed="false">
      <c r="C60" s="13" t="str">
        <f aca="false">HYPERLINK("#'Assumptions'!A1","Assumptions")</f>
        <v>Assumptions</v>
      </c>
    </row>
    <row r="61" customFormat="false" ht="15" hidden="false" customHeight="true" outlineLevel="0" collapsed="false">
      <c r="C61" s="13" t="str">
        <f aca="false">HYPERLINK("#'Tax engine'!A1","Tax engine")</f>
        <v>Tax engine</v>
      </c>
    </row>
    <row r="62" customFormat="false" ht="15" hidden="false" customHeight="true" outlineLevel="0" collapsed="false">
      <c r="C62" s="13" t="str">
        <f aca="false">HYPERLINK("#'Document reader spec'!A1","Document reader spec")</f>
        <v>Document reader spec</v>
      </c>
    </row>
    <row r="64" customFormat="false" ht="15" hidden="false" customHeight="true" outlineLevel="0" collapsed="false">
      <c r="B64" s="15" t="s">
        <v>96</v>
      </c>
      <c r="C64" s="16"/>
      <c r="D64" s="16"/>
      <c r="E64" s="16"/>
      <c r="F64" s="16"/>
      <c r="G64" s="16"/>
      <c r="H64" s="16"/>
    </row>
    <row r="65" customFormat="false" ht="42" hidden="false" customHeight="true" outlineLevel="0" collapsed="false">
      <c r="B65" s="17" t="s">
        <v>97</v>
      </c>
      <c r="C65" s="17"/>
      <c r="D65" s="17"/>
      <c r="E65" s="17"/>
      <c r="F65" s="17"/>
      <c r="G65" s="17"/>
    </row>
    <row r="66" customFormat="false" ht="15" hidden="false" customHeight="true" outlineLevel="0" collapsed="false">
      <c r="B66" s="18" t="s">
        <v>98</v>
      </c>
      <c r="C66" s="18" t="s">
        <v>99</v>
      </c>
      <c r="D66" s="18" t="s">
        <v>100</v>
      </c>
    </row>
    <row r="67" customFormat="false" ht="25.5" hidden="false" customHeight="true" outlineLevel="0" collapsed="false">
      <c r="B67" s="19" t="s">
        <v>101</v>
      </c>
      <c r="C67" s="19" t="s">
        <v>102</v>
      </c>
      <c r="D67" s="19" t="s">
        <v>103</v>
      </c>
    </row>
    <row r="68" customFormat="false" ht="25.5" hidden="false" customHeight="true" outlineLevel="0" collapsed="false">
      <c r="B68" s="19" t="s">
        <v>104</v>
      </c>
      <c r="C68" s="19" t="s">
        <v>105</v>
      </c>
      <c r="D68" s="19" t="s">
        <v>103</v>
      </c>
    </row>
    <row r="69" customFormat="false" ht="25.5" hidden="false" customHeight="true" outlineLevel="0" collapsed="false">
      <c r="B69" s="19" t="s">
        <v>106</v>
      </c>
      <c r="C69" s="19" t="s">
        <v>107</v>
      </c>
      <c r="D69" s="19" t="s">
        <v>103</v>
      </c>
    </row>
    <row r="70" customFormat="false" ht="25.5" hidden="false" customHeight="true" outlineLevel="0" collapsed="false">
      <c r="B70" s="19" t="s">
        <v>108</v>
      </c>
      <c r="C70" s="19" t="s">
        <v>109</v>
      </c>
      <c r="D70" s="19" t="s">
        <v>103</v>
      </c>
    </row>
    <row r="71" customFormat="false" ht="25.5" hidden="false" customHeight="true" outlineLevel="0" collapsed="false">
      <c r="B71" s="19" t="s">
        <v>110</v>
      </c>
      <c r="C71" s="19" t="s">
        <v>111</v>
      </c>
      <c r="D71" s="19" t="s">
        <v>103</v>
      </c>
    </row>
    <row r="72" customFormat="false" ht="25.5" hidden="false" customHeight="true" outlineLevel="0" collapsed="false">
      <c r="B72" s="19" t="s">
        <v>112</v>
      </c>
      <c r="C72" s="19" t="s">
        <v>113</v>
      </c>
      <c r="D72" s="19" t="s">
        <v>103</v>
      </c>
    </row>
    <row r="73" customFormat="false" ht="25.5" hidden="false" customHeight="true" outlineLevel="0" collapsed="false">
      <c r="B73" s="19" t="s">
        <v>114</v>
      </c>
      <c r="C73" s="19" t="s">
        <v>115</v>
      </c>
      <c r="D73" s="19" t="s">
        <v>103</v>
      </c>
    </row>
    <row r="74" customFormat="false" ht="25.5" hidden="false" customHeight="true" outlineLevel="0" collapsed="false">
      <c r="B74" s="19" t="s">
        <v>116</v>
      </c>
      <c r="C74" s="19" t="s">
        <v>117</v>
      </c>
      <c r="D74" s="19" t="s">
        <v>103</v>
      </c>
    </row>
    <row r="75" customFormat="false" ht="25.5" hidden="false" customHeight="true" outlineLevel="0" collapsed="false">
      <c r="B75" s="19" t="s">
        <v>118</v>
      </c>
      <c r="C75" s="19" t="s">
        <v>119</v>
      </c>
      <c r="D75" s="19" t="s">
        <v>103</v>
      </c>
    </row>
    <row r="76" customFormat="false" ht="25.5" hidden="false" customHeight="true" outlineLevel="0" collapsed="false">
      <c r="B76" s="19" t="s">
        <v>120</v>
      </c>
      <c r="C76" s="19" t="s">
        <v>121</v>
      </c>
      <c r="D76" s="19" t="s">
        <v>103</v>
      </c>
    </row>
    <row r="77" customFormat="false" ht="25.5" hidden="false" customHeight="true" outlineLevel="0" collapsed="false">
      <c r="B77" s="19" t="str">
        <f aca="false">"Inflation ""Ireland now"" "&amp;TEXT(Set_inflNow,"0.0%")&amp;" (CSO HICP flash Sep 2026)"</f>
        <v>Inflation "Ireland now" 3.9% (CSO HICP flash Sep 2026)</v>
      </c>
      <c r="C77" s="19" t="s">
        <v>122</v>
      </c>
      <c r="D77" s="19" t="s">
        <v>123</v>
      </c>
    </row>
    <row r="79" customFormat="false" ht="15" hidden="false" customHeight="true" outlineLevel="0" collapsed="false">
      <c r="B79" s="7" t="s">
        <v>124</v>
      </c>
    </row>
    <row r="80" customFormat="false" ht="15" hidden="false" customHeight="true" outlineLevel="0" collapsed="false">
      <c r="B80" s="11" t="s">
        <v>125</v>
      </c>
      <c r="C80" s="11" t="s">
        <v>126</v>
      </c>
      <c r="D80" s="11" t="s">
        <v>127</v>
      </c>
    </row>
    <row r="81" customFormat="false" ht="12.75" hidden="false" customHeight="true" outlineLevel="0" collapsed="false">
      <c r="B81" s="14" t="s">
        <v>59</v>
      </c>
      <c r="C81" s="20" t="s">
        <v>128</v>
      </c>
      <c r="D81" s="21" t="s">
        <v>129</v>
      </c>
      <c r="E81" s="21"/>
    </row>
    <row r="82" customFormat="false" ht="12.75" hidden="false" customHeight="true" outlineLevel="0" collapsed="false">
      <c r="B82" s="14" t="s">
        <v>59</v>
      </c>
      <c r="C82" s="20" t="s">
        <v>128</v>
      </c>
      <c r="D82" s="21" t="s">
        <v>130</v>
      </c>
      <c r="E82" s="21"/>
    </row>
    <row r="83" customFormat="false" ht="12.75" hidden="false" customHeight="true" outlineLevel="0" collapsed="false">
      <c r="B83" s="14" t="s">
        <v>37</v>
      </c>
      <c r="C83" s="20" t="s">
        <v>128</v>
      </c>
      <c r="D83" s="21" t="s">
        <v>131</v>
      </c>
      <c r="E83" s="21"/>
    </row>
    <row r="84" customFormat="false" ht="25.5" hidden="false" customHeight="true" outlineLevel="0" collapsed="false">
      <c r="B84" s="14" t="s">
        <v>41</v>
      </c>
      <c r="C84" s="20" t="s">
        <v>128</v>
      </c>
      <c r="D84" s="21" t="s">
        <v>132</v>
      </c>
      <c r="E84" s="21"/>
    </row>
    <row r="85" customFormat="false" ht="12.75" hidden="false" customHeight="true" outlineLevel="0" collapsed="false">
      <c r="B85" s="14" t="s">
        <v>41</v>
      </c>
      <c r="C85" s="20" t="s">
        <v>128</v>
      </c>
      <c r="D85" s="21" t="s">
        <v>133</v>
      </c>
      <c r="E85" s="21"/>
    </row>
    <row r="86" customFormat="false" ht="25.5" hidden="false" customHeight="true" outlineLevel="0" collapsed="false">
      <c r="B86" s="14" t="s">
        <v>134</v>
      </c>
      <c r="C86" s="20" t="s">
        <v>128</v>
      </c>
      <c r="D86" s="21" t="s">
        <v>135</v>
      </c>
      <c r="E86" s="21"/>
    </row>
    <row r="87" customFormat="false" ht="12.75" hidden="false" customHeight="true" outlineLevel="0" collapsed="false">
      <c r="B87" s="14" t="s">
        <v>136</v>
      </c>
      <c r="C87" s="20" t="s">
        <v>128</v>
      </c>
      <c r="D87" s="21" t="s">
        <v>137</v>
      </c>
      <c r="E87" s="21"/>
    </row>
    <row r="88" customFormat="false" ht="12.75" hidden="false" customHeight="true" outlineLevel="0" collapsed="false">
      <c r="B88" s="14" t="s">
        <v>138</v>
      </c>
      <c r="C88" s="20" t="s">
        <v>128</v>
      </c>
      <c r="D88" s="21" t="s">
        <v>139</v>
      </c>
      <c r="E88" s="21"/>
    </row>
    <row r="89" customFormat="false" ht="12.75" hidden="false" customHeight="true" outlineLevel="0" collapsed="false">
      <c r="B89" s="14" t="s">
        <v>72</v>
      </c>
      <c r="C89" s="20" t="s">
        <v>128</v>
      </c>
      <c r="D89" s="21" t="s">
        <v>140</v>
      </c>
      <c r="E89" s="21"/>
    </row>
    <row r="90" customFormat="false" ht="12.75" hidden="false" customHeight="true" outlineLevel="0" collapsed="false">
      <c r="B90" s="14" t="s">
        <v>76</v>
      </c>
      <c r="C90" s="20" t="s">
        <v>128</v>
      </c>
      <c r="D90" s="21" t="s">
        <v>141</v>
      </c>
      <c r="E90" s="21"/>
    </row>
    <row r="91" customFormat="false" ht="12.75" hidden="false" customHeight="true" outlineLevel="0" collapsed="false">
      <c r="B91" s="14" t="s">
        <v>78</v>
      </c>
      <c r="C91" s="20" t="s">
        <v>128</v>
      </c>
      <c r="D91" s="21" t="s">
        <v>142</v>
      </c>
      <c r="E91" s="21"/>
    </row>
    <row r="92" customFormat="false" ht="12.75" hidden="false" customHeight="true" outlineLevel="0" collapsed="false">
      <c r="B92" s="14" t="s">
        <v>92</v>
      </c>
      <c r="C92" s="20" t="s">
        <v>128</v>
      </c>
      <c r="D92" s="21" t="s">
        <v>143</v>
      </c>
      <c r="E92" s="21"/>
    </row>
    <row r="93" customFormat="false" ht="12.75" hidden="false" customHeight="true" outlineLevel="0" collapsed="false">
      <c r="B93" s="14" t="s">
        <v>144</v>
      </c>
      <c r="C93" s="14" t="s">
        <v>145</v>
      </c>
      <c r="D93" s="21" t="s">
        <v>146</v>
      </c>
      <c r="E93" s="21"/>
    </row>
    <row r="94" customFormat="false" ht="12.75" hidden="false" customHeight="true" outlineLevel="0" collapsed="false">
      <c r="B94" s="14" t="s">
        <v>47</v>
      </c>
      <c r="C94" s="14" t="s">
        <v>145</v>
      </c>
      <c r="D94" s="21" t="s">
        <v>147</v>
      </c>
      <c r="E94" s="21"/>
    </row>
    <row r="95" customFormat="false" ht="12.75" hidden="false" customHeight="true" outlineLevel="0" collapsed="false">
      <c r="B95" s="14" t="s">
        <v>148</v>
      </c>
      <c r="C95" s="14" t="s">
        <v>145</v>
      </c>
      <c r="D95" s="21" t="s">
        <v>149</v>
      </c>
      <c r="E95" s="21"/>
    </row>
    <row r="96" customFormat="false" ht="12.75" hidden="false" customHeight="true" outlineLevel="0" collapsed="false">
      <c r="B96" s="14" t="s">
        <v>150</v>
      </c>
      <c r="C96" s="14" t="s">
        <v>145</v>
      </c>
      <c r="D96" s="21" t="s">
        <v>151</v>
      </c>
      <c r="E96" s="21"/>
    </row>
    <row r="97" customFormat="false" ht="25.5" hidden="false" customHeight="true" outlineLevel="0" collapsed="false">
      <c r="B97" s="14" t="s">
        <v>78</v>
      </c>
      <c r="C97" s="14" t="s">
        <v>145</v>
      </c>
      <c r="D97" s="21" t="s">
        <v>152</v>
      </c>
      <c r="E97" s="21"/>
    </row>
    <row r="98" customFormat="false" ht="25.5" hidden="false" customHeight="true" outlineLevel="0" collapsed="false">
      <c r="B98" s="14" t="s">
        <v>81</v>
      </c>
      <c r="C98" s="14" t="s">
        <v>145</v>
      </c>
      <c r="D98" s="21" t="s">
        <v>153</v>
      </c>
      <c r="E98" s="21"/>
    </row>
    <row r="99" customFormat="false" ht="12.75" hidden="false" customHeight="true" outlineLevel="0" collapsed="false">
      <c r="B99" s="14" t="s">
        <v>83</v>
      </c>
      <c r="C99" s="14" t="s">
        <v>145</v>
      </c>
      <c r="D99" s="21" t="s">
        <v>154</v>
      </c>
      <c r="E99" s="21"/>
    </row>
    <row r="100" customFormat="false" ht="12.75" hidden="false" customHeight="true" outlineLevel="0" collapsed="false">
      <c r="B100" s="14" t="s">
        <v>155</v>
      </c>
      <c r="C100" s="14" t="s">
        <v>145</v>
      </c>
      <c r="D100" s="21" t="s">
        <v>156</v>
      </c>
      <c r="E100" s="21"/>
    </row>
    <row r="101" customFormat="false" ht="12.75" hidden="false" customHeight="true" outlineLevel="0" collapsed="false">
      <c r="B101" s="14" t="s">
        <v>157</v>
      </c>
      <c r="C101" s="14" t="s">
        <v>145</v>
      </c>
      <c r="D101" s="21" t="s">
        <v>158</v>
      </c>
      <c r="E101" s="21"/>
    </row>
    <row r="102" customFormat="false" ht="12.75" hidden="false" customHeight="true" outlineLevel="0" collapsed="false">
      <c r="B102" s="14" t="s">
        <v>34</v>
      </c>
      <c r="C102" s="14" t="s">
        <v>159</v>
      </c>
      <c r="D102" s="21" t="s">
        <v>160</v>
      </c>
      <c r="E102" s="21"/>
    </row>
    <row r="103" customFormat="false" ht="12.75" hidden="false" customHeight="true" outlineLevel="0" collapsed="false">
      <c r="B103" s="14" t="s">
        <v>161</v>
      </c>
      <c r="C103" s="14" t="s">
        <v>159</v>
      </c>
      <c r="D103" s="21" t="s">
        <v>162</v>
      </c>
      <c r="E103" s="21"/>
    </row>
    <row r="104" customFormat="false" ht="12.75" hidden="false" customHeight="true" outlineLevel="0" collapsed="false">
      <c r="B104" s="14" t="s">
        <v>41</v>
      </c>
      <c r="C104" s="14" t="s">
        <v>159</v>
      </c>
      <c r="D104" s="21" t="s">
        <v>163</v>
      </c>
      <c r="E104" s="21"/>
    </row>
    <row r="105" customFormat="false" ht="12.75" hidden="false" customHeight="true" outlineLevel="0" collapsed="false">
      <c r="B105" s="14" t="s">
        <v>45</v>
      </c>
      <c r="C105" s="14" t="s">
        <v>159</v>
      </c>
      <c r="D105" s="21" t="s">
        <v>164</v>
      </c>
      <c r="E105" s="21"/>
    </row>
    <row r="106" customFormat="false" ht="12.75" hidden="false" customHeight="true" outlineLevel="0" collapsed="false">
      <c r="B106" s="14" t="s">
        <v>165</v>
      </c>
      <c r="C106" s="14" t="s">
        <v>159</v>
      </c>
      <c r="D106" s="21" t="s">
        <v>166</v>
      </c>
      <c r="E106" s="21"/>
    </row>
    <row r="107" customFormat="false" ht="12.75" hidden="false" customHeight="true" outlineLevel="0" collapsed="false">
      <c r="B107" s="14" t="s">
        <v>138</v>
      </c>
      <c r="C107" s="14" t="s">
        <v>159</v>
      </c>
      <c r="D107" s="21" t="s">
        <v>167</v>
      </c>
      <c r="E107" s="21"/>
    </row>
    <row r="108" customFormat="false" ht="12.75" hidden="false" customHeight="true" outlineLevel="0" collapsed="false">
      <c r="B108" s="14" t="s">
        <v>68</v>
      </c>
      <c r="C108" s="14" t="s">
        <v>159</v>
      </c>
      <c r="D108" s="21" t="s">
        <v>168</v>
      </c>
      <c r="E108" s="21"/>
    </row>
    <row r="109" customFormat="false" ht="12.75" hidden="false" customHeight="true" outlineLevel="0" collapsed="false">
      <c r="B109" s="14" t="s">
        <v>88</v>
      </c>
      <c r="C109" s="14" t="s">
        <v>159</v>
      </c>
      <c r="D109" s="21" t="s">
        <v>169</v>
      </c>
      <c r="E109" s="21"/>
    </row>
    <row r="110" customFormat="false" ht="25.5" hidden="false" customHeight="true" outlineLevel="0" collapsed="false">
      <c r="B110" s="14" t="s">
        <v>170</v>
      </c>
      <c r="C110" s="14" t="s">
        <v>159</v>
      </c>
      <c r="D110" s="21" t="s">
        <v>171</v>
      </c>
      <c r="E110" s="21"/>
    </row>
    <row r="112" customFormat="false" ht="15" hidden="false" customHeight="true" outlineLevel="0" collapsed="false">
      <c r="B112" s="7" t="s">
        <v>172</v>
      </c>
    </row>
    <row r="113" customFormat="false" ht="15" hidden="false" customHeight="true" outlineLevel="0" collapsed="false">
      <c r="B113" s="11" t="s">
        <v>125</v>
      </c>
      <c r="C113" s="11" t="s">
        <v>126</v>
      </c>
      <c r="D113" s="11" t="s">
        <v>127</v>
      </c>
    </row>
    <row r="114" customFormat="false" ht="51.75" hidden="false" customHeight="true" outlineLevel="0" collapsed="false">
      <c r="B114" s="14" t="s">
        <v>173</v>
      </c>
      <c r="C114" s="14" t="s">
        <v>174</v>
      </c>
      <c r="D114" s="21" t="s">
        <v>175</v>
      </c>
      <c r="E114" s="21"/>
    </row>
    <row r="115" customFormat="false" ht="39" hidden="false" customHeight="true" outlineLevel="0" collapsed="false">
      <c r="B115" s="14" t="s">
        <v>176</v>
      </c>
      <c r="C115" s="14" t="s">
        <v>177</v>
      </c>
      <c r="D115" s="21" t="s">
        <v>178</v>
      </c>
      <c r="E115" s="21"/>
    </row>
    <row r="116" customFormat="false" ht="25.5" hidden="false" customHeight="true" outlineLevel="0" collapsed="false">
      <c r="B116" s="14" t="s">
        <v>34</v>
      </c>
      <c r="C116" s="14" t="s">
        <v>145</v>
      </c>
      <c r="D116" s="21" t="s">
        <v>179</v>
      </c>
      <c r="E116" s="21"/>
    </row>
    <row r="117" customFormat="false" ht="12.75" hidden="false" customHeight="true" outlineLevel="0" collapsed="false">
      <c r="B117" s="14" t="s">
        <v>180</v>
      </c>
      <c r="C117" s="14" t="s">
        <v>159</v>
      </c>
      <c r="D117" s="21" t="s">
        <v>181</v>
      </c>
      <c r="E117" s="21"/>
    </row>
    <row r="118" customFormat="false" ht="12.75" hidden="false" customHeight="true" outlineLevel="0" collapsed="false">
      <c r="B118" s="14" t="s">
        <v>37</v>
      </c>
      <c r="C118" s="14" t="s">
        <v>159</v>
      </c>
      <c r="D118" s="21" t="s">
        <v>182</v>
      </c>
      <c r="E118" s="21"/>
    </row>
    <row r="119" customFormat="false" ht="12.75" hidden="false" customHeight="true" outlineLevel="0" collapsed="false">
      <c r="B119" s="14" t="s">
        <v>39</v>
      </c>
      <c r="C119" s="14" t="s">
        <v>145</v>
      </c>
      <c r="D119" s="21" t="s">
        <v>183</v>
      </c>
      <c r="E119" s="21"/>
    </row>
    <row r="120" customFormat="false" ht="12.75" hidden="false" customHeight="true" outlineLevel="0" collapsed="false">
      <c r="B120" s="14" t="s">
        <v>47</v>
      </c>
      <c r="C120" s="14" t="s">
        <v>159</v>
      </c>
      <c r="D120" s="21" t="s">
        <v>184</v>
      </c>
      <c r="E120" s="21"/>
    </row>
    <row r="121" customFormat="false" ht="25.5" hidden="false" customHeight="true" outlineLevel="0" collapsed="false">
      <c r="B121" s="14" t="s">
        <v>185</v>
      </c>
      <c r="C121" s="14" t="s">
        <v>145</v>
      </c>
      <c r="D121" s="21" t="s">
        <v>186</v>
      </c>
      <c r="E121" s="21"/>
    </row>
    <row r="122" customFormat="false" ht="12.75" hidden="false" customHeight="true" outlineLevel="0" collapsed="false">
      <c r="B122" s="14" t="s">
        <v>54</v>
      </c>
      <c r="C122" s="14" t="s">
        <v>159</v>
      </c>
      <c r="D122" s="21" t="s">
        <v>187</v>
      </c>
      <c r="E122" s="21"/>
    </row>
    <row r="123" customFormat="false" ht="12.75" hidden="false" customHeight="true" outlineLevel="0" collapsed="false">
      <c r="B123" s="14" t="s">
        <v>57</v>
      </c>
      <c r="C123" s="14" t="s">
        <v>159</v>
      </c>
      <c r="D123" s="21" t="s">
        <v>188</v>
      </c>
      <c r="E123" s="21"/>
    </row>
    <row r="124" customFormat="false" ht="12.75" hidden="false" customHeight="true" outlineLevel="0" collapsed="false">
      <c r="B124" s="14" t="s">
        <v>59</v>
      </c>
      <c r="C124" s="14" t="s">
        <v>145</v>
      </c>
      <c r="D124" s="21" t="s">
        <v>189</v>
      </c>
      <c r="E124" s="21"/>
    </row>
    <row r="125" customFormat="false" ht="12.75" hidden="false" customHeight="true" outlineLevel="0" collapsed="false">
      <c r="B125" s="14" t="s">
        <v>62</v>
      </c>
      <c r="C125" s="14" t="s">
        <v>145</v>
      </c>
      <c r="D125" s="21" t="s">
        <v>190</v>
      </c>
      <c r="E125" s="21"/>
    </row>
    <row r="126" customFormat="false" ht="12.75" hidden="false" customHeight="true" outlineLevel="0" collapsed="false">
      <c r="B126" s="14" t="s">
        <v>66</v>
      </c>
      <c r="C126" s="14" t="s">
        <v>159</v>
      </c>
      <c r="D126" s="21" t="s">
        <v>191</v>
      </c>
      <c r="E126" s="21"/>
    </row>
    <row r="127" customFormat="false" ht="12.75" hidden="false" customHeight="true" outlineLevel="0" collapsed="false">
      <c r="B127" s="14" t="s">
        <v>76</v>
      </c>
      <c r="C127" s="14" t="s">
        <v>145</v>
      </c>
      <c r="D127" s="21" t="s">
        <v>192</v>
      </c>
      <c r="E127" s="21"/>
    </row>
    <row r="128" customFormat="false" ht="25.5" hidden="false" customHeight="true" outlineLevel="0" collapsed="false">
      <c r="B128" s="14" t="s">
        <v>78</v>
      </c>
      <c r="C128" s="14" t="s">
        <v>159</v>
      </c>
      <c r="D128" s="21" t="s">
        <v>193</v>
      </c>
      <c r="E128" s="21"/>
    </row>
    <row r="129" customFormat="false" ht="25.5" hidden="false" customHeight="true" outlineLevel="0" collapsed="false">
      <c r="B129" s="14" t="s">
        <v>81</v>
      </c>
      <c r="C129" s="14" t="s">
        <v>159</v>
      </c>
      <c r="D129" s="21" t="s">
        <v>194</v>
      </c>
      <c r="E129" s="21"/>
    </row>
    <row r="130" customFormat="false" ht="12.75" hidden="false" customHeight="true" outlineLevel="0" collapsed="false">
      <c r="B130" s="14" t="s">
        <v>83</v>
      </c>
      <c r="C130" s="14" t="s">
        <v>159</v>
      </c>
      <c r="D130" s="21" t="s">
        <v>195</v>
      </c>
      <c r="E130" s="21"/>
    </row>
    <row r="131" customFormat="false" ht="12.75" hidden="false" customHeight="true" outlineLevel="0" collapsed="false">
      <c r="B131" s="14" t="s">
        <v>196</v>
      </c>
      <c r="C131" s="14" t="s">
        <v>159</v>
      </c>
      <c r="D131" s="21" t="s">
        <v>197</v>
      </c>
      <c r="E131" s="21"/>
    </row>
    <row r="132" customFormat="false" ht="64.5" hidden="false" customHeight="true" outlineLevel="0" collapsed="false">
      <c r="B132" s="14" t="s">
        <v>198</v>
      </c>
      <c r="C132" s="14" t="s">
        <v>159</v>
      </c>
      <c r="D132" s="21" t="s">
        <v>199</v>
      </c>
      <c r="E132" s="21"/>
    </row>
    <row r="133" customFormat="false" ht="12.75" hidden="false" customHeight="true" outlineLevel="0" collapsed="false">
      <c r="B133" s="14"/>
      <c r="C133" s="14"/>
      <c r="D133" s="22"/>
    </row>
    <row r="135" customFormat="false" ht="15" hidden="false" customHeight="true" outlineLevel="0" collapsed="false">
      <c r="B135" s="7" t="s">
        <v>200</v>
      </c>
    </row>
    <row r="136" customFormat="false" ht="15" hidden="false" customHeight="true" outlineLevel="0" collapsed="false">
      <c r="C136" s="13" t="str">
        <f aca="false">HYPERLINK("#'Plan inputs'!A1","Plan inputs")</f>
        <v>Plan inputs</v>
      </c>
      <c r="D136" s="1" t="s">
        <v>201</v>
      </c>
    </row>
    <row r="137" customFormat="false" ht="15" hidden="false" customHeight="true" outlineLevel="0" collapsed="false">
      <c r="C137" s="13" t="str">
        <f aca="false">HYPERLINK("#'Plan pay &amp; tax'!A1","Plan pay &amp; tax")</f>
        <v>Plan pay &amp; tax</v>
      </c>
      <c r="D137" s="1" t="s">
        <v>202</v>
      </c>
    </row>
    <row r="138" customFormat="false" ht="15" hidden="false" customHeight="true" outlineLevel="0" collapsed="false">
      <c r="C138" s="13" t="str">
        <f aca="false">HYPERLINK("#'Plan debt months'!A1","Plan debt months")</f>
        <v>Plan debt months</v>
      </c>
      <c r="D138" s="1" t="s">
        <v>203</v>
      </c>
    </row>
    <row r="139" customFormat="false" ht="15" hidden="false" customHeight="true" outlineLevel="0" collapsed="false">
      <c r="C139" s="13" t="str">
        <f aca="false">HYPERLINK("#'Plan cashflow'!A1","Plan cashflow")</f>
        <v>Plan cashflow</v>
      </c>
      <c r="D139" s="1" t="s">
        <v>204</v>
      </c>
    </row>
    <row r="140" customFormat="false" ht="15" hidden="false" customHeight="true" outlineLevel="0" collapsed="false">
      <c r="C140" s="13" t="str">
        <f aca="false">HYPERLINK("#'Plan goals'!A1","Plan goals")</f>
        <v>Plan goals</v>
      </c>
      <c r="D140" s="1" t="s">
        <v>205</v>
      </c>
    </row>
    <row r="141" customFormat="false" ht="15" hidden="false" customHeight="true" outlineLevel="0" collapsed="false">
      <c r="C141" s="13" t="str">
        <f aca="false">HYPERLINK("#'Plan results'!A1","Plan results")</f>
        <v>Plan results</v>
      </c>
      <c r="D141" s="1" t="s">
        <v>206</v>
      </c>
    </row>
    <row r="142" customFormat="false" ht="15" hidden="false" customHeight="true" outlineLevel="0" collapsed="false">
      <c r="C142" s="13" t="str">
        <f aca="false">HYPERLINK("#'Plan profile'!A1","Plan profile")</f>
        <v>Plan profile</v>
      </c>
      <c r="D142" s="1" t="s">
        <v>207</v>
      </c>
    </row>
    <row r="143" customFormat="false" ht="15" hidden="false" customHeight="true" outlineLevel="0" collapsed="false">
      <c r="C143" s="13" t="str">
        <f aca="false">HYPERLINK("#'Plan how it works'!A1","Plan how it works")</f>
        <v>Plan how it works</v>
      </c>
      <c r="D143" s="1" t="s">
        <v>208</v>
      </c>
    </row>
    <row r="144" customFormat="false" ht="15" hidden="false" customHeight="true" outlineLevel="0" collapsed="false">
      <c r="C144" s="13" t="str">
        <f aca="false">HYPERLINK("#'Calculation register'!A1","Calculation register")</f>
        <v>Calculation register</v>
      </c>
      <c r="D144" s="1" t="s">
        <v>209</v>
      </c>
    </row>
    <row r="145" customFormat="false" ht="15" hidden="false" customHeight="true" outlineLevel="0" collapsed="false">
      <c r="B145" s="23" t="s">
        <v>210</v>
      </c>
    </row>
    <row r="147" customFormat="false" ht="15" hidden="false" customHeight="true" outlineLevel="0" collapsed="false">
      <c r="B147" s="7" t="s">
        <v>211</v>
      </c>
    </row>
    <row r="148" customFormat="false" ht="15" hidden="false" customHeight="true" outlineLevel="0" collapsed="false">
      <c r="C148" s="13" t="str">
        <f aca="false">HYPERLINK("#'Settings'!A1","Settings")</f>
        <v>Settings</v>
      </c>
      <c r="D148" s="1" t="s">
        <v>212</v>
      </c>
    </row>
    <row r="149" customFormat="false" ht="15" hidden="false" customHeight="true" outlineLevel="0" collapsed="false">
      <c r="C149" s="13" t="str">
        <f aca="false">HYPERLINK("#'Your lists'!A1","Your lists")</f>
        <v>Your lists</v>
      </c>
      <c r="D149" s="1" t="s">
        <v>213</v>
      </c>
    </row>
    <row r="150" customFormat="false" ht="15" hidden="false" customHeight="true" outlineLevel="0" collapsed="false">
      <c r="C150" s="13" t="str">
        <f aca="false">HYPERLINK("#'UI Guide'!A1","UI Guide")</f>
        <v>UI Guide</v>
      </c>
      <c r="D150" s="1" t="s">
        <v>214</v>
      </c>
    </row>
    <row r="151" customFormat="false" ht="15" hidden="false" customHeight="true" outlineLevel="0" collapsed="false">
      <c r="C151" s="13" t="str">
        <f aca="false">HYPERLINK("#'UI Calculators'!A1","UI Calculators")</f>
        <v>UI Calculators</v>
      </c>
      <c r="D151" s="1" t="s">
        <v>215</v>
      </c>
    </row>
    <row r="152" customFormat="false" ht="15" hidden="false" customHeight="true" outlineLevel="0" collapsed="false">
      <c r="C152" s="13" t="str">
        <f aca="false">HYPERLINK("#'UI Screens'!A1","UI Screens")</f>
        <v>UI Screens</v>
      </c>
      <c r="D152" s="1" t="s">
        <v>216</v>
      </c>
    </row>
    <row r="153" customFormat="false" ht="15" hidden="false" customHeight="true" outlineLevel="0" collapsed="false">
      <c r="C153" s="13" t="str">
        <f aca="false">HYPERLINK("#'UI Make my plan'!A1","UI Make my plan")</f>
        <v>UI Make my plan</v>
      </c>
      <c r="D153" s="1" t="s">
        <v>217</v>
      </c>
    </row>
  </sheetData>
  <mergeCells count="68">
    <mergeCell ref="B5:E5"/>
    <mergeCell ref="B6:E6"/>
    <mergeCell ref="B7:E7"/>
    <mergeCell ref="B8:E8"/>
    <mergeCell ref="B9:E9"/>
    <mergeCell ref="B10:E10"/>
    <mergeCell ref="B11:E11"/>
    <mergeCell ref="B12:E12"/>
    <mergeCell ref="B13:E13"/>
    <mergeCell ref="B14:E14"/>
    <mergeCell ref="B17:E17"/>
    <mergeCell ref="B18:E18"/>
    <mergeCell ref="B19:E19"/>
    <mergeCell ref="B20:E20"/>
    <mergeCell ref="B21:E21"/>
    <mergeCell ref="B22:E22"/>
    <mergeCell ref="B25:E25"/>
    <mergeCell ref="B28:E28"/>
    <mergeCell ref="B65:G65"/>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s>
  <dataValidations count="1">
    <dataValidation allowBlank="false" error="Choose Yes or No." errorStyle="stop" errorTitle="Yes or No" operator="between" prompt="No = blank template: results show &quot;Choose your … to see this&quot; until you fill the inputs. Yes = every blank input uses its grey Example only figure (the standard, or the sample customer's figure)." promptTitle="Example values" showDropDown="false" showErrorMessage="true" showInputMessage="true" sqref="C3"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218</v>
      </c>
      <c r="E1" s="3" t="s">
        <v>219</v>
      </c>
    </row>
    <row r="2" customFormat="false" ht="15" hidden="false" customHeight="true" outlineLevel="0" collapsed="false">
      <c r="B2" s="25" t="s">
        <v>220</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tr">
        <f aca="false">"Applies the Central Bank limits ("&amp;LTI_FTB&amp;"× or "&amp;LTI_SSB&amp;"×"&amp;" income, "&amp;TEXT(LTV_Max,"0%")&amp;" loan-to-value) to show the most you could borrow and the home price that gives, after stamp duty and fees."</f>
        <v>Applies the Central Bank limits (4× or 3.5× income, 90% loan-to-value) to show the most you could borrow and the home price that gives, after stamp duty and fees.</v>
      </c>
    </row>
    <row r="5" customFormat="false" ht="15" hidden="false" customHeight="true" outlineLevel="0" collapsed="false">
      <c r="B5" s="15" t="s">
        <v>221</v>
      </c>
      <c r="C5" s="28" t="s">
        <v>222</v>
      </c>
      <c r="D5" s="28" t="s">
        <v>223</v>
      </c>
      <c r="E5" s="28" t="s">
        <v>224</v>
      </c>
      <c r="F5" s="29" t="s">
        <v>225</v>
      </c>
      <c r="G5" s="16"/>
    </row>
    <row r="6" customFormat="false" ht="21.75" hidden="false" customHeight="true" outlineLevel="0" collapsed="false">
      <c r="B6" s="9" t="s">
        <v>226</v>
      </c>
      <c r="C6" s="30"/>
      <c r="D6" s="31" t="s">
        <v>227</v>
      </c>
      <c r="E6" s="32" t="s">
        <v>228</v>
      </c>
      <c r="F6" s="33" t="n">
        <v>60000</v>
      </c>
      <c r="G6" s="34" t="str">
        <f aca="false">IF(ISBLANK(C6),IF(Fill_Example="Yes",F6,""),C6)</f>
        <v/>
      </c>
    </row>
    <row r="7" customFormat="false" ht="21.75" hidden="false" customHeight="true" outlineLevel="0" collapsed="false">
      <c r="B7" s="9" t="s">
        <v>229</v>
      </c>
      <c r="C7" s="30"/>
      <c r="D7" s="31" t="s">
        <v>227</v>
      </c>
      <c r="E7" s="32" t="s">
        <v>230</v>
      </c>
      <c r="F7" s="33" t="n">
        <v>0</v>
      </c>
      <c r="G7" s="34" t="str">
        <f aca="false">IF(ISBLANK(C7),IF(Fill_Example="Yes",F7,""),C7)</f>
        <v/>
      </c>
    </row>
    <row r="8" customFormat="false" ht="21.75" hidden="false" customHeight="true" outlineLevel="0" collapsed="false">
      <c r="B8" s="9" t="s">
        <v>231</v>
      </c>
      <c r="C8" s="30"/>
      <c r="D8" s="31" t="s">
        <v>227</v>
      </c>
      <c r="E8" s="32" t="s">
        <v>232</v>
      </c>
      <c r="F8" s="33" t="n">
        <v>25000</v>
      </c>
      <c r="G8" s="34" t="str">
        <f aca="false">IF(ISBLANK(C8),IF(Fill_Example="Yes",F8,""),C8)</f>
        <v/>
      </c>
    </row>
    <row r="9" customFormat="false" ht="21.75" hidden="false" customHeight="true" outlineLevel="0" collapsed="false">
      <c r="B9" s="9" t="s">
        <v>233</v>
      </c>
      <c r="C9" s="35"/>
      <c r="D9" s="31" t="s">
        <v>234</v>
      </c>
      <c r="E9" s="32" t="s">
        <v>235</v>
      </c>
      <c r="F9" s="36" t="s">
        <v>236</v>
      </c>
      <c r="G9" s="37" t="str">
        <f aca="false">IF(ISBLANK(C9),IF(Fill_Example="Yes",F9,""),C9)</f>
        <v/>
      </c>
    </row>
    <row r="10" customFormat="false" ht="21.75" hidden="false" customHeight="true" outlineLevel="0" collapsed="false">
      <c r="B10" s="9" t="s">
        <v>237</v>
      </c>
      <c r="C10" s="38"/>
      <c r="D10" s="31" t="s">
        <v>238</v>
      </c>
      <c r="E10" s="39" t="str">
        <f aca="false">"Type 2 · your figure · Your own rate (your statement shows it; typing it is fine, no upload needed). "&amp;IF(ISNUMBER(Suggest_Mortgage_Rate),"Suggested: "&amp;TEXT(Suggest_Mortgage_Rate,"0.00%")&amp;" · "&amp;Suggest_Mortgage_Rate_Label&amp;". ","No suggestion. ")&amp;"Enter your own figure."&amp;" Allowed: 1% to 8% · steps of 0.05%"</f>
        <v>Type 2 · your figure · Your own rate (your statement shows it; typing it is fine, no upload needed). Suggested: 3.48% · Central Bank of Ireland: average rate on new mortgages, Jul 2026. Enter your own figure. Allowed: 1% to 8% · steps of 0.05%</v>
      </c>
      <c r="F10" s="40" t="n">
        <f aca="false">IF(ISNUMBER(Suggest_Mortgage_Rate),Suggest_Mortgage_Rate,"")</f>
        <v>0.0348</v>
      </c>
      <c r="G10" s="41" t="str">
        <f aca="false">IF(ISBLANK(C10),IF(Fill_Example="Yes",F10,""),C10)</f>
        <v/>
      </c>
    </row>
    <row r="11" customFormat="false" ht="15" hidden="false" customHeight="true" outlineLevel="0" collapsed="false">
      <c r="B11" s="9" t="s">
        <v>239</v>
      </c>
      <c r="C11" s="42"/>
      <c r="D11" s="31" t="s">
        <v>240</v>
      </c>
      <c r="E11" s="32" t="s">
        <v>241</v>
      </c>
      <c r="F11" s="43" t="n">
        <v>30</v>
      </c>
      <c r="G11" s="44" t="str">
        <f aca="false">IF(AND(ISNUMBER(C11),N(C11)&lt;10),"",IF(ISBLANK(C11),IF(Fill_Example="Yes",F11,""),C11))</f>
        <v/>
      </c>
    </row>
    <row r="12" customFormat="false" ht="21.75" hidden="false" customHeight="true" outlineLevel="0" collapsed="false">
      <c r="B12" s="9" t="s">
        <v>242</v>
      </c>
      <c r="C12" s="30"/>
      <c r="D12" s="31" t="s">
        <v>227</v>
      </c>
      <c r="E12" s="39" t="str">
        <f aca="false">"Type 2 · optional · Legal and survey fees (stamp duty is added for you). "&amp;IF(ISNUMBER(Suggest_Buying_Fees),"Suggested: "&amp;TEXT(Suggest_Buying_Fees,"€#,##0")&amp;" · "&amp;Suggest_Buying_Fees_Label&amp;". ","No suggestion. ")&amp;"Leave blank to count €0."&amp;" Allowed: €0 to €10,000 · steps of €100"</f>
        <v>Type 2 · optional · Legal and survey fees (stamp duty is added for you). No suggestion. Leave blank to count €0. Allowed: €0 to €10,000 · steps of €100</v>
      </c>
      <c r="F12" s="33" t="str">
        <f aca="false">IF(ISNUMBER(Suggest_Buying_Fees),Suggest_Buying_Fees,"")</f>
        <v/>
      </c>
      <c r="G12" s="34" t="n">
        <f aca="false">IF(ISBLANK(C12),IF(AND(Fill_Example="Yes",ISNUMBER(F12)),F12,0),C12)</f>
        <v>0</v>
      </c>
    </row>
    <row r="13" customFormat="false" ht="15" hidden="false" customHeight="true" outlineLevel="0" collapsed="false">
      <c r="B13" s="9" t="s">
        <v>243</v>
      </c>
      <c r="C13" s="42"/>
      <c r="D13" s="31" t="s">
        <v>240</v>
      </c>
      <c r="E13" s="32" t="s">
        <v>244</v>
      </c>
      <c r="F13" s="43" t="n">
        <v>3</v>
      </c>
      <c r="G13" s="44" t="str">
        <f aca="false">IF(ISBLANK(C13),IF(Fill_Example="Yes",F13,""),C13)</f>
        <v/>
      </c>
    </row>
    <row r="14" customFormat="false" ht="15" hidden="false" customHeight="true" outlineLevel="0" collapsed="false">
      <c r="B14" s="9" t="s">
        <v>245</v>
      </c>
      <c r="C14" s="30"/>
      <c r="D14" s="31" t="s">
        <v>227</v>
      </c>
      <c r="E14" s="32" t="s">
        <v>246</v>
      </c>
      <c r="F14" s="33" t="n">
        <v>0</v>
      </c>
      <c r="G14" s="34" t="n">
        <f aca="false">IF(ISBLANK(C14),F14,C14)</f>
        <v>0</v>
      </c>
    </row>
    <row r="16" customFormat="false" ht="15" hidden="false" customHeight="true" outlineLevel="0" collapsed="false">
      <c r="B16" s="15" t="s">
        <v>247</v>
      </c>
      <c r="C16" s="28" t="s">
        <v>248</v>
      </c>
      <c r="D16" s="28" t="s">
        <v>249</v>
      </c>
      <c r="E16" s="28" t="s">
        <v>250</v>
      </c>
      <c r="F16" s="16"/>
      <c r="G16" s="16"/>
    </row>
    <row r="17" customFormat="false" ht="17.25" hidden="false" customHeight="true" outlineLevel="0" collapsed="false">
      <c r="B17" s="25" t="s">
        <v>251</v>
      </c>
      <c r="C17" s="45" t="str">
        <f aca="false">IF(Need_1&lt;&gt;"",Need_1,MIN(Price_By_Deposit,Price_By_Income))</f>
        <v>Choose your gross yearly income to see this</v>
      </c>
      <c r="D17" s="31" t="s">
        <v>227</v>
      </c>
      <c r="E17" s="46" t="s">
        <v>252</v>
      </c>
    </row>
    <row r="18" customFormat="false" ht="17.25" hidden="false" customHeight="true" outlineLevel="0" collapsed="false">
      <c r="B18" s="25" t="s">
        <v>253</v>
      </c>
      <c r="C18" s="45" t="str">
        <f aca="false">IF(Need_1&lt;&gt;"",Need_1,MIN(Borrow_By_Income,LTV_Max*Home_Price))</f>
        <v>Choose your gross yearly income to see this</v>
      </c>
      <c r="D18" s="31" t="s">
        <v>227</v>
      </c>
      <c r="E18" s="46" t="s">
        <v>254</v>
      </c>
    </row>
    <row r="19" customFormat="false" ht="17.25" hidden="false" customHeight="true" outlineLevel="0" collapsed="false">
      <c r="B19" s="25" t="s">
        <v>255</v>
      </c>
      <c r="C19" s="45" t="str">
        <f aca="false">IF(Need_2&lt;&gt;"",Need_2,PMT(Interest_Rate/12,Term_Years*12,-Max_Loan))</f>
        <v>Choose your gross yearly income to see this</v>
      </c>
      <c r="D19" s="31" t="s">
        <v>227</v>
      </c>
      <c r="E19" s="46" t="s">
        <v>256</v>
      </c>
    </row>
    <row r="20" customFormat="false" ht="21.75" hidden="false" customHeight="true" outlineLevel="0" collapsed="false">
      <c r="B20" s="25" t="s">
        <v>257</v>
      </c>
      <c r="C20" s="45" t="str">
        <f aca="false">IF(Need_1&lt;&gt;"",Need_1,SD_Rate_1*MIN(Home_Price,SD_Band_1)+SD_Rate_2*MAX(0,MIN(Home_Price,SD_Band_2)-SD_Band_1)+SD_Rate_3*MAX(0,Home_Price-SD_Band_2))</f>
        <v>Choose your gross yearly income to see this</v>
      </c>
      <c r="D20" s="31" t="s">
        <v>227</v>
      </c>
      <c r="E20" s="46" t="s">
        <v>258</v>
      </c>
    </row>
    <row r="21" customFormat="false" ht="15" hidden="false" customHeight="true" outlineLevel="0" collapsed="false">
      <c r="B21" s="9" t="s">
        <v>259</v>
      </c>
      <c r="C21" s="47" t="str">
        <f aca="false">IF(Need_3&lt;&gt;"",Need_3,(Income+Partner_Income)*Income_Multiple)</f>
        <v>Choose your gross yearly income to see this</v>
      </c>
      <c r="D21" s="31" t="s">
        <v>227</v>
      </c>
      <c r="E21" s="46" t="s">
        <v>260</v>
      </c>
    </row>
    <row r="22" customFormat="false" ht="15" hidden="false" customHeight="true" outlineLevel="0" collapsed="false">
      <c r="B22" s="9" t="s">
        <v>261</v>
      </c>
      <c r="C22" s="48" t="str">
        <f aca="false">IF(Need_4&lt;&gt;"",Need_4,IF(First_Time_Buyer="Yes",LTI_FTB,LTI_SSB))</f>
        <v>Choose your first-time buyer answer to see this</v>
      </c>
      <c r="D22" s="31" t="s">
        <v>262</v>
      </c>
      <c r="E22" s="46" t="s">
        <v>263</v>
      </c>
    </row>
    <row r="23" customFormat="false" ht="15" hidden="false" customHeight="true" outlineLevel="0" collapsed="false">
      <c r="B23" s="9" t="s">
        <v>264</v>
      </c>
      <c r="C23" s="47" t="str">
        <f aca="false">IF(Need_5&lt;&gt;"",Need_5,Deposit+Extra_Deposit)</f>
        <v>Choose your deposit saved to see this</v>
      </c>
      <c r="D23" s="31" t="s">
        <v>227</v>
      </c>
      <c r="E23" s="46" t="s">
        <v>265</v>
      </c>
    </row>
    <row r="24" customFormat="false" ht="15" hidden="false" customHeight="true" outlineLevel="0" collapsed="false">
      <c r="B24" s="9" t="s">
        <v>266</v>
      </c>
      <c r="C24" s="47" t="str">
        <f aca="false">IF(Need_6&lt;&gt;"",Need_6,MAX(0,Total_Deposit-Buying_Fees))</f>
        <v>Choose your deposit saved to see this</v>
      </c>
      <c r="D24" s="31" t="s">
        <v>227</v>
      </c>
      <c r="E24" s="46" t="s">
        <v>267</v>
      </c>
    </row>
    <row r="25" customFormat="false" ht="15" hidden="false" customHeight="true" outlineLevel="0" collapsed="false">
      <c r="B25" s="9" t="s">
        <v>268</v>
      </c>
      <c r="C25" s="47" t="n">
        <f aca="false">(1-LTV_Max+SD_Rate_1)*SD_Band_1</f>
        <v>110000</v>
      </c>
      <c r="D25" s="31" t="s">
        <v>227</v>
      </c>
      <c r="E25" s="46" t="s">
        <v>269</v>
      </c>
    </row>
    <row r="26" customFormat="false" ht="15" hidden="false" customHeight="true" outlineLevel="0" collapsed="false">
      <c r="B26" s="9" t="s">
        <v>270</v>
      </c>
      <c r="C26" s="47" t="n">
        <f aca="false">Cash_At_Band_1+(1-LTV_Max+SD_Rate_2)*(SD_Band_2-SD_Band_1)</f>
        <v>170000</v>
      </c>
      <c r="D26" s="31" t="s">
        <v>227</v>
      </c>
      <c r="E26" s="46" t="s">
        <v>271</v>
      </c>
    </row>
    <row r="27" customFormat="false" ht="32.25" hidden="false" customHeight="true" outlineLevel="0" collapsed="false">
      <c r="B27" s="9" t="s">
        <v>272</v>
      </c>
      <c r="C27" s="47" t="str">
        <f aca="false">IF(Need_6&lt;&gt;"",Need_6,IF(Cash_For_Price&lt;=Cash_At_Band_1,Cash_For_Price/(1-LTV_Max+SD_Rate_1),IF(Cash_For_Price&lt;=Cash_At_Band_2,SD_Band_1+(Cash_For_Price-Cash_At_Band_1)/(1-LTV_Max+SD_Rate_2),SD_Band_2+(Cash_For_Price-Cash_At_Band_2)/(1-LTV_Max+SD_Rate_3))))</f>
        <v>Choose your deposit saved to see this</v>
      </c>
      <c r="D27" s="31" t="s">
        <v>227</v>
      </c>
      <c r="E27" s="46" t="s">
        <v>273</v>
      </c>
    </row>
    <row r="28" customFormat="false" ht="15" hidden="false" customHeight="true" outlineLevel="0" collapsed="false">
      <c r="B28" s="9" t="s">
        <v>274</v>
      </c>
      <c r="C28" s="47" t="str">
        <f aca="false">IF(Need_1&lt;&gt;"",Need_1,Borrow_By_Income+Cash_For_Price)</f>
        <v>Choose your gross yearly income to see this</v>
      </c>
      <c r="D28" s="31" t="s">
        <v>227</v>
      </c>
      <c r="E28" s="46" t="s">
        <v>275</v>
      </c>
    </row>
    <row r="29" customFormat="false" ht="42.75" hidden="false" customHeight="true" outlineLevel="0" collapsed="false">
      <c r="B29" s="9" t="s">
        <v>276</v>
      </c>
      <c r="C29" s="47" t="str">
        <f aca="false">IF(Need_1&lt;&gt;"",Need_1,IF(Income_Cash&lt;=(1+SD_Rate_1)*SD_Band_1,Income_Cash/(1+SD_Rate_1),IF(Income_Cash&lt;=(1+SD_Rate_1)*SD_Band_1+(1+SD_Rate_2)*(SD_Band_2-SD_Band_1),SD_Band_1+(Income_Cash-(1+SD_Rate_1)*SD_Band_1)/(1+SD_Rate_2),SD_Band_2+(Income_Cash-(1+SD_Rate_1)*SD_Band_1-(1+SD_Rate_2)*(SD_Band_2-SD_Band_1))/(1+SD_Rate_3))))</f>
        <v>Choose your gross yearly income to see this</v>
      </c>
      <c r="D29" s="31" t="s">
        <v>227</v>
      </c>
      <c r="E29" s="46" t="s">
        <v>277</v>
      </c>
    </row>
    <row r="30" customFormat="false" ht="15" hidden="false" customHeight="true" outlineLevel="0" collapsed="false">
      <c r="B30" s="9" t="s">
        <v>278</v>
      </c>
      <c r="C30" s="49" t="str">
        <f aca="false">IF(Need_1&lt;&gt;"",Need_1,IF(Price_By_Deposit&lt;Price_By_Income,"Your deposit","Your income"))</f>
        <v>Choose your gross yearly income to see this</v>
      </c>
      <c r="D30" s="31"/>
      <c r="E30" s="46" t="s">
        <v>279</v>
      </c>
    </row>
    <row r="32" customFormat="false" ht="15" hidden="false" customHeight="true" outlineLevel="0" collapsed="false">
      <c r="B32" s="15" t="s">
        <v>280</v>
      </c>
      <c r="C32" s="16"/>
      <c r="D32" s="16"/>
      <c r="E32" s="16"/>
      <c r="F32" s="16"/>
      <c r="G32" s="16"/>
    </row>
    <row r="33" customFormat="false" ht="13.5" hidden="false" customHeight="true" outlineLevel="0" collapsed="false">
      <c r="B33" s="50" t="str">
        <f aca="false">"• Income limit = combined gross income "&amp;"× "&amp;LTI_FTB&amp;" (first-time buyer)"&amp;" or "&amp;"× "&amp;LTI_SSB&amp;" (everyone else)"&amp;". The loan can also be at most "&amp;TEXT(LTV_Max,"0%")&amp;" of the price."</f>
        <v>• Income limit = combined gross income × 4 (first-time buyer) or × 3.5 (everyone else). The loan can also be at most 90% of the price.</v>
      </c>
      <c r="C33" s="50"/>
      <c r="D33" s="50"/>
      <c r="E33" s="50"/>
    </row>
    <row r="34" customFormat="false" ht="27.75" hidden="false" customHeight="true" outlineLevel="0" collapsed="false">
      <c r="B34" s="50" t="s">
        <v>281</v>
      </c>
      <c r="C34" s="50"/>
      <c r="D34" s="50"/>
      <c r="E34" s="50"/>
    </row>
    <row r="35" customFormat="false" ht="13.5" hidden="false" customHeight="true" outlineLevel="0" collapsed="false">
      <c r="B35" s="50" t="s">
        <v>282</v>
      </c>
      <c r="C35" s="50"/>
      <c r="D35" s="50"/>
      <c r="E35" s="50"/>
    </row>
    <row r="36" customFormat="false" ht="13.5" hidden="false" customHeight="true" outlineLevel="0" collapsed="false">
      <c r="B36" s="51" t="s">
        <v>283</v>
      </c>
      <c r="C36" s="51"/>
      <c r="D36" s="51"/>
      <c r="E36" s="51"/>
    </row>
    <row r="37" customFormat="false" ht="13.5" hidden="false" customHeight="true" outlineLevel="0" collapsed="false">
      <c r="B37" s="50" t="s">
        <v>284</v>
      </c>
      <c r="C37" s="50"/>
      <c r="D37" s="50"/>
      <c r="E37" s="50"/>
    </row>
    <row r="38" customFormat="false" ht="13.5" hidden="false" customHeight="true" outlineLevel="0" collapsed="false">
      <c r="B38" s="50" t="s">
        <v>285</v>
      </c>
      <c r="C38" s="50"/>
      <c r="D38" s="50"/>
      <c r="E38" s="50"/>
    </row>
    <row r="39" customFormat="false" ht="13.5" hidden="false" customHeight="true" outlineLevel="0" collapsed="false">
      <c r="B39" s="50" t="s">
        <v>286</v>
      </c>
      <c r="C39" s="50"/>
      <c r="D39" s="50"/>
      <c r="E39" s="50"/>
    </row>
    <row r="40" customFormat="false" ht="13.5" hidden="false" customHeight="true" outlineLevel="0" collapsed="false">
      <c r="B40" s="50" t="s">
        <v>287</v>
      </c>
      <c r="C40" s="50"/>
      <c r="D40" s="50"/>
      <c r="E40" s="50"/>
    </row>
    <row r="42" customFormat="false" ht="15" hidden="false" customHeight="true" outlineLevel="0" collapsed="false">
      <c r="B42" s="15" t="s">
        <v>288</v>
      </c>
      <c r="C42" s="16"/>
      <c r="D42" s="16"/>
      <c r="E42" s="16"/>
      <c r="F42" s="16"/>
      <c r="G42" s="16"/>
    </row>
    <row r="43" customFormat="false" ht="15" hidden="false" customHeight="true" outlineLevel="0" collapsed="false">
      <c r="B43" s="9" t="s">
        <v>289</v>
      </c>
      <c r="C43" s="52" t="str">
        <f aca="false">"Buy a home (deposit goal)"</f>
        <v>Buy a home (deposit goal)</v>
      </c>
      <c r="E43" s="53" t="s">
        <v>290</v>
      </c>
    </row>
    <row r="44" customFormat="false" ht="15" hidden="false" customHeight="true" outlineLevel="0" collapsed="false">
      <c r="B44" s="9" t="s">
        <v>291</v>
      </c>
      <c r="C44" s="54" t="str">
        <f aca="false">IF(Need_1&lt;&gt;"",Need_1,ROUND(Home_Price*Min_Deposit_Pct+Stamp_Duty+Buying_Fees,0))</f>
        <v>Choose your gross yearly income to see this</v>
      </c>
      <c r="E44" s="53" t="s">
        <v>292</v>
      </c>
    </row>
    <row r="45" customFormat="false" ht="15" hidden="false" customHeight="true" outlineLevel="0" collapsed="false">
      <c r="B45" s="9" t="s">
        <v>293</v>
      </c>
      <c r="C45" s="54" t="str">
        <f aca="false">IF(Need_5&lt;&gt;"",Need_5,Total_Deposit)</f>
        <v>Choose your deposit saved to see this</v>
      </c>
      <c r="E45" s="53" t="s">
        <v>294</v>
      </c>
    </row>
    <row r="46" customFormat="false" ht="15" hidden="false" customHeight="true" outlineLevel="0" collapsed="false">
      <c r="B46" s="9" t="s">
        <v>295</v>
      </c>
      <c r="C46" s="55" t="str">
        <f aca="false">IF(Need_7&lt;&gt;"",Need_7,Home_Goal_Years)</f>
        <v>Choose your years until you buy to see this</v>
      </c>
      <c r="E46" s="53" t="s">
        <v>296</v>
      </c>
    </row>
    <row r="48" customFormat="false" ht="15" hidden="false" customHeight="true" outlineLevel="0" collapsed="false">
      <c r="B48" s="15" t="s">
        <v>297</v>
      </c>
      <c r="C48" s="16"/>
      <c r="D48" s="16"/>
      <c r="E48" s="16"/>
      <c r="F48" s="16"/>
      <c r="G48" s="16"/>
    </row>
    <row r="49" customFormat="false" ht="15" hidden="false" customHeight="true" outlineLevel="0" collapsed="false">
      <c r="B49" s="56" t="s">
        <v>298</v>
      </c>
      <c r="C49" s="56" t="str">
        <f aca="false">IF(Income="","Choose your gross yearly income to see this",IF(Partner_Income="","Choose your partner's gross yearly income to see this",IF(Deposit="","Choose your deposit saved to see this",IF(First_Time_Buyer="","Choose your first-time buyer answer to see this",IF(Buying_Fees="","Choose your buying fees to see this",IF(Interest_Rate="","Choose your mortgage rate to see this",""))))))</f>
        <v>Choose your gross yearly income to see this</v>
      </c>
    </row>
    <row r="50" customFormat="false" ht="15" hidden="false" customHeight="true" outlineLevel="0" collapsed="false">
      <c r="B50" s="56" t="s">
        <v>299</v>
      </c>
      <c r="C50" s="56" t="str">
        <f aca="false">IF(Income="","Choose your gross yearly income to see this",IF(Partner_Income="","Choose your partner's gross yearly income to see this",IF(Deposit="","Choose your deposit saved to see this",IF(First_Time_Buyer="","Choose your first-time buyer answer to see this",IF(Term_Years="","Choose your mortgage term to see this",IF(Buying_Fees="","Choose your buying fees to see this",IF(Interest_Rate="","Choose your mortgage rate to see this","")))))))</f>
        <v>Choose your gross yearly income to see this</v>
      </c>
    </row>
    <row r="51" customFormat="false" ht="15" hidden="false" customHeight="true" outlineLevel="0" collapsed="false">
      <c r="B51" s="56" t="s">
        <v>300</v>
      </c>
      <c r="C51" s="56" t="str">
        <f aca="false">IF(Income="","Choose your gross yearly income to see this",IF(Partner_Income="","Choose your partner's gross yearly income to see this",IF(First_Time_Buyer="","Choose your first-time buyer answer to see this",IF(Interest_Rate="","Choose your mortgage rate to see this",""))))</f>
        <v>Choose your gross yearly income to see this</v>
      </c>
    </row>
    <row r="52" customFormat="false" ht="15" hidden="false" customHeight="true" outlineLevel="0" collapsed="false">
      <c r="B52" s="56" t="s">
        <v>301</v>
      </c>
      <c r="C52" s="56" t="str">
        <f aca="false">IF(First_Time_Buyer="","Choose your first-time buyer answer to see this",IF(Interest_Rate="","Choose your mortgage rate to see this",""))</f>
        <v>Choose your first-time buyer answer to see this</v>
      </c>
    </row>
    <row r="53" customFormat="false" ht="15" hidden="false" customHeight="true" outlineLevel="0" collapsed="false">
      <c r="B53" s="56" t="s">
        <v>302</v>
      </c>
      <c r="C53" s="56" t="str">
        <f aca="false">IF(Deposit="","Choose your deposit saved to see this",IF(Interest_Rate="","Choose your mortgage rate to see this",""))</f>
        <v>Choose your deposit saved to see this</v>
      </c>
    </row>
    <row r="54" customFormat="false" ht="15" hidden="false" customHeight="true" outlineLevel="0" collapsed="false">
      <c r="B54" s="56" t="s">
        <v>303</v>
      </c>
      <c r="C54" s="56" t="str">
        <f aca="false">IF(Deposit="","Choose your deposit saved to see this",IF(Buying_Fees="","Choose your buying fees to see this",IF(Interest_Rate="","Choose your mortgage rate to see this","")))</f>
        <v>Choose your deposit saved to see this</v>
      </c>
    </row>
    <row r="55" customFormat="false" ht="15" hidden="false" customHeight="true" outlineLevel="0" collapsed="false">
      <c r="B55" s="56" t="s">
        <v>304</v>
      </c>
      <c r="C55" s="56" t="str">
        <f aca="false">IF(Home_Goal_Years="","Choose your years until you buy to see this",IF(Interest_Rate="","Choose your mortgage rate to see this",""))</f>
        <v>Choose your years until you buy to see this</v>
      </c>
    </row>
    <row r="57" customFormat="false" ht="15" hidden="false" customHeight="true" outlineLevel="0" collapsed="false">
      <c r="B57" s="23" t="s">
        <v>305</v>
      </c>
    </row>
  </sheetData>
  <mergeCells count="8">
    <mergeCell ref="B33:E33"/>
    <mergeCell ref="B34:E34"/>
    <mergeCell ref="B35:E35"/>
    <mergeCell ref="B36:E36"/>
    <mergeCell ref="B37:E37"/>
    <mergeCell ref="B38:E38"/>
    <mergeCell ref="B39:E39"/>
    <mergeCell ref="B40:E40"/>
  </mergeCells>
  <dataValidations count="9">
    <dataValidation allowBlank="true" error="Please enter 1 to 30 · steps of 1." errorStyle="stop" errorTitle="Outside the allowed range" operator="between" prompt="Your own figure.  Allowed: 1 to 30 · steps of 1." promptTitle="Years until you buy (for the pla" showDropDown="false" showErrorMessage="true" showInputMessage="true" sqref="C13" type="whole">
      <formula1>1</formula1>
      <formula2>30</formula2>
    </dataValidation>
    <dataValidation allowBlank="true" error="Please enter €0 to €10,000 · steps of €100." errorStyle="stop" errorTitle="Outside the allowed range" operator="between" prompt="Optional: your own legal and survey fees. No published figure, so no suggestion unless a partner sets one. Leave blank to count €0. Allowed: €0 to €10,000 · steps of €100" promptTitle="Legal and other buying fees" showDropDown="false" showErrorMessage="true" showInputMessage="true" sqref="C12" type="decimal">
      <formula1>0</formula1>
      <formula2>10000</formula2>
    </dataValidation>
    <dataValidation allowBlank="true" error="Please enter €15,000 to €2,500,000 · steps of €1,000." errorStyle="stop" errorTitle="Outside the allowed range" operator="between" prompt="Your own figure. In the app it is pre-filled from Your finances: income.  Allowed: €15,000 to €2,500,000 · steps of €1,000." promptTitle="Your gross yearly income" showDropDown="false" showErrorMessage="true" showInputMessage="true" sqref="C6" type="decimal">
      <formula1>15000</formula1>
      <formula2>2500000</formula2>
    </dataValidation>
    <dataValidation allowBlank="true" error="Please enter €0 to €2,500,000 · steps of €1,000." errorStyle="stop" errorTitle="Outside the allowed range" operator="between" prompt="Your own figure. In the app it is pre-filled from Your finances: partner's income.  Allowed: €0 to €2,500,000 · steps of €1,000." promptTitle="Partner's gross yearly income" showDropDown="false" showErrorMessage="true" showInputMessage="true" sqref="C7" type="decimal">
      <formula1>0</formula1>
      <formula2>2500000</formula2>
    </dataValidation>
    <dataValidation allowBlank="true" error="Please enter €0 to €2,000,000 · steps of €1,000." errorStyle="stop" errorTitle="Outside the allowed range" operator="between" prompt="Your own figure. In the app it is pre-filled from Plan: home goal's amount saved.  Allowed: €0 to €2,000,000 · steps of €1,000." promptTitle="Deposit saved" showDropDown="false" showErrorMessage="true" showInputMessage="true" sqref="C8" type="decimal">
      <formula1>0</formula1>
      <formula2>2000000</formula2>
    </dataValidation>
    <dataValidation allowBlank="true" error="Please enter Yes or No." errorStyle="stop" errorTitle="Outside the allowed range" operator="between" prompt="Your own figure. In the app it is pre-filled from Your finances: home status (owner = No).  Allowed: Yes or No." promptTitle="First-time buyer?" showDropDown="false" showErrorMessage="true" showInputMessage="true" sqref="C9" type="list">
      <formula1>"Yes,No"</formula1>
      <formula2>0</formula2>
    </dataValidation>
    <dataValidation allowBlank="true" error="Please enter 1% to 8% · steps of 0.05%." errorStyle="stop" errorTitle="Outside the allowed range" operator="between" prompt="Your own mortgage rate: your statement shows it. Typing it is fine; no upload needed. A suggested rate and its source are shown beside this cell (Partner rates, Assumptions sheet). Allowed: 1% to 8% · steps of 0.05%" promptTitle="Mortgage interest rate" showDropDown="false" showErrorMessage="true" showInputMessage="true" sqref="C10" type="decimal">
      <formula1>0.01</formula1>
      <formula2>0.08</formula2>
    </dataValidation>
    <dataValidation allowBlank="true" error="Please enter 10 to 35 · steps of 1." errorStyle="stop" errorTitle="Outside the allowed range" operator="between" prompt="Your own figure.  Allowed: 10 to 35 · steps of 1." promptTitle="Mortgage term" showDropDown="false" showErrorMessage="true" showInputMessage="true" sqref="C11" type="whole">
      <formula1>10</formula1>
      <formula2>35</formula2>
    </dataValidation>
    <dataValidation allowBlank="true" error="Please enter €0 to €500,000 · steps of €1,000." errorStyle="stop" errorTitle="Outside the allowed range" operator="between" prompt="Optional: leave blank for none.  Allowed: €0 to €500,000 · steps of €1,000." promptTitle="What if: save extra towards the " showDropDown="false" showErrorMessage="true" showInputMessage="true" sqref="C14" type="decimal">
      <formula1>0</formula1>
      <formula2>500000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306</v>
      </c>
      <c r="E1" s="3" t="s">
        <v>307</v>
      </c>
    </row>
    <row r="2" customFormat="false" ht="15" hidden="false" customHeight="true" outlineLevel="0" collapsed="false">
      <c r="B2" s="25" t="s">
        <v>308</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309</v>
      </c>
    </row>
    <row r="5" customFormat="false" ht="15" hidden="false" customHeight="true" outlineLevel="0" collapsed="false">
      <c r="B5" s="15" t="s">
        <v>310</v>
      </c>
      <c r="C5" s="16"/>
      <c r="D5" s="16"/>
      <c r="E5" s="16"/>
      <c r="F5" s="16"/>
      <c r="G5" s="16"/>
    </row>
    <row r="6" customFormat="false" ht="27.75" hidden="false" customHeight="true" outlineLevel="0" collapsed="false">
      <c r="B6" s="57" t="s">
        <v>311</v>
      </c>
      <c r="C6" s="57"/>
      <c r="D6" s="57"/>
      <c r="E6" s="57"/>
    </row>
    <row r="7" customFormat="false" ht="15" hidden="false" customHeight="true" outlineLevel="0" collapsed="false">
      <c r="B7" s="9" t="s">
        <v>312</v>
      </c>
      <c r="C7" s="58"/>
      <c r="D7" s="31" t="s">
        <v>227</v>
      </c>
      <c r="E7" s="32" t="s">
        <v>313</v>
      </c>
      <c r="G7" s="56" t="s">
        <v>314</v>
      </c>
    </row>
    <row r="8" customFormat="false" ht="15" hidden="false" customHeight="true" outlineLevel="0" collapsed="false">
      <c r="B8" s="9" t="s">
        <v>315</v>
      </c>
      <c r="C8" s="59"/>
      <c r="D8" s="31" t="s">
        <v>238</v>
      </c>
      <c r="E8" s="32" t="s">
        <v>316</v>
      </c>
      <c r="G8" s="56" t="s">
        <v>314</v>
      </c>
    </row>
    <row r="9" customFormat="false" ht="15" hidden="false" customHeight="true" outlineLevel="0" collapsed="false">
      <c r="B9" s="9" t="s">
        <v>317</v>
      </c>
      <c r="C9" s="60"/>
      <c r="D9" s="31" t="s">
        <v>240</v>
      </c>
      <c r="E9" s="32" t="s">
        <v>318</v>
      </c>
      <c r="G9" s="56" t="s">
        <v>314</v>
      </c>
    </row>
    <row r="10" customFormat="false" ht="15" hidden="false" customHeight="true" outlineLevel="0" collapsed="false">
      <c r="B10" s="9" t="s">
        <v>319</v>
      </c>
      <c r="C10" s="58"/>
      <c r="D10" s="31" t="s">
        <v>227</v>
      </c>
      <c r="E10" s="32" t="s">
        <v>320</v>
      </c>
      <c r="G10" s="56" t="s">
        <v>314</v>
      </c>
    </row>
    <row r="11" customFormat="false" ht="15" hidden="false" customHeight="true" outlineLevel="0" collapsed="false">
      <c r="B11" s="9" t="s">
        <v>321</v>
      </c>
      <c r="C11" s="61"/>
      <c r="D11" s="31" t="s">
        <v>322</v>
      </c>
      <c r="E11" s="32" t="s">
        <v>323</v>
      </c>
      <c r="G11" s="56" t="s">
        <v>314</v>
      </c>
    </row>
    <row r="13" customFormat="false" ht="15" hidden="false" customHeight="true" outlineLevel="0" collapsed="false">
      <c r="B13" s="15" t="s">
        <v>324</v>
      </c>
      <c r="C13" s="28" t="s">
        <v>222</v>
      </c>
      <c r="D13" s="28" t="s">
        <v>223</v>
      </c>
      <c r="E13" s="28" t="s">
        <v>224</v>
      </c>
      <c r="F13" s="29" t="s">
        <v>225</v>
      </c>
      <c r="G13" s="16"/>
    </row>
    <row r="14" customFormat="false" ht="21.75" hidden="false" customHeight="true" outlineLevel="0" collapsed="false">
      <c r="B14" s="9" t="s">
        <v>325</v>
      </c>
      <c r="C14" s="30"/>
      <c r="D14" s="31" t="s">
        <v>227</v>
      </c>
      <c r="E14" s="32" t="s">
        <v>326</v>
      </c>
      <c r="F14" s="33" t="n">
        <v>300000</v>
      </c>
      <c r="G14" s="34" t="str">
        <f aca="false">IF(ISBLANK(C14),IF(Fill_Example="Yes",F14,""),C14)</f>
        <v/>
      </c>
    </row>
    <row r="15" customFormat="false" ht="33" hidden="false" customHeight="true" outlineLevel="0" collapsed="false">
      <c r="B15" s="9" t="s">
        <v>315</v>
      </c>
      <c r="C15" s="38"/>
      <c r="D15" s="31" t="s">
        <v>238</v>
      </c>
      <c r="E15" s="39" t="str">
        <f aca="false">"Type 2 · your figure · Your own rate (your statement shows it; typing it is fine, no upload needed). "&amp;IF(ISNUMBER(Suggest_Mortgage_Rate),"Suggested: "&amp;TEXT(Suggest_Mortgage_Rate,"0.00%")&amp;" · "&amp;Suggest_Mortgage_Rate_Label&amp;". ","No suggestion. ")&amp;"Enter your own figure."&amp;" In the app it is pre-filled from Your finances / mortgage statement: rate. Enter your own figure. Allowed: 1% to 8% · steps of 0.05%"</f>
        <v>Type 2 · your figure · Your own rate (your statement shows it; typing it is fine, no upload needed). Suggested: 3.48% · Central Bank of Ireland: average rate on new mortgages, Jul 2026. Enter your own figure. In the app it is pre-filled from Your finances / mortgage statement: rate. Enter your own figure. Allowed: 1% to 8% · steps of 0.05%</v>
      </c>
      <c r="F15" s="40" t="n">
        <f aca="false">IF(ISNUMBER(Suggest_Mortgage_Rate),Suggest_Mortgage_Rate,"")</f>
        <v>0.0348</v>
      </c>
      <c r="G15" s="41" t="str">
        <f aca="false">IF(ISBLANK(C15),IF(Fill_Example="Yes",F15,""),C15)</f>
        <v/>
      </c>
    </row>
    <row r="16" customFormat="false" ht="21.75" hidden="false" customHeight="true" outlineLevel="0" collapsed="false">
      <c r="B16" s="9" t="s">
        <v>327</v>
      </c>
      <c r="C16" s="42"/>
      <c r="D16" s="31" t="s">
        <v>240</v>
      </c>
      <c r="E16" s="32" t="s">
        <v>328</v>
      </c>
      <c r="F16" s="43" t="n">
        <v>30</v>
      </c>
      <c r="G16" s="44" t="str">
        <f aca="false">IF(AND(ISNUMBER(C16),N(C16)&lt;5),"",IF(ISBLANK(C16),IF(Fill_Example="Yes",F16,""),C16))</f>
        <v/>
      </c>
    </row>
    <row r="17" customFormat="false" ht="15" hidden="false" customHeight="true" outlineLevel="0" collapsed="false">
      <c r="B17" s="9" t="s">
        <v>329</v>
      </c>
      <c r="C17" s="30"/>
      <c r="D17" s="31" t="s">
        <v>227</v>
      </c>
      <c r="E17" s="32" t="s">
        <v>330</v>
      </c>
      <c r="F17" s="33" t="n">
        <v>0</v>
      </c>
      <c r="G17" s="34" t="n">
        <f aca="false">IF(ISBLANK(C17),F17,C17)</f>
        <v>0</v>
      </c>
    </row>
    <row r="18" customFormat="false" ht="15" hidden="false" customHeight="true" outlineLevel="0" collapsed="false">
      <c r="B18" s="9" t="s">
        <v>243</v>
      </c>
      <c r="C18" s="42"/>
      <c r="D18" s="31" t="s">
        <v>240</v>
      </c>
      <c r="E18" s="32" t="s">
        <v>244</v>
      </c>
      <c r="F18" s="43" t="n">
        <v>3</v>
      </c>
      <c r="G18" s="44" t="str">
        <f aca="false">IF(ISBLANK(C18),IF(Fill_Example="Yes",F18,""),C18)</f>
        <v/>
      </c>
    </row>
    <row r="19" customFormat="false" ht="15" hidden="false" customHeight="true" outlineLevel="0" collapsed="false">
      <c r="B19" s="9" t="s">
        <v>331</v>
      </c>
      <c r="C19" s="38"/>
      <c r="D19" s="31" t="s">
        <v>238</v>
      </c>
      <c r="E19" s="32" t="s">
        <v>332</v>
      </c>
      <c r="F19" s="40" t="n">
        <v>0</v>
      </c>
      <c r="G19" s="41" t="n">
        <f aca="false">IF(ISBLANK(C19),F19,C19)</f>
        <v>0</v>
      </c>
    </row>
    <row r="21" customFormat="false" ht="15" hidden="false" customHeight="true" outlineLevel="0" collapsed="false">
      <c r="B21" s="15" t="s">
        <v>333</v>
      </c>
      <c r="C21" s="16"/>
      <c r="D21" s="16"/>
      <c r="E21" s="16"/>
      <c r="F21" s="16"/>
      <c r="G21" s="16"/>
    </row>
    <row r="22" customFormat="false" ht="15" hidden="false" customHeight="true" outlineLevel="0" collapsed="false">
      <c r="B22" s="9" t="s">
        <v>325</v>
      </c>
      <c r="C22" s="62" t="str">
        <f aca="false">IF(ISBLANK(Stmt_Balance),Loan_Amount,Stmt_Balance)</f>
        <v/>
      </c>
      <c r="D22" s="63" t="str">
        <f aca="false">IF(ISBLANK(Stmt_Balance),"Your figure","From your statement")</f>
        <v>Your figure</v>
      </c>
      <c r="E22" s="53" t="s">
        <v>334</v>
      </c>
    </row>
    <row r="23" customFormat="false" ht="15" hidden="false" customHeight="true" outlineLevel="0" collapsed="false">
      <c r="B23" s="9" t="s">
        <v>315</v>
      </c>
      <c r="C23" s="64" t="str">
        <f aca="false">IF(ISBLANK(Stmt_Rate),Interest_Rate,Stmt_Rate)</f>
        <v/>
      </c>
      <c r="D23" s="63" t="str">
        <f aca="false">IF(ISBLANK(Stmt_Rate),"Your figure","From your statement")</f>
        <v>Your figure</v>
      </c>
      <c r="E23" s="53" t="s">
        <v>335</v>
      </c>
    </row>
    <row r="24" customFormat="false" ht="15" hidden="false" customHeight="true" outlineLevel="0" collapsed="false">
      <c r="B24" s="9" t="s">
        <v>327</v>
      </c>
      <c r="C24" s="65" t="str">
        <f aca="false">IF(ISBLANK(Stmt_Term),Term_Years,Stmt_Term)</f>
        <v/>
      </c>
      <c r="D24" s="63" t="str">
        <f aca="false">IF(ISBLANK(Stmt_Term),"Your figure","From your statement")</f>
        <v>Your figure</v>
      </c>
      <c r="E24" s="53" t="s">
        <v>336</v>
      </c>
    </row>
    <row r="25" customFormat="false" ht="15" hidden="false" customHeight="true" outlineLevel="0" collapsed="false">
      <c r="B25" s="9" t="s">
        <v>337</v>
      </c>
      <c r="C25" s="62" t="n">
        <f aca="false">IF(ISBLANK(Stmt_Repayment),Actual_Repayment,Stmt_Repayment)</f>
        <v>0</v>
      </c>
      <c r="D25" s="63" t="str">
        <f aca="false">IF(ISBLANK(Stmt_Repayment),"Your figure","From your statement")</f>
        <v>Your figure</v>
      </c>
      <c r="E25" s="53" t="s">
        <v>338</v>
      </c>
    </row>
    <row r="26" customFormat="false" ht="21.75" hidden="false" customHeight="true" outlineLevel="0" collapsed="false">
      <c r="B26" s="9" t="s">
        <v>339</v>
      </c>
      <c r="C26" s="49" t="str">
        <f aca="true">IF(ISBLANK(Stmt_Statement_Date),"",IF(TODAY()-Stmt_Statement_Date&gt;Statement_Max_Age_Days,"Needs a look: statement is more than 12 months old","Up to date"))</f>
        <v/>
      </c>
      <c r="D26" s="31"/>
      <c r="E26" s="46" t="s">
        <v>340</v>
      </c>
    </row>
    <row r="28" customFormat="false" ht="15" hidden="false" customHeight="true" outlineLevel="0" collapsed="false">
      <c r="B28" s="15" t="s">
        <v>247</v>
      </c>
      <c r="C28" s="28" t="s">
        <v>248</v>
      </c>
      <c r="D28" s="28" t="s">
        <v>249</v>
      </c>
      <c r="E28" s="28" t="s">
        <v>250</v>
      </c>
      <c r="F28" s="16"/>
      <c r="G28" s="16"/>
    </row>
    <row r="29" customFormat="false" ht="17.25" hidden="false" customHeight="true" outlineLevel="0" collapsed="false">
      <c r="B29" s="25" t="s">
        <v>319</v>
      </c>
      <c r="C29" s="45" t="str">
        <f aca="false">IF(Need_1&lt;&gt;"",Need_1,IF(Used_Actual_Repayment&gt;0,Used_Actual_Repayment,Formula_Repayment))</f>
        <v>Choose your mortgage amount to see this</v>
      </c>
      <c r="D29" s="31" t="s">
        <v>227</v>
      </c>
      <c r="E29" s="46" t="s">
        <v>341</v>
      </c>
    </row>
    <row r="30" customFormat="false" ht="23.25" hidden="false" customHeight="true" outlineLevel="0" collapsed="false">
      <c r="B30" s="25" t="s">
        <v>342</v>
      </c>
      <c r="C30" s="66" t="str">
        <f aca="false">IF(Need_1&lt;&gt;"",Need_1,IF(Monthly_Repayment&lt;=Used_Loan_Amount*Monthly_Rate,"Never",ROUNDUP(ROUND(NPER(Monthly_Rate,-Monthly_Repayment,Used_Loan_Amount),6),0)))</f>
        <v>Choose your mortgage amount to see this</v>
      </c>
      <c r="D30" s="67" t="str">
        <f aca="false">IF(Need_1&lt;&gt;"",Need_1,IF(Months_To_Pay="Never","Never at this repayment",IF(Months_To_Pay&gt;Cap_Months,"Over 100 years",IF(INT(Months_To_Pay/12)=0,MOD(Months_To_Pay,12)&amp;IF(MOD(Months_To_Pay,12)=1," month"," months"),INT(Months_To_Pay/12)&amp;IF(INT(Months_To_Pay/12)=1," year"," years")&amp;IF(MOD(Months_To_Pay,12)=0,""," "&amp;MOD(Months_To_Pay,12)&amp;IF(MOD(Months_To_Pay,12)=1," month"," months"))))))</f>
        <v>Choose your mortgage amount to see this</v>
      </c>
      <c r="E30" s="46" t="s">
        <v>343</v>
      </c>
    </row>
    <row r="31" customFormat="false" ht="17.25" hidden="false" customHeight="true" outlineLevel="0" collapsed="false">
      <c r="B31" s="25" t="s">
        <v>344</v>
      </c>
      <c r="C31" s="45" t="str">
        <f aca="false">IF(Need_1&lt;&gt;"",Need_1,IF(Months_To_Pay="Never","—",Monthly_Repayment*(Months_To_Pay-1)+Final_Payment-Used_Loan_Amount))</f>
        <v>Choose your mortgage amount to see this</v>
      </c>
      <c r="D31" s="31" t="s">
        <v>227</v>
      </c>
      <c r="E31" s="46" t="s">
        <v>345</v>
      </c>
    </row>
    <row r="32" customFormat="false" ht="15" hidden="false" customHeight="true" outlineLevel="0" collapsed="false">
      <c r="B32" s="9" t="s">
        <v>346</v>
      </c>
      <c r="C32" s="47" t="str">
        <f aca="false">IF(Need_1&lt;&gt;"",Need_1,IF(Months_To_Pay="Never","—",Used_Loan_Amount+Total_Interest))</f>
        <v>Choose your mortgage amount to see this</v>
      </c>
      <c r="D32" s="31" t="s">
        <v>227</v>
      </c>
      <c r="E32" s="46" t="s">
        <v>347</v>
      </c>
    </row>
    <row r="33" customFormat="false" ht="15" hidden="false" customHeight="true" outlineLevel="0" collapsed="false">
      <c r="B33" s="9" t="s">
        <v>348</v>
      </c>
      <c r="C33" s="68" t="str">
        <f aca="false">IF(Need_2&lt;&gt;"",Need_2,Used_Interest_Rate/12)</f>
        <v>Choose your mortgage rate to see this</v>
      </c>
      <c r="D33" s="31"/>
      <c r="E33" s="46" t="s">
        <v>349</v>
      </c>
    </row>
    <row r="34" customFormat="false" ht="15" hidden="false" customHeight="true" outlineLevel="0" collapsed="false">
      <c r="B34" s="9" t="s">
        <v>350</v>
      </c>
      <c r="C34" s="47" t="str">
        <f aca="false">IF(Need_3&lt;&gt;"",Need_3,PMT(Monthly_Rate,Used_Term_Years*12,-Used_Loan_Amount))</f>
        <v>Choose your mortgage amount to see this</v>
      </c>
      <c r="D34" s="31" t="s">
        <v>227</v>
      </c>
      <c r="E34" s="46" t="s">
        <v>351</v>
      </c>
    </row>
    <row r="35" customFormat="false" ht="21.75" hidden="false" customHeight="true" outlineLevel="0" collapsed="false">
      <c r="B35" s="9" t="s">
        <v>352</v>
      </c>
      <c r="C35" s="47" t="str">
        <f aca="false">IF(Need_1&lt;&gt;"",Need_1,IF(Months_To_Pay="Never","—",-FV(Monthly_Rate,Months_To_Pay-1,-Monthly_Repayment,Used_Loan_Amount)*(1+Monthly_Rate)))</f>
        <v>Choose your mortgage amount to see this</v>
      </c>
      <c r="D35" s="31" t="s">
        <v>227</v>
      </c>
      <c r="E35" s="46" t="s">
        <v>353</v>
      </c>
    </row>
    <row r="36" customFormat="false" ht="15" hidden="false" customHeight="true" outlineLevel="0" collapsed="false">
      <c r="B36" s="9" t="s">
        <v>354</v>
      </c>
      <c r="C36" s="69" t="str">
        <f aca="false">IF(Need_2&lt;&gt;"",Need_2,MAX(0,Used_Interest_Rate+Rate_Change))</f>
        <v>Choose your mortgage rate to see this</v>
      </c>
      <c r="D36" s="31" t="s">
        <v>238</v>
      </c>
      <c r="E36" s="46" t="s">
        <v>355</v>
      </c>
    </row>
    <row r="37" customFormat="false" ht="17.25" hidden="false" customHeight="true" outlineLevel="0" collapsed="false">
      <c r="B37" s="25" t="s">
        <v>356</v>
      </c>
      <c r="C37" s="45" t="str">
        <f aca="false">IF(Need_1&lt;&gt;"",Need_1,Monthly_Repayment+PMT(New_Rate/12,Used_Term_Years*12,-Used_Loan_Amount)-Formula_Repayment)</f>
        <v>Choose your mortgage amount to see this</v>
      </c>
      <c r="D37" s="31" t="s">
        <v>227</v>
      </c>
      <c r="E37" s="46" t="s">
        <v>357</v>
      </c>
    </row>
    <row r="38" customFormat="false" ht="15" hidden="false" customHeight="true" outlineLevel="0" collapsed="false">
      <c r="B38" s="9" t="s">
        <v>358</v>
      </c>
      <c r="C38" s="47" t="str">
        <f aca="false">IF(Need_1&lt;&gt;"",Need_1,(Repayment_If_Changed-Monthly_Repayment)*12)</f>
        <v>Choose your mortgage amount to see this</v>
      </c>
      <c r="D38" s="31" t="s">
        <v>227</v>
      </c>
      <c r="E38" s="46" t="s">
        <v>359</v>
      </c>
    </row>
    <row r="40" customFormat="false" ht="15" hidden="false" customHeight="true" outlineLevel="0" collapsed="false">
      <c r="B40" s="15" t="s">
        <v>280</v>
      </c>
      <c r="C40" s="16"/>
      <c r="D40" s="16"/>
      <c r="E40" s="16"/>
      <c r="F40" s="16"/>
      <c r="G40" s="16"/>
    </row>
    <row r="41" customFormat="false" ht="13.5" hidden="false" customHeight="true" outlineLevel="0" collapsed="false">
      <c r="B41" s="50" t="s">
        <v>360</v>
      </c>
      <c r="C41" s="50"/>
      <c r="D41" s="50"/>
      <c r="E41" s="50"/>
    </row>
    <row r="42" customFormat="false" ht="27.75" hidden="false" customHeight="true" outlineLevel="0" collapsed="false">
      <c r="B42" s="50" t="s">
        <v>361</v>
      </c>
      <c r="C42" s="50"/>
      <c r="D42" s="50"/>
      <c r="E42" s="50"/>
    </row>
    <row r="43" customFormat="false" ht="27.75" hidden="false" customHeight="true" outlineLevel="0" collapsed="false">
      <c r="B43" s="50" t="s">
        <v>362</v>
      </c>
      <c r="C43" s="50"/>
      <c r="D43" s="50"/>
      <c r="E43" s="50"/>
    </row>
    <row r="44" customFormat="false" ht="13.5" hidden="false" customHeight="true" outlineLevel="0" collapsed="false">
      <c r="B44" s="51" t="s">
        <v>283</v>
      </c>
      <c r="C44" s="51"/>
      <c r="D44" s="51"/>
      <c r="E44" s="51"/>
    </row>
    <row r="45" customFormat="false" ht="27.75" hidden="false" customHeight="true" outlineLevel="0" collapsed="false">
      <c r="B45" s="50" t="s">
        <v>363</v>
      </c>
      <c r="C45" s="50"/>
      <c r="D45" s="50"/>
      <c r="E45" s="50"/>
    </row>
    <row r="46" customFormat="false" ht="13.5" hidden="false" customHeight="true" outlineLevel="0" collapsed="false">
      <c r="B46" s="50" t="s">
        <v>364</v>
      </c>
      <c r="C46" s="50"/>
      <c r="D46" s="50"/>
      <c r="E46" s="50"/>
    </row>
    <row r="47" customFormat="false" ht="27.75" hidden="false" customHeight="true" outlineLevel="0" collapsed="false">
      <c r="B47" s="50" t="s">
        <v>365</v>
      </c>
      <c r="C47" s="50"/>
      <c r="D47" s="50"/>
      <c r="E47" s="50"/>
    </row>
    <row r="48" customFormat="false" ht="13.5" hidden="false" customHeight="true" outlineLevel="0" collapsed="false">
      <c r="B48" s="50" t="s">
        <v>287</v>
      </c>
      <c r="C48" s="50"/>
      <c r="D48" s="50"/>
      <c r="E48" s="50"/>
    </row>
    <row r="50" customFormat="false" ht="15" hidden="false" customHeight="true" outlineLevel="0" collapsed="false">
      <c r="B50" s="15" t="s">
        <v>288</v>
      </c>
      <c r="C50" s="16"/>
      <c r="D50" s="16"/>
      <c r="E50" s="16"/>
      <c r="F50" s="16"/>
      <c r="G50" s="16"/>
    </row>
    <row r="51" customFormat="false" ht="15" hidden="false" customHeight="true" outlineLevel="0" collapsed="false">
      <c r="B51" s="9" t="s">
        <v>289</v>
      </c>
      <c r="C51" s="52" t="str">
        <f aca="false">"Buy a home (deposit goal)"</f>
        <v>Buy a home (deposit goal)</v>
      </c>
      <c r="E51" s="53" t="s">
        <v>290</v>
      </c>
    </row>
    <row r="52" customFormat="false" ht="15" hidden="false" customHeight="true" outlineLevel="0" collapsed="false">
      <c r="B52" s="9" t="s">
        <v>366</v>
      </c>
      <c r="C52" s="54" t="str">
        <f aca="false">IF(Need_4&lt;&gt;"",Need_4,ROUND(Used_Loan_Amount*(1-LTV_Max)/LTV_Max,0))</f>
        <v>Choose your mortgage amount to see this</v>
      </c>
      <c r="E52" s="53" t="s">
        <v>367</v>
      </c>
    </row>
    <row r="53" customFormat="false" ht="15" hidden="false" customHeight="true" outlineLevel="0" collapsed="false">
      <c r="B53" s="9" t="s">
        <v>295</v>
      </c>
      <c r="C53" s="55" t="str">
        <f aca="false">IF(Need_5&lt;&gt;"",Need_5,Home_Goal_Years)</f>
        <v>Choose your years until you buy to see this</v>
      </c>
      <c r="E53" s="53" t="s">
        <v>296</v>
      </c>
    </row>
    <row r="54" customFormat="false" ht="13.5" hidden="false" customHeight="true" outlineLevel="0" collapsed="false">
      <c r="B54" s="57" t="str">
        <f aca="false">"Audit fix: the mortgage amount itself is borrowing, not a savings goal, so only the deposit ("&amp;"loan × "&amp;TEXT(Min_Deposit_Pct,"0%")&amp;" ÷ "&amp;TEXT(LTV_Max,"0%")&amp;" at "&amp;TEXT(LTV_Max,"0%")&amp;" LTV"&amp;") is sent."</f>
        <v>Audit fix: the mortgage amount itself is borrowing, not a savings goal, so only the deposit (loan × 10% ÷ 90% at 90% LTV) is sent.</v>
      </c>
      <c r="C54" s="57"/>
      <c r="D54" s="57"/>
      <c r="E54" s="57"/>
    </row>
    <row r="56" customFormat="false" ht="15" hidden="false" customHeight="true" outlineLevel="0" collapsed="false">
      <c r="B56" s="15" t="s">
        <v>297</v>
      </c>
      <c r="C56" s="16"/>
      <c r="D56" s="16"/>
      <c r="E56" s="16"/>
      <c r="F56" s="16"/>
      <c r="G56" s="16"/>
    </row>
    <row r="57" customFormat="false" ht="15" hidden="false" customHeight="true" outlineLevel="0" collapsed="false">
      <c r="B57" s="56" t="s">
        <v>368</v>
      </c>
      <c r="C57" s="56" t="str">
        <f aca="false">IF(NOT(ISNUMBER(Used_Loan_Amount)),IF(Used_Loan_Amount="",IF(Loan_Amount="","Choose your mortgage amount to see this",""),Used_Loan_Amount),IF(NOT(ISNUMBER(Used_Term_Years)),IF(Used_Term_Years="",IF(Term_Years="","Choose your mortgage term to see this",""),Used_Term_Years),IF(NOT(ISNUMBER(Used_Actual_Repayment)),IF(Used_Actual_Repayment="","Choose your actual monthly repayment to see this",Used_Actual_Repayment),IF(NOT(ISNUMBER(Used_Interest_Rate)),IF(Used_Interest_Rate="",IF(Interest_Rate="","Choose your mortgage rate to see this",""),Used_Interest_Rate),""))))</f>
        <v>Choose your mortgage amount to see this</v>
      </c>
    </row>
    <row r="58" customFormat="false" ht="15" hidden="false" customHeight="true" outlineLevel="0" collapsed="false">
      <c r="B58" s="56" t="s">
        <v>369</v>
      </c>
      <c r="C58" s="56" t="str">
        <f aca="false">IF(NOT(ISNUMBER(Used_Interest_Rate)),IF(Used_Interest_Rate="",IF(Interest_Rate="","Choose your mortgage rate to see this",""),Used_Interest_Rate),"")</f>
        <v>Choose your mortgage rate to see this</v>
      </c>
    </row>
    <row r="59" customFormat="false" ht="15" hidden="false" customHeight="true" outlineLevel="0" collapsed="false">
      <c r="B59" s="56" t="s">
        <v>370</v>
      </c>
      <c r="C59" s="56" t="str">
        <f aca="false">IF(NOT(ISNUMBER(Used_Loan_Amount)),IF(Used_Loan_Amount="",IF(Loan_Amount="","Choose your mortgage amount to see this",""),Used_Loan_Amount),IF(NOT(ISNUMBER(Used_Term_Years)),IF(Used_Term_Years="",IF(Term_Years="","Choose your mortgage term to see this",""),Used_Term_Years),IF(NOT(ISNUMBER(Used_Interest_Rate)),IF(Used_Interest_Rate="",IF(Interest_Rate="","Choose your mortgage rate to see this",""),Used_Interest_Rate),"")))</f>
        <v>Choose your mortgage amount to see this</v>
      </c>
    </row>
    <row r="60" customFormat="false" ht="15" hidden="false" customHeight="true" outlineLevel="0" collapsed="false">
      <c r="B60" s="56" t="s">
        <v>371</v>
      </c>
      <c r="C60" s="56" t="str">
        <f aca="false">IF(NOT(ISNUMBER(Used_Loan_Amount)),IF(Used_Loan_Amount="",IF(Loan_Amount="","Choose your mortgage amount to see this",""),Used_Loan_Amount),IF(NOT(ISNUMBER(Used_Interest_Rate)),IF(Used_Interest_Rate="",IF(Interest_Rate="","Choose your mortgage rate to see this",""),Used_Interest_Rate),""))</f>
        <v>Choose your mortgage amount to see this</v>
      </c>
    </row>
    <row r="61" customFormat="false" ht="15" hidden="false" customHeight="true" outlineLevel="0" collapsed="false">
      <c r="B61" s="56" t="s">
        <v>304</v>
      </c>
      <c r="C61" s="56" t="str">
        <f aca="false">IF(Home_Goal_Years="","Choose your years until you buy to see this",IF(NOT(ISNUMBER(Used_Interest_Rate)),IF(Used_Interest_Rate="",IF(Interest_Rate="","Choose your mortgage rate to see this",""),Used_Interest_Rate),""))</f>
        <v>Choose your years until you buy to see this</v>
      </c>
    </row>
    <row r="63" customFormat="false" ht="15" hidden="false" customHeight="true" outlineLevel="0" collapsed="false">
      <c r="B63" s="23" t="s">
        <v>372</v>
      </c>
    </row>
  </sheetData>
  <mergeCells count="10">
    <mergeCell ref="B6:E6"/>
    <mergeCell ref="B41:E41"/>
    <mergeCell ref="B42:E42"/>
    <mergeCell ref="B43:E43"/>
    <mergeCell ref="B44:E44"/>
    <mergeCell ref="B45:E45"/>
    <mergeCell ref="B46:E46"/>
    <mergeCell ref="B47:E47"/>
    <mergeCell ref="B48:E48"/>
    <mergeCell ref="B54:E54"/>
  </mergeCells>
  <dataValidations count="11">
    <dataValidation allowBlank="true" error="Please enter 1 to 30 · steps of 1." errorStyle="stop" errorTitle="Outside the allowed range" operator="between" prompt="Your own figure.  Allowed: 1 to 30 · steps of 1." promptTitle="Years until you buy (for the pla" showDropDown="false" showErrorMessage="true" showInputMessage="true" sqref="C18" type="whole">
      <formula1>1</formula1>
      <formula2>30</formula2>
    </dataValidation>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5%." errorStyle="stop" errorTitle="Outside the allowed range" operator="between" prompt="Unit: %. Allowed: 0% to 15%." promptTitle="Interest rate" showDropDown="false" showErrorMessage="true" showInputMessage="true" sqref="C8" type="decimal">
      <formula1>0</formula1>
      <formula2>0.15</formula2>
    </dataValidation>
    <dataValidation allowBlank="true" error="Please enter 0 to 40." errorStyle="stop" errorTitle="Outside the allowed range" operator="between" prompt="Unit: years. Allowed: 0 to 40." promptTitle="Term remaining" showDropDown="false" showErrorMessage="true" showInputMessage="true" sqref="C9" type="whole">
      <formula1>0</formula1>
      <formula2>40</formula2>
    </dataValidation>
    <dataValidation allowBlank="true" error="Please enter €0 to €100,000." errorStyle="stop" errorTitle="Outside the allowed range" operator="between" prompt="Unit: €. Allowed: €0 to €100,000." promptTitle="Monthly repayment" showDropDown="false" showErrorMessage="true" showInputMessage="true" sqref="C10" type="decimal">
      <formula1>0</formula1>
      <formula2>100000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11" type="date">
      <formula1>36526</formula1>
      <formula2>0</formula2>
    </dataValidation>
    <dataValidation allowBlank="true" error="Please enter €50,000 to €10,000,000 · steps of €1,000." errorStyle="stop" errorTitle="Outside the allowed range" operator="between" prompt="Your own figure. In the app it is pre-filled from Your finances / mortgage statement: balance.  Allowed: €50,000 to €10,000,000 · steps of €1,000." promptTitle="Mortgage amount" showDropDown="false" showErrorMessage="true" showInputMessage="true" sqref="C14" type="decimal">
      <formula1>50000</formula1>
      <formula2>10000000</formula2>
    </dataValidation>
    <dataValidation allowBlank="true" error="Please enter 1% to 8% · steps of 0.05%." errorStyle="stop" errorTitle="Outside the allowed range" operator="between" prompt="Your own mortgage rate: your statement shows it. Typing it is fine; no upload needed. A suggested rate and its source are shown beside this cell (Partner rates, Assumptions sheet). Allowed: 1% to 8% · steps of 0.05%" promptTitle="Interest rate" showDropDown="false" showErrorMessage="true" showInputMessage="true" sqref="C15" type="decimal">
      <formula1>0.01</formula1>
      <formula2>0.08</formula2>
    </dataValidation>
    <dataValidation allowBlank="true" error="Please enter 5 to 35 · steps of 1." errorStyle="stop" errorTitle="Outside the allowed range" operator="between" prompt="Your own figure. In the app it is pre-filled from Years left (25 if not given).  Allowed: 5 to 35 · steps of 1." promptTitle="Term" showDropDown="false" showErrorMessage="true" showInputMessage="true" sqref="C16" type="whole">
      <formula1>5</formula1>
      <formula2>35</formula2>
    </dataValidation>
    <dataValidation allowBlank="true" error="Please enter €0 to €100,000 · steps of €1." errorStyle="stop" errorTitle="Outside the allowed range" operator="between" prompt="Optional: leave blank for none.  Allowed: €0 to €100,000 · steps of €1." promptTitle="Your actual monthly repayment (o" showDropDown="false" showErrorMessage="true" showInputMessage="true" sqref="C17" type="decimal">
      <formula1>0</formula1>
      <formula2>100000</formula2>
    </dataValidation>
    <dataValidation allowBlank="true" error="Please enter -2% to 3% · steps of 0.25%." errorStyle="stop" errorTitle="Outside the allowed range" operator="between" prompt="Optional: leave blank for none.  Allowed: -2% to 3% · steps of 0.25%." promptTitle="What if: rates change by" showDropDown="false" showErrorMessage="true" showInputMessage="true" sqref="C19" type="decimal">
      <formula1>-0.02</formula1>
      <formula2>0.03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373</v>
      </c>
      <c r="E1" s="3" t="s">
        <v>374</v>
      </c>
    </row>
    <row r="2" customFormat="false" ht="15" hidden="false" customHeight="true" outlineLevel="0" collapsed="false">
      <c r="B2" s="25" t="s">
        <v>375</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376</v>
      </c>
    </row>
    <row r="5" customFormat="false" ht="15" hidden="false" customHeight="true" outlineLevel="0" collapsed="false">
      <c r="B5" s="15" t="s">
        <v>221</v>
      </c>
      <c r="C5" s="28" t="s">
        <v>222</v>
      </c>
      <c r="D5" s="28" t="s">
        <v>223</v>
      </c>
      <c r="E5" s="28" t="s">
        <v>224</v>
      </c>
      <c r="F5" s="29" t="s">
        <v>225</v>
      </c>
      <c r="G5" s="16"/>
    </row>
    <row r="6" customFormat="false" ht="15" hidden="false" customHeight="true" outlineLevel="0" collapsed="false">
      <c r="B6" s="9" t="s">
        <v>377</v>
      </c>
      <c r="C6" s="30"/>
      <c r="D6" s="31" t="s">
        <v>227</v>
      </c>
      <c r="E6" s="32" t="s">
        <v>378</v>
      </c>
      <c r="F6" s="33" t="n">
        <v>350000</v>
      </c>
      <c r="G6" s="34" t="str">
        <f aca="false">IF(ISBLANK(C6),IF(Fill_Example="Yes",F6,""),C6)</f>
        <v/>
      </c>
    </row>
    <row r="7" customFormat="false" ht="21.75" hidden="false" customHeight="true" outlineLevel="0" collapsed="false">
      <c r="B7" s="9" t="s">
        <v>379</v>
      </c>
      <c r="C7" s="38"/>
      <c r="D7" s="31" t="s">
        <v>238</v>
      </c>
      <c r="E7" s="32" t="str">
        <f aca="false">"Type 3 · your figure · Your own figure. Allowed: 10% to 30% · steps of 1% · the Central Bank "&amp;"minimum is "&amp;TEXT(Min_Deposit_Pct,"0%")&amp;" ("&amp;TEXT(LTV_Max,"0%")&amp;" LTV)"</f>
        <v>Type 3 · your figure · Your own figure. Allowed: 10% to 30% · steps of 1% · the Central Bank minimum is 10% (90% LTV)</v>
      </c>
      <c r="F7" s="40" t="n">
        <v>0.1</v>
      </c>
      <c r="G7" s="41" t="str">
        <f aca="false">IF(ISBLANK(C7),IF(Fill_Example="Yes",F7,""),C7)</f>
        <v/>
      </c>
    </row>
    <row r="8" customFormat="false" ht="21.75" hidden="false" customHeight="true" outlineLevel="0" collapsed="false">
      <c r="B8" s="9" t="s">
        <v>242</v>
      </c>
      <c r="C8" s="30"/>
      <c r="D8" s="31" t="s">
        <v>227</v>
      </c>
      <c r="E8" s="39" t="str">
        <f aca="false">"Type 2 · optional · Legal and survey fees (stamp duty is added for you). "&amp;IF(ISNUMBER(Suggest_Buying_Fees),"Suggested: "&amp;TEXT(Suggest_Buying_Fees,"€#,##0")&amp;" · "&amp;Suggest_Buying_Fees_Label&amp;". ","No suggestion. ")&amp;"Leave blank to count €0."&amp;" Allowed: €0 to €10,000 · steps of €100"</f>
        <v>Type 2 · optional · Legal and survey fees (stamp duty is added for you). No suggestion. Leave blank to count €0. Allowed: €0 to €10,000 · steps of €100</v>
      </c>
      <c r="F8" s="33" t="str">
        <f aca="false">IF(ISNUMBER(Suggest_Buying_Fees),Suggest_Buying_Fees,"")</f>
        <v/>
      </c>
      <c r="G8" s="34" t="n">
        <f aca="false">IF(ISBLANK(C8),IF(AND(Fill_Example="Yes",ISNUMBER(F8)),F8,0),C8)</f>
        <v>0</v>
      </c>
    </row>
    <row r="9" customFormat="false" ht="21.75" hidden="false" customHeight="true" outlineLevel="0" collapsed="false">
      <c r="B9" s="9" t="s">
        <v>380</v>
      </c>
      <c r="C9" s="30"/>
      <c r="D9" s="31" t="s">
        <v>227</v>
      </c>
      <c r="E9" s="32" t="s">
        <v>381</v>
      </c>
      <c r="F9" s="33" t="n">
        <v>12000</v>
      </c>
      <c r="G9" s="34" t="str">
        <f aca="false">IF(ISBLANK(C9),IF(Fill_Example="Yes",F9,""),C9)</f>
        <v/>
      </c>
    </row>
    <row r="10" customFormat="false" ht="15" hidden="false" customHeight="true" outlineLevel="0" collapsed="false">
      <c r="B10" s="9" t="s">
        <v>382</v>
      </c>
      <c r="C10" s="30"/>
      <c r="D10" s="31" t="s">
        <v>227</v>
      </c>
      <c r="E10" s="32" t="s">
        <v>383</v>
      </c>
      <c r="F10" s="33" t="n">
        <v>800</v>
      </c>
      <c r="G10" s="34" t="str">
        <f aca="false">IF(AND(ISNUMBER(C10),N(C10)&lt;50),"",IF(ISBLANK(C10),IF(Fill_Example="Yes",F10,""),C10))</f>
        <v/>
      </c>
    </row>
    <row r="11" customFormat="false" ht="15" hidden="false" customHeight="true" outlineLevel="0" collapsed="false">
      <c r="B11" s="9" t="s">
        <v>384</v>
      </c>
      <c r="C11" s="30"/>
      <c r="D11" s="31" t="s">
        <v>227</v>
      </c>
      <c r="E11" s="32" t="s">
        <v>385</v>
      </c>
      <c r="F11" s="33" t="n">
        <v>0</v>
      </c>
      <c r="G11" s="34" t="n">
        <f aca="false">IF(ISBLANK(C11),F11,C11)</f>
        <v>0</v>
      </c>
    </row>
    <row r="13" customFormat="false" ht="15" hidden="false" customHeight="true" outlineLevel="0" collapsed="false">
      <c r="B13" s="15" t="s">
        <v>247</v>
      </c>
      <c r="C13" s="28" t="s">
        <v>248</v>
      </c>
      <c r="D13" s="28" t="s">
        <v>249</v>
      </c>
      <c r="E13" s="28" t="s">
        <v>250</v>
      </c>
      <c r="F13" s="16"/>
      <c r="G13" s="16"/>
    </row>
    <row r="14" customFormat="false" ht="23.25" hidden="false" customHeight="true" outlineLevel="0" collapsed="false">
      <c r="B14" s="25" t="s">
        <v>386</v>
      </c>
      <c r="C14" s="66" t="str">
        <f aca="false">IF(Need_1&lt;&gt;"",Need_1,IF(Still_To_Save=0,0,ROUNDUP(Still_To_Save/(Monthly_Saving+Extra_Saving),0)))</f>
        <v>Choose your home price to see this</v>
      </c>
      <c r="D14" s="67" t="str">
        <f aca="false">IF(Need_1&lt;&gt;"",Need_1,IF(Months_To_Deposit=0,"You have your deposit",IF(INT(Months_To_Deposit/12)=0,MOD(Months_To_Deposit,12)&amp;IF(MOD(Months_To_Deposit,12)=1," month"," months"),INT(Months_To_Deposit/12)&amp;IF(INT(Months_To_Deposit/12)=1," year"," years")&amp;IF(MOD(Months_To_Deposit,12)=0,""," "&amp;MOD(Months_To_Deposit,12)&amp;IF(MOD(Months_To_Deposit,12)=1," month"," months")))))</f>
        <v>Choose your home price to see this</v>
      </c>
      <c r="E14" s="46" t="s">
        <v>387</v>
      </c>
    </row>
    <row r="15" customFormat="false" ht="17.25" hidden="false" customHeight="true" outlineLevel="0" collapsed="false">
      <c r="B15" s="25" t="s">
        <v>388</v>
      </c>
      <c r="C15" s="45" t="str">
        <f aca="false">IF(Need_2&lt;&gt;"",Need_2,Deposit_Needed+Stamp_Duty+Buying_Fees)</f>
        <v>Choose your home price to see this</v>
      </c>
      <c r="D15" s="31" t="s">
        <v>227</v>
      </c>
      <c r="E15" s="46" t="s">
        <v>389</v>
      </c>
    </row>
    <row r="16" customFormat="false" ht="17.25" hidden="false" customHeight="true" outlineLevel="0" collapsed="false">
      <c r="B16" s="25" t="s">
        <v>390</v>
      </c>
      <c r="C16" s="45" t="str">
        <f aca="false">IF(Need_3&lt;&gt;"",Need_3,MAX(0,Total_Needed-Saved))</f>
        <v>Choose your home price to see this</v>
      </c>
      <c r="D16" s="31" t="s">
        <v>227</v>
      </c>
      <c r="E16" s="46" t="s">
        <v>391</v>
      </c>
    </row>
    <row r="17" customFormat="false" ht="15" hidden="false" customHeight="true" outlineLevel="0" collapsed="false">
      <c r="B17" s="9" t="s">
        <v>392</v>
      </c>
      <c r="C17" s="47" t="str">
        <f aca="false">IF(Need_4&lt;&gt;"",Need_4,Home_Price*Deposit_Pct)</f>
        <v>Choose your home price to see this</v>
      </c>
      <c r="D17" s="31" t="s">
        <v>227</v>
      </c>
      <c r="E17" s="46" t="s">
        <v>393</v>
      </c>
    </row>
    <row r="18" customFormat="false" ht="21.75" hidden="false" customHeight="true" outlineLevel="0" collapsed="false">
      <c r="B18" s="9" t="s">
        <v>394</v>
      </c>
      <c r="C18" s="47" t="str">
        <f aca="false">IF(Need_5&lt;&gt;"",Need_5,SD_Rate_1*MIN(Home_Price,SD_Band_1)+SD_Rate_2*MAX(0,MIN(Home_Price,SD_Band_2)-SD_Band_1)+SD_Rate_3*MAX(0,Home_Price-SD_Band_2))</f>
        <v>Choose your home price to see this</v>
      </c>
      <c r="D18" s="31" t="s">
        <v>227</v>
      </c>
      <c r="E18" s="46" t="s">
        <v>258</v>
      </c>
    </row>
    <row r="20" customFormat="false" ht="15" hidden="false" customHeight="true" outlineLevel="0" collapsed="false">
      <c r="B20" s="15" t="s">
        <v>280</v>
      </c>
      <c r="C20" s="16"/>
      <c r="D20" s="16"/>
      <c r="E20" s="16"/>
      <c r="F20" s="16"/>
      <c r="G20" s="16"/>
    </row>
    <row r="21" customFormat="false" ht="13.5" hidden="false" customHeight="true" outlineLevel="0" collapsed="false">
      <c r="B21" s="50" t="s">
        <v>395</v>
      </c>
      <c r="C21" s="50"/>
      <c r="D21" s="50"/>
      <c r="E21" s="50"/>
    </row>
    <row r="22" customFormat="false" ht="13.5" hidden="false" customHeight="true" outlineLevel="0" collapsed="false">
      <c r="B22" s="50" t="s">
        <v>396</v>
      </c>
      <c r="C22" s="50"/>
      <c r="D22" s="50"/>
      <c r="E22" s="50"/>
    </row>
    <row r="23" customFormat="false" ht="13.5" hidden="false" customHeight="true" outlineLevel="0" collapsed="false">
      <c r="B23" s="51" t="s">
        <v>283</v>
      </c>
      <c r="C23" s="51"/>
      <c r="D23" s="51"/>
      <c r="E23" s="51"/>
    </row>
    <row r="24" customFormat="false" ht="13.5" hidden="false" customHeight="true" outlineLevel="0" collapsed="false">
      <c r="B24" s="50" t="str">
        <f aca="false">"• Deposit % "&amp;"starts at "&amp;TEXT(Min_Deposit_Pct,"0%")&amp;", the Central Bank minimum ("&amp;TEXT(LTV_Max,"0%")&amp;" loan-to-value)."</f>
        <v>• Deposit % starts at 10%, the Central Bank minimum (90% loan-to-value).</v>
      </c>
      <c r="C24" s="50"/>
      <c r="D24" s="50"/>
      <c r="E24" s="50"/>
    </row>
    <row r="25" customFormat="false" ht="13.5" hidden="false" customHeight="true" outlineLevel="0" collapsed="false">
      <c r="B25" s="50" t="s">
        <v>397</v>
      </c>
      <c r="C25" s="50"/>
      <c r="D25" s="50"/>
      <c r="E25" s="50"/>
    </row>
    <row r="26" customFormat="false" ht="13.5" hidden="false" customHeight="true" outlineLevel="0" collapsed="false">
      <c r="B26" s="50" t="s">
        <v>398</v>
      </c>
      <c r="C26" s="50"/>
      <c r="D26" s="50"/>
      <c r="E26" s="50"/>
    </row>
    <row r="28" customFormat="false" ht="15" hidden="false" customHeight="true" outlineLevel="0" collapsed="false">
      <c r="B28" s="15" t="s">
        <v>288</v>
      </c>
      <c r="C28" s="16"/>
      <c r="D28" s="16"/>
      <c r="E28" s="16"/>
      <c r="F28" s="16"/>
      <c r="G28" s="16"/>
    </row>
    <row r="29" customFormat="false" ht="15" hidden="false" customHeight="true" outlineLevel="0" collapsed="false">
      <c r="B29" s="9" t="s">
        <v>289</v>
      </c>
      <c r="C29" s="52" t="str">
        <f aca="false">"Home deposit"</f>
        <v>Home deposit</v>
      </c>
      <c r="E29" s="53" t="s">
        <v>399</v>
      </c>
    </row>
    <row r="30" customFormat="false" ht="15" hidden="false" customHeight="true" outlineLevel="0" collapsed="false">
      <c r="B30" s="9" t="s">
        <v>400</v>
      </c>
      <c r="C30" s="54" t="str">
        <f aca="false">IF(Need_2&lt;&gt;"",Need_2,ROUND(Total_Needed,0))</f>
        <v>Choose your home price to see this</v>
      </c>
      <c r="E30" s="53" t="s">
        <v>401</v>
      </c>
    </row>
    <row r="31" customFormat="false" ht="15" hidden="false" customHeight="true" outlineLevel="0" collapsed="false">
      <c r="B31" s="9" t="s">
        <v>293</v>
      </c>
      <c r="C31" s="54" t="str">
        <f aca="false">IF(Need_6&lt;&gt;"",Need_6,Saved)</f>
        <v>Choose your saved so far to see this</v>
      </c>
      <c r="E31" s="53" t="s">
        <v>402</v>
      </c>
    </row>
    <row r="32" customFormat="false" ht="15" hidden="false" customHeight="true" outlineLevel="0" collapsed="false">
      <c r="B32" s="9" t="s">
        <v>295</v>
      </c>
      <c r="C32" s="55" t="str">
        <f aca="false">IF(Need_1&lt;&gt;"",Need_1,MAX(1,ROUNDUP(Months_To_Deposit/12,0)))</f>
        <v>Choose your home price to see this</v>
      </c>
      <c r="E32" s="53" t="s">
        <v>403</v>
      </c>
    </row>
    <row r="34" customFormat="false" ht="15" hidden="false" customHeight="true" outlineLevel="0" collapsed="false">
      <c r="B34" s="15" t="s">
        <v>297</v>
      </c>
      <c r="C34" s="16"/>
      <c r="D34" s="16"/>
      <c r="E34" s="16"/>
      <c r="F34" s="16"/>
      <c r="G34" s="16"/>
    </row>
    <row r="35" customFormat="false" ht="15" hidden="false" customHeight="true" outlineLevel="0" collapsed="false">
      <c r="B35" s="56" t="s">
        <v>404</v>
      </c>
      <c r="C35" s="56" t="str">
        <f aca="false">IF(Home_Price="","Choose your home price to see this",IF(Deposit_Pct="","Choose your deposit % to see this",IF(Buying_Fees="","Choose your buying fees to see this",IF(Saved="","Choose your saved so far to see this",IF(Monthly_Saving="","Choose your monthly saving to see this","")))))</f>
        <v>Choose your home price to see this</v>
      </c>
    </row>
    <row r="36" customFormat="false" ht="15" hidden="false" customHeight="true" outlineLevel="0" collapsed="false">
      <c r="B36" s="56" t="s">
        <v>405</v>
      </c>
      <c r="C36" s="56" t="str">
        <f aca="false">IF(Home_Price="","Choose your home price to see this",IF(Deposit_Pct="","Choose your deposit % to see this",IF(Buying_Fees="","Choose your buying fees to see this","")))</f>
        <v>Choose your home price to see this</v>
      </c>
    </row>
    <row r="37" customFormat="false" ht="15" hidden="false" customHeight="true" outlineLevel="0" collapsed="false">
      <c r="B37" s="56" t="s">
        <v>406</v>
      </c>
      <c r="C37" s="56" t="str">
        <f aca="false">IF(Home_Price="","Choose your home price to see this",IF(Deposit_Pct="","Choose your deposit % to see this",IF(Buying_Fees="","Choose your buying fees to see this",IF(Saved="","Choose your saved so far to see this",""))))</f>
        <v>Choose your home price to see this</v>
      </c>
    </row>
    <row r="38" customFormat="false" ht="15" hidden="false" customHeight="true" outlineLevel="0" collapsed="false">
      <c r="B38" s="56" t="s">
        <v>407</v>
      </c>
      <c r="C38" s="56" t="str">
        <f aca="false">IF(Home_Price="","Choose your home price to see this",IF(Deposit_Pct="","Choose your deposit % to see this",""))</f>
        <v>Choose your home price to see this</v>
      </c>
    </row>
    <row r="39" customFormat="false" ht="15" hidden="false" customHeight="true" outlineLevel="0" collapsed="false">
      <c r="B39" s="56" t="s">
        <v>408</v>
      </c>
      <c r="C39" s="56" t="str">
        <f aca="false">IF(Home_Price="","Choose your home price to see this","")</f>
        <v>Choose your home price to see this</v>
      </c>
    </row>
    <row r="40" customFormat="false" ht="15" hidden="false" customHeight="true" outlineLevel="0" collapsed="false">
      <c r="B40" s="56" t="s">
        <v>409</v>
      </c>
      <c r="C40" s="56" t="str">
        <f aca="false">IF(Saved="","Choose your saved so far to see this","")</f>
        <v>Choose your saved so far to see this</v>
      </c>
    </row>
    <row r="42" customFormat="false" ht="15" hidden="false" customHeight="true" outlineLevel="0" collapsed="false">
      <c r="B42" s="23" t="s">
        <v>305</v>
      </c>
    </row>
  </sheetData>
  <mergeCells count="6">
    <mergeCell ref="B21:E21"/>
    <mergeCell ref="B22:E22"/>
    <mergeCell ref="B23:E23"/>
    <mergeCell ref="B24:E24"/>
    <mergeCell ref="B25:E25"/>
    <mergeCell ref="B26:E26"/>
  </mergeCells>
  <dataValidations count="6">
    <dataValidation allowBlank="true" error="Please enter €0 to €10,000 · steps of €100." errorStyle="stop" errorTitle="Outside the allowed range" operator="between" prompt="Optional: your own legal and survey fees. No published figure, so no suggestion unless a partner sets one. Leave blank to count €0. Allowed: €0 to €10,000 · steps of €100" promptTitle="Legal and other buying fees" showDropDown="false" showErrorMessage="true" showInputMessage="true" sqref="C8" type="decimal">
      <formula1>0</formula1>
      <formula2>10000</formula2>
    </dataValidation>
    <dataValidation allowBlank="true" error="Please enter €100,000 to €10,000,000 · steps of €5,000." errorStyle="stop" errorTitle="Outside the allowed range" operator="between" prompt="Your own figure.  Allowed: €100,000 to €10,000,000 · steps of €5,000." promptTitle="Home price" showDropDown="false" showErrorMessage="true" showInputMessage="true" sqref="C6" type="decimal">
      <formula1>100000</formula1>
      <formula2>10000000</formula2>
    </dataValidation>
    <dataValidation allowBlank="true" error="Please enter 10% to 30% · steps of 1%." errorStyle="stop" errorTitle="Outside the allowed range" operator="between" prompt="Your own figure.  Allowed: 10% to 30% · steps of 1%." promptTitle="Deposit needed" showDropDown="false" showErrorMessage="true" showInputMessage="true" sqref="C7" type="decimal">
      <formula1>0.1</formula1>
      <formula2>0.3</formula2>
    </dataValidation>
    <dataValidation allowBlank="true" error="Please enter €0 to €2,000,000 · steps of €500." errorStyle="stop" errorTitle="Outside the allowed range" operator="between" prompt="Your own figure. In the app it is pre-filled from Plan: home goal's amount saved.  Allowed: €0 to €2,000,000 · steps of €500." promptTitle="Saved so far" showDropDown="false" showErrorMessage="true" showInputMessage="true" sqref="C9" type="decimal">
      <formula1>0</formula1>
      <formula2>2000000</formula2>
    </dataValidation>
    <dataValidation allowBlank="true" error="Please enter €50 to €50,000 · steps of €50." errorStyle="stop" errorTitle="Outside the allowed range" operator="between" prompt="Your own figure.  Allowed: €50 to €50,000 · steps of €50." promptTitle="Monthly saving" showDropDown="false" showErrorMessage="true" showInputMessage="true" sqref="C10" type="decimal">
      <formula1>50</formula1>
      <formula2>50000</formula2>
    </dataValidation>
    <dataValidation allowBlank="true" error="Please enter €0 to €15,000 · steps of €50." errorStyle="stop" errorTitle="Outside the allowed range" operator="between" prompt="Optional: leave blank for none.  Allowed: €0 to €15,000 · steps of €50." promptTitle="What if: save extra each month" showDropDown="false" showErrorMessage="true" showInputMessage="true" sqref="C11" type="decimal">
      <formula1>0</formula1>
      <formula2>15000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410</v>
      </c>
      <c r="E1" s="3" t="s">
        <v>411</v>
      </c>
    </row>
    <row r="2" customFormat="false" ht="15" hidden="false" customHeight="true" outlineLevel="0" collapsed="false">
      <c r="B2" s="25" t="s">
        <v>412</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413</v>
      </c>
    </row>
    <row r="5" customFormat="false" ht="15" hidden="false" customHeight="true" outlineLevel="0" collapsed="false">
      <c r="B5" s="15" t="s">
        <v>310</v>
      </c>
      <c r="C5" s="16"/>
      <c r="D5" s="16"/>
      <c r="E5" s="16"/>
      <c r="F5" s="16"/>
      <c r="G5" s="16"/>
    </row>
    <row r="6" customFormat="false" ht="27.75" hidden="false" customHeight="true" outlineLevel="0" collapsed="false">
      <c r="B6" s="57" t="s">
        <v>311</v>
      </c>
      <c r="C6" s="57"/>
      <c r="D6" s="57"/>
      <c r="E6" s="57"/>
    </row>
    <row r="7" customFormat="false" ht="15" hidden="false" customHeight="true" outlineLevel="0" collapsed="false">
      <c r="B7" s="9" t="s">
        <v>312</v>
      </c>
      <c r="C7" s="58"/>
      <c r="D7" s="31" t="s">
        <v>227</v>
      </c>
      <c r="E7" s="32" t="s">
        <v>313</v>
      </c>
      <c r="G7" s="56" t="s">
        <v>314</v>
      </c>
    </row>
    <row r="8" customFormat="false" ht="15" hidden="false" customHeight="true" outlineLevel="0" collapsed="false">
      <c r="B8" s="9" t="s">
        <v>315</v>
      </c>
      <c r="C8" s="59"/>
      <c r="D8" s="31" t="s">
        <v>238</v>
      </c>
      <c r="E8" s="32" t="s">
        <v>316</v>
      </c>
      <c r="G8" s="56" t="s">
        <v>314</v>
      </c>
    </row>
    <row r="9" customFormat="false" ht="15" hidden="false" customHeight="true" outlineLevel="0" collapsed="false">
      <c r="B9" s="9" t="s">
        <v>317</v>
      </c>
      <c r="C9" s="60"/>
      <c r="D9" s="31" t="s">
        <v>240</v>
      </c>
      <c r="E9" s="32" t="s">
        <v>318</v>
      </c>
      <c r="G9" s="56" t="s">
        <v>314</v>
      </c>
    </row>
    <row r="10" customFormat="false" ht="15" hidden="false" customHeight="true" outlineLevel="0" collapsed="false">
      <c r="B10" s="9" t="s">
        <v>319</v>
      </c>
      <c r="C10" s="58"/>
      <c r="D10" s="31" t="s">
        <v>227</v>
      </c>
      <c r="E10" s="32" t="s">
        <v>320</v>
      </c>
      <c r="G10" s="56" t="s">
        <v>314</v>
      </c>
    </row>
    <row r="11" customFormat="false" ht="15" hidden="false" customHeight="true" outlineLevel="0" collapsed="false">
      <c r="B11" s="9" t="s">
        <v>321</v>
      </c>
      <c r="C11" s="61"/>
      <c r="D11" s="31" t="s">
        <v>322</v>
      </c>
      <c r="E11" s="32" t="s">
        <v>323</v>
      </c>
      <c r="G11" s="56" t="s">
        <v>314</v>
      </c>
    </row>
    <row r="13" customFormat="false" ht="15" hidden="false" customHeight="true" outlineLevel="0" collapsed="false">
      <c r="B13" s="15" t="s">
        <v>324</v>
      </c>
      <c r="C13" s="28" t="s">
        <v>222</v>
      </c>
      <c r="D13" s="28" t="s">
        <v>223</v>
      </c>
      <c r="E13" s="28" t="s">
        <v>224</v>
      </c>
      <c r="F13" s="29" t="s">
        <v>225</v>
      </c>
      <c r="G13" s="16"/>
    </row>
    <row r="14" customFormat="false" ht="21.75" hidden="false" customHeight="true" outlineLevel="0" collapsed="false">
      <c r="B14" s="9" t="s">
        <v>414</v>
      </c>
      <c r="C14" s="30"/>
      <c r="D14" s="31" t="s">
        <v>227</v>
      </c>
      <c r="E14" s="32" t="s">
        <v>415</v>
      </c>
      <c r="F14" s="33" t="n">
        <v>250000</v>
      </c>
      <c r="G14" s="34" t="str">
        <f aca="false">IF(ISBLANK(C14),IF(Fill_Example="Yes",F14,""),C14)</f>
        <v/>
      </c>
    </row>
    <row r="15" customFormat="false" ht="33" hidden="false" customHeight="true" outlineLevel="0" collapsed="false">
      <c r="B15" s="9" t="s">
        <v>315</v>
      </c>
      <c r="C15" s="38"/>
      <c r="D15" s="31" t="s">
        <v>238</v>
      </c>
      <c r="E15" s="39" t="str">
        <f aca="false">"Type 2 · your figure · Your own rate (your statement shows it; typing it is fine, no upload needed). "&amp;IF(ISNUMBER(Suggest_Mortgage_Rate),"Suggested: "&amp;TEXT(Suggest_Mortgage_Rate,"0.00%")&amp;" · "&amp;Suggest_Mortgage_Rate_Label&amp;". ","No suggestion. ")&amp;"Enter your own figure."&amp;" In the app it is pre-filled from Your finances / statement: rate. Enter your own figure. Allowed: 1% to 8% · steps of 0.05%"</f>
        <v>Type 2 · your figure · Your own rate (your statement shows it; typing it is fine, no upload needed). Suggested: 3.48% · Central Bank of Ireland: average rate on new mortgages, Jul 2026. Enter your own figure. In the app it is pre-filled from Your finances / statement: rate. Enter your own figure. Allowed: 1% to 8% · steps of 0.05%</v>
      </c>
      <c r="F15" s="40" t="n">
        <f aca="false">IF(ISNUMBER(Suggest_Mortgage_Rate),Suggest_Mortgage_Rate,"")</f>
        <v>0.0348</v>
      </c>
      <c r="G15" s="41" t="str">
        <f aca="false">IF(ISBLANK(C15),IF(Fill_Example="Yes",F15,""),C15)</f>
        <v/>
      </c>
    </row>
    <row r="16" customFormat="false" ht="21.75" hidden="false" customHeight="true" outlineLevel="0" collapsed="false">
      <c r="B16" s="9" t="s">
        <v>416</v>
      </c>
      <c r="C16" s="42"/>
      <c r="D16" s="31" t="s">
        <v>240</v>
      </c>
      <c r="E16" s="32" t="s">
        <v>417</v>
      </c>
      <c r="F16" s="43" t="n">
        <v>25</v>
      </c>
      <c r="G16" s="44" t="str">
        <f aca="false">IF(AND(ISNUMBER(C16),N(C16)&lt;3),"",IF(ISBLANK(C16),IF(Fill_Example="Yes",F16,""),C16))</f>
        <v/>
      </c>
    </row>
    <row r="17" customFormat="false" ht="15" hidden="false" customHeight="true" outlineLevel="0" collapsed="false">
      <c r="B17" s="9" t="s">
        <v>418</v>
      </c>
      <c r="C17" s="30"/>
      <c r="D17" s="31" t="s">
        <v>227</v>
      </c>
      <c r="E17" s="32" t="s">
        <v>419</v>
      </c>
      <c r="F17" s="33" t="n">
        <v>200</v>
      </c>
      <c r="G17" s="34" t="str">
        <f aca="false">IF(ISBLANK(C17),IF(Fill_Example="Yes",F17,""),C17)</f>
        <v/>
      </c>
    </row>
    <row r="18" customFormat="false" ht="15" hidden="false" customHeight="true" outlineLevel="0" collapsed="false">
      <c r="B18" s="9" t="s">
        <v>329</v>
      </c>
      <c r="C18" s="30"/>
      <c r="D18" s="31" t="s">
        <v>227</v>
      </c>
      <c r="E18" s="32" t="s">
        <v>330</v>
      </c>
      <c r="F18" s="33" t="n">
        <v>0</v>
      </c>
      <c r="G18" s="34" t="n">
        <f aca="false">IF(ISBLANK(C18),F18,C18)</f>
        <v>0</v>
      </c>
    </row>
    <row r="20" customFormat="false" ht="15" hidden="false" customHeight="true" outlineLevel="0" collapsed="false">
      <c r="B20" s="15" t="s">
        <v>333</v>
      </c>
      <c r="C20" s="16"/>
      <c r="D20" s="16"/>
      <c r="E20" s="16"/>
      <c r="F20" s="16"/>
      <c r="G20" s="16"/>
    </row>
    <row r="21" customFormat="false" ht="15" hidden="false" customHeight="true" outlineLevel="0" collapsed="false">
      <c r="B21" s="9" t="s">
        <v>414</v>
      </c>
      <c r="C21" s="62" t="str">
        <f aca="false">IF(ISBLANK(Stmt_Balance),Mortgage_Balance,Stmt_Balance)</f>
        <v/>
      </c>
      <c r="D21" s="63" t="str">
        <f aca="false">IF(ISBLANK(Stmt_Balance),"Your figure","From your statement")</f>
        <v>Your figure</v>
      </c>
      <c r="E21" s="53" t="s">
        <v>420</v>
      </c>
    </row>
    <row r="22" customFormat="false" ht="15" hidden="false" customHeight="true" outlineLevel="0" collapsed="false">
      <c r="B22" s="9" t="s">
        <v>315</v>
      </c>
      <c r="C22" s="64" t="str">
        <f aca="false">IF(ISBLANK(Stmt_Rate),Interest_Rate,Stmt_Rate)</f>
        <v/>
      </c>
      <c r="D22" s="63" t="str">
        <f aca="false">IF(ISBLANK(Stmt_Rate),"Your figure","From your statement")</f>
        <v>Your figure</v>
      </c>
      <c r="E22" s="53" t="s">
        <v>335</v>
      </c>
    </row>
    <row r="23" customFormat="false" ht="15" hidden="false" customHeight="true" outlineLevel="0" collapsed="false">
      <c r="B23" s="9" t="s">
        <v>416</v>
      </c>
      <c r="C23" s="65" t="str">
        <f aca="false">IF(ISBLANK(Stmt_Term),Years_Left,Stmt_Term)</f>
        <v/>
      </c>
      <c r="D23" s="63" t="str">
        <f aca="false">IF(ISBLANK(Stmt_Term),"Your figure","From your statement")</f>
        <v>Your figure</v>
      </c>
      <c r="E23" s="53" t="s">
        <v>421</v>
      </c>
    </row>
    <row r="24" customFormat="false" ht="15" hidden="false" customHeight="true" outlineLevel="0" collapsed="false">
      <c r="B24" s="9" t="s">
        <v>337</v>
      </c>
      <c r="C24" s="62" t="n">
        <f aca="false">IF(ISBLANK(Stmt_Repayment),Actual_Repayment,Stmt_Repayment)</f>
        <v>0</v>
      </c>
      <c r="D24" s="63" t="str">
        <f aca="false">IF(ISBLANK(Stmt_Repayment),"Your figure","From your statement")</f>
        <v>Your figure</v>
      </c>
      <c r="E24" s="53" t="s">
        <v>338</v>
      </c>
    </row>
    <row r="25" customFormat="false" ht="21.75" hidden="false" customHeight="true" outlineLevel="0" collapsed="false">
      <c r="B25" s="9" t="s">
        <v>339</v>
      </c>
      <c r="C25" s="49" t="str">
        <f aca="true">IF(ISBLANK(Stmt_Statement_Date),"",IF(TODAY()-Stmt_Statement_Date&gt;Statement_Max_Age_Days,"Needs a look: statement is more than 12 months old","Up to date"))</f>
        <v/>
      </c>
      <c r="D25" s="31"/>
      <c r="E25" s="46" t="s">
        <v>340</v>
      </c>
    </row>
    <row r="27" customFormat="false" ht="15" hidden="false" customHeight="true" outlineLevel="0" collapsed="false">
      <c r="B27" s="15" t="s">
        <v>247</v>
      </c>
      <c r="C27" s="28" t="s">
        <v>248</v>
      </c>
      <c r="D27" s="28" t="s">
        <v>249</v>
      </c>
      <c r="E27" s="28" t="s">
        <v>250</v>
      </c>
      <c r="F27" s="16"/>
      <c r="G27" s="16"/>
    </row>
    <row r="28" customFormat="false" ht="23.25" hidden="false" customHeight="true" outlineLevel="0" collapsed="false">
      <c r="B28" s="25" t="s">
        <v>422</v>
      </c>
      <c r="C28" s="66" t="str">
        <f aca="false">IF(Need_1&lt;&gt;"",Need_1,IF(OR(Months_Now="Never",Months_With_Extra="Never"),"—",Months_Now-Months_With_Extra))</f>
        <v>Choose your extra each month to see this</v>
      </c>
      <c r="D28" s="67" t="str">
        <f aca="false">IF(Need_1&lt;&gt;"",Need_1,IF(Months_Sooner="—","—",IF(Months_Sooner=0,"No change",IF(INT(Months_Sooner/12)=0,MOD(Months_Sooner,12)&amp;IF(MOD(Months_Sooner,12)=1," month"," months"),INT(Months_Sooner/12)&amp;IF(INT(Months_Sooner/12)=1," year"," years")&amp;IF(MOD(Months_Sooner,12)=0,""," "&amp;MOD(Months_Sooner,12)&amp;IF(MOD(Months_Sooner,12)=1," month"," months"))))))</f>
        <v>Choose your extra each month to see this</v>
      </c>
      <c r="E28" s="46" t="s">
        <v>423</v>
      </c>
    </row>
    <row r="29" customFormat="false" ht="17.25" hidden="false" customHeight="true" outlineLevel="0" collapsed="false">
      <c r="B29" s="25" t="s">
        <v>424</v>
      </c>
      <c r="C29" s="45" t="str">
        <f aca="false">IF(Need_1&lt;&gt;"",Need_1,IF(OR(Months_Now="Never",Months_With_Extra="Never"),"—",Interest_Now-Interest_With_Extra))</f>
        <v>Choose your extra each month to see this</v>
      </c>
      <c r="D29" s="31" t="s">
        <v>227</v>
      </c>
      <c r="E29" s="46" t="s">
        <v>425</v>
      </c>
    </row>
    <row r="30" customFormat="false" ht="23.25" hidden="false" customHeight="true" outlineLevel="0" collapsed="false">
      <c r="B30" s="9" t="s">
        <v>426</v>
      </c>
      <c r="C30" s="70" t="str">
        <f aca="false">IF(Need_2&lt;&gt;"",Need_2,IF(Repayment_Now&lt;=Used_Mortgage_Balance*Monthly_Rate,"Never",ROUNDUP(ROUND(NPER(Monthly_Rate,-Repayment_Now,Used_Mortgage_Balance),6),0)))</f>
        <v>Choose your mortgage balance to see this</v>
      </c>
      <c r="D30" s="71" t="str">
        <f aca="false">IF(Need_2&lt;&gt;"",Need_2,IF(Months_Now="Never","Not at this repayment",IF(Months_Now&gt;Cap_Months,"Over 100 years",IF(INT(Months_Now/12)=0,MOD(Months_Now,12)&amp;IF(MOD(Months_Now,12)=1," month"," months"),INT(Months_Now/12)&amp;IF(INT(Months_Now/12)=1," year"," years")&amp;IF(MOD(Months_Now,12)=0,""," "&amp;MOD(Months_Now,12)&amp;IF(MOD(Months_Now,12)=1," month"," months"))))))</f>
        <v>Choose your mortgage balance to see this</v>
      </c>
      <c r="E30" s="46" t="s">
        <v>427</v>
      </c>
    </row>
    <row r="31" customFormat="false" ht="23.25" hidden="false" customHeight="true" outlineLevel="0" collapsed="false">
      <c r="B31" s="9" t="s">
        <v>428</v>
      </c>
      <c r="C31" s="70" t="str">
        <f aca="false">IF(Need_1&lt;&gt;"",Need_1,IF(Repayment_With_Extra&lt;=Used_Mortgage_Balance*Monthly_Rate,"Never",ROUNDUP(ROUND(NPER(Monthly_Rate,-Repayment_With_Extra,Used_Mortgage_Balance),6),0)))</f>
        <v>Choose your extra each month to see this</v>
      </c>
      <c r="D31" s="71" t="str">
        <f aca="false">IF(Need_1&lt;&gt;"",Need_1,IF(Months_With_Extra="Never","—",IF(Months_With_Extra&gt;Cap_Months,"Over 100 years",IF(INT(Months_With_Extra/12)=0,MOD(Months_With_Extra,12)&amp;IF(MOD(Months_With_Extra,12)=1," month"," months"),INT(Months_With_Extra/12)&amp;IF(INT(Months_With_Extra/12)=1," year"," years")&amp;IF(MOD(Months_With_Extra,12)=0,""," "&amp;MOD(Months_With_Extra,12)&amp;IF(MOD(Months_With_Extra,12)=1," month"," months"))))))</f>
        <v>Choose your extra each month to see this</v>
      </c>
      <c r="E31" s="46" t="s">
        <v>429</v>
      </c>
    </row>
    <row r="32" customFormat="false" ht="15" hidden="false" customHeight="true" outlineLevel="0" collapsed="false">
      <c r="B32" s="9" t="s">
        <v>348</v>
      </c>
      <c r="C32" s="68" t="str">
        <f aca="false">IF(Need_3&lt;&gt;"",Need_3,Used_Interest_Rate/12)</f>
        <v>Choose your mortgage rate to see this</v>
      </c>
      <c r="D32" s="31"/>
      <c r="E32" s="46" t="s">
        <v>349</v>
      </c>
    </row>
    <row r="33" customFormat="false" ht="15" hidden="false" customHeight="true" outlineLevel="0" collapsed="false">
      <c r="B33" s="9" t="s">
        <v>430</v>
      </c>
      <c r="C33" s="47" t="str">
        <f aca="false">IF(Need_2&lt;&gt;"",Need_2,IF(Used_Actual_Repayment&gt;0,Used_Actual_Repayment,PMT(Monthly_Rate,Used_Years_Left*12,-Used_Mortgage_Balance)))</f>
        <v>Choose your mortgage balance to see this</v>
      </c>
      <c r="D33" s="31" t="s">
        <v>227</v>
      </c>
      <c r="E33" s="46" t="s">
        <v>431</v>
      </c>
    </row>
    <row r="34" customFormat="false" ht="15" hidden="false" customHeight="true" outlineLevel="0" collapsed="false">
      <c r="B34" s="9" t="s">
        <v>432</v>
      </c>
      <c r="C34" s="47" t="str">
        <f aca="false">IF(Need_1&lt;&gt;"",Need_1,Repayment_Now+Extra_Payment)</f>
        <v>Choose your extra each month to see this</v>
      </c>
      <c r="D34" s="31" t="s">
        <v>227</v>
      </c>
      <c r="E34" s="46" t="s">
        <v>433</v>
      </c>
    </row>
    <row r="35" customFormat="false" ht="21.75" hidden="false" customHeight="true" outlineLevel="0" collapsed="false">
      <c r="B35" s="9" t="s">
        <v>434</v>
      </c>
      <c r="C35" s="47" t="str">
        <f aca="false">IF(Need_2&lt;&gt;"",Need_2,IF(Months_Now="Never","—",-FV(Monthly_Rate,Months_Now-1,-Repayment_Now,Used_Mortgage_Balance)*(1+Monthly_Rate)))</f>
        <v>Choose your mortgage balance to see this</v>
      </c>
      <c r="D35" s="31" t="s">
        <v>227</v>
      </c>
      <c r="E35" s="46" t="s">
        <v>435</v>
      </c>
    </row>
    <row r="36" customFormat="false" ht="21.75" hidden="false" customHeight="true" outlineLevel="0" collapsed="false">
      <c r="B36" s="9" t="s">
        <v>436</v>
      </c>
      <c r="C36" s="47" t="str">
        <f aca="false">IF(Need_1&lt;&gt;"",Need_1,IF(Months_With_Extra="Never","—",-FV(Monthly_Rate,Months_With_Extra-1,-Repayment_With_Extra,Used_Mortgage_Balance)*(1+Monthly_Rate)))</f>
        <v>Choose your extra each month to see this</v>
      </c>
      <c r="D36" s="31" t="s">
        <v>227</v>
      </c>
      <c r="E36" s="46" t="s">
        <v>437</v>
      </c>
    </row>
    <row r="37" customFormat="false" ht="15" hidden="false" customHeight="true" outlineLevel="0" collapsed="false">
      <c r="B37" s="9" t="s">
        <v>438</v>
      </c>
      <c r="C37" s="47" t="str">
        <f aca="false">IF(Need_2&lt;&gt;"",Need_2,IF(Months_Now="Never","—",Repayment_Now*(Months_Now-1)+Last_Payment_Now-Used_Mortgage_Balance))</f>
        <v>Choose your mortgage balance to see this</v>
      </c>
      <c r="D37" s="31" t="s">
        <v>227</v>
      </c>
      <c r="E37" s="46" t="s">
        <v>439</v>
      </c>
    </row>
    <row r="38" customFormat="false" ht="21.75" hidden="false" customHeight="true" outlineLevel="0" collapsed="false">
      <c r="B38" s="9" t="s">
        <v>440</v>
      </c>
      <c r="C38" s="47" t="str">
        <f aca="false">IF(Need_1&lt;&gt;"",Need_1,IF(Months_With_Extra="Never","—",Repayment_With_Extra*(Months_With_Extra-1)+Last_Payment_With_Extra-Used_Mortgage_Balance))</f>
        <v>Choose your extra each month to see this</v>
      </c>
      <c r="D38" s="31" t="s">
        <v>227</v>
      </c>
      <c r="E38" s="46" t="s">
        <v>441</v>
      </c>
    </row>
    <row r="40" customFormat="false" ht="15" hidden="false" customHeight="true" outlineLevel="0" collapsed="false">
      <c r="B40" s="15" t="s">
        <v>280</v>
      </c>
      <c r="C40" s="16"/>
      <c r="D40" s="16"/>
      <c r="E40" s="16"/>
      <c r="F40" s="16"/>
      <c r="G40" s="16"/>
    </row>
    <row r="41" customFormat="false" ht="13.5" hidden="false" customHeight="true" outlineLevel="0" collapsed="false">
      <c r="B41" s="50" t="s">
        <v>442</v>
      </c>
      <c r="C41" s="50"/>
      <c r="D41" s="50"/>
      <c r="E41" s="50"/>
    </row>
    <row r="42" customFormat="false" ht="27.75" hidden="false" customHeight="true" outlineLevel="0" collapsed="false">
      <c r="B42" s="50" t="s">
        <v>443</v>
      </c>
      <c r="C42" s="50"/>
      <c r="D42" s="50"/>
      <c r="E42" s="50"/>
    </row>
    <row r="43" customFormat="false" ht="13.5" hidden="false" customHeight="true" outlineLevel="0" collapsed="false">
      <c r="B43" s="51" t="s">
        <v>283</v>
      </c>
      <c r="C43" s="51"/>
      <c r="D43" s="51"/>
      <c r="E43" s="51"/>
    </row>
    <row r="44" customFormat="false" ht="13.5" hidden="false" customHeight="true" outlineLevel="0" collapsed="false">
      <c r="B44" s="50" t="s">
        <v>444</v>
      </c>
      <c r="C44" s="50"/>
      <c r="D44" s="50"/>
      <c r="E44" s="50"/>
    </row>
    <row r="45" customFormat="false" ht="13.5" hidden="false" customHeight="true" outlineLevel="0" collapsed="false">
      <c r="B45" s="50" t="s">
        <v>445</v>
      </c>
      <c r="C45" s="50"/>
      <c r="D45" s="50"/>
      <c r="E45" s="50"/>
    </row>
    <row r="46" customFormat="false" ht="13.5" hidden="false" customHeight="true" outlineLevel="0" collapsed="false">
      <c r="B46" s="50" t="s">
        <v>364</v>
      </c>
      <c r="C46" s="50"/>
      <c r="D46" s="50"/>
      <c r="E46" s="50"/>
    </row>
    <row r="47" customFormat="false" ht="27.75" hidden="false" customHeight="true" outlineLevel="0" collapsed="false">
      <c r="B47" s="50" t="s">
        <v>365</v>
      </c>
      <c r="C47" s="50"/>
      <c r="D47" s="50"/>
      <c r="E47" s="50"/>
    </row>
    <row r="48" customFormat="false" ht="13.5" hidden="false" customHeight="true" outlineLevel="0" collapsed="false">
      <c r="B48" s="50" t="s">
        <v>446</v>
      </c>
      <c r="C48" s="50"/>
      <c r="D48" s="50"/>
      <c r="E48" s="50"/>
    </row>
    <row r="50" customFormat="false" ht="15" hidden="false" customHeight="true" outlineLevel="0" collapsed="false">
      <c r="B50" s="15" t="s">
        <v>288</v>
      </c>
      <c r="C50" s="16"/>
      <c r="D50" s="16"/>
      <c r="E50" s="16"/>
      <c r="F50" s="16"/>
      <c r="G50" s="16"/>
    </row>
    <row r="51" customFormat="false" ht="15" hidden="false" customHeight="true" outlineLevel="0" collapsed="false">
      <c r="B51" s="9" t="s">
        <v>289</v>
      </c>
      <c r="C51" s="52" t="str">
        <f aca="false">IF(Need_1&lt;&gt;"",Need_1,IF(Months_With_Extra="Never","No goal","Mortgage free (plan kind mfree, priced from your mortgage; no cash amount)"))</f>
        <v>Choose your extra each month to see this</v>
      </c>
      <c r="E51" s="53" t="s">
        <v>447</v>
      </c>
    </row>
    <row r="52" customFormat="false" ht="15" hidden="false" customHeight="true" outlineLevel="0" collapsed="false">
      <c r="B52" s="9" t="s">
        <v>295</v>
      </c>
      <c r="C52" s="55" t="str">
        <f aca="false">IF(Need_1&lt;&gt;"",Need_1,IF(Months_With_Extra="Never","—",ROUNDUP(Months_With_Extra/12,0)))</f>
        <v>Choose your extra each month to see this</v>
      </c>
      <c r="E52" s="53" t="s">
        <v>448</v>
      </c>
    </row>
    <row r="53" customFormat="false" ht="27.75" hidden="false" customHeight="true" outlineLevel="0" collapsed="false">
      <c r="B53" s="57" t="s">
        <v>449</v>
      </c>
      <c r="C53" s="57"/>
      <c r="D53" s="57"/>
      <c r="E53" s="57"/>
    </row>
    <row r="55" customFormat="false" ht="15" hidden="false" customHeight="true" outlineLevel="0" collapsed="false">
      <c r="B55" s="15" t="s">
        <v>297</v>
      </c>
      <c r="C55" s="16"/>
      <c r="D55" s="16"/>
      <c r="E55" s="16"/>
      <c r="F55" s="16"/>
      <c r="G55" s="16"/>
    </row>
    <row r="56" customFormat="false" ht="15" hidden="false" customHeight="true" outlineLevel="0" collapsed="false">
      <c r="B56" s="56" t="s">
        <v>450</v>
      </c>
      <c r="C56" s="56" t="str">
        <f aca="false">IF(Extra_Payment="","Choose your extra each month to see this",IF(NOT(ISNUMBER(Used_Mortgage_Balance)),IF(Used_Mortgage_Balance="",IF(Mortgage_Balance="","Choose your mortgage balance to see this",""),Used_Mortgage_Balance),IF(NOT(ISNUMBER(Used_Years_Left)),IF(Used_Years_Left="",IF(Years_Left="","Choose your years left to see this",""),Used_Years_Left),IF(NOT(ISNUMBER(Used_Actual_Repayment)),IF(Used_Actual_Repayment="","Choose your actual monthly repayment to see this",Used_Actual_Repayment),IF(NOT(ISNUMBER(Used_Interest_Rate)),IF(Used_Interest_Rate="",IF(Interest_Rate="","Choose your mortgage rate to see this",""),Used_Interest_Rate),"")))))</f>
        <v>Choose your extra each month to see this</v>
      </c>
    </row>
    <row r="57" customFormat="false" ht="15" hidden="false" customHeight="true" outlineLevel="0" collapsed="false">
      <c r="B57" s="56" t="s">
        <v>451</v>
      </c>
      <c r="C57" s="56" t="str">
        <f aca="false">IF(NOT(ISNUMBER(Used_Mortgage_Balance)),IF(Used_Mortgage_Balance="",IF(Mortgage_Balance="","Choose your mortgage balance to see this",""),Used_Mortgage_Balance),IF(NOT(ISNUMBER(Used_Years_Left)),IF(Used_Years_Left="",IF(Years_Left="","Choose your years left to see this",""),Used_Years_Left),IF(NOT(ISNUMBER(Used_Actual_Repayment)),IF(Used_Actual_Repayment="","Choose your actual monthly repayment to see this",Used_Actual_Repayment),IF(NOT(ISNUMBER(Used_Interest_Rate)),IF(Used_Interest_Rate="",IF(Interest_Rate="","Choose your mortgage rate to see this",""),Used_Interest_Rate),""))))</f>
        <v>Choose your mortgage balance to see this</v>
      </c>
    </row>
    <row r="58" customFormat="false" ht="15" hidden="false" customHeight="true" outlineLevel="0" collapsed="false">
      <c r="B58" s="56" t="s">
        <v>369</v>
      </c>
      <c r="C58" s="56" t="str">
        <f aca="false">IF(NOT(ISNUMBER(Used_Interest_Rate)),IF(Used_Interest_Rate="",IF(Interest_Rate="","Choose your mortgage rate to see this",""),Used_Interest_Rate),"")</f>
        <v>Choose your mortgage rate to see this</v>
      </c>
    </row>
  </sheetData>
  <mergeCells count="10">
    <mergeCell ref="B6:E6"/>
    <mergeCell ref="B41:E41"/>
    <mergeCell ref="B42:E42"/>
    <mergeCell ref="B43:E43"/>
    <mergeCell ref="B44:E44"/>
    <mergeCell ref="B45:E45"/>
    <mergeCell ref="B46:E46"/>
    <mergeCell ref="B47:E47"/>
    <mergeCell ref="B48:E48"/>
    <mergeCell ref="B53:E53"/>
  </mergeCells>
  <dataValidations count="10">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5%." errorStyle="stop" errorTitle="Outside the allowed range" operator="between" prompt="Unit: %. Allowed: 0% to 15%." promptTitle="Interest rate" showDropDown="false" showErrorMessage="true" showInputMessage="true" sqref="C8" type="decimal">
      <formula1>0</formula1>
      <formula2>0.15</formula2>
    </dataValidation>
    <dataValidation allowBlank="true" error="Please enter 0 to 40." errorStyle="stop" errorTitle="Outside the allowed range" operator="between" prompt="Unit: years. Allowed: 0 to 40." promptTitle="Term remaining" showDropDown="false" showErrorMessage="true" showInputMessage="true" sqref="C9" type="whole">
      <formula1>0</formula1>
      <formula2>40</formula2>
    </dataValidation>
    <dataValidation allowBlank="true" error="Please enter €0 to €100,000." errorStyle="stop" errorTitle="Outside the allowed range" operator="between" prompt="Unit: €. Allowed: €0 to €100,000." promptTitle="Monthly repayment" showDropDown="false" showErrorMessage="true" showInputMessage="true" sqref="C10" type="decimal">
      <formula1>0</formula1>
      <formula2>100000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11" type="date">
      <formula1>36526</formula1>
      <formula2>0</formula2>
    </dataValidation>
    <dataValidation allowBlank="true" error="Please enter 1% to 8% · steps of 0.05%." errorStyle="stop" errorTitle="Outside the allowed range" operator="between" prompt="Your own mortgage rate: your statement shows it. Typing it is fine; no upload needed. A suggested rate and its source are shown beside this cell (Partner rates, Assumptions sheet). Allowed: 1% to 8% · steps of 0.05%" promptTitle="Interest rate" showDropDown="false" showErrorMessage="true" showInputMessage="true" sqref="C15" type="decimal">
      <formula1>0.01</formula1>
      <formula2>0.08</formula2>
    </dataValidation>
    <dataValidation allowBlank="true" error="Please enter €0 to €100,000 · steps of €1." errorStyle="stop" errorTitle="Outside the allowed range" operator="between" prompt="Optional: leave blank for none.  Allowed: €0 to €100,000 · steps of €1." promptTitle="Your actual monthly repayment (o" showDropDown="false" showErrorMessage="true" showInputMessage="true" sqref="C18" type="decimal">
      <formula1>0</formula1>
      <formula2>100000</formula2>
    </dataValidation>
    <dataValidation allowBlank="true" error="Please enter €20,000 to €10,000,000 · steps of €1,000." errorStyle="stop" errorTitle="Outside the allowed range" operator="between" prompt="Your own figure. In the app it is pre-filled from Your finances / statement: balance.  Allowed: €20,000 to €10,000,000 · steps of €1,000." promptTitle="Mortgage balance" showDropDown="false" showErrorMessage="true" showInputMessage="true" sqref="C14" type="decimal">
      <formula1>20000</formula1>
      <formula2>10000000</formula2>
    </dataValidation>
    <dataValidation allowBlank="true" error="Please enter 3 to 35 · steps of 1." errorStyle="stop" errorTitle="Outside the allowed range" operator="between" prompt="Your own figure. In the app it is pre-filled from Years left (25 if not given).  Allowed: 3 to 35 · steps of 1." promptTitle="Years left" showDropDown="false" showErrorMessage="true" showInputMessage="true" sqref="C16" type="whole">
      <formula1>3</formula1>
      <formula2>35</formula2>
    </dataValidation>
    <dataValidation allowBlank="true" error="Please enter €0 to €20,000 · steps of €25." errorStyle="stop" errorTitle="Outside the allowed range" operator="between" prompt="Your own figure.  Allowed: €0 to €20,000 · steps of €25." promptTitle="Extra each month" showDropDown="false" showErrorMessage="true" showInputMessage="true" sqref="C17" type="decimal">
      <formula1>0</formula1>
      <formula2>20000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452</v>
      </c>
      <c r="E1" s="3" t="s">
        <v>453</v>
      </c>
    </row>
    <row r="2" customFormat="false" ht="15" hidden="false" customHeight="true" outlineLevel="0" collapsed="false">
      <c r="B2" s="25" t="s">
        <v>454</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455</v>
      </c>
    </row>
    <row r="5" customFormat="false" ht="15" hidden="false" customHeight="true" outlineLevel="0" collapsed="false">
      <c r="B5" s="15" t="s">
        <v>310</v>
      </c>
      <c r="C5" s="16"/>
      <c r="D5" s="16"/>
      <c r="E5" s="16"/>
      <c r="F5" s="16"/>
      <c r="G5" s="16"/>
    </row>
    <row r="6" customFormat="false" ht="27.75" hidden="false" customHeight="true" outlineLevel="0" collapsed="false">
      <c r="B6" s="57" t="s">
        <v>311</v>
      </c>
      <c r="C6" s="57"/>
      <c r="D6" s="57"/>
      <c r="E6" s="57"/>
    </row>
    <row r="7" customFormat="false" ht="15" hidden="false" customHeight="true" outlineLevel="0" collapsed="false">
      <c r="B7" s="9" t="s">
        <v>312</v>
      </c>
      <c r="C7" s="58"/>
      <c r="D7" s="31" t="s">
        <v>227</v>
      </c>
      <c r="E7" s="32" t="s">
        <v>313</v>
      </c>
      <c r="G7" s="56" t="s">
        <v>314</v>
      </c>
    </row>
    <row r="8" customFormat="false" ht="15" hidden="false" customHeight="true" outlineLevel="0" collapsed="false">
      <c r="B8" s="9" t="s">
        <v>315</v>
      </c>
      <c r="C8" s="59"/>
      <c r="D8" s="31" t="s">
        <v>238</v>
      </c>
      <c r="E8" s="32" t="s">
        <v>316</v>
      </c>
      <c r="G8" s="56" t="s">
        <v>314</v>
      </c>
    </row>
    <row r="9" customFormat="false" ht="15" hidden="false" customHeight="true" outlineLevel="0" collapsed="false">
      <c r="B9" s="9" t="s">
        <v>317</v>
      </c>
      <c r="C9" s="60"/>
      <c r="D9" s="31" t="s">
        <v>240</v>
      </c>
      <c r="E9" s="32" t="s">
        <v>318</v>
      </c>
      <c r="G9" s="56" t="s">
        <v>314</v>
      </c>
    </row>
    <row r="10" customFormat="false" ht="15" hidden="false" customHeight="true" outlineLevel="0" collapsed="false">
      <c r="B10" s="9" t="s">
        <v>319</v>
      </c>
      <c r="C10" s="58"/>
      <c r="D10" s="31" t="s">
        <v>227</v>
      </c>
      <c r="E10" s="32" t="s">
        <v>320</v>
      </c>
      <c r="G10" s="56" t="s">
        <v>314</v>
      </c>
    </row>
    <row r="11" customFormat="false" ht="15" hidden="false" customHeight="true" outlineLevel="0" collapsed="false">
      <c r="B11" s="9" t="s">
        <v>321</v>
      </c>
      <c r="C11" s="61"/>
      <c r="D11" s="31" t="s">
        <v>322</v>
      </c>
      <c r="E11" s="32" t="s">
        <v>323</v>
      </c>
      <c r="G11" s="56" t="s">
        <v>314</v>
      </c>
    </row>
    <row r="13" customFormat="false" ht="15" hidden="false" customHeight="true" outlineLevel="0" collapsed="false">
      <c r="B13" s="15" t="s">
        <v>324</v>
      </c>
      <c r="C13" s="28" t="s">
        <v>222</v>
      </c>
      <c r="D13" s="28" t="s">
        <v>223</v>
      </c>
      <c r="E13" s="28" t="s">
        <v>224</v>
      </c>
      <c r="F13" s="29" t="s">
        <v>225</v>
      </c>
      <c r="G13" s="16"/>
    </row>
    <row r="14" customFormat="false" ht="21.75" hidden="false" customHeight="true" outlineLevel="0" collapsed="false">
      <c r="B14" s="9" t="s">
        <v>414</v>
      </c>
      <c r="C14" s="30"/>
      <c r="D14" s="31" t="s">
        <v>227</v>
      </c>
      <c r="E14" s="32" t="s">
        <v>456</v>
      </c>
      <c r="F14" s="33" t="n">
        <v>300000</v>
      </c>
      <c r="G14" s="34" t="str">
        <f aca="false">IF(ISBLANK(C14),IF(Fill_Example="Yes",F14,""),C14)</f>
        <v/>
      </c>
    </row>
    <row r="15" customFormat="false" ht="33" hidden="false" customHeight="true" outlineLevel="0" collapsed="false">
      <c r="B15" s="9" t="s">
        <v>457</v>
      </c>
      <c r="C15" s="38"/>
      <c r="D15" s="31" t="s">
        <v>238</v>
      </c>
      <c r="E15" s="39" t="str">
        <f aca="false">"Type 2 · your figure · Your own rate (your statement shows it; typing it is fine, no upload needed). "&amp;IF(ISNUMBER(Suggest_Mortgage_Rate),"Suggested: "&amp;TEXT(Suggest_Mortgage_Rate,"0.00%")&amp;" · "&amp;Suggest_Mortgage_Rate_Label&amp;". ","No suggestion. ")&amp;"Enter your own figure."&amp;" In the app it is pre-filled from Your finances / statement: rate. Enter your own figure. Allowed: 1% to 8% · steps of 0.05%"</f>
        <v>Type 2 · your figure · Your own rate (your statement shows it; typing it is fine, no upload needed). Suggested: 3.48% · Central Bank of Ireland: average rate on new mortgages, Jul 2026. Enter your own figure. In the app it is pre-filled from Your finances / statement: rate. Enter your own figure. Allowed: 1% to 8% · steps of 0.05%</v>
      </c>
      <c r="F15" s="40" t="n">
        <f aca="false">IF(ISNUMBER(Suggest_Mortgage_Rate),Suggest_Mortgage_Rate,"")</f>
        <v>0.0348</v>
      </c>
      <c r="G15" s="41" t="str">
        <f aca="false">IF(ISBLANK(C15),IF(Fill_Example="Yes",F15,""),C15)</f>
        <v/>
      </c>
    </row>
    <row r="16" customFormat="false" ht="21.75" hidden="false" customHeight="true" outlineLevel="0" collapsed="false">
      <c r="B16" s="9" t="s">
        <v>416</v>
      </c>
      <c r="C16" s="42"/>
      <c r="D16" s="31" t="s">
        <v>240</v>
      </c>
      <c r="E16" s="32" t="s">
        <v>328</v>
      </c>
      <c r="F16" s="43" t="n">
        <v>25</v>
      </c>
      <c r="G16" s="44" t="str">
        <f aca="false">IF(AND(ISNUMBER(C16),N(C16)&lt;5),"",IF(ISBLANK(C16),IF(Fill_Example="Yes",F16,""),C16))</f>
        <v/>
      </c>
    </row>
    <row r="17" customFormat="false" ht="15" hidden="false" customHeight="true" outlineLevel="0" collapsed="false">
      <c r="B17" s="9" t="s">
        <v>458</v>
      </c>
      <c r="C17" s="38"/>
      <c r="D17" s="31" t="s">
        <v>238</v>
      </c>
      <c r="E17" s="32" t="s">
        <v>459</v>
      </c>
      <c r="F17" s="40" t="n">
        <v>0.01</v>
      </c>
      <c r="G17" s="41" t="str">
        <f aca="false">IF(ISBLANK(C17),IF(Fill_Example="Yes",F17,""),C17)</f>
        <v/>
      </c>
    </row>
    <row r="18" customFormat="false" ht="15" hidden="false" customHeight="true" outlineLevel="0" collapsed="false">
      <c r="B18" s="9" t="s">
        <v>329</v>
      </c>
      <c r="C18" s="30"/>
      <c r="D18" s="31" t="s">
        <v>227</v>
      </c>
      <c r="E18" s="32" t="s">
        <v>330</v>
      </c>
      <c r="F18" s="33" t="n">
        <v>0</v>
      </c>
      <c r="G18" s="34" t="n">
        <f aca="false">IF(ISBLANK(C18),F18,C18)</f>
        <v>0</v>
      </c>
    </row>
    <row r="20" customFormat="false" ht="15" hidden="false" customHeight="true" outlineLevel="0" collapsed="false">
      <c r="B20" s="15" t="s">
        <v>333</v>
      </c>
      <c r="C20" s="16"/>
      <c r="D20" s="16"/>
      <c r="E20" s="16"/>
      <c r="F20" s="16"/>
      <c r="G20" s="16"/>
    </row>
    <row r="21" customFormat="false" ht="15" hidden="false" customHeight="true" outlineLevel="0" collapsed="false">
      <c r="B21" s="9" t="s">
        <v>414</v>
      </c>
      <c r="C21" s="62" t="str">
        <f aca="false">IF(ISBLANK(Stmt_Balance),Mortgage_Balance,Stmt_Balance)</f>
        <v/>
      </c>
      <c r="D21" s="63" t="str">
        <f aca="false">IF(ISBLANK(Stmt_Balance),"Your figure","From your statement")</f>
        <v>Your figure</v>
      </c>
      <c r="E21" s="53" t="s">
        <v>420</v>
      </c>
    </row>
    <row r="22" customFormat="false" ht="15" hidden="false" customHeight="true" outlineLevel="0" collapsed="false">
      <c r="B22" s="9" t="s">
        <v>457</v>
      </c>
      <c r="C22" s="64" t="str">
        <f aca="false">IF(ISBLANK(Stmt_Rate),Current_Rate,Stmt_Rate)</f>
        <v/>
      </c>
      <c r="D22" s="63" t="str">
        <f aca="false">IF(ISBLANK(Stmt_Rate),"Your figure","From your statement")</f>
        <v>Your figure</v>
      </c>
      <c r="E22" s="53" t="s">
        <v>460</v>
      </c>
    </row>
    <row r="23" customFormat="false" ht="15" hidden="false" customHeight="true" outlineLevel="0" collapsed="false">
      <c r="B23" s="9" t="s">
        <v>416</v>
      </c>
      <c r="C23" s="65" t="str">
        <f aca="false">IF(ISBLANK(Stmt_Term),Years_Left,Stmt_Term)</f>
        <v/>
      </c>
      <c r="D23" s="63" t="str">
        <f aca="false">IF(ISBLANK(Stmt_Term),"Your figure","From your statement")</f>
        <v>Your figure</v>
      </c>
      <c r="E23" s="53" t="s">
        <v>421</v>
      </c>
    </row>
    <row r="24" customFormat="false" ht="15" hidden="false" customHeight="true" outlineLevel="0" collapsed="false">
      <c r="B24" s="9" t="s">
        <v>337</v>
      </c>
      <c r="C24" s="62" t="n">
        <f aca="false">IF(ISBLANK(Stmt_Repayment),Actual_Repayment,Stmt_Repayment)</f>
        <v>0</v>
      </c>
      <c r="D24" s="63" t="str">
        <f aca="false">IF(ISBLANK(Stmt_Repayment),"Your figure","From your statement")</f>
        <v>Your figure</v>
      </c>
      <c r="E24" s="53" t="s">
        <v>338</v>
      </c>
    </row>
    <row r="25" customFormat="false" ht="21.75" hidden="false" customHeight="true" outlineLevel="0" collapsed="false">
      <c r="B25" s="9" t="s">
        <v>339</v>
      </c>
      <c r="C25" s="49" t="str">
        <f aca="true">IF(ISBLANK(Stmt_Statement_Date),"",IF(TODAY()-Stmt_Statement_Date&gt;Statement_Max_Age_Days,"Needs a look: statement is more than 12 months old","Up to date"))</f>
        <v/>
      </c>
      <c r="D25" s="31"/>
      <c r="E25" s="46" t="s">
        <v>340</v>
      </c>
    </row>
    <row r="27" customFormat="false" ht="15" hidden="false" customHeight="true" outlineLevel="0" collapsed="false">
      <c r="B27" s="15" t="s">
        <v>247</v>
      </c>
      <c r="C27" s="28" t="s">
        <v>248</v>
      </c>
      <c r="D27" s="28" t="s">
        <v>249</v>
      </c>
      <c r="E27" s="28" t="s">
        <v>250</v>
      </c>
      <c r="F27" s="16"/>
      <c r="G27" s="16"/>
    </row>
    <row r="28" customFormat="false" ht="23.25" hidden="false" customHeight="true" outlineLevel="0" collapsed="false">
      <c r="B28" s="25" t="s">
        <v>461</v>
      </c>
      <c r="C28" s="45" t="str">
        <f aca="false">IF(Need_1&lt;&gt;"",Need_1,Repayment_After-Repayment_Now)</f>
        <v>Choose your rate change to see this</v>
      </c>
      <c r="D28" s="67" t="str">
        <f aca="false">IF(Need_1&lt;&gt;"",Need_1,IF(Monthly_Change&gt;=0,"+","−")&amp;TEXT(ABS(Monthly_Change),"€#,##0"))</f>
        <v>Choose your rate change to see this</v>
      </c>
      <c r="E28" s="46" t="s">
        <v>462</v>
      </c>
    </row>
    <row r="29" customFormat="false" ht="17.25" hidden="false" customHeight="true" outlineLevel="0" collapsed="false">
      <c r="B29" s="25" t="s">
        <v>430</v>
      </c>
      <c r="C29" s="45" t="str">
        <f aca="false">IF(Need_2&lt;&gt;"",Need_2,IF(Used_Actual_Repayment&gt;0,Used_Actual_Repayment,Formula_Now))</f>
        <v>Choose your mortgage balance to see this</v>
      </c>
      <c r="D29" s="31" t="s">
        <v>227</v>
      </c>
      <c r="E29" s="46" t="s">
        <v>463</v>
      </c>
    </row>
    <row r="30" customFormat="false" ht="17.25" hidden="false" customHeight="true" outlineLevel="0" collapsed="false">
      <c r="B30" s="25" t="s">
        <v>464</v>
      </c>
      <c r="C30" s="45" t="str">
        <f aca="false">IF(Need_1&lt;&gt;"",Need_1,Repayment_Now+PMT(New_Rate/12,Used_Years_Left*12,-Used_Mortgage_Balance)-Formula_Now)</f>
        <v>Choose your rate change to see this</v>
      </c>
      <c r="D30" s="31" t="s">
        <v>227</v>
      </c>
      <c r="E30" s="46" t="s">
        <v>465</v>
      </c>
    </row>
    <row r="31" customFormat="false" ht="15" hidden="false" customHeight="true" outlineLevel="0" collapsed="false">
      <c r="B31" s="9" t="s">
        <v>466</v>
      </c>
      <c r="C31" s="47" t="str">
        <f aca="false">IF(Need_1&lt;&gt;"",Need_1,Monthly_Change*12)</f>
        <v>Choose your rate change to see this</v>
      </c>
      <c r="D31" s="31" t="s">
        <v>227</v>
      </c>
      <c r="E31" s="46" t="s">
        <v>467</v>
      </c>
    </row>
    <row r="32" customFormat="false" ht="15" hidden="false" customHeight="true" outlineLevel="0" collapsed="false">
      <c r="B32" s="9" t="s">
        <v>468</v>
      </c>
      <c r="C32" s="47" t="str">
        <f aca="false">IF(Need_3&lt;&gt;"",Need_3,PMT(Used_Current_Rate/12,Used_Years_Left*12,-Used_Mortgage_Balance))</f>
        <v>Choose your mortgage balance to see this</v>
      </c>
      <c r="D32" s="31" t="s">
        <v>227</v>
      </c>
      <c r="E32" s="46" t="s">
        <v>469</v>
      </c>
    </row>
    <row r="33" customFormat="false" ht="15" hidden="false" customHeight="true" outlineLevel="0" collapsed="false">
      <c r="B33" s="9" t="s">
        <v>470</v>
      </c>
      <c r="C33" s="69" t="str">
        <f aca="false">IF(Need_4&lt;&gt;"",Need_4,MAX(0,Used_Current_Rate+Rate_Change))</f>
        <v>Choose your rate change to see this</v>
      </c>
      <c r="D33" s="31" t="s">
        <v>238</v>
      </c>
      <c r="E33" s="46" t="s">
        <v>471</v>
      </c>
    </row>
    <row r="35" customFormat="false" ht="15" hidden="false" customHeight="true" outlineLevel="0" collapsed="false">
      <c r="B35" s="15" t="s">
        <v>280</v>
      </c>
      <c r="C35" s="16"/>
      <c r="D35" s="16"/>
      <c r="E35" s="16"/>
      <c r="F35" s="16"/>
      <c r="G35" s="16"/>
    </row>
    <row r="36" customFormat="false" ht="13.5" hidden="false" customHeight="true" outlineLevel="0" collapsed="false">
      <c r="B36" s="50" t="s">
        <v>472</v>
      </c>
      <c r="C36" s="50"/>
      <c r="D36" s="50"/>
      <c r="E36" s="50"/>
    </row>
    <row r="37" customFormat="false" ht="13.5" hidden="false" customHeight="true" outlineLevel="0" collapsed="false">
      <c r="B37" s="50" t="s">
        <v>473</v>
      </c>
      <c r="C37" s="50"/>
      <c r="D37" s="50"/>
      <c r="E37" s="50"/>
    </row>
    <row r="38" customFormat="false" ht="13.5" hidden="false" customHeight="true" outlineLevel="0" collapsed="false">
      <c r="B38" s="51" t="s">
        <v>283</v>
      </c>
      <c r="C38" s="51"/>
      <c r="D38" s="51"/>
      <c r="E38" s="51"/>
    </row>
    <row r="39" customFormat="false" ht="13.5" hidden="false" customHeight="true" outlineLevel="0" collapsed="false">
      <c r="B39" s="50" t="s">
        <v>474</v>
      </c>
      <c r="C39" s="50"/>
      <c r="D39" s="50"/>
      <c r="E39" s="50"/>
    </row>
    <row r="40" customFormat="false" ht="13.5" hidden="false" customHeight="true" outlineLevel="0" collapsed="false">
      <c r="B40" s="50" t="s">
        <v>287</v>
      </c>
      <c r="C40" s="50"/>
      <c r="D40" s="50"/>
      <c r="E40" s="50"/>
    </row>
    <row r="42" customFormat="false" ht="15" hidden="false" customHeight="true" outlineLevel="0" collapsed="false">
      <c r="B42" s="15" t="s">
        <v>288</v>
      </c>
      <c r="C42" s="16"/>
      <c r="D42" s="16"/>
      <c r="E42" s="16"/>
      <c r="F42" s="16"/>
      <c r="G42" s="16"/>
    </row>
    <row r="43" customFormat="false" ht="15" hidden="false" customHeight="true" outlineLevel="0" collapsed="false">
      <c r="B43" s="9" t="s">
        <v>289</v>
      </c>
      <c r="C43" s="52" t="str">
        <f aca="false">"No goal"</f>
        <v>No goal</v>
      </c>
      <c r="E43" s="53" t="s">
        <v>475</v>
      </c>
    </row>
    <row r="45" customFormat="false" ht="15" hidden="false" customHeight="true" outlineLevel="0" collapsed="false">
      <c r="B45" s="15" t="s">
        <v>297</v>
      </c>
      <c r="C45" s="16"/>
      <c r="D45" s="16"/>
      <c r="E45" s="16"/>
      <c r="F45" s="16"/>
      <c r="G45" s="16"/>
    </row>
    <row r="46" customFormat="false" ht="15" hidden="false" customHeight="true" outlineLevel="0" collapsed="false">
      <c r="B46" s="56" t="s">
        <v>476</v>
      </c>
      <c r="C46" s="56" t="str">
        <f aca="false">IF(Rate_Change="","Choose your rate change to see this",IF(NOT(ISNUMBER(Used_Mortgage_Balance)),IF(Used_Mortgage_Balance="",IF(Mortgage_Balance="","Choose your mortgage balance to see this",""),Used_Mortgage_Balance),IF(NOT(ISNUMBER(Used_Years_Left)),IF(Used_Years_Left="",IF(Years_Left="","Choose your years left to see this",""),Used_Years_Left),IF(NOT(ISNUMBER(Used_Actual_Repayment)),IF(Used_Actual_Repayment="","Choose your actual monthly repayment to see this",Used_Actual_Repayment),IF(NOT(ISNUMBER(Used_Current_Rate)),IF(Used_Current_Rate="",IF(Current_Rate="","Choose your mortgage rate to see this",""),Used_Current_Rate),"")))))</f>
        <v>Choose your rate change to see this</v>
      </c>
    </row>
    <row r="47" customFormat="false" ht="15" hidden="false" customHeight="true" outlineLevel="0" collapsed="false">
      <c r="B47" s="56" t="s">
        <v>477</v>
      </c>
      <c r="C47" s="56" t="str">
        <f aca="false">IF(NOT(ISNUMBER(Used_Mortgage_Balance)),IF(Used_Mortgage_Balance="",IF(Mortgage_Balance="","Choose your mortgage balance to see this",""),Used_Mortgage_Balance),IF(NOT(ISNUMBER(Used_Years_Left)),IF(Used_Years_Left="",IF(Years_Left="","Choose your years left to see this",""),Used_Years_Left),IF(NOT(ISNUMBER(Used_Actual_Repayment)),IF(Used_Actual_Repayment="","Choose your actual monthly repayment to see this",Used_Actual_Repayment),IF(NOT(ISNUMBER(Used_Current_Rate)),IF(Used_Current_Rate="",IF(Current_Rate="","Choose your mortgage rate to see this",""),Used_Current_Rate),""))))</f>
        <v>Choose your mortgage balance to see this</v>
      </c>
    </row>
    <row r="48" customFormat="false" ht="15" hidden="false" customHeight="true" outlineLevel="0" collapsed="false">
      <c r="B48" s="56" t="s">
        <v>478</v>
      </c>
      <c r="C48" s="56" t="str">
        <f aca="false">IF(NOT(ISNUMBER(Used_Mortgage_Balance)),IF(Used_Mortgage_Balance="",IF(Mortgage_Balance="","Choose your mortgage balance to see this",""),Used_Mortgage_Balance),IF(NOT(ISNUMBER(Used_Years_Left)),IF(Used_Years_Left="",IF(Years_Left="","Choose your years left to see this",""),Used_Years_Left),IF(NOT(ISNUMBER(Used_Current_Rate)),IF(Used_Current_Rate="",IF(Current_Rate="","Choose your mortgage rate to see this",""),Used_Current_Rate),"")))</f>
        <v>Choose your mortgage balance to see this</v>
      </c>
    </row>
    <row r="49" customFormat="false" ht="15" hidden="false" customHeight="true" outlineLevel="0" collapsed="false">
      <c r="B49" s="56" t="s">
        <v>479</v>
      </c>
      <c r="C49" s="56" t="str">
        <f aca="false">IF(Rate_Change="","Choose your rate change to see this",IF(NOT(ISNUMBER(Used_Current_Rate)),IF(Used_Current_Rate="",IF(Current_Rate="","Choose your mortgage rate to see this",""),Used_Current_Rate),""))</f>
        <v>Choose your rate change to see this</v>
      </c>
    </row>
  </sheetData>
  <mergeCells count="6">
    <mergeCell ref="B6:E6"/>
    <mergeCell ref="B36:E36"/>
    <mergeCell ref="B37:E37"/>
    <mergeCell ref="B38:E38"/>
    <mergeCell ref="B39:E39"/>
    <mergeCell ref="B40:E40"/>
  </mergeCells>
  <dataValidations count="10">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5%." errorStyle="stop" errorTitle="Outside the allowed range" operator="between" prompt="Unit: %. Allowed: 0% to 15%." promptTitle="Interest rate" showDropDown="false" showErrorMessage="true" showInputMessage="true" sqref="C8" type="decimal">
      <formula1>0</formula1>
      <formula2>0.15</formula2>
    </dataValidation>
    <dataValidation allowBlank="true" error="Please enter 0 to 40." errorStyle="stop" errorTitle="Outside the allowed range" operator="between" prompt="Unit: years. Allowed: 0 to 40." promptTitle="Term remaining" showDropDown="false" showErrorMessage="true" showInputMessage="true" sqref="C9" type="whole">
      <formula1>0</formula1>
      <formula2>40</formula2>
    </dataValidation>
    <dataValidation allowBlank="true" error="Please enter €0 to €100,000." errorStyle="stop" errorTitle="Outside the allowed range" operator="between" prompt="Unit: €. Allowed: €0 to €100,000." promptTitle="Monthly repayment" showDropDown="false" showErrorMessage="true" showInputMessage="true" sqref="C10" type="decimal">
      <formula1>0</formula1>
      <formula2>100000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11" type="date">
      <formula1>36526</formula1>
      <formula2>0</formula2>
    </dataValidation>
    <dataValidation allowBlank="true" error="Please enter €0 to €100,000 · steps of €1." errorStyle="stop" errorTitle="Outside the allowed range" operator="between" prompt="Optional: leave blank for none.  Allowed: €0 to €100,000 · steps of €1." promptTitle="Your actual monthly repayment (o" showDropDown="false" showErrorMessage="true" showInputMessage="true" sqref="C18" type="decimal">
      <formula1>0</formula1>
      <formula2>100000</formula2>
    </dataValidation>
    <dataValidation allowBlank="true" error="Please enter €50,000 to €10,000,000 · steps of €1,000." errorStyle="stop" errorTitle="Outside the allowed range" operator="between" prompt="Your own figure. In the app it is pre-filled from Your finances / statement: balance.  Allowed: €50,000 to €10,000,000 · steps of €1,000." promptTitle="Mortgage balance" showDropDown="false" showErrorMessage="true" showInputMessage="true" sqref="C14" type="decimal">
      <formula1>50000</formula1>
      <formula2>10000000</formula2>
    </dataValidation>
    <dataValidation allowBlank="true" error="Please enter 1% to 8% · steps of 0.05%." errorStyle="stop" errorTitle="Outside the allowed range" operator="between" prompt="Your own mortgage rate: your statement shows it. Typing it is fine; no upload needed. A suggested rate and its source are shown beside this cell (Partner rates, Assumptions sheet). Allowed: 1% to 8% · steps of 0.05%" promptTitle="Current rate" showDropDown="false" showErrorMessage="true" showInputMessage="true" sqref="C15" type="decimal">
      <formula1>0.01</formula1>
      <formula2>0.08</formula2>
    </dataValidation>
    <dataValidation allowBlank="true" error="Please enter 5 to 35 · steps of 1." errorStyle="stop" errorTitle="Outside the allowed range" operator="between" prompt="Your own figure. In the app it is pre-filled from Years left (25 if not given).  Allowed: 5 to 35 · steps of 1." promptTitle="Years left" showDropDown="false" showErrorMessage="true" showInputMessage="true" sqref="C16" type="whole">
      <formula1>5</formula1>
      <formula2>35</formula2>
    </dataValidation>
    <dataValidation allowBlank="true" error="Please enter -2% to 3% · steps of 0.25%." errorStyle="stop" errorTitle="Outside the allowed range" operator="between" prompt="Your own figure.  Allowed: -2% to 3% · steps of 0.25%." promptTitle="Rate change" showDropDown="false" showErrorMessage="true" showInputMessage="true" sqref="C17" type="decimal">
      <formula1>-0.02</formula1>
      <formula2>0.03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480</v>
      </c>
      <c r="E1" s="3" t="s">
        <v>481</v>
      </c>
    </row>
    <row r="2" customFormat="false" ht="15" hidden="false" customHeight="true" outlineLevel="0" collapsed="false">
      <c r="B2" s="25" t="s">
        <v>482</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483</v>
      </c>
    </row>
    <row r="5" customFormat="false" ht="15" hidden="false" customHeight="true" outlineLevel="0" collapsed="false">
      <c r="B5" s="15" t="s">
        <v>310</v>
      </c>
      <c r="C5" s="16"/>
      <c r="D5" s="16"/>
      <c r="E5" s="16"/>
      <c r="F5" s="16"/>
      <c r="G5" s="16"/>
    </row>
    <row r="6" customFormat="false" ht="27.75" hidden="false" customHeight="true" outlineLevel="0" collapsed="false">
      <c r="B6" s="57" t="s">
        <v>311</v>
      </c>
      <c r="C6" s="57"/>
      <c r="D6" s="57"/>
      <c r="E6" s="57"/>
    </row>
    <row r="7" customFormat="false" ht="15" hidden="false" customHeight="true" outlineLevel="0" collapsed="false">
      <c r="B7" s="9" t="s">
        <v>312</v>
      </c>
      <c r="C7" s="58"/>
      <c r="D7" s="31" t="s">
        <v>227</v>
      </c>
      <c r="E7" s="32" t="s">
        <v>313</v>
      </c>
      <c r="G7" s="56" t="s">
        <v>314</v>
      </c>
    </row>
    <row r="8" customFormat="false" ht="15" hidden="false" customHeight="true" outlineLevel="0" collapsed="false">
      <c r="B8" s="9" t="s">
        <v>315</v>
      </c>
      <c r="C8" s="59"/>
      <c r="D8" s="31" t="s">
        <v>238</v>
      </c>
      <c r="E8" s="32" t="s">
        <v>316</v>
      </c>
      <c r="G8" s="56" t="s">
        <v>314</v>
      </c>
    </row>
    <row r="9" customFormat="false" ht="15" hidden="false" customHeight="true" outlineLevel="0" collapsed="false">
      <c r="B9" s="9" t="s">
        <v>317</v>
      </c>
      <c r="C9" s="60"/>
      <c r="D9" s="31" t="s">
        <v>240</v>
      </c>
      <c r="E9" s="32" t="s">
        <v>318</v>
      </c>
      <c r="G9" s="56" t="s">
        <v>314</v>
      </c>
    </row>
    <row r="10" customFormat="false" ht="15" hidden="false" customHeight="true" outlineLevel="0" collapsed="false">
      <c r="B10" s="9" t="s">
        <v>321</v>
      </c>
      <c r="C10" s="61"/>
      <c r="D10" s="31" t="s">
        <v>322</v>
      </c>
      <c r="E10" s="32" t="s">
        <v>323</v>
      </c>
      <c r="G10" s="56" t="s">
        <v>314</v>
      </c>
    </row>
    <row r="12" customFormat="false" ht="15" hidden="false" customHeight="true" outlineLevel="0" collapsed="false">
      <c r="B12" s="15" t="s">
        <v>324</v>
      </c>
      <c r="C12" s="28" t="s">
        <v>222</v>
      </c>
      <c r="D12" s="28" t="s">
        <v>223</v>
      </c>
      <c r="E12" s="28" t="s">
        <v>224</v>
      </c>
      <c r="F12" s="29" t="s">
        <v>225</v>
      </c>
      <c r="G12" s="16"/>
    </row>
    <row r="13" customFormat="false" ht="21.75" hidden="false" customHeight="true" outlineLevel="0" collapsed="false">
      <c r="B13" s="9" t="s">
        <v>325</v>
      </c>
      <c r="C13" s="30"/>
      <c r="D13" s="31" t="s">
        <v>227</v>
      </c>
      <c r="E13" s="32" t="s">
        <v>456</v>
      </c>
      <c r="F13" s="33" t="n">
        <v>300000</v>
      </c>
      <c r="G13" s="34" t="str">
        <f aca="false">IF(ISBLANK(C13),IF(Fill_Example="Yes",F13,""),C13)</f>
        <v/>
      </c>
    </row>
    <row r="14" customFormat="false" ht="33" hidden="false" customHeight="true" outlineLevel="0" collapsed="false">
      <c r="B14" s="9" t="s">
        <v>315</v>
      </c>
      <c r="C14" s="38"/>
      <c r="D14" s="31" t="s">
        <v>238</v>
      </c>
      <c r="E14" s="39" t="str">
        <f aca="false">"Type 2 · your figure · Your own rate (your statement shows it; typing it is fine, no upload needed). "&amp;IF(ISNUMBER(Suggest_Mortgage_Rate),"Suggested: "&amp;TEXT(Suggest_Mortgage_Rate,"0.00%")&amp;" · "&amp;Suggest_Mortgage_Rate_Label&amp;". ","No suggestion. ")&amp;"Enter your own figure."&amp;" In the app it is pre-filled from Your finances / statement: rate. Enter your own figure. Allowed: 1% to 8% · steps of 0.05%"</f>
        <v>Type 2 · your figure · Your own rate (your statement shows it; typing it is fine, no upload needed). Suggested: 3.48% · Central Bank of Ireland: average rate on new mortgages, Jul 2026. Enter your own figure. In the app it is pre-filled from Your finances / statement: rate. Enter your own figure. Allowed: 1% to 8% · steps of 0.05%</v>
      </c>
      <c r="F14" s="40" t="n">
        <f aca="false">IF(ISNUMBER(Suggest_Mortgage_Rate),Suggest_Mortgage_Rate,"")</f>
        <v>0.0348</v>
      </c>
      <c r="G14" s="41" t="str">
        <f aca="false">IF(ISBLANK(C14),IF(Fill_Example="Yes",F14,""),C14)</f>
        <v/>
      </c>
    </row>
    <row r="15" customFormat="false" ht="21.75" hidden="false" customHeight="true" outlineLevel="0" collapsed="false">
      <c r="B15" s="9" t="s">
        <v>484</v>
      </c>
      <c r="C15" s="42"/>
      <c r="D15" s="31" t="s">
        <v>240</v>
      </c>
      <c r="E15" s="32" t="s">
        <v>328</v>
      </c>
      <c r="F15" s="43" t="n">
        <v>25</v>
      </c>
      <c r="G15" s="44" t="str">
        <f aca="false">IF(AND(ISNUMBER(C15),N(C15)&lt;5),"",IF(ISBLANK(C15),IF(Fill_Example="Yes",F15,""),C15))</f>
        <v/>
      </c>
    </row>
    <row r="16" customFormat="false" ht="15" hidden="false" customHeight="true" outlineLevel="0" collapsed="false">
      <c r="B16" s="9" t="s">
        <v>485</v>
      </c>
      <c r="C16" s="42"/>
      <c r="D16" s="31" t="s">
        <v>240</v>
      </c>
      <c r="E16" s="32" t="s">
        <v>486</v>
      </c>
      <c r="F16" s="43" t="n">
        <v>35</v>
      </c>
      <c r="G16" s="44" t="str">
        <f aca="false">IF(AND(ISNUMBER(C16),N(C16)&lt;5),"",IF(ISBLANK(C16),IF(Fill_Example="Yes",F16,""),C16))</f>
        <v/>
      </c>
    </row>
    <row r="18" customFormat="false" ht="15" hidden="false" customHeight="true" outlineLevel="0" collapsed="false">
      <c r="B18" s="15" t="s">
        <v>333</v>
      </c>
      <c r="C18" s="16"/>
      <c r="D18" s="16"/>
      <c r="E18" s="16"/>
      <c r="F18" s="16"/>
      <c r="G18" s="16"/>
    </row>
    <row r="19" customFormat="false" ht="15" hidden="false" customHeight="true" outlineLevel="0" collapsed="false">
      <c r="B19" s="9" t="s">
        <v>325</v>
      </c>
      <c r="C19" s="62" t="str">
        <f aca="false">IF(ISBLANK(Stmt_Balance),Loan_Amount,Stmt_Balance)</f>
        <v/>
      </c>
      <c r="D19" s="63" t="str">
        <f aca="false">IF(ISBLANK(Stmt_Balance),"Your figure","From your statement")</f>
        <v>Your figure</v>
      </c>
      <c r="E19" s="53" t="s">
        <v>334</v>
      </c>
    </row>
    <row r="20" customFormat="false" ht="15" hidden="false" customHeight="true" outlineLevel="0" collapsed="false">
      <c r="B20" s="9" t="s">
        <v>315</v>
      </c>
      <c r="C20" s="64" t="str">
        <f aca="false">IF(ISBLANK(Stmt_Rate),Interest_Rate,Stmt_Rate)</f>
        <v/>
      </c>
      <c r="D20" s="63" t="str">
        <f aca="false">IF(ISBLANK(Stmt_Rate),"Your figure","From your statement")</f>
        <v>Your figure</v>
      </c>
      <c r="E20" s="53" t="s">
        <v>335</v>
      </c>
    </row>
    <row r="21" customFormat="false" ht="15" hidden="false" customHeight="true" outlineLevel="0" collapsed="false">
      <c r="B21" s="9" t="s">
        <v>484</v>
      </c>
      <c r="C21" s="65" t="str">
        <f aca="false">IF(ISBLANK(Stmt_Term),Term_A,Stmt_Term)</f>
        <v/>
      </c>
      <c r="D21" s="63" t="str">
        <f aca="false">IF(ISBLANK(Stmt_Term),"Your figure","From your statement")</f>
        <v>Your figure</v>
      </c>
      <c r="E21" s="53" t="s">
        <v>487</v>
      </c>
    </row>
    <row r="22" customFormat="false" ht="21.75" hidden="false" customHeight="true" outlineLevel="0" collapsed="false">
      <c r="B22" s="9" t="s">
        <v>339</v>
      </c>
      <c r="C22" s="49" t="str">
        <f aca="true">IF(ISBLANK(Stmt_Statement_Date),"",IF(TODAY()-Stmt_Statement_Date&gt;Statement_Max_Age_Days,"Needs a look: statement is more than 12 months old","Up to date"))</f>
        <v/>
      </c>
      <c r="D22" s="31"/>
      <c r="E22" s="46" t="s">
        <v>340</v>
      </c>
    </row>
    <row r="24" customFormat="false" ht="15" hidden="false" customHeight="true" outlineLevel="0" collapsed="false">
      <c r="B24" s="15" t="s">
        <v>247</v>
      </c>
      <c r="C24" s="28" t="s">
        <v>248</v>
      </c>
      <c r="D24" s="28" t="s">
        <v>249</v>
      </c>
      <c r="E24" s="28" t="s">
        <v>250</v>
      </c>
      <c r="F24" s="16"/>
      <c r="G24" s="16"/>
    </row>
    <row r="25" customFormat="false" ht="17.25" hidden="false" customHeight="true" outlineLevel="0" collapsed="false">
      <c r="B25" s="25" t="s">
        <v>488</v>
      </c>
      <c r="C25" s="45" t="str">
        <f aca="false">IF(Need_1&lt;&gt;"",Need_1,ABS(Interest_B-Interest_A))</f>
        <v>Choose your term B to see this</v>
      </c>
      <c r="D25" s="67" t="str">
        <f aca="false">IF(Need_1&lt;&gt;"",Need_1,IF(Used_Term_A=Term_B,"Both terms are the same.","The "&amp;MIN(Used_Term_A,Term_B)&amp;"-year term costs more each month but less interest overall."))</f>
        <v>Choose your term B to see this</v>
      </c>
      <c r="E25" s="46" t="s">
        <v>489</v>
      </c>
    </row>
    <row r="26" customFormat="false" ht="17.25" hidden="false" customHeight="true" outlineLevel="0" collapsed="false">
      <c r="B26" s="25" t="s">
        <v>490</v>
      </c>
      <c r="C26" s="45" t="str">
        <f aca="false">IF(Need_2&lt;&gt;"",Need_2,PMT(Used_Interest_Rate/12,Used_Term_A*12,-Used_Loan_Amount))</f>
        <v>Choose your mortgage amount to see this</v>
      </c>
      <c r="D26" s="31" t="s">
        <v>227</v>
      </c>
      <c r="E26" s="46" t="s">
        <v>491</v>
      </c>
    </row>
    <row r="27" customFormat="false" ht="17.25" hidden="false" customHeight="true" outlineLevel="0" collapsed="false">
      <c r="B27" s="25" t="s">
        <v>492</v>
      </c>
      <c r="C27" s="45" t="str">
        <f aca="false">IF(Need_3&lt;&gt;"",Need_3,PMT(Used_Interest_Rate/12,Term_B*12,-Used_Loan_Amount))</f>
        <v>Choose your term B to see this</v>
      </c>
      <c r="D27" s="31" t="s">
        <v>227</v>
      </c>
      <c r="E27" s="46" t="s">
        <v>493</v>
      </c>
    </row>
    <row r="28" customFormat="false" ht="15" hidden="false" customHeight="true" outlineLevel="0" collapsed="false">
      <c r="B28" s="9" t="s">
        <v>494</v>
      </c>
      <c r="C28" s="47" t="str">
        <f aca="false">IF(Need_2&lt;&gt;"",Need_2,Monthly_A*Used_Term_A*12-Used_Loan_Amount)</f>
        <v>Choose your mortgage amount to see this</v>
      </c>
      <c r="D28" s="31" t="s">
        <v>227</v>
      </c>
      <c r="E28" s="46" t="s">
        <v>495</v>
      </c>
    </row>
    <row r="29" customFormat="false" ht="15" hidden="false" customHeight="true" outlineLevel="0" collapsed="false">
      <c r="B29" s="9" t="s">
        <v>496</v>
      </c>
      <c r="C29" s="47" t="str">
        <f aca="false">IF(Need_3&lt;&gt;"",Need_3,Monthly_B*Term_B*12-Used_Loan_Amount)</f>
        <v>Choose your term B to see this</v>
      </c>
      <c r="D29" s="31" t="s">
        <v>227</v>
      </c>
      <c r="E29" s="46" t="s">
        <v>497</v>
      </c>
    </row>
    <row r="31" customFormat="false" ht="15" hidden="false" customHeight="true" outlineLevel="0" collapsed="false">
      <c r="B31" s="15" t="s">
        <v>280</v>
      </c>
      <c r="C31" s="16"/>
      <c r="D31" s="16"/>
      <c r="E31" s="16"/>
      <c r="F31" s="16"/>
      <c r="G31" s="16"/>
    </row>
    <row r="32" customFormat="false" ht="13.5" hidden="false" customHeight="true" outlineLevel="0" collapsed="false">
      <c r="B32" s="50" t="s">
        <v>498</v>
      </c>
      <c r="C32" s="50"/>
      <c r="D32" s="50"/>
      <c r="E32" s="50"/>
    </row>
    <row r="33" customFormat="false" ht="13.5" hidden="false" customHeight="true" outlineLevel="0" collapsed="false">
      <c r="B33" s="50" t="s">
        <v>499</v>
      </c>
      <c r="C33" s="50"/>
      <c r="D33" s="50"/>
      <c r="E33" s="50"/>
    </row>
    <row r="34" customFormat="false" ht="13.5" hidden="false" customHeight="true" outlineLevel="0" collapsed="false">
      <c r="B34" s="51" t="s">
        <v>283</v>
      </c>
      <c r="C34" s="51"/>
      <c r="D34" s="51"/>
      <c r="E34" s="51"/>
    </row>
    <row r="35" customFormat="false" ht="13.5" hidden="false" customHeight="true" outlineLevel="0" collapsed="false">
      <c r="B35" s="50" t="s">
        <v>500</v>
      </c>
      <c r="C35" s="50"/>
      <c r="D35" s="50"/>
      <c r="E35" s="50"/>
    </row>
    <row r="36" customFormat="false" ht="13.5" hidden="false" customHeight="true" outlineLevel="0" collapsed="false">
      <c r="B36" s="50" t="s">
        <v>287</v>
      </c>
      <c r="C36" s="50"/>
      <c r="D36" s="50"/>
      <c r="E36" s="50"/>
    </row>
    <row r="38" customFormat="false" ht="15" hidden="false" customHeight="true" outlineLevel="0" collapsed="false">
      <c r="B38" s="15" t="s">
        <v>288</v>
      </c>
      <c r="C38" s="16"/>
      <c r="D38" s="16"/>
      <c r="E38" s="16"/>
      <c r="F38" s="16"/>
      <c r="G38" s="16"/>
    </row>
    <row r="39" customFormat="false" ht="15" hidden="false" customHeight="true" outlineLevel="0" collapsed="false">
      <c r="B39" s="9" t="s">
        <v>289</v>
      </c>
      <c r="C39" s="52" t="str">
        <f aca="false">"No goal"</f>
        <v>No goal</v>
      </c>
      <c r="E39" s="53" t="s">
        <v>475</v>
      </c>
    </row>
    <row r="41" customFormat="false" ht="15" hidden="false" customHeight="true" outlineLevel="0" collapsed="false">
      <c r="B41" s="15" t="s">
        <v>297</v>
      </c>
      <c r="C41" s="16"/>
      <c r="D41" s="16"/>
      <c r="E41" s="16"/>
      <c r="F41" s="16"/>
      <c r="G41" s="16"/>
    </row>
    <row r="42" customFormat="false" ht="15" hidden="false" customHeight="true" outlineLevel="0" collapsed="false">
      <c r="B42" s="56" t="s">
        <v>501</v>
      </c>
      <c r="C42" s="56" t="str">
        <f aca="false">IF(Term_B="","Choose your term B to see this",IF(NOT(ISNUMBER(Used_Loan_Amount)),IF(Used_Loan_Amount="",IF(Loan_Amount="","Choose your mortgage amount to see this",""),Used_Loan_Amount),IF(NOT(ISNUMBER(Used_Term_A)),IF(Used_Term_A="",IF(Term_A="","Choose your term A to see this",""),Used_Term_A),IF(NOT(ISNUMBER(Used_Interest_Rate)),IF(Used_Interest_Rate="",IF(Interest_Rate="","Choose your mortgage rate to see this",""),Used_Interest_Rate),""))))</f>
        <v>Choose your term B to see this</v>
      </c>
    </row>
    <row r="43" customFormat="false" ht="15" hidden="false" customHeight="true" outlineLevel="0" collapsed="false">
      <c r="B43" s="56" t="s">
        <v>502</v>
      </c>
      <c r="C43" s="56" t="str">
        <f aca="false">IF(NOT(ISNUMBER(Used_Loan_Amount)),IF(Used_Loan_Amount="",IF(Loan_Amount="","Choose your mortgage amount to see this",""),Used_Loan_Amount),IF(NOT(ISNUMBER(Used_Term_A)),IF(Used_Term_A="",IF(Term_A="","Choose your term A to see this",""),Used_Term_A),IF(NOT(ISNUMBER(Used_Interest_Rate)),IF(Used_Interest_Rate="",IF(Interest_Rate="","Choose your mortgage rate to see this",""),Used_Interest_Rate),"")))</f>
        <v>Choose your mortgage amount to see this</v>
      </c>
    </row>
    <row r="44" customFormat="false" ht="15" hidden="false" customHeight="true" outlineLevel="0" collapsed="false">
      <c r="B44" s="56" t="s">
        <v>503</v>
      </c>
      <c r="C44" s="56" t="str">
        <f aca="false">IF(Term_B="","Choose your term B to see this",IF(NOT(ISNUMBER(Used_Loan_Amount)),IF(Used_Loan_Amount="",IF(Loan_Amount="","Choose your mortgage amount to see this",""),Used_Loan_Amount),IF(NOT(ISNUMBER(Used_Interest_Rate)),IF(Used_Interest_Rate="",IF(Interest_Rate="","Choose your mortgage rate to see this",""),Used_Interest_Rate),"")))</f>
        <v>Choose your term B to see this</v>
      </c>
    </row>
  </sheetData>
  <mergeCells count="6">
    <mergeCell ref="B6:E6"/>
    <mergeCell ref="B32:E32"/>
    <mergeCell ref="B33:E33"/>
    <mergeCell ref="B34:E34"/>
    <mergeCell ref="B35:E35"/>
    <mergeCell ref="B36:E36"/>
  </mergeCells>
  <dataValidations count="8">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5%." errorStyle="stop" errorTitle="Outside the allowed range" operator="between" prompt="Unit: %. Allowed: 0% to 15%." promptTitle="Interest rate" showDropDown="false" showErrorMessage="true" showInputMessage="true" sqref="C8" type="decimal">
      <formula1>0</formula1>
      <formula2>0.15</formula2>
    </dataValidation>
    <dataValidation allowBlank="true" error="Please enter 0 to 40." errorStyle="stop" errorTitle="Outside the allowed range" operator="between" prompt="Unit: years. Allowed: 0 to 40." promptTitle="Term remaining" showDropDown="false" showErrorMessage="true" showInputMessage="true" sqref="C9" type="whole">
      <formula1>0</formula1>
      <formula2>40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10" type="date">
      <formula1>36526</formula1>
      <formula2>0</formula2>
    </dataValidation>
    <dataValidation allowBlank="true" error="Please enter 1% to 8% · steps of 0.05%." errorStyle="stop" errorTitle="Outside the allowed range" operator="between" prompt="Your own mortgage rate: your statement shows it. Typing it is fine; no upload needed. A suggested rate and its source are shown beside this cell (Partner rates, Assumptions sheet). Allowed: 1% to 8% · steps of 0.05%" promptTitle="Interest rate" showDropDown="false" showErrorMessage="true" showInputMessage="true" sqref="C14" type="decimal">
      <formula1>0.01</formula1>
      <formula2>0.08</formula2>
    </dataValidation>
    <dataValidation allowBlank="true" error="Please enter €50,000 to €10,000,000 · steps of €1,000." errorStyle="stop" errorTitle="Outside the allowed range" operator="between" prompt="Your own figure. In the app it is pre-filled from Your finances / statement: balance.  Allowed: €50,000 to €10,000,000 · steps of €1,000." promptTitle="Mortgage amount" showDropDown="false" showErrorMessage="true" showInputMessage="true" sqref="C13" type="decimal">
      <formula1>50000</formula1>
      <formula2>10000000</formula2>
    </dataValidation>
    <dataValidation allowBlank="true" error="Please enter 5 to 35 · steps of 1." errorStyle="stop" errorTitle="Outside the allowed range" operator="between" prompt="Your own figure. In the app it is pre-filled from Years left (25 if not given).  Allowed: 5 to 35 · steps of 1." promptTitle="Term A" showDropDown="false" showErrorMessage="true" showInputMessage="true" sqref="C15" type="whole">
      <formula1>5</formula1>
      <formula2>35</formula2>
    </dataValidation>
    <dataValidation allowBlank="true" error="Please enter 5 to 35 · steps of 1." errorStyle="stop" errorTitle="Outside the allowed range" operator="between" prompt="Your own figure.  Allowed: 5 to 35 · steps of 1." promptTitle="Term B" showDropDown="false" showErrorMessage="true" showInputMessage="true" sqref="C16" type="whole">
      <formula1>5</formula1>
      <formula2>35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504</v>
      </c>
      <c r="E1" s="3" t="s">
        <v>505</v>
      </c>
    </row>
    <row r="2" customFormat="false" ht="15" hidden="false" customHeight="true" outlineLevel="0" collapsed="false">
      <c r="B2" s="25" t="s">
        <v>506</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507</v>
      </c>
    </row>
    <row r="5" customFormat="false" ht="15" hidden="false" customHeight="true" outlineLevel="0" collapsed="false">
      <c r="B5" s="15" t="s">
        <v>221</v>
      </c>
      <c r="C5" s="28" t="s">
        <v>222</v>
      </c>
      <c r="D5" s="28" t="s">
        <v>223</v>
      </c>
      <c r="E5" s="28" t="s">
        <v>224</v>
      </c>
      <c r="F5" s="29" t="s">
        <v>225</v>
      </c>
      <c r="G5" s="16"/>
    </row>
    <row r="6" customFormat="false" ht="15" hidden="false" customHeight="true" outlineLevel="0" collapsed="false">
      <c r="B6" s="9" t="s">
        <v>508</v>
      </c>
      <c r="C6" s="30"/>
      <c r="D6" s="31" t="s">
        <v>227</v>
      </c>
      <c r="E6" s="32" t="s">
        <v>509</v>
      </c>
      <c r="F6" s="33" t="n">
        <v>1800</v>
      </c>
      <c r="G6" s="34" t="str">
        <f aca="false">IF(ISBLANK(C6),IF(Fill_Example="Yes",F6,""),C6)</f>
        <v/>
      </c>
    </row>
    <row r="7" customFormat="false" ht="15" hidden="false" customHeight="true" outlineLevel="0" collapsed="false">
      <c r="B7" s="9" t="s">
        <v>377</v>
      </c>
      <c r="C7" s="30"/>
      <c r="D7" s="31" t="s">
        <v>227</v>
      </c>
      <c r="E7" s="32" t="s">
        <v>378</v>
      </c>
      <c r="F7" s="33" t="n">
        <v>350000</v>
      </c>
      <c r="G7" s="34" t="str">
        <f aca="false">IF(ISBLANK(C7),IF(Fill_Example="Yes",F7,""),C7)</f>
        <v/>
      </c>
    </row>
    <row r="8" customFormat="false" ht="15" hidden="false" customHeight="true" outlineLevel="0" collapsed="false">
      <c r="B8" s="9" t="s">
        <v>392</v>
      </c>
      <c r="C8" s="30"/>
      <c r="D8" s="31" t="s">
        <v>227</v>
      </c>
      <c r="E8" s="32" t="s">
        <v>510</v>
      </c>
      <c r="F8" s="33" t="n">
        <v>35000</v>
      </c>
      <c r="G8" s="34" t="str">
        <f aca="false">IF(ISBLANK(C8),IF(Fill_Example="Yes",F8,""),C8)</f>
        <v/>
      </c>
    </row>
    <row r="9" customFormat="false" ht="21.75" hidden="false" customHeight="true" outlineLevel="0" collapsed="false">
      <c r="B9" s="9" t="s">
        <v>511</v>
      </c>
      <c r="C9" s="38"/>
      <c r="D9" s="31" t="s">
        <v>238</v>
      </c>
      <c r="E9" s="39" t="str">
        <f aca="false">"Type 2 · your figure · Your own rate (your statement shows it; typing it is fine, no upload needed). "&amp;IF(ISNUMBER(Suggest_Mortgage_Rate),"Suggested: "&amp;TEXT(Suggest_Mortgage_Rate,"0.00%")&amp;" · "&amp;Suggest_Mortgage_Rate_Label&amp;". ","No suggestion. ")&amp;"Enter your own figure."&amp;" Allowed: 1% to 8% · steps of 0.05%"</f>
        <v>Type 2 · your figure · Your own rate (your statement shows it; typing it is fine, no upload needed). Suggested: 3.48% · Central Bank of Ireland: average rate on new mortgages, Jul 2026. Enter your own figure. Allowed: 1% to 8% · steps of 0.05%</v>
      </c>
      <c r="F9" s="40" t="n">
        <f aca="false">IF(ISNUMBER(Suggest_Mortgage_Rate),Suggest_Mortgage_Rate,"")</f>
        <v>0.0348</v>
      </c>
      <c r="G9" s="41" t="str">
        <f aca="false">IF(ISBLANK(C9),IF(Fill_Example="Yes",F9,""),C9)</f>
        <v/>
      </c>
    </row>
    <row r="10" customFormat="false" ht="15" hidden="false" customHeight="true" outlineLevel="0" collapsed="false">
      <c r="B10" s="9" t="s">
        <v>239</v>
      </c>
      <c r="C10" s="42"/>
      <c r="D10" s="31" t="s">
        <v>240</v>
      </c>
      <c r="E10" s="32" t="s">
        <v>486</v>
      </c>
      <c r="F10" s="43" t="n">
        <v>30</v>
      </c>
      <c r="G10" s="44" t="str">
        <f aca="false">IF(AND(ISNUMBER(C10),N(C10)&lt;5),"",IF(ISBLANK(C10),IF(Fill_Example="Yes",F10,""),C10))</f>
        <v/>
      </c>
    </row>
    <row r="11" customFormat="false" ht="15" hidden="false" customHeight="true" outlineLevel="0" collapsed="false">
      <c r="B11" s="9" t="s">
        <v>512</v>
      </c>
      <c r="C11" s="42"/>
      <c r="D11" s="31" t="s">
        <v>240</v>
      </c>
      <c r="E11" s="32" t="s">
        <v>244</v>
      </c>
      <c r="F11" s="43" t="n">
        <v>10</v>
      </c>
      <c r="G11" s="44" t="str">
        <f aca="false">IF(ISBLANK(C11),IF(Fill_Example="Yes",F11,""),C11)</f>
        <v/>
      </c>
    </row>
    <row r="12" customFormat="false" ht="21.75" hidden="false" customHeight="true" outlineLevel="0" collapsed="false">
      <c r="B12" s="9" t="s">
        <v>513</v>
      </c>
      <c r="C12" s="38"/>
      <c r="D12" s="31" t="s">
        <v>238</v>
      </c>
      <c r="E12" s="39" t="s">
        <v>514</v>
      </c>
      <c r="F12" s="40" t="n">
        <f aca="false">Set_houseGrow</f>
        <v>0.02</v>
      </c>
      <c r="G12" s="41" t="n">
        <f aca="false">IF(ISBLANK(C12),F12,C12)</f>
        <v>0.02</v>
      </c>
    </row>
    <row r="13" customFormat="false" ht="21.75" hidden="false" customHeight="true" outlineLevel="0" collapsed="false">
      <c r="B13" s="9" t="s">
        <v>515</v>
      </c>
      <c r="C13" s="38"/>
      <c r="D13" s="31" t="s">
        <v>238</v>
      </c>
      <c r="E13" s="39" t="s">
        <v>516</v>
      </c>
      <c r="F13" s="40" t="n">
        <f aca="false">Set_rentRise</f>
        <v>0.03</v>
      </c>
      <c r="G13" s="41" t="n">
        <f aca="false">IF(ISBLANK(C13),F13,C13)</f>
        <v>0.03</v>
      </c>
    </row>
    <row r="14" customFormat="false" ht="21.75" hidden="false" customHeight="true" outlineLevel="0" collapsed="false">
      <c r="B14" s="9" t="s">
        <v>517</v>
      </c>
      <c r="C14" s="38"/>
      <c r="D14" s="31" t="s">
        <v>238</v>
      </c>
      <c r="E14" s="39" t="s">
        <v>518</v>
      </c>
      <c r="F14" s="40" t="n">
        <f aca="false">Set_upkeep</f>
        <v>0.01</v>
      </c>
      <c r="G14" s="41" t="n">
        <f aca="false">IF(ISBLANK(C14),F14,C14)</f>
        <v>0.01</v>
      </c>
    </row>
    <row r="15" customFormat="false" ht="21.75" hidden="false" customHeight="true" outlineLevel="0" collapsed="false">
      <c r="B15" s="9" t="s">
        <v>242</v>
      </c>
      <c r="C15" s="30"/>
      <c r="D15" s="31" t="s">
        <v>227</v>
      </c>
      <c r="E15" s="39" t="str">
        <f aca="false">"Type 2 · optional · Legal and survey fees (stamp duty is added for you). "&amp;IF(ISNUMBER(Suggest_Buying_Fees),"Suggested: "&amp;TEXT(Suggest_Buying_Fees,"€#,##0")&amp;" · "&amp;Suggest_Buying_Fees_Label&amp;". ","No suggestion. ")&amp;"Leave blank to count €0."&amp;" Allowed: €0 to €10,000 · steps of €100"</f>
        <v>Type 2 · optional · Legal and survey fees (stamp duty is added for you). No suggestion. Leave blank to count €0. Allowed: €0 to €10,000 · steps of €100</v>
      </c>
      <c r="F15" s="33" t="str">
        <f aca="false">IF(ISNUMBER(Suggest_Buying_Fees),Suggest_Buying_Fees,"")</f>
        <v/>
      </c>
      <c r="G15" s="34" t="n">
        <f aca="false">IF(ISBLANK(C15),IF(AND(Fill_Example="Yes",ISNUMBER(F15)),F15,0),C15)</f>
        <v>0</v>
      </c>
    </row>
    <row r="16" customFormat="false" ht="21.75" hidden="false" customHeight="true" outlineLevel="0" collapsed="false">
      <c r="B16" s="9" t="s">
        <v>519</v>
      </c>
      <c r="C16" s="38"/>
      <c r="D16" s="31" t="s">
        <v>238</v>
      </c>
      <c r="E16" s="39" t="str">
        <f aca="false">"Type 2 · optional · What your deposit could earn after 33% DIRT if you rent instead. "&amp;IF(ISNUMBER(Suggest_Deposit_Rate),"Suggested: "&amp;TEXT(ROUND(Suggest_Deposit_Rate*(1-DIRT),4),"0.00%")&amp;" after DIRT · "&amp;Suggest_Deposit_Rate_Label&amp;" ("&amp;TEXT(Suggest_Deposit_Rate,"0.00%")&amp;" before DIRT). ","No suggestion. ")&amp;"Leave blank and we use the suggested rate (Assumed: add yours)."&amp;" Allowed: 0% to 6% · steps of 0.5%"</f>
        <v>Type 2 · optional · What your deposit could earn after 33% DIRT if you rent instead. Suggested: 1.29% after DIRT · Central Bank of Ireland: average rate on new fixed-term household deposits, Jul 2026 (1.92% before DIRT). Leave blank and we use the suggested rate (Assumed: add yours). Allowed: 0% to 6% · steps of 0.5%</v>
      </c>
      <c r="F16" s="40" t="n">
        <f aca="false">IF(ISNUMBER(Suggest_Deposit_Rate),ROUND(Suggest_Deposit_Rate*(1-DIRT),4),"")</f>
        <v>0.0129</v>
      </c>
      <c r="G16" s="41" t="n">
        <f aca="false">IF(ISBLANK(C16),IF(ISNUMBER(F16),F16,0),C16)</f>
        <v>0.0129</v>
      </c>
    </row>
    <row r="17" customFormat="false" ht="15" hidden="false" customHeight="true" outlineLevel="0" collapsed="false">
      <c r="B17" s="9" t="s">
        <v>243</v>
      </c>
      <c r="C17" s="42"/>
      <c r="D17" s="31" t="s">
        <v>240</v>
      </c>
      <c r="E17" s="32" t="s">
        <v>244</v>
      </c>
      <c r="F17" s="43" t="n">
        <v>3</v>
      </c>
      <c r="G17" s="44" t="str">
        <f aca="false">IF(ISBLANK(C17),IF(Fill_Example="Yes",F17,""),C17)</f>
        <v/>
      </c>
    </row>
    <row r="18" customFormat="false" ht="15" hidden="false" customHeight="true" outlineLevel="0" collapsed="false">
      <c r="B18" s="1" t="s">
        <v>520</v>
      </c>
      <c r="C18" s="1" t="str">
        <f aca="false">IF(OR(Home_Price="",Deposit=""),"",MIN(MAX(Deposit,Home_Price*(1-LTV_Max)),Home_Price))</f>
        <v/>
      </c>
      <c r="D18" s="1" t="s">
        <v>227</v>
      </c>
    </row>
    <row r="19" customFormat="false" ht="15" hidden="false" customHeight="true" outlineLevel="0" collapsed="false">
      <c r="B19" s="15" t="s">
        <v>247</v>
      </c>
      <c r="C19" s="28" t="s">
        <v>248</v>
      </c>
      <c r="D19" s="28" t="s">
        <v>249</v>
      </c>
      <c r="E19" s="28" t="s">
        <v>250</v>
      </c>
      <c r="F19" s="16"/>
      <c r="G19" s="16"/>
    </row>
    <row r="20" customFormat="false" ht="17.25" hidden="false" customHeight="true" outlineLevel="0" collapsed="false">
      <c r="B20" s="25" t="s">
        <v>521</v>
      </c>
      <c r="C20" s="45" t="str">
        <f aca="false">IF(Need_1&lt;&gt;"",Need_1,Home_Value-Balance_After)</f>
        <v>Choose your home price to see this</v>
      </c>
      <c r="D20" s="31" t="s">
        <v>227</v>
      </c>
      <c r="E20" s="46" t="s">
        <v>522</v>
      </c>
    </row>
    <row r="21" customFormat="false" ht="17.25" hidden="false" customHeight="true" outlineLevel="0" collapsed="false">
      <c r="B21" s="25" t="s">
        <v>523</v>
      </c>
      <c r="C21" s="45" t="str">
        <f aca="false">IF(Need_2&lt;&gt;"",Need_2,IF(Rent_Growth=0,Monthly_Rent*12*Years,Monthly_Rent*12*((1+Rent_Growth)^Years-1)/Rent_Growth))</f>
        <v>Choose your monthly rent to see this</v>
      </c>
      <c r="D21" s="31" t="s">
        <v>227</v>
      </c>
      <c r="E21" s="46" t="s">
        <v>524</v>
      </c>
    </row>
    <row r="22" customFormat="false" ht="17.25" hidden="false" customHeight="true" outlineLevel="0" collapsed="false">
      <c r="B22" s="25" t="s">
        <v>525</v>
      </c>
      <c r="C22" s="45" t="str">
        <f aca="false">IF(Need_3&lt;&gt;"",Need_3,Interest_Paid+Upkeep+Stamp_Duty+Buying_Fees+Opportunity_Cost)</f>
        <v>Choose your home price to see this</v>
      </c>
      <c r="D22" s="31" t="s">
        <v>227</v>
      </c>
      <c r="E22" s="46" t="s">
        <v>526</v>
      </c>
    </row>
    <row r="23" customFormat="false" ht="15" hidden="false" customHeight="true" outlineLevel="0" collapsed="false">
      <c r="B23" s="9" t="s">
        <v>527</v>
      </c>
      <c r="C23" s="47" t="str">
        <f aca="false">IF(Need_4&lt;&gt;"",Need_4,Home_Price*(1+House_Growth)^Years)</f>
        <v>Choose your home price to see this</v>
      </c>
      <c r="D23" s="31" t="s">
        <v>227</v>
      </c>
      <c r="E23" s="46" t="s">
        <v>528</v>
      </c>
    </row>
    <row r="24" customFormat="false" ht="15" hidden="false" customHeight="true" outlineLevel="0" collapsed="false">
      <c r="B24" s="9" t="s">
        <v>529</v>
      </c>
      <c r="C24" s="47" t="str">
        <f aca="false">IF(Need_5&lt;&gt;"",Need_5,MAX(0,Home_Price-Deposit_Used))</f>
        <v>Choose your home price to see this</v>
      </c>
      <c r="D24" s="31" t="s">
        <v>227</v>
      </c>
      <c r="E24" s="46" t="s">
        <v>530</v>
      </c>
    </row>
    <row r="25" customFormat="false" ht="15" hidden="false" customHeight="true" outlineLevel="0" collapsed="false">
      <c r="B25" s="9" t="s">
        <v>319</v>
      </c>
      <c r="C25" s="47" t="str">
        <f aca="false">IF(Need_6&lt;&gt;"",Need_6,PMT(Mortgage_Rate/12,RentBuy_Term*12,-Loan))</f>
        <v>Choose your home price to see this</v>
      </c>
      <c r="D25" s="31" t="s">
        <v>227</v>
      </c>
      <c r="E25" s="46" t="s">
        <v>531</v>
      </c>
    </row>
    <row r="26" customFormat="false" ht="15" hidden="false" customHeight="true" outlineLevel="0" collapsed="false">
      <c r="B26" s="9" t="s">
        <v>532</v>
      </c>
      <c r="C26" s="47" t="str">
        <f aca="false">IF(Need_7&lt;&gt;"",Need_7,MAX(0,-FV(Mortgage_Rate/12,MIN(Years,RentBuy_Term)*12,-Monthly_Repayment,Loan)))</f>
        <v>Choose your home price to see this</v>
      </c>
      <c r="D26" s="31" t="s">
        <v>227</v>
      </c>
      <c r="E26" s="46" t="s">
        <v>533</v>
      </c>
    </row>
    <row r="27" customFormat="false" ht="15" hidden="false" customHeight="true" outlineLevel="0" collapsed="false">
      <c r="B27" s="9" t="s">
        <v>534</v>
      </c>
      <c r="C27" s="47" t="str">
        <f aca="false">IF(Need_7&lt;&gt;"",Need_7,Monthly_Repayment*MIN(Years,RentBuy_Term)*12-(Loan-Balance_After))</f>
        <v>Choose your home price to see this</v>
      </c>
      <c r="D27" s="31" t="s">
        <v>227</v>
      </c>
      <c r="E27" s="46" t="s">
        <v>535</v>
      </c>
    </row>
    <row r="28" customFormat="false" ht="21.75" hidden="false" customHeight="true" outlineLevel="0" collapsed="false">
      <c r="B28" s="9" t="s">
        <v>536</v>
      </c>
      <c r="C28" s="47" t="str">
        <f aca="false">IF(Need_8&lt;&gt;"",Need_8,IF(House_Growth=0,Home_Price*Upkeep_Rate*Years,Home_Price*Upkeep_Rate*((1+House_Growth)^Years-1)/House_Growth))</f>
        <v>Choose your home price to see this</v>
      </c>
      <c r="D28" s="31" t="s">
        <v>227</v>
      </c>
      <c r="E28" s="46" t="s">
        <v>537</v>
      </c>
    </row>
    <row r="29" customFormat="false" ht="21.75" hidden="false" customHeight="true" outlineLevel="0" collapsed="false">
      <c r="B29" s="9" t="s">
        <v>394</v>
      </c>
      <c r="C29" s="47" t="str">
        <f aca="false">IF(Need_9&lt;&gt;"",Need_9,SD_Rate_1*MIN(Home_Price,SD_Band_1)+SD_Rate_2*MAX(0,MIN(Home_Price,SD_Band_2)-SD_Band_1)+SD_Rate_3*MAX(0,Home_Price-SD_Band_2))</f>
        <v>Choose your home price to see this</v>
      </c>
      <c r="D29" s="31" t="s">
        <v>227</v>
      </c>
      <c r="E29" s="46" t="s">
        <v>258</v>
      </c>
    </row>
    <row r="30" customFormat="false" ht="15" hidden="false" customHeight="true" outlineLevel="0" collapsed="false">
      <c r="B30" s="9" t="s">
        <v>538</v>
      </c>
      <c r="C30" s="47" t="str">
        <f aca="false">IF(Need_10&lt;&gt;"",Need_10,Deposit_Used*((1+Opp_Rate)^Years-1))</f>
        <v>Choose your deposit to see this</v>
      </c>
      <c r="D30" s="31" t="s">
        <v>227</v>
      </c>
      <c r="E30" s="46" t="s">
        <v>539</v>
      </c>
    </row>
    <row r="32" customFormat="false" ht="15" hidden="false" customHeight="true" outlineLevel="0" collapsed="false">
      <c r="B32" s="15" t="s">
        <v>280</v>
      </c>
      <c r="C32" s="16"/>
      <c r="D32" s="16"/>
      <c r="E32" s="16"/>
      <c r="F32" s="16"/>
      <c r="G32" s="16"/>
    </row>
    <row r="33" customFormat="false" ht="27.75" hidden="false" customHeight="true" outlineLevel="0" collapsed="false">
      <c r="B33" s="50" t="s">
        <v>540</v>
      </c>
      <c r="C33" s="50"/>
      <c r="D33" s="50"/>
      <c r="E33" s="50"/>
    </row>
    <row r="34" customFormat="false" ht="27.75" hidden="false" customHeight="true" outlineLevel="0" collapsed="false">
      <c r="B34" s="50" t="s">
        <v>541</v>
      </c>
      <c r="C34" s="50"/>
      <c r="D34" s="50"/>
      <c r="E34" s="50"/>
    </row>
    <row r="35" customFormat="false" ht="27.75" hidden="false" customHeight="true" outlineLevel="0" collapsed="false">
      <c r="B35" s="50" t="s">
        <v>542</v>
      </c>
      <c r="C35" s="50"/>
      <c r="D35" s="50"/>
      <c r="E35" s="50"/>
    </row>
    <row r="36" customFormat="false" ht="13.5" hidden="false" customHeight="true" outlineLevel="0" collapsed="false">
      <c r="B36" s="51" t="s">
        <v>283</v>
      </c>
      <c r="C36" s="51"/>
      <c r="D36" s="51"/>
      <c r="E36" s="51"/>
    </row>
    <row r="37" customFormat="false" ht="13.5" hidden="false" customHeight="true" outlineLevel="0" collapsed="false">
      <c r="B37" s="50" t="s">
        <v>543</v>
      </c>
      <c r="C37" s="50"/>
      <c r="D37" s="50"/>
      <c r="E37" s="50"/>
    </row>
    <row r="38" customFormat="false" ht="27.75" hidden="false" customHeight="true" outlineLevel="0" collapsed="false">
      <c r="B38" s="50" t="s">
        <v>544</v>
      </c>
      <c r="C38" s="50"/>
      <c r="D38" s="50"/>
      <c r="E38" s="50"/>
    </row>
    <row r="40" customFormat="false" ht="15" hidden="false" customHeight="true" outlineLevel="0" collapsed="false">
      <c r="B40" s="15" t="s">
        <v>288</v>
      </c>
      <c r="C40" s="16"/>
      <c r="D40" s="16"/>
      <c r="E40" s="16"/>
      <c r="F40" s="16"/>
      <c r="G40" s="16"/>
    </row>
    <row r="41" customFormat="false" ht="15" hidden="false" customHeight="true" outlineLevel="0" collapsed="false">
      <c r="B41" s="9" t="s">
        <v>289</v>
      </c>
      <c r="C41" s="52" t="str">
        <f aca="false">"Buy a home (deposit goal)"</f>
        <v>Buy a home (deposit goal)</v>
      </c>
      <c r="E41" s="53" t="s">
        <v>290</v>
      </c>
    </row>
    <row r="42" customFormat="false" ht="15" hidden="false" customHeight="true" outlineLevel="0" collapsed="false">
      <c r="B42" s="9" t="s">
        <v>400</v>
      </c>
      <c r="C42" s="54" t="str">
        <f aca="false">IF(Need_11&lt;&gt;"",Need_11,ROUND(Deposit_Used+Stamp_Duty+Buying_Fees,0))</f>
        <v>Choose your home price to see this</v>
      </c>
      <c r="E42" s="53" t="s">
        <v>545</v>
      </c>
    </row>
    <row r="43" customFormat="false" ht="15" hidden="false" customHeight="true" outlineLevel="0" collapsed="false">
      <c r="B43" s="9" t="s">
        <v>295</v>
      </c>
      <c r="C43" s="55" t="str">
        <f aca="false">IF(Need_12&lt;&gt;"",Need_12,Home_Goal_Years)</f>
        <v>Choose your years until you buy to see this</v>
      </c>
      <c r="E43" s="53" t="s">
        <v>296</v>
      </c>
    </row>
    <row r="45" customFormat="false" ht="15" hidden="false" customHeight="true" outlineLevel="0" collapsed="false">
      <c r="B45" s="15" t="s">
        <v>297</v>
      </c>
      <c r="C45" s="16"/>
      <c r="D45" s="16"/>
      <c r="E45" s="16"/>
      <c r="F45" s="16"/>
      <c r="G45" s="16"/>
    </row>
    <row r="46" customFormat="false" ht="15" hidden="false" customHeight="true" outlineLevel="0" collapsed="false">
      <c r="B46" s="56" t="s">
        <v>546</v>
      </c>
      <c r="C46" s="56" t="str">
        <f aca="false">IF(Home_Price="","Choose your home price to see this",IF(Deposit="","Choose your deposit to see this",IF(RentBuy_Term="","Choose your mortgage term to see this",IF(Years="","Choose your years to compare to see this",IF(Mortgage_Rate="","Choose your mortgage rate to see this","")))))</f>
        <v>Choose your home price to see this</v>
      </c>
    </row>
    <row r="47" customFormat="false" ht="15" hidden="false" customHeight="true" outlineLevel="0" collapsed="false">
      <c r="B47" s="56" t="s">
        <v>547</v>
      </c>
      <c r="C47" s="56" t="str">
        <f aca="false">IF(Monthly_Rent="","Choose your monthly rent to see this",IF(Years="","Choose your years to compare to see this",IF(Mortgage_Rate="","Choose your mortgage rate to see this","")))</f>
        <v>Choose your monthly rent to see this</v>
      </c>
    </row>
    <row r="48" customFormat="false" ht="15" hidden="false" customHeight="true" outlineLevel="0" collapsed="false">
      <c r="B48" s="56" t="s">
        <v>548</v>
      </c>
      <c r="C48" s="56" t="str">
        <f aca="false">IF(Home_Price="","Choose your home price to see this",IF(Deposit="","Choose your deposit to see this",IF(RentBuy_Term="","Choose your mortgage term to see this",IF(Years="","Choose your years to compare to see this",IF(Buying_Fees="","Choose your buying fees to see this",IF(Opp_Rate="","Choose your deposit earnings rate to see this",IF(Mortgage_Rate="","Choose your mortgage rate to see this","")))))))</f>
        <v>Choose your home price to see this</v>
      </c>
    </row>
    <row r="49" customFormat="false" ht="15" hidden="false" customHeight="true" outlineLevel="0" collapsed="false">
      <c r="B49" s="56" t="s">
        <v>549</v>
      </c>
      <c r="C49" s="56" t="str">
        <f aca="false">IF(Home_Price="","Choose your home price to see this",IF(Years="","Choose your years to compare to see this",IF(Mortgage_Rate="","Choose your mortgage rate to see this","")))</f>
        <v>Choose your home price to see this</v>
      </c>
    </row>
    <row r="50" customFormat="false" ht="15" hidden="false" customHeight="true" outlineLevel="0" collapsed="false">
      <c r="B50" s="56" t="s">
        <v>550</v>
      </c>
      <c r="C50" s="56" t="str">
        <f aca="false">IF(Home_Price="","Choose your home price to see this",IF(Deposit="","Choose your deposit to see this",IF(Mortgage_Rate="","Choose your mortgage rate to see this","")))</f>
        <v>Choose your home price to see this</v>
      </c>
    </row>
    <row r="51" customFormat="false" ht="15" hidden="false" customHeight="true" outlineLevel="0" collapsed="false">
      <c r="B51" s="56" t="s">
        <v>551</v>
      </c>
      <c r="C51" s="56" t="str">
        <f aca="false">IF(Home_Price="","Choose your home price to see this",IF(Deposit="","Choose your deposit to see this",IF(RentBuy_Term="","Choose your mortgage term to see this",IF(Mortgage_Rate="","Choose your mortgage rate to see this",""))))</f>
        <v>Choose your home price to see this</v>
      </c>
    </row>
    <row r="52" customFormat="false" ht="15" hidden="false" customHeight="true" outlineLevel="0" collapsed="false">
      <c r="B52" s="56" t="s">
        <v>552</v>
      </c>
      <c r="C52" s="56" t="str">
        <f aca="false">IF(Home_Price="","Choose your home price to see this",IF(Deposit="","Choose your deposit to see this",IF(RentBuy_Term="","Choose your mortgage term to see this",IF(Years="","Choose your years to compare to see this",IF(Mortgage_Rate="","Choose your mortgage rate to see this","")))))</f>
        <v>Choose your home price to see this</v>
      </c>
    </row>
    <row r="53" customFormat="false" ht="15" hidden="false" customHeight="true" outlineLevel="0" collapsed="false">
      <c r="B53" s="56" t="s">
        <v>553</v>
      </c>
      <c r="C53" s="56" t="str">
        <f aca="false">IF(Home_Price="","Choose your home price to see this",IF(Years="","Choose your years to compare to see this",IF(Mortgage_Rate="","Choose your mortgage rate to see this","")))</f>
        <v>Choose your home price to see this</v>
      </c>
    </row>
    <row r="54" customFormat="false" ht="15" hidden="false" customHeight="true" outlineLevel="0" collapsed="false">
      <c r="B54" s="56" t="s">
        <v>408</v>
      </c>
      <c r="C54" s="56" t="str">
        <f aca="false">IF(Home_Price="","Choose your home price to see this",IF(Mortgage_Rate="","Choose your mortgage rate to see this",""))</f>
        <v>Choose your home price to see this</v>
      </c>
    </row>
    <row r="55" customFormat="false" ht="15" hidden="false" customHeight="true" outlineLevel="0" collapsed="false">
      <c r="B55" s="56" t="s">
        <v>554</v>
      </c>
      <c r="C55" s="56" t="str">
        <f aca="false">IF(Deposit="","Choose your deposit to see this",IF(Years="","Choose your years to compare to see this",IF(Opp_Rate="","Choose your deposit earnings rate to see this",IF(Mortgage_Rate="","Choose your mortgage rate to see this",""))))</f>
        <v>Choose your deposit to see this</v>
      </c>
    </row>
    <row r="56" customFormat="false" ht="15" hidden="false" customHeight="true" outlineLevel="0" collapsed="false">
      <c r="B56" s="56" t="s">
        <v>555</v>
      </c>
      <c r="C56" s="56" t="str">
        <f aca="false">IF(Home_Price="","Choose your home price to see this",IF(Deposit="","Choose your deposit to see this",IF(Buying_Fees="","Choose your buying fees to see this",IF(Mortgage_Rate="","Choose your mortgage rate to see this",""))))</f>
        <v>Choose your home price to see this</v>
      </c>
    </row>
    <row r="57" customFormat="false" ht="15" hidden="false" customHeight="true" outlineLevel="0" collapsed="false">
      <c r="B57" s="56" t="s">
        <v>304</v>
      </c>
      <c r="C57" s="56" t="str">
        <f aca="false">IF(Home_Goal_Years="","Choose your years until you buy to see this",IF(Mortgage_Rate="","Choose your mortgage rate to see this",""))</f>
        <v>Choose your years until you buy to see this</v>
      </c>
    </row>
    <row r="59" customFormat="false" ht="15" hidden="false" customHeight="true" outlineLevel="0" collapsed="false">
      <c r="B59" s="23" t="s">
        <v>556</v>
      </c>
    </row>
  </sheetData>
  <mergeCells count="6">
    <mergeCell ref="B33:E33"/>
    <mergeCell ref="B34:E34"/>
    <mergeCell ref="B35:E35"/>
    <mergeCell ref="B36:E36"/>
    <mergeCell ref="B37:E37"/>
    <mergeCell ref="B38:E38"/>
  </mergeCells>
  <dataValidations count="12">
    <dataValidation allowBlank="true" error="Please enter 1 to 30 · steps of 1." errorStyle="stop" errorTitle="Outside the allowed range" operator="between" prompt="Your own figure.  Allowed: 1 to 30 · steps of 1." promptTitle="Years until you buy (for the pla" showDropDown="false" showErrorMessage="true" showInputMessage="true" sqref="C17" type="whole">
      <formula1>1</formula1>
      <formula2>30</formula2>
    </dataValidation>
    <dataValidation allowBlank="true" error="Please enter €0 to €10,000 · steps of €100." errorStyle="stop" errorTitle="Outside the allowed range" operator="between" prompt="Optional: your own legal and survey fees. No published figure, so no suggestion unless a partner sets one. Leave blank to count €0. Allowed: €0 to €10,000 · steps of €100" promptTitle="Legal and other buying fees" showDropDown="false" showErrorMessage="true" showInputMessage="true" sqref="C15" type="decimal">
      <formula1>0</formula1>
      <formula2>10000</formula2>
    </dataValidation>
    <dataValidation allowBlank="true" error="Please enter €100,000 to €10,000,000 · steps of €5,000." errorStyle="stop" errorTitle="Outside the allowed range" operator="between" prompt="Your own figure.  Allowed: €100,000 to €10,000,000 · steps of €5,000." promptTitle="Home price" showDropDown="false" showErrorMessage="true" showInputMessage="true" sqref="C7" type="decimal">
      <formula1>100000</formula1>
      <formula2>10000000</formula2>
    </dataValidation>
    <dataValidation allowBlank="true" error="Please enter €500 to €50,000 · steps of €50." errorStyle="stop" errorTitle="Outside the allowed range" operator="between" prompt="Your own figure.  Allowed: €500 to €50,000 · steps of €50." promptTitle="Monthly rent" showDropDown="false" showErrorMessage="true" showInputMessage="true" sqref="C6" type="decimal">
      <formula1>500</formula1>
      <formula2>50000</formula2>
    </dataValidation>
    <dataValidation allowBlank="true" error="Please enter at least 10% of the price and no more than the price." errorStyle="stop" errorTitle="Outside the allowed range" operator="between" prompt="Your own figure.  Allowed: at least 10% of the price and no more than the price." promptTitle="Deposit" showDropDown="false" showErrorMessage="true" showInputMessage="true" sqref="C8" type="custom">
      <formula1>AND('C07 Rent vs buy'!Deposit&gt;=Min_Deposit_Pct*'C07 Rent vs buy'!Home_Price,'C07 Rent vs buy'!Deposit&lt;='C07 Rent vs buy'!Home_Price)</formula1>
      <formula2>0</formula2>
    </dataValidation>
    <dataValidation allowBlank="true" error="Please enter 1% to 8% · steps of 0.05%." errorStyle="stop" errorTitle="Outside the allowed range" operator="between" prompt="Your own mortgage rate: your statement shows it. Typing it is fine; no upload needed. A suggested rate and its source are shown beside this cell (Partner rates, Assumptions sheet). Allowed: 1% to 8% · steps of 0.05%" promptTitle="Mortgage rate" showDropDown="false" showErrorMessage="true" showInputMessage="true" sqref="C9" type="decimal">
      <formula1>0.01</formula1>
      <formula2>0.08</formula2>
    </dataValidation>
    <dataValidation allowBlank="true" error="Please enter 5 to 35 · steps of 1." errorStyle="stop" errorTitle="Outside the allowed range" operator="between" prompt="Your own figure.  Allowed: 5 to 35 · steps of 1." promptTitle="Mortgage term" showDropDown="false" showErrorMessage="true" showInputMessage="true" sqref="C10" type="whole">
      <formula1>5</formula1>
      <formula2>35</formula2>
    </dataValidation>
    <dataValidation allowBlank="true" error="Please enter 1 to 30 · steps of 1." errorStyle="stop" errorTitle="Outside the allowed range" operator="between" prompt="Your own figure.  Allowed: 1 to 30 · steps of 1." promptTitle="Years to compare" showDropDown="false" showErrorMessage="true" showInputMessage="true" sqref="C11" type="whole">
      <formula1>1</formula1>
      <formula2>30</formula2>
    </dataValidation>
    <dataValidation allowBlank="true" error="Please enter 0% to 6% · steps of 0.5%." errorStyle="stop" errorTitle="Outside the allowed range" operator="between" prompt="Generally the standard is 2% a year, in line with long-run inflation (house prices can fall as well as rise). Choose what you want to use.  Allowed: 0% to 6% · steps of 0.5%." promptTitle="House prices rise a year" showDropDown="false" showErrorMessage="true" showInputMessage="true" sqref="C12" type="decimal">
      <formula1>0</formula1>
      <formula2>0.06</formula2>
    </dataValidation>
    <dataValidation allowBlank="true" error="Please enter 0% to 8% · steps of 0.5%." errorStyle="stop" errorTitle="Outside the allowed range" operator="between" prompt="Generally the standard is 3% a year (Irish rents have risen faster than prices in recent years). Choose what you want to use.  Allowed: 0% to 8% · steps of 0.5%." promptTitle="Rent rises a year" showDropDown="false" showErrorMessage="true" showInputMessage="true" sqref="C13" type="decimal">
      <formula1>0</formula1>
      <formula2>0.08</formula2>
    </dataValidation>
    <dataValidation allowBlank="true" error="Please enter 0% to 3% · steps of 0.1%." errorStyle="stop" errorTitle="Outside the allowed range" operator="between" prompt="Generally the standard is 1% of the home's value a year for repairs, insurance and maintenance. Choose what you want to use.  Allowed: 0% to 3% · steps of 0.1%." promptTitle="Upkeep a year, % of the home's v" showDropDown="false" showErrorMessage="true" showInputMessage="true" sqref="C14" type="decimal">
      <formula1>0</formula1>
      <formula2>0.03</formula2>
    </dataValidation>
    <dataValidation allowBlank="true" error="Please enter 0% to 6% · steps of 0.5%." errorStyle="stop" errorTitle="Outside the allowed range" operator="between" prompt="Optional: what your deposit could earn after DIRT if you rent. A suggested rate and its source are shown beside this cell (Partner rates, Assumptions sheet). Leave blank for 0%. Allowed: 0% to 6% · steps of 0.5%" promptTitle="What the deposit could earn a ye" showDropDown="false" showErrorMessage="true" showInputMessage="true" sqref="C16" type="decimal">
      <formula1>0</formula1>
      <formula2>0.06</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557</v>
      </c>
      <c r="E1" s="3" t="s">
        <v>558</v>
      </c>
    </row>
    <row r="2" customFormat="false" ht="15" hidden="false" customHeight="true" outlineLevel="0" collapsed="false">
      <c r="B2" s="25" t="s">
        <v>559</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560</v>
      </c>
    </row>
    <row r="5" customFormat="false" ht="15" hidden="false" customHeight="true" outlineLevel="0" collapsed="false">
      <c r="B5" s="15" t="s">
        <v>561</v>
      </c>
      <c r="C5" s="28" t="s">
        <v>222</v>
      </c>
      <c r="D5" s="28" t="s">
        <v>223</v>
      </c>
      <c r="E5" s="28" t="s">
        <v>224</v>
      </c>
      <c r="F5" s="29" t="s">
        <v>225</v>
      </c>
      <c r="G5" s="16"/>
    </row>
    <row r="6" customFormat="false" ht="21.75" hidden="false" customHeight="true" outlineLevel="0" collapsed="false">
      <c r="B6" s="9" t="s">
        <v>562</v>
      </c>
      <c r="C6" s="38"/>
      <c r="D6" s="31" t="s">
        <v>238</v>
      </c>
      <c r="E6" s="39" t="str">
        <f aca="false">"Type 3 · your choice · Generally the standard is 2% a year (ECB target); Ireland's prices are rising "&amp;TEXT(Set_inflNow,"0.0%")&amp;" now (CSO HICP flash, Sep 2026). Choose what you want to use. Allowed: 0% to 10% · steps of 0.25%"</f>
        <v>Type 3 · your choice · Generally the standard is 2% a year (ECB target); Ireland's prices are rising 3.9% now (CSO HICP flash, Sep 2026). Choose what you want to use. Allowed: 0% to 10% · steps of 0.25%</v>
      </c>
      <c r="F6" s="40" t="n">
        <v>0.02</v>
      </c>
      <c r="G6" s="41" t="str">
        <f aca="false">IF(ISBLANK(C6),IF(Fill_Example="Yes",F6,""),C6)</f>
        <v/>
      </c>
    </row>
    <row r="7" customFormat="false" ht="27.75" hidden="false" customHeight="true" outlineLevel="0" collapsed="false">
      <c r="B7" s="57" t="str">
        <f aca="false">"Everyone sees this differently. Ireland's prices are rising "&amp;TEXT(Set_inflNow,"0.0%")&amp;" now (CSO HICP flash, Sep 2026), mostly because of energy. Over decades, 2%–2.5% is the usual planning range (ECB target 2%). Enter 0% if you don't want to adjust for prices."</f>
        <v>Everyone sees this differently. Ireland's prices are rising 3.9% now (CSO HICP flash, Sep 2026), mostly because of energy. Over decades, 2%–2.5% is the usual planning range (ECB target 2%). Enter 0% if you don't want to adjust for prices.</v>
      </c>
      <c r="C7" s="57"/>
      <c r="D7" s="57"/>
      <c r="E7" s="57"/>
    </row>
    <row r="9" customFormat="false" ht="15" hidden="false" customHeight="true" outlineLevel="0" collapsed="false">
      <c r="B9" s="15" t="s">
        <v>221</v>
      </c>
      <c r="C9" s="28" t="s">
        <v>222</v>
      </c>
      <c r="D9" s="28" t="s">
        <v>223</v>
      </c>
      <c r="E9" s="28" t="s">
        <v>224</v>
      </c>
      <c r="F9" s="29" t="s">
        <v>225</v>
      </c>
      <c r="G9" s="16"/>
    </row>
    <row r="10" customFormat="false" ht="15" hidden="false" customHeight="true" outlineLevel="0" collapsed="false">
      <c r="B10" s="9" t="s">
        <v>563</v>
      </c>
      <c r="C10" s="30"/>
      <c r="D10" s="31" t="s">
        <v>227</v>
      </c>
      <c r="E10" s="32" t="s">
        <v>564</v>
      </c>
      <c r="F10" s="33" t="n">
        <v>15000</v>
      </c>
      <c r="G10" s="34" t="str">
        <f aca="false">IF(ISBLANK(C10),IF(Fill_Example="Yes",F10,""),C10)</f>
        <v/>
      </c>
    </row>
    <row r="11" customFormat="false" ht="15" hidden="false" customHeight="true" outlineLevel="0" collapsed="false">
      <c r="B11" s="9" t="s">
        <v>565</v>
      </c>
      <c r="C11" s="42"/>
      <c r="D11" s="31" t="s">
        <v>240</v>
      </c>
      <c r="E11" s="32" t="s">
        <v>244</v>
      </c>
      <c r="F11" s="43" t="n">
        <v>3</v>
      </c>
      <c r="G11" s="44" t="str">
        <f aca="false">IF(AND(ISNUMBER(C11),N(C11)&lt;1),"",IF(ISBLANK(C11),IF(Fill_Example="Yes",F11,""),C11))</f>
        <v/>
      </c>
    </row>
    <row r="12" customFormat="false" ht="15" hidden="false" customHeight="true" outlineLevel="0" collapsed="false">
      <c r="B12" s="9" t="s">
        <v>293</v>
      </c>
      <c r="C12" s="30"/>
      <c r="D12" s="31" t="s">
        <v>227</v>
      </c>
      <c r="E12" s="32" t="s">
        <v>566</v>
      </c>
      <c r="F12" s="33" t="n">
        <v>2000</v>
      </c>
      <c r="G12" s="34" t="str">
        <f aca="false">IF(ISBLANK(C12),IF(Fill_Example="Yes",F12,""),C12)</f>
        <v/>
      </c>
    </row>
    <row r="13" customFormat="false" ht="21.75" hidden="false" customHeight="true" outlineLevel="0" collapsed="false">
      <c r="B13" s="9" t="s">
        <v>567</v>
      </c>
      <c r="C13" s="38"/>
      <c r="D13" s="31" t="s">
        <v>238</v>
      </c>
      <c r="E13" s="39" t="s">
        <v>568</v>
      </c>
      <c r="F13" s="40" t="n">
        <f aca="false">AS_Cash</f>
        <v>0.01</v>
      </c>
      <c r="G13" s="41" t="n">
        <f aca="false">IF(ISBLANK(C13),F13,C13)</f>
        <v>0.01</v>
      </c>
    </row>
    <row r="15" customFormat="false" ht="15" hidden="false" customHeight="true" outlineLevel="0" collapsed="false">
      <c r="B15" s="15" t="s">
        <v>247</v>
      </c>
      <c r="C15" s="28" t="s">
        <v>248</v>
      </c>
      <c r="D15" s="28" t="s">
        <v>249</v>
      </c>
      <c r="E15" s="28" t="s">
        <v>250</v>
      </c>
      <c r="F15" s="16"/>
      <c r="G15" s="16"/>
    </row>
    <row r="16" customFormat="false" ht="17.25" hidden="false" customHeight="true" outlineLevel="0" collapsed="false">
      <c r="B16" s="25" t="s">
        <v>569</v>
      </c>
      <c r="C16" s="45" t="str">
        <f aca="false">IF(Need_1&lt;&gt;"",Need_1,IF(Inflation_Choice="","Choose your inflation rate to see this",PMT(Monthly_Growth,Years*12,0,-Still_Needed)))</f>
        <v>Choose your goal amount to see this</v>
      </c>
      <c r="D16" s="31" t="s">
        <v>227</v>
      </c>
      <c r="E16" s="46" t="s">
        <v>570</v>
      </c>
    </row>
    <row r="17" customFormat="false" ht="17.25" hidden="false" customHeight="true" outlineLevel="0" collapsed="false">
      <c r="B17" s="25" t="s">
        <v>571</v>
      </c>
      <c r="C17" s="45" t="str">
        <f aca="false">IF(Need_2&lt;&gt;"",Need_2,IF(Inflation_Choice="","Choose your inflation rate to see this",Goal_Amount*(1+Inflation_Choice)^Years))</f>
        <v>Choose your goal amount to see this</v>
      </c>
      <c r="D17" s="31" t="s">
        <v>227</v>
      </c>
      <c r="E17" s="46" t="s">
        <v>572</v>
      </c>
    </row>
    <row r="18" customFormat="false" ht="15" hidden="false" customHeight="true" outlineLevel="0" collapsed="false">
      <c r="B18" s="9" t="s">
        <v>573</v>
      </c>
      <c r="C18" s="47" t="str">
        <f aca="false">IF(Need_3&lt;&gt;"",Need_3,Saved*(1+Growth_Rate)^Years)</f>
        <v>Choose your years until the goal to see this</v>
      </c>
      <c r="D18" s="31" t="s">
        <v>227</v>
      </c>
      <c r="E18" s="46" t="s">
        <v>574</v>
      </c>
    </row>
    <row r="19" customFormat="false" ht="15" hidden="false" customHeight="true" outlineLevel="0" collapsed="false">
      <c r="B19" s="9" t="s">
        <v>575</v>
      </c>
      <c r="C19" s="47" t="str">
        <f aca="false">IF(Need_1&lt;&gt;"",Need_1,IF(Inflation_Choice="","Choose your inflation rate to see this",MAX(0,Future_Cost-Saved_Grows_To)))</f>
        <v>Choose your goal amount to see this</v>
      </c>
      <c r="D19" s="31" t="s">
        <v>227</v>
      </c>
      <c r="E19" s="46" t="s">
        <v>576</v>
      </c>
    </row>
    <row r="20" customFormat="false" ht="15" hidden="false" customHeight="true" outlineLevel="0" collapsed="false">
      <c r="B20" s="9" t="s">
        <v>577</v>
      </c>
      <c r="C20" s="68" t="n">
        <f aca="false">IF(Need_4&lt;&gt;"",Need_4,(1+Growth_Rate)^(1/12)-1)</f>
        <v>0.000829538114346162</v>
      </c>
      <c r="D20" s="31"/>
      <c r="E20" s="46" t="s">
        <v>578</v>
      </c>
    </row>
    <row r="21" customFormat="false" ht="15" hidden="false" customHeight="true" outlineLevel="0" collapsed="false">
      <c r="B21" s="72" t="str">
        <f aca="false">"Before tax: deposit interest is taxed at "&amp;TEXT(DIRT,"0%")&amp;" DIRT; investment funds and life policies pay "&amp;TEXT(Exit_Tax,"0%")&amp;" exit tax on gains, also charged every "&amp;Deemed_Disposal_Years&amp;" years (deemed disposal). Pension funds grow tax-free. No tax is taken off here."</f>
        <v>Before tax: deposit interest is taxed at 33% DIRT; investment funds and life policies pay 38% exit tax on gains, also charged every 8 years (deemed disposal). Pension funds grow tax-free. No tax is taken off here.</v>
      </c>
      <c r="C21" s="72"/>
      <c r="D21" s="72"/>
      <c r="E21" s="72"/>
    </row>
    <row r="23" customFormat="false" ht="15" hidden="false" customHeight="true" outlineLevel="0" collapsed="false">
      <c r="B23" s="15" t="s">
        <v>280</v>
      </c>
      <c r="C23" s="16"/>
      <c r="D23" s="16"/>
      <c r="E23" s="16"/>
      <c r="F23" s="16"/>
      <c r="G23" s="16"/>
    </row>
    <row r="24" customFormat="false" ht="13.5" hidden="false" customHeight="true" outlineLevel="0" collapsed="false">
      <c r="B24" s="50" t="s">
        <v>579</v>
      </c>
      <c r="C24" s="50"/>
      <c r="D24" s="50"/>
      <c r="E24" s="50"/>
    </row>
    <row r="25" customFormat="false" ht="13.5" hidden="false" customHeight="true" outlineLevel="0" collapsed="false">
      <c r="B25" s="50" t="s">
        <v>580</v>
      </c>
      <c r="C25" s="50"/>
      <c r="D25" s="50"/>
      <c r="E25" s="50"/>
    </row>
    <row r="26" customFormat="false" ht="13.5" hidden="false" customHeight="true" outlineLevel="0" collapsed="false">
      <c r="B26" s="50" t="s">
        <v>581</v>
      </c>
      <c r="C26" s="50"/>
      <c r="D26" s="50"/>
      <c r="E26" s="50"/>
    </row>
    <row r="27" customFormat="false" ht="13.5" hidden="false" customHeight="true" outlineLevel="0" collapsed="false">
      <c r="B27" s="51" t="s">
        <v>283</v>
      </c>
      <c r="C27" s="51"/>
      <c r="D27" s="51"/>
      <c r="E27" s="51"/>
    </row>
    <row r="28" customFormat="false" ht="13.5" hidden="false" customHeight="true" outlineLevel="0" collapsed="false">
      <c r="B28" s="50" t="s">
        <v>582</v>
      </c>
      <c r="C28" s="50"/>
      <c r="D28" s="50"/>
      <c r="E28" s="50"/>
    </row>
    <row r="29" customFormat="false" ht="13.5" hidden="false" customHeight="true" outlineLevel="0" collapsed="false">
      <c r="B29" s="50" t="s">
        <v>583</v>
      </c>
      <c r="C29" s="50"/>
      <c r="D29" s="50"/>
      <c r="E29" s="50"/>
    </row>
    <row r="31" customFormat="false" ht="15" hidden="false" customHeight="true" outlineLevel="0" collapsed="false">
      <c r="B31" s="15" t="s">
        <v>288</v>
      </c>
      <c r="C31" s="16"/>
      <c r="D31" s="16"/>
      <c r="E31" s="16"/>
      <c r="F31" s="16"/>
      <c r="G31" s="16"/>
    </row>
    <row r="32" customFormat="false" ht="15" hidden="false" customHeight="true" outlineLevel="0" collapsed="false">
      <c r="B32" s="9" t="s">
        <v>289</v>
      </c>
      <c r="C32" s="52" t="str">
        <f aca="false">"My goal (spend goal)"</f>
        <v>My goal (spend goal)</v>
      </c>
      <c r="E32" s="53" t="s">
        <v>584</v>
      </c>
    </row>
    <row r="33" customFormat="false" ht="15" hidden="false" customHeight="true" outlineLevel="0" collapsed="false">
      <c r="B33" s="9" t="s">
        <v>585</v>
      </c>
      <c r="C33" s="54" t="str">
        <f aca="false">IF(Need_5&lt;&gt;"",Need_5,Goal_Amount)</f>
        <v>Choose your goal amount to see this</v>
      </c>
      <c r="E33" s="53" t="s">
        <v>586</v>
      </c>
    </row>
    <row r="34" customFormat="false" ht="15" hidden="false" customHeight="true" outlineLevel="0" collapsed="false">
      <c r="B34" s="9" t="s">
        <v>293</v>
      </c>
      <c r="C34" s="54" t="str">
        <f aca="false">IF(Need_6&lt;&gt;"",Need_6,Saved)</f>
        <v>Choose your already saved to see this</v>
      </c>
      <c r="E34" s="53" t="s">
        <v>402</v>
      </c>
    </row>
    <row r="35" customFormat="false" ht="15" hidden="false" customHeight="true" outlineLevel="0" collapsed="false">
      <c r="B35" s="9" t="s">
        <v>295</v>
      </c>
      <c r="C35" s="55" t="str">
        <f aca="false">IF(Need_7&lt;&gt;"",Need_7,Years)</f>
        <v>Choose your years until the goal to see this</v>
      </c>
      <c r="E35" s="53" t="s">
        <v>587</v>
      </c>
    </row>
    <row r="36" customFormat="false" ht="15" hidden="false" customHeight="true" outlineLevel="0" collapsed="false">
      <c r="B36" s="9" t="s">
        <v>588</v>
      </c>
      <c r="C36" s="73" t="str">
        <f aca="false">IF(Inflation_Choice="","Choose an inflation rate first",Inflation_Choice)</f>
        <v>Choose an inflation rate first</v>
      </c>
      <c r="E36" s="53" t="s">
        <v>589</v>
      </c>
    </row>
    <row r="38" customFormat="false" ht="15" hidden="false" customHeight="true" outlineLevel="0" collapsed="false">
      <c r="B38" s="15" t="s">
        <v>297</v>
      </c>
      <c r="C38" s="16"/>
      <c r="D38" s="16"/>
      <c r="E38" s="16"/>
      <c r="F38" s="16"/>
      <c r="G38" s="16"/>
    </row>
    <row r="39" customFormat="false" ht="15" hidden="false" customHeight="true" outlineLevel="0" collapsed="false">
      <c r="B39" s="56" t="s">
        <v>590</v>
      </c>
      <c r="C39" s="56" t="str">
        <f aca="false">IF(Goal_Amount="","Choose your goal amount to see this",IF(Years="","Choose your years until the goal to see this",IF(Saved="","Choose your already saved to see this",IF(Inflation_Choice="","Choose your inflation rate to see this",""))))</f>
        <v>Choose your goal amount to see this</v>
      </c>
    </row>
    <row r="40" customFormat="false" ht="15" hidden="false" customHeight="true" outlineLevel="0" collapsed="false">
      <c r="B40" s="56" t="s">
        <v>591</v>
      </c>
      <c r="C40" s="56" t="str">
        <f aca="false">IF(Goal_Amount="","Choose your goal amount to see this",IF(Years="","Choose your years until the goal to see this",IF(Inflation_Choice="","Choose your inflation rate to see this","")))</f>
        <v>Choose your goal amount to see this</v>
      </c>
    </row>
    <row r="41" customFormat="false" ht="15" hidden="false" customHeight="true" outlineLevel="0" collapsed="false">
      <c r="B41" s="56" t="s">
        <v>592</v>
      </c>
      <c r="C41" s="56" t="str">
        <f aca="false">IF(Years="","Choose your years until the goal to see this",IF(Saved="","Choose your already saved to see this",""))</f>
        <v>Choose your years until the goal to see this</v>
      </c>
    </row>
    <row r="42" customFormat="false" ht="15" hidden="false" customHeight="true" outlineLevel="0" collapsed="false">
      <c r="B42" s="56" t="s">
        <v>593</v>
      </c>
      <c r="C42" s="56" t="str">
        <f aca="false">""</f>
        <v/>
      </c>
    </row>
    <row r="43" customFormat="false" ht="15" hidden="false" customHeight="true" outlineLevel="0" collapsed="false">
      <c r="B43" s="56" t="s">
        <v>594</v>
      </c>
      <c r="C43" s="56" t="str">
        <f aca="false">IF(Goal_Amount="","Choose your goal amount to see this","")</f>
        <v>Choose your goal amount to see this</v>
      </c>
    </row>
    <row r="44" customFormat="false" ht="15" hidden="false" customHeight="true" outlineLevel="0" collapsed="false">
      <c r="B44" s="56" t="s">
        <v>595</v>
      </c>
      <c r="C44" s="56" t="str">
        <f aca="false">IF(Saved="","Choose your already saved to see this","")</f>
        <v>Choose your already saved to see this</v>
      </c>
    </row>
    <row r="45" customFormat="false" ht="15" hidden="false" customHeight="true" outlineLevel="0" collapsed="false">
      <c r="B45" s="56" t="s">
        <v>596</v>
      </c>
      <c r="C45" s="56" t="str">
        <f aca="false">IF(Years="","Choose your years until the goal to see this","")</f>
        <v>Choose your years until the goal to see this</v>
      </c>
    </row>
  </sheetData>
  <mergeCells count="8">
    <mergeCell ref="B7:E7"/>
    <mergeCell ref="B21:E21"/>
    <mergeCell ref="B24:E24"/>
    <mergeCell ref="B25:E25"/>
    <mergeCell ref="B26:E26"/>
    <mergeCell ref="B27:E27"/>
    <mergeCell ref="B28:E28"/>
    <mergeCell ref="B29:E29"/>
  </mergeCells>
  <dataValidations count="5">
    <dataValidation allowBlank="true" error="Please enter 0% to 10% · steps of 0.25%." errorStyle="stop" errorTitle="Outside the allowed range" operator="between" prompt="Generally the standard is 2% a year (ECB target); Ireland's prices are rising 3.9% now (CSO HICP flash, Sep 2026). Choose what you want to use.  Allowed: 0% to 10% · steps of 0.25%." promptTitle="Inflation you expect (your choic" showDropDown="false" showErrorMessage="true" showInputMessage="true" sqref="C6" type="decimal">
      <formula1>0</formula1>
      <formula2>0.1</formula2>
    </dataValidation>
    <dataValidation allowBlank="true" error="Please enter €500 to €5,000,000 · steps of €500." errorStyle="stop" errorTitle="Outside the allowed range" operator="between" prompt="Your own figure.  Allowed: €500 to €5,000,000 · steps of €500." promptTitle="Goal amount (today's prices)" showDropDown="false" showErrorMessage="true" showInputMessage="true" sqref="C10" type="decimal">
      <formula1>500</formula1>
      <formula2>5000000</formula2>
    </dataValidation>
    <dataValidation allowBlank="true" error="Please enter 1 to 30 · steps of 1." errorStyle="stop" errorTitle="Outside the allowed range" operator="between" prompt="Your own figure.  Allowed: 1 to 30 · steps of 1." promptTitle="Years until the goal" showDropDown="false" showErrorMessage="true" showInputMessage="true" sqref="C11" type="whole">
      <formula1>1</formula1>
      <formula2>30</formula2>
    </dataValidation>
    <dataValidation allowBlank="true" error="Please enter €0 to €2,000,000 · steps of €500." errorStyle="stop" errorTitle="Outside the allowed range" operator="between" prompt="Your own figure.  Allowed: €0 to €2,000,000 · steps of €500." promptTitle="Already saved" showDropDown="false" showErrorMessage="true" showInputMessage="true" sqref="C12" type="decimal">
      <formula1>0</formula1>
      <formula2>2000000</formula2>
    </dataValidation>
    <dataValidation allowBlank="true" error="Please enter 0% to 7% · steps of 0.5%." errorStyle="stop" errorTitle="Outside the allowed range" operator="between" prompt="Generally the standard is 1% a year after DIRT for cash savings (Irish fixed-term deposits about 2% before tax in mid-2026). Choose what you want to use.  Allowed: 0% to 7% · steps of 0.5%." promptTitle="Growth / interest a year (after " showDropDown="false" showErrorMessage="true" showInputMessage="true" sqref="C13" type="decimal">
      <formula1>0</formula1>
      <formula2>0.07</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597</v>
      </c>
      <c r="E1" s="3" t="s">
        <v>598</v>
      </c>
    </row>
    <row r="2" customFormat="false" ht="15" hidden="false" customHeight="true" outlineLevel="0" collapsed="false">
      <c r="B2" s="25" t="s">
        <v>599</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600</v>
      </c>
    </row>
    <row r="5" customFormat="false" ht="15" hidden="false" customHeight="true" outlineLevel="0" collapsed="false">
      <c r="B5" s="15" t="s">
        <v>561</v>
      </c>
      <c r="C5" s="28" t="s">
        <v>222</v>
      </c>
      <c r="D5" s="28" t="s">
        <v>223</v>
      </c>
      <c r="E5" s="28" t="s">
        <v>224</v>
      </c>
      <c r="F5" s="29" t="s">
        <v>225</v>
      </c>
      <c r="G5" s="16"/>
    </row>
    <row r="6" customFormat="false" ht="21.75" hidden="false" customHeight="true" outlineLevel="0" collapsed="false">
      <c r="B6" s="9" t="s">
        <v>562</v>
      </c>
      <c r="C6" s="38"/>
      <c r="D6" s="31" t="s">
        <v>238</v>
      </c>
      <c r="E6" s="39" t="str">
        <f aca="false">"Type 3 · your choice · Generally the standard is 2% a year (ECB target); Ireland's prices are rising "&amp;TEXT(Set_inflNow,"0.0%")&amp;" now (CSO HICP flash, Sep 2026). Choose what you want to use. Allowed: 0% to 10% · steps of 0.25%"</f>
        <v>Type 3 · your choice · Generally the standard is 2% a year (ECB target); Ireland's prices are rising 3.9% now (CSO HICP flash, Sep 2026). Choose what you want to use. Allowed: 0% to 10% · steps of 0.25%</v>
      </c>
      <c r="F6" s="40" t="n">
        <v>0.02</v>
      </c>
      <c r="G6" s="41" t="str">
        <f aca="false">IF(ISBLANK(C6),IF(Fill_Example="Yes",F6,""),C6)</f>
        <v/>
      </c>
    </row>
    <row r="7" customFormat="false" ht="27.75" hidden="false" customHeight="true" outlineLevel="0" collapsed="false">
      <c r="B7" s="57" t="str">
        <f aca="false">"Everyone sees this differently. Ireland's prices are rising "&amp;TEXT(Set_inflNow,"0.0%")&amp;" now (CSO HICP flash, Sep 2026), mostly because of energy. Over decades, 2%–2.5% is the usual planning range (ECB target 2%). Enter 0% if you don't want to adjust for prices."</f>
        <v>Everyone sees this differently. Ireland's prices are rising 3.9% now (CSO HICP flash, Sep 2026), mostly because of energy. Over decades, 2%–2.5% is the usual planning range (ECB target 2%). Enter 0% if you don't want to adjust for prices.</v>
      </c>
      <c r="C7" s="57"/>
      <c r="D7" s="57"/>
      <c r="E7" s="57"/>
    </row>
    <row r="9" customFormat="false" ht="15" hidden="false" customHeight="true" outlineLevel="0" collapsed="false">
      <c r="B9" s="15" t="s">
        <v>221</v>
      </c>
      <c r="C9" s="28" t="s">
        <v>222</v>
      </c>
      <c r="D9" s="28" t="s">
        <v>223</v>
      </c>
      <c r="E9" s="28" t="s">
        <v>224</v>
      </c>
      <c r="F9" s="29" t="s">
        <v>225</v>
      </c>
      <c r="G9" s="16"/>
    </row>
    <row r="10" customFormat="false" ht="15" hidden="false" customHeight="true" outlineLevel="0" collapsed="false">
      <c r="B10" s="9" t="s">
        <v>601</v>
      </c>
      <c r="C10" s="30"/>
      <c r="D10" s="31" t="s">
        <v>227</v>
      </c>
      <c r="E10" s="32" t="s">
        <v>566</v>
      </c>
      <c r="F10" s="33" t="n">
        <v>5000</v>
      </c>
      <c r="G10" s="34" t="str">
        <f aca="false">IF(ISBLANK(C10),IF(Fill_Example="Yes",F10,""),C10)</f>
        <v/>
      </c>
    </row>
    <row r="11" customFormat="false" ht="15" hidden="false" customHeight="true" outlineLevel="0" collapsed="false">
      <c r="B11" s="9" t="s">
        <v>602</v>
      </c>
      <c r="C11" s="30"/>
      <c r="D11" s="31" t="s">
        <v>227</v>
      </c>
      <c r="E11" s="32" t="s">
        <v>603</v>
      </c>
      <c r="F11" s="33" t="n">
        <v>200</v>
      </c>
      <c r="G11" s="34" t="str">
        <f aca="false">IF(ISBLANK(C11),IF(Fill_Example="Yes",F11,""),C11)</f>
        <v/>
      </c>
    </row>
    <row r="12" customFormat="false" ht="21.75" hidden="false" customHeight="true" outlineLevel="0" collapsed="false">
      <c r="B12" s="9" t="s">
        <v>604</v>
      </c>
      <c r="C12" s="38"/>
      <c r="D12" s="31" t="s">
        <v>238</v>
      </c>
      <c r="E12" s="39" t="s">
        <v>605</v>
      </c>
      <c r="F12" s="40" t="n">
        <f aca="false">Set_invGross</f>
        <v>0.05</v>
      </c>
      <c r="G12" s="41" t="n">
        <f aca="false">IF(ISBLANK(C12),F12,C12)</f>
        <v>0.05</v>
      </c>
    </row>
    <row r="13" customFormat="false" ht="15" hidden="false" customHeight="true" outlineLevel="0" collapsed="false">
      <c r="B13" s="9" t="s">
        <v>606</v>
      </c>
      <c r="C13" s="42"/>
      <c r="D13" s="31" t="s">
        <v>240</v>
      </c>
      <c r="E13" s="32" t="s">
        <v>607</v>
      </c>
      <c r="F13" s="43" t="n">
        <v>20</v>
      </c>
      <c r="G13" s="44" t="str">
        <f aca="false">IF(ISBLANK(C13),IF(Fill_Example="Yes",F13,""),C13)</f>
        <v/>
      </c>
    </row>
    <row r="15" customFormat="false" ht="15" hidden="false" customHeight="true" outlineLevel="0" collapsed="false">
      <c r="B15" s="15" t="s">
        <v>247</v>
      </c>
      <c r="C15" s="28" t="s">
        <v>248</v>
      </c>
      <c r="D15" s="28" t="s">
        <v>249</v>
      </c>
      <c r="E15" s="28" t="s">
        <v>250</v>
      </c>
      <c r="F15" s="16"/>
      <c r="G15" s="16"/>
    </row>
    <row r="16" customFormat="false" ht="17.25" hidden="false" customHeight="true" outlineLevel="0" collapsed="false">
      <c r="B16" s="25" t="s">
        <v>608</v>
      </c>
      <c r="C16" s="45" t="str">
        <f aca="false">IF(Need_1&lt;&gt;"",Need_1,FV(Monthly_Growth,Years*12,-Monthly_Addition,-Starting_Amount))</f>
        <v>Choose your starting amount to see this</v>
      </c>
      <c r="D16" s="31" t="s">
        <v>227</v>
      </c>
      <c r="E16" s="46" t="s">
        <v>609</v>
      </c>
    </row>
    <row r="17" customFormat="false" ht="17.25" hidden="false" customHeight="true" outlineLevel="0" collapsed="false">
      <c r="B17" s="25" t="s">
        <v>610</v>
      </c>
      <c r="C17" s="45" t="str">
        <f aca="false">IF(Need_2&lt;&gt;"",Need_2,IF(Inflation_Choice="","Choose your inflation rate to see this",Grows_To/(1+Inflation_Choice)^Years))</f>
        <v>Choose your starting amount to see this</v>
      </c>
      <c r="D17" s="31" t="s">
        <v>227</v>
      </c>
      <c r="E17" s="46" t="s">
        <v>611</v>
      </c>
    </row>
    <row r="18" customFormat="false" ht="15" hidden="false" customHeight="true" outlineLevel="0" collapsed="false">
      <c r="B18" s="9" t="s">
        <v>612</v>
      </c>
      <c r="C18" s="47" t="str">
        <f aca="false">IF(Need_3&lt;&gt;"",Need_3,Starting_Amount+Monthly_Addition*12*Years)</f>
        <v>Choose your starting amount to see this</v>
      </c>
      <c r="D18" s="31" t="s">
        <v>227</v>
      </c>
      <c r="E18" s="46" t="s">
        <v>613</v>
      </c>
    </row>
    <row r="19" customFormat="false" ht="15" hidden="false" customHeight="true" outlineLevel="0" collapsed="false">
      <c r="B19" s="9" t="s">
        <v>614</v>
      </c>
      <c r="C19" s="47" t="str">
        <f aca="false">IF(Need_1&lt;&gt;"",Need_1,Grows_To-Paid_In)</f>
        <v>Choose your starting amount to see this</v>
      </c>
      <c r="D19" s="31" t="s">
        <v>227</v>
      </c>
      <c r="E19" s="46" t="s">
        <v>615</v>
      </c>
    </row>
    <row r="20" customFormat="false" ht="15" hidden="false" customHeight="true" outlineLevel="0" collapsed="false">
      <c r="B20" s="9" t="s">
        <v>577</v>
      </c>
      <c r="C20" s="68" t="n">
        <f aca="false">IF(Need_4&lt;&gt;"",Need_4,(1+Growth_Rate)^(1/12)-1)</f>
        <v>0.00407412378364835</v>
      </c>
      <c r="D20" s="31"/>
      <c r="E20" s="46" t="s">
        <v>578</v>
      </c>
    </row>
    <row r="21" customFormat="false" ht="15" hidden="false" customHeight="true" outlineLevel="0" collapsed="false">
      <c r="B21" s="72" t="str">
        <f aca="false">"Before tax: deposit interest is taxed at "&amp;TEXT(DIRT,"0%")&amp;" DIRT; investment funds and life policies pay "&amp;TEXT(Exit_Tax,"0%")&amp;" exit tax on gains, also charged every "&amp;Deemed_Disposal_Years&amp;" years (deemed disposal). Pension funds grow tax-free. No tax is taken off here."</f>
        <v>Before tax: deposit interest is taxed at 33% DIRT; investment funds and life policies pay 38% exit tax on gains, also charged every 8 years (deemed disposal). Pension funds grow tax-free. No tax is taken off here.</v>
      </c>
      <c r="C21" s="72"/>
      <c r="D21" s="72"/>
      <c r="E21" s="72"/>
    </row>
    <row r="23" customFormat="false" ht="15" hidden="false" customHeight="true" outlineLevel="0" collapsed="false">
      <c r="B23" s="15" t="s">
        <v>280</v>
      </c>
      <c r="C23" s="16"/>
      <c r="D23" s="16"/>
      <c r="E23" s="16"/>
      <c r="F23" s="16"/>
      <c r="G23" s="16"/>
    </row>
    <row r="24" customFormat="false" ht="27.75" hidden="false" customHeight="true" outlineLevel="0" collapsed="false">
      <c r="B24" s="50" t="s">
        <v>616</v>
      </c>
      <c r="C24" s="50"/>
      <c r="D24" s="50"/>
      <c r="E24" s="50"/>
    </row>
    <row r="25" customFormat="false" ht="13.5" hidden="false" customHeight="true" outlineLevel="0" collapsed="false">
      <c r="B25" s="50" t="s">
        <v>617</v>
      </c>
      <c r="C25" s="50"/>
      <c r="D25" s="50"/>
      <c r="E25" s="50"/>
    </row>
    <row r="26" customFormat="false" ht="13.5" hidden="false" customHeight="true" outlineLevel="0" collapsed="false">
      <c r="B26" s="51" t="s">
        <v>283</v>
      </c>
      <c r="C26" s="51"/>
      <c r="D26" s="51"/>
      <c r="E26" s="51"/>
    </row>
    <row r="27" customFormat="false" ht="13.5" hidden="false" customHeight="true" outlineLevel="0" collapsed="false">
      <c r="B27" s="50" t="s">
        <v>618</v>
      </c>
      <c r="C27" s="50"/>
      <c r="D27" s="50"/>
      <c r="E27" s="50"/>
    </row>
    <row r="28" customFormat="false" ht="13.5" hidden="false" customHeight="true" outlineLevel="0" collapsed="false">
      <c r="B28" s="50" t="s">
        <v>619</v>
      </c>
      <c r="C28" s="50"/>
      <c r="D28" s="50"/>
      <c r="E28" s="50"/>
    </row>
    <row r="30" customFormat="false" ht="15" hidden="false" customHeight="true" outlineLevel="0" collapsed="false">
      <c r="B30" s="15" t="s">
        <v>288</v>
      </c>
      <c r="C30" s="16"/>
      <c r="D30" s="16"/>
      <c r="E30" s="16"/>
      <c r="F30" s="16"/>
      <c r="G30" s="16"/>
    </row>
    <row r="31" customFormat="false" ht="15" hidden="false" customHeight="true" outlineLevel="0" collapsed="false">
      <c r="B31" s="9" t="s">
        <v>289</v>
      </c>
      <c r="C31" s="52" t="str">
        <f aca="false">"Grow my wealth (plan kind pot)"</f>
        <v>Grow my wealth (plan kind pot)</v>
      </c>
      <c r="E31" s="53" t="s">
        <v>620</v>
      </c>
    </row>
    <row r="32" customFormat="false" ht="15" hidden="false" customHeight="true" outlineLevel="0" collapsed="false">
      <c r="B32" s="9" t="s">
        <v>621</v>
      </c>
      <c r="C32" s="54" t="str">
        <f aca="false">IF(Need_1&lt;&gt;"",Need_1,IF(Inflation_Choice="","Choose an inflation rate first",ROUND(Value_Today,0)))</f>
        <v>Choose your starting amount to see this</v>
      </c>
      <c r="E32" s="53" t="s">
        <v>622</v>
      </c>
    </row>
    <row r="33" customFormat="false" ht="15" hidden="false" customHeight="true" outlineLevel="0" collapsed="false">
      <c r="B33" s="9" t="s">
        <v>295</v>
      </c>
      <c r="C33" s="55" t="str">
        <f aca="false">IF(Need_5&lt;&gt;"",Need_5,Years)</f>
        <v>Choose your years to see this</v>
      </c>
      <c r="E33" s="53" t="s">
        <v>587</v>
      </c>
    </row>
    <row r="34" customFormat="false" ht="15" hidden="false" customHeight="true" outlineLevel="0" collapsed="false">
      <c r="B34" s="9" t="s">
        <v>588</v>
      </c>
      <c r="C34" s="73" t="str">
        <f aca="false">IF(Inflation_Choice="","Choose an inflation rate first",Inflation_Choice)</f>
        <v>Choose an inflation rate first</v>
      </c>
      <c r="E34" s="53" t="s">
        <v>589</v>
      </c>
    </row>
    <row r="35" customFormat="false" ht="13.5" hidden="false" customHeight="true" outlineLevel="0" collapsed="false">
      <c r="B35" s="57" t="s">
        <v>623</v>
      </c>
      <c r="C35" s="57"/>
      <c r="D35" s="57"/>
      <c r="E35" s="57"/>
    </row>
    <row r="37" customFormat="false" ht="15" hidden="false" customHeight="true" outlineLevel="0" collapsed="false">
      <c r="B37" s="15" t="s">
        <v>297</v>
      </c>
      <c r="C37" s="16"/>
      <c r="D37" s="16"/>
      <c r="E37" s="16"/>
      <c r="F37" s="16"/>
      <c r="G37" s="16"/>
    </row>
    <row r="38" customFormat="false" ht="15" hidden="false" customHeight="true" outlineLevel="0" collapsed="false">
      <c r="B38" s="56" t="s">
        <v>624</v>
      </c>
      <c r="C38" s="56" t="str">
        <f aca="false">IF(Starting_Amount="","Choose your starting amount to see this",IF(Monthly_Addition="","Choose your monthly addition to see this",IF(Years="","Choose your years to see this","")))</f>
        <v>Choose your starting amount to see this</v>
      </c>
    </row>
    <row r="39" customFormat="false" ht="15" hidden="false" customHeight="true" outlineLevel="0" collapsed="false">
      <c r="B39" s="56" t="s">
        <v>625</v>
      </c>
      <c r="C39" s="56" t="str">
        <f aca="false">IF(Starting_Amount="","Choose your starting amount to see this",IF(Monthly_Addition="","Choose your monthly addition to see this",IF(Years="","Choose your years to see this",IF(Inflation_Choice="","Choose your inflation rate to see this",""))))</f>
        <v>Choose your starting amount to see this</v>
      </c>
    </row>
    <row r="40" customFormat="false" ht="15" hidden="false" customHeight="true" outlineLevel="0" collapsed="false">
      <c r="B40" s="56" t="s">
        <v>626</v>
      </c>
      <c r="C40" s="56" t="str">
        <f aca="false">IF(Starting_Amount="","Choose your starting amount to see this",IF(Monthly_Addition="","Choose your monthly addition to see this",IF(Years="","Choose your years to see this","")))</f>
        <v>Choose your starting amount to see this</v>
      </c>
    </row>
    <row r="41" customFormat="false" ht="15" hidden="false" customHeight="true" outlineLevel="0" collapsed="false">
      <c r="B41" s="56" t="s">
        <v>593</v>
      </c>
      <c r="C41" s="56" t="str">
        <f aca="false">""</f>
        <v/>
      </c>
    </row>
    <row r="42" customFormat="false" ht="15" hidden="false" customHeight="true" outlineLevel="0" collapsed="false">
      <c r="B42" s="56" t="s">
        <v>627</v>
      </c>
      <c r="C42" s="56" t="str">
        <f aca="false">IF(Years="","Choose your years to see this","")</f>
        <v>Choose your years to see this</v>
      </c>
    </row>
  </sheetData>
  <mergeCells count="8">
    <mergeCell ref="B7:E7"/>
    <mergeCell ref="B21:E21"/>
    <mergeCell ref="B24:E24"/>
    <mergeCell ref="B25:E25"/>
    <mergeCell ref="B26:E26"/>
    <mergeCell ref="B27:E27"/>
    <mergeCell ref="B28:E28"/>
    <mergeCell ref="B35:E35"/>
  </mergeCells>
  <dataValidations count="5">
    <dataValidation allowBlank="true" error="Please enter 0% to 10% · steps of 0.25%." errorStyle="stop" errorTitle="Outside the allowed range" operator="between" prompt="Generally the standard is 2% a year (ECB target); Ireland's prices are rising 3.9% now (CSO HICP flash, Sep 2026). Choose what you want to use.  Allowed: 0% to 10% · steps of 0.25%." promptTitle="Inflation you expect (your choic" showDropDown="false" showErrorMessage="true" showInputMessage="true" sqref="C6" type="decimal">
      <formula1>0</formula1>
      <formula2>0.1</formula2>
    </dataValidation>
    <dataValidation allowBlank="true" error="Please enter 1 to 40 · steps of 1." errorStyle="stop" errorTitle="Outside the allowed range" operator="between" prompt="Your own figure.  Allowed: 1 to 40 · steps of 1." promptTitle="Years" showDropDown="false" showErrorMessage="true" showInputMessage="true" sqref="C13" type="whole">
      <formula1>1</formula1>
      <formula2>40</formula2>
    </dataValidation>
    <dataValidation allowBlank="true" error="Please enter €0 to €2,000,000 · steps of €500." errorStyle="stop" errorTitle="Outside the allowed range" operator="between" prompt="Your own figure.  Allowed: €0 to €2,000,000 · steps of €500." promptTitle="Starting amount" showDropDown="false" showErrorMessage="true" showInputMessage="true" sqref="C10" type="decimal">
      <formula1>0</formula1>
      <formula2>2000000</formula2>
    </dataValidation>
    <dataValidation allowBlank="true" error="Please enter €0 to €30,000 · steps of €25." errorStyle="stop" errorTitle="Outside the allowed range" operator="between" prompt="Your own figure.  Allowed: €0 to €30,000 · steps of €25." promptTitle="Monthly addition" showDropDown="false" showErrorMessage="true" showInputMessage="true" sqref="C11" type="decimal">
      <formula1>0</formula1>
      <formula2>30000</formula2>
    </dataValidation>
    <dataValidation allowBlank="true" error="Please enter 0% to 8% · steps of 0.5%." errorStyle="stop" errorTitle="Outside the allowed range" operator="between" prompt="Generally the standard is 5% a year before charges and tax for a mixed fund (LifeMap standard, not a forecast). Choose what you want to use.  Allowed: 0% to 8% · steps of 0.5%." promptTitle="Growth rate a year" showDropDown="false" showErrorMessage="true" showInputMessage="true" sqref="C12" type="decimal">
      <formula1>0</formula1>
      <formula2>0.08</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628</v>
      </c>
      <c r="E1" s="3" t="s">
        <v>629</v>
      </c>
    </row>
    <row r="2" customFormat="false" ht="15" hidden="false" customHeight="true" outlineLevel="0" collapsed="false">
      <c r="B2" s="25" t="s">
        <v>630</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631</v>
      </c>
    </row>
    <row r="5" customFormat="false" ht="15" hidden="false" customHeight="true" outlineLevel="0" collapsed="false">
      <c r="B5" s="15" t="s">
        <v>561</v>
      </c>
      <c r="C5" s="28" t="s">
        <v>222</v>
      </c>
      <c r="D5" s="28" t="s">
        <v>223</v>
      </c>
      <c r="E5" s="28" t="s">
        <v>224</v>
      </c>
      <c r="F5" s="29" t="s">
        <v>225</v>
      </c>
      <c r="G5" s="16"/>
    </row>
    <row r="6" customFormat="false" ht="21.75" hidden="false" customHeight="true" outlineLevel="0" collapsed="false">
      <c r="B6" s="9" t="s">
        <v>562</v>
      </c>
      <c r="C6" s="38"/>
      <c r="D6" s="31" t="s">
        <v>238</v>
      </c>
      <c r="E6" s="39" t="str">
        <f aca="false">"Type 3 · your choice · Generally the standard is 2% a year (ECB target); Ireland's prices are rising "&amp;TEXT(Set_inflNow,"0.0%")&amp;" now (CSO HICP flash, Sep 2026). Choose what you want to use. Allowed: 0% to 10% · steps of 0.25%"</f>
        <v>Type 3 · your choice · Generally the standard is 2% a year (ECB target); Ireland's prices are rising 3.9% now (CSO HICP flash, Sep 2026). Choose what you want to use. Allowed: 0% to 10% · steps of 0.25%</v>
      </c>
      <c r="F6" s="40" t="n">
        <v>0.02</v>
      </c>
      <c r="G6" s="41" t="str">
        <f aca="false">IF(ISBLANK(C6),IF(Fill_Example="Yes",F6,""),C6)</f>
        <v/>
      </c>
    </row>
    <row r="7" customFormat="false" ht="27.75" hidden="false" customHeight="true" outlineLevel="0" collapsed="false">
      <c r="B7" s="57" t="str">
        <f aca="false">"Everyone sees this differently. Ireland's prices are rising "&amp;TEXT(Set_inflNow,"0.0%")&amp;" now (CSO HICP flash, Sep 2026), mostly because of energy. Over decades, 2%–2.5% is the usual planning range (ECB target 2%). Enter 0% if you don't want to adjust for prices."</f>
        <v>Everyone sees this differently. Ireland's prices are rising 3.9% now (CSO HICP flash, Sep 2026), mostly because of energy. Over decades, 2%–2.5% is the usual planning range (ECB target 2%). Enter 0% if you don't want to adjust for prices.</v>
      </c>
      <c r="C7" s="57"/>
      <c r="D7" s="57"/>
      <c r="E7" s="57"/>
    </row>
    <row r="9" customFormat="false" ht="15" hidden="false" customHeight="true" outlineLevel="0" collapsed="false">
      <c r="B9" s="15" t="s">
        <v>310</v>
      </c>
      <c r="C9" s="16"/>
      <c r="D9" s="16"/>
      <c r="E9" s="16"/>
      <c r="F9" s="16"/>
      <c r="G9" s="16"/>
    </row>
    <row r="10" customFormat="false" ht="27.75" hidden="false" customHeight="true" outlineLevel="0" collapsed="false">
      <c r="B10" s="57" t="s">
        <v>632</v>
      </c>
      <c r="C10" s="57"/>
      <c r="D10" s="57"/>
      <c r="E10" s="57"/>
    </row>
    <row r="11" customFormat="false" ht="15" hidden="false" customHeight="true" outlineLevel="0" collapsed="false">
      <c r="B11" s="9" t="s">
        <v>633</v>
      </c>
      <c r="C11" s="58"/>
      <c r="D11" s="31" t="s">
        <v>227</v>
      </c>
      <c r="E11" s="32" t="s">
        <v>634</v>
      </c>
      <c r="G11" s="56" t="s">
        <v>314</v>
      </c>
    </row>
    <row r="12" customFormat="false" ht="15" hidden="false" customHeight="true" outlineLevel="0" collapsed="false">
      <c r="B12" s="9" t="s">
        <v>635</v>
      </c>
      <c r="C12" s="59"/>
      <c r="D12" s="31" t="s">
        <v>238</v>
      </c>
      <c r="E12" s="32" t="s">
        <v>636</v>
      </c>
      <c r="G12" s="56" t="s">
        <v>314</v>
      </c>
    </row>
    <row r="13" customFormat="false" ht="15" hidden="false" customHeight="true" outlineLevel="0" collapsed="false">
      <c r="B13" s="9" t="s">
        <v>321</v>
      </c>
      <c r="C13" s="61"/>
      <c r="D13" s="31" t="s">
        <v>322</v>
      </c>
      <c r="E13" s="32" t="s">
        <v>323</v>
      </c>
      <c r="G13" s="56" t="s">
        <v>314</v>
      </c>
    </row>
    <row r="15" customFormat="false" ht="15" hidden="false" customHeight="true" outlineLevel="0" collapsed="false">
      <c r="B15" s="15" t="s">
        <v>324</v>
      </c>
      <c r="C15" s="28" t="s">
        <v>222</v>
      </c>
      <c r="D15" s="28" t="s">
        <v>223</v>
      </c>
      <c r="E15" s="28" t="s">
        <v>224</v>
      </c>
      <c r="F15" s="29" t="s">
        <v>225</v>
      </c>
      <c r="G15" s="16"/>
    </row>
    <row r="16" customFormat="false" ht="21.75" hidden="false" customHeight="true" outlineLevel="0" collapsed="false">
      <c r="B16" s="9" t="s">
        <v>637</v>
      </c>
      <c r="C16" s="30"/>
      <c r="D16" s="31" t="s">
        <v>227</v>
      </c>
      <c r="E16" s="32" t="s">
        <v>638</v>
      </c>
      <c r="F16" s="33" t="n">
        <v>10000</v>
      </c>
      <c r="G16" s="34" t="str">
        <f aca="false">IF(ISBLANK(C16),IF(Fill_Example="Yes",F16,""),C16)</f>
        <v/>
      </c>
    </row>
    <row r="17" customFormat="false" ht="21.75" hidden="false" customHeight="true" outlineLevel="0" collapsed="false">
      <c r="B17" s="9" t="s">
        <v>639</v>
      </c>
      <c r="C17" s="38"/>
      <c r="D17" s="31" t="s">
        <v>238</v>
      </c>
      <c r="E17" s="39" t="s">
        <v>605</v>
      </c>
      <c r="F17" s="40" t="n">
        <f aca="false">Set_invGross</f>
        <v>0.05</v>
      </c>
      <c r="G17" s="41" t="n">
        <f aca="false">IF(ISBLANK(C17),F17,C17)</f>
        <v>0.05</v>
      </c>
    </row>
    <row r="18" customFormat="false" ht="15" hidden="false" customHeight="true" outlineLevel="0" collapsed="false">
      <c r="B18" s="9" t="s">
        <v>606</v>
      </c>
      <c r="C18" s="42"/>
      <c r="D18" s="31" t="s">
        <v>240</v>
      </c>
      <c r="E18" s="32" t="s">
        <v>607</v>
      </c>
      <c r="F18" s="43" t="n">
        <v>15</v>
      </c>
      <c r="G18" s="44" t="str">
        <f aca="false">IF(ISBLANK(C18),IF(Fill_Example="Yes",F18,""),C18)</f>
        <v/>
      </c>
    </row>
    <row r="19" customFormat="false" ht="21.75" hidden="false" customHeight="true" outlineLevel="0" collapsed="false">
      <c r="B19" s="9" t="s">
        <v>640</v>
      </c>
      <c r="C19" s="38"/>
      <c r="D19" s="31" t="s">
        <v>238</v>
      </c>
      <c r="E19" s="39" t="str">
        <f aca="false">"Type 2 · your figure · Fund charges a year (your statement shows yours). "&amp;IF(ISNUMBER(Suggest_Fund_Charges),"Suggested: "&amp;TEXT(Suggest_Fund_Charges,"0.00%")&amp;" · "&amp;Suggest_Fund_Charges_Label&amp;". ","No suggestion. ")&amp;"Enter your own figure."&amp;" Allowed: 0% to 3% · steps of 0.05%"</f>
        <v>Type 2 · your figure · Fund charges a year (your statement shows yours). Suggested: 1.00% · Pensions Authority pension calculator assumption. Enter your own figure. Allowed: 0% to 3% · steps of 0.05%</v>
      </c>
      <c r="F19" s="40" t="n">
        <f aca="false">IF(ISNUMBER(Suggest_Fund_Charges),Suggest_Fund_Charges,"")</f>
        <v>0.01</v>
      </c>
      <c r="G19" s="41" t="str">
        <f aca="false">IF(ISBLANK(C19),IF(Fill_Example="Yes",F19,""),C19)</f>
        <v/>
      </c>
    </row>
    <row r="20" customFormat="false" ht="21.75" hidden="false" customHeight="true" outlineLevel="0" collapsed="false">
      <c r="B20" s="9" t="s">
        <v>641</v>
      </c>
      <c r="C20" s="42"/>
      <c r="D20" s="31" t="s">
        <v>240</v>
      </c>
      <c r="E20" s="39" t="s">
        <v>642</v>
      </c>
      <c r="F20" s="43" t="n">
        <f aca="false">Set_waitYears</f>
        <v>5</v>
      </c>
      <c r="G20" s="44" t="n">
        <f aca="false">IF(ISBLANK(C20),F20,C20)</f>
        <v>5</v>
      </c>
    </row>
    <row r="21" customFormat="false" ht="15" hidden="false" customHeight="true" outlineLevel="0" collapsed="false">
      <c r="B21" s="9" t="s">
        <v>643</v>
      </c>
      <c r="C21" s="35"/>
      <c r="D21" s="31" t="s">
        <v>234</v>
      </c>
      <c r="E21" s="32" t="s">
        <v>644</v>
      </c>
      <c r="F21" s="36" t="s">
        <v>3</v>
      </c>
      <c r="G21" s="37" t="str">
        <f aca="false">IF(ISBLANK(C21),F21,C21)</f>
        <v>No</v>
      </c>
    </row>
    <row r="23" customFormat="false" ht="15" hidden="false" customHeight="true" outlineLevel="0" collapsed="false">
      <c r="B23" s="15" t="s">
        <v>333</v>
      </c>
      <c r="C23" s="16"/>
      <c r="D23" s="16"/>
      <c r="E23" s="16"/>
      <c r="F23" s="16"/>
      <c r="G23" s="16"/>
    </row>
    <row r="24" customFormat="false" ht="15" hidden="false" customHeight="true" outlineLevel="0" collapsed="false">
      <c r="B24" s="9" t="s">
        <v>645</v>
      </c>
      <c r="C24" s="49" t="str">
        <f aca="false">IF(COUNTA(Stmt_Total_Value,Stmt_Charges,Stmt_Statement_Date)&gt;0,"Yes","No")</f>
        <v>No</v>
      </c>
      <c r="D24" s="31"/>
      <c r="E24" s="46" t="s">
        <v>646</v>
      </c>
    </row>
    <row r="25" customFormat="false" ht="15" hidden="false" customHeight="true" outlineLevel="0" collapsed="false">
      <c r="B25" s="9" t="s">
        <v>637</v>
      </c>
      <c r="C25" s="62" t="str">
        <f aca="false">IF(ISBLANK(Stmt_Total_Value),Amount,Stmt_Total_Value)</f>
        <v/>
      </c>
      <c r="D25" s="63" t="str">
        <f aca="false">IF(ISBLANK(Stmt_Total_Value),"Your figure","From your statement")</f>
        <v>Your figure</v>
      </c>
      <c r="E25" s="53" t="s">
        <v>647</v>
      </c>
    </row>
    <row r="26" customFormat="false" ht="15" hidden="false" customHeight="true" outlineLevel="0" collapsed="false">
      <c r="B26" s="9" t="s">
        <v>640</v>
      </c>
      <c r="C26" s="64" t="str">
        <f aca="false">IF(NOT(ISBLANK(Stmt_Charges)),Stmt_Charges,IF(Statement_Uploaded="Yes",0,Yearly_Fees))</f>
        <v/>
      </c>
      <c r="D26" s="63" t="str">
        <f aca="false">IF(NOT(ISBLANK(Stmt_Charges)),"From your statement",IF(Statement_Uploaded="Yes","None shown on your statement","Your figure"))</f>
        <v>Your figure</v>
      </c>
      <c r="E26" s="53" t="s">
        <v>648</v>
      </c>
    </row>
    <row r="27" customFormat="false" ht="21.75" hidden="false" customHeight="true" outlineLevel="0" collapsed="false">
      <c r="B27" s="9" t="s">
        <v>339</v>
      </c>
      <c r="C27" s="49" t="str">
        <f aca="true">IF(ISBLANK(Stmt_Statement_Date),"",IF(TODAY()-Stmt_Statement_Date&gt;Statement_Max_Age_Days,"Needs a look: statement is more than 12 months old","Up to date"))</f>
        <v/>
      </c>
      <c r="D27" s="31"/>
      <c r="E27" s="46" t="s">
        <v>340</v>
      </c>
    </row>
    <row r="29" customFormat="false" ht="15" hidden="false" customHeight="true" outlineLevel="0" collapsed="false">
      <c r="B29" s="15" t="s">
        <v>247</v>
      </c>
      <c r="C29" s="28" t="s">
        <v>248</v>
      </c>
      <c r="D29" s="28" t="s">
        <v>249</v>
      </c>
      <c r="E29" s="28" t="s">
        <v>250</v>
      </c>
      <c r="F29" s="16"/>
      <c r="G29" s="16"/>
    </row>
    <row r="30" customFormat="false" ht="17.25" hidden="false" customHeight="true" outlineLevel="0" collapsed="false">
      <c r="B30" s="25" t="s">
        <v>649</v>
      </c>
      <c r="C30" s="45" t="str">
        <f aca="false">IF(Need_1&lt;&gt;"",Need_1,IF(Adjust_For_Inflation="Yes",Value_Today,Grows_To))</f>
        <v>Choose your years to see this</v>
      </c>
      <c r="D30" s="31" t="s">
        <v>227</v>
      </c>
      <c r="E30" s="46" t="s">
        <v>650</v>
      </c>
    </row>
    <row r="31" customFormat="false" ht="15" hidden="false" customHeight="true" outlineLevel="0" collapsed="false">
      <c r="B31" s="9" t="s">
        <v>651</v>
      </c>
      <c r="C31" s="47" t="str">
        <f aca="false">IF(Need_1&lt;&gt;"",Need_1,Used_Amount*(1+Growth_After_Fees)^Years)</f>
        <v>Choose your years to see this</v>
      </c>
      <c r="D31" s="31" t="s">
        <v>227</v>
      </c>
      <c r="E31" s="46" t="s">
        <v>652</v>
      </c>
    </row>
    <row r="32" customFormat="false" ht="15" hidden="false" customHeight="true" outlineLevel="0" collapsed="false">
      <c r="B32" s="9" t="s">
        <v>610</v>
      </c>
      <c r="C32" s="47" t="str">
        <f aca="false">IF(Need_2&lt;&gt;"",Need_2,IF(Inflation_Choice="","Choose your inflation rate to see this",Grows_To/(1+Inflation_Choice)^Years))</f>
        <v>Choose your years to see this</v>
      </c>
      <c r="D32" s="31" t="s">
        <v>227</v>
      </c>
      <c r="E32" s="46" t="s">
        <v>611</v>
      </c>
    </row>
    <row r="33" customFormat="false" ht="15" hidden="false" customHeight="true" outlineLevel="0" collapsed="false">
      <c r="B33" s="9" t="s">
        <v>653</v>
      </c>
      <c r="C33" s="47" t="str">
        <f aca="false">IF(Need_3&lt;&gt;"",Need_3,Used_Amount*(1+Growth_After_Fees)^MAX(0,Years-Wait_Years))</f>
        <v>Choose your years to see this</v>
      </c>
      <c r="D33" s="31" t="s">
        <v>227</v>
      </c>
      <c r="E33" s="46" t="s">
        <v>654</v>
      </c>
    </row>
    <row r="34" customFormat="false" ht="21.75" hidden="false" customHeight="true" outlineLevel="0" collapsed="false">
      <c r="B34" s="25" t="s">
        <v>655</v>
      </c>
      <c r="C34" s="45" t="str">
        <f aca="false">IF(Need_3&lt;&gt;"",Need_3,IF(Adjust_For_Inflation="Yes",IF(Inflation_Choice="","Choose your inflation rate to see this",(Grows_To-Value_Start_Later)/(1+Inflation_Choice)^Years),Grows_To-Value_Start_Later))</f>
        <v>Choose your years to see this</v>
      </c>
      <c r="D34" s="31" t="s">
        <v>227</v>
      </c>
      <c r="E34" s="46" t="s">
        <v>656</v>
      </c>
    </row>
    <row r="35" customFormat="false" ht="15" hidden="false" customHeight="true" outlineLevel="0" collapsed="false">
      <c r="B35" s="9" t="s">
        <v>657</v>
      </c>
      <c r="C35" s="47" t="str">
        <f aca="false">IF(Need_1&lt;&gt;"",Need_1,Used_Amount*(1+Growth_Rate)^Years-Grows_To)</f>
        <v>Choose your years to see this</v>
      </c>
      <c r="D35" s="31" t="s">
        <v>227</v>
      </c>
      <c r="E35" s="46" t="s">
        <v>658</v>
      </c>
    </row>
    <row r="36" customFormat="false" ht="15" hidden="false" customHeight="true" outlineLevel="0" collapsed="false">
      <c r="B36" s="9" t="s">
        <v>659</v>
      </c>
      <c r="C36" s="68" t="str">
        <f aca="false">IF(Need_4&lt;&gt;"",Need_4,(1+Growth_Rate)*(1-Used_Yearly_Fees)-1)</f>
        <v>Choose your yearly fees to see this</v>
      </c>
      <c r="D36" s="31"/>
      <c r="E36" s="46" t="s">
        <v>660</v>
      </c>
    </row>
    <row r="37" customFormat="false" ht="15" hidden="false" customHeight="true" outlineLevel="0" collapsed="false">
      <c r="B37" s="9" t="s">
        <v>661</v>
      </c>
      <c r="C37" s="68" t="str">
        <f aca="false">IF(Need_5&lt;&gt;"",Need_5,IF(Inflation_Choice="","Choose your inflation rate to see this",(1+Growth_After_Fees)/(1+Inflation_Choice)-1))</f>
        <v>Choose your yearly fees to see this</v>
      </c>
      <c r="D37" s="31"/>
      <c r="E37" s="46" t="s">
        <v>662</v>
      </c>
    </row>
    <row r="38" customFormat="false" ht="15" hidden="false" customHeight="true" outlineLevel="0" collapsed="false">
      <c r="B38" s="72" t="str">
        <f aca="false">"Before tax: deposit interest is taxed at "&amp;TEXT(DIRT,"0%")&amp;" DIRT; investment funds and life policies pay "&amp;TEXT(Exit_Tax,"0%")&amp;" exit tax on gains, also charged every "&amp;Deemed_Disposal_Years&amp;" years (deemed disposal). Pension funds grow tax-free. No tax is taken off here."</f>
        <v>Before tax: deposit interest is taxed at 33% DIRT; investment funds and life policies pay 38% exit tax on gains, also charged every 8 years (deemed disposal). Pension funds grow tax-free. No tax is taken off here.</v>
      </c>
      <c r="C38" s="72"/>
      <c r="D38" s="72"/>
      <c r="E38" s="72"/>
    </row>
    <row r="40" customFormat="false" ht="15" hidden="false" customHeight="true" outlineLevel="0" collapsed="false">
      <c r="B40" s="15" t="s">
        <v>280</v>
      </c>
      <c r="C40" s="16"/>
      <c r="D40" s="16"/>
      <c r="E40" s="16"/>
      <c r="F40" s="16"/>
      <c r="G40" s="16"/>
    </row>
    <row r="41" customFormat="false" ht="13.5" hidden="false" customHeight="true" outlineLevel="0" collapsed="false">
      <c r="B41" s="50" t="s">
        <v>663</v>
      </c>
      <c r="C41" s="50"/>
      <c r="D41" s="50"/>
      <c r="E41" s="50"/>
    </row>
    <row r="42" customFormat="false" ht="13.5" hidden="false" customHeight="true" outlineLevel="0" collapsed="false">
      <c r="B42" s="50" t="s">
        <v>664</v>
      </c>
      <c r="C42" s="50"/>
      <c r="D42" s="50"/>
      <c r="E42" s="50"/>
    </row>
    <row r="43" customFormat="false" ht="13.5" hidden="false" customHeight="true" outlineLevel="0" collapsed="false">
      <c r="B43" s="50" t="s">
        <v>665</v>
      </c>
      <c r="C43" s="50"/>
      <c r="D43" s="50"/>
      <c r="E43" s="50"/>
    </row>
    <row r="44" customFormat="false" ht="13.5" hidden="false" customHeight="true" outlineLevel="0" collapsed="false">
      <c r="B44" s="51" t="s">
        <v>283</v>
      </c>
      <c r="C44" s="51"/>
      <c r="D44" s="51"/>
      <c r="E44" s="51"/>
    </row>
    <row r="45" customFormat="false" ht="13.5" hidden="false" customHeight="true" outlineLevel="0" collapsed="false">
      <c r="B45" s="50" t="s">
        <v>666</v>
      </c>
      <c r="C45" s="50"/>
      <c r="D45" s="50"/>
      <c r="E45" s="50"/>
    </row>
    <row r="46" customFormat="false" ht="13.5" hidden="false" customHeight="true" outlineLevel="0" collapsed="false">
      <c r="B46" s="50" t="s">
        <v>667</v>
      </c>
      <c r="C46" s="50"/>
      <c r="D46" s="50"/>
      <c r="E46" s="50"/>
    </row>
    <row r="48" customFormat="false" ht="15" hidden="false" customHeight="true" outlineLevel="0" collapsed="false">
      <c r="B48" s="15" t="s">
        <v>288</v>
      </c>
      <c r="C48" s="16"/>
      <c r="D48" s="16"/>
      <c r="E48" s="16"/>
      <c r="F48" s="16"/>
      <c r="G48" s="16"/>
    </row>
    <row r="49" customFormat="false" ht="15" hidden="false" customHeight="true" outlineLevel="0" collapsed="false">
      <c r="B49" s="9" t="s">
        <v>289</v>
      </c>
      <c r="C49" s="52" t="str">
        <f aca="false">"Grow my wealth (plan kind pot)"</f>
        <v>Grow my wealth (plan kind pot)</v>
      </c>
      <c r="E49" s="53" t="s">
        <v>620</v>
      </c>
    </row>
    <row r="50" customFormat="false" ht="15" hidden="false" customHeight="true" outlineLevel="0" collapsed="false">
      <c r="B50" s="9" t="s">
        <v>621</v>
      </c>
      <c r="C50" s="54" t="str">
        <f aca="false">IF(Need_1&lt;&gt;"",Need_1,IF(Inflation_Choice="","Choose an inflation rate first",ROUND(Value_Today,0)))</f>
        <v>Choose your years to see this</v>
      </c>
      <c r="E50" s="53" t="s">
        <v>622</v>
      </c>
    </row>
    <row r="51" customFormat="false" ht="15" hidden="false" customHeight="true" outlineLevel="0" collapsed="false">
      <c r="B51" s="9" t="s">
        <v>295</v>
      </c>
      <c r="C51" s="55" t="str">
        <f aca="false">IF(Need_6&lt;&gt;"",Need_6,Years)</f>
        <v>Choose your years to see this</v>
      </c>
      <c r="E51" s="53" t="s">
        <v>587</v>
      </c>
    </row>
    <row r="52" customFormat="false" ht="15" hidden="false" customHeight="true" outlineLevel="0" collapsed="false">
      <c r="B52" s="9" t="s">
        <v>588</v>
      </c>
      <c r="C52" s="73" t="str">
        <f aca="false">IF(Inflation_Choice="","Choose an inflation rate first",Inflation_Choice)</f>
        <v>Choose an inflation rate first</v>
      </c>
      <c r="E52" s="53" t="s">
        <v>589</v>
      </c>
    </row>
    <row r="53" customFormat="false" ht="13.5" hidden="false" customHeight="true" outlineLevel="0" collapsed="false">
      <c r="B53" s="57" t="s">
        <v>668</v>
      </c>
      <c r="C53" s="57"/>
      <c r="D53" s="57"/>
      <c r="E53" s="57"/>
    </row>
    <row r="55" customFormat="false" ht="15" hidden="false" customHeight="true" outlineLevel="0" collapsed="false">
      <c r="B55" s="15" t="s">
        <v>297</v>
      </c>
      <c r="C55" s="16"/>
      <c r="D55" s="16"/>
      <c r="E55" s="16"/>
      <c r="F55" s="16"/>
      <c r="G55" s="16"/>
    </row>
    <row r="56" customFormat="false" ht="15" hidden="false" customHeight="true" outlineLevel="0" collapsed="false">
      <c r="B56" s="56" t="s">
        <v>669</v>
      </c>
      <c r="C56" s="56" t="str">
        <f aca="false">IF(Years="","Choose your years to see this",IF(NOT(ISNUMBER(Used_Amount)),IF(Used_Amount="",IF(Amount="","Choose your amount to see this",""),Used_Amount),IF(NOT(ISNUMBER(Used_Yearly_Fees)),IF(Used_Yearly_Fees="",IF(Yearly_Fees="","Choose your yearly fees to see this",""),Used_Yearly_Fees),"")))</f>
        <v>Choose your years to see this</v>
      </c>
    </row>
    <row r="57" customFormat="false" ht="15" hidden="false" customHeight="true" outlineLevel="0" collapsed="false">
      <c r="B57" s="56" t="s">
        <v>670</v>
      </c>
      <c r="C57" s="56" t="str">
        <f aca="false">IF(Years="","Choose your years to see this",IF(NOT(ISNUMBER(Used_Amount)),IF(Used_Amount="",IF(Amount="","Choose your amount to see this",""),Used_Amount),IF(NOT(ISNUMBER(Used_Yearly_Fees)),IF(Used_Yearly_Fees="",IF(Yearly_Fees="","Choose your yearly fees to see this",""),Used_Yearly_Fees),IF(Inflation_Choice="","Choose your inflation rate to see this",""))))</f>
        <v>Choose your years to see this</v>
      </c>
    </row>
    <row r="58" customFormat="false" ht="15" hidden="false" customHeight="true" outlineLevel="0" collapsed="false">
      <c r="B58" s="56" t="s">
        <v>671</v>
      </c>
      <c r="C58" s="56" t="str">
        <f aca="false">IF(Years="","Choose your years to see this",IF(NOT(ISNUMBER(Used_Amount)),IF(Used_Amount="",IF(Amount="","Choose your amount to see this",""),Used_Amount),IF(NOT(ISNUMBER(Used_Yearly_Fees)),IF(Used_Yearly_Fees="",IF(Yearly_Fees="","Choose your yearly fees to see this",""),Used_Yearly_Fees),"")))</f>
        <v>Choose your years to see this</v>
      </c>
    </row>
    <row r="59" customFormat="false" ht="15" hidden="false" customHeight="true" outlineLevel="0" collapsed="false">
      <c r="B59" s="56" t="s">
        <v>672</v>
      </c>
      <c r="C59" s="56" t="str">
        <f aca="false">IF(NOT(ISNUMBER(Used_Yearly_Fees)),IF(Used_Yearly_Fees="",IF(Yearly_Fees="","Choose your yearly fees to see this",""),Used_Yearly_Fees),"")</f>
        <v>Choose your yearly fees to see this</v>
      </c>
    </row>
    <row r="60" customFormat="false" ht="15" hidden="false" customHeight="true" outlineLevel="0" collapsed="false">
      <c r="B60" s="56" t="s">
        <v>673</v>
      </c>
      <c r="C60" s="56" t="str">
        <f aca="false">IF(NOT(ISNUMBER(Used_Yearly_Fees)),IF(Used_Yearly_Fees="",IF(Yearly_Fees="","Choose your yearly fees to see this",""),Used_Yearly_Fees),IF(Inflation_Choice="","Choose your inflation rate to see this",""))</f>
        <v>Choose your yearly fees to see this</v>
      </c>
    </row>
    <row r="61" customFormat="false" ht="15" hidden="false" customHeight="true" outlineLevel="0" collapsed="false">
      <c r="B61" s="56" t="s">
        <v>627</v>
      </c>
      <c r="C61" s="56" t="str">
        <f aca="false">IF(Years="","Choose your years to see this",IF(NOT(ISNUMBER(Used_Yearly_Fees)),IF(Used_Yearly_Fees="",IF(Yearly_Fees="","Choose your yearly fees to see this",""),Used_Yearly_Fees),""))</f>
        <v>Choose your years to see this</v>
      </c>
    </row>
    <row r="63" customFormat="false" ht="15" hidden="false" customHeight="true" outlineLevel="0" collapsed="false">
      <c r="B63" s="23" t="s">
        <v>674</v>
      </c>
    </row>
  </sheetData>
  <mergeCells count="10">
    <mergeCell ref="B7:E7"/>
    <mergeCell ref="B10:E10"/>
    <mergeCell ref="B38:E38"/>
    <mergeCell ref="B41:E41"/>
    <mergeCell ref="B42:E42"/>
    <mergeCell ref="B43:E43"/>
    <mergeCell ref="B44:E44"/>
    <mergeCell ref="B45:E45"/>
    <mergeCell ref="B46:E46"/>
    <mergeCell ref="B53:E53"/>
  </mergeCells>
  <dataValidations count="10">
    <dataValidation allowBlank="true" error="Please enter a date (dd/mm/yyyy)." errorStyle="stop" errorTitle="Outside the allowed range" operator="greaterThan" prompt="Unit: date. Allowed: a date (dd/mm/yyyy)." promptTitle="Statement date" showDropDown="false" showErrorMessage="true" showInputMessage="true" sqref="C13" type="date">
      <formula1>36526</formula1>
      <formula2>0</formula2>
    </dataValidation>
    <dataValidation allowBlank="true" error="Please enter 0% to 10% · steps of 0.25%." errorStyle="stop" errorTitle="Outside the allowed range" operator="between" prompt="Generally the standard is 2% a year (ECB target); Ireland's prices are rising 3.9% now (CSO HICP flash, Sep 2026). Choose what you want to use.  Allowed: 0% to 10% · steps of 0.25%." promptTitle="Inflation you expect (your choic" showDropDown="false" showErrorMessage="true" showInputMessage="true" sqref="C6" type="decimal">
      <formula1>0</formula1>
      <formula2>0.1</formula2>
    </dataValidation>
    <dataValidation allowBlank="true" error="Please enter 1 to 40 · steps of 1." errorStyle="stop" errorTitle="Outside the allowed range" operator="between" prompt="Your own figure.  Allowed: 1 to 40 · steps of 1." promptTitle="Years" showDropDown="false" showErrorMessage="true" showInputMessage="true" sqref="C18" type="whole">
      <formula1>1</formula1>
      <formula2>40</formula2>
    </dataValidation>
    <dataValidation allowBlank="true" error="Please enter 0% to 5%." errorStyle="stop" errorTitle="Outside the allowed range" operator="between" prompt="Unit: %. Allowed: 0% to 5%." promptTitle="Annual charges % (if shown)" showDropDown="false" showErrorMessage="true" showInputMessage="true" sqref="C12" type="decimal">
      <formula1>0</formula1>
      <formula2>0.05</formula2>
    </dataValidation>
    <dataValidation allowBlank="true" error="Please enter €0 to €100,000,000." errorStyle="stop" errorTitle="Outside the allowed range" operator="between" prompt="Unit: €. Allowed: €0 to €100,000,000." promptTitle="Total value" showDropDown="false" showErrorMessage="true" showInputMessage="true" sqref="C11" type="decimal">
      <formula1>0</formula1>
      <formula2>100000000</formula2>
    </dataValidation>
    <dataValidation allowBlank="true" error="Please enter €500 to €5,000,000 · steps of €100." errorStyle="stop" errorTitle="Outside the allowed range" operator="between" prompt="Your own figure. In the app it is pre-filled from Your finances / statement: investments.  Allowed: €500 to €5,000,000 · steps of €100." promptTitle="Amount" showDropDown="false" showErrorMessage="true" showInputMessage="true" sqref="C16" type="decimal">
      <formula1>500</formula1>
      <formula2>5000000</formula2>
    </dataValidation>
    <dataValidation allowBlank="true" error="Please enter 0% to 8% · steps of 0.5%." errorStyle="stop" errorTitle="Outside the allowed range" operator="between" prompt="Generally the standard is 5% a year before charges and tax for a mixed fund (LifeMap standard, not a forecast). Choose what you want to use.  Allowed: 0% to 8% · steps of 0.5%." promptTitle="Growth rate a year (before fees)" showDropDown="false" showErrorMessage="true" showInputMessage="true" sqref="C17" type="decimal">
      <formula1>0</formula1>
      <formula2>0.08</formula2>
    </dataValidation>
    <dataValidation allowBlank="true" error="Please enter 0% to 3% · steps of 0.05%." errorStyle="stop" errorTitle="Outside the allowed range" operator="between" prompt="Your own fund charges (your statement shows them). A suggested figure and its source are shown beside this cell (Partner rates, Assumptions sheet). CCPC: usually 0.5%–2% a year. Allowed: 0% to 3% · steps of 0.05%" promptTitle="Yearly fees" showDropDown="false" showErrorMessage="true" showInputMessage="true" sqref="C19" type="decimal">
      <formula1>0</formula1>
      <formula2>0.03</formula2>
    </dataValidation>
    <dataValidation allowBlank="true" error="Please enter 1 to 20 · steps of 1." errorStyle="stop" errorTitle="Outside the allowed range" operator="between" prompt="Generally the standard is 5 years (an illustration of the cost of waiting). Choose what you want to use.  Allowed: 1 to 10 · steps of 1." promptTitle="Years you might wait before inve" showDropDown="false" showErrorMessage="true" showInputMessage="true" sqref="C20" type="whole">
      <formula1>1</formula1>
      <formula2>20</formula2>
    </dataValidation>
    <dataValidation allowBlank="true" error="Please enter Yes or No." errorStyle="stop" errorTitle="Outside the allowed range" operator="between" prompt="Optional: leave blank for none.  Allowed: Yes or No." promptTitle="Show in today's money?" showDropDown="false" showErrorMessage="true" showInputMessage="true" sqref="C2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675</v>
      </c>
      <c r="E1" s="3" t="s">
        <v>676</v>
      </c>
    </row>
    <row r="2" customFormat="false" ht="15" hidden="false" customHeight="true" outlineLevel="0" collapsed="false">
      <c r="B2" s="25" t="s">
        <v>677</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678</v>
      </c>
    </row>
    <row r="5" customFormat="false" ht="15" hidden="false" customHeight="true" outlineLevel="0" collapsed="false">
      <c r="B5" s="15" t="s">
        <v>221</v>
      </c>
      <c r="C5" s="28" t="s">
        <v>222</v>
      </c>
      <c r="D5" s="28" t="s">
        <v>223</v>
      </c>
      <c r="E5" s="28" t="s">
        <v>224</v>
      </c>
      <c r="F5" s="29" t="s">
        <v>225</v>
      </c>
      <c r="G5" s="16"/>
    </row>
    <row r="6" customFormat="false" ht="21.75" hidden="false" customHeight="true" outlineLevel="0" collapsed="false">
      <c r="B6" s="9" t="s">
        <v>679</v>
      </c>
      <c r="C6" s="30"/>
      <c r="D6" s="31" t="s">
        <v>227</v>
      </c>
      <c r="E6" s="32" t="s">
        <v>680</v>
      </c>
      <c r="F6" s="33" t="n">
        <v>2500</v>
      </c>
      <c r="G6" s="34" t="str">
        <f aca="false">IF(AND(ISNUMBER(C6),N(C6)&lt;500),"",IF(ISBLANK(C6),IF(Fill_Example="Yes",F6,""),C6))</f>
        <v/>
      </c>
    </row>
    <row r="7" customFormat="false" ht="21.75" hidden="false" customHeight="true" outlineLevel="0" collapsed="false">
      <c r="B7" s="9" t="s">
        <v>681</v>
      </c>
      <c r="C7" s="42"/>
      <c r="D7" s="31" t="s">
        <v>682</v>
      </c>
      <c r="E7" s="39" t="s">
        <v>683</v>
      </c>
      <c r="F7" s="43" t="n">
        <f aca="false">AS_Months</f>
        <v>6</v>
      </c>
      <c r="G7" s="44" t="n">
        <f aca="false">IF(ISBLANK(C7),F7,C7)</f>
        <v>6</v>
      </c>
    </row>
    <row r="8" customFormat="false" ht="15" hidden="false" customHeight="true" outlineLevel="0" collapsed="false">
      <c r="B8" s="9" t="s">
        <v>684</v>
      </c>
      <c r="C8" s="42"/>
      <c r="D8" s="31" t="s">
        <v>240</v>
      </c>
      <c r="E8" s="32" t="s">
        <v>685</v>
      </c>
      <c r="F8" s="43" t="n">
        <v>2</v>
      </c>
      <c r="G8" s="44" t="str">
        <f aca="false">IF(ISBLANK(C8),IF(Fill_Example="Yes",F8,""),C8)</f>
        <v/>
      </c>
    </row>
    <row r="9" customFormat="false" ht="21.75" hidden="false" customHeight="true" outlineLevel="0" collapsed="false">
      <c r="B9" s="9" t="s">
        <v>686</v>
      </c>
      <c r="C9" s="30"/>
      <c r="D9" s="31" t="s">
        <v>227</v>
      </c>
      <c r="E9" s="32" t="s">
        <v>687</v>
      </c>
      <c r="F9" s="33" t="n">
        <v>6250</v>
      </c>
      <c r="G9" s="34" t="str">
        <f aca="false">IF(ISBLANK(C9),IF(Fill_Example="Yes",F9,""),C9)</f>
        <v/>
      </c>
    </row>
    <row r="11" customFormat="false" ht="15" hidden="false" customHeight="true" outlineLevel="0" collapsed="false">
      <c r="B11" s="15" t="s">
        <v>247</v>
      </c>
      <c r="C11" s="28" t="s">
        <v>248</v>
      </c>
      <c r="D11" s="28" t="s">
        <v>249</v>
      </c>
      <c r="E11" s="28" t="s">
        <v>250</v>
      </c>
      <c r="F11" s="16"/>
      <c r="G11" s="16"/>
    </row>
    <row r="12" customFormat="false" ht="23.25" hidden="false" customHeight="true" outlineLevel="0" collapsed="false">
      <c r="B12" s="25" t="s">
        <v>688</v>
      </c>
      <c r="C12" s="74" t="str">
        <f aca="false">IF(Need_1&lt;&gt;"",Need_1,Savings/Essential_Spending)</f>
        <v>Choose your essential monthly spending to see this</v>
      </c>
      <c r="D12" s="67" t="str">
        <f aca="false">IF(Need_1&lt;&gt;"",Need_1,IF(ROUND(Months_Covered,1)=1,"1 month",FIXED(Months_Covered,1)&amp;" months"))</f>
        <v>Choose your essential monthly spending to see this</v>
      </c>
      <c r="E12" s="46" t="s">
        <v>689</v>
      </c>
    </row>
    <row r="13" customFormat="false" ht="17.25" hidden="false" customHeight="true" outlineLevel="0" collapsed="false">
      <c r="B13" s="25" t="s">
        <v>690</v>
      </c>
      <c r="C13" s="45" t="str">
        <f aca="false">IF(Need_2&lt;&gt;"",Need_2,Essential_Spending*Months_Wanted)</f>
        <v>Choose your essential monthly spending to see this</v>
      </c>
      <c r="D13" s="31" t="s">
        <v>227</v>
      </c>
      <c r="E13" s="46" t="s">
        <v>691</v>
      </c>
    </row>
    <row r="14" customFormat="false" ht="17.25" hidden="false" customHeight="true" outlineLevel="0" collapsed="false">
      <c r="B14" s="25" t="s">
        <v>692</v>
      </c>
      <c r="C14" s="45" t="str">
        <f aca="false">IF(Need_3&lt;&gt;"",Need_3,MAX(0,Target-Savings))</f>
        <v>Choose your essential monthly spending to see this</v>
      </c>
      <c r="D14" s="31" t="s">
        <v>227</v>
      </c>
      <c r="E14" s="46" t="s">
        <v>693</v>
      </c>
    </row>
    <row r="16" customFormat="false" ht="15" hidden="false" customHeight="true" outlineLevel="0" collapsed="false">
      <c r="B16" s="15" t="s">
        <v>280</v>
      </c>
      <c r="C16" s="16"/>
      <c r="D16" s="16"/>
      <c r="E16" s="16"/>
      <c r="F16" s="16"/>
      <c r="G16" s="16"/>
    </row>
    <row r="17" customFormat="false" ht="13.5" hidden="false" customHeight="true" outlineLevel="0" collapsed="false">
      <c r="B17" s="50" t="s">
        <v>694</v>
      </c>
      <c r="C17" s="50"/>
      <c r="D17" s="50"/>
      <c r="E17" s="50"/>
    </row>
    <row r="18" customFormat="false" ht="13.5" hidden="false" customHeight="true" outlineLevel="0" collapsed="false">
      <c r="B18" s="51" t="s">
        <v>283</v>
      </c>
      <c r="C18" s="51"/>
      <c r="D18" s="51"/>
      <c r="E18" s="51"/>
    </row>
    <row r="19" customFormat="false" ht="13.5" hidden="false" customHeight="true" outlineLevel="0" collapsed="false">
      <c r="B19" s="50" t="s">
        <v>695</v>
      </c>
      <c r="C19" s="50"/>
      <c r="D19" s="50"/>
      <c r="E19" s="50"/>
    </row>
    <row r="21" customFormat="false" ht="15" hidden="false" customHeight="true" outlineLevel="0" collapsed="false">
      <c r="B21" s="15" t="s">
        <v>288</v>
      </c>
      <c r="C21" s="16"/>
      <c r="D21" s="16"/>
      <c r="E21" s="16"/>
      <c r="F21" s="16"/>
      <c r="G21" s="16"/>
    </row>
    <row r="22" customFormat="false" ht="15" hidden="false" customHeight="true" outlineLevel="0" collapsed="false">
      <c r="B22" s="9" t="s">
        <v>289</v>
      </c>
      <c r="C22" s="52" t="str">
        <f aca="false">IF(Need_3&lt;&gt;"",Need_3,IF(Still_To_Build&gt;0,"Emergency fund (plan kind safety: a reserve, not a spend)","No goal (emergency fund already in place)"))</f>
        <v>Choose your essential monthly spending to see this</v>
      </c>
      <c r="E22" s="53" t="s">
        <v>696</v>
      </c>
    </row>
    <row r="23" customFormat="false" ht="15" hidden="false" customHeight="true" outlineLevel="0" collapsed="false">
      <c r="B23" s="9" t="s">
        <v>621</v>
      </c>
      <c r="C23" s="54" t="str">
        <f aca="false">IF(Need_3&lt;&gt;"",Need_3,IF(Still_To_Build&gt;0,ROUND(Target,0),"—"))</f>
        <v>Choose your essential monthly spending to see this</v>
      </c>
      <c r="E23" s="53" t="s">
        <v>697</v>
      </c>
    </row>
    <row r="24" customFormat="false" ht="15" hidden="false" customHeight="true" outlineLevel="0" collapsed="false">
      <c r="B24" s="9" t="s">
        <v>293</v>
      </c>
      <c r="C24" s="54" t="str">
        <f aca="false">IF(Need_4&lt;&gt;"",Need_4,Savings)</f>
        <v>Choose your easy-access savings to see this</v>
      </c>
      <c r="E24" s="53" t="s">
        <v>698</v>
      </c>
    </row>
    <row r="25" customFormat="false" ht="15" hidden="false" customHeight="true" outlineLevel="0" collapsed="false">
      <c r="B25" s="9" t="s">
        <v>295</v>
      </c>
      <c r="C25" s="55" t="str">
        <f aca="false">IF(Need_5&lt;&gt;"",Need_5,Safety_Goal_Years)</f>
        <v>Choose your years to build the emergency fund to see this</v>
      </c>
      <c r="E25" s="53" t="s">
        <v>699</v>
      </c>
    </row>
    <row r="27" customFormat="false" ht="15" hidden="false" customHeight="true" outlineLevel="0" collapsed="false">
      <c r="B27" s="15" t="s">
        <v>297</v>
      </c>
      <c r="C27" s="16"/>
      <c r="D27" s="16"/>
      <c r="E27" s="16"/>
      <c r="F27" s="16"/>
      <c r="G27" s="16"/>
    </row>
    <row r="28" customFormat="false" ht="15" hidden="false" customHeight="true" outlineLevel="0" collapsed="false">
      <c r="B28" s="56" t="s">
        <v>700</v>
      </c>
      <c r="C28" s="56" t="str">
        <f aca="false">IF(Essential_Spending="","Choose your essential monthly spending to see this",IF(Savings="","Choose your easy-access savings to see this",""))</f>
        <v>Choose your essential monthly spending to see this</v>
      </c>
    </row>
    <row r="29" customFormat="false" ht="15" hidden="false" customHeight="true" outlineLevel="0" collapsed="false">
      <c r="B29" s="56" t="s">
        <v>701</v>
      </c>
      <c r="C29" s="56" t="str">
        <f aca="false">IF(Essential_Spending="","Choose your essential monthly spending to see this","")</f>
        <v>Choose your essential monthly spending to see this</v>
      </c>
    </row>
    <row r="30" customFormat="false" ht="15" hidden="false" customHeight="true" outlineLevel="0" collapsed="false">
      <c r="B30" s="56" t="s">
        <v>702</v>
      </c>
      <c r="C30" s="56" t="str">
        <f aca="false">IF(Essential_Spending="","Choose your essential monthly spending to see this",IF(Savings="","Choose your easy-access savings to see this",""))</f>
        <v>Choose your essential monthly spending to see this</v>
      </c>
    </row>
    <row r="31" customFormat="false" ht="15" hidden="false" customHeight="true" outlineLevel="0" collapsed="false">
      <c r="B31" s="56" t="s">
        <v>703</v>
      </c>
      <c r="C31" s="56" t="str">
        <f aca="false">IF(Savings="","Choose your easy-access savings to see this","")</f>
        <v>Choose your easy-access savings to see this</v>
      </c>
    </row>
    <row r="32" customFormat="false" ht="15" hidden="false" customHeight="true" outlineLevel="0" collapsed="false">
      <c r="B32" s="56" t="s">
        <v>704</v>
      </c>
      <c r="C32" s="56" t="str">
        <f aca="false">IF(Safety_Goal_Years="","Choose your years to build the emergency fund to see this","")</f>
        <v>Choose your years to build the emergency fund to see this</v>
      </c>
    </row>
  </sheetData>
  <mergeCells count="3">
    <mergeCell ref="B17:E17"/>
    <mergeCell ref="B18:E18"/>
    <mergeCell ref="B19:E19"/>
  </mergeCells>
  <dataValidations count="4">
    <dataValidation allowBlank="true" error="Please enter €500 to €100,000 · steps of €100." errorStyle="stop" errorTitle="Outside the allowed range" operator="between" prompt="Your own figure. In the app it is pre-filled from Your finances: costs + mortgage + debt repayments.  Allowed: €500 to €100,000 · steps of €100." promptTitle="Essential monthly spending" showDropDown="false" showErrorMessage="true" showInputMessage="true" sqref="C6" type="decimal">
      <formula1>500</formula1>
      <formula2>100000</formula2>
    </dataValidation>
    <dataValidation allowBlank="true" error="Please enter 1 to 12 · steps of 1." errorStyle="stop" errorTitle="Outside the allowed range" operator="between" prompt="Generally the standard is 6 months of essential spending (3 if you have two secure incomes). Choose what you want to use.  Allowed: 3 to 12 · steps of 1." promptTitle="Emergency fund: months" showDropDown="false" showErrorMessage="true" showInputMessage="true" sqref="C7" type="whole">
      <formula1>1</formula1>
      <formula2>12</formula2>
    </dataValidation>
    <dataValidation allowBlank="true" error="Please enter 1 to 10 · steps of 1." errorStyle="stop" errorTitle="Outside the allowed range" operator="between" prompt="Your own figure.  Allowed: 1 to 10 · steps of 1." promptTitle="Build the emergency fund within" showDropDown="false" showErrorMessage="true" showInputMessage="true" sqref="C8" type="whole">
      <formula1>1</formula1>
      <formula2>10</formula2>
    </dataValidation>
    <dataValidation allowBlank="true" error="Please enter €0 to €1,000,000 · steps of €250." errorStyle="stop" errorTitle="Outside the allowed range" operator="between" prompt="Your own figure. In the app it is pre-filled from Your finances: cash.  Allowed: €0 to €1,000,000 · steps of €250." promptTitle="Easy-access savings" showDropDown="false" showErrorMessage="true" showInputMessage="true" sqref="C9" type="decimal">
      <formula1>0</formula1>
      <formula2>1000000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705</v>
      </c>
      <c r="E1" s="3" t="s">
        <v>706</v>
      </c>
    </row>
    <row r="2" customFormat="false" ht="15" hidden="false" customHeight="true" outlineLevel="0" collapsed="false">
      <c r="B2" s="25" t="s">
        <v>707</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708</v>
      </c>
    </row>
    <row r="5" customFormat="false" ht="15" hidden="false" customHeight="true" outlineLevel="0" collapsed="false">
      <c r="B5" s="15" t="s">
        <v>561</v>
      </c>
      <c r="C5" s="28" t="s">
        <v>222</v>
      </c>
      <c r="D5" s="28" t="s">
        <v>223</v>
      </c>
      <c r="E5" s="28" t="s">
        <v>224</v>
      </c>
      <c r="F5" s="29" t="s">
        <v>225</v>
      </c>
      <c r="G5" s="16"/>
    </row>
    <row r="6" customFormat="false" ht="21.75" hidden="false" customHeight="true" outlineLevel="0" collapsed="false">
      <c r="B6" s="9" t="s">
        <v>562</v>
      </c>
      <c r="C6" s="38"/>
      <c r="D6" s="31" t="s">
        <v>238</v>
      </c>
      <c r="E6" s="39" t="str">
        <f aca="false">"Type 3 · your choice · Generally the standard is 2% a year (ECB target); Ireland's prices are rising "&amp;TEXT(Set_inflNow,"0.0%")&amp;" now (CSO HICP flash, Sep 2026). Choose what you want to use. Allowed: 0% to 10% · steps of 0.25%"</f>
        <v>Type 3 · your choice · Generally the standard is 2% a year (ECB target); Ireland's prices are rising 3.9% now (CSO HICP flash, Sep 2026). Choose what you want to use. Allowed: 0% to 10% · steps of 0.25%</v>
      </c>
      <c r="F6" s="40" t="n">
        <v>0.02</v>
      </c>
      <c r="G6" s="41" t="str">
        <f aca="false">IF(ISBLANK(C6),IF(Fill_Example="Yes",F6,""),C6)</f>
        <v/>
      </c>
    </row>
    <row r="7" customFormat="false" ht="27.75" hidden="false" customHeight="true" outlineLevel="0" collapsed="false">
      <c r="B7" s="57" t="str">
        <f aca="false">"Everyone sees this differently. Ireland's prices are rising "&amp;TEXT(Set_inflNow,"0.0%")&amp;" now (CSO HICP flash, Sep 2026), mostly because of energy. Over decades, 2%–2.5% is the usual planning range (ECB target 2%). Enter 0% if you don't want to adjust for prices."</f>
        <v>Everyone sees this differently. Ireland's prices are rising 3.9% now (CSO HICP flash, Sep 2026), mostly because of energy. Over decades, 2%–2.5% is the usual planning range (ECB target 2%). Enter 0% if you don't want to adjust for prices.</v>
      </c>
      <c r="C7" s="57"/>
      <c r="D7" s="57"/>
      <c r="E7" s="57"/>
    </row>
    <row r="9" customFormat="false" ht="15" hidden="false" customHeight="true" outlineLevel="0" collapsed="false">
      <c r="B9" s="15" t="s">
        <v>310</v>
      </c>
      <c r="C9" s="16"/>
      <c r="D9" s="16"/>
      <c r="E9" s="16"/>
      <c r="F9" s="16"/>
      <c r="G9" s="16"/>
    </row>
    <row r="10" customFormat="false" ht="27.75" hidden="false" customHeight="true" outlineLevel="0" collapsed="false">
      <c r="B10" s="57" t="s">
        <v>709</v>
      </c>
      <c r="C10" s="57"/>
      <c r="D10" s="57"/>
      <c r="E10" s="57"/>
    </row>
    <row r="11" customFormat="false" ht="15" hidden="false" customHeight="true" outlineLevel="0" collapsed="false">
      <c r="B11" s="9" t="s">
        <v>710</v>
      </c>
      <c r="C11" s="58"/>
      <c r="D11" s="31" t="s">
        <v>227</v>
      </c>
      <c r="E11" s="32" t="s">
        <v>711</v>
      </c>
      <c r="G11" s="56" t="s">
        <v>314</v>
      </c>
    </row>
    <row r="12" customFormat="false" ht="15" hidden="false" customHeight="true" outlineLevel="0" collapsed="false">
      <c r="B12" s="9" t="s">
        <v>712</v>
      </c>
      <c r="C12" s="58"/>
      <c r="D12" s="31" t="s">
        <v>227</v>
      </c>
      <c r="E12" s="32" t="s">
        <v>320</v>
      </c>
      <c r="G12" s="56" t="s">
        <v>314</v>
      </c>
    </row>
    <row r="13" customFormat="false" ht="15" hidden="false" customHeight="true" outlineLevel="0" collapsed="false">
      <c r="B13" s="9" t="s">
        <v>713</v>
      </c>
      <c r="C13" s="58"/>
      <c r="D13" s="31" t="s">
        <v>227</v>
      </c>
      <c r="E13" s="32" t="s">
        <v>320</v>
      </c>
      <c r="G13" s="56" t="s">
        <v>314</v>
      </c>
    </row>
    <row r="14" customFormat="false" ht="15" hidden="false" customHeight="true" outlineLevel="0" collapsed="false">
      <c r="B14" s="9" t="s">
        <v>714</v>
      </c>
      <c r="C14" s="60"/>
      <c r="D14" s="31" t="s">
        <v>715</v>
      </c>
      <c r="E14" s="32" t="s">
        <v>716</v>
      </c>
      <c r="G14" s="56" t="s">
        <v>314</v>
      </c>
    </row>
    <row r="15" customFormat="false" ht="15" hidden="false" customHeight="true" outlineLevel="0" collapsed="false">
      <c r="B15" s="9" t="s">
        <v>717</v>
      </c>
      <c r="C15" s="58"/>
      <c r="D15" s="31" t="s">
        <v>227</v>
      </c>
      <c r="E15" s="32" t="s">
        <v>634</v>
      </c>
      <c r="G15" s="56" t="s">
        <v>314</v>
      </c>
    </row>
    <row r="16" customFormat="false" ht="15" hidden="false" customHeight="true" outlineLevel="0" collapsed="false">
      <c r="B16" s="9" t="s">
        <v>718</v>
      </c>
      <c r="C16" s="75"/>
      <c r="D16" s="31" t="s">
        <v>234</v>
      </c>
      <c r="E16" s="32" t="s">
        <v>719</v>
      </c>
      <c r="G16" s="56" t="s">
        <v>314</v>
      </c>
    </row>
    <row r="17" customFormat="false" ht="15" hidden="false" customHeight="true" outlineLevel="0" collapsed="false">
      <c r="B17" s="9" t="s">
        <v>635</v>
      </c>
      <c r="C17" s="59"/>
      <c r="D17" s="31" t="s">
        <v>238</v>
      </c>
      <c r="E17" s="32" t="s">
        <v>636</v>
      </c>
      <c r="G17" s="56" t="s">
        <v>314</v>
      </c>
    </row>
    <row r="18" customFormat="false" ht="15" hidden="false" customHeight="true" outlineLevel="0" collapsed="false">
      <c r="B18" s="9" t="s">
        <v>321</v>
      </c>
      <c r="C18" s="61"/>
      <c r="D18" s="31" t="s">
        <v>322</v>
      </c>
      <c r="E18" s="32" t="s">
        <v>323</v>
      </c>
      <c r="G18" s="56" t="s">
        <v>314</v>
      </c>
    </row>
    <row r="20" customFormat="false" ht="15" hidden="false" customHeight="true" outlineLevel="0" collapsed="false">
      <c r="B20" s="15" t="s">
        <v>324</v>
      </c>
      <c r="C20" s="28" t="s">
        <v>222</v>
      </c>
      <c r="D20" s="28" t="s">
        <v>223</v>
      </c>
      <c r="E20" s="28" t="s">
        <v>224</v>
      </c>
      <c r="F20" s="29" t="s">
        <v>225</v>
      </c>
      <c r="G20" s="16"/>
    </row>
    <row r="21" customFormat="false" ht="21.75" hidden="false" customHeight="true" outlineLevel="0" collapsed="false">
      <c r="B21" s="9" t="s">
        <v>720</v>
      </c>
      <c r="C21" s="42"/>
      <c r="D21" s="31" t="s">
        <v>715</v>
      </c>
      <c r="E21" s="32" t="s">
        <v>721</v>
      </c>
      <c r="F21" s="43" t="n">
        <v>40</v>
      </c>
      <c r="G21" s="44" t="str">
        <f aca="false">IF(ISBLANK(C21),IF(Fill_Example="Yes",F21,""),C21)</f>
        <v/>
      </c>
    </row>
    <row r="22" customFormat="false" ht="21.75" hidden="false" customHeight="true" outlineLevel="0" collapsed="false">
      <c r="B22" s="9" t="s">
        <v>722</v>
      </c>
      <c r="C22" s="42"/>
      <c r="D22" s="31" t="s">
        <v>715</v>
      </c>
      <c r="E22" s="39" t="s">
        <v>723</v>
      </c>
      <c r="F22" s="43" t="n">
        <v>65</v>
      </c>
      <c r="G22" s="44" t="str">
        <f aca="false">IF(ISBLANK(C22),IF(Fill_Example="Yes",F22,""),C22)</f>
        <v/>
      </c>
    </row>
    <row r="23" customFormat="false" ht="21.75" hidden="false" customHeight="true" outlineLevel="0" collapsed="false">
      <c r="B23" s="9" t="s">
        <v>724</v>
      </c>
      <c r="C23" s="30"/>
      <c r="D23" s="31" t="s">
        <v>227</v>
      </c>
      <c r="E23" s="32" t="s">
        <v>725</v>
      </c>
      <c r="F23" s="33" t="n">
        <v>60000</v>
      </c>
      <c r="G23" s="34" t="str">
        <f aca="false">IF(ISBLANK(C23),IF(Pens_Value_Total&gt;0,Pens_Value_Total,IF(Fill_Example="Yes",F23,"")),C23)</f>
        <v/>
      </c>
    </row>
    <row r="24" customFormat="false" ht="21.75" hidden="false" customHeight="true" outlineLevel="0" collapsed="false">
      <c r="B24" s="9" t="s">
        <v>726</v>
      </c>
      <c r="C24" s="30"/>
      <c r="D24" s="31" t="s">
        <v>227</v>
      </c>
      <c r="E24" s="32" t="s">
        <v>727</v>
      </c>
      <c r="F24" s="33" t="n">
        <v>500</v>
      </c>
      <c r="G24" s="34" t="str">
        <f aca="false">IF(ISBLANK(C24),IF(Pens_Monthly_Total&gt;0,Pens_Monthly_Total,IF(Fill_Example="Yes",F24,"")),C24)</f>
        <v/>
      </c>
    </row>
    <row r="25" customFormat="false" ht="21.75" hidden="false" customHeight="true" outlineLevel="0" collapsed="false">
      <c r="B25" s="9" t="s">
        <v>728</v>
      </c>
      <c r="C25" s="30"/>
      <c r="D25" s="31" t="s">
        <v>227</v>
      </c>
      <c r="E25" s="32" t="s">
        <v>729</v>
      </c>
      <c r="F25" s="33" t="n">
        <v>40000</v>
      </c>
      <c r="G25" s="34" t="str">
        <f aca="false">IF(ISBLANK(C25),IF(Fill_Example="Yes",F25,""),C25)</f>
        <v/>
      </c>
    </row>
    <row r="26" customFormat="false" ht="43.5" hidden="false" customHeight="true" outlineLevel="0" collapsed="false">
      <c r="B26" s="9" t="s">
        <v>730</v>
      </c>
      <c r="C26" s="30"/>
      <c r="D26" s="31" t="s">
        <v>227</v>
      </c>
      <c r="E26" s="39" t="str">
        <f aca="false">"Type 2 · range · Usually between €0 and €15,564 a year: the full State Pension is "&amp;"€"&amp;TEXT(State_Pension_Week,"0.00")&amp;" a week (DSP 2026), partial rates are lower and depend on your PRSI record. In the app it is pre-filled from State Pension €15,563.60 × your entitlement (full 1, partly 0.6, not sure 0.8). Enter your own figure. Allowed: €0 to €500,000 · st"&amp;"eps of €500"</f>
        <v>Type 2 · range · Usually between €0 and €15,564 a year: the full State Pension is €299.30 a week (DSP 2026), partial rates are lower and depend on your PRSI record. In the app it is pre-filled from State Pension €15,563.60 × your entitlement (full 1, partly 0.6, not sure 0.8). Enter your own figure. Allowed: €0 to €500,000 · steps of €500</v>
      </c>
      <c r="F26" s="33" t="n">
        <f aca="false">ROUND(State_Pension_Year,0)</f>
        <v>15564</v>
      </c>
      <c r="G26" s="34" t="str">
        <f aca="false">IF(ISBLANK(C26),IF(Fill_Example="Yes",F26,""),C26)</f>
        <v/>
      </c>
    </row>
    <row r="27" customFormat="false" ht="21.75" hidden="false" customHeight="true" outlineLevel="0" collapsed="false">
      <c r="B27" s="9" t="s">
        <v>731</v>
      </c>
      <c r="C27" s="38"/>
      <c r="D27" s="31" t="s">
        <v>238</v>
      </c>
      <c r="E27" s="39" t="s">
        <v>732</v>
      </c>
      <c r="F27" s="40" t="n">
        <f aca="false">AS_Pen</f>
        <v>0.045</v>
      </c>
      <c r="G27" s="41" t="n">
        <f aca="false">IF(ISBLANK(C27),F27,C27)</f>
        <v>0.045</v>
      </c>
    </row>
    <row r="28" customFormat="false" ht="21.75" hidden="false" customHeight="true" outlineLevel="0" collapsed="false">
      <c r="B28" s="9" t="s">
        <v>733</v>
      </c>
      <c r="C28" s="38"/>
      <c r="D28" s="31" t="s">
        <v>238</v>
      </c>
      <c r="E28" s="39" t="s">
        <v>734</v>
      </c>
      <c r="F28" s="40" t="n">
        <f aca="false">AS_Wage</f>
        <v>0.03</v>
      </c>
      <c r="G28" s="41" t="n">
        <f aca="false">IF(ISBLANK(C28),F28,C28)</f>
        <v>0.03</v>
      </c>
    </row>
    <row r="29" customFormat="false" ht="21.75" hidden="false" customHeight="true" outlineLevel="0" collapsed="false">
      <c r="B29" s="9" t="s">
        <v>735</v>
      </c>
      <c r="C29" s="42"/>
      <c r="D29" s="31"/>
      <c r="E29" s="39" t="s">
        <v>736</v>
      </c>
      <c r="F29" s="43" t="n">
        <f aca="false">Set_retireMult</f>
        <v>25</v>
      </c>
      <c r="G29" s="44" t="n">
        <f aca="false">IF(ISBLANK(C29),F29,C29)</f>
        <v>25</v>
      </c>
    </row>
    <row r="30" customFormat="false" ht="21.75" hidden="false" customHeight="true" outlineLevel="0" collapsed="false">
      <c r="B30" s="9" t="s">
        <v>737</v>
      </c>
      <c r="C30" s="38"/>
      <c r="D30" s="31" t="s">
        <v>238</v>
      </c>
      <c r="E30" s="39" t="str">
        <f aca="false">"Type 2 · your figure · Typical pension charges a year (your statement shows yours). "&amp;IF(ISNUMBER(Suggest_Fund_Charges),"Suggested: "&amp;TEXT(Suggest_Fund_Charges,"0.00%")&amp;" · "&amp;Suggest_Fund_Charges_Label&amp;". ","No suggestion. ")&amp;"Enter your own figure."&amp;" Allowed: 0% to 2.5% · steps of 0.05%"</f>
        <v>Type 2 · your figure · Typical pension charges a year (your statement shows yours). Suggested: 1.00% · Pensions Authority pension calculator assumption. Enter your own figure. Allowed: 0% to 2.5% · steps of 0.05%</v>
      </c>
      <c r="F30" s="40" t="n">
        <f aca="false">IF(ISNUMBER(Suggest_Fund_Charges),Suggest_Fund_Charges,"")</f>
        <v>0.01</v>
      </c>
      <c r="G30" s="41" t="str">
        <f aca="false">IF(ISBLANK(C30),IF(Fill_Example="Yes",F30,""),C30)</f>
        <v/>
      </c>
    </row>
    <row r="31" customFormat="false" ht="21.75" hidden="false" customHeight="true" outlineLevel="0" collapsed="false">
      <c r="B31" s="9" t="s">
        <v>738</v>
      </c>
      <c r="C31" s="38"/>
      <c r="D31" s="31" t="s">
        <v>238</v>
      </c>
      <c r="E31" s="39" t="str">
        <f aca="false">"Type 3 · LifeMap standard · LifeMap uses 25% of the fund, the most allowed (first "&amp;"€"&amp;TEXT(Lump_Sum_Tax_Free,"#,##0")&amp;" tax-free, next €"&amp;TEXT(Lump_Sum_Cap-Lump_Sum_Tax_Free,"#,##0")&amp;" at "&amp;TEXT(Lump_Sum_Rate,"0%")&amp;"). Change it if you want to use your own. Allowed: 0% to 25% · steps of 1%"</f>
        <v>Type 3 · LifeMap standard · LifeMap uses 25% of the fund, the most allowed (first €200,000 tax-free, next €300,000 at 20%). Change it if you want to use your own. Allowed: 0% to 25% · steps of 1%</v>
      </c>
      <c r="F31" s="40" t="n">
        <f aca="false">AS_LumpPct</f>
        <v>0.25</v>
      </c>
      <c r="G31" s="41" t="n">
        <f aca="false">IF(ISBLANK(C31),F31,C31)</f>
        <v>0.25</v>
      </c>
    </row>
    <row r="32" customFormat="false" ht="15" hidden="false" customHeight="true" outlineLevel="0" collapsed="false">
      <c r="B32" s="9" t="s">
        <v>739</v>
      </c>
      <c r="C32" s="42"/>
      <c r="D32" s="31" t="s">
        <v>240</v>
      </c>
      <c r="E32" s="32" t="s">
        <v>740</v>
      </c>
      <c r="F32" s="43" t="n">
        <v>0</v>
      </c>
      <c r="G32" s="44" t="n">
        <f aca="false">IF(ISBLANK(C32),F32,C32)</f>
        <v>0</v>
      </c>
    </row>
    <row r="33" customFormat="false" ht="15" hidden="false" customHeight="true" outlineLevel="0" collapsed="false">
      <c r="B33" s="9" t="s">
        <v>741</v>
      </c>
      <c r="C33" s="30"/>
      <c r="D33" s="31" t="s">
        <v>227</v>
      </c>
      <c r="E33" s="32" t="s">
        <v>385</v>
      </c>
      <c r="F33" s="33" t="n">
        <v>0</v>
      </c>
      <c r="G33" s="34" t="n">
        <f aca="false">IF(ISBLANK(C33),F33,C33)</f>
        <v>0</v>
      </c>
    </row>
    <row r="34" customFormat="false" ht="15" hidden="false" customHeight="true" outlineLevel="0" collapsed="false">
      <c r="B34" s="9" t="s">
        <v>742</v>
      </c>
      <c r="C34" s="30"/>
      <c r="D34" s="31" t="s">
        <v>227</v>
      </c>
      <c r="E34" s="32" t="str">
        <f aca="false">"Type 3 · optional · Optional: leave blank for none. Allowed: €0 to "&amp;TEXT(Max_Money_Input,"€#,##0")&amp;" · steps of €500"</f>
        <v>Type 3 · optional · Optional: leave blank for none. Allowed: €0 to €200,000 · steps of €500</v>
      </c>
      <c r="F34" s="33" t="n">
        <v>0</v>
      </c>
      <c r="G34" s="34" t="n">
        <f aca="false">IF(ISBLANK(C34),F34,C34)</f>
        <v>0</v>
      </c>
    </row>
    <row r="35" customFormat="false" ht="18.75" hidden="false" customHeight="true" outlineLevel="0" collapsed="false">
      <c r="B35" s="9" t="s">
        <v>743</v>
      </c>
      <c r="C35" s="38"/>
      <c r="D35" s="31" t="s">
        <v>715</v>
      </c>
      <c r="E35" s="39" t="s">
        <v>744</v>
      </c>
      <c r="F35" s="40" t="n">
        <f aca="false">AS_AccessAge</f>
        <v>60</v>
      </c>
      <c r="G35" s="41" t="n">
        <f aca="false">IF(ISBLANK(C35),F35,C35)</f>
        <v>60</v>
      </c>
    </row>
    <row r="36" customFormat="false" ht="15" hidden="false" customHeight="true" outlineLevel="0" collapsed="false">
      <c r="B36" s="15" t="s">
        <v>333</v>
      </c>
      <c r="C36" s="16"/>
      <c r="D36" s="16"/>
      <c r="E36" s="16"/>
      <c r="F36" s="16"/>
      <c r="G36" s="16"/>
    </row>
    <row r="37" customFormat="false" ht="15" hidden="false" customHeight="true" outlineLevel="0" collapsed="false">
      <c r="B37" s="9" t="s">
        <v>724</v>
      </c>
      <c r="C37" s="62" t="str">
        <f aca="false">IF(ISBLANK(Stmt_Fund_Value),Pension_Today,Stmt_Fund_Value)</f>
        <v/>
      </c>
      <c r="D37" s="63" t="str">
        <f aca="false">IF(ISBLANK(Stmt_Fund_Value),"Your figure","From your statement")</f>
        <v>Your figure</v>
      </c>
      <c r="E37" s="53" t="s">
        <v>745</v>
      </c>
    </row>
    <row r="38" customFormat="false" ht="15" hidden="false" customHeight="true" outlineLevel="0" collapsed="false">
      <c r="B38" s="9" t="s">
        <v>726</v>
      </c>
      <c r="C38" s="62" t="str">
        <f aca="false">IF(COUNT(Stmt_You_Monthly,Stmt_Employer_Monthly)=0,Monthly_Contribution,SUM(Stmt_You_Monthly,Stmt_Employer_Monthly))</f>
        <v/>
      </c>
      <c r="D38" s="63" t="str">
        <f aca="false">IF(COUNT(Stmt_You_Monthly,Stmt_Employer_Monthly)=0,"Your figure","From your statement")</f>
        <v>Your figure</v>
      </c>
      <c r="E38" s="53" t="s">
        <v>746</v>
      </c>
    </row>
    <row r="39" customFormat="false" ht="15" hidden="false" customHeight="true" outlineLevel="0" collapsed="false">
      <c r="B39" s="9" t="s">
        <v>747</v>
      </c>
      <c r="C39" s="64" t="n">
        <f aca="false">IF(ISBLANK(Stmt_Charges),Growth_Rate,IF(OR(Growth_Rate="",Typical_Pension_Charges=""),"",Growth_Rate+Typical_Pension_Charges-Stmt_Charges))</f>
        <v>0.045</v>
      </c>
      <c r="D39" s="63" t="str">
        <f aca="false">IF(ISBLANK(Stmt_Charges),"Your figure","Adjusted for your statement's charges")</f>
        <v>Your figure</v>
      </c>
      <c r="E39" s="53" t="s">
        <v>748</v>
      </c>
    </row>
    <row r="40" customFormat="false" ht="21.75" hidden="false" customHeight="true" outlineLevel="0" collapsed="false">
      <c r="B40" s="9" t="s">
        <v>749</v>
      </c>
      <c r="C40" s="49" t="str">
        <f aca="false">IF(Need_1&lt;&gt;"",Need_1,IF(AND(NOT(ISBLANK(Stmt_Projected_Fund)),Stmt_NRA=Retirement_Age+Retire_Later,Save_More=0),"Yes","No"))</f>
        <v>Choose your retirement age to see this</v>
      </c>
      <c r="D40" s="31"/>
      <c r="E40" s="46" t="s">
        <v>750</v>
      </c>
    </row>
    <row r="41" customFormat="false" ht="21.75" hidden="false" customHeight="true" outlineLevel="0" collapsed="false">
      <c r="B41" s="9" t="s">
        <v>339</v>
      </c>
      <c r="C41" s="49" t="str">
        <f aca="true">IF(ISBLANK(Stmt_Statement_Date),"",IF(TODAY()-Stmt_Statement_Date&gt;Statement_Max_Age_Days,"Needs a look: statement is more than 12 months old","Up to date"))</f>
        <v/>
      </c>
      <c r="D41" s="31"/>
      <c r="E41" s="46" t="s">
        <v>340</v>
      </c>
    </row>
    <row r="43" customFormat="false" ht="15" hidden="false" customHeight="true" outlineLevel="0" collapsed="false">
      <c r="B43" s="15" t="s">
        <v>247</v>
      </c>
      <c r="C43" s="28" t="s">
        <v>248</v>
      </c>
      <c r="D43" s="28" t="s">
        <v>249</v>
      </c>
      <c r="E43" s="28" t="s">
        <v>250</v>
      </c>
      <c r="F43" s="16"/>
      <c r="G43" s="16"/>
    </row>
    <row r="44" customFormat="false" ht="17.25" hidden="false" customHeight="true" outlineLevel="0" collapsed="false">
      <c r="B44" s="25" t="s">
        <v>751</v>
      </c>
      <c r="C44" s="45" t="str">
        <f aca="false">IF(Need_2&lt;&gt;"",Need_2,IF(ISNUMBER(Fund_Today),Target_Today-Fund_Today,Fund_Today))</f>
        <v>Choose your age to see this</v>
      </c>
      <c r="D44" s="67" t="str">
        <f aca="false">IF(Need_2&lt;&gt;"",Need_2,IF(ISNUMBER(Gap_Today),IF(Gap_Today&gt;0,"Gap of "&amp;TEXT(Gap_Today,"€#,##0")&amp;" in today's money","On track: no gap"),Gap_Today))</f>
        <v>Choose your age to see this</v>
      </c>
      <c r="E44" s="46" t="s">
        <v>752</v>
      </c>
    </row>
    <row r="45" customFormat="false" ht="17.25" hidden="false" customHeight="true" outlineLevel="0" collapsed="false">
      <c r="B45" s="25" t="s">
        <v>753</v>
      </c>
      <c r="C45" s="45" t="str">
        <f aca="false">IF(Need_3&lt;&gt;"",Need_3,IF(Use_Statement_Projection="Yes",Stmt_Projected_Fund,Calculated_Fund))</f>
        <v>Choose your age to see this</v>
      </c>
      <c r="D45" s="67" t="str">
        <f aca="false">IF(Need_3&lt;&gt;"",Need_3,IF(Use_Statement_Projection="Yes","From your statement","Calculated"))</f>
        <v>Choose your age to see this</v>
      </c>
      <c r="E45" s="46" t="s">
        <v>754</v>
      </c>
    </row>
    <row r="46" customFormat="false" ht="42.75" hidden="false" customHeight="true" outlineLevel="0" collapsed="false">
      <c r="B46" s="25" t="s">
        <v>755</v>
      </c>
      <c r="C46" s="45" t="str">
        <f aca="false">IF(Need_3&lt;&gt;"",Need_3,IF(AND(Use_Statement_Projection="Yes",Stmt_Projection_Today&lt;&gt;"No"),Stmt_Projected_Fund,IF(Inflation_Choice="","Choose your inflation rate to see this",Projected_Fund/(1+Inflation_Choice)^Years_To_Retirement)))</f>
        <v>Choose your age to see this</v>
      </c>
      <c r="D46" s="31" t="s">
        <v>227</v>
      </c>
      <c r="E46" s="46" t="s">
        <v>756</v>
      </c>
    </row>
    <row r="47" customFormat="false" ht="15" hidden="false" customHeight="true" outlineLevel="0" collapsed="false">
      <c r="B47" s="9" t="s">
        <v>757</v>
      </c>
      <c r="C47" s="47" t="str">
        <f aca="false">IF(Need_3&lt;&gt;"",Need_3,Used_Pension_Today*(1+Used_Growth_Rate)^Years_To_Retirement+Contributions_Grow_To)</f>
        <v>Choose your age to see this</v>
      </c>
      <c r="D47" s="31" t="s">
        <v>227</v>
      </c>
      <c r="E47" s="46" t="s">
        <v>758</v>
      </c>
    </row>
    <row r="48" customFormat="false" ht="17.25" hidden="false" customHeight="true" outlineLevel="0" collapsed="false">
      <c r="B48" s="25" t="s">
        <v>759</v>
      </c>
      <c r="C48" s="45" t="str">
        <f aca="false">IF(Need_4&lt;&gt;"",Need_4,MAX(0,Desired_Income-Spend_Less-Other_Income)*Retire_Multiple+Bridge_Years*MIN(Other_Income,MAX(0,Desired_Income-Spend_Less)))</f>
        <v>Choose your desired retirement income to see this</v>
      </c>
      <c r="D48" s="31" t="s">
        <v>227</v>
      </c>
      <c r="E48" s="46" t="s">
        <v>760</v>
      </c>
    </row>
    <row r="49" customFormat="false" ht="15" hidden="false" customHeight="true" outlineLevel="0" collapsed="false">
      <c r="B49" s="9" t="s">
        <v>761</v>
      </c>
      <c r="C49" s="70" t="str">
        <f aca="false">IF(Need_1&lt;&gt;"",Need_1,MAX(0,State_Pension_Age-(Retirement_Age+Retire_Later)))</f>
        <v>Choose your retirement age to see this</v>
      </c>
      <c r="D49" s="31" t="s">
        <v>240</v>
      </c>
      <c r="E49" s="46" t="s">
        <v>762</v>
      </c>
    </row>
    <row r="50" customFormat="false" ht="15" hidden="false" customHeight="true" outlineLevel="0" collapsed="false">
      <c r="B50" s="9" t="s">
        <v>763</v>
      </c>
      <c r="C50" s="47" t="str">
        <f aca="false">IF(Need_5&lt;&gt;"",Need_5,Projected_Fund*MIN(Lump_Sum_Pct,Lump_Sum_Max_Pct))</f>
        <v>Choose your age to see this</v>
      </c>
      <c r="D50" s="31" t="s">
        <v>227</v>
      </c>
      <c r="E50" s="46" t="str">
        <f aca="false">"ƒx  =Projected_Fund*MIN(Lump_Sum_Pct,Lump_Sum_Max_Pct)      (25% at most of the fund: no cap; first "&amp;"€"&amp;TEXT(Lump_Sum_Tax_Free,"#,##0")&amp;" tax-free, next €"&amp;TEXT(Lump_Sum_Cap-Lump_Sum_Tax_Free,"#,##0")&amp;" at "&amp;TEXT(Lump_Sum_Rate,"0%")&amp;", the excess at the higher rate)"</f>
        <v>ƒx  =Projected_Fund*MIN(Lump_Sum_Pct,Lump_Sum_Max_Pct)      (25% at most of the fund: no cap; first €200,000 tax-free, next €300,000 at 20%, the excess at the higher rate)</v>
      </c>
    </row>
    <row r="51" customFormat="false" ht="15" hidden="false" customHeight="true" outlineLevel="0" collapsed="false">
      <c r="B51" s="9" t="s">
        <v>764</v>
      </c>
      <c r="C51" s="47" t="str">
        <f aca="false">IF(Need_5&lt;&gt;"",Need_5,Lump_Sum_Rate*MAX(0,MIN(Lump_Sum,Lump_Sum_Cap)-Lump_Sum_Tax_Free)+Rate_Higher*MAX(0,Lump_Sum-Lump_Sum_Cap))</f>
        <v>Choose your age to see this</v>
      </c>
      <c r="D51" s="31" t="s">
        <v>227</v>
      </c>
      <c r="E51" s="46" t="s">
        <v>765</v>
      </c>
    </row>
    <row r="52" customFormat="false" ht="15" hidden="false" customHeight="true" outlineLevel="0" collapsed="false">
      <c r="B52" s="9" t="s">
        <v>766</v>
      </c>
      <c r="C52" s="47" t="str">
        <f aca="false">IF(Need_5&lt;&gt;"",Need_5,Lump_Sum-Lump_Sum_Tax)</f>
        <v>Choose your age to see this</v>
      </c>
      <c r="D52" s="31" t="s">
        <v>227</v>
      </c>
      <c r="E52" s="46" t="s">
        <v>767</v>
      </c>
    </row>
    <row r="53" customFormat="false" ht="15" hidden="false" customHeight="true" outlineLevel="0" collapsed="false">
      <c r="B53" s="76" t="s">
        <v>768</v>
      </c>
      <c r="C53" s="77" t="str">
        <f aca="false">IF(Need_1&lt;&gt;"","",IF(Retirement_Age+Retire_Later&lt;Access_Age,"Most pensions can't be taken before 60 (PRSA and personal pensions; some occupational schemes allow it from 50). Until then you would live on savings and other income.",""))</f>
        <v/>
      </c>
      <c r="D53" s="77"/>
      <c r="E53" s="77"/>
    </row>
    <row r="54" customFormat="false" ht="15" hidden="false" customHeight="true" outlineLevel="0" collapsed="false">
      <c r="B54" s="76" t="s">
        <v>768</v>
      </c>
      <c r="C54" s="77" t="str">
        <f aca="false">IF(Need_3&lt;&gt;"","",IF(AND(ISNUMBER(Fund_Today),IF(ISNUMBER(Fund_Today),Fund_Today,0)&gt;SFT_2026),"Your fund in today's money is above the Standard Fund Threshold (€2.2m in 2026, rising to €2.8m by 2029; later years are not set yet): the excess is taxed at "&amp;TEXT(SFT_Tax,"0%")&amp;".",""))</f>
        <v/>
      </c>
      <c r="D54" s="77"/>
      <c r="E54" s="77"/>
    </row>
    <row r="55" customFormat="false" ht="15" hidden="false" customHeight="true" outlineLevel="0" collapsed="false">
      <c r="B55" s="9" t="s">
        <v>769</v>
      </c>
      <c r="C55" s="70" t="str">
        <f aca="false">IF(Need_6&lt;&gt;"",Need_6,MAX(1,Retirement_Age+Retire_Later-Age))</f>
        <v>Choose your age to see this</v>
      </c>
      <c r="D55" s="31" t="s">
        <v>240</v>
      </c>
      <c r="E55" s="46" t="s">
        <v>770</v>
      </c>
    </row>
    <row r="56" customFormat="false" ht="15" hidden="false" customHeight="true" outlineLevel="0" collapsed="false">
      <c r="B56" s="9" t="s">
        <v>771</v>
      </c>
      <c r="C56" s="47" t="str">
        <f aca="false">IF(Need_7&lt;&gt;"",Need_7,Used_Monthly_Contribution+Save_More)</f>
        <v>Choose your monthly contributions to see this</v>
      </c>
      <c r="D56" s="31" t="s">
        <v>227</v>
      </c>
      <c r="E56" s="46" t="s">
        <v>772</v>
      </c>
    </row>
    <row r="57" customFormat="false" ht="21.75" hidden="false" customHeight="true" outlineLevel="0" collapsed="false">
      <c r="B57" s="9" t="s">
        <v>773</v>
      </c>
      <c r="C57" s="47" t="str">
        <f aca="false">IF(Need_8&lt;&gt;"",Need_8,IF(Used_Growth_Rate=Wage,12*Contribution*Years_To_Retirement*(1+Used_Growth_Rate)^(Years_To_Retirement-1),12*Contribution*((1+Used_Growth_Rate)^Years_To_Retirement-(1+Wage)^Years_To_Retirement)/(Used_Growth_Rate-Wage)))</f>
        <v>Choose your age to see this</v>
      </c>
      <c r="D57" s="31" t="s">
        <v>227</v>
      </c>
      <c r="E57" s="46" t="s">
        <v>774</v>
      </c>
    </row>
    <row r="59" customFormat="false" ht="15" hidden="false" customHeight="true" outlineLevel="0" collapsed="false">
      <c r="B59" s="15" t="s">
        <v>280</v>
      </c>
      <c r="C59" s="16"/>
      <c r="D59" s="16"/>
      <c r="E59" s="16"/>
      <c r="F59" s="16"/>
      <c r="G59" s="16"/>
    </row>
    <row r="60" customFormat="false" ht="27.75" hidden="false" customHeight="true" outlineLevel="0" collapsed="false">
      <c r="B60" s="50" t="s">
        <v>775</v>
      </c>
      <c r="C60" s="50"/>
      <c r="D60" s="50"/>
      <c r="E60" s="50"/>
    </row>
    <row r="61" customFormat="false" ht="27.75" hidden="false" customHeight="true" outlineLevel="0" collapsed="false">
      <c r="B61" s="50" t="s">
        <v>776</v>
      </c>
      <c r="C61" s="50"/>
      <c r="D61" s="50"/>
      <c r="E61" s="50"/>
    </row>
    <row r="62" customFormat="false" ht="27.75" hidden="false" customHeight="true" outlineLevel="0" collapsed="false">
      <c r="B62" s="50" t="s">
        <v>777</v>
      </c>
      <c r="C62" s="50"/>
      <c r="D62" s="50"/>
      <c r="E62" s="50"/>
    </row>
    <row r="63" customFormat="false" ht="27.75" hidden="false" customHeight="true" outlineLevel="0" collapsed="false">
      <c r="B63" s="50" t="str">
        <f aca="false">"• Desired income and the State Pension are before tax: the State Pension is taxable (USC-exempt) and drawdown pays income tax and USC. The lump sum is the share you chose "&amp;"("&amp;TEXT(Lump_Sum_Max_Pct,"0%")&amp;" at most)"&amp;": the "&amp;"first "&amp;TEXT(Lump_Sum_Tax_Free,"€#,##0")&amp;" tax-free, the "&amp;"next "&amp;TEXT(Lump_Sum_Cap-Lump_Sum_Tax_Free,"€#,##0")&amp;" at "&amp;TEXT(Lump_Sum_Rate,"0%")&amp;", anything "&amp;"above "&amp;TEXT(Lump_Sum_Cap,"€#,##0")&amp;" at the higher rate. Contributions are counted as paid at the end of each year."</f>
        <v>• Desired income and the State Pension are before tax: the State Pension is taxable (USC-exempt) and drawdown pays income tax and USC. The lump sum is the share you chose (25% at most): the first €200,000 tax-free, the next €300,000 at 20%, anything above €500,000 at the higher rate. Contributions are counted as paid at the end of each year.</v>
      </c>
      <c r="C63" s="50"/>
      <c r="D63" s="50"/>
      <c r="E63" s="50"/>
    </row>
    <row r="64" customFormat="false" ht="13.5" hidden="false" customHeight="true" outlineLevel="0" collapsed="false">
      <c r="B64" s="51" t="s">
        <v>283</v>
      </c>
      <c r="C64" s="51"/>
      <c r="D64" s="51"/>
      <c r="E64" s="51"/>
    </row>
    <row r="65" customFormat="false" ht="13.5" hidden="false" customHeight="true" outlineLevel="0" collapsed="false">
      <c r="B65" s="50" t="s">
        <v>778</v>
      </c>
      <c r="C65" s="50"/>
      <c r="D65" s="50"/>
      <c r="E65" s="50"/>
    </row>
    <row r="66" customFormat="false" ht="27.75" hidden="false" customHeight="true" outlineLevel="0" collapsed="false">
      <c r="B66" s="50" t="s">
        <v>779</v>
      </c>
      <c r="C66" s="50"/>
      <c r="D66" s="50"/>
      <c r="E66" s="50"/>
    </row>
    <row r="67" customFormat="false" ht="13.5" hidden="false" customHeight="true" outlineLevel="0" collapsed="false">
      <c r="B67" s="50" t="s">
        <v>780</v>
      </c>
      <c r="C67" s="50"/>
      <c r="D67" s="50"/>
      <c r="E67" s="50"/>
    </row>
    <row r="69" customFormat="false" ht="15" hidden="false" customHeight="true" outlineLevel="0" collapsed="false">
      <c r="B69" s="15" t="s">
        <v>288</v>
      </c>
      <c r="C69" s="16"/>
      <c r="D69" s="16"/>
      <c r="E69" s="16"/>
      <c r="F69" s="16"/>
      <c r="G69" s="16"/>
    </row>
    <row r="70" customFormat="false" ht="15" hidden="false" customHeight="true" outlineLevel="0" collapsed="false">
      <c r="B70" s="9" t="s">
        <v>289</v>
      </c>
      <c r="C70" s="52" t="str">
        <f aca="false">"Update your retirement goal (no new goal)"</f>
        <v>Update your retirement goal (no new goal)</v>
      </c>
      <c r="E70" s="53" t="s">
        <v>781</v>
      </c>
    </row>
    <row r="71" customFormat="false" ht="15" hidden="false" customHeight="true" outlineLevel="0" collapsed="false">
      <c r="B71" s="9" t="s">
        <v>782</v>
      </c>
      <c r="C71" s="54" t="str">
        <f aca="false">IF(Need_9&lt;&gt;"",Need_9,Desired_Income-Spend_Less)</f>
        <v>Choose your desired retirement income to see this</v>
      </c>
      <c r="E71" s="53" t="s">
        <v>783</v>
      </c>
    </row>
    <row r="72" customFormat="false" ht="15" hidden="false" customHeight="true" outlineLevel="0" collapsed="false">
      <c r="B72" s="9" t="s">
        <v>784</v>
      </c>
      <c r="C72" s="55" t="str">
        <f aca="false">IF(Need_1&lt;&gt;"",Need_1,Retirement_Age+Retire_Later)</f>
        <v>Choose your retirement age to see this</v>
      </c>
      <c r="E72" s="53" t="s">
        <v>785</v>
      </c>
    </row>
    <row r="73" customFormat="false" ht="15" hidden="false" customHeight="true" outlineLevel="0" collapsed="false">
      <c r="B73" s="9" t="s">
        <v>588</v>
      </c>
      <c r="C73" s="73" t="str">
        <f aca="false">IF(Inflation_Choice="","Choose an inflation rate first",Inflation_Choice)</f>
        <v>Choose an inflation rate first</v>
      </c>
      <c r="E73" s="53" t="s">
        <v>589</v>
      </c>
    </row>
    <row r="74" customFormat="false" ht="13.5" hidden="false" customHeight="true" outlineLevel="0" collapsed="false">
      <c r="B74" s="57" t="s">
        <v>786</v>
      </c>
      <c r="C74" s="57"/>
      <c r="D74" s="57"/>
      <c r="E74" s="57"/>
    </row>
    <row r="76" customFormat="false" ht="15" hidden="false" customHeight="true" outlineLevel="0" collapsed="false">
      <c r="B76" s="15" t="s">
        <v>297</v>
      </c>
      <c r="C76" s="16"/>
      <c r="D76" s="16"/>
      <c r="E76" s="16"/>
      <c r="F76" s="16"/>
      <c r="G76" s="16"/>
    </row>
    <row r="77" customFormat="false" ht="15" hidden="false" customHeight="true" outlineLevel="0" collapsed="false">
      <c r="B77" s="56" t="s">
        <v>787</v>
      </c>
      <c r="C77" s="56" t="str">
        <f aca="false">IF(AND(ISNUMBER(Age),ISNUMBER(Retirement_Age),N(Retirement_Age)+N(Retire_Later)&lt;=N(Age)),"Choose a retirement age after your age to see this",IF(Retirement_Age="","Choose your retirement age to see this",IF(Other_Income="","Choose your State Pension (other yearly income) to see this","")))</f>
        <v>Choose your retirement age to see this</v>
      </c>
    </row>
    <row r="78" customFormat="false" ht="15" hidden="false" customHeight="true" outlineLevel="0" collapsed="false">
      <c r="B78" s="56" t="s">
        <v>788</v>
      </c>
      <c r="C78" s="56" t="str">
        <f aca="false">IF(Age="","Choose your age to see this",IF(Desired_Income="","Choose your desired retirement income to see this",IF(NOT(ISNUMBER(Used_Pension_Today)),IF(Used_Pension_Today="",IF(Pension_Today="","Choose your pension value to see this",""),Used_Pension_Today),IF(NOT(ISNUMBER(Used_Monthly_Contribution)),IF(Used_Monthly_Contribution="",IF(Monthly_Contribution="","Choose your monthly contributions to see this",""),Used_Monthly_Contribution),IF(NOT(ISNUMBER(Used_Growth_Rate)),IF(Used_Growth_Rate="",IF(Growth_Rate="","Choose your growth rate to see this",IF(Growth_Rate="","Choose your growth rate to see this",IF(Growth_Rate="","Choose your growth rate to see this",IF(Typical_Pension_Charges="","Choose your typical pension charges to see this",IF(Typical_Pension_Charges="","Choose your typical pension charges to see this",""))))),Used_Growth_Rate),IF(AND(ISNUMBER(Age),ISNUMBER(Retirement_Age),N(Retirement_Age)+N(Retire_Later)&lt;=N(Age)),"Choose a retirement age after your age to see this",IF(Retirement_Age="","Choose your retirement age to see this",IF(Other_Income="","Choose your State Pension (other yearly income) to see this",""))))))))</f>
        <v>Choose your age to see this</v>
      </c>
    </row>
    <row r="79" customFormat="false" ht="15" hidden="false" customHeight="true" outlineLevel="0" collapsed="false">
      <c r="B79" s="56" t="s">
        <v>789</v>
      </c>
      <c r="C79" s="56" t="str">
        <f aca="false">IF(Age="","Choose your age to see this",IF(NOT(ISNUMBER(Used_Pension_Today)),IF(Used_Pension_Today="",IF(Pension_Today="","Choose your pension value to see this",""),Used_Pension_Today),IF(NOT(ISNUMBER(Used_Monthly_Contribution)),IF(Used_Monthly_Contribution="",IF(Monthly_Contribution="","Choose your monthly contributions to see this",""),Used_Monthly_Contribution),IF(NOT(ISNUMBER(Used_Growth_Rate)),IF(Used_Growth_Rate="",IF(Growth_Rate="","Choose your growth rate to see this",IF(Growth_Rate="","Choose your growth rate to see this",IF(Growth_Rate="","Choose your growth rate to see this",IF(Typical_Pension_Charges="","Choose your typical pension charges to see this",IF(Typical_Pension_Charges="","Choose your typical pension charges to see this",""))))),Used_Growth_Rate),IF(AND(ISNUMBER(Age),ISNUMBER(Retirement_Age),N(Retirement_Age)+N(Retire_Later)&lt;=N(Age)),"Choose a retirement age after your age to see this",IF(Retirement_Age="","Choose your retirement age to see this",IF(Other_Income="","Choose your State Pension (other yearly income) to see this","")))))))</f>
        <v>Choose your age to see this</v>
      </c>
    </row>
    <row r="80" customFormat="false" ht="15" hidden="false" customHeight="true" outlineLevel="0" collapsed="false">
      <c r="B80" s="56" t="s">
        <v>790</v>
      </c>
      <c r="C80" s="56" t="str">
        <f aca="false">IF(Desired_Income="","Choose your desired retirement income to see this",IF(AND(ISNUMBER(Age),ISNUMBER(Retirement_Age),N(Retirement_Age)+N(Retire_Later)&lt;=N(Age)),"Choose a retirement age after your age to see this",IF(Retirement_Age="","Choose your retirement age to see this",IF(Other_Income="","Choose your State Pension (other yearly income) to see this",""))))</f>
        <v>Choose your desired retirement income to see this</v>
      </c>
    </row>
    <row r="81" customFormat="false" ht="15" hidden="false" customHeight="true" outlineLevel="0" collapsed="false">
      <c r="B81" s="56" t="s">
        <v>791</v>
      </c>
      <c r="C81" s="56" t="str">
        <f aca="false">IF(Age="","Choose your age to see this",IF(NOT(ISNUMBER(Used_Pension_Today)),IF(Used_Pension_Today="",IF(Pension_Today="","Choose your pension value to see this",""),Used_Pension_Today),IF(NOT(ISNUMBER(Used_Monthly_Contribution)),IF(Used_Monthly_Contribution="",IF(Monthly_Contribution="","Choose your monthly contributions to see this",""),Used_Monthly_Contribution),IF(NOT(ISNUMBER(Used_Growth_Rate)),IF(Used_Growth_Rate="",IF(Growth_Rate="","Choose your growth rate to see this",IF(Growth_Rate="","Choose your growth rate to see this",IF(Growth_Rate="","Choose your growth rate to see this",IF(Typical_Pension_Charges="","Choose your typical pension charges to see this",IF(Typical_Pension_Charges="","Choose your typical pension charges to see this",""))))),Used_Growth_Rate),IF(AND(ISNUMBER(Age),ISNUMBER(Retirement_Age),N(Retirement_Age)+N(Retire_Later)&lt;=N(Age)),"Choose a retirement age after your age to see this",IF(Retirement_Age="","Choose your retirement age to see this",IF(Other_Income="","Choose your State Pension (other yearly income) to see this","")))))))</f>
        <v>Choose your age to see this</v>
      </c>
    </row>
    <row r="82" customFormat="false" ht="15" hidden="false" customHeight="true" outlineLevel="0" collapsed="false">
      <c r="B82" s="56" t="s">
        <v>792</v>
      </c>
      <c r="C82" s="56" t="str">
        <f aca="false">IF(Age="","Choose your age to see this",IF(AND(ISNUMBER(Age),ISNUMBER(Retirement_Age),N(Retirement_Age)+N(Retire_Later)&lt;=N(Age)),"Choose a retirement age after your age to see this",IF(Retirement_Age="","Choose your retirement age to see this",IF(Other_Income="","Choose your State Pension (other yearly income) to see this",""))))</f>
        <v>Choose your age to see this</v>
      </c>
    </row>
    <row r="83" customFormat="false" ht="15" hidden="false" customHeight="true" outlineLevel="0" collapsed="false">
      <c r="B83" s="56" t="s">
        <v>793</v>
      </c>
      <c r="C83" s="56" t="str">
        <f aca="false">IF(NOT(ISNUMBER(Used_Monthly_Contribution)),IF(Used_Monthly_Contribution="",IF(Monthly_Contribution="","Choose your monthly contributions to see this",""),Used_Monthly_Contribution),IF(AND(ISNUMBER(Age),ISNUMBER(Retirement_Age),N(Retirement_Age)+N(Retire_Later)&lt;=N(Age)),"Choose a retirement age after your age to see this",IF(Retirement_Age="","Choose your retirement age to see this",IF(Other_Income="","Choose your State Pension (other yearly income) to see this",""))))</f>
        <v>Choose your monthly contributions to see this</v>
      </c>
    </row>
    <row r="84" customFormat="false" ht="15" hidden="false" customHeight="true" outlineLevel="0" collapsed="false">
      <c r="B84" s="56" t="s">
        <v>794</v>
      </c>
      <c r="C84" s="56" t="str">
        <f aca="false">IF(Age="","Choose your age to see this",IF(NOT(ISNUMBER(Used_Monthly_Contribution)),IF(Used_Monthly_Contribution="",IF(Monthly_Contribution="","Choose your monthly contributions to see this",""),Used_Monthly_Contribution),IF(NOT(ISNUMBER(Used_Growth_Rate)),IF(Used_Growth_Rate="",IF(Growth_Rate="","Choose your growth rate to see this",IF(Growth_Rate="","Choose your growth rate to see this",IF(Growth_Rate="","Choose your growth rate to see this",IF(Typical_Pension_Charges="","Choose your typical pension charges to see this",IF(Typical_Pension_Charges="","Choose your typical pension charges to see this",""))))),Used_Growth_Rate),IF(AND(ISNUMBER(Age),ISNUMBER(Retirement_Age),N(Retirement_Age)+N(Retire_Later)&lt;=N(Age)),"Choose a retirement age after your age to see this",IF(Retirement_Age="","Choose your retirement age to see this",IF(Other_Income="","Choose your State Pension (other yearly income) to see this",""))))))</f>
        <v>Choose your age to see this</v>
      </c>
    </row>
    <row r="85" customFormat="false" ht="15" hidden="false" customHeight="true" outlineLevel="0" collapsed="false">
      <c r="B85" s="56" t="s">
        <v>795</v>
      </c>
      <c r="C85" s="56" t="str">
        <f aca="false">IF(Desired_Income="","Choose your desired retirement income to see this",IF(AND(ISNUMBER(Age),ISNUMBER(Retirement_Age),N(Retirement_Age)+N(Retire_Later)&lt;=N(Age)),"Choose a retirement age after your age to see this",IF(Retirement_Age="","Choose your retirement age to see this",IF(Other_Income="","Choose your State Pension (other yearly income) to see this",""))))</f>
        <v>Choose your desired retirement income to see this</v>
      </c>
    </row>
  </sheetData>
  <mergeCells count="13">
    <mergeCell ref="B7:E7"/>
    <mergeCell ref="B10:E10"/>
    <mergeCell ref="C53:E53"/>
    <mergeCell ref="C54:E54"/>
    <mergeCell ref="B60:E60"/>
    <mergeCell ref="B61:E61"/>
    <mergeCell ref="B62:E62"/>
    <mergeCell ref="B63:E63"/>
    <mergeCell ref="B64:E64"/>
    <mergeCell ref="B65:E65"/>
    <mergeCell ref="B66:E66"/>
    <mergeCell ref="B67:E67"/>
    <mergeCell ref="B74:E74"/>
  </mergeCells>
  <dataValidations count="24">
    <dataValidation allowBlank="true" error="Please enter a date (dd/mm/yyyy)." errorStyle="stop" errorTitle="Outside the allowed range" operator="greaterThan" prompt="Unit: date. Allowed: a date (dd/mm/yyyy)." promptTitle="Statement date" showDropDown="false" showErrorMessage="true" showInputMessage="true" sqref="C18" type="date">
      <formula1>36526</formula1>
      <formula2>0</formula2>
    </dataValidation>
    <dataValidation allowBlank="true" error="Please enter 0% to 10% · steps of 0.25%." errorStyle="stop" errorTitle="Outside the allowed range" operator="between" prompt="Generally the standard is 2% a year (ECB target); Ireland's prices are rising 3.9% now (CSO HICP flash, Sep 2026). Choose what you want to use.  Allowed: 0% to 10% · steps of 0.25%." promptTitle="Inflation you expect (your choic" showDropDown="false" showErrorMessage="true" showInputMessage="true" sqref="C6" type="decimal">
      <formula1>0</formula1>
      <formula2>0.1</formula2>
    </dataValidation>
    <dataValidation allowBlank="true" error="Please enter 0% to 5%." errorStyle="stop" errorTitle="Outside the allowed range" operator="between" prompt="Unit: %. Allowed: 0% to 5%." promptTitle="Annual charges % (if shown)" showDropDown="false" showErrorMessage="true" showInputMessage="true" sqref="C17" type="decimal">
      <formula1>0</formula1>
      <formula2>0.05</formula2>
    </dataValidation>
    <dataValidation allowBlank="true" error="Please enter 0% to 2.5% · steps of 0.05%." errorStyle="stop" errorTitle="Outside the allowed range" operator="between" prompt="Your own pension charges (your statement shows them). A suggested figure and its source are shown beside this cell (Partner rates, Assumptions sheet). CCPC: usually 0.5%–2% a year. Allowed: 0% to 2.5% · steps of 0.05%" promptTitle="Typical pension charges (if your" showDropDown="false" showErrorMessage="true" showInputMessage="true" sqref="C30" type="decimal">
      <formula1>0</formula1>
      <formula2>0.025</formula2>
    </dataValidation>
    <dataValidation allowBlank="true" error="Please enter €0 to €50,000,000." errorStyle="stop" errorTitle="Outside the allowed range" operator="between" prompt="Unit: €. Allowed: €0 to €50,000,000." promptTitle="Fund value today" showDropDown="false" showErrorMessage="true" showInputMessage="true" sqref="C11" type="decimal">
      <formula1>0</formula1>
      <formula2>50000000</formula2>
    </dataValidation>
    <dataValidation allowBlank="true" error="Please enter €0 to €100,000." errorStyle="stop" errorTitle="Outside the allowed range" operator="between" prompt="Unit: €. Allowed: €0 to €100,000." promptTitle="Your monthly contribution" showDropDown="false" showErrorMessage="true" showInputMessage="true" sqref="C12" type="decimal">
      <formula1>0</formula1>
      <formula2>100000</formula2>
    </dataValidation>
    <dataValidation allowBlank="true" error="Please enter €0 to €100,000." errorStyle="stop" errorTitle="Outside the allowed range" operator="between" prompt="Unit: €. Allowed: €0 to €100,000." promptTitle="Employer monthly contribution" showDropDown="false" showErrorMessage="true" showInputMessage="true" sqref="C13" type="decimal">
      <formula1>0</formula1>
      <formula2>100000</formula2>
    </dataValidation>
    <dataValidation allowBlank="true" error="Please enter 50 to 75." errorStyle="stop" errorTitle="Outside the allowed range" operator="between" prompt="Unit: age. Allowed: 50 to 75." promptTitle="Normal retirement age" showDropDown="false" showErrorMessage="true" showInputMessage="true" sqref="C14" type="whole">
      <formula1>50</formula1>
      <formula2>75</formula2>
    </dataValidation>
    <dataValidation allowBlank="true" error="Please enter €0 to €100,000,000." errorStyle="stop" errorTitle="Outside the allowed range" operator="between" prompt="Unit: €. Allowed: €0 to €100,000,000." promptTitle="Projected fund at retirement (if" showDropDown="false" showErrorMessage="true" showInputMessage="true" sqref="C15" type="decimal">
      <formula1>0</formula1>
      <formula2>100000000</formula2>
    </dataValidation>
    <dataValidation allowBlank="true" error="Please enter Yes or No." errorStyle="stop" errorTitle="Outside the allowed range" operator="between" prompt="Unit: Yes / No. Allowed: Yes or No." promptTitle="Projection is in today's money? " showDropDown="false" showErrorMessage="true" showInputMessage="true" sqref="C16" type="list">
      <formula1>"Yes,No"</formula1>
      <formula2>0</formula2>
    </dataValidation>
    <dataValidation allowBlank="true" error="Please enter 20 to 70 · steps of 1." errorStyle="stop" errorTitle="Outside the allowed range" operator="between" prompt="Your own figure. In the app it is pre-filled from About you: age.  Allowed: 20 to 70 · steps of 1." promptTitle="Your age" showDropDown="false" showErrorMessage="true" showInputMessage="true" sqref="C21" type="whole">
      <formula1>20</formula1>
      <formula2>70</formula2>
    </dataValidation>
    <dataValidation allowBlank="true" error="Please enter 21 to 104 · steps of 1." errorStyle="stop" errorTitle="Outside the allowed range" operator="between" prompt="You can usually draw a pension from 60 (some schemes from 50); State Pension is paid from 66. Choose your own: there is no default.  Allowed: 50 to 75 · steps of 1." promptTitle="Target retirement age" showDropDown="false" showErrorMessage="true" showInputMessage="true" sqref="C22" type="whole">
      <formula1>21</formula1>
      <formula2>104</formula2>
    </dataValidation>
    <dataValidation allowBlank="true" error="Please enter €0 to €15,000,000 · steps of €1,000." errorStyle="stop" errorTitle="Outside the allowed range" operator="between" prompt="Your own figure. In the app it is pre-filled from Your finances / pension statement.  Allowed: €0 to €15,000,000 · steps of €1,000." promptTitle="Pension value today" showDropDown="false" showErrorMessage="true" showInputMessage="true" sqref="C23" type="decimal">
      <formula1>0</formula1>
      <formula2>15000000</formula2>
    </dataValidation>
    <dataValidation allowBlank="true" error="Please enter €0 to €50,000 · steps of €10." errorStyle="stop" errorTitle="Outside the allowed range" operator="between" prompt="Your own figure. In the app it is pre-filled from Your finances / pension statement.  Allowed: €0 to €50,000 · steps of €10." promptTitle="Monthly contributions (you + emp" showDropDown="false" showErrorMessage="true" showInputMessage="true" sqref="C24" type="decimal">
      <formula1>0</formula1>
      <formula2>50000</formula2>
    </dataValidation>
    <dataValidation allowBlank="true" error="Please enter €10,000 to €1,500,000 · steps of €1,000." errorStyle="stop" errorTitle="Outside the allowed range" operator="between" prompt="Your own figure. In the app it is pre-filled from Plan: retirement goal income.  Allowed: €10,000 to €1,500,000 · steps of €1,000." promptTitle="Desired yearly income in retirem" showDropDown="false" showErrorMessage="true" showInputMessage="true" sqref="C25" type="decimal">
      <formula1>10000</formula1>
      <formula2>1500000</formula2>
    </dataValidation>
    <dataValidation allowBlank="true" error="Please enter €0 to €500,000 · steps of €500." errorStyle="stop" errorTitle="Outside the allowed range" operator="between" prompt="Usually between €0 and €15,564 a year: the full State Pension is €299.30 a week (DSP 2026), partial rates are lower and depend on your PRSI record. In the app it is pre-filled from State Pension €15,563.60 × your e Allowed: €0 to €500,000 · steps of €500." promptTitle="Other yearly income from 66, e.g" showDropDown="false" showErrorMessage="true" showInputMessage="true" sqref="C26" type="decimal">
      <formula1>0</formula1>
      <formula2>500000</formula2>
    </dataValidation>
    <dataValidation allowBlank="true" error="Please enter 1% to 7% · steps of 0.25%." errorStyle="stop" errorTitle="Outside the allowed range" operator="between" prompt="Generally the standard is 4.5% a year after charges while you work (LifeMap Standard set; Cautious 4%). Choose what you want to use.  Allowed: 1% to 7% · steps of 0.25%." promptTitle="Pension growth after charges a y" showDropDown="false" showErrorMessage="true" showInputMessage="true" sqref="C27" type="decimal">
      <formula1>0.01</formula1>
      <formula2>0.07</formula2>
    </dataValidation>
    <dataValidation allowBlank="true" error="Please enter 0% to 6% · steps of 0.25%." errorStyle="stop" errorTitle="Outside the allowed range" operator="between" prompt="Generally the standard is 3% a year (Irish pay has grown about 3%–4% a year recently; LifeMap Standard set). Choose what you want to use.  Allowed: 0% to 6% · steps of 0.25%." promptTitle="Pay rises a year (contributions " showDropDown="false" showErrorMessage="true" showInputMessage="true" sqref="C28" type="decimal">
      <formula1>0</formula1>
      <formula2>0.06</formula2>
    </dataValidation>
    <dataValidation allowBlank="true" error="Please enter 20 to 33 · steps of 1." errorStyle="stop" errorTitle="Outside the allowed range" operator="between" prompt="Generally the standard is 25 times the yearly income you need (about 4% a year). Choose what you want to use.  Allowed: 20 to 33 · steps of 1." promptTitle="Retirement savings target: × the" showDropDown="false" showErrorMessage="true" showInputMessage="true" sqref="C29" type="whole">
      <formula1>20</formula1>
      <formula2>33</formula2>
    </dataValidation>
    <dataValidation allowBlank="true" error="Please enter 0% to 25% · steps of 1%." errorStyle="stop" errorTitle="Outside the allowed range" operator="between" prompt="Generally the standard is 25% of the fund, the most allowed (first €200,000 tax-free, next €300,000 at 20%). Choose what you want to use.  Allowed: 0% to 25% · steps of 1%." promptTitle="Tax-free lump sum you plan to ta" showDropDown="false" showErrorMessage="true" showInputMessage="true" sqref="C31" type="decimal">
      <formula1>0</formula1>
      <formula2>0.25</formula2>
    </dataValidation>
    <dataValidation allowBlank="true" error="Please enter 0 to 5 · steps of 1." errorStyle="stop" errorTitle="Outside the allowed range" operator="between" prompt="Optional: leave blank for none.  Allowed: 0 to 5 · steps of 1." promptTitle="What if: retire later by" showDropDown="false" showErrorMessage="true" showInputMessage="true" sqref="C32" type="whole">
      <formula1>0</formula1>
      <formula2>5</formula2>
    </dataValidation>
    <dataValidation allowBlank="true" error="Please enter €0 to €15,000 · steps of €50." errorStyle="stop" errorTitle="Outside the allowed range" operator="between" prompt="Optional: leave blank for none.  Allowed: €0 to €15,000 · steps of €50." promptTitle="What if: save more each month" showDropDown="false" showErrorMessage="true" showInputMessage="true" sqref="C33" type="decimal">
      <formula1>0</formula1>
      <formula2>15000</formula2>
    </dataValidation>
    <dataValidation allowBlank="true" error="Please enter €0 to €200,000 · steps of €500." errorStyle="stop" errorTitle="Outside the allowed range" operator="between" prompt="Optional: leave blank for none.  Allowed: €0 to €200,000 · steps of €500." promptTitle="What if: spend less in retiremen" showDropDown="false" showErrorMessage="true" showInputMessage="true" sqref="C34" type="decimal">
      <formula1>0</formula1>
      <formula2>Max_Money_Input</formula2>
    </dataValidation>
    <dataValidation allowBlank="true" error="Choose 50 or 60" errorStyle="stop" errorTitle="Pension access age" operator="between" showDropDown="false" showErrorMessage="true" showInputMessage="false" sqref="C35" type="list">
      <formula1>"50,60"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796</v>
      </c>
      <c r="E1" s="3" t="s">
        <v>797</v>
      </c>
    </row>
    <row r="2" customFormat="false" ht="15" hidden="false" customHeight="true" outlineLevel="0" collapsed="false">
      <c r="B2" s="25" t="s">
        <v>798</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799</v>
      </c>
    </row>
    <row r="5" customFormat="false" ht="15" hidden="false" customHeight="true" outlineLevel="0" collapsed="false">
      <c r="B5" s="15" t="s">
        <v>561</v>
      </c>
      <c r="C5" s="28" t="s">
        <v>222</v>
      </c>
      <c r="D5" s="28" t="s">
        <v>223</v>
      </c>
      <c r="E5" s="28" t="s">
        <v>224</v>
      </c>
      <c r="F5" s="29" t="s">
        <v>225</v>
      </c>
      <c r="G5" s="16"/>
    </row>
    <row r="6" customFormat="false" ht="21.75" hidden="false" customHeight="true" outlineLevel="0" collapsed="false">
      <c r="B6" s="9" t="s">
        <v>562</v>
      </c>
      <c r="C6" s="38"/>
      <c r="D6" s="31" t="s">
        <v>238</v>
      </c>
      <c r="E6" s="39" t="str">
        <f aca="false">"Type 3 · your choice · Generally the standard is 2% a year (ECB target); Ireland's prices are rising "&amp;TEXT(Set_inflNow,"0.0%")&amp;" now (CSO HICP flash, Sep 2026). Choose what you want to use. Allowed: 0% to 10% · steps of 0.25%"</f>
        <v>Type 3 · your choice · Generally the standard is 2% a year (ECB target); Ireland's prices are rising 3.9% now (CSO HICP flash, Sep 2026). Choose what you want to use. Allowed: 0% to 10% · steps of 0.25%</v>
      </c>
      <c r="F6" s="40" t="n">
        <v>0.02</v>
      </c>
      <c r="G6" s="41" t="str">
        <f aca="false">IF(ISBLANK(C6),IF(Fill_Example="Yes",F6,""),C6)</f>
        <v/>
      </c>
    </row>
    <row r="7" customFormat="false" ht="27.75" hidden="false" customHeight="true" outlineLevel="0" collapsed="false">
      <c r="B7" s="57" t="str">
        <f aca="false">"Everyone sees this differently. Ireland's prices are rising "&amp;TEXT(Set_inflNow,"0.0%")&amp;" now (CSO HICP flash, Sep 2026), mostly because of energy. Over decades, 2%–2.5% is the usual planning range (ECB target 2%). Enter 0% if you don't want to adjust for prices."</f>
        <v>Everyone sees this differently. Ireland's prices are rising 3.9% now (CSO HICP flash, Sep 2026), mostly because of energy. Over decades, 2%–2.5% is the usual planning range (ECB target 2%). Enter 0% if you don't want to adjust for prices.</v>
      </c>
      <c r="C7" s="57"/>
      <c r="D7" s="57"/>
      <c r="E7" s="57"/>
    </row>
    <row r="9" customFormat="false" ht="15" hidden="false" customHeight="true" outlineLevel="0" collapsed="false">
      <c r="B9" s="15" t="s">
        <v>310</v>
      </c>
      <c r="C9" s="16"/>
      <c r="D9" s="16"/>
      <c r="E9" s="16"/>
      <c r="F9" s="16"/>
      <c r="G9" s="16"/>
    </row>
    <row r="10" customFormat="false" ht="27.75" hidden="false" customHeight="true" outlineLevel="0" collapsed="false">
      <c r="B10" s="57" t="s">
        <v>800</v>
      </c>
      <c r="C10" s="57"/>
      <c r="D10" s="57"/>
      <c r="E10" s="57"/>
    </row>
    <row r="11" customFormat="false" ht="15" hidden="false" customHeight="true" outlineLevel="0" collapsed="false">
      <c r="B11" s="9" t="s">
        <v>635</v>
      </c>
      <c r="C11" s="59"/>
      <c r="D11" s="31" t="s">
        <v>238</v>
      </c>
      <c r="E11" s="32" t="s">
        <v>636</v>
      </c>
      <c r="G11" s="56" t="s">
        <v>314</v>
      </c>
    </row>
    <row r="12" customFormat="false" ht="15" hidden="false" customHeight="true" outlineLevel="0" collapsed="false">
      <c r="B12" s="9" t="s">
        <v>321</v>
      </c>
      <c r="C12" s="61"/>
      <c r="D12" s="31" t="s">
        <v>322</v>
      </c>
      <c r="E12" s="32" t="s">
        <v>323</v>
      </c>
      <c r="G12" s="56" t="s">
        <v>314</v>
      </c>
    </row>
    <row r="14" customFormat="false" ht="15" hidden="false" customHeight="true" outlineLevel="0" collapsed="false">
      <c r="B14" s="15" t="s">
        <v>324</v>
      </c>
      <c r="C14" s="28" t="s">
        <v>222</v>
      </c>
      <c r="D14" s="28" t="s">
        <v>223</v>
      </c>
      <c r="E14" s="28" t="s">
        <v>224</v>
      </c>
      <c r="F14" s="29" t="s">
        <v>225</v>
      </c>
      <c r="G14" s="16"/>
    </row>
    <row r="15" customFormat="false" ht="21.75" hidden="false" customHeight="true" outlineLevel="0" collapsed="false">
      <c r="B15" s="9" t="s">
        <v>801</v>
      </c>
      <c r="C15" s="30"/>
      <c r="D15" s="31" t="s">
        <v>227</v>
      </c>
      <c r="E15" s="32" t="s">
        <v>228</v>
      </c>
      <c r="F15" s="33" t="n">
        <v>60000</v>
      </c>
      <c r="G15" s="34" t="str">
        <f aca="false">IF(ISBLANK(C15),IF(Fill_Example="Yes",F15,""),C15)</f>
        <v/>
      </c>
    </row>
    <row r="16" customFormat="false" ht="15" hidden="false" customHeight="true" outlineLevel="0" collapsed="false">
      <c r="B16" s="9" t="s">
        <v>802</v>
      </c>
      <c r="C16" s="38"/>
      <c r="D16" s="31" t="s">
        <v>238</v>
      </c>
      <c r="E16" s="32" t="s">
        <v>803</v>
      </c>
      <c r="F16" s="40" t="n">
        <v>0.02</v>
      </c>
      <c r="G16" s="41" t="str">
        <f aca="false">IF(ISBLANK(C16),IF(Fill_Example="Yes",F16,""),C16)</f>
        <v/>
      </c>
    </row>
    <row r="17" customFormat="false" ht="21.75" hidden="false" customHeight="true" outlineLevel="0" collapsed="false">
      <c r="B17" s="9" t="s">
        <v>769</v>
      </c>
      <c r="C17" s="42"/>
      <c r="D17" s="31" t="s">
        <v>240</v>
      </c>
      <c r="E17" s="32" t="s">
        <v>804</v>
      </c>
      <c r="F17" s="43" t="n">
        <v>25</v>
      </c>
      <c r="G17" s="44" t="str">
        <f aca="false">IF(ISBLANK(C17),IF(Fill_Example="Yes",F17,""),C17)</f>
        <v/>
      </c>
    </row>
    <row r="18" customFormat="false" ht="21.75" hidden="false" customHeight="true" outlineLevel="0" collapsed="false">
      <c r="B18" s="9" t="s">
        <v>805</v>
      </c>
      <c r="C18" s="38"/>
      <c r="D18" s="31" t="s">
        <v>238</v>
      </c>
      <c r="E18" s="39" t="s">
        <v>732</v>
      </c>
      <c r="F18" s="40" t="n">
        <f aca="false">AS_Pen</f>
        <v>0.045</v>
      </c>
      <c r="G18" s="41" t="n">
        <f aca="false">IF(ISBLANK(C18),F18,C18)</f>
        <v>0.045</v>
      </c>
    </row>
    <row r="19" customFormat="false" ht="21.75" hidden="false" customHeight="true" outlineLevel="0" collapsed="false">
      <c r="B19" s="9" t="s">
        <v>737</v>
      </c>
      <c r="C19" s="38"/>
      <c r="D19" s="31" t="s">
        <v>238</v>
      </c>
      <c r="E19" s="39" t="str">
        <f aca="false">"Type 2 · your figure · Typical pension charges a year (your statement shows yours). "&amp;IF(ISNUMBER(Suggest_Fund_Charges),"Suggested: "&amp;TEXT(Suggest_Fund_Charges,"0.00%")&amp;" · "&amp;Suggest_Fund_Charges_Label&amp;". ","No suggestion. ")&amp;"Enter your own figure."&amp;" Allowed: 0% to 2.5% · steps of 0.05%"</f>
        <v>Type 2 · your figure · Typical pension charges a year (your statement shows yours). Suggested: 1.00% · Pensions Authority pension calculator assumption. Enter your own figure. Allowed: 0% to 2.5% · steps of 0.05%</v>
      </c>
      <c r="F19" s="40" t="n">
        <f aca="false">IF(ISNUMBER(Suggest_Fund_Charges),Suggest_Fund_Charges,"")</f>
        <v>0.01</v>
      </c>
      <c r="G19" s="41" t="str">
        <f aca="false">IF(ISBLANK(C19),IF(Fill_Example="Yes",F19,""),C19)</f>
        <v/>
      </c>
    </row>
    <row r="20" customFormat="false" ht="33" hidden="false" customHeight="true" outlineLevel="0" collapsed="false">
      <c r="B20" s="9" t="s">
        <v>806</v>
      </c>
      <c r="C20" s="78"/>
      <c r="D20" s="31" t="s">
        <v>807</v>
      </c>
      <c r="E20" s="39" t="s">
        <v>808</v>
      </c>
      <c r="F20" s="79" t="str">
        <f aca="false">TE_Marginal_Rate</f>
        <v>Choose your tax status to see this</v>
      </c>
      <c r="G20" s="80" t="str">
        <f aca="false">IF(ISBLANK(C20),IF(Fill_Example="Yes",F20,""),C20)</f>
        <v/>
      </c>
    </row>
    <row r="21" customFormat="false" ht="21.75" hidden="false" customHeight="true" outlineLevel="0" collapsed="false">
      <c r="B21" s="9" t="s">
        <v>809</v>
      </c>
      <c r="C21" s="42"/>
      <c r="D21" s="31" t="s">
        <v>715</v>
      </c>
      <c r="E21" s="32" t="s">
        <v>810</v>
      </c>
      <c r="F21" s="43" t="n">
        <v>40</v>
      </c>
      <c r="G21" s="44" t="str">
        <f aca="false">IF(ISBLANK(C21),IF(Fill_Example="Yes",F21,""),C21)</f>
        <v/>
      </c>
    </row>
    <row r="22" customFormat="false" ht="15" hidden="false" customHeight="true" outlineLevel="0" collapsed="false">
      <c r="B22" s="9" t="s">
        <v>811</v>
      </c>
      <c r="C22" s="30"/>
      <c r="D22" s="31" t="s">
        <v>227</v>
      </c>
      <c r="E22" s="32" t="s">
        <v>812</v>
      </c>
      <c r="F22" s="33" t="n">
        <v>0</v>
      </c>
      <c r="G22" s="34" t="n">
        <f aca="false">IF(ISBLANK(C22),IF(Pens_Own_Total&gt;0,Pens_Own_Total*12,F22),C22)</f>
        <v>0</v>
      </c>
    </row>
    <row r="24" customFormat="false" ht="15" hidden="false" customHeight="true" outlineLevel="0" collapsed="false">
      <c r="B24" s="15" t="s">
        <v>333</v>
      </c>
      <c r="C24" s="16"/>
      <c r="D24" s="16"/>
      <c r="E24" s="16"/>
      <c r="F24" s="16"/>
      <c r="G24" s="16"/>
    </row>
    <row r="25" customFormat="false" ht="15" hidden="false" customHeight="true" outlineLevel="0" collapsed="false">
      <c r="B25" s="9" t="s">
        <v>813</v>
      </c>
      <c r="C25" s="64" t="n">
        <f aca="false">IF(ISBLANK(Stmt_Charges),Growth_Rate,IF(OR(Growth_Rate="",Typical_Pension_Charges=""),"",Growth_Rate+Typical_Pension_Charges-Stmt_Charges))</f>
        <v>0.045</v>
      </c>
      <c r="D25" s="63" t="str">
        <f aca="false">IF(ISBLANK(Stmt_Charges),"Your figure","Adjusted for your statement's charges")</f>
        <v>Your figure</v>
      </c>
      <c r="E25" s="53" t="s">
        <v>748</v>
      </c>
    </row>
    <row r="26" customFormat="false" ht="21.75" hidden="false" customHeight="true" outlineLevel="0" collapsed="false">
      <c r="B26" s="9" t="s">
        <v>339</v>
      </c>
      <c r="C26" s="49" t="str">
        <f aca="true">IF(ISBLANK(Stmt_Statement_Date),"",IF(TODAY()-Stmt_Statement_Date&gt;Statement_Max_Age_Days,"Needs a look: statement is more than 12 months old","Up to date"))</f>
        <v/>
      </c>
      <c r="D26" s="31"/>
      <c r="E26" s="46" t="s">
        <v>340</v>
      </c>
    </row>
    <row r="28" customFormat="false" ht="15" hidden="false" customHeight="true" outlineLevel="0" collapsed="false">
      <c r="B28" s="15" t="s">
        <v>247</v>
      </c>
      <c r="C28" s="28" t="s">
        <v>248</v>
      </c>
      <c r="D28" s="28" t="s">
        <v>249</v>
      </c>
      <c r="E28" s="28" t="s">
        <v>250</v>
      </c>
      <c r="F28" s="16"/>
      <c r="G28" s="16"/>
    </row>
    <row r="29" customFormat="false" ht="17.25" hidden="false" customHeight="true" outlineLevel="0" collapsed="false">
      <c r="B29" s="25" t="s">
        <v>814</v>
      </c>
      <c r="C29" s="45" t="str">
        <f aca="false">IF(Need_1&lt;&gt;"",Need_1,FV((1+Used_Growth_Rate)^(1/12)-1,Years*12,-Extra_Per_Month))</f>
        <v>Choose your salary to see this</v>
      </c>
      <c r="D29" s="31" t="s">
        <v>227</v>
      </c>
      <c r="E29" s="46" t="s">
        <v>815</v>
      </c>
    </row>
    <row r="30" customFormat="false" ht="17.25" hidden="false" customHeight="true" outlineLevel="0" collapsed="false">
      <c r="B30" s="25" t="s">
        <v>610</v>
      </c>
      <c r="C30" s="45" t="str">
        <f aca="false">IF(Need_2&lt;&gt;"",Need_2,IF(Inflation_Choice="","Choose your inflation rate to see this",Grows_To/(1+Inflation_Choice)^Years))</f>
        <v>Choose your salary to see this</v>
      </c>
      <c r="D30" s="31" t="s">
        <v>227</v>
      </c>
      <c r="E30" s="46" t="s">
        <v>611</v>
      </c>
    </row>
    <row r="31" customFormat="false" ht="15" hidden="false" customHeight="true" outlineLevel="0" collapsed="false">
      <c r="B31" s="9" t="s">
        <v>816</v>
      </c>
      <c r="C31" s="47" t="str">
        <f aca="false">IF(Need_3&lt;&gt;"",Need_3,Salary*Increase_Pct/12)</f>
        <v>Choose your salary to see this</v>
      </c>
      <c r="D31" s="31" t="s">
        <v>227</v>
      </c>
      <c r="E31" s="46" t="s">
        <v>817</v>
      </c>
    </row>
    <row r="32" customFormat="false" ht="15" hidden="false" customHeight="true" outlineLevel="0" collapsed="false">
      <c r="B32" s="9" t="s">
        <v>818</v>
      </c>
      <c r="C32" s="47" t="str">
        <f aca="false">IF(Need_4&lt;&gt;"",Need_4,Extra_Per_Month-Relief_Per_Month)</f>
        <v>Choose your salary to see this</v>
      </c>
      <c r="D32" s="31" t="s">
        <v>227</v>
      </c>
      <c r="E32" s="46" t="s">
        <v>819</v>
      </c>
    </row>
    <row r="33" customFormat="false" ht="15" hidden="false" customHeight="true" outlineLevel="0" collapsed="false">
      <c r="B33" s="9" t="str">
        <f aca="false">"Most you can get relief on in a year (age-band % × earnings up to "&amp;"€"&amp;TEXT(Relief_Earnings_Cap,"#,##0")&amp;")"</f>
        <v>Most you can get relief on in a year (age-band % × earnings up to €115,000)</v>
      </c>
      <c r="C33" s="47" t="str">
        <f aca="false">IF(Need_5&lt;&gt;"",Need_5,LOOKUP(Age,Relief_Age_From,Relief_Age_Pct)*MIN(Salary,Relief_Earnings_Cap))</f>
        <v>Choose your salary to see this</v>
      </c>
      <c r="D33" s="31" t="s">
        <v>227</v>
      </c>
      <c r="E33" s="46" t="s">
        <v>820</v>
      </c>
    </row>
    <row r="34" customFormat="false" ht="15" hidden="false" customHeight="true" outlineLevel="0" collapsed="false">
      <c r="B34" s="9" t="s">
        <v>821</v>
      </c>
      <c r="C34" s="47" t="str">
        <f aca="false">IF(Need_5&lt;&gt;"",Need_5,MAX(0,Relief_Limit_Year-Existing_Pension_Year))</f>
        <v>Choose your salary to see this</v>
      </c>
      <c r="D34" s="31" t="s">
        <v>227</v>
      </c>
      <c r="E34" s="46" t="s">
        <v>822</v>
      </c>
    </row>
    <row r="35" customFormat="false" ht="15" hidden="false" customHeight="true" outlineLevel="0" collapsed="false">
      <c r="B35" s="9" t="s">
        <v>823</v>
      </c>
      <c r="C35" s="47" t="str">
        <f aca="false">IF(Need_6&lt;&gt;"",Need_6,MIN(Extra_Per_Month*12,Relief_Room_Year))</f>
        <v>Choose your salary to see this</v>
      </c>
      <c r="D35" s="31" t="s">
        <v>227</v>
      </c>
      <c r="E35" s="46" t="s">
        <v>824</v>
      </c>
    </row>
    <row r="36" customFormat="false" ht="15" hidden="false" customHeight="true" outlineLevel="0" collapsed="false">
      <c r="B36" s="9" t="s">
        <v>825</v>
      </c>
      <c r="C36" s="47" t="str">
        <f aca="false">IF(Need_4&lt;&gt;"",Need_4,Relieved_Year*Tax_Rate/12)</f>
        <v>Choose your salary to see this</v>
      </c>
      <c r="D36" s="31" t="s">
        <v>227</v>
      </c>
      <c r="E36" s="46" t="s">
        <v>826</v>
      </c>
    </row>
    <row r="38" customFormat="false" ht="15" hidden="false" customHeight="true" outlineLevel="0" collapsed="false">
      <c r="B38" s="15" t="s">
        <v>280</v>
      </c>
      <c r="C38" s="16"/>
      <c r="D38" s="16"/>
      <c r="E38" s="16"/>
      <c r="F38" s="16"/>
      <c r="G38" s="16"/>
    </row>
    <row r="39" customFormat="false" ht="13.5" hidden="false" customHeight="true" outlineLevel="0" collapsed="false">
      <c r="B39" s="50" t="s">
        <v>827</v>
      </c>
      <c r="C39" s="50"/>
      <c r="D39" s="50"/>
      <c r="E39" s="50"/>
    </row>
    <row r="40" customFormat="false" ht="13.5" hidden="false" customHeight="true" outlineLevel="0" collapsed="false">
      <c r="B40" s="50" t="s">
        <v>828</v>
      </c>
      <c r="C40" s="50"/>
      <c r="D40" s="50"/>
      <c r="E40" s="50"/>
    </row>
    <row r="41" customFormat="false" ht="13.5" hidden="false" customHeight="true" outlineLevel="0" collapsed="false">
      <c r="B41" s="51" t="s">
        <v>283</v>
      </c>
      <c r="C41" s="51"/>
      <c r="D41" s="51"/>
      <c r="E41" s="51"/>
    </row>
    <row r="42" customFormat="false" ht="13.5" hidden="false" customHeight="true" outlineLevel="0" collapsed="false">
      <c r="B42" s="50" t="s">
        <v>829</v>
      </c>
      <c r="C42" s="50"/>
      <c r="D42" s="50"/>
      <c r="E42" s="50"/>
    </row>
    <row r="43" customFormat="false" ht="13.5" hidden="false" customHeight="true" outlineLevel="0" collapsed="false">
      <c r="B43" s="50" t="str">
        <f aca="false">"• Relief only within the age-related limit (15% under 30 … 40% from 60) of earnings up to "&amp;"€"&amp;TEXT(Relief_Earnings_Cap,"#,##0")&amp;", less what you already pay in (audit #79)."</f>
        <v>• Relief only within the age-related limit (15% under 30 … 40% from 60) of earnings up to €115,000, less what you already pay in (audit #79).</v>
      </c>
      <c r="C43" s="50"/>
      <c r="D43" s="50"/>
      <c r="E43" s="50"/>
    </row>
    <row r="45" customFormat="false" ht="15" hidden="false" customHeight="true" outlineLevel="0" collapsed="false">
      <c r="B45" s="15" t="s">
        <v>288</v>
      </c>
      <c r="C45" s="16"/>
      <c r="D45" s="16"/>
      <c r="E45" s="16"/>
      <c r="F45" s="16"/>
      <c r="G45" s="16"/>
    </row>
    <row r="46" customFormat="false" ht="15" hidden="false" customHeight="true" outlineLevel="0" collapsed="false">
      <c r="B46" s="9" t="s">
        <v>289</v>
      </c>
      <c r="C46" s="52" t="str">
        <f aca="false">"No goal: raise the plan's pension contribution instead"</f>
        <v>No goal: raise the plan's pension contribution instead</v>
      </c>
      <c r="E46" s="53" t="s">
        <v>830</v>
      </c>
    </row>
    <row r="47" customFormat="false" ht="15" hidden="false" customHeight="true" outlineLevel="0" collapsed="false">
      <c r="B47" s="9" t="s">
        <v>831</v>
      </c>
      <c r="C47" s="54" t="str">
        <f aca="false">IF(Need_3&lt;&gt;"",Need_3,Extra_Per_Month)</f>
        <v>Choose your salary to see this</v>
      </c>
      <c r="E47" s="53" t="s">
        <v>832</v>
      </c>
    </row>
    <row r="48" customFormat="false" ht="13.5" hidden="false" customHeight="true" outlineLevel="0" collapsed="false">
      <c r="B48" s="57" t="s">
        <v>833</v>
      </c>
      <c r="C48" s="57"/>
      <c r="D48" s="57"/>
      <c r="E48" s="57"/>
    </row>
    <row r="50" customFormat="false" ht="15" hidden="false" customHeight="true" outlineLevel="0" collapsed="false">
      <c r="B50" s="15" t="s">
        <v>297</v>
      </c>
      <c r="C50" s="16"/>
      <c r="D50" s="16"/>
      <c r="E50" s="16"/>
      <c r="F50" s="16"/>
      <c r="G50" s="16"/>
    </row>
    <row r="51" customFormat="false" ht="15" hidden="false" customHeight="true" outlineLevel="0" collapsed="false">
      <c r="B51" s="56" t="s">
        <v>834</v>
      </c>
      <c r="C51" s="56" t="str">
        <f aca="false">IF(Salary="","Choose your salary to see this",IF(Increase_Pct="","Choose your contribution increase to see this",IF(Years="","Choose your years to retirement to see this",IF(NOT(ISNUMBER(Used_Growth_Rate)),IF(Used_Growth_Rate="",IF(Growth_Rate="","Choose your growth rate to see this",IF(Growth_Rate="","Choose your growth rate to see this",IF(Growth_Rate="","Choose your growth rate to see this",IF(Typical_Pension_Charges="","Choose your typical pension charges to see this",IF(Typical_Pension_Charges="","Choose your typical pension charges to see this",""))))),Used_Growth_Rate),""))))</f>
        <v>Choose your salary to see this</v>
      </c>
    </row>
    <row r="52" customFormat="false" ht="15" hidden="false" customHeight="true" outlineLevel="0" collapsed="false">
      <c r="B52" s="56" t="s">
        <v>835</v>
      </c>
      <c r="C52" s="56" t="str">
        <f aca="false">IF(Salary="","Choose your salary to see this",IF(Increase_Pct="","Choose your contribution increase to see this",IF(Years="","Choose your years to retirement to see this",IF(NOT(ISNUMBER(Used_Growth_Rate)),IF(Used_Growth_Rate="",IF(Growth_Rate="","Choose your growth rate to see this",IF(Growth_Rate="","Choose your growth rate to see this",IF(Growth_Rate="","Choose your growth rate to see this",IF(Typical_Pension_Charges="","Choose your typical pension charges to see this",IF(Typical_Pension_Charges="","Choose your typical pension charges to see this",""))))),Used_Growth_Rate),IF(Inflation_Choice="","Choose your inflation rate to see this","")))))</f>
        <v>Choose your salary to see this</v>
      </c>
    </row>
    <row r="53" customFormat="false" ht="15" hidden="false" customHeight="true" outlineLevel="0" collapsed="false">
      <c r="B53" s="56" t="s">
        <v>836</v>
      </c>
      <c r="C53" s="56" t="str">
        <f aca="false">IF(Salary="","Choose your salary to see this",IF(Increase_Pct="","Choose your contribution increase to see this",""))</f>
        <v>Choose your salary to see this</v>
      </c>
    </row>
    <row r="54" customFormat="false" ht="15" hidden="false" customHeight="true" outlineLevel="0" collapsed="false">
      <c r="B54" s="56" t="s">
        <v>837</v>
      </c>
      <c r="C54" s="56" t="str">
        <f aca="false">IF(Salary="","Choose your salary to see this",IF(Increase_Pct="","Choose your contribution increase to see this",IF(Tax_Rate="","Choose your tax rate to see this",IF(Age="","Choose your age to see this",""))))</f>
        <v>Choose your salary to see this</v>
      </c>
    </row>
    <row r="55" customFormat="false" ht="15" hidden="false" customHeight="true" outlineLevel="0" collapsed="false">
      <c r="B55" s="56" t="s">
        <v>838</v>
      </c>
      <c r="C55" s="56" t="str">
        <f aca="false">IF(Salary="","Choose your salary to see this",IF(Age="","Choose your age to see this",""))</f>
        <v>Choose your salary to see this</v>
      </c>
    </row>
    <row r="56" customFormat="false" ht="15" hidden="false" customHeight="true" outlineLevel="0" collapsed="false">
      <c r="B56" s="56" t="s">
        <v>839</v>
      </c>
      <c r="C56" s="56" t="str">
        <f aca="false">IF(Salary="","Choose your salary to see this",IF(Increase_Pct="","Choose your contribution increase to see this",IF(Age="","Choose your age to see this","")))</f>
        <v>Choose your salary to see this</v>
      </c>
    </row>
    <row r="58" customFormat="false" ht="15" hidden="false" customHeight="true" outlineLevel="0" collapsed="false">
      <c r="B58" s="23" t="s">
        <v>840</v>
      </c>
    </row>
  </sheetData>
  <mergeCells count="8">
    <mergeCell ref="B7:E7"/>
    <mergeCell ref="B10:E10"/>
    <mergeCell ref="B39:E39"/>
    <mergeCell ref="B40:E40"/>
    <mergeCell ref="B41:E41"/>
    <mergeCell ref="B42:E42"/>
    <mergeCell ref="B43:E43"/>
    <mergeCell ref="B48:E48"/>
  </mergeCells>
  <dataValidations count="11">
    <dataValidation allowBlank="true" error="Please enter a date (dd/mm/yyyy)." errorStyle="stop" errorTitle="Outside the allowed range" operator="greaterThan" prompt="Unit: date. Allowed: a date (dd/mm/yyyy)." promptTitle="Statement date" showDropDown="false" showErrorMessage="true" showInputMessage="true" sqref="C12" type="date">
      <formula1>36526</formula1>
      <formula2>0</formula2>
    </dataValidation>
    <dataValidation allowBlank="true" error="Please enter 0% to 10% · steps of 0.25%." errorStyle="stop" errorTitle="Outside the allowed range" operator="between" prompt="Generally the standard is 2% a year (ECB target); Ireland's prices are rising 3.9% now (CSO HICP flash, Sep 2026). Choose what you want to use.  Allowed: 0% to 10% · steps of 0.25%." promptTitle="Inflation you expect (your choic" showDropDown="false" showErrorMessage="true" showInputMessage="true" sqref="C6" type="decimal">
      <formula1>0</formula1>
      <formula2>0.1</formula2>
    </dataValidation>
    <dataValidation allowBlank="true" error="Please enter 0% to 5%." errorStyle="stop" errorTitle="Outside the allowed range" operator="between" prompt="Unit: %. Allowed: 0% to 5%." promptTitle="Annual charges % (if shown)" showDropDown="false" showErrorMessage="true" showInputMessage="true" sqref="C11" type="decimal">
      <formula1>0</formula1>
      <formula2>0.05</formula2>
    </dataValidation>
    <dataValidation allowBlank="true" error="Please enter 0% to 2.5% · steps of 0.05%." errorStyle="stop" errorTitle="Outside the allowed range" operator="between" prompt="Your own pension charges (your statement shows them). A suggested figure and its source are shown beside this cell (Partner rates, Assumptions sheet). CCPC: usually 0.5%–2% a year. Allowed: 0% to 2.5% · steps of 0.05%" promptTitle="Typical pension charges (if your" showDropDown="false" showErrorMessage="true" showInputMessage="true" sqref="C19" type="decimal">
      <formula1>0</formula1>
      <formula2>0.025</formula2>
    </dataValidation>
    <dataValidation allowBlank="true" error="Please enter 1% to 7% · steps of 0.25%." errorStyle="stop" errorTitle="Outside the allowed range" operator="between" prompt="Generally the standard is 4.5% a year after charges while you work (LifeMap Standard set; Cautious 4%). Choose what you want to use.  Allowed: 1% to 7% · steps of 0.5%." promptTitle="Growth assumption a year" showDropDown="false" showErrorMessage="true" showInputMessage="true" sqref="C18" type="decimal">
      <formula1>0.01</formula1>
      <formula2>0.07</formula2>
    </dataValidation>
    <dataValidation allowBlank="true" error="Please enter 18 to 75 · steps of 1." errorStyle="stop" errorTitle="Outside the allowed range" operator="between" prompt="Your own figure. In the app it is pre-filled from About you: age.  Allowed: 18 to 75 · steps of 1." promptTitle="Your age (for the pension relief" showDropDown="false" showErrorMessage="true" showInputMessage="true" sqref="C21" type="whole">
      <formula1>18</formula1>
      <formula2>75</formula2>
    </dataValidation>
    <dataValidation allowBlank="true" error="Please enter €0 to €1,000,000 · steps of €100." errorStyle="stop" errorTitle="Outside the allowed range" operator="between" prompt="Optional: leave blank for none.  Allowed: €0 to €1,000,000 · steps of €100." promptTitle="What you pay in yourself now, a " showDropDown="false" showErrorMessage="true" showInputMessage="true" sqref="C22" type="decimal">
      <formula1>0</formula1>
      <formula2>1000000</formula2>
    </dataValidation>
    <dataValidation allowBlank="true" error="Please enter €15,000 to €2,500,000 · steps of €1,000." errorStyle="stop" errorTitle="Outside the allowed range" operator="between" prompt="Your own figure. In the app it is pre-filled from Your finances: income.  Allowed: €15,000 to €2,500,000 · steps of €1,000." promptTitle="Salary" showDropDown="false" showErrorMessage="true" showInputMessage="true" sqref="C15" type="decimal">
      <formula1>15000</formula1>
      <formula2>2500000</formula2>
    </dataValidation>
    <dataValidation allowBlank="true" error="Please enter 0.5% to 10% · steps of 0.5%." errorStyle="stop" errorTitle="Outside the allowed range" operator="between" prompt="Your own figure.  Allowed: 0.5% to 10% · steps of 0.5%." promptTitle="Increase contributions by (% of " showDropDown="false" showErrorMessage="true" showInputMessage="true" sqref="C16" type="decimal">
      <formula1>0.005</formula1>
      <formula2>0.1</formula2>
    </dataValidation>
    <dataValidation allowBlank="true" error="Please enter 1 to 45 · steps of 1." errorStyle="stop" errorTitle="Outside the allowed range" operator="between" prompt="Your own figure. In the app it is pre-filled from Plan: retirement age − age.  Allowed: 1 to 45 · steps of 1." promptTitle="Years to retirement" showDropDown="false" showErrorMessage="true" showInputMessage="true" sqref="C17" type="whole">
      <formula1>1</formula1>
      <formula2>45</formula2>
    </dataValidation>
    <dataValidation allowBlank="true" error="Please enter 20% or 40%." errorStyle="stop" errorTitle="Outside the allowed range" operator="between" prompt="Usually between 20% or 40%: your top rate of income tax (the Tax engine works it out). In the app it is pre-filled from Tax engine marginal rate (band by status: €44k single, €48k single parent, €53k married, + up to €35k second earne Allowed: 20% or 40%." promptTitle="Your tax rate (0.2 = 20%, 0.4 = " showDropDown="false" showErrorMessage="true" showInputMessage="true" sqref="C20" type="list">
      <formula1>"0.2,0.4"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841</v>
      </c>
      <c r="E1" s="3" t="s">
        <v>842</v>
      </c>
    </row>
    <row r="2" customFormat="false" ht="15" hidden="false" customHeight="true" outlineLevel="0" collapsed="false">
      <c r="B2" s="25" t="s">
        <v>843</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844</v>
      </c>
    </row>
    <row r="5" customFormat="false" ht="15" hidden="false" customHeight="true" outlineLevel="0" collapsed="false">
      <c r="B5" s="15" t="s">
        <v>561</v>
      </c>
      <c r="C5" s="28" t="s">
        <v>222</v>
      </c>
      <c r="D5" s="28" t="s">
        <v>223</v>
      </c>
      <c r="E5" s="28" t="s">
        <v>224</v>
      </c>
      <c r="F5" s="29" t="s">
        <v>225</v>
      </c>
      <c r="G5" s="16"/>
    </row>
    <row r="6" customFormat="false" ht="21.75" hidden="false" customHeight="true" outlineLevel="0" collapsed="false">
      <c r="B6" s="9" t="s">
        <v>562</v>
      </c>
      <c r="C6" s="38"/>
      <c r="D6" s="31" t="s">
        <v>238</v>
      </c>
      <c r="E6" s="39" t="str">
        <f aca="false">"Type 3 · your choice · Generally the standard is 2% a year (ECB target); Ireland's prices are rising "&amp;TEXT(Set_inflNow,"0.0%")&amp;" now (CSO HICP flash, Sep 2026). Choose what you want to use. Allowed: 0% to 10% · steps of 0.25%"</f>
        <v>Type 3 · your choice · Generally the standard is 2% a year (ECB target); Ireland's prices are rising 3.9% now (CSO HICP flash, Sep 2026). Choose what you want to use. Allowed: 0% to 10% · steps of 0.25%</v>
      </c>
      <c r="F6" s="40" t="n">
        <v>0.02</v>
      </c>
      <c r="G6" s="41" t="str">
        <f aca="false">IF(ISBLANK(C6),IF(Fill_Example="Yes",F6,""),C6)</f>
        <v/>
      </c>
    </row>
    <row r="7" customFormat="false" ht="27.75" hidden="false" customHeight="true" outlineLevel="0" collapsed="false">
      <c r="B7" s="57" t="str">
        <f aca="false">"Everyone sees this differently. Ireland's prices are rising "&amp;TEXT(Set_inflNow,"0.0%")&amp;" now (CSO HICP flash, Sep 2026), mostly because of energy. Over decades, 2%–2.5% is the usual planning range (ECB target 2%). Enter 0% if you don't want to adjust for prices."</f>
        <v>Everyone sees this differently. Ireland's prices are rising 3.9% now (CSO HICP flash, Sep 2026), mostly because of energy. Over decades, 2%–2.5% is the usual planning range (ECB target 2%). Enter 0% if you don't want to adjust for prices.</v>
      </c>
      <c r="C7" s="57"/>
      <c r="D7" s="57"/>
      <c r="E7" s="57"/>
    </row>
    <row r="9" customFormat="false" ht="15" hidden="false" customHeight="true" outlineLevel="0" collapsed="false">
      <c r="B9" s="15" t="s">
        <v>310</v>
      </c>
      <c r="C9" s="16"/>
      <c r="D9" s="16"/>
      <c r="E9" s="16"/>
      <c r="F9" s="16"/>
      <c r="G9" s="16"/>
    </row>
    <row r="10" customFormat="false" ht="27.75" hidden="false" customHeight="true" outlineLevel="0" collapsed="false">
      <c r="B10" s="57" t="s">
        <v>845</v>
      </c>
      <c r="C10" s="57"/>
      <c r="D10" s="57"/>
      <c r="E10" s="57"/>
    </row>
    <row r="11" customFormat="false" ht="15" hidden="false" customHeight="true" outlineLevel="0" collapsed="false">
      <c r="B11" s="9" t="s">
        <v>635</v>
      </c>
      <c r="C11" s="59"/>
      <c r="D11" s="31" t="s">
        <v>238</v>
      </c>
      <c r="E11" s="32" t="s">
        <v>636</v>
      </c>
      <c r="G11" s="56" t="s">
        <v>314</v>
      </c>
    </row>
    <row r="12" customFormat="false" ht="15" hidden="false" customHeight="true" outlineLevel="0" collapsed="false">
      <c r="B12" s="9" t="s">
        <v>321</v>
      </c>
      <c r="C12" s="61"/>
      <c r="D12" s="31" t="s">
        <v>322</v>
      </c>
      <c r="E12" s="32" t="s">
        <v>323</v>
      </c>
      <c r="G12" s="56" t="s">
        <v>314</v>
      </c>
    </row>
    <row r="14" customFormat="false" ht="15" hidden="false" customHeight="true" outlineLevel="0" collapsed="false">
      <c r="B14" s="15" t="s">
        <v>324</v>
      </c>
      <c r="C14" s="28" t="s">
        <v>222</v>
      </c>
      <c r="D14" s="28" t="s">
        <v>223</v>
      </c>
      <c r="E14" s="28" t="s">
        <v>224</v>
      </c>
      <c r="F14" s="29" t="s">
        <v>225</v>
      </c>
      <c r="G14" s="16"/>
    </row>
    <row r="15" customFormat="false" ht="15" hidden="false" customHeight="true" outlineLevel="0" collapsed="false">
      <c r="B15" s="9" t="s">
        <v>846</v>
      </c>
      <c r="C15" s="30"/>
      <c r="D15" s="31" t="s">
        <v>227</v>
      </c>
      <c r="E15" s="32" t="s">
        <v>847</v>
      </c>
      <c r="F15" s="33" t="n">
        <v>200</v>
      </c>
      <c r="G15" s="34" t="str">
        <f aca="false">IF(ISBLANK(C15),IF(Fill_Example="Yes",F15,""),C15)</f>
        <v/>
      </c>
    </row>
    <row r="16" customFormat="false" ht="21.75" hidden="false" customHeight="true" outlineLevel="0" collapsed="false">
      <c r="B16" s="9" t="s">
        <v>848</v>
      </c>
      <c r="C16" s="30"/>
      <c r="D16" s="31" t="s">
        <v>227</v>
      </c>
      <c r="E16" s="32" t="s">
        <v>228</v>
      </c>
      <c r="F16" s="33" t="n">
        <v>60000</v>
      </c>
      <c r="G16" s="34" t="str">
        <f aca="false">IF(ISBLANK(C16),IF(Fill_Example="Yes",F16,""),C16)</f>
        <v/>
      </c>
    </row>
    <row r="17" customFormat="false" ht="21.75" hidden="false" customHeight="true" outlineLevel="0" collapsed="false">
      <c r="B17" s="9" t="s">
        <v>769</v>
      </c>
      <c r="C17" s="42"/>
      <c r="D17" s="31" t="s">
        <v>240</v>
      </c>
      <c r="E17" s="32" t="s">
        <v>849</v>
      </c>
      <c r="F17" s="43" t="n">
        <v>15</v>
      </c>
      <c r="G17" s="44" t="str">
        <f aca="false">IF(ISBLANK(C17),IF(Fill_Example="Yes",F17,""),C17)</f>
        <v/>
      </c>
    </row>
    <row r="18" customFormat="false" ht="21.75" hidden="false" customHeight="true" outlineLevel="0" collapsed="false">
      <c r="B18" s="9" t="s">
        <v>805</v>
      </c>
      <c r="C18" s="38"/>
      <c r="D18" s="31" t="s">
        <v>238</v>
      </c>
      <c r="E18" s="39" t="s">
        <v>732</v>
      </c>
      <c r="F18" s="40" t="n">
        <f aca="false">AS_Pen</f>
        <v>0.045</v>
      </c>
      <c r="G18" s="41" t="n">
        <f aca="false">IF(ISBLANK(C18),F18,C18)</f>
        <v>0.045</v>
      </c>
    </row>
    <row r="19" customFormat="false" ht="21.75" hidden="false" customHeight="true" outlineLevel="0" collapsed="false">
      <c r="B19" s="9" t="s">
        <v>737</v>
      </c>
      <c r="C19" s="38"/>
      <c r="D19" s="31" t="s">
        <v>238</v>
      </c>
      <c r="E19" s="39" t="str">
        <f aca="false">"Type 2 · your figure · Typical pension charges a year (your statement shows yours). "&amp;IF(ISNUMBER(Suggest_Fund_Charges),"Suggested: "&amp;TEXT(Suggest_Fund_Charges,"0.00%")&amp;" · "&amp;Suggest_Fund_Charges_Label&amp;". ","No suggestion. ")&amp;"Enter your own figure."&amp;" Allowed: 0% to 2.5% · steps of 0.05%"</f>
        <v>Type 2 · your figure · Typical pension charges a year (your statement shows yours). Suggested: 1.00% · Pensions Authority pension calculator assumption. Enter your own figure. Allowed: 0% to 2.5% · steps of 0.05%</v>
      </c>
      <c r="F19" s="40" t="n">
        <f aca="false">IF(ISNUMBER(Suggest_Fund_Charges),Suggest_Fund_Charges,"")</f>
        <v>0.01</v>
      </c>
      <c r="G19" s="41" t="str">
        <f aca="false">IF(ISBLANK(C19),IF(Fill_Example="Yes",F19,""),C19)</f>
        <v/>
      </c>
    </row>
    <row r="20" customFormat="false" ht="33" hidden="false" customHeight="true" outlineLevel="0" collapsed="false">
      <c r="B20" s="9" t="s">
        <v>806</v>
      </c>
      <c r="C20" s="78"/>
      <c r="D20" s="31" t="s">
        <v>807</v>
      </c>
      <c r="E20" s="39" t="s">
        <v>808</v>
      </c>
      <c r="F20" s="79" t="str">
        <f aca="false">TE_Marginal_Rate</f>
        <v>Choose your tax status to see this</v>
      </c>
      <c r="G20" s="80" t="str">
        <f aca="false">IF(ISBLANK(C20),IF(Fill_Example="Yes",F20,""),C20)</f>
        <v/>
      </c>
    </row>
    <row r="21" customFormat="false" ht="21.75" hidden="false" customHeight="true" outlineLevel="0" collapsed="false">
      <c r="B21" s="9" t="s">
        <v>809</v>
      </c>
      <c r="C21" s="42"/>
      <c r="D21" s="31" t="s">
        <v>715</v>
      </c>
      <c r="E21" s="32" t="s">
        <v>810</v>
      </c>
      <c r="F21" s="43" t="n">
        <v>40</v>
      </c>
      <c r="G21" s="44" t="str">
        <f aca="false">IF(ISBLANK(C21),IF(Fill_Example="Yes",F21,""),C21)</f>
        <v/>
      </c>
    </row>
    <row r="22" customFormat="false" ht="15" hidden="false" customHeight="true" outlineLevel="0" collapsed="false">
      <c r="B22" s="9" t="s">
        <v>811</v>
      </c>
      <c r="C22" s="30"/>
      <c r="D22" s="31" t="s">
        <v>227</v>
      </c>
      <c r="E22" s="32" t="s">
        <v>812</v>
      </c>
      <c r="F22" s="33" t="n">
        <v>0</v>
      </c>
      <c r="G22" s="34" t="n">
        <f aca="false">IF(ISBLANK(C22),IF(Pens_Own_Total&gt;0,Pens_Own_Total*12,F22),C22)</f>
        <v>0</v>
      </c>
    </row>
    <row r="24" customFormat="false" ht="15" hidden="false" customHeight="true" outlineLevel="0" collapsed="false">
      <c r="B24" s="15" t="s">
        <v>333</v>
      </c>
      <c r="C24" s="16"/>
      <c r="D24" s="16"/>
      <c r="E24" s="16"/>
      <c r="F24" s="16"/>
      <c r="G24" s="16"/>
    </row>
    <row r="25" customFormat="false" ht="15" hidden="false" customHeight="true" outlineLevel="0" collapsed="false">
      <c r="B25" s="9" t="s">
        <v>813</v>
      </c>
      <c r="C25" s="64" t="n">
        <f aca="false">IF(ISBLANK(Stmt_Charges),Growth_Rate,IF(OR(Growth_Rate="",Typical_Pension_Charges=""),"",Growth_Rate+Typical_Pension_Charges-Stmt_Charges))</f>
        <v>0.045</v>
      </c>
      <c r="D25" s="63" t="str">
        <f aca="false">IF(ISBLANK(Stmt_Charges),"Your figure","Adjusted for your statement's charges")</f>
        <v>Your figure</v>
      </c>
      <c r="E25" s="53" t="s">
        <v>748</v>
      </c>
    </row>
    <row r="26" customFormat="false" ht="21.75" hidden="false" customHeight="true" outlineLevel="0" collapsed="false">
      <c r="B26" s="9" t="s">
        <v>339</v>
      </c>
      <c r="C26" s="49" t="str">
        <f aca="true">IF(ISBLANK(Stmt_Statement_Date),"",IF(TODAY()-Stmt_Statement_Date&gt;Statement_Max_Age_Days,"Needs a look: statement is more than 12 months old","Up to date"))</f>
        <v/>
      </c>
      <c r="D26" s="31"/>
      <c r="E26" s="46" t="s">
        <v>340</v>
      </c>
    </row>
    <row r="28" customFormat="false" ht="15" hidden="false" customHeight="true" outlineLevel="0" collapsed="false">
      <c r="B28" s="15" t="s">
        <v>247</v>
      </c>
      <c r="C28" s="28" t="s">
        <v>248</v>
      </c>
      <c r="D28" s="28" t="s">
        <v>249</v>
      </c>
      <c r="E28" s="28" t="s">
        <v>250</v>
      </c>
      <c r="F28" s="16"/>
      <c r="G28" s="16"/>
    </row>
    <row r="29" customFormat="false" ht="17.25" hidden="false" customHeight="true" outlineLevel="0" collapsed="false">
      <c r="B29" s="25" t="s">
        <v>850</v>
      </c>
      <c r="C29" s="45" t="str">
        <f aca="false">IF(Need_1&lt;&gt;"",Need_1,FV((1+Used_Growth_Rate)^(1/12)-1,Years*12,-AVC_Per_Month))</f>
        <v>Choose your AVC per month to see this</v>
      </c>
      <c r="D29" s="31" t="s">
        <v>227</v>
      </c>
      <c r="E29" s="46" t="s">
        <v>851</v>
      </c>
    </row>
    <row r="30" customFormat="false" ht="17.25" hidden="false" customHeight="true" outlineLevel="0" collapsed="false">
      <c r="B30" s="25" t="s">
        <v>610</v>
      </c>
      <c r="C30" s="45" t="str">
        <f aca="false">IF(Need_2&lt;&gt;"",Need_2,IF(Inflation_Choice="","Choose your inflation rate to see this",Grows_To/(1+Inflation_Choice)^Years))</f>
        <v>Choose your AVC per month to see this</v>
      </c>
      <c r="D30" s="31" t="s">
        <v>227</v>
      </c>
      <c r="E30" s="46" t="s">
        <v>611</v>
      </c>
    </row>
    <row r="31" customFormat="false" ht="15" hidden="false" customHeight="true" outlineLevel="0" collapsed="false">
      <c r="B31" s="9" t="s">
        <v>612</v>
      </c>
      <c r="C31" s="47" t="str">
        <f aca="false">IF(Need_3&lt;&gt;"",Need_3,AVC_Per_Month*12*Years)</f>
        <v>Choose your AVC per month to see this</v>
      </c>
      <c r="D31" s="31" t="s">
        <v>227</v>
      </c>
      <c r="E31" s="46" t="s">
        <v>852</v>
      </c>
    </row>
    <row r="32" customFormat="false" ht="15" hidden="false" customHeight="true" outlineLevel="0" collapsed="false">
      <c r="B32" s="9" t="s">
        <v>853</v>
      </c>
      <c r="C32" s="47" t="str">
        <f aca="false">IF(Need_4&lt;&gt;"",Need_4,Net_Cost_Per_Month*12*Years)</f>
        <v>Choose your AVC per month to see this</v>
      </c>
      <c r="D32" s="31" t="s">
        <v>227</v>
      </c>
      <c r="E32" s="46" t="s">
        <v>854</v>
      </c>
    </row>
    <row r="33" customFormat="false" ht="15" hidden="false" customHeight="true" outlineLevel="0" collapsed="false">
      <c r="B33" s="9" t="s">
        <v>855</v>
      </c>
      <c r="C33" s="47" t="str">
        <f aca="false">IF(Need_5&lt;&gt;"",Need_5,AVC_Per_Month-Relief_Per_Month)</f>
        <v>Choose your AVC per month to see this</v>
      </c>
      <c r="D33" s="31" t="s">
        <v>227</v>
      </c>
      <c r="E33" s="46" t="s">
        <v>856</v>
      </c>
    </row>
    <row r="34" customFormat="false" ht="15" hidden="false" customHeight="true" outlineLevel="0" collapsed="false">
      <c r="B34" s="9" t="str">
        <f aca="false">"Most you can get relief on in a year (age-band % × earnings up to "&amp;"€"&amp;TEXT(Relief_Earnings_Cap,"#,##0")&amp;")"</f>
        <v>Most you can get relief on in a year (age-band % × earnings up to €115,000)</v>
      </c>
      <c r="C34" s="47" t="str">
        <f aca="false">IF(Need_6&lt;&gt;"",Need_6,LOOKUP(Age,Relief_Age_From,Relief_Age_Pct)*MIN(Salary,Relief_Earnings_Cap))</f>
        <v>Choose your salary to see this</v>
      </c>
      <c r="D34" s="31" t="s">
        <v>227</v>
      </c>
      <c r="E34" s="46" t="s">
        <v>820</v>
      </c>
    </row>
    <row r="35" customFormat="false" ht="15" hidden="false" customHeight="true" outlineLevel="0" collapsed="false">
      <c r="B35" s="9" t="s">
        <v>821</v>
      </c>
      <c r="C35" s="47" t="str">
        <f aca="false">IF(Need_6&lt;&gt;"",Need_6,MAX(0,Relief_Limit_Year-Existing_Pension_Year))</f>
        <v>Choose your salary to see this</v>
      </c>
      <c r="D35" s="31" t="s">
        <v>227</v>
      </c>
      <c r="E35" s="46" t="s">
        <v>822</v>
      </c>
    </row>
    <row r="36" customFormat="false" ht="15" hidden="false" customHeight="true" outlineLevel="0" collapsed="false">
      <c r="B36" s="9" t="s">
        <v>857</v>
      </c>
      <c r="C36" s="47" t="str">
        <f aca="false">IF(Need_7&lt;&gt;"",Need_7,MIN(AVC_Per_Month*12,Relief_Room_Year))</f>
        <v>Choose your AVC per month to see this</v>
      </c>
      <c r="D36" s="31" t="s">
        <v>227</v>
      </c>
      <c r="E36" s="46" t="s">
        <v>858</v>
      </c>
    </row>
    <row r="37" customFormat="false" ht="15" hidden="false" customHeight="true" outlineLevel="0" collapsed="false">
      <c r="B37" s="9" t="s">
        <v>825</v>
      </c>
      <c r="C37" s="47" t="str">
        <f aca="false">IF(Need_5&lt;&gt;"",Need_5,Relieved_Year*Tax_Rate/12)</f>
        <v>Choose your AVC per month to see this</v>
      </c>
      <c r="D37" s="31" t="s">
        <v>227</v>
      </c>
      <c r="E37" s="46" t="s">
        <v>826</v>
      </c>
    </row>
    <row r="39" customFormat="false" ht="15" hidden="false" customHeight="true" outlineLevel="0" collapsed="false">
      <c r="B39" s="15" t="s">
        <v>280</v>
      </c>
      <c r="C39" s="16"/>
      <c r="D39" s="16"/>
      <c r="E39" s="16"/>
      <c r="F39" s="16"/>
      <c r="G39" s="16"/>
    </row>
    <row r="40" customFormat="false" ht="27.75" hidden="false" customHeight="true" outlineLevel="0" collapsed="false">
      <c r="B40" s="50" t="str">
        <f aca="false">"• Value = FV(monthly growth, months, −AVC). Tax relief = the part of the AVC within your relief limit (age band × earnings up to "&amp;"€"&amp;TEXT(Relief_Earnings_Cap,"#,##0")&amp;", less what you already pay) × your tax rate. Net cost = AVC − relief."</f>
        <v>• Value = FV(monthly growth, months, −AVC). Tax relief = the part of the AVC within your relief limit (age band × earnings up to €115,000, less what you already pay) × your tax rate. Net cost = AVC − relief.</v>
      </c>
      <c r="C40" s="50"/>
      <c r="D40" s="50"/>
      <c r="E40" s="50"/>
    </row>
    <row r="41" customFormat="false" ht="13.5" hidden="false" customHeight="true" outlineLevel="0" collapsed="false">
      <c r="B41" s="51" t="s">
        <v>283</v>
      </c>
      <c r="C41" s="51"/>
      <c r="D41" s="51"/>
      <c r="E41" s="51"/>
    </row>
    <row r="42" customFormat="false" ht="13.5" hidden="false" customHeight="true" outlineLevel="0" collapsed="false">
      <c r="B42" s="50" t="s">
        <v>829</v>
      </c>
      <c r="C42" s="50"/>
      <c r="D42" s="50"/>
      <c r="E42" s="50"/>
    </row>
    <row r="43" customFormat="false" ht="13.5" hidden="false" customHeight="true" outlineLevel="0" collapsed="false">
      <c r="B43" s="50" t="s">
        <v>859</v>
      </c>
      <c r="C43" s="50"/>
      <c r="D43" s="50"/>
      <c r="E43" s="50"/>
    </row>
    <row r="45" customFormat="false" ht="15" hidden="false" customHeight="true" outlineLevel="0" collapsed="false">
      <c r="B45" s="15" t="s">
        <v>288</v>
      </c>
      <c r="C45" s="16"/>
      <c r="D45" s="16"/>
      <c r="E45" s="16"/>
      <c r="F45" s="16"/>
      <c r="G45" s="16"/>
    </row>
    <row r="46" customFormat="false" ht="15" hidden="false" customHeight="true" outlineLevel="0" collapsed="false">
      <c r="B46" s="9" t="s">
        <v>289</v>
      </c>
      <c r="C46" s="52" t="str">
        <f aca="false">"No goal: raise the plan's pension contribution instead"</f>
        <v>No goal: raise the plan's pension contribution instead</v>
      </c>
      <c r="E46" s="53" t="s">
        <v>830</v>
      </c>
    </row>
    <row r="47" customFormat="false" ht="15" hidden="false" customHeight="true" outlineLevel="0" collapsed="false">
      <c r="B47" s="9" t="s">
        <v>831</v>
      </c>
      <c r="C47" s="54" t="str">
        <f aca="false">IF(Need_8&lt;&gt;"",Need_8,AVC_Per_Month)</f>
        <v>Choose your AVC per month to see this</v>
      </c>
      <c r="E47" s="53" t="s">
        <v>860</v>
      </c>
    </row>
    <row r="49" customFormat="false" ht="15" hidden="false" customHeight="true" outlineLevel="0" collapsed="false">
      <c r="B49" s="15" t="s">
        <v>297</v>
      </c>
      <c r="C49" s="16"/>
      <c r="D49" s="16"/>
      <c r="E49" s="16"/>
      <c r="F49" s="16"/>
      <c r="G49" s="16"/>
    </row>
    <row r="50" customFormat="false" ht="15" hidden="false" customHeight="true" outlineLevel="0" collapsed="false">
      <c r="B50" s="56" t="s">
        <v>861</v>
      </c>
      <c r="C50" s="56" t="str">
        <f aca="false">IF(AVC_Per_Month="","Choose your AVC per month to see this",IF(Years="","Choose your years to retirement to see this",IF(NOT(ISNUMBER(Used_Growth_Rate)),IF(Used_Growth_Rate="",IF(Growth_Rate="","Choose your growth rate to see this",IF(Growth_Rate="","Choose your growth rate to see this",IF(Growth_Rate="","Choose your growth rate to see this",IF(Typical_Pension_Charges="","Choose your typical pension charges to see this",IF(Typical_Pension_Charges="","Choose your typical pension charges to see this",""))))),Used_Growth_Rate),"")))</f>
        <v>Choose your AVC per month to see this</v>
      </c>
    </row>
    <row r="51" customFormat="false" ht="15" hidden="false" customHeight="true" outlineLevel="0" collapsed="false">
      <c r="B51" s="56" t="s">
        <v>862</v>
      </c>
      <c r="C51" s="56" t="str">
        <f aca="false">IF(AVC_Per_Month="","Choose your AVC per month to see this",IF(Years="","Choose your years to retirement to see this",IF(NOT(ISNUMBER(Used_Growth_Rate)),IF(Used_Growth_Rate="",IF(Growth_Rate="","Choose your growth rate to see this",IF(Growth_Rate="","Choose your growth rate to see this",IF(Growth_Rate="","Choose your growth rate to see this",IF(Typical_Pension_Charges="","Choose your typical pension charges to see this",IF(Typical_Pension_Charges="","Choose your typical pension charges to see this",""))))),Used_Growth_Rate),IF(Inflation_Choice="","Choose your inflation rate to see this",""))))</f>
        <v>Choose your AVC per month to see this</v>
      </c>
    </row>
    <row r="52" customFormat="false" ht="15" hidden="false" customHeight="true" outlineLevel="0" collapsed="false">
      <c r="B52" s="56" t="s">
        <v>863</v>
      </c>
      <c r="C52" s="56" t="str">
        <f aca="false">IF(AVC_Per_Month="","Choose your AVC per month to see this",IF(Years="","Choose your years to retirement to see this",""))</f>
        <v>Choose your AVC per month to see this</v>
      </c>
    </row>
    <row r="53" customFormat="false" ht="15" hidden="false" customHeight="true" outlineLevel="0" collapsed="false">
      <c r="B53" s="56" t="s">
        <v>864</v>
      </c>
      <c r="C53" s="56" t="str">
        <f aca="false">IF(AVC_Per_Month="","Choose your AVC per month to see this",IF(Salary="","Choose your salary to see this",IF(Years="","Choose your years to retirement to see this",IF(Tax_Rate="","Choose your tax rate to see this",IF(Age="","Choose your age to see this","")))))</f>
        <v>Choose your AVC per month to see this</v>
      </c>
    </row>
    <row r="54" customFormat="false" ht="15" hidden="false" customHeight="true" outlineLevel="0" collapsed="false">
      <c r="B54" s="56" t="s">
        <v>865</v>
      </c>
      <c r="C54" s="56" t="str">
        <f aca="false">IF(AVC_Per_Month="","Choose your AVC per month to see this",IF(Salary="","Choose your salary to see this",IF(Tax_Rate="","Choose your tax rate to see this",IF(Age="","Choose your age to see this",""))))</f>
        <v>Choose your AVC per month to see this</v>
      </c>
    </row>
    <row r="55" customFormat="false" ht="15" hidden="false" customHeight="true" outlineLevel="0" collapsed="false">
      <c r="B55" s="56" t="s">
        <v>838</v>
      </c>
      <c r="C55" s="56" t="str">
        <f aca="false">IF(Salary="","Choose your salary to see this",IF(Age="","Choose your age to see this",""))</f>
        <v>Choose your salary to see this</v>
      </c>
    </row>
    <row r="56" customFormat="false" ht="15" hidden="false" customHeight="true" outlineLevel="0" collapsed="false">
      <c r="B56" s="56" t="s">
        <v>866</v>
      </c>
      <c r="C56" s="56" t="str">
        <f aca="false">IF(AVC_Per_Month="","Choose your AVC per month to see this",IF(Salary="","Choose your salary to see this",IF(Age="","Choose your age to see this","")))</f>
        <v>Choose your AVC per month to see this</v>
      </c>
    </row>
    <row r="57" customFormat="false" ht="15" hidden="false" customHeight="true" outlineLevel="0" collapsed="false">
      <c r="B57" s="56" t="s">
        <v>867</v>
      </c>
      <c r="C57" s="56" t="str">
        <f aca="false">IF(AVC_Per_Month="","Choose your AVC per month to see this","")</f>
        <v>Choose your AVC per month to see this</v>
      </c>
    </row>
  </sheetData>
  <mergeCells count="6">
    <mergeCell ref="B7:E7"/>
    <mergeCell ref="B10:E10"/>
    <mergeCell ref="B40:E40"/>
    <mergeCell ref="B41:E41"/>
    <mergeCell ref="B42:E42"/>
    <mergeCell ref="B43:E43"/>
  </mergeCells>
  <dataValidations count="11">
    <dataValidation allowBlank="true" error="Please enter a date (dd/mm/yyyy)." errorStyle="stop" errorTitle="Outside the allowed range" operator="greaterThan" prompt="Unit: date. Allowed: a date (dd/mm/yyyy)." promptTitle="Statement date" showDropDown="false" showErrorMessage="true" showInputMessage="true" sqref="C12" type="date">
      <formula1>36526</formula1>
      <formula2>0</formula2>
    </dataValidation>
    <dataValidation allowBlank="true" error="Please enter 0% to 10% · steps of 0.25%." errorStyle="stop" errorTitle="Outside the allowed range" operator="between" prompt="Generally the standard is 2% a year (ECB target); Ireland's prices are rising 3.9% now (CSO HICP flash, Sep 2026). Choose what you want to use.  Allowed: 0% to 10% · steps of 0.25%." promptTitle="Inflation you expect (your choic" showDropDown="false" showErrorMessage="true" showInputMessage="true" sqref="C6" type="decimal">
      <formula1>0</formula1>
      <formula2>0.1</formula2>
    </dataValidation>
    <dataValidation allowBlank="true" error="Please enter 0% to 5%." errorStyle="stop" errorTitle="Outside the allowed range" operator="between" prompt="Unit: %. Allowed: 0% to 5%." promptTitle="Annual charges % (if shown)" showDropDown="false" showErrorMessage="true" showInputMessage="true" sqref="C11" type="decimal">
      <formula1>0</formula1>
      <formula2>0.05</formula2>
    </dataValidation>
    <dataValidation allowBlank="true" error="Please enter 0% to 2.5% · steps of 0.05%." errorStyle="stop" errorTitle="Outside the allowed range" operator="between" prompt="Your own pension charges (your statement shows them). A suggested figure and its source are shown beside this cell (Partner rates, Assumptions sheet). CCPC: usually 0.5%–2% a year. Allowed: 0% to 2.5% · steps of 0.05%" promptTitle="Typical pension charges (if your" showDropDown="false" showErrorMessage="true" showInputMessage="true" sqref="C19" type="decimal">
      <formula1>0</formula1>
      <formula2>0.025</formula2>
    </dataValidation>
    <dataValidation allowBlank="true" error="Please enter 1% to 7% · steps of 0.25%." errorStyle="stop" errorTitle="Outside the allowed range" operator="between" prompt="Generally the standard is 4.5% a year after charges while you work (LifeMap Standard set; Cautious 4%). Choose what you want to use.  Allowed: 1% to 7% · steps of 0.5%." promptTitle="Growth assumption a year" showDropDown="false" showErrorMessage="true" showInputMessage="true" sqref="C18" type="decimal">
      <formula1>0.01</formula1>
      <formula2>0.07</formula2>
    </dataValidation>
    <dataValidation allowBlank="true" error="Please enter 18 to 75 · steps of 1." errorStyle="stop" errorTitle="Outside the allowed range" operator="between" prompt="Your own figure. In the app it is pre-filled from About you: age.  Allowed: 18 to 75 · steps of 1." promptTitle="Your age (for the pension relief" showDropDown="false" showErrorMessage="true" showInputMessage="true" sqref="C21" type="whole">
      <formula1>18</formula1>
      <formula2>75</formula2>
    </dataValidation>
    <dataValidation allowBlank="true" error="Please enter €0 to €1,000,000 · steps of €100." errorStyle="stop" errorTitle="Outside the allowed range" operator="between" prompt="Optional: leave blank for none.  Allowed: €0 to €1,000,000 · steps of €100." promptTitle="What you pay in yourself now, a " showDropDown="false" showErrorMessage="true" showInputMessage="true" sqref="C22" type="decimal">
      <formula1>0</formula1>
      <formula2>1000000</formula2>
    </dataValidation>
    <dataValidation allowBlank="true" error="Please enter €25 to €20,000 · steps of €25." errorStyle="stop" errorTitle="Outside the allowed range" operator="between" prompt="Your own figure.  Allowed: €25 to €20,000 · steps of €25." promptTitle="AVC per month" showDropDown="false" showErrorMessage="true" showInputMessage="true" sqref="C15" type="decimal">
      <formula1>25</formula1>
      <formula2>20000</formula2>
    </dataValidation>
    <dataValidation allowBlank="true" error="Please enter €15,000 to €2,500,000 · steps of €1,000." errorStyle="stop" errorTitle="Outside the allowed range" operator="between" prompt="Your own figure. In the app it is pre-filled from Your finances: income.  Allowed: €15,000 to €2,500,000 · steps of €1,000." promptTitle="Salary (for the relief limit)" showDropDown="false" showErrorMessage="true" showInputMessage="true" sqref="C16" type="decimal">
      <formula1>15000</formula1>
      <formula2>2500000</formula2>
    </dataValidation>
    <dataValidation allowBlank="true" error="Please enter 1 to 40 · steps of 1." errorStyle="stop" errorTitle="Outside the allowed range" operator="between" prompt="Your own figure. In the app it is pre-filled from Plan: retirement age − age.  Allowed: 1 to 40 · steps of 1." promptTitle="Years to retirement" showDropDown="false" showErrorMessage="true" showInputMessage="true" sqref="C17" type="whole">
      <formula1>1</formula1>
      <formula2>40</formula2>
    </dataValidation>
    <dataValidation allowBlank="true" error="Please enter 20% or 40%." errorStyle="stop" errorTitle="Outside the allowed range" operator="between" prompt="Usually between 20% or 40%: your top rate of income tax (the Tax engine works it out). In the app it is pre-filled from Tax engine marginal rate (band by status: €44k single, €48k single parent, €53k married, + up to €35k second earne Allowed: 20% or 40%." promptTitle="Your tax rate (0.2 = 20%, 0.4 = " showDropDown="false" showErrorMessage="true" showInputMessage="true" sqref="C20" type="list">
      <formula1>"0.2,0.4"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868</v>
      </c>
      <c r="E1" s="3" t="s">
        <v>869</v>
      </c>
    </row>
    <row r="2" customFormat="false" ht="15" hidden="false" customHeight="true" outlineLevel="0" collapsed="false">
      <c r="B2" s="25" t="s">
        <v>870</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871</v>
      </c>
    </row>
    <row r="5" customFormat="false" ht="15" hidden="false" customHeight="true" outlineLevel="0" collapsed="false">
      <c r="B5" s="15" t="s">
        <v>561</v>
      </c>
      <c r="C5" s="28" t="s">
        <v>222</v>
      </c>
      <c r="D5" s="28" t="s">
        <v>223</v>
      </c>
      <c r="E5" s="28" t="s">
        <v>224</v>
      </c>
      <c r="F5" s="29" t="s">
        <v>225</v>
      </c>
      <c r="G5" s="16"/>
    </row>
    <row r="6" customFormat="false" ht="21.75" hidden="false" customHeight="true" outlineLevel="0" collapsed="false">
      <c r="B6" s="9" t="s">
        <v>562</v>
      </c>
      <c r="C6" s="38"/>
      <c r="D6" s="31" t="s">
        <v>238</v>
      </c>
      <c r="E6" s="39" t="str">
        <f aca="false">"Type 3 · your choice · Generally the standard is 2% a year (ECB target); Ireland's prices are rising "&amp;TEXT(Set_inflNow,"0.0%")&amp;" now (CSO HICP flash, Sep 2026). Choose what you want to use. Allowed: 0% to 10% · steps of 0.25%"</f>
        <v>Type 3 · your choice · Generally the standard is 2% a year (ECB target); Ireland's prices are rising 3.9% now (CSO HICP flash, Sep 2026). Choose what you want to use. Allowed: 0% to 10% · steps of 0.25%</v>
      </c>
      <c r="F6" s="40" t="n">
        <v>0.02</v>
      </c>
      <c r="G6" s="41" t="str">
        <f aca="false">IF(ISBLANK(C6),IF(Fill_Example="Yes",F6,""),C6)</f>
        <v/>
      </c>
    </row>
    <row r="7" customFormat="false" ht="27.75" hidden="false" customHeight="true" outlineLevel="0" collapsed="false">
      <c r="B7" s="57" t="str">
        <f aca="false">"Everyone sees this differently. Ireland's prices are rising "&amp;TEXT(Set_inflNow,"0.0%")&amp;" now (CSO HICP flash, Sep 2026), mostly because of energy. Over decades, 2%–2.5% is the usual planning range (ECB target 2%). Enter 0% if you don't want to adjust for prices."</f>
        <v>Everyone sees this differently. Ireland's prices are rising 3.9% now (CSO HICP flash, Sep 2026), mostly because of energy. Over decades, 2%–2.5% is the usual planning range (ECB target 2%). Enter 0% if you don't want to adjust for prices.</v>
      </c>
      <c r="C7" s="57"/>
      <c r="D7" s="57"/>
      <c r="E7" s="57"/>
    </row>
    <row r="9" customFormat="false" ht="15" hidden="false" customHeight="true" outlineLevel="0" collapsed="false">
      <c r="B9" s="15" t="s">
        <v>310</v>
      </c>
      <c r="C9" s="16"/>
      <c r="D9" s="16"/>
      <c r="E9" s="16"/>
      <c r="F9" s="16"/>
      <c r="G9" s="16"/>
    </row>
    <row r="10" customFormat="false" ht="27.75" hidden="false" customHeight="true" outlineLevel="0" collapsed="false">
      <c r="B10" s="57" t="s">
        <v>872</v>
      </c>
      <c r="C10" s="57"/>
      <c r="D10" s="57"/>
      <c r="E10" s="57"/>
    </row>
    <row r="11" customFormat="false" ht="15" hidden="false" customHeight="true" outlineLevel="0" collapsed="false">
      <c r="B11" s="9" t="s">
        <v>717</v>
      </c>
      <c r="C11" s="58"/>
      <c r="D11" s="31" t="s">
        <v>227</v>
      </c>
      <c r="E11" s="32" t="s">
        <v>634</v>
      </c>
      <c r="G11" s="56" t="s">
        <v>314</v>
      </c>
    </row>
    <row r="12" customFormat="false" ht="15" hidden="false" customHeight="true" outlineLevel="0" collapsed="false">
      <c r="B12" s="9" t="s">
        <v>710</v>
      </c>
      <c r="C12" s="58"/>
      <c r="D12" s="31" t="s">
        <v>227</v>
      </c>
      <c r="E12" s="32" t="s">
        <v>711</v>
      </c>
      <c r="G12" s="56" t="s">
        <v>314</v>
      </c>
    </row>
    <row r="13" customFormat="false" ht="15" hidden="false" customHeight="true" outlineLevel="0" collapsed="false">
      <c r="B13" s="9" t="s">
        <v>321</v>
      </c>
      <c r="C13" s="61"/>
      <c r="D13" s="31" t="s">
        <v>322</v>
      </c>
      <c r="E13" s="32" t="s">
        <v>323</v>
      </c>
      <c r="G13" s="56" t="s">
        <v>314</v>
      </c>
    </row>
    <row r="15" customFormat="false" ht="15" hidden="false" customHeight="true" outlineLevel="0" collapsed="false">
      <c r="B15" s="15" t="s">
        <v>324</v>
      </c>
      <c r="C15" s="28" t="s">
        <v>222</v>
      </c>
      <c r="D15" s="28" t="s">
        <v>223</v>
      </c>
      <c r="E15" s="28" t="s">
        <v>224</v>
      </c>
      <c r="F15" s="29" t="s">
        <v>225</v>
      </c>
      <c r="G15" s="16"/>
    </row>
    <row r="16" customFormat="false" ht="21.75" hidden="false" customHeight="true" outlineLevel="0" collapsed="false">
      <c r="B16" s="9" t="s">
        <v>873</v>
      </c>
      <c r="C16" s="30"/>
      <c r="D16" s="31" t="s">
        <v>227</v>
      </c>
      <c r="E16" s="32" t="s">
        <v>874</v>
      </c>
      <c r="F16" s="33" t="n">
        <v>400000</v>
      </c>
      <c r="G16" s="34" t="str">
        <f aca="false">IF(AND(ISNUMBER(C16),N(C16)&lt;10000),"",IF(ISBLANK(C16),IF(Fill_Example="Yes",F16,""),C16))</f>
        <v/>
      </c>
    </row>
    <row r="17" customFormat="false" ht="15" hidden="false" customHeight="true" outlineLevel="0" collapsed="false">
      <c r="B17" s="9" t="s">
        <v>875</v>
      </c>
      <c r="C17" s="30"/>
      <c r="D17" s="31" t="s">
        <v>227</v>
      </c>
      <c r="E17" s="32" t="s">
        <v>876</v>
      </c>
      <c r="F17" s="33" t="n">
        <v>24000</v>
      </c>
      <c r="G17" s="34" t="str">
        <f aca="false">IF(ISBLANK(C17),IF(Fill_Example="Yes",F17,""),C17)</f>
        <v/>
      </c>
    </row>
    <row r="18" customFormat="false" ht="21.75" hidden="false" customHeight="true" outlineLevel="0" collapsed="false">
      <c r="B18" s="9" t="s">
        <v>877</v>
      </c>
      <c r="C18" s="38"/>
      <c r="D18" s="31" t="s">
        <v>238</v>
      </c>
      <c r="E18" s="39" t="s">
        <v>878</v>
      </c>
      <c r="F18" s="40" t="n">
        <f aca="false">AS_PenRet</f>
        <v>0.0315</v>
      </c>
      <c r="G18" s="41" t="n">
        <f aca="false">IF(ISBLANK(C18),F18,C18)</f>
        <v>0.0315</v>
      </c>
    </row>
    <row r="19" customFormat="false" ht="21.75" hidden="false" customHeight="true" outlineLevel="0" collapsed="false">
      <c r="B19" s="9" t="s">
        <v>879</v>
      </c>
      <c r="C19" s="35"/>
      <c r="D19" s="31"/>
      <c r="E19" s="39" t="s">
        <v>880</v>
      </c>
      <c r="F19" s="36" t="str">
        <f aca="false">IF(Set_ddTiming="end","End of year","Start of year")</f>
        <v>Start of year</v>
      </c>
      <c r="G19" s="37" t="str">
        <f aca="false">IF(ISBLANK(C19),F19,C19)</f>
        <v>Start of year</v>
      </c>
    </row>
    <row r="20" customFormat="false" ht="21.75" hidden="false" customHeight="true" outlineLevel="0" collapsed="false">
      <c r="B20" s="9" t="s">
        <v>881</v>
      </c>
      <c r="C20" s="42"/>
      <c r="D20" s="31" t="s">
        <v>715</v>
      </c>
      <c r="E20" s="39" t="s">
        <v>882</v>
      </c>
      <c r="F20" s="43" t="n">
        <v>66</v>
      </c>
      <c r="G20" s="44" t="str">
        <f aca="false">IF(ISBLANK(C20),IF(Fill_Example="Yes",F20,""),C20)</f>
        <v/>
      </c>
    </row>
    <row r="21" customFormat="false" ht="21.75" hidden="false" customHeight="true" outlineLevel="0" collapsed="false">
      <c r="B21" s="9" t="s">
        <v>883</v>
      </c>
      <c r="C21" s="42"/>
      <c r="D21" s="31" t="s">
        <v>715</v>
      </c>
      <c r="E21" s="39" t="s">
        <v>884</v>
      </c>
      <c r="F21" s="43" t="n">
        <v>90</v>
      </c>
      <c r="G21" s="44" t="str">
        <f aca="false">IF(ISBLANK(C21),IF(Fill_Example="Yes",F21,""),C21)</f>
        <v/>
      </c>
    </row>
    <row r="23" customFormat="false" ht="15" hidden="false" customHeight="true" outlineLevel="0" collapsed="false">
      <c r="B23" s="15" t="s">
        <v>333</v>
      </c>
      <c r="C23" s="16"/>
      <c r="D23" s="16"/>
      <c r="E23" s="16"/>
      <c r="F23" s="16"/>
      <c r="G23" s="16"/>
    </row>
    <row r="24" customFormat="false" ht="15" hidden="false" customHeight="true" outlineLevel="0" collapsed="false">
      <c r="B24" s="9" t="s">
        <v>873</v>
      </c>
      <c r="C24" s="62" t="str">
        <f aca="false">IF(NOT(ISBLANK(Stmt_Projected_Fund)),Stmt_Projected_Fund,IF(NOT(ISBLANK(Stmt_Fund_Value)),Stmt_Fund_Value,Retirement_Savings))</f>
        <v/>
      </c>
      <c r="D24" s="63" t="str">
        <f aca="false">IF(NOT(ISBLANK(Stmt_Projected_Fund)),"From your statement (projected fund)",IF(NOT(ISBLANK(Stmt_Fund_Value)),"From your statement (fund value today)","Your figure"))</f>
        <v>Your figure</v>
      </c>
      <c r="E24" s="53" t="s">
        <v>885</v>
      </c>
    </row>
    <row r="25" customFormat="false" ht="21.75" hidden="false" customHeight="true" outlineLevel="0" collapsed="false">
      <c r="B25" s="9" t="s">
        <v>339</v>
      </c>
      <c r="C25" s="49" t="str">
        <f aca="true">IF(ISBLANK(Stmt_Statement_Date),"",IF(TODAY()-Stmt_Statement_Date&gt;Statement_Max_Age_Days,"Needs a look: statement is more than 12 months old","Up to date"))</f>
        <v/>
      </c>
      <c r="D25" s="31"/>
      <c r="E25" s="46" t="s">
        <v>340</v>
      </c>
    </row>
    <row r="27" customFormat="false" ht="15" hidden="false" customHeight="true" outlineLevel="0" collapsed="false">
      <c r="B27" s="15" t="s">
        <v>247</v>
      </c>
      <c r="C27" s="28" t="s">
        <v>248</v>
      </c>
      <c r="D27" s="28" t="s">
        <v>249</v>
      </c>
      <c r="E27" s="28" t="s">
        <v>250</v>
      </c>
      <c r="F27" s="16"/>
      <c r="G27" s="16"/>
    </row>
    <row r="28" customFormat="false" ht="23.25" hidden="false" customHeight="true" outlineLevel="0" collapsed="false">
      <c r="B28" s="25" t="s">
        <v>886</v>
      </c>
      <c r="C28" s="66" t="str">
        <f aca="false">IF(Need_1&lt;&gt;"",Need_1,IF(Inflation_Choice="","Choose your inflation rate to see this",SUM(W_paid)))</f>
        <v>Choose your yearly withdrawal to see this</v>
      </c>
      <c r="D28" s="67" t="str">
        <f aca="false">IF(Need_1&lt;&gt;"",Need_1,IF(ISNUMBER(Years_Lasting),IF(Years_Lasting&gt;=Cap_Years,Cap_Years&amp;"+ years",IF(Years_Lasting&lt;1,"Less than a year",Years_Lasting&amp;IF(Years_Lasting=1," year"," years"))),"Choose your inflation rate to see this"))</f>
        <v>Choose your yearly withdrawal to see this</v>
      </c>
      <c r="E28" s="46" t="s">
        <v>887</v>
      </c>
    </row>
    <row r="29" customFormat="false" ht="23.25" hidden="false" customHeight="true" outlineLevel="0" collapsed="false">
      <c r="B29" s="25" t="s">
        <v>888</v>
      </c>
      <c r="C29" s="66" t="str">
        <f aca="false">IF(Need_2&lt;&gt;"",Need_2,IF(ISNUMBER(Years_Lasting),IF(Years_Lasting&gt;=Cap_Years,"Beyond "&amp;Plan_To_Age,IF(Years_Lasting&lt;1,"Less than a year",Age_At_Start+Years_Lasting)),"Choose your inflation rate to see this"))</f>
        <v>Choose your yearly withdrawal to see this</v>
      </c>
      <c r="D29" s="67" t="str">
        <f aca="false">IF(Need_2&lt;&gt;"",Need_2,IF(ISNUMBER(Years_Lasting),IF(Years_Lasting&gt;=Cap_Years,"Beyond "&amp;Plan_To_Age&amp;" (your plan-until age)",IF(Years_Lasting&lt;1,"Less than a year after you start",IF(Age_At_Start+Years_Lasting&gt;=Plan_To_Age,"Lasts to your plan age ("&amp;Plan_To_Age&amp;")","Runs out "&amp;(Plan_To_Age-Age_At_Start-Years_Lasting)&amp;" years before your plan age"))),"Choose your inflation rate to see this"))</f>
        <v>Choose your yearly withdrawal to see this</v>
      </c>
      <c r="E29" s="46" t="s">
        <v>889</v>
      </c>
    </row>
    <row r="30" customFormat="false" ht="15" hidden="false" customHeight="true" outlineLevel="0" collapsed="false">
      <c r="B30" s="9" t="s">
        <v>890</v>
      </c>
      <c r="C30" s="81" t="str">
        <f aca="false">IF(Need_3&lt;&gt;"",Need_3,Yearly_Withdrawal/Used_Retirement_Savings)</f>
        <v>Choose your yearly withdrawal to see this</v>
      </c>
      <c r="D30" s="31" t="s">
        <v>238</v>
      </c>
      <c r="E30" s="46" t="s">
        <v>891</v>
      </c>
    </row>
    <row r="31" customFormat="false" ht="15" hidden="false" customHeight="true" outlineLevel="0" collapsed="false">
      <c r="B31" s="15" t="s">
        <v>892</v>
      </c>
      <c r="C31" s="16"/>
      <c r="D31" s="16"/>
      <c r="E31" s="16"/>
      <c r="F31" s="16"/>
      <c r="G31" s="16"/>
    </row>
    <row r="32" customFormat="false" ht="27.75" hidden="false" customHeight="true" outlineLevel="0" collapsed="false">
      <c r="B32" s="82" t="s">
        <v>893</v>
      </c>
      <c r="C32" s="82" t="s">
        <v>894</v>
      </c>
      <c r="D32" s="82" t="s">
        <v>895</v>
      </c>
      <c r="E32" s="82" t="s">
        <v>896</v>
      </c>
      <c r="F32" s="82" t="s">
        <v>897</v>
      </c>
    </row>
    <row r="33" customFormat="false" ht="15" hidden="false" customHeight="true" outlineLevel="0" collapsed="false">
      <c r="B33" s="83" t="n">
        <v>1</v>
      </c>
      <c r="C33" s="84" t="str">
        <f aca="false">IF(Need_1&lt;&gt;"","",Yearly_Withdrawal)</f>
        <v/>
      </c>
      <c r="D33" s="84" t="str">
        <f aca="false">IF(Need_1&lt;&gt;"","",Used_Retirement_Savings)</f>
        <v/>
      </c>
      <c r="E33" s="83" t="str">
        <f aca="false">IF(Need_1&lt;&gt;"","",IF(Withdrawal_Timing="Start of year",IF(D33&gt;=C33,1,0),IF(D33*(1+Growth_Rate)&gt;=C33,1,0)))</f>
        <v/>
      </c>
      <c r="F33" s="84" t="str">
        <f aca="false">IF(Need_1&lt;&gt;"","",IF(E33=1,IF(Withdrawal_Timing="Start of year",(D33-C33)*(1+Growth_Rate),D33*(1+Growth_Rate)-C33),0))</f>
        <v/>
      </c>
    </row>
    <row r="34" customFormat="false" ht="15" hidden="false" customHeight="true" outlineLevel="0" collapsed="false">
      <c r="B34" s="83" t="n">
        <v>2</v>
      </c>
      <c r="C34" s="84" t="str">
        <f aca="false">IF(Need_1&lt;&gt;"","",C33*(1+Inflation_Choice))</f>
        <v/>
      </c>
      <c r="D34" s="84" t="str">
        <f aca="false">IF(Need_1&lt;&gt;"","",F33)</f>
        <v/>
      </c>
      <c r="E34" s="83" t="str">
        <f aca="false">IF(Need_1&lt;&gt;"","",IF(Withdrawal_Timing="Start of year",IF(D34&gt;=C34,1,0),IF(D34*(1+Growth_Rate)&gt;=C34,1,0)))</f>
        <v/>
      </c>
      <c r="F34" s="84" t="str">
        <f aca="false">IF(Need_1&lt;&gt;"","",IF(E34=1,IF(Withdrawal_Timing="Start of year",(D34-C34)*(1+Growth_Rate),D34*(1+Growth_Rate)-C34),0))</f>
        <v/>
      </c>
    </row>
    <row r="35" customFormat="false" ht="15" hidden="false" customHeight="true" outlineLevel="0" collapsed="false">
      <c r="B35" s="83" t="n">
        <v>3</v>
      </c>
      <c r="C35" s="84" t="str">
        <f aca="false">IF(Need_1&lt;&gt;"","",C34*(1+Inflation_Choice))</f>
        <v/>
      </c>
      <c r="D35" s="84" t="str">
        <f aca="false">IF(Need_1&lt;&gt;"","",F34)</f>
        <v/>
      </c>
      <c r="E35" s="83" t="str">
        <f aca="false">IF(Need_1&lt;&gt;"","",IF(Withdrawal_Timing="Start of year",IF(D35&gt;=C35,1,0),IF(D35*(1+Growth_Rate)&gt;=C35,1,0)))</f>
        <v/>
      </c>
      <c r="F35" s="84" t="str">
        <f aca="false">IF(Need_1&lt;&gt;"","",IF(E35=1,IF(Withdrawal_Timing="Start of year",(D35-C35)*(1+Growth_Rate),D35*(1+Growth_Rate)-C35),0))</f>
        <v/>
      </c>
    </row>
    <row r="36" customFormat="false" ht="15" hidden="false" customHeight="true" outlineLevel="0" collapsed="false">
      <c r="B36" s="83" t="n">
        <v>4</v>
      </c>
      <c r="C36" s="84" t="str">
        <f aca="false">IF(Need_1&lt;&gt;"","",C35*(1+Inflation_Choice))</f>
        <v/>
      </c>
      <c r="D36" s="84" t="str">
        <f aca="false">IF(Need_1&lt;&gt;"","",F35)</f>
        <v/>
      </c>
      <c r="E36" s="83" t="str">
        <f aca="false">IF(Need_1&lt;&gt;"","",IF(Withdrawal_Timing="Start of year",IF(D36&gt;=C36,1,0),IF(D36*(1+Growth_Rate)&gt;=C36,1,0)))</f>
        <v/>
      </c>
      <c r="F36" s="84" t="str">
        <f aca="false">IF(Need_1&lt;&gt;"","",IF(E36=1,IF(Withdrawal_Timing="Start of year",(D36-C36)*(1+Growth_Rate),D36*(1+Growth_Rate)-C36),0))</f>
        <v/>
      </c>
    </row>
    <row r="37" customFormat="false" ht="15" hidden="false" customHeight="true" outlineLevel="0" collapsed="false">
      <c r="B37" s="83" t="n">
        <v>5</v>
      </c>
      <c r="C37" s="84" t="str">
        <f aca="false">IF(Need_1&lt;&gt;"","",C36*(1+Inflation_Choice))</f>
        <v/>
      </c>
      <c r="D37" s="84" t="str">
        <f aca="false">IF(Need_1&lt;&gt;"","",F36)</f>
        <v/>
      </c>
      <c r="E37" s="83" t="str">
        <f aca="false">IF(Need_1&lt;&gt;"","",IF(Withdrawal_Timing="Start of year",IF(D37&gt;=C37,1,0),IF(D37*(1+Growth_Rate)&gt;=C37,1,0)))</f>
        <v/>
      </c>
      <c r="F37" s="84" t="str">
        <f aca="false">IF(Need_1&lt;&gt;"","",IF(E37=1,IF(Withdrawal_Timing="Start of year",(D37-C37)*(1+Growth_Rate),D37*(1+Growth_Rate)-C37),0))</f>
        <v/>
      </c>
    </row>
    <row r="38" customFormat="false" ht="15" hidden="false" customHeight="true" outlineLevel="0" collapsed="false">
      <c r="B38" s="83" t="n">
        <v>6</v>
      </c>
      <c r="C38" s="84" t="str">
        <f aca="false">IF(Need_1&lt;&gt;"","",C37*(1+Inflation_Choice))</f>
        <v/>
      </c>
      <c r="D38" s="84" t="str">
        <f aca="false">IF(Need_1&lt;&gt;"","",F37)</f>
        <v/>
      </c>
      <c r="E38" s="83" t="str">
        <f aca="false">IF(Need_1&lt;&gt;"","",IF(Withdrawal_Timing="Start of year",IF(D38&gt;=C38,1,0),IF(D38*(1+Growth_Rate)&gt;=C38,1,0)))</f>
        <v/>
      </c>
      <c r="F38" s="84" t="str">
        <f aca="false">IF(Need_1&lt;&gt;"","",IF(E38=1,IF(Withdrawal_Timing="Start of year",(D38-C38)*(1+Growth_Rate),D38*(1+Growth_Rate)-C38),0))</f>
        <v/>
      </c>
    </row>
    <row r="39" customFormat="false" ht="15" hidden="false" customHeight="true" outlineLevel="0" collapsed="false">
      <c r="B39" s="83" t="n">
        <v>7</v>
      </c>
      <c r="C39" s="84" t="str">
        <f aca="false">IF(Need_1&lt;&gt;"","",C38*(1+Inflation_Choice))</f>
        <v/>
      </c>
      <c r="D39" s="84" t="str">
        <f aca="false">IF(Need_1&lt;&gt;"","",F38)</f>
        <v/>
      </c>
      <c r="E39" s="83" t="str">
        <f aca="false">IF(Need_1&lt;&gt;"","",IF(Withdrawal_Timing="Start of year",IF(D39&gt;=C39,1,0),IF(D39*(1+Growth_Rate)&gt;=C39,1,0)))</f>
        <v/>
      </c>
      <c r="F39" s="84" t="str">
        <f aca="false">IF(Need_1&lt;&gt;"","",IF(E39=1,IF(Withdrawal_Timing="Start of year",(D39-C39)*(1+Growth_Rate),D39*(1+Growth_Rate)-C39),0))</f>
        <v/>
      </c>
    </row>
    <row r="40" customFormat="false" ht="15" hidden="false" customHeight="true" outlineLevel="0" collapsed="false">
      <c r="B40" s="83" t="n">
        <v>8</v>
      </c>
      <c r="C40" s="84" t="str">
        <f aca="false">IF(Need_1&lt;&gt;"","",C39*(1+Inflation_Choice))</f>
        <v/>
      </c>
      <c r="D40" s="84" t="str">
        <f aca="false">IF(Need_1&lt;&gt;"","",F39)</f>
        <v/>
      </c>
      <c r="E40" s="83" t="str">
        <f aca="false">IF(Need_1&lt;&gt;"","",IF(Withdrawal_Timing="Start of year",IF(D40&gt;=C40,1,0),IF(D40*(1+Growth_Rate)&gt;=C40,1,0)))</f>
        <v/>
      </c>
      <c r="F40" s="84" t="str">
        <f aca="false">IF(Need_1&lt;&gt;"","",IF(E40=1,IF(Withdrawal_Timing="Start of year",(D40-C40)*(1+Growth_Rate),D40*(1+Growth_Rate)-C40),0))</f>
        <v/>
      </c>
    </row>
    <row r="41" customFormat="false" ht="15" hidden="false" customHeight="true" outlineLevel="0" collapsed="false">
      <c r="B41" s="83" t="n">
        <v>9</v>
      </c>
      <c r="C41" s="84" t="str">
        <f aca="false">IF(Need_1&lt;&gt;"","",C40*(1+Inflation_Choice))</f>
        <v/>
      </c>
      <c r="D41" s="84" t="str">
        <f aca="false">IF(Need_1&lt;&gt;"","",F40)</f>
        <v/>
      </c>
      <c r="E41" s="83" t="str">
        <f aca="false">IF(Need_1&lt;&gt;"","",IF(Withdrawal_Timing="Start of year",IF(D41&gt;=C41,1,0),IF(D41*(1+Growth_Rate)&gt;=C41,1,0)))</f>
        <v/>
      </c>
      <c r="F41" s="84" t="str">
        <f aca="false">IF(Need_1&lt;&gt;"","",IF(E41=1,IF(Withdrawal_Timing="Start of year",(D41-C41)*(1+Growth_Rate),D41*(1+Growth_Rate)-C41),0))</f>
        <v/>
      </c>
    </row>
    <row r="42" customFormat="false" ht="15" hidden="false" customHeight="true" outlineLevel="0" collapsed="false">
      <c r="B42" s="83" t="n">
        <v>10</v>
      </c>
      <c r="C42" s="84" t="str">
        <f aca="false">IF(Need_1&lt;&gt;"","",C41*(1+Inflation_Choice))</f>
        <v/>
      </c>
      <c r="D42" s="84" t="str">
        <f aca="false">IF(Need_1&lt;&gt;"","",F41)</f>
        <v/>
      </c>
      <c r="E42" s="83" t="str">
        <f aca="false">IF(Need_1&lt;&gt;"","",IF(Withdrawal_Timing="Start of year",IF(D42&gt;=C42,1,0),IF(D42*(1+Growth_Rate)&gt;=C42,1,0)))</f>
        <v/>
      </c>
      <c r="F42" s="84" t="str">
        <f aca="false">IF(Need_1&lt;&gt;"","",IF(E42=1,IF(Withdrawal_Timing="Start of year",(D42-C42)*(1+Growth_Rate),D42*(1+Growth_Rate)-C42),0))</f>
        <v/>
      </c>
    </row>
    <row r="43" customFormat="false" ht="15" hidden="false" customHeight="true" outlineLevel="0" collapsed="false">
      <c r="B43" s="83" t="n">
        <v>11</v>
      </c>
      <c r="C43" s="84" t="str">
        <f aca="false">IF(Need_1&lt;&gt;"","",C42*(1+Inflation_Choice))</f>
        <v/>
      </c>
      <c r="D43" s="84" t="str">
        <f aca="false">IF(Need_1&lt;&gt;"","",F42)</f>
        <v/>
      </c>
      <c r="E43" s="83" t="str">
        <f aca="false">IF(Need_1&lt;&gt;"","",IF(Withdrawal_Timing="Start of year",IF(D43&gt;=C43,1,0),IF(D43*(1+Growth_Rate)&gt;=C43,1,0)))</f>
        <v/>
      </c>
      <c r="F43" s="84" t="str">
        <f aca="false">IF(Need_1&lt;&gt;"","",IF(E43=1,IF(Withdrawal_Timing="Start of year",(D43-C43)*(1+Growth_Rate),D43*(1+Growth_Rate)-C43),0))</f>
        <v/>
      </c>
    </row>
    <row r="44" customFormat="false" ht="15" hidden="false" customHeight="true" outlineLevel="0" collapsed="false">
      <c r="B44" s="83" t="n">
        <v>12</v>
      </c>
      <c r="C44" s="84" t="str">
        <f aca="false">IF(Need_1&lt;&gt;"","",C43*(1+Inflation_Choice))</f>
        <v/>
      </c>
      <c r="D44" s="84" t="str">
        <f aca="false">IF(Need_1&lt;&gt;"","",F43)</f>
        <v/>
      </c>
      <c r="E44" s="83" t="str">
        <f aca="false">IF(Need_1&lt;&gt;"","",IF(Withdrawal_Timing="Start of year",IF(D44&gt;=C44,1,0),IF(D44*(1+Growth_Rate)&gt;=C44,1,0)))</f>
        <v/>
      </c>
      <c r="F44" s="84" t="str">
        <f aca="false">IF(Need_1&lt;&gt;"","",IF(E44=1,IF(Withdrawal_Timing="Start of year",(D44-C44)*(1+Growth_Rate),D44*(1+Growth_Rate)-C44),0))</f>
        <v/>
      </c>
    </row>
    <row r="45" customFormat="false" ht="15" hidden="false" customHeight="true" outlineLevel="0" collapsed="false">
      <c r="B45" s="83" t="n">
        <v>13</v>
      </c>
      <c r="C45" s="84" t="str">
        <f aca="false">IF(Need_1&lt;&gt;"","",C44*(1+Inflation_Choice))</f>
        <v/>
      </c>
      <c r="D45" s="84" t="str">
        <f aca="false">IF(Need_1&lt;&gt;"","",F44)</f>
        <v/>
      </c>
      <c r="E45" s="83" t="str">
        <f aca="false">IF(Need_1&lt;&gt;"","",IF(Withdrawal_Timing="Start of year",IF(D45&gt;=C45,1,0),IF(D45*(1+Growth_Rate)&gt;=C45,1,0)))</f>
        <v/>
      </c>
      <c r="F45" s="84" t="str">
        <f aca="false">IF(Need_1&lt;&gt;"","",IF(E45=1,IF(Withdrawal_Timing="Start of year",(D45-C45)*(1+Growth_Rate),D45*(1+Growth_Rate)-C45),0))</f>
        <v/>
      </c>
    </row>
    <row r="46" customFormat="false" ht="15" hidden="false" customHeight="true" outlineLevel="0" collapsed="false">
      <c r="B46" s="83" t="n">
        <v>14</v>
      </c>
      <c r="C46" s="84" t="str">
        <f aca="false">IF(Need_1&lt;&gt;"","",C45*(1+Inflation_Choice))</f>
        <v/>
      </c>
      <c r="D46" s="84" t="str">
        <f aca="false">IF(Need_1&lt;&gt;"","",F45)</f>
        <v/>
      </c>
      <c r="E46" s="83" t="str">
        <f aca="false">IF(Need_1&lt;&gt;"","",IF(Withdrawal_Timing="Start of year",IF(D46&gt;=C46,1,0),IF(D46*(1+Growth_Rate)&gt;=C46,1,0)))</f>
        <v/>
      </c>
      <c r="F46" s="84" t="str">
        <f aca="false">IF(Need_1&lt;&gt;"","",IF(E46=1,IF(Withdrawal_Timing="Start of year",(D46-C46)*(1+Growth_Rate),D46*(1+Growth_Rate)-C46),0))</f>
        <v/>
      </c>
    </row>
    <row r="47" customFormat="false" ht="15" hidden="false" customHeight="true" outlineLevel="0" collapsed="false">
      <c r="B47" s="83" t="n">
        <v>15</v>
      </c>
      <c r="C47" s="84" t="str">
        <f aca="false">IF(Need_1&lt;&gt;"","",C46*(1+Inflation_Choice))</f>
        <v/>
      </c>
      <c r="D47" s="84" t="str">
        <f aca="false">IF(Need_1&lt;&gt;"","",F46)</f>
        <v/>
      </c>
      <c r="E47" s="83" t="str">
        <f aca="false">IF(Need_1&lt;&gt;"","",IF(Withdrawal_Timing="Start of year",IF(D47&gt;=C47,1,0),IF(D47*(1+Growth_Rate)&gt;=C47,1,0)))</f>
        <v/>
      </c>
      <c r="F47" s="84" t="str">
        <f aca="false">IF(Need_1&lt;&gt;"","",IF(E47=1,IF(Withdrawal_Timing="Start of year",(D47-C47)*(1+Growth_Rate),D47*(1+Growth_Rate)-C47),0))</f>
        <v/>
      </c>
    </row>
    <row r="48" customFormat="false" ht="15" hidden="false" customHeight="true" outlineLevel="0" collapsed="false">
      <c r="B48" s="83" t="n">
        <v>16</v>
      </c>
      <c r="C48" s="84" t="str">
        <f aca="false">IF(Need_1&lt;&gt;"","",C47*(1+Inflation_Choice))</f>
        <v/>
      </c>
      <c r="D48" s="84" t="str">
        <f aca="false">IF(Need_1&lt;&gt;"","",F47)</f>
        <v/>
      </c>
      <c r="E48" s="83" t="str">
        <f aca="false">IF(Need_1&lt;&gt;"","",IF(Withdrawal_Timing="Start of year",IF(D48&gt;=C48,1,0),IF(D48*(1+Growth_Rate)&gt;=C48,1,0)))</f>
        <v/>
      </c>
      <c r="F48" s="84" t="str">
        <f aca="false">IF(Need_1&lt;&gt;"","",IF(E48=1,IF(Withdrawal_Timing="Start of year",(D48-C48)*(1+Growth_Rate),D48*(1+Growth_Rate)-C48),0))</f>
        <v/>
      </c>
    </row>
    <row r="49" customFormat="false" ht="15" hidden="false" customHeight="true" outlineLevel="0" collapsed="false">
      <c r="B49" s="83" t="n">
        <v>17</v>
      </c>
      <c r="C49" s="84" t="str">
        <f aca="false">IF(Need_1&lt;&gt;"","",C48*(1+Inflation_Choice))</f>
        <v/>
      </c>
      <c r="D49" s="84" t="str">
        <f aca="false">IF(Need_1&lt;&gt;"","",F48)</f>
        <v/>
      </c>
      <c r="E49" s="83" t="str">
        <f aca="false">IF(Need_1&lt;&gt;"","",IF(Withdrawal_Timing="Start of year",IF(D49&gt;=C49,1,0),IF(D49*(1+Growth_Rate)&gt;=C49,1,0)))</f>
        <v/>
      </c>
      <c r="F49" s="84" t="str">
        <f aca="false">IF(Need_1&lt;&gt;"","",IF(E49=1,IF(Withdrawal_Timing="Start of year",(D49-C49)*(1+Growth_Rate),D49*(1+Growth_Rate)-C49),0))</f>
        <v/>
      </c>
    </row>
    <row r="50" customFormat="false" ht="15" hidden="false" customHeight="true" outlineLevel="0" collapsed="false">
      <c r="B50" s="83" t="n">
        <v>18</v>
      </c>
      <c r="C50" s="84" t="str">
        <f aca="false">IF(Need_1&lt;&gt;"","",C49*(1+Inflation_Choice))</f>
        <v/>
      </c>
      <c r="D50" s="84" t="str">
        <f aca="false">IF(Need_1&lt;&gt;"","",F49)</f>
        <v/>
      </c>
      <c r="E50" s="83" t="str">
        <f aca="false">IF(Need_1&lt;&gt;"","",IF(Withdrawal_Timing="Start of year",IF(D50&gt;=C50,1,0),IF(D50*(1+Growth_Rate)&gt;=C50,1,0)))</f>
        <v/>
      </c>
      <c r="F50" s="84" t="str">
        <f aca="false">IF(Need_1&lt;&gt;"","",IF(E50=1,IF(Withdrawal_Timing="Start of year",(D50-C50)*(1+Growth_Rate),D50*(1+Growth_Rate)-C50),0))</f>
        <v/>
      </c>
    </row>
    <row r="51" customFormat="false" ht="15" hidden="false" customHeight="true" outlineLevel="0" collapsed="false">
      <c r="B51" s="83" t="n">
        <v>19</v>
      </c>
      <c r="C51" s="84" t="str">
        <f aca="false">IF(Need_1&lt;&gt;"","",C50*(1+Inflation_Choice))</f>
        <v/>
      </c>
      <c r="D51" s="84" t="str">
        <f aca="false">IF(Need_1&lt;&gt;"","",F50)</f>
        <v/>
      </c>
      <c r="E51" s="83" t="str">
        <f aca="false">IF(Need_1&lt;&gt;"","",IF(Withdrawal_Timing="Start of year",IF(D51&gt;=C51,1,0),IF(D51*(1+Growth_Rate)&gt;=C51,1,0)))</f>
        <v/>
      </c>
      <c r="F51" s="84" t="str">
        <f aca="false">IF(Need_1&lt;&gt;"","",IF(E51=1,IF(Withdrawal_Timing="Start of year",(D51-C51)*(1+Growth_Rate),D51*(1+Growth_Rate)-C51),0))</f>
        <v/>
      </c>
    </row>
    <row r="52" customFormat="false" ht="15" hidden="false" customHeight="true" outlineLevel="0" collapsed="false">
      <c r="B52" s="83" t="n">
        <v>20</v>
      </c>
      <c r="C52" s="84" t="str">
        <f aca="false">IF(Need_1&lt;&gt;"","",C51*(1+Inflation_Choice))</f>
        <v/>
      </c>
      <c r="D52" s="84" t="str">
        <f aca="false">IF(Need_1&lt;&gt;"","",F51)</f>
        <v/>
      </c>
      <c r="E52" s="83" t="str">
        <f aca="false">IF(Need_1&lt;&gt;"","",IF(Withdrawal_Timing="Start of year",IF(D52&gt;=C52,1,0),IF(D52*(1+Growth_Rate)&gt;=C52,1,0)))</f>
        <v/>
      </c>
      <c r="F52" s="84" t="str">
        <f aca="false">IF(Need_1&lt;&gt;"","",IF(E52=1,IF(Withdrawal_Timing="Start of year",(D52-C52)*(1+Growth_Rate),D52*(1+Growth_Rate)-C52),0))</f>
        <v/>
      </c>
    </row>
    <row r="53" customFormat="false" ht="15" hidden="false" customHeight="true" outlineLevel="0" collapsed="false">
      <c r="B53" s="83" t="n">
        <v>21</v>
      </c>
      <c r="C53" s="84" t="str">
        <f aca="false">IF(Need_1&lt;&gt;"","",C52*(1+Inflation_Choice))</f>
        <v/>
      </c>
      <c r="D53" s="84" t="str">
        <f aca="false">IF(Need_1&lt;&gt;"","",F52)</f>
        <v/>
      </c>
      <c r="E53" s="83" t="str">
        <f aca="false">IF(Need_1&lt;&gt;"","",IF(Withdrawal_Timing="Start of year",IF(D53&gt;=C53,1,0),IF(D53*(1+Growth_Rate)&gt;=C53,1,0)))</f>
        <v/>
      </c>
      <c r="F53" s="84" t="str">
        <f aca="false">IF(Need_1&lt;&gt;"","",IF(E53=1,IF(Withdrawal_Timing="Start of year",(D53-C53)*(1+Growth_Rate),D53*(1+Growth_Rate)-C53),0))</f>
        <v/>
      </c>
    </row>
    <row r="54" customFormat="false" ht="15" hidden="false" customHeight="true" outlineLevel="0" collapsed="false">
      <c r="B54" s="83" t="n">
        <v>22</v>
      </c>
      <c r="C54" s="84" t="str">
        <f aca="false">IF(Need_1&lt;&gt;"","",C53*(1+Inflation_Choice))</f>
        <v/>
      </c>
      <c r="D54" s="84" t="str">
        <f aca="false">IF(Need_1&lt;&gt;"","",F53)</f>
        <v/>
      </c>
      <c r="E54" s="83" t="str">
        <f aca="false">IF(Need_1&lt;&gt;"","",IF(Withdrawal_Timing="Start of year",IF(D54&gt;=C54,1,0),IF(D54*(1+Growth_Rate)&gt;=C54,1,0)))</f>
        <v/>
      </c>
      <c r="F54" s="84" t="str">
        <f aca="false">IF(Need_1&lt;&gt;"","",IF(E54=1,IF(Withdrawal_Timing="Start of year",(D54-C54)*(1+Growth_Rate),D54*(1+Growth_Rate)-C54),0))</f>
        <v/>
      </c>
    </row>
    <row r="55" customFormat="false" ht="15" hidden="false" customHeight="true" outlineLevel="0" collapsed="false">
      <c r="B55" s="83" t="n">
        <v>23</v>
      </c>
      <c r="C55" s="84" t="str">
        <f aca="false">IF(Need_1&lt;&gt;"","",C54*(1+Inflation_Choice))</f>
        <v/>
      </c>
      <c r="D55" s="84" t="str">
        <f aca="false">IF(Need_1&lt;&gt;"","",F54)</f>
        <v/>
      </c>
      <c r="E55" s="83" t="str">
        <f aca="false">IF(Need_1&lt;&gt;"","",IF(Withdrawal_Timing="Start of year",IF(D55&gt;=C55,1,0),IF(D55*(1+Growth_Rate)&gt;=C55,1,0)))</f>
        <v/>
      </c>
      <c r="F55" s="84" t="str">
        <f aca="false">IF(Need_1&lt;&gt;"","",IF(E55=1,IF(Withdrawal_Timing="Start of year",(D55-C55)*(1+Growth_Rate),D55*(1+Growth_Rate)-C55),0))</f>
        <v/>
      </c>
    </row>
    <row r="56" customFormat="false" ht="15" hidden="false" customHeight="true" outlineLevel="0" collapsed="false">
      <c r="B56" s="83" t="n">
        <v>24</v>
      </c>
      <c r="C56" s="84" t="str">
        <f aca="false">IF(Need_1&lt;&gt;"","",C55*(1+Inflation_Choice))</f>
        <v/>
      </c>
      <c r="D56" s="84" t="str">
        <f aca="false">IF(Need_1&lt;&gt;"","",F55)</f>
        <v/>
      </c>
      <c r="E56" s="83" t="str">
        <f aca="false">IF(Need_1&lt;&gt;"","",IF(Withdrawal_Timing="Start of year",IF(D56&gt;=C56,1,0),IF(D56*(1+Growth_Rate)&gt;=C56,1,0)))</f>
        <v/>
      </c>
      <c r="F56" s="84" t="str">
        <f aca="false">IF(Need_1&lt;&gt;"","",IF(E56=1,IF(Withdrawal_Timing="Start of year",(D56-C56)*(1+Growth_Rate),D56*(1+Growth_Rate)-C56),0))</f>
        <v/>
      </c>
    </row>
    <row r="57" customFormat="false" ht="15" hidden="false" customHeight="true" outlineLevel="0" collapsed="false">
      <c r="B57" s="83" t="n">
        <v>25</v>
      </c>
      <c r="C57" s="84" t="str">
        <f aca="false">IF(Need_1&lt;&gt;"","",C56*(1+Inflation_Choice))</f>
        <v/>
      </c>
      <c r="D57" s="84" t="str">
        <f aca="false">IF(Need_1&lt;&gt;"","",F56)</f>
        <v/>
      </c>
      <c r="E57" s="83" t="str">
        <f aca="false">IF(Need_1&lt;&gt;"","",IF(Withdrawal_Timing="Start of year",IF(D57&gt;=C57,1,0),IF(D57*(1+Growth_Rate)&gt;=C57,1,0)))</f>
        <v/>
      </c>
      <c r="F57" s="84" t="str">
        <f aca="false">IF(Need_1&lt;&gt;"","",IF(E57=1,IF(Withdrawal_Timing="Start of year",(D57-C57)*(1+Growth_Rate),D57*(1+Growth_Rate)-C57),0))</f>
        <v/>
      </c>
    </row>
    <row r="58" customFormat="false" ht="15" hidden="false" customHeight="true" outlineLevel="0" collapsed="false">
      <c r="B58" s="83" t="n">
        <v>26</v>
      </c>
      <c r="C58" s="84" t="str">
        <f aca="false">IF(Need_1&lt;&gt;"","",C57*(1+Inflation_Choice))</f>
        <v/>
      </c>
      <c r="D58" s="84" t="str">
        <f aca="false">IF(Need_1&lt;&gt;"","",F57)</f>
        <v/>
      </c>
      <c r="E58" s="83" t="str">
        <f aca="false">IF(Need_1&lt;&gt;"","",IF(Withdrawal_Timing="Start of year",IF(D58&gt;=C58,1,0),IF(D58*(1+Growth_Rate)&gt;=C58,1,0)))</f>
        <v/>
      </c>
      <c r="F58" s="84" t="str">
        <f aca="false">IF(Need_1&lt;&gt;"","",IF(E58=1,IF(Withdrawal_Timing="Start of year",(D58-C58)*(1+Growth_Rate),D58*(1+Growth_Rate)-C58),0))</f>
        <v/>
      </c>
    </row>
    <row r="59" customFormat="false" ht="15" hidden="false" customHeight="true" outlineLevel="0" collapsed="false">
      <c r="B59" s="83" t="n">
        <v>27</v>
      </c>
      <c r="C59" s="84" t="str">
        <f aca="false">IF(Need_1&lt;&gt;"","",C58*(1+Inflation_Choice))</f>
        <v/>
      </c>
      <c r="D59" s="84" t="str">
        <f aca="false">IF(Need_1&lt;&gt;"","",F58)</f>
        <v/>
      </c>
      <c r="E59" s="83" t="str">
        <f aca="false">IF(Need_1&lt;&gt;"","",IF(Withdrawal_Timing="Start of year",IF(D59&gt;=C59,1,0),IF(D59*(1+Growth_Rate)&gt;=C59,1,0)))</f>
        <v/>
      </c>
      <c r="F59" s="84" t="str">
        <f aca="false">IF(Need_1&lt;&gt;"","",IF(E59=1,IF(Withdrawal_Timing="Start of year",(D59-C59)*(1+Growth_Rate),D59*(1+Growth_Rate)-C59),0))</f>
        <v/>
      </c>
    </row>
    <row r="60" customFormat="false" ht="15" hidden="false" customHeight="true" outlineLevel="0" collapsed="false">
      <c r="B60" s="83" t="n">
        <v>28</v>
      </c>
      <c r="C60" s="84" t="str">
        <f aca="false">IF(Need_1&lt;&gt;"","",C59*(1+Inflation_Choice))</f>
        <v/>
      </c>
      <c r="D60" s="84" t="str">
        <f aca="false">IF(Need_1&lt;&gt;"","",F59)</f>
        <v/>
      </c>
      <c r="E60" s="83" t="str">
        <f aca="false">IF(Need_1&lt;&gt;"","",IF(Withdrawal_Timing="Start of year",IF(D60&gt;=C60,1,0),IF(D60*(1+Growth_Rate)&gt;=C60,1,0)))</f>
        <v/>
      </c>
      <c r="F60" s="84" t="str">
        <f aca="false">IF(Need_1&lt;&gt;"","",IF(E60=1,IF(Withdrawal_Timing="Start of year",(D60-C60)*(1+Growth_Rate),D60*(1+Growth_Rate)-C60),0))</f>
        <v/>
      </c>
    </row>
    <row r="61" customFormat="false" ht="15" hidden="false" customHeight="true" outlineLevel="0" collapsed="false">
      <c r="B61" s="83" t="n">
        <v>29</v>
      </c>
      <c r="C61" s="84" t="str">
        <f aca="false">IF(Need_1&lt;&gt;"","",C60*(1+Inflation_Choice))</f>
        <v/>
      </c>
      <c r="D61" s="84" t="str">
        <f aca="false">IF(Need_1&lt;&gt;"","",F60)</f>
        <v/>
      </c>
      <c r="E61" s="83" t="str">
        <f aca="false">IF(Need_1&lt;&gt;"","",IF(Withdrawal_Timing="Start of year",IF(D61&gt;=C61,1,0),IF(D61*(1+Growth_Rate)&gt;=C61,1,0)))</f>
        <v/>
      </c>
      <c r="F61" s="84" t="str">
        <f aca="false">IF(Need_1&lt;&gt;"","",IF(E61=1,IF(Withdrawal_Timing="Start of year",(D61-C61)*(1+Growth_Rate),D61*(1+Growth_Rate)-C61),0))</f>
        <v/>
      </c>
    </row>
    <row r="62" customFormat="false" ht="15" hidden="false" customHeight="true" outlineLevel="0" collapsed="false">
      <c r="B62" s="83" t="n">
        <v>30</v>
      </c>
      <c r="C62" s="84" t="str">
        <f aca="false">IF(Need_1&lt;&gt;"","",C61*(1+Inflation_Choice))</f>
        <v/>
      </c>
      <c r="D62" s="84" t="str">
        <f aca="false">IF(Need_1&lt;&gt;"","",F61)</f>
        <v/>
      </c>
      <c r="E62" s="83" t="str">
        <f aca="false">IF(Need_1&lt;&gt;"","",IF(Withdrawal_Timing="Start of year",IF(D62&gt;=C62,1,0),IF(D62*(1+Growth_Rate)&gt;=C62,1,0)))</f>
        <v/>
      </c>
      <c r="F62" s="84" t="str">
        <f aca="false">IF(Need_1&lt;&gt;"","",IF(E62=1,IF(Withdrawal_Timing="Start of year",(D62-C62)*(1+Growth_Rate),D62*(1+Growth_Rate)-C62),0))</f>
        <v/>
      </c>
    </row>
    <row r="63" customFormat="false" ht="15" hidden="false" customHeight="true" outlineLevel="0" collapsed="false">
      <c r="B63" s="83" t="n">
        <v>31</v>
      </c>
      <c r="C63" s="84" t="str">
        <f aca="false">IF(Need_1&lt;&gt;"","",C62*(1+Inflation_Choice))</f>
        <v/>
      </c>
      <c r="D63" s="84" t="str">
        <f aca="false">IF(Need_1&lt;&gt;"","",F62)</f>
        <v/>
      </c>
      <c r="E63" s="83" t="str">
        <f aca="false">IF(Need_1&lt;&gt;"","",IF(Withdrawal_Timing="Start of year",IF(D63&gt;=C63,1,0),IF(D63*(1+Growth_Rate)&gt;=C63,1,0)))</f>
        <v/>
      </c>
      <c r="F63" s="84" t="str">
        <f aca="false">IF(Need_1&lt;&gt;"","",IF(E63=1,IF(Withdrawal_Timing="Start of year",(D63-C63)*(1+Growth_Rate),D63*(1+Growth_Rate)-C63),0))</f>
        <v/>
      </c>
    </row>
    <row r="64" customFormat="false" ht="15" hidden="false" customHeight="true" outlineLevel="0" collapsed="false">
      <c r="B64" s="83" t="n">
        <v>32</v>
      </c>
      <c r="C64" s="84" t="str">
        <f aca="false">IF(Need_1&lt;&gt;"","",C63*(1+Inflation_Choice))</f>
        <v/>
      </c>
      <c r="D64" s="84" t="str">
        <f aca="false">IF(Need_1&lt;&gt;"","",F63)</f>
        <v/>
      </c>
      <c r="E64" s="83" t="str">
        <f aca="false">IF(Need_1&lt;&gt;"","",IF(Withdrawal_Timing="Start of year",IF(D64&gt;=C64,1,0),IF(D64*(1+Growth_Rate)&gt;=C64,1,0)))</f>
        <v/>
      </c>
      <c r="F64" s="84" t="str">
        <f aca="false">IF(Need_1&lt;&gt;"","",IF(E64=1,IF(Withdrawal_Timing="Start of year",(D64-C64)*(1+Growth_Rate),D64*(1+Growth_Rate)-C64),0))</f>
        <v/>
      </c>
    </row>
    <row r="65" customFormat="false" ht="15" hidden="false" customHeight="true" outlineLevel="0" collapsed="false">
      <c r="B65" s="83" t="n">
        <v>33</v>
      </c>
      <c r="C65" s="84" t="str">
        <f aca="false">IF(Need_1&lt;&gt;"","",C64*(1+Inflation_Choice))</f>
        <v/>
      </c>
      <c r="D65" s="84" t="str">
        <f aca="false">IF(Need_1&lt;&gt;"","",F64)</f>
        <v/>
      </c>
      <c r="E65" s="83" t="str">
        <f aca="false">IF(Need_1&lt;&gt;"","",IF(Withdrawal_Timing="Start of year",IF(D65&gt;=C65,1,0),IF(D65*(1+Growth_Rate)&gt;=C65,1,0)))</f>
        <v/>
      </c>
      <c r="F65" s="84" t="str">
        <f aca="false">IF(Need_1&lt;&gt;"","",IF(E65=1,IF(Withdrawal_Timing="Start of year",(D65-C65)*(1+Growth_Rate),D65*(1+Growth_Rate)-C65),0))</f>
        <v/>
      </c>
    </row>
    <row r="66" customFormat="false" ht="15" hidden="false" customHeight="true" outlineLevel="0" collapsed="false">
      <c r="B66" s="83" t="n">
        <v>34</v>
      </c>
      <c r="C66" s="84" t="str">
        <f aca="false">IF(Need_1&lt;&gt;"","",C65*(1+Inflation_Choice))</f>
        <v/>
      </c>
      <c r="D66" s="84" t="str">
        <f aca="false">IF(Need_1&lt;&gt;"","",F65)</f>
        <v/>
      </c>
      <c r="E66" s="83" t="str">
        <f aca="false">IF(Need_1&lt;&gt;"","",IF(Withdrawal_Timing="Start of year",IF(D66&gt;=C66,1,0),IF(D66*(1+Growth_Rate)&gt;=C66,1,0)))</f>
        <v/>
      </c>
      <c r="F66" s="84" t="str">
        <f aca="false">IF(Need_1&lt;&gt;"","",IF(E66=1,IF(Withdrawal_Timing="Start of year",(D66-C66)*(1+Growth_Rate),D66*(1+Growth_Rate)-C66),0))</f>
        <v/>
      </c>
    </row>
    <row r="67" customFormat="false" ht="15" hidden="false" customHeight="true" outlineLevel="0" collapsed="false">
      <c r="B67" s="83" t="n">
        <v>35</v>
      </c>
      <c r="C67" s="84" t="str">
        <f aca="false">IF(Need_1&lt;&gt;"","",C66*(1+Inflation_Choice))</f>
        <v/>
      </c>
      <c r="D67" s="84" t="str">
        <f aca="false">IF(Need_1&lt;&gt;"","",F66)</f>
        <v/>
      </c>
      <c r="E67" s="83" t="str">
        <f aca="false">IF(Need_1&lt;&gt;"","",IF(Withdrawal_Timing="Start of year",IF(D67&gt;=C67,1,0),IF(D67*(1+Growth_Rate)&gt;=C67,1,0)))</f>
        <v/>
      </c>
      <c r="F67" s="84" t="str">
        <f aca="false">IF(Need_1&lt;&gt;"","",IF(E67=1,IF(Withdrawal_Timing="Start of year",(D67-C67)*(1+Growth_Rate),D67*(1+Growth_Rate)-C67),0))</f>
        <v/>
      </c>
    </row>
    <row r="68" customFormat="false" ht="15" hidden="false" customHeight="true" outlineLevel="0" collapsed="false">
      <c r="B68" s="83" t="n">
        <v>36</v>
      </c>
      <c r="C68" s="84" t="str">
        <f aca="false">IF(Need_1&lt;&gt;"","",C67*(1+Inflation_Choice))</f>
        <v/>
      </c>
      <c r="D68" s="84" t="str">
        <f aca="false">IF(Need_1&lt;&gt;"","",F67)</f>
        <v/>
      </c>
      <c r="E68" s="83" t="str">
        <f aca="false">IF(Need_1&lt;&gt;"","",IF(Withdrawal_Timing="Start of year",IF(D68&gt;=C68,1,0),IF(D68*(1+Growth_Rate)&gt;=C68,1,0)))</f>
        <v/>
      </c>
      <c r="F68" s="84" t="str">
        <f aca="false">IF(Need_1&lt;&gt;"","",IF(E68=1,IF(Withdrawal_Timing="Start of year",(D68-C68)*(1+Growth_Rate),D68*(1+Growth_Rate)-C68),0))</f>
        <v/>
      </c>
    </row>
    <row r="69" customFormat="false" ht="15" hidden="false" customHeight="true" outlineLevel="0" collapsed="false">
      <c r="B69" s="83" t="n">
        <v>37</v>
      </c>
      <c r="C69" s="84" t="str">
        <f aca="false">IF(Need_1&lt;&gt;"","",C68*(1+Inflation_Choice))</f>
        <v/>
      </c>
      <c r="D69" s="84" t="str">
        <f aca="false">IF(Need_1&lt;&gt;"","",F68)</f>
        <v/>
      </c>
      <c r="E69" s="83" t="str">
        <f aca="false">IF(Need_1&lt;&gt;"","",IF(Withdrawal_Timing="Start of year",IF(D69&gt;=C69,1,0),IF(D69*(1+Growth_Rate)&gt;=C69,1,0)))</f>
        <v/>
      </c>
      <c r="F69" s="84" t="str">
        <f aca="false">IF(Need_1&lt;&gt;"","",IF(E69=1,IF(Withdrawal_Timing="Start of year",(D69-C69)*(1+Growth_Rate),D69*(1+Growth_Rate)-C69),0))</f>
        <v/>
      </c>
    </row>
    <row r="70" customFormat="false" ht="15" hidden="false" customHeight="true" outlineLevel="0" collapsed="false">
      <c r="B70" s="83" t="n">
        <v>38</v>
      </c>
      <c r="C70" s="84" t="str">
        <f aca="false">IF(Need_1&lt;&gt;"","",C69*(1+Inflation_Choice))</f>
        <v/>
      </c>
      <c r="D70" s="84" t="str">
        <f aca="false">IF(Need_1&lt;&gt;"","",F69)</f>
        <v/>
      </c>
      <c r="E70" s="83" t="str">
        <f aca="false">IF(Need_1&lt;&gt;"","",IF(Withdrawal_Timing="Start of year",IF(D70&gt;=C70,1,0),IF(D70*(1+Growth_Rate)&gt;=C70,1,0)))</f>
        <v/>
      </c>
      <c r="F70" s="84" t="str">
        <f aca="false">IF(Need_1&lt;&gt;"","",IF(E70=1,IF(Withdrawal_Timing="Start of year",(D70-C70)*(1+Growth_Rate),D70*(1+Growth_Rate)-C70),0))</f>
        <v/>
      </c>
    </row>
    <row r="71" customFormat="false" ht="15" hidden="false" customHeight="true" outlineLevel="0" collapsed="false">
      <c r="B71" s="83" t="n">
        <v>39</v>
      </c>
      <c r="C71" s="84" t="str">
        <f aca="false">IF(Need_1&lt;&gt;"","",C70*(1+Inflation_Choice))</f>
        <v/>
      </c>
      <c r="D71" s="84" t="str">
        <f aca="false">IF(Need_1&lt;&gt;"","",F70)</f>
        <v/>
      </c>
      <c r="E71" s="83" t="str">
        <f aca="false">IF(Need_1&lt;&gt;"","",IF(Withdrawal_Timing="Start of year",IF(D71&gt;=C71,1,0),IF(D71*(1+Growth_Rate)&gt;=C71,1,0)))</f>
        <v/>
      </c>
      <c r="F71" s="84" t="str">
        <f aca="false">IF(Need_1&lt;&gt;"","",IF(E71=1,IF(Withdrawal_Timing="Start of year",(D71-C71)*(1+Growth_Rate),D71*(1+Growth_Rate)-C71),0))</f>
        <v/>
      </c>
    </row>
    <row r="72" customFormat="false" ht="15" hidden="false" customHeight="true" outlineLevel="0" collapsed="false">
      <c r="B72" s="83" t="n">
        <v>40</v>
      </c>
      <c r="C72" s="84" t="str">
        <f aca="false">IF(Need_1&lt;&gt;"","",C71*(1+Inflation_Choice))</f>
        <v/>
      </c>
      <c r="D72" s="84" t="str">
        <f aca="false">IF(Need_1&lt;&gt;"","",F71)</f>
        <v/>
      </c>
      <c r="E72" s="83" t="str">
        <f aca="false">IF(Need_1&lt;&gt;"","",IF(Withdrawal_Timing="Start of year",IF(D72&gt;=C72,1,0),IF(D72*(1+Growth_Rate)&gt;=C72,1,0)))</f>
        <v/>
      </c>
      <c r="F72" s="84" t="str">
        <f aca="false">IF(Need_1&lt;&gt;"","",IF(E72=1,IF(Withdrawal_Timing="Start of year",(D72-C72)*(1+Growth_Rate),D72*(1+Growth_Rate)-C72),0))</f>
        <v/>
      </c>
    </row>
    <row r="73" customFormat="false" ht="15" hidden="false" customHeight="true" outlineLevel="0" collapsed="false">
      <c r="B73" s="83" t="n">
        <v>41</v>
      </c>
      <c r="C73" s="84" t="str">
        <f aca="false">IF(Need_1&lt;&gt;"","",C72*(1+Inflation_Choice))</f>
        <v/>
      </c>
      <c r="D73" s="84" t="str">
        <f aca="false">IF(Need_1&lt;&gt;"","",F72)</f>
        <v/>
      </c>
      <c r="E73" s="83" t="str">
        <f aca="false">IF(Need_1&lt;&gt;"","",IF(Withdrawal_Timing="Start of year",IF(D73&gt;=C73,1,0),IF(D73*(1+Growth_Rate)&gt;=C73,1,0)))</f>
        <v/>
      </c>
      <c r="F73" s="84" t="str">
        <f aca="false">IF(Need_1&lt;&gt;"","",IF(E73=1,IF(Withdrawal_Timing="Start of year",(D73-C73)*(1+Growth_Rate),D73*(1+Growth_Rate)-C73),0))</f>
        <v/>
      </c>
    </row>
    <row r="74" customFormat="false" ht="15" hidden="false" customHeight="true" outlineLevel="0" collapsed="false">
      <c r="B74" s="83" t="n">
        <v>42</v>
      </c>
      <c r="C74" s="84" t="str">
        <f aca="false">IF(Need_1&lt;&gt;"","",C73*(1+Inflation_Choice))</f>
        <v/>
      </c>
      <c r="D74" s="84" t="str">
        <f aca="false">IF(Need_1&lt;&gt;"","",F73)</f>
        <v/>
      </c>
      <c r="E74" s="83" t="str">
        <f aca="false">IF(Need_1&lt;&gt;"","",IF(Withdrawal_Timing="Start of year",IF(D74&gt;=C74,1,0),IF(D74*(1+Growth_Rate)&gt;=C74,1,0)))</f>
        <v/>
      </c>
      <c r="F74" s="84" t="str">
        <f aca="false">IF(Need_1&lt;&gt;"","",IF(E74=1,IF(Withdrawal_Timing="Start of year",(D74-C74)*(1+Growth_Rate),D74*(1+Growth_Rate)-C74),0))</f>
        <v/>
      </c>
    </row>
    <row r="75" customFormat="false" ht="15" hidden="false" customHeight="true" outlineLevel="0" collapsed="false">
      <c r="B75" s="83" t="n">
        <v>43</v>
      </c>
      <c r="C75" s="84" t="str">
        <f aca="false">IF(Need_1&lt;&gt;"","",C74*(1+Inflation_Choice))</f>
        <v/>
      </c>
      <c r="D75" s="84" t="str">
        <f aca="false">IF(Need_1&lt;&gt;"","",F74)</f>
        <v/>
      </c>
      <c r="E75" s="83" t="str">
        <f aca="false">IF(Need_1&lt;&gt;"","",IF(Withdrawal_Timing="Start of year",IF(D75&gt;=C75,1,0),IF(D75*(1+Growth_Rate)&gt;=C75,1,0)))</f>
        <v/>
      </c>
      <c r="F75" s="84" t="str">
        <f aca="false">IF(Need_1&lt;&gt;"","",IF(E75=1,IF(Withdrawal_Timing="Start of year",(D75-C75)*(1+Growth_Rate),D75*(1+Growth_Rate)-C75),0))</f>
        <v/>
      </c>
    </row>
    <row r="76" customFormat="false" ht="15" hidden="false" customHeight="true" outlineLevel="0" collapsed="false">
      <c r="B76" s="83" t="n">
        <v>44</v>
      </c>
      <c r="C76" s="84" t="str">
        <f aca="false">IF(Need_1&lt;&gt;"","",C75*(1+Inflation_Choice))</f>
        <v/>
      </c>
      <c r="D76" s="84" t="str">
        <f aca="false">IF(Need_1&lt;&gt;"","",F75)</f>
        <v/>
      </c>
      <c r="E76" s="83" t="str">
        <f aca="false">IF(Need_1&lt;&gt;"","",IF(Withdrawal_Timing="Start of year",IF(D76&gt;=C76,1,0),IF(D76*(1+Growth_Rate)&gt;=C76,1,0)))</f>
        <v/>
      </c>
      <c r="F76" s="84" t="str">
        <f aca="false">IF(Need_1&lt;&gt;"","",IF(E76=1,IF(Withdrawal_Timing="Start of year",(D76-C76)*(1+Growth_Rate),D76*(1+Growth_Rate)-C76),0))</f>
        <v/>
      </c>
    </row>
    <row r="77" customFormat="false" ht="15" hidden="false" customHeight="true" outlineLevel="0" collapsed="false">
      <c r="B77" s="83" t="n">
        <v>45</v>
      </c>
      <c r="C77" s="84" t="str">
        <f aca="false">IF(Need_1&lt;&gt;"","",C76*(1+Inflation_Choice))</f>
        <v/>
      </c>
      <c r="D77" s="84" t="str">
        <f aca="false">IF(Need_1&lt;&gt;"","",F76)</f>
        <v/>
      </c>
      <c r="E77" s="83" t="str">
        <f aca="false">IF(Need_1&lt;&gt;"","",IF(Withdrawal_Timing="Start of year",IF(D77&gt;=C77,1,0),IF(D77*(1+Growth_Rate)&gt;=C77,1,0)))</f>
        <v/>
      </c>
      <c r="F77" s="84" t="str">
        <f aca="false">IF(Need_1&lt;&gt;"","",IF(E77=1,IF(Withdrawal_Timing="Start of year",(D77-C77)*(1+Growth_Rate),D77*(1+Growth_Rate)-C77),0))</f>
        <v/>
      </c>
    </row>
    <row r="78" customFormat="false" ht="15" hidden="false" customHeight="true" outlineLevel="0" collapsed="false">
      <c r="B78" s="83" t="n">
        <v>46</v>
      </c>
      <c r="C78" s="84" t="str">
        <f aca="false">IF(Need_1&lt;&gt;"","",C77*(1+Inflation_Choice))</f>
        <v/>
      </c>
      <c r="D78" s="84" t="str">
        <f aca="false">IF(Need_1&lt;&gt;"","",F77)</f>
        <v/>
      </c>
      <c r="E78" s="83" t="str">
        <f aca="false">IF(Need_1&lt;&gt;"","",IF(Withdrawal_Timing="Start of year",IF(D78&gt;=C78,1,0),IF(D78*(1+Growth_Rate)&gt;=C78,1,0)))</f>
        <v/>
      </c>
      <c r="F78" s="84" t="str">
        <f aca="false">IF(Need_1&lt;&gt;"","",IF(E78=1,IF(Withdrawal_Timing="Start of year",(D78-C78)*(1+Growth_Rate),D78*(1+Growth_Rate)-C78),0))</f>
        <v/>
      </c>
    </row>
    <row r="79" customFormat="false" ht="15" hidden="false" customHeight="true" outlineLevel="0" collapsed="false">
      <c r="B79" s="83" t="n">
        <v>47</v>
      </c>
      <c r="C79" s="84" t="str">
        <f aca="false">IF(Need_1&lt;&gt;"","",C78*(1+Inflation_Choice))</f>
        <v/>
      </c>
      <c r="D79" s="84" t="str">
        <f aca="false">IF(Need_1&lt;&gt;"","",F78)</f>
        <v/>
      </c>
      <c r="E79" s="83" t="str">
        <f aca="false">IF(Need_1&lt;&gt;"","",IF(Withdrawal_Timing="Start of year",IF(D79&gt;=C79,1,0),IF(D79*(1+Growth_Rate)&gt;=C79,1,0)))</f>
        <v/>
      </c>
      <c r="F79" s="84" t="str">
        <f aca="false">IF(Need_1&lt;&gt;"","",IF(E79=1,IF(Withdrawal_Timing="Start of year",(D79-C79)*(1+Growth_Rate),D79*(1+Growth_Rate)-C79),0))</f>
        <v/>
      </c>
    </row>
    <row r="80" customFormat="false" ht="15" hidden="false" customHeight="true" outlineLevel="0" collapsed="false">
      <c r="B80" s="83" t="n">
        <v>48</v>
      </c>
      <c r="C80" s="84" t="str">
        <f aca="false">IF(Need_1&lt;&gt;"","",C79*(1+Inflation_Choice))</f>
        <v/>
      </c>
      <c r="D80" s="84" t="str">
        <f aca="false">IF(Need_1&lt;&gt;"","",F79)</f>
        <v/>
      </c>
      <c r="E80" s="83" t="str">
        <f aca="false">IF(Need_1&lt;&gt;"","",IF(Withdrawal_Timing="Start of year",IF(D80&gt;=C80,1,0),IF(D80*(1+Growth_Rate)&gt;=C80,1,0)))</f>
        <v/>
      </c>
      <c r="F80" s="84" t="str">
        <f aca="false">IF(Need_1&lt;&gt;"","",IF(E80=1,IF(Withdrawal_Timing="Start of year",(D80-C80)*(1+Growth_Rate),D80*(1+Growth_Rate)-C80),0))</f>
        <v/>
      </c>
    </row>
    <row r="81" customFormat="false" ht="15" hidden="false" customHeight="true" outlineLevel="0" collapsed="false">
      <c r="B81" s="83" t="n">
        <v>49</v>
      </c>
      <c r="C81" s="84" t="str">
        <f aca="false">IF(Need_1&lt;&gt;"","",C80*(1+Inflation_Choice))</f>
        <v/>
      </c>
      <c r="D81" s="84" t="str">
        <f aca="false">IF(Need_1&lt;&gt;"","",F80)</f>
        <v/>
      </c>
      <c r="E81" s="83" t="str">
        <f aca="false">IF(Need_1&lt;&gt;"","",IF(Withdrawal_Timing="Start of year",IF(D81&gt;=C81,1,0),IF(D81*(1+Growth_Rate)&gt;=C81,1,0)))</f>
        <v/>
      </c>
      <c r="F81" s="84" t="str">
        <f aca="false">IF(Need_1&lt;&gt;"","",IF(E81=1,IF(Withdrawal_Timing="Start of year",(D81-C81)*(1+Growth_Rate),D81*(1+Growth_Rate)-C81),0))</f>
        <v/>
      </c>
    </row>
    <row r="82" customFormat="false" ht="15" hidden="false" customHeight="true" outlineLevel="0" collapsed="false">
      <c r="B82" s="83" t="n">
        <v>50</v>
      </c>
      <c r="C82" s="84" t="str">
        <f aca="false">IF(Need_1&lt;&gt;"","",C81*(1+Inflation_Choice))</f>
        <v/>
      </c>
      <c r="D82" s="84" t="str">
        <f aca="false">IF(Need_1&lt;&gt;"","",F81)</f>
        <v/>
      </c>
      <c r="E82" s="83" t="str">
        <f aca="false">IF(Need_1&lt;&gt;"","",IF(Withdrawal_Timing="Start of year",IF(D82&gt;=C82,1,0),IF(D82*(1+Growth_Rate)&gt;=C82,1,0)))</f>
        <v/>
      </c>
      <c r="F82" s="84" t="str">
        <f aca="false">IF(Need_1&lt;&gt;"","",IF(E82=1,IF(Withdrawal_Timing="Start of year",(D82-C82)*(1+Growth_Rate),D82*(1+Growth_Rate)-C82),0))</f>
        <v/>
      </c>
    </row>
    <row r="83" customFormat="false" ht="15" hidden="false" customHeight="true" outlineLevel="0" collapsed="false">
      <c r="B83" s="83" t="n">
        <v>51</v>
      </c>
      <c r="C83" s="84" t="str">
        <f aca="false">IF(Need_1&lt;&gt;"","",C82*(1+Inflation_Choice))</f>
        <v/>
      </c>
      <c r="D83" s="84" t="str">
        <f aca="false">IF(Need_1&lt;&gt;"","",F82)</f>
        <v/>
      </c>
      <c r="E83" s="83" t="str">
        <f aca="false">IF(Need_1&lt;&gt;"","",IF(Withdrawal_Timing="Start of year",IF(D83&gt;=C83,1,0),IF(D83*(1+Growth_Rate)&gt;=C83,1,0)))</f>
        <v/>
      </c>
      <c r="F83" s="84" t="str">
        <f aca="false">IF(Need_1&lt;&gt;"","",IF(E83=1,IF(Withdrawal_Timing="Start of year",(D83-C83)*(1+Growth_Rate),D83*(1+Growth_Rate)-C83),0))</f>
        <v/>
      </c>
    </row>
    <row r="84" customFormat="false" ht="15" hidden="false" customHeight="true" outlineLevel="0" collapsed="false">
      <c r="B84" s="83" t="n">
        <v>52</v>
      </c>
      <c r="C84" s="84" t="str">
        <f aca="false">IF(Need_1&lt;&gt;"","",C83*(1+Inflation_Choice))</f>
        <v/>
      </c>
      <c r="D84" s="84" t="str">
        <f aca="false">IF(Need_1&lt;&gt;"","",F83)</f>
        <v/>
      </c>
      <c r="E84" s="83" t="str">
        <f aca="false">IF(Need_1&lt;&gt;"","",IF(Withdrawal_Timing="Start of year",IF(D84&gt;=C84,1,0),IF(D84*(1+Growth_Rate)&gt;=C84,1,0)))</f>
        <v/>
      </c>
      <c r="F84" s="84" t="str">
        <f aca="false">IF(Need_1&lt;&gt;"","",IF(E84=1,IF(Withdrawal_Timing="Start of year",(D84-C84)*(1+Growth_Rate),D84*(1+Growth_Rate)-C84),0))</f>
        <v/>
      </c>
    </row>
    <row r="85" customFormat="false" ht="15" hidden="false" customHeight="true" outlineLevel="0" collapsed="false">
      <c r="B85" s="83" t="n">
        <v>53</v>
      </c>
      <c r="C85" s="84" t="str">
        <f aca="false">IF(Need_1&lt;&gt;"","",C84*(1+Inflation_Choice))</f>
        <v/>
      </c>
      <c r="D85" s="84" t="str">
        <f aca="false">IF(Need_1&lt;&gt;"","",F84)</f>
        <v/>
      </c>
      <c r="E85" s="83" t="str">
        <f aca="false">IF(Need_1&lt;&gt;"","",IF(Withdrawal_Timing="Start of year",IF(D85&gt;=C85,1,0),IF(D85*(1+Growth_Rate)&gt;=C85,1,0)))</f>
        <v/>
      </c>
      <c r="F85" s="84" t="str">
        <f aca="false">IF(Need_1&lt;&gt;"","",IF(E85=1,IF(Withdrawal_Timing="Start of year",(D85-C85)*(1+Growth_Rate),D85*(1+Growth_Rate)-C85),0))</f>
        <v/>
      </c>
    </row>
    <row r="86" customFormat="false" ht="15" hidden="false" customHeight="true" outlineLevel="0" collapsed="false">
      <c r="B86" s="83" t="n">
        <v>54</v>
      </c>
      <c r="C86" s="84" t="str">
        <f aca="false">IF(Need_1&lt;&gt;"","",C85*(1+Inflation_Choice))</f>
        <v/>
      </c>
      <c r="D86" s="84" t="str">
        <f aca="false">IF(Need_1&lt;&gt;"","",F85)</f>
        <v/>
      </c>
      <c r="E86" s="83" t="str">
        <f aca="false">IF(Need_1&lt;&gt;"","",IF(Withdrawal_Timing="Start of year",IF(D86&gt;=C86,1,0),IF(D86*(1+Growth_Rate)&gt;=C86,1,0)))</f>
        <v/>
      </c>
      <c r="F86" s="84" t="str">
        <f aca="false">IF(Need_1&lt;&gt;"","",IF(E86=1,IF(Withdrawal_Timing="Start of year",(D86-C86)*(1+Growth_Rate),D86*(1+Growth_Rate)-C86),0))</f>
        <v/>
      </c>
    </row>
    <row r="87" customFormat="false" ht="15" hidden="false" customHeight="true" outlineLevel="0" collapsed="false">
      <c r="B87" s="83" t="n">
        <v>55</v>
      </c>
      <c r="C87" s="84" t="str">
        <f aca="false">IF(Need_1&lt;&gt;"","",C86*(1+Inflation_Choice))</f>
        <v/>
      </c>
      <c r="D87" s="84" t="str">
        <f aca="false">IF(Need_1&lt;&gt;"","",F86)</f>
        <v/>
      </c>
      <c r="E87" s="83" t="str">
        <f aca="false">IF(Need_1&lt;&gt;"","",IF(Withdrawal_Timing="Start of year",IF(D87&gt;=C87,1,0),IF(D87*(1+Growth_Rate)&gt;=C87,1,0)))</f>
        <v/>
      </c>
      <c r="F87" s="84" t="str">
        <f aca="false">IF(Need_1&lt;&gt;"","",IF(E87=1,IF(Withdrawal_Timing="Start of year",(D87-C87)*(1+Growth_Rate),D87*(1+Growth_Rate)-C87),0))</f>
        <v/>
      </c>
    </row>
    <row r="88" customFormat="false" ht="15" hidden="false" customHeight="true" outlineLevel="0" collapsed="false">
      <c r="B88" s="83" t="n">
        <v>56</v>
      </c>
      <c r="C88" s="84" t="str">
        <f aca="false">IF(Need_1&lt;&gt;"","",C87*(1+Inflation_Choice))</f>
        <v/>
      </c>
      <c r="D88" s="84" t="str">
        <f aca="false">IF(Need_1&lt;&gt;"","",F87)</f>
        <v/>
      </c>
      <c r="E88" s="83" t="str">
        <f aca="false">IF(Need_1&lt;&gt;"","",IF(Withdrawal_Timing="Start of year",IF(D88&gt;=C88,1,0),IF(D88*(1+Growth_Rate)&gt;=C88,1,0)))</f>
        <v/>
      </c>
      <c r="F88" s="84" t="str">
        <f aca="false">IF(Need_1&lt;&gt;"","",IF(E88=1,IF(Withdrawal_Timing="Start of year",(D88-C88)*(1+Growth_Rate),D88*(1+Growth_Rate)-C88),0))</f>
        <v/>
      </c>
    </row>
    <row r="89" customFormat="false" ht="15" hidden="false" customHeight="true" outlineLevel="0" collapsed="false">
      <c r="B89" s="83" t="n">
        <v>57</v>
      </c>
      <c r="C89" s="84" t="str">
        <f aca="false">IF(Need_1&lt;&gt;"","",C88*(1+Inflation_Choice))</f>
        <v/>
      </c>
      <c r="D89" s="84" t="str">
        <f aca="false">IF(Need_1&lt;&gt;"","",F88)</f>
        <v/>
      </c>
      <c r="E89" s="83" t="str">
        <f aca="false">IF(Need_1&lt;&gt;"","",IF(Withdrawal_Timing="Start of year",IF(D89&gt;=C89,1,0),IF(D89*(1+Growth_Rate)&gt;=C89,1,0)))</f>
        <v/>
      </c>
      <c r="F89" s="84" t="str">
        <f aca="false">IF(Need_1&lt;&gt;"","",IF(E89=1,IF(Withdrawal_Timing="Start of year",(D89-C89)*(1+Growth_Rate),D89*(1+Growth_Rate)-C89),0))</f>
        <v/>
      </c>
    </row>
    <row r="90" customFormat="false" ht="15" hidden="false" customHeight="true" outlineLevel="0" collapsed="false">
      <c r="B90" s="83" t="n">
        <v>58</v>
      </c>
      <c r="C90" s="84" t="str">
        <f aca="false">IF(Need_1&lt;&gt;"","",C89*(1+Inflation_Choice))</f>
        <v/>
      </c>
      <c r="D90" s="84" t="str">
        <f aca="false">IF(Need_1&lt;&gt;"","",F89)</f>
        <v/>
      </c>
      <c r="E90" s="83" t="str">
        <f aca="false">IF(Need_1&lt;&gt;"","",IF(Withdrawal_Timing="Start of year",IF(D90&gt;=C90,1,0),IF(D90*(1+Growth_Rate)&gt;=C90,1,0)))</f>
        <v/>
      </c>
      <c r="F90" s="84" t="str">
        <f aca="false">IF(Need_1&lt;&gt;"","",IF(E90=1,IF(Withdrawal_Timing="Start of year",(D90-C90)*(1+Growth_Rate),D90*(1+Growth_Rate)-C90),0))</f>
        <v/>
      </c>
    </row>
    <row r="91" customFormat="false" ht="15" hidden="false" customHeight="true" outlineLevel="0" collapsed="false">
      <c r="B91" s="83" t="n">
        <v>59</v>
      </c>
      <c r="C91" s="84" t="str">
        <f aca="false">IF(Need_1&lt;&gt;"","",C90*(1+Inflation_Choice))</f>
        <v/>
      </c>
      <c r="D91" s="84" t="str">
        <f aca="false">IF(Need_1&lt;&gt;"","",F90)</f>
        <v/>
      </c>
      <c r="E91" s="83" t="str">
        <f aca="false">IF(Need_1&lt;&gt;"","",IF(Withdrawal_Timing="Start of year",IF(D91&gt;=C91,1,0),IF(D91*(1+Growth_Rate)&gt;=C91,1,0)))</f>
        <v/>
      </c>
      <c r="F91" s="84" t="str">
        <f aca="false">IF(Need_1&lt;&gt;"","",IF(E91=1,IF(Withdrawal_Timing="Start of year",(D91-C91)*(1+Growth_Rate),D91*(1+Growth_Rate)-C91),0))</f>
        <v/>
      </c>
    </row>
    <row r="92" customFormat="false" ht="15" hidden="false" customHeight="true" outlineLevel="0" collapsed="false">
      <c r="B92" s="83" t="n">
        <v>60</v>
      </c>
      <c r="C92" s="84" t="str">
        <f aca="false">IF(Need_1&lt;&gt;"","",C91*(1+Inflation_Choice))</f>
        <v/>
      </c>
      <c r="D92" s="84" t="str">
        <f aca="false">IF(Need_1&lt;&gt;"","",F91)</f>
        <v/>
      </c>
      <c r="E92" s="83" t="str">
        <f aca="false">IF(Need_1&lt;&gt;"","",IF(Withdrawal_Timing="Start of year",IF(D92&gt;=C92,1,0),IF(D92*(1+Growth_Rate)&gt;=C92,1,0)))</f>
        <v/>
      </c>
      <c r="F92" s="84" t="str">
        <f aca="false">IF(Need_1&lt;&gt;"","",IF(E92=1,IF(Withdrawal_Timing="Start of year",(D92-C92)*(1+Growth_Rate),D92*(1+Growth_Rate)-C92),0))</f>
        <v/>
      </c>
    </row>
    <row r="95" customFormat="false" ht="15" hidden="false" customHeight="true" outlineLevel="0" collapsed="false">
      <c r="B95" s="15" t="s">
        <v>280</v>
      </c>
      <c r="C95" s="16"/>
      <c r="D95" s="16"/>
      <c r="E95" s="16"/>
      <c r="F95" s="16"/>
      <c r="G95" s="16"/>
    </row>
    <row r="96" customFormat="false" ht="27.75" hidden="false" customHeight="true" outlineLevel="0" collapsed="false">
      <c r="B96" s="50" t="s">
        <v>898</v>
      </c>
      <c r="C96" s="50"/>
      <c r="D96" s="50"/>
      <c r="E96" s="50"/>
    </row>
    <row r="97" customFormat="false" ht="13.5" hidden="false" customHeight="true" outlineLevel="0" collapsed="false">
      <c r="B97" s="50" t="s">
        <v>899</v>
      </c>
      <c r="C97" s="50"/>
      <c r="D97" s="50"/>
      <c r="E97" s="50"/>
    </row>
    <row r="98" customFormat="false" ht="13.5" hidden="false" customHeight="true" outlineLevel="0" collapsed="false">
      <c r="B98" s="51" t="s">
        <v>283</v>
      </c>
      <c r="C98" s="51"/>
      <c r="D98" s="51"/>
      <c r="E98" s="51"/>
    </row>
    <row r="99" customFormat="false" ht="13.5" hidden="false" customHeight="true" outlineLevel="0" collapsed="false">
      <c r="B99" s="50" t="s">
        <v>900</v>
      </c>
      <c r="C99" s="50"/>
      <c r="D99" s="50"/>
      <c r="E99" s="50"/>
    </row>
    <row r="100" customFormat="false" ht="13.5" hidden="false" customHeight="true" outlineLevel="0" collapsed="false">
      <c r="B100" s="50" t="s">
        <v>901</v>
      </c>
      <c r="C100" s="50"/>
      <c r="D100" s="50"/>
      <c r="E100" s="50"/>
    </row>
    <row r="101" customFormat="false" ht="13.5" hidden="false" customHeight="true" outlineLevel="0" collapsed="false">
      <c r="B101" s="50" t="s">
        <v>902</v>
      </c>
      <c r="C101" s="50"/>
      <c r="D101" s="50"/>
      <c r="E101" s="50"/>
    </row>
    <row r="103" customFormat="false" ht="15" hidden="false" customHeight="true" outlineLevel="0" collapsed="false">
      <c r="B103" s="15" t="s">
        <v>288</v>
      </c>
      <c r="C103" s="16"/>
      <c r="D103" s="16"/>
      <c r="E103" s="16"/>
      <c r="F103" s="16"/>
      <c r="G103" s="16"/>
    </row>
    <row r="104" customFormat="false" ht="15" hidden="false" customHeight="true" outlineLevel="0" collapsed="false">
      <c r="B104" s="9" t="s">
        <v>289</v>
      </c>
      <c r="C104" s="52" t="str">
        <f aca="false">"No goal"</f>
        <v>No goal</v>
      </c>
      <c r="E104" s="53" t="s">
        <v>475</v>
      </c>
    </row>
    <row r="106" customFormat="false" ht="15" hidden="false" customHeight="true" outlineLevel="0" collapsed="false">
      <c r="B106" s="15" t="s">
        <v>297</v>
      </c>
      <c r="C106" s="16"/>
      <c r="D106" s="16"/>
      <c r="E106" s="16"/>
      <c r="F106" s="16"/>
      <c r="G106" s="16"/>
    </row>
    <row r="107" customFormat="false" ht="15" hidden="false" customHeight="true" outlineLevel="0" collapsed="false">
      <c r="B107" s="56" t="s">
        <v>903</v>
      </c>
      <c r="C107" s="56" t="str">
        <f aca="false">IF(Yearly_Withdrawal="","Choose your yearly withdrawal to see this",IF(NOT(ISNUMBER(Used_Retirement_Savings)),IF(Used_Retirement_Savings="",IF(Retirement_Savings="","Choose your retirement savings to see this",""),Used_Retirement_Savings),IF(Age_At_Start="","Choose your age when withdrawals start to see this",IF(Plan_To_Age="","Choose your plan-until age to see this",IF(Inflation_Choice="","Choose your inflation rate to see this","")))))</f>
        <v>Choose your yearly withdrawal to see this</v>
      </c>
    </row>
    <row r="108" customFormat="false" ht="15" hidden="false" customHeight="true" outlineLevel="0" collapsed="false">
      <c r="B108" s="56" t="s">
        <v>904</v>
      </c>
      <c r="C108" s="56" t="str">
        <f aca="false">IF(Yearly_Withdrawal="","Choose your yearly withdrawal to see this",IF(NOT(ISNUMBER(Used_Retirement_Savings)),IF(Used_Retirement_Savings="",IF(Retirement_Savings="","Choose your retirement savings to see this",""),Used_Retirement_Savings),IF(Age_At_Start="","Choose your age when withdrawals start to see this",IF(Plan_To_Age="","Choose your plan-until age to see this",IF(Inflation_Choice="","Choose your inflation rate to see this","")))))</f>
        <v>Choose your yearly withdrawal to see this</v>
      </c>
    </row>
    <row r="109" customFormat="false" ht="15" hidden="false" customHeight="true" outlineLevel="0" collapsed="false">
      <c r="B109" s="56" t="s">
        <v>905</v>
      </c>
      <c r="C109" s="56" t="str">
        <f aca="false">IF(Yearly_Withdrawal="","Choose your yearly withdrawal to see this",IF(NOT(ISNUMBER(Used_Retirement_Savings)),IF(Used_Retirement_Savings="",IF(Retirement_Savings="","Choose your retirement savings to see this",""),Used_Retirement_Savings),IF(Age_At_Start="","Choose your age when withdrawals start to see this",IF(Plan_To_Age="","Choose your plan-until age to see this",""))))</f>
        <v>Choose your yearly withdrawal to see this</v>
      </c>
    </row>
  </sheetData>
  <mergeCells count="8">
    <mergeCell ref="B7:E7"/>
    <mergeCell ref="B10:E10"/>
    <mergeCell ref="B96:E96"/>
    <mergeCell ref="B97:E97"/>
    <mergeCell ref="B98:E98"/>
    <mergeCell ref="B99:E99"/>
    <mergeCell ref="B100:E100"/>
    <mergeCell ref="B101:E101"/>
  </mergeCells>
  <dataValidations count="10">
    <dataValidation allowBlank="true" error="Please enter a date (dd/mm/yyyy)." errorStyle="stop" errorTitle="Outside the allowed range" operator="greaterThan" prompt="Unit: date. Allowed: a date (dd/mm/yyyy)." promptTitle="Statement date" showDropDown="false" showErrorMessage="true" showInputMessage="true" sqref="C13" type="date">
      <formula1>36526</formula1>
      <formula2>0</formula2>
    </dataValidation>
    <dataValidation allowBlank="true" error="Please enter 0% to 10% · steps of 0.25%." errorStyle="stop" errorTitle="Outside the allowed range" operator="between" prompt="Generally the standard is 2% a year (ECB target); Ireland's prices are rising 3.9% now (CSO HICP flash, Sep 2026). Choose what you want to use.  Allowed: 0% to 10% · steps of 0.25%." promptTitle="Inflation you expect (your choic" showDropDown="false" showErrorMessage="true" showInputMessage="true" sqref="C6" type="decimal">
      <formula1>0</formula1>
      <formula2>0.1</formula2>
    </dataValidation>
    <dataValidation allowBlank="true" error="Please enter €0 to €50,000,000." errorStyle="stop" errorTitle="Outside the allowed range" operator="between" prompt="Unit: €. Allowed: €0 to €50,000,000." promptTitle="Fund value today" showDropDown="false" showErrorMessage="true" showInputMessage="true" sqref="C12" type="decimal">
      <formula1>0</formula1>
      <formula2>50000000</formula2>
    </dataValidation>
    <dataValidation allowBlank="true" error="Please enter €0 to €100,000,000." errorStyle="stop" errorTitle="Outside the allowed range" operator="between" prompt="Unit: €. Allowed: €0 to €100,000,000." promptTitle="Projected fund at retirement (if" showDropDown="false" showErrorMessage="true" showInputMessage="true" sqref="C11" type="decimal">
      <formula1>0</formula1>
      <formula2>100000000</formula2>
    </dataValidation>
    <dataValidation allowBlank="true" error="Please enter €10,000 to €30,000,000 · steps of €10,000." errorStyle="stop" errorTitle="Outside the allowed range" operator="between" prompt="Your own figure. In the app it is pre-filled from Plan: pension projected to retirement.  Allowed: €10,000 to €30,000,000 · steps of €10,000." promptTitle="Retirement savings" showDropDown="false" showErrorMessage="true" showInputMessage="true" sqref="C16" type="decimal">
      <formula1>10000</formula1>
      <formula2>30000000</formula2>
    </dataValidation>
    <dataValidation allowBlank="true" error="Please enter €1,000 to €2,000,000 · steps of €1,000." errorStyle="stop" errorTitle="Outside the allowed range" operator="between" prompt="Your own figure.  Allowed: €1,000 to €2,000,000 · steps of €1,000." promptTitle="Yearly withdrawal (first year)" showDropDown="false" showErrorMessage="true" showInputMessage="true" sqref="C17" type="decimal">
      <formula1>1000</formula1>
      <formula2>2000000</formula2>
    </dataValidation>
    <dataValidation allowBlank="true" error="Please enter 0% to 7% · steps of 0.05%." errorStyle="stop" errorTitle="Outside the allowed range" operator="between" prompt="Generally the standard is 3.15% a year after charges once retired (LifeMap Standard set; Cautious 2.8%). Choose what you want to use.  Allowed: 0% to 7% · steps of 0.05%." promptTitle="Growth assumption a year (once r" showDropDown="false" showErrorMessage="true" showInputMessage="true" sqref="C18" type="decimal">
      <formula1>0</formula1>
      <formula2>0.07</formula2>
    </dataValidation>
    <dataValidation allowBlank="true" error="Please enter Start of year or End of year." errorStyle="stop" errorTitle="Outside the allowed range" operator="between" prompt="Generally the standard is the start of the year (the prudent choice). Choose what you want to use.  Allowed: Start of year or End of year." promptTitle="Withdrawal taken at the" showDropDown="false" showErrorMessage="true" showInputMessage="true" sqref="C19" type="list">
      <formula1>"Start of year,End of year"</formula1>
      <formula2>0</formula2>
    </dataValidation>
    <dataValidation allowBlank="true" error="Please enter 50 to 90 · steps of 1." errorStyle="stop" errorTitle="Outside the allowed range" operator="between" prompt="You can usually draw a pension from 60 (some schemes from 50); State Pension is paid from 66. Choose your own: there is no default.  Allowed: 50 to 90 · steps of 1." promptTitle="Your age when withdrawals start" showDropDown="false" showErrorMessage="true" showInputMessage="true" sqref="C20" type="whole">
      <formula1>50</formula1>
      <formula2>90</formula2>
    </dataValidation>
    <dataValidation allowBlank="true" error="Please enter 85 to 100 · steps of 1." errorStyle="stop" errorTitle="Outside the allowed range" operator="between" prompt="At 65, average life expectancy in Ireland is about 83 for men and 86 for women (CSO, Irish Life Tables No. 17, 2015–2017). Choose your own: there is no default.  Allowed: 85 to 100 · steps of 1." promptTitle="Plan to age" showDropDown="false" showErrorMessage="true" showInputMessage="true" sqref="C21" type="whole">
      <formula1>85</formula1>
      <formula2>100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906</v>
      </c>
      <c r="E1" s="3" t="s">
        <v>907</v>
      </c>
    </row>
    <row r="2" customFormat="false" ht="15" hidden="false" customHeight="true" outlineLevel="0" collapsed="false">
      <c r="B2" s="25" t="s">
        <v>908</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909</v>
      </c>
    </row>
    <row r="5" customFormat="false" ht="15" hidden="false" customHeight="true" outlineLevel="0" collapsed="false">
      <c r="B5" s="15" t="s">
        <v>561</v>
      </c>
      <c r="C5" s="28" t="s">
        <v>222</v>
      </c>
      <c r="D5" s="28" t="s">
        <v>223</v>
      </c>
      <c r="E5" s="28" t="s">
        <v>224</v>
      </c>
      <c r="F5" s="29" t="s">
        <v>225</v>
      </c>
      <c r="G5" s="16"/>
    </row>
    <row r="6" customFormat="false" ht="21.75" hidden="false" customHeight="true" outlineLevel="0" collapsed="false">
      <c r="B6" s="9" t="s">
        <v>562</v>
      </c>
      <c r="C6" s="38"/>
      <c r="D6" s="31" t="s">
        <v>238</v>
      </c>
      <c r="E6" s="39" t="str">
        <f aca="false">"Type 3 · your choice · Generally the standard is 2% a year (ECB target); Ireland's prices are rising "&amp;TEXT(Set_inflNow,"0.0%")&amp;" now (CSO HICP flash, Sep 2026). Choose what you want to use. Allowed: 0% to 10% · steps of 0.25%"</f>
        <v>Type 3 · your choice · Generally the standard is 2% a year (ECB target); Ireland's prices are rising 3.9% now (CSO HICP flash, Sep 2026). Choose what you want to use. Allowed: 0% to 10% · steps of 0.25%</v>
      </c>
      <c r="F6" s="40" t="n">
        <v>0.02</v>
      </c>
      <c r="G6" s="41" t="str">
        <f aca="false">IF(ISBLANK(C6),IF(Fill_Example="Yes",F6,""),C6)</f>
        <v/>
      </c>
    </row>
    <row r="7" customFormat="false" ht="27.75" hidden="false" customHeight="true" outlineLevel="0" collapsed="false">
      <c r="B7" s="57" t="str">
        <f aca="false">"Everyone sees this differently. Ireland's prices are rising "&amp;TEXT(Set_inflNow,"0.0%")&amp;" now (CSO HICP flash, Sep 2026), mostly because of energy. Over decades, 2%–2.5% is the usual planning range (ECB target 2%). Enter 0% if you don't want to adjust for prices."</f>
        <v>Everyone sees this differently. Ireland's prices are rising 3.9% now (CSO HICP flash, Sep 2026), mostly because of energy. Over decades, 2%–2.5% is the usual planning range (ECB target 2%). Enter 0% if you don't want to adjust for prices.</v>
      </c>
      <c r="C7" s="57"/>
      <c r="D7" s="57"/>
      <c r="E7" s="57"/>
    </row>
    <row r="9" customFormat="false" ht="15" hidden="false" customHeight="true" outlineLevel="0" collapsed="false">
      <c r="B9" s="15" t="s">
        <v>310</v>
      </c>
      <c r="C9" s="16"/>
      <c r="D9" s="16"/>
      <c r="E9" s="16"/>
      <c r="F9" s="16"/>
      <c r="G9" s="16"/>
    </row>
    <row r="10" customFormat="false" ht="27.75" hidden="false" customHeight="true" outlineLevel="0" collapsed="false">
      <c r="B10" s="57" t="s">
        <v>872</v>
      </c>
      <c r="C10" s="57"/>
      <c r="D10" s="57"/>
      <c r="E10" s="57"/>
    </row>
    <row r="11" customFormat="false" ht="15" hidden="false" customHeight="true" outlineLevel="0" collapsed="false">
      <c r="B11" s="9" t="s">
        <v>717</v>
      </c>
      <c r="C11" s="58"/>
      <c r="D11" s="31" t="s">
        <v>227</v>
      </c>
      <c r="E11" s="32" t="s">
        <v>634</v>
      </c>
      <c r="G11" s="56" t="s">
        <v>314</v>
      </c>
    </row>
    <row r="12" customFormat="false" ht="15" hidden="false" customHeight="true" outlineLevel="0" collapsed="false">
      <c r="B12" s="9" t="s">
        <v>710</v>
      </c>
      <c r="C12" s="58"/>
      <c r="D12" s="31" t="s">
        <v>227</v>
      </c>
      <c r="E12" s="32" t="s">
        <v>711</v>
      </c>
      <c r="G12" s="56" t="s">
        <v>314</v>
      </c>
    </row>
    <row r="13" customFormat="false" ht="15" hidden="false" customHeight="true" outlineLevel="0" collapsed="false">
      <c r="B13" s="9" t="s">
        <v>321</v>
      </c>
      <c r="C13" s="61"/>
      <c r="D13" s="31" t="s">
        <v>322</v>
      </c>
      <c r="E13" s="32" t="s">
        <v>323</v>
      </c>
      <c r="G13" s="56" t="s">
        <v>314</v>
      </c>
    </row>
    <row r="15" customFormat="false" ht="15" hidden="false" customHeight="true" outlineLevel="0" collapsed="false">
      <c r="B15" s="15" t="s">
        <v>324</v>
      </c>
      <c r="C15" s="28" t="s">
        <v>222</v>
      </c>
      <c r="D15" s="28" t="s">
        <v>223</v>
      </c>
      <c r="E15" s="28" t="s">
        <v>224</v>
      </c>
      <c r="F15" s="29" t="s">
        <v>225</v>
      </c>
      <c r="G15" s="16"/>
    </row>
    <row r="16" customFormat="false" ht="21.75" hidden="false" customHeight="true" outlineLevel="0" collapsed="false">
      <c r="B16" s="9" t="s">
        <v>873</v>
      </c>
      <c r="C16" s="30"/>
      <c r="D16" s="31" t="s">
        <v>227</v>
      </c>
      <c r="E16" s="32" t="s">
        <v>874</v>
      </c>
      <c r="F16" s="33" t="n">
        <v>400000</v>
      </c>
      <c r="G16" s="34" t="str">
        <f aca="false">IF(ISBLANK(C16),IF(Fill_Example="Yes",F16,""),C16)</f>
        <v/>
      </c>
    </row>
    <row r="17" customFormat="false" ht="15" hidden="false" customHeight="true" outlineLevel="0" collapsed="false">
      <c r="B17" s="9" t="s">
        <v>875</v>
      </c>
      <c r="C17" s="30"/>
      <c r="D17" s="31" t="s">
        <v>227</v>
      </c>
      <c r="E17" s="32" t="s">
        <v>876</v>
      </c>
      <c r="F17" s="33" t="n">
        <v>20000</v>
      </c>
      <c r="G17" s="34" t="str">
        <f aca="false">IF(ISBLANK(C17),IF(Fill_Example="Yes",F17,""),C17)</f>
        <v/>
      </c>
    </row>
    <row r="18" customFormat="false" ht="21.75" hidden="false" customHeight="true" outlineLevel="0" collapsed="false">
      <c r="B18" s="9" t="s">
        <v>910</v>
      </c>
      <c r="C18" s="38"/>
      <c r="D18" s="31" t="s">
        <v>238</v>
      </c>
      <c r="E18" s="39" t="s">
        <v>911</v>
      </c>
      <c r="F18" s="40" t="n">
        <f aca="false">Set_riskMu_1</f>
        <v>0.02</v>
      </c>
      <c r="G18" s="41" t="n">
        <f aca="false">IF(ISBLANK(C18),F18,C18)</f>
        <v>0.02</v>
      </c>
    </row>
    <row r="19" customFormat="false" ht="21.75" hidden="false" customHeight="true" outlineLevel="0" collapsed="false">
      <c r="B19" s="9" t="s">
        <v>912</v>
      </c>
      <c r="C19" s="38"/>
      <c r="D19" s="31" t="s">
        <v>238</v>
      </c>
      <c r="E19" s="39" t="s">
        <v>913</v>
      </c>
      <c r="F19" s="40" t="n">
        <f aca="false">Set_riskMu_2</f>
        <v>0.04</v>
      </c>
      <c r="G19" s="41" t="n">
        <f aca="false">IF(ISBLANK(C19),F19,C19)</f>
        <v>0.04</v>
      </c>
    </row>
    <row r="20" customFormat="false" ht="21.75" hidden="false" customHeight="true" outlineLevel="0" collapsed="false">
      <c r="B20" s="9" t="s">
        <v>914</v>
      </c>
      <c r="C20" s="38"/>
      <c r="D20" s="31" t="s">
        <v>238</v>
      </c>
      <c r="E20" s="39" t="s">
        <v>915</v>
      </c>
      <c r="F20" s="40" t="n">
        <f aca="false">Set_riskMu_3</f>
        <v>0.06</v>
      </c>
      <c r="G20" s="41" t="n">
        <f aca="false">IF(ISBLANK(C20),F20,C20)</f>
        <v>0.06</v>
      </c>
    </row>
    <row r="21" customFormat="false" ht="21.75" hidden="false" customHeight="true" outlineLevel="0" collapsed="false">
      <c r="B21" s="9" t="s">
        <v>879</v>
      </c>
      <c r="C21" s="35"/>
      <c r="D21" s="31"/>
      <c r="E21" s="39" t="s">
        <v>880</v>
      </c>
      <c r="F21" s="36" t="str">
        <f aca="false">IF(Set_ddTiming="end","End of year","Start of year")</f>
        <v>Start of year</v>
      </c>
      <c r="G21" s="37" t="str">
        <f aca="false">IF(ISBLANK(C21),F21,C21)</f>
        <v>Start of year</v>
      </c>
    </row>
    <row r="23" customFormat="false" ht="15" hidden="false" customHeight="true" outlineLevel="0" collapsed="false">
      <c r="B23" s="15" t="s">
        <v>333</v>
      </c>
      <c r="C23" s="16"/>
      <c r="D23" s="16"/>
      <c r="E23" s="16"/>
      <c r="F23" s="16"/>
      <c r="G23" s="16"/>
    </row>
    <row r="24" customFormat="false" ht="15" hidden="false" customHeight="true" outlineLevel="0" collapsed="false">
      <c r="B24" s="9" t="s">
        <v>873</v>
      </c>
      <c r="C24" s="62" t="str">
        <f aca="false">IF(NOT(ISBLANK(Stmt_Projected_Fund)),Stmt_Projected_Fund,IF(NOT(ISBLANK(Stmt_Fund_Value)),Stmt_Fund_Value,Retirement_Savings))</f>
        <v/>
      </c>
      <c r="D24" s="63" t="str">
        <f aca="false">IF(NOT(ISBLANK(Stmt_Projected_Fund)),"From your statement (projected fund)",IF(NOT(ISBLANK(Stmt_Fund_Value)),"From your statement (fund value today)","Your figure"))</f>
        <v>Your figure</v>
      </c>
      <c r="E24" s="53" t="s">
        <v>885</v>
      </c>
    </row>
    <row r="25" customFormat="false" ht="21.75" hidden="false" customHeight="true" outlineLevel="0" collapsed="false">
      <c r="B25" s="9" t="s">
        <v>339</v>
      </c>
      <c r="C25" s="49" t="str">
        <f aca="true">IF(ISBLANK(Stmt_Statement_Date),"",IF(TODAY()-Stmt_Statement_Date&gt;Statement_Max_Age_Days,"Needs a look: statement is more than 12 months old","Up to date"))</f>
        <v/>
      </c>
      <c r="D25" s="31"/>
      <c r="E25" s="46" t="s">
        <v>340</v>
      </c>
    </row>
    <row r="27" customFormat="false" ht="15" hidden="false" customHeight="true" outlineLevel="0" collapsed="false">
      <c r="B27" s="15" t="s">
        <v>247</v>
      </c>
      <c r="C27" s="28" t="s">
        <v>248</v>
      </c>
      <c r="D27" s="28" t="s">
        <v>249</v>
      </c>
      <c r="E27" s="28" t="s">
        <v>250</v>
      </c>
      <c r="F27" s="16"/>
      <c r="G27" s="16"/>
    </row>
    <row r="28" customFormat="false" ht="23.25" hidden="false" customHeight="true" outlineLevel="0" collapsed="false">
      <c r="B28" s="25" t="s">
        <v>916</v>
      </c>
      <c r="C28" s="66" t="str">
        <f aca="false">IF(Need_1&lt;&gt;"",Need_1,IF(Inflation_Choice="","Choose your inflation rate to see this",SUM(W_b_paid)))</f>
        <v>Choose your yearly withdrawal to see this</v>
      </c>
      <c r="D28" s="67" t="str">
        <f aca="false">IF(Need_1&lt;&gt;"",Need_1,IF(ISNUMBER(Years_Balanced),IF(Years_Balanced&gt;=Cap_Years,Cap_Years&amp;"+ years",Years_Balanced&amp;IF(Years_Balanced=1," year"," years")),"Choose your inflation rate to see this"))</f>
        <v>Choose your yearly withdrawal to see this</v>
      </c>
      <c r="E28" s="46" t="s">
        <v>917</v>
      </c>
    </row>
    <row r="29" customFormat="false" ht="15" hidden="false" customHeight="true" outlineLevel="0" collapsed="false">
      <c r="B29" s="9" t="s">
        <v>918</v>
      </c>
      <c r="C29" s="70" t="str">
        <f aca="false">IF(Need_1&lt;&gt;"",Need_1,IF(Inflation_Choice="","Choose your inflation rate to see this",SUM(W_c_paid)))</f>
        <v>Choose your yearly withdrawal to see this</v>
      </c>
      <c r="D29" s="71" t="str">
        <f aca="false">IF(Need_1&lt;&gt;"",Need_1,IF(ISNUMBER(Years_Cautious),IF(Years_Cautious&gt;=Cap_Years,Cap_Years&amp;"+ years",Years_Cautious&amp;IF(Years_Cautious=1," year"," years")),"Choose your inflation rate to see this"))</f>
        <v>Choose your yearly withdrawal to see this</v>
      </c>
      <c r="E29" s="46" t="s">
        <v>919</v>
      </c>
    </row>
    <row r="30" customFormat="false" ht="15" hidden="false" customHeight="true" outlineLevel="0" collapsed="false">
      <c r="B30" s="9" t="s">
        <v>920</v>
      </c>
      <c r="C30" s="70" t="str">
        <f aca="false">IF(Need_1&lt;&gt;"",Need_1,IF(Inflation_Choice="","Choose your inflation rate to see this",SUM(W_g_paid)))</f>
        <v>Choose your yearly withdrawal to see this</v>
      </c>
      <c r="D30" s="71" t="str">
        <f aca="false">IF(Need_1&lt;&gt;"",Need_1,IF(ISNUMBER(Years_Growth),IF(Years_Growth&gt;=Cap_Years,Cap_Years&amp;"+ years",Years_Growth&amp;IF(Years_Growth=1," year"," years")),"Choose your inflation rate to see this"))</f>
        <v>Choose your yearly withdrawal to see this</v>
      </c>
      <c r="E30" s="46" t="s">
        <v>921</v>
      </c>
    </row>
    <row r="31" customFormat="false" ht="15" hidden="false" customHeight="true" outlineLevel="0" collapsed="false">
      <c r="B31" s="15" t="s">
        <v>922</v>
      </c>
      <c r="C31" s="16"/>
      <c r="D31" s="16"/>
      <c r="E31" s="16"/>
      <c r="F31" s="16"/>
      <c r="G31" s="16"/>
    </row>
    <row r="32" customFormat="false" ht="27.75" hidden="false" customHeight="true" outlineLevel="0" collapsed="false">
      <c r="B32" s="82" t="s">
        <v>893</v>
      </c>
      <c r="C32" s="82" t="s">
        <v>923</v>
      </c>
      <c r="D32" s="82" t="s">
        <v>924</v>
      </c>
      <c r="E32" s="82" t="s">
        <v>925</v>
      </c>
      <c r="F32" s="82" t="s">
        <v>926</v>
      </c>
      <c r="G32" s="82" t="s">
        <v>927</v>
      </c>
      <c r="H32" s="82" t="s">
        <v>928</v>
      </c>
      <c r="I32" s="82" t="s">
        <v>929</v>
      </c>
    </row>
    <row r="33" customFormat="false" ht="15" hidden="false" customHeight="true" outlineLevel="0" collapsed="false">
      <c r="B33" s="83" t="n">
        <v>1</v>
      </c>
      <c r="C33" s="84" t="str">
        <f aca="false">IF(Need_1&lt;&gt;"","",Yearly_Withdrawal)</f>
        <v/>
      </c>
      <c r="D33" s="84" t="str">
        <f aca="false">IF(Need_1&lt;&gt;"","",Used_Retirement_Savings)</f>
        <v/>
      </c>
      <c r="E33" s="83" t="str">
        <f aca="false">IF(Need_1&lt;&gt;"","",IF(Withdrawal_Timing="Start of year",IF(D33&gt;=C33,1,0),IF(D33*(1+DD_Cautious)&gt;=C33,1,0)))</f>
        <v/>
      </c>
      <c r="F33" s="84" t="str">
        <f aca="false">IF(Need_1&lt;&gt;"","",Used_Retirement_Savings)</f>
        <v/>
      </c>
      <c r="G33" s="83" t="str">
        <f aca="false">IF(Need_1&lt;&gt;"","",IF(Withdrawal_Timing="Start of year",IF(F33&gt;=C33,1,0),IF(F33*(1+DD_Balanced)&gt;=C33,1,0)))</f>
        <v/>
      </c>
      <c r="H33" s="84" t="str">
        <f aca="false">IF(Need_1&lt;&gt;"","",Used_Retirement_Savings)</f>
        <v/>
      </c>
      <c r="I33" s="83" t="str">
        <f aca="false">IF(Need_1&lt;&gt;"","",IF(Withdrawal_Timing="Start of year",IF(H33&gt;=C33,1,0),IF(H33*(1+DD_Growth)&gt;=C33,1,0)))</f>
        <v/>
      </c>
    </row>
    <row r="34" customFormat="false" ht="15" hidden="false" customHeight="true" outlineLevel="0" collapsed="false">
      <c r="B34" s="83" t="n">
        <v>2</v>
      </c>
      <c r="C34" s="84" t="str">
        <f aca="false">IF(Need_1&lt;&gt;"","",C33*(1+Inflation_Choice))</f>
        <v/>
      </c>
      <c r="D34" s="84" t="str">
        <f aca="false">IF(Need_1&lt;&gt;"","",IF(E33=1,IF(Withdrawal_Timing="Start of year",(D33-C33)*(1+DD_Cautious),D33*(1+DD_Cautious)-C33),0))</f>
        <v/>
      </c>
      <c r="E34" s="83" t="str">
        <f aca="false">IF(Need_1&lt;&gt;"","",IF(Withdrawal_Timing="Start of year",IF(D34&gt;=C34,1,0),IF(D34*(1+DD_Cautious)&gt;=C34,1,0)))</f>
        <v/>
      </c>
      <c r="F34" s="84" t="str">
        <f aca="false">IF(Need_1&lt;&gt;"","",IF(G33=1,IF(Withdrawal_Timing="Start of year",(F33-C33)*(1+DD_Balanced),F33*(1+DD_Balanced)-C33),0))</f>
        <v/>
      </c>
      <c r="G34" s="83" t="str">
        <f aca="false">IF(Need_1&lt;&gt;"","",IF(Withdrawal_Timing="Start of year",IF(F34&gt;=C34,1,0),IF(F34*(1+DD_Balanced)&gt;=C34,1,0)))</f>
        <v/>
      </c>
      <c r="H34" s="84" t="str">
        <f aca="false">IF(Need_1&lt;&gt;"","",IF(I33=1,IF(Withdrawal_Timing="Start of year",(H33-C33)*(1+DD_Growth),H33*(1+DD_Growth)-C33),0))</f>
        <v/>
      </c>
      <c r="I34" s="83" t="str">
        <f aca="false">IF(Need_1&lt;&gt;"","",IF(Withdrawal_Timing="Start of year",IF(H34&gt;=C34,1,0),IF(H34*(1+DD_Growth)&gt;=C34,1,0)))</f>
        <v/>
      </c>
    </row>
    <row r="35" customFormat="false" ht="15" hidden="false" customHeight="true" outlineLevel="0" collapsed="false">
      <c r="B35" s="83" t="n">
        <v>3</v>
      </c>
      <c r="C35" s="84" t="str">
        <f aca="false">IF(Need_1&lt;&gt;"","",C34*(1+Inflation_Choice))</f>
        <v/>
      </c>
      <c r="D35" s="84" t="str">
        <f aca="false">IF(Need_1&lt;&gt;"","",IF(E34=1,IF(Withdrawal_Timing="Start of year",(D34-C34)*(1+DD_Cautious),D34*(1+DD_Cautious)-C34),0))</f>
        <v/>
      </c>
      <c r="E35" s="83" t="str">
        <f aca="false">IF(Need_1&lt;&gt;"","",IF(Withdrawal_Timing="Start of year",IF(D35&gt;=C35,1,0),IF(D35*(1+DD_Cautious)&gt;=C35,1,0)))</f>
        <v/>
      </c>
      <c r="F35" s="84" t="str">
        <f aca="false">IF(Need_1&lt;&gt;"","",IF(G34=1,IF(Withdrawal_Timing="Start of year",(F34-C34)*(1+DD_Balanced),F34*(1+DD_Balanced)-C34),0))</f>
        <v/>
      </c>
      <c r="G35" s="83" t="str">
        <f aca="false">IF(Need_1&lt;&gt;"","",IF(Withdrawal_Timing="Start of year",IF(F35&gt;=C35,1,0),IF(F35*(1+DD_Balanced)&gt;=C35,1,0)))</f>
        <v/>
      </c>
      <c r="H35" s="84" t="str">
        <f aca="false">IF(Need_1&lt;&gt;"","",IF(I34=1,IF(Withdrawal_Timing="Start of year",(H34-C34)*(1+DD_Growth),H34*(1+DD_Growth)-C34),0))</f>
        <v/>
      </c>
      <c r="I35" s="83" t="str">
        <f aca="false">IF(Need_1&lt;&gt;"","",IF(Withdrawal_Timing="Start of year",IF(H35&gt;=C35,1,0),IF(H35*(1+DD_Growth)&gt;=C35,1,0)))</f>
        <v/>
      </c>
    </row>
    <row r="36" customFormat="false" ht="15" hidden="false" customHeight="true" outlineLevel="0" collapsed="false">
      <c r="B36" s="83" t="n">
        <v>4</v>
      </c>
      <c r="C36" s="84" t="str">
        <f aca="false">IF(Need_1&lt;&gt;"","",C35*(1+Inflation_Choice))</f>
        <v/>
      </c>
      <c r="D36" s="84" t="str">
        <f aca="false">IF(Need_1&lt;&gt;"","",IF(E35=1,IF(Withdrawal_Timing="Start of year",(D35-C35)*(1+DD_Cautious),D35*(1+DD_Cautious)-C35),0))</f>
        <v/>
      </c>
      <c r="E36" s="83" t="str">
        <f aca="false">IF(Need_1&lt;&gt;"","",IF(Withdrawal_Timing="Start of year",IF(D36&gt;=C36,1,0),IF(D36*(1+DD_Cautious)&gt;=C36,1,0)))</f>
        <v/>
      </c>
      <c r="F36" s="84" t="str">
        <f aca="false">IF(Need_1&lt;&gt;"","",IF(G35=1,IF(Withdrawal_Timing="Start of year",(F35-C35)*(1+DD_Balanced),F35*(1+DD_Balanced)-C35),0))</f>
        <v/>
      </c>
      <c r="G36" s="83" t="str">
        <f aca="false">IF(Need_1&lt;&gt;"","",IF(Withdrawal_Timing="Start of year",IF(F36&gt;=C36,1,0),IF(F36*(1+DD_Balanced)&gt;=C36,1,0)))</f>
        <v/>
      </c>
      <c r="H36" s="84" t="str">
        <f aca="false">IF(Need_1&lt;&gt;"","",IF(I35=1,IF(Withdrawal_Timing="Start of year",(H35-C35)*(1+DD_Growth),H35*(1+DD_Growth)-C35),0))</f>
        <v/>
      </c>
      <c r="I36" s="83" t="str">
        <f aca="false">IF(Need_1&lt;&gt;"","",IF(Withdrawal_Timing="Start of year",IF(H36&gt;=C36,1,0),IF(H36*(1+DD_Growth)&gt;=C36,1,0)))</f>
        <v/>
      </c>
    </row>
    <row r="37" customFormat="false" ht="15" hidden="false" customHeight="true" outlineLevel="0" collapsed="false">
      <c r="B37" s="83" t="n">
        <v>5</v>
      </c>
      <c r="C37" s="84" t="str">
        <f aca="false">IF(Need_1&lt;&gt;"","",C36*(1+Inflation_Choice))</f>
        <v/>
      </c>
      <c r="D37" s="84" t="str">
        <f aca="false">IF(Need_1&lt;&gt;"","",IF(E36=1,IF(Withdrawal_Timing="Start of year",(D36-C36)*(1+DD_Cautious),D36*(1+DD_Cautious)-C36),0))</f>
        <v/>
      </c>
      <c r="E37" s="83" t="str">
        <f aca="false">IF(Need_1&lt;&gt;"","",IF(Withdrawal_Timing="Start of year",IF(D37&gt;=C37,1,0),IF(D37*(1+DD_Cautious)&gt;=C37,1,0)))</f>
        <v/>
      </c>
      <c r="F37" s="84" t="str">
        <f aca="false">IF(Need_1&lt;&gt;"","",IF(G36=1,IF(Withdrawal_Timing="Start of year",(F36-C36)*(1+DD_Balanced),F36*(1+DD_Balanced)-C36),0))</f>
        <v/>
      </c>
      <c r="G37" s="83" t="str">
        <f aca="false">IF(Need_1&lt;&gt;"","",IF(Withdrawal_Timing="Start of year",IF(F37&gt;=C37,1,0),IF(F37*(1+DD_Balanced)&gt;=C37,1,0)))</f>
        <v/>
      </c>
      <c r="H37" s="84" t="str">
        <f aca="false">IF(Need_1&lt;&gt;"","",IF(I36=1,IF(Withdrawal_Timing="Start of year",(H36-C36)*(1+DD_Growth),H36*(1+DD_Growth)-C36),0))</f>
        <v/>
      </c>
      <c r="I37" s="83" t="str">
        <f aca="false">IF(Need_1&lt;&gt;"","",IF(Withdrawal_Timing="Start of year",IF(H37&gt;=C37,1,0),IF(H37*(1+DD_Growth)&gt;=C37,1,0)))</f>
        <v/>
      </c>
    </row>
    <row r="38" customFormat="false" ht="15" hidden="false" customHeight="true" outlineLevel="0" collapsed="false">
      <c r="B38" s="83" t="n">
        <v>6</v>
      </c>
      <c r="C38" s="84" t="str">
        <f aca="false">IF(Need_1&lt;&gt;"","",C37*(1+Inflation_Choice))</f>
        <v/>
      </c>
      <c r="D38" s="84" t="str">
        <f aca="false">IF(Need_1&lt;&gt;"","",IF(E37=1,IF(Withdrawal_Timing="Start of year",(D37-C37)*(1+DD_Cautious),D37*(1+DD_Cautious)-C37),0))</f>
        <v/>
      </c>
      <c r="E38" s="83" t="str">
        <f aca="false">IF(Need_1&lt;&gt;"","",IF(Withdrawal_Timing="Start of year",IF(D38&gt;=C38,1,0),IF(D38*(1+DD_Cautious)&gt;=C38,1,0)))</f>
        <v/>
      </c>
      <c r="F38" s="84" t="str">
        <f aca="false">IF(Need_1&lt;&gt;"","",IF(G37=1,IF(Withdrawal_Timing="Start of year",(F37-C37)*(1+DD_Balanced),F37*(1+DD_Balanced)-C37),0))</f>
        <v/>
      </c>
      <c r="G38" s="83" t="str">
        <f aca="false">IF(Need_1&lt;&gt;"","",IF(Withdrawal_Timing="Start of year",IF(F38&gt;=C38,1,0),IF(F38*(1+DD_Balanced)&gt;=C38,1,0)))</f>
        <v/>
      </c>
      <c r="H38" s="84" t="str">
        <f aca="false">IF(Need_1&lt;&gt;"","",IF(I37=1,IF(Withdrawal_Timing="Start of year",(H37-C37)*(1+DD_Growth),H37*(1+DD_Growth)-C37),0))</f>
        <v/>
      </c>
      <c r="I38" s="83" t="str">
        <f aca="false">IF(Need_1&lt;&gt;"","",IF(Withdrawal_Timing="Start of year",IF(H38&gt;=C38,1,0),IF(H38*(1+DD_Growth)&gt;=C38,1,0)))</f>
        <v/>
      </c>
    </row>
    <row r="39" customFormat="false" ht="15" hidden="false" customHeight="true" outlineLevel="0" collapsed="false">
      <c r="B39" s="83" t="n">
        <v>7</v>
      </c>
      <c r="C39" s="84" t="str">
        <f aca="false">IF(Need_1&lt;&gt;"","",C38*(1+Inflation_Choice))</f>
        <v/>
      </c>
      <c r="D39" s="84" t="str">
        <f aca="false">IF(Need_1&lt;&gt;"","",IF(E38=1,IF(Withdrawal_Timing="Start of year",(D38-C38)*(1+DD_Cautious),D38*(1+DD_Cautious)-C38),0))</f>
        <v/>
      </c>
      <c r="E39" s="83" t="str">
        <f aca="false">IF(Need_1&lt;&gt;"","",IF(Withdrawal_Timing="Start of year",IF(D39&gt;=C39,1,0),IF(D39*(1+DD_Cautious)&gt;=C39,1,0)))</f>
        <v/>
      </c>
      <c r="F39" s="84" t="str">
        <f aca="false">IF(Need_1&lt;&gt;"","",IF(G38=1,IF(Withdrawal_Timing="Start of year",(F38-C38)*(1+DD_Balanced),F38*(1+DD_Balanced)-C38),0))</f>
        <v/>
      </c>
      <c r="G39" s="83" t="str">
        <f aca="false">IF(Need_1&lt;&gt;"","",IF(Withdrawal_Timing="Start of year",IF(F39&gt;=C39,1,0),IF(F39*(1+DD_Balanced)&gt;=C39,1,0)))</f>
        <v/>
      </c>
      <c r="H39" s="84" t="str">
        <f aca="false">IF(Need_1&lt;&gt;"","",IF(I38=1,IF(Withdrawal_Timing="Start of year",(H38-C38)*(1+DD_Growth),H38*(1+DD_Growth)-C38),0))</f>
        <v/>
      </c>
      <c r="I39" s="83" t="str">
        <f aca="false">IF(Need_1&lt;&gt;"","",IF(Withdrawal_Timing="Start of year",IF(H39&gt;=C39,1,0),IF(H39*(1+DD_Growth)&gt;=C39,1,0)))</f>
        <v/>
      </c>
    </row>
    <row r="40" customFormat="false" ht="15" hidden="false" customHeight="true" outlineLevel="0" collapsed="false">
      <c r="B40" s="83" t="n">
        <v>8</v>
      </c>
      <c r="C40" s="84" t="str">
        <f aca="false">IF(Need_1&lt;&gt;"","",C39*(1+Inflation_Choice))</f>
        <v/>
      </c>
      <c r="D40" s="84" t="str">
        <f aca="false">IF(Need_1&lt;&gt;"","",IF(E39=1,IF(Withdrawal_Timing="Start of year",(D39-C39)*(1+DD_Cautious),D39*(1+DD_Cautious)-C39),0))</f>
        <v/>
      </c>
      <c r="E40" s="83" t="str">
        <f aca="false">IF(Need_1&lt;&gt;"","",IF(Withdrawal_Timing="Start of year",IF(D40&gt;=C40,1,0),IF(D40*(1+DD_Cautious)&gt;=C40,1,0)))</f>
        <v/>
      </c>
      <c r="F40" s="84" t="str">
        <f aca="false">IF(Need_1&lt;&gt;"","",IF(G39=1,IF(Withdrawal_Timing="Start of year",(F39-C39)*(1+DD_Balanced),F39*(1+DD_Balanced)-C39),0))</f>
        <v/>
      </c>
      <c r="G40" s="83" t="str">
        <f aca="false">IF(Need_1&lt;&gt;"","",IF(Withdrawal_Timing="Start of year",IF(F40&gt;=C40,1,0),IF(F40*(1+DD_Balanced)&gt;=C40,1,0)))</f>
        <v/>
      </c>
      <c r="H40" s="84" t="str">
        <f aca="false">IF(Need_1&lt;&gt;"","",IF(I39=1,IF(Withdrawal_Timing="Start of year",(H39-C39)*(1+DD_Growth),H39*(1+DD_Growth)-C39),0))</f>
        <v/>
      </c>
      <c r="I40" s="83" t="str">
        <f aca="false">IF(Need_1&lt;&gt;"","",IF(Withdrawal_Timing="Start of year",IF(H40&gt;=C40,1,0),IF(H40*(1+DD_Growth)&gt;=C40,1,0)))</f>
        <v/>
      </c>
    </row>
    <row r="41" customFormat="false" ht="15" hidden="false" customHeight="true" outlineLevel="0" collapsed="false">
      <c r="B41" s="83" t="n">
        <v>9</v>
      </c>
      <c r="C41" s="84" t="str">
        <f aca="false">IF(Need_1&lt;&gt;"","",C40*(1+Inflation_Choice))</f>
        <v/>
      </c>
      <c r="D41" s="84" t="str">
        <f aca="false">IF(Need_1&lt;&gt;"","",IF(E40=1,IF(Withdrawal_Timing="Start of year",(D40-C40)*(1+DD_Cautious),D40*(1+DD_Cautious)-C40),0))</f>
        <v/>
      </c>
      <c r="E41" s="83" t="str">
        <f aca="false">IF(Need_1&lt;&gt;"","",IF(Withdrawal_Timing="Start of year",IF(D41&gt;=C41,1,0),IF(D41*(1+DD_Cautious)&gt;=C41,1,0)))</f>
        <v/>
      </c>
      <c r="F41" s="84" t="str">
        <f aca="false">IF(Need_1&lt;&gt;"","",IF(G40=1,IF(Withdrawal_Timing="Start of year",(F40-C40)*(1+DD_Balanced),F40*(1+DD_Balanced)-C40),0))</f>
        <v/>
      </c>
      <c r="G41" s="83" t="str">
        <f aca="false">IF(Need_1&lt;&gt;"","",IF(Withdrawal_Timing="Start of year",IF(F41&gt;=C41,1,0),IF(F41*(1+DD_Balanced)&gt;=C41,1,0)))</f>
        <v/>
      </c>
      <c r="H41" s="84" t="str">
        <f aca="false">IF(Need_1&lt;&gt;"","",IF(I40=1,IF(Withdrawal_Timing="Start of year",(H40-C40)*(1+DD_Growth),H40*(1+DD_Growth)-C40),0))</f>
        <v/>
      </c>
      <c r="I41" s="83" t="str">
        <f aca="false">IF(Need_1&lt;&gt;"","",IF(Withdrawal_Timing="Start of year",IF(H41&gt;=C41,1,0),IF(H41*(1+DD_Growth)&gt;=C41,1,0)))</f>
        <v/>
      </c>
    </row>
    <row r="42" customFormat="false" ht="15" hidden="false" customHeight="true" outlineLevel="0" collapsed="false">
      <c r="B42" s="83" t="n">
        <v>10</v>
      </c>
      <c r="C42" s="84" t="str">
        <f aca="false">IF(Need_1&lt;&gt;"","",C41*(1+Inflation_Choice))</f>
        <v/>
      </c>
      <c r="D42" s="84" t="str">
        <f aca="false">IF(Need_1&lt;&gt;"","",IF(E41=1,IF(Withdrawal_Timing="Start of year",(D41-C41)*(1+DD_Cautious),D41*(1+DD_Cautious)-C41),0))</f>
        <v/>
      </c>
      <c r="E42" s="83" t="str">
        <f aca="false">IF(Need_1&lt;&gt;"","",IF(Withdrawal_Timing="Start of year",IF(D42&gt;=C42,1,0),IF(D42*(1+DD_Cautious)&gt;=C42,1,0)))</f>
        <v/>
      </c>
      <c r="F42" s="84" t="str">
        <f aca="false">IF(Need_1&lt;&gt;"","",IF(G41=1,IF(Withdrawal_Timing="Start of year",(F41-C41)*(1+DD_Balanced),F41*(1+DD_Balanced)-C41),0))</f>
        <v/>
      </c>
      <c r="G42" s="83" t="str">
        <f aca="false">IF(Need_1&lt;&gt;"","",IF(Withdrawal_Timing="Start of year",IF(F42&gt;=C42,1,0),IF(F42*(1+DD_Balanced)&gt;=C42,1,0)))</f>
        <v/>
      </c>
      <c r="H42" s="84" t="str">
        <f aca="false">IF(Need_1&lt;&gt;"","",IF(I41=1,IF(Withdrawal_Timing="Start of year",(H41-C41)*(1+DD_Growth),H41*(1+DD_Growth)-C41),0))</f>
        <v/>
      </c>
      <c r="I42" s="83" t="str">
        <f aca="false">IF(Need_1&lt;&gt;"","",IF(Withdrawal_Timing="Start of year",IF(H42&gt;=C42,1,0),IF(H42*(1+DD_Growth)&gt;=C42,1,0)))</f>
        <v/>
      </c>
    </row>
    <row r="43" customFormat="false" ht="15" hidden="false" customHeight="true" outlineLevel="0" collapsed="false">
      <c r="B43" s="83" t="n">
        <v>11</v>
      </c>
      <c r="C43" s="84" t="str">
        <f aca="false">IF(Need_1&lt;&gt;"","",C42*(1+Inflation_Choice))</f>
        <v/>
      </c>
      <c r="D43" s="84" t="str">
        <f aca="false">IF(Need_1&lt;&gt;"","",IF(E42=1,IF(Withdrawal_Timing="Start of year",(D42-C42)*(1+DD_Cautious),D42*(1+DD_Cautious)-C42),0))</f>
        <v/>
      </c>
      <c r="E43" s="83" t="str">
        <f aca="false">IF(Need_1&lt;&gt;"","",IF(Withdrawal_Timing="Start of year",IF(D43&gt;=C43,1,0),IF(D43*(1+DD_Cautious)&gt;=C43,1,0)))</f>
        <v/>
      </c>
      <c r="F43" s="84" t="str">
        <f aca="false">IF(Need_1&lt;&gt;"","",IF(G42=1,IF(Withdrawal_Timing="Start of year",(F42-C42)*(1+DD_Balanced),F42*(1+DD_Balanced)-C42),0))</f>
        <v/>
      </c>
      <c r="G43" s="83" t="str">
        <f aca="false">IF(Need_1&lt;&gt;"","",IF(Withdrawal_Timing="Start of year",IF(F43&gt;=C43,1,0),IF(F43*(1+DD_Balanced)&gt;=C43,1,0)))</f>
        <v/>
      </c>
      <c r="H43" s="84" t="str">
        <f aca="false">IF(Need_1&lt;&gt;"","",IF(I42=1,IF(Withdrawal_Timing="Start of year",(H42-C42)*(1+DD_Growth),H42*(1+DD_Growth)-C42),0))</f>
        <v/>
      </c>
      <c r="I43" s="83" t="str">
        <f aca="false">IF(Need_1&lt;&gt;"","",IF(Withdrawal_Timing="Start of year",IF(H43&gt;=C43,1,0),IF(H43*(1+DD_Growth)&gt;=C43,1,0)))</f>
        <v/>
      </c>
    </row>
    <row r="44" customFormat="false" ht="15" hidden="false" customHeight="true" outlineLevel="0" collapsed="false">
      <c r="B44" s="83" t="n">
        <v>12</v>
      </c>
      <c r="C44" s="84" t="str">
        <f aca="false">IF(Need_1&lt;&gt;"","",C43*(1+Inflation_Choice))</f>
        <v/>
      </c>
      <c r="D44" s="84" t="str">
        <f aca="false">IF(Need_1&lt;&gt;"","",IF(E43=1,IF(Withdrawal_Timing="Start of year",(D43-C43)*(1+DD_Cautious),D43*(1+DD_Cautious)-C43),0))</f>
        <v/>
      </c>
      <c r="E44" s="83" t="str">
        <f aca="false">IF(Need_1&lt;&gt;"","",IF(Withdrawal_Timing="Start of year",IF(D44&gt;=C44,1,0),IF(D44*(1+DD_Cautious)&gt;=C44,1,0)))</f>
        <v/>
      </c>
      <c r="F44" s="84" t="str">
        <f aca="false">IF(Need_1&lt;&gt;"","",IF(G43=1,IF(Withdrawal_Timing="Start of year",(F43-C43)*(1+DD_Balanced),F43*(1+DD_Balanced)-C43),0))</f>
        <v/>
      </c>
      <c r="G44" s="83" t="str">
        <f aca="false">IF(Need_1&lt;&gt;"","",IF(Withdrawal_Timing="Start of year",IF(F44&gt;=C44,1,0),IF(F44*(1+DD_Balanced)&gt;=C44,1,0)))</f>
        <v/>
      </c>
      <c r="H44" s="84" t="str">
        <f aca="false">IF(Need_1&lt;&gt;"","",IF(I43=1,IF(Withdrawal_Timing="Start of year",(H43-C43)*(1+DD_Growth),H43*(1+DD_Growth)-C43),0))</f>
        <v/>
      </c>
      <c r="I44" s="83" t="str">
        <f aca="false">IF(Need_1&lt;&gt;"","",IF(Withdrawal_Timing="Start of year",IF(H44&gt;=C44,1,0),IF(H44*(1+DD_Growth)&gt;=C44,1,0)))</f>
        <v/>
      </c>
    </row>
    <row r="45" customFormat="false" ht="15" hidden="false" customHeight="true" outlineLevel="0" collapsed="false">
      <c r="B45" s="83" t="n">
        <v>13</v>
      </c>
      <c r="C45" s="84" t="str">
        <f aca="false">IF(Need_1&lt;&gt;"","",C44*(1+Inflation_Choice))</f>
        <v/>
      </c>
      <c r="D45" s="84" t="str">
        <f aca="false">IF(Need_1&lt;&gt;"","",IF(E44=1,IF(Withdrawal_Timing="Start of year",(D44-C44)*(1+DD_Cautious),D44*(1+DD_Cautious)-C44),0))</f>
        <v/>
      </c>
      <c r="E45" s="83" t="str">
        <f aca="false">IF(Need_1&lt;&gt;"","",IF(Withdrawal_Timing="Start of year",IF(D45&gt;=C45,1,0),IF(D45*(1+DD_Cautious)&gt;=C45,1,0)))</f>
        <v/>
      </c>
      <c r="F45" s="84" t="str">
        <f aca="false">IF(Need_1&lt;&gt;"","",IF(G44=1,IF(Withdrawal_Timing="Start of year",(F44-C44)*(1+DD_Balanced),F44*(1+DD_Balanced)-C44),0))</f>
        <v/>
      </c>
      <c r="G45" s="83" t="str">
        <f aca="false">IF(Need_1&lt;&gt;"","",IF(Withdrawal_Timing="Start of year",IF(F45&gt;=C45,1,0),IF(F45*(1+DD_Balanced)&gt;=C45,1,0)))</f>
        <v/>
      </c>
      <c r="H45" s="84" t="str">
        <f aca="false">IF(Need_1&lt;&gt;"","",IF(I44=1,IF(Withdrawal_Timing="Start of year",(H44-C44)*(1+DD_Growth),H44*(1+DD_Growth)-C44),0))</f>
        <v/>
      </c>
      <c r="I45" s="83" t="str">
        <f aca="false">IF(Need_1&lt;&gt;"","",IF(Withdrawal_Timing="Start of year",IF(H45&gt;=C45,1,0),IF(H45*(1+DD_Growth)&gt;=C45,1,0)))</f>
        <v/>
      </c>
    </row>
    <row r="46" customFormat="false" ht="15" hidden="false" customHeight="true" outlineLevel="0" collapsed="false">
      <c r="B46" s="83" t="n">
        <v>14</v>
      </c>
      <c r="C46" s="84" t="str">
        <f aca="false">IF(Need_1&lt;&gt;"","",C45*(1+Inflation_Choice))</f>
        <v/>
      </c>
      <c r="D46" s="84" t="str">
        <f aca="false">IF(Need_1&lt;&gt;"","",IF(E45=1,IF(Withdrawal_Timing="Start of year",(D45-C45)*(1+DD_Cautious),D45*(1+DD_Cautious)-C45),0))</f>
        <v/>
      </c>
      <c r="E46" s="83" t="str">
        <f aca="false">IF(Need_1&lt;&gt;"","",IF(Withdrawal_Timing="Start of year",IF(D46&gt;=C46,1,0),IF(D46*(1+DD_Cautious)&gt;=C46,1,0)))</f>
        <v/>
      </c>
      <c r="F46" s="84" t="str">
        <f aca="false">IF(Need_1&lt;&gt;"","",IF(G45=1,IF(Withdrawal_Timing="Start of year",(F45-C45)*(1+DD_Balanced),F45*(1+DD_Balanced)-C45),0))</f>
        <v/>
      </c>
      <c r="G46" s="83" t="str">
        <f aca="false">IF(Need_1&lt;&gt;"","",IF(Withdrawal_Timing="Start of year",IF(F46&gt;=C46,1,0),IF(F46*(1+DD_Balanced)&gt;=C46,1,0)))</f>
        <v/>
      </c>
      <c r="H46" s="84" t="str">
        <f aca="false">IF(Need_1&lt;&gt;"","",IF(I45=1,IF(Withdrawal_Timing="Start of year",(H45-C45)*(1+DD_Growth),H45*(1+DD_Growth)-C45),0))</f>
        <v/>
      </c>
      <c r="I46" s="83" t="str">
        <f aca="false">IF(Need_1&lt;&gt;"","",IF(Withdrawal_Timing="Start of year",IF(H46&gt;=C46,1,0),IF(H46*(1+DD_Growth)&gt;=C46,1,0)))</f>
        <v/>
      </c>
    </row>
    <row r="47" customFormat="false" ht="15" hidden="false" customHeight="true" outlineLevel="0" collapsed="false">
      <c r="B47" s="83" t="n">
        <v>15</v>
      </c>
      <c r="C47" s="84" t="str">
        <f aca="false">IF(Need_1&lt;&gt;"","",C46*(1+Inflation_Choice))</f>
        <v/>
      </c>
      <c r="D47" s="84" t="str">
        <f aca="false">IF(Need_1&lt;&gt;"","",IF(E46=1,IF(Withdrawal_Timing="Start of year",(D46-C46)*(1+DD_Cautious),D46*(1+DD_Cautious)-C46),0))</f>
        <v/>
      </c>
      <c r="E47" s="83" t="str">
        <f aca="false">IF(Need_1&lt;&gt;"","",IF(Withdrawal_Timing="Start of year",IF(D47&gt;=C47,1,0),IF(D47*(1+DD_Cautious)&gt;=C47,1,0)))</f>
        <v/>
      </c>
      <c r="F47" s="84" t="str">
        <f aca="false">IF(Need_1&lt;&gt;"","",IF(G46=1,IF(Withdrawal_Timing="Start of year",(F46-C46)*(1+DD_Balanced),F46*(1+DD_Balanced)-C46),0))</f>
        <v/>
      </c>
      <c r="G47" s="83" t="str">
        <f aca="false">IF(Need_1&lt;&gt;"","",IF(Withdrawal_Timing="Start of year",IF(F47&gt;=C47,1,0),IF(F47*(1+DD_Balanced)&gt;=C47,1,0)))</f>
        <v/>
      </c>
      <c r="H47" s="84" t="str">
        <f aca="false">IF(Need_1&lt;&gt;"","",IF(I46=1,IF(Withdrawal_Timing="Start of year",(H46-C46)*(1+DD_Growth),H46*(1+DD_Growth)-C46),0))</f>
        <v/>
      </c>
      <c r="I47" s="83" t="str">
        <f aca="false">IF(Need_1&lt;&gt;"","",IF(Withdrawal_Timing="Start of year",IF(H47&gt;=C47,1,0),IF(H47*(1+DD_Growth)&gt;=C47,1,0)))</f>
        <v/>
      </c>
    </row>
    <row r="48" customFormat="false" ht="15" hidden="false" customHeight="true" outlineLevel="0" collapsed="false">
      <c r="B48" s="83" t="n">
        <v>16</v>
      </c>
      <c r="C48" s="84" t="str">
        <f aca="false">IF(Need_1&lt;&gt;"","",C47*(1+Inflation_Choice))</f>
        <v/>
      </c>
      <c r="D48" s="84" t="str">
        <f aca="false">IF(Need_1&lt;&gt;"","",IF(E47=1,IF(Withdrawal_Timing="Start of year",(D47-C47)*(1+DD_Cautious),D47*(1+DD_Cautious)-C47),0))</f>
        <v/>
      </c>
      <c r="E48" s="83" t="str">
        <f aca="false">IF(Need_1&lt;&gt;"","",IF(Withdrawal_Timing="Start of year",IF(D48&gt;=C48,1,0),IF(D48*(1+DD_Cautious)&gt;=C48,1,0)))</f>
        <v/>
      </c>
      <c r="F48" s="84" t="str">
        <f aca="false">IF(Need_1&lt;&gt;"","",IF(G47=1,IF(Withdrawal_Timing="Start of year",(F47-C47)*(1+DD_Balanced),F47*(1+DD_Balanced)-C47),0))</f>
        <v/>
      </c>
      <c r="G48" s="83" t="str">
        <f aca="false">IF(Need_1&lt;&gt;"","",IF(Withdrawal_Timing="Start of year",IF(F48&gt;=C48,1,0),IF(F48*(1+DD_Balanced)&gt;=C48,1,0)))</f>
        <v/>
      </c>
      <c r="H48" s="84" t="str">
        <f aca="false">IF(Need_1&lt;&gt;"","",IF(I47=1,IF(Withdrawal_Timing="Start of year",(H47-C47)*(1+DD_Growth),H47*(1+DD_Growth)-C47),0))</f>
        <v/>
      </c>
      <c r="I48" s="83" t="str">
        <f aca="false">IF(Need_1&lt;&gt;"","",IF(Withdrawal_Timing="Start of year",IF(H48&gt;=C48,1,0),IF(H48*(1+DD_Growth)&gt;=C48,1,0)))</f>
        <v/>
      </c>
    </row>
    <row r="49" customFormat="false" ht="15" hidden="false" customHeight="true" outlineLevel="0" collapsed="false">
      <c r="B49" s="83" t="n">
        <v>17</v>
      </c>
      <c r="C49" s="84" t="str">
        <f aca="false">IF(Need_1&lt;&gt;"","",C48*(1+Inflation_Choice))</f>
        <v/>
      </c>
      <c r="D49" s="84" t="str">
        <f aca="false">IF(Need_1&lt;&gt;"","",IF(E48=1,IF(Withdrawal_Timing="Start of year",(D48-C48)*(1+DD_Cautious),D48*(1+DD_Cautious)-C48),0))</f>
        <v/>
      </c>
      <c r="E49" s="83" t="str">
        <f aca="false">IF(Need_1&lt;&gt;"","",IF(Withdrawal_Timing="Start of year",IF(D49&gt;=C49,1,0),IF(D49*(1+DD_Cautious)&gt;=C49,1,0)))</f>
        <v/>
      </c>
      <c r="F49" s="84" t="str">
        <f aca="false">IF(Need_1&lt;&gt;"","",IF(G48=1,IF(Withdrawal_Timing="Start of year",(F48-C48)*(1+DD_Balanced),F48*(1+DD_Balanced)-C48),0))</f>
        <v/>
      </c>
      <c r="G49" s="83" t="str">
        <f aca="false">IF(Need_1&lt;&gt;"","",IF(Withdrawal_Timing="Start of year",IF(F49&gt;=C49,1,0),IF(F49*(1+DD_Balanced)&gt;=C49,1,0)))</f>
        <v/>
      </c>
      <c r="H49" s="84" t="str">
        <f aca="false">IF(Need_1&lt;&gt;"","",IF(I48=1,IF(Withdrawal_Timing="Start of year",(H48-C48)*(1+DD_Growth),H48*(1+DD_Growth)-C48),0))</f>
        <v/>
      </c>
      <c r="I49" s="83" t="str">
        <f aca="false">IF(Need_1&lt;&gt;"","",IF(Withdrawal_Timing="Start of year",IF(H49&gt;=C49,1,0),IF(H49*(1+DD_Growth)&gt;=C49,1,0)))</f>
        <v/>
      </c>
    </row>
    <row r="50" customFormat="false" ht="15" hidden="false" customHeight="true" outlineLevel="0" collapsed="false">
      <c r="B50" s="83" t="n">
        <v>18</v>
      </c>
      <c r="C50" s="84" t="str">
        <f aca="false">IF(Need_1&lt;&gt;"","",C49*(1+Inflation_Choice))</f>
        <v/>
      </c>
      <c r="D50" s="84" t="str">
        <f aca="false">IF(Need_1&lt;&gt;"","",IF(E49=1,IF(Withdrawal_Timing="Start of year",(D49-C49)*(1+DD_Cautious),D49*(1+DD_Cautious)-C49),0))</f>
        <v/>
      </c>
      <c r="E50" s="83" t="str">
        <f aca="false">IF(Need_1&lt;&gt;"","",IF(Withdrawal_Timing="Start of year",IF(D50&gt;=C50,1,0),IF(D50*(1+DD_Cautious)&gt;=C50,1,0)))</f>
        <v/>
      </c>
      <c r="F50" s="84" t="str">
        <f aca="false">IF(Need_1&lt;&gt;"","",IF(G49=1,IF(Withdrawal_Timing="Start of year",(F49-C49)*(1+DD_Balanced),F49*(1+DD_Balanced)-C49),0))</f>
        <v/>
      </c>
      <c r="G50" s="83" t="str">
        <f aca="false">IF(Need_1&lt;&gt;"","",IF(Withdrawal_Timing="Start of year",IF(F50&gt;=C50,1,0),IF(F50*(1+DD_Balanced)&gt;=C50,1,0)))</f>
        <v/>
      </c>
      <c r="H50" s="84" t="str">
        <f aca="false">IF(Need_1&lt;&gt;"","",IF(I49=1,IF(Withdrawal_Timing="Start of year",(H49-C49)*(1+DD_Growth),H49*(1+DD_Growth)-C49),0))</f>
        <v/>
      </c>
      <c r="I50" s="83" t="str">
        <f aca="false">IF(Need_1&lt;&gt;"","",IF(Withdrawal_Timing="Start of year",IF(H50&gt;=C50,1,0),IF(H50*(1+DD_Growth)&gt;=C50,1,0)))</f>
        <v/>
      </c>
    </row>
    <row r="51" customFormat="false" ht="15" hidden="false" customHeight="true" outlineLevel="0" collapsed="false">
      <c r="B51" s="83" t="n">
        <v>19</v>
      </c>
      <c r="C51" s="84" t="str">
        <f aca="false">IF(Need_1&lt;&gt;"","",C50*(1+Inflation_Choice))</f>
        <v/>
      </c>
      <c r="D51" s="84" t="str">
        <f aca="false">IF(Need_1&lt;&gt;"","",IF(E50=1,IF(Withdrawal_Timing="Start of year",(D50-C50)*(1+DD_Cautious),D50*(1+DD_Cautious)-C50),0))</f>
        <v/>
      </c>
      <c r="E51" s="83" t="str">
        <f aca="false">IF(Need_1&lt;&gt;"","",IF(Withdrawal_Timing="Start of year",IF(D51&gt;=C51,1,0),IF(D51*(1+DD_Cautious)&gt;=C51,1,0)))</f>
        <v/>
      </c>
      <c r="F51" s="84" t="str">
        <f aca="false">IF(Need_1&lt;&gt;"","",IF(G50=1,IF(Withdrawal_Timing="Start of year",(F50-C50)*(1+DD_Balanced),F50*(1+DD_Balanced)-C50),0))</f>
        <v/>
      </c>
      <c r="G51" s="83" t="str">
        <f aca="false">IF(Need_1&lt;&gt;"","",IF(Withdrawal_Timing="Start of year",IF(F51&gt;=C51,1,0),IF(F51*(1+DD_Balanced)&gt;=C51,1,0)))</f>
        <v/>
      </c>
      <c r="H51" s="84" t="str">
        <f aca="false">IF(Need_1&lt;&gt;"","",IF(I50=1,IF(Withdrawal_Timing="Start of year",(H50-C50)*(1+DD_Growth),H50*(1+DD_Growth)-C50),0))</f>
        <v/>
      </c>
      <c r="I51" s="83" t="str">
        <f aca="false">IF(Need_1&lt;&gt;"","",IF(Withdrawal_Timing="Start of year",IF(H51&gt;=C51,1,0),IF(H51*(1+DD_Growth)&gt;=C51,1,0)))</f>
        <v/>
      </c>
    </row>
    <row r="52" customFormat="false" ht="15" hidden="false" customHeight="true" outlineLevel="0" collapsed="false">
      <c r="B52" s="83" t="n">
        <v>20</v>
      </c>
      <c r="C52" s="84" t="str">
        <f aca="false">IF(Need_1&lt;&gt;"","",C51*(1+Inflation_Choice))</f>
        <v/>
      </c>
      <c r="D52" s="84" t="str">
        <f aca="false">IF(Need_1&lt;&gt;"","",IF(E51=1,IF(Withdrawal_Timing="Start of year",(D51-C51)*(1+DD_Cautious),D51*(1+DD_Cautious)-C51),0))</f>
        <v/>
      </c>
      <c r="E52" s="83" t="str">
        <f aca="false">IF(Need_1&lt;&gt;"","",IF(Withdrawal_Timing="Start of year",IF(D52&gt;=C52,1,0),IF(D52*(1+DD_Cautious)&gt;=C52,1,0)))</f>
        <v/>
      </c>
      <c r="F52" s="84" t="str">
        <f aca="false">IF(Need_1&lt;&gt;"","",IF(G51=1,IF(Withdrawal_Timing="Start of year",(F51-C51)*(1+DD_Balanced),F51*(1+DD_Balanced)-C51),0))</f>
        <v/>
      </c>
      <c r="G52" s="83" t="str">
        <f aca="false">IF(Need_1&lt;&gt;"","",IF(Withdrawal_Timing="Start of year",IF(F52&gt;=C52,1,0),IF(F52*(1+DD_Balanced)&gt;=C52,1,0)))</f>
        <v/>
      </c>
      <c r="H52" s="84" t="str">
        <f aca="false">IF(Need_1&lt;&gt;"","",IF(I51=1,IF(Withdrawal_Timing="Start of year",(H51-C51)*(1+DD_Growth),H51*(1+DD_Growth)-C51),0))</f>
        <v/>
      </c>
      <c r="I52" s="83" t="str">
        <f aca="false">IF(Need_1&lt;&gt;"","",IF(Withdrawal_Timing="Start of year",IF(H52&gt;=C52,1,0),IF(H52*(1+DD_Growth)&gt;=C52,1,0)))</f>
        <v/>
      </c>
    </row>
    <row r="53" customFormat="false" ht="15" hidden="false" customHeight="true" outlineLevel="0" collapsed="false">
      <c r="B53" s="83" t="n">
        <v>21</v>
      </c>
      <c r="C53" s="84" t="str">
        <f aca="false">IF(Need_1&lt;&gt;"","",C52*(1+Inflation_Choice))</f>
        <v/>
      </c>
      <c r="D53" s="84" t="str">
        <f aca="false">IF(Need_1&lt;&gt;"","",IF(E52=1,IF(Withdrawal_Timing="Start of year",(D52-C52)*(1+DD_Cautious),D52*(1+DD_Cautious)-C52),0))</f>
        <v/>
      </c>
      <c r="E53" s="83" t="str">
        <f aca="false">IF(Need_1&lt;&gt;"","",IF(Withdrawal_Timing="Start of year",IF(D53&gt;=C53,1,0),IF(D53*(1+DD_Cautious)&gt;=C53,1,0)))</f>
        <v/>
      </c>
      <c r="F53" s="84" t="str">
        <f aca="false">IF(Need_1&lt;&gt;"","",IF(G52=1,IF(Withdrawal_Timing="Start of year",(F52-C52)*(1+DD_Balanced),F52*(1+DD_Balanced)-C52),0))</f>
        <v/>
      </c>
      <c r="G53" s="83" t="str">
        <f aca="false">IF(Need_1&lt;&gt;"","",IF(Withdrawal_Timing="Start of year",IF(F53&gt;=C53,1,0),IF(F53*(1+DD_Balanced)&gt;=C53,1,0)))</f>
        <v/>
      </c>
      <c r="H53" s="84" t="str">
        <f aca="false">IF(Need_1&lt;&gt;"","",IF(I52=1,IF(Withdrawal_Timing="Start of year",(H52-C52)*(1+DD_Growth),H52*(1+DD_Growth)-C52),0))</f>
        <v/>
      </c>
      <c r="I53" s="83" t="str">
        <f aca="false">IF(Need_1&lt;&gt;"","",IF(Withdrawal_Timing="Start of year",IF(H53&gt;=C53,1,0),IF(H53*(1+DD_Growth)&gt;=C53,1,0)))</f>
        <v/>
      </c>
    </row>
    <row r="54" customFormat="false" ht="15" hidden="false" customHeight="true" outlineLevel="0" collapsed="false">
      <c r="B54" s="83" t="n">
        <v>22</v>
      </c>
      <c r="C54" s="84" t="str">
        <f aca="false">IF(Need_1&lt;&gt;"","",C53*(1+Inflation_Choice))</f>
        <v/>
      </c>
      <c r="D54" s="84" t="str">
        <f aca="false">IF(Need_1&lt;&gt;"","",IF(E53=1,IF(Withdrawal_Timing="Start of year",(D53-C53)*(1+DD_Cautious),D53*(1+DD_Cautious)-C53),0))</f>
        <v/>
      </c>
      <c r="E54" s="83" t="str">
        <f aca="false">IF(Need_1&lt;&gt;"","",IF(Withdrawal_Timing="Start of year",IF(D54&gt;=C54,1,0),IF(D54*(1+DD_Cautious)&gt;=C54,1,0)))</f>
        <v/>
      </c>
      <c r="F54" s="84" t="str">
        <f aca="false">IF(Need_1&lt;&gt;"","",IF(G53=1,IF(Withdrawal_Timing="Start of year",(F53-C53)*(1+DD_Balanced),F53*(1+DD_Balanced)-C53),0))</f>
        <v/>
      </c>
      <c r="G54" s="83" t="str">
        <f aca="false">IF(Need_1&lt;&gt;"","",IF(Withdrawal_Timing="Start of year",IF(F54&gt;=C54,1,0),IF(F54*(1+DD_Balanced)&gt;=C54,1,0)))</f>
        <v/>
      </c>
      <c r="H54" s="84" t="str">
        <f aca="false">IF(Need_1&lt;&gt;"","",IF(I53=1,IF(Withdrawal_Timing="Start of year",(H53-C53)*(1+DD_Growth),H53*(1+DD_Growth)-C53),0))</f>
        <v/>
      </c>
      <c r="I54" s="83" t="str">
        <f aca="false">IF(Need_1&lt;&gt;"","",IF(Withdrawal_Timing="Start of year",IF(H54&gt;=C54,1,0),IF(H54*(1+DD_Growth)&gt;=C54,1,0)))</f>
        <v/>
      </c>
    </row>
    <row r="55" customFormat="false" ht="15" hidden="false" customHeight="true" outlineLevel="0" collapsed="false">
      <c r="B55" s="83" t="n">
        <v>23</v>
      </c>
      <c r="C55" s="84" t="str">
        <f aca="false">IF(Need_1&lt;&gt;"","",C54*(1+Inflation_Choice))</f>
        <v/>
      </c>
      <c r="D55" s="84" t="str">
        <f aca="false">IF(Need_1&lt;&gt;"","",IF(E54=1,IF(Withdrawal_Timing="Start of year",(D54-C54)*(1+DD_Cautious),D54*(1+DD_Cautious)-C54),0))</f>
        <v/>
      </c>
      <c r="E55" s="83" t="str">
        <f aca="false">IF(Need_1&lt;&gt;"","",IF(Withdrawal_Timing="Start of year",IF(D55&gt;=C55,1,0),IF(D55*(1+DD_Cautious)&gt;=C55,1,0)))</f>
        <v/>
      </c>
      <c r="F55" s="84" t="str">
        <f aca="false">IF(Need_1&lt;&gt;"","",IF(G54=1,IF(Withdrawal_Timing="Start of year",(F54-C54)*(1+DD_Balanced),F54*(1+DD_Balanced)-C54),0))</f>
        <v/>
      </c>
      <c r="G55" s="83" t="str">
        <f aca="false">IF(Need_1&lt;&gt;"","",IF(Withdrawal_Timing="Start of year",IF(F55&gt;=C55,1,0),IF(F55*(1+DD_Balanced)&gt;=C55,1,0)))</f>
        <v/>
      </c>
      <c r="H55" s="84" t="str">
        <f aca="false">IF(Need_1&lt;&gt;"","",IF(I54=1,IF(Withdrawal_Timing="Start of year",(H54-C54)*(1+DD_Growth),H54*(1+DD_Growth)-C54),0))</f>
        <v/>
      </c>
      <c r="I55" s="83" t="str">
        <f aca="false">IF(Need_1&lt;&gt;"","",IF(Withdrawal_Timing="Start of year",IF(H55&gt;=C55,1,0),IF(H55*(1+DD_Growth)&gt;=C55,1,0)))</f>
        <v/>
      </c>
    </row>
    <row r="56" customFormat="false" ht="15" hidden="false" customHeight="true" outlineLevel="0" collapsed="false">
      <c r="B56" s="83" t="n">
        <v>24</v>
      </c>
      <c r="C56" s="84" t="str">
        <f aca="false">IF(Need_1&lt;&gt;"","",C55*(1+Inflation_Choice))</f>
        <v/>
      </c>
      <c r="D56" s="84" t="str">
        <f aca="false">IF(Need_1&lt;&gt;"","",IF(E55=1,IF(Withdrawal_Timing="Start of year",(D55-C55)*(1+DD_Cautious),D55*(1+DD_Cautious)-C55),0))</f>
        <v/>
      </c>
      <c r="E56" s="83" t="str">
        <f aca="false">IF(Need_1&lt;&gt;"","",IF(Withdrawal_Timing="Start of year",IF(D56&gt;=C56,1,0),IF(D56*(1+DD_Cautious)&gt;=C56,1,0)))</f>
        <v/>
      </c>
      <c r="F56" s="84" t="str">
        <f aca="false">IF(Need_1&lt;&gt;"","",IF(G55=1,IF(Withdrawal_Timing="Start of year",(F55-C55)*(1+DD_Balanced),F55*(1+DD_Balanced)-C55),0))</f>
        <v/>
      </c>
      <c r="G56" s="83" t="str">
        <f aca="false">IF(Need_1&lt;&gt;"","",IF(Withdrawal_Timing="Start of year",IF(F56&gt;=C56,1,0),IF(F56*(1+DD_Balanced)&gt;=C56,1,0)))</f>
        <v/>
      </c>
      <c r="H56" s="84" t="str">
        <f aca="false">IF(Need_1&lt;&gt;"","",IF(I55=1,IF(Withdrawal_Timing="Start of year",(H55-C55)*(1+DD_Growth),H55*(1+DD_Growth)-C55),0))</f>
        <v/>
      </c>
      <c r="I56" s="83" t="str">
        <f aca="false">IF(Need_1&lt;&gt;"","",IF(Withdrawal_Timing="Start of year",IF(H56&gt;=C56,1,0),IF(H56*(1+DD_Growth)&gt;=C56,1,0)))</f>
        <v/>
      </c>
    </row>
    <row r="57" customFormat="false" ht="15" hidden="false" customHeight="true" outlineLevel="0" collapsed="false">
      <c r="B57" s="83" t="n">
        <v>25</v>
      </c>
      <c r="C57" s="84" t="str">
        <f aca="false">IF(Need_1&lt;&gt;"","",C56*(1+Inflation_Choice))</f>
        <v/>
      </c>
      <c r="D57" s="84" t="str">
        <f aca="false">IF(Need_1&lt;&gt;"","",IF(E56=1,IF(Withdrawal_Timing="Start of year",(D56-C56)*(1+DD_Cautious),D56*(1+DD_Cautious)-C56),0))</f>
        <v/>
      </c>
      <c r="E57" s="83" t="str">
        <f aca="false">IF(Need_1&lt;&gt;"","",IF(Withdrawal_Timing="Start of year",IF(D57&gt;=C57,1,0),IF(D57*(1+DD_Cautious)&gt;=C57,1,0)))</f>
        <v/>
      </c>
      <c r="F57" s="84" t="str">
        <f aca="false">IF(Need_1&lt;&gt;"","",IF(G56=1,IF(Withdrawal_Timing="Start of year",(F56-C56)*(1+DD_Balanced),F56*(1+DD_Balanced)-C56),0))</f>
        <v/>
      </c>
      <c r="G57" s="83" t="str">
        <f aca="false">IF(Need_1&lt;&gt;"","",IF(Withdrawal_Timing="Start of year",IF(F57&gt;=C57,1,0),IF(F57*(1+DD_Balanced)&gt;=C57,1,0)))</f>
        <v/>
      </c>
      <c r="H57" s="84" t="str">
        <f aca="false">IF(Need_1&lt;&gt;"","",IF(I56=1,IF(Withdrawal_Timing="Start of year",(H56-C56)*(1+DD_Growth),H56*(1+DD_Growth)-C56),0))</f>
        <v/>
      </c>
      <c r="I57" s="83" t="str">
        <f aca="false">IF(Need_1&lt;&gt;"","",IF(Withdrawal_Timing="Start of year",IF(H57&gt;=C57,1,0),IF(H57*(1+DD_Growth)&gt;=C57,1,0)))</f>
        <v/>
      </c>
    </row>
    <row r="58" customFormat="false" ht="15" hidden="false" customHeight="true" outlineLevel="0" collapsed="false">
      <c r="B58" s="83" t="n">
        <v>26</v>
      </c>
      <c r="C58" s="84" t="str">
        <f aca="false">IF(Need_1&lt;&gt;"","",C57*(1+Inflation_Choice))</f>
        <v/>
      </c>
      <c r="D58" s="84" t="str">
        <f aca="false">IF(Need_1&lt;&gt;"","",IF(E57=1,IF(Withdrawal_Timing="Start of year",(D57-C57)*(1+DD_Cautious),D57*(1+DD_Cautious)-C57),0))</f>
        <v/>
      </c>
      <c r="E58" s="83" t="str">
        <f aca="false">IF(Need_1&lt;&gt;"","",IF(Withdrawal_Timing="Start of year",IF(D58&gt;=C58,1,0),IF(D58*(1+DD_Cautious)&gt;=C58,1,0)))</f>
        <v/>
      </c>
      <c r="F58" s="84" t="str">
        <f aca="false">IF(Need_1&lt;&gt;"","",IF(G57=1,IF(Withdrawal_Timing="Start of year",(F57-C57)*(1+DD_Balanced),F57*(1+DD_Balanced)-C57),0))</f>
        <v/>
      </c>
      <c r="G58" s="83" t="str">
        <f aca="false">IF(Need_1&lt;&gt;"","",IF(Withdrawal_Timing="Start of year",IF(F58&gt;=C58,1,0),IF(F58*(1+DD_Balanced)&gt;=C58,1,0)))</f>
        <v/>
      </c>
      <c r="H58" s="84" t="str">
        <f aca="false">IF(Need_1&lt;&gt;"","",IF(I57=1,IF(Withdrawal_Timing="Start of year",(H57-C57)*(1+DD_Growth),H57*(1+DD_Growth)-C57),0))</f>
        <v/>
      </c>
      <c r="I58" s="83" t="str">
        <f aca="false">IF(Need_1&lt;&gt;"","",IF(Withdrawal_Timing="Start of year",IF(H58&gt;=C58,1,0),IF(H58*(1+DD_Growth)&gt;=C58,1,0)))</f>
        <v/>
      </c>
    </row>
    <row r="59" customFormat="false" ht="15" hidden="false" customHeight="true" outlineLevel="0" collapsed="false">
      <c r="B59" s="83" t="n">
        <v>27</v>
      </c>
      <c r="C59" s="84" t="str">
        <f aca="false">IF(Need_1&lt;&gt;"","",C58*(1+Inflation_Choice))</f>
        <v/>
      </c>
      <c r="D59" s="84" t="str">
        <f aca="false">IF(Need_1&lt;&gt;"","",IF(E58=1,IF(Withdrawal_Timing="Start of year",(D58-C58)*(1+DD_Cautious),D58*(1+DD_Cautious)-C58),0))</f>
        <v/>
      </c>
      <c r="E59" s="83" t="str">
        <f aca="false">IF(Need_1&lt;&gt;"","",IF(Withdrawal_Timing="Start of year",IF(D59&gt;=C59,1,0),IF(D59*(1+DD_Cautious)&gt;=C59,1,0)))</f>
        <v/>
      </c>
      <c r="F59" s="84" t="str">
        <f aca="false">IF(Need_1&lt;&gt;"","",IF(G58=1,IF(Withdrawal_Timing="Start of year",(F58-C58)*(1+DD_Balanced),F58*(1+DD_Balanced)-C58),0))</f>
        <v/>
      </c>
      <c r="G59" s="83" t="str">
        <f aca="false">IF(Need_1&lt;&gt;"","",IF(Withdrawal_Timing="Start of year",IF(F59&gt;=C59,1,0),IF(F59*(1+DD_Balanced)&gt;=C59,1,0)))</f>
        <v/>
      </c>
      <c r="H59" s="84" t="str">
        <f aca="false">IF(Need_1&lt;&gt;"","",IF(I58=1,IF(Withdrawal_Timing="Start of year",(H58-C58)*(1+DD_Growth),H58*(1+DD_Growth)-C58),0))</f>
        <v/>
      </c>
      <c r="I59" s="83" t="str">
        <f aca="false">IF(Need_1&lt;&gt;"","",IF(Withdrawal_Timing="Start of year",IF(H59&gt;=C59,1,0),IF(H59*(1+DD_Growth)&gt;=C59,1,0)))</f>
        <v/>
      </c>
    </row>
    <row r="60" customFormat="false" ht="15" hidden="false" customHeight="true" outlineLevel="0" collapsed="false">
      <c r="B60" s="83" t="n">
        <v>28</v>
      </c>
      <c r="C60" s="84" t="str">
        <f aca="false">IF(Need_1&lt;&gt;"","",C59*(1+Inflation_Choice))</f>
        <v/>
      </c>
      <c r="D60" s="84" t="str">
        <f aca="false">IF(Need_1&lt;&gt;"","",IF(E59=1,IF(Withdrawal_Timing="Start of year",(D59-C59)*(1+DD_Cautious),D59*(1+DD_Cautious)-C59),0))</f>
        <v/>
      </c>
      <c r="E60" s="83" t="str">
        <f aca="false">IF(Need_1&lt;&gt;"","",IF(Withdrawal_Timing="Start of year",IF(D60&gt;=C60,1,0),IF(D60*(1+DD_Cautious)&gt;=C60,1,0)))</f>
        <v/>
      </c>
      <c r="F60" s="84" t="str">
        <f aca="false">IF(Need_1&lt;&gt;"","",IF(G59=1,IF(Withdrawal_Timing="Start of year",(F59-C59)*(1+DD_Balanced),F59*(1+DD_Balanced)-C59),0))</f>
        <v/>
      </c>
      <c r="G60" s="83" t="str">
        <f aca="false">IF(Need_1&lt;&gt;"","",IF(Withdrawal_Timing="Start of year",IF(F60&gt;=C60,1,0),IF(F60*(1+DD_Balanced)&gt;=C60,1,0)))</f>
        <v/>
      </c>
      <c r="H60" s="84" t="str">
        <f aca="false">IF(Need_1&lt;&gt;"","",IF(I59=1,IF(Withdrawal_Timing="Start of year",(H59-C59)*(1+DD_Growth),H59*(1+DD_Growth)-C59),0))</f>
        <v/>
      </c>
      <c r="I60" s="83" t="str">
        <f aca="false">IF(Need_1&lt;&gt;"","",IF(Withdrawal_Timing="Start of year",IF(H60&gt;=C60,1,0),IF(H60*(1+DD_Growth)&gt;=C60,1,0)))</f>
        <v/>
      </c>
    </row>
    <row r="61" customFormat="false" ht="15" hidden="false" customHeight="true" outlineLevel="0" collapsed="false">
      <c r="B61" s="83" t="n">
        <v>29</v>
      </c>
      <c r="C61" s="84" t="str">
        <f aca="false">IF(Need_1&lt;&gt;"","",C60*(1+Inflation_Choice))</f>
        <v/>
      </c>
      <c r="D61" s="84" t="str">
        <f aca="false">IF(Need_1&lt;&gt;"","",IF(E60=1,IF(Withdrawal_Timing="Start of year",(D60-C60)*(1+DD_Cautious),D60*(1+DD_Cautious)-C60),0))</f>
        <v/>
      </c>
      <c r="E61" s="83" t="str">
        <f aca="false">IF(Need_1&lt;&gt;"","",IF(Withdrawal_Timing="Start of year",IF(D61&gt;=C61,1,0),IF(D61*(1+DD_Cautious)&gt;=C61,1,0)))</f>
        <v/>
      </c>
      <c r="F61" s="84" t="str">
        <f aca="false">IF(Need_1&lt;&gt;"","",IF(G60=1,IF(Withdrawal_Timing="Start of year",(F60-C60)*(1+DD_Balanced),F60*(1+DD_Balanced)-C60),0))</f>
        <v/>
      </c>
      <c r="G61" s="83" t="str">
        <f aca="false">IF(Need_1&lt;&gt;"","",IF(Withdrawal_Timing="Start of year",IF(F61&gt;=C61,1,0),IF(F61*(1+DD_Balanced)&gt;=C61,1,0)))</f>
        <v/>
      </c>
      <c r="H61" s="84" t="str">
        <f aca="false">IF(Need_1&lt;&gt;"","",IF(I60=1,IF(Withdrawal_Timing="Start of year",(H60-C60)*(1+DD_Growth),H60*(1+DD_Growth)-C60),0))</f>
        <v/>
      </c>
      <c r="I61" s="83" t="str">
        <f aca="false">IF(Need_1&lt;&gt;"","",IF(Withdrawal_Timing="Start of year",IF(H61&gt;=C61,1,0),IF(H61*(1+DD_Growth)&gt;=C61,1,0)))</f>
        <v/>
      </c>
    </row>
    <row r="62" customFormat="false" ht="15" hidden="false" customHeight="true" outlineLevel="0" collapsed="false">
      <c r="B62" s="83" t="n">
        <v>30</v>
      </c>
      <c r="C62" s="84" t="str">
        <f aca="false">IF(Need_1&lt;&gt;"","",C61*(1+Inflation_Choice))</f>
        <v/>
      </c>
      <c r="D62" s="84" t="str">
        <f aca="false">IF(Need_1&lt;&gt;"","",IF(E61=1,IF(Withdrawal_Timing="Start of year",(D61-C61)*(1+DD_Cautious),D61*(1+DD_Cautious)-C61),0))</f>
        <v/>
      </c>
      <c r="E62" s="83" t="str">
        <f aca="false">IF(Need_1&lt;&gt;"","",IF(Withdrawal_Timing="Start of year",IF(D62&gt;=C62,1,0),IF(D62*(1+DD_Cautious)&gt;=C62,1,0)))</f>
        <v/>
      </c>
      <c r="F62" s="84" t="str">
        <f aca="false">IF(Need_1&lt;&gt;"","",IF(G61=1,IF(Withdrawal_Timing="Start of year",(F61-C61)*(1+DD_Balanced),F61*(1+DD_Balanced)-C61),0))</f>
        <v/>
      </c>
      <c r="G62" s="83" t="str">
        <f aca="false">IF(Need_1&lt;&gt;"","",IF(Withdrawal_Timing="Start of year",IF(F62&gt;=C62,1,0),IF(F62*(1+DD_Balanced)&gt;=C62,1,0)))</f>
        <v/>
      </c>
      <c r="H62" s="84" t="str">
        <f aca="false">IF(Need_1&lt;&gt;"","",IF(I61=1,IF(Withdrawal_Timing="Start of year",(H61-C61)*(1+DD_Growth),H61*(1+DD_Growth)-C61),0))</f>
        <v/>
      </c>
      <c r="I62" s="83" t="str">
        <f aca="false">IF(Need_1&lt;&gt;"","",IF(Withdrawal_Timing="Start of year",IF(H62&gt;=C62,1,0),IF(H62*(1+DD_Growth)&gt;=C62,1,0)))</f>
        <v/>
      </c>
    </row>
    <row r="63" customFormat="false" ht="15" hidden="false" customHeight="true" outlineLevel="0" collapsed="false">
      <c r="B63" s="83" t="n">
        <v>31</v>
      </c>
      <c r="C63" s="84" t="str">
        <f aca="false">IF(Need_1&lt;&gt;"","",C62*(1+Inflation_Choice))</f>
        <v/>
      </c>
      <c r="D63" s="84" t="str">
        <f aca="false">IF(Need_1&lt;&gt;"","",IF(E62=1,IF(Withdrawal_Timing="Start of year",(D62-C62)*(1+DD_Cautious),D62*(1+DD_Cautious)-C62),0))</f>
        <v/>
      </c>
      <c r="E63" s="83" t="str">
        <f aca="false">IF(Need_1&lt;&gt;"","",IF(Withdrawal_Timing="Start of year",IF(D63&gt;=C63,1,0),IF(D63*(1+DD_Cautious)&gt;=C63,1,0)))</f>
        <v/>
      </c>
      <c r="F63" s="84" t="str">
        <f aca="false">IF(Need_1&lt;&gt;"","",IF(G62=1,IF(Withdrawal_Timing="Start of year",(F62-C62)*(1+DD_Balanced),F62*(1+DD_Balanced)-C62),0))</f>
        <v/>
      </c>
      <c r="G63" s="83" t="str">
        <f aca="false">IF(Need_1&lt;&gt;"","",IF(Withdrawal_Timing="Start of year",IF(F63&gt;=C63,1,0),IF(F63*(1+DD_Balanced)&gt;=C63,1,0)))</f>
        <v/>
      </c>
      <c r="H63" s="84" t="str">
        <f aca="false">IF(Need_1&lt;&gt;"","",IF(I62=1,IF(Withdrawal_Timing="Start of year",(H62-C62)*(1+DD_Growth),H62*(1+DD_Growth)-C62),0))</f>
        <v/>
      </c>
      <c r="I63" s="83" t="str">
        <f aca="false">IF(Need_1&lt;&gt;"","",IF(Withdrawal_Timing="Start of year",IF(H63&gt;=C63,1,0),IF(H63*(1+DD_Growth)&gt;=C63,1,0)))</f>
        <v/>
      </c>
    </row>
    <row r="64" customFormat="false" ht="15" hidden="false" customHeight="true" outlineLevel="0" collapsed="false">
      <c r="B64" s="83" t="n">
        <v>32</v>
      </c>
      <c r="C64" s="84" t="str">
        <f aca="false">IF(Need_1&lt;&gt;"","",C63*(1+Inflation_Choice))</f>
        <v/>
      </c>
      <c r="D64" s="84" t="str">
        <f aca="false">IF(Need_1&lt;&gt;"","",IF(E63=1,IF(Withdrawal_Timing="Start of year",(D63-C63)*(1+DD_Cautious),D63*(1+DD_Cautious)-C63),0))</f>
        <v/>
      </c>
      <c r="E64" s="83" t="str">
        <f aca="false">IF(Need_1&lt;&gt;"","",IF(Withdrawal_Timing="Start of year",IF(D64&gt;=C64,1,0),IF(D64*(1+DD_Cautious)&gt;=C64,1,0)))</f>
        <v/>
      </c>
      <c r="F64" s="84" t="str">
        <f aca="false">IF(Need_1&lt;&gt;"","",IF(G63=1,IF(Withdrawal_Timing="Start of year",(F63-C63)*(1+DD_Balanced),F63*(1+DD_Balanced)-C63),0))</f>
        <v/>
      </c>
      <c r="G64" s="83" t="str">
        <f aca="false">IF(Need_1&lt;&gt;"","",IF(Withdrawal_Timing="Start of year",IF(F64&gt;=C64,1,0),IF(F64*(1+DD_Balanced)&gt;=C64,1,0)))</f>
        <v/>
      </c>
      <c r="H64" s="84" t="str">
        <f aca="false">IF(Need_1&lt;&gt;"","",IF(I63=1,IF(Withdrawal_Timing="Start of year",(H63-C63)*(1+DD_Growth),H63*(1+DD_Growth)-C63),0))</f>
        <v/>
      </c>
      <c r="I64" s="83" t="str">
        <f aca="false">IF(Need_1&lt;&gt;"","",IF(Withdrawal_Timing="Start of year",IF(H64&gt;=C64,1,0),IF(H64*(1+DD_Growth)&gt;=C64,1,0)))</f>
        <v/>
      </c>
    </row>
    <row r="65" customFormat="false" ht="15" hidden="false" customHeight="true" outlineLevel="0" collapsed="false">
      <c r="B65" s="83" t="n">
        <v>33</v>
      </c>
      <c r="C65" s="84" t="str">
        <f aca="false">IF(Need_1&lt;&gt;"","",C64*(1+Inflation_Choice))</f>
        <v/>
      </c>
      <c r="D65" s="84" t="str">
        <f aca="false">IF(Need_1&lt;&gt;"","",IF(E64=1,IF(Withdrawal_Timing="Start of year",(D64-C64)*(1+DD_Cautious),D64*(1+DD_Cautious)-C64),0))</f>
        <v/>
      </c>
      <c r="E65" s="83" t="str">
        <f aca="false">IF(Need_1&lt;&gt;"","",IF(Withdrawal_Timing="Start of year",IF(D65&gt;=C65,1,0),IF(D65*(1+DD_Cautious)&gt;=C65,1,0)))</f>
        <v/>
      </c>
      <c r="F65" s="84" t="str">
        <f aca="false">IF(Need_1&lt;&gt;"","",IF(G64=1,IF(Withdrawal_Timing="Start of year",(F64-C64)*(1+DD_Balanced),F64*(1+DD_Balanced)-C64),0))</f>
        <v/>
      </c>
      <c r="G65" s="83" t="str">
        <f aca="false">IF(Need_1&lt;&gt;"","",IF(Withdrawal_Timing="Start of year",IF(F65&gt;=C65,1,0),IF(F65*(1+DD_Balanced)&gt;=C65,1,0)))</f>
        <v/>
      </c>
      <c r="H65" s="84" t="str">
        <f aca="false">IF(Need_1&lt;&gt;"","",IF(I64=1,IF(Withdrawal_Timing="Start of year",(H64-C64)*(1+DD_Growth),H64*(1+DD_Growth)-C64),0))</f>
        <v/>
      </c>
      <c r="I65" s="83" t="str">
        <f aca="false">IF(Need_1&lt;&gt;"","",IF(Withdrawal_Timing="Start of year",IF(H65&gt;=C65,1,0),IF(H65*(1+DD_Growth)&gt;=C65,1,0)))</f>
        <v/>
      </c>
    </row>
    <row r="66" customFormat="false" ht="15" hidden="false" customHeight="true" outlineLevel="0" collapsed="false">
      <c r="B66" s="83" t="n">
        <v>34</v>
      </c>
      <c r="C66" s="84" t="str">
        <f aca="false">IF(Need_1&lt;&gt;"","",C65*(1+Inflation_Choice))</f>
        <v/>
      </c>
      <c r="D66" s="84" t="str">
        <f aca="false">IF(Need_1&lt;&gt;"","",IF(E65=1,IF(Withdrawal_Timing="Start of year",(D65-C65)*(1+DD_Cautious),D65*(1+DD_Cautious)-C65),0))</f>
        <v/>
      </c>
      <c r="E66" s="83" t="str">
        <f aca="false">IF(Need_1&lt;&gt;"","",IF(Withdrawal_Timing="Start of year",IF(D66&gt;=C66,1,0),IF(D66*(1+DD_Cautious)&gt;=C66,1,0)))</f>
        <v/>
      </c>
      <c r="F66" s="84" t="str">
        <f aca="false">IF(Need_1&lt;&gt;"","",IF(G65=1,IF(Withdrawal_Timing="Start of year",(F65-C65)*(1+DD_Balanced),F65*(1+DD_Balanced)-C65),0))</f>
        <v/>
      </c>
      <c r="G66" s="83" t="str">
        <f aca="false">IF(Need_1&lt;&gt;"","",IF(Withdrawal_Timing="Start of year",IF(F66&gt;=C66,1,0),IF(F66*(1+DD_Balanced)&gt;=C66,1,0)))</f>
        <v/>
      </c>
      <c r="H66" s="84" t="str">
        <f aca="false">IF(Need_1&lt;&gt;"","",IF(I65=1,IF(Withdrawal_Timing="Start of year",(H65-C65)*(1+DD_Growth),H65*(1+DD_Growth)-C65),0))</f>
        <v/>
      </c>
      <c r="I66" s="83" t="str">
        <f aca="false">IF(Need_1&lt;&gt;"","",IF(Withdrawal_Timing="Start of year",IF(H66&gt;=C66,1,0),IF(H66*(1+DD_Growth)&gt;=C66,1,0)))</f>
        <v/>
      </c>
    </row>
    <row r="67" customFormat="false" ht="15" hidden="false" customHeight="true" outlineLevel="0" collapsed="false">
      <c r="B67" s="83" t="n">
        <v>35</v>
      </c>
      <c r="C67" s="84" t="str">
        <f aca="false">IF(Need_1&lt;&gt;"","",C66*(1+Inflation_Choice))</f>
        <v/>
      </c>
      <c r="D67" s="84" t="str">
        <f aca="false">IF(Need_1&lt;&gt;"","",IF(E66=1,IF(Withdrawal_Timing="Start of year",(D66-C66)*(1+DD_Cautious),D66*(1+DD_Cautious)-C66),0))</f>
        <v/>
      </c>
      <c r="E67" s="83" t="str">
        <f aca="false">IF(Need_1&lt;&gt;"","",IF(Withdrawal_Timing="Start of year",IF(D67&gt;=C67,1,0),IF(D67*(1+DD_Cautious)&gt;=C67,1,0)))</f>
        <v/>
      </c>
      <c r="F67" s="84" t="str">
        <f aca="false">IF(Need_1&lt;&gt;"","",IF(G66=1,IF(Withdrawal_Timing="Start of year",(F66-C66)*(1+DD_Balanced),F66*(1+DD_Balanced)-C66),0))</f>
        <v/>
      </c>
      <c r="G67" s="83" t="str">
        <f aca="false">IF(Need_1&lt;&gt;"","",IF(Withdrawal_Timing="Start of year",IF(F67&gt;=C67,1,0),IF(F67*(1+DD_Balanced)&gt;=C67,1,0)))</f>
        <v/>
      </c>
      <c r="H67" s="84" t="str">
        <f aca="false">IF(Need_1&lt;&gt;"","",IF(I66=1,IF(Withdrawal_Timing="Start of year",(H66-C66)*(1+DD_Growth),H66*(1+DD_Growth)-C66),0))</f>
        <v/>
      </c>
      <c r="I67" s="83" t="str">
        <f aca="false">IF(Need_1&lt;&gt;"","",IF(Withdrawal_Timing="Start of year",IF(H67&gt;=C67,1,0),IF(H67*(1+DD_Growth)&gt;=C67,1,0)))</f>
        <v/>
      </c>
    </row>
    <row r="68" customFormat="false" ht="15" hidden="false" customHeight="true" outlineLevel="0" collapsed="false">
      <c r="B68" s="83" t="n">
        <v>36</v>
      </c>
      <c r="C68" s="84" t="str">
        <f aca="false">IF(Need_1&lt;&gt;"","",C67*(1+Inflation_Choice))</f>
        <v/>
      </c>
      <c r="D68" s="84" t="str">
        <f aca="false">IF(Need_1&lt;&gt;"","",IF(E67=1,IF(Withdrawal_Timing="Start of year",(D67-C67)*(1+DD_Cautious),D67*(1+DD_Cautious)-C67),0))</f>
        <v/>
      </c>
      <c r="E68" s="83" t="str">
        <f aca="false">IF(Need_1&lt;&gt;"","",IF(Withdrawal_Timing="Start of year",IF(D68&gt;=C68,1,0),IF(D68*(1+DD_Cautious)&gt;=C68,1,0)))</f>
        <v/>
      </c>
      <c r="F68" s="84" t="str">
        <f aca="false">IF(Need_1&lt;&gt;"","",IF(G67=1,IF(Withdrawal_Timing="Start of year",(F67-C67)*(1+DD_Balanced),F67*(1+DD_Balanced)-C67),0))</f>
        <v/>
      </c>
      <c r="G68" s="83" t="str">
        <f aca="false">IF(Need_1&lt;&gt;"","",IF(Withdrawal_Timing="Start of year",IF(F68&gt;=C68,1,0),IF(F68*(1+DD_Balanced)&gt;=C68,1,0)))</f>
        <v/>
      </c>
      <c r="H68" s="84" t="str">
        <f aca="false">IF(Need_1&lt;&gt;"","",IF(I67=1,IF(Withdrawal_Timing="Start of year",(H67-C67)*(1+DD_Growth),H67*(1+DD_Growth)-C67),0))</f>
        <v/>
      </c>
      <c r="I68" s="83" t="str">
        <f aca="false">IF(Need_1&lt;&gt;"","",IF(Withdrawal_Timing="Start of year",IF(H68&gt;=C68,1,0),IF(H68*(1+DD_Growth)&gt;=C68,1,0)))</f>
        <v/>
      </c>
    </row>
    <row r="69" customFormat="false" ht="15" hidden="false" customHeight="true" outlineLevel="0" collapsed="false">
      <c r="B69" s="83" t="n">
        <v>37</v>
      </c>
      <c r="C69" s="84" t="str">
        <f aca="false">IF(Need_1&lt;&gt;"","",C68*(1+Inflation_Choice))</f>
        <v/>
      </c>
      <c r="D69" s="84" t="str">
        <f aca="false">IF(Need_1&lt;&gt;"","",IF(E68=1,IF(Withdrawal_Timing="Start of year",(D68-C68)*(1+DD_Cautious),D68*(1+DD_Cautious)-C68),0))</f>
        <v/>
      </c>
      <c r="E69" s="83" t="str">
        <f aca="false">IF(Need_1&lt;&gt;"","",IF(Withdrawal_Timing="Start of year",IF(D69&gt;=C69,1,0),IF(D69*(1+DD_Cautious)&gt;=C69,1,0)))</f>
        <v/>
      </c>
      <c r="F69" s="84" t="str">
        <f aca="false">IF(Need_1&lt;&gt;"","",IF(G68=1,IF(Withdrawal_Timing="Start of year",(F68-C68)*(1+DD_Balanced),F68*(1+DD_Balanced)-C68),0))</f>
        <v/>
      </c>
      <c r="G69" s="83" t="str">
        <f aca="false">IF(Need_1&lt;&gt;"","",IF(Withdrawal_Timing="Start of year",IF(F69&gt;=C69,1,0),IF(F69*(1+DD_Balanced)&gt;=C69,1,0)))</f>
        <v/>
      </c>
      <c r="H69" s="84" t="str">
        <f aca="false">IF(Need_1&lt;&gt;"","",IF(I68=1,IF(Withdrawal_Timing="Start of year",(H68-C68)*(1+DD_Growth),H68*(1+DD_Growth)-C68),0))</f>
        <v/>
      </c>
      <c r="I69" s="83" t="str">
        <f aca="false">IF(Need_1&lt;&gt;"","",IF(Withdrawal_Timing="Start of year",IF(H69&gt;=C69,1,0),IF(H69*(1+DD_Growth)&gt;=C69,1,0)))</f>
        <v/>
      </c>
    </row>
    <row r="70" customFormat="false" ht="15" hidden="false" customHeight="true" outlineLevel="0" collapsed="false">
      <c r="B70" s="83" t="n">
        <v>38</v>
      </c>
      <c r="C70" s="84" t="str">
        <f aca="false">IF(Need_1&lt;&gt;"","",C69*(1+Inflation_Choice))</f>
        <v/>
      </c>
      <c r="D70" s="84" t="str">
        <f aca="false">IF(Need_1&lt;&gt;"","",IF(E69=1,IF(Withdrawal_Timing="Start of year",(D69-C69)*(1+DD_Cautious),D69*(1+DD_Cautious)-C69),0))</f>
        <v/>
      </c>
      <c r="E70" s="83" t="str">
        <f aca="false">IF(Need_1&lt;&gt;"","",IF(Withdrawal_Timing="Start of year",IF(D70&gt;=C70,1,0),IF(D70*(1+DD_Cautious)&gt;=C70,1,0)))</f>
        <v/>
      </c>
      <c r="F70" s="84" t="str">
        <f aca="false">IF(Need_1&lt;&gt;"","",IF(G69=1,IF(Withdrawal_Timing="Start of year",(F69-C69)*(1+DD_Balanced),F69*(1+DD_Balanced)-C69),0))</f>
        <v/>
      </c>
      <c r="G70" s="83" t="str">
        <f aca="false">IF(Need_1&lt;&gt;"","",IF(Withdrawal_Timing="Start of year",IF(F70&gt;=C70,1,0),IF(F70*(1+DD_Balanced)&gt;=C70,1,0)))</f>
        <v/>
      </c>
      <c r="H70" s="84" t="str">
        <f aca="false">IF(Need_1&lt;&gt;"","",IF(I69=1,IF(Withdrawal_Timing="Start of year",(H69-C69)*(1+DD_Growth),H69*(1+DD_Growth)-C69),0))</f>
        <v/>
      </c>
      <c r="I70" s="83" t="str">
        <f aca="false">IF(Need_1&lt;&gt;"","",IF(Withdrawal_Timing="Start of year",IF(H70&gt;=C70,1,0),IF(H70*(1+DD_Growth)&gt;=C70,1,0)))</f>
        <v/>
      </c>
    </row>
    <row r="71" customFormat="false" ht="15" hidden="false" customHeight="true" outlineLevel="0" collapsed="false">
      <c r="B71" s="83" t="n">
        <v>39</v>
      </c>
      <c r="C71" s="84" t="str">
        <f aca="false">IF(Need_1&lt;&gt;"","",C70*(1+Inflation_Choice))</f>
        <v/>
      </c>
      <c r="D71" s="84" t="str">
        <f aca="false">IF(Need_1&lt;&gt;"","",IF(E70=1,IF(Withdrawal_Timing="Start of year",(D70-C70)*(1+DD_Cautious),D70*(1+DD_Cautious)-C70),0))</f>
        <v/>
      </c>
      <c r="E71" s="83" t="str">
        <f aca="false">IF(Need_1&lt;&gt;"","",IF(Withdrawal_Timing="Start of year",IF(D71&gt;=C71,1,0),IF(D71*(1+DD_Cautious)&gt;=C71,1,0)))</f>
        <v/>
      </c>
      <c r="F71" s="84" t="str">
        <f aca="false">IF(Need_1&lt;&gt;"","",IF(G70=1,IF(Withdrawal_Timing="Start of year",(F70-C70)*(1+DD_Balanced),F70*(1+DD_Balanced)-C70),0))</f>
        <v/>
      </c>
      <c r="G71" s="83" t="str">
        <f aca="false">IF(Need_1&lt;&gt;"","",IF(Withdrawal_Timing="Start of year",IF(F71&gt;=C71,1,0),IF(F71*(1+DD_Balanced)&gt;=C71,1,0)))</f>
        <v/>
      </c>
      <c r="H71" s="84" t="str">
        <f aca="false">IF(Need_1&lt;&gt;"","",IF(I70=1,IF(Withdrawal_Timing="Start of year",(H70-C70)*(1+DD_Growth),H70*(1+DD_Growth)-C70),0))</f>
        <v/>
      </c>
      <c r="I71" s="83" t="str">
        <f aca="false">IF(Need_1&lt;&gt;"","",IF(Withdrawal_Timing="Start of year",IF(H71&gt;=C71,1,0),IF(H71*(1+DD_Growth)&gt;=C71,1,0)))</f>
        <v/>
      </c>
    </row>
    <row r="72" customFormat="false" ht="15" hidden="false" customHeight="true" outlineLevel="0" collapsed="false">
      <c r="B72" s="83" t="n">
        <v>40</v>
      </c>
      <c r="C72" s="84" t="str">
        <f aca="false">IF(Need_1&lt;&gt;"","",C71*(1+Inflation_Choice))</f>
        <v/>
      </c>
      <c r="D72" s="84" t="str">
        <f aca="false">IF(Need_1&lt;&gt;"","",IF(E71=1,IF(Withdrawal_Timing="Start of year",(D71-C71)*(1+DD_Cautious),D71*(1+DD_Cautious)-C71),0))</f>
        <v/>
      </c>
      <c r="E72" s="83" t="str">
        <f aca="false">IF(Need_1&lt;&gt;"","",IF(Withdrawal_Timing="Start of year",IF(D72&gt;=C72,1,0),IF(D72*(1+DD_Cautious)&gt;=C72,1,0)))</f>
        <v/>
      </c>
      <c r="F72" s="84" t="str">
        <f aca="false">IF(Need_1&lt;&gt;"","",IF(G71=1,IF(Withdrawal_Timing="Start of year",(F71-C71)*(1+DD_Balanced),F71*(1+DD_Balanced)-C71),0))</f>
        <v/>
      </c>
      <c r="G72" s="83" t="str">
        <f aca="false">IF(Need_1&lt;&gt;"","",IF(Withdrawal_Timing="Start of year",IF(F72&gt;=C72,1,0),IF(F72*(1+DD_Balanced)&gt;=C72,1,0)))</f>
        <v/>
      </c>
      <c r="H72" s="84" t="str">
        <f aca="false">IF(Need_1&lt;&gt;"","",IF(I71=1,IF(Withdrawal_Timing="Start of year",(H71-C71)*(1+DD_Growth),H71*(1+DD_Growth)-C71),0))</f>
        <v/>
      </c>
      <c r="I72" s="83" t="str">
        <f aca="false">IF(Need_1&lt;&gt;"","",IF(Withdrawal_Timing="Start of year",IF(H72&gt;=C72,1,0),IF(H72*(1+DD_Growth)&gt;=C72,1,0)))</f>
        <v/>
      </c>
    </row>
    <row r="73" customFormat="false" ht="15" hidden="false" customHeight="true" outlineLevel="0" collapsed="false">
      <c r="B73" s="83" t="n">
        <v>41</v>
      </c>
      <c r="C73" s="84" t="str">
        <f aca="false">IF(Need_1&lt;&gt;"","",C72*(1+Inflation_Choice))</f>
        <v/>
      </c>
      <c r="D73" s="84" t="str">
        <f aca="false">IF(Need_1&lt;&gt;"","",IF(E72=1,IF(Withdrawal_Timing="Start of year",(D72-C72)*(1+DD_Cautious),D72*(1+DD_Cautious)-C72),0))</f>
        <v/>
      </c>
      <c r="E73" s="83" t="str">
        <f aca="false">IF(Need_1&lt;&gt;"","",IF(Withdrawal_Timing="Start of year",IF(D73&gt;=C73,1,0),IF(D73*(1+DD_Cautious)&gt;=C73,1,0)))</f>
        <v/>
      </c>
      <c r="F73" s="84" t="str">
        <f aca="false">IF(Need_1&lt;&gt;"","",IF(G72=1,IF(Withdrawal_Timing="Start of year",(F72-C72)*(1+DD_Balanced),F72*(1+DD_Balanced)-C72),0))</f>
        <v/>
      </c>
      <c r="G73" s="83" t="str">
        <f aca="false">IF(Need_1&lt;&gt;"","",IF(Withdrawal_Timing="Start of year",IF(F73&gt;=C73,1,0),IF(F73*(1+DD_Balanced)&gt;=C73,1,0)))</f>
        <v/>
      </c>
      <c r="H73" s="84" t="str">
        <f aca="false">IF(Need_1&lt;&gt;"","",IF(I72=1,IF(Withdrawal_Timing="Start of year",(H72-C72)*(1+DD_Growth),H72*(1+DD_Growth)-C72),0))</f>
        <v/>
      </c>
      <c r="I73" s="83" t="str">
        <f aca="false">IF(Need_1&lt;&gt;"","",IF(Withdrawal_Timing="Start of year",IF(H73&gt;=C73,1,0),IF(H73*(1+DD_Growth)&gt;=C73,1,0)))</f>
        <v/>
      </c>
    </row>
    <row r="74" customFormat="false" ht="15" hidden="false" customHeight="true" outlineLevel="0" collapsed="false">
      <c r="B74" s="83" t="n">
        <v>42</v>
      </c>
      <c r="C74" s="84" t="str">
        <f aca="false">IF(Need_1&lt;&gt;"","",C73*(1+Inflation_Choice))</f>
        <v/>
      </c>
      <c r="D74" s="84" t="str">
        <f aca="false">IF(Need_1&lt;&gt;"","",IF(E73=1,IF(Withdrawal_Timing="Start of year",(D73-C73)*(1+DD_Cautious),D73*(1+DD_Cautious)-C73),0))</f>
        <v/>
      </c>
      <c r="E74" s="83" t="str">
        <f aca="false">IF(Need_1&lt;&gt;"","",IF(Withdrawal_Timing="Start of year",IF(D74&gt;=C74,1,0),IF(D74*(1+DD_Cautious)&gt;=C74,1,0)))</f>
        <v/>
      </c>
      <c r="F74" s="84" t="str">
        <f aca="false">IF(Need_1&lt;&gt;"","",IF(G73=1,IF(Withdrawal_Timing="Start of year",(F73-C73)*(1+DD_Balanced),F73*(1+DD_Balanced)-C73),0))</f>
        <v/>
      </c>
      <c r="G74" s="83" t="str">
        <f aca="false">IF(Need_1&lt;&gt;"","",IF(Withdrawal_Timing="Start of year",IF(F74&gt;=C74,1,0),IF(F74*(1+DD_Balanced)&gt;=C74,1,0)))</f>
        <v/>
      </c>
      <c r="H74" s="84" t="str">
        <f aca="false">IF(Need_1&lt;&gt;"","",IF(I73=1,IF(Withdrawal_Timing="Start of year",(H73-C73)*(1+DD_Growth),H73*(1+DD_Growth)-C73),0))</f>
        <v/>
      </c>
      <c r="I74" s="83" t="str">
        <f aca="false">IF(Need_1&lt;&gt;"","",IF(Withdrawal_Timing="Start of year",IF(H74&gt;=C74,1,0),IF(H74*(1+DD_Growth)&gt;=C74,1,0)))</f>
        <v/>
      </c>
    </row>
    <row r="75" customFormat="false" ht="15" hidden="false" customHeight="true" outlineLevel="0" collapsed="false">
      <c r="B75" s="83" t="n">
        <v>43</v>
      </c>
      <c r="C75" s="84" t="str">
        <f aca="false">IF(Need_1&lt;&gt;"","",C74*(1+Inflation_Choice))</f>
        <v/>
      </c>
      <c r="D75" s="84" t="str">
        <f aca="false">IF(Need_1&lt;&gt;"","",IF(E74=1,IF(Withdrawal_Timing="Start of year",(D74-C74)*(1+DD_Cautious),D74*(1+DD_Cautious)-C74),0))</f>
        <v/>
      </c>
      <c r="E75" s="83" t="str">
        <f aca="false">IF(Need_1&lt;&gt;"","",IF(Withdrawal_Timing="Start of year",IF(D75&gt;=C75,1,0),IF(D75*(1+DD_Cautious)&gt;=C75,1,0)))</f>
        <v/>
      </c>
      <c r="F75" s="84" t="str">
        <f aca="false">IF(Need_1&lt;&gt;"","",IF(G74=1,IF(Withdrawal_Timing="Start of year",(F74-C74)*(1+DD_Balanced),F74*(1+DD_Balanced)-C74),0))</f>
        <v/>
      </c>
      <c r="G75" s="83" t="str">
        <f aca="false">IF(Need_1&lt;&gt;"","",IF(Withdrawal_Timing="Start of year",IF(F75&gt;=C75,1,0),IF(F75*(1+DD_Balanced)&gt;=C75,1,0)))</f>
        <v/>
      </c>
      <c r="H75" s="84" t="str">
        <f aca="false">IF(Need_1&lt;&gt;"","",IF(I74=1,IF(Withdrawal_Timing="Start of year",(H74-C74)*(1+DD_Growth),H74*(1+DD_Growth)-C74),0))</f>
        <v/>
      </c>
      <c r="I75" s="83" t="str">
        <f aca="false">IF(Need_1&lt;&gt;"","",IF(Withdrawal_Timing="Start of year",IF(H75&gt;=C75,1,0),IF(H75*(1+DD_Growth)&gt;=C75,1,0)))</f>
        <v/>
      </c>
    </row>
    <row r="76" customFormat="false" ht="15" hidden="false" customHeight="true" outlineLevel="0" collapsed="false">
      <c r="B76" s="83" t="n">
        <v>44</v>
      </c>
      <c r="C76" s="84" t="str">
        <f aca="false">IF(Need_1&lt;&gt;"","",C75*(1+Inflation_Choice))</f>
        <v/>
      </c>
      <c r="D76" s="84" t="str">
        <f aca="false">IF(Need_1&lt;&gt;"","",IF(E75=1,IF(Withdrawal_Timing="Start of year",(D75-C75)*(1+DD_Cautious),D75*(1+DD_Cautious)-C75),0))</f>
        <v/>
      </c>
      <c r="E76" s="83" t="str">
        <f aca="false">IF(Need_1&lt;&gt;"","",IF(Withdrawal_Timing="Start of year",IF(D76&gt;=C76,1,0),IF(D76*(1+DD_Cautious)&gt;=C76,1,0)))</f>
        <v/>
      </c>
      <c r="F76" s="84" t="str">
        <f aca="false">IF(Need_1&lt;&gt;"","",IF(G75=1,IF(Withdrawal_Timing="Start of year",(F75-C75)*(1+DD_Balanced),F75*(1+DD_Balanced)-C75),0))</f>
        <v/>
      </c>
      <c r="G76" s="83" t="str">
        <f aca="false">IF(Need_1&lt;&gt;"","",IF(Withdrawal_Timing="Start of year",IF(F76&gt;=C76,1,0),IF(F76*(1+DD_Balanced)&gt;=C76,1,0)))</f>
        <v/>
      </c>
      <c r="H76" s="84" t="str">
        <f aca="false">IF(Need_1&lt;&gt;"","",IF(I75=1,IF(Withdrawal_Timing="Start of year",(H75-C75)*(1+DD_Growth),H75*(1+DD_Growth)-C75),0))</f>
        <v/>
      </c>
      <c r="I76" s="83" t="str">
        <f aca="false">IF(Need_1&lt;&gt;"","",IF(Withdrawal_Timing="Start of year",IF(H76&gt;=C76,1,0),IF(H76*(1+DD_Growth)&gt;=C76,1,0)))</f>
        <v/>
      </c>
    </row>
    <row r="77" customFormat="false" ht="15" hidden="false" customHeight="true" outlineLevel="0" collapsed="false">
      <c r="B77" s="83" t="n">
        <v>45</v>
      </c>
      <c r="C77" s="84" t="str">
        <f aca="false">IF(Need_1&lt;&gt;"","",C76*(1+Inflation_Choice))</f>
        <v/>
      </c>
      <c r="D77" s="84" t="str">
        <f aca="false">IF(Need_1&lt;&gt;"","",IF(E76=1,IF(Withdrawal_Timing="Start of year",(D76-C76)*(1+DD_Cautious),D76*(1+DD_Cautious)-C76),0))</f>
        <v/>
      </c>
      <c r="E77" s="83" t="str">
        <f aca="false">IF(Need_1&lt;&gt;"","",IF(Withdrawal_Timing="Start of year",IF(D77&gt;=C77,1,0),IF(D77*(1+DD_Cautious)&gt;=C77,1,0)))</f>
        <v/>
      </c>
      <c r="F77" s="84" t="str">
        <f aca="false">IF(Need_1&lt;&gt;"","",IF(G76=1,IF(Withdrawal_Timing="Start of year",(F76-C76)*(1+DD_Balanced),F76*(1+DD_Balanced)-C76),0))</f>
        <v/>
      </c>
      <c r="G77" s="83" t="str">
        <f aca="false">IF(Need_1&lt;&gt;"","",IF(Withdrawal_Timing="Start of year",IF(F77&gt;=C77,1,0),IF(F77*(1+DD_Balanced)&gt;=C77,1,0)))</f>
        <v/>
      </c>
      <c r="H77" s="84" t="str">
        <f aca="false">IF(Need_1&lt;&gt;"","",IF(I76=1,IF(Withdrawal_Timing="Start of year",(H76-C76)*(1+DD_Growth),H76*(1+DD_Growth)-C76),0))</f>
        <v/>
      </c>
      <c r="I77" s="83" t="str">
        <f aca="false">IF(Need_1&lt;&gt;"","",IF(Withdrawal_Timing="Start of year",IF(H77&gt;=C77,1,0),IF(H77*(1+DD_Growth)&gt;=C77,1,0)))</f>
        <v/>
      </c>
    </row>
    <row r="78" customFormat="false" ht="15" hidden="false" customHeight="true" outlineLevel="0" collapsed="false">
      <c r="B78" s="83" t="n">
        <v>46</v>
      </c>
      <c r="C78" s="84" t="str">
        <f aca="false">IF(Need_1&lt;&gt;"","",C77*(1+Inflation_Choice))</f>
        <v/>
      </c>
      <c r="D78" s="84" t="str">
        <f aca="false">IF(Need_1&lt;&gt;"","",IF(E77=1,IF(Withdrawal_Timing="Start of year",(D77-C77)*(1+DD_Cautious),D77*(1+DD_Cautious)-C77),0))</f>
        <v/>
      </c>
      <c r="E78" s="83" t="str">
        <f aca="false">IF(Need_1&lt;&gt;"","",IF(Withdrawal_Timing="Start of year",IF(D78&gt;=C78,1,0),IF(D78*(1+DD_Cautious)&gt;=C78,1,0)))</f>
        <v/>
      </c>
      <c r="F78" s="84" t="str">
        <f aca="false">IF(Need_1&lt;&gt;"","",IF(G77=1,IF(Withdrawal_Timing="Start of year",(F77-C77)*(1+DD_Balanced),F77*(1+DD_Balanced)-C77),0))</f>
        <v/>
      </c>
      <c r="G78" s="83" t="str">
        <f aca="false">IF(Need_1&lt;&gt;"","",IF(Withdrawal_Timing="Start of year",IF(F78&gt;=C78,1,0),IF(F78*(1+DD_Balanced)&gt;=C78,1,0)))</f>
        <v/>
      </c>
      <c r="H78" s="84" t="str">
        <f aca="false">IF(Need_1&lt;&gt;"","",IF(I77=1,IF(Withdrawal_Timing="Start of year",(H77-C77)*(1+DD_Growth),H77*(1+DD_Growth)-C77),0))</f>
        <v/>
      </c>
      <c r="I78" s="83" t="str">
        <f aca="false">IF(Need_1&lt;&gt;"","",IF(Withdrawal_Timing="Start of year",IF(H78&gt;=C78,1,0),IF(H78*(1+DD_Growth)&gt;=C78,1,0)))</f>
        <v/>
      </c>
    </row>
    <row r="79" customFormat="false" ht="15" hidden="false" customHeight="true" outlineLevel="0" collapsed="false">
      <c r="B79" s="83" t="n">
        <v>47</v>
      </c>
      <c r="C79" s="84" t="str">
        <f aca="false">IF(Need_1&lt;&gt;"","",C78*(1+Inflation_Choice))</f>
        <v/>
      </c>
      <c r="D79" s="84" t="str">
        <f aca="false">IF(Need_1&lt;&gt;"","",IF(E78=1,IF(Withdrawal_Timing="Start of year",(D78-C78)*(1+DD_Cautious),D78*(1+DD_Cautious)-C78),0))</f>
        <v/>
      </c>
      <c r="E79" s="83" t="str">
        <f aca="false">IF(Need_1&lt;&gt;"","",IF(Withdrawal_Timing="Start of year",IF(D79&gt;=C79,1,0),IF(D79*(1+DD_Cautious)&gt;=C79,1,0)))</f>
        <v/>
      </c>
      <c r="F79" s="84" t="str">
        <f aca="false">IF(Need_1&lt;&gt;"","",IF(G78=1,IF(Withdrawal_Timing="Start of year",(F78-C78)*(1+DD_Balanced),F78*(1+DD_Balanced)-C78),0))</f>
        <v/>
      </c>
      <c r="G79" s="83" t="str">
        <f aca="false">IF(Need_1&lt;&gt;"","",IF(Withdrawal_Timing="Start of year",IF(F79&gt;=C79,1,0),IF(F79*(1+DD_Balanced)&gt;=C79,1,0)))</f>
        <v/>
      </c>
      <c r="H79" s="84" t="str">
        <f aca="false">IF(Need_1&lt;&gt;"","",IF(I78=1,IF(Withdrawal_Timing="Start of year",(H78-C78)*(1+DD_Growth),H78*(1+DD_Growth)-C78),0))</f>
        <v/>
      </c>
      <c r="I79" s="83" t="str">
        <f aca="false">IF(Need_1&lt;&gt;"","",IF(Withdrawal_Timing="Start of year",IF(H79&gt;=C79,1,0),IF(H79*(1+DD_Growth)&gt;=C79,1,0)))</f>
        <v/>
      </c>
    </row>
    <row r="80" customFormat="false" ht="15" hidden="false" customHeight="true" outlineLevel="0" collapsed="false">
      <c r="B80" s="83" t="n">
        <v>48</v>
      </c>
      <c r="C80" s="84" t="str">
        <f aca="false">IF(Need_1&lt;&gt;"","",C79*(1+Inflation_Choice))</f>
        <v/>
      </c>
      <c r="D80" s="84" t="str">
        <f aca="false">IF(Need_1&lt;&gt;"","",IF(E79=1,IF(Withdrawal_Timing="Start of year",(D79-C79)*(1+DD_Cautious),D79*(1+DD_Cautious)-C79),0))</f>
        <v/>
      </c>
      <c r="E80" s="83" t="str">
        <f aca="false">IF(Need_1&lt;&gt;"","",IF(Withdrawal_Timing="Start of year",IF(D80&gt;=C80,1,0),IF(D80*(1+DD_Cautious)&gt;=C80,1,0)))</f>
        <v/>
      </c>
      <c r="F80" s="84" t="str">
        <f aca="false">IF(Need_1&lt;&gt;"","",IF(G79=1,IF(Withdrawal_Timing="Start of year",(F79-C79)*(1+DD_Balanced),F79*(1+DD_Balanced)-C79),0))</f>
        <v/>
      </c>
      <c r="G80" s="83" t="str">
        <f aca="false">IF(Need_1&lt;&gt;"","",IF(Withdrawal_Timing="Start of year",IF(F80&gt;=C80,1,0),IF(F80*(1+DD_Balanced)&gt;=C80,1,0)))</f>
        <v/>
      </c>
      <c r="H80" s="84" t="str">
        <f aca="false">IF(Need_1&lt;&gt;"","",IF(I79=1,IF(Withdrawal_Timing="Start of year",(H79-C79)*(1+DD_Growth),H79*(1+DD_Growth)-C79),0))</f>
        <v/>
      </c>
      <c r="I80" s="83" t="str">
        <f aca="false">IF(Need_1&lt;&gt;"","",IF(Withdrawal_Timing="Start of year",IF(H80&gt;=C80,1,0),IF(H80*(1+DD_Growth)&gt;=C80,1,0)))</f>
        <v/>
      </c>
    </row>
    <row r="81" customFormat="false" ht="15" hidden="false" customHeight="true" outlineLevel="0" collapsed="false">
      <c r="B81" s="83" t="n">
        <v>49</v>
      </c>
      <c r="C81" s="84" t="str">
        <f aca="false">IF(Need_1&lt;&gt;"","",C80*(1+Inflation_Choice))</f>
        <v/>
      </c>
      <c r="D81" s="84" t="str">
        <f aca="false">IF(Need_1&lt;&gt;"","",IF(E80=1,IF(Withdrawal_Timing="Start of year",(D80-C80)*(1+DD_Cautious),D80*(1+DD_Cautious)-C80),0))</f>
        <v/>
      </c>
      <c r="E81" s="83" t="str">
        <f aca="false">IF(Need_1&lt;&gt;"","",IF(Withdrawal_Timing="Start of year",IF(D81&gt;=C81,1,0),IF(D81*(1+DD_Cautious)&gt;=C81,1,0)))</f>
        <v/>
      </c>
      <c r="F81" s="84" t="str">
        <f aca="false">IF(Need_1&lt;&gt;"","",IF(G80=1,IF(Withdrawal_Timing="Start of year",(F80-C80)*(1+DD_Balanced),F80*(1+DD_Balanced)-C80),0))</f>
        <v/>
      </c>
      <c r="G81" s="83" t="str">
        <f aca="false">IF(Need_1&lt;&gt;"","",IF(Withdrawal_Timing="Start of year",IF(F81&gt;=C81,1,0),IF(F81*(1+DD_Balanced)&gt;=C81,1,0)))</f>
        <v/>
      </c>
      <c r="H81" s="84" t="str">
        <f aca="false">IF(Need_1&lt;&gt;"","",IF(I80=1,IF(Withdrawal_Timing="Start of year",(H80-C80)*(1+DD_Growth),H80*(1+DD_Growth)-C80),0))</f>
        <v/>
      </c>
      <c r="I81" s="83" t="str">
        <f aca="false">IF(Need_1&lt;&gt;"","",IF(Withdrawal_Timing="Start of year",IF(H81&gt;=C81,1,0),IF(H81*(1+DD_Growth)&gt;=C81,1,0)))</f>
        <v/>
      </c>
    </row>
    <row r="82" customFormat="false" ht="15" hidden="false" customHeight="true" outlineLevel="0" collapsed="false">
      <c r="B82" s="83" t="n">
        <v>50</v>
      </c>
      <c r="C82" s="84" t="str">
        <f aca="false">IF(Need_1&lt;&gt;"","",C81*(1+Inflation_Choice))</f>
        <v/>
      </c>
      <c r="D82" s="84" t="str">
        <f aca="false">IF(Need_1&lt;&gt;"","",IF(E81=1,IF(Withdrawal_Timing="Start of year",(D81-C81)*(1+DD_Cautious),D81*(1+DD_Cautious)-C81),0))</f>
        <v/>
      </c>
      <c r="E82" s="83" t="str">
        <f aca="false">IF(Need_1&lt;&gt;"","",IF(Withdrawal_Timing="Start of year",IF(D82&gt;=C82,1,0),IF(D82*(1+DD_Cautious)&gt;=C82,1,0)))</f>
        <v/>
      </c>
      <c r="F82" s="84" t="str">
        <f aca="false">IF(Need_1&lt;&gt;"","",IF(G81=1,IF(Withdrawal_Timing="Start of year",(F81-C81)*(1+DD_Balanced),F81*(1+DD_Balanced)-C81),0))</f>
        <v/>
      </c>
      <c r="G82" s="83" t="str">
        <f aca="false">IF(Need_1&lt;&gt;"","",IF(Withdrawal_Timing="Start of year",IF(F82&gt;=C82,1,0),IF(F82*(1+DD_Balanced)&gt;=C82,1,0)))</f>
        <v/>
      </c>
      <c r="H82" s="84" t="str">
        <f aca="false">IF(Need_1&lt;&gt;"","",IF(I81=1,IF(Withdrawal_Timing="Start of year",(H81-C81)*(1+DD_Growth),H81*(1+DD_Growth)-C81),0))</f>
        <v/>
      </c>
      <c r="I82" s="83" t="str">
        <f aca="false">IF(Need_1&lt;&gt;"","",IF(Withdrawal_Timing="Start of year",IF(H82&gt;=C82,1,0),IF(H82*(1+DD_Growth)&gt;=C82,1,0)))</f>
        <v/>
      </c>
    </row>
    <row r="83" customFormat="false" ht="15" hidden="false" customHeight="true" outlineLevel="0" collapsed="false">
      <c r="B83" s="83" t="n">
        <v>51</v>
      </c>
      <c r="C83" s="84" t="str">
        <f aca="false">IF(Need_1&lt;&gt;"","",C82*(1+Inflation_Choice))</f>
        <v/>
      </c>
      <c r="D83" s="84" t="str">
        <f aca="false">IF(Need_1&lt;&gt;"","",IF(E82=1,IF(Withdrawal_Timing="Start of year",(D82-C82)*(1+DD_Cautious),D82*(1+DD_Cautious)-C82),0))</f>
        <v/>
      </c>
      <c r="E83" s="83" t="str">
        <f aca="false">IF(Need_1&lt;&gt;"","",IF(Withdrawal_Timing="Start of year",IF(D83&gt;=C83,1,0),IF(D83*(1+DD_Cautious)&gt;=C83,1,0)))</f>
        <v/>
      </c>
      <c r="F83" s="84" t="str">
        <f aca="false">IF(Need_1&lt;&gt;"","",IF(G82=1,IF(Withdrawal_Timing="Start of year",(F82-C82)*(1+DD_Balanced),F82*(1+DD_Balanced)-C82),0))</f>
        <v/>
      </c>
      <c r="G83" s="83" t="str">
        <f aca="false">IF(Need_1&lt;&gt;"","",IF(Withdrawal_Timing="Start of year",IF(F83&gt;=C83,1,0),IF(F83*(1+DD_Balanced)&gt;=C83,1,0)))</f>
        <v/>
      </c>
      <c r="H83" s="84" t="str">
        <f aca="false">IF(Need_1&lt;&gt;"","",IF(I82=1,IF(Withdrawal_Timing="Start of year",(H82-C82)*(1+DD_Growth),H82*(1+DD_Growth)-C82),0))</f>
        <v/>
      </c>
      <c r="I83" s="83" t="str">
        <f aca="false">IF(Need_1&lt;&gt;"","",IF(Withdrawal_Timing="Start of year",IF(H83&gt;=C83,1,0),IF(H83*(1+DD_Growth)&gt;=C83,1,0)))</f>
        <v/>
      </c>
    </row>
    <row r="84" customFormat="false" ht="15" hidden="false" customHeight="true" outlineLevel="0" collapsed="false">
      <c r="B84" s="83" t="n">
        <v>52</v>
      </c>
      <c r="C84" s="84" t="str">
        <f aca="false">IF(Need_1&lt;&gt;"","",C83*(1+Inflation_Choice))</f>
        <v/>
      </c>
      <c r="D84" s="84" t="str">
        <f aca="false">IF(Need_1&lt;&gt;"","",IF(E83=1,IF(Withdrawal_Timing="Start of year",(D83-C83)*(1+DD_Cautious),D83*(1+DD_Cautious)-C83),0))</f>
        <v/>
      </c>
      <c r="E84" s="83" t="str">
        <f aca="false">IF(Need_1&lt;&gt;"","",IF(Withdrawal_Timing="Start of year",IF(D84&gt;=C84,1,0),IF(D84*(1+DD_Cautious)&gt;=C84,1,0)))</f>
        <v/>
      </c>
      <c r="F84" s="84" t="str">
        <f aca="false">IF(Need_1&lt;&gt;"","",IF(G83=1,IF(Withdrawal_Timing="Start of year",(F83-C83)*(1+DD_Balanced),F83*(1+DD_Balanced)-C83),0))</f>
        <v/>
      </c>
      <c r="G84" s="83" t="str">
        <f aca="false">IF(Need_1&lt;&gt;"","",IF(Withdrawal_Timing="Start of year",IF(F84&gt;=C84,1,0),IF(F84*(1+DD_Balanced)&gt;=C84,1,0)))</f>
        <v/>
      </c>
      <c r="H84" s="84" t="str">
        <f aca="false">IF(Need_1&lt;&gt;"","",IF(I83=1,IF(Withdrawal_Timing="Start of year",(H83-C83)*(1+DD_Growth),H83*(1+DD_Growth)-C83),0))</f>
        <v/>
      </c>
      <c r="I84" s="83" t="str">
        <f aca="false">IF(Need_1&lt;&gt;"","",IF(Withdrawal_Timing="Start of year",IF(H84&gt;=C84,1,0),IF(H84*(1+DD_Growth)&gt;=C84,1,0)))</f>
        <v/>
      </c>
    </row>
    <row r="85" customFormat="false" ht="15" hidden="false" customHeight="true" outlineLevel="0" collapsed="false">
      <c r="B85" s="83" t="n">
        <v>53</v>
      </c>
      <c r="C85" s="84" t="str">
        <f aca="false">IF(Need_1&lt;&gt;"","",C84*(1+Inflation_Choice))</f>
        <v/>
      </c>
      <c r="D85" s="84" t="str">
        <f aca="false">IF(Need_1&lt;&gt;"","",IF(E84=1,IF(Withdrawal_Timing="Start of year",(D84-C84)*(1+DD_Cautious),D84*(1+DD_Cautious)-C84),0))</f>
        <v/>
      </c>
      <c r="E85" s="83" t="str">
        <f aca="false">IF(Need_1&lt;&gt;"","",IF(Withdrawal_Timing="Start of year",IF(D85&gt;=C85,1,0),IF(D85*(1+DD_Cautious)&gt;=C85,1,0)))</f>
        <v/>
      </c>
      <c r="F85" s="84" t="str">
        <f aca="false">IF(Need_1&lt;&gt;"","",IF(G84=1,IF(Withdrawal_Timing="Start of year",(F84-C84)*(1+DD_Balanced),F84*(1+DD_Balanced)-C84),0))</f>
        <v/>
      </c>
      <c r="G85" s="83" t="str">
        <f aca="false">IF(Need_1&lt;&gt;"","",IF(Withdrawal_Timing="Start of year",IF(F85&gt;=C85,1,0),IF(F85*(1+DD_Balanced)&gt;=C85,1,0)))</f>
        <v/>
      </c>
      <c r="H85" s="84" t="str">
        <f aca="false">IF(Need_1&lt;&gt;"","",IF(I84=1,IF(Withdrawal_Timing="Start of year",(H84-C84)*(1+DD_Growth),H84*(1+DD_Growth)-C84),0))</f>
        <v/>
      </c>
      <c r="I85" s="83" t="str">
        <f aca="false">IF(Need_1&lt;&gt;"","",IF(Withdrawal_Timing="Start of year",IF(H85&gt;=C85,1,0),IF(H85*(1+DD_Growth)&gt;=C85,1,0)))</f>
        <v/>
      </c>
    </row>
    <row r="86" customFormat="false" ht="15" hidden="false" customHeight="true" outlineLevel="0" collapsed="false">
      <c r="B86" s="83" t="n">
        <v>54</v>
      </c>
      <c r="C86" s="84" t="str">
        <f aca="false">IF(Need_1&lt;&gt;"","",C85*(1+Inflation_Choice))</f>
        <v/>
      </c>
      <c r="D86" s="84" t="str">
        <f aca="false">IF(Need_1&lt;&gt;"","",IF(E85=1,IF(Withdrawal_Timing="Start of year",(D85-C85)*(1+DD_Cautious),D85*(1+DD_Cautious)-C85),0))</f>
        <v/>
      </c>
      <c r="E86" s="83" t="str">
        <f aca="false">IF(Need_1&lt;&gt;"","",IF(Withdrawal_Timing="Start of year",IF(D86&gt;=C86,1,0),IF(D86*(1+DD_Cautious)&gt;=C86,1,0)))</f>
        <v/>
      </c>
      <c r="F86" s="84" t="str">
        <f aca="false">IF(Need_1&lt;&gt;"","",IF(G85=1,IF(Withdrawal_Timing="Start of year",(F85-C85)*(1+DD_Balanced),F85*(1+DD_Balanced)-C85),0))</f>
        <v/>
      </c>
      <c r="G86" s="83" t="str">
        <f aca="false">IF(Need_1&lt;&gt;"","",IF(Withdrawal_Timing="Start of year",IF(F86&gt;=C86,1,0),IF(F86*(1+DD_Balanced)&gt;=C86,1,0)))</f>
        <v/>
      </c>
      <c r="H86" s="84" t="str">
        <f aca="false">IF(Need_1&lt;&gt;"","",IF(I85=1,IF(Withdrawal_Timing="Start of year",(H85-C85)*(1+DD_Growth),H85*(1+DD_Growth)-C85),0))</f>
        <v/>
      </c>
      <c r="I86" s="83" t="str">
        <f aca="false">IF(Need_1&lt;&gt;"","",IF(Withdrawal_Timing="Start of year",IF(H86&gt;=C86,1,0),IF(H86*(1+DD_Growth)&gt;=C86,1,0)))</f>
        <v/>
      </c>
    </row>
    <row r="87" customFormat="false" ht="15" hidden="false" customHeight="true" outlineLevel="0" collapsed="false">
      <c r="B87" s="83" t="n">
        <v>55</v>
      </c>
      <c r="C87" s="84" t="str">
        <f aca="false">IF(Need_1&lt;&gt;"","",C86*(1+Inflation_Choice))</f>
        <v/>
      </c>
      <c r="D87" s="84" t="str">
        <f aca="false">IF(Need_1&lt;&gt;"","",IF(E86=1,IF(Withdrawal_Timing="Start of year",(D86-C86)*(1+DD_Cautious),D86*(1+DD_Cautious)-C86),0))</f>
        <v/>
      </c>
      <c r="E87" s="83" t="str">
        <f aca="false">IF(Need_1&lt;&gt;"","",IF(Withdrawal_Timing="Start of year",IF(D87&gt;=C87,1,0),IF(D87*(1+DD_Cautious)&gt;=C87,1,0)))</f>
        <v/>
      </c>
      <c r="F87" s="84" t="str">
        <f aca="false">IF(Need_1&lt;&gt;"","",IF(G86=1,IF(Withdrawal_Timing="Start of year",(F86-C86)*(1+DD_Balanced),F86*(1+DD_Balanced)-C86),0))</f>
        <v/>
      </c>
      <c r="G87" s="83" t="str">
        <f aca="false">IF(Need_1&lt;&gt;"","",IF(Withdrawal_Timing="Start of year",IF(F87&gt;=C87,1,0),IF(F87*(1+DD_Balanced)&gt;=C87,1,0)))</f>
        <v/>
      </c>
      <c r="H87" s="84" t="str">
        <f aca="false">IF(Need_1&lt;&gt;"","",IF(I86=1,IF(Withdrawal_Timing="Start of year",(H86-C86)*(1+DD_Growth),H86*(1+DD_Growth)-C86),0))</f>
        <v/>
      </c>
      <c r="I87" s="83" t="str">
        <f aca="false">IF(Need_1&lt;&gt;"","",IF(Withdrawal_Timing="Start of year",IF(H87&gt;=C87,1,0),IF(H87*(1+DD_Growth)&gt;=C87,1,0)))</f>
        <v/>
      </c>
    </row>
    <row r="88" customFormat="false" ht="15" hidden="false" customHeight="true" outlineLevel="0" collapsed="false">
      <c r="B88" s="83" t="n">
        <v>56</v>
      </c>
      <c r="C88" s="84" t="str">
        <f aca="false">IF(Need_1&lt;&gt;"","",C87*(1+Inflation_Choice))</f>
        <v/>
      </c>
      <c r="D88" s="84" t="str">
        <f aca="false">IF(Need_1&lt;&gt;"","",IF(E87=1,IF(Withdrawal_Timing="Start of year",(D87-C87)*(1+DD_Cautious),D87*(1+DD_Cautious)-C87),0))</f>
        <v/>
      </c>
      <c r="E88" s="83" t="str">
        <f aca="false">IF(Need_1&lt;&gt;"","",IF(Withdrawal_Timing="Start of year",IF(D88&gt;=C88,1,0),IF(D88*(1+DD_Cautious)&gt;=C88,1,0)))</f>
        <v/>
      </c>
      <c r="F88" s="84" t="str">
        <f aca="false">IF(Need_1&lt;&gt;"","",IF(G87=1,IF(Withdrawal_Timing="Start of year",(F87-C87)*(1+DD_Balanced),F87*(1+DD_Balanced)-C87),0))</f>
        <v/>
      </c>
      <c r="G88" s="83" t="str">
        <f aca="false">IF(Need_1&lt;&gt;"","",IF(Withdrawal_Timing="Start of year",IF(F88&gt;=C88,1,0),IF(F88*(1+DD_Balanced)&gt;=C88,1,0)))</f>
        <v/>
      </c>
      <c r="H88" s="84" t="str">
        <f aca="false">IF(Need_1&lt;&gt;"","",IF(I87=1,IF(Withdrawal_Timing="Start of year",(H87-C87)*(1+DD_Growth),H87*(1+DD_Growth)-C87),0))</f>
        <v/>
      </c>
      <c r="I88" s="83" t="str">
        <f aca="false">IF(Need_1&lt;&gt;"","",IF(Withdrawal_Timing="Start of year",IF(H88&gt;=C88,1,0),IF(H88*(1+DD_Growth)&gt;=C88,1,0)))</f>
        <v/>
      </c>
    </row>
    <row r="89" customFormat="false" ht="15" hidden="false" customHeight="true" outlineLevel="0" collapsed="false">
      <c r="B89" s="83" t="n">
        <v>57</v>
      </c>
      <c r="C89" s="84" t="str">
        <f aca="false">IF(Need_1&lt;&gt;"","",C88*(1+Inflation_Choice))</f>
        <v/>
      </c>
      <c r="D89" s="84" t="str">
        <f aca="false">IF(Need_1&lt;&gt;"","",IF(E88=1,IF(Withdrawal_Timing="Start of year",(D88-C88)*(1+DD_Cautious),D88*(1+DD_Cautious)-C88),0))</f>
        <v/>
      </c>
      <c r="E89" s="83" t="str">
        <f aca="false">IF(Need_1&lt;&gt;"","",IF(Withdrawal_Timing="Start of year",IF(D89&gt;=C89,1,0),IF(D89*(1+DD_Cautious)&gt;=C89,1,0)))</f>
        <v/>
      </c>
      <c r="F89" s="84" t="str">
        <f aca="false">IF(Need_1&lt;&gt;"","",IF(G88=1,IF(Withdrawal_Timing="Start of year",(F88-C88)*(1+DD_Balanced),F88*(1+DD_Balanced)-C88),0))</f>
        <v/>
      </c>
      <c r="G89" s="83" t="str">
        <f aca="false">IF(Need_1&lt;&gt;"","",IF(Withdrawal_Timing="Start of year",IF(F89&gt;=C89,1,0),IF(F89*(1+DD_Balanced)&gt;=C89,1,0)))</f>
        <v/>
      </c>
      <c r="H89" s="84" t="str">
        <f aca="false">IF(Need_1&lt;&gt;"","",IF(I88=1,IF(Withdrawal_Timing="Start of year",(H88-C88)*(1+DD_Growth),H88*(1+DD_Growth)-C88),0))</f>
        <v/>
      </c>
      <c r="I89" s="83" t="str">
        <f aca="false">IF(Need_1&lt;&gt;"","",IF(Withdrawal_Timing="Start of year",IF(H89&gt;=C89,1,0),IF(H89*(1+DD_Growth)&gt;=C89,1,0)))</f>
        <v/>
      </c>
    </row>
    <row r="90" customFormat="false" ht="15" hidden="false" customHeight="true" outlineLevel="0" collapsed="false">
      <c r="B90" s="83" t="n">
        <v>58</v>
      </c>
      <c r="C90" s="84" t="str">
        <f aca="false">IF(Need_1&lt;&gt;"","",C89*(1+Inflation_Choice))</f>
        <v/>
      </c>
      <c r="D90" s="84" t="str">
        <f aca="false">IF(Need_1&lt;&gt;"","",IF(E89=1,IF(Withdrawal_Timing="Start of year",(D89-C89)*(1+DD_Cautious),D89*(1+DD_Cautious)-C89),0))</f>
        <v/>
      </c>
      <c r="E90" s="83" t="str">
        <f aca="false">IF(Need_1&lt;&gt;"","",IF(Withdrawal_Timing="Start of year",IF(D90&gt;=C90,1,0),IF(D90*(1+DD_Cautious)&gt;=C90,1,0)))</f>
        <v/>
      </c>
      <c r="F90" s="84" t="str">
        <f aca="false">IF(Need_1&lt;&gt;"","",IF(G89=1,IF(Withdrawal_Timing="Start of year",(F89-C89)*(1+DD_Balanced),F89*(1+DD_Balanced)-C89),0))</f>
        <v/>
      </c>
      <c r="G90" s="83" t="str">
        <f aca="false">IF(Need_1&lt;&gt;"","",IF(Withdrawal_Timing="Start of year",IF(F90&gt;=C90,1,0),IF(F90*(1+DD_Balanced)&gt;=C90,1,0)))</f>
        <v/>
      </c>
      <c r="H90" s="84" t="str">
        <f aca="false">IF(Need_1&lt;&gt;"","",IF(I89=1,IF(Withdrawal_Timing="Start of year",(H89-C89)*(1+DD_Growth),H89*(1+DD_Growth)-C89),0))</f>
        <v/>
      </c>
      <c r="I90" s="83" t="str">
        <f aca="false">IF(Need_1&lt;&gt;"","",IF(Withdrawal_Timing="Start of year",IF(H90&gt;=C90,1,0),IF(H90*(1+DD_Growth)&gt;=C90,1,0)))</f>
        <v/>
      </c>
    </row>
    <row r="91" customFormat="false" ht="15" hidden="false" customHeight="true" outlineLevel="0" collapsed="false">
      <c r="B91" s="83" t="n">
        <v>59</v>
      </c>
      <c r="C91" s="84" t="str">
        <f aca="false">IF(Need_1&lt;&gt;"","",C90*(1+Inflation_Choice))</f>
        <v/>
      </c>
      <c r="D91" s="84" t="str">
        <f aca="false">IF(Need_1&lt;&gt;"","",IF(E90=1,IF(Withdrawal_Timing="Start of year",(D90-C90)*(1+DD_Cautious),D90*(1+DD_Cautious)-C90),0))</f>
        <v/>
      </c>
      <c r="E91" s="83" t="str">
        <f aca="false">IF(Need_1&lt;&gt;"","",IF(Withdrawal_Timing="Start of year",IF(D91&gt;=C91,1,0),IF(D91*(1+DD_Cautious)&gt;=C91,1,0)))</f>
        <v/>
      </c>
      <c r="F91" s="84" t="str">
        <f aca="false">IF(Need_1&lt;&gt;"","",IF(G90=1,IF(Withdrawal_Timing="Start of year",(F90-C90)*(1+DD_Balanced),F90*(1+DD_Balanced)-C90),0))</f>
        <v/>
      </c>
      <c r="G91" s="83" t="str">
        <f aca="false">IF(Need_1&lt;&gt;"","",IF(Withdrawal_Timing="Start of year",IF(F91&gt;=C91,1,0),IF(F91*(1+DD_Balanced)&gt;=C91,1,0)))</f>
        <v/>
      </c>
      <c r="H91" s="84" t="str">
        <f aca="false">IF(Need_1&lt;&gt;"","",IF(I90=1,IF(Withdrawal_Timing="Start of year",(H90-C90)*(1+DD_Growth),H90*(1+DD_Growth)-C90),0))</f>
        <v/>
      </c>
      <c r="I91" s="83" t="str">
        <f aca="false">IF(Need_1&lt;&gt;"","",IF(Withdrawal_Timing="Start of year",IF(H91&gt;=C91,1,0),IF(H91*(1+DD_Growth)&gt;=C91,1,0)))</f>
        <v/>
      </c>
    </row>
    <row r="92" customFormat="false" ht="15" hidden="false" customHeight="true" outlineLevel="0" collapsed="false">
      <c r="B92" s="83" t="n">
        <v>60</v>
      </c>
      <c r="C92" s="84" t="str">
        <f aca="false">IF(Need_1&lt;&gt;"","",C91*(1+Inflation_Choice))</f>
        <v/>
      </c>
      <c r="D92" s="84" t="str">
        <f aca="false">IF(Need_1&lt;&gt;"","",IF(E91=1,IF(Withdrawal_Timing="Start of year",(D91-C91)*(1+DD_Cautious),D91*(1+DD_Cautious)-C91),0))</f>
        <v/>
      </c>
      <c r="E92" s="83" t="str">
        <f aca="false">IF(Need_1&lt;&gt;"","",IF(Withdrawal_Timing="Start of year",IF(D92&gt;=C92,1,0),IF(D92*(1+DD_Cautious)&gt;=C92,1,0)))</f>
        <v/>
      </c>
      <c r="F92" s="84" t="str">
        <f aca="false">IF(Need_1&lt;&gt;"","",IF(G91=1,IF(Withdrawal_Timing="Start of year",(F91-C91)*(1+DD_Balanced),F91*(1+DD_Balanced)-C91),0))</f>
        <v/>
      </c>
      <c r="G92" s="83" t="str">
        <f aca="false">IF(Need_1&lt;&gt;"","",IF(Withdrawal_Timing="Start of year",IF(F92&gt;=C92,1,0),IF(F92*(1+DD_Balanced)&gt;=C92,1,0)))</f>
        <v/>
      </c>
      <c r="H92" s="84" t="str">
        <f aca="false">IF(Need_1&lt;&gt;"","",IF(I91=1,IF(Withdrawal_Timing="Start of year",(H91-C91)*(1+DD_Growth),H91*(1+DD_Growth)-C91),0))</f>
        <v/>
      </c>
      <c r="I92" s="83" t="str">
        <f aca="false">IF(Need_1&lt;&gt;"","",IF(Withdrawal_Timing="Start of year",IF(H92&gt;=C92,1,0),IF(H92*(1+DD_Growth)&gt;=C92,1,0)))</f>
        <v/>
      </c>
    </row>
    <row r="95" customFormat="false" ht="15" hidden="false" customHeight="true" outlineLevel="0" collapsed="false">
      <c r="B95" s="15" t="s">
        <v>280</v>
      </c>
      <c r="C95" s="16"/>
      <c r="D95" s="16"/>
      <c r="E95" s="16"/>
      <c r="F95" s="16"/>
      <c r="G95" s="16"/>
    </row>
    <row r="96" customFormat="false" ht="27.75" hidden="false" customHeight="true" outlineLevel="0" collapsed="false">
      <c r="B96" s="50" t="s">
        <v>930</v>
      </c>
      <c r="C96" s="50"/>
      <c r="D96" s="50"/>
      <c r="E96" s="50"/>
    </row>
    <row r="97" customFormat="false" ht="13.5" hidden="false" customHeight="true" outlineLevel="0" collapsed="false">
      <c r="B97" s="50" t="s">
        <v>931</v>
      </c>
      <c r="C97" s="50"/>
      <c r="D97" s="50"/>
      <c r="E97" s="50"/>
    </row>
    <row r="98" customFormat="false" ht="13.5" hidden="false" customHeight="true" outlineLevel="0" collapsed="false">
      <c r="B98" s="51" t="s">
        <v>283</v>
      </c>
      <c r="C98" s="51"/>
      <c r="D98" s="51"/>
      <c r="E98" s="51"/>
    </row>
    <row r="99" customFormat="false" ht="13.5" hidden="false" customHeight="true" outlineLevel="0" collapsed="false">
      <c r="B99" s="50" t="s">
        <v>932</v>
      </c>
      <c r="C99" s="50"/>
      <c r="D99" s="50"/>
      <c r="E99" s="50"/>
    </row>
    <row r="100" customFormat="false" ht="13.5" hidden="false" customHeight="true" outlineLevel="0" collapsed="false">
      <c r="B100" s="50" t="s">
        <v>933</v>
      </c>
      <c r="C100" s="50"/>
      <c r="D100" s="50"/>
      <c r="E100" s="50"/>
    </row>
    <row r="102" customFormat="false" ht="15" hidden="false" customHeight="true" outlineLevel="0" collapsed="false">
      <c r="B102" s="15" t="s">
        <v>288</v>
      </c>
      <c r="C102" s="16"/>
      <c r="D102" s="16"/>
      <c r="E102" s="16"/>
      <c r="F102" s="16"/>
      <c r="G102" s="16"/>
    </row>
    <row r="103" customFormat="false" ht="15" hidden="false" customHeight="true" outlineLevel="0" collapsed="false">
      <c r="B103" s="9" t="s">
        <v>289</v>
      </c>
      <c r="C103" s="52" t="str">
        <f aca="false">"No goal"</f>
        <v>No goal</v>
      </c>
      <c r="E103" s="53" t="s">
        <v>475</v>
      </c>
    </row>
    <row r="105" customFormat="false" ht="15" hidden="false" customHeight="true" outlineLevel="0" collapsed="false">
      <c r="B105" s="15" t="s">
        <v>297</v>
      </c>
      <c r="C105" s="16"/>
      <c r="D105" s="16"/>
      <c r="E105" s="16"/>
      <c r="F105" s="16"/>
      <c r="G105" s="16"/>
    </row>
    <row r="106" customFormat="false" ht="15" hidden="false" customHeight="true" outlineLevel="0" collapsed="false">
      <c r="B106" s="56" t="s">
        <v>934</v>
      </c>
      <c r="C106" s="56" t="str">
        <f aca="false">IF(Yearly_Withdrawal="","Choose your yearly withdrawal to see this",IF(NOT(ISNUMBER(Used_Retirement_Savings)),IF(Used_Retirement_Savings="",IF(Retirement_Savings="","Choose your retirement savings to see this",""),Used_Retirement_Savings),IF(Inflation_Choice="","Choose your inflation rate to see this","")))</f>
        <v>Choose your yearly withdrawal to see this</v>
      </c>
    </row>
  </sheetData>
  <mergeCells count="7">
    <mergeCell ref="B7:E7"/>
    <mergeCell ref="B10:E10"/>
    <mergeCell ref="B96:E96"/>
    <mergeCell ref="B97:E97"/>
    <mergeCell ref="B98:E98"/>
    <mergeCell ref="B99:E99"/>
    <mergeCell ref="B100:E100"/>
  </mergeCells>
  <dataValidations count="10">
    <dataValidation allowBlank="true" error="Please enter a date (dd/mm/yyyy)." errorStyle="stop" errorTitle="Outside the allowed range" operator="greaterThan" prompt="Unit: date. Allowed: a date (dd/mm/yyyy)." promptTitle="Statement date" showDropDown="false" showErrorMessage="true" showInputMessage="true" sqref="C13" type="date">
      <formula1>36526</formula1>
      <formula2>0</formula2>
    </dataValidation>
    <dataValidation allowBlank="true" error="Please enter 0% to 10% · steps of 0.25%." errorStyle="stop" errorTitle="Outside the allowed range" operator="between" prompt="Generally the standard is 2% a year (ECB target); Ireland's prices are rising 3.9% now (CSO HICP flash, Sep 2026). Choose what you want to use.  Allowed: 0% to 10% · steps of 0.25%." promptTitle="Inflation you expect (your choic" showDropDown="false" showErrorMessage="true" showInputMessage="true" sqref="C6" type="decimal">
      <formula1>0</formula1>
      <formula2>0.1</formula2>
    </dataValidation>
    <dataValidation allowBlank="true" error="Please enter €0 to €50,000,000." errorStyle="stop" errorTitle="Outside the allowed range" operator="between" prompt="Unit: €. Allowed: €0 to €50,000,000." promptTitle="Fund value today" showDropDown="false" showErrorMessage="true" showInputMessage="true" sqref="C12" type="decimal">
      <formula1>0</formula1>
      <formula2>50000000</formula2>
    </dataValidation>
    <dataValidation allowBlank="true" error="Please enter €0 to €100,000,000." errorStyle="stop" errorTitle="Outside the allowed range" operator="between" prompt="Unit: €. Allowed: €0 to €100,000,000." promptTitle="Projected fund at retirement (if" showDropDown="false" showErrorMessage="true" showInputMessage="true" sqref="C11" type="decimal">
      <formula1>0</formula1>
      <formula2>100000000</formula2>
    </dataValidation>
    <dataValidation allowBlank="true" error="Please enter €10,000 to €30,000,000 · steps of €10,000." errorStyle="stop" errorTitle="Outside the allowed range" operator="between" prompt="Your own figure. In the app it is pre-filled from Plan: pension projected to retirement.  Allowed: €10,000 to €30,000,000 · steps of €10,000." promptTitle="Retirement savings" showDropDown="false" showErrorMessage="true" showInputMessage="true" sqref="C16" type="decimal">
      <formula1>10000</formula1>
      <formula2>30000000</formula2>
    </dataValidation>
    <dataValidation allowBlank="true" error="Please enter €1,000 to €2,000,000 · steps of €1,000." errorStyle="stop" errorTitle="Outside the allowed range" operator="between" prompt="Your own figure.  Allowed: €1,000 to €2,000,000 · steps of €1,000." promptTitle="Yearly withdrawal (first year)" showDropDown="false" showErrorMessage="true" showInputMessage="true" sqref="C17" type="decimal">
      <formula1>1000</formula1>
      <formula2>2000000</formula2>
    </dataValidation>
    <dataValidation allowBlank="true" error="Please enter 0% to 8% · steps of 0.5%." errorStyle="stop" errorTitle="Outside the allowed range" operator="between" prompt="Generally the standard is 2% a year for a cautious mix (illustration). Choose what you want to use.  Allowed: 0% to 8% · steps of 0.5%." promptTitle="Cautious: growth a year" showDropDown="false" showErrorMessage="true" showInputMessage="true" sqref="C18" type="decimal">
      <formula1>0</formula1>
      <formula2>0.08</formula2>
    </dataValidation>
    <dataValidation allowBlank="true" error="Please enter 0% to 8% · steps of 0.5%." errorStyle="stop" errorTitle="Outside the allowed range" operator="between" prompt="Generally the standard is 4% a year for a balanced mix (illustration). Choose what you want to use.  Allowed: 0% to 8% · steps of 0.5%." promptTitle="Balanced: growth a year" showDropDown="false" showErrorMessage="true" showInputMessage="true" sqref="C19" type="decimal">
      <formula1>0</formula1>
      <formula2>0.08</formula2>
    </dataValidation>
    <dataValidation allowBlank="true" error="Please enter 0% to 8% · steps of 0.5%." errorStyle="stop" errorTitle="Outside the allowed range" operator="between" prompt="Generally the standard is 6% a year for a growth mix (illustration). Choose what you want to use.  Allowed: 0% to 8% · steps of 0.5%." promptTitle="Growth: growth a year" showDropDown="false" showErrorMessage="true" showInputMessage="true" sqref="C20" type="decimal">
      <formula1>0</formula1>
      <formula2>0.08</formula2>
    </dataValidation>
    <dataValidation allowBlank="true" error="Please enter Start of year or End of year." errorStyle="stop" errorTitle="Outside the allowed range" operator="between" prompt="Generally the standard is the start of the year (the prudent choice). Choose what you want to use.  Allowed: Start of year or End of year." promptTitle="Withdrawal taken at the" showDropDown="false" showErrorMessage="true" showInputMessage="true" sqref="C21" type="list">
      <formula1>"Start of year,End of 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935</v>
      </c>
      <c r="E1" s="3" t="s">
        <v>936</v>
      </c>
    </row>
    <row r="2" customFormat="false" ht="15" hidden="false" customHeight="true" outlineLevel="0" collapsed="false">
      <c r="B2" s="25" t="s">
        <v>937</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938</v>
      </c>
    </row>
    <row r="5" customFormat="false" ht="15" hidden="false" customHeight="true" outlineLevel="0" collapsed="false">
      <c r="B5" s="15" t="s">
        <v>561</v>
      </c>
      <c r="C5" s="28" t="s">
        <v>222</v>
      </c>
      <c r="D5" s="28" t="s">
        <v>223</v>
      </c>
      <c r="E5" s="28" t="s">
        <v>224</v>
      </c>
      <c r="F5" s="29" t="s">
        <v>225</v>
      </c>
      <c r="G5" s="16"/>
    </row>
    <row r="6" customFormat="false" ht="21.75" hidden="false" customHeight="true" outlineLevel="0" collapsed="false">
      <c r="B6" s="9" t="s">
        <v>562</v>
      </c>
      <c r="C6" s="38"/>
      <c r="D6" s="31" t="s">
        <v>238</v>
      </c>
      <c r="E6" s="39" t="str">
        <f aca="false">"Type 3 · your choice · Generally the standard is 2% a year (ECB target); Ireland's prices are rising "&amp;TEXT(Set_inflNow,"0.0%")&amp;" now (CSO HICP flash, Sep 2026). Choose what you want to use. Allowed: 0% to 10% · steps of 0.25%"</f>
        <v>Type 3 · your choice · Generally the standard is 2% a year (ECB target); Ireland's prices are rising 3.9% now (CSO HICP flash, Sep 2026). Choose what you want to use. Allowed: 0% to 10% · steps of 0.25%</v>
      </c>
      <c r="F6" s="40" t="n">
        <v>0.02</v>
      </c>
      <c r="G6" s="41" t="str">
        <f aca="false">IF(ISBLANK(C6),IF(Fill_Example="Yes",F6,""),C6)</f>
        <v/>
      </c>
    </row>
    <row r="7" customFormat="false" ht="27.75" hidden="false" customHeight="true" outlineLevel="0" collapsed="false">
      <c r="B7" s="57" t="str">
        <f aca="false">"Everyone sees this differently. Ireland's prices are rising "&amp;TEXT(Set_inflNow,"0.0%")&amp;" now (CSO HICP flash, Sep 2026), mostly because of energy. Over decades, 2%–2.5% is the usual planning range (ECB target 2%). Enter 0% if you don't want to adjust for prices."</f>
        <v>Everyone sees this differently. Ireland's prices are rising 3.9% now (CSO HICP flash, Sep 2026), mostly because of energy. Over decades, 2%–2.5% is the usual planning range (ECB target 2%). Enter 0% if you don't want to adjust for prices.</v>
      </c>
      <c r="C7" s="57"/>
      <c r="D7" s="57"/>
      <c r="E7" s="57"/>
    </row>
    <row r="9" customFormat="false" ht="15" hidden="false" customHeight="true" outlineLevel="0" collapsed="false">
      <c r="B9" s="15" t="s">
        <v>310</v>
      </c>
      <c r="C9" s="16"/>
      <c r="D9" s="16"/>
      <c r="E9" s="16"/>
      <c r="F9" s="16"/>
      <c r="G9" s="16"/>
    </row>
    <row r="10" customFormat="false" ht="27.75" hidden="false" customHeight="true" outlineLevel="0" collapsed="false">
      <c r="B10" s="57" t="s">
        <v>632</v>
      </c>
      <c r="C10" s="57"/>
      <c r="D10" s="57"/>
      <c r="E10" s="57"/>
    </row>
    <row r="11" customFormat="false" ht="15" hidden="false" customHeight="true" outlineLevel="0" collapsed="false">
      <c r="B11" s="9" t="s">
        <v>633</v>
      </c>
      <c r="C11" s="58"/>
      <c r="D11" s="31" t="s">
        <v>227</v>
      </c>
      <c r="E11" s="32" t="s">
        <v>634</v>
      </c>
      <c r="G11" s="56" t="s">
        <v>314</v>
      </c>
    </row>
    <row r="12" customFormat="false" ht="15" hidden="false" customHeight="true" outlineLevel="0" collapsed="false">
      <c r="B12" s="9" t="s">
        <v>321</v>
      </c>
      <c r="C12" s="61"/>
      <c r="D12" s="31" t="s">
        <v>322</v>
      </c>
      <c r="E12" s="32" t="s">
        <v>323</v>
      </c>
      <c r="G12" s="56" t="s">
        <v>314</v>
      </c>
    </row>
    <row r="14" customFormat="false" ht="15" hidden="false" customHeight="true" outlineLevel="0" collapsed="false">
      <c r="B14" s="15" t="s">
        <v>324</v>
      </c>
      <c r="C14" s="28" t="s">
        <v>222</v>
      </c>
      <c r="D14" s="28" t="s">
        <v>223</v>
      </c>
      <c r="E14" s="28" t="s">
        <v>224</v>
      </c>
      <c r="F14" s="29" t="s">
        <v>225</v>
      </c>
      <c r="G14" s="16"/>
    </row>
    <row r="15" customFormat="false" ht="21.75" hidden="false" customHeight="true" outlineLevel="0" collapsed="false">
      <c r="B15" s="9" t="s">
        <v>637</v>
      </c>
      <c r="C15" s="30"/>
      <c r="D15" s="31" t="s">
        <v>227</v>
      </c>
      <c r="E15" s="32" t="s">
        <v>638</v>
      </c>
      <c r="F15" s="33" t="n">
        <v>20000</v>
      </c>
      <c r="G15" s="34" t="str">
        <f aca="false">IF(ISBLANK(C15),IF(Fill_Example="Yes",F15,""),C15)</f>
        <v/>
      </c>
    </row>
    <row r="16" customFormat="false" ht="21.75" hidden="false" customHeight="true" outlineLevel="0" collapsed="false">
      <c r="B16" s="9" t="s">
        <v>939</v>
      </c>
      <c r="C16" s="38"/>
      <c r="D16" s="31" t="s">
        <v>238</v>
      </c>
      <c r="E16" s="39" t="s">
        <v>940</v>
      </c>
      <c r="F16" s="40" t="n">
        <f aca="false">Set_invGross</f>
        <v>0.05</v>
      </c>
      <c r="G16" s="41" t="n">
        <f aca="false">IF(ISBLANK(C16),F16,C16)</f>
        <v>0.05</v>
      </c>
    </row>
    <row r="17" customFormat="false" ht="15" hidden="false" customHeight="true" outlineLevel="0" collapsed="false">
      <c r="B17" s="9" t="s">
        <v>606</v>
      </c>
      <c r="C17" s="42"/>
      <c r="D17" s="31" t="s">
        <v>240</v>
      </c>
      <c r="E17" s="32" t="s">
        <v>607</v>
      </c>
      <c r="F17" s="43" t="n">
        <v>15</v>
      </c>
      <c r="G17" s="44" t="str">
        <f aca="false">IF(ISBLANK(C17),IF(Fill_Example="Yes",F17,""),C17)</f>
        <v/>
      </c>
    </row>
    <row r="19" customFormat="false" ht="15" hidden="false" customHeight="true" outlineLevel="0" collapsed="false">
      <c r="B19" s="15" t="s">
        <v>333</v>
      </c>
      <c r="C19" s="16"/>
      <c r="D19" s="16"/>
      <c r="E19" s="16"/>
      <c r="F19" s="16"/>
      <c r="G19" s="16"/>
    </row>
    <row r="20" customFormat="false" ht="15" hidden="false" customHeight="true" outlineLevel="0" collapsed="false">
      <c r="B20" s="9" t="s">
        <v>637</v>
      </c>
      <c r="C20" s="62" t="str">
        <f aca="false">IF(ISBLANK(Stmt_Total_Value),Amount,Stmt_Total_Value)</f>
        <v/>
      </c>
      <c r="D20" s="63" t="str">
        <f aca="false">IF(ISBLANK(Stmt_Total_Value),"Your figure","From your statement")</f>
        <v>Your figure</v>
      </c>
      <c r="E20" s="53" t="s">
        <v>647</v>
      </c>
    </row>
    <row r="21" customFormat="false" ht="21.75" hidden="false" customHeight="true" outlineLevel="0" collapsed="false">
      <c r="B21" s="9" t="s">
        <v>339</v>
      </c>
      <c r="C21" s="49" t="str">
        <f aca="true">IF(ISBLANK(Stmt_Statement_Date),"",IF(TODAY()-Stmt_Statement_Date&gt;Statement_Max_Age_Days,"Needs a look: statement is more than 12 months old","Up to date"))</f>
        <v/>
      </c>
      <c r="D21" s="31"/>
      <c r="E21" s="46" t="s">
        <v>340</v>
      </c>
    </row>
    <row r="23" customFormat="false" ht="15" hidden="false" customHeight="true" outlineLevel="0" collapsed="false">
      <c r="B23" s="15" t="s">
        <v>247</v>
      </c>
      <c r="C23" s="28" t="s">
        <v>248</v>
      </c>
      <c r="D23" s="28" t="s">
        <v>249</v>
      </c>
      <c r="E23" s="28" t="s">
        <v>250</v>
      </c>
      <c r="F23" s="16"/>
      <c r="G23" s="16"/>
    </row>
    <row r="24" customFormat="false" ht="17.25" hidden="false" customHeight="true" outlineLevel="0" collapsed="false">
      <c r="B24" s="25" t="s">
        <v>941</v>
      </c>
      <c r="C24" s="45" t="str">
        <f aca="false">IF(Need_1&lt;&gt;"",Need_1,IF(Inflation_Choice="","Choose your inflation rate to see this",Future_Value/(1+Inflation_Choice)^Years))</f>
        <v>Choose your years to see this</v>
      </c>
      <c r="D24" s="31" t="s">
        <v>227</v>
      </c>
      <c r="E24" s="46" t="s">
        <v>942</v>
      </c>
    </row>
    <row r="25" customFormat="false" ht="17.25" hidden="false" customHeight="true" outlineLevel="0" collapsed="false">
      <c r="B25" s="25" t="s">
        <v>943</v>
      </c>
      <c r="C25" s="45" t="str">
        <f aca="false">IF(Need_2&lt;&gt;"",Need_2,Used_Amount*(1+Nominal_Return)^Years)</f>
        <v>Choose your years to see this</v>
      </c>
      <c r="D25" s="31" t="s">
        <v>227</v>
      </c>
      <c r="E25" s="46" t="s">
        <v>944</v>
      </c>
    </row>
    <row r="26" customFormat="false" ht="17.25" hidden="false" customHeight="true" outlineLevel="0" collapsed="false">
      <c r="B26" s="25" t="s">
        <v>945</v>
      </c>
      <c r="C26" s="85" t="str">
        <f aca="false">IF(Need_3&lt;&gt;"",Need_3,IF(Inflation_Choice="","Choose your inflation rate to see this",(1+Nominal_Return)/(1+Inflation_Choice)-1))</f>
        <v>Choose your inflation rate to see this</v>
      </c>
      <c r="D26" s="31"/>
      <c r="E26" s="46" t="s">
        <v>946</v>
      </c>
    </row>
    <row r="27" customFormat="false" ht="15" hidden="false" customHeight="true" outlineLevel="0" collapsed="false">
      <c r="B27" s="72" t="str">
        <f aca="false">"Before tax: deposit interest is taxed at "&amp;TEXT(DIRT,"0%")&amp;" DIRT; investment funds and life policies pay "&amp;TEXT(Exit_Tax,"0%")&amp;" exit tax on gains, also charged every "&amp;Deemed_Disposal_Years&amp;" years (deemed disposal). Pension funds grow tax-free. No tax is taken off here."</f>
        <v>Before tax: deposit interest is taxed at 33% DIRT; investment funds and life policies pay 38% exit tax on gains, also charged every 8 years (deemed disposal). Pension funds grow tax-free. No tax is taken off here.</v>
      </c>
      <c r="C27" s="72"/>
      <c r="D27" s="72"/>
      <c r="E27" s="72"/>
    </row>
    <row r="29" customFormat="false" ht="15" hidden="false" customHeight="true" outlineLevel="0" collapsed="false">
      <c r="B29" s="15" t="s">
        <v>280</v>
      </c>
      <c r="C29" s="16"/>
      <c r="D29" s="16"/>
      <c r="E29" s="16"/>
      <c r="F29" s="16"/>
      <c r="G29" s="16"/>
    </row>
    <row r="30" customFormat="false" ht="13.5" hidden="false" customHeight="true" outlineLevel="0" collapsed="false">
      <c r="B30" s="50" t="s">
        <v>947</v>
      </c>
      <c r="C30" s="50"/>
      <c r="D30" s="50"/>
      <c r="E30" s="50"/>
    </row>
    <row r="31" customFormat="false" ht="13.5" hidden="false" customHeight="true" outlineLevel="0" collapsed="false">
      <c r="B31" s="50" t="s">
        <v>948</v>
      </c>
      <c r="C31" s="50"/>
      <c r="D31" s="50"/>
      <c r="E31" s="50"/>
    </row>
    <row r="32" customFormat="false" ht="13.5" hidden="false" customHeight="true" outlineLevel="0" collapsed="false">
      <c r="B32" s="51" t="s">
        <v>283</v>
      </c>
      <c r="C32" s="51"/>
      <c r="D32" s="51"/>
      <c r="E32" s="51"/>
    </row>
    <row r="33" customFormat="false" ht="13.5" hidden="false" customHeight="true" outlineLevel="0" collapsed="false">
      <c r="B33" s="50" t="s">
        <v>949</v>
      </c>
      <c r="C33" s="50"/>
      <c r="D33" s="50"/>
      <c r="E33" s="50"/>
    </row>
    <row r="35" customFormat="false" ht="15" hidden="false" customHeight="true" outlineLevel="0" collapsed="false">
      <c r="B35" s="15" t="s">
        <v>288</v>
      </c>
      <c r="C35" s="16"/>
      <c r="D35" s="16"/>
      <c r="E35" s="16"/>
      <c r="F35" s="16"/>
      <c r="G35" s="16"/>
    </row>
    <row r="36" customFormat="false" ht="15" hidden="false" customHeight="true" outlineLevel="0" collapsed="false">
      <c r="B36" s="9" t="s">
        <v>289</v>
      </c>
      <c r="C36" s="52" t="str">
        <f aca="false">"No goal"</f>
        <v>No goal</v>
      </c>
      <c r="E36" s="53" t="s">
        <v>475</v>
      </c>
    </row>
    <row r="38" customFormat="false" ht="15" hidden="false" customHeight="true" outlineLevel="0" collapsed="false">
      <c r="B38" s="15" t="s">
        <v>297</v>
      </c>
      <c r="C38" s="16"/>
      <c r="D38" s="16"/>
      <c r="E38" s="16"/>
      <c r="F38" s="16"/>
      <c r="G38" s="16"/>
    </row>
    <row r="39" customFormat="false" ht="15" hidden="false" customHeight="true" outlineLevel="0" collapsed="false">
      <c r="B39" s="56" t="s">
        <v>950</v>
      </c>
      <c r="C39" s="56" t="str">
        <f aca="false">IF(Years="","Choose your years to see this",IF(NOT(ISNUMBER(Used_Amount)),IF(Used_Amount="",IF(Amount="","Choose your amount to see this",""),Used_Amount),IF(Inflation_Choice="","Choose your inflation rate to see this","")))</f>
        <v>Choose your years to see this</v>
      </c>
    </row>
    <row r="40" customFormat="false" ht="15" hidden="false" customHeight="true" outlineLevel="0" collapsed="false">
      <c r="B40" s="56" t="s">
        <v>951</v>
      </c>
      <c r="C40" s="56" t="str">
        <f aca="false">IF(Years="","Choose your years to see this",IF(NOT(ISNUMBER(Used_Amount)),IF(Used_Amount="",IF(Amount="","Choose your amount to see this",""),Used_Amount),""))</f>
        <v>Choose your years to see this</v>
      </c>
    </row>
    <row r="41" customFormat="false" ht="15" hidden="false" customHeight="true" outlineLevel="0" collapsed="false">
      <c r="B41" s="56" t="s">
        <v>952</v>
      </c>
      <c r="C41" s="56" t="str">
        <f aca="false">IF(Inflation_Choice="","Choose your inflation rate to see this","")</f>
        <v>Choose your inflation rate to see this</v>
      </c>
    </row>
  </sheetData>
  <mergeCells count="7">
    <mergeCell ref="B7:E7"/>
    <mergeCell ref="B10:E10"/>
    <mergeCell ref="B27:E27"/>
    <mergeCell ref="B30:E30"/>
    <mergeCell ref="B31:E31"/>
    <mergeCell ref="B32:E32"/>
    <mergeCell ref="B33:E33"/>
  </mergeCells>
  <dataValidations count="6">
    <dataValidation allowBlank="true" error="Please enter a date (dd/mm/yyyy)." errorStyle="stop" errorTitle="Outside the allowed range" operator="greaterThan" prompt="Unit: date. Allowed: a date (dd/mm/yyyy)." promptTitle="Statement date" showDropDown="false" showErrorMessage="true" showInputMessage="true" sqref="C12" type="date">
      <formula1>36526</formula1>
      <formula2>0</formula2>
    </dataValidation>
    <dataValidation allowBlank="true" error="Please enter 0% to 10% · steps of 0.25%." errorStyle="stop" errorTitle="Outside the allowed range" operator="between" prompt="Generally the standard is 2% a year (ECB target); Ireland's prices are rising 3.9% now (CSO HICP flash, Sep 2026). Choose what you want to use.  Allowed: 0% to 10% · steps of 0.25%." promptTitle="Inflation you expect (your choic" showDropDown="false" showErrorMessage="true" showInputMessage="true" sqref="C6" type="decimal">
      <formula1>0</formula1>
      <formula2>0.1</formula2>
    </dataValidation>
    <dataValidation allowBlank="true" error="Please enter 1 to 40 · steps of 1." errorStyle="stop" errorTitle="Outside the allowed range" operator="between" prompt="Your own figure.  Allowed: 1 to 40 · steps of 1." promptTitle="Years" showDropDown="false" showErrorMessage="true" showInputMessage="true" sqref="C17" type="whole">
      <formula1>1</formula1>
      <formula2>40</formula2>
    </dataValidation>
    <dataValidation allowBlank="true" error="Please enter €0 to €100,000,000." errorStyle="stop" errorTitle="Outside the allowed range" operator="between" prompt="Unit: €. Allowed: €0 to €100,000,000." promptTitle="Total value" showDropDown="false" showErrorMessage="true" showInputMessage="true" sqref="C11" type="decimal">
      <formula1>0</formula1>
      <formula2>100000000</formula2>
    </dataValidation>
    <dataValidation allowBlank="true" error="Please enter €500 to €5,000,000 · steps of €100." errorStyle="stop" errorTitle="Outside the allowed range" operator="between" prompt="Your own figure. In the app it is pre-filled from Your finances / statement: investments.  Allowed: €500 to €5,000,000 · steps of €100." promptTitle="Amount" showDropDown="false" showErrorMessage="true" showInputMessage="true" sqref="C15" type="decimal">
      <formula1>500</formula1>
      <formula2>5000000</formula2>
    </dataValidation>
    <dataValidation allowBlank="true" error="Please enter 0% to 10% · steps of 0.25%." errorStyle="stop" errorTitle="Outside the allowed range" operator="between" prompt="Generally the standard is 5% a year before charges and tax for a mixed fund (LifeMap standard, not a forecast). Choose what you want to use.  Allowed: 0% to 10% · steps of 0.25%." promptTitle="Return a year (before inflation)" showDropDown="false" showErrorMessage="true" showInputMessage="true" sqref="C16" type="decimal">
      <formula1>0</formula1>
      <formula2>0.1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953</v>
      </c>
      <c r="E1" s="3" t="s">
        <v>954</v>
      </c>
    </row>
    <row r="2" customFormat="false" ht="15" hidden="false" customHeight="true" outlineLevel="0" collapsed="false">
      <c r="B2" s="25" t="s">
        <v>955</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956</v>
      </c>
    </row>
    <row r="5" customFormat="false" ht="15" hidden="false" customHeight="true" outlineLevel="0" collapsed="false">
      <c r="B5" s="15" t="s">
        <v>561</v>
      </c>
      <c r="C5" s="28" t="s">
        <v>222</v>
      </c>
      <c r="D5" s="28" t="s">
        <v>223</v>
      </c>
      <c r="E5" s="28" t="s">
        <v>224</v>
      </c>
      <c r="F5" s="29" t="s">
        <v>225</v>
      </c>
      <c r="G5" s="16"/>
    </row>
    <row r="6" customFormat="false" ht="21.75" hidden="false" customHeight="true" outlineLevel="0" collapsed="false">
      <c r="B6" s="9" t="s">
        <v>562</v>
      </c>
      <c r="C6" s="38"/>
      <c r="D6" s="31" t="s">
        <v>238</v>
      </c>
      <c r="E6" s="39" t="str">
        <f aca="false">"Type 3 · your choice · Generally the standard is 2% a year (ECB target); Ireland's prices are rising "&amp;TEXT(Set_inflNow,"0.0%")&amp;" now (CSO HICP flash, Sep 2026). Choose what you want to use. Allowed: 0% to 10% · steps of 0.25%"</f>
        <v>Type 3 · your choice · Generally the standard is 2% a year (ECB target); Ireland's prices are rising 3.9% now (CSO HICP flash, Sep 2026). Choose what you want to use. Allowed: 0% to 10% · steps of 0.25%</v>
      </c>
      <c r="F6" s="40" t="n">
        <v>0.02</v>
      </c>
      <c r="G6" s="41" t="str">
        <f aca="false">IF(ISBLANK(C6),IF(Fill_Example="Yes",F6,""),C6)</f>
        <v/>
      </c>
    </row>
    <row r="7" customFormat="false" ht="27.75" hidden="false" customHeight="true" outlineLevel="0" collapsed="false">
      <c r="B7" s="57" t="str">
        <f aca="false">"Everyone sees this differently. Ireland's prices are rising "&amp;TEXT(Set_inflNow,"0.0%")&amp;" now (CSO HICP flash, Sep 2026), mostly because of energy. Over decades, 2%–2.5% is the usual planning range (ECB target 2%). Enter 0% if you don't want to adjust for prices."</f>
        <v>Everyone sees this differently. Ireland's prices are rising 3.9% now (CSO HICP flash, Sep 2026), mostly because of energy. Over decades, 2%–2.5% is the usual planning range (ECB target 2%). Enter 0% if you don't want to adjust for prices.</v>
      </c>
      <c r="C7" s="57"/>
      <c r="D7" s="57"/>
      <c r="E7" s="57"/>
    </row>
    <row r="9" customFormat="false" ht="15" hidden="false" customHeight="true" outlineLevel="0" collapsed="false">
      <c r="B9" s="15" t="s">
        <v>310</v>
      </c>
      <c r="C9" s="16"/>
      <c r="D9" s="16"/>
      <c r="E9" s="16"/>
      <c r="F9" s="16"/>
      <c r="G9" s="16"/>
    </row>
    <row r="10" customFormat="false" ht="27.75" hidden="false" customHeight="true" outlineLevel="0" collapsed="false">
      <c r="B10" s="57" t="s">
        <v>632</v>
      </c>
      <c r="C10" s="57"/>
      <c r="D10" s="57"/>
      <c r="E10" s="57"/>
    </row>
    <row r="11" customFormat="false" ht="15" hidden="false" customHeight="true" outlineLevel="0" collapsed="false">
      <c r="B11" s="9" t="s">
        <v>957</v>
      </c>
      <c r="C11" s="58"/>
      <c r="D11" s="31" t="s">
        <v>227</v>
      </c>
      <c r="E11" s="32" t="s">
        <v>958</v>
      </c>
      <c r="G11" s="56" t="s">
        <v>314</v>
      </c>
    </row>
    <row r="12" customFormat="false" ht="15" hidden="false" customHeight="true" outlineLevel="0" collapsed="false">
      <c r="B12" s="9" t="s">
        <v>635</v>
      </c>
      <c r="C12" s="59"/>
      <c r="D12" s="31" t="s">
        <v>238</v>
      </c>
      <c r="E12" s="32" t="s">
        <v>636</v>
      </c>
      <c r="G12" s="56" t="s">
        <v>314</v>
      </c>
    </row>
    <row r="13" customFormat="false" ht="15" hidden="false" customHeight="true" outlineLevel="0" collapsed="false">
      <c r="B13" s="9" t="s">
        <v>321</v>
      </c>
      <c r="C13" s="61"/>
      <c r="D13" s="31" t="s">
        <v>322</v>
      </c>
      <c r="E13" s="32" t="s">
        <v>323</v>
      </c>
      <c r="G13" s="56" t="s">
        <v>314</v>
      </c>
    </row>
    <row r="15" customFormat="false" ht="15" hidden="false" customHeight="true" outlineLevel="0" collapsed="false">
      <c r="B15" s="15" t="s">
        <v>324</v>
      </c>
      <c r="C15" s="28" t="s">
        <v>222</v>
      </c>
      <c r="D15" s="28" t="s">
        <v>223</v>
      </c>
      <c r="E15" s="28" t="s">
        <v>224</v>
      </c>
      <c r="F15" s="29" t="s">
        <v>225</v>
      </c>
      <c r="G15" s="16"/>
    </row>
    <row r="16" customFormat="false" ht="15" hidden="false" customHeight="true" outlineLevel="0" collapsed="false">
      <c r="B16" s="9" t="s">
        <v>959</v>
      </c>
      <c r="C16" s="30"/>
      <c r="D16" s="31" t="s">
        <v>227</v>
      </c>
      <c r="E16" s="32" t="s">
        <v>960</v>
      </c>
      <c r="F16" s="33" t="n">
        <v>300</v>
      </c>
      <c r="G16" s="34" t="str">
        <f aca="false">IF(ISBLANK(C16),IF(Fill_Example="Yes",F16,""),C16)</f>
        <v/>
      </c>
    </row>
    <row r="17" customFormat="false" ht="15" hidden="false" customHeight="true" outlineLevel="0" collapsed="false">
      <c r="B17" s="9" t="s">
        <v>606</v>
      </c>
      <c r="C17" s="42"/>
      <c r="D17" s="31" t="s">
        <v>240</v>
      </c>
      <c r="E17" s="32" t="s">
        <v>607</v>
      </c>
      <c r="F17" s="43" t="n">
        <v>15</v>
      </c>
      <c r="G17" s="44" t="str">
        <f aca="false">IF(ISBLANK(C17),IF(Fill_Example="Yes",F17,""),C17)</f>
        <v/>
      </c>
    </row>
    <row r="18" customFormat="false" ht="21.75" hidden="false" customHeight="true" outlineLevel="0" collapsed="false">
      <c r="B18" s="9" t="s">
        <v>961</v>
      </c>
      <c r="C18" s="38"/>
      <c r="D18" s="31" t="s">
        <v>238</v>
      </c>
      <c r="E18" s="39" t="s">
        <v>605</v>
      </c>
      <c r="F18" s="40" t="n">
        <f aca="false">Set_invGross</f>
        <v>0.05</v>
      </c>
      <c r="G18" s="41" t="n">
        <f aca="false">IF(ISBLANK(C18),F18,C18)</f>
        <v>0.05</v>
      </c>
    </row>
    <row r="19" customFormat="false" ht="21.75" hidden="false" customHeight="true" outlineLevel="0" collapsed="false">
      <c r="B19" s="9" t="s">
        <v>640</v>
      </c>
      <c r="C19" s="38"/>
      <c r="D19" s="31" t="s">
        <v>238</v>
      </c>
      <c r="E19" s="39" t="str">
        <f aca="false">"Type 2 · your figure · Fund charges a year (your statement shows yours). "&amp;IF(ISNUMBER(Suggest_Fund_Charges),"Suggested: "&amp;TEXT(Suggest_Fund_Charges,"0.00%")&amp;" · "&amp;Suggest_Fund_Charges_Label&amp;". ","No suggestion. ")&amp;"Enter your own figure."&amp;" Allowed: 0% to 3% · steps of 0.05%"</f>
        <v>Type 2 · your figure · Fund charges a year (your statement shows yours). Suggested: 1.00% · Pensions Authority pension calculator assumption. Enter your own figure. Allowed: 0% to 3% · steps of 0.05%</v>
      </c>
      <c r="F19" s="40" t="n">
        <f aca="false">IF(ISNUMBER(Suggest_Fund_Charges),Suggest_Fund_Charges,"")</f>
        <v>0.01</v>
      </c>
      <c r="G19" s="41" t="str">
        <f aca="false">IF(ISBLANK(C19),IF(Fill_Example="Yes",F19,""),C19)</f>
        <v/>
      </c>
    </row>
    <row r="20" customFormat="false" ht="15" hidden="false" customHeight="true" outlineLevel="0" collapsed="false">
      <c r="B20" s="9" t="s">
        <v>643</v>
      </c>
      <c r="C20" s="35"/>
      <c r="D20" s="31" t="s">
        <v>234</v>
      </c>
      <c r="E20" s="32" t="s">
        <v>644</v>
      </c>
      <c r="F20" s="36" t="s">
        <v>3</v>
      </c>
      <c r="G20" s="37" t="str">
        <f aca="false">IF(ISBLANK(C20),F20,C20)</f>
        <v>No</v>
      </c>
    </row>
    <row r="22" customFormat="false" ht="15" hidden="false" customHeight="true" outlineLevel="0" collapsed="false">
      <c r="B22" s="15" t="s">
        <v>333</v>
      </c>
      <c r="C22" s="16"/>
      <c r="D22" s="16"/>
      <c r="E22" s="16"/>
      <c r="F22" s="16"/>
      <c r="G22" s="16"/>
    </row>
    <row r="23" customFormat="false" ht="15" hidden="false" customHeight="true" outlineLevel="0" collapsed="false">
      <c r="B23" s="9" t="s">
        <v>645</v>
      </c>
      <c r="C23" s="49" t="str">
        <f aca="false">IF(COUNTA(Stmt_Monthly_Invested,Stmt_Charges,Stmt_Statement_Date)&gt;0,"Yes","No")</f>
        <v>No</v>
      </c>
      <c r="D23" s="31"/>
      <c r="E23" s="46" t="s">
        <v>962</v>
      </c>
    </row>
    <row r="24" customFormat="false" ht="15" hidden="false" customHeight="true" outlineLevel="0" collapsed="false">
      <c r="B24" s="9" t="s">
        <v>959</v>
      </c>
      <c r="C24" s="62" t="str">
        <f aca="false">IF(ISBLANK(Stmt_Monthly_Invested),Monthly_Amount,Stmt_Monthly_Invested)</f>
        <v/>
      </c>
      <c r="D24" s="63" t="str">
        <f aca="false">IF(ISBLANK(Stmt_Monthly_Invested),"Your figure","From your statement")</f>
        <v>Your figure</v>
      </c>
      <c r="E24" s="53" t="s">
        <v>963</v>
      </c>
    </row>
    <row r="25" customFormat="false" ht="15" hidden="false" customHeight="true" outlineLevel="0" collapsed="false">
      <c r="B25" s="9" t="s">
        <v>640</v>
      </c>
      <c r="C25" s="64" t="str">
        <f aca="false">IF(NOT(ISBLANK(Stmt_Charges)),Stmt_Charges,IF(Statement_Uploaded="Yes",0,Yearly_Fees))</f>
        <v/>
      </c>
      <c r="D25" s="63" t="str">
        <f aca="false">IF(NOT(ISBLANK(Stmt_Charges)),"From your statement",IF(Statement_Uploaded="Yes","None shown on your statement","Your figure"))</f>
        <v>Your figure</v>
      </c>
      <c r="E25" s="53" t="s">
        <v>648</v>
      </c>
    </row>
    <row r="26" customFormat="false" ht="21.75" hidden="false" customHeight="true" outlineLevel="0" collapsed="false">
      <c r="B26" s="9" t="s">
        <v>339</v>
      </c>
      <c r="C26" s="49" t="str">
        <f aca="true">IF(ISBLANK(Stmt_Statement_Date),"",IF(TODAY()-Stmt_Statement_Date&gt;Statement_Max_Age_Days,"Needs a look: statement is more than 12 months old","Up to date"))</f>
        <v/>
      </c>
      <c r="D26" s="31"/>
      <c r="E26" s="46" t="s">
        <v>340</v>
      </c>
    </row>
    <row r="28" customFormat="false" ht="15" hidden="false" customHeight="true" outlineLevel="0" collapsed="false">
      <c r="B28" s="15" t="s">
        <v>247</v>
      </c>
      <c r="C28" s="28" t="s">
        <v>248</v>
      </c>
      <c r="D28" s="28" t="s">
        <v>249</v>
      </c>
      <c r="E28" s="28" t="s">
        <v>250</v>
      </c>
      <c r="F28" s="16"/>
      <c r="G28" s="16"/>
    </row>
    <row r="29" customFormat="false" ht="17.25" hidden="false" customHeight="true" outlineLevel="0" collapsed="false">
      <c r="B29" s="25" t="s">
        <v>964</v>
      </c>
      <c r="C29" s="45" t="str">
        <f aca="false">IF(Need_1&lt;&gt;"",Need_1,IF(Adjust_For_Inflation="Yes",Value_Today,Value_After_Fees))</f>
        <v>Choose your years to see this</v>
      </c>
      <c r="D29" s="31" t="s">
        <v>227</v>
      </c>
      <c r="E29" s="46" t="s">
        <v>965</v>
      </c>
    </row>
    <row r="30" customFormat="false" ht="15" hidden="false" customHeight="true" outlineLevel="0" collapsed="false">
      <c r="B30" s="9" t="s">
        <v>966</v>
      </c>
      <c r="C30" s="47" t="str">
        <f aca="false">IF(Need_1&lt;&gt;"",Need_1,FV((1+Growth_After_Fees)^(1/12)-1,Years*12,-Used_Monthly_Amount))</f>
        <v>Choose your years to see this</v>
      </c>
      <c r="D30" s="31" t="s">
        <v>227</v>
      </c>
      <c r="E30" s="46" t="s">
        <v>967</v>
      </c>
    </row>
    <row r="31" customFormat="false" ht="15" hidden="false" customHeight="true" outlineLevel="0" collapsed="false">
      <c r="B31" s="9" t="s">
        <v>968</v>
      </c>
      <c r="C31" s="47" t="str">
        <f aca="false">IF(Need_2&lt;&gt;"",Need_2,FV((1+Growth_Rate)^(1/12)-1,Years*12,-Used_Monthly_Amount))</f>
        <v>Choose your years to see this</v>
      </c>
      <c r="D31" s="31" t="s">
        <v>227</v>
      </c>
      <c r="E31" s="46" t="s">
        <v>969</v>
      </c>
    </row>
    <row r="32" customFormat="false" ht="17.25" hidden="false" customHeight="true" outlineLevel="0" collapsed="false">
      <c r="B32" s="25" t="s">
        <v>657</v>
      </c>
      <c r="C32" s="45" t="str">
        <f aca="false">IF(Need_1&lt;&gt;"",Need_1,Value_Before_Fees-Value_After_Fees)</f>
        <v>Choose your years to see this</v>
      </c>
      <c r="D32" s="31" t="s">
        <v>227</v>
      </c>
      <c r="E32" s="46" t="s">
        <v>970</v>
      </c>
    </row>
    <row r="33" customFormat="false" ht="15" hidden="false" customHeight="true" outlineLevel="0" collapsed="false">
      <c r="B33" s="9" t="s">
        <v>612</v>
      </c>
      <c r="C33" s="47" t="str">
        <f aca="false">IF(Need_3&lt;&gt;"",Need_3,Used_Monthly_Amount*12*Years)</f>
        <v>Choose your years to see this</v>
      </c>
      <c r="D33" s="31" t="s">
        <v>227</v>
      </c>
      <c r="E33" s="46" t="s">
        <v>971</v>
      </c>
    </row>
    <row r="34" customFormat="false" ht="15" hidden="false" customHeight="true" outlineLevel="0" collapsed="false">
      <c r="B34" s="9" t="s">
        <v>610</v>
      </c>
      <c r="C34" s="47" t="str">
        <f aca="false">IF(Need_4&lt;&gt;"",Need_4,IF(Inflation_Choice="","Choose your inflation rate to see this",Value_After_Fees/(1+Inflation_Choice)^Years))</f>
        <v>Choose your years to see this</v>
      </c>
      <c r="D34" s="31" t="s">
        <v>227</v>
      </c>
      <c r="E34" s="46" t="s">
        <v>972</v>
      </c>
    </row>
    <row r="35" customFormat="false" ht="15" hidden="false" customHeight="true" outlineLevel="0" collapsed="false">
      <c r="B35" s="9" t="s">
        <v>659</v>
      </c>
      <c r="C35" s="68" t="str">
        <f aca="false">IF(Need_5&lt;&gt;"",Need_5,(1+Growth_Rate)*(1-Used_Yearly_Fees)-1)</f>
        <v>Choose your yearly fees to see this</v>
      </c>
      <c r="D35" s="31"/>
      <c r="E35" s="46" t="s">
        <v>660</v>
      </c>
    </row>
    <row r="36" customFormat="false" ht="15" hidden="false" customHeight="true" outlineLevel="0" collapsed="false">
      <c r="B36" s="9" t="s">
        <v>661</v>
      </c>
      <c r="C36" s="68" t="str">
        <f aca="false">IF(Need_6&lt;&gt;"",Need_6,IF(Inflation_Choice="","Choose your inflation rate to see this",(1+Growth_After_Fees)/(1+Inflation_Choice)-1))</f>
        <v>Choose your yearly fees to see this</v>
      </c>
      <c r="D36" s="31"/>
      <c r="E36" s="46" t="s">
        <v>662</v>
      </c>
    </row>
    <row r="37" customFormat="false" ht="15" hidden="false" customHeight="true" outlineLevel="0" collapsed="false">
      <c r="B37" s="72" t="str">
        <f aca="false">"Before tax: deposit interest is taxed at "&amp;TEXT(DIRT,"0%")&amp;" DIRT; investment funds and life policies pay "&amp;TEXT(Exit_Tax,"0%")&amp;" exit tax on gains, also charged every "&amp;Deemed_Disposal_Years&amp;" years (deemed disposal). Pension funds grow tax-free. No tax is taken off here."</f>
        <v>Before tax: deposit interest is taxed at 33% DIRT; investment funds and life policies pay 38% exit tax on gains, also charged every 8 years (deemed disposal). Pension funds grow tax-free. No tax is taken off here.</v>
      </c>
      <c r="C37" s="72"/>
      <c r="D37" s="72"/>
      <c r="E37" s="72"/>
    </row>
    <row r="39" customFormat="false" ht="15" hidden="false" customHeight="true" outlineLevel="0" collapsed="false">
      <c r="B39" s="15" t="s">
        <v>280</v>
      </c>
      <c r="C39" s="16"/>
      <c r="D39" s="16"/>
      <c r="E39" s="16"/>
      <c r="F39" s="16"/>
      <c r="G39" s="16"/>
    </row>
    <row r="40" customFormat="false" ht="27.75" hidden="false" customHeight="true" outlineLevel="0" collapsed="false">
      <c r="B40" s="50" t="s">
        <v>973</v>
      </c>
      <c r="C40" s="50"/>
      <c r="D40" s="50"/>
      <c r="E40" s="50"/>
    </row>
    <row r="41" customFormat="false" ht="13.5" hidden="false" customHeight="true" outlineLevel="0" collapsed="false">
      <c r="B41" s="50" t="s">
        <v>974</v>
      </c>
      <c r="C41" s="50"/>
      <c r="D41" s="50"/>
      <c r="E41" s="50"/>
    </row>
    <row r="42" customFormat="false" ht="13.5" hidden="false" customHeight="true" outlineLevel="0" collapsed="false">
      <c r="B42" s="51" t="s">
        <v>283</v>
      </c>
      <c r="C42" s="51"/>
      <c r="D42" s="51"/>
      <c r="E42" s="51"/>
    </row>
    <row r="43" customFormat="false" ht="13.5" hidden="false" customHeight="true" outlineLevel="0" collapsed="false">
      <c r="B43" s="50" t="s">
        <v>975</v>
      </c>
      <c r="C43" s="50"/>
      <c r="D43" s="50"/>
      <c r="E43" s="50"/>
    </row>
    <row r="45" customFormat="false" ht="15" hidden="false" customHeight="true" outlineLevel="0" collapsed="false">
      <c r="B45" s="15" t="s">
        <v>288</v>
      </c>
      <c r="C45" s="16"/>
      <c r="D45" s="16"/>
      <c r="E45" s="16"/>
      <c r="F45" s="16"/>
      <c r="G45" s="16"/>
    </row>
    <row r="46" customFormat="false" ht="15" hidden="false" customHeight="true" outlineLevel="0" collapsed="false">
      <c r="B46" s="9" t="s">
        <v>289</v>
      </c>
      <c r="C46" s="52" t="str">
        <f aca="false">"Grow my wealth (plan kind pot)"</f>
        <v>Grow my wealth (plan kind pot)</v>
      </c>
      <c r="E46" s="53" t="s">
        <v>620</v>
      </c>
    </row>
    <row r="47" customFormat="false" ht="15" hidden="false" customHeight="true" outlineLevel="0" collapsed="false">
      <c r="B47" s="9" t="s">
        <v>621</v>
      </c>
      <c r="C47" s="54" t="str">
        <f aca="false">IF(Need_1&lt;&gt;"",Need_1,IF(Inflation_Choice="","Choose an inflation rate first",ROUND(Value_Today,0)))</f>
        <v>Choose your years to see this</v>
      </c>
      <c r="E47" s="53" t="s">
        <v>622</v>
      </c>
    </row>
    <row r="48" customFormat="false" ht="15" hidden="false" customHeight="true" outlineLevel="0" collapsed="false">
      <c r="B48" s="9" t="s">
        <v>295</v>
      </c>
      <c r="C48" s="55" t="str">
        <f aca="false">IF(Need_7&lt;&gt;"",Need_7,Years)</f>
        <v>Choose your years to see this</v>
      </c>
      <c r="E48" s="53" t="s">
        <v>587</v>
      </c>
    </row>
    <row r="49" customFormat="false" ht="15" hidden="false" customHeight="true" outlineLevel="0" collapsed="false">
      <c r="B49" s="9" t="s">
        <v>588</v>
      </c>
      <c r="C49" s="73" t="str">
        <f aca="false">IF(Inflation_Choice="","Choose an inflation rate first",Inflation_Choice)</f>
        <v>Choose an inflation rate first</v>
      </c>
      <c r="E49" s="53" t="s">
        <v>589</v>
      </c>
    </row>
    <row r="50" customFormat="false" ht="13.5" hidden="false" customHeight="true" outlineLevel="0" collapsed="false">
      <c r="B50" s="57" t="s">
        <v>976</v>
      </c>
      <c r="C50" s="57"/>
      <c r="D50" s="57"/>
      <c r="E50" s="57"/>
    </row>
    <row r="52" customFormat="false" ht="15" hidden="false" customHeight="true" outlineLevel="0" collapsed="false">
      <c r="B52" s="15" t="s">
        <v>297</v>
      </c>
      <c r="C52" s="16"/>
      <c r="D52" s="16"/>
      <c r="E52" s="16"/>
      <c r="F52" s="16"/>
      <c r="G52" s="16"/>
    </row>
    <row r="53" customFormat="false" ht="15" hidden="false" customHeight="true" outlineLevel="0" collapsed="false">
      <c r="B53" s="56" t="s">
        <v>977</v>
      </c>
      <c r="C53" s="56" t="str">
        <f aca="false">IF(Years="","Choose your years to see this",IF(NOT(ISNUMBER(Used_Monthly_Amount)),IF(Used_Monthly_Amount="",IF(Monthly_Amount="","Choose your monthly amount to see this",""),Used_Monthly_Amount),IF(NOT(ISNUMBER(Used_Yearly_Fees)),IF(Used_Yearly_Fees="",IF(Yearly_Fees="","Choose your yearly fees to see this",""),Used_Yearly_Fees),"")))</f>
        <v>Choose your years to see this</v>
      </c>
    </row>
    <row r="54" customFormat="false" ht="15" hidden="false" customHeight="true" outlineLevel="0" collapsed="false">
      <c r="B54" s="56" t="s">
        <v>978</v>
      </c>
      <c r="C54" s="56" t="str">
        <f aca="false">IF(Years="","Choose your years to see this",IF(NOT(ISNUMBER(Used_Monthly_Amount)),IF(Used_Monthly_Amount="",IF(Monthly_Amount="","Choose your monthly amount to see this",""),Used_Monthly_Amount),IF(NOT(ISNUMBER(Used_Yearly_Fees)),IF(Used_Yearly_Fees="",IF(Yearly_Fees="","Choose your yearly fees to see this",""),Used_Yearly_Fees),"")))</f>
        <v>Choose your years to see this</v>
      </c>
    </row>
    <row r="55" customFormat="false" ht="15" hidden="false" customHeight="true" outlineLevel="0" collapsed="false">
      <c r="B55" s="56" t="s">
        <v>979</v>
      </c>
      <c r="C55" s="56" t="str">
        <f aca="false">IF(Years="","Choose your years to see this",IF(NOT(ISNUMBER(Used_Monthly_Amount)),IF(Used_Monthly_Amount="",IF(Monthly_Amount="","Choose your monthly amount to see this",""),Used_Monthly_Amount),IF(NOT(ISNUMBER(Used_Yearly_Fees)),IF(Used_Yearly_Fees="",IF(Yearly_Fees="","Choose your yearly fees to see this",""),Used_Yearly_Fees),"")))</f>
        <v>Choose your years to see this</v>
      </c>
    </row>
    <row r="56" customFormat="false" ht="15" hidden="false" customHeight="true" outlineLevel="0" collapsed="false">
      <c r="B56" s="56" t="s">
        <v>980</v>
      </c>
      <c r="C56" s="56" t="str">
        <f aca="false">IF(Years="","Choose your years to see this",IF(NOT(ISNUMBER(Used_Monthly_Amount)),IF(Used_Monthly_Amount="",IF(Monthly_Amount="","Choose your monthly amount to see this",""),Used_Monthly_Amount),IF(NOT(ISNUMBER(Used_Yearly_Fees)),IF(Used_Yearly_Fees="",IF(Yearly_Fees="","Choose your yearly fees to see this",""),Used_Yearly_Fees),IF(Inflation_Choice="","Choose your inflation rate to see this",""))))</f>
        <v>Choose your years to see this</v>
      </c>
    </row>
    <row r="57" customFormat="false" ht="15" hidden="false" customHeight="true" outlineLevel="0" collapsed="false">
      <c r="B57" s="56" t="s">
        <v>672</v>
      </c>
      <c r="C57" s="56" t="str">
        <f aca="false">IF(NOT(ISNUMBER(Used_Yearly_Fees)),IF(Used_Yearly_Fees="",IF(Yearly_Fees="","Choose your yearly fees to see this",""),Used_Yearly_Fees),"")</f>
        <v>Choose your yearly fees to see this</v>
      </c>
    </row>
    <row r="58" customFormat="false" ht="15" hidden="false" customHeight="true" outlineLevel="0" collapsed="false">
      <c r="B58" s="56" t="s">
        <v>673</v>
      </c>
      <c r="C58" s="56" t="str">
        <f aca="false">IF(NOT(ISNUMBER(Used_Yearly_Fees)),IF(Used_Yearly_Fees="",IF(Yearly_Fees="","Choose your yearly fees to see this",""),Used_Yearly_Fees),IF(Inflation_Choice="","Choose your inflation rate to see this",""))</f>
        <v>Choose your yearly fees to see this</v>
      </c>
    </row>
    <row r="59" customFormat="false" ht="15" hidden="false" customHeight="true" outlineLevel="0" collapsed="false">
      <c r="B59" s="56" t="s">
        <v>627</v>
      </c>
      <c r="C59" s="56" t="str">
        <f aca="false">IF(Years="","Choose your years to see this",IF(NOT(ISNUMBER(Used_Yearly_Fees)),IF(Used_Yearly_Fees="",IF(Yearly_Fees="","Choose your yearly fees to see this",""),Used_Yearly_Fees),""))</f>
        <v>Choose your years to see this</v>
      </c>
    </row>
  </sheetData>
  <mergeCells count="8">
    <mergeCell ref="B7:E7"/>
    <mergeCell ref="B10:E10"/>
    <mergeCell ref="B37:E37"/>
    <mergeCell ref="B40:E40"/>
    <mergeCell ref="B41:E41"/>
    <mergeCell ref="B42:E42"/>
    <mergeCell ref="B43:E43"/>
    <mergeCell ref="B50:E50"/>
  </mergeCells>
  <dataValidations count="9">
    <dataValidation allowBlank="true" error="Please enter a date (dd/mm/yyyy)." errorStyle="stop" errorTitle="Outside the allowed range" operator="greaterThan" prompt="Unit: date. Allowed: a date (dd/mm/yyyy)." promptTitle="Statement date" showDropDown="false" showErrorMessage="true" showInputMessage="true" sqref="C13" type="date">
      <formula1>36526</formula1>
      <formula2>0</formula2>
    </dataValidation>
    <dataValidation allowBlank="true" error="Please enter 0% to 10% · steps of 0.25%." errorStyle="stop" errorTitle="Outside the allowed range" operator="between" prompt="Generally the standard is 2% a year (ECB target); Ireland's prices are rising 3.9% now (CSO HICP flash, Sep 2026). Choose what you want to use.  Allowed: 0% to 10% · steps of 0.25%." promptTitle="Inflation you expect (your choic" showDropDown="false" showErrorMessage="true" showInputMessage="true" sqref="C6" type="decimal">
      <formula1>0</formula1>
      <formula2>0.1</formula2>
    </dataValidation>
    <dataValidation allowBlank="true" error="Please enter 1 to 40 · steps of 1." errorStyle="stop" errorTitle="Outside the allowed range" operator="between" prompt="Your own figure.  Allowed: 1 to 40 · steps of 1." promptTitle="Years" showDropDown="false" showErrorMessage="true" showInputMessage="true" sqref="C17" type="whole">
      <formula1>1</formula1>
      <formula2>40</formula2>
    </dataValidation>
    <dataValidation allowBlank="true" error="Please enter 0% to 5%." errorStyle="stop" errorTitle="Outside the allowed range" operator="between" prompt="Unit: %. Allowed: 0% to 5%." promptTitle="Annual charges % (if shown)" showDropDown="false" showErrorMessage="true" showInputMessage="true" sqref="C12" type="decimal">
      <formula1>0</formula1>
      <formula2>0.05</formula2>
    </dataValidation>
    <dataValidation allowBlank="true" error="Please enter 0% to 3% · steps of 0.05%." errorStyle="stop" errorTitle="Outside the allowed range" operator="between" prompt="Your own fund charges (your statement shows them). A suggested figure and its source are shown beside this cell (Partner rates, Assumptions sheet). CCPC: usually 0.5%–2% a year. Allowed: 0% to 3% · steps of 0.05%" promptTitle="Yearly fees" showDropDown="false" showErrorMessage="true" showInputMessage="true" sqref="C19" type="decimal">
      <formula1>0</formula1>
      <formula2>0.03</formula2>
    </dataValidation>
    <dataValidation allowBlank="true" error="Please enter 0% to 8% · steps of 0.5%." errorStyle="stop" errorTitle="Outside the allowed range" operator="between" prompt="Generally the standard is 5% a year before charges and tax for a mixed fund (LifeMap standard, not a forecast). Choose what you want to use.  Allowed: 0% to 8% · steps of 0.5%." promptTitle="Growth a year (before fees)" showDropDown="false" showErrorMessage="true" showInputMessage="true" sqref="C18" type="decimal">
      <formula1>0</formula1>
      <formula2>0.08</formula2>
    </dataValidation>
    <dataValidation allowBlank="true" error="Please enter €0 to €1,000,000." errorStyle="stop" errorTitle="Outside the allowed range" operator="between" prompt="Unit: €. Allowed: €0 to €1,000,000." promptTitle="Monthly amount invested" showDropDown="false" showErrorMessage="true" showInputMessage="true" sqref="C11" type="decimal">
      <formula1>0</formula1>
      <formula2>1000000</formula2>
    </dataValidation>
    <dataValidation allowBlank="true" error="Please enter €25 to €50,000 · steps of €25." errorStyle="stop" errorTitle="Outside the allowed range" operator="between" prompt="Your own figure.  Allowed: €25 to €50,000 · steps of €25." promptTitle="Monthly amount" showDropDown="false" showErrorMessage="true" showInputMessage="true" sqref="C16" type="decimal">
      <formula1>25</formula1>
      <formula2>50000</formula2>
    </dataValidation>
    <dataValidation allowBlank="true" error="Please enter Yes or No." errorStyle="stop" errorTitle="Outside the allowed range" operator="between" prompt="Optional: leave blank for none.  Allowed: Yes or No." promptTitle="Show in today's money?" showDropDown="false" showErrorMessage="true" showInputMessage="true" sqref="C2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981</v>
      </c>
      <c r="E1" s="3" t="s">
        <v>982</v>
      </c>
    </row>
    <row r="2" customFormat="false" ht="15" hidden="false" customHeight="true" outlineLevel="0" collapsed="false">
      <c r="B2" s="25" t="s">
        <v>983</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984</v>
      </c>
    </row>
    <row r="5" customFormat="false" ht="15" hidden="false" customHeight="true" outlineLevel="0" collapsed="false">
      <c r="B5" s="15" t="s">
        <v>310</v>
      </c>
      <c r="C5" s="16"/>
      <c r="D5" s="16"/>
      <c r="E5" s="16"/>
      <c r="F5" s="16"/>
      <c r="G5" s="16"/>
    </row>
    <row r="6" customFormat="false" ht="27.75" hidden="false" customHeight="true" outlineLevel="0" collapsed="false">
      <c r="B6" s="57" t="s">
        <v>632</v>
      </c>
      <c r="C6" s="57"/>
      <c r="D6" s="57"/>
      <c r="E6" s="57"/>
    </row>
    <row r="7" customFormat="false" ht="15" hidden="false" customHeight="true" outlineLevel="0" collapsed="false">
      <c r="B7" s="9" t="s">
        <v>633</v>
      </c>
      <c r="C7" s="58"/>
      <c r="D7" s="31" t="s">
        <v>227</v>
      </c>
      <c r="E7" s="32" t="s">
        <v>634</v>
      </c>
      <c r="G7" s="56" t="s">
        <v>314</v>
      </c>
    </row>
    <row r="8" customFormat="false" ht="15" hidden="false" customHeight="true" outlineLevel="0" collapsed="false">
      <c r="B8" s="9" t="s">
        <v>635</v>
      </c>
      <c r="C8" s="59"/>
      <c r="D8" s="31" t="s">
        <v>238</v>
      </c>
      <c r="E8" s="32" t="s">
        <v>636</v>
      </c>
      <c r="G8" s="56" t="s">
        <v>314</v>
      </c>
    </row>
    <row r="9" customFormat="false" ht="15" hidden="false" customHeight="true" outlineLevel="0" collapsed="false">
      <c r="B9" s="9" t="s">
        <v>321</v>
      </c>
      <c r="C9" s="61"/>
      <c r="D9" s="31" t="s">
        <v>322</v>
      </c>
      <c r="E9" s="32" t="s">
        <v>323</v>
      </c>
      <c r="G9" s="56" t="s">
        <v>314</v>
      </c>
    </row>
    <row r="11" customFormat="false" ht="15" hidden="false" customHeight="true" outlineLevel="0" collapsed="false">
      <c r="B11" s="15" t="s">
        <v>324</v>
      </c>
      <c r="C11" s="28" t="s">
        <v>222</v>
      </c>
      <c r="D11" s="28" t="s">
        <v>223</v>
      </c>
      <c r="E11" s="28" t="s">
        <v>224</v>
      </c>
      <c r="F11" s="29" t="s">
        <v>225</v>
      </c>
      <c r="G11" s="16"/>
    </row>
    <row r="12" customFormat="false" ht="21.75" hidden="false" customHeight="true" outlineLevel="0" collapsed="false">
      <c r="B12" s="9" t="s">
        <v>985</v>
      </c>
      <c r="C12" s="30"/>
      <c r="D12" s="31" t="s">
        <v>227</v>
      </c>
      <c r="E12" s="32" t="s">
        <v>986</v>
      </c>
      <c r="F12" s="33" t="n">
        <v>50000</v>
      </c>
      <c r="G12" s="34" t="str">
        <f aca="false">IF(ISBLANK(C12),IF(Fill_Example="Yes",F12,""),C12)</f>
        <v/>
      </c>
    </row>
    <row r="13" customFormat="false" ht="15" hidden="false" customHeight="true" outlineLevel="0" collapsed="false">
      <c r="B13" s="9" t="s">
        <v>606</v>
      </c>
      <c r="C13" s="42"/>
      <c r="D13" s="31" t="s">
        <v>240</v>
      </c>
      <c r="E13" s="32" t="s">
        <v>607</v>
      </c>
      <c r="F13" s="43" t="n">
        <v>20</v>
      </c>
      <c r="G13" s="44" t="str">
        <f aca="false">IF(ISBLANK(C13),IF(Fill_Example="Yes",F13,""),C13)</f>
        <v/>
      </c>
    </row>
    <row r="14" customFormat="false" ht="21.75" hidden="false" customHeight="true" outlineLevel="0" collapsed="false">
      <c r="B14" s="9" t="s">
        <v>961</v>
      </c>
      <c r="C14" s="38"/>
      <c r="D14" s="31" t="s">
        <v>238</v>
      </c>
      <c r="E14" s="39" t="s">
        <v>605</v>
      </c>
      <c r="F14" s="40" t="n">
        <f aca="false">Set_invGross</f>
        <v>0.05</v>
      </c>
      <c r="G14" s="41" t="n">
        <f aca="false">IF(ISBLANK(C14),F14,C14)</f>
        <v>0.05</v>
      </c>
    </row>
    <row r="15" customFormat="false" ht="21.75" hidden="false" customHeight="true" outlineLevel="0" collapsed="false">
      <c r="B15" s="9" t="s">
        <v>987</v>
      </c>
      <c r="C15" s="38"/>
      <c r="D15" s="31" t="s">
        <v>238</v>
      </c>
      <c r="E15" s="39" t="str">
        <f aca="false">"Type 2 · your figure · Fund charges a year (your statement shows yours). "&amp;IF(ISNUMBER(Suggest_Fund_Charges),"Suggested: "&amp;TEXT(Suggest_Fund_Charges,"0.00%")&amp;" · "&amp;Suggest_Fund_Charges_Label&amp;". ","No suggestion. ")&amp;"Enter your own figure."&amp;" Allowed: 0% to 3% · steps of 0.05%"</f>
        <v>Type 2 · your figure · Fund charges a year (your statement shows yours). Suggested: 1.00% · Pensions Authority pension calculator assumption. Enter your own figure. Allowed: 0% to 3% · steps of 0.05%</v>
      </c>
      <c r="F15" s="40" t="n">
        <f aca="false">IF(ISNUMBER(Suggest_Fund_Charges),Suggest_Fund_Charges,"")</f>
        <v>0.01</v>
      </c>
      <c r="G15" s="41" t="str">
        <f aca="false">IF(ISBLANK(C15),IF(Fill_Example="Yes",F15,""),C15)</f>
        <v/>
      </c>
    </row>
    <row r="16" customFormat="false" ht="21.75" hidden="false" customHeight="true" outlineLevel="0" collapsed="false">
      <c r="B16" s="9" t="s">
        <v>988</v>
      </c>
      <c r="C16" s="38"/>
      <c r="D16" s="31" t="s">
        <v>238</v>
      </c>
      <c r="E16" s="39" t="str">
        <f aca="false">"Type 2 · your figure · Fund charges a year (your statement shows yours). "&amp;IF(ISNUMBER(Suggest_Fund_Charges),"Suggested: "&amp;TEXT(Suggest_Fund_Charges,"0.00%")&amp;" · "&amp;Suggest_Fund_Charges_Label&amp;". ","No suggestion. ")&amp;"Enter your own figure."&amp;" Allowed: 0% to 3% · steps of 0.05%"</f>
        <v>Type 2 · your figure · Fund charges a year (your statement shows yours). Suggested: 1.00% · Pensions Authority pension calculator assumption. Enter your own figure. Allowed: 0% to 3% · steps of 0.05%</v>
      </c>
      <c r="F16" s="40" t="n">
        <f aca="false">IF(ISNUMBER(Suggest_Fund_Charges),Suggest_Fund_Charges,"")</f>
        <v>0.01</v>
      </c>
      <c r="G16" s="41" t="str">
        <f aca="false">IF(ISBLANK(C16),IF(Fill_Example="Yes",F16,""),C16)</f>
        <v/>
      </c>
    </row>
    <row r="18" customFormat="false" ht="15" hidden="false" customHeight="true" outlineLevel="0" collapsed="false">
      <c r="B18" s="15" t="s">
        <v>333</v>
      </c>
      <c r="C18" s="16"/>
      <c r="D18" s="16"/>
      <c r="E18" s="16"/>
      <c r="F18" s="16"/>
      <c r="G18" s="16"/>
    </row>
    <row r="19" customFormat="false" ht="15" hidden="false" customHeight="true" outlineLevel="0" collapsed="false">
      <c r="B19" s="9" t="s">
        <v>645</v>
      </c>
      <c r="C19" s="49" t="str">
        <f aca="false">IF(COUNTA(Stmt_Total_Value,Stmt_Charges,Stmt_Statement_Date)&gt;0,"Yes","No")</f>
        <v>No</v>
      </c>
      <c r="D19" s="31"/>
      <c r="E19" s="46" t="s">
        <v>646</v>
      </c>
    </row>
    <row r="20" customFormat="false" ht="15" hidden="false" customHeight="true" outlineLevel="0" collapsed="false">
      <c r="B20" s="9" t="s">
        <v>985</v>
      </c>
      <c r="C20" s="62" t="str">
        <f aca="false">IF(ISBLANK(Stmt_Total_Value),Amount_Invested,Stmt_Total_Value)</f>
        <v/>
      </c>
      <c r="D20" s="63" t="str">
        <f aca="false">IF(ISBLANK(Stmt_Total_Value),"Your figure","From your statement")</f>
        <v>Your figure</v>
      </c>
      <c r="E20" s="53" t="s">
        <v>989</v>
      </c>
    </row>
    <row r="21" customFormat="false" ht="15" hidden="false" customHeight="true" outlineLevel="0" collapsed="false">
      <c r="B21" s="9" t="s">
        <v>990</v>
      </c>
      <c r="C21" s="64" t="str">
        <f aca="false">IF(NOT(ISBLANK(Stmt_Charges)),Stmt_Charges,IF(Statement_Uploaded="Yes",0,Fee_A))</f>
        <v/>
      </c>
      <c r="D21" s="63" t="str">
        <f aca="false">IF(NOT(ISBLANK(Stmt_Charges)),"From your statement",IF(Statement_Uploaded="Yes","None shown on your statement","Your figure"))</f>
        <v>Your figure</v>
      </c>
      <c r="E21" s="53" t="s">
        <v>991</v>
      </c>
    </row>
    <row r="22" customFormat="false" ht="21.75" hidden="false" customHeight="true" outlineLevel="0" collapsed="false">
      <c r="B22" s="9" t="s">
        <v>339</v>
      </c>
      <c r="C22" s="49" t="str">
        <f aca="true">IF(ISBLANK(Stmt_Statement_Date),"",IF(TODAY()-Stmt_Statement_Date&gt;Statement_Max_Age_Days,"Needs a look: statement is more than 12 months old","Up to date"))</f>
        <v/>
      </c>
      <c r="D22" s="31"/>
      <c r="E22" s="46" t="s">
        <v>340</v>
      </c>
    </row>
    <row r="24" customFormat="false" ht="15" hidden="false" customHeight="true" outlineLevel="0" collapsed="false">
      <c r="B24" s="15" t="s">
        <v>247</v>
      </c>
      <c r="C24" s="28" t="s">
        <v>248</v>
      </c>
      <c r="D24" s="28" t="s">
        <v>249</v>
      </c>
      <c r="E24" s="28" t="s">
        <v>250</v>
      </c>
      <c r="F24" s="16"/>
      <c r="G24" s="16"/>
    </row>
    <row r="25" customFormat="false" ht="17.25" hidden="false" customHeight="true" outlineLevel="0" collapsed="false">
      <c r="B25" s="25" t="s">
        <v>992</v>
      </c>
      <c r="C25" s="45" t="str">
        <f aca="false">IF(Need_1&lt;&gt;"",Need_1,ABS(Value_With_Fee_A-Value_With_Fee_B))</f>
        <v>Choose your years to see this</v>
      </c>
      <c r="D25" s="31" t="s">
        <v>227</v>
      </c>
      <c r="E25" s="46" t="s">
        <v>993</v>
      </c>
    </row>
    <row r="26" customFormat="false" ht="17.25" hidden="false" customHeight="true" outlineLevel="0" collapsed="false">
      <c r="B26" s="25" t="s">
        <v>994</v>
      </c>
      <c r="C26" s="45" t="str">
        <f aca="false">IF(Need_2&lt;&gt;"",Need_2,Used_Amount_Invested*((1+Growth_Rate)*(1-Used_Fee_A))^Years)</f>
        <v>Choose your years to see this</v>
      </c>
      <c r="D26" s="31" t="s">
        <v>227</v>
      </c>
      <c r="E26" s="46" t="s">
        <v>995</v>
      </c>
    </row>
    <row r="27" customFormat="false" ht="17.25" hidden="false" customHeight="true" outlineLevel="0" collapsed="false">
      <c r="B27" s="25" t="s">
        <v>996</v>
      </c>
      <c r="C27" s="45" t="str">
        <f aca="false">IF(Need_3&lt;&gt;"",Need_3,Used_Amount_Invested*((1+Growth_Rate)*(1-Fee_B))^Years)</f>
        <v>Choose your years to see this</v>
      </c>
      <c r="D27" s="31" t="s">
        <v>227</v>
      </c>
      <c r="E27" s="46" t="s">
        <v>997</v>
      </c>
    </row>
    <row r="28" customFormat="false" ht="15" hidden="false" customHeight="true" outlineLevel="0" collapsed="false">
      <c r="B28" s="9" t="s">
        <v>998</v>
      </c>
      <c r="C28" s="69" t="str">
        <f aca="false">IF(Need_4&lt;&gt;"",Need_4,ABS(Fee_B-Used_Fee_A))</f>
        <v>Choose the first fee (fee A) to see this</v>
      </c>
      <c r="D28" s="31" t="s">
        <v>238</v>
      </c>
      <c r="E28" s="46" t="s">
        <v>999</v>
      </c>
    </row>
    <row r="30" customFormat="false" ht="15" hidden="false" customHeight="true" outlineLevel="0" collapsed="false">
      <c r="B30" s="15" t="s">
        <v>280</v>
      </c>
      <c r="C30" s="16"/>
      <c r="D30" s="16"/>
      <c r="E30" s="16"/>
      <c r="F30" s="16"/>
      <c r="G30" s="16"/>
    </row>
    <row r="31" customFormat="false" ht="13.5" hidden="false" customHeight="true" outlineLevel="0" collapsed="false">
      <c r="B31" s="50" t="s">
        <v>1000</v>
      </c>
      <c r="C31" s="50"/>
      <c r="D31" s="50"/>
      <c r="E31" s="50"/>
    </row>
    <row r="32" customFormat="false" ht="13.5" hidden="false" customHeight="true" outlineLevel="0" collapsed="false">
      <c r="B32" s="51" t="s">
        <v>283</v>
      </c>
      <c r="C32" s="51"/>
      <c r="D32" s="51"/>
      <c r="E32" s="51"/>
    </row>
    <row r="33" customFormat="false" ht="13.5" hidden="false" customHeight="true" outlineLevel="0" collapsed="false">
      <c r="B33" s="50" t="s">
        <v>1001</v>
      </c>
      <c r="C33" s="50"/>
      <c r="D33" s="50"/>
      <c r="E33" s="50"/>
    </row>
    <row r="35" customFormat="false" ht="15" hidden="false" customHeight="true" outlineLevel="0" collapsed="false">
      <c r="B35" s="15" t="s">
        <v>288</v>
      </c>
      <c r="C35" s="16"/>
      <c r="D35" s="16"/>
      <c r="E35" s="16"/>
      <c r="F35" s="16"/>
      <c r="G35" s="16"/>
    </row>
    <row r="36" customFormat="false" ht="15" hidden="false" customHeight="true" outlineLevel="0" collapsed="false">
      <c r="B36" s="9" t="s">
        <v>289</v>
      </c>
      <c r="C36" s="52" t="str">
        <f aca="false">"No goal"</f>
        <v>No goal</v>
      </c>
      <c r="E36" s="53" t="s">
        <v>475</v>
      </c>
    </row>
    <row r="38" customFormat="false" ht="15" hidden="false" customHeight="true" outlineLevel="0" collapsed="false">
      <c r="B38" s="15" t="s">
        <v>297</v>
      </c>
      <c r="C38" s="16"/>
      <c r="D38" s="16"/>
      <c r="E38" s="16"/>
      <c r="F38" s="16"/>
      <c r="G38" s="16"/>
    </row>
    <row r="39" customFormat="false" ht="15" hidden="false" customHeight="true" outlineLevel="0" collapsed="false">
      <c r="B39" s="56" t="s">
        <v>1002</v>
      </c>
      <c r="C39" s="56" t="str">
        <f aca="false">IF(Years="","Choose your years to see this",IF(NOT(ISNUMBER(Used_Amount_Invested)),IF(Used_Amount_Invested="",IF(Amount_Invested="","Choose your amount invested to see this",""),Used_Amount_Invested),IF(NOT(ISNUMBER(Used_Fee_A)),IF(Used_Fee_A="",IF(Fee_A="","Choose the first fee (fee A) to see this",""),Used_Fee_A),IF(Fee_B="","Choose the second fee (fee B) to see this",""))))</f>
        <v>Choose your years to see this</v>
      </c>
    </row>
    <row r="40" customFormat="false" ht="15" hidden="false" customHeight="true" outlineLevel="0" collapsed="false">
      <c r="B40" s="56" t="s">
        <v>1003</v>
      </c>
      <c r="C40" s="56" t="str">
        <f aca="false">IF(Years="","Choose your years to see this",IF(NOT(ISNUMBER(Used_Amount_Invested)),IF(Used_Amount_Invested="",IF(Amount_Invested="","Choose your amount invested to see this",""),Used_Amount_Invested),IF(NOT(ISNUMBER(Used_Fee_A)),IF(Used_Fee_A="",IF(Fee_A="","Choose the first fee (fee A) to see this",""),Used_Fee_A),IF(Fee_B="","Choose the second fee (fee B) to see this",""))))</f>
        <v>Choose your years to see this</v>
      </c>
    </row>
    <row r="41" customFormat="false" ht="15" hidden="false" customHeight="true" outlineLevel="0" collapsed="false">
      <c r="B41" s="56" t="s">
        <v>1004</v>
      </c>
      <c r="C41" s="56" t="str">
        <f aca="false">IF(Years="","Choose your years to see this",IF(NOT(ISNUMBER(Used_Amount_Invested)),IF(Used_Amount_Invested="",IF(Amount_Invested="","Choose your amount invested to see this",""),Used_Amount_Invested),IF(NOT(ISNUMBER(Used_Fee_A)),IF(Used_Fee_A="",IF(Fee_A="","Choose the first fee (fee A) to see this",""),Used_Fee_A),IF(Fee_B="","Choose the second fee (fee B) to see this",""))))</f>
        <v>Choose your years to see this</v>
      </c>
    </row>
    <row r="42" customFormat="false" ht="15" hidden="false" customHeight="true" outlineLevel="0" collapsed="false">
      <c r="B42" s="56" t="s">
        <v>1005</v>
      </c>
      <c r="C42" s="56" t="str">
        <f aca="false">IF(NOT(ISNUMBER(Used_Fee_A)),IF(Used_Fee_A="",IF(Fee_A="","Choose the first fee (fee A) to see this",""),Used_Fee_A),IF(Fee_B="","Choose the second fee (fee B) to see this",""))</f>
        <v>Choose the first fee (fee A) to see this</v>
      </c>
    </row>
  </sheetData>
  <mergeCells count="4">
    <mergeCell ref="B6:E6"/>
    <mergeCell ref="B31:E31"/>
    <mergeCell ref="B32:E32"/>
    <mergeCell ref="B33:E33"/>
  </mergeCells>
  <dataValidations count="8">
    <dataValidation allowBlank="true" error="Please enter a date (dd/mm/yyyy)." errorStyle="stop" errorTitle="Outside the allowed range" operator="greaterThan" prompt="Unit: date. Allowed: a date (dd/mm/yyyy)." promptTitle="Statement date" showDropDown="false" showErrorMessage="true" showInputMessage="true" sqref="C9" type="date">
      <formula1>36526</formula1>
      <formula2>0</formula2>
    </dataValidation>
    <dataValidation allowBlank="true" error="Please enter 1 to 40 · steps of 1." errorStyle="stop" errorTitle="Outside the allowed range" operator="between" prompt="Your own figure.  Allowed: 1 to 40 · steps of 1." promptTitle="Years" showDropDown="false" showErrorMessage="true" showInputMessage="true" sqref="C13" type="whole">
      <formula1>1</formula1>
      <formula2>40</formula2>
    </dataValidation>
    <dataValidation allowBlank="true" error="Please enter 0% to 5%." errorStyle="stop" errorTitle="Outside the allowed range" operator="between" prompt="Unit: %. Allowed: 0% to 5%." promptTitle="Annual charges % (if shown)" showDropDown="false" showErrorMessage="true" showInputMessage="true" sqref="C8" type="decimal">
      <formula1>0</formula1>
      <formula2>0.05</formula2>
    </dataValidation>
    <dataValidation allowBlank="true" error="Please enter €0 to €100,000,000." errorStyle="stop" errorTitle="Outside the allowed range" operator="between" prompt="Unit: €. Allowed: €0 to €100,000,000." promptTitle="Total value" showDropDown="false" showErrorMessage="true" showInputMessage="true" sqref="C7" type="decimal">
      <formula1>0</formula1>
      <formula2>100000000</formula2>
    </dataValidation>
    <dataValidation allowBlank="true" error="Please enter 0% to 8% · steps of 0.5%." errorStyle="stop" errorTitle="Outside the allowed range" operator="between" prompt="Generally the standard is 5% a year before charges and tax for a mixed fund (LifeMap standard, not a forecast). Choose what you want to use.  Allowed: 0% to 8% · steps of 0.5%." promptTitle="Growth a year (before fees)" showDropDown="false" showErrorMessage="true" showInputMessage="true" sqref="C14" type="decimal">
      <formula1>0</formula1>
      <formula2>0.08</formula2>
    </dataValidation>
    <dataValidation allowBlank="true" error="Please enter €1,000 to €10,000,000 · steps of €100." errorStyle="stop" errorTitle="Outside the allowed range" operator="between" prompt="Your own figure. In the app it is pre-filled from Your finances / statement: investments.  Allowed: €1,000 to €10,000,000 · steps of €100." promptTitle="Amount invested" showDropDown="false" showErrorMessage="true" showInputMessage="true" sqref="C12" type="decimal">
      <formula1>1000</formula1>
      <formula2>10000000</formula2>
    </dataValidation>
    <dataValidation allowBlank="true" error="Please enter 0% to 3% · steps of 0.05%." errorStyle="stop" errorTitle="Outside the allowed range" operator="between" prompt="Your own fund charges (your statement shows them). A suggested figure and its source are shown beside this cell (Partner rates, Assumptions sheet). CCPC: usually 0.5%–2% a year. Allowed: 0% to 3% · steps of 0.1%" promptTitle="Fee A a year" showDropDown="false" showErrorMessage="true" showInputMessage="true" sqref="C15" type="decimal">
      <formula1>0</formula1>
      <formula2>0.03</formula2>
    </dataValidation>
    <dataValidation allowBlank="true" error="Please enter 0% to 3% · steps of 0.05%." errorStyle="stop" errorTitle="Outside the allowed range" operator="between" prompt="Your own fund charges (your statement shows them). A suggested figure and its source are shown beside this cell (Partner rates, Assumptions sheet). CCPC: usually 0.5%–2% a year. Allowed: 0% to 3% · steps of 0.1%" promptTitle="Fee B a year" showDropDown="false" showErrorMessage="true" showInputMessage="true" sqref="C16" type="decimal">
      <formula1>0</formula1>
      <formula2>0.03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1006</v>
      </c>
      <c r="E1" s="3" t="s">
        <v>1007</v>
      </c>
    </row>
    <row r="2" customFormat="false" ht="15" hidden="false" customHeight="true" outlineLevel="0" collapsed="false">
      <c r="B2" s="25" t="s">
        <v>1008</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1009</v>
      </c>
    </row>
    <row r="5" customFormat="false" ht="15" hidden="false" customHeight="true" outlineLevel="0" collapsed="false">
      <c r="B5" s="15" t="s">
        <v>310</v>
      </c>
      <c r="C5" s="16"/>
      <c r="D5" s="16"/>
      <c r="E5" s="16"/>
      <c r="F5" s="16"/>
      <c r="G5" s="16"/>
    </row>
    <row r="6" customFormat="false" ht="27.75" hidden="false" customHeight="true" outlineLevel="0" collapsed="false">
      <c r="B6" s="57" t="s">
        <v>632</v>
      </c>
      <c r="C6" s="57"/>
      <c r="D6" s="57"/>
      <c r="E6" s="57"/>
    </row>
    <row r="7" customFormat="false" ht="15" hidden="false" customHeight="true" outlineLevel="0" collapsed="false">
      <c r="B7" s="9" t="s">
        <v>633</v>
      </c>
      <c r="C7" s="58"/>
      <c r="D7" s="31" t="s">
        <v>227</v>
      </c>
      <c r="E7" s="32" t="s">
        <v>634</v>
      </c>
      <c r="G7" s="56" t="s">
        <v>314</v>
      </c>
    </row>
    <row r="8" customFormat="false" ht="15" hidden="false" customHeight="true" outlineLevel="0" collapsed="false">
      <c r="B8" s="9" t="s">
        <v>1010</v>
      </c>
      <c r="C8" s="59"/>
      <c r="D8" s="31" t="s">
        <v>238</v>
      </c>
      <c r="E8" s="32" t="s">
        <v>1011</v>
      </c>
      <c r="G8" s="56" t="s">
        <v>314</v>
      </c>
    </row>
    <row r="9" customFormat="false" ht="15" hidden="false" customHeight="true" outlineLevel="0" collapsed="false">
      <c r="B9" s="9" t="s">
        <v>321</v>
      </c>
      <c r="C9" s="61"/>
      <c r="D9" s="31" t="s">
        <v>322</v>
      </c>
      <c r="E9" s="32" t="s">
        <v>323</v>
      </c>
      <c r="G9" s="56" t="s">
        <v>314</v>
      </c>
    </row>
    <row r="11" customFormat="false" ht="15" hidden="false" customHeight="true" outlineLevel="0" collapsed="false">
      <c r="B11" s="15" t="s">
        <v>324</v>
      </c>
      <c r="C11" s="28" t="s">
        <v>222</v>
      </c>
      <c r="D11" s="28" t="s">
        <v>223</v>
      </c>
      <c r="E11" s="28" t="s">
        <v>224</v>
      </c>
      <c r="F11" s="29" t="s">
        <v>225</v>
      </c>
      <c r="G11" s="16"/>
    </row>
    <row r="12" customFormat="false" ht="21.75" hidden="false" customHeight="true" outlineLevel="0" collapsed="false">
      <c r="B12" s="9" t="s">
        <v>637</v>
      </c>
      <c r="C12" s="30"/>
      <c r="D12" s="31" t="s">
        <v>227</v>
      </c>
      <c r="E12" s="32" t="s">
        <v>986</v>
      </c>
      <c r="F12" s="33" t="n">
        <v>20000</v>
      </c>
      <c r="G12" s="34" t="str">
        <f aca="false">IF(ISBLANK(C12),IF(Fill_Example="Yes",F12,""),C12)</f>
        <v/>
      </c>
    </row>
    <row r="13" customFormat="false" ht="15" hidden="false" customHeight="true" outlineLevel="0" collapsed="false">
      <c r="B13" s="9" t="s">
        <v>606</v>
      </c>
      <c r="C13" s="42"/>
      <c r="D13" s="31" t="s">
        <v>240</v>
      </c>
      <c r="E13" s="32" t="s">
        <v>244</v>
      </c>
      <c r="F13" s="43" t="n">
        <v>10</v>
      </c>
      <c r="G13" s="44" t="str">
        <f aca="false">IF(AND(ISNUMBER(C13),N(C13)&lt;1),"",IF(ISBLANK(C13),IF(Fill_Example="Yes",F13,""),C13))</f>
        <v/>
      </c>
    </row>
    <row r="14" customFormat="false" ht="21.75" hidden="false" customHeight="true" outlineLevel="0" collapsed="false">
      <c r="B14" s="9" t="s">
        <v>1012</v>
      </c>
      <c r="C14" s="42"/>
      <c r="D14" s="31" t="s">
        <v>1013</v>
      </c>
      <c r="E14" s="39" t="s">
        <v>1014</v>
      </c>
      <c r="F14" s="43" t="n">
        <f aca="false">Set_style</f>
        <v>2</v>
      </c>
      <c r="G14" s="44" t="n">
        <f aca="false">IF(AND(ISNUMBER(C14),OR(N(C14)&lt;1,N(C14)&gt;3)),"",IF(ISBLANK(C14),F14,C14))</f>
        <v>2</v>
      </c>
    </row>
    <row r="15" customFormat="false" ht="21.75" hidden="false" customHeight="true" outlineLevel="0" collapsed="false">
      <c r="B15" s="9" t="s">
        <v>1015</v>
      </c>
      <c r="C15" s="38"/>
      <c r="D15" s="31" t="s">
        <v>238</v>
      </c>
      <c r="E15" s="39" t="s">
        <v>1016</v>
      </c>
      <c r="F15" s="40" t="n">
        <f aca="false">Set_riskMu_1</f>
        <v>0.02</v>
      </c>
      <c r="G15" s="41" t="n">
        <f aca="false">IF(ISBLANK(C15),F15,C15)</f>
        <v>0.02</v>
      </c>
    </row>
    <row r="16" customFormat="false" ht="21.75" hidden="false" customHeight="true" outlineLevel="0" collapsed="false">
      <c r="B16" s="9" t="s">
        <v>1017</v>
      </c>
      <c r="C16" s="38"/>
      <c r="D16" s="31" t="s">
        <v>238</v>
      </c>
      <c r="E16" s="39" t="s">
        <v>1018</v>
      </c>
      <c r="F16" s="40" t="n">
        <f aca="false">Set_riskMu_2</f>
        <v>0.04</v>
      </c>
      <c r="G16" s="41" t="n">
        <f aca="false">IF(ISBLANK(C16),F16,C16)</f>
        <v>0.04</v>
      </c>
    </row>
    <row r="17" customFormat="false" ht="21.75" hidden="false" customHeight="true" outlineLevel="0" collapsed="false">
      <c r="B17" s="9" t="s">
        <v>1019</v>
      </c>
      <c r="C17" s="38"/>
      <c r="D17" s="31" t="s">
        <v>238</v>
      </c>
      <c r="E17" s="39" t="s">
        <v>1020</v>
      </c>
      <c r="F17" s="40" t="n">
        <f aca="false">Set_riskMu_3</f>
        <v>0.06</v>
      </c>
      <c r="G17" s="41" t="n">
        <f aca="false">IF(ISBLANK(C17),F17,C17)</f>
        <v>0.06</v>
      </c>
    </row>
    <row r="18" customFormat="false" ht="21.75" hidden="false" customHeight="true" outlineLevel="0" collapsed="false">
      <c r="B18" s="9" t="s">
        <v>1021</v>
      </c>
      <c r="C18" s="38"/>
      <c r="D18" s="31" t="s">
        <v>238</v>
      </c>
      <c r="E18" s="39" t="s">
        <v>1022</v>
      </c>
      <c r="F18" s="40" t="n">
        <f aca="false">Set_riskVol_1</f>
        <v>0.05</v>
      </c>
      <c r="G18" s="41" t="n">
        <f aca="false">IF(ISBLANK(C18),F18,C18)</f>
        <v>0.05</v>
      </c>
    </row>
    <row r="19" customFormat="false" ht="21.75" hidden="false" customHeight="true" outlineLevel="0" collapsed="false">
      <c r="B19" s="9" t="s">
        <v>1023</v>
      </c>
      <c r="C19" s="38"/>
      <c r="D19" s="31" t="s">
        <v>238</v>
      </c>
      <c r="E19" s="39" t="s">
        <v>1024</v>
      </c>
      <c r="F19" s="40" t="n">
        <f aca="false">Set_riskVol_2</f>
        <v>0.1</v>
      </c>
      <c r="G19" s="41" t="n">
        <f aca="false">IF(ISBLANK(C19),F19,C19)</f>
        <v>0.1</v>
      </c>
    </row>
    <row r="20" customFormat="false" ht="21.75" hidden="false" customHeight="true" outlineLevel="0" collapsed="false">
      <c r="B20" s="9" t="s">
        <v>1025</v>
      </c>
      <c r="C20" s="38"/>
      <c r="D20" s="31" t="s">
        <v>238</v>
      </c>
      <c r="E20" s="39" t="s">
        <v>1026</v>
      </c>
      <c r="F20" s="40" t="n">
        <f aca="false">Set_riskVol_3</f>
        <v>0.16</v>
      </c>
      <c r="G20" s="41" t="n">
        <f aca="false">IF(ISBLANK(C20),F20,C20)</f>
        <v>0.16</v>
      </c>
    </row>
    <row r="22" customFormat="false" ht="15" hidden="false" customHeight="true" outlineLevel="0" collapsed="false">
      <c r="B22" s="15" t="s">
        <v>333</v>
      </c>
      <c r="C22" s="16"/>
      <c r="D22" s="16"/>
      <c r="E22" s="16"/>
      <c r="F22" s="16"/>
      <c r="G22" s="16"/>
    </row>
    <row r="23" customFormat="false" ht="15" hidden="false" customHeight="true" outlineLevel="0" collapsed="false">
      <c r="B23" s="9" t="s">
        <v>637</v>
      </c>
      <c r="C23" s="62" t="str">
        <f aca="false">IF(ISBLANK(Stmt_Total_Value),Amount,Stmt_Total_Value)</f>
        <v/>
      </c>
      <c r="D23" s="63" t="str">
        <f aca="false">IF(ISBLANK(Stmt_Total_Value),"Your figure","From your statement")</f>
        <v>Your figure</v>
      </c>
      <c r="E23" s="53" t="s">
        <v>647</v>
      </c>
    </row>
    <row r="24" customFormat="false" ht="15" hidden="false" customHeight="true" outlineLevel="0" collapsed="false">
      <c r="B24" s="9" t="s">
        <v>1027</v>
      </c>
      <c r="C24" s="65" t="n">
        <f aca="false">IF(ISBLANK(Stmt_Shares_Pct),Style,IF(Stmt_Shares_Pct&gt;=Shares_For_Growth,3,IF(Stmt_Shares_Pct&gt;=Shares_For_Balanced,2,1)))</f>
        <v>2</v>
      </c>
      <c r="D24" s="63" t="str">
        <f aca="false">IF(ISBLANK(Stmt_Shares_Pct),"Your figure","From your statement (holdings in shares)")</f>
        <v>Your figure</v>
      </c>
      <c r="E24" s="53" t="s">
        <v>1028</v>
      </c>
    </row>
    <row r="25" customFormat="false" ht="21.75" hidden="false" customHeight="true" outlineLevel="0" collapsed="false">
      <c r="B25" s="9" t="s">
        <v>339</v>
      </c>
      <c r="C25" s="49" t="str">
        <f aca="true">IF(ISBLANK(Stmt_Statement_Date),"",IF(TODAY()-Stmt_Statement_Date&gt;Statement_Max_Age_Days,"Needs a look: statement is more than 12 months old","Up to date"))</f>
        <v/>
      </c>
      <c r="D25" s="31"/>
      <c r="E25" s="46" t="s">
        <v>340</v>
      </c>
    </row>
    <row r="27" customFormat="false" ht="15" hidden="false" customHeight="true" outlineLevel="0" collapsed="false">
      <c r="B27" s="15" t="s">
        <v>247</v>
      </c>
      <c r="C27" s="28" t="s">
        <v>248</v>
      </c>
      <c r="D27" s="28" t="s">
        <v>249</v>
      </c>
      <c r="E27" s="28" t="s">
        <v>250</v>
      </c>
      <c r="F27" s="16"/>
      <c r="G27" s="16"/>
    </row>
    <row r="28" customFormat="false" ht="17.25" hidden="false" customHeight="true" outlineLevel="0" collapsed="false">
      <c r="B28" s="25" t="s">
        <v>1029</v>
      </c>
      <c r="C28" s="45" t="str">
        <f aca="false">IF(Need_1&lt;&gt;"",Need_1,Used_Amount*(1+Middle_Growth)^Years)</f>
        <v>Choose your years to see this</v>
      </c>
      <c r="D28" s="67" t="str">
        <f aca="false">IF(Need_1&lt;&gt;"",Need_1,Style_Name&amp;" · middle outcome")</f>
        <v>Choose your years to see this</v>
      </c>
      <c r="E28" s="46" t="s">
        <v>1030</v>
      </c>
    </row>
    <row r="29" customFormat="false" ht="17.25" hidden="false" customHeight="true" outlineLevel="0" collapsed="false">
      <c r="B29" s="25" t="s">
        <v>1031</v>
      </c>
      <c r="C29" s="45" t="str">
        <f aca="false">IF(Need_2&lt;&gt;"",Need_2,Used_Amount*(1+Middle_Growth-Spread)^Years)</f>
        <v>Choose your years to see this</v>
      </c>
      <c r="D29" s="31" t="s">
        <v>227</v>
      </c>
      <c r="E29" s="46" t="s">
        <v>1032</v>
      </c>
    </row>
    <row r="30" customFormat="false" ht="17.25" hidden="false" customHeight="true" outlineLevel="0" collapsed="false">
      <c r="B30" s="25" t="s">
        <v>1033</v>
      </c>
      <c r="C30" s="45" t="str">
        <f aca="false">IF(Need_2&lt;&gt;"",Need_2,Used_Amount*(1+Middle_Growth+Spread)^Years)</f>
        <v>Choose your years to see this</v>
      </c>
      <c r="D30" s="31" t="s">
        <v>227</v>
      </c>
      <c r="E30" s="46" t="s">
        <v>1034</v>
      </c>
    </row>
    <row r="31" customFormat="false" ht="15" hidden="false" customHeight="true" outlineLevel="0" collapsed="false">
      <c r="B31" s="9" t="s">
        <v>1035</v>
      </c>
      <c r="C31" s="69" t="n">
        <f aca="false">IF(Need_3&lt;&gt;"",Need_3,ROUND((Volatility*One_In_20_Z-Middle_Growth)*100,0)/100)</f>
        <v>0.12</v>
      </c>
      <c r="D31" s="31" t="s">
        <v>238</v>
      </c>
      <c r="E31" s="46" t="s">
        <v>1036</v>
      </c>
    </row>
    <row r="32" customFormat="false" ht="15" hidden="false" customHeight="true" outlineLevel="0" collapsed="false">
      <c r="B32" s="9" t="s">
        <v>1027</v>
      </c>
      <c r="C32" s="49" t="str">
        <f aca="false">IF(Need_4&lt;&gt;"",Need_4,IF(OR(Used_Style&lt;1,Used_Style&gt;3,Used_Style&lt;&gt;INT(Used_Style)),"Choose 1, 2 or 3",INDEX(Risk_Names,Used_Style)))</f>
        <v>Balanced</v>
      </c>
      <c r="D32" s="31"/>
      <c r="E32" s="46" t="s">
        <v>1037</v>
      </c>
    </row>
    <row r="33" customFormat="false" ht="15" hidden="false" customHeight="true" outlineLevel="0" collapsed="false">
      <c r="B33" s="9" t="s">
        <v>1038</v>
      </c>
      <c r="C33" s="69" t="n">
        <f aca="false">IF(Need_5&lt;&gt;"",Need_5,CHOOSE(Used_Style,Mu_Cautious,Mu_Balanced,Mu_Growth))</f>
        <v>0.04</v>
      </c>
      <c r="D33" s="31" t="s">
        <v>238</v>
      </c>
      <c r="E33" s="46" t="s">
        <v>1039</v>
      </c>
    </row>
    <row r="34" customFormat="false" ht="15" hidden="false" customHeight="true" outlineLevel="0" collapsed="false">
      <c r="B34" s="9" t="s">
        <v>1040</v>
      </c>
      <c r="C34" s="69" t="n">
        <f aca="false">IF(Need_6&lt;&gt;"",Need_6,CHOOSE(Used_Style,Vol_Cautious,Vol_Balanced,Vol_Growth))</f>
        <v>0.1</v>
      </c>
      <c r="D34" s="31" t="s">
        <v>238</v>
      </c>
      <c r="E34" s="46" t="s">
        <v>1041</v>
      </c>
    </row>
    <row r="35" customFormat="false" ht="15" hidden="false" customHeight="true" outlineLevel="0" collapsed="false">
      <c r="B35" s="9" t="s">
        <v>1042</v>
      </c>
      <c r="C35" s="68" t="str">
        <f aca="false">IF(Need_7&lt;&gt;"",Need_7,Volatility/SQRT(Years))</f>
        <v>Choose your years to see this</v>
      </c>
      <c r="D35" s="31"/>
      <c r="E35" s="46" t="s">
        <v>1043</v>
      </c>
    </row>
    <row r="37" customFormat="false" ht="15" hidden="false" customHeight="true" outlineLevel="0" collapsed="false">
      <c r="B37" s="15" t="s">
        <v>280</v>
      </c>
      <c r="C37" s="16"/>
      <c r="D37" s="16"/>
      <c r="E37" s="16"/>
      <c r="F37" s="16"/>
      <c r="G37" s="16"/>
    </row>
    <row r="38" customFormat="false" ht="27.75" hidden="false" customHeight="true" outlineLevel="0" collapsed="false">
      <c r="B38" s="50" t="s">
        <v>1044</v>
      </c>
      <c r="C38" s="50"/>
      <c r="D38" s="50"/>
      <c r="E38" s="50"/>
    </row>
    <row r="39" customFormat="false" ht="13.5" hidden="false" customHeight="true" outlineLevel="0" collapsed="false">
      <c r="B39" s="50" t="s">
        <v>1045</v>
      </c>
      <c r="C39" s="50"/>
      <c r="D39" s="50"/>
      <c r="E39" s="50"/>
    </row>
    <row r="40" customFormat="false" ht="13.5" hidden="false" customHeight="true" outlineLevel="0" collapsed="false">
      <c r="B40" s="51" t="s">
        <v>283</v>
      </c>
      <c r="C40" s="51"/>
      <c r="D40" s="51"/>
      <c r="E40" s="51"/>
    </row>
    <row r="41" customFormat="false" ht="13.5" hidden="false" customHeight="true" outlineLevel="0" collapsed="false">
      <c r="B41" s="50" t="s">
        <v>1046</v>
      </c>
      <c r="C41" s="50"/>
      <c r="D41" s="50"/>
      <c r="E41" s="50"/>
    </row>
    <row r="42" customFormat="false" ht="13.5" hidden="false" customHeight="true" outlineLevel="0" collapsed="false">
      <c r="B42" s="50" t="s">
        <v>1047</v>
      </c>
      <c r="C42" s="50"/>
      <c r="D42" s="50"/>
      <c r="E42" s="50"/>
    </row>
    <row r="44" customFormat="false" ht="15" hidden="false" customHeight="true" outlineLevel="0" collapsed="false">
      <c r="B44" s="15" t="s">
        <v>288</v>
      </c>
      <c r="C44" s="16"/>
      <c r="D44" s="16"/>
      <c r="E44" s="16"/>
      <c r="F44" s="16"/>
      <c r="G44" s="16"/>
    </row>
    <row r="45" customFormat="false" ht="15" hidden="false" customHeight="true" outlineLevel="0" collapsed="false">
      <c r="B45" s="9" t="s">
        <v>289</v>
      </c>
      <c r="C45" s="52" t="str">
        <f aca="false">"No goal"</f>
        <v>No goal</v>
      </c>
      <c r="E45" s="53" t="s">
        <v>475</v>
      </c>
    </row>
    <row r="47" customFormat="false" ht="15" hidden="false" customHeight="true" outlineLevel="0" collapsed="false">
      <c r="B47" s="15" t="s">
        <v>297</v>
      </c>
      <c r="C47" s="16"/>
      <c r="D47" s="16"/>
      <c r="E47" s="16"/>
      <c r="F47" s="16"/>
      <c r="G47" s="16"/>
    </row>
    <row r="48" customFormat="false" ht="15" hidden="false" customHeight="true" outlineLevel="0" collapsed="false">
      <c r="B48" s="56" t="s">
        <v>1048</v>
      </c>
      <c r="C48" s="56" t="str">
        <f aca="false">IF(Years="","Choose your years to see this",IF(NOT(ISNUMBER(Used_Amount)),IF(Used_Amount="",IF(Amount="","Choose your amount to see this",""),Used_Amount),""))</f>
        <v>Choose your years to see this</v>
      </c>
    </row>
    <row r="49" customFormat="false" ht="15" hidden="false" customHeight="true" outlineLevel="0" collapsed="false">
      <c r="B49" s="56" t="s">
        <v>1049</v>
      </c>
      <c r="C49" s="56" t="str">
        <f aca="false">IF(Years="","Choose your years to see this",IF(NOT(ISNUMBER(Used_Amount)),IF(Used_Amount="",IF(Amount="","Choose your amount to see this",""),Used_Amount),""))</f>
        <v>Choose your years to see this</v>
      </c>
    </row>
    <row r="50" customFormat="false" ht="15" hidden="false" customHeight="true" outlineLevel="0" collapsed="false">
      <c r="B50" s="56" t="s">
        <v>1050</v>
      </c>
      <c r="C50" s="56" t="str">
        <f aca="false">""</f>
        <v/>
      </c>
    </row>
    <row r="51" customFormat="false" ht="15" hidden="false" customHeight="true" outlineLevel="0" collapsed="false">
      <c r="B51" s="56" t="s">
        <v>1051</v>
      </c>
      <c r="C51" s="56" t="str">
        <f aca="false">""</f>
        <v/>
      </c>
    </row>
    <row r="52" customFormat="false" ht="15" hidden="false" customHeight="true" outlineLevel="0" collapsed="false">
      <c r="B52" s="56" t="s">
        <v>1052</v>
      </c>
      <c r="C52" s="56" t="str">
        <f aca="false">""</f>
        <v/>
      </c>
    </row>
    <row r="53" customFormat="false" ht="15" hidden="false" customHeight="true" outlineLevel="0" collapsed="false">
      <c r="B53" s="56" t="s">
        <v>1053</v>
      </c>
      <c r="C53" s="56" t="str">
        <f aca="false">""</f>
        <v/>
      </c>
    </row>
    <row r="54" customFormat="false" ht="15" hidden="false" customHeight="true" outlineLevel="0" collapsed="false">
      <c r="B54" s="56" t="s">
        <v>1054</v>
      </c>
      <c r="C54" s="56" t="str">
        <f aca="false">IF(Years="","Choose your years to see this","")</f>
        <v>Choose your years to see this</v>
      </c>
    </row>
    <row r="56" customFormat="false" ht="15" hidden="false" customHeight="true" outlineLevel="0" collapsed="false">
      <c r="B56" s="23" t="s">
        <v>1055</v>
      </c>
    </row>
  </sheetData>
  <mergeCells count="6">
    <mergeCell ref="B6:E6"/>
    <mergeCell ref="B38:E38"/>
    <mergeCell ref="B39:E39"/>
    <mergeCell ref="B40:E40"/>
    <mergeCell ref="B41:E41"/>
    <mergeCell ref="B42:E42"/>
  </mergeCells>
  <dataValidations count="12">
    <dataValidation allowBlank="true" error="Please enter a date (dd/mm/yyyy)." errorStyle="stop" errorTitle="Outside the allowed range" operator="greaterThan" prompt="Unit: date. Allowed: a date (dd/mm/yyyy)." promptTitle="Statement date" showDropDown="false" showErrorMessage="true" showInputMessage="true" sqref="C9" type="date">
      <formula1>36526</formula1>
      <formula2>0</formula2>
    </dataValidation>
    <dataValidation allowBlank="true" error="Please enter €0 to €100,000,000." errorStyle="stop" errorTitle="Outside the allowed range" operator="between" prompt="Unit: €. Allowed: €0 to €100,000,000." promptTitle="Total value" showDropDown="false" showErrorMessage="true" showInputMessage="true" sqref="C7" type="decimal">
      <formula1>0</formula1>
      <formula2>100000000</formula2>
    </dataValidation>
    <dataValidation allowBlank="true" error="Please enter 0% to 100%." errorStyle="stop" errorTitle="Outside the allowed range" operator="between" prompt="Unit: %. Allowed: 0% to 100%." promptTitle="Holdings in shares % (if shown)" showDropDown="false" showErrorMessage="true" showInputMessage="true" sqref="C8" type="decimal">
      <formula1>0</formula1>
      <formula2>1</formula2>
    </dataValidation>
    <dataValidation allowBlank="true" error="Please enter €1,000 to €10,000,000 · steps of €100." errorStyle="stop" errorTitle="Outside the allowed range" operator="between" prompt="Your own figure. In the app it is pre-filled from Your finances / statement: investments.  Allowed: €1,000 to €10,000,000 · steps of €100." promptTitle="Amount" showDropDown="false" showErrorMessage="true" showInputMessage="true" sqref="C12" type="decimal">
      <formula1>1000</formula1>
      <formula2>10000000</formula2>
    </dataValidation>
    <dataValidation allowBlank="true" error="Please enter 1 to 30 · steps of 1." errorStyle="stop" errorTitle="Outside the allowed range" operator="between" prompt="Your own figure.  Allowed: 1 to 30 · steps of 1." promptTitle="Years" showDropDown="false" showErrorMessage="true" showInputMessage="true" sqref="C13" type="whole">
      <formula1>1</formula1>
      <formula2>30</formula2>
    </dataValidation>
    <dataValidation allowBlank="true" error="Please enter 1 or 2 or 3." errorStyle="stop" errorTitle="Outside the allowed range" operator="between" prompt="Generally the standard is 2 Balanced (an adviser checks your attitude to risk). Choose what you want to use.  Allowed: 1 or 2 or 3." promptTitle="Style: 1 Cautious · 2 Balanced ·" showDropDown="false" showErrorMessage="true" showInputMessage="true" sqref="C14" type="list">
      <formula1>"1,2,3"</formula1>
      <formula2>0</formula2>
    </dataValidation>
    <dataValidation allowBlank="true" error="Please enter 0% to 8% · steps of 0.5%." errorStyle="stop" errorTitle="Outside the allowed range" operator="between" prompt="Generally the standard is 2% a year for Cautious (illustration). Choose what you want to use.  Allowed: 0% to 8% · steps of 0.5%." promptTitle="Cautious: middle growth a year" showDropDown="false" showErrorMessage="true" showInputMessage="true" sqref="C15" type="decimal">
      <formula1>0</formula1>
      <formula2>0.08</formula2>
    </dataValidation>
    <dataValidation allowBlank="true" error="Please enter 0% to 8% · steps of 0.5%." errorStyle="stop" errorTitle="Outside the allowed range" operator="between" prompt="Generally the standard is 4% a year for Balanced (illustration). Choose what you want to use.  Allowed: 0% to 8% · steps of 0.5%." promptTitle="Balanced: middle growth a year" showDropDown="false" showErrorMessage="true" showInputMessage="true" sqref="C16" type="decimal">
      <formula1>0</formula1>
      <formula2>0.08</formula2>
    </dataValidation>
    <dataValidation allowBlank="true" error="Please enter 0% to 8% · steps of 0.5%." errorStyle="stop" errorTitle="Outside the allowed range" operator="between" prompt="Generally the standard is 6% a year for Growth (illustration). Choose what you want to use.  Allowed: 0% to 8% · steps of 0.5%." promptTitle="Growth: middle growth a year" showDropDown="false" showErrorMessage="true" showInputMessage="true" sqref="C17" type="decimal">
      <formula1>0</formula1>
      <formula2>0.08</formula2>
    </dataValidation>
    <dataValidation allowBlank="true" error="Please enter 0% to 25% · steps of 0.5%." errorStyle="stop" errorTitle="Outside the allowed range" operator="between" prompt="Generally the standard is 5% a year for Cautious (illustration). Choose what you want to use.  Allowed: 0% to 25% · steps of 0.5%." promptTitle="Cautious: volatility a year" showDropDown="false" showErrorMessage="true" showInputMessage="true" sqref="C18" type="decimal">
      <formula1>0</formula1>
      <formula2>0.25</formula2>
    </dataValidation>
    <dataValidation allowBlank="true" error="Please enter 0% to 25% · steps of 0.5%." errorStyle="stop" errorTitle="Outside the allowed range" operator="between" prompt="Generally the standard is 10% a year for Balanced (illustration). Choose what you want to use.  Allowed: 0% to 25% · steps of 0.5%." promptTitle="Balanced: volatility a year" showDropDown="false" showErrorMessage="true" showInputMessage="true" sqref="C19" type="decimal">
      <formula1>0</formula1>
      <formula2>0.25</formula2>
    </dataValidation>
    <dataValidation allowBlank="true" error="Please enter 0% to 25% · steps of 0.5%." errorStyle="stop" errorTitle="Outside the allowed range" operator="between" prompt="Generally the standard is 16% a year for Growth (illustration). Choose what you want to use.  Allowed: 0% to 25% · steps of 0.5%." promptTitle="Growth: volatility a year" showDropDown="false" showErrorMessage="true" showInputMessage="true" sqref="C20" type="decimal">
      <formula1>0</formula1>
      <formula2>0.25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1056</v>
      </c>
      <c r="E1" s="3" t="s">
        <v>1057</v>
      </c>
    </row>
    <row r="2" customFormat="false" ht="15" hidden="false" customHeight="true" outlineLevel="0" collapsed="false">
      <c r="B2" s="25" t="s">
        <v>1058</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1059</v>
      </c>
    </row>
    <row r="5" customFormat="false" ht="15" hidden="false" customHeight="true" outlineLevel="0" collapsed="false">
      <c r="B5" s="15" t="s">
        <v>310</v>
      </c>
      <c r="C5" s="16"/>
      <c r="D5" s="16"/>
      <c r="E5" s="16"/>
      <c r="F5" s="16"/>
      <c r="G5" s="16"/>
    </row>
    <row r="6" customFormat="false" ht="27.75" hidden="false" customHeight="true" outlineLevel="0" collapsed="false">
      <c r="B6" s="57" t="s">
        <v>311</v>
      </c>
      <c r="C6" s="57"/>
      <c r="D6" s="57"/>
      <c r="E6" s="57"/>
    </row>
    <row r="7" customFormat="false" ht="15" hidden="false" customHeight="true" outlineLevel="0" collapsed="false">
      <c r="B7" s="9" t="s">
        <v>312</v>
      </c>
      <c r="C7" s="58"/>
      <c r="D7" s="31" t="s">
        <v>227</v>
      </c>
      <c r="E7" s="32" t="s">
        <v>313</v>
      </c>
      <c r="G7" s="56" t="s">
        <v>314</v>
      </c>
    </row>
    <row r="8" customFormat="false" ht="15" hidden="false" customHeight="true" outlineLevel="0" collapsed="false">
      <c r="B8" s="9" t="s">
        <v>321</v>
      </c>
      <c r="C8" s="61"/>
      <c r="D8" s="31" t="s">
        <v>322</v>
      </c>
      <c r="E8" s="32" t="s">
        <v>323</v>
      </c>
      <c r="G8" s="56" t="s">
        <v>314</v>
      </c>
    </row>
    <row r="10" customFormat="false" ht="15" hidden="false" customHeight="true" outlineLevel="0" collapsed="false">
      <c r="B10" s="15" t="s">
        <v>324</v>
      </c>
      <c r="C10" s="28" t="s">
        <v>222</v>
      </c>
      <c r="D10" s="28" t="s">
        <v>223</v>
      </c>
      <c r="E10" s="28" t="s">
        <v>224</v>
      </c>
      <c r="F10" s="29" t="s">
        <v>225</v>
      </c>
      <c r="G10" s="16"/>
    </row>
    <row r="11" customFormat="false" ht="21.75" hidden="false" customHeight="true" outlineLevel="0" collapsed="false">
      <c r="B11" s="9" t="s">
        <v>226</v>
      </c>
      <c r="C11" s="30"/>
      <c r="D11" s="31" t="s">
        <v>227</v>
      </c>
      <c r="E11" s="32" t="s">
        <v>1060</v>
      </c>
      <c r="F11" s="33" t="n">
        <v>60000</v>
      </c>
      <c r="G11" s="34" t="str">
        <f aca="false">IF(ISBLANK(C11),IF(Fill_Example="Yes",F11,""),C11)</f>
        <v/>
      </c>
    </row>
    <row r="12" customFormat="false" ht="21.75" hidden="false" customHeight="true" outlineLevel="0" collapsed="false">
      <c r="B12" s="9" t="s">
        <v>1061</v>
      </c>
      <c r="C12" s="42"/>
      <c r="D12" s="31" t="s">
        <v>240</v>
      </c>
      <c r="E12" s="39" t="s">
        <v>1062</v>
      </c>
      <c r="F12" s="43" t="n">
        <f aca="false">Set_lifeYears</f>
        <v>15</v>
      </c>
      <c r="G12" s="44" t="n">
        <f aca="false">IF(ISBLANK(C12),F12,C12)</f>
        <v>15</v>
      </c>
    </row>
    <row r="13" customFormat="false" ht="21.75" hidden="false" customHeight="true" outlineLevel="0" collapsed="false">
      <c r="B13" s="9" t="s">
        <v>1063</v>
      </c>
      <c r="C13" s="38"/>
      <c r="D13" s="31" t="s">
        <v>238</v>
      </c>
      <c r="E13" s="39" t="s">
        <v>1064</v>
      </c>
      <c r="F13" s="40" t="n">
        <f aca="false">Set_lifeShare</f>
        <v>0.6</v>
      </c>
      <c r="G13" s="41" t="n">
        <f aca="false">IF(ISBLANK(C13),F13,C13)</f>
        <v>0.6</v>
      </c>
    </row>
    <row r="14" customFormat="false" ht="21.75" hidden="false" customHeight="true" outlineLevel="0" collapsed="false">
      <c r="B14" s="9" t="s">
        <v>414</v>
      </c>
      <c r="C14" s="30"/>
      <c r="D14" s="31" t="s">
        <v>227</v>
      </c>
      <c r="E14" s="32" t="s">
        <v>1065</v>
      </c>
      <c r="F14" s="33" t="n">
        <v>250000</v>
      </c>
      <c r="G14" s="34" t="str">
        <f aca="false">IF(ISBLANK(C14),IF(Fill_Example="Yes",F14,""),C14)</f>
        <v/>
      </c>
    </row>
    <row r="15" customFormat="false" ht="15" hidden="false" customHeight="true" outlineLevel="0" collapsed="false">
      <c r="B15" s="9" t="s">
        <v>1066</v>
      </c>
      <c r="C15" s="35"/>
      <c r="D15" s="31" t="s">
        <v>234</v>
      </c>
      <c r="E15" s="32" t="s">
        <v>1067</v>
      </c>
      <c r="F15" s="36" t="s">
        <v>236</v>
      </c>
      <c r="G15" s="37" t="str">
        <f aca="false">IF(ISBLANK(C15),IF(Fill_Example="Yes",F15,""),C15)</f>
        <v/>
      </c>
    </row>
    <row r="16" customFormat="false" ht="21.75" hidden="false" customHeight="true" outlineLevel="0" collapsed="false">
      <c r="B16" s="9" t="s">
        <v>1068</v>
      </c>
      <c r="C16" s="30"/>
      <c r="D16" s="31" t="s">
        <v>227</v>
      </c>
      <c r="E16" s="32" t="s">
        <v>1069</v>
      </c>
      <c r="F16" s="33" t="n">
        <v>10000</v>
      </c>
      <c r="G16" s="34" t="str">
        <f aca="false">IF(ISBLANK(C16),IF(Debts_Listed_Total&gt;0,Debts_Listed_Total,IF(Fill_Example="Yes",F16,"")),C16)</f>
        <v/>
      </c>
    </row>
    <row r="17" customFormat="false" ht="21.75" hidden="false" customHeight="true" outlineLevel="0" collapsed="false">
      <c r="B17" s="9" t="s">
        <v>1070</v>
      </c>
      <c r="C17" s="30"/>
      <c r="D17" s="31" t="s">
        <v>227</v>
      </c>
      <c r="E17" s="32" t="s">
        <v>1071</v>
      </c>
      <c r="F17" s="33" t="n">
        <v>20000</v>
      </c>
      <c r="G17" s="34" t="str">
        <f aca="false">IF(ISBLANK(C17),IF(Fill_Example="Yes",F17,""),C17)</f>
        <v/>
      </c>
    </row>
    <row r="18" customFormat="false" ht="15" hidden="false" customHeight="true" outlineLevel="0" collapsed="false">
      <c r="B18" s="9" t="s">
        <v>1072</v>
      </c>
      <c r="C18" s="30"/>
      <c r="D18" s="31" t="s">
        <v>227</v>
      </c>
      <c r="E18" s="32" t="s">
        <v>1073</v>
      </c>
      <c r="F18" s="33" t="n">
        <v>100000</v>
      </c>
      <c r="G18" s="34" t="str">
        <f aca="false">IF(ISBLANK(C18),IF(Cover_Existing_Total&gt;0,Cover_Existing_Total,IF(Fill_Example="Yes",F18,"")),C18)</f>
        <v/>
      </c>
    </row>
    <row r="19" customFormat="false" ht="33" hidden="false" customHeight="true" outlineLevel="0" collapsed="false">
      <c r="B19" s="9" t="s">
        <v>1074</v>
      </c>
      <c r="C19" s="86"/>
      <c r="D19" s="31" t="s">
        <v>1075</v>
      </c>
      <c r="E19" s="39" t="str">
        <f aca="false">"Type 2 · range · Usually between €0 and "&amp;"€"&amp;TEXT(State_Pension_Week,"0.00")&amp;" a week: "&amp;"€"&amp;TEXT(Survivor_Pension_Week,"0.00")&amp;" under 66, "&amp;"€"&amp;TEXT(State_Pension_Week,"0.00")&amp;" at 66+ (DSP 2026; depends on PRSI; cohabitants can qualify for the Bereaved Partner's Pension). Enter your own figure. Allowed: €0 to €1,000 · steps of €0.50"</f>
        <v>Type 2 · range · Usually between €0 and €299.30 a week: €259.50 under 66, €299.30 at 66+ (DSP 2026; depends on PRSI; cohabitants can qualify for the Bereaved Partner's Pension). Enter your own figure. Allowed: €0 to €1,000 · steps of €0.50</v>
      </c>
      <c r="F19" s="87" t="n">
        <f aca="false">Survivor_Pension_Week</f>
        <v>259.5</v>
      </c>
      <c r="G19" s="88" t="str">
        <f aca="false">IF(ISBLANK(C19),IF(Fill_Example="Yes",F19,""),C19)</f>
        <v/>
      </c>
    </row>
    <row r="21" customFormat="false" ht="15" hidden="false" customHeight="true" outlineLevel="0" collapsed="false">
      <c r="B21" s="15" t="s">
        <v>333</v>
      </c>
      <c r="C21" s="16"/>
      <c r="D21" s="16"/>
      <c r="E21" s="16"/>
      <c r="F21" s="16"/>
      <c r="G21" s="16"/>
    </row>
    <row r="22" customFormat="false" ht="15" hidden="false" customHeight="true" outlineLevel="0" collapsed="false">
      <c r="B22" s="9" t="s">
        <v>414</v>
      </c>
      <c r="C22" s="62" t="str">
        <f aca="false">IF(ISBLANK(Stmt_Balance),Mortgage_Balance,Stmt_Balance)</f>
        <v/>
      </c>
      <c r="D22" s="63" t="str">
        <f aca="false">IF(ISBLANK(Stmt_Balance),"Your figure","From your statement")</f>
        <v>Your figure</v>
      </c>
      <c r="E22" s="53" t="s">
        <v>420</v>
      </c>
    </row>
    <row r="23" customFormat="false" ht="21.75" hidden="false" customHeight="true" outlineLevel="0" collapsed="false">
      <c r="B23" s="9" t="s">
        <v>339</v>
      </c>
      <c r="C23" s="49" t="str">
        <f aca="true">IF(ISBLANK(Stmt_Statement_Date),"",IF(TODAY()-Stmt_Statement_Date&gt;Statement_Max_Age_Days,"Needs a look: statement is more than 12 months old","Up to date"))</f>
        <v/>
      </c>
      <c r="D23" s="31"/>
      <c r="E23" s="46" t="s">
        <v>340</v>
      </c>
    </row>
    <row r="25" customFormat="false" ht="15" hidden="false" customHeight="true" outlineLevel="0" collapsed="false">
      <c r="B25" s="15" t="s">
        <v>247</v>
      </c>
      <c r="C25" s="28" t="s">
        <v>248</v>
      </c>
      <c r="D25" s="28" t="s">
        <v>249</v>
      </c>
      <c r="E25" s="28" t="s">
        <v>250</v>
      </c>
      <c r="F25" s="16"/>
      <c r="G25" s="16"/>
    </row>
    <row r="26" customFormat="false" ht="17.25" hidden="false" customHeight="true" outlineLevel="0" collapsed="false">
      <c r="B26" s="25" t="s">
        <v>1076</v>
      </c>
      <c r="C26" s="45" t="str">
        <f aca="false">IF(Need_1&lt;&gt;"",Need_1,MAX(0,Income_Need+Debts_To_Clear-Already_Have))</f>
        <v>Choose your gross yearly income to see this</v>
      </c>
      <c r="D26" s="31" t="s">
        <v>227</v>
      </c>
      <c r="E26" s="46" t="s">
        <v>1077</v>
      </c>
    </row>
    <row r="27" customFormat="false" ht="17.25" hidden="false" customHeight="true" outlineLevel="0" collapsed="false">
      <c r="B27" s="25" t="s">
        <v>1078</v>
      </c>
      <c r="C27" s="45" t="str">
        <f aca="false">IF(Need_2&lt;&gt;"",Need_2,MAX(0,Yearly_Income*Life_Replace-Survivor_Pension*Weeks_Per_Year)*Years_Support)</f>
        <v>Choose your gross yearly income to see this</v>
      </c>
      <c r="D27" s="31" t="s">
        <v>227</v>
      </c>
      <c r="E27" s="46" t="s">
        <v>1079</v>
      </c>
    </row>
    <row r="28" customFormat="false" ht="17.25" hidden="false" customHeight="true" outlineLevel="0" collapsed="false">
      <c r="B28" s="25" t="s">
        <v>1080</v>
      </c>
      <c r="C28" s="45" t="str">
        <f aca="false">IF(Need_3&lt;&gt;"",Need_3,IF(Mortgage_Protected="Yes",0,Used_Mortgage_Balance)+Other_Debts)</f>
        <v>Choose your mortgage protection answer to see this</v>
      </c>
      <c r="D28" s="31" t="s">
        <v>227</v>
      </c>
      <c r="E28" s="46" t="s">
        <v>1081</v>
      </c>
    </row>
    <row r="29" customFormat="false" ht="15" hidden="false" customHeight="true" outlineLevel="0" collapsed="false">
      <c r="B29" s="9" t="s">
        <v>1082</v>
      </c>
      <c r="C29" s="47" t="str">
        <f aca="false">IF(Need_4&lt;&gt;"",Need_4,Existing_Cover+Savings)</f>
        <v>Choose your savings &amp; investments to see this</v>
      </c>
      <c r="D29" s="31" t="s">
        <v>227</v>
      </c>
      <c r="E29" s="46" t="s">
        <v>1083</v>
      </c>
    </row>
    <row r="30" customFormat="false" ht="15" hidden="false" customHeight="true" outlineLevel="0" collapsed="false">
      <c r="B30" s="9" t="s">
        <v>1084</v>
      </c>
      <c r="C30" s="47" t="str">
        <f aca="false">IF(Need_5&lt;&gt;"",Need_5,Yearly_Income*Life_Replace*Years_Support)</f>
        <v>Choose your gross yearly income to see this</v>
      </c>
      <c r="D30" s="31" t="s">
        <v>227</v>
      </c>
      <c r="E30" s="46" t="s">
        <v>1085</v>
      </c>
    </row>
    <row r="32" customFormat="false" ht="15" hidden="false" customHeight="true" outlineLevel="0" collapsed="false">
      <c r="B32" s="15" t="s">
        <v>280</v>
      </c>
      <c r="C32" s="16"/>
      <c r="D32" s="16"/>
      <c r="E32" s="16"/>
      <c r="F32" s="16"/>
      <c r="G32" s="16"/>
    </row>
    <row r="33" customFormat="false" ht="13.5" hidden="false" customHeight="true" outlineLevel="0" collapsed="false">
      <c r="B33" s="50" t="s">
        <v>1086</v>
      </c>
      <c r="C33" s="50"/>
      <c r="D33" s="50"/>
      <c r="E33" s="50"/>
    </row>
    <row r="34" customFormat="false" ht="27.75" hidden="false" customHeight="true" outlineLevel="0" collapsed="false">
      <c r="B34" s="50" t="s">
        <v>1087</v>
      </c>
      <c r="C34" s="50"/>
      <c r="D34" s="50"/>
      <c r="E34" s="50"/>
    </row>
    <row r="35" customFormat="false" ht="13.5" hidden="false" customHeight="true" outlineLevel="0" collapsed="false">
      <c r="B35" s="50" t="s">
        <v>1088</v>
      </c>
      <c r="C35" s="50"/>
      <c r="D35" s="50"/>
      <c r="E35" s="50"/>
    </row>
    <row r="36" customFormat="false" ht="13.5" hidden="false" customHeight="true" outlineLevel="0" collapsed="false">
      <c r="B36" s="51" t="s">
        <v>283</v>
      </c>
      <c r="C36" s="51"/>
      <c r="D36" s="51"/>
      <c r="E36" s="51"/>
    </row>
    <row r="37" customFormat="false" ht="13.5" hidden="false" customHeight="true" outlineLevel="0" collapsed="false">
      <c r="B37" s="50" t="s">
        <v>1089</v>
      </c>
      <c r="C37" s="50"/>
      <c r="D37" s="50"/>
      <c r="E37" s="50"/>
    </row>
    <row r="38" customFormat="false" ht="13.5" hidden="false" customHeight="true" outlineLevel="0" collapsed="false">
      <c r="B38" s="50" t="str">
        <f aca="false">"• Survivor's pension defaults to the 2026 rate under 66 ("&amp;"€"&amp;TEXT(Survivor_Pension_Week,"0.00")&amp;" a week); enter 0 if it would not be paid."</f>
        <v>• Survivor's pension defaults to the 2026 rate under 66 (€259.50 a week); enter 0 if it would not be paid.</v>
      </c>
      <c r="C38" s="50"/>
      <c r="D38" s="50"/>
      <c r="E38" s="50"/>
    </row>
    <row r="40" customFormat="false" ht="15" hidden="false" customHeight="true" outlineLevel="0" collapsed="false">
      <c r="B40" s="15" t="s">
        <v>288</v>
      </c>
      <c r="C40" s="16"/>
      <c r="D40" s="16"/>
      <c r="E40" s="16"/>
      <c r="F40" s="16"/>
      <c r="G40" s="16"/>
    </row>
    <row r="41" customFormat="false" ht="15" hidden="false" customHeight="true" outlineLevel="0" collapsed="false">
      <c r="B41" s="9" t="s">
        <v>289</v>
      </c>
      <c r="C41" s="52" t="str">
        <f aca="false">"No goal: record a protection need for the adviser"</f>
        <v>No goal: record a protection need for the adviser</v>
      </c>
      <c r="E41" s="53" t="s">
        <v>1090</v>
      </c>
    </row>
    <row r="42" customFormat="false" ht="15" hidden="false" customHeight="true" outlineLevel="0" collapsed="false">
      <c r="B42" s="9" t="s">
        <v>1091</v>
      </c>
      <c r="C42" s="54" t="str">
        <f aca="false">IF(Need_1&lt;&gt;"",Need_1,Cover_Gap)</f>
        <v>Choose your gross yearly income to see this</v>
      </c>
      <c r="E42" s="53" t="s">
        <v>1092</v>
      </c>
    </row>
    <row r="43" customFormat="false" ht="13.5" hidden="false" customHeight="true" outlineLevel="0" collapsed="false">
      <c r="B43" s="57" t="s">
        <v>1093</v>
      </c>
      <c r="C43" s="57"/>
      <c r="D43" s="57"/>
      <c r="E43" s="57"/>
    </row>
    <row r="45" customFormat="false" ht="15" hidden="false" customHeight="true" outlineLevel="0" collapsed="false">
      <c r="B45" s="15" t="s">
        <v>297</v>
      </c>
      <c r="C45" s="16"/>
      <c r="D45" s="16"/>
      <c r="E45" s="16"/>
      <c r="F45" s="16"/>
      <c r="G45" s="16"/>
    </row>
    <row r="46" customFormat="false" ht="15" hidden="false" customHeight="true" outlineLevel="0" collapsed="false">
      <c r="B46" s="56" t="s">
        <v>1094</v>
      </c>
      <c r="C46" s="56" t="str">
        <f aca="false">IF(Yearly_Income="","Choose your gross yearly income to see this",IF(Mortgage_Protected="","Choose your mortgage protection answer to see this",IF(Other_Debts="","Choose your other debts to see this",IF(Savings="","Choose your savings &amp; investments to see this",IF(Existing_Cover="","Choose your existing life cover to see this",IF(NOT(ISNUMBER(Used_Mortgage_Balance)),IF(Used_Mortgage_Balance="",IF(Mortgage_Balance="","Choose your mortgage balance to see this",""),Used_Mortgage_Balance),IF(Survivor_Pension="","Choose your survivor's pension to see this","")))))))</f>
        <v>Choose your gross yearly income to see this</v>
      </c>
    </row>
    <row r="47" customFormat="false" ht="15" hidden="false" customHeight="true" outlineLevel="0" collapsed="false">
      <c r="B47" s="56" t="s">
        <v>1095</v>
      </c>
      <c r="C47" s="56" t="str">
        <f aca="false">IF(Yearly_Income="","Choose your gross yearly income to see this",IF(Survivor_Pension="","Choose your survivor's pension to see this",""))</f>
        <v>Choose your gross yearly income to see this</v>
      </c>
    </row>
    <row r="48" customFormat="false" ht="15" hidden="false" customHeight="true" outlineLevel="0" collapsed="false">
      <c r="B48" s="56" t="s">
        <v>1096</v>
      </c>
      <c r="C48" s="56" t="str">
        <f aca="false">IF(Mortgage_Protected="","Choose your mortgage protection answer to see this",IF(Other_Debts="","Choose your other debts to see this",IF(NOT(ISNUMBER(Used_Mortgage_Balance)),IF(Used_Mortgage_Balance="",IF(Mortgage_Balance="","Choose your mortgage balance to see this",""),Used_Mortgage_Balance),IF(Survivor_Pension="","Choose your survivor's pension to see this",""))))</f>
        <v>Choose your mortgage protection answer to see this</v>
      </c>
    </row>
    <row r="49" customFormat="false" ht="15" hidden="false" customHeight="true" outlineLevel="0" collapsed="false">
      <c r="B49" s="56" t="s">
        <v>1097</v>
      </c>
      <c r="C49" s="56" t="str">
        <f aca="false">IF(Savings="","Choose your savings &amp; investments to see this",IF(Existing_Cover="","Choose your existing life cover to see this",IF(Survivor_Pension="","Choose your survivor's pension to see this","")))</f>
        <v>Choose your savings &amp; investments to see this</v>
      </c>
    </row>
    <row r="50" customFormat="false" ht="15" hidden="false" customHeight="true" outlineLevel="0" collapsed="false">
      <c r="B50" s="56" t="s">
        <v>1098</v>
      </c>
      <c r="C50" s="56" t="str">
        <f aca="false">IF(Yearly_Income="","Choose your gross yearly income to see this",IF(Survivor_Pension="","Choose your survivor's pension to see this",""))</f>
        <v>Choose your gross yearly income to see this</v>
      </c>
    </row>
  </sheetData>
  <mergeCells count="8">
    <mergeCell ref="B6:E6"/>
    <mergeCell ref="B33:E33"/>
    <mergeCell ref="B34:E34"/>
    <mergeCell ref="B35:E35"/>
    <mergeCell ref="B36:E36"/>
    <mergeCell ref="B37:E37"/>
    <mergeCell ref="B38:E38"/>
    <mergeCell ref="B43:E43"/>
  </mergeCells>
  <dataValidations count="11">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8" type="date">
      <formula1>36526</formula1>
      <formula2>0</formula2>
    </dataValidation>
    <dataValidation allowBlank="true" error="Please enter €0 to €3,000,000 · steps of €1,000." errorStyle="stop" errorTitle="Outside the allowed range" operator="between" prompt="Your own figure. In the app it is pre-filled from Your finances: income.  Allowed: €0 to €3,000,000 · steps of €1,000." promptTitle="Your gross yearly income" showDropDown="false" showErrorMessage="true" showInputMessage="true" sqref="C11" type="decimal">
      <formula1>0</formula1>
      <formula2>3000000</formula2>
    </dataValidation>
    <dataValidation allowBlank="true" error="Please enter 1 to 30 · steps of 1." errorStyle="stop" errorTitle="Outside the allowed range" operator="between" prompt="Generally the standard is until your youngest child is 23. Choose what you want to use.  Allowed: 1 to 30 · steps of 1." promptTitle="Years your family would need sup" showDropDown="false" showErrorMessage="true" showInputMessage="true" sqref="C12" type="whole">
      <formula1>1</formula1>
      <formula2>30</formula2>
    </dataValidation>
    <dataValidation allowBlank="true" error="Please enter 30% to 100% · steps of 5%." errorStyle="stop" errorTitle="Outside the allowed range" operator="between" prompt="Generally the standard is 60% of your income (families usually need less than full pay). Choose what you want to use.  Allowed: 30% to 100% · steps of 5%." promptTitle="Share of your income your family" showDropDown="false" showErrorMessage="true" showInputMessage="true" sqref="C13" type="decimal">
      <formula1>0.3</formula1>
      <formula2>1</formula2>
    </dataValidation>
    <dataValidation allowBlank="true" error="Please enter €0 to €10,000,000 · steps of €5,000." errorStyle="stop" errorTitle="Outside the allowed range" operator="between" prompt="Your own figure. In the app it is pre-filled from Your finances: mortgage balance.  Allowed: €0 to €10,000,000 · steps of €5,000." promptTitle="Mortgage balance" showDropDown="false" showErrorMessage="true" showInputMessage="true" sqref="C14" type="decimal">
      <formula1>0</formula1>
      <formula2>10000000</formula2>
    </dataValidation>
    <dataValidation allowBlank="true" error="Please enter Yes or No." errorStyle="stop" errorTitle="Outside the allowed range" operator="between" prompt="Your own figure.  Allowed: Yes or No." promptTitle="Is the mortgage cleared by mortg" showDropDown="false" showErrorMessage="true" showInputMessage="true" sqref="C15" type="list">
      <formula1>"Yes,No"</formula1>
      <formula2>0</formula2>
    </dataValidation>
    <dataValidation allowBlank="true" error="Please enter €0 to €2,000,000 · steps of €1,000." errorStyle="stop" errorTitle="Outside the allowed range" operator="between" prompt="Your own figure. In the app it is pre-filled from Your finances: debts.  Allowed: €0 to €2,000,000 · steps of €1,000." promptTitle="Other debts" showDropDown="false" showErrorMessage="true" showInputMessage="true" sqref="C16" type="decimal">
      <formula1>0</formula1>
      <formula2>2000000</formula2>
    </dataValidation>
    <dataValidation allowBlank="true" error="Please enter €0 to €10,000,000 · steps of €1,000." errorStyle="stop" errorTitle="Outside the allowed range" operator="between" prompt="Your own figure. In the app it is pre-filled from Your finances: cash + investments.  Allowed: €0 to €10,000,000 · steps of €1,000." promptTitle="Savings &amp; investments" showDropDown="false" showErrorMessage="true" showInputMessage="true" sqref="C17" type="decimal">
      <formula1>0</formula1>
      <formula2>10000000</formula2>
    </dataValidation>
    <dataValidation allowBlank="true" error="Please enter €0 to €20,000,000 · steps of €10,000." errorStyle="stop" errorTitle="Outside the allowed range" operator="between" prompt="Your own figure.  Allowed: €0 to €20,000,000 · steps of €10,000." promptTitle="Existing life cover (incl. throu" showDropDown="false" showErrorMessage="true" showInputMessage="true" sqref="C18" type="decimal">
      <formula1>0</formula1>
      <formula2>20000000</formula2>
    </dataValidation>
    <dataValidation allowBlank="true" error="Please enter €0 to €1,000 · steps of €0.50." errorStyle="stop" errorTitle="Outside the allowed range" operator="between" prompt="Usually between €0 and €299.30 a week: €259.50 under 66, €299.30 at 66+ (DSP 2026; depends on PRSI; cohabitants can qualify for the Bereaved Partner's Pension). Enter your own figure.  Allowed: €0 to €1,000 · steps of €0.50." promptTitle="State survivor's pension a week " showDropDown="false" showErrorMessage="true" showInputMessage="true" sqref="C19" type="decimal">
      <formula1>0</formula1>
      <formula2>1000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1099</v>
      </c>
      <c r="E1" s="3" t="s">
        <v>1100</v>
      </c>
    </row>
    <row r="2" customFormat="false" ht="15" hidden="false" customHeight="true" outlineLevel="0" collapsed="false">
      <c r="B2" s="25" t="s">
        <v>1101</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1102</v>
      </c>
    </row>
    <row r="5" customFormat="false" ht="15" hidden="false" customHeight="true" outlineLevel="0" collapsed="false">
      <c r="B5" s="15" t="s">
        <v>221</v>
      </c>
      <c r="C5" s="28" t="s">
        <v>222</v>
      </c>
      <c r="D5" s="28" t="s">
        <v>223</v>
      </c>
      <c r="E5" s="28" t="s">
        <v>224</v>
      </c>
      <c r="F5" s="29" t="s">
        <v>225</v>
      </c>
      <c r="G5" s="16"/>
    </row>
    <row r="6" customFormat="false" ht="21.75" hidden="false" customHeight="true" outlineLevel="0" collapsed="false">
      <c r="B6" s="9" t="s">
        <v>679</v>
      </c>
      <c r="C6" s="30"/>
      <c r="D6" s="31" t="s">
        <v>227</v>
      </c>
      <c r="E6" s="32" t="s">
        <v>680</v>
      </c>
      <c r="F6" s="33" t="n">
        <v>2500</v>
      </c>
      <c r="G6" s="34" t="str">
        <f aca="false">IF(ISBLANK(C6),IF(Fill_Example="Yes",F6,""),C6)</f>
        <v/>
      </c>
    </row>
    <row r="7" customFormat="false" ht="15" hidden="false" customHeight="true" outlineLevel="0" collapsed="false">
      <c r="B7" s="9" t="s">
        <v>1103</v>
      </c>
      <c r="C7" s="42"/>
      <c r="D7" s="31" t="s">
        <v>682</v>
      </c>
      <c r="E7" s="32" t="s">
        <v>1104</v>
      </c>
      <c r="F7" s="43" t="n">
        <v>3</v>
      </c>
      <c r="G7" s="44" t="str">
        <f aca="false">IF(ISBLANK(C7),IF(Fill_Example="Yes",F7,""),C7)</f>
        <v/>
      </c>
    </row>
    <row r="8" customFormat="false" ht="21.75" hidden="false" customHeight="true" outlineLevel="0" collapsed="false">
      <c r="B8" s="9" t="s">
        <v>686</v>
      </c>
      <c r="C8" s="30"/>
      <c r="D8" s="31" t="s">
        <v>227</v>
      </c>
      <c r="E8" s="32" t="s">
        <v>1105</v>
      </c>
      <c r="F8" s="33" t="n">
        <v>8000</v>
      </c>
      <c r="G8" s="34" t="str">
        <f aca="false">IF(ISBLANK(C8),IF(Fill_Example="Yes",F8,""),C8)</f>
        <v/>
      </c>
    </row>
    <row r="9" customFormat="false" ht="21.75" hidden="false" customHeight="true" outlineLevel="0" collapsed="false">
      <c r="B9" s="9" t="s">
        <v>226</v>
      </c>
      <c r="C9" s="30"/>
      <c r="D9" s="31" t="s">
        <v>227</v>
      </c>
      <c r="E9" s="32" t="s">
        <v>1060</v>
      </c>
      <c r="F9" s="33" t="n">
        <v>60000</v>
      </c>
      <c r="G9" s="34" t="str">
        <f aca="false">IF(ISBLANK(C9),IF(Fill_Example="Yes",F9,""),C9)</f>
        <v/>
      </c>
    </row>
    <row r="10" customFormat="false" ht="21.75" hidden="false" customHeight="true" outlineLevel="0" collapsed="false">
      <c r="B10" s="9" t="s">
        <v>1106</v>
      </c>
      <c r="C10" s="86"/>
      <c r="D10" s="31" t="s">
        <v>1075</v>
      </c>
      <c r="E10" s="39" t="str">
        <f aca="false">"Type 2 · range · Usually between €0 and "&amp;"€"&amp;TEXT(Illness_Benefit_Week,"0")&amp;" a week (DSP 2026 maximum; lower if you earned under €300 a week; needs enough PRSI). Enter your own figure. Allowed: €0 to €500 · steps of €0.50"</f>
        <v>Type 2 · range · Usually between €0 and €254 a week (DSP 2026 maximum; lower if you earned under €300 a week; needs enough PRSI). Enter your own figure. Allowed: €0 to €500 · steps of €0.50</v>
      </c>
      <c r="F10" s="87" t="n">
        <f aca="false">Illness_Benefit_Week</f>
        <v>254</v>
      </c>
      <c r="G10" s="88" t="str">
        <f aca="false">IF(ISBLANK(C10),IF(Fill_Example="Yes",F10,""),C10)</f>
        <v/>
      </c>
    </row>
    <row r="12" customFormat="false" ht="15" hidden="false" customHeight="true" outlineLevel="0" collapsed="false">
      <c r="B12" s="15" t="s">
        <v>247</v>
      </c>
      <c r="C12" s="28" t="s">
        <v>248</v>
      </c>
      <c r="D12" s="28" t="s">
        <v>249</v>
      </c>
      <c r="E12" s="28" t="s">
        <v>250</v>
      </c>
      <c r="F12" s="16"/>
      <c r="G12" s="16"/>
    </row>
    <row r="13" customFormat="false" ht="23.25" hidden="false" customHeight="true" outlineLevel="0" collapsed="false">
      <c r="B13" s="25" t="s">
        <v>1107</v>
      </c>
      <c r="C13" s="74" t="str">
        <f aca="false">IF(Need_1&lt;&gt;"",Need_1,IF(Monthly_Gap=0,24,MIN(24,Sick_Pay_Months+Savings/Monthly_Gap)))</f>
        <v>Choose your essential monthly spending to see this</v>
      </c>
      <c r="D13" s="67" t="str">
        <f aca="false">IF(Need_1&lt;&gt;"",Need_1,IF(Monthly_Gap=0,"up to 2 years",IF(Sick_Pay_Months+Savings/Monthly_Gap&gt;=24,"up to 2 years",IF(ROUND(Months_Coping,1)=1,"1 month",FIXED(Months_Coping,1)&amp;" months"))))</f>
        <v>Choose your essential monthly spending to see this</v>
      </c>
      <c r="E13" s="46" t="s">
        <v>1108</v>
      </c>
    </row>
    <row r="14" customFormat="false" ht="17.25" hidden="false" customHeight="true" outlineLevel="0" collapsed="false">
      <c r="B14" s="25" t="s">
        <v>1109</v>
      </c>
      <c r="C14" s="45" t="str">
        <f aca="false">IF(Need_2&lt;&gt;"",Need_2,MAX(0,Essential_Spending-Illness_Benefit_Month))</f>
        <v>Choose your essential monthly spending to see this</v>
      </c>
      <c r="D14" s="31" t="s">
        <v>227</v>
      </c>
      <c r="E14" s="46" t="s">
        <v>1110</v>
      </c>
    </row>
    <row r="15" customFormat="false" ht="17.25" hidden="false" customHeight="true" outlineLevel="0" collapsed="false">
      <c r="B15" s="25" t="s">
        <v>1111</v>
      </c>
      <c r="C15" s="45" t="str">
        <f aca="false">IF(Need_3&lt;&gt;"",Need_3,MIN(Monthly_Gap,IP_Max))</f>
        <v>Choose your essential monthly spending to see this</v>
      </c>
      <c r="D15" s="31" t="s">
        <v>227</v>
      </c>
      <c r="E15" s="46" t="s">
        <v>1112</v>
      </c>
    </row>
    <row r="16" customFormat="false" ht="15" hidden="false" customHeight="true" outlineLevel="0" collapsed="false">
      <c r="B16" s="9" t="s">
        <v>1113</v>
      </c>
      <c r="C16" s="47" t="str">
        <f aca="false">IF(Need_4&lt;&gt;"",Need_4,Illness_Benefit*Weeks_Per_Year/12)</f>
        <v>Choose your Illness Benefit to see this</v>
      </c>
      <c r="D16" s="31" t="s">
        <v>227</v>
      </c>
      <c r="E16" s="46" t="s">
        <v>1114</v>
      </c>
    </row>
    <row r="17" customFormat="false" ht="23.25" hidden="false" customHeight="true" outlineLevel="0" collapsed="false">
      <c r="B17" s="9" t="s">
        <v>1115</v>
      </c>
      <c r="C17" s="89" t="str">
        <f aca="false">IF(Need_5&lt;&gt;"",Need_5,IF(Monthly_Gap=0,"Not needed",Savings/Monthly_Gap))</f>
        <v>Choose your essential monthly spending to see this</v>
      </c>
      <c r="D17" s="71" t="str">
        <f aca="false">IF(Need_5&lt;&gt;"",Need_5,IF(Savings_Months="Not needed","Not needed while Illness Benefit covers your spending",IF(Savings_Months&gt;=24,"more than 2 years",IF(ROUND(Savings_Months,1)=1,"1 month",FIXED(Savings_Months,1)&amp;" months"))))</f>
        <v>Choose your essential monthly spending to see this</v>
      </c>
      <c r="E17" s="46" t="s">
        <v>1116</v>
      </c>
    </row>
    <row r="18" customFormat="false" ht="15" hidden="false" customHeight="true" outlineLevel="0" collapsed="false">
      <c r="B18" s="9" t="s">
        <v>1117</v>
      </c>
      <c r="C18" s="47" t="str">
        <f aca="false">IF(Need_6&lt;&gt;"",Need_6,MAX(0,Gross_Income*IP_Max_Pct/12-Illness_Benefit_Month))</f>
        <v>Choose your gross yearly income to see this</v>
      </c>
      <c r="D18" s="31" t="s">
        <v>227</v>
      </c>
      <c r="E18" s="46" t="s">
        <v>1118</v>
      </c>
    </row>
    <row r="20" customFormat="false" ht="15" hidden="false" customHeight="true" outlineLevel="0" collapsed="false">
      <c r="B20" s="15" t="s">
        <v>280</v>
      </c>
      <c r="C20" s="16"/>
      <c r="D20" s="16"/>
      <c r="E20" s="16"/>
      <c r="F20" s="16"/>
      <c r="G20" s="16"/>
    </row>
    <row r="21" customFormat="false" ht="27.75" hidden="false" customHeight="true" outlineLevel="0" collapsed="false">
      <c r="B21" s="50" t="s">
        <v>1119</v>
      </c>
      <c r="C21" s="50"/>
      <c r="D21" s="50"/>
      <c r="E21" s="50"/>
    </row>
    <row r="22" customFormat="false" ht="13.5" hidden="false" customHeight="true" outlineLevel="0" collapsed="false">
      <c r="B22" s="50" t="s">
        <v>1120</v>
      </c>
      <c r="C22" s="50"/>
      <c r="D22" s="50"/>
      <c r="E22" s="50"/>
    </row>
    <row r="23" customFormat="false" ht="13.5" hidden="false" customHeight="true" outlineLevel="0" collapsed="false">
      <c r="B23" s="50" t="s">
        <v>1121</v>
      </c>
      <c r="C23" s="50"/>
      <c r="D23" s="50"/>
      <c r="E23" s="50"/>
    </row>
    <row r="24" customFormat="false" ht="13.5" hidden="false" customHeight="true" outlineLevel="0" collapsed="false">
      <c r="B24" s="51" t="s">
        <v>283</v>
      </c>
      <c r="C24" s="51"/>
      <c r="D24" s="51"/>
      <c r="E24" s="51"/>
    </row>
    <row r="25" customFormat="false" ht="13.5" hidden="false" customHeight="true" outlineLevel="0" collapsed="false">
      <c r="B25" s="50" t="s">
        <v>1122</v>
      </c>
      <c r="C25" s="50"/>
      <c r="D25" s="50"/>
      <c r="E25" s="50"/>
    </row>
    <row r="26" customFormat="false" ht="13.5" hidden="false" customHeight="true" outlineLevel="0" collapsed="false">
      <c r="B26" s="50" t="s">
        <v>1123</v>
      </c>
      <c r="C26" s="50"/>
      <c r="D26" s="50"/>
      <c r="E26" s="50"/>
    </row>
    <row r="28" customFormat="false" ht="15" hidden="false" customHeight="true" outlineLevel="0" collapsed="false">
      <c r="B28" s="15" t="s">
        <v>288</v>
      </c>
      <c r="C28" s="16"/>
      <c r="D28" s="16"/>
      <c r="E28" s="16"/>
      <c r="F28" s="16"/>
      <c r="G28" s="16"/>
    </row>
    <row r="29" customFormat="false" ht="15" hidden="false" customHeight="true" outlineLevel="0" collapsed="false">
      <c r="B29" s="9" t="s">
        <v>289</v>
      </c>
      <c r="C29" s="52" t="str">
        <f aca="false">"No goal: record an income protection need for the adviser"</f>
        <v>No goal: record an income protection need for the adviser</v>
      </c>
      <c r="E29" s="53" t="s">
        <v>1124</v>
      </c>
    </row>
    <row r="30" customFormat="false" ht="15" hidden="false" customHeight="true" outlineLevel="0" collapsed="false">
      <c r="B30" s="9" t="s">
        <v>1125</v>
      </c>
      <c r="C30" s="54" t="str">
        <f aca="false">IF(Need_3&lt;&gt;"",Need_3,IP_Needed)</f>
        <v>Choose your essential monthly spending to see this</v>
      </c>
      <c r="E30" s="53" t="s">
        <v>1126</v>
      </c>
    </row>
    <row r="32" customFormat="false" ht="15" hidden="false" customHeight="true" outlineLevel="0" collapsed="false">
      <c r="B32" s="15" t="s">
        <v>297</v>
      </c>
      <c r="C32" s="16"/>
      <c r="D32" s="16"/>
      <c r="E32" s="16"/>
      <c r="F32" s="16"/>
      <c r="G32" s="16"/>
    </row>
    <row r="33" customFormat="false" ht="15" hidden="false" customHeight="true" outlineLevel="0" collapsed="false">
      <c r="B33" s="56" t="s">
        <v>1127</v>
      </c>
      <c r="C33" s="56" t="str">
        <f aca="false">IF(Essential_Spending="","Choose your essential monthly spending to see this",IF(Sick_Pay_Months="","Choose your months of sick pay from your employer's scheme to see this",IF(Savings="","Choose your easy-access savings to see this",IF(Illness_Benefit="","Choose your Illness Benefit to see this",""))))</f>
        <v>Choose your essential monthly spending to see this</v>
      </c>
    </row>
    <row r="34" customFormat="false" ht="15" hidden="false" customHeight="true" outlineLevel="0" collapsed="false">
      <c r="B34" s="56" t="s">
        <v>1128</v>
      </c>
      <c r="C34" s="56" t="str">
        <f aca="false">IF(Essential_Spending="","Choose your essential monthly spending to see this",IF(Illness_Benefit="","Choose your Illness Benefit to see this",""))</f>
        <v>Choose your essential monthly spending to see this</v>
      </c>
    </row>
    <row r="35" customFormat="false" ht="15" hidden="false" customHeight="true" outlineLevel="0" collapsed="false">
      <c r="B35" s="56" t="s">
        <v>1129</v>
      </c>
      <c r="C35" s="56" t="str">
        <f aca="false">IF(Essential_Spending="","Choose your essential monthly spending to see this",IF(Gross_Income="","Choose your gross yearly income to see this",IF(Illness_Benefit="","Choose your Illness Benefit to see this","")))</f>
        <v>Choose your essential monthly spending to see this</v>
      </c>
    </row>
    <row r="36" customFormat="false" ht="15" hidden="false" customHeight="true" outlineLevel="0" collapsed="false">
      <c r="B36" s="56" t="s">
        <v>1130</v>
      </c>
      <c r="C36" s="56" t="str">
        <f aca="false">IF(Illness_Benefit="","Choose your Illness Benefit to see this","")</f>
        <v>Choose your Illness Benefit to see this</v>
      </c>
    </row>
    <row r="37" customFormat="false" ht="15" hidden="false" customHeight="true" outlineLevel="0" collapsed="false">
      <c r="B37" s="56" t="s">
        <v>1131</v>
      </c>
      <c r="C37" s="56" t="str">
        <f aca="false">IF(Essential_Spending="","Choose your essential monthly spending to see this",IF(Savings="","Choose your easy-access savings to see this",IF(Illness_Benefit="","Choose your Illness Benefit to see this","")))</f>
        <v>Choose your essential monthly spending to see this</v>
      </c>
    </row>
    <row r="38" customFormat="false" ht="15" hidden="false" customHeight="true" outlineLevel="0" collapsed="false">
      <c r="B38" s="56" t="s">
        <v>1132</v>
      </c>
      <c r="C38" s="56" t="str">
        <f aca="false">IF(Gross_Income="","Choose your gross yearly income to see this",IF(Illness_Benefit="","Choose your Illness Benefit to see this",""))</f>
        <v>Choose your gross yearly income to see this</v>
      </c>
    </row>
  </sheetData>
  <mergeCells count="6">
    <mergeCell ref="B21:E21"/>
    <mergeCell ref="B22:E22"/>
    <mergeCell ref="B23:E23"/>
    <mergeCell ref="B24:E24"/>
    <mergeCell ref="B25:E25"/>
    <mergeCell ref="B26:E26"/>
  </mergeCells>
  <dataValidations count="5">
    <dataValidation allowBlank="true" error="Please enter €500 to €100,000 · steps of €100." errorStyle="stop" errorTitle="Outside the allowed range" operator="between" prompt="Your own figure. In the app it is pre-filled from Your finances: costs + mortgage + debt repayments.  Allowed: €500 to €100,000 · steps of €100." promptTitle="Essential monthly spending" showDropDown="false" showErrorMessage="true" showInputMessage="true" sqref="C6" type="decimal">
      <formula1>500</formula1>
      <formula2>100000</formula2>
    </dataValidation>
    <dataValidation allowBlank="true" error="Please enter €0 to €3,000,000 · steps of €1,000." errorStyle="stop" errorTitle="Outside the allowed range" operator="between" prompt="Your own figure. In the app it is pre-filled from Your finances: income.  Allowed: €0 to €3,000,000 · steps of €1,000." promptTitle="Your gross yearly income" showDropDown="false" showErrorMessage="true" showInputMessage="true" sqref="C9" type="decimal">
      <formula1>0</formula1>
      <formula2>3000000</formula2>
    </dataValidation>
    <dataValidation allowBlank="true" error="Please enter 0 to 12 · steps of 1." errorStyle="stop" errorTitle="Outside the allowed range" operator="between" prompt="Your own figure.  Allowed: 0 to 12 · steps of 1." promptTitle="Months of sick pay from your emp" showDropDown="false" showErrorMessage="true" showInputMessage="true" sqref="C7" type="whole">
      <formula1>0</formula1>
      <formula2>12</formula2>
    </dataValidation>
    <dataValidation allowBlank="true" error="Please enter €0 to €2,000,000 · steps of €500." errorStyle="stop" errorTitle="Outside the allowed range" operator="between" prompt="Your own figure. In the app it is pre-filled from Your finances: cash.  Allowed: €0 to €2,000,000 · steps of €500." promptTitle="Easy-access savings" showDropDown="false" showErrorMessage="true" showInputMessage="true" sqref="C8" type="decimal">
      <formula1>0</formula1>
      <formula2>2000000</formula2>
    </dataValidation>
    <dataValidation allowBlank="true" error="Please enter €0 to €500 · steps of €0.50." errorStyle="stop" errorTitle="Outside the allowed range" operator="between" prompt="Usually between €0 and €254 a week (DSP 2026 maximum; lower if you earned under €300 a week; needs enough PRSI). Enter your own figure.  Allowed: €0 to €500 · steps of €0.50." promptTitle="Illness Benefit a week" showDropDown="false" showErrorMessage="true" showInputMessage="true" sqref="C10" type="decimal">
      <formula1>0</formula1>
      <formula2>500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1133</v>
      </c>
      <c r="E1" s="3" t="s">
        <v>1134</v>
      </c>
    </row>
    <row r="2" customFormat="false" ht="15" hidden="false" customHeight="true" outlineLevel="0" collapsed="false">
      <c r="B2" s="25" t="s">
        <v>1135</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1136</v>
      </c>
    </row>
    <row r="5" customFormat="false" ht="15" hidden="false" customHeight="true" outlineLevel="0" collapsed="false">
      <c r="B5" s="15" t="s">
        <v>310</v>
      </c>
      <c r="C5" s="16"/>
      <c r="D5" s="16"/>
      <c r="E5" s="16"/>
      <c r="F5" s="16"/>
      <c r="G5" s="16"/>
    </row>
    <row r="6" customFormat="false" ht="27.75" hidden="false" customHeight="true" outlineLevel="0" collapsed="false">
      <c r="B6" s="57" t="s">
        <v>311</v>
      </c>
      <c r="C6" s="57"/>
      <c r="D6" s="57"/>
      <c r="E6" s="57"/>
    </row>
    <row r="7" customFormat="false" ht="15" hidden="false" customHeight="true" outlineLevel="0" collapsed="false">
      <c r="B7" s="9" t="s">
        <v>312</v>
      </c>
      <c r="C7" s="58"/>
      <c r="D7" s="31" t="s">
        <v>227</v>
      </c>
      <c r="E7" s="32" t="s">
        <v>313</v>
      </c>
      <c r="G7" s="56" t="s">
        <v>314</v>
      </c>
    </row>
    <row r="8" customFormat="false" ht="15" hidden="false" customHeight="true" outlineLevel="0" collapsed="false">
      <c r="B8" s="9" t="s">
        <v>315</v>
      </c>
      <c r="C8" s="59"/>
      <c r="D8" s="31" t="s">
        <v>238</v>
      </c>
      <c r="E8" s="32" t="s">
        <v>316</v>
      </c>
      <c r="G8" s="56" t="s">
        <v>314</v>
      </c>
    </row>
    <row r="9" customFormat="false" ht="15" hidden="false" customHeight="true" outlineLevel="0" collapsed="false">
      <c r="B9" s="9" t="s">
        <v>317</v>
      </c>
      <c r="C9" s="60"/>
      <c r="D9" s="31" t="s">
        <v>240</v>
      </c>
      <c r="E9" s="32" t="s">
        <v>318</v>
      </c>
      <c r="G9" s="56" t="s">
        <v>314</v>
      </c>
    </row>
    <row r="10" customFormat="false" ht="15" hidden="false" customHeight="true" outlineLevel="0" collapsed="false">
      <c r="B10" s="9" t="s">
        <v>319</v>
      </c>
      <c r="C10" s="58"/>
      <c r="D10" s="31" t="s">
        <v>227</v>
      </c>
      <c r="E10" s="32" t="s">
        <v>320</v>
      </c>
      <c r="G10" s="56" t="s">
        <v>314</v>
      </c>
    </row>
    <row r="11" customFormat="false" ht="15" hidden="false" customHeight="true" outlineLevel="0" collapsed="false">
      <c r="B11" s="9" t="s">
        <v>321</v>
      </c>
      <c r="C11" s="61"/>
      <c r="D11" s="31" t="s">
        <v>322</v>
      </c>
      <c r="E11" s="32" t="s">
        <v>323</v>
      </c>
      <c r="G11" s="56" t="s">
        <v>314</v>
      </c>
    </row>
    <row r="13" customFormat="false" ht="15" hidden="false" customHeight="true" outlineLevel="0" collapsed="false">
      <c r="B13" s="15" t="s">
        <v>324</v>
      </c>
      <c r="C13" s="28" t="s">
        <v>222</v>
      </c>
      <c r="D13" s="28" t="s">
        <v>223</v>
      </c>
      <c r="E13" s="28" t="s">
        <v>224</v>
      </c>
      <c r="F13" s="29" t="s">
        <v>225</v>
      </c>
      <c r="G13" s="16"/>
    </row>
    <row r="14" customFormat="false" ht="21.75" hidden="false" customHeight="true" outlineLevel="0" collapsed="false">
      <c r="B14" s="9" t="s">
        <v>414</v>
      </c>
      <c r="C14" s="30"/>
      <c r="D14" s="31" t="s">
        <v>227</v>
      </c>
      <c r="E14" s="32" t="s">
        <v>1137</v>
      </c>
      <c r="F14" s="33" t="n">
        <v>250000</v>
      </c>
      <c r="G14" s="34" t="str">
        <f aca="false">IF(ISBLANK(C14),IF(Fill_Example="Yes",F14,""),C14)</f>
        <v/>
      </c>
    </row>
    <row r="15" customFormat="false" ht="21.75" hidden="false" customHeight="true" outlineLevel="0" collapsed="false">
      <c r="B15" s="9" t="s">
        <v>315</v>
      </c>
      <c r="C15" s="38"/>
      <c r="D15" s="31" t="s">
        <v>238</v>
      </c>
      <c r="E15" s="32" t="str">
        <f aca="false">"Type 2 · your figure · Your own rate (your statement shows it; typing it is fine, no upload needed). "&amp;IF(ISNUMBER(Suggest_Mortgage_Rate),"Suggested: "&amp;TEXT(Suggest_Mortgage_Rate,"0.00%")&amp;" · "&amp;Suggest_Mortgage_Rate_Label&amp;". ","No suggestion. ")&amp;"Enter your own figure."&amp;" In the app it is pre-filled from Your finances / statement: rate. Allowed: 1% to 8% · steps of 0.05%"</f>
        <v>Type 2 · your figure · Your own rate (your statement shows it; typing it is fine, no upload needed). Suggested: 3.48% · Central Bank of Ireland: average rate on new mortgages, Jul 2026. Enter your own figure. In the app it is pre-filled from Your finances / statement: rate. Allowed: 1% to 8% · steps of 0.05%</v>
      </c>
      <c r="F15" s="40" t="n">
        <f aca="false">IF(ISNUMBER(Suggest_Mortgage_Rate),Suggest_Mortgage_Rate,"")</f>
        <v>0.0348</v>
      </c>
      <c r="G15" s="41" t="str">
        <f aca="false">IF(ISBLANK(C15),IF(Fill_Example="Yes",F15,""),C15)</f>
        <v/>
      </c>
    </row>
    <row r="16" customFormat="false" ht="21.75" hidden="false" customHeight="true" outlineLevel="0" collapsed="false">
      <c r="B16" s="9" t="s">
        <v>416</v>
      </c>
      <c r="C16" s="42"/>
      <c r="D16" s="31" t="s">
        <v>240</v>
      </c>
      <c r="E16" s="32" t="s">
        <v>328</v>
      </c>
      <c r="F16" s="43" t="n">
        <v>25</v>
      </c>
      <c r="G16" s="44" t="str">
        <f aca="false">IF(AND(ISNUMBER(C16),N(C16)&lt;5),"",IF(ISBLANK(C16),IF(Fill_Example="Yes",F16,""),C16))</f>
        <v/>
      </c>
    </row>
    <row r="17" customFormat="false" ht="21.75" hidden="false" customHeight="true" outlineLevel="0" collapsed="false">
      <c r="B17" s="9" t="s">
        <v>329</v>
      </c>
      <c r="C17" s="30"/>
      <c r="D17" s="31" t="s">
        <v>227</v>
      </c>
      <c r="E17" s="32" t="s">
        <v>1138</v>
      </c>
      <c r="F17" s="33" t="n">
        <v>0</v>
      </c>
      <c r="G17" s="34" t="n">
        <f aca="false">IF(ISBLANK(C17),F17,C17)</f>
        <v>0</v>
      </c>
    </row>
    <row r="19" customFormat="false" ht="15" hidden="false" customHeight="true" outlineLevel="0" collapsed="false">
      <c r="B19" s="15" t="s">
        <v>333</v>
      </c>
      <c r="C19" s="16"/>
      <c r="D19" s="16"/>
      <c r="E19" s="16"/>
      <c r="F19" s="16"/>
      <c r="G19" s="16"/>
    </row>
    <row r="20" customFormat="false" ht="15" hidden="false" customHeight="true" outlineLevel="0" collapsed="false">
      <c r="B20" s="9" t="s">
        <v>414</v>
      </c>
      <c r="C20" s="62" t="str">
        <f aca="false">IF(ISBLANK(Stmt_Balance),Mortgage_Balance,Stmt_Balance)</f>
        <v/>
      </c>
      <c r="D20" s="63" t="str">
        <f aca="false">IF(ISBLANK(Stmt_Balance),"Your figure","From your statement")</f>
        <v>Your figure</v>
      </c>
      <c r="E20" s="53" t="s">
        <v>420</v>
      </c>
    </row>
    <row r="21" customFormat="false" ht="15" hidden="false" customHeight="true" outlineLevel="0" collapsed="false">
      <c r="B21" s="9" t="s">
        <v>315</v>
      </c>
      <c r="C21" s="64" t="str">
        <f aca="false">IF(ISBLANK(Stmt_Rate),Interest_Rate,Stmt_Rate)</f>
        <v/>
      </c>
      <c r="D21" s="63" t="str">
        <f aca="false">IF(ISBLANK(Stmt_Rate),"Your figure","From your statement")</f>
        <v>Your figure</v>
      </c>
      <c r="E21" s="53" t="s">
        <v>335</v>
      </c>
    </row>
    <row r="22" customFormat="false" ht="15" hidden="false" customHeight="true" outlineLevel="0" collapsed="false">
      <c r="B22" s="9" t="s">
        <v>416</v>
      </c>
      <c r="C22" s="65" t="str">
        <f aca="false">IF(ISBLANK(Stmt_Term),Years_Left,Stmt_Term)</f>
        <v/>
      </c>
      <c r="D22" s="63" t="str">
        <f aca="false">IF(ISBLANK(Stmt_Term),"Your figure","From your statement")</f>
        <v>Your figure</v>
      </c>
      <c r="E22" s="53" t="s">
        <v>421</v>
      </c>
    </row>
    <row r="23" customFormat="false" ht="15" hidden="false" customHeight="true" outlineLevel="0" collapsed="false">
      <c r="B23" s="9" t="s">
        <v>337</v>
      </c>
      <c r="C23" s="62" t="n">
        <f aca="false">IF(ISBLANK(Stmt_Repayment),Actual_Repayment,Stmt_Repayment)</f>
        <v>0</v>
      </c>
      <c r="D23" s="63" t="str">
        <f aca="false">IF(ISBLANK(Stmt_Repayment),"Your figure","From your statement")</f>
        <v>Your figure</v>
      </c>
      <c r="E23" s="53" t="s">
        <v>338</v>
      </c>
    </row>
    <row r="24" customFormat="false" ht="21.75" hidden="false" customHeight="true" outlineLevel="0" collapsed="false">
      <c r="B24" s="9" t="s">
        <v>339</v>
      </c>
      <c r="C24" s="49" t="str">
        <f aca="true">IF(ISBLANK(Stmt_Statement_Date),"",IF(TODAY()-Stmt_Statement_Date&gt;Statement_Max_Age_Days,"Needs a look: statement is more than 12 months old","Up to date"))</f>
        <v/>
      </c>
      <c r="D24" s="31"/>
      <c r="E24" s="46" t="s">
        <v>340</v>
      </c>
    </row>
    <row r="26" customFormat="false" ht="15" hidden="false" customHeight="true" outlineLevel="0" collapsed="false">
      <c r="B26" s="15" t="s">
        <v>247</v>
      </c>
      <c r="C26" s="28" t="s">
        <v>248</v>
      </c>
      <c r="D26" s="28" t="s">
        <v>249</v>
      </c>
      <c r="E26" s="28" t="s">
        <v>250</v>
      </c>
      <c r="F26" s="16"/>
      <c r="G26" s="16"/>
    </row>
    <row r="27" customFormat="false" ht="17.25" hidden="false" customHeight="true" outlineLevel="0" collapsed="false">
      <c r="B27" s="25" t="s">
        <v>1139</v>
      </c>
      <c r="C27" s="45" t="str">
        <f aca="false">IF(Need_1&lt;&gt;"",Need_1,Used_Mortgage_Balance)</f>
        <v>Choose your mortgage balance to see this</v>
      </c>
      <c r="D27" s="31" t="s">
        <v>227</v>
      </c>
      <c r="E27" s="46" t="s">
        <v>1140</v>
      </c>
    </row>
    <row r="28" customFormat="false" ht="15" hidden="false" customHeight="true" outlineLevel="0" collapsed="false">
      <c r="B28" s="76" t="s">
        <v>768</v>
      </c>
      <c r="C28" s="77" t="str">
        <f aca="false">IF(Need_2&lt;&gt;"","",IF(Repayment&lt;=Used_Mortgage_Balance*Monthly_Rate,"Your repayment doesn't cover the interest: please check the figures.",""))</f>
        <v/>
      </c>
      <c r="D28" s="77"/>
      <c r="E28" s="77"/>
    </row>
    <row r="29" customFormat="false" ht="17.25" hidden="false" customHeight="true" outlineLevel="0" collapsed="false">
      <c r="B29" s="25" t="s">
        <v>1141</v>
      </c>
      <c r="C29" s="45" t="str">
        <f aca="false">IF(Need_2&lt;&gt;"",Need_2,IF(Warning&lt;&gt;"","—",MAX(0,-FV(Monthly_Rate,MP_Year_1*12,-Repayment,Used_Mortgage_Balance))))</f>
        <v>Choose your mortgage balance to see this</v>
      </c>
      <c r="D29" s="31" t="s">
        <v>227</v>
      </c>
      <c r="E29" s="46" t="s">
        <v>1142</v>
      </c>
    </row>
    <row r="30" customFormat="false" ht="17.25" hidden="false" customHeight="true" outlineLevel="0" collapsed="false">
      <c r="B30" s="25" t="s">
        <v>1143</v>
      </c>
      <c r="C30" s="45" t="str">
        <f aca="false">IF(Need_2&lt;&gt;"",Need_2,IF(Warning&lt;&gt;"","—",MAX(0,-FV(Monthly_Rate,MP_Year_2*12,-Repayment,Used_Mortgage_Balance))))</f>
        <v>Choose your mortgage balance to see this</v>
      </c>
      <c r="D30" s="31" t="s">
        <v>227</v>
      </c>
      <c r="E30" s="46" t="s">
        <v>1144</v>
      </c>
    </row>
    <row r="31" customFormat="false" ht="17.25" hidden="false" customHeight="true" outlineLevel="0" collapsed="false">
      <c r="B31" s="25" t="s">
        <v>1145</v>
      </c>
      <c r="C31" s="45" t="str">
        <f aca="false">IF(Need_2&lt;&gt;"",Need_2,IF(Warning&lt;&gt;"","—",MAX(0,-FV(Monthly_Rate,MP_Year_3*12,-Repayment,Used_Mortgage_Balance))))</f>
        <v>Choose your mortgage balance to see this</v>
      </c>
      <c r="D31" s="31" t="s">
        <v>227</v>
      </c>
      <c r="E31" s="46" t="s">
        <v>1146</v>
      </c>
    </row>
    <row r="32" customFormat="false" ht="15" hidden="false" customHeight="true" outlineLevel="0" collapsed="false">
      <c r="B32" s="9" t="s">
        <v>348</v>
      </c>
      <c r="C32" s="68" t="str">
        <f aca="false">IF(Need_3&lt;&gt;"",Need_3,Used_Interest_Rate/12)</f>
        <v>Choose your mortgage rate to see this</v>
      </c>
      <c r="D32" s="31"/>
      <c r="E32" s="46" t="s">
        <v>349</v>
      </c>
    </row>
    <row r="33" customFormat="false" ht="15" hidden="false" customHeight="true" outlineLevel="0" collapsed="false">
      <c r="B33" s="9" t="s">
        <v>1147</v>
      </c>
      <c r="C33" s="47" t="str">
        <f aca="false">IF(Need_2&lt;&gt;"",Need_2,IF(Used_Actual_Repayment&gt;0,Used_Actual_Repayment,PMT(Monthly_Rate,Used_Years_Left*12,-Used_Mortgage_Balance)))</f>
        <v>Choose your mortgage balance to see this</v>
      </c>
      <c r="D33" s="31" t="s">
        <v>227</v>
      </c>
      <c r="E33" s="46" t="s">
        <v>431</v>
      </c>
    </row>
    <row r="35" customFormat="false" ht="15" hidden="false" customHeight="true" outlineLevel="0" collapsed="false">
      <c r="B35" s="15" t="s">
        <v>280</v>
      </c>
      <c r="C35" s="16"/>
      <c r="D35" s="16"/>
      <c r="E35" s="16"/>
      <c r="F35" s="16"/>
      <c r="G35" s="16"/>
    </row>
    <row r="36" customFormat="false" ht="13.5" hidden="false" customHeight="true" outlineLevel="0" collapsed="false">
      <c r="B36" s="50" t="s">
        <v>1148</v>
      </c>
      <c r="C36" s="50"/>
      <c r="D36" s="50"/>
      <c r="E36" s="50"/>
    </row>
    <row r="37" customFormat="false" ht="13.5" hidden="false" customHeight="true" outlineLevel="0" collapsed="false">
      <c r="B37" s="51" t="s">
        <v>283</v>
      </c>
      <c r="C37" s="51"/>
      <c r="D37" s="51"/>
      <c r="E37" s="51"/>
    </row>
    <row r="38" customFormat="false" ht="13.5" hidden="false" customHeight="true" outlineLevel="0" collapsed="false">
      <c r="B38" s="50" t="s">
        <v>1149</v>
      </c>
      <c r="C38" s="50"/>
      <c r="D38" s="50"/>
      <c r="E38" s="50"/>
    </row>
    <row r="40" customFormat="false" ht="15" hidden="false" customHeight="true" outlineLevel="0" collapsed="false">
      <c r="B40" s="15" t="s">
        <v>288</v>
      </c>
      <c r="C40" s="16"/>
      <c r="D40" s="16"/>
      <c r="E40" s="16"/>
      <c r="F40" s="16"/>
      <c r="G40" s="16"/>
    </row>
    <row r="41" customFormat="false" ht="15" hidden="false" customHeight="true" outlineLevel="0" collapsed="false">
      <c r="B41" s="9" t="s">
        <v>289</v>
      </c>
      <c r="C41" s="52" t="str">
        <f aca="false">"No goal"</f>
        <v>No goal</v>
      </c>
      <c r="E41" s="53" t="s">
        <v>475</v>
      </c>
    </row>
    <row r="43" customFormat="false" ht="15" hidden="false" customHeight="true" outlineLevel="0" collapsed="false">
      <c r="B43" s="15" t="s">
        <v>297</v>
      </c>
      <c r="C43" s="16"/>
      <c r="D43" s="16"/>
      <c r="E43" s="16"/>
      <c r="F43" s="16"/>
      <c r="G43" s="16"/>
    </row>
    <row r="44" customFormat="false" ht="15" hidden="false" customHeight="true" outlineLevel="0" collapsed="false">
      <c r="B44" s="56" t="s">
        <v>1150</v>
      </c>
      <c r="C44" s="56" t="str">
        <f aca="false">IF(NOT(ISNUMBER(Used_Mortgage_Balance)),IF(Used_Mortgage_Balance="",IF(Mortgage_Balance="","Choose your mortgage balance to see this",""),Used_Mortgage_Balance),IF(NOT(ISNUMBER(Used_Interest_Rate)),IF(Used_Interest_Rate="",IF(Interest_Rate="","Choose your mortgage rate to see this",""),Used_Interest_Rate),""))</f>
        <v>Choose your mortgage balance to see this</v>
      </c>
    </row>
    <row r="45" customFormat="false" ht="15" hidden="false" customHeight="true" outlineLevel="0" collapsed="false">
      <c r="B45" s="56" t="s">
        <v>451</v>
      </c>
      <c r="C45" s="56" t="str">
        <f aca="false">IF(NOT(ISNUMBER(Used_Mortgage_Balance)),IF(Used_Mortgage_Balance="",IF(Mortgage_Balance="","Choose your mortgage balance to see this",""),Used_Mortgage_Balance),IF(NOT(ISNUMBER(Used_Years_Left)),IF(Used_Years_Left="",IF(Years_Left="","Choose your years left to see this",""),Used_Years_Left),IF(NOT(ISNUMBER(Used_Interest_Rate)),IF(Used_Interest_Rate="",IF(Interest_Rate="","Choose your mortgage rate to see this",""),Used_Interest_Rate),"")))</f>
        <v>Choose your mortgage balance to see this</v>
      </c>
    </row>
    <row r="46" customFormat="false" ht="15" hidden="false" customHeight="true" outlineLevel="0" collapsed="false">
      <c r="B46" s="56" t="s">
        <v>369</v>
      </c>
      <c r="C46" s="56" t="str">
        <f aca="false">IF(NOT(ISNUMBER(Used_Interest_Rate)),IF(Used_Interest_Rate="",IF(Interest_Rate="","Choose your mortgage rate to see this",""),Used_Interest_Rate),"")</f>
        <v>Choose your mortgage rate to see this</v>
      </c>
    </row>
  </sheetData>
  <mergeCells count="5">
    <mergeCell ref="B6:E6"/>
    <mergeCell ref="C28:E28"/>
    <mergeCell ref="B36:E36"/>
    <mergeCell ref="B37:E37"/>
    <mergeCell ref="B38:E38"/>
  </mergeCells>
  <dataValidations count="9">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5%." errorStyle="stop" errorTitle="Outside the allowed range" operator="between" prompt="Unit: %. Allowed: 0% to 15%." promptTitle="Interest rate" showDropDown="false" showErrorMessage="true" showInputMessage="true" sqref="C8" type="decimal">
      <formula1>0</formula1>
      <formula2>0.15</formula2>
    </dataValidation>
    <dataValidation allowBlank="true" error="Please enter 0 to 40." errorStyle="stop" errorTitle="Outside the allowed range" operator="between" prompt="Unit: years. Allowed: 0 to 40." promptTitle="Term remaining" showDropDown="false" showErrorMessage="true" showInputMessage="true" sqref="C9" type="whole">
      <formula1>0</formula1>
      <formula2>40</formula2>
    </dataValidation>
    <dataValidation allowBlank="true" error="Please enter €0 to €100,000." errorStyle="stop" errorTitle="Outside the allowed range" operator="between" prompt="Unit: €. Allowed: €0 to €100,000." promptTitle="Monthly repayment" showDropDown="false" showErrorMessage="true" showInputMessage="true" sqref="C10" type="decimal">
      <formula1>0</formula1>
      <formula2>100000</formula2>
    </dataValidation>
    <dataValidation allowBlank="true" error="Please enter a date (dd/mm/yyyy)." errorStyle="stop" errorTitle="Outside the allowed range" operator="greaterThan" prompt="Unit: date. Allowed: a date (dd/mm/yyyy)." promptTitle="Statement date" showDropDown="false" showErrorMessage="true" showInputMessage="true" sqref="C11" type="date">
      <formula1>36526</formula1>
      <formula2>0</formula2>
    </dataValidation>
    <dataValidation allowBlank="true" error="Please enter 1% to 8% · steps of 0.05%." errorStyle="stop" errorTitle="Outside the allowed range" operator="between" prompt="Your own mortgage rate: your statement shows it. Typing it is fine; no upload needed. A suggested rate and its source are shown beside this cell (Partner rates, Assumptions sheet). Allowed: 1% to 8% · steps of 0.05%" promptTitle="Interest rate" showDropDown="false" showErrorMessage="true" showInputMessage="true" sqref="C15" type="decimal">
      <formula1>0.01</formula1>
      <formula2>0.08</formula2>
    </dataValidation>
    <dataValidation allowBlank="true" error="Please enter 5 to 35 · steps of 1." errorStyle="stop" errorTitle="Outside the allowed range" operator="between" prompt="Your own figure. In the app it is pre-filled from Years left (25 if not given).  Allowed: 5 to 35 · steps of 1." promptTitle="Years left" showDropDown="false" showErrorMessage="true" showInputMessage="true" sqref="C16" type="whole">
      <formula1>5</formula1>
      <formula2>35</formula2>
    </dataValidation>
    <dataValidation allowBlank="true" error="Please enter €20,000 to €10,000,000 · steps of €5,000." errorStyle="stop" errorTitle="Outside the allowed range" operator="between" prompt="Your own figure. In the app it is pre-filled from Your finances / statement: balance.  Allowed: €20,000 to €10,000,000 · steps of €5,000." promptTitle="Mortgage balance" showDropDown="false" showErrorMessage="true" showInputMessage="true" sqref="C14" type="decimal">
      <formula1>20000</formula1>
      <formula2>10000000</formula2>
    </dataValidation>
    <dataValidation allowBlank="true" error="Please enter €0 to €100,000 · steps of €1." errorStyle="stop" errorTitle="Outside the allowed range" operator="between" prompt="Your own figure. In the app it is pre-filled from Your finances / statement: stated repayment.  Allowed: €0 to €100,000 · steps of €1." promptTitle="Your actual monthly repayment (o" showDropDown="false" showErrorMessage="true" showInputMessage="true" sqref="C17" type="decimal">
      <formula1>0</formula1>
      <formula2>100000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1151</v>
      </c>
      <c r="E1" s="3" t="s">
        <v>1152</v>
      </c>
    </row>
    <row r="2" customFormat="false" ht="15" hidden="false" customHeight="true" outlineLevel="0" collapsed="false">
      <c r="B2" s="25" t="s">
        <v>1153</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1154</v>
      </c>
    </row>
    <row r="5" customFormat="false" ht="15" hidden="false" customHeight="true" outlineLevel="0" collapsed="false">
      <c r="B5" s="15" t="s">
        <v>310</v>
      </c>
      <c r="C5" s="16"/>
      <c r="D5" s="16"/>
      <c r="E5" s="16"/>
      <c r="F5" s="16"/>
      <c r="G5" s="16"/>
    </row>
    <row r="6" customFormat="false" ht="27.75" hidden="false" customHeight="true" outlineLevel="0" collapsed="false">
      <c r="B6" s="57" t="s">
        <v>1155</v>
      </c>
      <c r="C6" s="57"/>
      <c r="D6" s="57"/>
      <c r="E6" s="57"/>
    </row>
    <row r="7" customFormat="false" ht="15" hidden="false" customHeight="true" outlineLevel="0" collapsed="false">
      <c r="B7" s="9" t="s">
        <v>312</v>
      </c>
      <c r="C7" s="58"/>
      <c r="D7" s="31" t="s">
        <v>227</v>
      </c>
      <c r="E7" s="32" t="s">
        <v>313</v>
      </c>
      <c r="G7" s="56" t="s">
        <v>314</v>
      </c>
    </row>
    <row r="8" customFormat="false" ht="15" hidden="false" customHeight="true" outlineLevel="0" collapsed="false">
      <c r="B8" s="9" t="s">
        <v>1156</v>
      </c>
      <c r="C8" s="58"/>
      <c r="D8" s="31" t="s">
        <v>227</v>
      </c>
      <c r="E8" s="32" t="s">
        <v>634</v>
      </c>
      <c r="G8" s="56" t="s">
        <v>314</v>
      </c>
    </row>
    <row r="9" customFormat="false" ht="15" hidden="false" customHeight="true" outlineLevel="0" collapsed="false">
      <c r="B9" s="9" t="s">
        <v>710</v>
      </c>
      <c r="C9" s="58"/>
      <c r="D9" s="31" t="s">
        <v>227</v>
      </c>
      <c r="E9" s="32" t="s">
        <v>711</v>
      </c>
      <c r="G9" s="56" t="s">
        <v>314</v>
      </c>
    </row>
    <row r="10" customFormat="false" ht="15" hidden="false" customHeight="true" outlineLevel="0" collapsed="false">
      <c r="B10" s="9" t="s">
        <v>633</v>
      </c>
      <c r="C10" s="58"/>
      <c r="D10" s="31" t="s">
        <v>227</v>
      </c>
      <c r="E10" s="32" t="s">
        <v>634</v>
      </c>
      <c r="G10" s="56" t="s">
        <v>314</v>
      </c>
    </row>
    <row r="12" customFormat="false" ht="15" hidden="false" customHeight="true" outlineLevel="0" collapsed="false">
      <c r="B12" s="15" t="s">
        <v>324</v>
      </c>
      <c r="C12" s="28" t="s">
        <v>222</v>
      </c>
      <c r="D12" s="28" t="s">
        <v>223</v>
      </c>
      <c r="E12" s="28" t="s">
        <v>224</v>
      </c>
      <c r="F12" s="29" t="s">
        <v>225</v>
      </c>
      <c r="G12" s="16"/>
    </row>
    <row r="13" customFormat="false" ht="21.75" hidden="false" customHeight="true" outlineLevel="0" collapsed="false">
      <c r="B13" s="9" t="s">
        <v>1157</v>
      </c>
      <c r="C13" s="30"/>
      <c r="D13" s="31" t="s">
        <v>227</v>
      </c>
      <c r="E13" s="32" t="s">
        <v>1158</v>
      </c>
      <c r="F13" s="33" t="n">
        <v>15000</v>
      </c>
      <c r="G13" s="34" t="str">
        <f aca="false">IF(ISBLANK(C13),IF(Fill_Example="Yes",F13,""),C13)</f>
        <v/>
      </c>
    </row>
    <row r="14" customFormat="false" ht="21.75" hidden="false" customHeight="true" outlineLevel="0" collapsed="false">
      <c r="B14" s="9" t="s">
        <v>56</v>
      </c>
      <c r="C14" s="30"/>
      <c r="D14" s="31" t="s">
        <v>227</v>
      </c>
      <c r="E14" s="32" t="s">
        <v>1159</v>
      </c>
      <c r="F14" s="33" t="n">
        <v>10000</v>
      </c>
      <c r="G14" s="34" t="str">
        <f aca="false">IF(ISBLANK(C14),IF(Fill_Example="Yes",F14,""),C14)</f>
        <v/>
      </c>
    </row>
    <row r="15" customFormat="false" ht="21.75" hidden="false" customHeight="true" outlineLevel="0" collapsed="false">
      <c r="B15" s="9" t="s">
        <v>1160</v>
      </c>
      <c r="C15" s="30"/>
      <c r="D15" s="31" t="s">
        <v>227</v>
      </c>
      <c r="E15" s="32" t="s">
        <v>1161</v>
      </c>
      <c r="F15" s="33" t="n">
        <v>60000</v>
      </c>
      <c r="G15" s="34" t="str">
        <f aca="false">IF(ISBLANK(C15),IF(Pens_Value_Total&gt;0,Pens_Value_Total,IF(Fill_Example="Yes",F15,"")),C15)</f>
        <v/>
      </c>
    </row>
    <row r="16" customFormat="false" ht="21.75" hidden="false" customHeight="true" outlineLevel="0" collapsed="false">
      <c r="B16" s="9" t="s">
        <v>1162</v>
      </c>
      <c r="C16" s="30"/>
      <c r="D16" s="31" t="s">
        <v>227</v>
      </c>
      <c r="E16" s="32" t="s">
        <v>1163</v>
      </c>
      <c r="F16" s="33" t="n">
        <v>350000</v>
      </c>
      <c r="G16" s="34" t="str">
        <f aca="false">IF(ISBLANK(C16),IF(Fill_Example="Yes",F16,""),C16)</f>
        <v/>
      </c>
    </row>
    <row r="17" customFormat="false" ht="21.75" hidden="false" customHeight="true" outlineLevel="0" collapsed="false">
      <c r="B17" s="9" t="s">
        <v>529</v>
      </c>
      <c r="C17" s="30"/>
      <c r="D17" s="31" t="s">
        <v>227</v>
      </c>
      <c r="E17" s="32" t="s">
        <v>1164</v>
      </c>
      <c r="F17" s="33" t="n">
        <v>250000</v>
      </c>
      <c r="G17" s="34" t="str">
        <f aca="false">IF(ISBLANK(C17),IF(Fill_Example="Yes",F17,""),C17)</f>
        <v/>
      </c>
    </row>
    <row r="18" customFormat="false" ht="21.75" hidden="false" customHeight="true" outlineLevel="0" collapsed="false">
      <c r="B18" s="9" t="s">
        <v>1165</v>
      </c>
      <c r="C18" s="30"/>
      <c r="D18" s="31" t="s">
        <v>227</v>
      </c>
      <c r="E18" s="32" t="s">
        <v>1166</v>
      </c>
      <c r="F18" s="33" t="n">
        <v>8000</v>
      </c>
      <c r="G18" s="34" t="str">
        <f aca="false">IF(ISBLANK(C18),IF(Debts_Listed_Total&gt;0,Debts_Listed_Total,IF(Fill_Example="Yes",F18,"")),C18)</f>
        <v/>
      </c>
    </row>
    <row r="20" customFormat="false" ht="15" hidden="false" customHeight="true" outlineLevel="0" collapsed="false">
      <c r="B20" s="15" t="s">
        <v>333</v>
      </c>
      <c r="C20" s="16"/>
      <c r="D20" s="16"/>
      <c r="E20" s="16"/>
      <c r="F20" s="16"/>
      <c r="G20" s="16"/>
    </row>
    <row r="21" customFormat="false" ht="15" hidden="false" customHeight="true" outlineLevel="0" collapsed="false">
      <c r="B21" s="9" t="s">
        <v>529</v>
      </c>
      <c r="C21" s="62" t="str">
        <f aca="false">IF(ISBLANK(Stmt_Mortgage_Balance),Mortgage,Stmt_Mortgage_Balance)</f>
        <v/>
      </c>
      <c r="D21" s="63" t="str">
        <f aca="false">IF(ISBLANK(Stmt_Mortgage_Balance),"Your figure","From your statement")</f>
        <v>Your figure</v>
      </c>
      <c r="E21" s="53" t="s">
        <v>1167</v>
      </c>
    </row>
    <row r="22" customFormat="false" ht="15" hidden="false" customHeight="true" outlineLevel="0" collapsed="false">
      <c r="B22" s="9" t="s">
        <v>1162</v>
      </c>
      <c r="C22" s="62" t="str">
        <f aca="false">IF(ISBLANK(Stmt_Property_Value),Property,Stmt_Property_Value)</f>
        <v/>
      </c>
      <c r="D22" s="63" t="str">
        <f aca="false">IF(ISBLANK(Stmt_Property_Value),"Your figure","From your statement")</f>
        <v>Your figure</v>
      </c>
      <c r="E22" s="53" t="s">
        <v>1168</v>
      </c>
    </row>
    <row r="23" customFormat="false" ht="15" hidden="false" customHeight="true" outlineLevel="0" collapsed="false">
      <c r="B23" s="9" t="s">
        <v>1160</v>
      </c>
      <c r="C23" s="62" t="str">
        <f aca="false">IF(ISBLANK(Stmt_Pension_Value),Pensions,Stmt_Pension_Value)</f>
        <v/>
      </c>
      <c r="D23" s="63" t="str">
        <f aca="false">IF(ISBLANK(Stmt_Pension_Value),"Your figure","From your statement")</f>
        <v>Your figure</v>
      </c>
      <c r="E23" s="53" t="s">
        <v>1169</v>
      </c>
    </row>
    <row r="24" customFormat="false" ht="15" hidden="false" customHeight="true" outlineLevel="0" collapsed="false">
      <c r="B24" s="9" t="s">
        <v>56</v>
      </c>
      <c r="C24" s="62" t="str">
        <f aca="false">IF(ISBLANK(Stmt_Investment_Value),Investments,Stmt_Investment_Value)</f>
        <v/>
      </c>
      <c r="D24" s="63" t="str">
        <f aca="false">IF(ISBLANK(Stmt_Investment_Value),"Your figure","From your statement")</f>
        <v>Your figure</v>
      </c>
      <c r="E24" s="53" t="s">
        <v>1170</v>
      </c>
    </row>
    <row r="26" customFormat="false" ht="15" hidden="false" customHeight="true" outlineLevel="0" collapsed="false">
      <c r="B26" s="15" t="s">
        <v>247</v>
      </c>
      <c r="C26" s="28" t="s">
        <v>248</v>
      </c>
      <c r="D26" s="28" t="s">
        <v>249</v>
      </c>
      <c r="E26" s="28" t="s">
        <v>250</v>
      </c>
      <c r="F26" s="16"/>
      <c r="G26" s="16"/>
    </row>
    <row r="27" customFormat="false" ht="17.25" hidden="false" customHeight="true" outlineLevel="0" collapsed="false">
      <c r="B27" s="25" t="s">
        <v>1171</v>
      </c>
      <c r="C27" s="45" t="str">
        <f aca="false">IF(Need_1&lt;&gt;"",Need_1,You_Own-You_Owe)</f>
        <v>Choose your savings to see this</v>
      </c>
      <c r="D27" s="31" t="s">
        <v>227</v>
      </c>
      <c r="E27" s="46" t="s">
        <v>1172</v>
      </c>
    </row>
    <row r="28" customFormat="false" ht="17.25" hidden="false" customHeight="true" outlineLevel="0" collapsed="false">
      <c r="B28" s="25" t="s">
        <v>1173</v>
      </c>
      <c r="C28" s="45" t="str">
        <f aca="false">IF(Need_2&lt;&gt;"",Need_2,Savings+Used_Investments+Used_Pensions+Used_Property)</f>
        <v>Choose your savings to see this</v>
      </c>
      <c r="D28" s="31" t="s">
        <v>227</v>
      </c>
      <c r="E28" s="46" t="s">
        <v>1174</v>
      </c>
    </row>
    <row r="29" customFormat="false" ht="17.25" hidden="false" customHeight="true" outlineLevel="0" collapsed="false">
      <c r="B29" s="25" t="s">
        <v>1175</v>
      </c>
      <c r="C29" s="45" t="str">
        <f aca="false">IF(Need_3&lt;&gt;"",Need_3,Used_Mortgage+Other_Loans)</f>
        <v>Choose your other loans to see this</v>
      </c>
      <c r="D29" s="31" t="s">
        <v>227</v>
      </c>
      <c r="E29" s="46" t="s">
        <v>1176</v>
      </c>
    </row>
    <row r="31" customFormat="false" ht="15" hidden="false" customHeight="true" outlineLevel="0" collapsed="false">
      <c r="B31" s="15" t="s">
        <v>280</v>
      </c>
      <c r="C31" s="16"/>
      <c r="D31" s="16"/>
      <c r="E31" s="16"/>
      <c r="F31" s="16"/>
      <c r="G31" s="16"/>
    </row>
    <row r="32" customFormat="false" ht="13.5" hidden="false" customHeight="true" outlineLevel="0" collapsed="false">
      <c r="B32" s="50" t="s">
        <v>1177</v>
      </c>
      <c r="C32" s="50"/>
      <c r="D32" s="50"/>
      <c r="E32" s="50"/>
    </row>
    <row r="33" customFormat="false" ht="13.5" hidden="false" customHeight="true" outlineLevel="0" collapsed="false">
      <c r="B33" s="51" t="s">
        <v>283</v>
      </c>
      <c r="C33" s="51"/>
      <c r="D33" s="51"/>
      <c r="E33" s="51"/>
    </row>
    <row r="34" customFormat="false" ht="13.5" hidden="false" customHeight="true" outlineLevel="0" collapsed="false">
      <c r="B34" s="50" t="s">
        <v>1178</v>
      </c>
      <c r="C34" s="50"/>
      <c r="D34" s="50"/>
      <c r="E34" s="50"/>
    </row>
    <row r="36" customFormat="false" ht="15" hidden="false" customHeight="true" outlineLevel="0" collapsed="false">
      <c r="B36" s="15" t="s">
        <v>288</v>
      </c>
      <c r="C36" s="16"/>
      <c r="D36" s="16"/>
      <c r="E36" s="16"/>
      <c r="F36" s="16"/>
      <c r="G36" s="16"/>
    </row>
    <row r="37" customFormat="false" ht="15" hidden="false" customHeight="true" outlineLevel="0" collapsed="false">
      <c r="B37" s="9" t="s">
        <v>289</v>
      </c>
      <c r="C37" s="52" t="str">
        <f aca="false">"No goal"</f>
        <v>No goal</v>
      </c>
      <c r="E37" s="53" t="s">
        <v>475</v>
      </c>
    </row>
    <row r="39" customFormat="false" ht="15" hidden="false" customHeight="true" outlineLevel="0" collapsed="false">
      <c r="B39" s="15" t="s">
        <v>297</v>
      </c>
      <c r="C39" s="16"/>
      <c r="D39" s="16"/>
      <c r="E39" s="16"/>
      <c r="F39" s="16"/>
      <c r="G39" s="16"/>
    </row>
    <row r="40" customFormat="false" ht="15" hidden="false" customHeight="true" outlineLevel="0" collapsed="false">
      <c r="B40" s="56" t="s">
        <v>1179</v>
      </c>
      <c r="C40" s="56" t="str">
        <f aca="false">IF(Savings="","Choose your savings to see this",IF(Other_Loans="","Choose your other loans to see this",IF(NOT(ISNUMBER(Used_Mortgage)),IF(Used_Mortgage="",IF(Mortgage="","Choose your mortgage to see this",""),Used_Mortgage),IF(NOT(ISNUMBER(Used_Property)),IF(Used_Property="",IF(Property="","Choose your property value to see this",""),Used_Property),IF(NOT(ISNUMBER(Used_Pensions)),IF(Used_Pensions="",IF(Pensions="","Choose your pensions to see this",""),Used_Pensions),IF(NOT(ISNUMBER(Used_Investments)),IF(Used_Investments="",IF(Investments="","Choose your investments to see this",""),Used_Investments),""))))))</f>
        <v>Choose your savings to see this</v>
      </c>
    </row>
    <row r="41" customFormat="false" ht="15" hidden="false" customHeight="true" outlineLevel="0" collapsed="false">
      <c r="B41" s="56" t="s">
        <v>1180</v>
      </c>
      <c r="C41" s="56" t="str">
        <f aca="false">IF(Savings="","Choose your savings to see this",IF(NOT(ISNUMBER(Used_Property)),IF(Used_Property="",IF(Property="","Choose your property value to see this",""),Used_Property),IF(NOT(ISNUMBER(Used_Pensions)),IF(Used_Pensions="",IF(Pensions="","Choose your pensions to see this",""),Used_Pensions),IF(NOT(ISNUMBER(Used_Investments)),IF(Used_Investments="",IF(Investments="","Choose your investments to see this",""),Used_Investments),""))))</f>
        <v>Choose your savings to see this</v>
      </c>
    </row>
    <row r="42" customFormat="false" ht="15" hidden="false" customHeight="true" outlineLevel="0" collapsed="false">
      <c r="B42" s="56" t="s">
        <v>1181</v>
      </c>
      <c r="C42" s="56" t="str">
        <f aca="false">IF(Other_Loans="","Choose your other loans to see this",IF(NOT(ISNUMBER(Used_Mortgage)),IF(Used_Mortgage="",IF(Mortgage="","Choose your mortgage to see this",""),Used_Mortgage),""))</f>
        <v>Choose your other loans to see this</v>
      </c>
    </row>
  </sheetData>
  <mergeCells count="4">
    <mergeCell ref="B6:E6"/>
    <mergeCell ref="B32:E32"/>
    <mergeCell ref="B33:E33"/>
    <mergeCell ref="B34:E34"/>
  </mergeCells>
  <dataValidations count="10">
    <dataValidation allowBlank="true" error="Please enter €0 to €10,000,000." errorStyle="stop" errorTitle="Outside the allowed range" operator="between" prompt="Unit: €. Allowed: €0 to €10,000,000." promptTitle="Outstanding balance" showDropDown="false" showErrorMessage="true" showInputMessage="true" sqref="C7" type="decimal">
      <formula1>0</formula1>
      <formula2>10000000</formula2>
    </dataValidation>
    <dataValidation allowBlank="true" error="Please enter €0 to €100,000,000." errorStyle="stop" errorTitle="Outside the allowed range" operator="between" prompt="Unit: €. Allowed: €0 to €100,000,000." promptTitle="Total value" showDropDown="false" showErrorMessage="true" showInputMessage="true" sqref="C10" type="decimal">
      <formula1>0</formula1>
      <formula2>100000000</formula2>
    </dataValidation>
    <dataValidation allowBlank="true" error="Please enter €0 to €50,000,000." errorStyle="stop" errorTitle="Outside the allowed range" operator="between" prompt="Unit: €. Allowed: €0 to €50,000,000." promptTitle="Fund value today" showDropDown="false" showErrorMessage="true" showInputMessage="true" sqref="C9" type="decimal">
      <formula1>0</formula1>
      <formula2>50000000</formula2>
    </dataValidation>
    <dataValidation allowBlank="true" error="Please enter €0 to €100,000,000." errorStyle="stop" errorTitle="Outside the allowed range" operator="between" prompt="Unit: €. Allowed: €0 to €100,000,000." promptTitle="Property value (valuation)" showDropDown="false" showErrorMessage="true" showInputMessage="true" sqref="C8" type="decimal">
      <formula1>0</formula1>
      <formula2>100000000</formula2>
    </dataValidation>
    <dataValidation allowBlank="true" error="Please enter €0 to €10,000,000 · steps of €500." errorStyle="stop" errorTitle="Outside the allowed range" operator="between" prompt="Your own figure. In the app it is pre-filled from Your finances: cash.  Allowed: €0 to €10,000,000 · steps of €500." promptTitle="Savings" showDropDown="false" showErrorMessage="true" showInputMessage="true" sqref="C13" type="decimal">
      <formula1>0</formula1>
      <formula2>10000000</formula2>
    </dataValidation>
    <dataValidation allowBlank="true" error="Please enter €0 to €20,000,000 · steps of €1,000." errorStyle="stop" errorTitle="Outside the allowed range" operator="between" prompt="Your own figure. In the app it is pre-filled from Your finances: investments.  Allowed: €0 to €20,000,000 · steps of €1,000." promptTitle="Investments" showDropDown="false" showErrorMessage="true" showInputMessage="true" sqref="C14" type="decimal">
      <formula1>0</formula1>
      <formula2>20000000</formula2>
    </dataValidation>
    <dataValidation allowBlank="true" error="Please enter €0 to €30,000,000 · steps of €1,000." errorStyle="stop" errorTitle="Outside the allowed range" operator="between" prompt="Your own figure. In the app it is pre-filled from Your finances: pension.  Allowed: €0 to €30,000,000 · steps of €1,000." promptTitle="Pensions" showDropDown="false" showErrorMessage="true" showInputMessage="true" sqref="C15" type="decimal">
      <formula1>0</formula1>
      <formula2>30000000</formula2>
    </dataValidation>
    <dataValidation allowBlank="true" error="Please enter €0 to €50,000,000 · steps of €5,000." errorStyle="stop" errorTitle="Outside the allowed range" operator="between" prompt="Your own figure. In the app it is pre-filled from Your finances: home + other property.  Allowed: €0 to €50,000,000 · steps of €5,000." promptTitle="Property value" showDropDown="false" showErrorMessage="true" showInputMessage="true" sqref="C16" type="decimal">
      <formula1>0</formula1>
      <formula2>50000000</formula2>
    </dataValidation>
    <dataValidation allowBlank="true" error="Please enter €0 to €30,000,000 · steps of €5,000." errorStyle="stop" errorTitle="Outside the allowed range" operator="between" prompt="Your own figure. In the app it is pre-filled from Your finances: mortgage balance.  Allowed: €0 to €30,000,000 · steps of €5,000." promptTitle="Mortgage" showDropDown="false" showErrorMessage="true" showInputMessage="true" sqref="C17" type="decimal">
      <formula1>0</formula1>
      <formula2>30000000</formula2>
    </dataValidation>
    <dataValidation allowBlank="true" error="Please enter €0 to €5,000,000 · steps of €500." errorStyle="stop" errorTitle="Outside the allowed range" operator="between" prompt="Your own figure. In the app it is pre-filled from Your finances: debts.  Allowed: €0 to €5,000,000 · steps of €500." promptTitle="Other loans" showDropDown="false" showErrorMessage="true" showInputMessage="true" sqref="C18" type="decimal">
      <formula1>0</formula1>
      <formula2>5000000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1182</v>
      </c>
      <c r="E1" s="3" t="s">
        <v>1183</v>
      </c>
    </row>
    <row r="2" customFormat="false" ht="15" hidden="false" customHeight="true" outlineLevel="0" collapsed="false">
      <c r="B2" s="25" t="s">
        <v>1184</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1185</v>
      </c>
    </row>
    <row r="5" customFormat="false" ht="15" hidden="false" customHeight="true" outlineLevel="0" collapsed="false">
      <c r="B5" s="15" t="s">
        <v>221</v>
      </c>
      <c r="C5" s="28" t="s">
        <v>222</v>
      </c>
      <c r="D5" s="28" t="s">
        <v>223</v>
      </c>
      <c r="E5" s="28" t="s">
        <v>224</v>
      </c>
      <c r="F5" s="29" t="s">
        <v>225</v>
      </c>
      <c r="G5" s="16"/>
    </row>
    <row r="6" customFormat="false" ht="15" hidden="false" customHeight="true" outlineLevel="0" collapsed="false">
      <c r="B6" s="9" t="s">
        <v>1186</v>
      </c>
      <c r="C6" s="30"/>
      <c r="D6" s="31" t="s">
        <v>227</v>
      </c>
      <c r="E6" s="32" t="str">
        <f aca="false">"Type 3 · optional · Optional: leave blank for none. Allowed: €500 to "&amp;TEXT(Max_Money_Input,"€#,##0")&amp;" · steps of €50"</f>
        <v>Type 3 · optional · Optional: leave blank for none. Allowed: €500 to €200,000 · steps of €50</v>
      </c>
      <c r="F6" s="33" t="n">
        <v>3500</v>
      </c>
      <c r="G6" s="34" t="str">
        <f aca="false">IF(ISBLANK(C6),IF(Fill_Example="Yes",F6,""),C6)</f>
        <v/>
      </c>
    </row>
    <row r="7" customFormat="false" ht="21.75" hidden="false" customHeight="true" outlineLevel="0" collapsed="false">
      <c r="B7" s="9" t="s">
        <v>1187</v>
      </c>
      <c r="C7" s="30"/>
      <c r="D7" s="31" t="s">
        <v>227</v>
      </c>
      <c r="E7" s="32" t="s">
        <v>1188</v>
      </c>
      <c r="F7" s="33" t="n">
        <v>2000</v>
      </c>
      <c r="G7" s="34" t="str">
        <f aca="false">IF(ISBLANK(C7),IF(Fill_Example="Yes",F7,""),C7)</f>
        <v/>
      </c>
    </row>
    <row r="8" customFormat="false" ht="15" hidden="false" customHeight="true" outlineLevel="0" collapsed="false">
      <c r="B8" s="9" t="s">
        <v>1189</v>
      </c>
      <c r="C8" s="30"/>
      <c r="D8" s="31" t="s">
        <v>227</v>
      </c>
      <c r="E8" s="32" t="s">
        <v>1190</v>
      </c>
      <c r="F8" s="33" t="n">
        <v>800</v>
      </c>
      <c r="G8" s="34" t="str">
        <f aca="false">IF(ISBLANK(C8),IF(Fill_Example="Yes",F8,""),C8)</f>
        <v/>
      </c>
    </row>
    <row r="9" customFormat="false" ht="21.75" hidden="false" customHeight="true" outlineLevel="0" collapsed="false">
      <c r="B9" s="9" t="s">
        <v>1191</v>
      </c>
      <c r="C9" s="30"/>
      <c r="D9" s="31" t="s">
        <v>227</v>
      </c>
      <c r="E9" s="32" t="s">
        <v>1192</v>
      </c>
      <c r="F9" s="33" t="n">
        <v>200</v>
      </c>
      <c r="G9" s="34" t="str">
        <f aca="false">IF(ISBLANK(C9),IF(Debts_Pay_Total&gt;0,Debts_Pay_Total,IF(Fill_Example="Yes",F9,"")),C9)</f>
        <v/>
      </c>
    </row>
    <row r="11" customFormat="false" ht="15" hidden="false" customHeight="true" outlineLevel="0" collapsed="false">
      <c r="B11" s="15" t="s">
        <v>333</v>
      </c>
      <c r="C11" s="16"/>
      <c r="D11" s="16"/>
      <c r="E11" s="16"/>
      <c r="F11" s="16"/>
      <c r="G11" s="16"/>
    </row>
    <row r="12" customFormat="false" ht="15" hidden="false" customHeight="true" outlineLevel="0" collapsed="false">
      <c r="B12" s="9" t="s">
        <v>1193</v>
      </c>
      <c r="C12" s="62" t="str">
        <f aca="false">IF(Take_Home="",TE_Take_Home_Month,Take_Home)</f>
        <v>Choose your tax status to see this</v>
      </c>
      <c r="D12" s="63" t="str">
        <f aca="false">IF(Take_Home="","From the Tax engine","Your figure")</f>
        <v>From the Tax engine</v>
      </c>
      <c r="E12" s="53" t="s">
        <v>1194</v>
      </c>
    </row>
    <row r="14" customFormat="false" ht="15" hidden="false" customHeight="true" outlineLevel="0" collapsed="false">
      <c r="B14" s="15" t="s">
        <v>247</v>
      </c>
      <c r="C14" s="28" t="s">
        <v>248</v>
      </c>
      <c r="D14" s="28" t="s">
        <v>249</v>
      </c>
      <c r="E14" s="28" t="s">
        <v>250</v>
      </c>
      <c r="F14" s="16"/>
      <c r="G14" s="16"/>
    </row>
    <row r="15" customFormat="false" ht="17.25" hidden="false" customHeight="true" outlineLevel="0" collapsed="false">
      <c r="B15" s="25" t="s">
        <v>1195</v>
      </c>
      <c r="C15" s="45" t="str">
        <f aca="false">IF(Need_1&lt;&gt;"",Need_1,Used_Take_Home-Essentials-Lifestyle-Debt_Repayments)</f>
        <v>Choose your essentials to see this</v>
      </c>
      <c r="D15" s="67" t="str">
        <f aca="false">IF(Need_1&lt;&gt;"",Need_1,IF(Surplus&gt;0,"About "&amp;ROUND(Surplus/Used_Take_Home*100,0)&amp;"% of take-home is free for goals",IF(Surplus=0,"Nothing left over this month","Spending is above income")))</f>
        <v>Choose your essentials to see this</v>
      </c>
      <c r="E15" s="46" t="s">
        <v>1196</v>
      </c>
    </row>
    <row r="16" customFormat="false" ht="17.25" hidden="false" customHeight="true" outlineLevel="0" collapsed="false">
      <c r="B16" s="25" t="s">
        <v>1197</v>
      </c>
      <c r="C16" s="45" t="str">
        <f aca="false">IF(Need_2&lt;&gt;"",Need_2,Essentials+Lifestyle+Debt_Repayments)</f>
        <v>Choose your essentials to see this</v>
      </c>
      <c r="D16" s="31" t="s">
        <v>227</v>
      </c>
      <c r="E16" s="46" t="s">
        <v>1198</v>
      </c>
    </row>
    <row r="18" customFormat="false" ht="15" hidden="false" customHeight="true" outlineLevel="0" collapsed="false">
      <c r="B18" s="15" t="s">
        <v>280</v>
      </c>
      <c r="C18" s="16"/>
      <c r="D18" s="16"/>
      <c r="E18" s="16"/>
      <c r="F18" s="16"/>
      <c r="G18" s="16"/>
    </row>
    <row r="19" customFormat="false" ht="13.5" hidden="false" customHeight="true" outlineLevel="0" collapsed="false">
      <c r="B19" s="50" t="s">
        <v>1199</v>
      </c>
      <c r="C19" s="50"/>
      <c r="D19" s="50"/>
      <c r="E19" s="50"/>
    </row>
    <row r="20" customFormat="false" ht="13.5" hidden="false" customHeight="true" outlineLevel="0" collapsed="false">
      <c r="B20" s="51" t="s">
        <v>283</v>
      </c>
      <c r="C20" s="51"/>
      <c r="D20" s="51"/>
      <c r="E20" s="51"/>
    </row>
    <row r="21" customFormat="false" ht="13.5" hidden="false" customHeight="true" outlineLevel="0" collapsed="false">
      <c r="B21" s="50" t="s">
        <v>1200</v>
      </c>
      <c r="C21" s="50"/>
      <c r="D21" s="50"/>
      <c r="E21" s="50"/>
    </row>
    <row r="23" customFormat="false" ht="15" hidden="false" customHeight="true" outlineLevel="0" collapsed="false">
      <c r="B23" s="15" t="s">
        <v>288</v>
      </c>
      <c r="C23" s="16"/>
      <c r="D23" s="16"/>
      <c r="E23" s="16"/>
      <c r="F23" s="16"/>
      <c r="G23" s="16"/>
    </row>
    <row r="24" customFormat="false" ht="15" hidden="false" customHeight="true" outlineLevel="0" collapsed="false">
      <c r="B24" s="9" t="s">
        <v>289</v>
      </c>
      <c r="C24" s="52" t="str">
        <f aca="false">IF(Need_1&lt;&gt;"",Need_1,IF(Surplus&gt;0,"Save my surplus (plan kind pot)","No goal"))</f>
        <v>Choose your essentials to see this</v>
      </c>
      <c r="E24" s="53" t="s">
        <v>1201</v>
      </c>
    </row>
    <row r="25" customFormat="false" ht="15" hidden="false" customHeight="true" outlineLevel="0" collapsed="false">
      <c r="B25" s="9" t="s">
        <v>1202</v>
      </c>
      <c r="C25" s="54" t="str">
        <f aca="false">IF(Need_1&lt;&gt;"",Need_1,IF(Surplus&gt;0,ROUND(Surplus*12,0),"—"))</f>
        <v>Choose your essentials to see this</v>
      </c>
      <c r="E25" s="53" t="s">
        <v>1203</v>
      </c>
    </row>
    <row r="26" customFormat="false" ht="15" hidden="false" customHeight="true" outlineLevel="0" collapsed="false">
      <c r="B26" s="9" t="s">
        <v>295</v>
      </c>
      <c r="C26" s="55" t="str">
        <f aca="false">IF(Need_1&lt;&gt;"",Need_1,IF(Surplus&gt;0,1,"—"))</f>
        <v>Choose your essentials to see this</v>
      </c>
      <c r="E26" s="53" t="s">
        <v>1204</v>
      </c>
    </row>
    <row r="28" customFormat="false" ht="15" hidden="false" customHeight="true" outlineLevel="0" collapsed="false">
      <c r="B28" s="15" t="s">
        <v>297</v>
      </c>
      <c r="C28" s="16"/>
      <c r="D28" s="16"/>
      <c r="E28" s="16"/>
      <c r="F28" s="16"/>
      <c r="G28" s="16"/>
    </row>
    <row r="29" customFormat="false" ht="15" hidden="false" customHeight="true" outlineLevel="0" collapsed="false">
      <c r="B29" s="56" t="s">
        <v>1205</v>
      </c>
      <c r="C29" s="56" t="str">
        <f aca="false">IF(Essentials="","Choose your essentials to see this",IF(Lifestyle="","Choose your lifestyle spending to see this",IF(Debt_Repayments="","Choose your debt repayments to see this",IF(NOT(ISNUMBER(Used_Take_Home)),IF(Used_Take_Home="","Choose your take-home pay per month to see this",Used_Take_Home),""))))</f>
        <v>Choose your essentials to see this</v>
      </c>
    </row>
    <row r="30" customFormat="false" ht="15" hidden="false" customHeight="true" outlineLevel="0" collapsed="false">
      <c r="B30" s="56" t="s">
        <v>1206</v>
      </c>
      <c r="C30" s="56" t="str">
        <f aca="false">IF(Essentials="","Choose your essentials to see this",IF(Lifestyle="","Choose your lifestyle spending to see this",IF(Debt_Repayments="","Choose your debt repayments to see this","")))</f>
        <v>Choose your essentials to see this</v>
      </c>
    </row>
  </sheetData>
  <mergeCells count="3">
    <mergeCell ref="B19:E19"/>
    <mergeCell ref="B20:E20"/>
    <mergeCell ref="B21:E21"/>
  </mergeCells>
  <dataValidations count="4">
    <dataValidation allowBlank="true" error="Please enter €500 to €200,000 · steps of €50." errorStyle="stop" errorTitle="Outside the allowed range" operator="between" prompt="Optional: leave blank for none.  Allowed: €500 to €200,000 · steps of €50." promptTitle="Take-home pay per month (leave b" showDropDown="false" showErrorMessage="true" showInputMessage="true" sqref="C6" type="decimal">
      <formula1>500</formula1>
      <formula2>Max_Money_Input</formula2>
    </dataValidation>
    <dataValidation allowBlank="true" error="Please enter €0 to €150,000 · steps of €50." errorStyle="stop" errorTitle="Outside the allowed range" operator="between" prompt="Your own figure. In the app it is pre-filled from Your finances: costs + one-offs ÷ 12 + mortgage.  Allowed: €0 to €150,000 · steps of €50." promptTitle="Essentials (rent/mortgage, bills" showDropDown="false" showErrorMessage="true" showInputMessage="true" sqref="C7" type="decimal">
      <formula1>0</formula1>
      <formula2>150000</formula2>
    </dataValidation>
    <dataValidation allowBlank="true" error="Please enter €0 to €100,000 · steps of €50." errorStyle="stop" errorTitle="Outside the allowed range" operator="between" prompt="Your own figure.  Allowed: €0 to €100,000 · steps of €50." promptTitle="Lifestyle spending" showDropDown="false" showErrorMessage="true" showInputMessage="true" sqref="C8" type="decimal">
      <formula1>0</formula1>
      <formula2>100000</formula2>
    </dataValidation>
    <dataValidation allowBlank="true" error="Please enter €0 to €50,000 · steps of €25." errorStyle="stop" errorTitle="Outside the allowed range" operator="between" prompt="Your own figure. In the app it is pre-filled from Your finances: debt repayments.  Allowed: €0 to €50,000 · steps of €25." promptTitle="Debt repayments" showDropDown="false" showErrorMessage="true" showInputMessage="true" sqref="C9" type="decimal">
      <formula1>0</formula1>
      <formula2>50000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1207</v>
      </c>
      <c r="E1" s="3" t="s">
        <v>1208</v>
      </c>
    </row>
    <row r="2" customFormat="false" ht="15" hidden="false" customHeight="true" outlineLevel="0" collapsed="false">
      <c r="B2" s="25" t="s">
        <v>1209</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1210</v>
      </c>
    </row>
    <row r="5" customFormat="false" ht="15" hidden="false" customHeight="true" outlineLevel="0" collapsed="false">
      <c r="B5" s="15" t="s">
        <v>221</v>
      </c>
      <c r="C5" s="28" t="s">
        <v>222</v>
      </c>
      <c r="D5" s="28" t="s">
        <v>223</v>
      </c>
      <c r="E5" s="28" t="s">
        <v>224</v>
      </c>
      <c r="F5" s="29" t="s">
        <v>225</v>
      </c>
      <c r="G5" s="16"/>
    </row>
    <row r="6" customFormat="false" ht="15" hidden="false" customHeight="true" outlineLevel="0" collapsed="false">
      <c r="B6" s="9" t="s">
        <v>1186</v>
      </c>
      <c r="C6" s="30"/>
      <c r="D6" s="31" t="s">
        <v>227</v>
      </c>
      <c r="E6" s="32" t="str">
        <f aca="false">"Type 3 · optional · Optional: leave blank for none. Allowed: €500 to "&amp;TEXT(Max_Money_Input,"€#,##0")&amp;" · steps of €50"</f>
        <v>Type 3 · optional · Optional: leave blank for none. Allowed: €500 to €200,000 · steps of €50</v>
      </c>
      <c r="F6" s="33" t="n">
        <v>3500</v>
      </c>
      <c r="G6" s="34" t="str">
        <f aca="false">IF(ISBLANK(C6),IF(Fill_Example="Yes",F6,""),C6)</f>
        <v/>
      </c>
    </row>
    <row r="7" customFormat="false" ht="21.75" hidden="false" customHeight="true" outlineLevel="0" collapsed="false">
      <c r="B7" s="9" t="s">
        <v>1211</v>
      </c>
      <c r="C7" s="38"/>
      <c r="D7" s="31" t="s">
        <v>238</v>
      </c>
      <c r="E7" s="39" t="s">
        <v>1212</v>
      </c>
      <c r="F7" s="40" t="n">
        <f aca="false">Set_budget_1</f>
        <v>0.5</v>
      </c>
      <c r="G7" s="41" t="n">
        <f aca="false">IF(ISBLANK(C7),F7,C7)</f>
        <v>0.5</v>
      </c>
    </row>
    <row r="8" customFormat="false" ht="21.75" hidden="false" customHeight="true" outlineLevel="0" collapsed="false">
      <c r="B8" s="9" t="s">
        <v>1213</v>
      </c>
      <c r="C8" s="38"/>
      <c r="D8" s="31" t="s">
        <v>238</v>
      </c>
      <c r="E8" s="39" t="s">
        <v>1214</v>
      </c>
      <c r="F8" s="40" t="n">
        <f aca="false">Set_budget_2</f>
        <v>0.3</v>
      </c>
      <c r="G8" s="41" t="n">
        <f aca="false">IF(ISBLANK(C8),F8,C8)</f>
        <v>0.3</v>
      </c>
    </row>
    <row r="9" customFormat="false" ht="21.75" hidden="false" customHeight="true" outlineLevel="0" collapsed="false">
      <c r="B9" s="9" t="s">
        <v>1215</v>
      </c>
      <c r="C9" s="38"/>
      <c r="D9" s="31" t="s">
        <v>238</v>
      </c>
      <c r="E9" s="39" t="s">
        <v>1216</v>
      </c>
      <c r="F9" s="40" t="n">
        <f aca="false">Set_budget_3</f>
        <v>0.2</v>
      </c>
      <c r="G9" s="41" t="n">
        <f aca="false">IF(ISBLANK(C9),F9,C9)</f>
        <v>0.2</v>
      </c>
    </row>
    <row r="11" customFormat="false" ht="15" hidden="false" customHeight="true" outlineLevel="0" collapsed="false">
      <c r="B11" s="15" t="s">
        <v>333</v>
      </c>
      <c r="C11" s="16"/>
      <c r="D11" s="16"/>
      <c r="E11" s="16"/>
      <c r="F11" s="16"/>
      <c r="G11" s="16"/>
    </row>
    <row r="12" customFormat="false" ht="15" hidden="false" customHeight="true" outlineLevel="0" collapsed="false">
      <c r="B12" s="9" t="s">
        <v>1193</v>
      </c>
      <c r="C12" s="62" t="str">
        <f aca="false">IF(Take_Home="",TE_Take_Home_Month,Take_Home)</f>
        <v>Choose your tax status to see this</v>
      </c>
      <c r="D12" s="63" t="str">
        <f aca="false">IF(Take_Home="","From the Tax engine","Your figure")</f>
        <v>From the Tax engine</v>
      </c>
      <c r="E12" s="53" t="s">
        <v>1194</v>
      </c>
    </row>
    <row r="14" customFormat="false" ht="15" hidden="false" customHeight="true" outlineLevel="0" collapsed="false">
      <c r="B14" s="15" t="s">
        <v>247</v>
      </c>
      <c r="C14" s="28" t="s">
        <v>248</v>
      </c>
      <c r="D14" s="28" t="s">
        <v>249</v>
      </c>
      <c r="E14" s="28" t="s">
        <v>250</v>
      </c>
      <c r="F14" s="16"/>
      <c r="G14" s="16"/>
    </row>
    <row r="15" customFormat="false" ht="15" hidden="false" customHeight="true" outlineLevel="0" collapsed="false">
      <c r="B15" s="76" t="s">
        <v>768</v>
      </c>
      <c r="C15" s="77" t="str">
        <f aca="false">IF(Need_1&lt;&gt;"","",IF(ROUND(Budget_Needs+Budget_Wants+Budget_Save,6)&lt;&gt;1,"Your shares add up to "&amp;TEXT(Budget_Needs+Budget_Wants+Budget_Save,"0%")&amp;", not 100%.",""))</f>
        <v/>
      </c>
      <c r="D15" s="77"/>
      <c r="E15" s="77"/>
    </row>
    <row r="16" customFormat="false" ht="17.25" hidden="false" customHeight="true" outlineLevel="0" collapsed="false">
      <c r="B16" s="25" t="s">
        <v>1217</v>
      </c>
      <c r="C16" s="45" t="str">
        <f aca="false">IF(Need_2&lt;&gt;"",Need_2,Used_Take_Home*Budget_Save)</f>
        <v>Choose your tax status to see this</v>
      </c>
      <c r="D16" s="31" t="s">
        <v>227</v>
      </c>
      <c r="E16" s="46" t="s">
        <v>1218</v>
      </c>
    </row>
    <row r="17" customFormat="false" ht="17.25" hidden="false" customHeight="true" outlineLevel="0" collapsed="false">
      <c r="B17" s="25" t="s">
        <v>1219</v>
      </c>
      <c r="C17" s="45" t="str">
        <f aca="false">IF(Need_3&lt;&gt;"",Need_3,Used_Take_Home*Budget_Needs)</f>
        <v>Choose your tax status to see this</v>
      </c>
      <c r="D17" s="31" t="s">
        <v>227</v>
      </c>
      <c r="E17" s="46" t="s">
        <v>1220</v>
      </c>
    </row>
    <row r="18" customFormat="false" ht="17.25" hidden="false" customHeight="true" outlineLevel="0" collapsed="false">
      <c r="B18" s="25" t="s">
        <v>1221</v>
      </c>
      <c r="C18" s="45" t="str">
        <f aca="false">IF(Need_4&lt;&gt;"",Need_4,Used_Take_Home*Budget_Wants)</f>
        <v>Choose your tax status to see this</v>
      </c>
      <c r="D18" s="31" t="s">
        <v>227</v>
      </c>
      <c r="E18" s="46" t="s">
        <v>1222</v>
      </c>
    </row>
    <row r="20" customFormat="false" ht="15" hidden="false" customHeight="true" outlineLevel="0" collapsed="false">
      <c r="B20" s="15" t="s">
        <v>280</v>
      </c>
      <c r="C20" s="16"/>
      <c r="D20" s="16"/>
      <c r="E20" s="16"/>
      <c r="F20" s="16"/>
      <c r="G20" s="16"/>
    </row>
    <row r="21" customFormat="false" ht="13.5" hidden="false" customHeight="true" outlineLevel="0" collapsed="false">
      <c r="B21" s="50" t="s">
        <v>1223</v>
      </c>
      <c r="C21" s="50"/>
      <c r="D21" s="50"/>
      <c r="E21" s="50"/>
    </row>
    <row r="22" customFormat="false" ht="13.5" hidden="false" customHeight="true" outlineLevel="0" collapsed="false">
      <c r="B22" s="51" t="s">
        <v>283</v>
      </c>
      <c r="C22" s="51"/>
      <c r="D22" s="51"/>
      <c r="E22" s="51"/>
    </row>
    <row r="23" customFormat="false" ht="13.5" hidden="false" customHeight="true" outlineLevel="0" collapsed="false">
      <c r="B23" s="50" t="s">
        <v>1224</v>
      </c>
      <c r="C23" s="50"/>
      <c r="D23" s="50"/>
      <c r="E23" s="50"/>
    </row>
    <row r="25" customFormat="false" ht="15" hidden="false" customHeight="true" outlineLevel="0" collapsed="false">
      <c r="B25" s="15" t="s">
        <v>288</v>
      </c>
      <c r="C25" s="16"/>
      <c r="D25" s="16"/>
      <c r="E25" s="16"/>
      <c r="F25" s="16"/>
      <c r="G25" s="16"/>
    </row>
    <row r="26" customFormat="false" ht="15" hidden="false" customHeight="true" outlineLevel="0" collapsed="false">
      <c r="B26" s="9" t="s">
        <v>289</v>
      </c>
      <c r="C26" s="52" t="str">
        <f aca="false">"No goal"</f>
        <v>No goal</v>
      </c>
      <c r="E26" s="53" t="s">
        <v>475</v>
      </c>
    </row>
    <row r="28" customFormat="false" ht="15" hidden="false" customHeight="true" outlineLevel="0" collapsed="false">
      <c r="B28" s="15" t="s">
        <v>297</v>
      </c>
      <c r="C28" s="16"/>
      <c r="D28" s="16"/>
      <c r="E28" s="16"/>
      <c r="F28" s="16"/>
      <c r="G28" s="16"/>
    </row>
    <row r="29" customFormat="false" ht="15" hidden="false" customHeight="true" outlineLevel="0" collapsed="false">
      <c r="B29" s="56" t="s">
        <v>1225</v>
      </c>
      <c r="C29" s="56" t="str">
        <f aca="false">""</f>
        <v/>
      </c>
    </row>
    <row r="30" customFormat="false" ht="15" hidden="false" customHeight="true" outlineLevel="0" collapsed="false">
      <c r="B30" s="56" t="s">
        <v>1226</v>
      </c>
      <c r="C30" s="56" t="str">
        <f aca="false">IF(NOT(ISNUMBER(Used_Take_Home)),IF(Used_Take_Home="","Choose your take-home pay per month to see this",Used_Take_Home),"")</f>
        <v>Choose your tax status to see this</v>
      </c>
    </row>
    <row r="31" customFormat="false" ht="15" hidden="false" customHeight="true" outlineLevel="0" collapsed="false">
      <c r="B31" s="56" t="s">
        <v>1227</v>
      </c>
      <c r="C31" s="56" t="str">
        <f aca="false">IF(NOT(ISNUMBER(Used_Take_Home)),IF(Used_Take_Home="","Choose your take-home pay per month to see this",Used_Take_Home),"")</f>
        <v>Choose your tax status to see this</v>
      </c>
    </row>
    <row r="32" customFormat="false" ht="15" hidden="false" customHeight="true" outlineLevel="0" collapsed="false">
      <c r="B32" s="56" t="s">
        <v>1228</v>
      </c>
      <c r="C32" s="56" t="str">
        <f aca="false">IF(NOT(ISNUMBER(Used_Take_Home)),IF(Used_Take_Home="","Choose your take-home pay per month to see this",Used_Take_Home),"")</f>
        <v>Choose your tax status to see this</v>
      </c>
    </row>
  </sheetData>
  <mergeCells count="4">
    <mergeCell ref="C15:E15"/>
    <mergeCell ref="B21:E21"/>
    <mergeCell ref="B22:E22"/>
    <mergeCell ref="B23:E23"/>
  </mergeCells>
  <dataValidations count="4">
    <dataValidation allowBlank="true" error="Please enter €500 to €200,000 · steps of €50." errorStyle="stop" errorTitle="Outside the allowed range" operator="between" prompt="Optional: leave blank for none.  Allowed: €500 to €200,000 · steps of €50." promptTitle="Take-home pay per month (leave b" showDropDown="false" showErrorMessage="true" showInputMessage="true" sqref="C6" type="decimal">
      <formula1>500</formula1>
      <formula2>Max_Money_Input</formula2>
    </dataValidation>
    <dataValidation allowBlank="true" error="Please enter 0% to 100% · steps of 5%." errorStyle="stop" errorTitle="Outside the allowed range" operator="between" prompt="Generally the standard is 50% for needs (the 50/30/20 rule of thumb). Choose what you want to use.  Allowed: 0% to 100% · steps of 5%." promptTitle="Share for needs" showDropDown="false" showErrorMessage="true" showInputMessage="true" sqref="C7" type="decimal">
      <formula1>0</formula1>
      <formula2>1</formula2>
    </dataValidation>
    <dataValidation allowBlank="true" error="Please enter 0% to 100% · steps of 5%." errorStyle="stop" errorTitle="Outside the allowed range" operator="between" prompt="Generally the standard is 30% for wants (the 50/30/20 rule of thumb). Choose what you want to use.  Allowed: 0% to 100% · steps of 5%." promptTitle="Share for wants" showDropDown="false" showErrorMessage="true" showInputMessage="true" sqref="C8" type="decimal">
      <formula1>0</formula1>
      <formula2>1</formula2>
    </dataValidation>
    <dataValidation allowBlank="true" error="Please enter 0% to 100% · steps of 5%." errorStyle="stop" errorTitle="Outside the allowed range" operator="between" prompt="Generally the standard is 20% for savings and debt (the 50/30/20 rule of thumb). Choose what you want to use.  Allowed: 0% to 100% · steps of 5%." promptTitle="Share for savings and debt" showDropDown="false" showErrorMessage="true" showInputMessage="true" sqref="C9"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1229</v>
      </c>
      <c r="E1" s="3" t="s">
        <v>1230</v>
      </c>
    </row>
    <row r="2" customFormat="false" ht="15" hidden="false" customHeight="true" outlineLevel="0" collapsed="false">
      <c r="B2" s="25" t="s">
        <v>1231</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1232</v>
      </c>
    </row>
    <row r="5" customFormat="false" ht="15" hidden="false" customHeight="true" outlineLevel="0" collapsed="false">
      <c r="B5" s="15" t="s">
        <v>221</v>
      </c>
      <c r="C5" s="28" t="s">
        <v>222</v>
      </c>
      <c r="D5" s="28" t="s">
        <v>223</v>
      </c>
      <c r="E5" s="28" t="s">
        <v>224</v>
      </c>
      <c r="F5" s="29" t="s">
        <v>225</v>
      </c>
      <c r="G5" s="16"/>
    </row>
    <row r="6" customFormat="false" ht="21.75" hidden="false" customHeight="true" outlineLevel="0" collapsed="false">
      <c r="B6" s="9" t="s">
        <v>1233</v>
      </c>
      <c r="C6" s="30"/>
      <c r="D6" s="31" t="s">
        <v>227</v>
      </c>
      <c r="E6" s="32" t="s">
        <v>1234</v>
      </c>
      <c r="F6" s="33" t="n">
        <v>5000</v>
      </c>
      <c r="G6" s="34" t="str">
        <f aca="false">IF(ISBLANK(C6),IF(Fill_Example="Yes",F6,""),C6)</f>
        <v/>
      </c>
    </row>
    <row r="7" customFormat="false" ht="33" hidden="false" customHeight="true" outlineLevel="0" collapsed="false">
      <c r="B7" s="9" t="s">
        <v>1235</v>
      </c>
      <c r="C7" s="38"/>
      <c r="D7" s="31" t="s">
        <v>238</v>
      </c>
      <c r="E7" s="39" t="str">
        <f aca="false">"Type 2 · your figure · Your card's APR: your statement shows it. New credit cards can't charge more than "&amp;TEXT(Card_APR_Cap,"0%")&amp;" APR (Central Bank); some older cards are higher. "&amp;IF(ISNUMBER(Suggest_Card_APR),"Suggested: "&amp;TEXT(Suggest_Card_APR,"0.00%")&amp;" · "&amp;Suggest_Card_APR_Label&amp;". ","")&amp;"Enter your own figure."&amp;" Allowed: 0% to 35% · steps of 0.5%"</f>
        <v>Type 2 · your figure · Your card's APR: your statement shows it. New credit cards can't charge more than 23% APR (Central Bank); some older cards are higher. Enter your own figure. Allowed: 0% to 35% · steps of 0.5%</v>
      </c>
      <c r="F7" s="40" t="str">
        <f aca="false">IF(ISNUMBER(Suggest_Card_APR),Suggest_Card_APR,"")</f>
        <v/>
      </c>
      <c r="G7" s="41" t="str">
        <f aca="false">IF(ISBLANK(C7),IF(Fill_Example="Yes",F7,""),C7)</f>
        <v/>
      </c>
    </row>
    <row r="8" customFormat="false" ht="21.75" hidden="false" customHeight="true" outlineLevel="0" collapsed="false">
      <c r="B8" s="9" t="s">
        <v>1236</v>
      </c>
      <c r="C8" s="30"/>
      <c r="D8" s="31" t="s">
        <v>227</v>
      </c>
      <c r="E8" s="32" t="s">
        <v>1237</v>
      </c>
      <c r="F8" s="33" t="n">
        <v>250</v>
      </c>
      <c r="G8" s="34" t="str">
        <f aca="false">IF(ISBLANK(C8),IF(Fill_Example="Yes",F8,""),C8)</f>
        <v/>
      </c>
    </row>
    <row r="9" customFormat="false" ht="15" hidden="false" customHeight="true" outlineLevel="0" collapsed="false">
      <c r="B9" s="9" t="s">
        <v>1238</v>
      </c>
      <c r="C9" s="30"/>
      <c r="D9" s="31" t="s">
        <v>227</v>
      </c>
      <c r="E9" s="32" t="s">
        <v>1239</v>
      </c>
      <c r="F9" s="33" t="n">
        <v>0</v>
      </c>
      <c r="G9" s="34" t="n">
        <f aca="false">IF(ISBLANK(C9),F9,C9)</f>
        <v>0</v>
      </c>
    </row>
    <row r="11" customFormat="false" ht="15" hidden="false" customHeight="true" outlineLevel="0" collapsed="false">
      <c r="B11" s="15" t="s">
        <v>247</v>
      </c>
      <c r="C11" s="28" t="s">
        <v>248</v>
      </c>
      <c r="D11" s="28" t="s">
        <v>249</v>
      </c>
      <c r="E11" s="28" t="s">
        <v>250</v>
      </c>
      <c r="F11" s="16"/>
      <c r="G11" s="16"/>
    </row>
    <row r="12" customFormat="false" ht="17.25" hidden="false" customHeight="true" outlineLevel="0" collapsed="false">
      <c r="B12" s="25" t="s">
        <v>1240</v>
      </c>
      <c r="C12" s="66" t="str">
        <f aca="false">IF(Need_1&lt;&gt;"",Need_1,IF(Payment&lt;=Balance*Monthly_Rate,"Never",ROUNDUP(ROUND(NPER(Monthly_Rate,-Payment,Balance),6),0)))</f>
        <v>Choose your balance to see this</v>
      </c>
      <c r="D12" s="67" t="str">
        <f aca="false">IF(Need_1&lt;&gt;"",Need_1,IF(Months_To_Clear="Never","Never at this repayment",IF(Months_To_Clear&gt;Cap_Months,"Payment too low to clear this debt in a reasonable time (over 100 years)",IF(INT(Months_To_Clear/12)=0,MOD(Months_To_Clear,12)&amp;IF(MOD(Months_To_Clear,12)=1," month"," months"),INT(Months_To_Clear/12)&amp;IF(INT(Months_To_Clear/12)=1," year"," years")&amp;IF(MOD(Months_To_Clear,12)=0,""," "&amp;MOD(Months_To_Clear,12)&amp;IF(MOD(Months_To_Clear,12)=1," month"," months"))))))</f>
        <v>Choose your balance to see this</v>
      </c>
      <c r="E12" s="46" t="s">
        <v>1241</v>
      </c>
    </row>
    <row r="13" customFormat="false" ht="17.25" hidden="false" customHeight="true" outlineLevel="0" collapsed="false">
      <c r="B13" s="25" t="s">
        <v>344</v>
      </c>
      <c r="C13" s="45" t="str">
        <f aca="false">IF(Need_1&lt;&gt;"",Need_1,IF(Months_To_Clear="Never","—",Payment*(Months_To_Clear-1)+Final_Payment-Balance))</f>
        <v>Choose your balance to see this</v>
      </c>
      <c r="D13" s="31" t="s">
        <v>227</v>
      </c>
      <c r="E13" s="46" t="s">
        <v>1242</v>
      </c>
    </row>
    <row r="14" customFormat="false" ht="15" hidden="false" customHeight="true" outlineLevel="0" collapsed="false">
      <c r="B14" s="9" t="s">
        <v>1243</v>
      </c>
      <c r="C14" s="68" t="str">
        <f aca="false">IF(Need_2&lt;&gt;"",Need_2,(1+APR)^(1/12)-1)</f>
        <v>Choose your credit-card rate to see this</v>
      </c>
      <c r="D14" s="31"/>
      <c r="E14" s="46" t="s">
        <v>1244</v>
      </c>
    </row>
    <row r="15" customFormat="false" ht="15" hidden="false" customHeight="true" outlineLevel="0" collapsed="false">
      <c r="B15" s="9" t="s">
        <v>1245</v>
      </c>
      <c r="C15" s="47" t="str">
        <f aca="false">IF(Need_3&lt;&gt;"",Need_3,Monthly_Payment+Extra_Payment)</f>
        <v>Choose your monthly payment to see this</v>
      </c>
      <c r="D15" s="31" t="s">
        <v>227</v>
      </c>
      <c r="E15" s="46" t="s">
        <v>1246</v>
      </c>
    </row>
    <row r="16" customFormat="false" ht="15" hidden="false" customHeight="true" outlineLevel="0" collapsed="false">
      <c r="B16" s="9" t="s">
        <v>352</v>
      </c>
      <c r="C16" s="47" t="str">
        <f aca="false">IF(Need_1&lt;&gt;"",Need_1,IF(Months_To_Clear="Never","—",-FV(Monthly_Rate,Months_To_Clear-1,-Payment,Balance)*(1+Monthly_Rate)))</f>
        <v>Choose your balance to see this</v>
      </c>
      <c r="D16" s="31" t="s">
        <v>227</v>
      </c>
      <c r="E16" s="46" t="s">
        <v>1247</v>
      </c>
    </row>
    <row r="18" customFormat="false" ht="15" hidden="false" customHeight="true" outlineLevel="0" collapsed="false">
      <c r="B18" s="15" t="s">
        <v>280</v>
      </c>
      <c r="C18" s="16"/>
      <c r="D18" s="16"/>
      <c r="E18" s="16"/>
      <c r="F18" s="16"/>
      <c r="G18" s="16"/>
    </row>
    <row r="19" customFormat="false" ht="13.5" hidden="false" customHeight="true" outlineLevel="0" collapsed="false">
      <c r="B19" s="50" t="s">
        <v>1248</v>
      </c>
      <c r="C19" s="50"/>
      <c r="D19" s="50"/>
      <c r="E19" s="50"/>
    </row>
    <row r="20" customFormat="false" ht="13.5" hidden="false" customHeight="true" outlineLevel="0" collapsed="false">
      <c r="B20" s="50" t="s">
        <v>1249</v>
      </c>
      <c r="C20" s="50"/>
      <c r="D20" s="50"/>
      <c r="E20" s="50"/>
    </row>
    <row r="21" customFormat="false" ht="13.5" hidden="false" customHeight="true" outlineLevel="0" collapsed="false">
      <c r="B21" s="51" t="s">
        <v>283</v>
      </c>
      <c r="C21" s="51"/>
      <c r="D21" s="51"/>
      <c r="E21" s="51"/>
    </row>
    <row r="22" customFormat="false" ht="27.75" hidden="false" customHeight="true" outlineLevel="0" collapsed="false">
      <c r="B22" s="50" t="s">
        <v>363</v>
      </c>
      <c r="C22" s="50"/>
      <c r="D22" s="50"/>
      <c r="E22" s="50"/>
    </row>
    <row r="23" customFormat="false" ht="13.5" hidden="false" customHeight="true" outlineLevel="0" collapsed="false">
      <c r="B23" s="50" t="s">
        <v>1250</v>
      </c>
      <c r="C23" s="50"/>
      <c r="D23" s="50"/>
      <c r="E23" s="50"/>
    </row>
    <row r="24" customFormat="false" ht="27.75" hidden="false" customHeight="true" outlineLevel="0" collapsed="false">
      <c r="B24" s="50" t="s">
        <v>365</v>
      </c>
      <c r="C24" s="50"/>
      <c r="D24" s="50"/>
      <c r="E24" s="50"/>
    </row>
    <row r="25" customFormat="false" ht="13.5" hidden="false" customHeight="true" outlineLevel="0" collapsed="false">
      <c r="B25" s="50" t="s">
        <v>287</v>
      </c>
      <c r="C25" s="50"/>
      <c r="D25" s="50"/>
      <c r="E25" s="50"/>
    </row>
    <row r="27" customFormat="false" ht="15" hidden="false" customHeight="true" outlineLevel="0" collapsed="false">
      <c r="B27" s="15" t="s">
        <v>288</v>
      </c>
      <c r="C27" s="16"/>
      <c r="D27" s="16"/>
      <c r="E27" s="16"/>
      <c r="F27" s="16"/>
      <c r="G27" s="16"/>
    </row>
    <row r="28" customFormat="false" ht="15" hidden="false" customHeight="true" outlineLevel="0" collapsed="false">
      <c r="B28" s="9" t="s">
        <v>289</v>
      </c>
      <c r="C28" s="52" t="str">
        <f aca="false">"No goal (the plan already repays this debt)"</f>
        <v>No goal (the plan already repays this debt)</v>
      </c>
      <c r="E28" s="53" t="s">
        <v>1251</v>
      </c>
    </row>
    <row r="29" customFormat="false" ht="13.5" hidden="false" customHeight="true" outlineLevel="0" collapsed="false">
      <c r="B29" s="57" t="s">
        <v>1252</v>
      </c>
      <c r="C29" s="57"/>
      <c r="D29" s="57"/>
      <c r="E29" s="57"/>
    </row>
    <row r="31" customFormat="false" ht="15" hidden="false" customHeight="true" outlineLevel="0" collapsed="false">
      <c r="B31" s="15" t="s">
        <v>297</v>
      </c>
      <c r="C31" s="16"/>
      <c r="D31" s="16"/>
      <c r="E31" s="16"/>
      <c r="F31" s="16"/>
      <c r="G31" s="16"/>
    </row>
    <row r="32" customFormat="false" ht="15" hidden="false" customHeight="true" outlineLevel="0" collapsed="false">
      <c r="B32" s="56" t="s">
        <v>1253</v>
      </c>
      <c r="C32" s="56" t="str">
        <f aca="false">IF(Balance="","Choose your balance to see this",IF(Monthly_Payment="","Choose your monthly payment to see this",IF(APR="","Choose your credit-card rate to see this","")))</f>
        <v>Choose your balance to see this</v>
      </c>
    </row>
    <row r="33" customFormat="false" ht="15" hidden="false" customHeight="true" outlineLevel="0" collapsed="false">
      <c r="B33" s="56" t="s">
        <v>1254</v>
      </c>
      <c r="C33" s="56" t="str">
        <f aca="false">IF(APR="","Choose your credit-card rate to see this","")</f>
        <v>Choose your credit-card rate to see this</v>
      </c>
    </row>
    <row r="34" customFormat="false" ht="15" hidden="false" customHeight="true" outlineLevel="0" collapsed="false">
      <c r="B34" s="56" t="s">
        <v>1255</v>
      </c>
      <c r="C34" s="56" t="str">
        <f aca="false">IF(Monthly_Payment="","Choose your monthly payment to see this",IF(APR="","Choose your credit-card rate to see this",""))</f>
        <v>Choose your monthly payment to see this</v>
      </c>
    </row>
  </sheetData>
  <mergeCells count="8">
    <mergeCell ref="B19:E19"/>
    <mergeCell ref="B20:E20"/>
    <mergeCell ref="B21:E21"/>
    <mergeCell ref="B22:E22"/>
    <mergeCell ref="B23:E23"/>
    <mergeCell ref="B24:E24"/>
    <mergeCell ref="B25:E25"/>
    <mergeCell ref="B29:E29"/>
  </mergeCells>
  <dataValidations count="4">
    <dataValidation allowBlank="true" error="Please enter €100 to €1,000,000 · steps of €100." errorStyle="stop" errorTitle="Outside the allowed range" operator="between" prompt="Your own figure. In the app it is pre-filled from Your finances: the debt that takes longest to clear.  Allowed: €100 to €1,000,000 · steps of €100." promptTitle="Balance" showDropDown="false" showErrorMessage="true" showInputMessage="true" sqref="C6" type="decimal">
      <formula1>100</formula1>
      <formula2>1000000</formula2>
    </dataValidation>
    <dataValidation allowBlank="true" error="Please enter 0% to 35% · steps of 0.5%." errorStyle="stop" errorTitle="Outside the allowed range" operator="between" prompt="Your card's APR: your statement shows it. New credit cards can't charge more than 23% APR (Central Bank); some older cards are higher. Allowed: 0% to 35% · steps of 0.5%" promptTitle="Interest (APR)" showDropDown="false" showErrorMessage="true" showInputMessage="true" sqref="C7" type="decimal">
      <formula1>0</formula1>
      <formula2>0.35</formula2>
    </dataValidation>
    <dataValidation allowBlank="true" error="Please enter €10 to €50,000 · steps of €10." errorStyle="stop" errorTitle="Outside the allowed range" operator="between" prompt="Your own figure. In the app it is pre-filled from Your finances: that debt's repayment.  Allowed: €10 to €50,000 · steps of €10." promptTitle="Monthly payment" showDropDown="false" showErrorMessage="true" showInputMessage="true" sqref="C8" type="decimal">
      <formula1>10</formula1>
      <formula2>50000</formula2>
    </dataValidation>
    <dataValidation allowBlank="true" error="Please enter €0 to €10,000 · steps of €10." errorStyle="stop" errorTitle="Outside the allowed range" operator="between" prompt="Optional: leave blank for none.  Allowed: €0 to €10,000 · steps of €10." promptTitle="What if: pay extra each month" showDropDown="false" showErrorMessage="true" showInputMessage="true" sqref="C9" type="decimal">
      <formula1>0</formula1>
      <formula2>10000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0"/>
    <col collapsed="false" customWidth="true" hidden="false" outlineLevel="0" max="3" min="3" style="1" width="26"/>
    <col collapsed="false" customWidth="true" hidden="false" outlineLevel="0" max="4" min="4" style="1" width="24"/>
    <col collapsed="false" customWidth="true" hidden="false" outlineLevel="0" max="5" min="5" style="1" width="78"/>
    <col collapsed="false" customWidth="true" hidden="false" outlineLevel="0" max="6" min="6" style="1" width="14"/>
    <col collapsed="false" customWidth="true" hidden="false" outlineLevel="0" max="7" min="7" style="1" width="16"/>
  </cols>
  <sheetData>
    <row r="1" customFormat="false" ht="19.5" hidden="false" customHeight="true" outlineLevel="0" collapsed="false">
      <c r="B1" s="24" t="s">
        <v>1256</v>
      </c>
      <c r="E1" s="3" t="s">
        <v>1257</v>
      </c>
    </row>
    <row r="2" customFormat="false" ht="15" hidden="false" customHeight="true" outlineLevel="0" collapsed="false">
      <c r="B2" s="25" t="s">
        <v>1258</v>
      </c>
      <c r="E2" s="26" t="str">
        <f aca="false">IF(Fill_Example="Yes","Example values are ON (README): grey Example only figures fill blank inputs.","Blank template: fill the yellow inputs (or switch on example values on the README).")</f>
        <v>Blank template: fill the yellow inputs (or switch on example values on the README).</v>
      </c>
    </row>
    <row r="3" customFormat="false" ht="15" hidden="false" customHeight="true" outlineLevel="0" collapsed="false">
      <c r="B3" s="27" t="s">
        <v>1259</v>
      </c>
    </row>
    <row r="5" customFormat="false" ht="15" hidden="false" customHeight="true" outlineLevel="0" collapsed="false">
      <c r="B5" s="15" t="s">
        <v>221</v>
      </c>
      <c r="C5" s="28" t="s">
        <v>222</v>
      </c>
      <c r="D5" s="28" t="s">
        <v>223</v>
      </c>
      <c r="E5" s="28" t="s">
        <v>224</v>
      </c>
      <c r="F5" s="29" t="s">
        <v>225</v>
      </c>
      <c r="G5" s="16"/>
    </row>
    <row r="6" customFormat="false" ht="15" hidden="false" customHeight="true" outlineLevel="0" collapsed="false">
      <c r="B6" s="9" t="s">
        <v>1260</v>
      </c>
      <c r="C6" s="30"/>
      <c r="D6" s="31" t="s">
        <v>227</v>
      </c>
      <c r="E6" s="32" t="s">
        <v>1261</v>
      </c>
      <c r="F6" s="33" t="n">
        <v>15000</v>
      </c>
      <c r="G6" s="34" t="str">
        <f aca="false">IF(ISBLANK(C6),IF(Fill_Example="Yes",F6,""),C6)</f>
        <v/>
      </c>
    </row>
    <row r="7" customFormat="false" ht="21.75" hidden="false" customHeight="true" outlineLevel="0" collapsed="false">
      <c r="B7" s="9" t="s">
        <v>1235</v>
      </c>
      <c r="C7" s="38"/>
      <c r="D7" s="31" t="s">
        <v>238</v>
      </c>
      <c r="E7" s="39" t="str">
        <f aca="false">"Type 2 · your figure · Your loan's APR: your loan agreement shows it. "&amp;IF(ISNUMBER(Suggest_Loan_APR),"Suggested: "&amp;TEXT(Suggest_Loan_APR,"0.00%")&amp;" · "&amp;Suggest_Loan_APR_Label&amp;". ","No suggestion. ")&amp;"Enter your own figure."&amp;" Allowed: 0% to 25% · steps of 0.25%"</f>
        <v>Type 2 · your figure · Your loan's APR: your loan agreement shows it. Suggested: 6.72% · Central Bank of Ireland: average rate on new consumer loans, Jul 2026. Enter your own figure. Allowed: 0% to 25% · steps of 0.25%</v>
      </c>
      <c r="F7" s="40" t="n">
        <f aca="false">IF(ISNUMBER(Suggest_Loan_APR),Suggest_Loan_APR,"")</f>
        <v>0.0672</v>
      </c>
      <c r="G7" s="41" t="str">
        <f aca="false">IF(ISBLANK(C7),IF(Fill_Example="Yes",F7,""),C7)</f>
        <v/>
      </c>
    </row>
    <row r="8" customFormat="false" ht="15" hidden="false" customHeight="true" outlineLevel="0" collapsed="false">
      <c r="B8" s="9" t="s">
        <v>606</v>
      </c>
      <c r="C8" s="42"/>
      <c r="D8" s="31" t="s">
        <v>240</v>
      </c>
      <c r="E8" s="32" t="s">
        <v>685</v>
      </c>
      <c r="F8" s="43" t="n">
        <v>5</v>
      </c>
      <c r="G8" s="44" t="str">
        <f aca="false">IF(AND(ISNUMBER(C8),N(C8)&lt;1),"",IF(ISBLANK(C8),IF(Fill_Example="Yes",F8,""),C8))</f>
        <v/>
      </c>
    </row>
    <row r="10" customFormat="false" ht="15" hidden="false" customHeight="true" outlineLevel="0" collapsed="false">
      <c r="B10" s="15" t="s">
        <v>247</v>
      </c>
      <c r="C10" s="28" t="s">
        <v>248</v>
      </c>
      <c r="D10" s="28" t="s">
        <v>249</v>
      </c>
      <c r="E10" s="28" t="s">
        <v>250</v>
      </c>
      <c r="F10" s="16"/>
      <c r="G10" s="16"/>
    </row>
    <row r="11" customFormat="false" ht="17.25" hidden="false" customHeight="true" outlineLevel="0" collapsed="false">
      <c r="B11" s="25" t="s">
        <v>319</v>
      </c>
      <c r="C11" s="45" t="str">
        <f aca="false">IF(Need_1&lt;&gt;"",Need_1,PMT(Monthly_Rate,Years*12,-Loan_Amount))</f>
        <v>Choose your loan amount to see this</v>
      </c>
      <c r="D11" s="31" t="s">
        <v>227</v>
      </c>
      <c r="E11" s="46" t="s">
        <v>1262</v>
      </c>
    </row>
    <row r="12" customFormat="false" ht="17.25" hidden="false" customHeight="true" outlineLevel="0" collapsed="false">
      <c r="B12" s="25" t="s">
        <v>344</v>
      </c>
      <c r="C12" s="45" t="str">
        <f aca="false">IF(Need_1&lt;&gt;"",Need_1,Total_Repaid-Loan_Amount)</f>
        <v>Choose your loan amount to see this</v>
      </c>
      <c r="D12" s="31" t="s">
        <v>227</v>
      </c>
      <c r="E12" s="46" t="s">
        <v>1263</v>
      </c>
    </row>
    <row r="13" customFormat="false" ht="15" hidden="false" customHeight="true" outlineLevel="0" collapsed="false">
      <c r="B13" s="9" t="s">
        <v>346</v>
      </c>
      <c r="C13" s="47" t="str">
        <f aca="false">IF(Need_1&lt;&gt;"",Need_1,Monthly_Repayment*Years*12)</f>
        <v>Choose your loan amount to see this</v>
      </c>
      <c r="D13" s="31" t="s">
        <v>227</v>
      </c>
      <c r="E13" s="46" t="s">
        <v>1264</v>
      </c>
    </row>
    <row r="14" customFormat="false" ht="15" hidden="false" customHeight="true" outlineLevel="0" collapsed="false">
      <c r="B14" s="9" t="s">
        <v>1243</v>
      </c>
      <c r="C14" s="68" t="str">
        <f aca="false">IF(Need_2&lt;&gt;"",Need_2,(1+APR)^(1/12)-1)</f>
        <v>Choose your loan rate to see this</v>
      </c>
      <c r="D14" s="31"/>
      <c r="E14" s="46" t="s">
        <v>1244</v>
      </c>
    </row>
    <row r="16" customFormat="false" ht="15" hidden="false" customHeight="true" outlineLevel="0" collapsed="false">
      <c r="B16" s="15" t="s">
        <v>280</v>
      </c>
      <c r="C16" s="16"/>
      <c r="D16" s="16"/>
      <c r="E16" s="16"/>
      <c r="F16" s="16"/>
      <c r="G16" s="16"/>
    </row>
    <row r="17" customFormat="false" ht="13.5" hidden="false" customHeight="true" outlineLevel="0" collapsed="false">
      <c r="B17" s="50" t="s">
        <v>1265</v>
      </c>
      <c r="C17" s="50"/>
      <c r="D17" s="50"/>
      <c r="E17" s="50"/>
    </row>
    <row r="18" customFormat="false" ht="13.5" hidden="false" customHeight="true" outlineLevel="0" collapsed="false">
      <c r="B18" s="50" t="s">
        <v>1266</v>
      </c>
      <c r="C18" s="50"/>
      <c r="D18" s="50"/>
      <c r="E18" s="50"/>
    </row>
    <row r="19" customFormat="false" ht="13.5" hidden="false" customHeight="true" outlineLevel="0" collapsed="false">
      <c r="B19" s="51" t="s">
        <v>283</v>
      </c>
      <c r="C19" s="51"/>
      <c r="D19" s="51"/>
      <c r="E19" s="51"/>
    </row>
    <row r="20" customFormat="false" ht="13.5" hidden="false" customHeight="true" outlineLevel="0" collapsed="false">
      <c r="B20" s="50" t="s">
        <v>287</v>
      </c>
      <c r="C20" s="50"/>
      <c r="D20" s="50"/>
      <c r="E20" s="50"/>
    </row>
    <row r="22" customFormat="false" ht="15" hidden="false" customHeight="true" outlineLevel="0" collapsed="false">
      <c r="B22" s="15" t="s">
        <v>288</v>
      </c>
      <c r="C22" s="16"/>
      <c r="D22" s="16"/>
      <c r="E22" s="16"/>
      <c r="F22" s="16"/>
      <c r="G22" s="16"/>
    </row>
    <row r="23" customFormat="false" ht="15" hidden="false" customHeight="true" outlineLevel="0" collapsed="false">
      <c r="B23" s="9" t="s">
        <v>289</v>
      </c>
      <c r="C23" s="52" t="str">
        <f aca="false">"No goal"</f>
        <v>No goal</v>
      </c>
      <c r="E23" s="53" t="s">
        <v>475</v>
      </c>
    </row>
    <row r="25" customFormat="false" ht="15" hidden="false" customHeight="true" outlineLevel="0" collapsed="false">
      <c r="B25" s="15" t="s">
        <v>297</v>
      </c>
      <c r="C25" s="16"/>
      <c r="D25" s="16"/>
      <c r="E25" s="16"/>
      <c r="F25" s="16"/>
      <c r="G25" s="16"/>
    </row>
    <row r="26" customFormat="false" ht="15" hidden="false" customHeight="true" outlineLevel="0" collapsed="false">
      <c r="B26" s="56" t="s">
        <v>1267</v>
      </c>
      <c r="C26" s="56" t="str">
        <f aca="false">IF(Loan_Amount="","Choose your loan amount to see this",IF(Years="","Choose your years to see this",IF(APR="","Choose your loan rate to see this","")))</f>
        <v>Choose your loan amount to see this</v>
      </c>
    </row>
    <row r="27" customFormat="false" ht="15" hidden="false" customHeight="true" outlineLevel="0" collapsed="false">
      <c r="B27" s="56" t="s">
        <v>1254</v>
      </c>
      <c r="C27" s="56" t="str">
        <f aca="false">IF(APR="","Choose your loan rate to see this","")</f>
        <v>Choose your loan rate to see this</v>
      </c>
    </row>
    <row r="29" customFormat="false" ht="15" hidden="false" customHeight="true" outlineLevel="0" collapsed="false">
      <c r="B29" s="23" t="s">
        <v>1268</v>
      </c>
    </row>
  </sheetData>
  <mergeCells count="4">
    <mergeCell ref="B17:E17"/>
    <mergeCell ref="B18:E18"/>
    <mergeCell ref="B19:E19"/>
    <mergeCell ref="B20:E20"/>
  </mergeCells>
  <dataValidations count="3">
    <dataValidation allowBlank="true" error="Please enter €500 to €1,000,000 · steps of €500." errorStyle="stop" errorTitle="Outside the allowed range" operator="between" prompt="Your own figure.  Allowed: €500 to €1,000,000 · steps of €500." promptTitle="Loan amount" showDropDown="false" showErrorMessage="true" showInputMessage="true" sqref="C6" type="decimal">
      <formula1>500</formula1>
      <formula2>1000000</formula2>
    </dataValidation>
    <dataValidation allowBlank="true" error="Please enter 0% to 25% · steps of 0.25%." errorStyle="stop" errorTitle="Outside the allowed range" operator="between" prompt="Your loan's APR: your loan agreement shows it. A suggested rate and its source are shown beside this cell (Partner rates, Assumptions sheet). Allowed: 0% to 25% · steps of 0.5%" promptTitle="Interest (APR)" showDropDown="false" showErrorMessage="true" showInputMessage="true" sqref="C7" type="decimal">
      <formula1>0</formula1>
      <formula2>0.25</formula2>
    </dataValidation>
    <dataValidation allowBlank="true" error="Please enter 1 to 10 · steps of 1." errorStyle="stop" errorTitle="Outside the allowed range" operator="between" prompt="Your own figure.  Allowed: 1 to 10 · steps of 1." promptTitle="Years" showDropDown="false" showErrorMessage="true" showInputMessage="true" sqref="C8" type="whole">
      <formula1>1</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U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66"/>
    <col collapsed="false" customWidth="true" hidden="false" outlineLevel="0" max="3" min="3" style="1" width="16"/>
    <col collapsed="false" customWidth="true" hidden="false" outlineLevel="0" max="4" min="4" style="1" width="12"/>
    <col collapsed="false" customWidth="true" hidden="false" outlineLevel="0" max="5" min="5" style="1" width="38"/>
    <col collapsed="false" customWidth="true" hidden="false" outlineLevel="0" max="7" min="6" style="1" width="16"/>
    <col collapsed="false" customWidth="true" hidden="false" outlineLevel="0" max="8" min="8" style="1" width="8"/>
    <col collapsed="false" customWidth="true" hidden="false" outlineLevel="0" max="9" min="9" style="1" width="40"/>
    <col collapsed="false" customWidth="true" hidden="false" outlineLevel="0" max="12" min="10" style="1" width="14"/>
  </cols>
  <sheetData>
    <row r="1" customFormat="false" ht="17.25" hidden="false" customHeight="true" outlineLevel="0" collapsed="false">
      <c r="B1" s="90" t="s">
        <v>1269</v>
      </c>
    </row>
    <row r="2" customFormat="false" ht="61.5" hidden="false" customHeight="true" outlineLevel="0" collapsed="false">
      <c r="B2" s="91" t="s">
        <v>1270</v>
      </c>
      <c r="C2" s="91"/>
      <c r="D2" s="91"/>
      <c r="E2" s="91"/>
      <c r="F2" s="91"/>
      <c r="G2" s="91"/>
      <c r="H2" s="91"/>
      <c r="I2" s="91"/>
    </row>
    <row r="3" customFormat="false" ht="30" hidden="false" customHeight="true" outlineLevel="0" collapsed="false">
      <c r="B3" s="92" t="str">
        <f aca="false">Warn_Goals</f>
        <v/>
      </c>
      <c r="C3" s="92"/>
      <c r="D3" s="92"/>
      <c r="E3" s="92"/>
      <c r="F3" s="92"/>
      <c r="G3" s="92"/>
      <c r="H3" s="92"/>
      <c r="I3" s="92"/>
    </row>
    <row r="4" customFormat="false" ht="15" hidden="false" customHeight="true" outlineLevel="0" collapsed="false">
      <c r="B4" s="93" t="s">
        <v>1271</v>
      </c>
      <c r="C4" s="93" t="s">
        <v>222</v>
      </c>
      <c r="D4" s="93" t="s">
        <v>223</v>
      </c>
      <c r="E4" s="93" t="s">
        <v>1272</v>
      </c>
      <c r="F4" s="93" t="s">
        <v>1273</v>
      </c>
      <c r="G4" s="93" t="s">
        <v>1274</v>
      </c>
      <c r="H4" s="93" t="s">
        <v>1275</v>
      </c>
    </row>
    <row r="5" customFormat="false" ht="15" hidden="false" customHeight="true" outlineLevel="0" collapsed="false">
      <c r="B5" s="1" t="s">
        <v>1276</v>
      </c>
      <c r="C5" s="94"/>
      <c r="E5" s="23" t="s">
        <v>1277</v>
      </c>
      <c r="F5" s="23" t="s">
        <v>1278</v>
      </c>
      <c r="G5" s="95" t="str">
        <f aca="false">IF(ISBLANK(C5),IF(Fill_Example="Yes",F5,""),IF(TRUE(),C5,""))</f>
        <v/>
      </c>
      <c r="H5" s="95" t="n">
        <f aca="false">IF(G5="",0,1)</f>
        <v>0</v>
      </c>
    </row>
    <row r="6" customFormat="false" ht="15" hidden="false" customHeight="true" outlineLevel="0" collapsed="false">
      <c r="B6" s="1" t="s">
        <v>1279</v>
      </c>
      <c r="C6" s="96"/>
      <c r="D6" s="1" t="s">
        <v>322</v>
      </c>
      <c r="E6" s="23" t="s">
        <v>1280</v>
      </c>
      <c r="F6" s="97" t="n">
        <f aca="false">DATE(AS_Year0-38,8,21)</f>
        <v>32741</v>
      </c>
      <c r="G6" s="95" t="n">
        <f aca="true">IF(ISBLANK(C6),IF(AND(Fill_Example="Yes",F6&lt;&gt;""),AS_Year0-YEAR(F6),0),IF(IF(ISNUMBER(C6),IF(C6&lt;=TODAY(),AND(DATEDIF(C6,TODAY(),"Y")&gt;=18,DATEDIF(C6,TODAY(),"Y")&lt;=80),FALSE()),FALSE()),AS_Year0-YEAR(C6),0))</f>
        <v>0</v>
      </c>
      <c r="H6" s="95" t="n">
        <f aca="true">IF(ISBLANK(C6),IF(AND(Fill_Example="Yes",F6&lt;&gt;""),1,0),IF(IF(ISNUMBER(C6),IF(C6&lt;=TODAY(),AND(DATEDIF(C6,TODAY(),"Y")&gt;=18,DATEDIF(C6,TODAY(),"Y")&lt;=80),FALSE()),FALSE()),1,0))</f>
        <v>0</v>
      </c>
    </row>
    <row r="7" customFormat="false" ht="15" hidden="false" customHeight="true" outlineLevel="0" collapsed="false">
      <c r="B7" s="1" t="s">
        <v>1281</v>
      </c>
      <c r="C7" s="94"/>
      <c r="E7" s="23" t="s">
        <v>1282</v>
      </c>
      <c r="F7" s="23" t="s">
        <v>236</v>
      </c>
      <c r="G7" s="95" t="str">
        <f aca="false">IF(ISBLANK(C7),IF(Fill_Example="Yes",F7,""),IF(ISNUMBER(MATCH(C7,{"Yes","No"},0)),C7,""))</f>
        <v/>
      </c>
      <c r="H7" s="95" t="n">
        <f aca="false">IF(G7="",0,1)</f>
        <v>0</v>
      </c>
    </row>
    <row r="8" customFormat="false" ht="15" hidden="false" customHeight="true" outlineLevel="0" collapsed="false">
      <c r="B8" s="1" t="s">
        <v>1283</v>
      </c>
      <c r="C8" s="94"/>
      <c r="E8" s="23" t="s">
        <v>1284</v>
      </c>
      <c r="F8" s="23"/>
      <c r="G8" s="95" t="str">
        <f aca="false">IF(ISBLANK(C8),IF(Fill_Example="Yes",F8,""),IF(ISNUMBER(MATCH(C8,{"Yes","No"},0)),C8,""))</f>
        <v/>
      </c>
      <c r="H8" s="95" t="n">
        <f aca="false">IF(G8="",0,1)</f>
        <v>0</v>
      </c>
    </row>
    <row r="9" customFormat="false" ht="15" hidden="false" customHeight="true" outlineLevel="0" collapsed="false">
      <c r="B9" s="1" t="s">
        <v>1285</v>
      </c>
      <c r="C9" s="94"/>
      <c r="D9" s="1" t="s">
        <v>1286</v>
      </c>
      <c r="E9" s="23" t="s">
        <v>1287</v>
      </c>
      <c r="F9" s="23" t="n">
        <v>2</v>
      </c>
      <c r="G9" s="95" t="n">
        <f aca="false">IF(ISBLANK(C9),IF(AND(Fill_Example="Yes",F9&lt;&gt;""),F9,0),IF(IF(ISNUMBER(C9),AND(C9&gt;=0,C9&lt;=20,C9=INT(C9)),FALSE()),C9,0))</f>
        <v>0</v>
      </c>
      <c r="H9" s="95" t="n">
        <f aca="false">IF(ISBLANK(C9),IF(AND(Fill_Example="Yes",F9&lt;&gt;""),1,0),IF(IF(ISNUMBER(C9),AND(C9&gt;=0,C9&lt;=20,C9=INT(C9)),FALSE()),1,0))</f>
        <v>0</v>
      </c>
    </row>
    <row r="10" customFormat="false" ht="15" hidden="false" customHeight="true" outlineLevel="0" collapsed="false">
      <c r="B10" s="1" t="s">
        <v>1288</v>
      </c>
      <c r="C10" s="94"/>
      <c r="D10" s="1" t="s">
        <v>715</v>
      </c>
      <c r="E10" s="23" t="s">
        <v>1289</v>
      </c>
      <c r="F10" s="23" t="n">
        <v>63</v>
      </c>
      <c r="G10" s="95" t="n">
        <f aca="false">IF(ISBLANK(C10),IF(AND(Fill_Example="Yes",F10&lt;&gt;""),F10,0),IF(IF(ISNUMBER(C10),AND(C10&gt;=18,C10&lt;=105,C10=INT(C10)),FALSE()),C10,0))</f>
        <v>0</v>
      </c>
      <c r="H10" s="95" t="n">
        <f aca="false">IF(ISBLANK(C10),IF(AND(Fill_Example="Yes",F10&lt;&gt;""),1,0),IF(IF(ISNUMBER(C10),AND(C10&gt;=18,C10&lt;=105,C10=INT(C10)),FALSE()),1,0))</f>
        <v>0</v>
      </c>
    </row>
    <row r="11" customFormat="false" ht="15" hidden="false" customHeight="true" outlineLevel="0" collapsed="false">
      <c r="B11" s="1" t="s">
        <v>1290</v>
      </c>
      <c r="C11" s="94"/>
      <c r="D11" s="1" t="s">
        <v>715</v>
      </c>
      <c r="E11" s="23" t="s">
        <v>1291</v>
      </c>
      <c r="F11" s="23" t="n">
        <v>66</v>
      </c>
      <c r="G11" s="95" t="n">
        <f aca="false">IF(ISBLANK(C11),IF(AND(Fill_Example="Yes",F11&lt;&gt;""),F11,0),IF(IF(ISNUMBER(C11),AND(C11&gt;=18,C11&lt;=105,C11=INT(C11)),FALSE()),C11,0))</f>
        <v>0</v>
      </c>
      <c r="H11" s="95" t="n">
        <f aca="false">IF(ISBLANK(C11),IF(AND(Fill_Example="Yes",F11&lt;&gt;""),1,0),IF(IF(ISNUMBER(C11),AND(C11&gt;=18,C11&lt;=105,C11=INT(C11)),FALSE()),1,0))</f>
        <v>0</v>
      </c>
    </row>
    <row r="12" customFormat="false" ht="15" hidden="false" customHeight="true" outlineLevel="0" collapsed="false">
      <c r="B12" s="1" t="s">
        <v>1292</v>
      </c>
      <c r="C12" s="94"/>
      <c r="D12" s="1" t="s">
        <v>1293</v>
      </c>
      <c r="E12" s="23" t="s">
        <v>1294</v>
      </c>
      <c r="F12" s="98" t="n">
        <f aca="false">Set_infl</f>
        <v>0.02</v>
      </c>
      <c r="G12" s="95" t="n">
        <f aca="false">IF(ISBLANK(C12),IF(AND(Fill_Example="Yes",F12&lt;&gt;""),F12,0),IF(IF(ISNUMBER(C12),AND(C12&gt;=0,C12&lt;=0.1),FALSE()),C12,0))</f>
        <v>0</v>
      </c>
      <c r="H12" s="95" t="n">
        <f aca="false">IF(ISBLANK(C12),IF(AND(Fill_Example="Yes",F12&lt;&gt;""),1,0),IF(IF(ISNUMBER(C12),AND(C12&gt;=0,C12&lt;=0.1),FALSE()),1,0))</f>
        <v>0</v>
      </c>
    </row>
    <row r="13" customFormat="false" ht="15" hidden="false" customHeight="true" outlineLevel="0" collapsed="false">
      <c r="B13" s="1" t="s">
        <v>1295</v>
      </c>
      <c r="C13" s="94"/>
      <c r="E13" s="23" t="s">
        <v>1296</v>
      </c>
      <c r="F13" s="23" t="s">
        <v>1297</v>
      </c>
      <c r="G13" s="95" t="str">
        <f aca="false">IF(ISBLANK(C13),IF(Fill_Example="Yes",F13,""),IF(ISNUMBER(MATCH(C13,{"Standard","Cautious"},0)),C13,""))</f>
        <v/>
      </c>
      <c r="H13" s="95" t="n">
        <f aca="false">IF(G13="",0,1)</f>
        <v>0</v>
      </c>
    </row>
    <row r="14" customFormat="false" ht="15" hidden="false" customHeight="true" outlineLevel="0" collapsed="false">
      <c r="B14" s="1" t="s">
        <v>1298</v>
      </c>
      <c r="C14" s="94"/>
      <c r="D14" s="1" t="s">
        <v>1299</v>
      </c>
      <c r="E14" s="23" t="s">
        <v>1300</v>
      </c>
      <c r="F14" s="23" t="n">
        <v>2</v>
      </c>
      <c r="G14" s="95" t="n">
        <f aca="false">IF(ISBLANK(C14),IF(AND(Fill_Example="Yes",F14&lt;&gt;""),F14,0),IF(IF(ISNUMBER(C14),AND(C14&gt;=0,C14&lt;=4,C14=INT(C14)),FALSE()),C14,0))</f>
        <v>0</v>
      </c>
      <c r="H14" s="95" t="n">
        <f aca="false">IF(ISBLANK(C14),IF(AND(Fill_Example="Yes",F14&lt;&gt;""),1,0),IF(IF(ISNUMBER(C14),AND(C14&gt;=0,C14&lt;=4,C14=INT(C14)),FALSE()),1,0))</f>
        <v>0</v>
      </c>
    </row>
    <row r="15" customFormat="false" ht="15" hidden="false" customHeight="true" outlineLevel="0" collapsed="false">
      <c r="B15" s="1" t="s">
        <v>1301</v>
      </c>
      <c r="C15" s="94"/>
      <c r="D15" s="1" t="s">
        <v>1302</v>
      </c>
      <c r="E15" s="23" t="s">
        <v>1303</v>
      </c>
      <c r="F15" s="23"/>
      <c r="G15" s="95" t="n">
        <f aca="false">IF(ISBLANK(C15),IF(AND(Fill_Example="Yes",F15&lt;&gt;""),F15,0),IF(IF(ISNUMBER(C15),AND(C15&gt;=0,C15&lt;=1000000),FALSE()),C15,0))</f>
        <v>0</v>
      </c>
      <c r="H15" s="95" t="n">
        <f aca="false">IF(ISBLANK(C15),IF(AND(Fill_Example="Yes",F15&lt;&gt;""),1,0),IF(IF(ISNUMBER(C15),AND(C15&gt;=0,C15&lt;=1000000),FALSE()),1,0))</f>
        <v>0</v>
      </c>
    </row>
    <row r="16" customFormat="false" ht="15" hidden="false" customHeight="true" outlineLevel="0" collapsed="false">
      <c r="B16" s="1" t="s">
        <v>1304</v>
      </c>
      <c r="C16" s="94"/>
      <c r="E16" s="23" t="s">
        <v>1305</v>
      </c>
      <c r="F16" s="23"/>
      <c r="G16" s="95" t="str">
        <f aca="false">IF(ISBLANK(C16),IF(Fill_Example="Yes",F16,""),IF(ISNUMBER(MATCH(C16,{"Yes","No"},0)),C16,""))</f>
        <v/>
      </c>
      <c r="H16" s="95" t="n">
        <f aca="false">IF(G16="",0,1)</f>
        <v>0</v>
      </c>
    </row>
    <row r="17" customFormat="false" ht="15" hidden="false" customHeight="true" outlineLevel="0" collapsed="false">
      <c r="B17" s="1" t="s">
        <v>1306</v>
      </c>
      <c r="C17" s="94"/>
      <c r="D17" s="1" t="s">
        <v>1302</v>
      </c>
      <c r="E17" s="23" t="s">
        <v>1307</v>
      </c>
      <c r="F17" s="23" t="n">
        <v>0</v>
      </c>
      <c r="G17" s="95" t="n">
        <f aca="false">IF(ISBLANK(C17),IF(AND(Fill_Example="Yes",F17&lt;&gt;""),F17,0),IF(IF(ISNUMBER(C17),AND(C17&gt;=0,C17&lt;=100000),FALSE()),C17,0))</f>
        <v>0</v>
      </c>
      <c r="H17" s="95" t="n">
        <f aca="false">IF(ISBLANK(C17),IF(AND(Fill_Example="Yes",F17&lt;&gt;""),1,0),IF(IF(ISNUMBER(C17),AND(C17&gt;=0,C17&lt;=100000),FALSE()),1,0))</f>
        <v>0</v>
      </c>
    </row>
    <row r="18" customFormat="false" ht="15" hidden="false" customHeight="true" outlineLevel="0" collapsed="false">
      <c r="B18" s="1" t="s">
        <v>1308</v>
      </c>
      <c r="C18" s="94"/>
      <c r="E18" s="23" t="s">
        <v>1309</v>
      </c>
      <c r="F18" s="23" t="s">
        <v>3</v>
      </c>
      <c r="G18" s="95" t="str">
        <f aca="false">IF(ISBLANK(C18),IF(Fill_Example="Yes",F18,""),IF(ISNUMBER(MATCH(C18,{"Yes","No"},0)),C18,""))</f>
        <v/>
      </c>
      <c r="H18" s="95" t="n">
        <f aca="false">IF(G18="",0,1)</f>
        <v>0</v>
      </c>
    </row>
    <row r="19" customFormat="false" ht="15" hidden="false" customHeight="true" outlineLevel="0" collapsed="false">
      <c r="B19" s="1" t="s">
        <v>1310</v>
      </c>
      <c r="C19" s="94"/>
      <c r="E19" s="23" t="s">
        <v>1311</v>
      </c>
      <c r="F19" s="23" t="s">
        <v>3</v>
      </c>
      <c r="G19" s="95" t="str">
        <f aca="false">IF(ISBLANK(C19),IF(Fill_Example="Yes",F19,""),IF(ISNUMBER(MATCH(C19,{"Yes","No"},0)),C19,""))</f>
        <v/>
      </c>
      <c r="H19" s="95" t="n">
        <f aca="false">IF(G19="",0,1)</f>
        <v>0</v>
      </c>
    </row>
    <row r="20" customFormat="false" ht="15" hidden="false" customHeight="true" outlineLevel="0" collapsed="false">
      <c r="B20" s="1" t="s">
        <v>1312</v>
      </c>
      <c r="C20" s="94"/>
      <c r="E20" s="23" t="s">
        <v>1313</v>
      </c>
      <c r="F20" s="23" t="s">
        <v>3</v>
      </c>
      <c r="G20" s="95" t="str">
        <f aca="false">IF(ISBLANK(C20),IF(Fill_Example="Yes",F20,""),IF(ISNUMBER(MATCH(C20,{"Yes","No"},0)),C20,""))</f>
        <v/>
      </c>
      <c r="H20" s="95" t="n">
        <f aca="false">IF(G20="",0,1)</f>
        <v>0</v>
      </c>
    </row>
    <row r="22" customFormat="false" ht="15" hidden="false" customHeight="true" outlineLevel="0" collapsed="false">
      <c r="B22" s="93" t="s">
        <v>1314</v>
      </c>
      <c r="C22" s="93" t="s">
        <v>222</v>
      </c>
      <c r="D22" s="93" t="s">
        <v>223</v>
      </c>
      <c r="E22" s="93" t="s">
        <v>1272</v>
      </c>
      <c r="F22" s="93" t="s">
        <v>1273</v>
      </c>
      <c r="G22" s="93" t="s">
        <v>1274</v>
      </c>
      <c r="H22" s="93" t="s">
        <v>1275</v>
      </c>
    </row>
    <row r="23" customFormat="false" ht="15" hidden="false" customHeight="true" outlineLevel="0" collapsed="false">
      <c r="B23" s="1" t="s">
        <v>1315</v>
      </c>
      <c r="C23" s="94"/>
      <c r="D23" s="1" t="s">
        <v>1316</v>
      </c>
      <c r="E23" s="23" t="s">
        <v>1317</v>
      </c>
      <c r="F23" s="23"/>
      <c r="G23" s="95" t="n">
        <f aca="false">IF(ISBLANK(C23),IF(AND(Fill_Example="Yes",F23&lt;&gt;""),F23,0),IF(IF(ISNUMBER(C23),AND(C23&gt;=1,C23&lt;=22,C23=INT(C23)),FALSE()),C23,0))</f>
        <v>0</v>
      </c>
      <c r="H23" s="95" t="n">
        <f aca="false">IF(ISBLANK(C23),IF(AND(Fill_Example="Yes",F23&lt;&gt;""),1,0),IF(IF(ISNUMBER(C23),AND(C23&gt;=1,C23&lt;=22,C23=INT(C23)),FALSE()),1,0))</f>
        <v>0</v>
      </c>
    </row>
    <row r="24" customFormat="false" ht="15" hidden="false" customHeight="true" outlineLevel="0" collapsed="false">
      <c r="B24" s="1" t="s">
        <v>1318</v>
      </c>
      <c r="C24" s="94"/>
      <c r="D24" s="1" t="s">
        <v>1302</v>
      </c>
      <c r="E24" s="23" t="s">
        <v>1319</v>
      </c>
      <c r="F24" s="23" t="n">
        <v>0</v>
      </c>
      <c r="G24" s="95" t="n">
        <f aca="false">IF(ISBLANK(C24),IF(AND(Fill_Example="Yes",F24&lt;&gt;""),F24,0),IF(IF(ISNUMBER(C24),AND(C24&gt;=-5000,C24&lt;=10000),FALSE()),C24,0))</f>
        <v>0</v>
      </c>
      <c r="H24" s="95" t="n">
        <f aca="false">IF(ISBLANK(C24),IF(AND(Fill_Example="Yes",F24&lt;&gt;""),1,0),IF(IF(ISNUMBER(C24),AND(C24&gt;=-5000,C24&lt;=10000),FALSE()),1,0))</f>
        <v>0</v>
      </c>
    </row>
    <row r="25" customFormat="false" ht="15" hidden="false" customHeight="true" outlineLevel="0" collapsed="false">
      <c r="B25" s="1" t="s">
        <v>1320</v>
      </c>
      <c r="C25" s="94"/>
      <c r="D25" s="1" t="s">
        <v>227</v>
      </c>
      <c r="E25" s="23" t="s">
        <v>1321</v>
      </c>
      <c r="F25" s="23" t="n">
        <v>0</v>
      </c>
      <c r="G25" s="95" t="n">
        <f aca="false">IF(ISBLANK(C25),IF(AND(Fill_Example="Yes",F25&lt;&gt;""),F25,0),IF(IF(ISNUMBER(C25),AND(C25&gt;=0,C25&lt;=2000000),FALSE()),C25,0))</f>
        <v>0</v>
      </c>
      <c r="H25" s="95" t="n">
        <f aca="false">IF(ISBLANK(C25),IF(AND(Fill_Example="Yes",F25&lt;&gt;""),1,0),IF(IF(ISNUMBER(C25),AND(C25&gt;=0,C25&lt;=2000000),FALSE()),1,0))</f>
        <v>0</v>
      </c>
    </row>
    <row r="27" customFormat="false" ht="15" hidden="false" customHeight="true" outlineLevel="0" collapsed="false">
      <c r="B27" s="93" t="s">
        <v>1322</v>
      </c>
      <c r="C27" s="93" t="s">
        <v>222</v>
      </c>
      <c r="D27" s="93" t="s">
        <v>223</v>
      </c>
      <c r="E27" s="93" t="s">
        <v>1272</v>
      </c>
      <c r="F27" s="93" t="s">
        <v>1273</v>
      </c>
      <c r="G27" s="93" t="s">
        <v>1274</v>
      </c>
      <c r="H27" s="93" t="s">
        <v>1275</v>
      </c>
    </row>
    <row r="28" customFormat="false" ht="15" hidden="false" customHeight="true" outlineLevel="0" collapsed="false">
      <c r="B28" s="1" t="s">
        <v>1323</v>
      </c>
      <c r="C28" s="94"/>
      <c r="E28" s="23" t="s">
        <v>1324</v>
      </c>
      <c r="F28" s="23" t="s">
        <v>1325</v>
      </c>
      <c r="G28" s="95" t="str">
        <f aca="false">IF(ISBLANK(C28),IF(Fill_Example="Yes",F28,""),IF(ISNUMBER(MATCH(C28,{"Employed","Self-employed","Not working"},0)),C28,""))</f>
        <v/>
      </c>
      <c r="H28" s="95" t="n">
        <f aca="false">IF(G28="",0,1)</f>
        <v>0</v>
      </c>
    </row>
    <row r="29" customFormat="false" ht="15" hidden="false" customHeight="true" outlineLevel="0" collapsed="false">
      <c r="B29" s="1" t="s">
        <v>226</v>
      </c>
      <c r="C29" s="94"/>
      <c r="D29" s="1" t="s">
        <v>227</v>
      </c>
      <c r="E29" s="23" t="s">
        <v>1326</v>
      </c>
      <c r="F29" s="23" t="n">
        <v>58000</v>
      </c>
      <c r="G29" s="95" t="n">
        <f aca="false">IF(ISBLANK(C29),IF(AND(Fill_Example="Yes",F29&lt;&gt;""),F29,0),IF(IF(ISNUMBER(C29),AND(C29&gt;=0,C29&lt;=100000000),FALSE()),C29,0))</f>
        <v>0</v>
      </c>
      <c r="H29" s="95" t="n">
        <f aca="false">IF(ISBLANK(C29),IF(AND(Fill_Example="Yes",F29&lt;&gt;""),1,0),IF(IF(ISNUMBER(C29),AND(C29&gt;=0,C29&lt;=100000000),FALSE()),1,0))</f>
        <v>0</v>
      </c>
    </row>
    <row r="30" customFormat="false" ht="15" hidden="false" customHeight="true" outlineLevel="0" collapsed="false">
      <c r="B30" s="1" t="s">
        <v>229</v>
      </c>
      <c r="C30" s="94"/>
      <c r="D30" s="1" t="s">
        <v>227</v>
      </c>
      <c r="E30" s="23" t="s">
        <v>1327</v>
      </c>
      <c r="F30" s="23" t="n">
        <v>22000</v>
      </c>
      <c r="G30" s="95" t="n">
        <f aca="false">IF(ISBLANK(C30),IF(AND(Fill_Example="Yes",F30&lt;&gt;""),F30,0),IF(IF(ISNUMBER(C30),AND(C30&gt;=0,C30&lt;=100000000),FALSE()),C30,0))</f>
        <v>0</v>
      </c>
      <c r="H30" s="95" t="n">
        <f aca="false">IF(ISBLANK(C30),IF(AND(Fill_Example="Yes",F30&lt;&gt;""),1,0),IF(IF(ISNUMBER(C30),AND(C30&gt;=0,C30&lt;=100000000),FALSE()),1,0))</f>
        <v>0</v>
      </c>
    </row>
    <row r="31" customFormat="false" ht="15" hidden="false" customHeight="true" outlineLevel="0" collapsed="false">
      <c r="B31" s="1" t="s">
        <v>1328</v>
      </c>
      <c r="C31" s="96"/>
      <c r="D31" s="1" t="s">
        <v>322</v>
      </c>
      <c r="E31" s="23" t="s">
        <v>1329</v>
      </c>
      <c r="F31" s="97" t="n">
        <f aca="false">DATE(AS_Year0-37,3,3)</f>
        <v>32935</v>
      </c>
      <c r="G31" s="95" t="n">
        <f aca="true">IF(ISBLANK(C31),IF(AND(Fill_Example="Yes",F31&lt;&gt;""),AS_Year0-YEAR(F31),0),IF(IF(ISNUMBER(C31),IF(C31&lt;=TODAY(),AND(DATEDIF(C31,TODAY(),"Y")&gt;=18,DATEDIF(C31,TODAY(),"Y")&lt;=85),FALSE()),FALSE()),AS_Year0-YEAR(C31),0))</f>
        <v>0</v>
      </c>
      <c r="H31" s="95" t="n">
        <f aca="true">IF(ISBLANK(C31),IF(AND(Fill_Example="Yes",F31&lt;&gt;""),1,0),IF(IF(ISNUMBER(C31),IF(C31&lt;=TODAY(),AND(DATEDIF(C31,TODAY(),"Y")&gt;=18,DATEDIF(C31,TODAY(),"Y")&lt;=85),FALSE()),FALSE()),1,0))</f>
        <v>0</v>
      </c>
    </row>
    <row r="32" customFormat="false" ht="15" hidden="false" customHeight="true" outlineLevel="0" collapsed="false">
      <c r="B32" s="1" t="s">
        <v>1330</v>
      </c>
      <c r="C32" s="94"/>
      <c r="D32" s="1" t="s">
        <v>1302</v>
      </c>
      <c r="E32" s="23" t="s">
        <v>1331</v>
      </c>
      <c r="F32" s="23" t="n">
        <v>0</v>
      </c>
      <c r="G32" s="95" t="n">
        <f aca="false">IF(ISBLANK(C32),IF(AND(Fill_Example="Yes",F32&lt;&gt;""),F32,0),IF(IF(ISNUMBER(C32),AND(C32&gt;=0,C32&lt;=100000000),FALSE()),C32,0))</f>
        <v>0</v>
      </c>
      <c r="H32" s="95" t="n">
        <f aca="false">IF(ISBLANK(C32),IF(AND(Fill_Example="Yes",F32&lt;&gt;""),1,0),IF(IF(ISNUMBER(C32),AND(C32&gt;=0,C32&lt;=100000000),FALSE()),1,0))</f>
        <v>0</v>
      </c>
    </row>
    <row r="33" customFormat="false" ht="15" hidden="false" customHeight="true" outlineLevel="0" collapsed="false">
      <c r="B33" s="1" t="s">
        <v>1332</v>
      </c>
      <c r="C33" s="94"/>
      <c r="D33" s="1" t="s">
        <v>1302</v>
      </c>
      <c r="E33" s="23" t="s">
        <v>1333</v>
      </c>
      <c r="F33" s="23" t="n">
        <v>3600</v>
      </c>
      <c r="G33" s="95" t="n">
        <f aca="false">IF(ISBLANK(C33),IF(AND(Fill_Example="Yes",F33&lt;&gt;""),F33,0),IF(IF(ISNUMBER(C33),AND(C33&gt;=0,C33&lt;=100000000),FALSE()),C33,0))</f>
        <v>0</v>
      </c>
      <c r="H33" s="95" t="n">
        <f aca="false">IF(ISBLANK(C33),IF(AND(Fill_Example="Yes",F33&lt;&gt;""),1,0),IF(IF(ISNUMBER(C33),AND(C33&gt;=0,C33&lt;=100000000),FALSE()),1,0))</f>
        <v>0</v>
      </c>
    </row>
    <row r="34" customFormat="false" ht="15" hidden="false" customHeight="true" outlineLevel="0" collapsed="false">
      <c r="B34" s="1" t="s">
        <v>1334</v>
      </c>
      <c r="C34" s="94"/>
      <c r="D34" s="1" t="s">
        <v>227</v>
      </c>
      <c r="E34" s="23" t="s">
        <v>1335</v>
      </c>
      <c r="F34" s="23" t="n">
        <v>1800</v>
      </c>
      <c r="G34" s="95" t="n">
        <f aca="false">IF(ISBLANK(C34),IF(AND(Fill_Example="Yes",F34&lt;&gt;""),F34,0),IF(IF(ISNUMBER(C34),AND(C34&gt;=0,C34&lt;=100000000),FALSE()),C34,0))</f>
        <v>0</v>
      </c>
      <c r="H34" s="95" t="n">
        <f aca="false">IF(ISBLANK(C34),IF(AND(Fill_Example="Yes",F34&lt;&gt;""),1,0),IF(IF(ISNUMBER(C34),AND(C34&gt;=0,C34&lt;=100000000),FALSE()),1,0))</f>
        <v>0</v>
      </c>
    </row>
    <row r="35" customFormat="false" ht="15" hidden="false" customHeight="true" outlineLevel="0" collapsed="false">
      <c r="B35" s="1" t="s">
        <v>1336</v>
      </c>
      <c r="C35" s="94"/>
      <c r="D35" s="1" t="s">
        <v>227</v>
      </c>
      <c r="E35" s="23" t="s">
        <v>1337</v>
      </c>
      <c r="F35" s="23"/>
      <c r="G35" s="95" t="n">
        <f aca="false">IF(ISBLANK(C35),IF(AND(Fill_Example="Yes",F35&lt;&gt;""),F35,0),IF(IF(ISNUMBER(C35),AND(C35&gt;=0,C35&lt;=100000000),FALSE()),C35,0))</f>
        <v>0</v>
      </c>
      <c r="H35" s="95" t="n">
        <f aca="false">IF(ISBLANK(C35),IF(AND(Fill_Example="Yes",F35&lt;&gt;""),1,0),IF(IF(ISNUMBER(C35),AND(C35&gt;=0,C35&lt;=100000000),FALSE()),1,0))</f>
        <v>0</v>
      </c>
    </row>
    <row r="36" customFormat="false" ht="15" hidden="false" customHeight="true" outlineLevel="0" collapsed="false">
      <c r="B36" s="1" t="s">
        <v>1338</v>
      </c>
      <c r="C36" s="94"/>
      <c r="D36" s="1" t="s">
        <v>1302</v>
      </c>
      <c r="E36" s="23" t="s">
        <v>1339</v>
      </c>
      <c r="F36" s="23"/>
      <c r="G36" s="95" t="n">
        <f aca="false">IF(ISBLANK(C36),IF(AND(Fill_Example="Yes",F36&lt;&gt;""),F36,0),IF(IF(ISNUMBER(C36),AND(C36&gt;=0,C36&lt;=100000000),FALSE()),C36,0))</f>
        <v>0</v>
      </c>
      <c r="H36" s="95" t="n">
        <f aca="false">IF(ISBLANK(C36),IF(AND(Fill_Example="Yes",F36&lt;&gt;""),1,0),IF(IF(ISNUMBER(C36),AND(C36&gt;=0,C36&lt;=100000000),FALSE()),1,0))</f>
        <v>0</v>
      </c>
    </row>
    <row r="37" customFormat="false" ht="15" hidden="false" customHeight="true" outlineLevel="0" collapsed="false">
      <c r="B37" s="1" t="s">
        <v>1340</v>
      </c>
      <c r="C37" s="94"/>
      <c r="E37" s="23" t="s">
        <v>1341</v>
      </c>
      <c r="F37" s="23" t="s">
        <v>1342</v>
      </c>
      <c r="G37" s="95" t="str">
        <f aca="false">IF(ISBLANK(C37),IF(Fill_Example="Yes",F37,""),IF(ISNUMBER(MATCH(C37,{"Own outright","Own with mortgage","Rent","Live with family"},0)),C37,""))</f>
        <v/>
      </c>
      <c r="H37" s="95" t="n">
        <f aca="false">IF(G37="",0,1)</f>
        <v>0</v>
      </c>
    </row>
    <row r="38" customFormat="false" ht="15" hidden="false" customHeight="true" outlineLevel="0" collapsed="false">
      <c r="B38" s="1" t="s">
        <v>527</v>
      </c>
      <c r="C38" s="94"/>
      <c r="D38" s="1" t="s">
        <v>227</v>
      </c>
      <c r="E38" s="23" t="s">
        <v>1343</v>
      </c>
      <c r="F38" s="23" t="n">
        <v>420000</v>
      </c>
      <c r="G38" s="95" t="n">
        <f aca="false">IF(ISBLANK(C38),IF(AND(Fill_Example="Yes",F38&lt;&gt;""),F38,0),IF(IF(ISNUMBER(C38),AND(C38&gt;=0,C38&lt;=100000000),FALSE()),C38,0))</f>
        <v>0</v>
      </c>
      <c r="H38" s="95" t="n">
        <f aca="false">IF(ISBLANK(C38),IF(AND(Fill_Example="Yes",F38&lt;&gt;""),1,0),IF(IF(ISNUMBER(C38),AND(C38&gt;=0,C38&lt;=100000000),FALSE()),1,0))</f>
        <v>0</v>
      </c>
    </row>
    <row r="39" customFormat="false" ht="15" hidden="false" customHeight="true" outlineLevel="0" collapsed="false">
      <c r="B39" s="1" t="s">
        <v>1344</v>
      </c>
      <c r="C39" s="94"/>
      <c r="D39" s="1" t="s">
        <v>227</v>
      </c>
      <c r="E39" s="23" t="s">
        <v>1345</v>
      </c>
      <c r="F39" s="23" t="n">
        <v>9000</v>
      </c>
      <c r="G39" s="95" t="n">
        <f aca="false">IF(ISBLANK(C39),IF(AND(Fill_Example="Yes",F39&lt;&gt;""),F39,0),IF(IF(ISNUMBER(C39),AND(C39&gt;=0,C39&lt;=100000000),FALSE()),C39,0))</f>
        <v>0</v>
      </c>
      <c r="H39" s="95" t="n">
        <f aca="false">IF(ISBLANK(C39),IF(AND(Fill_Example="Yes",F39&lt;&gt;""),1,0),IF(IF(ISNUMBER(C39),AND(C39&gt;=0,C39&lt;=100000000),FALSE()),1,0))</f>
        <v>0</v>
      </c>
    </row>
    <row r="40" customFormat="false" ht="15" hidden="false" customHeight="true" outlineLevel="0" collapsed="false">
      <c r="B40" s="1" t="s">
        <v>56</v>
      </c>
      <c r="C40" s="94"/>
      <c r="D40" s="1" t="s">
        <v>227</v>
      </c>
      <c r="E40" s="23" t="s">
        <v>1346</v>
      </c>
      <c r="F40" s="23" t="n">
        <v>6200</v>
      </c>
      <c r="G40" s="95" t="n">
        <f aca="false">IF(ISBLANK(C40),IF(AND(Fill_Example="Yes",F40&lt;&gt;""),F40,0),IF(IF(ISNUMBER(C40),AND(C40&gt;=0,C40&lt;=100000000),FALSE()),C40,0))</f>
        <v>0</v>
      </c>
      <c r="H40" s="95" t="n">
        <f aca="false">IF(ISBLANK(C40),IF(AND(Fill_Example="Yes",F40&lt;&gt;""),1,0),IF(IF(ISNUMBER(C40),AND(C40&gt;=0,C40&lt;=100000000),FALSE()),1,0))</f>
        <v>0</v>
      </c>
    </row>
    <row r="41" customFormat="false" ht="15" hidden="false" customHeight="true" outlineLevel="0" collapsed="false">
      <c r="B41" s="1" t="s">
        <v>1347</v>
      </c>
      <c r="C41" s="94"/>
      <c r="D41" s="1" t="s">
        <v>227</v>
      </c>
      <c r="E41" s="23" t="s">
        <v>1348</v>
      </c>
      <c r="F41" s="23" t="n">
        <v>203700</v>
      </c>
      <c r="G41" s="95" t="n">
        <f aca="false">IF(ISBLANK(C41),IF(AND(Fill_Example="Yes",F41&lt;&gt;""),F41,0),IF(IF(ISNUMBER(C41),AND(C41&gt;=0,C41&lt;=100000000),FALSE()),C41,0))</f>
        <v>0</v>
      </c>
      <c r="H41" s="95" t="n">
        <f aca="false">IF(ISBLANK(C41),IF(AND(Fill_Example="Yes",F41&lt;&gt;""),1,0),IF(IF(ISNUMBER(C41),AND(C41&gt;=0,C41&lt;=100000000),FALSE()),1,0))</f>
        <v>0</v>
      </c>
    </row>
    <row r="42" customFormat="false" ht="15" hidden="false" customHeight="true" outlineLevel="0" collapsed="false">
      <c r="B42" s="1" t="s">
        <v>1349</v>
      </c>
      <c r="C42" s="94"/>
      <c r="D42" s="1" t="s">
        <v>1293</v>
      </c>
      <c r="E42" s="23" t="s">
        <v>1350</v>
      </c>
      <c r="F42" s="23" t="n">
        <v>0.0385</v>
      </c>
      <c r="G42" s="95" t="n">
        <f aca="false">IF(ISBLANK(C42),IF(AND(Fill_Example="Yes",F42&lt;&gt;""),F42,0),IF(IF(ISNUMBER(C42),AND(C42&gt;=0,C42&lt;=0.3),FALSE()),C42,0))</f>
        <v>0</v>
      </c>
      <c r="H42" s="95" t="n">
        <f aca="false">IF(ISBLANK(C42),IF(AND(Fill_Example="Yes",F42&lt;&gt;""),1,0),IF(IF(ISNUMBER(C42),AND(C42&gt;=0,C42&lt;=0.3),FALSE()),1,0))</f>
        <v>0</v>
      </c>
    </row>
    <row r="43" customFormat="false" ht="15" hidden="false" customHeight="true" outlineLevel="0" collapsed="false">
      <c r="B43" s="1" t="s">
        <v>1351</v>
      </c>
      <c r="C43" s="94"/>
      <c r="D43" s="1" t="s">
        <v>1302</v>
      </c>
      <c r="E43" s="23" t="s">
        <v>1352</v>
      </c>
      <c r="F43" s="23" t="n">
        <v>1180</v>
      </c>
      <c r="G43" s="95" t="n">
        <f aca="false">IF(ISBLANK(C43),IF(AND(Fill_Example="Yes",F43&lt;&gt;""),F43,0),IF(IF(ISNUMBER(C43),AND(C43&gt;=0,C43&lt;=100000000),FALSE()),C43,0))</f>
        <v>0</v>
      </c>
      <c r="H43" s="95" t="n">
        <f aca="false">IF(ISBLANK(C43),IF(AND(Fill_Example="Yes",F43&lt;&gt;""),1,0),IF(IF(ISNUMBER(C43),AND(C43&gt;=0,C43&lt;=100000000),FALSE()),1,0))</f>
        <v>0</v>
      </c>
    </row>
    <row r="44" customFormat="false" ht="15" hidden="false" customHeight="true" outlineLevel="0" collapsed="false">
      <c r="B44" s="1" t="s">
        <v>1353</v>
      </c>
      <c r="C44" s="94"/>
      <c r="D44" s="1" t="s">
        <v>240</v>
      </c>
      <c r="E44" s="23" t="s">
        <v>1354</v>
      </c>
      <c r="F44" s="23" t="n">
        <v>21</v>
      </c>
      <c r="G44" s="95" t="n">
        <f aca="false">IF(ISBLANK(C44),IF(AND(Fill_Example="Yes",F44&lt;&gt;""),F44,0),IF(IF(ISNUMBER(C44),AND(C44&gt;=1,C44&lt;=40,C44=INT(C44)),FALSE()),C44,0))</f>
        <v>0</v>
      </c>
      <c r="H44" s="95" t="n">
        <f aca="false">IF(ISBLANK(C44),IF(AND(Fill_Example="Yes",F44&lt;&gt;""),1,0),IF(IF(ISNUMBER(C44),AND(C44&gt;=1,C44&lt;=40,C44=INT(C44)),FALSE()),1,0))</f>
        <v>0</v>
      </c>
    </row>
    <row r="45" customFormat="false" ht="15" hidden="false" customHeight="true" outlineLevel="0" collapsed="false">
      <c r="B45" s="1" t="s">
        <v>1355</v>
      </c>
      <c r="C45" s="94"/>
      <c r="D45" s="1" t="s">
        <v>227</v>
      </c>
      <c r="E45" s="23" t="s">
        <v>1356</v>
      </c>
      <c r="F45" s="23" t="n">
        <v>400</v>
      </c>
      <c r="G45" s="95" t="n">
        <f aca="false">IF(COUNT(Cards_Owed_Rng)&gt;0,SUM(Cards_Owed_Rng),IF(ISBLANK(C45),IF(AND(Fill_Example="Yes",F45&lt;&gt;""),F45,0),IF(IF(ISNUMBER(C45),AND(C45&gt;=0,C45&lt;=100000000),FALSE()),C45,0)))</f>
        <v>0</v>
      </c>
      <c r="H45" s="95" t="n">
        <f aca="false">IF(COUNT(Cards_Owed_Rng)&gt;0,1,IF(ISBLANK(C45),IF(AND(Fill_Example="Yes",F45&lt;&gt;""),1,0),IF(IF(ISNUMBER(C45),AND(C45&gt;=0,C45&lt;=100000000),FALSE()),1,0)))</f>
        <v>0</v>
      </c>
    </row>
    <row r="46" customFormat="false" ht="15" hidden="false" customHeight="true" outlineLevel="0" collapsed="false">
      <c r="B46" s="1" t="s">
        <v>1357</v>
      </c>
      <c r="C46" s="94"/>
      <c r="D46" s="1" t="s">
        <v>1302</v>
      </c>
      <c r="E46" s="23" t="s">
        <v>1358</v>
      </c>
      <c r="F46" s="23" t="n">
        <v>40</v>
      </c>
      <c r="G46" s="95" t="n">
        <f aca="false">IF(COUNT(Cards_Pay_Rng)&gt;0,SUM(Cards_Pay_Rng),IF(ISBLANK(C46),IF(AND(Fill_Example="Yes",F46&lt;&gt;""),F46,0),IF(IF(ISNUMBER(C46),AND(C46&gt;=0,C46&lt;=100000000),FALSE()),C46,0)))</f>
        <v>0</v>
      </c>
      <c r="H46" s="95" t="n">
        <f aca="false">IF(COUNT(Cards_Pay_Rng)&gt;0,1,IF(ISBLANK(C46),IF(AND(Fill_Example="Yes",F46&lt;&gt;""),1,0),IF(IF(ISNUMBER(C46),AND(C46&gt;=0,C46&lt;=100000000),FALSE()),1,0)))</f>
        <v>0</v>
      </c>
    </row>
    <row r="47" customFormat="false" ht="15" hidden="false" customHeight="true" outlineLevel="0" collapsed="false">
      <c r="B47" s="1" t="s">
        <v>1359</v>
      </c>
      <c r="C47" s="94"/>
      <c r="D47" s="1" t="s">
        <v>1293</v>
      </c>
      <c r="E47" s="23" t="s">
        <v>1360</v>
      </c>
      <c r="F47" s="23"/>
      <c r="G47" s="95" t="n">
        <f aca="false">IF(ISNUMBER(Cards_Rate_Avg),ROUND(Cards_Rate_Avg,6),IF(ISBLANK(C47),IF(AND(Fill_Example="Yes",F47&lt;&gt;""),F47,0),IF(IF(ISNUMBER(C47),AND(C47&gt;=0,C47&lt;=0.3),FALSE()),C47,0)))</f>
        <v>0</v>
      </c>
      <c r="H47" s="95" t="n">
        <f aca="false">IF(ISBLANK(C47),IF(AND(Fill_Example="Yes",F47&lt;&gt;""),1,0),IF(IF(ISNUMBER(C47),AND(C47&gt;=0,C47&lt;=0.3),FALSE()),1,0))</f>
        <v>0</v>
      </c>
    </row>
    <row r="48" customFormat="false" ht="15" hidden="false" customHeight="true" outlineLevel="0" collapsed="false">
      <c r="B48" s="1" t="s">
        <v>1361</v>
      </c>
      <c r="C48" s="94"/>
      <c r="D48" s="1" t="s">
        <v>227</v>
      </c>
      <c r="E48" s="23" t="s">
        <v>1362</v>
      </c>
      <c r="F48" s="23" t="n">
        <v>3500</v>
      </c>
      <c r="G48" s="95" t="n">
        <f aca="false">IF(COUNT(Loans_Owed_Rng)&gt;0,SUM(Loans_Owed_Rng),IF(ISBLANK(C48),IF(AND(Fill_Example="Yes",F48&lt;&gt;""),F48,0),IF(IF(ISNUMBER(C48),AND(C48&gt;=0,C48&lt;=100000000),FALSE()),C48,0)))</f>
        <v>0</v>
      </c>
      <c r="H48" s="95" t="n">
        <f aca="false">IF(COUNT(Loans_Owed_Rng)&gt;0,1,IF(ISBLANK(C48),IF(AND(Fill_Example="Yes",F48&lt;&gt;""),1,0),IF(IF(ISNUMBER(C48),AND(C48&gt;=0,C48&lt;=100000000),FALSE()),1,0)))</f>
        <v>0</v>
      </c>
    </row>
    <row r="49" customFormat="false" ht="15" hidden="false" customHeight="true" outlineLevel="0" collapsed="false">
      <c r="B49" s="1" t="s">
        <v>1363</v>
      </c>
      <c r="C49" s="94"/>
      <c r="D49" s="1" t="s">
        <v>1302</v>
      </c>
      <c r="E49" s="23" t="s">
        <v>1364</v>
      </c>
      <c r="F49" s="23" t="n">
        <v>100</v>
      </c>
      <c r="G49" s="95" t="n">
        <f aca="false">IF(COUNT(Loans_Pay_Rng)&gt;0,SUM(Loans_Pay_Rng),IF(ISBLANK(C49),IF(AND(Fill_Example="Yes",F49&lt;&gt;""),F49,0),IF(IF(ISNUMBER(C49),AND(C49&gt;=0,C49&lt;=100000000),FALSE()),C49,0)))</f>
        <v>0</v>
      </c>
      <c r="H49" s="95" t="n">
        <f aca="false">IF(COUNT(Loans_Pay_Rng)&gt;0,1,IF(ISBLANK(C49),IF(AND(Fill_Example="Yes",F49&lt;&gt;""),1,0),IF(IF(ISNUMBER(C49),AND(C49&gt;=0,C49&lt;=100000000),FALSE()),1,0)))</f>
        <v>0</v>
      </c>
    </row>
    <row r="50" customFormat="false" ht="15" hidden="false" customHeight="true" outlineLevel="0" collapsed="false">
      <c r="B50" s="1" t="s">
        <v>1365</v>
      </c>
      <c r="C50" s="94"/>
      <c r="D50" s="1" t="s">
        <v>1293</v>
      </c>
      <c r="E50" s="23" t="s">
        <v>1366</v>
      </c>
      <c r="F50" s="23"/>
      <c r="G50" s="95" t="n">
        <f aca="false">IF(ISNUMBER(Loans_Rate_Avg),ROUND(Loans_Rate_Avg,6),IF(ISBLANK(C50),IF(AND(Fill_Example="Yes",F50&lt;&gt;""),F50,0),IF(IF(ISNUMBER(C50),AND(C50&gt;=0,C50&lt;=0.3),FALSE()),C50,0)))</f>
        <v>0</v>
      </c>
      <c r="H50" s="95" t="n">
        <f aca="false">IF(ISBLANK(C50),IF(AND(Fill_Example="Yes",F50&lt;&gt;""),1,0),IF(IF(ISNUMBER(C50),AND(C50&gt;=0,C50&lt;=0.3),FALSE()),1,0))</f>
        <v>0</v>
      </c>
    </row>
    <row r="51" customFormat="false" ht="15" hidden="false" customHeight="true" outlineLevel="0" collapsed="false">
      <c r="B51" s="1" t="s">
        <v>1367</v>
      </c>
      <c r="C51" s="94"/>
      <c r="D51" s="1" t="s">
        <v>227</v>
      </c>
      <c r="E51" s="23" t="s">
        <v>1368</v>
      </c>
      <c r="F51" s="23" t="n">
        <v>0</v>
      </c>
      <c r="G51" s="95" t="n">
        <f aca="false">IF(ISBLANK(C51),IF(AND(Fill_Example="Yes",F51&lt;&gt;""),F51,0),IF(IF(ISNUMBER(C51),AND(C51&gt;=0,C51&lt;=100000000),FALSE()),C51,0))</f>
        <v>0</v>
      </c>
      <c r="H51" s="95" t="n">
        <f aca="false">IF(ISBLANK(C51),IF(AND(Fill_Example="Yes",F51&lt;&gt;""),1,0),IF(IF(ISNUMBER(C51),AND(C51&gt;=0,C51&lt;=100000000),FALSE()),1,0))</f>
        <v>0</v>
      </c>
    </row>
    <row r="52" customFormat="false" ht="15" hidden="false" customHeight="true" outlineLevel="0" collapsed="false">
      <c r="B52" s="1" t="s">
        <v>1369</v>
      </c>
      <c r="C52" s="94"/>
      <c r="D52" s="1" t="s">
        <v>1302</v>
      </c>
      <c r="E52" s="23" t="s">
        <v>1370</v>
      </c>
      <c r="F52" s="23" t="n">
        <v>0</v>
      </c>
      <c r="G52" s="95" t="n">
        <f aca="false">IF(ISBLANK(C52),IF(AND(Fill_Example="Yes",F52&lt;&gt;""),F52,0),IF(IF(ISNUMBER(C52),AND(C52&gt;=0,C52&lt;=100000000),FALSE()),C52,0))</f>
        <v>0</v>
      </c>
      <c r="H52" s="95" t="n">
        <f aca="false">IF(ISBLANK(C52),IF(AND(Fill_Example="Yes",F52&lt;&gt;""),1,0),IF(IF(ISNUMBER(C52),AND(C52&gt;=0,C52&lt;=100000000),FALSE()),1,0))</f>
        <v>0</v>
      </c>
    </row>
    <row r="53" customFormat="false" ht="15" hidden="false" customHeight="true" outlineLevel="0" collapsed="false">
      <c r="B53" s="1" t="s">
        <v>1371</v>
      </c>
      <c r="C53" s="94"/>
      <c r="D53" s="1" t="s">
        <v>227</v>
      </c>
      <c r="E53" s="23" t="s">
        <v>1372</v>
      </c>
      <c r="F53" s="23" t="n">
        <v>72000</v>
      </c>
      <c r="G53" s="95" t="n">
        <f aca="false">IF(COUNT(Pens_Value_Rng)&gt;0,SUM(Pens_Value_Rng),IF(ISBLANK(C53),IF(AND(Fill_Example="Yes",F53&lt;&gt;""),F53,0),IF(IF(ISNUMBER(C53),AND(C53&gt;=0,C53&lt;=100000000),FALSE()),C53,0)))</f>
        <v>0</v>
      </c>
      <c r="H53" s="95" t="n">
        <f aca="false">IF(COUNT(Pens_Value_Rng)&gt;0,1,IF(ISBLANK(C53),IF(AND(Fill_Example="Yes",F53&lt;&gt;""),1,0),IF(IF(ISNUMBER(C53),AND(C53&gt;=0,C53&lt;=100000000),FALSE()),1,0)))</f>
        <v>0</v>
      </c>
    </row>
    <row r="54" customFormat="false" ht="15" hidden="false" customHeight="true" outlineLevel="0" collapsed="false">
      <c r="B54" s="1" t="s">
        <v>1373</v>
      </c>
      <c r="C54" s="94"/>
      <c r="D54" s="1" t="s">
        <v>1302</v>
      </c>
      <c r="E54" s="23" t="s">
        <v>1374</v>
      </c>
      <c r="F54" s="23" t="n">
        <v>520</v>
      </c>
      <c r="G54" s="95" t="n">
        <f aca="false">IF(COUNT(Pens_Monthly_Rng)&gt;0,SUM(Pens_Monthly_Rng),IF(ISBLANK(C54),IF(AND(Fill_Example="Yes",F54&lt;&gt;""),F54,0),IF(IF(ISNUMBER(C54),AND(C54&gt;=0,C54&lt;=100000000),FALSE()),C54,0)))</f>
        <v>0</v>
      </c>
      <c r="H54" s="95" t="n">
        <f aca="false">IF(COUNT(Pens_Monthly_Rng)&gt;0,1,IF(ISBLANK(C54),IF(AND(Fill_Example="Yes",F54&lt;&gt;""),1,0),IF(IF(ISNUMBER(C54),AND(C54&gt;=0,C54&lt;=100000000),FALSE()),1,0)))</f>
        <v>0</v>
      </c>
    </row>
    <row r="55" customFormat="false" ht="15" hidden="false" customHeight="true" outlineLevel="0" collapsed="false">
      <c r="B55" s="1" t="s">
        <v>1375</v>
      </c>
      <c r="C55" s="94"/>
      <c r="D55" s="1" t="s">
        <v>1302</v>
      </c>
      <c r="E55" s="23" t="s">
        <v>1376</v>
      </c>
      <c r="F55" s="23"/>
      <c r="G55" s="95" t="n">
        <f aca="false">IF(COUNT(Pens_Monthly_Rng)&gt;0,IF(Pens_OwnGiven=1,Pens_Own_Total,0),IF(ISBLANK(C55),IF(AND(Fill_Example="Yes",F55&lt;&gt;""),F55,0),IF(IF(ISNUMBER(C55),AND(C55&gt;=0,C55&lt;=100000000),FALSE()),C55,0)))</f>
        <v>0</v>
      </c>
      <c r="H55" s="95" t="n">
        <f aca="false">IF(COUNT(Pens_Monthly_Rng)&gt;0,Pens_OwnGiven,IF(ISBLANK(C55),IF(AND(Fill_Example="Yes",F55&lt;&gt;""),1,0),IF(IF(ISNUMBER(C55),AND(C55&gt;=0,C55&lt;=100000000),FALSE()),1,0)))</f>
        <v>0</v>
      </c>
    </row>
    <row r="56" customFormat="false" ht="15" hidden="false" customHeight="true" outlineLevel="0" collapsed="false">
      <c r="B56" s="1" t="s">
        <v>1377</v>
      </c>
      <c r="C56" s="94"/>
      <c r="D56" s="1" t="s">
        <v>1293</v>
      </c>
      <c r="E56" s="23" t="s">
        <v>1378</v>
      </c>
      <c r="F56" s="23"/>
      <c r="G56" s="95" t="n">
        <f aca="false">IF(ISBLANK(C56),IF(AND(Fill_Example="Yes",F56&lt;&gt;""),F56,0),IF(IF(ISNUMBER(C56),AND(C56&gt;=0,C56&lt;=0.05),FALSE()),C56,0))</f>
        <v>0</v>
      </c>
      <c r="H56" s="95" t="n">
        <f aca="false">IF(ISBLANK(C56),IF(AND(Fill_Example="Yes",F56&lt;&gt;""),1,0),IF(IF(ISNUMBER(C56),AND(C56&gt;=0,C56&lt;=0.05),FALSE()),1,0))</f>
        <v>0</v>
      </c>
    </row>
    <row r="57" customFormat="false" ht="15" hidden="false" customHeight="true" outlineLevel="0" collapsed="false">
      <c r="B57" s="1" t="s">
        <v>1379</v>
      </c>
      <c r="C57" s="94"/>
      <c r="E57" s="23" t="s">
        <v>1380</v>
      </c>
      <c r="F57" s="23"/>
      <c r="G57" s="95" t="str">
        <f aca="false">IF(ISBLANK(C57),IF(Fill_Example="Yes",F57,""),IF(ISNUMBER(MATCH(C57,{"Yes","No","Not sure"},0)),C57,""))</f>
        <v/>
      </c>
      <c r="H57" s="95" t="n">
        <f aca="false">IF(G57="",0,1)</f>
        <v>0</v>
      </c>
    </row>
    <row r="58" customFormat="false" ht="15" hidden="false" customHeight="true" outlineLevel="0" collapsed="false">
      <c r="B58" s="1" t="s">
        <v>1381</v>
      </c>
      <c r="C58" s="94"/>
      <c r="E58" s="23" t="s">
        <v>1382</v>
      </c>
      <c r="F58" s="23" t="s">
        <v>1383</v>
      </c>
      <c r="G58" s="95" t="str">
        <f aca="false">IF(ISBLANK(C58),IF(Fill_Example="Yes",F58,""),IF(ISNUMBER(MATCH(C58,{"Expect full","Partly","Not sure"},0)),C58,""))</f>
        <v/>
      </c>
      <c r="H58" s="95" t="n">
        <f aca="false">IF(G58="",0,1)</f>
        <v>0</v>
      </c>
    </row>
    <row r="59" customFormat="false" ht="15" hidden="false" customHeight="true" outlineLevel="0" collapsed="false">
      <c r="B59" s="1" t="s">
        <v>1384</v>
      </c>
      <c r="C59" s="94"/>
      <c r="D59" s="1" t="s">
        <v>240</v>
      </c>
      <c r="E59" s="23" t="s">
        <v>1385</v>
      </c>
      <c r="F59" s="23"/>
      <c r="G59" s="95" t="n">
        <f aca="false">IF(ISBLANK(C59),IF(AND(Fill_Example="Yes",F59&lt;&gt;""),F59,0),IF(IF(ISNUMBER(C59),AND(C59&gt;=0,C59&lt;=45,C59=INT(C59)),FALSE()),C59,0))</f>
        <v>0</v>
      </c>
      <c r="H59" s="95" t="n">
        <f aca="false">IF(ISBLANK(C59),IF(AND(Fill_Example="Yes",F59&lt;&gt;""),1,0),IF(IF(ISNUMBER(C59),AND(C59&gt;=0,C59&lt;=45,C59=INT(C59)),FALSE()),1,0))</f>
        <v>0</v>
      </c>
    </row>
    <row r="60" customFormat="false" ht="15" hidden="false" customHeight="true" outlineLevel="0" collapsed="false">
      <c r="B60" s="1" t="s">
        <v>1386</v>
      </c>
      <c r="C60" s="94"/>
      <c r="E60" s="23" t="s">
        <v>1387</v>
      </c>
      <c r="F60" s="23"/>
      <c r="G60" s="95" t="str">
        <f aca="false">IF(ISBLANK(C60),IF(Fill_Example="Yes",F60,""),IF(ISNUMBER(MATCH(C60,{"Own full","Own partial","Qualified adult increase","None","Not sure"},0)),C60,""))</f>
        <v/>
      </c>
      <c r="H60" s="95" t="n">
        <f aca="false">IF(G60="",0,1)</f>
        <v>0</v>
      </c>
    </row>
    <row r="61" customFormat="false" ht="15" hidden="false" customHeight="true" outlineLevel="0" collapsed="false">
      <c r="B61" s="1" t="s">
        <v>1388</v>
      </c>
      <c r="C61" s="94"/>
      <c r="E61" s="23" t="s">
        <v>1389</v>
      </c>
      <c r="F61" s="23" t="s">
        <v>236</v>
      </c>
      <c r="G61" s="95" t="str">
        <f aca="false">IF(ISBLANK(C61),IF(Fill_Example="Yes",F61,""),IF(ISNUMBER(MATCH(C61,{"Yes","No","Not sure"},0)),C61,""))</f>
        <v/>
      </c>
      <c r="H61" s="95" t="n">
        <f aca="false">IF(G61="",0,1)</f>
        <v>0</v>
      </c>
    </row>
    <row r="62" customFormat="false" ht="15" hidden="false" customHeight="true" outlineLevel="0" collapsed="false">
      <c r="B62" s="1" t="s">
        <v>1390</v>
      </c>
      <c r="C62" s="94"/>
      <c r="E62" s="23" t="s">
        <v>1391</v>
      </c>
      <c r="F62" s="23" t="s">
        <v>3</v>
      </c>
      <c r="G62" s="95" t="str">
        <f aca="false">IF(ISBLANK(C62),IF(Fill_Example="Yes",F62,""),IF(ISNUMBER(MATCH(C62,{"Yes","No","Not sure"},0)),C62,""))</f>
        <v/>
      </c>
      <c r="H62" s="95" t="n">
        <f aca="false">IF(G62="",0,1)</f>
        <v>0</v>
      </c>
    </row>
    <row r="63" customFormat="false" ht="15" hidden="false" customHeight="true" outlineLevel="0" collapsed="false">
      <c r="B63" s="1" t="s">
        <v>1392</v>
      </c>
      <c r="C63" s="94"/>
      <c r="E63" s="23" t="s">
        <v>1393</v>
      </c>
      <c r="F63" s="23" t="s">
        <v>1394</v>
      </c>
      <c r="G63" s="95" t="str">
        <f aca="false">IF(ISBLANK(C63),IF(Fill_Example="Yes",F63,""),IF(ISNUMBER(MATCH(C63,{"Yes","No","Not sure"},0)),C63,""))</f>
        <v/>
      </c>
      <c r="H63" s="95" t="n">
        <f aca="false">IF(G63="",0,1)</f>
        <v>0</v>
      </c>
    </row>
    <row r="64" customFormat="false" ht="15" hidden="false" customHeight="true" outlineLevel="0" collapsed="false">
      <c r="B64" s="1" t="s">
        <v>1395</v>
      </c>
      <c r="C64" s="94"/>
      <c r="E64" s="23" t="s">
        <v>1396</v>
      </c>
      <c r="F64" s="23" t="s">
        <v>236</v>
      </c>
      <c r="G64" s="95" t="str">
        <f aca="false">IF(ISBLANK(C64),IF(Fill_Example="Yes",F64,""),IF(ISNUMBER(MATCH(C64,{"Yes","No","Not sure"},0)),C64,""))</f>
        <v/>
      </c>
      <c r="H64" s="95" t="n">
        <f aca="false">IF(G64="",0,1)</f>
        <v>0</v>
      </c>
    </row>
    <row r="65" customFormat="false" ht="15" hidden="false" customHeight="true" outlineLevel="0" collapsed="false">
      <c r="B65" s="1" t="s">
        <v>1397</v>
      </c>
      <c r="C65" s="94"/>
      <c r="E65" s="23" t="s">
        <v>1398</v>
      </c>
      <c r="F65" s="23" t="s">
        <v>236</v>
      </c>
      <c r="G65" s="95" t="str">
        <f aca="false">IF(ISBLANK(C65),IF(Fill_Example="Yes",F65,""),IF(ISNUMBER(MATCH(C65,{"Yes","No","Not sure"},0)),C65,""))</f>
        <v/>
      </c>
      <c r="H65" s="95" t="n">
        <f aca="false">IF(G65="",0,1)</f>
        <v>0</v>
      </c>
    </row>
    <row r="67" customFormat="false" ht="15" hidden="false" customHeight="true" outlineLevel="0" collapsed="false">
      <c r="B67" s="93" t="s">
        <v>1399</v>
      </c>
      <c r="C67" s="93" t="s">
        <v>222</v>
      </c>
      <c r="D67" s="93" t="s">
        <v>223</v>
      </c>
      <c r="E67" s="93" t="s">
        <v>1272</v>
      </c>
      <c r="F67" s="93" t="s">
        <v>1273</v>
      </c>
      <c r="G67" s="93" t="s">
        <v>1274</v>
      </c>
      <c r="H67" s="93" t="s">
        <v>1275</v>
      </c>
    </row>
    <row r="68" customFormat="false" ht="15" hidden="false" customHeight="true" outlineLevel="0" collapsed="false">
      <c r="B68" s="1" t="s">
        <v>1400</v>
      </c>
      <c r="C68" s="94"/>
      <c r="E68" s="23" t="s">
        <v>1401</v>
      </c>
      <c r="F68" s="23"/>
      <c r="G68" s="95" t="str">
        <f aca="false">IF(ISBLANK(C68),IF(Fill_Example="Yes",F68,""),IF(ISNUMBER(MATCH(C68,{"Yes","No"},0)),C68,""))</f>
        <v/>
      </c>
      <c r="H68" s="95" t="n">
        <f aca="false">IF(G68="",0,1)</f>
        <v>0</v>
      </c>
    </row>
    <row r="69" customFormat="false" ht="15" hidden="false" customHeight="true" outlineLevel="0" collapsed="false">
      <c r="B69" s="1" t="s">
        <v>1402</v>
      </c>
      <c r="C69" s="94"/>
      <c r="E69" s="23" t="s">
        <v>1403</v>
      </c>
      <c r="F69" s="23"/>
      <c r="G69" s="95" t="str">
        <f aca="false">IF(ISBLANK(C69),IF(Fill_Example="Yes",F69,""),IF(TRUE(),C69,""))</f>
        <v/>
      </c>
      <c r="H69" s="95" t="n">
        <f aca="false">IF(G69="",0,1)</f>
        <v>0</v>
      </c>
    </row>
    <row r="70" customFormat="false" ht="15" hidden="false" customHeight="true" outlineLevel="0" collapsed="false">
      <c r="B70" s="1" t="s">
        <v>1404</v>
      </c>
      <c r="C70" s="94"/>
      <c r="E70" s="23" t="s">
        <v>1405</v>
      </c>
      <c r="F70" s="23"/>
      <c r="G70" s="95" t="str">
        <f aca="false">IF(ISBLANK(C70),IF(Fill_Example="Yes",F70,""),IF(ISNUMBER(MATCH(C70,{"Yes","No"},0)),C70,""))</f>
        <v/>
      </c>
      <c r="H70" s="95" t="n">
        <f aca="false">IF(G70="",0,1)</f>
        <v>0</v>
      </c>
    </row>
    <row r="71" customFormat="false" ht="15" hidden="false" customHeight="true" outlineLevel="0" collapsed="false">
      <c r="B71" s="1" t="s">
        <v>1406</v>
      </c>
      <c r="C71" s="94"/>
      <c r="E71" s="23" t="s">
        <v>1407</v>
      </c>
      <c r="F71" s="23"/>
      <c r="G71" s="95" t="str">
        <f aca="false">IF(ISBLANK(C71),IF(Fill_Example="Yes",F71,""),IF(ISNUMBER(MATCH(C71,{"Yes","No"},0)),C71,""))</f>
        <v/>
      </c>
      <c r="H71" s="95" t="n">
        <f aca="false">IF(G71="",0,1)</f>
        <v>0</v>
      </c>
    </row>
    <row r="72" customFormat="false" ht="15" hidden="false" customHeight="true" outlineLevel="0" collapsed="false">
      <c r="B72" s="1" t="s">
        <v>1408</v>
      </c>
      <c r="C72" s="94"/>
      <c r="E72" s="23" t="s">
        <v>1409</v>
      </c>
      <c r="F72" s="23"/>
      <c r="G72" s="95" t="str">
        <f aca="false">IF(ISBLANK(C72),IF(Fill_Example="Yes",F72,""),IF(ISNUMBER(MATCH(C72,{"Yes","No"},0)),C72,""))</f>
        <v/>
      </c>
      <c r="H72" s="95" t="n">
        <f aca="false">IF(G72="",0,1)</f>
        <v>0</v>
      </c>
    </row>
    <row r="73" customFormat="false" ht="15" hidden="false" customHeight="true" outlineLevel="0" collapsed="false">
      <c r="B73" s="1" t="s">
        <v>1410</v>
      </c>
      <c r="C73" s="94"/>
      <c r="E73" s="23" t="s">
        <v>1411</v>
      </c>
      <c r="F73" s="23"/>
      <c r="G73" s="95" t="str">
        <f aca="false">IF(ISBLANK(C73),IF(Fill_Example="Yes",F73,""),IF(ISNUMBER(MATCH(C73,{"Yes","No"},0)),C73,""))</f>
        <v/>
      </c>
      <c r="H73" s="95" t="n">
        <f aca="false">IF(G73="",0,1)</f>
        <v>0</v>
      </c>
    </row>
    <row r="74" customFormat="false" ht="15" hidden="false" customHeight="true" outlineLevel="0" collapsed="false">
      <c r="B74" s="1" t="s">
        <v>1412</v>
      </c>
      <c r="C74" s="94"/>
      <c r="E74" s="23" t="s">
        <v>1413</v>
      </c>
      <c r="F74" s="23"/>
      <c r="G74" s="95" t="str">
        <f aca="false">IF(ISBLANK(C74),IF(Fill_Example="Yes",F74,""),IF(ISNUMBER(MATCH(C74,{"Yes","No"},0)),C74,""))</f>
        <v/>
      </c>
      <c r="H74" s="95" t="n">
        <f aca="false">IF(G74="",0,1)</f>
        <v>0</v>
      </c>
    </row>
    <row r="75" customFormat="false" ht="15" hidden="false" customHeight="true" outlineLevel="0" collapsed="false">
      <c r="B75" s="1" t="s">
        <v>1414</v>
      </c>
      <c r="C75" s="94"/>
      <c r="E75" s="23" t="s">
        <v>1415</v>
      </c>
      <c r="F75" s="23"/>
      <c r="G75" s="95" t="str">
        <f aca="false">IF(ISBLANK(C75),IF(Fill_Example="Yes",F75,""),IF(ISNUMBER(MATCH(C75,{"Yes","No"},0)),C75,""))</f>
        <v/>
      </c>
      <c r="H75" s="95" t="n">
        <f aca="false">IF(G75="",0,1)</f>
        <v>0</v>
      </c>
    </row>
    <row r="76" customFormat="false" ht="15" hidden="false" customHeight="true" outlineLevel="0" collapsed="false">
      <c r="B76" s="1" t="s">
        <v>1416</v>
      </c>
      <c r="C76" s="94"/>
      <c r="E76" s="23" t="s">
        <v>1417</v>
      </c>
      <c r="F76" s="23"/>
      <c r="G76" s="95" t="str">
        <f aca="false">IF(ISBLANK(C76),IF(Fill_Example="Yes",F76,""),IF(ISNUMBER(MATCH(C76,{"Yes","No"},0)),C76,""))</f>
        <v/>
      </c>
      <c r="H76" s="95" t="n">
        <f aca="false">IF(G76="",0,1)</f>
        <v>0</v>
      </c>
    </row>
    <row r="77" customFormat="false" ht="15" hidden="false" customHeight="true" outlineLevel="0" collapsed="false">
      <c r="B77" s="1" t="s">
        <v>1418</v>
      </c>
      <c r="C77" s="94"/>
      <c r="E77" s="23" t="s">
        <v>1419</v>
      </c>
      <c r="F77" s="23"/>
      <c r="G77" s="95" t="str">
        <f aca="false">IF(ISBLANK(C77),IF(Fill_Example="Yes",F77,""),IF(ISNUMBER(MATCH(C77,{"Yes","No"},0)),C77,""))</f>
        <v/>
      </c>
      <c r="H77" s="95" t="n">
        <f aca="false">IF(G77="",0,1)</f>
        <v>0</v>
      </c>
    </row>
    <row r="78" customFormat="false" ht="15" hidden="false" customHeight="true" outlineLevel="0" collapsed="false">
      <c r="B78" s="1" t="s">
        <v>1420</v>
      </c>
      <c r="C78" s="94"/>
      <c r="E78" s="23" t="s">
        <v>1421</v>
      </c>
      <c r="F78" s="23" t="s">
        <v>1422</v>
      </c>
      <c r="G78" s="95" t="str">
        <f aca="false">IF(ISBLANK(C78),IF(Fill_Example="Yes",F78,""),IF(TRUE(),C78,""))</f>
        <v/>
      </c>
      <c r="H78" s="95" t="n">
        <f aca="false">IF(G78="",0,1)</f>
        <v>0</v>
      </c>
    </row>
    <row r="79" customFormat="false" ht="15" hidden="false" customHeight="true" outlineLevel="0" collapsed="false">
      <c r="B79" s="1" t="s">
        <v>1423</v>
      </c>
      <c r="C79" s="94"/>
      <c r="E79" s="23" t="s">
        <v>1424</v>
      </c>
      <c r="F79" s="23"/>
      <c r="G79" s="95" t="str">
        <f aca="false">IF(ISBLANK(C79),IF(Fill_Example="Yes",F79,""),IF(TRUE(),C79,""))</f>
        <v/>
      </c>
      <c r="H79" s="95" t="n">
        <f aca="false">IF(G79="",0,1)</f>
        <v>0</v>
      </c>
    </row>
    <row r="81" customFormat="false" ht="15" hidden="false" customHeight="true" outlineLevel="0" collapsed="false">
      <c r="B81" s="93" t="s">
        <v>1425</v>
      </c>
      <c r="C81" s="93" t="s">
        <v>222</v>
      </c>
      <c r="D81" s="93" t="s">
        <v>223</v>
      </c>
      <c r="E81" s="93" t="s">
        <v>1272</v>
      </c>
      <c r="F81" s="93" t="s">
        <v>1273</v>
      </c>
      <c r="G81" s="93" t="s">
        <v>1274</v>
      </c>
      <c r="H81" s="93" t="s">
        <v>1275</v>
      </c>
    </row>
    <row r="82" customFormat="false" ht="15" hidden="false" customHeight="true" outlineLevel="0" collapsed="false">
      <c r="B82" s="1" t="s">
        <v>1426</v>
      </c>
      <c r="C82" s="94"/>
      <c r="D82" s="1" t="s">
        <v>1293</v>
      </c>
      <c r="E82" s="23" t="s">
        <v>1427</v>
      </c>
      <c r="F82" s="98" t="n">
        <f aca="false">Set_inv</f>
        <v>0.026</v>
      </c>
      <c r="G82" s="95" t="str">
        <f aca="false">IF(ISBLANK(C82),IF(AND(Fill_Example="Yes",F82&lt;&gt;""),F82,""),IF(IF(ISNUMBER(C82),AND(C82&gt;=0,C82&lt;=0.07),FALSE()),C82,""))</f>
        <v/>
      </c>
      <c r="H82" s="95" t="n">
        <f aca="false">IF(G82="",0,1)</f>
        <v>0</v>
      </c>
    </row>
    <row r="83" customFormat="false" ht="15" hidden="false" customHeight="true" outlineLevel="0" collapsed="false">
      <c r="B83" s="1" t="s">
        <v>1428</v>
      </c>
      <c r="C83" s="94"/>
      <c r="D83" s="1" t="s">
        <v>1293</v>
      </c>
      <c r="E83" s="23" t="s">
        <v>1429</v>
      </c>
      <c r="F83" s="98" t="n">
        <f aca="false">Set_cash</f>
        <v>0.01</v>
      </c>
      <c r="G83" s="95" t="str">
        <f aca="false">IF(ISBLANK(C83),IF(AND(Fill_Example="Yes",F83&lt;&gt;""),F83,""),IF(IF(ISNUMBER(C83),AND(C83&gt;=0,C83&lt;=0.04),FALSE()),C83,""))</f>
        <v/>
      </c>
      <c r="H83" s="95" t="n">
        <f aca="false">IF(G83="",0,1)</f>
        <v>0</v>
      </c>
    </row>
    <row r="84" customFormat="false" ht="15" hidden="false" customHeight="true" outlineLevel="0" collapsed="false">
      <c r="B84" s="1" t="s">
        <v>1430</v>
      </c>
      <c r="C84" s="94"/>
      <c r="D84" s="1" t="s">
        <v>1293</v>
      </c>
      <c r="E84" s="23" t="s">
        <v>1431</v>
      </c>
      <c r="F84" s="98" t="n">
        <f aca="false">Set_pen</f>
        <v>0.045</v>
      </c>
      <c r="G84" s="95" t="str">
        <f aca="false">IF(ISBLANK(C84),IF(AND(Fill_Example="Yes",F84&lt;&gt;""),F84,""),IF(IF(ISNUMBER(C84),AND(C84&gt;=0,C84&lt;=0.07),FALSE()),C84,""))</f>
        <v/>
      </c>
      <c r="H84" s="95" t="n">
        <f aca="false">IF(G84="",0,1)</f>
        <v>0</v>
      </c>
    </row>
    <row r="85" customFormat="false" ht="15" hidden="false" customHeight="true" outlineLevel="0" collapsed="false">
      <c r="B85" s="1" t="s">
        <v>1432</v>
      </c>
      <c r="C85" s="94"/>
      <c r="D85" s="1" t="s">
        <v>1293</v>
      </c>
      <c r="E85" s="23" t="s">
        <v>1433</v>
      </c>
      <c r="F85" s="98" t="n">
        <f aca="false">Set_penRet</f>
        <v>0.0315</v>
      </c>
      <c r="G85" s="95" t="str">
        <f aca="false">IF(ISBLANK(C85),IF(AND(Fill_Example="Yes",F85&lt;&gt;""),F85,""),IF(IF(ISNUMBER(C85),AND(C85&gt;=0,C85&lt;=0.07),FALSE()),C85,""))</f>
        <v/>
      </c>
      <c r="H85" s="95" t="n">
        <f aca="false">IF(G85="",0,1)</f>
        <v>0</v>
      </c>
    </row>
    <row r="86" customFormat="false" ht="15" hidden="false" customHeight="true" outlineLevel="0" collapsed="false">
      <c r="B86" s="1" t="s">
        <v>1434</v>
      </c>
      <c r="C86" s="94"/>
      <c r="D86" s="1" t="s">
        <v>1293</v>
      </c>
      <c r="E86" s="23" t="s">
        <v>1435</v>
      </c>
      <c r="F86" s="98" t="n">
        <f aca="false">Set_wage</f>
        <v>0.03</v>
      </c>
      <c r="G86" s="95" t="str">
        <f aca="false">IF(ISBLANK(C86),IF(AND(Fill_Example="Yes",F86&lt;&gt;""),F86,""),IF(IF(ISNUMBER(C86),AND(C86&gt;=0,C86&lt;=0.06),FALSE()),C86,""))</f>
        <v/>
      </c>
      <c r="H86" s="95" t="n">
        <f aca="false">IF(G86="",0,1)</f>
        <v>0</v>
      </c>
    </row>
    <row r="87" customFormat="false" ht="15" hidden="false" customHeight="true" outlineLevel="0" collapsed="false">
      <c r="B87" s="1" t="s">
        <v>1436</v>
      </c>
      <c r="C87" s="94"/>
      <c r="E87" s="23" t="s">
        <v>1437</v>
      </c>
      <c r="F87" s="23" t="str">
        <f aca="false">Set_bands</f>
        <v>prices</v>
      </c>
      <c r="G87" s="95" t="str">
        <f aca="false">IF(ISBLANK(C87),IF(AND(Fill_Example="Yes",F87&lt;&gt;""),F87,""),IF(ISNUMBER(MATCH(C87,{"prices","flat"},0)),C87,""))</f>
        <v/>
      </c>
      <c r="H87" s="95" t="n">
        <f aca="false">IF(G87="",0,1)</f>
        <v>0</v>
      </c>
    </row>
    <row r="88" customFormat="false" ht="15" hidden="false" customHeight="true" outlineLevel="0" collapsed="false">
      <c r="B88" s="1" t="s">
        <v>1438</v>
      </c>
      <c r="C88" s="94"/>
      <c r="E88" s="23" t="s">
        <v>1439</v>
      </c>
      <c r="F88" s="23" t="str">
        <f aca="false">Set_spGrow</f>
        <v>prices</v>
      </c>
      <c r="G88" s="95" t="str">
        <f aca="false">IF(ISBLANK(C88),IF(AND(Fill_Example="Yes",F88&lt;&gt;""),F88,""),IF(ISNUMBER(MATCH(C88,{"prices","pay","flat"},0)),C88,""))</f>
        <v/>
      </c>
      <c r="H88" s="95" t="n">
        <f aca="false">IF(G88="",0,1)</f>
        <v>0</v>
      </c>
    </row>
    <row r="89" customFormat="false" ht="15" hidden="false" customHeight="true" outlineLevel="0" collapsed="false">
      <c r="B89" s="1" t="s">
        <v>1440</v>
      </c>
      <c r="C89" s="94"/>
      <c r="D89" s="1" t="s">
        <v>1293</v>
      </c>
      <c r="E89" s="23" t="s">
        <v>1441</v>
      </c>
      <c r="F89" s="98" t="n">
        <f aca="false">IF(In_work="Self-employed",1,Set_ownShare)</f>
        <v>0.5</v>
      </c>
      <c r="G89" s="95" t="str">
        <f aca="false">IF(ISBLANK(C89),IF(AND(Fill_Example="Yes",F89&lt;&gt;""),F89,""),IF(IF(ISNUMBER(C89),AND(C89&gt;=0,C89&lt;=1),FALSE()),C89,""))</f>
        <v/>
      </c>
      <c r="H89" s="95" t="n">
        <f aca="false">IF(G89="",0,1)</f>
        <v>0</v>
      </c>
    </row>
    <row r="90" customFormat="false" ht="15" hidden="false" customHeight="true" outlineLevel="0" collapsed="false">
      <c r="B90" s="1" t="s">
        <v>1442</v>
      </c>
      <c r="C90" s="94"/>
      <c r="D90" s="1" t="s">
        <v>715</v>
      </c>
      <c r="E90" s="23" t="s">
        <v>1443</v>
      </c>
      <c r="F90" s="23" t="n">
        <f aca="false">Set_accessAge</f>
        <v>60</v>
      </c>
      <c r="G90" s="95" t="str">
        <f aca="false">IF(ISBLANK(C90),IF(AND(Fill_Example="Yes",F90&lt;&gt;""),F90,""),IF(ISNUMBER(MATCH(C90,{50,60},0)),C90,""))</f>
        <v/>
      </c>
      <c r="H90" s="95" t="n">
        <f aca="false">IF(G90="",0,1)</f>
        <v>0</v>
      </c>
    </row>
    <row r="91" customFormat="false" ht="15" hidden="false" customHeight="true" outlineLevel="0" collapsed="false">
      <c r="B91" s="1" t="s">
        <v>1444</v>
      </c>
      <c r="C91" s="94"/>
      <c r="D91" s="1" t="s">
        <v>1293</v>
      </c>
      <c r="E91" s="23" t="s">
        <v>1445</v>
      </c>
      <c r="F91" s="98" t="n">
        <f aca="false">Set_retireSpend</f>
        <v>0.8</v>
      </c>
      <c r="G91" s="95" t="str">
        <f aca="false">IF(ISBLANK(C91),IF(AND(Fill_Example="Yes",F91&lt;&gt;""),F91,""),IF(IF(ISNUMBER(C91),AND(C91&gt;=0.5,C91&lt;=1.2),FALSE()),C91,""))</f>
        <v/>
      </c>
      <c r="H91" s="95" t="n">
        <f aca="false">IF(G91="",0,1)</f>
        <v>0</v>
      </c>
    </row>
    <row r="92" customFormat="false" ht="15" hidden="false" customHeight="true" outlineLevel="0" collapsed="false">
      <c r="B92" s="1" t="s">
        <v>1446</v>
      </c>
      <c r="C92" s="94"/>
      <c r="D92" s="1" t="s">
        <v>1293</v>
      </c>
      <c r="E92" s="23" t="s">
        <v>1447</v>
      </c>
      <c r="F92" s="98" t="n">
        <f aca="false">Set_lumpSum</f>
        <v>0.25</v>
      </c>
      <c r="G92" s="95" t="str">
        <f aca="false">IF(ISBLANK(C92),IF(AND(Fill_Example="Yes",F92&lt;&gt;""),F92,""),IF(IF(ISNUMBER(C92),AND(C92&gt;=0,C92&lt;=0.25),FALSE()),C92,""))</f>
        <v/>
      </c>
      <c r="H92" s="95" t="n">
        <f aca="false">IF(G92="",0,1)</f>
        <v>0</v>
      </c>
    </row>
    <row r="93" customFormat="false" ht="15" hidden="false" customHeight="true" outlineLevel="0" collapsed="false">
      <c r="B93" s="1" t="s">
        <v>1448</v>
      </c>
      <c r="C93" s="94"/>
      <c r="E93" s="23" t="s">
        <v>1449</v>
      </c>
      <c r="F93" s="23" t="str">
        <f aca="false">Set_drawRule</f>
        <v>spread</v>
      </c>
      <c r="G93" s="95" t="str">
        <f aca="false">IF(ISBLANK(C93),IF(AND(Fill_Example="Yes",F93&lt;&gt;""),F93,""),IF(ISNUMBER(MATCH(C93,{"spread","min","fixed"},0)),C93,""))</f>
        <v/>
      </c>
      <c r="H93" s="95" t="n">
        <f aca="false">IF(G93="",0,1)</f>
        <v>0</v>
      </c>
    </row>
    <row r="94" customFormat="false" ht="15" hidden="false" customHeight="true" outlineLevel="0" collapsed="false">
      <c r="B94" s="1" t="s">
        <v>1450</v>
      </c>
      <c r="C94" s="94"/>
      <c r="D94" s="1" t="s">
        <v>227</v>
      </c>
      <c r="E94" s="23" t="s">
        <v>1451</v>
      </c>
      <c r="F94" s="23"/>
      <c r="G94" s="95" t="str">
        <f aca="false">IF(ISBLANK(C94),IF(AND(Fill_Example="Yes",F94&lt;&gt;""),F94,""),IF(IF(ISNUMBER(C94),AND(C94&gt;=0,C94&lt;=200000),FALSE()),C94,""))</f>
        <v/>
      </c>
      <c r="H94" s="95" t="n">
        <f aca="false">IF(G94="",0,1)</f>
        <v>0</v>
      </c>
    </row>
    <row r="95" customFormat="false" ht="15" hidden="false" customHeight="true" outlineLevel="0" collapsed="false">
      <c r="B95" s="1" t="s">
        <v>1452</v>
      </c>
      <c r="C95" s="94"/>
      <c r="D95" s="1" t="s">
        <v>682</v>
      </c>
      <c r="E95" s="23" t="s">
        <v>1453</v>
      </c>
      <c r="F95" s="23" t="n">
        <f aca="false">IF(AS_TwoSecure=1,Set_safetyMonthsTwo,Set_safetyMonths)</f>
        <v>6</v>
      </c>
      <c r="G95" s="95" t="str">
        <f aca="false">IF(ISBLANK(C95),IF(AND(Fill_Example="Yes",F95&lt;&gt;""),F95,""),IF(IF(ISNUMBER(C95),AND(C95&gt;=1,C95&lt;=12,C95=INT(C95)),FALSE()),C95,""))</f>
        <v/>
      </c>
      <c r="H95" s="95" t="n">
        <f aca="false">IF(G95="",0,1)</f>
        <v>0</v>
      </c>
    </row>
    <row r="96" customFormat="false" ht="15" hidden="false" customHeight="true" outlineLevel="0" collapsed="false">
      <c r="B96" s="1" t="s">
        <v>1454</v>
      </c>
      <c r="C96" s="94"/>
      <c r="D96" s="1" t="s">
        <v>240</v>
      </c>
      <c r="E96" s="23" t="s">
        <v>1455</v>
      </c>
      <c r="F96" s="23" t="n">
        <f aca="false">Set_cashYears</f>
        <v>5</v>
      </c>
      <c r="G96" s="95" t="str">
        <f aca="false">IF(ISBLANK(C96),IF(AND(Fill_Example="Yes",F96&lt;&gt;""),F96,""),IF(IF(ISNUMBER(C96),AND(C96&gt;=1,C96&lt;=10,C96=INT(C96)),FALSE()),C96,""))</f>
        <v/>
      </c>
      <c r="H96" s="95" t="n">
        <f aca="false">IF(G96="",0,1)</f>
        <v>0</v>
      </c>
    </row>
    <row r="97" customFormat="false" ht="15" hidden="false" customHeight="true" outlineLevel="0" collapsed="false">
      <c r="B97" s="1" t="s">
        <v>1456</v>
      </c>
      <c r="C97" s="94"/>
      <c r="D97" s="1" t="s">
        <v>1293</v>
      </c>
      <c r="E97" s="23" t="s">
        <v>1457</v>
      </c>
      <c r="F97" s="98" t="n">
        <f aca="false">Set_investShare</f>
        <v>0.4</v>
      </c>
      <c r="G97" s="95" t="str">
        <f aca="false">IF(ISBLANK(C97),IF(AND(Fill_Example="Yes",F97&lt;&gt;""),F97,""),IF(IF(ISNUMBER(C97),AND(C97&gt;=0,C97&lt;=1),FALSE()),C97,""))</f>
        <v/>
      </c>
      <c r="H97" s="95" t="n">
        <f aca="false">IF(G97="",0,1)</f>
        <v>0</v>
      </c>
    </row>
    <row r="98" customFormat="false" ht="15" hidden="false" customHeight="true" outlineLevel="0" collapsed="false">
      <c r="B98" s="1" t="s">
        <v>1458</v>
      </c>
      <c r="C98" s="94"/>
      <c r="D98" s="1" t="s">
        <v>1293</v>
      </c>
      <c r="E98" s="23" t="s">
        <v>1459</v>
      </c>
      <c r="F98" s="98" t="n">
        <f aca="false">Set_saveShare</f>
        <v>0.5</v>
      </c>
      <c r="G98" s="95" t="str">
        <f aca="false">IF(ISBLANK(C98),IF(AND(Fill_Example="Yes",F98&lt;&gt;""),F98,""),IF(IF(ISNUMBER(C98),AND(C98&gt;=0,C98&lt;=1),FALSE()),C98,""))</f>
        <v/>
      </c>
      <c r="H98" s="95" t="n">
        <f aca="false">IF(G98="",0,1)</f>
        <v>0</v>
      </c>
    </row>
    <row r="99" customFormat="false" ht="15" hidden="false" customHeight="true" outlineLevel="0" collapsed="false">
      <c r="B99" s="1" t="s">
        <v>1460</v>
      </c>
      <c r="C99" s="94"/>
      <c r="D99" s="1" t="s">
        <v>1302</v>
      </c>
      <c r="E99" s="23" t="s">
        <v>1461</v>
      </c>
      <c r="F99" s="99" t="n">
        <f aca="false">Set_noAnswer</f>
        <v>300</v>
      </c>
      <c r="G99" s="95" t="str">
        <f aca="false">IF(ISBLANK(C99),IF(AND(Fill_Example="Yes",F99&lt;&gt;""),F99,""),IF(IF(ISNUMBER(C99),AND(C99&gt;=0,C99&lt;=5000),FALSE()),C99,""))</f>
        <v/>
      </c>
      <c r="H99" s="95" t="n">
        <f aca="false">IF(G99="",0,1)</f>
        <v>0</v>
      </c>
    </row>
    <row r="100" customFormat="false" ht="15" hidden="false" customHeight="true" outlineLevel="0" collapsed="false">
      <c r="B100" s="1" t="s">
        <v>1462</v>
      </c>
      <c r="C100" s="94"/>
      <c r="D100" s="1" t="s">
        <v>715</v>
      </c>
      <c r="E100" s="23" t="s">
        <v>1463</v>
      </c>
      <c r="F100" s="23" t="n">
        <v>95</v>
      </c>
      <c r="G100" s="95" t="str">
        <f aca="false">IF(ISBLANK(C100),IF(AND(Fill_Example="Yes",F100&lt;&gt;""),F100,""),IF(IF(ISNUMBER(C100),AND(C100&gt;=80,C100&lt;=105,C100=INT(C100)),FALSE()),C100,""))</f>
        <v/>
      </c>
      <c r="H100" s="95" t="n">
        <f aca="false">IF(G100="",0,1)</f>
        <v>0</v>
      </c>
    </row>
    <row r="101" customFormat="false" ht="15" hidden="false" customHeight="true" outlineLevel="0" collapsed="false">
      <c r="B101" s="1" t="s">
        <v>1464</v>
      </c>
      <c r="C101" s="94"/>
      <c r="D101" s="1" t="s">
        <v>1465</v>
      </c>
      <c r="E101" s="23" t="s">
        <v>1466</v>
      </c>
      <c r="F101" s="23" t="n">
        <f aca="true">IF(TODAY()&gt;PR_StartSwitch,Rules_Year_Next,Rules_Year)</f>
        <v>2027</v>
      </c>
      <c r="G101" s="95" t="str">
        <f aca="false">IF(ISBLANK(C101),IF(AND(Fill_Example="Yes",F101&lt;&gt;""),F101,""),IF(OR(C101=Rules_Year,C101=Rules_Year_Next),C101,""))</f>
        <v/>
      </c>
      <c r="H101" s="95" t="n">
        <f aca="false">IF(G101="",0,1)</f>
        <v>0</v>
      </c>
    </row>
    <row r="102" customFormat="false" ht="15" hidden="false" customHeight="true" outlineLevel="0" collapsed="false">
      <c r="B102" s="1" t="s">
        <v>1467</v>
      </c>
      <c r="C102" s="94"/>
      <c r="D102" s="1" t="s">
        <v>1293</v>
      </c>
      <c r="E102" s="23" t="s">
        <v>1468</v>
      </c>
      <c r="F102" s="23" t="n">
        <v>0.0375</v>
      </c>
      <c r="G102" s="95" t="str">
        <f aca="false">IF(ISBLANK(C102),IF(AND(Fill_Example="Yes",F102&lt;&gt;""),F102,""),IF(IF(ISNUMBER(C102),AND(C102&gt;=0.01,C102&lt;=0.08),FALSE()),C102,""))</f>
        <v/>
      </c>
      <c r="H102" s="95" t="n">
        <f aca="false">IF(G102="",0,1)</f>
        <v>0</v>
      </c>
    </row>
    <row r="103" customFormat="false" ht="15" hidden="false" customHeight="true" outlineLevel="0" collapsed="false">
      <c r="B103" s="1" t="s">
        <v>1469</v>
      </c>
      <c r="C103" s="94"/>
      <c r="D103" s="1" t="s">
        <v>1293</v>
      </c>
      <c r="E103" s="23" t="s">
        <v>1470</v>
      </c>
      <c r="F103" s="23" t="n">
        <v>0.2</v>
      </c>
      <c r="G103" s="95" t="str">
        <f aca="false">IF(ISBLANK(C103),IF(AND(Fill_Example="Yes",F103&lt;&gt;""),F103,""),IF(IF(ISNUMBER(C103),AND(C103&gt;=0,C103&lt;=0.35),FALSE()),C103,""))</f>
        <v/>
      </c>
      <c r="H103" s="95" t="n">
        <f aca="false">IF(G103="",0,1)</f>
        <v>0</v>
      </c>
    </row>
    <row r="104" customFormat="false" ht="15" hidden="false" customHeight="true" outlineLevel="0" collapsed="false">
      <c r="B104" s="1" t="s">
        <v>1471</v>
      </c>
      <c r="C104" s="94"/>
      <c r="D104" s="1" t="s">
        <v>1293</v>
      </c>
      <c r="E104" s="23" t="s">
        <v>1472</v>
      </c>
      <c r="F104" s="23" t="n">
        <v>0.08</v>
      </c>
      <c r="G104" s="95" t="str">
        <f aca="false">IF(ISBLANK(C104),IF(AND(Fill_Example="Yes",F104&lt;&gt;""),F104,""),IF(IF(ISNUMBER(C104),AND(C104&gt;=0,C104&lt;=0.25),FALSE()),C104,""))</f>
        <v/>
      </c>
      <c r="H104" s="95" t="n">
        <f aca="false">IF(G104="",0,1)</f>
        <v>0</v>
      </c>
    </row>
    <row r="105" customFormat="false" ht="15" hidden="false" customHeight="true" outlineLevel="0" collapsed="false">
      <c r="B105" s="1" t="s">
        <v>1473</v>
      </c>
      <c r="C105" s="94"/>
      <c r="D105" s="1" t="s">
        <v>1075</v>
      </c>
      <c r="E105" s="23" t="s">
        <v>1474</v>
      </c>
      <c r="F105" s="23"/>
      <c r="G105" s="95" t="str">
        <f aca="false">IF(ISBLANK(C105),IF(AND(Fill_Example="Yes",F105&lt;&gt;""),F105,""),IF(IF(ISNUMBER(C105),AND(C105&gt;=0,C105&lt;=299.3),FALSE()),C105,""))</f>
        <v/>
      </c>
      <c r="H105" s="95" t="n">
        <f aca="false">IF(G105="",0,1)</f>
        <v>0</v>
      </c>
    </row>
    <row r="106" customFormat="false" ht="15" hidden="false" customHeight="true" outlineLevel="0" collapsed="false">
      <c r="B106" s="1" t="s">
        <v>1475</v>
      </c>
      <c r="C106" s="94"/>
      <c r="D106" s="1" t="s">
        <v>1075</v>
      </c>
      <c r="E106" s="23" t="s">
        <v>1476</v>
      </c>
      <c r="F106" s="23" t="n">
        <v>239.44</v>
      </c>
      <c r="G106" s="95" t="str">
        <f aca="false">IF(ISBLANK(C106),IF(AND(Fill_Example="Yes",F106&lt;&gt;""),F106,""),IF(IF(ISNUMBER(C106),AND(C106&gt;=0,C106&lt;=299.3),FALSE()),C106,""))</f>
        <v/>
      </c>
      <c r="H106" s="95" t="n">
        <f aca="false">IF(G106="",0,1)</f>
        <v>0</v>
      </c>
    </row>
    <row r="107" customFormat="false" ht="15" hidden="false" customHeight="true" outlineLevel="0" collapsed="false">
      <c r="B107" s="1" t="s">
        <v>1477</v>
      </c>
      <c r="C107" s="94"/>
      <c r="D107" s="1" t="s">
        <v>240</v>
      </c>
      <c r="E107" s="23" t="s">
        <v>1478</v>
      </c>
      <c r="F107" s="23"/>
      <c r="G107" s="95" t="str">
        <f aca="false">IF(ISBLANK(C107),IF(AND(Fill_Example="Yes",F107&lt;&gt;""),F107,""),IF(IF(ISNUMBER(C107),AND(C107&gt;=0,C107&lt;=45,C107=INT(C107)),FALSE()),C107,""))</f>
        <v/>
      </c>
      <c r="H107" s="95" t="n">
        <f aca="false">IF(G107="",0,1)</f>
        <v>0</v>
      </c>
    </row>
    <row r="108" customFormat="false" ht="15" hidden="false" customHeight="true" outlineLevel="0" collapsed="false">
      <c r="B108" s="1" t="s">
        <v>1479</v>
      </c>
      <c r="C108" s="94"/>
      <c r="D108" s="1" t="s">
        <v>1293</v>
      </c>
      <c r="E108" s="23" t="s">
        <v>1480</v>
      </c>
      <c r="F108" s="23"/>
      <c r="G108" s="95" t="str">
        <f aca="false">IF(ISBLANK(C108),IF(AND(Fill_Example="Yes",F108&lt;&gt;""),F108,""),IF(IF(ISNUMBER(C108),AND(C108&gt;=0,C108&lt;=0.025),FALSE()),C108,""))</f>
        <v/>
      </c>
      <c r="H108" s="95" t="n">
        <f aca="false">IF(G108="",0,1)</f>
        <v>0</v>
      </c>
    </row>
    <row r="110" customFormat="false" ht="61.5" hidden="false" customHeight="true" outlineLevel="0" collapsed="false">
      <c r="B110" s="100" t="s">
        <v>1481</v>
      </c>
      <c r="C110" s="100" t="s">
        <v>1482</v>
      </c>
      <c r="D110" s="100" t="s">
        <v>1483</v>
      </c>
      <c r="E110" s="100" t="s">
        <v>1484</v>
      </c>
      <c r="F110" s="100" t="s">
        <v>1485</v>
      </c>
      <c r="G110" s="100" t="s">
        <v>380</v>
      </c>
      <c r="H110" s="100" t="s">
        <v>1486</v>
      </c>
      <c r="I110" s="100" t="s">
        <v>1487</v>
      </c>
      <c r="J110" s="100" t="s">
        <v>1488</v>
      </c>
      <c r="N110" s="93" t="s">
        <v>1489</v>
      </c>
      <c r="O110" s="93" t="s">
        <v>1490</v>
      </c>
      <c r="P110" s="93" t="s">
        <v>1491</v>
      </c>
      <c r="Q110" s="93" t="s">
        <v>1492</v>
      </c>
      <c r="R110" s="93" t="s">
        <v>1493</v>
      </c>
      <c r="S110" s="93" t="s">
        <v>1494</v>
      </c>
      <c r="T110" s="93" t="s">
        <v>1495</v>
      </c>
      <c r="U110" s="93" t="s">
        <v>1496</v>
      </c>
    </row>
    <row r="111" customFormat="false" ht="15" hidden="false" customHeight="true" outlineLevel="0" collapsed="false">
      <c r="B111" s="1" t="s">
        <v>1497</v>
      </c>
      <c r="C111" s="94"/>
      <c r="D111" s="94"/>
      <c r="E111" s="94"/>
      <c r="F111" s="94"/>
      <c r="G111" s="94"/>
      <c r="H111" s="94"/>
      <c r="I111" s="94"/>
      <c r="J111" s="94"/>
      <c r="N111" s="95" t="str">
        <f aca="false">IF(ISBLANK(C111),IF(Fill_Example="Yes","edu",""),IF(ISNUMBER(MATCH(C111,Goal_Keys,0)),C111,""))</f>
        <v/>
      </c>
      <c r="O111" s="95" t="str">
        <f aca="false">IF(ISBLANK(D111),IFERROR(INDEX(Goal_Titles,MATCH(N111,Goal_Keys,0)),""),D111)</f>
        <v/>
      </c>
      <c r="P111" s="95" t="n">
        <f aca="false">IF(ISBLANK(E111),IF(AND(ISBLANK(C111),Fill_Example="Yes"),48,MIN(PR_GoalMaxAge,In_age+IFERROR(INDEX(Goal_DefYrs,MATCH(N111,Goal_Keys,0)),0))),IF(IF(ISNUMBER(E111),AND(E111&gt;=0,E111&lt;=105,E111=INT(E111)),FALSE()),E111,MIN(PR_GoalMaxAge,In_age+IFERROR(INDEX(Goal_DefYrs,MATCH(N111,Goal_Keys,0)),0))))</f>
        <v>0</v>
      </c>
      <c r="Q111" s="95" t="n">
        <f aca="false">IF(ISBLANK(F111),IF(AND(ISBLANK(C111),Fill_Example="Yes"),50000,IFERROR(INDEX(Goal_DefAmt,MATCH(N111,Goal_Keys,0)),0)),IF(IF(ISNUMBER(F111),AND(F111&gt;=0,F111&lt;=100000000),FALSE()),F111,IFERROR(INDEX(Goal_DefAmt,MATCH(N111,Goal_Keys,0)),0)))</f>
        <v>0</v>
      </c>
      <c r="R111" s="95" t="n">
        <f aca="false">IF(ISBLANK(G111),IF(AND(ISBLANK(C111),Fill_Example="Yes"),0,0),IF(IF(ISNUMBER(G111),AND(G111&gt;=0,G111&lt;=100000000),FALSE()),G111,0))</f>
        <v>0</v>
      </c>
      <c r="S111" s="95" t="str">
        <f aca="false">IF(ISBLANK(H111),IF(AND(ISBLANK(C111),Fill_Example="Yes"),"Must have","Must have"),IF(ISNUMBER(MATCH(H111,{"Must have","Nice to have"},0)),H111,"Must have"))</f>
        <v>Must have</v>
      </c>
      <c r="T111" s="95" t="str">
        <f aca="false">IF(ISBLANK(I111),"",IF(IF(ISNUMBER(I111),AND(I111&gt;=1,I111&lt;=22,I111=INT(I111)),FALSE()),I111,""))</f>
        <v/>
      </c>
      <c r="U111" s="95" t="str">
        <f aca="false">IF(ISBLANK(J111),IF(AND(ISBLANK(C111),Fill_Example="Yes"),"No","No"),IF(ISNUMBER(MATCH(J111,{"Yes","No"},0)),J111,"No"))</f>
        <v>No</v>
      </c>
    </row>
    <row r="112" customFormat="false" ht="15" hidden="false" customHeight="true" outlineLevel="0" collapsed="false">
      <c r="B112" s="1" t="s">
        <v>1498</v>
      </c>
      <c r="C112" s="94"/>
      <c r="D112" s="94"/>
      <c r="E112" s="94"/>
      <c r="F112" s="94"/>
      <c r="G112" s="94"/>
      <c r="H112" s="94"/>
      <c r="I112" s="94"/>
      <c r="J112" s="94"/>
      <c r="N112" s="95" t="str">
        <f aca="false">IF(ISBLANK(C112),IF(Fill_Example="Yes","travel",""),IF(ISNUMBER(MATCH(C112,Goal_Keys,0)),C112,""))</f>
        <v/>
      </c>
      <c r="O112" s="95" t="str">
        <f aca="false">IF(ISBLANK(D112),IFERROR(INDEX(Goal_Titles,MATCH(N112,Goal_Keys,0)),""),D112)</f>
        <v/>
      </c>
      <c r="P112" s="95" t="n">
        <f aca="false">IF(ISBLANK(E112),IF(AND(ISBLANK(C112),Fill_Example="Yes"),41,MIN(PR_GoalMaxAge,In_age+IFERROR(INDEX(Goal_DefYrs,MATCH(N112,Goal_Keys,0)),0))),IF(IF(ISNUMBER(E112),AND(E112&gt;=0,E112&lt;=105,E112=INT(E112)),FALSE()),E112,MIN(PR_GoalMaxAge,In_age+IFERROR(INDEX(Goal_DefYrs,MATCH(N112,Goal_Keys,0)),0))))</f>
        <v>0</v>
      </c>
      <c r="Q112" s="95" t="n">
        <f aca="false">IF(ISBLANK(F112),IF(AND(ISBLANK(C112),Fill_Example="Yes"),12000,IFERROR(INDEX(Goal_DefAmt,MATCH(N112,Goal_Keys,0)),0)),IF(IF(ISNUMBER(F112),AND(F112&gt;=0,F112&lt;=100000000),FALSE()),F112,IFERROR(INDEX(Goal_DefAmt,MATCH(N112,Goal_Keys,0)),0)))</f>
        <v>0</v>
      </c>
      <c r="R112" s="95" t="n">
        <f aca="false">IF(ISBLANK(G112),IF(AND(ISBLANK(C112),Fill_Example="Yes"),0,0),IF(IF(ISNUMBER(G112),AND(G112&gt;=0,G112&lt;=100000000),FALSE()),G112,0))</f>
        <v>0</v>
      </c>
      <c r="S112" s="95" t="str">
        <f aca="false">IF(ISBLANK(H112),IF(AND(ISBLANK(C112),Fill_Example="Yes"),"Must have","Must have"),IF(ISNUMBER(MATCH(H112,{"Must have","Nice to have"},0)),H112,"Must have"))</f>
        <v>Must have</v>
      </c>
      <c r="T112" s="95" t="str">
        <f aca="false">IF(ISBLANK(I112),"",IF(IF(ISNUMBER(I112),AND(I112&gt;=1,I112&lt;=22,I112=INT(I112)),FALSE()),I112,""))</f>
        <v/>
      </c>
      <c r="U112" s="95" t="str">
        <f aca="false">IF(ISBLANK(J112),IF(AND(ISBLANK(C112),Fill_Example="Yes"),"No","No"),IF(ISNUMBER(MATCH(J112,{"Yes","No"},0)),J112,"No"))</f>
        <v>No</v>
      </c>
    </row>
    <row r="113" customFormat="false" ht="15" hidden="false" customHeight="true" outlineLevel="0" collapsed="false">
      <c r="B113" s="1" t="s">
        <v>1499</v>
      </c>
      <c r="C113" s="94"/>
      <c r="D113" s="94"/>
      <c r="E113" s="94"/>
      <c r="F113" s="94"/>
      <c r="G113" s="94"/>
      <c r="H113" s="94"/>
      <c r="I113" s="94"/>
      <c r="J113" s="94"/>
      <c r="N113" s="95" t="str">
        <f aca="false">IF(ISBLANK(C113),IF(Fill_Example="Yes","mfree",""),IF(ISNUMBER(MATCH(C113,Goal_Keys,0)),C113,""))</f>
        <v/>
      </c>
      <c r="O113" s="95" t="str">
        <f aca="false">IF(ISBLANK(D113),IFERROR(INDEX(Goal_Titles,MATCH(N113,Goal_Keys,0)),""),D113)</f>
        <v/>
      </c>
      <c r="P113" s="95" t="n">
        <f aca="false">IF(ISBLANK(E113),IF(AND(ISBLANK(C113),Fill_Example="Yes"),55,MIN(PR_GoalMaxAge,In_age+IFERROR(INDEX(Goal_DefYrs,MATCH(N113,Goal_Keys,0)),0))),IF(IF(ISNUMBER(E113),AND(E113&gt;=0,E113&lt;=105,E113=INT(E113)),FALSE()),E113,MIN(PR_GoalMaxAge,In_age+IFERROR(INDEX(Goal_DefYrs,MATCH(N113,Goal_Keys,0)),0))))</f>
        <v>0</v>
      </c>
      <c r="Q113" s="95" t="n">
        <f aca="false">IF(ISBLANK(F113),IF(AND(ISBLANK(C113),Fill_Example="Yes"),150000,IFERROR(INDEX(Goal_DefAmt,MATCH(N113,Goal_Keys,0)),0)),IF(IF(ISNUMBER(F113),AND(F113&gt;=0,F113&lt;=100000000),FALSE()),F113,IFERROR(INDEX(Goal_DefAmt,MATCH(N113,Goal_Keys,0)),0)))</f>
        <v>0</v>
      </c>
      <c r="R113" s="95" t="n">
        <f aca="false">IF(ISBLANK(G113),IF(AND(ISBLANK(C113),Fill_Example="Yes"),0,0),IF(IF(ISNUMBER(G113),AND(G113&gt;=0,G113&lt;=100000000),FALSE()),G113,0))</f>
        <v>0</v>
      </c>
      <c r="S113" s="95" t="str">
        <f aca="false">IF(ISBLANK(H113),IF(AND(ISBLANK(C113),Fill_Example="Yes"),"Must have","Must have"),IF(ISNUMBER(MATCH(H113,{"Must have","Nice to have"},0)),H113,"Must have"))</f>
        <v>Must have</v>
      </c>
      <c r="T113" s="95" t="str">
        <f aca="false">IF(ISBLANK(I113),"",IF(IF(ISNUMBER(I113),AND(I113&gt;=1,I113&lt;=22,I113=INT(I113)),FALSE()),I113,""))</f>
        <v/>
      </c>
      <c r="U113" s="95" t="str">
        <f aca="false">IF(ISBLANK(J113),IF(AND(ISBLANK(C113),Fill_Example="Yes"),"No","No"),IF(ISNUMBER(MATCH(J113,{"Yes","No"},0)),J113,"No"))</f>
        <v>No</v>
      </c>
    </row>
    <row r="114" customFormat="false" ht="15" hidden="false" customHeight="true" outlineLevel="0" collapsed="false">
      <c r="B114" s="1" t="s">
        <v>1500</v>
      </c>
      <c r="C114" s="94"/>
      <c r="D114" s="94"/>
      <c r="E114" s="94"/>
      <c r="F114" s="94"/>
      <c r="G114" s="94"/>
      <c r="H114" s="94"/>
      <c r="I114" s="94"/>
      <c r="J114" s="94"/>
      <c r="N114" s="95" t="str">
        <f aca="false">IF(ISBLANK(C114),IF(Fill_Example="Yes","safety",""),IF(ISNUMBER(MATCH(C114,Goal_Keys,0)),C114,""))</f>
        <v/>
      </c>
      <c r="O114" s="95" t="str">
        <f aca="false">IF(ISBLANK(D114),IFERROR(INDEX(Goal_Titles,MATCH(N114,Goal_Keys,0)),""),D114)</f>
        <v/>
      </c>
      <c r="P114" s="95" t="n">
        <f aca="false">IF(ISBLANK(E114),IF(AND(ISBLANK(C114),Fill_Example="Yes"),40,MIN(PR_GoalMaxAge,In_age+IFERROR(INDEX(Goal_DefYrs,MATCH(N114,Goal_Keys,0)),0))),IF(IF(ISNUMBER(E114),AND(E114&gt;=0,E114&lt;=105,E114=INT(E114)),FALSE()),E114,MIN(PR_GoalMaxAge,In_age+IFERROR(INDEX(Goal_DefYrs,MATCH(N114,Goal_Keys,0)),0))))</f>
        <v>0</v>
      </c>
      <c r="Q114" s="95" t="n">
        <f aca="false">IF(ISBLANK(F114),IF(AND(ISBLANK(C114),Fill_Example="Yes"),15000,IFERROR(INDEX(Goal_DefAmt,MATCH(N114,Goal_Keys,0)),0)),IF(IF(ISNUMBER(F114),AND(F114&gt;=0,F114&lt;=100000000),FALSE()),F114,IFERROR(INDEX(Goal_DefAmt,MATCH(N114,Goal_Keys,0)),0)))</f>
        <v>0</v>
      </c>
      <c r="R114" s="95" t="n">
        <f aca="false">IF(ISBLANK(G114),IF(AND(ISBLANK(C114),Fill_Example="Yes"),5000,0),IF(IF(ISNUMBER(G114),AND(G114&gt;=0,G114&lt;=100000000),FALSE()),G114,0))</f>
        <v>0</v>
      </c>
      <c r="S114" s="95" t="str">
        <f aca="false">IF(ISBLANK(H114),IF(AND(ISBLANK(C114),Fill_Example="Yes"),"Must have","Must have"),IF(ISNUMBER(MATCH(H114,{"Must have","Nice to have"},0)),H114,"Must have"))</f>
        <v>Must have</v>
      </c>
      <c r="T114" s="95" t="str">
        <f aca="false">IF(ISBLANK(I114),"",IF(IF(ISNUMBER(I114),AND(I114&gt;=1,I114&lt;=22,I114=INT(I114)),FALSE()),I114,""))</f>
        <v/>
      </c>
      <c r="U114" s="95" t="str">
        <f aca="false">IF(ISBLANK(J114),IF(AND(ISBLANK(C114),Fill_Example="Yes"),"No","No"),IF(ISNUMBER(MATCH(J114,{"Yes","No"},0)),J114,"No"))</f>
        <v>No</v>
      </c>
    </row>
    <row r="115" customFormat="false" ht="15" hidden="false" customHeight="true" outlineLevel="0" collapsed="false">
      <c r="B115" s="1" t="s">
        <v>1501</v>
      </c>
      <c r="C115" s="94"/>
      <c r="D115" s="94"/>
      <c r="E115" s="94"/>
      <c r="F115" s="94"/>
      <c r="G115" s="94"/>
      <c r="H115" s="94"/>
      <c r="I115" s="94"/>
      <c r="J115" s="94"/>
      <c r="N115" s="95" t="str">
        <f aca="false">IF(ISBLANK(C115),IF(Fill_Example="Yes","retire",""),IF(ISNUMBER(MATCH(C115,Goal_Keys,0)),C115,""))</f>
        <v/>
      </c>
      <c r="O115" s="95" t="str">
        <f aca="false">IF(ISBLANK(D115),IFERROR(INDEX(Goal_Titles,MATCH(N115,Goal_Keys,0)),""),D115)</f>
        <v/>
      </c>
      <c r="P115" s="95" t="n">
        <f aca="false">IF(ISBLANK(E115),IF(AND(ISBLANK(C115),Fill_Example="Yes"),63,MIN(PR_GoalMaxAge,In_age+IFERROR(INDEX(Goal_DefYrs,MATCH(N115,Goal_Keys,0)),0))),IF(IF(ISNUMBER(E115),AND(E115&gt;=0,E115&lt;=105,E115=INT(E115)),FALSE()),E115,MIN(PR_GoalMaxAge,In_age+IFERROR(INDEX(Goal_DefYrs,MATCH(N115,Goal_Keys,0)),0))))</f>
        <v>0</v>
      </c>
      <c r="Q115" s="95" t="n">
        <f aca="false">IF(ISBLANK(F115),IF(AND(ISBLANK(C115),Fill_Example="Yes"),46000,IFERROR(INDEX(Goal_DefAmt,MATCH(N115,Goal_Keys,0)),0)),IF(IF(ISNUMBER(F115),AND(F115&gt;=0,F115&lt;=100000000),FALSE()),F115,IFERROR(INDEX(Goal_DefAmt,MATCH(N115,Goal_Keys,0)),0)))</f>
        <v>0</v>
      </c>
      <c r="R115" s="95" t="n">
        <f aca="false">IF(ISBLANK(G115),IF(AND(ISBLANK(C115),Fill_Example="Yes"),0,0),IF(IF(ISNUMBER(G115),AND(G115&gt;=0,G115&lt;=100000000),FALSE()),G115,0))</f>
        <v>0</v>
      </c>
      <c r="S115" s="95" t="str">
        <f aca="false">IF(ISBLANK(H115),IF(AND(ISBLANK(C115),Fill_Example="Yes"),"Must have","Must have"),IF(ISNUMBER(MATCH(H115,{"Must have","Nice to have"},0)),H115,"Must have"))</f>
        <v>Must have</v>
      </c>
      <c r="T115" s="95" t="str">
        <f aca="false">IF(ISBLANK(I115),"",IF(IF(ISNUMBER(I115),AND(I115&gt;=1,I115&lt;=22,I115=INT(I115)),FALSE()),I115,""))</f>
        <v/>
      </c>
      <c r="U115" s="95" t="str">
        <f aca="false">IF(ISBLANK(J115),IF(AND(ISBLANK(C115),Fill_Example="Yes"),"No","No"),IF(ISNUMBER(MATCH(J115,{"Yes","No"},0)),J115,"No"))</f>
        <v>No</v>
      </c>
    </row>
    <row r="116" customFormat="false" ht="15" hidden="false" customHeight="true" outlineLevel="0" collapsed="false">
      <c r="B116" s="1" t="s">
        <v>1502</v>
      </c>
      <c r="C116" s="94"/>
      <c r="D116" s="94"/>
      <c r="E116" s="94"/>
      <c r="F116" s="94"/>
      <c r="G116" s="94"/>
      <c r="H116" s="94"/>
      <c r="I116" s="94"/>
      <c r="J116" s="94"/>
      <c r="N116" s="95" t="str">
        <f aca="false">IF(ISBLANK(C116),IF(Fill_Example="Yes","",""),IF(ISNUMBER(MATCH(C116,Goal_Keys,0)),C116,""))</f>
        <v/>
      </c>
      <c r="O116" s="95" t="str">
        <f aca="false">IF(ISBLANK(D116),IFERROR(INDEX(Goal_Titles,MATCH(N116,Goal_Keys,0)),""),D116)</f>
        <v/>
      </c>
      <c r="P116" s="95" t="n">
        <f aca="false">IF(ISBLANK(E116),IF(AND(ISBLANK(C116),Fill_Example="Yes"),0,MIN(PR_GoalMaxAge,In_age+IFERROR(INDEX(Goal_DefYrs,MATCH(N116,Goal_Keys,0)),0))),IF(IF(ISNUMBER(E116),AND(E116&gt;=0,E116&lt;=105,E116=INT(E116)),FALSE()),E116,MIN(PR_GoalMaxAge,In_age+IFERROR(INDEX(Goal_DefYrs,MATCH(N116,Goal_Keys,0)),0))))</f>
        <v>0</v>
      </c>
      <c r="Q116" s="95" t="n">
        <f aca="false">IF(ISBLANK(F116),IF(AND(ISBLANK(C116),Fill_Example="Yes"),0,IFERROR(INDEX(Goal_DefAmt,MATCH(N116,Goal_Keys,0)),0)),IF(IF(ISNUMBER(F116),AND(F116&gt;=0,F116&lt;=100000000),FALSE()),F116,IFERROR(INDEX(Goal_DefAmt,MATCH(N116,Goal_Keys,0)),0)))</f>
        <v>0</v>
      </c>
      <c r="R116" s="95" t="n">
        <f aca="false">IF(ISBLANK(G116),IF(AND(ISBLANK(C116),Fill_Example="Yes"),0,0),IF(IF(ISNUMBER(G116),AND(G116&gt;=0,G116&lt;=100000000),FALSE()),G116,0))</f>
        <v>0</v>
      </c>
      <c r="S116" s="95" t="str">
        <f aca="false">IF(ISBLANK(H116),IF(AND(ISBLANK(C116),Fill_Example="Yes"),"Must have","Must have"),IF(ISNUMBER(MATCH(H116,{"Must have","Nice to have"},0)),H116,"Must have"))</f>
        <v>Must have</v>
      </c>
      <c r="T116" s="95" t="str">
        <f aca="false">IF(ISBLANK(I116),"",IF(IF(ISNUMBER(I116),AND(I116&gt;=1,I116&lt;=22,I116=INT(I116)),FALSE()),I116,""))</f>
        <v/>
      </c>
      <c r="U116" s="95" t="str">
        <f aca="false">IF(ISBLANK(J116),IF(AND(ISBLANK(C116),Fill_Example="Yes"),"No","No"),IF(ISNUMBER(MATCH(J116,{"Yes","No"},0)),J116,"No"))</f>
        <v>No</v>
      </c>
    </row>
    <row r="117" customFormat="false" ht="15" hidden="false" customHeight="true" outlineLevel="0" collapsed="false">
      <c r="B117" s="1" t="s">
        <v>1503</v>
      </c>
      <c r="C117" s="94"/>
      <c r="D117" s="94"/>
      <c r="E117" s="94"/>
      <c r="F117" s="94"/>
      <c r="G117" s="94"/>
      <c r="H117" s="94"/>
      <c r="I117" s="94"/>
      <c r="J117" s="94"/>
      <c r="N117" s="95" t="str">
        <f aca="false">IF(ISBLANK(C117),IF(Fill_Example="Yes","",""),IF(ISNUMBER(MATCH(C117,Goal_Keys,0)),C117,""))</f>
        <v/>
      </c>
      <c r="O117" s="95" t="str">
        <f aca="false">IF(ISBLANK(D117),IFERROR(INDEX(Goal_Titles,MATCH(N117,Goal_Keys,0)),""),D117)</f>
        <v/>
      </c>
      <c r="P117" s="95" t="n">
        <f aca="false">IF(ISBLANK(E117),IF(AND(ISBLANK(C117),Fill_Example="Yes"),0,MIN(PR_GoalMaxAge,In_age+IFERROR(INDEX(Goal_DefYrs,MATCH(N117,Goal_Keys,0)),0))),IF(IF(ISNUMBER(E117),AND(E117&gt;=0,E117&lt;=105,E117=INT(E117)),FALSE()),E117,MIN(PR_GoalMaxAge,In_age+IFERROR(INDEX(Goal_DefYrs,MATCH(N117,Goal_Keys,0)),0))))</f>
        <v>0</v>
      </c>
      <c r="Q117" s="95" t="n">
        <f aca="false">IF(ISBLANK(F117),IF(AND(ISBLANK(C117),Fill_Example="Yes"),0,IFERROR(INDEX(Goal_DefAmt,MATCH(N117,Goal_Keys,0)),0)),IF(IF(ISNUMBER(F117),AND(F117&gt;=0,F117&lt;=100000000),FALSE()),F117,IFERROR(INDEX(Goal_DefAmt,MATCH(N117,Goal_Keys,0)),0)))</f>
        <v>0</v>
      </c>
      <c r="R117" s="95" t="n">
        <f aca="false">IF(ISBLANK(G117),IF(AND(ISBLANK(C117),Fill_Example="Yes"),0,0),IF(IF(ISNUMBER(G117),AND(G117&gt;=0,G117&lt;=100000000),FALSE()),G117,0))</f>
        <v>0</v>
      </c>
      <c r="S117" s="95" t="str">
        <f aca="false">IF(ISBLANK(H117),IF(AND(ISBLANK(C117),Fill_Example="Yes"),"Must have","Must have"),IF(ISNUMBER(MATCH(H117,{"Must have","Nice to have"},0)),H117,"Must have"))</f>
        <v>Must have</v>
      </c>
      <c r="T117" s="95" t="str">
        <f aca="false">IF(ISBLANK(I117),"",IF(IF(ISNUMBER(I117),AND(I117&gt;=1,I117&lt;=22,I117=INT(I117)),FALSE()),I117,""))</f>
        <v/>
      </c>
      <c r="U117" s="95" t="str">
        <f aca="false">IF(ISBLANK(J117),IF(AND(ISBLANK(C117),Fill_Example="Yes"),"No","No"),IF(ISNUMBER(MATCH(J117,{"Yes","No"},0)),J117,"No"))</f>
        <v>No</v>
      </c>
    </row>
    <row r="118" customFormat="false" ht="15" hidden="false" customHeight="true" outlineLevel="0" collapsed="false">
      <c r="B118" s="1" t="s">
        <v>1504</v>
      </c>
      <c r="C118" s="94"/>
      <c r="D118" s="94"/>
      <c r="E118" s="94"/>
      <c r="F118" s="94"/>
      <c r="G118" s="94"/>
      <c r="H118" s="94"/>
      <c r="I118" s="94"/>
      <c r="J118" s="94"/>
      <c r="N118" s="95" t="str">
        <f aca="false">IF(ISBLANK(C118),IF(Fill_Example="Yes","",""),IF(ISNUMBER(MATCH(C118,Goal_Keys,0)),C118,""))</f>
        <v/>
      </c>
      <c r="O118" s="95" t="str">
        <f aca="false">IF(ISBLANK(D118),IFERROR(INDEX(Goal_Titles,MATCH(N118,Goal_Keys,0)),""),D118)</f>
        <v/>
      </c>
      <c r="P118" s="95" t="n">
        <f aca="false">IF(ISBLANK(E118),IF(AND(ISBLANK(C118),Fill_Example="Yes"),0,MIN(PR_GoalMaxAge,In_age+IFERROR(INDEX(Goal_DefYrs,MATCH(N118,Goal_Keys,0)),0))),IF(IF(ISNUMBER(E118),AND(E118&gt;=0,E118&lt;=105,E118=INT(E118)),FALSE()),E118,MIN(PR_GoalMaxAge,In_age+IFERROR(INDEX(Goal_DefYrs,MATCH(N118,Goal_Keys,0)),0))))</f>
        <v>0</v>
      </c>
      <c r="Q118" s="95" t="n">
        <f aca="false">IF(ISBLANK(F118),IF(AND(ISBLANK(C118),Fill_Example="Yes"),0,IFERROR(INDEX(Goal_DefAmt,MATCH(N118,Goal_Keys,0)),0)),IF(IF(ISNUMBER(F118),AND(F118&gt;=0,F118&lt;=100000000),FALSE()),F118,IFERROR(INDEX(Goal_DefAmt,MATCH(N118,Goal_Keys,0)),0)))</f>
        <v>0</v>
      </c>
      <c r="R118" s="95" t="n">
        <f aca="false">IF(ISBLANK(G118),IF(AND(ISBLANK(C118),Fill_Example="Yes"),0,0),IF(IF(ISNUMBER(G118),AND(G118&gt;=0,G118&lt;=100000000),FALSE()),G118,0))</f>
        <v>0</v>
      </c>
      <c r="S118" s="95" t="str">
        <f aca="false">IF(ISBLANK(H118),IF(AND(ISBLANK(C118),Fill_Example="Yes"),"Must have","Must have"),IF(ISNUMBER(MATCH(H118,{"Must have","Nice to have"},0)),H118,"Must have"))</f>
        <v>Must have</v>
      </c>
      <c r="T118" s="95" t="str">
        <f aca="false">IF(ISBLANK(I118),"",IF(IF(ISNUMBER(I118),AND(I118&gt;=1,I118&lt;=22,I118=INT(I118)),FALSE()),I118,""))</f>
        <v/>
      </c>
      <c r="U118" s="95" t="str">
        <f aca="false">IF(ISBLANK(J118),IF(AND(ISBLANK(C118),Fill_Example="Yes"),"No","No"),IF(ISNUMBER(MATCH(J118,{"Yes","No"},0)),J118,"No"))</f>
        <v>No</v>
      </c>
    </row>
    <row r="119" customFormat="false" ht="15" hidden="false" customHeight="true" outlineLevel="0" collapsed="false">
      <c r="B119" s="1" t="s">
        <v>1505</v>
      </c>
      <c r="C119" s="94"/>
      <c r="D119" s="94"/>
      <c r="E119" s="94"/>
      <c r="F119" s="94"/>
      <c r="G119" s="94"/>
      <c r="H119" s="94"/>
      <c r="I119" s="94"/>
      <c r="J119" s="94"/>
      <c r="N119" s="95" t="str">
        <f aca="false">IF(ISBLANK(C119),IF(Fill_Example="Yes","",""),IF(ISNUMBER(MATCH(C119,Goal_Keys,0)),C119,""))</f>
        <v/>
      </c>
      <c r="O119" s="95" t="str">
        <f aca="false">IF(ISBLANK(D119),IFERROR(INDEX(Goal_Titles,MATCH(N119,Goal_Keys,0)),""),D119)</f>
        <v/>
      </c>
      <c r="P119" s="95" t="n">
        <f aca="false">IF(ISBLANK(E119),IF(AND(ISBLANK(C119),Fill_Example="Yes"),0,MIN(PR_GoalMaxAge,In_age+IFERROR(INDEX(Goal_DefYrs,MATCH(N119,Goal_Keys,0)),0))),IF(IF(ISNUMBER(E119),AND(E119&gt;=0,E119&lt;=105,E119=INT(E119)),FALSE()),E119,MIN(PR_GoalMaxAge,In_age+IFERROR(INDEX(Goal_DefYrs,MATCH(N119,Goal_Keys,0)),0))))</f>
        <v>0</v>
      </c>
      <c r="Q119" s="95" t="n">
        <f aca="false">IF(ISBLANK(F119),IF(AND(ISBLANK(C119),Fill_Example="Yes"),0,IFERROR(INDEX(Goal_DefAmt,MATCH(N119,Goal_Keys,0)),0)),IF(IF(ISNUMBER(F119),AND(F119&gt;=0,F119&lt;=100000000),FALSE()),F119,IFERROR(INDEX(Goal_DefAmt,MATCH(N119,Goal_Keys,0)),0)))</f>
        <v>0</v>
      </c>
      <c r="R119" s="95" t="n">
        <f aca="false">IF(ISBLANK(G119),IF(AND(ISBLANK(C119),Fill_Example="Yes"),0,0),IF(IF(ISNUMBER(G119),AND(G119&gt;=0,G119&lt;=100000000),FALSE()),G119,0))</f>
        <v>0</v>
      </c>
      <c r="S119" s="95" t="str">
        <f aca="false">IF(ISBLANK(H119),IF(AND(ISBLANK(C119),Fill_Example="Yes"),"Must have","Must have"),IF(ISNUMBER(MATCH(H119,{"Must have","Nice to have"},0)),H119,"Must have"))</f>
        <v>Must have</v>
      </c>
      <c r="T119" s="95" t="str">
        <f aca="false">IF(ISBLANK(I119),"",IF(IF(ISNUMBER(I119),AND(I119&gt;=1,I119&lt;=22,I119=INT(I119)),FALSE()),I119,""))</f>
        <v/>
      </c>
      <c r="U119" s="95" t="str">
        <f aca="false">IF(ISBLANK(J119),IF(AND(ISBLANK(C119),Fill_Example="Yes"),"No","No"),IF(ISNUMBER(MATCH(J119,{"Yes","No"},0)),J119,"No"))</f>
        <v>No</v>
      </c>
    </row>
    <row r="120" customFormat="false" ht="15" hidden="false" customHeight="true" outlineLevel="0" collapsed="false">
      <c r="B120" s="1" t="s">
        <v>1506</v>
      </c>
      <c r="C120" s="94"/>
      <c r="D120" s="94"/>
      <c r="E120" s="94"/>
      <c r="F120" s="94"/>
      <c r="G120" s="94"/>
      <c r="H120" s="94"/>
      <c r="I120" s="94"/>
      <c r="J120" s="94"/>
      <c r="N120" s="95" t="str">
        <f aca="false">IF(ISBLANK(C120),IF(Fill_Example="Yes","",""),IF(ISNUMBER(MATCH(C120,Goal_Keys,0)),C120,""))</f>
        <v/>
      </c>
      <c r="O120" s="95" t="str">
        <f aca="false">IF(ISBLANK(D120),IFERROR(INDEX(Goal_Titles,MATCH(N120,Goal_Keys,0)),""),D120)</f>
        <v/>
      </c>
      <c r="P120" s="95" t="n">
        <f aca="false">IF(ISBLANK(E120),IF(AND(ISBLANK(C120),Fill_Example="Yes"),0,MIN(PR_GoalMaxAge,In_age+IFERROR(INDEX(Goal_DefYrs,MATCH(N120,Goal_Keys,0)),0))),IF(IF(ISNUMBER(E120),AND(E120&gt;=0,E120&lt;=105,E120=INT(E120)),FALSE()),E120,MIN(PR_GoalMaxAge,In_age+IFERROR(INDEX(Goal_DefYrs,MATCH(N120,Goal_Keys,0)),0))))</f>
        <v>0</v>
      </c>
      <c r="Q120" s="95" t="n">
        <f aca="false">IF(ISBLANK(F120),IF(AND(ISBLANK(C120),Fill_Example="Yes"),0,IFERROR(INDEX(Goal_DefAmt,MATCH(N120,Goal_Keys,0)),0)),IF(IF(ISNUMBER(F120),AND(F120&gt;=0,F120&lt;=100000000),FALSE()),F120,IFERROR(INDEX(Goal_DefAmt,MATCH(N120,Goal_Keys,0)),0)))</f>
        <v>0</v>
      </c>
      <c r="R120" s="95" t="n">
        <f aca="false">IF(ISBLANK(G120),IF(AND(ISBLANK(C120),Fill_Example="Yes"),0,0),IF(IF(ISNUMBER(G120),AND(G120&gt;=0,G120&lt;=100000000),FALSE()),G120,0))</f>
        <v>0</v>
      </c>
      <c r="S120" s="95" t="str">
        <f aca="false">IF(ISBLANK(H120),IF(AND(ISBLANK(C120),Fill_Example="Yes"),"Must have","Must have"),IF(ISNUMBER(MATCH(H120,{"Must have","Nice to have"},0)),H120,"Must have"))</f>
        <v>Must have</v>
      </c>
      <c r="T120" s="95" t="str">
        <f aca="false">IF(ISBLANK(I120),"",IF(IF(ISNUMBER(I120),AND(I120&gt;=1,I120&lt;=22,I120=INT(I120)),FALSE()),I120,""))</f>
        <v/>
      </c>
      <c r="U120" s="95" t="str">
        <f aca="false">IF(ISBLANK(J120),IF(AND(ISBLANK(C120),Fill_Example="Yes"),"No","No"),IF(ISNUMBER(MATCH(J120,{"Yes","No"},0)),J120,"No"))</f>
        <v>No</v>
      </c>
    </row>
    <row r="121" customFormat="false" ht="15" hidden="false" customHeight="true" outlineLevel="0" collapsed="false">
      <c r="B121" s="1" t="s">
        <v>1507</v>
      </c>
      <c r="C121" s="94"/>
      <c r="D121" s="94"/>
      <c r="E121" s="94"/>
      <c r="F121" s="94"/>
      <c r="G121" s="94"/>
      <c r="H121" s="94"/>
      <c r="I121" s="94"/>
      <c r="J121" s="94"/>
      <c r="N121" s="95" t="str">
        <f aca="false">IF(ISBLANK(C121),IF(Fill_Example="Yes","",""),IF(ISNUMBER(MATCH(C121,Goal_Keys,0)),C121,""))</f>
        <v/>
      </c>
      <c r="O121" s="95" t="str">
        <f aca="false">IF(ISBLANK(D121),IFERROR(INDEX(Goal_Titles,MATCH(N121,Goal_Keys,0)),""),D121)</f>
        <v/>
      </c>
      <c r="P121" s="95" t="n">
        <f aca="false">IF(ISBLANK(E121),IF(AND(ISBLANK(C121),Fill_Example="Yes"),0,MIN(PR_GoalMaxAge,In_age+IFERROR(INDEX(Goal_DefYrs,MATCH(N121,Goal_Keys,0)),0))),IF(IF(ISNUMBER(E121),AND(E121&gt;=0,E121&lt;=105,E121=INT(E121)),FALSE()),E121,MIN(PR_GoalMaxAge,In_age+IFERROR(INDEX(Goal_DefYrs,MATCH(N121,Goal_Keys,0)),0))))</f>
        <v>0</v>
      </c>
      <c r="Q121" s="95" t="n">
        <f aca="false">IF(ISBLANK(F121),IF(AND(ISBLANK(C121),Fill_Example="Yes"),0,IFERROR(INDEX(Goal_DefAmt,MATCH(N121,Goal_Keys,0)),0)),IF(IF(ISNUMBER(F121),AND(F121&gt;=0,F121&lt;=100000000),FALSE()),F121,IFERROR(INDEX(Goal_DefAmt,MATCH(N121,Goal_Keys,0)),0)))</f>
        <v>0</v>
      </c>
      <c r="R121" s="95" t="n">
        <f aca="false">IF(ISBLANK(G121),IF(AND(ISBLANK(C121),Fill_Example="Yes"),0,0),IF(IF(ISNUMBER(G121),AND(G121&gt;=0,G121&lt;=100000000),FALSE()),G121,0))</f>
        <v>0</v>
      </c>
      <c r="S121" s="95" t="str">
        <f aca="false">IF(ISBLANK(H121),IF(AND(ISBLANK(C121),Fill_Example="Yes"),"Must have","Must have"),IF(ISNUMBER(MATCH(H121,{"Must have","Nice to have"},0)),H121,"Must have"))</f>
        <v>Must have</v>
      </c>
      <c r="T121" s="95" t="str">
        <f aca="false">IF(ISBLANK(I121),"",IF(IF(ISNUMBER(I121),AND(I121&gt;=1,I121&lt;=22,I121=INT(I121)),FALSE()),I121,""))</f>
        <v/>
      </c>
      <c r="U121" s="95" t="str">
        <f aca="false">IF(ISBLANK(J121),IF(AND(ISBLANK(C121),Fill_Example="Yes"),"No","No"),IF(ISNUMBER(MATCH(J121,{"Yes","No"},0)),J121,"No"))</f>
        <v>No</v>
      </c>
    </row>
    <row r="122" customFormat="false" ht="15" hidden="false" customHeight="true" outlineLevel="0" collapsed="false">
      <c r="B122" s="1" t="s">
        <v>1508</v>
      </c>
      <c r="C122" s="94"/>
      <c r="D122" s="94"/>
      <c r="E122" s="94"/>
      <c r="F122" s="94"/>
      <c r="G122" s="94"/>
      <c r="H122" s="94"/>
      <c r="I122" s="94"/>
      <c r="J122" s="94"/>
      <c r="N122" s="95" t="str">
        <f aca="false">IF(ISBLANK(C122),IF(Fill_Example="Yes","",""),IF(ISNUMBER(MATCH(C122,Goal_Keys,0)),C122,""))</f>
        <v/>
      </c>
      <c r="O122" s="95" t="str">
        <f aca="false">IF(ISBLANK(D122),IFERROR(INDEX(Goal_Titles,MATCH(N122,Goal_Keys,0)),""),D122)</f>
        <v/>
      </c>
      <c r="P122" s="95" t="n">
        <f aca="false">IF(ISBLANK(E122),IF(AND(ISBLANK(C122),Fill_Example="Yes"),0,MIN(PR_GoalMaxAge,In_age+IFERROR(INDEX(Goal_DefYrs,MATCH(N122,Goal_Keys,0)),0))),IF(IF(ISNUMBER(E122),AND(E122&gt;=0,E122&lt;=105,E122=INT(E122)),FALSE()),E122,MIN(PR_GoalMaxAge,In_age+IFERROR(INDEX(Goal_DefYrs,MATCH(N122,Goal_Keys,0)),0))))</f>
        <v>0</v>
      </c>
      <c r="Q122" s="95" t="n">
        <f aca="false">IF(ISBLANK(F122),IF(AND(ISBLANK(C122),Fill_Example="Yes"),0,IFERROR(INDEX(Goal_DefAmt,MATCH(N122,Goal_Keys,0)),0)),IF(IF(ISNUMBER(F122),AND(F122&gt;=0,F122&lt;=100000000),FALSE()),F122,IFERROR(INDEX(Goal_DefAmt,MATCH(N122,Goal_Keys,0)),0)))</f>
        <v>0</v>
      </c>
      <c r="R122" s="95" t="n">
        <f aca="false">IF(ISBLANK(G122),IF(AND(ISBLANK(C122),Fill_Example="Yes"),0,0),IF(IF(ISNUMBER(G122),AND(G122&gt;=0,G122&lt;=100000000),FALSE()),G122,0))</f>
        <v>0</v>
      </c>
      <c r="S122" s="95" t="str">
        <f aca="false">IF(ISBLANK(H122),IF(AND(ISBLANK(C122),Fill_Example="Yes"),"Must have","Must have"),IF(ISNUMBER(MATCH(H122,{"Must have","Nice to have"},0)),H122,"Must have"))</f>
        <v>Must have</v>
      </c>
      <c r="T122" s="95" t="str">
        <f aca="false">IF(ISBLANK(I122),"",IF(IF(ISNUMBER(I122),AND(I122&gt;=1,I122&lt;=22,I122=INT(I122)),FALSE()),I122,""))</f>
        <v/>
      </c>
      <c r="U122" s="95" t="str">
        <f aca="false">IF(ISBLANK(J122),IF(AND(ISBLANK(C122),Fill_Example="Yes"),"No","No"),IF(ISNUMBER(MATCH(J122,{"Yes","No"},0)),J122,"No"))</f>
        <v>No</v>
      </c>
    </row>
    <row r="123" customFormat="false" ht="15" hidden="false" customHeight="true" outlineLevel="0" collapsed="false">
      <c r="B123" s="1" t="s">
        <v>1509</v>
      </c>
      <c r="C123" s="94"/>
      <c r="D123" s="94"/>
      <c r="E123" s="94"/>
      <c r="F123" s="94"/>
      <c r="G123" s="94"/>
      <c r="H123" s="94"/>
      <c r="I123" s="94"/>
      <c r="J123" s="94"/>
      <c r="N123" s="95" t="str">
        <f aca="false">IF(ISBLANK(C123),IF(Fill_Example="Yes","",""),IF(ISNUMBER(MATCH(C123,Goal_Keys,0)),C123,""))</f>
        <v/>
      </c>
      <c r="O123" s="95" t="str">
        <f aca="false">IF(ISBLANK(D123),IFERROR(INDEX(Goal_Titles,MATCH(N123,Goal_Keys,0)),""),D123)</f>
        <v/>
      </c>
      <c r="P123" s="95" t="n">
        <f aca="false">IF(ISBLANK(E123),IF(AND(ISBLANK(C123),Fill_Example="Yes"),0,MIN(PR_GoalMaxAge,In_age+IFERROR(INDEX(Goal_DefYrs,MATCH(N123,Goal_Keys,0)),0))),IF(IF(ISNUMBER(E123),AND(E123&gt;=0,E123&lt;=105,E123=INT(E123)),FALSE()),E123,MIN(PR_GoalMaxAge,In_age+IFERROR(INDEX(Goal_DefYrs,MATCH(N123,Goal_Keys,0)),0))))</f>
        <v>0</v>
      </c>
      <c r="Q123" s="95" t="n">
        <f aca="false">IF(ISBLANK(F123),IF(AND(ISBLANK(C123),Fill_Example="Yes"),0,IFERROR(INDEX(Goal_DefAmt,MATCH(N123,Goal_Keys,0)),0)),IF(IF(ISNUMBER(F123),AND(F123&gt;=0,F123&lt;=100000000),FALSE()),F123,IFERROR(INDEX(Goal_DefAmt,MATCH(N123,Goal_Keys,0)),0)))</f>
        <v>0</v>
      </c>
      <c r="R123" s="95" t="n">
        <f aca="false">IF(ISBLANK(G123),IF(AND(ISBLANK(C123),Fill_Example="Yes"),0,0),IF(IF(ISNUMBER(G123),AND(G123&gt;=0,G123&lt;=100000000),FALSE()),G123,0))</f>
        <v>0</v>
      </c>
      <c r="S123" s="95" t="str">
        <f aca="false">IF(ISBLANK(H123),IF(AND(ISBLANK(C123),Fill_Example="Yes"),"Must have","Must have"),IF(ISNUMBER(MATCH(H123,{"Must have","Nice to have"},0)),H123,"Must have"))</f>
        <v>Must have</v>
      </c>
      <c r="T123" s="95" t="str">
        <f aca="false">IF(ISBLANK(I123),"",IF(IF(ISNUMBER(I123),AND(I123&gt;=1,I123&lt;=22,I123=INT(I123)),FALSE()),I123,""))</f>
        <v/>
      </c>
      <c r="U123" s="95" t="str">
        <f aca="false">IF(ISBLANK(J123),IF(AND(ISBLANK(C123),Fill_Example="Yes"),"No","No"),IF(ISNUMBER(MATCH(J123,{"Yes","No"},0)),J123,"No"))</f>
        <v>No</v>
      </c>
    </row>
    <row r="124" customFormat="false" ht="15" hidden="false" customHeight="true" outlineLevel="0" collapsed="false">
      <c r="B124" s="1" t="s">
        <v>1510</v>
      </c>
      <c r="C124" s="94"/>
      <c r="D124" s="94"/>
      <c r="E124" s="94"/>
      <c r="F124" s="94"/>
      <c r="G124" s="94"/>
      <c r="H124" s="94"/>
      <c r="I124" s="94"/>
      <c r="J124" s="94"/>
      <c r="N124" s="95" t="str">
        <f aca="false">IF(ISBLANK(C124),IF(Fill_Example="Yes","",""),IF(ISNUMBER(MATCH(C124,Goal_Keys,0)),C124,""))</f>
        <v/>
      </c>
      <c r="O124" s="95" t="str">
        <f aca="false">IF(ISBLANK(D124),IFERROR(INDEX(Goal_Titles,MATCH(N124,Goal_Keys,0)),""),D124)</f>
        <v/>
      </c>
      <c r="P124" s="95" t="n">
        <f aca="false">IF(ISBLANK(E124),IF(AND(ISBLANK(C124),Fill_Example="Yes"),0,MIN(PR_GoalMaxAge,In_age+IFERROR(INDEX(Goal_DefYrs,MATCH(N124,Goal_Keys,0)),0))),IF(IF(ISNUMBER(E124),AND(E124&gt;=0,E124&lt;=105,E124=INT(E124)),FALSE()),E124,MIN(PR_GoalMaxAge,In_age+IFERROR(INDEX(Goal_DefYrs,MATCH(N124,Goal_Keys,0)),0))))</f>
        <v>0</v>
      </c>
      <c r="Q124" s="95" t="n">
        <f aca="false">IF(ISBLANK(F124),IF(AND(ISBLANK(C124),Fill_Example="Yes"),0,IFERROR(INDEX(Goal_DefAmt,MATCH(N124,Goal_Keys,0)),0)),IF(IF(ISNUMBER(F124),AND(F124&gt;=0,F124&lt;=100000000),FALSE()),F124,IFERROR(INDEX(Goal_DefAmt,MATCH(N124,Goal_Keys,0)),0)))</f>
        <v>0</v>
      </c>
      <c r="R124" s="95" t="n">
        <f aca="false">IF(ISBLANK(G124),IF(AND(ISBLANK(C124),Fill_Example="Yes"),0,0),IF(IF(ISNUMBER(G124),AND(G124&gt;=0,G124&lt;=100000000),FALSE()),G124,0))</f>
        <v>0</v>
      </c>
      <c r="S124" s="95" t="str">
        <f aca="false">IF(ISBLANK(H124),IF(AND(ISBLANK(C124),Fill_Example="Yes"),"Must have","Must have"),IF(ISNUMBER(MATCH(H124,{"Must have","Nice to have"},0)),H124,"Must have"))</f>
        <v>Must have</v>
      </c>
      <c r="T124" s="95" t="str">
        <f aca="false">IF(ISBLANK(I124),"",IF(IF(ISNUMBER(I124),AND(I124&gt;=1,I124&lt;=22,I124=INT(I124)),FALSE()),I124,""))</f>
        <v/>
      </c>
      <c r="U124" s="95" t="str">
        <f aca="false">IF(ISBLANK(J124),IF(AND(ISBLANK(C124),Fill_Example="Yes"),"No","No"),IF(ISNUMBER(MATCH(J124,{"Yes","No"},0)),J124,"No"))</f>
        <v>No</v>
      </c>
    </row>
    <row r="125" customFormat="false" ht="15" hidden="false" customHeight="true" outlineLevel="0" collapsed="false">
      <c r="B125" s="1" t="s">
        <v>1511</v>
      </c>
      <c r="C125" s="94"/>
      <c r="D125" s="94"/>
      <c r="E125" s="94"/>
      <c r="F125" s="94"/>
      <c r="G125" s="94"/>
      <c r="H125" s="94"/>
      <c r="I125" s="94"/>
      <c r="J125" s="94"/>
      <c r="N125" s="95" t="str">
        <f aca="false">IF(ISBLANK(C125),IF(Fill_Example="Yes","",""),IF(ISNUMBER(MATCH(C125,Goal_Keys,0)),C125,""))</f>
        <v/>
      </c>
      <c r="O125" s="95" t="str">
        <f aca="false">IF(ISBLANK(D125),IFERROR(INDEX(Goal_Titles,MATCH(N125,Goal_Keys,0)),""),D125)</f>
        <v/>
      </c>
      <c r="P125" s="95" t="n">
        <f aca="false">IF(ISBLANK(E125),IF(AND(ISBLANK(C125),Fill_Example="Yes"),0,MIN(PR_GoalMaxAge,In_age+IFERROR(INDEX(Goal_DefYrs,MATCH(N125,Goal_Keys,0)),0))),IF(IF(ISNUMBER(E125),AND(E125&gt;=0,E125&lt;=105,E125=INT(E125)),FALSE()),E125,MIN(PR_GoalMaxAge,In_age+IFERROR(INDEX(Goal_DefYrs,MATCH(N125,Goal_Keys,0)),0))))</f>
        <v>0</v>
      </c>
      <c r="Q125" s="95" t="n">
        <f aca="false">IF(ISBLANK(F125),IF(AND(ISBLANK(C125),Fill_Example="Yes"),0,IFERROR(INDEX(Goal_DefAmt,MATCH(N125,Goal_Keys,0)),0)),IF(IF(ISNUMBER(F125),AND(F125&gt;=0,F125&lt;=100000000),FALSE()),F125,IFERROR(INDEX(Goal_DefAmt,MATCH(N125,Goal_Keys,0)),0)))</f>
        <v>0</v>
      </c>
      <c r="R125" s="95" t="n">
        <f aca="false">IF(ISBLANK(G125),IF(AND(ISBLANK(C125),Fill_Example="Yes"),0,0),IF(IF(ISNUMBER(G125),AND(G125&gt;=0,G125&lt;=100000000),FALSE()),G125,0))</f>
        <v>0</v>
      </c>
      <c r="S125" s="95" t="str">
        <f aca="false">IF(ISBLANK(H125),IF(AND(ISBLANK(C125),Fill_Example="Yes"),"Must have","Must have"),IF(ISNUMBER(MATCH(H125,{"Must have","Nice to have"},0)),H125,"Must have"))</f>
        <v>Must have</v>
      </c>
      <c r="T125" s="95" t="str">
        <f aca="false">IF(ISBLANK(I125),"",IF(IF(ISNUMBER(I125),AND(I125&gt;=1,I125&lt;=22,I125=INT(I125)),FALSE()),I125,""))</f>
        <v/>
      </c>
      <c r="U125" s="95" t="str">
        <f aca="false">IF(ISBLANK(J125),IF(AND(ISBLANK(C125),Fill_Example="Yes"),"No","No"),IF(ISNUMBER(MATCH(J125,{"Yes","No"},0)),J125,"No"))</f>
        <v>No</v>
      </c>
    </row>
    <row r="126" customFormat="false" ht="15" hidden="false" customHeight="true" outlineLevel="0" collapsed="false">
      <c r="B126" s="1" t="s">
        <v>1512</v>
      </c>
      <c r="C126" s="94"/>
      <c r="D126" s="94"/>
      <c r="E126" s="94"/>
      <c r="F126" s="94"/>
      <c r="G126" s="94"/>
      <c r="H126" s="94"/>
      <c r="I126" s="94"/>
      <c r="J126" s="94"/>
      <c r="N126" s="95" t="str">
        <f aca="false">IF(ISBLANK(C126),IF(Fill_Example="Yes","",""),IF(ISNUMBER(MATCH(C126,Goal_Keys,0)),C126,""))</f>
        <v/>
      </c>
      <c r="O126" s="95" t="str">
        <f aca="false">IF(ISBLANK(D126),IFERROR(INDEX(Goal_Titles,MATCH(N126,Goal_Keys,0)),""),D126)</f>
        <v/>
      </c>
      <c r="P126" s="95" t="n">
        <f aca="false">IF(ISBLANK(E126),IF(AND(ISBLANK(C126),Fill_Example="Yes"),0,MIN(PR_GoalMaxAge,In_age+IFERROR(INDEX(Goal_DefYrs,MATCH(N126,Goal_Keys,0)),0))),IF(IF(ISNUMBER(E126),AND(E126&gt;=0,E126&lt;=105,E126=INT(E126)),FALSE()),E126,MIN(PR_GoalMaxAge,In_age+IFERROR(INDEX(Goal_DefYrs,MATCH(N126,Goal_Keys,0)),0))))</f>
        <v>0</v>
      </c>
      <c r="Q126" s="95" t="n">
        <f aca="false">IF(ISBLANK(F126),IF(AND(ISBLANK(C126),Fill_Example="Yes"),0,IFERROR(INDEX(Goal_DefAmt,MATCH(N126,Goal_Keys,0)),0)),IF(IF(ISNUMBER(F126),AND(F126&gt;=0,F126&lt;=100000000),FALSE()),F126,IFERROR(INDEX(Goal_DefAmt,MATCH(N126,Goal_Keys,0)),0)))</f>
        <v>0</v>
      </c>
      <c r="R126" s="95" t="n">
        <f aca="false">IF(ISBLANK(G126),IF(AND(ISBLANK(C126),Fill_Example="Yes"),0,0),IF(IF(ISNUMBER(G126),AND(G126&gt;=0,G126&lt;=100000000),FALSE()),G126,0))</f>
        <v>0</v>
      </c>
      <c r="S126" s="95" t="str">
        <f aca="false">IF(ISBLANK(H126),IF(AND(ISBLANK(C126),Fill_Example="Yes"),"Must have","Must have"),IF(ISNUMBER(MATCH(H126,{"Must have","Nice to have"},0)),H126,"Must have"))</f>
        <v>Must have</v>
      </c>
      <c r="T126" s="95" t="str">
        <f aca="false">IF(ISBLANK(I126),"",IF(IF(ISNUMBER(I126),AND(I126&gt;=1,I126&lt;=22,I126=INT(I126)),FALSE()),I126,""))</f>
        <v/>
      </c>
      <c r="U126" s="95" t="str">
        <f aca="false">IF(ISBLANK(J126),IF(AND(ISBLANK(C126),Fill_Example="Yes"),"No","No"),IF(ISNUMBER(MATCH(J126,{"Yes","No"},0)),J126,"No"))</f>
        <v>No</v>
      </c>
    </row>
    <row r="127" customFormat="false" ht="15" hidden="false" customHeight="true" outlineLevel="0" collapsed="false">
      <c r="B127" s="1" t="s">
        <v>1513</v>
      </c>
      <c r="C127" s="94"/>
      <c r="D127" s="94"/>
      <c r="E127" s="94"/>
      <c r="F127" s="94"/>
      <c r="G127" s="94"/>
      <c r="H127" s="94"/>
      <c r="I127" s="94"/>
      <c r="J127" s="94"/>
      <c r="N127" s="95" t="str">
        <f aca="false">IF(ISBLANK(C127),IF(Fill_Example="Yes","",""),IF(ISNUMBER(MATCH(C127,Goal_Keys,0)),C127,""))</f>
        <v/>
      </c>
      <c r="O127" s="95" t="str">
        <f aca="false">IF(ISBLANK(D127),IFERROR(INDEX(Goal_Titles,MATCH(N127,Goal_Keys,0)),""),D127)</f>
        <v/>
      </c>
      <c r="P127" s="95" t="n">
        <f aca="false">IF(ISBLANK(E127),IF(AND(ISBLANK(C127),Fill_Example="Yes"),0,MIN(PR_GoalMaxAge,In_age+IFERROR(INDEX(Goal_DefYrs,MATCH(N127,Goal_Keys,0)),0))),IF(IF(ISNUMBER(E127),AND(E127&gt;=0,E127&lt;=105,E127=INT(E127)),FALSE()),E127,MIN(PR_GoalMaxAge,In_age+IFERROR(INDEX(Goal_DefYrs,MATCH(N127,Goal_Keys,0)),0))))</f>
        <v>0</v>
      </c>
      <c r="Q127" s="95" t="n">
        <f aca="false">IF(ISBLANK(F127),IF(AND(ISBLANK(C127),Fill_Example="Yes"),0,IFERROR(INDEX(Goal_DefAmt,MATCH(N127,Goal_Keys,0)),0)),IF(IF(ISNUMBER(F127),AND(F127&gt;=0,F127&lt;=100000000),FALSE()),F127,IFERROR(INDEX(Goal_DefAmt,MATCH(N127,Goal_Keys,0)),0)))</f>
        <v>0</v>
      </c>
      <c r="R127" s="95" t="n">
        <f aca="false">IF(ISBLANK(G127),IF(AND(ISBLANK(C127),Fill_Example="Yes"),0,0),IF(IF(ISNUMBER(G127),AND(G127&gt;=0,G127&lt;=100000000),FALSE()),G127,0))</f>
        <v>0</v>
      </c>
      <c r="S127" s="95" t="str">
        <f aca="false">IF(ISBLANK(H127),IF(AND(ISBLANK(C127),Fill_Example="Yes"),"Must have","Must have"),IF(ISNUMBER(MATCH(H127,{"Must have","Nice to have"},0)),H127,"Must have"))</f>
        <v>Must have</v>
      </c>
      <c r="T127" s="95" t="str">
        <f aca="false">IF(ISBLANK(I127),"",IF(IF(ISNUMBER(I127),AND(I127&gt;=1,I127&lt;=22,I127=INT(I127)),FALSE()),I127,""))</f>
        <v/>
      </c>
      <c r="U127" s="95" t="str">
        <f aca="false">IF(ISBLANK(J127),IF(AND(ISBLANK(C127),Fill_Example="Yes"),"No","No"),IF(ISNUMBER(MATCH(J127,{"Yes","No"},0)),J127,"No"))</f>
        <v>No</v>
      </c>
    </row>
    <row r="128" customFormat="false" ht="15" hidden="false" customHeight="true" outlineLevel="0" collapsed="false">
      <c r="B128" s="1" t="s">
        <v>1514</v>
      </c>
      <c r="C128" s="94"/>
      <c r="D128" s="94"/>
      <c r="E128" s="94"/>
      <c r="F128" s="94"/>
      <c r="G128" s="94"/>
      <c r="H128" s="94"/>
      <c r="I128" s="94"/>
      <c r="J128" s="94"/>
      <c r="N128" s="95" t="str">
        <f aca="false">IF(ISBLANK(C128),IF(Fill_Example="Yes","",""),IF(ISNUMBER(MATCH(C128,Goal_Keys,0)),C128,""))</f>
        <v/>
      </c>
      <c r="O128" s="95" t="str">
        <f aca="false">IF(ISBLANK(D128),IFERROR(INDEX(Goal_Titles,MATCH(N128,Goal_Keys,0)),""),D128)</f>
        <v/>
      </c>
      <c r="P128" s="95" t="n">
        <f aca="false">IF(ISBLANK(E128),IF(AND(ISBLANK(C128),Fill_Example="Yes"),0,MIN(PR_GoalMaxAge,In_age+IFERROR(INDEX(Goal_DefYrs,MATCH(N128,Goal_Keys,0)),0))),IF(IF(ISNUMBER(E128),AND(E128&gt;=0,E128&lt;=105,E128=INT(E128)),FALSE()),E128,MIN(PR_GoalMaxAge,In_age+IFERROR(INDEX(Goal_DefYrs,MATCH(N128,Goal_Keys,0)),0))))</f>
        <v>0</v>
      </c>
      <c r="Q128" s="95" t="n">
        <f aca="false">IF(ISBLANK(F128),IF(AND(ISBLANK(C128),Fill_Example="Yes"),0,IFERROR(INDEX(Goal_DefAmt,MATCH(N128,Goal_Keys,0)),0)),IF(IF(ISNUMBER(F128),AND(F128&gt;=0,F128&lt;=100000000),FALSE()),F128,IFERROR(INDEX(Goal_DefAmt,MATCH(N128,Goal_Keys,0)),0)))</f>
        <v>0</v>
      </c>
      <c r="R128" s="95" t="n">
        <f aca="false">IF(ISBLANK(G128),IF(AND(ISBLANK(C128),Fill_Example="Yes"),0,0),IF(IF(ISNUMBER(G128),AND(G128&gt;=0,G128&lt;=100000000),FALSE()),G128,0))</f>
        <v>0</v>
      </c>
      <c r="S128" s="95" t="str">
        <f aca="false">IF(ISBLANK(H128),IF(AND(ISBLANK(C128),Fill_Example="Yes"),"Must have","Must have"),IF(ISNUMBER(MATCH(H128,{"Must have","Nice to have"},0)),H128,"Must have"))</f>
        <v>Must have</v>
      </c>
      <c r="T128" s="95" t="str">
        <f aca="false">IF(ISBLANK(I128),"",IF(IF(ISNUMBER(I128),AND(I128&gt;=1,I128&lt;=22,I128=INT(I128)),FALSE()),I128,""))</f>
        <v/>
      </c>
      <c r="U128" s="95" t="str">
        <f aca="false">IF(ISBLANK(J128),IF(AND(ISBLANK(C128),Fill_Example="Yes"),"No","No"),IF(ISNUMBER(MATCH(J128,{"Yes","No"},0)),J128,"No"))</f>
        <v>No</v>
      </c>
    </row>
    <row r="129" customFormat="false" ht="15" hidden="false" customHeight="true" outlineLevel="0" collapsed="false">
      <c r="B129" s="1" t="s">
        <v>1515</v>
      </c>
      <c r="C129" s="94"/>
      <c r="D129" s="94"/>
      <c r="E129" s="94"/>
      <c r="F129" s="94"/>
      <c r="G129" s="94"/>
      <c r="H129" s="94"/>
      <c r="I129" s="94"/>
      <c r="J129" s="94"/>
      <c r="N129" s="95" t="str">
        <f aca="false">IF(ISBLANK(C129),IF(Fill_Example="Yes","",""),IF(ISNUMBER(MATCH(C129,Goal_Keys,0)),C129,""))</f>
        <v/>
      </c>
      <c r="O129" s="95" t="str">
        <f aca="false">IF(ISBLANK(D129),IFERROR(INDEX(Goal_Titles,MATCH(N129,Goal_Keys,0)),""),D129)</f>
        <v/>
      </c>
      <c r="P129" s="95" t="n">
        <f aca="false">IF(ISBLANK(E129),IF(AND(ISBLANK(C129),Fill_Example="Yes"),0,MIN(PR_GoalMaxAge,In_age+IFERROR(INDEX(Goal_DefYrs,MATCH(N129,Goal_Keys,0)),0))),IF(IF(ISNUMBER(E129),AND(E129&gt;=0,E129&lt;=105,E129=INT(E129)),FALSE()),E129,MIN(PR_GoalMaxAge,In_age+IFERROR(INDEX(Goal_DefYrs,MATCH(N129,Goal_Keys,0)),0))))</f>
        <v>0</v>
      </c>
      <c r="Q129" s="95" t="n">
        <f aca="false">IF(ISBLANK(F129),IF(AND(ISBLANK(C129),Fill_Example="Yes"),0,IFERROR(INDEX(Goal_DefAmt,MATCH(N129,Goal_Keys,0)),0)),IF(IF(ISNUMBER(F129),AND(F129&gt;=0,F129&lt;=100000000),FALSE()),F129,IFERROR(INDEX(Goal_DefAmt,MATCH(N129,Goal_Keys,0)),0)))</f>
        <v>0</v>
      </c>
      <c r="R129" s="95" t="n">
        <f aca="false">IF(ISBLANK(G129),IF(AND(ISBLANK(C129),Fill_Example="Yes"),0,0),IF(IF(ISNUMBER(G129),AND(G129&gt;=0,G129&lt;=100000000),FALSE()),G129,0))</f>
        <v>0</v>
      </c>
      <c r="S129" s="95" t="str">
        <f aca="false">IF(ISBLANK(H129),IF(AND(ISBLANK(C129),Fill_Example="Yes"),"Must have","Must have"),IF(ISNUMBER(MATCH(H129,{"Must have","Nice to have"},0)),H129,"Must have"))</f>
        <v>Must have</v>
      </c>
      <c r="T129" s="95" t="str">
        <f aca="false">IF(ISBLANK(I129),"",IF(IF(ISNUMBER(I129),AND(I129&gt;=1,I129&lt;=22,I129=INT(I129)),FALSE()),I129,""))</f>
        <v/>
      </c>
      <c r="U129" s="95" t="str">
        <f aca="false">IF(ISBLANK(J129),IF(AND(ISBLANK(C129),Fill_Example="Yes"),"No","No"),IF(ISNUMBER(MATCH(J129,{"Yes","No"},0)),J129,"No"))</f>
        <v>No</v>
      </c>
    </row>
    <row r="130" customFormat="false" ht="15" hidden="false" customHeight="true" outlineLevel="0" collapsed="false">
      <c r="B130" s="1" t="s">
        <v>1516</v>
      </c>
      <c r="C130" s="94"/>
      <c r="D130" s="94"/>
      <c r="E130" s="94"/>
      <c r="F130" s="94"/>
      <c r="G130" s="94"/>
      <c r="H130" s="94"/>
      <c r="I130" s="94"/>
      <c r="J130" s="94"/>
      <c r="N130" s="95" t="str">
        <f aca="false">IF(ISBLANK(C130),IF(Fill_Example="Yes","",""),IF(ISNUMBER(MATCH(C130,Goal_Keys,0)),C130,""))</f>
        <v/>
      </c>
      <c r="O130" s="95" t="str">
        <f aca="false">IF(ISBLANK(D130),IFERROR(INDEX(Goal_Titles,MATCH(N130,Goal_Keys,0)),""),D130)</f>
        <v/>
      </c>
      <c r="P130" s="95" t="n">
        <f aca="false">IF(ISBLANK(E130),IF(AND(ISBLANK(C130),Fill_Example="Yes"),0,MIN(PR_GoalMaxAge,In_age+IFERROR(INDEX(Goal_DefYrs,MATCH(N130,Goal_Keys,0)),0))),IF(IF(ISNUMBER(E130),AND(E130&gt;=0,E130&lt;=105,E130=INT(E130)),FALSE()),E130,MIN(PR_GoalMaxAge,In_age+IFERROR(INDEX(Goal_DefYrs,MATCH(N130,Goal_Keys,0)),0))))</f>
        <v>0</v>
      </c>
      <c r="Q130" s="95" t="n">
        <f aca="false">IF(ISBLANK(F130),IF(AND(ISBLANK(C130),Fill_Example="Yes"),0,IFERROR(INDEX(Goal_DefAmt,MATCH(N130,Goal_Keys,0)),0)),IF(IF(ISNUMBER(F130),AND(F130&gt;=0,F130&lt;=100000000),FALSE()),F130,IFERROR(INDEX(Goal_DefAmt,MATCH(N130,Goal_Keys,0)),0)))</f>
        <v>0</v>
      </c>
      <c r="R130" s="95" t="n">
        <f aca="false">IF(ISBLANK(G130),IF(AND(ISBLANK(C130),Fill_Example="Yes"),0,0),IF(IF(ISNUMBER(G130),AND(G130&gt;=0,G130&lt;=100000000),FALSE()),G130,0))</f>
        <v>0</v>
      </c>
      <c r="S130" s="95" t="str">
        <f aca="false">IF(ISBLANK(H130),IF(AND(ISBLANK(C130),Fill_Example="Yes"),"Must have","Must have"),IF(ISNUMBER(MATCH(H130,{"Must have","Nice to have"},0)),H130,"Must have"))</f>
        <v>Must have</v>
      </c>
      <c r="T130" s="95" t="str">
        <f aca="false">IF(ISBLANK(I130),"",IF(IF(ISNUMBER(I130),AND(I130&gt;=1,I130&lt;=22,I130=INT(I130)),FALSE()),I130,""))</f>
        <v/>
      </c>
      <c r="U130" s="95" t="str">
        <f aca="false">IF(ISBLANK(J130),IF(AND(ISBLANK(C130),Fill_Example="Yes"),"No","No"),IF(ISNUMBER(MATCH(J130,{"Yes","No"},0)),J130,"No"))</f>
        <v>No</v>
      </c>
    </row>
    <row r="131" customFormat="false" ht="15" hidden="false" customHeight="true" outlineLevel="0" collapsed="false">
      <c r="B131" s="1" t="s">
        <v>1517</v>
      </c>
      <c r="C131" s="94"/>
      <c r="D131" s="94"/>
      <c r="E131" s="94"/>
      <c r="F131" s="94"/>
      <c r="G131" s="94"/>
      <c r="H131" s="94"/>
      <c r="I131" s="94"/>
      <c r="J131" s="94"/>
      <c r="N131" s="95" t="str">
        <f aca="false">IF(ISBLANK(C131),IF(Fill_Example="Yes","",""),IF(ISNUMBER(MATCH(C131,Goal_Keys,0)),C131,""))</f>
        <v/>
      </c>
      <c r="O131" s="95" t="str">
        <f aca="false">IF(ISBLANK(D131),IFERROR(INDEX(Goal_Titles,MATCH(N131,Goal_Keys,0)),""),D131)</f>
        <v/>
      </c>
      <c r="P131" s="95" t="n">
        <f aca="false">IF(ISBLANK(E131),IF(AND(ISBLANK(C131),Fill_Example="Yes"),0,MIN(PR_GoalMaxAge,In_age+IFERROR(INDEX(Goal_DefYrs,MATCH(N131,Goal_Keys,0)),0))),IF(IF(ISNUMBER(E131),AND(E131&gt;=0,E131&lt;=105,E131=INT(E131)),FALSE()),E131,MIN(PR_GoalMaxAge,In_age+IFERROR(INDEX(Goal_DefYrs,MATCH(N131,Goal_Keys,0)),0))))</f>
        <v>0</v>
      </c>
      <c r="Q131" s="95" t="n">
        <f aca="false">IF(ISBLANK(F131),IF(AND(ISBLANK(C131),Fill_Example="Yes"),0,IFERROR(INDEX(Goal_DefAmt,MATCH(N131,Goal_Keys,0)),0)),IF(IF(ISNUMBER(F131),AND(F131&gt;=0,F131&lt;=100000000),FALSE()),F131,IFERROR(INDEX(Goal_DefAmt,MATCH(N131,Goal_Keys,0)),0)))</f>
        <v>0</v>
      </c>
      <c r="R131" s="95" t="n">
        <f aca="false">IF(ISBLANK(G131),IF(AND(ISBLANK(C131),Fill_Example="Yes"),0,0),IF(IF(ISNUMBER(G131),AND(G131&gt;=0,G131&lt;=100000000),FALSE()),G131,0))</f>
        <v>0</v>
      </c>
      <c r="S131" s="95" t="str">
        <f aca="false">IF(ISBLANK(H131),IF(AND(ISBLANK(C131),Fill_Example="Yes"),"Must have","Must have"),IF(ISNUMBER(MATCH(H131,{"Must have","Nice to have"},0)),H131,"Must have"))</f>
        <v>Must have</v>
      </c>
      <c r="T131" s="95" t="str">
        <f aca="false">IF(ISBLANK(I131),"",IF(IF(ISNUMBER(I131),AND(I131&gt;=1,I131&lt;=22,I131=INT(I131)),FALSE()),I131,""))</f>
        <v/>
      </c>
      <c r="U131" s="95" t="str">
        <f aca="false">IF(ISBLANK(J131),IF(AND(ISBLANK(C131),Fill_Example="Yes"),"No","No"),IF(ISNUMBER(MATCH(J131,{"Yes","No"},0)),J131,"No"))</f>
        <v>No</v>
      </c>
    </row>
    <row r="132" customFormat="false" ht="15" hidden="false" customHeight="true" outlineLevel="0" collapsed="false">
      <c r="B132" s="1" t="s">
        <v>1518</v>
      </c>
      <c r="C132" s="94"/>
      <c r="D132" s="94"/>
      <c r="E132" s="94"/>
      <c r="F132" s="94"/>
      <c r="G132" s="94"/>
      <c r="H132" s="94"/>
      <c r="I132" s="94"/>
      <c r="J132" s="94"/>
      <c r="N132" s="95" t="str">
        <f aca="false">IF(ISBLANK(C132),IF(Fill_Example="Yes","",""),IF(ISNUMBER(MATCH(C132,Goal_Keys,0)),C132,""))</f>
        <v/>
      </c>
      <c r="O132" s="95" t="str">
        <f aca="false">IF(ISBLANK(D132),IFERROR(INDEX(Goal_Titles,MATCH(N132,Goal_Keys,0)),""),D132)</f>
        <v/>
      </c>
      <c r="P132" s="95" t="n">
        <f aca="false">IF(ISBLANK(E132),IF(AND(ISBLANK(C132),Fill_Example="Yes"),0,MIN(PR_GoalMaxAge,In_age+IFERROR(INDEX(Goal_DefYrs,MATCH(N132,Goal_Keys,0)),0))),IF(IF(ISNUMBER(E132),AND(E132&gt;=0,E132&lt;=105,E132=INT(E132)),FALSE()),E132,MIN(PR_GoalMaxAge,In_age+IFERROR(INDEX(Goal_DefYrs,MATCH(N132,Goal_Keys,0)),0))))</f>
        <v>0</v>
      </c>
      <c r="Q132" s="95" t="n">
        <f aca="false">IF(ISBLANK(F132),IF(AND(ISBLANK(C132),Fill_Example="Yes"),0,IFERROR(INDEX(Goal_DefAmt,MATCH(N132,Goal_Keys,0)),0)),IF(IF(ISNUMBER(F132),AND(F132&gt;=0,F132&lt;=100000000),FALSE()),F132,IFERROR(INDEX(Goal_DefAmt,MATCH(N132,Goal_Keys,0)),0)))</f>
        <v>0</v>
      </c>
      <c r="R132" s="95" t="n">
        <f aca="false">IF(ISBLANK(G132),IF(AND(ISBLANK(C132),Fill_Example="Yes"),0,0),IF(IF(ISNUMBER(G132),AND(G132&gt;=0,G132&lt;=100000000),FALSE()),G132,0))</f>
        <v>0</v>
      </c>
      <c r="S132" s="95" t="str">
        <f aca="false">IF(ISBLANK(H132),IF(AND(ISBLANK(C132),Fill_Example="Yes"),"Must have","Must have"),IF(ISNUMBER(MATCH(H132,{"Must have","Nice to have"},0)),H132,"Must have"))</f>
        <v>Must have</v>
      </c>
      <c r="T132" s="95" t="str">
        <f aca="false">IF(ISBLANK(I132),"",IF(IF(ISNUMBER(I132),AND(I132&gt;=1,I132&lt;=22,I132=INT(I132)),FALSE()),I132,""))</f>
        <v/>
      </c>
      <c r="U132" s="95" t="str">
        <f aca="false">IF(ISBLANK(J132),IF(AND(ISBLANK(C132),Fill_Example="Yes"),"No","No"),IF(ISNUMBER(MATCH(J132,{"Yes","No"},0)),J132,"No"))</f>
        <v>No</v>
      </c>
    </row>
  </sheetData>
  <mergeCells count="2">
    <mergeCell ref="B2:I2"/>
    <mergeCell ref="B3:I3"/>
  </mergeCells>
  <conditionalFormatting sqref="B3:I3">
    <cfRule type="expression" priority="2" aboveAverage="0" equalAverage="0" bottom="0" percent="0" rank="0" text="" dxfId="0">
      <formula>LEN($B$3)&gt;0</formula>
    </cfRule>
  </conditionalFormatting>
  <dataValidations count="162">
    <dataValidation allowBlank="true" error="Enter a real date of birth: day, month and year, with an age of 18 to 80 today." errorStyle="stop" errorTitle="Date of birth" operator="between" showDropDown="false" showErrorMessage="true" showInputMessage="false" sqref="C6" type="date">
      <formula1>DATE(1900,1,1)</formula1>
      <formula2>TODAY()</formula2>
    </dataValidation>
    <dataValidation allowBlank="true" error="Choose one of: Yes,No" errorStyle="stop" errorTitle="Not in the list" operator="between" showDropDown="false" showErrorMessage="true" showInputMessage="false" sqref="C7" type="list">
      <formula1>"Yes,No"</formula1>
      <formula2>0</formula2>
    </dataValidation>
    <dataValidation allowBlank="true" error="Choose one of: Yes,No" errorStyle="stop" errorTitle="Not in the list" operator="between" showDropDown="false" showErrorMessage="true" showInputMessage="false" sqref="C8" type="list">
      <formula1>"Yes,No"</formula1>
      <formula2>0</formula2>
    </dataValidation>
    <dataValidation allowBlank="true" error="Children or others who rely on you: allowed 0 to 20 (whole numbers)" errorStyle="stop" errorTitle="Outside the allowed range" operator="between" showDropDown="false" showErrorMessage="true" showInputMessage="false" sqref="C9" type="whole">
      <formula1>0</formula1>
      <formula2>20</formula2>
    </dataValidation>
    <dataValidation allowBlank="true" error="Retirement age (your choice, never filled in for you): allowed 18 to 105 (whole numbers)" errorStyle="stop" errorTitle="Outside the allowed range" operator="between" showDropDown="false" showErrorMessage="true" showInputMessage="false" sqref="C10" type="whole">
      <formula1>18</formula1>
      <formula2>105</formula2>
    </dataValidation>
    <dataValidation allowBlank="true" error="Partner's retirement age (your choice; needed when your partner has income): allowed 18 to 105 (whole numbers)" errorStyle="stop" errorTitle="Outside the allowed range" operator="between" showDropDown="false" showErrorMessage="true" showInputMessage="false" sqref="C11" type="whole">
      <formula1>18</formula1>
      <formula2>105</formula2>
    </dataValidation>
    <dataValidation allowBlank="true" error="Inflation you choose (a rate, e.g. 0.02 = 2%): allowed 0 to 0.1" errorStyle="stop" errorTitle="Outside the allowed range" operator="between" showDropDown="false" showErrorMessage="true" showInputMessage="false" sqref="C12" type="decimal">
      <formula1>0</formula1>
      <formula2>0.1</formula2>
    </dataValidation>
    <dataValidation allowBlank="true" error="Choose one of: Standard,Cautious" errorStyle="stop" errorTitle="Not in the list" operator="between" showDropDown="false" showErrorMessage="true" showInputMessage="false" sqref="C13" type="list">
      <formula1>"Standard,Cautious"</formula1>
      <formula2>0</formula2>
    </dataValidation>
    <dataValidation allowBlank="true" error="Q6 answer: how much could you invest? (0 to 4, blank = not answered): allowed 0 to 4 (whole numbers)" errorStyle="stop" errorTitle="Outside the allowed range" operator="between" showDropDown="false" showErrorMessage="true" showInputMessage="false" sqref="C14" type="whole">
      <formula1>0</formula1>
      <formula2>4</formula2>
    </dataValidation>
    <dataValidation allowBlank="true" error="My monthly saving (today's money, blank = use the rule): allowed 0 to 1e+06" errorStyle="stop" errorTitle="Outside the allowed range" operator="between" showDropDown="false" showErrorMessage="true" showInputMessage="false" sqref="C15" type="decimal">
      <formula1>0</formula1>
      <formula2>1000000</formula2>
    </dataValidation>
    <dataValidation allowBlank="true" error="Choose one of: Yes,No" errorStyle="stop" errorTitle="Not in the list" operator="between" showDropDown="false" showErrorMessage="true" showInputMessage="false" sqref="C16" type="list">
      <formula1>"Yes,No"</formula1>
      <formula2>0</formula2>
    </dataValidation>
    <dataValidation allowBlank="true" error="Extra monthly pension contribution you chose (€ a month): allowed 0 to 100000" errorStyle="stop" errorTitle="Outside the allowed range" operator="between" showDropDown="false" showErrorMessage="true" showInputMessage="false" sqref="C17" type="decimal">
      <formula1>0</formula1>
      <formula2>100000</formula2>
    </dataValidation>
    <dataValidation allowBlank="true" error="Choose one of: Yes,No" errorStyle="stop" errorTitle="Not in the list" operator="between" showDropDown="false" showErrorMessage="true" showInputMessage="false" sqref="C18" type="list">
      <formula1>"Yes,No"</formula1>
      <formula2>0</formula2>
    </dataValidation>
    <dataValidation allowBlank="true" error="Choose one of: Yes,No" errorStyle="stop" errorTitle="Not in the list" operator="between" showDropDown="false" showErrorMessage="true" showInputMessage="false" sqref="C19" type="list">
      <formula1>"Yes,No"</formula1>
      <formula2>0</formula2>
    </dataValidation>
    <dataValidation allowBlank="true" error="Choose one of: Yes,No" errorStyle="stop" errorTitle="Not in the list" operator="between" showDropDown="false" showErrorMessage="true" showInputMessage="false" sqref="C20" type="list">
      <formula1>"Yes,No"</formula1>
      <formula2>0</formula2>
    </dataValidation>
    <dataValidation allowBlank="true" error="What if: put it towards goal number (1 to 22, as listed below; blank = none): allowed 1 to 22 (whole numbers)" errorStyle="stop" errorTitle="Outside the allowed range" operator="between" showDropDown="false" showErrorMessage="true" showInputMessage="false" sqref="C23" type="whole">
      <formula1>1</formula1>
      <formula2>22</formula2>
    </dataValidation>
    <dataValidation allowBlank="true" error="What if: extra (or less) each month: allowed -5000 to 10000" errorStyle="stop" errorTitle="Outside the allowed range" operator="between" showDropDown="false" showErrorMessage="true" showInputMessage="false" sqref="C24" type="decimal">
      <formula1>-5000</formula1>
      <formula2>10000</formula2>
    </dataValidation>
    <dataValidation allowBlank="true" error="What if: one-off amount: allowed 0 to 2e+06" errorStyle="stop" errorTitle="Outside the allowed range" operator="between" showDropDown="false" showErrorMessage="true" showInputMessage="false" sqref="C25" type="decimal">
      <formula1>0</formula1>
      <formula2>2000000</formula2>
    </dataValidation>
    <dataValidation allowBlank="true" error="Choose one of: Employed,Self-employed,Not working" errorStyle="stop" errorTitle="Not in the list" operator="between" showDropDown="false" showErrorMessage="true" showInputMessage="false" sqref="C28" type="list">
      <formula1>"Employed,Self-employed,Not working"</formula1>
      <formula2>0</formula2>
    </dataValidation>
    <dataValidation allowBlank="true" error="Your gross yearly income: allowed 0 to 1e+08" errorStyle="stop" errorTitle="Outside the allowed range" operator="between" showDropDown="false" showErrorMessage="true" showInputMessage="false" sqref="C29" type="decimal">
      <formula1>0</formula1>
      <formula2>100000000</formula2>
    </dataValidation>
    <dataValidation allowBlank="true" error="Partner's gross yearly income: allowed 0 to 1e+08" errorStyle="stop" errorTitle="Outside the allowed range" operator="between" showDropDown="false" showErrorMessage="true" showInputMessage="false" sqref="C30" type="decimal">
      <formula1>0</formula1>
      <formula2>100000000</formula2>
    </dataValidation>
    <dataValidation allowBlank="true" error="Enter a real date of birth: day, month and year, with an age of 18 to 85 today." errorStyle="stop" errorTitle="Date of birth" operator="between" showDropDown="false" showErrorMessage="true" showInputMessage="false" sqref="C31" type="date">
      <formula1>DATE(1900,1,1)</formula1>
      <formula2>TODAY()</formula2>
    </dataValidation>
    <dataValidation allowBlank="true" error="Other income a month (before tax): allowed 0 to 1e+08" errorStyle="stop" errorTitle="Outside the allowed range" operator="between" showDropDown="false" showErrorMessage="true" showInputMessage="false" sqref="C32" type="decimal">
      <formula1>0</formula1>
      <formula2>100000000</formula2>
    </dataValidation>
    <dataValidation allowBlank="true" error="Monthly living costs (leave out mortgage and loan repayments): allowed 0 to 1e+08" errorStyle="stop" errorTitle="Outside the allowed range" operator="between" showDropDown="false" showErrorMessage="true" showInputMessage="false" sqref="C33" type="decimal">
      <formula1>0</formula1>
      <formula2>100000000</formula2>
    </dataValidation>
    <dataValidation allowBlank="true" error="Yearly one-off costs: allowed 0 to 1e+08" errorStyle="stop" errorTitle="Outside the allowed range" operator="between" showDropDown="false" showErrorMessage="true" showInputMessage="false" sqref="C34" type="decimal">
      <formula1>0</formula1>
      <formula2>100000000</formula2>
    </dataValidation>
    <dataValidation allowBlank="true" error="Other property: value (only used for the section status): allowed 0 to 1e+08" errorStyle="stop" errorTitle="Outside the allowed range" operator="between" showDropDown="false" showErrorMessage="true" showInputMessage="false" sqref="C35" type="decimal">
      <formula1>0</formula1>
      <formula2>100000000</formula2>
    </dataValidation>
    <dataValidation allowBlank="true" error="Other property: rent received a month: allowed 0 to 1e+08" errorStyle="stop" errorTitle="Outside the allowed range" operator="between" showDropDown="false" showErrorMessage="true" showInputMessage="false" sqref="C36" type="decimal">
      <formula1>0</formula1>
      <formula2>100000000</formula2>
    </dataValidation>
    <dataValidation allowBlank="true" error="Choose one of: Own outright,Own with mortgage,Rent,Live with family" errorStyle="stop" errorTitle="Not in the list" operator="between" showDropDown="false" showErrorMessage="true" showInputMessage="false" sqref="C37" type="list">
      <formula1>"Own outright,Own with mortgage,Rent,Live with family"</formula1>
      <formula2>0</formula2>
    </dataValidation>
    <dataValidation allowBlank="true" error="Home value: allowed 0 to 1e+08" errorStyle="stop" errorTitle="Outside the allowed range" operator="between" showDropDown="false" showErrorMessage="true" showInputMessage="false" sqref="C38" type="decimal">
      <formula1>0</formula1>
      <formula2>100000000</formula2>
    </dataValidation>
    <dataValidation allowBlank="true" error="Cash savings: allowed 0 to 1e+08" errorStyle="stop" errorTitle="Outside the allowed range" operator="between" showDropDown="false" showErrorMessage="true" showInputMessage="false" sqref="C39" type="decimal">
      <formula1>0</formula1>
      <formula2>100000000</formula2>
    </dataValidation>
    <dataValidation allowBlank="true" error="Investments: allowed 0 to 1e+08" errorStyle="stop" errorTitle="Outside the allowed range" operator="between" showDropDown="false" showErrorMessage="true" showInputMessage="false" sqref="C40" type="decimal">
      <formula1>0</formula1>
      <formula2>100000000</formula2>
    </dataValidation>
    <dataValidation allowBlank="true" error="Mortgage left: allowed 0 to 1e+08" errorStyle="stop" errorTitle="Outside the allowed range" operator="between" showDropDown="false" showErrorMessage="true" showInputMessage="false" sqref="C41" type="decimal">
      <formula1>0</formula1>
      <formula2>100000000</formula2>
    </dataValidation>
    <dataValidation allowBlank="true" error="Mortgage rate, APR (e.g. 0.0385 = 3.85%; blank = your assumption): allowed 0 to 0.3" errorStyle="stop" errorTitle="Outside the allowed range" operator="between" showDropDown="false" showErrorMessage="true" showInputMessage="false" sqref="C42" type="decimal">
      <formula1>0</formula1>
      <formula2>0.3</formula2>
    </dataValidation>
    <dataValidation allowBlank="true" error="Mortgage monthly repayment: allowed 0 to 1e+08" errorStyle="stop" errorTitle="Outside the allowed range" operator="between" showDropDown="false" showErrorMessage="true" showInputMessage="false" sqref="C43" type="decimal">
      <formula1>0</formula1>
      <formula2>100000000</formula2>
    </dataValidation>
    <dataValidation allowBlank="true" error="Mortgage years left: allowed 1 to 40 (whole numbers)" errorStyle="stop" errorTitle="Outside the allowed range" operator="between" showDropDown="false" showErrorMessage="true" showInputMessage="false" sqref="C44" type="whole">
      <formula1>1</formula1>
      <formula2>40</formula2>
    </dataValidation>
    <dataValidation allowBlank="true" error="Credit cards: total owed (a list on &quot;Your lists&quot; wins): allowed 0 to 1e+08" errorStyle="stop" errorTitle="Outside the allowed range" operator="between" showDropDown="false" showErrorMessage="true" showInputMessage="false" sqref="C45" type="decimal">
      <formula1>0</formula1>
      <formula2>100000000</formula2>
    </dataValidation>
    <dataValidation allowBlank="true" error="Credit cards: monthly repayment: allowed 0 to 1e+08" errorStyle="stop" errorTitle="Outside the allowed range" operator="between" showDropDown="false" showErrorMessage="true" showInputMessage="false" sqref="C46" type="decimal">
      <formula1>0</formula1>
      <formula2>100000000</formula2>
    </dataValidation>
    <dataValidation allowBlank="true" error="Credit cards: APR (e.g. 0.22 = 22%; blank = your assumption): allowed 0 to 0.3" errorStyle="stop" errorTitle="Outside the allowed range" operator="between" showDropDown="false" showErrorMessage="true" showInputMessage="false" sqref="C47" type="decimal">
      <formula1>0</formula1>
      <formula2>0.3</formula2>
    </dataValidation>
    <dataValidation allowBlank="true" error="Other loans: total owed: allowed 0 to 1e+08" errorStyle="stop" errorTitle="Outside the allowed range" operator="between" showDropDown="false" showErrorMessage="true" showInputMessage="false" sqref="C48" type="decimal">
      <formula1>0</formula1>
      <formula2>100000000</formula2>
    </dataValidation>
    <dataValidation allowBlank="true" error="Other loans: monthly repayment: allowed 0 to 1e+08" errorStyle="stop" errorTitle="Outside the allowed range" operator="between" showDropDown="false" showErrorMessage="true" showInputMessage="false" sqref="C49" type="decimal">
      <formula1>0</formula1>
      <formula2>100000000</formula2>
    </dataValidation>
    <dataValidation allowBlank="true" error="Other loans: APR (e.g. 0.09 = 9%; blank = your assumption): allowed 0 to 0.3" errorStyle="stop" errorTitle="Outside the allowed range" operator="between" showDropDown="false" showErrorMessage="true" showInputMessage="false" sqref="C50" type="decimal">
      <formula1>0</formula1>
      <formula2>0.3</formula2>
    </dataValidation>
    <dataValidation allowBlank="true" error="Other debt (older single figure): allowed 0 to 1e+08" errorStyle="stop" errorTitle="Outside the allowed range" operator="between" showDropDown="false" showErrorMessage="true" showInputMessage="false" sqref="C51" type="decimal">
      <formula1>0</formula1>
      <formula2>100000000</formula2>
    </dataValidation>
    <dataValidation allowBlank="true" error="Other debt monthly repayment: allowed 0 to 1e+08" errorStyle="stop" errorTitle="Outside the allowed range" operator="between" showDropDown="false" showErrorMessage="true" showInputMessage="false" sqref="C52" type="decimal">
      <formula1>0</formula1>
      <formula2>100000000</formula2>
    </dataValidation>
    <dataValidation allowBlank="true" error="Pension value today (a list on &quot;Your lists&quot; wins): allowed 0 to 1e+08" errorStyle="stop" errorTitle="Outside the allowed range" operator="between" showDropDown="false" showErrorMessage="true" showInputMessage="false" sqref="C53" type="decimal">
      <formula1>0</formula1>
      <formula2>100000000</formula2>
    </dataValidation>
    <dataValidation allowBlank="true" error="Paid into your pension each month, you + employer: allowed 0 to 1e+08" errorStyle="stop" errorTitle="Outside the allowed range" operator="between" showDropDown="false" showErrorMessage="true" showInputMessage="false" sqref="C54" type="decimal">
      <formula1>0</formula1>
      <formula2>100000000</formula2>
    </dataValidation>
    <dataValidation allowBlank="true" error="Of that, paid by you each month (blank = your share assumption): allowed 0 to 1e+08" errorStyle="stop" errorTitle="Outside the allowed range" operator="between" showDropDown="false" showErrorMessage="true" showInputMessage="false" sqref="C55" type="decimal">
      <formula1>0</formula1>
      <formula2>100000000</formula2>
    </dataValidation>
    <dataValidation allowBlank="true" error="Your statement's pension charges, a rate (e.g. 0.01 = 1%; blank = the typical charges are already in the growth rate): allowed 0 to 0.05" errorStyle="stop" errorTitle="Outside the allowed range" operator="between" showDropDown="false" showErrorMessage="true" showInputMessage="false" sqref="C56" type="decimal">
      <formula1>0</formula1>
      <formula2>0.05</formula2>
    </dataValidation>
    <dataValidation allowBlank="true" error="Choose one of: Yes,No,Not sure" errorStyle="stop" errorTitle="Not in the list" operator="between" showDropDown="false" showErrorMessage="true" showInputMessage="false" sqref="C57" type="list">
      <formula1>"Yes,No,Not sure"</formula1>
      <formula2>0</formula2>
    </dataValidation>
    <dataValidation allowBlank="true" error="Choose one of: Expect full,Partly,Not sure" errorStyle="stop" errorTitle="Not in the list" operator="between" showDropDown="false" showErrorMessage="true" showInputMessage="false" sqref="C58" type="list">
      <formula1>"Expect full,Partly,Not sure"</formula1>
      <formula2>0</formula2>
    </dataValidation>
    <dataValidation allowBlank="true" error="PRSI years at 66 (blank = not known): allowed 0 to 45 (whole numbers)" errorStyle="stop" errorTitle="Outside the allowed range" operator="between" showDropDown="false" showErrorMessage="true" showInputMessage="false" sqref="C59" type="whole">
      <formula1>0</formula1>
      <formula2>45</formula2>
    </dataValidation>
    <dataValidation allowBlank="true" error="Choose one of: Own full,Own partial,Qualified adult increase,None,Not sure" errorStyle="stop" errorTitle="Not in the list" operator="between" showDropDown="false" showErrorMessage="true" showInputMessage="false" sqref="C60" type="list">
      <formula1>"Own full,Own partial,Qualified adult increase,None,Not sure"</formula1>
      <formula2>0</formula2>
    </dataValidation>
    <dataValidation allowBlank="true" error="Choose one of: Yes,No,Not sure" errorStyle="stop" errorTitle="Not in the list" operator="between" showDropDown="false" showErrorMessage="true" showInputMessage="false" sqref="C61" type="list">
      <formula1>"Yes,No,Not sure"</formula1>
      <formula2>0</formula2>
    </dataValidation>
    <dataValidation allowBlank="true" error="Choose one of: Yes,No,Not sure" errorStyle="stop" errorTitle="Not in the list" operator="between" showDropDown="false" showErrorMessage="true" showInputMessage="false" sqref="C62" type="list">
      <formula1>"Yes,No,Not sure"</formula1>
      <formula2>0</formula2>
    </dataValidation>
    <dataValidation allowBlank="true" error="Choose one of: Yes,No,Not sure" errorStyle="stop" errorTitle="Not in the list" operator="between" showDropDown="false" showErrorMessage="true" showInputMessage="false" sqref="C63" type="list">
      <formula1>"Yes,No,Not sure"</formula1>
      <formula2>0</formula2>
    </dataValidation>
    <dataValidation allowBlank="true" error="Choose one of: Yes,No,Not sure" errorStyle="stop" errorTitle="Not in the list" operator="between" showDropDown="false" showErrorMessage="true" showInputMessage="false" sqref="C64" type="list">
      <formula1>"Yes,No,Not sure"</formula1>
      <formula2>0</formula2>
    </dataValidation>
    <dataValidation allowBlank="true" error="Choose one of: Yes,No,Not sure" errorStyle="stop" errorTitle="Not in the list" operator="between" showDropDown="false" showErrorMessage="true" showInputMessage="false" sqref="C65" type="list">
      <formula1>"Yes,No,Not sure"</formula1>
      <formula2>0</formula2>
    </dataValidation>
    <dataValidation allowBlank="true" error="Choose one of: Yes,No" errorStyle="stop" errorTitle="Not in the list" operator="between" showDropDown="false" showErrorMessage="true" showInputMessage="false" sqref="C68" type="list">
      <formula1>"Yes,No"</formula1>
      <formula2>0</formula2>
    </dataValidation>
    <dataValidation allowBlank="true" error="Choose one of: Yes,No" errorStyle="stop" errorTitle="Not in the list" operator="between" showDropDown="false" showErrorMessage="true" showInputMessage="false" sqref="C70" type="list">
      <formula1>"Yes,No"</formula1>
      <formula2>0</formula2>
    </dataValidation>
    <dataValidation allowBlank="true" error="Choose one of: Yes,No" errorStyle="stop" errorTitle="Not in the list" operator="between" showDropDown="false" showErrorMessage="true" showInputMessage="false" sqref="C71" type="list">
      <formula1>"Yes,No"</formula1>
      <formula2>0</formula2>
    </dataValidation>
    <dataValidation allowBlank="true" error="Choose one of: Yes,No" errorStyle="stop" errorTitle="Not in the list" operator="between" showDropDown="false" showErrorMessage="true" showInputMessage="false" sqref="C72" type="list">
      <formula1>"Yes,No"</formula1>
      <formula2>0</formula2>
    </dataValidation>
    <dataValidation allowBlank="true" error="Choose one of: Yes,No" errorStyle="stop" errorTitle="Not in the list" operator="between" showDropDown="false" showErrorMessage="true" showInputMessage="false" sqref="C73" type="list">
      <formula1>"Yes,No"</formula1>
      <formula2>0</formula2>
    </dataValidation>
    <dataValidation allowBlank="true" error="Choose one of: Yes,No" errorStyle="stop" errorTitle="Not in the list" operator="between" showDropDown="false" showErrorMessage="true" showInputMessage="false" sqref="C74" type="list">
      <formula1>"Yes,No"</formula1>
      <formula2>0</formula2>
    </dataValidation>
    <dataValidation allowBlank="true" error="Choose one of: Yes,No" errorStyle="stop" errorTitle="Not in the list" operator="between" showDropDown="false" showErrorMessage="true" showInputMessage="false" sqref="C75" type="list">
      <formula1>"Yes,No"</formula1>
      <formula2>0</formula2>
    </dataValidation>
    <dataValidation allowBlank="true" error="Choose one of: Yes,No" errorStyle="stop" errorTitle="Not in the list" operator="between" showDropDown="false" showErrorMessage="true" showInputMessage="false" sqref="C76" type="list">
      <formula1>"Yes,No"</formula1>
      <formula2>0</formula2>
    </dataValidation>
    <dataValidation allowBlank="true" error="Choose one of: Yes,No" errorStyle="stop" errorTitle="Not in the list" operator="between" showDropDown="false" showErrorMessage="true" showInputMessage="false" sqref="C77" type="list">
      <formula1>"Yes,No"</formula1>
      <formula2>0</formula2>
    </dataValidation>
    <dataValidation allowBlank="true" error="Investments grow (a year): allowed 0 to 0.07" errorStyle="stop" errorTitle="Outside the allowed range" operator="between" showDropDown="false" showErrorMessage="true" showInputMessage="false" sqref="C82" type="decimal">
      <formula1>0</formula1>
      <formula2>0.07</formula2>
    </dataValidation>
    <dataValidation allowBlank="true" error="Cash savings earn (a year): allowed 0 to 0.04" errorStyle="stop" errorTitle="Outside the allowed range" operator="between" showDropDown="false" showErrorMessage="true" showInputMessage="false" sqref="C83" type="decimal">
      <formula1>0</formula1>
      <formula2>0.04</formula2>
    </dataValidation>
    <dataValidation allowBlank="true" error="Pension grows while you work (a year): allowed 0 to 0.07" errorStyle="stop" errorTitle="Outside the allowed range" operator="between" showDropDown="false" showErrorMessage="true" showInputMessage="false" sqref="C84" type="decimal">
      <formula1>0</formula1>
      <formula2>0.07</formula2>
    </dataValidation>
    <dataValidation allowBlank="true" error="Pension grows once retired (a year): allowed 0 to 0.07" errorStyle="stop" errorTitle="Outside the allowed range" operator="between" showDropDown="false" showErrorMessage="true" showInputMessage="false" sqref="C85" type="decimal">
      <formula1>0</formula1>
      <formula2>0.07</formula2>
    </dataValidation>
    <dataValidation allowBlank="true" error="Pay rises (a year): allowed 0 to 0.06" errorStyle="stop" errorTitle="Outside the allowed range" operator="between" showDropDown="false" showErrorMessage="true" showInputMessage="false" sqref="C86" type="decimal">
      <formula1>0</formula1>
      <formula2>0.06</formula2>
    </dataValidation>
    <dataValidation allowBlank="true" error="Choose one of: prices,flat" errorStyle="stop" errorTitle="Not in the list" operator="between" showDropDown="false" showErrorMessage="true" showInputMessage="false" sqref="C87" type="list">
      <formula1>"prices,flat"</formula1>
      <formula2>0</formula2>
    </dataValidation>
    <dataValidation allowBlank="true" error="Choose one of: prices,pay,flat" errorStyle="stop" errorTitle="Not in the list" operator="between" showDropDown="false" showErrorMessage="true" showInputMessage="false" sqref="C88" type="list">
      <formula1>"prices,pay,flat"</formula1>
      <formula2>0</formula2>
    </dataValidation>
    <dataValidation allowBlank="true" error="Share of your pension you pay yourself: allowed 0 to 1" errorStyle="stop" errorTitle="Outside the allowed range" operator="between" showDropDown="false" showErrorMessage="true" showInputMessage="false" sqref="C89" type="decimal">
      <formula1>0</formula1>
      <formula2>1</formula2>
    </dataValidation>
    <dataValidation allowBlank="true" error="Choose one of: 50,60" errorStyle="stop" errorTitle="Not in the list" operator="between" showDropDown="false" showErrorMessage="true" showInputMessage="false" sqref="C90" type="list">
      <formula1>"50,60"</formula1>
      <formula2>0</formula2>
    </dataValidation>
    <dataValidation allowBlank="true" error="Retirement spending if no retirement goal (share of today's): allowed 0.5 to 1.2" errorStyle="stop" errorTitle="Outside the allowed range" operator="between" showDropDown="false" showErrorMessage="true" showInputMessage="false" sqref="C91" type="decimal">
      <formula1>0.5</formula1>
      <formula2>1.2</formula2>
    </dataValidation>
    <dataValidation allowBlank="true" error="Tax-free lump sum to take (share of pension): allowed 0 to 0.25" errorStyle="stop" errorTitle="Outside the allowed range" operator="between" showDropDown="false" showErrorMessage="true" showInputMessage="false" sqref="C92" type="decimal">
      <formula1>0</formula1>
      <formula2>0.25</formula2>
    </dataValidation>
    <dataValidation allowBlank="true" error="Choose one of: spread,min,fixed" errorStyle="stop" errorTitle="Not in the list" operator="between" showDropDown="false" showErrorMessage="true" showInputMessage="false" sqref="C93" type="list">
      <formula1>"spread,min,fixed"</formula1>
      <formula2>0</formula2>
    </dataValidation>
    <dataValidation allowBlank="true" error="Fixed amount a year, if you chose fixed (today's money): allowed 0 to 200000" errorStyle="stop" errorTitle="Outside the allowed range" operator="between" showDropDown="false" showErrorMessage="true" showInputMessage="false" sqref="C94" type="decimal">
      <formula1>0</formula1>
      <formula2>200000</formula2>
    </dataValidation>
    <dataValidation allowBlank="true" error="Emergency fund months: allowed 1 to 12 (whole numbers)" errorStyle="stop" errorTitle="Outside the allowed range" operator="between" showDropDown="false" showErrorMessage="true" showInputMessage="false" sqref="C95" type="whole">
      <formula1>1</formula1>
      <formula2>12</formula2>
    </dataValidation>
    <dataValidation allowBlank="true" error="Money for goals sooner than this is kept as cash (years): allowed 1 to 10 (whole numbers)" errorStyle="stop" errorTitle="Outside the allowed range" operator="between" showDropDown="false" showErrorMessage="true" showInputMessage="false" sqref="C96" type="whole">
      <formula1>1</formula1>
      <formula2>10</formula2>
    </dataValidation>
    <dataValidation allowBlank="true" error="Spare savings: share invested: allowed 0 to 1" errorStyle="stop" errorTitle="Outside the allowed range" operator="between" showDropDown="false" showErrorMessage="true" showInputMessage="false" sqref="C97" type="decimal">
      <formula1>0</formula1>
      <formula2>1</formula2>
    </dataValidation>
    <dataValidation allowBlank="true" error="Share of spare money saved, at most: allowed 0 to 1" errorStyle="stop" errorTitle="Outside the allowed range" operator="between" showDropDown="false" showErrorMessage="true" showInputMessage="false" sqref="C98" type="decimal">
      <formula1>0</formula1>
      <formula2>1</formula2>
    </dataValidation>
    <dataValidation allowBlank="true" error="Monthly saving if Q6 not answered: allowed 0 to 5000" errorStyle="stop" errorTitle="Outside the allowed range" operator="between" showDropDown="false" showErrorMessage="true" showInputMessage="false" sqref="C99" type="decimal">
      <formula1>0</formula1>
      <formula2>5000</formula2>
    </dataValidation>
    <dataValidation allowBlank="true" error="Plan until age (your choice, never filled in for you): allowed 80 to 105 (whole numbers)" errorStyle="stop" errorTitle="Outside the allowed range" operator="between" showDropDown="false" showErrorMessage="true" showInputMessage="false" sqref="C100" type="whole">
      <formula1>80</formula1>
      <formula2>105</formula2>
    </dataValidation>
    <dataValidation allowBlank="true" error="Choose one of: 2026,2027" errorStyle="stop" errorTitle="Not in the list" operator="between" showDropDown="false" showErrorMessage="true" showInputMessage="false" sqref="C101" type="list">
      <formula1>"2026,2027"</formula1>
      <formula2>0</formula2>
    </dataValidation>
    <dataValidation allowBlank="true" error="Mortgage rate if the statement does not say: allowed 0.01 to 0.08" errorStyle="stop" errorTitle="Outside the allowed range" operator="between" showDropDown="false" showErrorMessage="true" showInputMessage="false" sqref="C102" type="decimal">
      <formula1>0.01</formula1>
      <formula2>0.08</formula2>
    </dataValidation>
    <dataValidation allowBlank="true" error="Credit-card rate if the statement does not say: allowed 0 to 0.35" errorStyle="stop" errorTitle="Outside the allowed range" operator="between" showDropDown="false" showErrorMessage="true" showInputMessage="false" sqref="C103" type="decimal">
      <formula1>0</formula1>
      <formula2>0.35</formula2>
    </dataValidation>
    <dataValidation allowBlank="true" error="Other loans rate if the statement does not say: allowed 0 to 0.25" errorStyle="stop" errorTitle="Outside the allowed range" operator="between" showDropDown="false" showErrorMessage="true" showInputMessage="false" sqref="C104" type="decimal">
      <formula1>0</formula1>
      <formula2>0.25</formula2>
    </dataValidation>
    <dataValidation allowBlank="true" error="Your State Pension a week at 66 (if you do not know your PRSI years): allowed 0 to 299.3" errorStyle="stop" errorTitle="Outside the allowed range" operator="between" showDropDown="false" showErrorMessage="true" showInputMessage="false" sqref="C105" type="decimal">
      <formula1>0</formula1>
      <formula2>299.3</formula2>
    </dataValidation>
    <dataValidation allowBlank="true" error="Partner's State Pension a week at 66: allowed 0 to 299.3" errorStyle="stop" errorTitle="Outside the allowed range" operator="between" showDropDown="false" showErrorMessage="true" showInputMessage="false" sqref="C106" type="decimal">
      <formula1>0</formula1>
      <formula2>299.3</formula2>
    </dataValidation>
    <dataValidation allowBlank="true" error="PRSI years at 66 (as an assumption): allowed 0 to 45 (whole numbers)" errorStyle="stop" errorTitle="Outside the allowed range" operator="between" showDropDown="false" showErrorMessage="true" showInputMessage="false" sqref="C107" type="whole">
      <formula1>0</formula1>
      <formula2>45</formula2>
    </dataValidation>
    <dataValidation allowBlank="true" error="Typical pension charges already in the growth rate: allowed 0 to 0.025" errorStyle="stop" errorTitle="Outside the allowed range" operator="between" showDropDown="false" showErrorMessage="true" showInputMessage="false" sqref="C108" type="decimal">
      <formula1>0</formula1>
      <formula2>0.025</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11" type="list">
      <formula1>"home,retire,family,edu,travel,business,mfree,safety,wealth,helpfam,legacy,wedding,car,health,other"</formula1>
      <formula2>0</formula2>
    </dataValidation>
    <dataValidation allowBlank="true" error="Target age: allowed 0 to 105 (whole numbers)" errorStyle="stop" errorTitle="Outside the allowed range" operator="between" showDropDown="false" showErrorMessage="true" showInputMessage="false" sqref="E111:E132" type="whole">
      <formula1>0</formula1>
      <formula2>105</formula2>
    </dataValidation>
    <dataValidation allowBlank="true" error="Amount: allowed 0 to 1e+08" errorStyle="stop" errorTitle="Outside the allowed range" operator="between" showDropDown="false" showErrorMessage="true" showInputMessage="false" sqref="F111:F132" type="decimal">
      <formula1>0</formula1>
      <formula2>100000000</formula2>
    </dataValidation>
    <dataValidation allowBlank="true" error="Saved so far: allowed 0 to 1e+08" errorStyle="stop" errorTitle="Outside the allowed range" operator="between" showDropDown="false" showErrorMessage="true" showInputMessage="false" sqref="G111:G132" type="decimal">
      <formula1>0</formula1>
      <formula2>100000000</formula2>
    </dataValidation>
    <dataValidation allowBlank="true" error="Choose one of: Must have,Nice to have" errorStyle="stop" errorTitle="Not in the list" operator="between" showDropDown="false" showErrorMessage="true" showInputMessage="false" sqref="H111" type="list">
      <formula1>"Must have,Nice to have"</formula1>
      <formula2>0</formula2>
    </dataValidation>
    <dataValidation allowBlank="true" error="Rank: allowed 1 to 22 (whole numbers)" errorStyle="stop" errorTitle="Outside the allowed range" operator="between" showDropDown="false" showErrorMessage="true" showInputMessage="false" sqref="I111:I132" type="whole">
      <formula1>1</formula1>
      <formula2>22</formula2>
    </dataValidation>
    <dataValidation allowBlank="true" error="Choose one of: Yes,No" errorStyle="stop" errorTitle="Not in the list" operator="between" showDropDown="false" showErrorMessage="true" showInputMessage="false" sqref="J111"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12"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12" type="list">
      <formula1>"Must have,Nice to have"</formula1>
      <formula2>0</formula2>
    </dataValidation>
    <dataValidation allowBlank="true" error="Choose one of: Yes,No" errorStyle="stop" errorTitle="Not in the list" operator="between" showDropDown="false" showErrorMessage="true" showInputMessage="false" sqref="J112"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13"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13" type="list">
      <formula1>"Must have,Nice to have"</formula1>
      <formula2>0</formula2>
    </dataValidation>
    <dataValidation allowBlank="true" error="Choose one of: Yes,No" errorStyle="stop" errorTitle="Not in the list" operator="between" showDropDown="false" showErrorMessage="true" showInputMessage="false" sqref="J113"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14"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14" type="list">
      <formula1>"Must have,Nice to have"</formula1>
      <formula2>0</formula2>
    </dataValidation>
    <dataValidation allowBlank="true" error="Choose one of: Yes,No" errorStyle="stop" errorTitle="Not in the list" operator="between" showDropDown="false" showErrorMessage="true" showInputMessage="false" sqref="J114"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15"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15" type="list">
      <formula1>"Must have,Nice to have"</formula1>
      <formula2>0</formula2>
    </dataValidation>
    <dataValidation allowBlank="true" error="Choose one of: Yes,No" errorStyle="stop" errorTitle="Not in the list" operator="between" showDropDown="false" showErrorMessage="true" showInputMessage="false" sqref="J115"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16"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16" type="list">
      <formula1>"Must have,Nice to have"</formula1>
      <formula2>0</formula2>
    </dataValidation>
    <dataValidation allowBlank="true" error="Choose one of: Yes,No" errorStyle="stop" errorTitle="Not in the list" operator="between" showDropDown="false" showErrorMessage="true" showInputMessage="false" sqref="J116"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17"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17" type="list">
      <formula1>"Must have,Nice to have"</formula1>
      <formula2>0</formula2>
    </dataValidation>
    <dataValidation allowBlank="true" error="Choose one of: Yes,No" errorStyle="stop" errorTitle="Not in the list" operator="between" showDropDown="false" showErrorMessage="true" showInputMessage="false" sqref="J117"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18"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18" type="list">
      <formula1>"Must have,Nice to have"</formula1>
      <formula2>0</formula2>
    </dataValidation>
    <dataValidation allowBlank="true" error="Choose one of: Yes,No" errorStyle="stop" errorTitle="Not in the list" operator="between" showDropDown="false" showErrorMessage="true" showInputMessage="false" sqref="J118"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19"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19" type="list">
      <formula1>"Must have,Nice to have"</formula1>
      <formula2>0</formula2>
    </dataValidation>
    <dataValidation allowBlank="true" error="Choose one of: Yes,No" errorStyle="stop" errorTitle="Not in the list" operator="between" showDropDown="false" showErrorMessage="true" showInputMessage="false" sqref="J119"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20"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20" type="list">
      <formula1>"Must have,Nice to have"</formula1>
      <formula2>0</formula2>
    </dataValidation>
    <dataValidation allowBlank="true" error="Choose one of: Yes,No" errorStyle="stop" errorTitle="Not in the list" operator="between" showDropDown="false" showErrorMessage="true" showInputMessage="false" sqref="J120"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21"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21" type="list">
      <formula1>"Must have,Nice to have"</formula1>
      <formula2>0</formula2>
    </dataValidation>
    <dataValidation allowBlank="true" error="Choose one of: Yes,No" errorStyle="stop" errorTitle="Not in the list" operator="between" showDropDown="false" showErrorMessage="true" showInputMessage="false" sqref="J121"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22"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22" type="list">
      <formula1>"Must have,Nice to have"</formula1>
      <formula2>0</formula2>
    </dataValidation>
    <dataValidation allowBlank="true" error="Choose one of: Yes,No" errorStyle="stop" errorTitle="Not in the list" operator="between" showDropDown="false" showErrorMessage="true" showInputMessage="false" sqref="J122"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23"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23" type="list">
      <formula1>"Must have,Nice to have"</formula1>
      <formula2>0</formula2>
    </dataValidation>
    <dataValidation allowBlank="true" error="Choose one of: Yes,No" errorStyle="stop" errorTitle="Not in the list" operator="between" showDropDown="false" showErrorMessage="true" showInputMessage="false" sqref="J123"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24"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24" type="list">
      <formula1>"Must have,Nice to have"</formula1>
      <formula2>0</formula2>
    </dataValidation>
    <dataValidation allowBlank="true" error="Choose one of: Yes,No" errorStyle="stop" errorTitle="Not in the list" operator="between" showDropDown="false" showErrorMessage="true" showInputMessage="false" sqref="J124"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25"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25" type="list">
      <formula1>"Must have,Nice to have"</formula1>
      <formula2>0</formula2>
    </dataValidation>
    <dataValidation allowBlank="true" error="Choose one of: Yes,No" errorStyle="stop" errorTitle="Not in the list" operator="between" showDropDown="false" showErrorMessage="true" showInputMessage="false" sqref="J125"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26"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26" type="list">
      <formula1>"Must have,Nice to have"</formula1>
      <formula2>0</formula2>
    </dataValidation>
    <dataValidation allowBlank="true" error="Choose one of: Yes,No" errorStyle="stop" errorTitle="Not in the list" operator="between" showDropDown="false" showErrorMessage="true" showInputMessage="false" sqref="J126"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27"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27" type="list">
      <formula1>"Must have,Nice to have"</formula1>
      <formula2>0</formula2>
    </dataValidation>
    <dataValidation allowBlank="true" error="Choose one of: Yes,No" errorStyle="stop" errorTitle="Not in the list" operator="between" showDropDown="false" showErrorMessage="true" showInputMessage="false" sqref="J127"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28"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28" type="list">
      <formula1>"Must have,Nice to have"</formula1>
      <formula2>0</formula2>
    </dataValidation>
    <dataValidation allowBlank="true" error="Choose one of: Yes,No" errorStyle="stop" errorTitle="Not in the list" operator="between" showDropDown="false" showErrorMessage="true" showInputMessage="false" sqref="J128"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29"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29" type="list">
      <formula1>"Must have,Nice to have"</formula1>
      <formula2>0</formula2>
    </dataValidation>
    <dataValidation allowBlank="true" error="Choose one of: Yes,No" errorStyle="stop" errorTitle="Not in the list" operator="between" showDropDown="false" showErrorMessage="true" showInputMessage="false" sqref="J129"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30"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30" type="list">
      <formula1>"Must have,Nice to have"</formula1>
      <formula2>0</formula2>
    </dataValidation>
    <dataValidation allowBlank="true" error="Choose one of: Yes,No" errorStyle="stop" errorTitle="Not in the list" operator="between" showDropDown="false" showErrorMessage="true" showInputMessage="false" sqref="J130"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31"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31" type="list">
      <formula1>"Must have,Nice to have"</formula1>
      <formula2>0</formula2>
    </dataValidation>
    <dataValidation allowBlank="true" error="Choose one of: Yes,No" errorStyle="stop" errorTitle="Not in the list" operator="between" showDropDown="false" showErrorMessage="true" showInputMessage="false" sqref="J131" type="list">
      <formula1>"Yes,No"</formula1>
      <formula2>0</formula2>
    </dataValidation>
    <dataValidation allowBlank="true" error="Choose one of: home,retire,family,edu,travel,business,mfree,safety,wealth,helpfam,legacy,wedding,car,health,other" errorStyle="stop" errorTitle="Not in the list" operator="between" showDropDown="false" showErrorMessage="true" showInputMessage="false" sqref="C132" type="list">
      <formula1>"home,retire,family,edu,travel,business,mfree,safety,wealth,helpfam,legacy,wedding,car,health,other"</formula1>
      <formula2>0</formula2>
    </dataValidation>
    <dataValidation allowBlank="true" error="Choose one of: Must have,Nice to have" errorStyle="stop" errorTitle="Not in the list" operator="between" showDropDown="false" showErrorMessage="true" showInputMessage="false" sqref="H132" type="list">
      <formula1>"Must have,Nice to have"</formula1>
      <formula2>0</formula2>
    </dataValidation>
    <dataValidation allowBlank="true" error="Choose one of: Yes,No" errorStyle="stop" errorTitle="Not in the list" operator="between" showDropDown="false" showErrorMessage="true" showInputMessage="false" sqref="J13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BT3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33" topLeftCell="C234" activePane="bottomRight" state="frozen"/>
      <selection pane="topLeft" activeCell="A1" activeCellId="0" sqref="A1"/>
      <selection pane="topRight" activeCell="C1" activeCellId="0" sqref="C1"/>
      <selection pane="bottomLeft" activeCell="A234" activeCellId="0" sqref="A234"/>
      <selection pane="bottomRight" activeCell="A1" activeCellId="0" sqref="A1"/>
    </sheetView>
  </sheetViews>
  <sheetFormatPr defaultColWidth="8.5390625" defaultRowHeight="15" zeroHeight="false" outlineLevelRow="0" outlineLevelCol="0"/>
  <cols>
    <col collapsed="false" customWidth="true" hidden="false" outlineLevel="0" max="2" min="2" style="1" width="6"/>
    <col collapsed="false" customWidth="true" hidden="false" outlineLevel="0" max="4" min="3" style="1" width="7"/>
    <col collapsed="false" customWidth="true" hidden="false" outlineLevel="0" max="6" min="5" style="1" width="11"/>
    <col collapsed="false" customWidth="true" hidden="false" outlineLevel="0" max="7" min="7" style="1" width="7"/>
    <col collapsed="false" customWidth="true" hidden="false" outlineLevel="0" max="20" min="8" style="1" width="11"/>
    <col collapsed="false" customWidth="true" hidden="false" outlineLevel="0" max="21" min="21" style="1" width="7"/>
    <col collapsed="false" customWidth="true" hidden="false" outlineLevel="0" max="32" min="22" style="1" width="11"/>
    <col collapsed="false" customWidth="true" hidden="false" outlineLevel="0" max="33" min="33" style="1" width="7"/>
    <col collapsed="false" customWidth="true" hidden="false" outlineLevel="0" max="50" min="34" style="1" width="11"/>
    <col collapsed="false" customWidth="true" hidden="false" outlineLevel="0" max="51" min="51" style="1" width="7"/>
    <col collapsed="false" customWidth="true" hidden="false" outlineLevel="0" max="72" min="52" style="1" width="11"/>
  </cols>
  <sheetData>
    <row r="1" customFormat="false" ht="17.25" hidden="false" customHeight="true" outlineLevel="0" collapsed="false">
      <c r="B1" s="90" t="s">
        <v>1519</v>
      </c>
    </row>
    <row r="3" customFormat="false" ht="15" hidden="false" customHeight="true" outlineLevel="0" collapsed="false">
      <c r="B3" s="93" t="s">
        <v>1520</v>
      </c>
      <c r="C3" s="93" t="s">
        <v>1521</v>
      </c>
      <c r="D3" s="93" t="s">
        <v>1522</v>
      </c>
    </row>
    <row r="4" customFormat="false" ht="15" hidden="false" customHeight="true" outlineLevel="0" collapsed="false">
      <c r="B4" s="1" t="s">
        <v>1523</v>
      </c>
      <c r="C4" s="101" t="n">
        <f aca="false">Band_Single</f>
        <v>44000</v>
      </c>
      <c r="D4" s="23" t="s">
        <v>1524</v>
      </c>
    </row>
    <row r="5" customFormat="false" ht="15" hidden="false" customHeight="true" outlineLevel="0" collapsed="false">
      <c r="B5" s="1" t="s">
        <v>1525</v>
      </c>
      <c r="C5" s="101" t="n">
        <f aca="false">Band_Single_Parent</f>
        <v>48000</v>
      </c>
      <c r="D5" s="23" t="s">
        <v>1526</v>
      </c>
    </row>
    <row r="6" customFormat="false" ht="15" hidden="false" customHeight="true" outlineLevel="0" collapsed="false">
      <c r="B6" s="1" t="s">
        <v>1527</v>
      </c>
      <c r="C6" s="101" t="n">
        <f aca="false">Band_Married</f>
        <v>53000</v>
      </c>
      <c r="D6" s="23" t="s">
        <v>1528</v>
      </c>
    </row>
    <row r="7" customFormat="false" ht="15" hidden="false" customHeight="true" outlineLevel="0" collapsed="false">
      <c r="B7" s="1" t="s">
        <v>1529</v>
      </c>
      <c r="C7" s="101" t="n">
        <f aca="false">Band_Second_Earner_Max</f>
        <v>35000</v>
      </c>
      <c r="D7" s="23" t="s">
        <v>1530</v>
      </c>
    </row>
    <row r="8" customFormat="false" ht="15" hidden="false" customHeight="true" outlineLevel="0" collapsed="false">
      <c r="B8" s="1" t="s">
        <v>1531</v>
      </c>
      <c r="C8" s="102" t="n">
        <f aca="false">Rate_Standard</f>
        <v>0.2</v>
      </c>
      <c r="D8" s="23" t="s">
        <v>1532</v>
      </c>
    </row>
    <row r="9" customFormat="false" ht="15" hidden="false" customHeight="true" outlineLevel="0" collapsed="false">
      <c r="B9" s="1" t="s">
        <v>1533</v>
      </c>
      <c r="C9" s="102" t="n">
        <f aca="false">Rate_Higher</f>
        <v>0.4</v>
      </c>
      <c r="D9" s="23" t="s">
        <v>1534</v>
      </c>
    </row>
    <row r="10" customFormat="false" ht="15" hidden="false" customHeight="true" outlineLevel="0" collapsed="false">
      <c r="B10" s="1" t="s">
        <v>1535</v>
      </c>
      <c r="C10" s="101" t="n">
        <f aca="false">Credit_Personal_Single</f>
        <v>2000</v>
      </c>
      <c r="D10" s="23" t="s">
        <v>1536</v>
      </c>
    </row>
    <row r="11" customFormat="false" ht="15" hidden="false" customHeight="true" outlineLevel="0" collapsed="false">
      <c r="B11" s="1" t="s">
        <v>1537</v>
      </c>
      <c r="C11" s="101" t="n">
        <f aca="false">Credit_Personal_Married</f>
        <v>4000</v>
      </c>
      <c r="D11" s="23" t="s">
        <v>1538</v>
      </c>
    </row>
    <row r="12" customFormat="false" ht="15" hidden="false" customHeight="true" outlineLevel="0" collapsed="false">
      <c r="B12" s="1" t="s">
        <v>1539</v>
      </c>
      <c r="C12" s="101" t="n">
        <f aca="false">Credit_PAYE</f>
        <v>2000</v>
      </c>
      <c r="D12" s="23" t="s">
        <v>1540</v>
      </c>
    </row>
    <row r="13" customFormat="false" ht="15" hidden="false" customHeight="true" outlineLevel="0" collapsed="false">
      <c r="B13" s="1" t="s">
        <v>1541</v>
      </c>
      <c r="C13" s="103" t="n">
        <v>0.2</v>
      </c>
      <c r="D13" s="23" t="s">
        <v>1542</v>
      </c>
    </row>
    <row r="14" customFormat="false" ht="15" hidden="false" customHeight="true" outlineLevel="0" collapsed="false">
      <c r="B14" s="1" t="s">
        <v>1543</v>
      </c>
      <c r="C14" s="101" t="n">
        <f aca="false">Credit_Rent_Single</f>
        <v>1000</v>
      </c>
      <c r="D14" s="23" t="s">
        <v>1544</v>
      </c>
    </row>
    <row r="15" customFormat="false" ht="15" hidden="false" customHeight="true" outlineLevel="0" collapsed="false">
      <c r="B15" s="1" t="s">
        <v>1545</v>
      </c>
      <c r="C15" s="101" t="n">
        <f aca="false">Credit_Rent_Joint</f>
        <v>2000</v>
      </c>
      <c r="D15" s="23" t="s">
        <v>1546</v>
      </c>
    </row>
    <row r="16" customFormat="false" ht="15" hidden="false" customHeight="true" outlineLevel="0" collapsed="false">
      <c r="B16" s="1" t="s">
        <v>1547</v>
      </c>
      <c r="C16" s="103" t="n">
        <v>2028</v>
      </c>
      <c r="D16" s="23" t="s">
        <v>1548</v>
      </c>
    </row>
    <row r="17" customFormat="false" ht="15" hidden="false" customHeight="true" outlineLevel="0" collapsed="false">
      <c r="B17" s="1" t="s">
        <v>1549</v>
      </c>
      <c r="C17" s="101" t="n">
        <f aca="false">Credit_SPCCC</f>
        <v>1900</v>
      </c>
      <c r="D17" s="23" t="s">
        <v>1550</v>
      </c>
    </row>
    <row r="18" customFormat="false" ht="15" hidden="false" customHeight="true" outlineLevel="0" collapsed="false">
      <c r="B18" s="1" t="s">
        <v>1551</v>
      </c>
      <c r="C18" s="101" t="n">
        <f aca="false">Credit_Home_Carer</f>
        <v>1950</v>
      </c>
      <c r="D18" s="23" t="s">
        <v>1552</v>
      </c>
    </row>
    <row r="19" customFormat="false" ht="15" hidden="false" customHeight="true" outlineLevel="0" collapsed="false">
      <c r="B19" s="1" t="s">
        <v>1553</v>
      </c>
      <c r="C19" s="103" t="n">
        <v>7200</v>
      </c>
      <c r="D19" s="23" t="s">
        <v>1554</v>
      </c>
    </row>
    <row r="20" customFormat="false" ht="15" hidden="false" customHeight="true" outlineLevel="0" collapsed="false">
      <c r="B20" s="1" t="s">
        <v>1555</v>
      </c>
      <c r="C20" s="103" t="n">
        <v>65</v>
      </c>
      <c r="D20" s="23" t="s">
        <v>1556</v>
      </c>
    </row>
    <row r="21" customFormat="false" ht="15" hidden="false" customHeight="true" outlineLevel="0" collapsed="false">
      <c r="B21" s="1" t="s">
        <v>1557</v>
      </c>
      <c r="C21" s="103" t="n">
        <v>245</v>
      </c>
      <c r="D21" s="23" t="s">
        <v>1558</v>
      </c>
    </row>
    <row r="22" customFormat="false" ht="15" hidden="false" customHeight="true" outlineLevel="0" collapsed="false">
      <c r="B22" s="1" t="s">
        <v>1559</v>
      </c>
      <c r="C22" s="103" t="n">
        <v>18000</v>
      </c>
      <c r="D22" s="23" t="s">
        <v>1560</v>
      </c>
    </row>
    <row r="23" customFormat="false" ht="15" hidden="false" customHeight="true" outlineLevel="0" collapsed="false">
      <c r="B23" s="1" t="s">
        <v>1561</v>
      </c>
      <c r="C23" s="103" t="n">
        <v>36000</v>
      </c>
      <c r="D23" s="23" t="s">
        <v>1562</v>
      </c>
    </row>
    <row r="24" customFormat="false" ht="15" hidden="false" customHeight="true" outlineLevel="0" collapsed="false">
      <c r="B24" s="1" t="s">
        <v>1563</v>
      </c>
      <c r="C24" s="103" t="n">
        <v>0.4</v>
      </c>
      <c r="D24" s="23" t="s">
        <v>1564</v>
      </c>
    </row>
    <row r="25" customFormat="false" ht="15" hidden="false" customHeight="true" outlineLevel="0" collapsed="false">
      <c r="B25" s="1" t="s">
        <v>1565</v>
      </c>
      <c r="C25" s="101" t="n">
        <f aca="false">USC_Exempt</f>
        <v>13000</v>
      </c>
      <c r="D25" s="23" t="s">
        <v>1566</v>
      </c>
    </row>
    <row r="26" customFormat="false" ht="15" hidden="false" customHeight="true" outlineLevel="0" collapsed="false">
      <c r="B26" s="1" t="s">
        <v>1567</v>
      </c>
      <c r="C26" s="101" t="n">
        <f aca="false">USC_Band_1</f>
        <v>12012</v>
      </c>
      <c r="D26" s="23" t="s">
        <v>1568</v>
      </c>
    </row>
    <row r="27" customFormat="false" ht="15" hidden="false" customHeight="true" outlineLevel="0" collapsed="false">
      <c r="B27" s="1" t="s">
        <v>1569</v>
      </c>
      <c r="C27" s="101" t="n">
        <f aca="false">USC_Band_2</f>
        <v>28700</v>
      </c>
      <c r="D27" s="23" t="s">
        <v>1570</v>
      </c>
    </row>
    <row r="28" customFormat="false" ht="15" hidden="false" customHeight="true" outlineLevel="0" collapsed="false">
      <c r="B28" s="1" t="s">
        <v>1571</v>
      </c>
      <c r="C28" s="101" t="n">
        <f aca="false">USC_Band_3</f>
        <v>70044</v>
      </c>
      <c r="D28" s="23" t="s">
        <v>1572</v>
      </c>
    </row>
    <row r="29" customFormat="false" ht="15" hidden="false" customHeight="true" outlineLevel="0" collapsed="false">
      <c r="B29" s="1" t="s">
        <v>1573</v>
      </c>
      <c r="C29" s="104" t="n">
        <f aca="false">USC_Rate_1</f>
        <v>0.005</v>
      </c>
      <c r="D29" s="23" t="s">
        <v>1574</v>
      </c>
    </row>
    <row r="30" customFormat="false" ht="15" hidden="false" customHeight="true" outlineLevel="0" collapsed="false">
      <c r="B30" s="1" t="s">
        <v>1575</v>
      </c>
      <c r="C30" s="104" t="n">
        <f aca="false">USC_Rate_2</f>
        <v>0.02</v>
      </c>
      <c r="D30" s="23" t="s">
        <v>1576</v>
      </c>
    </row>
    <row r="31" customFormat="false" ht="15" hidden="false" customHeight="true" outlineLevel="0" collapsed="false">
      <c r="B31" s="1" t="s">
        <v>1577</v>
      </c>
      <c r="C31" s="104" t="n">
        <f aca="false">USC_Rate_3</f>
        <v>0.03</v>
      </c>
      <c r="D31" s="23" t="s">
        <v>1578</v>
      </c>
    </row>
    <row r="32" customFormat="false" ht="15" hidden="false" customHeight="true" outlineLevel="0" collapsed="false">
      <c r="B32" s="1" t="s">
        <v>1579</v>
      </c>
      <c r="C32" s="104" t="n">
        <f aca="false">USC_Rate_4</f>
        <v>0.08</v>
      </c>
      <c r="D32" s="23" t="s">
        <v>1580</v>
      </c>
    </row>
    <row r="33" customFormat="false" ht="15" hidden="false" customHeight="true" outlineLevel="0" collapsed="false">
      <c r="B33" s="1" t="s">
        <v>1581</v>
      </c>
      <c r="C33" s="103" t="n">
        <v>70</v>
      </c>
      <c r="D33" s="23" t="s">
        <v>1582</v>
      </c>
    </row>
    <row r="34" customFormat="false" ht="15" hidden="false" customHeight="true" outlineLevel="0" collapsed="false">
      <c r="B34" s="1" t="s">
        <v>1583</v>
      </c>
      <c r="C34" s="103" t="n">
        <v>60000</v>
      </c>
      <c r="D34" s="23" t="s">
        <v>1584</v>
      </c>
    </row>
    <row r="35" customFormat="false" ht="15" hidden="false" customHeight="true" outlineLevel="0" collapsed="false">
      <c r="B35" s="1" t="s">
        <v>1585</v>
      </c>
      <c r="C35" s="103" t="n">
        <v>12012</v>
      </c>
      <c r="D35" s="23" t="s">
        <v>1586</v>
      </c>
    </row>
    <row r="36" customFormat="false" ht="15" hidden="false" customHeight="true" outlineLevel="0" collapsed="false">
      <c r="B36" s="1" t="s">
        <v>1587</v>
      </c>
      <c r="C36" s="103" t="n">
        <v>0.005</v>
      </c>
      <c r="D36" s="23" t="s">
        <v>1588</v>
      </c>
    </row>
    <row r="37" customFormat="false" ht="15" hidden="false" customHeight="true" outlineLevel="0" collapsed="false">
      <c r="B37" s="1" t="s">
        <v>1589</v>
      </c>
      <c r="C37" s="103" t="n">
        <v>0.02</v>
      </c>
      <c r="D37" s="23" t="s">
        <v>1590</v>
      </c>
    </row>
    <row r="38" customFormat="false" ht="15" hidden="false" customHeight="true" outlineLevel="0" collapsed="false">
      <c r="B38" s="1" t="s">
        <v>1591</v>
      </c>
      <c r="C38" s="103" t="n">
        <v>0.03</v>
      </c>
      <c r="D38" s="23" t="s">
        <v>1592</v>
      </c>
    </row>
    <row r="39" customFormat="false" ht="15" hidden="false" customHeight="true" outlineLevel="0" collapsed="false">
      <c r="B39" s="1" t="s">
        <v>1593</v>
      </c>
      <c r="C39" s="103" t="n">
        <v>100000</v>
      </c>
      <c r="D39" s="23" t="s">
        <v>1594</v>
      </c>
    </row>
    <row r="40" customFormat="false" ht="15" hidden="false" customHeight="true" outlineLevel="0" collapsed="false">
      <c r="B40" s="1" t="s">
        <v>1595</v>
      </c>
      <c r="C40" s="103" t="n">
        <v>0.042</v>
      </c>
      <c r="D40" s="23" t="s">
        <v>1596</v>
      </c>
    </row>
    <row r="41" customFormat="false" ht="15" hidden="false" customHeight="true" outlineLevel="0" collapsed="false">
      <c r="B41" s="1" t="s">
        <v>1597</v>
      </c>
      <c r="C41" s="103" t="n">
        <v>0.0435</v>
      </c>
      <c r="D41" s="23" t="s">
        <v>1598</v>
      </c>
    </row>
    <row r="42" customFormat="false" ht="15" hidden="false" customHeight="true" outlineLevel="0" collapsed="false">
      <c r="B42" s="1" t="s">
        <v>1599</v>
      </c>
      <c r="C42" s="103" t="n">
        <v>0.045</v>
      </c>
      <c r="D42" s="23" t="s">
        <v>1600</v>
      </c>
    </row>
    <row r="43" customFormat="false" ht="15" hidden="false" customHeight="true" outlineLevel="0" collapsed="false">
      <c r="B43" s="1" t="s">
        <v>1601</v>
      </c>
      <c r="C43" s="103" t="n">
        <v>0.047</v>
      </c>
      <c r="D43" s="23" t="s">
        <v>1602</v>
      </c>
    </row>
    <row r="44" customFormat="false" ht="15" hidden="false" customHeight="true" outlineLevel="0" collapsed="false">
      <c r="B44" s="1" t="s">
        <v>1603</v>
      </c>
      <c r="C44" s="103" t="n">
        <v>24321</v>
      </c>
      <c r="D44" s="23" t="s">
        <v>1604</v>
      </c>
    </row>
    <row r="45" customFormat="false" ht="15" hidden="false" customHeight="true" outlineLevel="0" collapsed="false">
      <c r="B45" s="1" t="s">
        <v>1605</v>
      </c>
      <c r="C45" s="103" t="n">
        <v>24333</v>
      </c>
      <c r="D45" s="23" t="s">
        <v>1606</v>
      </c>
    </row>
    <row r="46" customFormat="false" ht="15" hidden="false" customHeight="true" outlineLevel="0" collapsed="false">
      <c r="B46" s="1" t="s">
        <v>1607</v>
      </c>
      <c r="C46" s="103" t="n">
        <v>24345</v>
      </c>
      <c r="D46" s="23" t="s">
        <v>1608</v>
      </c>
    </row>
    <row r="47" customFormat="false" ht="15" hidden="false" customHeight="true" outlineLevel="0" collapsed="false">
      <c r="B47" s="1" t="s">
        <v>1609</v>
      </c>
      <c r="C47" s="101" t="n">
        <f aca="false">PRSI_Free_Week</f>
        <v>352</v>
      </c>
      <c r="D47" s="23" t="s">
        <v>1610</v>
      </c>
    </row>
    <row r="48" customFormat="false" ht="15" hidden="false" customHeight="true" outlineLevel="0" collapsed="false">
      <c r="B48" s="1" t="s">
        <v>1611</v>
      </c>
      <c r="C48" s="101" t="n">
        <f aca="false">PRSI_Credit_Max</f>
        <v>12</v>
      </c>
      <c r="D48" s="23" t="s">
        <v>1612</v>
      </c>
    </row>
    <row r="49" customFormat="false" ht="15" hidden="false" customHeight="true" outlineLevel="0" collapsed="false">
      <c r="B49" s="1" t="s">
        <v>1613</v>
      </c>
      <c r="C49" s="101" t="n">
        <f aca="false">PRSI_Credit_Top</f>
        <v>424</v>
      </c>
      <c r="D49" s="23" t="s">
        <v>1614</v>
      </c>
    </row>
    <row r="50" customFormat="false" ht="15" hidden="false" customHeight="true" outlineLevel="0" collapsed="false">
      <c r="B50" s="1" t="s">
        <v>1615</v>
      </c>
      <c r="C50" s="105" t="n">
        <f aca="false">PRSI_Credit_Taper</f>
        <v>6</v>
      </c>
      <c r="D50" s="23" t="s">
        <v>1616</v>
      </c>
    </row>
    <row r="51" customFormat="false" ht="15" hidden="false" customHeight="true" outlineLevel="0" collapsed="false">
      <c r="B51" s="1" t="s">
        <v>1617</v>
      </c>
      <c r="C51" s="103" t="n">
        <v>66</v>
      </c>
      <c r="D51" s="23" t="s">
        <v>1618</v>
      </c>
    </row>
    <row r="52" customFormat="false" ht="15" hidden="false" customHeight="true" outlineLevel="0" collapsed="false">
      <c r="B52" s="1" t="s">
        <v>1619</v>
      </c>
      <c r="C52" s="103" t="n">
        <v>5000</v>
      </c>
      <c r="D52" s="23" t="s">
        <v>1620</v>
      </c>
    </row>
    <row r="53" customFormat="false" ht="15" hidden="false" customHeight="true" outlineLevel="0" collapsed="false">
      <c r="B53" s="1" t="s">
        <v>1621</v>
      </c>
      <c r="C53" s="103" t="n">
        <v>650</v>
      </c>
      <c r="D53" s="23" t="s">
        <v>1622</v>
      </c>
    </row>
    <row r="54" customFormat="false" ht="15" hidden="false" customHeight="true" outlineLevel="0" collapsed="false">
      <c r="B54" s="1" t="s">
        <v>1623</v>
      </c>
      <c r="C54" s="103" t="n">
        <v>5000</v>
      </c>
      <c r="D54" s="23" t="s">
        <v>1624</v>
      </c>
    </row>
    <row r="55" customFormat="false" ht="15" hidden="false" customHeight="true" outlineLevel="0" collapsed="false">
      <c r="B55" s="1" t="s">
        <v>1625</v>
      </c>
      <c r="C55" s="103" t="n">
        <v>30</v>
      </c>
      <c r="D55" s="23" t="s">
        <v>1626</v>
      </c>
    </row>
    <row r="56" customFormat="false" ht="15" hidden="false" customHeight="true" outlineLevel="0" collapsed="false">
      <c r="C56" s="103" t="n">
        <v>0.15</v>
      </c>
      <c r="D56" s="23" t="s">
        <v>1627</v>
      </c>
    </row>
    <row r="57" customFormat="false" ht="15" hidden="false" customHeight="true" outlineLevel="0" collapsed="false">
      <c r="B57" s="1" t="s">
        <v>1628</v>
      </c>
      <c r="C57" s="103" t="n">
        <v>40</v>
      </c>
      <c r="D57" s="23" t="s">
        <v>1629</v>
      </c>
    </row>
    <row r="58" customFormat="false" ht="15" hidden="false" customHeight="true" outlineLevel="0" collapsed="false">
      <c r="C58" s="103" t="n">
        <v>0.2</v>
      </c>
      <c r="D58" s="23" t="s">
        <v>1630</v>
      </c>
    </row>
    <row r="59" customFormat="false" ht="15" hidden="false" customHeight="true" outlineLevel="0" collapsed="false">
      <c r="B59" s="1" t="s">
        <v>1631</v>
      </c>
      <c r="C59" s="103" t="n">
        <v>50</v>
      </c>
      <c r="D59" s="23" t="s">
        <v>1632</v>
      </c>
    </row>
    <row r="60" customFormat="false" ht="15" hidden="false" customHeight="true" outlineLevel="0" collapsed="false">
      <c r="C60" s="103" t="n">
        <v>0.25</v>
      </c>
      <c r="D60" s="23" t="s">
        <v>1633</v>
      </c>
    </row>
    <row r="61" customFormat="false" ht="15" hidden="false" customHeight="true" outlineLevel="0" collapsed="false">
      <c r="B61" s="1" t="s">
        <v>1634</v>
      </c>
      <c r="C61" s="103" t="n">
        <v>55</v>
      </c>
      <c r="D61" s="23" t="s">
        <v>1635</v>
      </c>
    </row>
    <row r="62" customFormat="false" ht="15" hidden="false" customHeight="true" outlineLevel="0" collapsed="false">
      <c r="C62" s="103" t="n">
        <v>0.3</v>
      </c>
      <c r="D62" s="23" t="s">
        <v>1636</v>
      </c>
    </row>
    <row r="63" customFormat="false" ht="15" hidden="false" customHeight="true" outlineLevel="0" collapsed="false">
      <c r="B63" s="1" t="s">
        <v>1637</v>
      </c>
      <c r="C63" s="103" t="n">
        <v>60</v>
      </c>
      <c r="D63" s="23" t="s">
        <v>1638</v>
      </c>
    </row>
    <row r="64" customFormat="false" ht="15" hidden="false" customHeight="true" outlineLevel="0" collapsed="false">
      <c r="C64" s="103" t="n">
        <v>0.35</v>
      </c>
      <c r="D64" s="23" t="s">
        <v>1639</v>
      </c>
    </row>
    <row r="65" customFormat="false" ht="15" hidden="false" customHeight="true" outlineLevel="0" collapsed="false">
      <c r="B65" s="1" t="s">
        <v>1640</v>
      </c>
      <c r="C65" s="103" t="n">
        <v>0.4</v>
      </c>
      <c r="D65" s="23" t="s">
        <v>1641</v>
      </c>
    </row>
    <row r="66" customFormat="false" ht="15" hidden="false" customHeight="true" outlineLevel="0" collapsed="false">
      <c r="B66" s="1" t="s">
        <v>1642</v>
      </c>
      <c r="C66" s="101" t="n">
        <f aca="false">Relief_Earnings_Cap</f>
        <v>115000</v>
      </c>
      <c r="D66" s="23" t="s">
        <v>1643</v>
      </c>
    </row>
    <row r="67" customFormat="false" ht="15" hidden="false" customHeight="true" outlineLevel="0" collapsed="false">
      <c r="B67" s="1" t="s">
        <v>1644</v>
      </c>
      <c r="C67" s="102" t="n">
        <f aca="false">Lump_Sum_Max_Pct</f>
        <v>0.25</v>
      </c>
      <c r="D67" s="23" t="s">
        <v>1645</v>
      </c>
    </row>
    <row r="68" customFormat="false" ht="15" hidden="false" customHeight="true" outlineLevel="0" collapsed="false">
      <c r="B68" s="1" t="s">
        <v>1646</v>
      </c>
      <c r="C68" s="101" t="n">
        <f aca="false">Lump_Sum_Tax_Free</f>
        <v>200000</v>
      </c>
      <c r="D68" s="23" t="s">
        <v>1647</v>
      </c>
    </row>
    <row r="69" customFormat="false" ht="15" hidden="false" customHeight="true" outlineLevel="0" collapsed="false">
      <c r="B69" s="1" t="s">
        <v>1648</v>
      </c>
      <c r="C69" s="101" t="n">
        <f aca="false">Lump_Sum_Cap</f>
        <v>500000</v>
      </c>
      <c r="D69" s="23" t="s">
        <v>1649</v>
      </c>
    </row>
    <row r="70" customFormat="false" ht="15" hidden="false" customHeight="true" outlineLevel="0" collapsed="false">
      <c r="B70" s="1" t="s">
        <v>1650</v>
      </c>
      <c r="C70" s="102" t="n">
        <f aca="false">Lump_Sum_Rate</f>
        <v>0.2</v>
      </c>
      <c r="D70" s="23" t="s">
        <v>1651</v>
      </c>
    </row>
    <row r="71" customFormat="false" ht="15" hidden="false" customHeight="true" outlineLevel="0" collapsed="false">
      <c r="B71" s="1" t="s">
        <v>1652</v>
      </c>
      <c r="C71" s="101" t="n">
        <f aca="false">SFT_2026</f>
        <v>2200000</v>
      </c>
      <c r="D71" s="23" t="s">
        <v>1653</v>
      </c>
    </row>
    <row r="72" customFormat="false" ht="15" hidden="false" customHeight="true" outlineLevel="0" collapsed="false">
      <c r="B72" s="1" t="s">
        <v>1654</v>
      </c>
      <c r="C72" s="103" t="n">
        <v>2400000</v>
      </c>
      <c r="D72" s="23" t="s">
        <v>1655</v>
      </c>
    </row>
    <row r="73" customFormat="false" ht="15" hidden="false" customHeight="true" outlineLevel="0" collapsed="false">
      <c r="B73" s="1" t="s">
        <v>1656</v>
      </c>
      <c r="C73" s="103" t="n">
        <v>2600000</v>
      </c>
      <c r="D73" s="23" t="s">
        <v>1657</v>
      </c>
    </row>
    <row r="74" customFormat="false" ht="15" hidden="false" customHeight="true" outlineLevel="0" collapsed="false">
      <c r="B74" s="1" t="s">
        <v>1658</v>
      </c>
      <c r="C74" s="103" t="n">
        <v>2800000</v>
      </c>
      <c r="D74" s="23" t="s">
        <v>1659</v>
      </c>
    </row>
    <row r="75" customFormat="false" ht="15" hidden="false" customHeight="true" outlineLevel="0" collapsed="false">
      <c r="B75" s="1" t="s">
        <v>1660</v>
      </c>
      <c r="C75" s="102" t="n">
        <f aca="false">SFT_Tax</f>
        <v>0.4</v>
      </c>
      <c r="D75" s="23" t="s">
        <v>1661</v>
      </c>
    </row>
    <row r="76" customFormat="false" ht="15" hidden="false" customHeight="true" outlineLevel="0" collapsed="false">
      <c r="B76" s="1" t="s">
        <v>1662</v>
      </c>
      <c r="C76" s="103" t="n">
        <v>0.04</v>
      </c>
      <c r="D76" s="23" t="s">
        <v>1663</v>
      </c>
    </row>
    <row r="77" customFormat="false" ht="15" hidden="false" customHeight="true" outlineLevel="0" collapsed="false">
      <c r="B77" s="1" t="s">
        <v>1664</v>
      </c>
      <c r="C77" s="103" t="n">
        <v>0.05</v>
      </c>
      <c r="D77" s="23" t="s">
        <v>1665</v>
      </c>
    </row>
    <row r="78" customFormat="false" ht="15" hidden="false" customHeight="true" outlineLevel="0" collapsed="false">
      <c r="B78" s="1" t="s">
        <v>1666</v>
      </c>
      <c r="C78" s="103" t="n">
        <v>0.06</v>
      </c>
      <c r="D78" s="23" t="s">
        <v>1667</v>
      </c>
    </row>
    <row r="79" customFormat="false" ht="15" hidden="false" customHeight="true" outlineLevel="0" collapsed="false">
      <c r="B79" s="1" t="s">
        <v>1668</v>
      </c>
      <c r="C79" s="103" t="n">
        <v>2000000</v>
      </c>
      <c r="D79" s="23" t="s">
        <v>1669</v>
      </c>
    </row>
    <row r="80" customFormat="false" ht="15" hidden="false" customHeight="true" outlineLevel="0" collapsed="false">
      <c r="B80" s="1" t="s">
        <v>1670</v>
      </c>
      <c r="C80" s="103" t="n">
        <v>60</v>
      </c>
      <c r="D80" s="23" t="s">
        <v>1671</v>
      </c>
    </row>
    <row r="81" customFormat="false" ht="15" hidden="false" customHeight="true" outlineLevel="0" collapsed="false">
      <c r="B81" s="1" t="s">
        <v>1672</v>
      </c>
      <c r="C81" s="106" t="n">
        <f aca="false">State_Pension_Week</f>
        <v>299.3</v>
      </c>
      <c r="D81" s="23" t="s">
        <v>1673</v>
      </c>
    </row>
    <row r="82" customFormat="false" ht="15" hidden="false" customHeight="true" outlineLevel="0" collapsed="false">
      <c r="B82" s="1" t="s">
        <v>1674</v>
      </c>
      <c r="C82" s="103" t="n">
        <v>52</v>
      </c>
      <c r="D82" s="23" t="s">
        <v>1675</v>
      </c>
    </row>
    <row r="83" customFormat="false" ht="15" hidden="false" customHeight="true" outlineLevel="0" collapsed="false">
      <c r="B83" s="1" t="s">
        <v>1676</v>
      </c>
      <c r="C83" s="105" t="n">
        <f aca="false">State_Pension_Age</f>
        <v>66</v>
      </c>
      <c r="D83" s="23" t="s">
        <v>1677</v>
      </c>
    </row>
    <row r="84" customFormat="false" ht="15" hidden="false" customHeight="true" outlineLevel="0" collapsed="false">
      <c r="B84" s="1" t="s">
        <v>1678</v>
      </c>
      <c r="C84" s="103" t="n">
        <v>10</v>
      </c>
      <c r="D84" s="23" t="s">
        <v>1679</v>
      </c>
    </row>
    <row r="85" customFormat="false" ht="15" hidden="false" customHeight="true" outlineLevel="0" collapsed="false">
      <c r="B85" s="1" t="s">
        <v>1680</v>
      </c>
      <c r="C85" s="103" t="n">
        <v>268.4</v>
      </c>
      <c r="D85" s="23" t="s">
        <v>1681</v>
      </c>
    </row>
    <row r="86" customFormat="false" ht="15" hidden="false" customHeight="true" outlineLevel="0" collapsed="false">
      <c r="B86" s="1" t="s">
        <v>1682</v>
      </c>
      <c r="C86" s="103" t="n">
        <v>199.4</v>
      </c>
      <c r="D86" s="23" t="s">
        <v>1683</v>
      </c>
    </row>
    <row r="87" customFormat="false" ht="15" hidden="false" customHeight="true" outlineLevel="0" collapsed="false">
      <c r="B87" s="1" t="s">
        <v>1684</v>
      </c>
      <c r="C87" s="103" t="n">
        <v>40</v>
      </c>
      <c r="D87" s="23" t="s">
        <v>1685</v>
      </c>
    </row>
    <row r="88" customFormat="false" ht="15" hidden="false" customHeight="true" outlineLevel="0" collapsed="false">
      <c r="B88" s="1" t="s">
        <v>1686</v>
      </c>
      <c r="C88" s="103" t="n">
        <v>10</v>
      </c>
      <c r="D88" s="23" t="s">
        <v>1687</v>
      </c>
    </row>
    <row r="89" customFormat="false" ht="15" hidden="false" customHeight="true" outlineLevel="0" collapsed="false">
      <c r="B89" s="1" t="s">
        <v>1688</v>
      </c>
      <c r="C89" s="103" t="n">
        <v>23</v>
      </c>
      <c r="D89" s="23" t="s">
        <v>1689</v>
      </c>
    </row>
    <row r="90" customFormat="false" ht="15" hidden="false" customHeight="true" outlineLevel="0" collapsed="false">
      <c r="B90" s="1" t="s">
        <v>1690</v>
      </c>
      <c r="C90" s="103" t="n">
        <v>60</v>
      </c>
      <c r="D90" s="23" t="s">
        <v>1691</v>
      </c>
    </row>
    <row r="91" customFormat="false" ht="15" hidden="false" customHeight="true" outlineLevel="0" collapsed="false">
      <c r="B91" s="1" t="s">
        <v>1692</v>
      </c>
      <c r="C91" s="103" t="n">
        <v>20000</v>
      </c>
      <c r="D91" s="23" t="s">
        <v>1693</v>
      </c>
    </row>
    <row r="92" customFormat="false" ht="15" hidden="false" customHeight="true" outlineLevel="0" collapsed="false">
      <c r="B92" s="1" t="s">
        <v>1694</v>
      </c>
      <c r="C92" s="103" t="n">
        <v>80000</v>
      </c>
      <c r="D92" s="23" t="s">
        <v>1695</v>
      </c>
    </row>
    <row r="93" customFormat="false" ht="15" hidden="false" customHeight="true" outlineLevel="0" collapsed="false">
      <c r="B93" s="1" t="s">
        <v>1696</v>
      </c>
      <c r="C93" s="103" t="n">
        <v>0.015</v>
      </c>
      <c r="D93" s="23" t="s">
        <v>1697</v>
      </c>
    </row>
    <row r="94" customFormat="false" ht="15" hidden="false" customHeight="true" outlineLevel="0" collapsed="false">
      <c r="B94" s="1" t="s">
        <v>1698</v>
      </c>
      <c r="C94" s="103" t="n">
        <v>0.015</v>
      </c>
      <c r="D94" s="23" t="s">
        <v>1699</v>
      </c>
    </row>
    <row r="95" customFormat="false" ht="15" hidden="false" customHeight="true" outlineLevel="0" collapsed="false">
      <c r="B95" s="1" t="s">
        <v>1700</v>
      </c>
      <c r="C95" s="103" t="n">
        <v>0.005</v>
      </c>
      <c r="D95" s="23" t="s">
        <v>1701</v>
      </c>
    </row>
    <row r="96" customFormat="false" ht="15" hidden="false" customHeight="true" outlineLevel="0" collapsed="false">
      <c r="B96" s="1" t="s">
        <v>1702</v>
      </c>
      <c r="C96" s="103" t="n">
        <v>50</v>
      </c>
      <c r="D96" s="23" t="s">
        <v>1703</v>
      </c>
    </row>
    <row r="97" customFormat="false" ht="15" hidden="false" customHeight="true" outlineLevel="0" collapsed="false">
      <c r="B97" s="1" t="s">
        <v>1704</v>
      </c>
      <c r="C97" s="103" t="n">
        <v>200</v>
      </c>
      <c r="D97" s="23" t="s">
        <v>1705</v>
      </c>
    </row>
    <row r="98" customFormat="false" ht="15" hidden="false" customHeight="true" outlineLevel="0" collapsed="false">
      <c r="B98" s="1" t="s">
        <v>1706</v>
      </c>
      <c r="C98" s="103" t="n">
        <v>500</v>
      </c>
      <c r="D98" s="23" t="s">
        <v>1707</v>
      </c>
    </row>
    <row r="99" customFormat="false" ht="15" hidden="false" customHeight="true" outlineLevel="0" collapsed="false">
      <c r="B99" s="1" t="s">
        <v>1708</v>
      </c>
      <c r="C99" s="103" t="n">
        <v>1000</v>
      </c>
      <c r="D99" s="23" t="s">
        <v>1709</v>
      </c>
    </row>
    <row r="100" customFormat="false" ht="15" hidden="false" customHeight="true" outlineLevel="0" collapsed="false">
      <c r="B100" s="1" t="s">
        <v>1710</v>
      </c>
      <c r="C100" s="103" t="n">
        <v>0.33</v>
      </c>
      <c r="D100" s="23" t="s">
        <v>1711</v>
      </c>
    </row>
    <row r="101" customFormat="false" ht="15" hidden="false" customHeight="true" outlineLevel="0" collapsed="false">
      <c r="B101" s="1" t="s">
        <v>1712</v>
      </c>
      <c r="C101" s="103" t="n">
        <v>61</v>
      </c>
      <c r="D101" s="23" t="s">
        <v>1713</v>
      </c>
    </row>
    <row r="102" customFormat="false" ht="15" hidden="false" customHeight="true" outlineLevel="0" collapsed="false">
      <c r="B102" s="1" t="s">
        <v>1714</v>
      </c>
      <c r="C102" s="103" t="n">
        <v>71</v>
      </c>
      <c r="D102" s="23" t="s">
        <v>1715</v>
      </c>
    </row>
    <row r="103" customFormat="false" ht="15" hidden="false" customHeight="true" outlineLevel="0" collapsed="false">
      <c r="B103" s="1" t="s">
        <v>1716</v>
      </c>
      <c r="C103" s="103" t="n">
        <v>80</v>
      </c>
      <c r="D103" s="23" t="s">
        <v>1717</v>
      </c>
    </row>
    <row r="104" customFormat="false" ht="15" hidden="false" customHeight="true" outlineLevel="0" collapsed="false">
      <c r="B104" s="1" t="s">
        <v>1718</v>
      </c>
      <c r="C104" s="103" t="n">
        <v>2026</v>
      </c>
      <c r="D104" s="23" t="s">
        <v>1719</v>
      </c>
    </row>
    <row r="105" customFormat="false" ht="15" hidden="false" customHeight="true" outlineLevel="0" collapsed="false">
      <c r="B105" s="1" t="s">
        <v>1720</v>
      </c>
      <c r="C105" s="103" t="n">
        <v>2029</v>
      </c>
      <c r="D105" s="23" t="s">
        <v>1721</v>
      </c>
    </row>
    <row r="106" customFormat="false" ht="15" hidden="false" customHeight="true" outlineLevel="0" collapsed="false">
      <c r="B106" s="1" t="s">
        <v>1722</v>
      </c>
      <c r="C106" s="103" t="n">
        <v>89</v>
      </c>
      <c r="D106" s="23" t="s">
        <v>1723</v>
      </c>
    </row>
    <row r="107" customFormat="false" ht="15" hidden="false" customHeight="true" outlineLevel="0" collapsed="false">
      <c r="B107" s="1" t="s">
        <v>1724</v>
      </c>
      <c r="C107" s="103" t="n">
        <v>99</v>
      </c>
      <c r="D107" s="23" t="s">
        <v>1725</v>
      </c>
    </row>
    <row r="108" customFormat="false" ht="15" hidden="false" customHeight="true" outlineLevel="0" collapsed="false">
      <c r="B108" s="1" t="s">
        <v>1726</v>
      </c>
      <c r="C108" s="103" t="n">
        <v>50</v>
      </c>
      <c r="D108" s="23" t="s">
        <v>1727</v>
      </c>
    </row>
    <row r="109" customFormat="false" ht="15" hidden="false" customHeight="true" outlineLevel="0" collapsed="false">
      <c r="B109" s="1" t="s">
        <v>1728</v>
      </c>
      <c r="C109" s="103" t="n">
        <v>50</v>
      </c>
      <c r="D109" s="23" t="s">
        <v>1729</v>
      </c>
    </row>
    <row r="110" customFormat="false" ht="15" hidden="false" customHeight="true" outlineLevel="0" collapsed="false">
      <c r="B110" s="1" t="s">
        <v>1730</v>
      </c>
      <c r="C110" s="103" t="n">
        <v>0.5</v>
      </c>
      <c r="D110" s="23" t="s">
        <v>1731</v>
      </c>
    </row>
    <row r="111" customFormat="false" ht="15" hidden="false" customHeight="true" outlineLevel="0" collapsed="false">
      <c r="B111" s="1" t="s">
        <v>1732</v>
      </c>
      <c r="C111" s="103" t="n">
        <v>0.5</v>
      </c>
      <c r="D111" s="23" t="s">
        <v>1733</v>
      </c>
    </row>
    <row r="112" customFormat="false" ht="15" hidden="false" customHeight="true" outlineLevel="0" collapsed="false">
      <c r="B112" s="1" t="s">
        <v>1734</v>
      </c>
      <c r="C112" s="103" t="n">
        <v>1000000</v>
      </c>
      <c r="D112" s="23" t="s">
        <v>1735</v>
      </c>
    </row>
    <row r="113" customFormat="false" ht="15" hidden="false" customHeight="true" outlineLevel="0" collapsed="false">
      <c r="B113" s="1" t="s">
        <v>1736</v>
      </c>
      <c r="C113" s="103" t="n">
        <v>0.2</v>
      </c>
      <c r="D113" s="23" t="s">
        <v>1737</v>
      </c>
    </row>
    <row r="114" customFormat="false" ht="15" hidden="false" customHeight="true" outlineLevel="0" collapsed="false">
      <c r="B114" s="1" t="s">
        <v>1738</v>
      </c>
      <c r="C114" s="103" t="n">
        <v>20000</v>
      </c>
      <c r="D114" s="23" t="s">
        <v>1739</v>
      </c>
    </row>
    <row r="115" customFormat="false" ht="15" hidden="false" customHeight="true" outlineLevel="0" collapsed="false">
      <c r="B115" s="1" t="s">
        <v>1740</v>
      </c>
      <c r="C115" s="103" t="n">
        <v>66</v>
      </c>
      <c r="D115" s="23" t="s">
        <v>1741</v>
      </c>
    </row>
    <row r="116" customFormat="false" ht="15" hidden="false" customHeight="true" outlineLevel="0" collapsed="false">
      <c r="B116" s="1" t="s">
        <v>1742</v>
      </c>
      <c r="C116" s="103" t="n">
        <v>25</v>
      </c>
      <c r="D116" s="23" t="s">
        <v>1743</v>
      </c>
    </row>
    <row r="117" customFormat="false" ht="15" hidden="false" customHeight="true" outlineLevel="0" collapsed="false">
      <c r="B117" s="1" t="s">
        <v>1744</v>
      </c>
      <c r="C117" s="103" t="n">
        <v>0.01</v>
      </c>
      <c r="D117" s="23" t="s">
        <v>1745</v>
      </c>
    </row>
    <row r="118" customFormat="false" ht="15" hidden="false" customHeight="true" outlineLevel="0" collapsed="false">
      <c r="B118" s="1" t="s">
        <v>1746</v>
      </c>
      <c r="C118" s="103" t="n">
        <v>0.6</v>
      </c>
      <c r="D118" s="23" t="s">
        <v>1747</v>
      </c>
    </row>
    <row r="119" customFormat="false" ht="15" hidden="false" customHeight="true" outlineLevel="0" collapsed="false">
      <c r="B119" s="1" t="s">
        <v>1748</v>
      </c>
      <c r="C119" s="103" t="n">
        <v>0.8</v>
      </c>
      <c r="D119" s="23" t="s">
        <v>1749</v>
      </c>
    </row>
    <row r="120" customFormat="false" ht="15" hidden="false" customHeight="true" outlineLevel="0" collapsed="false">
      <c r="B120" s="1" t="s">
        <v>1750</v>
      </c>
      <c r="C120" s="103" t="n">
        <v>90</v>
      </c>
      <c r="D120" s="23" t="s">
        <v>1751</v>
      </c>
    </row>
    <row r="121" customFormat="false" ht="15" hidden="false" customHeight="true" outlineLevel="0" collapsed="false">
      <c r="B121" s="1" t="s">
        <v>1752</v>
      </c>
      <c r="C121" s="103" t="n">
        <v>95</v>
      </c>
      <c r="D121" s="23" t="s">
        <v>1753</v>
      </c>
    </row>
    <row r="122" customFormat="false" ht="15" hidden="false" customHeight="true" outlineLevel="0" collapsed="false">
      <c r="B122" s="1" t="s">
        <v>1754</v>
      </c>
      <c r="C122" s="103" t="n">
        <v>500</v>
      </c>
      <c r="D122" s="23" t="s">
        <v>1755</v>
      </c>
    </row>
    <row r="123" customFormat="false" ht="15" hidden="false" customHeight="true" outlineLevel="0" collapsed="false">
      <c r="B123" s="1" t="s">
        <v>1756</v>
      </c>
      <c r="C123" s="103" t="n">
        <v>0.02</v>
      </c>
      <c r="D123" s="23" t="s">
        <v>1757</v>
      </c>
    </row>
    <row r="124" customFormat="false" ht="15" hidden="false" customHeight="true" outlineLevel="0" collapsed="false">
      <c r="B124" s="1" t="s">
        <v>1758</v>
      </c>
      <c r="C124" s="103" t="n">
        <v>95</v>
      </c>
      <c r="D124" s="23" t="s">
        <v>1759</v>
      </c>
    </row>
    <row r="125" customFormat="false" ht="15" hidden="false" customHeight="true" outlineLevel="0" collapsed="false">
      <c r="B125" s="1" t="s">
        <v>1760</v>
      </c>
      <c r="C125" s="103" t="n">
        <v>70</v>
      </c>
      <c r="D125" s="23" t="s">
        <v>1761</v>
      </c>
    </row>
    <row r="126" customFormat="false" ht="15" hidden="false" customHeight="true" outlineLevel="0" collapsed="false">
      <c r="B126" s="1" t="s">
        <v>1762</v>
      </c>
      <c r="C126" s="107" t="n">
        <f aca="false">DATE(2026,9,30)</f>
        <v>46295</v>
      </c>
      <c r="D126" s="23" t="s">
        <v>1763</v>
      </c>
    </row>
    <row r="128" customFormat="false" ht="15" hidden="false" customHeight="true" outlineLevel="0" collapsed="false">
      <c r="B128" s="93" t="s">
        <v>1764</v>
      </c>
      <c r="C128" s="93" t="s">
        <v>1521</v>
      </c>
      <c r="D128" s="93" t="s">
        <v>1522</v>
      </c>
    </row>
    <row r="129" customFormat="false" ht="15" hidden="false" customHeight="true" outlineLevel="0" collapsed="false">
      <c r="B129" s="1" t="s">
        <v>1765</v>
      </c>
      <c r="C129" s="103" t="n">
        <f aca="false">IF(In_assumeSet="Cautious",1,0)</f>
        <v>0</v>
      </c>
      <c r="D129" s="23"/>
    </row>
    <row r="130" customFormat="false" ht="15" hidden="false" customHeight="true" outlineLevel="0" collapsed="false">
      <c r="B130" s="1" t="s">
        <v>1766</v>
      </c>
      <c r="C130" s="104" t="n">
        <f aca="false">IF(Has_infl=1,In_infl,Set_infl)</f>
        <v>0.02</v>
      </c>
      <c r="D130" s="23" t="s">
        <v>1767</v>
      </c>
    </row>
    <row r="131" customFormat="false" ht="15" hidden="false" customHeight="true" outlineLevel="0" collapsed="false">
      <c r="B131" s="1" t="s">
        <v>1768</v>
      </c>
      <c r="C131" s="104" t="n">
        <f aca="false">IF(Has_a_wage=1,In_a_wage,IF(AS_Cautious=1,Set_wage_Cautious,Set_wage))</f>
        <v>0.03</v>
      </c>
      <c r="D131" s="23"/>
    </row>
    <row r="132" customFormat="false" ht="15" hidden="false" customHeight="true" outlineLevel="0" collapsed="false">
      <c r="B132" s="1" t="s">
        <v>1769</v>
      </c>
      <c r="C132" s="104" t="n">
        <f aca="false">IF(Has_a_cash=1,In_a_cash,IF(AS_Cautious=1,Set_cash_Cautious,Set_cash))</f>
        <v>0.01</v>
      </c>
      <c r="D132" s="23"/>
    </row>
    <row r="133" customFormat="false" ht="15" hidden="false" customHeight="true" outlineLevel="0" collapsed="false">
      <c r="B133" s="1" t="s">
        <v>1770</v>
      </c>
      <c r="C133" s="104" t="n">
        <f aca="false">IF(Has_a_inv=1,In_a_inv,IF(AS_Cautious=1,Set_inv_Cautious,Set_inv))</f>
        <v>0.026</v>
      </c>
      <c r="D133" s="23"/>
    </row>
    <row r="134" customFormat="false" ht="15" hidden="false" customHeight="true" outlineLevel="0" collapsed="false">
      <c r="B134" s="1" t="s">
        <v>1771</v>
      </c>
      <c r="C134" s="104" t="n">
        <f aca="false">IF(Has_a_pen=1,In_a_pen,IF(AS_Cautious=1,Set_pen_Cautious,Set_pen))</f>
        <v>0.045</v>
      </c>
      <c r="D134" s="23"/>
    </row>
    <row r="135" customFormat="false" ht="15" hidden="false" customHeight="true" outlineLevel="0" collapsed="false">
      <c r="B135" s="1" t="s">
        <v>1772</v>
      </c>
      <c r="C135" s="104" t="n">
        <f aca="false">IF(Has_a_penRet=1,In_a_penRet,IF(AS_Cautious=1,Set_penRet_Cautious,Set_penRet))</f>
        <v>0.0315</v>
      </c>
      <c r="D135" s="23"/>
    </row>
    <row r="136" customFormat="false" ht="15" hidden="false" customHeight="true" outlineLevel="0" collapsed="false">
      <c r="B136" s="1" t="s">
        <v>1773</v>
      </c>
      <c r="C136" s="104" t="n">
        <f aca="false">IF(Has_a_mortRate=1,In_a_mortRate,Set_mortRate)</f>
        <v>0.0348</v>
      </c>
      <c r="D136" s="23" t="s">
        <v>1774</v>
      </c>
    </row>
    <row r="137" customFormat="false" ht="15" hidden="false" customHeight="true" outlineLevel="0" collapsed="false">
      <c r="B137" s="1" t="s">
        <v>1775</v>
      </c>
      <c r="C137" s="103" t="n">
        <f aca="false">IF(Has_a_cardRate=1,In_a_cardRate,PR_FbCard)</f>
        <v>0.2</v>
      </c>
      <c r="D137" s="23" t="s">
        <v>1776</v>
      </c>
    </row>
    <row r="138" customFormat="false" ht="15" hidden="false" customHeight="true" outlineLevel="0" collapsed="false">
      <c r="B138" s="1" t="s">
        <v>1777</v>
      </c>
      <c r="C138" s="104" t="n">
        <f aca="false">IF(Has_a_loanRate=1,In_a_loanRate,Set_loanRate)</f>
        <v>0.0672</v>
      </c>
      <c r="D138" s="23" t="s">
        <v>1778</v>
      </c>
    </row>
    <row r="139" customFormat="false" ht="15" hidden="false" customHeight="true" outlineLevel="0" collapsed="false">
      <c r="B139" s="1" t="s">
        <v>1779</v>
      </c>
      <c r="C139" s="103" t="n">
        <f aca="false">IF(Has_a_planEnd=1,In_a_planEnd,IF(In_partner="Yes",PR_FbPlanEnd2,PR_FbPlanEnd1))</f>
        <v>90</v>
      </c>
      <c r="D139" s="23" t="s">
        <v>1780</v>
      </c>
    </row>
    <row r="140" customFormat="false" ht="15" hidden="false" customHeight="true" outlineLevel="0" collapsed="false">
      <c r="B140" s="1" t="s">
        <v>1781</v>
      </c>
      <c r="C140" s="103" t="n">
        <f aca="true">IF(Has_a_startYear=1,In_a_startYear,IF(TODAY()&gt;PR_StartSwitch,Rules_Year_Next,Rules_Year))</f>
        <v>2027</v>
      </c>
      <c r="D140" s="23"/>
    </row>
    <row r="141" customFormat="false" ht="15" hidden="false" customHeight="true" outlineLevel="0" collapsed="false">
      <c r="B141" s="1" t="s">
        <v>1782</v>
      </c>
      <c r="C141" s="103" t="n">
        <f aca="false">IF(AND(In_partner="Yes",In_income&gt;0,In_pIncome&gt;0,In_work="Employed"),1,0)</f>
        <v>0</v>
      </c>
      <c r="D141" s="23"/>
    </row>
    <row r="142" customFormat="false" ht="15" hidden="false" customHeight="true" outlineLevel="0" collapsed="false">
      <c r="B142" s="1" t="s">
        <v>1452</v>
      </c>
      <c r="C142" s="103" t="n">
        <f aca="false">IF(Has_a_safetyMonths=1,In_a_safetyMonths,IF(AS_TwoSecure=1,Set_safetyMonthsTwo,Set_safetyMonths))</f>
        <v>6</v>
      </c>
      <c r="D142" s="23"/>
    </row>
    <row r="143" customFormat="false" ht="15" hidden="false" customHeight="true" outlineLevel="0" collapsed="false">
      <c r="B143" s="1" t="s">
        <v>1783</v>
      </c>
      <c r="C143" s="103" t="n">
        <f aca="false">IF(Has_a_cashYears=1,In_a_cashYears,Set_cashYears)</f>
        <v>5</v>
      </c>
      <c r="D143" s="23"/>
    </row>
    <row r="144" customFormat="false" ht="15" hidden="false" customHeight="true" outlineLevel="0" collapsed="false">
      <c r="B144" s="1" t="s">
        <v>1458</v>
      </c>
      <c r="C144" s="104" t="n">
        <f aca="false">IF(Has_a_saveShare=1,In_a_saveShare,Set_saveShare)</f>
        <v>0.5</v>
      </c>
      <c r="D144" s="23"/>
    </row>
    <row r="145" customFormat="false" ht="15" hidden="false" customHeight="true" outlineLevel="0" collapsed="false">
      <c r="B145" s="1" t="s">
        <v>1460</v>
      </c>
      <c r="C145" s="108" t="n">
        <f aca="false">IF(Has_a_noAnswer=1,In_a_noAnswer,Set_noAnswer)</f>
        <v>300</v>
      </c>
      <c r="D145" s="23"/>
    </row>
    <row r="146" customFormat="false" ht="15" hidden="false" customHeight="true" outlineLevel="0" collapsed="false">
      <c r="B146" s="1" t="s">
        <v>1784</v>
      </c>
      <c r="C146" s="104" t="n">
        <f aca="false">IF(Has_a_investShare=1,In_a_investShare,Set_investShare)</f>
        <v>0.4</v>
      </c>
      <c r="D146" s="23"/>
    </row>
    <row r="147" customFormat="false" ht="15" hidden="false" customHeight="true" outlineLevel="0" collapsed="false">
      <c r="B147" s="1" t="s">
        <v>1785</v>
      </c>
      <c r="C147" s="103" t="n">
        <f aca="false">IF(Has_a_accessAge=1,In_a_accessAge,Set_accessAge)</f>
        <v>60</v>
      </c>
      <c r="D147" s="23"/>
    </row>
    <row r="148" customFormat="false" ht="15" hidden="false" customHeight="true" outlineLevel="0" collapsed="false">
      <c r="B148" s="1" t="s">
        <v>1786</v>
      </c>
      <c r="C148" s="104" t="n">
        <f aca="false">IF(Has_a_lumpSum=1,In_a_lumpSum,Set_lumpSum)</f>
        <v>0.25</v>
      </c>
      <c r="D148" s="23"/>
    </row>
    <row r="149" customFormat="false" ht="15" hidden="false" customHeight="true" outlineLevel="0" collapsed="false">
      <c r="B149" s="1" t="s">
        <v>1787</v>
      </c>
      <c r="C149" s="103" t="str">
        <f aca="false">IF(Has_a_drawRule=1,In_a_drawRule,Set_drawRule)</f>
        <v>spread</v>
      </c>
      <c r="D149" s="23"/>
    </row>
    <row r="150" customFormat="false" ht="15" hidden="false" customHeight="true" outlineLevel="0" collapsed="false">
      <c r="B150" s="1" t="s">
        <v>1788</v>
      </c>
      <c r="C150" s="103" t="n">
        <f aca="false">IF(Has_a_drawFixed=1,In_a_drawFixed,PR_FbDrawFixed)</f>
        <v>20000</v>
      </c>
      <c r="D150" s="23"/>
    </row>
    <row r="151" customFormat="false" ht="15" hidden="false" customHeight="true" outlineLevel="0" collapsed="false">
      <c r="B151" s="1" t="s">
        <v>1789</v>
      </c>
      <c r="C151" s="103" t="str">
        <f aca="false">IF(Has_a_bands=1,In_a_bands,Set_bands)</f>
        <v>prices</v>
      </c>
      <c r="D151" s="23"/>
    </row>
    <row r="152" customFormat="false" ht="15" hidden="false" customHeight="true" outlineLevel="0" collapsed="false">
      <c r="B152" s="1" t="s">
        <v>1790</v>
      </c>
      <c r="C152" s="103" t="str">
        <f aca="false">IF(Has_a_spGrow=1,In_a_spGrow,Set_spGrow)</f>
        <v>prices</v>
      </c>
      <c r="D152" s="23"/>
    </row>
    <row r="153" customFormat="false" ht="15" hidden="false" customHeight="true" outlineLevel="0" collapsed="false">
      <c r="B153" s="1" t="s">
        <v>1791</v>
      </c>
      <c r="C153" s="104" t="n">
        <f aca="false">IF(Has_a_retireSpend=1,In_a_retireSpend,Set_retireSpend)</f>
        <v>0.8</v>
      </c>
      <c r="D153" s="23"/>
    </row>
    <row r="154" customFormat="false" ht="15" hidden="false" customHeight="true" outlineLevel="0" collapsed="false">
      <c r="B154" s="1" t="s">
        <v>1792</v>
      </c>
      <c r="C154" s="104" t="n">
        <f aca="false">IF(Has_a_ownShare=1,In_a_ownShare,IF(In_work="Self-employed",1,Set_ownShare))</f>
        <v>0.5</v>
      </c>
      <c r="D154" s="23"/>
    </row>
    <row r="155" customFormat="false" ht="15" hidden="false" customHeight="true" outlineLevel="0" collapsed="false">
      <c r="B155" s="1" t="s">
        <v>1793</v>
      </c>
      <c r="C155" s="103" t="n">
        <f aca="false">IF(Has_a_penChg=1,In_a_penChg,PR_FbPenChg)</f>
        <v>0.01</v>
      </c>
      <c r="D155" s="23"/>
    </row>
    <row r="156" customFormat="false" ht="15" hidden="false" customHeight="true" outlineLevel="0" collapsed="false">
      <c r="B156" s="1" t="s">
        <v>1794</v>
      </c>
      <c r="C156" s="103" t="str">
        <f aca="false">IF(In_sp="","Not sure",In_sp)</f>
        <v>Not sure</v>
      </c>
      <c r="D156" s="23"/>
    </row>
    <row r="157" customFormat="false" ht="15" hidden="false" customHeight="true" outlineLevel="0" collapsed="false">
      <c r="B157" s="1" t="s">
        <v>1795</v>
      </c>
      <c r="C157" s="103" t="n">
        <f aca="false">IF(Has_a_spWeek=1,In_a_spWeek,PR_SPweek*IF(AS_SpOwn="Partly",PR_FbSpPartly,PR_FbSpOther))</f>
        <v>239.44</v>
      </c>
      <c r="D157" s="23"/>
    </row>
    <row r="158" customFormat="false" ht="15" hidden="false" customHeight="true" outlineLevel="0" collapsed="false">
      <c r="B158" s="1" t="s">
        <v>1796</v>
      </c>
      <c r="C158" s="103" t="str">
        <f aca="false">IF(In_pSp="","Not sure",In_pSp)</f>
        <v>Not sure</v>
      </c>
      <c r="D158" s="23"/>
    </row>
    <row r="159" customFormat="false" ht="15" hidden="false" customHeight="true" outlineLevel="0" collapsed="false">
      <c r="B159" s="1" t="s">
        <v>1797</v>
      </c>
      <c r="C159" s="103" t="n">
        <f aca="false">IF(Has_a_pSpWeek=1,In_a_pSpWeek,PR_SPweek*IF(AS_PSpOwn="Own partial",PR_FbSpPartly,PR_FbSpOther))</f>
        <v>239.44</v>
      </c>
      <c r="D159" s="23"/>
    </row>
    <row r="160" customFormat="false" ht="15" hidden="false" customHeight="true" outlineLevel="0" collapsed="false">
      <c r="B160" s="1" t="s">
        <v>1798</v>
      </c>
      <c r="C160" s="103" t="n">
        <f aca="false">PR_SPweek*PR_Weeks</f>
        <v>15563.6</v>
      </c>
      <c r="D160" s="23"/>
    </row>
    <row r="162" customFormat="false" ht="15" hidden="false" customHeight="true" outlineLevel="0" collapsed="false">
      <c r="B162" s="93" t="s">
        <v>1799</v>
      </c>
      <c r="C162" s="93" t="s">
        <v>1521</v>
      </c>
      <c r="D162" s="93" t="s">
        <v>1522</v>
      </c>
    </row>
    <row r="163" customFormat="false" ht="15" hidden="false" customHeight="true" outlineLevel="0" collapsed="false">
      <c r="B163" s="1" t="s">
        <v>1800</v>
      </c>
      <c r="C163" s="103" t="str">
        <f aca="false">IF(In_work&lt;&gt;"",In_work,IF(In_income&gt;0,"Employed",""))</f>
        <v/>
      </c>
      <c r="D163" s="23"/>
    </row>
    <row r="164" customFormat="false" ht="15" hidden="false" customHeight="true" outlineLevel="0" collapsed="false">
      <c r="B164" s="1" t="s">
        <v>720</v>
      </c>
      <c r="C164" s="103" t="n">
        <f aca="false">In_age</f>
        <v>0</v>
      </c>
      <c r="D164" s="23"/>
    </row>
    <row r="165" customFormat="false" ht="15" hidden="false" customHeight="true" outlineLevel="0" collapsed="false">
      <c r="B165" s="1" t="s">
        <v>784</v>
      </c>
      <c r="C165" s="103" t="n">
        <f aca="false">IF(Has_retireAge=1,In_retireAge,PR_FbRetireAge)</f>
        <v>66</v>
      </c>
      <c r="D165" s="23"/>
    </row>
    <row r="166" customFormat="false" ht="15" hidden="false" customHeight="true" outlineLevel="0" collapsed="false">
      <c r="B166" s="1" t="s">
        <v>1801</v>
      </c>
      <c r="C166" s="103" t="n">
        <f aca="false">IF(In_partner="Yes",1,0)</f>
        <v>0</v>
      </c>
      <c r="D166" s="23"/>
    </row>
    <row r="167" customFormat="false" ht="15" hidden="false" customHeight="true" outlineLevel="0" collapsed="false">
      <c r="B167" s="1" t="s">
        <v>1802</v>
      </c>
      <c r="C167" s="103" t="n">
        <f aca="false">IF(AND(F_Partner=1,In_married="Yes"),1,0)</f>
        <v>0</v>
      </c>
      <c r="D167" s="23"/>
    </row>
    <row r="168" customFormat="false" ht="15" hidden="false" customHeight="true" outlineLevel="0" collapsed="false">
      <c r="B168" s="1" t="s">
        <v>1803</v>
      </c>
      <c r="C168" s="103" t="n">
        <f aca="false">IF(In_work="Not working",0,In_income)</f>
        <v>0</v>
      </c>
      <c r="D168" s="23"/>
    </row>
    <row r="169" customFormat="false" ht="15" hidden="false" customHeight="true" outlineLevel="0" collapsed="false">
      <c r="B169" s="1" t="s">
        <v>1804</v>
      </c>
      <c r="C169" s="103" t="n">
        <f aca="false">IF(F_Partner=1,In_pIncome,0)</f>
        <v>0</v>
      </c>
      <c r="D169" s="23"/>
    </row>
    <row r="170" customFormat="false" ht="15" hidden="false" customHeight="true" outlineLevel="0" collapsed="false">
      <c r="B170" s="1" t="s">
        <v>1805</v>
      </c>
      <c r="C170" s="103" t="n">
        <f aca="false">IF(F_Partner=1,IF(In_pAge&gt;0,In_pAge,In_age),0)</f>
        <v>0</v>
      </c>
      <c r="D170" s="23"/>
    </row>
    <row r="171" customFormat="false" ht="15" hidden="false" customHeight="true" outlineLevel="0" collapsed="false">
      <c r="B171" s="1" t="s">
        <v>1806</v>
      </c>
      <c r="C171" s="103" t="n">
        <f aca="false">IF(Has_pRet=1,In_pRet,0)</f>
        <v>0</v>
      </c>
      <c r="D171" s="23"/>
    </row>
    <row r="172" customFormat="false" ht="15" hidden="false" customHeight="true" outlineLevel="0" collapsed="false">
      <c r="B172" s="1" t="s">
        <v>1807</v>
      </c>
      <c r="C172" s="103" t="n">
        <f aca="false">In_otherM</f>
        <v>0</v>
      </c>
      <c r="D172" s="23"/>
    </row>
    <row r="173" customFormat="false" ht="15" hidden="false" customHeight="true" outlineLevel="0" collapsed="false">
      <c r="B173" s="1" t="s">
        <v>1808</v>
      </c>
      <c r="C173" s="103" t="n">
        <f aca="false">In_costsM</f>
        <v>0</v>
      </c>
      <c r="D173" s="23"/>
    </row>
    <row r="174" customFormat="false" ht="15" hidden="false" customHeight="true" outlineLevel="0" collapsed="false">
      <c r="B174" s="1" t="s">
        <v>1809</v>
      </c>
      <c r="C174" s="103" t="n">
        <f aca="false">In_oneOffY</f>
        <v>0</v>
      </c>
      <c r="D174" s="23"/>
    </row>
    <row r="175" customFormat="false" ht="15" hidden="false" customHeight="true" outlineLevel="0" collapsed="false">
      <c r="B175" s="1" t="s">
        <v>1810</v>
      </c>
      <c r="C175" s="103" t="n">
        <f aca="false">In_cash</f>
        <v>0</v>
      </c>
      <c r="D175" s="23"/>
    </row>
    <row r="176" customFormat="false" ht="15" hidden="false" customHeight="true" outlineLevel="0" collapsed="false">
      <c r="B176" s="1" t="s">
        <v>56</v>
      </c>
      <c r="C176" s="103" t="n">
        <f aca="false">In_invest</f>
        <v>0</v>
      </c>
      <c r="D176" s="23"/>
    </row>
    <row r="177" customFormat="false" ht="15" hidden="false" customHeight="true" outlineLevel="0" collapsed="false">
      <c r="B177" s="1" t="s">
        <v>1811</v>
      </c>
      <c r="C177" s="103" t="n">
        <f aca="false">In_rentM</f>
        <v>0</v>
      </c>
      <c r="D177" s="23"/>
    </row>
    <row r="178" customFormat="false" ht="15" hidden="false" customHeight="true" outlineLevel="0" collapsed="false">
      <c r="B178" s="1" t="s">
        <v>1812</v>
      </c>
      <c r="C178" s="103" t="n">
        <f aca="false">IF(In_home="Own with mortgage",1,0)</f>
        <v>0</v>
      </c>
      <c r="D178" s="23"/>
    </row>
    <row r="179" customFormat="false" ht="15" hidden="false" customHeight="true" outlineLevel="0" collapsed="false">
      <c r="B179" s="1" t="s">
        <v>1813</v>
      </c>
      <c r="C179" s="104" t="n">
        <f aca="false">IF(In_mortRate&gt;0,In_mortRate,AS_MortRate)</f>
        <v>0.0348</v>
      </c>
      <c r="D179" s="23"/>
    </row>
    <row r="180" customFormat="false" ht="15" hidden="false" customHeight="true" outlineLevel="0" collapsed="false">
      <c r="B180" s="1" t="s">
        <v>1814</v>
      </c>
      <c r="C180" s="103" t="n">
        <f aca="false">IF(F_MortOn=1,In_mortPayM,0)</f>
        <v>0</v>
      </c>
      <c r="D180" s="23"/>
    </row>
    <row r="181" customFormat="false" ht="15" hidden="false" customHeight="true" outlineLevel="0" collapsed="false">
      <c r="B181" s="1" t="s">
        <v>1347</v>
      </c>
      <c r="C181" s="103" t="n">
        <f aca="false">IF(F_MortOn=1,In_mortBal,0)</f>
        <v>0</v>
      </c>
      <c r="D181" s="23"/>
    </row>
    <row r="182" customFormat="false" ht="15" hidden="false" customHeight="true" outlineLevel="0" collapsed="false">
      <c r="B182" s="1" t="s">
        <v>1815</v>
      </c>
      <c r="C182" s="103" t="n">
        <f aca="false">IF(F_MortOn=1,IF(F_MStated&lt;&gt;0,F_MStated,IF(F_MortBal&gt;0,IF(F_MR/12&lt;&gt;0,F_MortBal*(F_MR/12)/(1-(1+F_MR/12)^-MAX(1,ROUND(IF(In_mortYears&lt;&gt;0,In_mortYears,PR_FbMortYears)*12,0))),F_MortBal/MAX(1,ROUND(IF(In_mortYears&lt;&gt;0,In_mortYears,PR_FbMortYears)*12,0))),0)),0)</f>
        <v>0</v>
      </c>
      <c r="D182" s="23"/>
    </row>
    <row r="183" customFormat="false" ht="15" hidden="false" customHeight="true" outlineLevel="0" collapsed="false">
      <c r="B183" s="1" t="s">
        <v>1816</v>
      </c>
      <c r="C183" s="103" t="n">
        <f aca="false">IF(AND(F_MortOn=1,F_MStated=0),1,0)</f>
        <v>0</v>
      </c>
      <c r="D183" s="23"/>
    </row>
    <row r="184" customFormat="false" ht="15" hidden="false" customHeight="true" outlineLevel="0" collapsed="false">
      <c r="B184" s="1" t="s">
        <v>1817</v>
      </c>
      <c r="C184" s="103" t="n">
        <f aca="false">IF(AND(F_MortOn=1,F_MStated&gt;0,F_MortBal&gt;0,In_mortYears&gt;0,F_MStated&lt;IF(F_MR/12&lt;&gt;0,F_MortBal*(F_MR/12)/(1-(1+F_MR/12)^-MAX(1,ROUND(In_mortYears*12,0))),F_MortBal/MAX(1,ROUND(In_mortYears*12,0)))-1),1,0)</f>
        <v>0</v>
      </c>
      <c r="D184" s="23"/>
    </row>
    <row r="186" customFormat="false" ht="15" hidden="false" customHeight="true" outlineLevel="0" collapsed="false">
      <c r="B186" s="93" t="s">
        <v>1818</v>
      </c>
      <c r="C186" s="93" t="s">
        <v>1521</v>
      </c>
      <c r="D186" s="93" t="s">
        <v>1522</v>
      </c>
    </row>
    <row r="187" customFormat="false" ht="15" hidden="false" customHeight="true" outlineLevel="0" collapsed="false">
      <c r="B187" s="1" t="s">
        <v>1819</v>
      </c>
      <c r="C187" s="103" t="n">
        <f aca="false">Mort2_Bal</f>
        <v>0</v>
      </c>
      <c r="D187" s="23"/>
    </row>
    <row r="188" customFormat="false" ht="15" hidden="false" customHeight="true" outlineLevel="0" collapsed="false">
      <c r="B188" s="1" t="s">
        <v>1820</v>
      </c>
      <c r="C188" s="103" t="n">
        <f aca="false">Mort2_Pay</f>
        <v>0</v>
      </c>
      <c r="D188" s="23"/>
    </row>
    <row r="189" customFormat="false" ht="15" hidden="false" customHeight="true" outlineLevel="0" collapsed="false">
      <c r="B189" s="1" t="s">
        <v>1821</v>
      </c>
      <c r="C189" s="109" t="n">
        <f aca="false">Mort2_Rate</f>
        <v>0</v>
      </c>
      <c r="D189" s="23"/>
    </row>
    <row r="190" customFormat="false" ht="15" hidden="false" customHeight="true" outlineLevel="0" collapsed="false">
      <c r="B190" s="1" t="s">
        <v>1822</v>
      </c>
      <c r="C190" s="103" t="n">
        <f aca="false">IF(In_cardRate&gt;0,In_cardRate,AS_CardRate)</f>
        <v>0.2</v>
      </c>
      <c r="D190" s="23"/>
    </row>
    <row r="191" customFormat="false" ht="15" hidden="false" customHeight="true" outlineLevel="0" collapsed="false">
      <c r="B191" s="1" t="s">
        <v>1823</v>
      </c>
      <c r="C191" s="104" t="n">
        <f aca="false">IF(In_loanRate&gt;0,In_loanRate,AS_LoanRate)</f>
        <v>0.0672</v>
      </c>
      <c r="D191" s="23"/>
    </row>
    <row r="192" customFormat="false" ht="15" hidden="false" customHeight="true" outlineLevel="0" collapsed="false">
      <c r="B192" s="1" t="s">
        <v>1824</v>
      </c>
      <c r="C192" s="103" t="n">
        <f aca="false">In_loanBal+In_debt</f>
        <v>0</v>
      </c>
      <c r="D192" s="23"/>
    </row>
    <row r="193" customFormat="false" ht="15" hidden="false" customHeight="true" outlineLevel="0" collapsed="false">
      <c r="B193" s="1" t="s">
        <v>1825</v>
      </c>
      <c r="C193" s="104" t="n">
        <f aca="false">IF(M2_Bal&gt;0,IF(D_lB0&gt;0,(D_lB0*D_lR0+M2_Bal*M2_Rate)/(D_lB0+M2_Bal),M2_Rate),D_lR0)</f>
        <v>0.0672</v>
      </c>
      <c r="D193" s="23"/>
    </row>
    <row r="194" customFormat="false" ht="15" hidden="false" customHeight="true" outlineLevel="0" collapsed="false">
      <c r="B194" s="1" t="s">
        <v>1826</v>
      </c>
      <c r="C194" s="103" t="n">
        <f aca="false">In_cardBal</f>
        <v>0</v>
      </c>
      <c r="D194" s="23"/>
    </row>
    <row r="195" customFormat="false" ht="15" hidden="false" customHeight="true" outlineLevel="0" collapsed="false">
      <c r="B195" s="1" t="s">
        <v>1827</v>
      </c>
      <c r="C195" s="103" t="n">
        <f aca="false">D_lB0+M2_Bal</f>
        <v>0</v>
      </c>
      <c r="D195" s="23"/>
    </row>
    <row r="196" customFormat="false" ht="15" hidden="false" customHeight="true" outlineLevel="0" collapsed="false">
      <c r="B196" s="1" t="s">
        <v>1828</v>
      </c>
      <c r="C196" s="103" t="n">
        <f aca="false">In_loanPayM+In_debtPayM+M2_Pay</f>
        <v>0</v>
      </c>
      <c r="D196" s="23"/>
    </row>
    <row r="197" customFormat="false" ht="15" hidden="false" customHeight="true" outlineLevel="0" collapsed="false">
      <c r="B197" s="1" t="s">
        <v>1829</v>
      </c>
      <c r="C197" s="103" t="n">
        <f aca="false">(1+D_cR)^(1/12)-1</f>
        <v>0.0153094704997312</v>
      </c>
      <c r="D197" s="23"/>
    </row>
    <row r="198" customFormat="false" ht="15" hidden="false" customHeight="true" outlineLevel="0" collapsed="false">
      <c r="B198" s="1" t="s">
        <v>1830</v>
      </c>
      <c r="C198" s="103" t="n">
        <f aca="false">(1+D_lR)^(1/12)-1</f>
        <v>0.0054345803945961</v>
      </c>
      <c r="D198" s="23"/>
    </row>
    <row r="199" customFormat="false" ht="15" hidden="false" customHeight="true" outlineLevel="0" collapsed="false">
      <c r="B199" s="1" t="s">
        <v>1831</v>
      </c>
      <c r="C199" s="103" t="n">
        <f aca="false">IF(AND(F_CardBal&gt;0,In_cardPayM&gt;F_CardBal*D_iC),1,0)</f>
        <v>0</v>
      </c>
      <c r="D199" s="23"/>
    </row>
    <row r="200" customFormat="false" ht="15" hidden="false" customHeight="true" outlineLevel="0" collapsed="false">
      <c r="B200" s="1" t="s">
        <v>1832</v>
      </c>
      <c r="C200" s="103" t="n">
        <f aca="false">IF(AND(F_LoanBal&gt;0,D_lp&gt;F_LoanBal*D_iL),1,0)</f>
        <v>0</v>
      </c>
      <c r="D200" s="23"/>
    </row>
    <row r="201" customFormat="false" ht="15" hidden="false" customHeight="true" outlineLevel="0" collapsed="false">
      <c r="B201" s="1" t="s">
        <v>1833</v>
      </c>
      <c r="C201" s="103" t="n">
        <f aca="false">IF(F_CardBal&gt;0,IF(D_okC=1,In_cardPayM,IF(D_iC&lt;&gt;0,F_CardBal*D_iC/(1-(1+D_iC)^-60),F_CardBal/60)),0)</f>
        <v>0</v>
      </c>
      <c r="D201" s="23"/>
    </row>
    <row r="202" customFormat="false" ht="15" hidden="false" customHeight="true" outlineLevel="0" collapsed="false">
      <c r="B202" s="1" t="s">
        <v>1834</v>
      </c>
      <c r="C202" s="103" t="n">
        <f aca="false">IF(F_LoanBal&gt;0,IF(D_okL=1,D_lp,IF(D_iL&lt;&gt;0,F_LoanBal*D_iL/(1-(1+D_iL)^-60),F_LoanBal/60)),0)</f>
        <v>0</v>
      </c>
      <c r="D202" s="23"/>
    </row>
    <row r="203" customFormat="false" ht="15" hidden="false" customHeight="true" outlineLevel="0" collapsed="false">
      <c r="B203" s="1" t="s">
        <v>1835</v>
      </c>
      <c r="C203" s="103" t="n">
        <f aca="false">IF(AND(F_CardBal&gt;0,D_okC=0),1,0)</f>
        <v>0</v>
      </c>
      <c r="D203" s="23"/>
    </row>
    <row r="204" customFormat="false" ht="15" hidden="false" customHeight="true" outlineLevel="0" collapsed="false">
      <c r="B204" s="1" t="s">
        <v>1836</v>
      </c>
      <c r="C204" s="103" t="n">
        <f aca="false">IF(AND(F_LoanBal&gt;0,D_okL=0),1,0)</f>
        <v>0</v>
      </c>
      <c r="D204" s="23"/>
    </row>
    <row r="205" customFormat="false" ht="15" hidden="false" customHeight="true" outlineLevel="0" collapsed="false">
      <c r="B205" s="1" t="s">
        <v>1837</v>
      </c>
      <c r="C205" s="103" t="n">
        <f aca="false">F_CardBal+F_LoanBal</f>
        <v>0</v>
      </c>
      <c r="D205" s="23"/>
    </row>
    <row r="206" customFormat="false" ht="15" hidden="false" customHeight="true" outlineLevel="0" collapsed="false">
      <c r="B206" s="1" t="s">
        <v>1838</v>
      </c>
      <c r="C206" s="103" t="n">
        <f aca="false">F_CardPayM+F_LoanPayM</f>
        <v>0</v>
      </c>
      <c r="D206" s="23"/>
    </row>
    <row r="207" customFormat="false" ht="15" hidden="false" customHeight="true" outlineLevel="0" collapsed="false">
      <c r="B207" s="1" t="s">
        <v>1839</v>
      </c>
      <c r="C207" s="103" t="n">
        <f aca="false">F_CostsM+F_MortPayM+IF(F_Debt&gt;0,F_DebtPayM,0)</f>
        <v>0</v>
      </c>
      <c r="D207" s="23"/>
    </row>
    <row r="209" customFormat="false" ht="15" hidden="false" customHeight="true" outlineLevel="0" collapsed="false">
      <c r="B209" s="93" t="s">
        <v>1840</v>
      </c>
      <c r="C209" s="93" t="s">
        <v>1521</v>
      </c>
      <c r="D209" s="93" t="s">
        <v>1522</v>
      </c>
    </row>
    <row r="210" customFormat="false" ht="15" hidden="false" customHeight="true" outlineLevel="0" collapsed="false">
      <c r="B210" s="1" t="s">
        <v>1841</v>
      </c>
      <c r="C210" s="103" t="n">
        <f aca="false">IF(AND(In_work&lt;&gt;"Not working",F_Income&gt;0),In_pensionM,0)</f>
        <v>0</v>
      </c>
      <c r="D210" s="23"/>
    </row>
    <row r="211" customFormat="false" ht="15" hidden="false" customHeight="true" outlineLevel="0" collapsed="false">
      <c r="B211" s="1" t="s">
        <v>1842</v>
      </c>
      <c r="C211" s="103" t="n">
        <f aca="false">IF(Has_pensionOwnM=1,MIN(F_PenM,In_pensionOwnM),F_PenM*AS_OwnShare)</f>
        <v>0</v>
      </c>
      <c r="D211" s="23"/>
    </row>
    <row r="212" customFormat="false" ht="15" hidden="false" customHeight="true" outlineLevel="0" collapsed="false">
      <c r="B212" s="1" t="s">
        <v>1843</v>
      </c>
      <c r="C212" s="109" t="n">
        <f aca="false">AS_Pen+IF(Has_penChg=1,AS_PenChgTyp-In_penChg,0)</f>
        <v>0.045</v>
      </c>
      <c r="D212" s="23"/>
    </row>
    <row r="213" customFormat="false" ht="15" hidden="false" customHeight="true" outlineLevel="0" collapsed="false">
      <c r="B213" s="1" t="s">
        <v>1844</v>
      </c>
      <c r="C213" s="103" t="str">
        <f aca="false">IF(Has_spYears=1,In_spYears,IF(Has_a_spYears=1,In_a_spYears,""))</f>
        <v/>
      </c>
      <c r="D213" s="23"/>
    </row>
    <row r="214" customFormat="false" ht="15" hidden="false" customHeight="true" outlineLevel="0" collapsed="false">
      <c r="B214" s="1" t="s">
        <v>1845</v>
      </c>
      <c r="C214" s="103" t="n">
        <f aca="false">IF(F_YrsSP&lt;&gt;"",IF(F_YrsSP&lt;PR_SPmin,0,MIN(1,F_YrsSP/PR_SPfull)),IF(In_sp="Expect full",1,MIN(1,AS_SpWeek/PR_SPweek)))</f>
        <v>0.8</v>
      </c>
      <c r="D214" s="23"/>
    </row>
    <row r="215" customFormat="false" ht="15" hidden="false" customHeight="true" outlineLevel="0" collapsed="false">
      <c r="B215" s="1" t="s">
        <v>1846</v>
      </c>
      <c r="C215" s="103" t="str">
        <f aca="false">IF(F_Partner=1,AS_PSpOwn,"None")</f>
        <v>None</v>
      </c>
      <c r="D215" s="23"/>
    </row>
    <row r="216" customFormat="false" ht="15" hidden="false" customHeight="true" outlineLevel="0" collapsed="false">
      <c r="B216" s="1" t="s">
        <v>1847</v>
      </c>
      <c r="C216" s="103" t="n">
        <f aca="false">IF(F_PSpO="Qualified adult increase",1,0)</f>
        <v>0</v>
      </c>
      <c r="D216" s="23"/>
    </row>
    <row r="217" customFormat="false" ht="15" hidden="false" customHeight="true" outlineLevel="0" collapsed="false">
      <c r="B217" s="1" t="s">
        <v>1848</v>
      </c>
      <c r="C217" s="103" t="n">
        <f aca="false">IF(F_PSpO="Own full",1,IF(OR(F_PSpO="Own partial",F_PSpO="Not sure"),MIN(1,AS_PSpWeek/PR_SPweek),0))</f>
        <v>0</v>
      </c>
      <c r="D217" s="23"/>
    </row>
    <row r="218" customFormat="false" ht="15" hidden="false" customHeight="true" outlineLevel="0" collapsed="false">
      <c r="B218" s="1" t="s">
        <v>1849</v>
      </c>
      <c r="C218" s="103" t="n">
        <f aca="false">IF(AND(F_Work="Employed",In_age&gt;=PR_AEageMin,In_age&lt;=PR_AEageMax,F_Income&gt;PR_AEearnMin,F_PenM=0,In_ae&lt;&gt;"No"),1,0)</f>
        <v>0</v>
      </c>
      <c r="D218" s="23"/>
    </row>
    <row r="219" customFormat="false" ht="15" hidden="false" customHeight="true" outlineLevel="0" collapsed="false">
      <c r="B219" s="1" t="s">
        <v>1850</v>
      </c>
      <c r="C219" s="103" t="n">
        <f aca="false">IF(AND(In_credRent="Yes",In_home="Rent"),1,0)</f>
        <v>0</v>
      </c>
      <c r="D219" s="23"/>
    </row>
    <row r="220" customFormat="false" ht="15" hidden="false" customHeight="true" outlineLevel="0" collapsed="false">
      <c r="B220" s="1" t="s">
        <v>1851</v>
      </c>
      <c r="C220" s="103" t="n">
        <f aca="false">IF(AND(In_credLone="Yes",In_deps&gt;0,F_Partner=0),1,0)</f>
        <v>0</v>
      </c>
      <c r="D220" s="23"/>
    </row>
    <row r="221" customFormat="false" ht="15" hidden="false" customHeight="true" outlineLevel="0" collapsed="false">
      <c r="B221" s="1" t="s">
        <v>1852</v>
      </c>
      <c r="C221" s="103" t="n">
        <f aca="false">IF(AND(In_credCarer="Yes",F_Partner=1,In_married="Yes"),1,0)</f>
        <v>0</v>
      </c>
      <c r="D221" s="23"/>
    </row>
    <row r="222" customFormat="false" ht="15" hidden="false" customHeight="true" outlineLevel="0" collapsed="false">
      <c r="B222" s="1" t="s">
        <v>1853</v>
      </c>
      <c r="C222" s="103" t="n">
        <f aca="false">In_pension+IF(WI_Retire=1,In_wiL,0)</f>
        <v>0</v>
      </c>
      <c r="D222" s="23"/>
    </row>
    <row r="223" customFormat="false" ht="15" hidden="false" customHeight="true" outlineLevel="0" collapsed="false">
      <c r="B223" s="1" t="s">
        <v>1854</v>
      </c>
      <c r="C223" s="103" t="n">
        <f aca="false">MAX(F_R,AS_AccessAge)</f>
        <v>66</v>
      </c>
      <c r="D223" s="23"/>
    </row>
    <row r="224" customFormat="false" ht="15" hidden="false" customHeight="true" outlineLevel="0" collapsed="false">
      <c r="B224" s="1" t="s">
        <v>1855</v>
      </c>
      <c r="C224" s="103" t="n">
        <f aca="false">AS_End-F_Age</f>
        <v>90</v>
      </c>
      <c r="D224" s="23"/>
    </row>
    <row r="225" customFormat="false" ht="15" hidden="false" customHeight="true" outlineLevel="0" collapsed="false">
      <c r="B225" s="1" t="s">
        <v>1856</v>
      </c>
      <c r="C225" s="103" t="n">
        <f aca="false">IF(In_work="Self-employed",1,0)</f>
        <v>0</v>
      </c>
      <c r="D225" s="23"/>
    </row>
    <row r="226" customFormat="false" ht="15" hidden="false" customHeight="true" outlineLevel="0" collapsed="false">
      <c r="B226" s="1" t="s">
        <v>1857</v>
      </c>
      <c r="C226" s="103" t="n">
        <f aca="false">IF(AND(In_wiGoal&gt;0,INDEX(Goal_Kind_List,MAX(1,In_wiGoal))="retire"),1,0)</f>
        <v>0</v>
      </c>
      <c r="D226" s="23" t="s">
        <v>1858</v>
      </c>
    </row>
    <row r="227" customFormat="false" ht="15" hidden="false" customHeight="true" outlineLevel="0" collapsed="false">
      <c r="B227" s="1" t="s">
        <v>1859</v>
      </c>
      <c r="C227" s="103" t="n">
        <f aca="false">In_wiM</f>
        <v>0</v>
      </c>
      <c r="D227" s="23"/>
    </row>
    <row r="228" customFormat="false" ht="15" hidden="false" customHeight="true" outlineLevel="0" collapsed="false">
      <c r="B228" s="1" t="s">
        <v>1860</v>
      </c>
      <c r="C228" s="103" t="n">
        <f aca="false">In_wiL</f>
        <v>0</v>
      </c>
      <c r="D228" s="23"/>
    </row>
    <row r="232" customFormat="false" ht="108.75" hidden="false" customHeight="true" outlineLevel="0" collapsed="false">
      <c r="A232" s="93" t="s">
        <v>1861</v>
      </c>
      <c r="B232" s="100" t="s">
        <v>1862</v>
      </c>
      <c r="C232" s="100" t="s">
        <v>720</v>
      </c>
      <c r="D232" s="100" t="s">
        <v>893</v>
      </c>
      <c r="E232" s="100" t="s">
        <v>1863</v>
      </c>
      <c r="F232" s="100" t="s">
        <v>1864</v>
      </c>
      <c r="G232" s="100" t="s">
        <v>1865</v>
      </c>
      <c r="H232" s="100" t="s">
        <v>1866</v>
      </c>
      <c r="I232" s="100" t="s">
        <v>1867</v>
      </c>
      <c r="J232" s="100" t="s">
        <v>1868</v>
      </c>
      <c r="K232" s="100" t="s">
        <v>1869</v>
      </c>
      <c r="L232" s="100" t="s">
        <v>1870</v>
      </c>
      <c r="M232" s="100" t="s">
        <v>1871</v>
      </c>
      <c r="N232" s="100" t="s">
        <v>1872</v>
      </c>
      <c r="O232" s="100" t="s">
        <v>1873</v>
      </c>
      <c r="P232" s="100" t="s">
        <v>1874</v>
      </c>
      <c r="Q232" s="100" t="s">
        <v>1875</v>
      </c>
      <c r="R232" s="100" t="s">
        <v>1876</v>
      </c>
      <c r="S232" s="100" t="s">
        <v>1877</v>
      </c>
      <c r="T232" s="100" t="s">
        <v>1878</v>
      </c>
      <c r="U232" s="100" t="s">
        <v>1879</v>
      </c>
      <c r="V232" s="100" t="s">
        <v>1880</v>
      </c>
      <c r="W232" s="100" t="s">
        <v>1881</v>
      </c>
      <c r="X232" s="100" t="s">
        <v>1882</v>
      </c>
      <c r="Y232" s="100" t="s">
        <v>1883</v>
      </c>
      <c r="Z232" s="100" t="s">
        <v>1884</v>
      </c>
      <c r="AA232" s="100" t="s">
        <v>1885</v>
      </c>
      <c r="AB232" s="100" t="s">
        <v>1886</v>
      </c>
      <c r="AC232" s="100" t="s">
        <v>1887</v>
      </c>
      <c r="AD232" s="100" t="s">
        <v>1888</v>
      </c>
      <c r="AE232" s="100" t="s">
        <v>1889</v>
      </c>
      <c r="AF232" s="100" t="s">
        <v>1890</v>
      </c>
      <c r="AG232" s="100" t="s">
        <v>1891</v>
      </c>
      <c r="AH232" s="100" t="s">
        <v>1892</v>
      </c>
      <c r="AI232" s="100" t="s">
        <v>1893</v>
      </c>
      <c r="AJ232" s="100" t="s">
        <v>1894</v>
      </c>
      <c r="AK232" s="100" t="s">
        <v>1895</v>
      </c>
      <c r="AL232" s="100" t="s">
        <v>1896</v>
      </c>
      <c r="AM232" s="100" t="s">
        <v>1897</v>
      </c>
      <c r="AN232" s="100" t="s">
        <v>1898</v>
      </c>
      <c r="AO232" s="100" t="s">
        <v>1899</v>
      </c>
      <c r="AP232" s="100" t="s">
        <v>1900</v>
      </c>
      <c r="AQ232" s="100" t="s">
        <v>1901</v>
      </c>
      <c r="AR232" s="100" t="s">
        <v>1902</v>
      </c>
      <c r="AS232" s="100" t="s">
        <v>1903</v>
      </c>
      <c r="AT232" s="100" t="s">
        <v>1904</v>
      </c>
      <c r="AU232" s="100" t="s">
        <v>1905</v>
      </c>
      <c r="AV232" s="100" t="s">
        <v>1906</v>
      </c>
      <c r="AW232" s="100" t="s">
        <v>1907</v>
      </c>
      <c r="AX232" s="100" t="s">
        <v>1908</v>
      </c>
      <c r="AY232" s="100" t="s">
        <v>1909</v>
      </c>
      <c r="AZ232" s="100" t="s">
        <v>1910</v>
      </c>
      <c r="BA232" s="100" t="s">
        <v>1911</v>
      </c>
      <c r="BB232" s="100" t="s">
        <v>1912</v>
      </c>
      <c r="BC232" s="100" t="s">
        <v>1913</v>
      </c>
      <c r="BD232" s="100" t="s">
        <v>1914</v>
      </c>
      <c r="BE232" s="100" t="s">
        <v>1915</v>
      </c>
      <c r="BF232" s="100" t="s">
        <v>1916</v>
      </c>
      <c r="BG232" s="100" t="s">
        <v>1917</v>
      </c>
      <c r="BH232" s="100" t="s">
        <v>1918</v>
      </c>
      <c r="BI232" s="100" t="s">
        <v>1919</v>
      </c>
      <c r="BJ232" s="100" t="s">
        <v>1920</v>
      </c>
      <c r="BK232" s="100" t="s">
        <v>1921</v>
      </c>
      <c r="BL232" s="100" t="s">
        <v>1922</v>
      </c>
      <c r="BM232" s="100" t="s">
        <v>1923</v>
      </c>
      <c r="BN232" s="100" t="s">
        <v>1924</v>
      </c>
      <c r="BO232" s="100" t="s">
        <v>1925</v>
      </c>
      <c r="BP232" s="100" t="s">
        <v>1926</v>
      </c>
      <c r="BQ232" s="100" t="s">
        <v>1927</v>
      </c>
      <c r="BR232" s="100" t="s">
        <v>1928</v>
      </c>
      <c r="BS232" s="100" t="s">
        <v>1929</v>
      </c>
      <c r="BT232" s="100" t="s">
        <v>1930</v>
      </c>
    </row>
    <row r="233" customFormat="false" ht="15" hidden="false" customHeight="true" outlineLevel="0" collapsed="false">
      <c r="A233" s="1" t="s">
        <v>1931</v>
      </c>
      <c r="AD233" s="110" t="n">
        <f aca="false">F_Pension0</f>
        <v>0</v>
      </c>
    </row>
    <row r="234" customFormat="false" ht="15" hidden="false" customHeight="true" outlineLevel="0" collapsed="false">
      <c r="B234" s="1" t="n">
        <v>0</v>
      </c>
      <c r="C234" s="1" t="n">
        <f aca="false">F_Age+B234</f>
        <v>0</v>
      </c>
      <c r="D234" s="1" t="n">
        <f aca="false">AS_Year0+B234</f>
        <v>2027</v>
      </c>
      <c r="E234" s="111" t="n">
        <f aca="false">(1+AS_Infl)^B234</f>
        <v>1</v>
      </c>
      <c r="F234" s="111" t="n">
        <f aca="false">(1+AS_Wage)^B234</f>
        <v>1</v>
      </c>
      <c r="G234" s="1" t="n">
        <f aca="false">IF(C234&lt;F_R,1,0)</f>
        <v>1</v>
      </c>
      <c r="H234" s="111" t="n">
        <f aca="false">IF(AS_Bands="flat",1,E234)</f>
        <v>1</v>
      </c>
      <c r="I234" s="111" t="n">
        <f aca="false">IF(AS_SpGrow="pay",F234,IF(AS_SpGrow="flat",1,E234))</f>
        <v>1</v>
      </c>
      <c r="J234" s="111" t="n">
        <f aca="false">(12*PR_PRSIr0+(PR_PRSIr1-PR_PRSIr0)*MAX(0,MIN(12,D234*12+12-PR_PRSIt1))+(PR_PRSIr2-PR_PRSIr1)*MAX(0,MIN(12,D234*12+12-PR_PRSIt2))+(PR_PRSIr3-PR_PRSIr2)*MAX(0,MIN(12,D234*12+12-PR_PRSIt3)))/12</f>
        <v>0.043875</v>
      </c>
      <c r="K234" s="1" t="n">
        <f aca="false">IF(G234=1,F_Income*F234,0)</f>
        <v>0</v>
      </c>
      <c r="L234" s="1" t="n">
        <f aca="false">IF(G234=1,(F_Own+In_penExtra)*12*F234,0)</f>
        <v>0</v>
      </c>
      <c r="M234" s="1" t="n">
        <f aca="false">IF(G234=1,(F_PenM+In_penExtra)*12*F234,0)</f>
        <v>0</v>
      </c>
      <c r="N234" s="112" t="n">
        <f aca="false">IF(C234&lt;PR_RelA1,PR_RelP1,IF(C234&lt;PR_RelA2,PR_RelP2,IF(C234&lt;PR_RelA3,PR_RelP3,IF(C234&lt;PR_RelA4,PR_RelP4,IF(C234&lt;PR_RelA5,PR_RelP5,PR_RelP6)))))</f>
        <v>0.15</v>
      </c>
      <c r="O234" s="1" t="n">
        <f aca="false">IF(G234=1,MIN(L234/H234,N234*MIN(K234/H234,PR_EarnCap))*H234,0)</f>
        <v>0</v>
      </c>
      <c r="P234" s="1" t="n">
        <f aca="false">IF(AND(G234=1,F_AE=1),MIN(K234/H234,PR_AEcap)*H234,0)</f>
        <v>0</v>
      </c>
      <c r="Q234" s="1" t="n">
        <f aca="false">IF(G234=1,IF(WI_Retire=1,MAX(0,M234+WI_M*12),M234)+(PR_AEee+PR_AEer+PR_AEst)*P234,0)</f>
        <v>0</v>
      </c>
      <c r="R234" s="1" t="n">
        <f aca="false">L234+PR_AEee*P234</f>
        <v>0</v>
      </c>
      <c r="S234" s="1" t="n">
        <f aca="false">AD233</f>
        <v>0</v>
      </c>
      <c r="T234" s="1" t="n">
        <f aca="false">IF(D234&lt;=PR_SFTfrom,PR_SFT2026,IF(D234=PR_SFTfrom+1,PR_SFT2027,IF(D234=PR_SFTfrom+2,PR_SFT2028,IF(D234&lt;=PR_SFTto,PR_SFT2029,PR_SFT2029*(1+AS_Infl)^(D234-PR_SFTto)))))</f>
        <v>2400000</v>
      </c>
      <c r="U234" s="1" t="n">
        <f aca="false">IF(AND(G234=0,C234=F_V),1,0)</f>
        <v>0</v>
      </c>
      <c r="V234" s="1" t="n">
        <f aca="false">IF(U234=1,PR_SFTrate*MAX(0,S234-T234),0)</f>
        <v>0</v>
      </c>
      <c r="W234" s="1" t="n">
        <f aca="false">S234-V234</f>
        <v>0</v>
      </c>
      <c r="X234" s="1" t="n">
        <f aca="false">IF(AND(U234=1,AS_LumpPct&gt;0),W234*MIN(AS_LumpPct,PR_LSmax),0)</f>
        <v>0</v>
      </c>
      <c r="Y234" s="1" t="n">
        <f aca="false">X234-(PR_LSrate*MAX(0,MIN(X234,PR_LScap)-PR_LSfree)+PR_r2*MAX(0,X234-PR_LScap))</f>
        <v>0</v>
      </c>
      <c r="Z234" s="1" t="n">
        <f aca="false">W234-X234</f>
        <v>0</v>
      </c>
      <c r="AA234" s="112" t="n">
        <f aca="false">IF(C234&gt;=PR_ARFage1,IF(Z234&gt;PR_ARFbig,PR_ARFbigRate,IF(C234&gt;=PR_ARFage2,PR_ARF71,PR_ARF61)),0)</f>
        <v>0</v>
      </c>
      <c r="AB234" s="1" t="n">
        <f aca="false">IF(AS_DrawRule="min",Z234*AA234,IF(AS_DrawRule="fixed",MAX(AS_DrawFixed*E234,Z234*AA234),Z234*MAX(1/MAX(1,AS_End-C234+1),AA234)))</f>
        <v>0</v>
      </c>
      <c r="AC234" s="1" t="n">
        <f aca="false">IF(AND(G234=0,C234&gt;=F_V),MIN(Z234,AB234),0)</f>
        <v>0</v>
      </c>
      <c r="AD234" s="1" t="n">
        <f aca="false">IF(G234=1,S234*(1+F_PenG)+Q234,IF(C234&lt;F_V,S234*(1+F_PenG),(Z234-AC234)*(1+AS_PenRet)))</f>
        <v>0</v>
      </c>
      <c r="AE234" s="1" t="n">
        <f aca="false">IF(C234&gt;=PR_SPage,AS_SP*F_SpF*I234+IF(AND(C234&gt;=PR_Over80Age,F_SpF&gt;0),PR_Over80*PR_Weeks*I234,0),0)</f>
        <v>0</v>
      </c>
      <c r="AF234" s="1" t="n">
        <f aca="false">(F_OtherM+F_RentM)*12*E234</f>
        <v>0</v>
      </c>
      <c r="AG234" s="1" t="n">
        <f aca="false">F_PAge+B234</f>
        <v>0</v>
      </c>
      <c r="AH234" s="1" t="n">
        <f aca="false">IF(AND(F_Partner=1,F_PAge&gt;0,AG234&lt;IF(F_PRet&gt;0,F_PRet,PR_SPage)),F_PIncome*F234,0)</f>
        <v>0</v>
      </c>
      <c r="AI234" s="1" t="n">
        <f aca="false">IF(AND(F_Partner=1,AG234&gt;=PR_SPage,F_PSpQA=0),AS_SP*F_PSpF*I234,0)</f>
        <v>0</v>
      </c>
      <c r="AJ234" s="1" t="n">
        <f aca="false">IF(AND(F_Partner=1,F_PSpQA=1,C234&gt;=PR_SPage,AH234=0),IF(AG234&gt;=PR_SPage,PR_QA66,PR_QAunder)*PR_Weeks*I234,0)</f>
        <v>0</v>
      </c>
      <c r="AK234" s="1" t="n">
        <f aca="false">AE234+AJ234</f>
        <v>0</v>
      </c>
      <c r="AL234" s="1" t="n">
        <f aca="false">K234/H234</f>
        <v>0</v>
      </c>
      <c r="AM234" s="1" t="n">
        <f aca="false">AK234/H234</f>
        <v>0</v>
      </c>
      <c r="AN234" s="1" t="n">
        <f aca="false">AC234/H234</f>
        <v>0</v>
      </c>
      <c r="AO234" s="1" t="n">
        <f aca="false">AF234/H234</f>
        <v>0</v>
      </c>
      <c r="AP234" s="1" t="n">
        <f aca="false">O234/H234</f>
        <v>0</v>
      </c>
      <c r="AQ234" s="1" t="n">
        <f aca="false">AH234/H234</f>
        <v>0</v>
      </c>
      <c r="AR234" s="1" t="n">
        <f aca="false">AI234/H234</f>
        <v>0</v>
      </c>
      <c r="AS234" s="1" t="n">
        <f aca="false">MAX(0,AL234+AN234+AO234+AM234-AP234)</f>
        <v>0</v>
      </c>
      <c r="AT234" s="1" t="n">
        <f aca="false">MAX(0,AQ234+AR234)</f>
        <v>0</v>
      </c>
      <c r="AU234" s="1" t="n">
        <f aca="false">MIN(PR_PAYE,PR_PAYEcap*(AL234+AN234+AM234))</f>
        <v>0</v>
      </c>
      <c r="AV234" s="1" t="n">
        <f aca="false">MIN(PR_PAYE,PR_PAYEcap*(AQ234+AR234))</f>
        <v>0</v>
      </c>
      <c r="AW234" s="1" t="n">
        <f aca="false">IF(C234&gt;=PR_AgeCrAge,PR_AgeCr,0)</f>
        <v>0</v>
      </c>
      <c r="AX234" s="1" t="n">
        <f aca="false">IF(AG234&gt;=PR_AgeCrAge,PR_AgeCr,0)</f>
        <v>0</v>
      </c>
      <c r="AY234" s="1" t="n">
        <f aca="false">IF(AND(F_RentCred=1,D234&lt;=PR_RentLast),1,0)</f>
        <v>0</v>
      </c>
      <c r="AZ234" s="1" t="n">
        <f aca="false">AS234+AT234</f>
        <v>0</v>
      </c>
      <c r="BA234" s="1" t="n">
        <f aca="false">PR_PersonalM+AU234+AV234+AW234+AX234+IF(AY234=1,PR_RentJoint,0)</f>
        <v>4000</v>
      </c>
      <c r="BB234" s="1" t="n">
        <f aca="false">PR_BandM+MIN(MIN(AS234,AT234),PR_Uplift)</f>
        <v>53000</v>
      </c>
      <c r="BC234" s="1" t="n">
        <f aca="false">MAX(0,PR_r1*MIN(AZ234,BB234)+PR_r2*MAX(0,AZ234-BB234)-BA234)</f>
        <v>0</v>
      </c>
      <c r="BD234" s="1" t="n">
        <f aca="false">MAX(0,PR_HomeCarer-MAX(0,MIN(AS234,AT234)-PR_HCLimit)/2)</f>
        <v>1950</v>
      </c>
      <c r="BE234" s="1" t="n">
        <f aca="false">IF(F_Carer=1,MIN(BC234,MAX(0,PR_r1*MIN(AZ234,PR_BandM)+PR_r2*MAX(0,AZ234-PR_BandM)-BA234-BD234)),BC234)</f>
        <v>0</v>
      </c>
      <c r="BF234" s="1" t="n">
        <f aca="false">IF(OR(C234&gt;=PR_AgeCrAge,AG234&gt;=PR_AgeCrAge),IF(AZ234&lt;=PR_AgeExM,0,MIN(BE234,PR_AgeMarg*(AZ234-PR_AgeExM))),BE234)</f>
        <v>0</v>
      </c>
      <c r="BG234" s="1" t="n">
        <f aca="false">MAX(0,PR_r1*MIN(AS234,IF(F_Spccc=1,PR_BandSPCCC,PR_Band))+PR_r2*MAX(0,AS234-IF(F_Spccc=1,PR_BandSPCCC,PR_Band))-(PR_Personal+AU234+AW234+IF(F_Spccc=1,PR_SPCCC,0)+IF(AY234=1,PR_Rent,0)))</f>
        <v>0</v>
      </c>
      <c r="BH234" s="1" t="n">
        <f aca="false">IF(C234&gt;=PR_AgeCrAge,IF(AS234&lt;=PR_AgeEx,0,MIN(BG234,PR_AgeMarg*(AS234-PR_AgeEx))),BG234)</f>
        <v>0</v>
      </c>
      <c r="BI234" s="1" t="n">
        <f aca="false">IF(F_Partner=1,MAX(0,PR_r1*MIN(AT234,PR_Band)+PR_r2*MAX(0,AT234-PR_Band)-(PR_Personal+AV234+AX234+IF(AND(AY234=1,AT234&gt;0),PR_Rent,0))),0)</f>
        <v>0</v>
      </c>
      <c r="BJ234" s="1" t="n">
        <f aca="false">IF(AG234&gt;=PR_AgeCrAge,IF(AT234&lt;=PR_AgeEx,0,MIN(BI234,PR_AgeMarg*(AT234-PR_AgeEx))),BI234)</f>
        <v>0</v>
      </c>
      <c r="BK234" s="1" t="n">
        <f aca="false">IF(F_Partner=1,IF(F_Married=1,BF234,BH234+BJ234),BH234)</f>
        <v>0</v>
      </c>
      <c r="BL234" s="1" t="n">
        <f aca="false">AL234+AN234+AO234</f>
        <v>0</v>
      </c>
      <c r="BM234" s="1" t="n">
        <f aca="false">IF(BL234&lt;=PR_USCex,0,IF(IF(AND(C234&gt;=PR_USCredAge,BL234&lt;=PR_USCredMax),1,0)=1,PR_USCr1*MIN(BL234,PR_USCredB1)+PR_USCredR2*MAX(0,BL234-PR_USCredB1),PR_USCr1*MIN(BL234,PR_USCb1)+PR_USCr2*MAX(0,MIN(BL234,PR_USCb2)-PR_USCb1)+PR_USCr3*MAX(0,MIN(BL234,PR_USCb3)-PR_USCb2)+PR_USCr4*MAX(0,BL234-PR_USCb3)))+IF(F_SelfEmp=1,PR_USCse*MAX(0,AL234-PR_USCseOver),0)</f>
        <v>0</v>
      </c>
      <c r="BN234" s="1" t="n">
        <f aca="false">AQ234</f>
        <v>0</v>
      </c>
      <c r="BO234" s="1" t="n">
        <f aca="false">IF(F_Partner=1,IF(BN234&lt;=PR_USCex,0,IF(IF(AND(AG234&gt;=PR_USCredAge,BN234&lt;=PR_USCredMax),1,0)=1,PR_USCr1*MIN(BN234,PR_USCredB1)+PR_USCredR2*MAX(0,BN234-PR_USCredB1),PR_USCr1*MIN(BN234,PR_USCb1)+PR_USCr2*MAX(0,MIN(BN234,PR_USCb2)-PR_USCb1)+PR_USCr3*MAX(0,MIN(BN234,PR_USCb3)-PR_USCb2)+PR_USCr4*MAX(0,BN234-PR_USCb3))),0)</f>
        <v>0</v>
      </c>
      <c r="BP234" s="1" t="n">
        <f aca="false">IF(C234&lt;PR_PRSIend,IF(F_SelfEmp=1,IF(AL234&gt;PR_PRSIsMinInc,MAX(PR_PRSIsMin,AL234*J234),0),IF(AL234/52&lt;=PR_PRSIfree,0,MAX(0,(AL234/52*J234-IF(AL234/52&lt;=PR_PRSIcreditTo,MAX(0,PR_PRSIcreditMax-(AL234/52-(PR_PRSIfree+0.01))/PR_PRSItaper),0))*52)))+J234*AN234+IF(AO234&gt;PR_PRSIunearned,J234*AO234,0),0)</f>
        <v>0</v>
      </c>
      <c r="BQ234" s="1" t="n">
        <f aca="false">IF(AND(F_Partner=1,AG234&lt;PR_PRSIend),IF(AQ234/52&lt;=PR_PRSIfree,0,MAX(0,(AQ234/52*J234-IF(AQ234/52&lt;=PR_PRSIcreditTo,MAX(0,PR_PRSIcreditMax-(AQ234/52-(PR_PRSIfree+0.01))/PR_PRSItaper),0))*52)),0)</f>
        <v>0</v>
      </c>
      <c r="BR234" s="1" t="n">
        <f aca="false">BK234+BM234+BO234+BP234+BQ234</f>
        <v>0</v>
      </c>
      <c r="BS234" s="1" t="n">
        <f aca="false">BR234*H234</f>
        <v>0</v>
      </c>
      <c r="BT234" s="1" t="n">
        <f aca="false">K234+AK234+AC234+AF234+AH234+AI234</f>
        <v>0</v>
      </c>
    </row>
    <row r="235" customFormat="false" ht="15" hidden="false" customHeight="true" outlineLevel="0" collapsed="false">
      <c r="B235" s="1" t="n">
        <v>1</v>
      </c>
      <c r="C235" s="1" t="n">
        <f aca="false">F_Age+B235</f>
        <v>1</v>
      </c>
      <c r="D235" s="1" t="n">
        <f aca="false">AS_Year0+B235</f>
        <v>2028</v>
      </c>
      <c r="E235" s="111" t="n">
        <f aca="false">(1+AS_Infl)^B235</f>
        <v>1.02</v>
      </c>
      <c r="F235" s="111" t="n">
        <f aca="false">(1+AS_Wage)^B235</f>
        <v>1.03</v>
      </c>
      <c r="G235" s="1" t="n">
        <f aca="false">IF(C235&lt;F_R,1,0)</f>
        <v>1</v>
      </c>
      <c r="H235" s="111" t="n">
        <f aca="false">IF(AS_Bands="flat",1,E235)</f>
        <v>1.02</v>
      </c>
      <c r="I235" s="111" t="n">
        <f aca="false">IF(AS_SpGrow="pay",F235,IF(AS_SpGrow="flat",1,E235))</f>
        <v>1.02</v>
      </c>
      <c r="J235" s="111" t="n">
        <f aca="false">(12*PR_PRSIr0+(PR_PRSIr1-PR_PRSIr0)*MAX(0,MIN(12,D235*12+12-PR_PRSIt1))+(PR_PRSIr2-PR_PRSIr1)*MAX(0,MIN(12,D235*12+12-PR_PRSIt2))+(PR_PRSIr3-PR_PRSIr2)*MAX(0,MIN(12,D235*12+12-PR_PRSIt3)))/12</f>
        <v>0.0455</v>
      </c>
      <c r="K235" s="1" t="n">
        <f aca="false">IF(G235=1,F_Income*F235,0)</f>
        <v>0</v>
      </c>
      <c r="L235" s="1" t="n">
        <f aca="false">IF(G235=1,(F_Own+In_penExtra)*12*F235,0)</f>
        <v>0</v>
      </c>
      <c r="M235" s="1" t="n">
        <f aca="false">IF(G235=1,(F_PenM+In_penExtra)*12*F235,0)</f>
        <v>0</v>
      </c>
      <c r="N235" s="112" t="n">
        <f aca="false">IF(C235&lt;PR_RelA1,PR_RelP1,IF(C235&lt;PR_RelA2,PR_RelP2,IF(C235&lt;PR_RelA3,PR_RelP3,IF(C235&lt;PR_RelA4,PR_RelP4,IF(C235&lt;PR_RelA5,PR_RelP5,PR_RelP6)))))</f>
        <v>0.15</v>
      </c>
      <c r="O235" s="1" t="n">
        <f aca="false">IF(G235=1,MIN(L235/H235,N235*MIN(K235/H235,PR_EarnCap))*H235,0)</f>
        <v>0</v>
      </c>
      <c r="P235" s="1" t="n">
        <f aca="false">IF(AND(G235=1,F_AE=1),MIN(K235/H235,PR_AEcap)*H235,0)</f>
        <v>0</v>
      </c>
      <c r="Q235" s="1" t="n">
        <f aca="false">IF(G235=1,IF(WI_Retire=1,MAX(0,M235+WI_M*12),M235)+(PR_AEee+PR_AEer+PR_AEst)*P235,0)</f>
        <v>0</v>
      </c>
      <c r="R235" s="1" t="n">
        <f aca="false">L235+PR_AEee*P235</f>
        <v>0</v>
      </c>
      <c r="S235" s="1" t="n">
        <f aca="false">AD234</f>
        <v>0</v>
      </c>
      <c r="T235" s="1" t="n">
        <f aca="false">IF(D235&lt;=PR_SFTfrom,PR_SFT2026,IF(D235=PR_SFTfrom+1,PR_SFT2027,IF(D235=PR_SFTfrom+2,PR_SFT2028,IF(D235&lt;=PR_SFTto,PR_SFT2029,PR_SFT2029*(1+AS_Infl)^(D235-PR_SFTto)))))</f>
        <v>2600000</v>
      </c>
      <c r="U235" s="1" t="n">
        <f aca="false">IF(AND(G235=0,C235=F_V),1,0)</f>
        <v>0</v>
      </c>
      <c r="V235" s="1" t="n">
        <f aca="false">IF(U235=1,PR_SFTrate*MAX(0,S235-T235),0)</f>
        <v>0</v>
      </c>
      <c r="W235" s="1" t="n">
        <f aca="false">S235-V235</f>
        <v>0</v>
      </c>
      <c r="X235" s="1" t="n">
        <f aca="false">IF(AND(U235=1,AS_LumpPct&gt;0),W235*MIN(AS_LumpPct,PR_LSmax),0)</f>
        <v>0</v>
      </c>
      <c r="Y235" s="1" t="n">
        <f aca="false">X235-(PR_LSrate*MAX(0,MIN(X235,PR_LScap)-PR_LSfree)+PR_r2*MAX(0,X235-PR_LScap))</f>
        <v>0</v>
      </c>
      <c r="Z235" s="1" t="n">
        <f aca="false">W235-X235</f>
        <v>0</v>
      </c>
      <c r="AA235" s="112" t="n">
        <f aca="false">IF(C235&gt;=PR_ARFage1,IF(Z235&gt;PR_ARFbig,PR_ARFbigRate,IF(C235&gt;=PR_ARFage2,PR_ARF71,PR_ARF61)),0)</f>
        <v>0</v>
      </c>
      <c r="AB235" s="1" t="n">
        <f aca="false">IF(AS_DrawRule="min",Z235*AA235,IF(AS_DrawRule="fixed",MAX(AS_DrawFixed*E235,Z235*AA235),Z235*MAX(1/MAX(1,AS_End-C235+1),AA235)))</f>
        <v>0</v>
      </c>
      <c r="AC235" s="1" t="n">
        <f aca="false">IF(AND(G235=0,C235&gt;=F_V),MIN(Z235,AB235),0)</f>
        <v>0</v>
      </c>
      <c r="AD235" s="1" t="n">
        <f aca="false">IF(G235=1,S235*(1+F_PenG)+Q235,IF(C235&lt;F_V,S235*(1+F_PenG),(Z235-AC235)*(1+AS_PenRet)))</f>
        <v>0</v>
      </c>
      <c r="AE235" s="1" t="n">
        <f aca="false">IF(C235&gt;=PR_SPage,AS_SP*F_SpF*I235+IF(AND(C235&gt;=PR_Over80Age,F_SpF&gt;0),PR_Over80*PR_Weeks*I235,0),0)</f>
        <v>0</v>
      </c>
      <c r="AF235" s="1" t="n">
        <f aca="false">(F_OtherM+F_RentM)*12*E235</f>
        <v>0</v>
      </c>
      <c r="AG235" s="1" t="n">
        <f aca="false">F_PAge+B235</f>
        <v>1</v>
      </c>
      <c r="AH235" s="1" t="n">
        <f aca="false">IF(AND(F_Partner=1,F_PAge&gt;0,AG235&lt;IF(F_PRet&gt;0,F_PRet,PR_SPage)),F_PIncome*F235,0)</f>
        <v>0</v>
      </c>
      <c r="AI235" s="1" t="n">
        <f aca="false">IF(AND(F_Partner=1,AG235&gt;=PR_SPage,F_PSpQA=0),AS_SP*F_PSpF*I235,0)</f>
        <v>0</v>
      </c>
      <c r="AJ235" s="1" t="n">
        <f aca="false">IF(AND(F_Partner=1,F_PSpQA=1,C235&gt;=PR_SPage,AH235=0),IF(AG235&gt;=PR_SPage,PR_QA66,PR_QAunder)*PR_Weeks*I235,0)</f>
        <v>0</v>
      </c>
      <c r="AK235" s="1" t="n">
        <f aca="false">AE235+AJ235</f>
        <v>0</v>
      </c>
      <c r="AL235" s="1" t="n">
        <f aca="false">K235/H235</f>
        <v>0</v>
      </c>
      <c r="AM235" s="1" t="n">
        <f aca="false">AK235/H235</f>
        <v>0</v>
      </c>
      <c r="AN235" s="1" t="n">
        <f aca="false">AC235/H235</f>
        <v>0</v>
      </c>
      <c r="AO235" s="1" t="n">
        <f aca="false">AF235/H235</f>
        <v>0</v>
      </c>
      <c r="AP235" s="1" t="n">
        <f aca="false">O235/H235</f>
        <v>0</v>
      </c>
      <c r="AQ235" s="1" t="n">
        <f aca="false">AH235/H235</f>
        <v>0</v>
      </c>
      <c r="AR235" s="1" t="n">
        <f aca="false">AI235/H235</f>
        <v>0</v>
      </c>
      <c r="AS235" s="1" t="n">
        <f aca="false">MAX(0,AL235+AN235+AO235+AM235-AP235)</f>
        <v>0</v>
      </c>
      <c r="AT235" s="1" t="n">
        <f aca="false">MAX(0,AQ235+AR235)</f>
        <v>0</v>
      </c>
      <c r="AU235" s="1" t="n">
        <f aca="false">MIN(PR_PAYE,PR_PAYEcap*(AL235+AN235+AM235))</f>
        <v>0</v>
      </c>
      <c r="AV235" s="1" t="n">
        <f aca="false">MIN(PR_PAYE,PR_PAYEcap*(AQ235+AR235))</f>
        <v>0</v>
      </c>
      <c r="AW235" s="1" t="n">
        <f aca="false">IF(C235&gt;=PR_AgeCrAge,PR_AgeCr,0)</f>
        <v>0</v>
      </c>
      <c r="AX235" s="1" t="n">
        <f aca="false">IF(AG235&gt;=PR_AgeCrAge,PR_AgeCr,0)</f>
        <v>0</v>
      </c>
      <c r="AY235" s="1" t="n">
        <f aca="false">IF(AND(F_RentCred=1,D235&lt;=PR_RentLast),1,0)</f>
        <v>0</v>
      </c>
      <c r="AZ235" s="1" t="n">
        <f aca="false">AS235+AT235</f>
        <v>0</v>
      </c>
      <c r="BA235" s="1" t="n">
        <f aca="false">PR_PersonalM+AU235+AV235+AW235+AX235+IF(AY235=1,PR_RentJoint,0)</f>
        <v>4000</v>
      </c>
      <c r="BB235" s="1" t="n">
        <f aca="false">PR_BandM+MIN(MIN(AS235,AT235),PR_Uplift)</f>
        <v>53000</v>
      </c>
      <c r="BC235" s="1" t="n">
        <f aca="false">MAX(0,PR_r1*MIN(AZ235,BB235)+PR_r2*MAX(0,AZ235-BB235)-BA235)</f>
        <v>0</v>
      </c>
      <c r="BD235" s="1" t="n">
        <f aca="false">MAX(0,PR_HomeCarer-MAX(0,MIN(AS235,AT235)-PR_HCLimit)/2)</f>
        <v>1950</v>
      </c>
      <c r="BE235" s="1" t="n">
        <f aca="false">IF(F_Carer=1,MIN(BC235,MAX(0,PR_r1*MIN(AZ235,PR_BandM)+PR_r2*MAX(0,AZ235-PR_BandM)-BA235-BD235)),BC235)</f>
        <v>0</v>
      </c>
      <c r="BF235" s="1" t="n">
        <f aca="false">IF(OR(C235&gt;=PR_AgeCrAge,AG235&gt;=PR_AgeCrAge),IF(AZ235&lt;=PR_AgeExM,0,MIN(BE235,PR_AgeMarg*(AZ235-PR_AgeExM))),BE235)</f>
        <v>0</v>
      </c>
      <c r="BG235" s="1" t="n">
        <f aca="false">MAX(0,PR_r1*MIN(AS235,IF(F_Spccc=1,PR_BandSPCCC,PR_Band))+PR_r2*MAX(0,AS235-IF(F_Spccc=1,PR_BandSPCCC,PR_Band))-(PR_Personal+AU235+AW235+IF(F_Spccc=1,PR_SPCCC,0)+IF(AY235=1,PR_Rent,0)))</f>
        <v>0</v>
      </c>
      <c r="BH235" s="1" t="n">
        <f aca="false">IF(C235&gt;=PR_AgeCrAge,IF(AS235&lt;=PR_AgeEx,0,MIN(BG235,PR_AgeMarg*(AS235-PR_AgeEx))),BG235)</f>
        <v>0</v>
      </c>
      <c r="BI235" s="1" t="n">
        <f aca="false">IF(F_Partner=1,MAX(0,PR_r1*MIN(AT235,PR_Band)+PR_r2*MAX(0,AT235-PR_Band)-(PR_Personal+AV235+AX235+IF(AND(AY235=1,AT235&gt;0),PR_Rent,0))),0)</f>
        <v>0</v>
      </c>
      <c r="BJ235" s="1" t="n">
        <f aca="false">IF(AG235&gt;=PR_AgeCrAge,IF(AT235&lt;=PR_AgeEx,0,MIN(BI235,PR_AgeMarg*(AT235-PR_AgeEx))),BI235)</f>
        <v>0</v>
      </c>
      <c r="BK235" s="1" t="n">
        <f aca="false">IF(F_Partner=1,IF(F_Married=1,BF235,BH235+BJ235),BH235)</f>
        <v>0</v>
      </c>
      <c r="BL235" s="1" t="n">
        <f aca="false">AL235+AN235+AO235</f>
        <v>0</v>
      </c>
      <c r="BM235" s="1" t="n">
        <f aca="false">IF(BL235&lt;=PR_USCex,0,IF(IF(AND(C235&gt;=PR_USCredAge,BL235&lt;=PR_USCredMax),1,0)=1,PR_USCr1*MIN(BL235,PR_USCredB1)+PR_USCredR2*MAX(0,BL235-PR_USCredB1),PR_USCr1*MIN(BL235,PR_USCb1)+PR_USCr2*MAX(0,MIN(BL235,PR_USCb2)-PR_USCb1)+PR_USCr3*MAX(0,MIN(BL235,PR_USCb3)-PR_USCb2)+PR_USCr4*MAX(0,BL235-PR_USCb3)))+IF(F_SelfEmp=1,PR_USCse*MAX(0,AL235-PR_USCseOver),0)</f>
        <v>0</v>
      </c>
      <c r="BN235" s="1" t="n">
        <f aca="false">AQ235</f>
        <v>0</v>
      </c>
      <c r="BO235" s="1" t="n">
        <f aca="false">IF(F_Partner=1,IF(BN235&lt;=PR_USCex,0,IF(IF(AND(AG235&gt;=PR_USCredAge,BN235&lt;=PR_USCredMax),1,0)=1,PR_USCr1*MIN(BN235,PR_USCredB1)+PR_USCredR2*MAX(0,BN235-PR_USCredB1),PR_USCr1*MIN(BN235,PR_USCb1)+PR_USCr2*MAX(0,MIN(BN235,PR_USCb2)-PR_USCb1)+PR_USCr3*MAX(0,MIN(BN235,PR_USCb3)-PR_USCb2)+PR_USCr4*MAX(0,BN235-PR_USCb3))),0)</f>
        <v>0</v>
      </c>
      <c r="BP235" s="1" t="n">
        <f aca="false">IF(C235&lt;PR_PRSIend,IF(F_SelfEmp=1,IF(AL235&gt;PR_PRSIsMinInc,MAX(PR_PRSIsMin,AL235*J235),0),IF(AL235/52&lt;=PR_PRSIfree,0,MAX(0,(AL235/52*J235-IF(AL235/52&lt;=PR_PRSIcreditTo,MAX(0,PR_PRSIcreditMax-(AL235/52-(PR_PRSIfree+0.01))/PR_PRSItaper),0))*52)))+J235*AN235+IF(AO235&gt;PR_PRSIunearned,J235*AO235,0),0)</f>
        <v>0</v>
      </c>
      <c r="BQ235" s="1" t="n">
        <f aca="false">IF(AND(F_Partner=1,AG235&lt;PR_PRSIend),IF(AQ235/52&lt;=PR_PRSIfree,0,MAX(0,(AQ235/52*J235-IF(AQ235/52&lt;=PR_PRSIcreditTo,MAX(0,PR_PRSIcreditMax-(AQ235/52-(PR_PRSIfree+0.01))/PR_PRSItaper),0))*52)),0)</f>
        <v>0</v>
      </c>
      <c r="BR235" s="1" t="n">
        <f aca="false">BK235+BM235+BO235+BP235+BQ235</f>
        <v>0</v>
      </c>
      <c r="BS235" s="1" t="n">
        <f aca="false">BR235*H235</f>
        <v>0</v>
      </c>
      <c r="BT235" s="1" t="n">
        <f aca="false">K235+AK235+AC235+AF235+AH235+AI235</f>
        <v>0</v>
      </c>
    </row>
    <row r="236" customFormat="false" ht="15" hidden="false" customHeight="true" outlineLevel="0" collapsed="false">
      <c r="B236" s="1" t="n">
        <v>2</v>
      </c>
      <c r="C236" s="1" t="n">
        <f aca="false">F_Age+B236</f>
        <v>2</v>
      </c>
      <c r="D236" s="1" t="n">
        <f aca="false">AS_Year0+B236</f>
        <v>2029</v>
      </c>
      <c r="E236" s="111" t="n">
        <f aca="false">(1+AS_Infl)^B236</f>
        <v>1.0404</v>
      </c>
      <c r="F236" s="111" t="n">
        <f aca="false">(1+AS_Wage)^B236</f>
        <v>1.0609</v>
      </c>
      <c r="G236" s="1" t="n">
        <f aca="false">IF(C236&lt;F_R,1,0)</f>
        <v>1</v>
      </c>
      <c r="H236" s="111" t="n">
        <f aca="false">IF(AS_Bands="flat",1,E236)</f>
        <v>1.0404</v>
      </c>
      <c r="I236" s="111" t="n">
        <f aca="false">IF(AS_SpGrow="pay",F236,IF(AS_SpGrow="flat",1,E236))</f>
        <v>1.0404</v>
      </c>
      <c r="J236" s="111" t="n">
        <f aca="false">(12*PR_PRSIr0+(PR_PRSIr1-PR_PRSIr0)*MAX(0,MIN(12,D236*12+12-PR_PRSIt1))+(PR_PRSIr2-PR_PRSIr1)*MAX(0,MIN(12,D236*12+12-PR_PRSIt2))+(PR_PRSIr3-PR_PRSIr2)*MAX(0,MIN(12,D236*12+12-PR_PRSIt3)))/12</f>
        <v>0.047</v>
      </c>
      <c r="K236" s="1" t="n">
        <f aca="false">IF(G236=1,F_Income*F236,0)</f>
        <v>0</v>
      </c>
      <c r="L236" s="1" t="n">
        <f aca="false">IF(G236=1,(F_Own+In_penExtra)*12*F236,0)</f>
        <v>0</v>
      </c>
      <c r="M236" s="1" t="n">
        <f aca="false">IF(G236=1,(F_PenM+In_penExtra)*12*F236,0)</f>
        <v>0</v>
      </c>
      <c r="N236" s="112" t="n">
        <f aca="false">IF(C236&lt;PR_RelA1,PR_RelP1,IF(C236&lt;PR_RelA2,PR_RelP2,IF(C236&lt;PR_RelA3,PR_RelP3,IF(C236&lt;PR_RelA4,PR_RelP4,IF(C236&lt;PR_RelA5,PR_RelP5,PR_RelP6)))))</f>
        <v>0.15</v>
      </c>
      <c r="O236" s="1" t="n">
        <f aca="false">IF(G236=1,MIN(L236/H236,N236*MIN(K236/H236,PR_EarnCap))*H236,0)</f>
        <v>0</v>
      </c>
      <c r="P236" s="1" t="n">
        <f aca="false">IF(AND(G236=1,F_AE=1),MIN(K236/H236,PR_AEcap)*H236,0)</f>
        <v>0</v>
      </c>
      <c r="Q236" s="1" t="n">
        <f aca="false">IF(G236=1,IF(WI_Retire=1,MAX(0,M236+WI_M*12),M236)+(PR_AEee+PR_AEer+PR_AEst)*P236,0)</f>
        <v>0</v>
      </c>
      <c r="R236" s="1" t="n">
        <f aca="false">L236+PR_AEee*P236</f>
        <v>0</v>
      </c>
      <c r="S236" s="1" t="n">
        <f aca="false">AD235</f>
        <v>0</v>
      </c>
      <c r="T236" s="1" t="n">
        <f aca="false">IF(D236&lt;=PR_SFTfrom,PR_SFT2026,IF(D236=PR_SFTfrom+1,PR_SFT2027,IF(D236=PR_SFTfrom+2,PR_SFT2028,IF(D236&lt;=PR_SFTto,PR_SFT2029,PR_SFT2029*(1+AS_Infl)^(D236-PR_SFTto)))))</f>
        <v>2800000</v>
      </c>
      <c r="U236" s="1" t="n">
        <f aca="false">IF(AND(G236=0,C236=F_V),1,0)</f>
        <v>0</v>
      </c>
      <c r="V236" s="1" t="n">
        <f aca="false">IF(U236=1,PR_SFTrate*MAX(0,S236-T236),0)</f>
        <v>0</v>
      </c>
      <c r="W236" s="1" t="n">
        <f aca="false">S236-V236</f>
        <v>0</v>
      </c>
      <c r="X236" s="1" t="n">
        <f aca="false">IF(AND(U236=1,AS_LumpPct&gt;0),W236*MIN(AS_LumpPct,PR_LSmax),0)</f>
        <v>0</v>
      </c>
      <c r="Y236" s="1" t="n">
        <f aca="false">X236-(PR_LSrate*MAX(0,MIN(X236,PR_LScap)-PR_LSfree)+PR_r2*MAX(0,X236-PR_LScap))</f>
        <v>0</v>
      </c>
      <c r="Z236" s="1" t="n">
        <f aca="false">W236-X236</f>
        <v>0</v>
      </c>
      <c r="AA236" s="112" t="n">
        <f aca="false">IF(C236&gt;=PR_ARFage1,IF(Z236&gt;PR_ARFbig,PR_ARFbigRate,IF(C236&gt;=PR_ARFage2,PR_ARF71,PR_ARF61)),0)</f>
        <v>0</v>
      </c>
      <c r="AB236" s="1" t="n">
        <f aca="false">IF(AS_DrawRule="min",Z236*AA236,IF(AS_DrawRule="fixed",MAX(AS_DrawFixed*E236,Z236*AA236),Z236*MAX(1/MAX(1,AS_End-C236+1),AA236)))</f>
        <v>0</v>
      </c>
      <c r="AC236" s="1" t="n">
        <f aca="false">IF(AND(G236=0,C236&gt;=F_V),MIN(Z236,AB236),0)</f>
        <v>0</v>
      </c>
      <c r="AD236" s="1" t="n">
        <f aca="false">IF(G236=1,S236*(1+F_PenG)+Q236,IF(C236&lt;F_V,S236*(1+F_PenG),(Z236-AC236)*(1+AS_PenRet)))</f>
        <v>0</v>
      </c>
      <c r="AE236" s="1" t="n">
        <f aca="false">IF(C236&gt;=PR_SPage,AS_SP*F_SpF*I236+IF(AND(C236&gt;=PR_Over80Age,F_SpF&gt;0),PR_Over80*PR_Weeks*I236,0),0)</f>
        <v>0</v>
      </c>
      <c r="AF236" s="1" t="n">
        <f aca="false">(F_OtherM+F_RentM)*12*E236</f>
        <v>0</v>
      </c>
      <c r="AG236" s="1" t="n">
        <f aca="false">F_PAge+B236</f>
        <v>2</v>
      </c>
      <c r="AH236" s="1" t="n">
        <f aca="false">IF(AND(F_Partner=1,F_PAge&gt;0,AG236&lt;IF(F_PRet&gt;0,F_PRet,PR_SPage)),F_PIncome*F236,0)</f>
        <v>0</v>
      </c>
      <c r="AI236" s="1" t="n">
        <f aca="false">IF(AND(F_Partner=1,AG236&gt;=PR_SPage,F_PSpQA=0),AS_SP*F_PSpF*I236,0)</f>
        <v>0</v>
      </c>
      <c r="AJ236" s="1" t="n">
        <f aca="false">IF(AND(F_Partner=1,F_PSpQA=1,C236&gt;=PR_SPage,AH236=0),IF(AG236&gt;=PR_SPage,PR_QA66,PR_QAunder)*PR_Weeks*I236,0)</f>
        <v>0</v>
      </c>
      <c r="AK236" s="1" t="n">
        <f aca="false">AE236+AJ236</f>
        <v>0</v>
      </c>
      <c r="AL236" s="1" t="n">
        <f aca="false">K236/H236</f>
        <v>0</v>
      </c>
      <c r="AM236" s="1" t="n">
        <f aca="false">AK236/H236</f>
        <v>0</v>
      </c>
      <c r="AN236" s="1" t="n">
        <f aca="false">AC236/H236</f>
        <v>0</v>
      </c>
      <c r="AO236" s="1" t="n">
        <f aca="false">AF236/H236</f>
        <v>0</v>
      </c>
      <c r="AP236" s="1" t="n">
        <f aca="false">O236/H236</f>
        <v>0</v>
      </c>
      <c r="AQ236" s="1" t="n">
        <f aca="false">AH236/H236</f>
        <v>0</v>
      </c>
      <c r="AR236" s="1" t="n">
        <f aca="false">AI236/H236</f>
        <v>0</v>
      </c>
      <c r="AS236" s="1" t="n">
        <f aca="false">MAX(0,AL236+AN236+AO236+AM236-AP236)</f>
        <v>0</v>
      </c>
      <c r="AT236" s="1" t="n">
        <f aca="false">MAX(0,AQ236+AR236)</f>
        <v>0</v>
      </c>
      <c r="AU236" s="1" t="n">
        <f aca="false">MIN(PR_PAYE,PR_PAYEcap*(AL236+AN236+AM236))</f>
        <v>0</v>
      </c>
      <c r="AV236" s="1" t="n">
        <f aca="false">MIN(PR_PAYE,PR_PAYEcap*(AQ236+AR236))</f>
        <v>0</v>
      </c>
      <c r="AW236" s="1" t="n">
        <f aca="false">IF(C236&gt;=PR_AgeCrAge,PR_AgeCr,0)</f>
        <v>0</v>
      </c>
      <c r="AX236" s="1" t="n">
        <f aca="false">IF(AG236&gt;=PR_AgeCrAge,PR_AgeCr,0)</f>
        <v>0</v>
      </c>
      <c r="AY236" s="1" t="n">
        <f aca="false">IF(AND(F_RentCred=1,D236&lt;=PR_RentLast),1,0)</f>
        <v>0</v>
      </c>
      <c r="AZ236" s="1" t="n">
        <f aca="false">AS236+AT236</f>
        <v>0</v>
      </c>
      <c r="BA236" s="1" t="n">
        <f aca="false">PR_PersonalM+AU236+AV236+AW236+AX236+IF(AY236=1,PR_RentJoint,0)</f>
        <v>4000</v>
      </c>
      <c r="BB236" s="1" t="n">
        <f aca="false">PR_BandM+MIN(MIN(AS236,AT236),PR_Uplift)</f>
        <v>53000</v>
      </c>
      <c r="BC236" s="1" t="n">
        <f aca="false">MAX(0,PR_r1*MIN(AZ236,BB236)+PR_r2*MAX(0,AZ236-BB236)-BA236)</f>
        <v>0</v>
      </c>
      <c r="BD236" s="1" t="n">
        <f aca="false">MAX(0,PR_HomeCarer-MAX(0,MIN(AS236,AT236)-PR_HCLimit)/2)</f>
        <v>1950</v>
      </c>
      <c r="BE236" s="1" t="n">
        <f aca="false">IF(F_Carer=1,MIN(BC236,MAX(0,PR_r1*MIN(AZ236,PR_BandM)+PR_r2*MAX(0,AZ236-PR_BandM)-BA236-BD236)),BC236)</f>
        <v>0</v>
      </c>
      <c r="BF236" s="1" t="n">
        <f aca="false">IF(OR(C236&gt;=PR_AgeCrAge,AG236&gt;=PR_AgeCrAge),IF(AZ236&lt;=PR_AgeExM,0,MIN(BE236,PR_AgeMarg*(AZ236-PR_AgeExM))),BE236)</f>
        <v>0</v>
      </c>
      <c r="BG236" s="1" t="n">
        <f aca="false">MAX(0,PR_r1*MIN(AS236,IF(F_Spccc=1,PR_BandSPCCC,PR_Band))+PR_r2*MAX(0,AS236-IF(F_Spccc=1,PR_BandSPCCC,PR_Band))-(PR_Personal+AU236+AW236+IF(F_Spccc=1,PR_SPCCC,0)+IF(AY236=1,PR_Rent,0)))</f>
        <v>0</v>
      </c>
      <c r="BH236" s="1" t="n">
        <f aca="false">IF(C236&gt;=PR_AgeCrAge,IF(AS236&lt;=PR_AgeEx,0,MIN(BG236,PR_AgeMarg*(AS236-PR_AgeEx))),BG236)</f>
        <v>0</v>
      </c>
      <c r="BI236" s="1" t="n">
        <f aca="false">IF(F_Partner=1,MAX(0,PR_r1*MIN(AT236,PR_Band)+PR_r2*MAX(0,AT236-PR_Band)-(PR_Personal+AV236+AX236+IF(AND(AY236=1,AT236&gt;0),PR_Rent,0))),0)</f>
        <v>0</v>
      </c>
      <c r="BJ236" s="1" t="n">
        <f aca="false">IF(AG236&gt;=PR_AgeCrAge,IF(AT236&lt;=PR_AgeEx,0,MIN(BI236,PR_AgeMarg*(AT236-PR_AgeEx))),BI236)</f>
        <v>0</v>
      </c>
      <c r="BK236" s="1" t="n">
        <f aca="false">IF(F_Partner=1,IF(F_Married=1,BF236,BH236+BJ236),BH236)</f>
        <v>0</v>
      </c>
      <c r="BL236" s="1" t="n">
        <f aca="false">AL236+AN236+AO236</f>
        <v>0</v>
      </c>
      <c r="BM236" s="1" t="n">
        <f aca="false">IF(BL236&lt;=PR_USCex,0,IF(IF(AND(C236&gt;=PR_USCredAge,BL236&lt;=PR_USCredMax),1,0)=1,PR_USCr1*MIN(BL236,PR_USCredB1)+PR_USCredR2*MAX(0,BL236-PR_USCredB1),PR_USCr1*MIN(BL236,PR_USCb1)+PR_USCr2*MAX(0,MIN(BL236,PR_USCb2)-PR_USCb1)+PR_USCr3*MAX(0,MIN(BL236,PR_USCb3)-PR_USCb2)+PR_USCr4*MAX(0,BL236-PR_USCb3)))+IF(F_SelfEmp=1,PR_USCse*MAX(0,AL236-PR_USCseOver),0)</f>
        <v>0</v>
      </c>
      <c r="BN236" s="1" t="n">
        <f aca="false">AQ236</f>
        <v>0</v>
      </c>
      <c r="BO236" s="1" t="n">
        <f aca="false">IF(F_Partner=1,IF(BN236&lt;=PR_USCex,0,IF(IF(AND(AG236&gt;=PR_USCredAge,BN236&lt;=PR_USCredMax),1,0)=1,PR_USCr1*MIN(BN236,PR_USCredB1)+PR_USCredR2*MAX(0,BN236-PR_USCredB1),PR_USCr1*MIN(BN236,PR_USCb1)+PR_USCr2*MAX(0,MIN(BN236,PR_USCb2)-PR_USCb1)+PR_USCr3*MAX(0,MIN(BN236,PR_USCb3)-PR_USCb2)+PR_USCr4*MAX(0,BN236-PR_USCb3))),0)</f>
        <v>0</v>
      </c>
      <c r="BP236" s="1" t="n">
        <f aca="false">IF(C236&lt;PR_PRSIend,IF(F_SelfEmp=1,IF(AL236&gt;PR_PRSIsMinInc,MAX(PR_PRSIsMin,AL236*J236),0),IF(AL236/52&lt;=PR_PRSIfree,0,MAX(0,(AL236/52*J236-IF(AL236/52&lt;=PR_PRSIcreditTo,MAX(0,PR_PRSIcreditMax-(AL236/52-(PR_PRSIfree+0.01))/PR_PRSItaper),0))*52)))+J236*AN236+IF(AO236&gt;PR_PRSIunearned,J236*AO236,0),0)</f>
        <v>0</v>
      </c>
      <c r="BQ236" s="1" t="n">
        <f aca="false">IF(AND(F_Partner=1,AG236&lt;PR_PRSIend),IF(AQ236/52&lt;=PR_PRSIfree,0,MAX(0,(AQ236/52*J236-IF(AQ236/52&lt;=PR_PRSIcreditTo,MAX(0,PR_PRSIcreditMax-(AQ236/52-(PR_PRSIfree+0.01))/PR_PRSItaper),0))*52)),0)</f>
        <v>0</v>
      </c>
      <c r="BR236" s="1" t="n">
        <f aca="false">BK236+BM236+BO236+BP236+BQ236</f>
        <v>0</v>
      </c>
      <c r="BS236" s="1" t="n">
        <f aca="false">BR236*H236</f>
        <v>0</v>
      </c>
      <c r="BT236" s="1" t="n">
        <f aca="false">K236+AK236+AC236+AF236+AH236+AI236</f>
        <v>0</v>
      </c>
    </row>
    <row r="237" customFormat="false" ht="15" hidden="false" customHeight="true" outlineLevel="0" collapsed="false">
      <c r="B237" s="1" t="n">
        <v>3</v>
      </c>
      <c r="C237" s="1" t="n">
        <f aca="false">F_Age+B237</f>
        <v>3</v>
      </c>
      <c r="D237" s="1" t="n">
        <f aca="false">AS_Year0+B237</f>
        <v>2030</v>
      </c>
      <c r="E237" s="111" t="n">
        <f aca="false">(1+AS_Infl)^B237</f>
        <v>1.061208</v>
      </c>
      <c r="F237" s="111" t="n">
        <f aca="false">(1+AS_Wage)^B237</f>
        <v>1.092727</v>
      </c>
      <c r="G237" s="1" t="n">
        <f aca="false">IF(C237&lt;F_R,1,0)</f>
        <v>1</v>
      </c>
      <c r="H237" s="111" t="n">
        <f aca="false">IF(AS_Bands="flat",1,E237)</f>
        <v>1.061208</v>
      </c>
      <c r="I237" s="111" t="n">
        <f aca="false">IF(AS_SpGrow="pay",F237,IF(AS_SpGrow="flat",1,E237))</f>
        <v>1.061208</v>
      </c>
      <c r="J237" s="111" t="n">
        <f aca="false">(12*PR_PRSIr0+(PR_PRSIr1-PR_PRSIr0)*MAX(0,MIN(12,D237*12+12-PR_PRSIt1))+(PR_PRSIr2-PR_PRSIr1)*MAX(0,MIN(12,D237*12+12-PR_PRSIt2))+(PR_PRSIr3-PR_PRSIr2)*MAX(0,MIN(12,D237*12+12-PR_PRSIt3)))/12</f>
        <v>0.047</v>
      </c>
      <c r="K237" s="1" t="n">
        <f aca="false">IF(G237=1,F_Income*F237,0)</f>
        <v>0</v>
      </c>
      <c r="L237" s="1" t="n">
        <f aca="false">IF(G237=1,(F_Own+In_penExtra)*12*F237,0)</f>
        <v>0</v>
      </c>
      <c r="M237" s="1" t="n">
        <f aca="false">IF(G237=1,(F_PenM+In_penExtra)*12*F237,0)</f>
        <v>0</v>
      </c>
      <c r="N237" s="112" t="n">
        <f aca="false">IF(C237&lt;PR_RelA1,PR_RelP1,IF(C237&lt;PR_RelA2,PR_RelP2,IF(C237&lt;PR_RelA3,PR_RelP3,IF(C237&lt;PR_RelA4,PR_RelP4,IF(C237&lt;PR_RelA5,PR_RelP5,PR_RelP6)))))</f>
        <v>0.15</v>
      </c>
      <c r="O237" s="1" t="n">
        <f aca="false">IF(G237=1,MIN(L237/H237,N237*MIN(K237/H237,PR_EarnCap))*H237,0)</f>
        <v>0</v>
      </c>
      <c r="P237" s="1" t="n">
        <f aca="false">IF(AND(G237=1,F_AE=1),MIN(K237/H237,PR_AEcap)*H237,0)</f>
        <v>0</v>
      </c>
      <c r="Q237" s="1" t="n">
        <f aca="false">IF(G237=1,IF(WI_Retire=1,MAX(0,M237+WI_M*12),M237)+(PR_AEee+PR_AEer+PR_AEst)*P237,0)</f>
        <v>0</v>
      </c>
      <c r="R237" s="1" t="n">
        <f aca="false">L237+PR_AEee*P237</f>
        <v>0</v>
      </c>
      <c r="S237" s="1" t="n">
        <f aca="false">AD236</f>
        <v>0</v>
      </c>
      <c r="T237" s="1" t="n">
        <f aca="false">IF(D237&lt;=PR_SFTfrom,PR_SFT2026,IF(D237=PR_SFTfrom+1,PR_SFT2027,IF(D237=PR_SFTfrom+2,PR_SFT2028,IF(D237&lt;=PR_SFTto,PR_SFT2029,PR_SFT2029*(1+AS_Infl)^(D237-PR_SFTto)))))</f>
        <v>2856000</v>
      </c>
      <c r="U237" s="1" t="n">
        <f aca="false">IF(AND(G237=0,C237=F_V),1,0)</f>
        <v>0</v>
      </c>
      <c r="V237" s="1" t="n">
        <f aca="false">IF(U237=1,PR_SFTrate*MAX(0,S237-T237),0)</f>
        <v>0</v>
      </c>
      <c r="W237" s="1" t="n">
        <f aca="false">S237-V237</f>
        <v>0</v>
      </c>
      <c r="X237" s="1" t="n">
        <f aca="false">IF(AND(U237=1,AS_LumpPct&gt;0),W237*MIN(AS_LumpPct,PR_LSmax),0)</f>
        <v>0</v>
      </c>
      <c r="Y237" s="1" t="n">
        <f aca="false">X237-(PR_LSrate*MAX(0,MIN(X237,PR_LScap)-PR_LSfree)+PR_r2*MAX(0,X237-PR_LScap))</f>
        <v>0</v>
      </c>
      <c r="Z237" s="1" t="n">
        <f aca="false">W237-X237</f>
        <v>0</v>
      </c>
      <c r="AA237" s="112" t="n">
        <f aca="false">IF(C237&gt;=PR_ARFage1,IF(Z237&gt;PR_ARFbig,PR_ARFbigRate,IF(C237&gt;=PR_ARFage2,PR_ARF71,PR_ARF61)),0)</f>
        <v>0</v>
      </c>
      <c r="AB237" s="1" t="n">
        <f aca="false">IF(AS_DrawRule="min",Z237*AA237,IF(AS_DrawRule="fixed",MAX(AS_DrawFixed*E237,Z237*AA237),Z237*MAX(1/MAX(1,AS_End-C237+1),AA237)))</f>
        <v>0</v>
      </c>
      <c r="AC237" s="1" t="n">
        <f aca="false">IF(AND(G237=0,C237&gt;=F_V),MIN(Z237,AB237),0)</f>
        <v>0</v>
      </c>
      <c r="AD237" s="1" t="n">
        <f aca="false">IF(G237=1,S237*(1+F_PenG)+Q237,IF(C237&lt;F_V,S237*(1+F_PenG),(Z237-AC237)*(1+AS_PenRet)))</f>
        <v>0</v>
      </c>
      <c r="AE237" s="1" t="n">
        <f aca="false">IF(C237&gt;=PR_SPage,AS_SP*F_SpF*I237+IF(AND(C237&gt;=PR_Over80Age,F_SpF&gt;0),PR_Over80*PR_Weeks*I237,0),0)</f>
        <v>0</v>
      </c>
      <c r="AF237" s="1" t="n">
        <f aca="false">(F_OtherM+F_RentM)*12*E237</f>
        <v>0</v>
      </c>
      <c r="AG237" s="1" t="n">
        <f aca="false">F_PAge+B237</f>
        <v>3</v>
      </c>
      <c r="AH237" s="1" t="n">
        <f aca="false">IF(AND(F_Partner=1,F_PAge&gt;0,AG237&lt;IF(F_PRet&gt;0,F_PRet,PR_SPage)),F_PIncome*F237,0)</f>
        <v>0</v>
      </c>
      <c r="AI237" s="1" t="n">
        <f aca="false">IF(AND(F_Partner=1,AG237&gt;=PR_SPage,F_PSpQA=0),AS_SP*F_PSpF*I237,0)</f>
        <v>0</v>
      </c>
      <c r="AJ237" s="1" t="n">
        <f aca="false">IF(AND(F_Partner=1,F_PSpQA=1,C237&gt;=PR_SPage,AH237=0),IF(AG237&gt;=PR_SPage,PR_QA66,PR_QAunder)*PR_Weeks*I237,0)</f>
        <v>0</v>
      </c>
      <c r="AK237" s="1" t="n">
        <f aca="false">AE237+AJ237</f>
        <v>0</v>
      </c>
      <c r="AL237" s="1" t="n">
        <f aca="false">K237/H237</f>
        <v>0</v>
      </c>
      <c r="AM237" s="1" t="n">
        <f aca="false">AK237/H237</f>
        <v>0</v>
      </c>
      <c r="AN237" s="1" t="n">
        <f aca="false">AC237/H237</f>
        <v>0</v>
      </c>
      <c r="AO237" s="1" t="n">
        <f aca="false">AF237/H237</f>
        <v>0</v>
      </c>
      <c r="AP237" s="1" t="n">
        <f aca="false">O237/H237</f>
        <v>0</v>
      </c>
      <c r="AQ237" s="1" t="n">
        <f aca="false">AH237/H237</f>
        <v>0</v>
      </c>
      <c r="AR237" s="1" t="n">
        <f aca="false">AI237/H237</f>
        <v>0</v>
      </c>
      <c r="AS237" s="1" t="n">
        <f aca="false">MAX(0,AL237+AN237+AO237+AM237-AP237)</f>
        <v>0</v>
      </c>
      <c r="AT237" s="1" t="n">
        <f aca="false">MAX(0,AQ237+AR237)</f>
        <v>0</v>
      </c>
      <c r="AU237" s="1" t="n">
        <f aca="false">MIN(PR_PAYE,PR_PAYEcap*(AL237+AN237+AM237))</f>
        <v>0</v>
      </c>
      <c r="AV237" s="1" t="n">
        <f aca="false">MIN(PR_PAYE,PR_PAYEcap*(AQ237+AR237))</f>
        <v>0</v>
      </c>
      <c r="AW237" s="1" t="n">
        <f aca="false">IF(C237&gt;=PR_AgeCrAge,PR_AgeCr,0)</f>
        <v>0</v>
      </c>
      <c r="AX237" s="1" t="n">
        <f aca="false">IF(AG237&gt;=PR_AgeCrAge,PR_AgeCr,0)</f>
        <v>0</v>
      </c>
      <c r="AY237" s="1" t="n">
        <f aca="false">IF(AND(F_RentCred=1,D237&lt;=PR_RentLast),1,0)</f>
        <v>0</v>
      </c>
      <c r="AZ237" s="1" t="n">
        <f aca="false">AS237+AT237</f>
        <v>0</v>
      </c>
      <c r="BA237" s="1" t="n">
        <f aca="false">PR_PersonalM+AU237+AV237+AW237+AX237+IF(AY237=1,PR_RentJoint,0)</f>
        <v>4000</v>
      </c>
      <c r="BB237" s="1" t="n">
        <f aca="false">PR_BandM+MIN(MIN(AS237,AT237),PR_Uplift)</f>
        <v>53000</v>
      </c>
      <c r="BC237" s="1" t="n">
        <f aca="false">MAX(0,PR_r1*MIN(AZ237,BB237)+PR_r2*MAX(0,AZ237-BB237)-BA237)</f>
        <v>0</v>
      </c>
      <c r="BD237" s="1" t="n">
        <f aca="false">MAX(0,PR_HomeCarer-MAX(0,MIN(AS237,AT237)-PR_HCLimit)/2)</f>
        <v>1950</v>
      </c>
      <c r="BE237" s="1" t="n">
        <f aca="false">IF(F_Carer=1,MIN(BC237,MAX(0,PR_r1*MIN(AZ237,PR_BandM)+PR_r2*MAX(0,AZ237-PR_BandM)-BA237-BD237)),BC237)</f>
        <v>0</v>
      </c>
      <c r="BF237" s="1" t="n">
        <f aca="false">IF(OR(C237&gt;=PR_AgeCrAge,AG237&gt;=PR_AgeCrAge),IF(AZ237&lt;=PR_AgeExM,0,MIN(BE237,PR_AgeMarg*(AZ237-PR_AgeExM))),BE237)</f>
        <v>0</v>
      </c>
      <c r="BG237" s="1" t="n">
        <f aca="false">MAX(0,PR_r1*MIN(AS237,IF(F_Spccc=1,PR_BandSPCCC,PR_Band))+PR_r2*MAX(0,AS237-IF(F_Spccc=1,PR_BandSPCCC,PR_Band))-(PR_Personal+AU237+AW237+IF(F_Spccc=1,PR_SPCCC,0)+IF(AY237=1,PR_Rent,0)))</f>
        <v>0</v>
      </c>
      <c r="BH237" s="1" t="n">
        <f aca="false">IF(C237&gt;=PR_AgeCrAge,IF(AS237&lt;=PR_AgeEx,0,MIN(BG237,PR_AgeMarg*(AS237-PR_AgeEx))),BG237)</f>
        <v>0</v>
      </c>
      <c r="BI237" s="1" t="n">
        <f aca="false">IF(F_Partner=1,MAX(0,PR_r1*MIN(AT237,PR_Band)+PR_r2*MAX(0,AT237-PR_Band)-(PR_Personal+AV237+AX237+IF(AND(AY237=1,AT237&gt;0),PR_Rent,0))),0)</f>
        <v>0</v>
      </c>
      <c r="BJ237" s="1" t="n">
        <f aca="false">IF(AG237&gt;=PR_AgeCrAge,IF(AT237&lt;=PR_AgeEx,0,MIN(BI237,PR_AgeMarg*(AT237-PR_AgeEx))),BI237)</f>
        <v>0</v>
      </c>
      <c r="BK237" s="1" t="n">
        <f aca="false">IF(F_Partner=1,IF(F_Married=1,BF237,BH237+BJ237),BH237)</f>
        <v>0</v>
      </c>
      <c r="BL237" s="1" t="n">
        <f aca="false">AL237+AN237+AO237</f>
        <v>0</v>
      </c>
      <c r="BM237" s="1" t="n">
        <f aca="false">IF(BL237&lt;=PR_USCex,0,IF(IF(AND(C237&gt;=PR_USCredAge,BL237&lt;=PR_USCredMax),1,0)=1,PR_USCr1*MIN(BL237,PR_USCredB1)+PR_USCredR2*MAX(0,BL237-PR_USCredB1),PR_USCr1*MIN(BL237,PR_USCb1)+PR_USCr2*MAX(0,MIN(BL237,PR_USCb2)-PR_USCb1)+PR_USCr3*MAX(0,MIN(BL237,PR_USCb3)-PR_USCb2)+PR_USCr4*MAX(0,BL237-PR_USCb3)))+IF(F_SelfEmp=1,PR_USCse*MAX(0,AL237-PR_USCseOver),0)</f>
        <v>0</v>
      </c>
      <c r="BN237" s="1" t="n">
        <f aca="false">AQ237</f>
        <v>0</v>
      </c>
      <c r="BO237" s="1" t="n">
        <f aca="false">IF(F_Partner=1,IF(BN237&lt;=PR_USCex,0,IF(IF(AND(AG237&gt;=PR_USCredAge,BN237&lt;=PR_USCredMax),1,0)=1,PR_USCr1*MIN(BN237,PR_USCredB1)+PR_USCredR2*MAX(0,BN237-PR_USCredB1),PR_USCr1*MIN(BN237,PR_USCb1)+PR_USCr2*MAX(0,MIN(BN237,PR_USCb2)-PR_USCb1)+PR_USCr3*MAX(0,MIN(BN237,PR_USCb3)-PR_USCb2)+PR_USCr4*MAX(0,BN237-PR_USCb3))),0)</f>
        <v>0</v>
      </c>
      <c r="BP237" s="1" t="n">
        <f aca="false">IF(C237&lt;PR_PRSIend,IF(F_SelfEmp=1,IF(AL237&gt;PR_PRSIsMinInc,MAX(PR_PRSIsMin,AL237*J237),0),IF(AL237/52&lt;=PR_PRSIfree,0,MAX(0,(AL237/52*J237-IF(AL237/52&lt;=PR_PRSIcreditTo,MAX(0,PR_PRSIcreditMax-(AL237/52-(PR_PRSIfree+0.01))/PR_PRSItaper),0))*52)))+J237*AN237+IF(AO237&gt;PR_PRSIunearned,J237*AO237,0),0)</f>
        <v>0</v>
      </c>
      <c r="BQ237" s="1" t="n">
        <f aca="false">IF(AND(F_Partner=1,AG237&lt;PR_PRSIend),IF(AQ237/52&lt;=PR_PRSIfree,0,MAX(0,(AQ237/52*J237-IF(AQ237/52&lt;=PR_PRSIcreditTo,MAX(0,PR_PRSIcreditMax-(AQ237/52-(PR_PRSIfree+0.01))/PR_PRSItaper),0))*52)),0)</f>
        <v>0</v>
      </c>
      <c r="BR237" s="1" t="n">
        <f aca="false">BK237+BM237+BO237+BP237+BQ237</f>
        <v>0</v>
      </c>
      <c r="BS237" s="1" t="n">
        <f aca="false">BR237*H237</f>
        <v>0</v>
      </c>
      <c r="BT237" s="1" t="n">
        <f aca="false">K237+AK237+AC237+AF237+AH237+AI237</f>
        <v>0</v>
      </c>
    </row>
    <row r="238" customFormat="false" ht="15" hidden="false" customHeight="true" outlineLevel="0" collapsed="false">
      <c r="B238" s="1" t="n">
        <v>4</v>
      </c>
      <c r="C238" s="1" t="n">
        <f aca="false">F_Age+B238</f>
        <v>4</v>
      </c>
      <c r="D238" s="1" t="n">
        <f aca="false">AS_Year0+B238</f>
        <v>2031</v>
      </c>
      <c r="E238" s="111" t="n">
        <f aca="false">(1+AS_Infl)^B238</f>
        <v>1.08243216</v>
      </c>
      <c r="F238" s="111" t="n">
        <f aca="false">(1+AS_Wage)^B238</f>
        <v>1.12550881</v>
      </c>
      <c r="G238" s="1" t="n">
        <f aca="false">IF(C238&lt;F_R,1,0)</f>
        <v>1</v>
      </c>
      <c r="H238" s="111" t="n">
        <f aca="false">IF(AS_Bands="flat",1,E238)</f>
        <v>1.08243216</v>
      </c>
      <c r="I238" s="111" t="n">
        <f aca="false">IF(AS_SpGrow="pay",F238,IF(AS_SpGrow="flat",1,E238))</f>
        <v>1.08243216</v>
      </c>
      <c r="J238" s="111" t="n">
        <f aca="false">(12*PR_PRSIr0+(PR_PRSIr1-PR_PRSIr0)*MAX(0,MIN(12,D238*12+12-PR_PRSIt1))+(PR_PRSIr2-PR_PRSIr1)*MAX(0,MIN(12,D238*12+12-PR_PRSIt2))+(PR_PRSIr3-PR_PRSIr2)*MAX(0,MIN(12,D238*12+12-PR_PRSIt3)))/12</f>
        <v>0.047</v>
      </c>
      <c r="K238" s="1" t="n">
        <f aca="false">IF(G238=1,F_Income*F238,0)</f>
        <v>0</v>
      </c>
      <c r="L238" s="1" t="n">
        <f aca="false">IF(G238=1,(F_Own+In_penExtra)*12*F238,0)</f>
        <v>0</v>
      </c>
      <c r="M238" s="1" t="n">
        <f aca="false">IF(G238=1,(F_PenM+In_penExtra)*12*F238,0)</f>
        <v>0</v>
      </c>
      <c r="N238" s="112" t="n">
        <f aca="false">IF(C238&lt;PR_RelA1,PR_RelP1,IF(C238&lt;PR_RelA2,PR_RelP2,IF(C238&lt;PR_RelA3,PR_RelP3,IF(C238&lt;PR_RelA4,PR_RelP4,IF(C238&lt;PR_RelA5,PR_RelP5,PR_RelP6)))))</f>
        <v>0.15</v>
      </c>
      <c r="O238" s="1" t="n">
        <f aca="false">IF(G238=1,MIN(L238/H238,N238*MIN(K238/H238,PR_EarnCap))*H238,0)</f>
        <v>0</v>
      </c>
      <c r="P238" s="1" t="n">
        <f aca="false">IF(AND(G238=1,F_AE=1),MIN(K238/H238,PR_AEcap)*H238,0)</f>
        <v>0</v>
      </c>
      <c r="Q238" s="1" t="n">
        <f aca="false">IF(G238=1,IF(WI_Retire=1,MAX(0,M238+WI_M*12),M238)+(PR_AEee+PR_AEer+PR_AEst)*P238,0)</f>
        <v>0</v>
      </c>
      <c r="R238" s="1" t="n">
        <f aca="false">L238+PR_AEee*P238</f>
        <v>0</v>
      </c>
      <c r="S238" s="1" t="n">
        <f aca="false">AD237</f>
        <v>0</v>
      </c>
      <c r="T238" s="1" t="n">
        <f aca="false">IF(D238&lt;=PR_SFTfrom,PR_SFT2026,IF(D238=PR_SFTfrom+1,PR_SFT2027,IF(D238=PR_SFTfrom+2,PR_SFT2028,IF(D238&lt;=PR_SFTto,PR_SFT2029,PR_SFT2029*(1+AS_Infl)^(D238-PR_SFTto)))))</f>
        <v>2913120</v>
      </c>
      <c r="U238" s="1" t="n">
        <f aca="false">IF(AND(G238=0,C238=F_V),1,0)</f>
        <v>0</v>
      </c>
      <c r="V238" s="1" t="n">
        <f aca="false">IF(U238=1,PR_SFTrate*MAX(0,S238-T238),0)</f>
        <v>0</v>
      </c>
      <c r="W238" s="1" t="n">
        <f aca="false">S238-V238</f>
        <v>0</v>
      </c>
      <c r="X238" s="1" t="n">
        <f aca="false">IF(AND(U238=1,AS_LumpPct&gt;0),W238*MIN(AS_LumpPct,PR_LSmax),0)</f>
        <v>0</v>
      </c>
      <c r="Y238" s="1" t="n">
        <f aca="false">X238-(PR_LSrate*MAX(0,MIN(X238,PR_LScap)-PR_LSfree)+PR_r2*MAX(0,X238-PR_LScap))</f>
        <v>0</v>
      </c>
      <c r="Z238" s="1" t="n">
        <f aca="false">W238-X238</f>
        <v>0</v>
      </c>
      <c r="AA238" s="112" t="n">
        <f aca="false">IF(C238&gt;=PR_ARFage1,IF(Z238&gt;PR_ARFbig,PR_ARFbigRate,IF(C238&gt;=PR_ARFage2,PR_ARF71,PR_ARF61)),0)</f>
        <v>0</v>
      </c>
      <c r="AB238" s="1" t="n">
        <f aca="false">IF(AS_DrawRule="min",Z238*AA238,IF(AS_DrawRule="fixed",MAX(AS_DrawFixed*E238,Z238*AA238),Z238*MAX(1/MAX(1,AS_End-C238+1),AA238)))</f>
        <v>0</v>
      </c>
      <c r="AC238" s="1" t="n">
        <f aca="false">IF(AND(G238=0,C238&gt;=F_V),MIN(Z238,AB238),0)</f>
        <v>0</v>
      </c>
      <c r="AD238" s="1" t="n">
        <f aca="false">IF(G238=1,S238*(1+F_PenG)+Q238,IF(C238&lt;F_V,S238*(1+F_PenG),(Z238-AC238)*(1+AS_PenRet)))</f>
        <v>0</v>
      </c>
      <c r="AE238" s="1" t="n">
        <f aca="false">IF(C238&gt;=PR_SPage,AS_SP*F_SpF*I238+IF(AND(C238&gt;=PR_Over80Age,F_SpF&gt;0),PR_Over80*PR_Weeks*I238,0),0)</f>
        <v>0</v>
      </c>
      <c r="AF238" s="1" t="n">
        <f aca="false">(F_OtherM+F_RentM)*12*E238</f>
        <v>0</v>
      </c>
      <c r="AG238" s="1" t="n">
        <f aca="false">F_PAge+B238</f>
        <v>4</v>
      </c>
      <c r="AH238" s="1" t="n">
        <f aca="false">IF(AND(F_Partner=1,F_PAge&gt;0,AG238&lt;IF(F_PRet&gt;0,F_PRet,PR_SPage)),F_PIncome*F238,0)</f>
        <v>0</v>
      </c>
      <c r="AI238" s="1" t="n">
        <f aca="false">IF(AND(F_Partner=1,AG238&gt;=PR_SPage,F_PSpQA=0),AS_SP*F_PSpF*I238,0)</f>
        <v>0</v>
      </c>
      <c r="AJ238" s="1" t="n">
        <f aca="false">IF(AND(F_Partner=1,F_PSpQA=1,C238&gt;=PR_SPage,AH238=0),IF(AG238&gt;=PR_SPage,PR_QA66,PR_QAunder)*PR_Weeks*I238,0)</f>
        <v>0</v>
      </c>
      <c r="AK238" s="1" t="n">
        <f aca="false">AE238+AJ238</f>
        <v>0</v>
      </c>
      <c r="AL238" s="1" t="n">
        <f aca="false">K238/H238</f>
        <v>0</v>
      </c>
      <c r="AM238" s="1" t="n">
        <f aca="false">AK238/H238</f>
        <v>0</v>
      </c>
      <c r="AN238" s="1" t="n">
        <f aca="false">AC238/H238</f>
        <v>0</v>
      </c>
      <c r="AO238" s="1" t="n">
        <f aca="false">AF238/H238</f>
        <v>0</v>
      </c>
      <c r="AP238" s="1" t="n">
        <f aca="false">O238/H238</f>
        <v>0</v>
      </c>
      <c r="AQ238" s="1" t="n">
        <f aca="false">AH238/H238</f>
        <v>0</v>
      </c>
      <c r="AR238" s="1" t="n">
        <f aca="false">AI238/H238</f>
        <v>0</v>
      </c>
      <c r="AS238" s="1" t="n">
        <f aca="false">MAX(0,AL238+AN238+AO238+AM238-AP238)</f>
        <v>0</v>
      </c>
      <c r="AT238" s="1" t="n">
        <f aca="false">MAX(0,AQ238+AR238)</f>
        <v>0</v>
      </c>
      <c r="AU238" s="1" t="n">
        <f aca="false">MIN(PR_PAYE,PR_PAYEcap*(AL238+AN238+AM238))</f>
        <v>0</v>
      </c>
      <c r="AV238" s="1" t="n">
        <f aca="false">MIN(PR_PAYE,PR_PAYEcap*(AQ238+AR238))</f>
        <v>0</v>
      </c>
      <c r="AW238" s="1" t="n">
        <f aca="false">IF(C238&gt;=PR_AgeCrAge,PR_AgeCr,0)</f>
        <v>0</v>
      </c>
      <c r="AX238" s="1" t="n">
        <f aca="false">IF(AG238&gt;=PR_AgeCrAge,PR_AgeCr,0)</f>
        <v>0</v>
      </c>
      <c r="AY238" s="1" t="n">
        <f aca="false">IF(AND(F_RentCred=1,D238&lt;=PR_RentLast),1,0)</f>
        <v>0</v>
      </c>
      <c r="AZ238" s="1" t="n">
        <f aca="false">AS238+AT238</f>
        <v>0</v>
      </c>
      <c r="BA238" s="1" t="n">
        <f aca="false">PR_PersonalM+AU238+AV238+AW238+AX238+IF(AY238=1,PR_RentJoint,0)</f>
        <v>4000</v>
      </c>
      <c r="BB238" s="1" t="n">
        <f aca="false">PR_BandM+MIN(MIN(AS238,AT238),PR_Uplift)</f>
        <v>53000</v>
      </c>
      <c r="BC238" s="1" t="n">
        <f aca="false">MAX(0,PR_r1*MIN(AZ238,BB238)+PR_r2*MAX(0,AZ238-BB238)-BA238)</f>
        <v>0</v>
      </c>
      <c r="BD238" s="1" t="n">
        <f aca="false">MAX(0,PR_HomeCarer-MAX(0,MIN(AS238,AT238)-PR_HCLimit)/2)</f>
        <v>1950</v>
      </c>
      <c r="BE238" s="1" t="n">
        <f aca="false">IF(F_Carer=1,MIN(BC238,MAX(0,PR_r1*MIN(AZ238,PR_BandM)+PR_r2*MAX(0,AZ238-PR_BandM)-BA238-BD238)),BC238)</f>
        <v>0</v>
      </c>
      <c r="BF238" s="1" t="n">
        <f aca="false">IF(OR(C238&gt;=PR_AgeCrAge,AG238&gt;=PR_AgeCrAge),IF(AZ238&lt;=PR_AgeExM,0,MIN(BE238,PR_AgeMarg*(AZ238-PR_AgeExM))),BE238)</f>
        <v>0</v>
      </c>
      <c r="BG238" s="1" t="n">
        <f aca="false">MAX(0,PR_r1*MIN(AS238,IF(F_Spccc=1,PR_BandSPCCC,PR_Band))+PR_r2*MAX(0,AS238-IF(F_Spccc=1,PR_BandSPCCC,PR_Band))-(PR_Personal+AU238+AW238+IF(F_Spccc=1,PR_SPCCC,0)+IF(AY238=1,PR_Rent,0)))</f>
        <v>0</v>
      </c>
      <c r="BH238" s="1" t="n">
        <f aca="false">IF(C238&gt;=PR_AgeCrAge,IF(AS238&lt;=PR_AgeEx,0,MIN(BG238,PR_AgeMarg*(AS238-PR_AgeEx))),BG238)</f>
        <v>0</v>
      </c>
      <c r="BI238" s="1" t="n">
        <f aca="false">IF(F_Partner=1,MAX(0,PR_r1*MIN(AT238,PR_Band)+PR_r2*MAX(0,AT238-PR_Band)-(PR_Personal+AV238+AX238+IF(AND(AY238=1,AT238&gt;0),PR_Rent,0))),0)</f>
        <v>0</v>
      </c>
      <c r="BJ238" s="1" t="n">
        <f aca="false">IF(AG238&gt;=PR_AgeCrAge,IF(AT238&lt;=PR_AgeEx,0,MIN(BI238,PR_AgeMarg*(AT238-PR_AgeEx))),BI238)</f>
        <v>0</v>
      </c>
      <c r="BK238" s="1" t="n">
        <f aca="false">IF(F_Partner=1,IF(F_Married=1,BF238,BH238+BJ238),BH238)</f>
        <v>0</v>
      </c>
      <c r="BL238" s="1" t="n">
        <f aca="false">AL238+AN238+AO238</f>
        <v>0</v>
      </c>
      <c r="BM238" s="1" t="n">
        <f aca="false">IF(BL238&lt;=PR_USCex,0,IF(IF(AND(C238&gt;=PR_USCredAge,BL238&lt;=PR_USCredMax),1,0)=1,PR_USCr1*MIN(BL238,PR_USCredB1)+PR_USCredR2*MAX(0,BL238-PR_USCredB1),PR_USCr1*MIN(BL238,PR_USCb1)+PR_USCr2*MAX(0,MIN(BL238,PR_USCb2)-PR_USCb1)+PR_USCr3*MAX(0,MIN(BL238,PR_USCb3)-PR_USCb2)+PR_USCr4*MAX(0,BL238-PR_USCb3)))+IF(F_SelfEmp=1,PR_USCse*MAX(0,AL238-PR_USCseOver),0)</f>
        <v>0</v>
      </c>
      <c r="BN238" s="1" t="n">
        <f aca="false">AQ238</f>
        <v>0</v>
      </c>
      <c r="BO238" s="1" t="n">
        <f aca="false">IF(F_Partner=1,IF(BN238&lt;=PR_USCex,0,IF(IF(AND(AG238&gt;=PR_USCredAge,BN238&lt;=PR_USCredMax),1,0)=1,PR_USCr1*MIN(BN238,PR_USCredB1)+PR_USCredR2*MAX(0,BN238-PR_USCredB1),PR_USCr1*MIN(BN238,PR_USCb1)+PR_USCr2*MAX(0,MIN(BN238,PR_USCb2)-PR_USCb1)+PR_USCr3*MAX(0,MIN(BN238,PR_USCb3)-PR_USCb2)+PR_USCr4*MAX(0,BN238-PR_USCb3))),0)</f>
        <v>0</v>
      </c>
      <c r="BP238" s="1" t="n">
        <f aca="false">IF(C238&lt;PR_PRSIend,IF(F_SelfEmp=1,IF(AL238&gt;PR_PRSIsMinInc,MAX(PR_PRSIsMin,AL238*J238),0),IF(AL238/52&lt;=PR_PRSIfree,0,MAX(0,(AL238/52*J238-IF(AL238/52&lt;=PR_PRSIcreditTo,MAX(0,PR_PRSIcreditMax-(AL238/52-(PR_PRSIfree+0.01))/PR_PRSItaper),0))*52)))+J238*AN238+IF(AO238&gt;PR_PRSIunearned,J238*AO238,0),0)</f>
        <v>0</v>
      </c>
      <c r="BQ238" s="1" t="n">
        <f aca="false">IF(AND(F_Partner=1,AG238&lt;PR_PRSIend),IF(AQ238/52&lt;=PR_PRSIfree,0,MAX(0,(AQ238/52*J238-IF(AQ238/52&lt;=PR_PRSIcreditTo,MAX(0,PR_PRSIcreditMax-(AQ238/52-(PR_PRSIfree+0.01))/PR_PRSItaper),0))*52)),0)</f>
        <v>0</v>
      </c>
      <c r="BR238" s="1" t="n">
        <f aca="false">BK238+BM238+BO238+BP238+BQ238</f>
        <v>0</v>
      </c>
      <c r="BS238" s="1" t="n">
        <f aca="false">BR238*H238</f>
        <v>0</v>
      </c>
      <c r="BT238" s="1" t="n">
        <f aca="false">K238+AK238+AC238+AF238+AH238+AI238</f>
        <v>0</v>
      </c>
    </row>
    <row r="239" customFormat="false" ht="15" hidden="false" customHeight="true" outlineLevel="0" collapsed="false">
      <c r="B239" s="1" t="n">
        <v>5</v>
      </c>
      <c r="C239" s="1" t="n">
        <f aca="false">F_Age+B239</f>
        <v>5</v>
      </c>
      <c r="D239" s="1" t="n">
        <f aca="false">AS_Year0+B239</f>
        <v>2032</v>
      </c>
      <c r="E239" s="111" t="n">
        <f aca="false">(1+AS_Infl)^B239</f>
        <v>1.1040808032</v>
      </c>
      <c r="F239" s="111" t="n">
        <f aca="false">(1+AS_Wage)^B239</f>
        <v>1.1592740743</v>
      </c>
      <c r="G239" s="1" t="n">
        <f aca="false">IF(C239&lt;F_R,1,0)</f>
        <v>1</v>
      </c>
      <c r="H239" s="111" t="n">
        <f aca="false">IF(AS_Bands="flat",1,E239)</f>
        <v>1.1040808032</v>
      </c>
      <c r="I239" s="111" t="n">
        <f aca="false">IF(AS_SpGrow="pay",F239,IF(AS_SpGrow="flat",1,E239))</f>
        <v>1.1040808032</v>
      </c>
      <c r="J239" s="111" t="n">
        <f aca="false">(12*PR_PRSIr0+(PR_PRSIr1-PR_PRSIr0)*MAX(0,MIN(12,D239*12+12-PR_PRSIt1))+(PR_PRSIr2-PR_PRSIr1)*MAX(0,MIN(12,D239*12+12-PR_PRSIt2))+(PR_PRSIr3-PR_PRSIr2)*MAX(0,MIN(12,D239*12+12-PR_PRSIt3)))/12</f>
        <v>0.047</v>
      </c>
      <c r="K239" s="1" t="n">
        <f aca="false">IF(G239=1,F_Income*F239,0)</f>
        <v>0</v>
      </c>
      <c r="L239" s="1" t="n">
        <f aca="false">IF(G239=1,(F_Own+In_penExtra)*12*F239,0)</f>
        <v>0</v>
      </c>
      <c r="M239" s="1" t="n">
        <f aca="false">IF(G239=1,(F_PenM+In_penExtra)*12*F239,0)</f>
        <v>0</v>
      </c>
      <c r="N239" s="112" t="n">
        <f aca="false">IF(C239&lt;PR_RelA1,PR_RelP1,IF(C239&lt;PR_RelA2,PR_RelP2,IF(C239&lt;PR_RelA3,PR_RelP3,IF(C239&lt;PR_RelA4,PR_RelP4,IF(C239&lt;PR_RelA5,PR_RelP5,PR_RelP6)))))</f>
        <v>0.15</v>
      </c>
      <c r="O239" s="1" t="n">
        <f aca="false">IF(G239=1,MIN(L239/H239,N239*MIN(K239/H239,PR_EarnCap))*H239,0)</f>
        <v>0</v>
      </c>
      <c r="P239" s="1" t="n">
        <f aca="false">IF(AND(G239=1,F_AE=1),MIN(K239/H239,PR_AEcap)*H239,0)</f>
        <v>0</v>
      </c>
      <c r="Q239" s="1" t="n">
        <f aca="false">IF(G239=1,IF(WI_Retire=1,MAX(0,M239+WI_M*12),M239)+(PR_AEee+PR_AEer+PR_AEst)*P239,0)</f>
        <v>0</v>
      </c>
      <c r="R239" s="1" t="n">
        <f aca="false">L239+PR_AEee*P239</f>
        <v>0</v>
      </c>
      <c r="S239" s="1" t="n">
        <f aca="false">AD238</f>
        <v>0</v>
      </c>
      <c r="T239" s="1" t="n">
        <f aca="false">IF(D239&lt;=PR_SFTfrom,PR_SFT2026,IF(D239=PR_SFTfrom+1,PR_SFT2027,IF(D239=PR_SFTfrom+2,PR_SFT2028,IF(D239&lt;=PR_SFTto,PR_SFT2029,PR_SFT2029*(1+AS_Infl)^(D239-PR_SFTto)))))</f>
        <v>2971382.4</v>
      </c>
      <c r="U239" s="1" t="n">
        <f aca="false">IF(AND(G239=0,C239=F_V),1,0)</f>
        <v>0</v>
      </c>
      <c r="V239" s="1" t="n">
        <f aca="false">IF(U239=1,PR_SFTrate*MAX(0,S239-T239),0)</f>
        <v>0</v>
      </c>
      <c r="W239" s="1" t="n">
        <f aca="false">S239-V239</f>
        <v>0</v>
      </c>
      <c r="X239" s="1" t="n">
        <f aca="false">IF(AND(U239=1,AS_LumpPct&gt;0),W239*MIN(AS_LumpPct,PR_LSmax),0)</f>
        <v>0</v>
      </c>
      <c r="Y239" s="1" t="n">
        <f aca="false">X239-(PR_LSrate*MAX(0,MIN(X239,PR_LScap)-PR_LSfree)+PR_r2*MAX(0,X239-PR_LScap))</f>
        <v>0</v>
      </c>
      <c r="Z239" s="1" t="n">
        <f aca="false">W239-X239</f>
        <v>0</v>
      </c>
      <c r="AA239" s="112" t="n">
        <f aca="false">IF(C239&gt;=PR_ARFage1,IF(Z239&gt;PR_ARFbig,PR_ARFbigRate,IF(C239&gt;=PR_ARFage2,PR_ARF71,PR_ARF61)),0)</f>
        <v>0</v>
      </c>
      <c r="AB239" s="1" t="n">
        <f aca="false">IF(AS_DrawRule="min",Z239*AA239,IF(AS_DrawRule="fixed",MAX(AS_DrawFixed*E239,Z239*AA239),Z239*MAX(1/MAX(1,AS_End-C239+1),AA239)))</f>
        <v>0</v>
      </c>
      <c r="AC239" s="1" t="n">
        <f aca="false">IF(AND(G239=0,C239&gt;=F_V),MIN(Z239,AB239),0)</f>
        <v>0</v>
      </c>
      <c r="AD239" s="1" t="n">
        <f aca="false">IF(G239=1,S239*(1+F_PenG)+Q239,IF(C239&lt;F_V,S239*(1+F_PenG),(Z239-AC239)*(1+AS_PenRet)))</f>
        <v>0</v>
      </c>
      <c r="AE239" s="1" t="n">
        <f aca="false">IF(C239&gt;=PR_SPage,AS_SP*F_SpF*I239+IF(AND(C239&gt;=PR_Over80Age,F_SpF&gt;0),PR_Over80*PR_Weeks*I239,0),0)</f>
        <v>0</v>
      </c>
      <c r="AF239" s="1" t="n">
        <f aca="false">(F_OtherM+F_RentM)*12*E239</f>
        <v>0</v>
      </c>
      <c r="AG239" s="1" t="n">
        <f aca="false">F_PAge+B239</f>
        <v>5</v>
      </c>
      <c r="AH239" s="1" t="n">
        <f aca="false">IF(AND(F_Partner=1,F_PAge&gt;0,AG239&lt;IF(F_PRet&gt;0,F_PRet,PR_SPage)),F_PIncome*F239,0)</f>
        <v>0</v>
      </c>
      <c r="AI239" s="1" t="n">
        <f aca="false">IF(AND(F_Partner=1,AG239&gt;=PR_SPage,F_PSpQA=0),AS_SP*F_PSpF*I239,0)</f>
        <v>0</v>
      </c>
      <c r="AJ239" s="1" t="n">
        <f aca="false">IF(AND(F_Partner=1,F_PSpQA=1,C239&gt;=PR_SPage,AH239=0),IF(AG239&gt;=PR_SPage,PR_QA66,PR_QAunder)*PR_Weeks*I239,0)</f>
        <v>0</v>
      </c>
      <c r="AK239" s="1" t="n">
        <f aca="false">AE239+AJ239</f>
        <v>0</v>
      </c>
      <c r="AL239" s="1" t="n">
        <f aca="false">K239/H239</f>
        <v>0</v>
      </c>
      <c r="AM239" s="1" t="n">
        <f aca="false">AK239/H239</f>
        <v>0</v>
      </c>
      <c r="AN239" s="1" t="n">
        <f aca="false">AC239/H239</f>
        <v>0</v>
      </c>
      <c r="AO239" s="1" t="n">
        <f aca="false">AF239/H239</f>
        <v>0</v>
      </c>
      <c r="AP239" s="1" t="n">
        <f aca="false">O239/H239</f>
        <v>0</v>
      </c>
      <c r="AQ239" s="1" t="n">
        <f aca="false">AH239/H239</f>
        <v>0</v>
      </c>
      <c r="AR239" s="1" t="n">
        <f aca="false">AI239/H239</f>
        <v>0</v>
      </c>
      <c r="AS239" s="1" t="n">
        <f aca="false">MAX(0,AL239+AN239+AO239+AM239-AP239)</f>
        <v>0</v>
      </c>
      <c r="AT239" s="1" t="n">
        <f aca="false">MAX(0,AQ239+AR239)</f>
        <v>0</v>
      </c>
      <c r="AU239" s="1" t="n">
        <f aca="false">MIN(PR_PAYE,PR_PAYEcap*(AL239+AN239+AM239))</f>
        <v>0</v>
      </c>
      <c r="AV239" s="1" t="n">
        <f aca="false">MIN(PR_PAYE,PR_PAYEcap*(AQ239+AR239))</f>
        <v>0</v>
      </c>
      <c r="AW239" s="1" t="n">
        <f aca="false">IF(C239&gt;=PR_AgeCrAge,PR_AgeCr,0)</f>
        <v>0</v>
      </c>
      <c r="AX239" s="1" t="n">
        <f aca="false">IF(AG239&gt;=PR_AgeCrAge,PR_AgeCr,0)</f>
        <v>0</v>
      </c>
      <c r="AY239" s="1" t="n">
        <f aca="false">IF(AND(F_RentCred=1,D239&lt;=PR_RentLast),1,0)</f>
        <v>0</v>
      </c>
      <c r="AZ239" s="1" t="n">
        <f aca="false">AS239+AT239</f>
        <v>0</v>
      </c>
      <c r="BA239" s="1" t="n">
        <f aca="false">PR_PersonalM+AU239+AV239+AW239+AX239+IF(AY239=1,PR_RentJoint,0)</f>
        <v>4000</v>
      </c>
      <c r="BB239" s="1" t="n">
        <f aca="false">PR_BandM+MIN(MIN(AS239,AT239),PR_Uplift)</f>
        <v>53000</v>
      </c>
      <c r="BC239" s="1" t="n">
        <f aca="false">MAX(0,PR_r1*MIN(AZ239,BB239)+PR_r2*MAX(0,AZ239-BB239)-BA239)</f>
        <v>0</v>
      </c>
      <c r="BD239" s="1" t="n">
        <f aca="false">MAX(0,PR_HomeCarer-MAX(0,MIN(AS239,AT239)-PR_HCLimit)/2)</f>
        <v>1950</v>
      </c>
      <c r="BE239" s="1" t="n">
        <f aca="false">IF(F_Carer=1,MIN(BC239,MAX(0,PR_r1*MIN(AZ239,PR_BandM)+PR_r2*MAX(0,AZ239-PR_BandM)-BA239-BD239)),BC239)</f>
        <v>0</v>
      </c>
      <c r="BF239" s="1" t="n">
        <f aca="false">IF(OR(C239&gt;=PR_AgeCrAge,AG239&gt;=PR_AgeCrAge),IF(AZ239&lt;=PR_AgeExM,0,MIN(BE239,PR_AgeMarg*(AZ239-PR_AgeExM))),BE239)</f>
        <v>0</v>
      </c>
      <c r="BG239" s="1" t="n">
        <f aca="false">MAX(0,PR_r1*MIN(AS239,IF(F_Spccc=1,PR_BandSPCCC,PR_Band))+PR_r2*MAX(0,AS239-IF(F_Spccc=1,PR_BandSPCCC,PR_Band))-(PR_Personal+AU239+AW239+IF(F_Spccc=1,PR_SPCCC,0)+IF(AY239=1,PR_Rent,0)))</f>
        <v>0</v>
      </c>
      <c r="BH239" s="1" t="n">
        <f aca="false">IF(C239&gt;=PR_AgeCrAge,IF(AS239&lt;=PR_AgeEx,0,MIN(BG239,PR_AgeMarg*(AS239-PR_AgeEx))),BG239)</f>
        <v>0</v>
      </c>
      <c r="BI239" s="1" t="n">
        <f aca="false">IF(F_Partner=1,MAX(0,PR_r1*MIN(AT239,PR_Band)+PR_r2*MAX(0,AT239-PR_Band)-(PR_Personal+AV239+AX239+IF(AND(AY239=1,AT239&gt;0),PR_Rent,0))),0)</f>
        <v>0</v>
      </c>
      <c r="BJ239" s="1" t="n">
        <f aca="false">IF(AG239&gt;=PR_AgeCrAge,IF(AT239&lt;=PR_AgeEx,0,MIN(BI239,PR_AgeMarg*(AT239-PR_AgeEx))),BI239)</f>
        <v>0</v>
      </c>
      <c r="BK239" s="1" t="n">
        <f aca="false">IF(F_Partner=1,IF(F_Married=1,BF239,BH239+BJ239),BH239)</f>
        <v>0</v>
      </c>
      <c r="BL239" s="1" t="n">
        <f aca="false">AL239+AN239+AO239</f>
        <v>0</v>
      </c>
      <c r="BM239" s="1" t="n">
        <f aca="false">IF(BL239&lt;=PR_USCex,0,IF(IF(AND(C239&gt;=PR_USCredAge,BL239&lt;=PR_USCredMax),1,0)=1,PR_USCr1*MIN(BL239,PR_USCredB1)+PR_USCredR2*MAX(0,BL239-PR_USCredB1),PR_USCr1*MIN(BL239,PR_USCb1)+PR_USCr2*MAX(0,MIN(BL239,PR_USCb2)-PR_USCb1)+PR_USCr3*MAX(0,MIN(BL239,PR_USCb3)-PR_USCb2)+PR_USCr4*MAX(0,BL239-PR_USCb3)))+IF(F_SelfEmp=1,PR_USCse*MAX(0,AL239-PR_USCseOver),0)</f>
        <v>0</v>
      </c>
      <c r="BN239" s="1" t="n">
        <f aca="false">AQ239</f>
        <v>0</v>
      </c>
      <c r="BO239" s="1" t="n">
        <f aca="false">IF(F_Partner=1,IF(BN239&lt;=PR_USCex,0,IF(IF(AND(AG239&gt;=PR_USCredAge,BN239&lt;=PR_USCredMax),1,0)=1,PR_USCr1*MIN(BN239,PR_USCredB1)+PR_USCredR2*MAX(0,BN239-PR_USCredB1),PR_USCr1*MIN(BN239,PR_USCb1)+PR_USCr2*MAX(0,MIN(BN239,PR_USCb2)-PR_USCb1)+PR_USCr3*MAX(0,MIN(BN239,PR_USCb3)-PR_USCb2)+PR_USCr4*MAX(0,BN239-PR_USCb3))),0)</f>
        <v>0</v>
      </c>
      <c r="BP239" s="1" t="n">
        <f aca="false">IF(C239&lt;PR_PRSIend,IF(F_SelfEmp=1,IF(AL239&gt;PR_PRSIsMinInc,MAX(PR_PRSIsMin,AL239*J239),0),IF(AL239/52&lt;=PR_PRSIfree,0,MAX(0,(AL239/52*J239-IF(AL239/52&lt;=PR_PRSIcreditTo,MAX(0,PR_PRSIcreditMax-(AL239/52-(PR_PRSIfree+0.01))/PR_PRSItaper),0))*52)))+J239*AN239+IF(AO239&gt;PR_PRSIunearned,J239*AO239,0),0)</f>
        <v>0</v>
      </c>
      <c r="BQ239" s="1" t="n">
        <f aca="false">IF(AND(F_Partner=1,AG239&lt;PR_PRSIend),IF(AQ239/52&lt;=PR_PRSIfree,0,MAX(0,(AQ239/52*J239-IF(AQ239/52&lt;=PR_PRSIcreditTo,MAX(0,PR_PRSIcreditMax-(AQ239/52-(PR_PRSIfree+0.01))/PR_PRSItaper),0))*52)),0)</f>
        <v>0</v>
      </c>
      <c r="BR239" s="1" t="n">
        <f aca="false">BK239+BM239+BO239+BP239+BQ239</f>
        <v>0</v>
      </c>
      <c r="BS239" s="1" t="n">
        <f aca="false">BR239*H239</f>
        <v>0</v>
      </c>
      <c r="BT239" s="1" t="n">
        <f aca="false">K239+AK239+AC239+AF239+AH239+AI239</f>
        <v>0</v>
      </c>
    </row>
    <row r="240" customFormat="false" ht="15" hidden="false" customHeight="true" outlineLevel="0" collapsed="false">
      <c r="B240" s="1" t="n">
        <v>6</v>
      </c>
      <c r="C240" s="1" t="n">
        <f aca="false">F_Age+B240</f>
        <v>6</v>
      </c>
      <c r="D240" s="1" t="n">
        <f aca="false">AS_Year0+B240</f>
        <v>2033</v>
      </c>
      <c r="E240" s="111" t="n">
        <f aca="false">(1+AS_Infl)^B240</f>
        <v>1.126162419264</v>
      </c>
      <c r="F240" s="111" t="n">
        <f aca="false">(1+AS_Wage)^B240</f>
        <v>1.194052296529</v>
      </c>
      <c r="G240" s="1" t="n">
        <f aca="false">IF(C240&lt;F_R,1,0)</f>
        <v>1</v>
      </c>
      <c r="H240" s="111" t="n">
        <f aca="false">IF(AS_Bands="flat",1,E240)</f>
        <v>1.126162419264</v>
      </c>
      <c r="I240" s="111" t="n">
        <f aca="false">IF(AS_SpGrow="pay",F240,IF(AS_SpGrow="flat",1,E240))</f>
        <v>1.126162419264</v>
      </c>
      <c r="J240" s="111" t="n">
        <f aca="false">(12*PR_PRSIr0+(PR_PRSIr1-PR_PRSIr0)*MAX(0,MIN(12,D240*12+12-PR_PRSIt1))+(PR_PRSIr2-PR_PRSIr1)*MAX(0,MIN(12,D240*12+12-PR_PRSIt2))+(PR_PRSIr3-PR_PRSIr2)*MAX(0,MIN(12,D240*12+12-PR_PRSIt3)))/12</f>
        <v>0.047</v>
      </c>
      <c r="K240" s="1" t="n">
        <f aca="false">IF(G240=1,F_Income*F240,0)</f>
        <v>0</v>
      </c>
      <c r="L240" s="1" t="n">
        <f aca="false">IF(G240=1,(F_Own+In_penExtra)*12*F240,0)</f>
        <v>0</v>
      </c>
      <c r="M240" s="1" t="n">
        <f aca="false">IF(G240=1,(F_PenM+In_penExtra)*12*F240,0)</f>
        <v>0</v>
      </c>
      <c r="N240" s="112" t="n">
        <f aca="false">IF(C240&lt;PR_RelA1,PR_RelP1,IF(C240&lt;PR_RelA2,PR_RelP2,IF(C240&lt;PR_RelA3,PR_RelP3,IF(C240&lt;PR_RelA4,PR_RelP4,IF(C240&lt;PR_RelA5,PR_RelP5,PR_RelP6)))))</f>
        <v>0.15</v>
      </c>
      <c r="O240" s="1" t="n">
        <f aca="false">IF(G240=1,MIN(L240/H240,N240*MIN(K240/H240,PR_EarnCap))*H240,0)</f>
        <v>0</v>
      </c>
      <c r="P240" s="1" t="n">
        <f aca="false">IF(AND(G240=1,F_AE=1),MIN(K240/H240,PR_AEcap)*H240,0)</f>
        <v>0</v>
      </c>
      <c r="Q240" s="1" t="n">
        <f aca="false">IF(G240=1,IF(WI_Retire=1,MAX(0,M240+WI_M*12),M240)+(PR_AEee+PR_AEer+PR_AEst)*P240,0)</f>
        <v>0</v>
      </c>
      <c r="R240" s="1" t="n">
        <f aca="false">L240+PR_AEee*P240</f>
        <v>0</v>
      </c>
      <c r="S240" s="1" t="n">
        <f aca="false">AD239</f>
        <v>0</v>
      </c>
      <c r="T240" s="1" t="n">
        <f aca="false">IF(D240&lt;=PR_SFTfrom,PR_SFT2026,IF(D240=PR_SFTfrom+1,PR_SFT2027,IF(D240=PR_SFTfrom+2,PR_SFT2028,IF(D240&lt;=PR_SFTto,PR_SFT2029,PR_SFT2029*(1+AS_Infl)^(D240-PR_SFTto)))))</f>
        <v>3030810.048</v>
      </c>
      <c r="U240" s="1" t="n">
        <f aca="false">IF(AND(G240=0,C240=F_V),1,0)</f>
        <v>0</v>
      </c>
      <c r="V240" s="1" t="n">
        <f aca="false">IF(U240=1,PR_SFTrate*MAX(0,S240-T240),0)</f>
        <v>0</v>
      </c>
      <c r="W240" s="1" t="n">
        <f aca="false">S240-V240</f>
        <v>0</v>
      </c>
      <c r="X240" s="1" t="n">
        <f aca="false">IF(AND(U240=1,AS_LumpPct&gt;0),W240*MIN(AS_LumpPct,PR_LSmax),0)</f>
        <v>0</v>
      </c>
      <c r="Y240" s="1" t="n">
        <f aca="false">X240-(PR_LSrate*MAX(0,MIN(X240,PR_LScap)-PR_LSfree)+PR_r2*MAX(0,X240-PR_LScap))</f>
        <v>0</v>
      </c>
      <c r="Z240" s="1" t="n">
        <f aca="false">W240-X240</f>
        <v>0</v>
      </c>
      <c r="AA240" s="112" t="n">
        <f aca="false">IF(C240&gt;=PR_ARFage1,IF(Z240&gt;PR_ARFbig,PR_ARFbigRate,IF(C240&gt;=PR_ARFage2,PR_ARF71,PR_ARF61)),0)</f>
        <v>0</v>
      </c>
      <c r="AB240" s="1" t="n">
        <f aca="false">IF(AS_DrawRule="min",Z240*AA240,IF(AS_DrawRule="fixed",MAX(AS_DrawFixed*E240,Z240*AA240),Z240*MAX(1/MAX(1,AS_End-C240+1),AA240)))</f>
        <v>0</v>
      </c>
      <c r="AC240" s="1" t="n">
        <f aca="false">IF(AND(G240=0,C240&gt;=F_V),MIN(Z240,AB240),0)</f>
        <v>0</v>
      </c>
      <c r="AD240" s="1" t="n">
        <f aca="false">IF(G240=1,S240*(1+F_PenG)+Q240,IF(C240&lt;F_V,S240*(1+F_PenG),(Z240-AC240)*(1+AS_PenRet)))</f>
        <v>0</v>
      </c>
      <c r="AE240" s="1" t="n">
        <f aca="false">IF(C240&gt;=PR_SPage,AS_SP*F_SpF*I240+IF(AND(C240&gt;=PR_Over80Age,F_SpF&gt;0),PR_Over80*PR_Weeks*I240,0),0)</f>
        <v>0</v>
      </c>
      <c r="AF240" s="1" t="n">
        <f aca="false">(F_OtherM+F_RentM)*12*E240</f>
        <v>0</v>
      </c>
      <c r="AG240" s="1" t="n">
        <f aca="false">F_PAge+B240</f>
        <v>6</v>
      </c>
      <c r="AH240" s="1" t="n">
        <f aca="false">IF(AND(F_Partner=1,F_PAge&gt;0,AG240&lt;IF(F_PRet&gt;0,F_PRet,PR_SPage)),F_PIncome*F240,0)</f>
        <v>0</v>
      </c>
      <c r="AI240" s="1" t="n">
        <f aca="false">IF(AND(F_Partner=1,AG240&gt;=PR_SPage,F_PSpQA=0),AS_SP*F_PSpF*I240,0)</f>
        <v>0</v>
      </c>
      <c r="AJ240" s="1" t="n">
        <f aca="false">IF(AND(F_Partner=1,F_PSpQA=1,C240&gt;=PR_SPage,AH240=0),IF(AG240&gt;=PR_SPage,PR_QA66,PR_QAunder)*PR_Weeks*I240,0)</f>
        <v>0</v>
      </c>
      <c r="AK240" s="1" t="n">
        <f aca="false">AE240+AJ240</f>
        <v>0</v>
      </c>
      <c r="AL240" s="1" t="n">
        <f aca="false">K240/H240</f>
        <v>0</v>
      </c>
      <c r="AM240" s="1" t="n">
        <f aca="false">AK240/H240</f>
        <v>0</v>
      </c>
      <c r="AN240" s="1" t="n">
        <f aca="false">AC240/H240</f>
        <v>0</v>
      </c>
      <c r="AO240" s="1" t="n">
        <f aca="false">AF240/H240</f>
        <v>0</v>
      </c>
      <c r="AP240" s="1" t="n">
        <f aca="false">O240/H240</f>
        <v>0</v>
      </c>
      <c r="AQ240" s="1" t="n">
        <f aca="false">AH240/H240</f>
        <v>0</v>
      </c>
      <c r="AR240" s="1" t="n">
        <f aca="false">AI240/H240</f>
        <v>0</v>
      </c>
      <c r="AS240" s="1" t="n">
        <f aca="false">MAX(0,AL240+AN240+AO240+AM240-AP240)</f>
        <v>0</v>
      </c>
      <c r="AT240" s="1" t="n">
        <f aca="false">MAX(0,AQ240+AR240)</f>
        <v>0</v>
      </c>
      <c r="AU240" s="1" t="n">
        <f aca="false">MIN(PR_PAYE,PR_PAYEcap*(AL240+AN240+AM240))</f>
        <v>0</v>
      </c>
      <c r="AV240" s="1" t="n">
        <f aca="false">MIN(PR_PAYE,PR_PAYEcap*(AQ240+AR240))</f>
        <v>0</v>
      </c>
      <c r="AW240" s="1" t="n">
        <f aca="false">IF(C240&gt;=PR_AgeCrAge,PR_AgeCr,0)</f>
        <v>0</v>
      </c>
      <c r="AX240" s="1" t="n">
        <f aca="false">IF(AG240&gt;=PR_AgeCrAge,PR_AgeCr,0)</f>
        <v>0</v>
      </c>
      <c r="AY240" s="1" t="n">
        <f aca="false">IF(AND(F_RentCred=1,D240&lt;=PR_RentLast),1,0)</f>
        <v>0</v>
      </c>
      <c r="AZ240" s="1" t="n">
        <f aca="false">AS240+AT240</f>
        <v>0</v>
      </c>
      <c r="BA240" s="1" t="n">
        <f aca="false">PR_PersonalM+AU240+AV240+AW240+AX240+IF(AY240=1,PR_RentJoint,0)</f>
        <v>4000</v>
      </c>
      <c r="BB240" s="1" t="n">
        <f aca="false">PR_BandM+MIN(MIN(AS240,AT240),PR_Uplift)</f>
        <v>53000</v>
      </c>
      <c r="BC240" s="1" t="n">
        <f aca="false">MAX(0,PR_r1*MIN(AZ240,BB240)+PR_r2*MAX(0,AZ240-BB240)-BA240)</f>
        <v>0</v>
      </c>
      <c r="BD240" s="1" t="n">
        <f aca="false">MAX(0,PR_HomeCarer-MAX(0,MIN(AS240,AT240)-PR_HCLimit)/2)</f>
        <v>1950</v>
      </c>
      <c r="BE240" s="1" t="n">
        <f aca="false">IF(F_Carer=1,MIN(BC240,MAX(0,PR_r1*MIN(AZ240,PR_BandM)+PR_r2*MAX(0,AZ240-PR_BandM)-BA240-BD240)),BC240)</f>
        <v>0</v>
      </c>
      <c r="BF240" s="1" t="n">
        <f aca="false">IF(OR(C240&gt;=PR_AgeCrAge,AG240&gt;=PR_AgeCrAge),IF(AZ240&lt;=PR_AgeExM,0,MIN(BE240,PR_AgeMarg*(AZ240-PR_AgeExM))),BE240)</f>
        <v>0</v>
      </c>
      <c r="BG240" s="1" t="n">
        <f aca="false">MAX(0,PR_r1*MIN(AS240,IF(F_Spccc=1,PR_BandSPCCC,PR_Band))+PR_r2*MAX(0,AS240-IF(F_Spccc=1,PR_BandSPCCC,PR_Band))-(PR_Personal+AU240+AW240+IF(F_Spccc=1,PR_SPCCC,0)+IF(AY240=1,PR_Rent,0)))</f>
        <v>0</v>
      </c>
      <c r="BH240" s="1" t="n">
        <f aca="false">IF(C240&gt;=PR_AgeCrAge,IF(AS240&lt;=PR_AgeEx,0,MIN(BG240,PR_AgeMarg*(AS240-PR_AgeEx))),BG240)</f>
        <v>0</v>
      </c>
      <c r="BI240" s="1" t="n">
        <f aca="false">IF(F_Partner=1,MAX(0,PR_r1*MIN(AT240,PR_Band)+PR_r2*MAX(0,AT240-PR_Band)-(PR_Personal+AV240+AX240+IF(AND(AY240=1,AT240&gt;0),PR_Rent,0))),0)</f>
        <v>0</v>
      </c>
      <c r="BJ240" s="1" t="n">
        <f aca="false">IF(AG240&gt;=PR_AgeCrAge,IF(AT240&lt;=PR_AgeEx,0,MIN(BI240,PR_AgeMarg*(AT240-PR_AgeEx))),BI240)</f>
        <v>0</v>
      </c>
      <c r="BK240" s="1" t="n">
        <f aca="false">IF(F_Partner=1,IF(F_Married=1,BF240,BH240+BJ240),BH240)</f>
        <v>0</v>
      </c>
      <c r="BL240" s="1" t="n">
        <f aca="false">AL240+AN240+AO240</f>
        <v>0</v>
      </c>
      <c r="BM240" s="1" t="n">
        <f aca="false">IF(BL240&lt;=PR_USCex,0,IF(IF(AND(C240&gt;=PR_USCredAge,BL240&lt;=PR_USCredMax),1,0)=1,PR_USCr1*MIN(BL240,PR_USCredB1)+PR_USCredR2*MAX(0,BL240-PR_USCredB1),PR_USCr1*MIN(BL240,PR_USCb1)+PR_USCr2*MAX(0,MIN(BL240,PR_USCb2)-PR_USCb1)+PR_USCr3*MAX(0,MIN(BL240,PR_USCb3)-PR_USCb2)+PR_USCr4*MAX(0,BL240-PR_USCb3)))+IF(F_SelfEmp=1,PR_USCse*MAX(0,AL240-PR_USCseOver),0)</f>
        <v>0</v>
      </c>
      <c r="BN240" s="1" t="n">
        <f aca="false">AQ240</f>
        <v>0</v>
      </c>
      <c r="BO240" s="1" t="n">
        <f aca="false">IF(F_Partner=1,IF(BN240&lt;=PR_USCex,0,IF(IF(AND(AG240&gt;=PR_USCredAge,BN240&lt;=PR_USCredMax),1,0)=1,PR_USCr1*MIN(BN240,PR_USCredB1)+PR_USCredR2*MAX(0,BN240-PR_USCredB1),PR_USCr1*MIN(BN240,PR_USCb1)+PR_USCr2*MAX(0,MIN(BN240,PR_USCb2)-PR_USCb1)+PR_USCr3*MAX(0,MIN(BN240,PR_USCb3)-PR_USCb2)+PR_USCr4*MAX(0,BN240-PR_USCb3))),0)</f>
        <v>0</v>
      </c>
      <c r="BP240" s="1" t="n">
        <f aca="false">IF(C240&lt;PR_PRSIend,IF(F_SelfEmp=1,IF(AL240&gt;PR_PRSIsMinInc,MAX(PR_PRSIsMin,AL240*J240),0),IF(AL240/52&lt;=PR_PRSIfree,0,MAX(0,(AL240/52*J240-IF(AL240/52&lt;=PR_PRSIcreditTo,MAX(0,PR_PRSIcreditMax-(AL240/52-(PR_PRSIfree+0.01))/PR_PRSItaper),0))*52)))+J240*AN240+IF(AO240&gt;PR_PRSIunearned,J240*AO240,0),0)</f>
        <v>0</v>
      </c>
      <c r="BQ240" s="1" t="n">
        <f aca="false">IF(AND(F_Partner=1,AG240&lt;PR_PRSIend),IF(AQ240/52&lt;=PR_PRSIfree,0,MAX(0,(AQ240/52*J240-IF(AQ240/52&lt;=PR_PRSIcreditTo,MAX(0,PR_PRSIcreditMax-(AQ240/52-(PR_PRSIfree+0.01))/PR_PRSItaper),0))*52)),0)</f>
        <v>0</v>
      </c>
      <c r="BR240" s="1" t="n">
        <f aca="false">BK240+BM240+BO240+BP240+BQ240</f>
        <v>0</v>
      </c>
      <c r="BS240" s="1" t="n">
        <f aca="false">BR240*H240</f>
        <v>0</v>
      </c>
      <c r="BT240" s="1" t="n">
        <f aca="false">K240+AK240+AC240+AF240+AH240+AI240</f>
        <v>0</v>
      </c>
    </row>
    <row r="241" customFormat="false" ht="15" hidden="false" customHeight="true" outlineLevel="0" collapsed="false">
      <c r="B241" s="1" t="n">
        <v>7</v>
      </c>
      <c r="C241" s="1" t="n">
        <f aca="false">F_Age+B241</f>
        <v>7</v>
      </c>
      <c r="D241" s="1" t="n">
        <f aca="false">AS_Year0+B241</f>
        <v>2034</v>
      </c>
      <c r="E241" s="111" t="n">
        <f aca="false">(1+AS_Infl)^B241</f>
        <v>1.14868566764928</v>
      </c>
      <c r="F241" s="111" t="n">
        <f aca="false">(1+AS_Wage)^B241</f>
        <v>1.22987386542487</v>
      </c>
      <c r="G241" s="1" t="n">
        <f aca="false">IF(C241&lt;F_R,1,0)</f>
        <v>1</v>
      </c>
      <c r="H241" s="111" t="n">
        <f aca="false">IF(AS_Bands="flat",1,E241)</f>
        <v>1.14868566764928</v>
      </c>
      <c r="I241" s="111" t="n">
        <f aca="false">IF(AS_SpGrow="pay",F241,IF(AS_SpGrow="flat",1,E241))</f>
        <v>1.14868566764928</v>
      </c>
      <c r="J241" s="111" t="n">
        <f aca="false">(12*PR_PRSIr0+(PR_PRSIr1-PR_PRSIr0)*MAX(0,MIN(12,D241*12+12-PR_PRSIt1))+(PR_PRSIr2-PR_PRSIr1)*MAX(0,MIN(12,D241*12+12-PR_PRSIt2))+(PR_PRSIr3-PR_PRSIr2)*MAX(0,MIN(12,D241*12+12-PR_PRSIt3)))/12</f>
        <v>0.047</v>
      </c>
      <c r="K241" s="1" t="n">
        <f aca="false">IF(G241=1,F_Income*F241,0)</f>
        <v>0</v>
      </c>
      <c r="L241" s="1" t="n">
        <f aca="false">IF(G241=1,(F_Own+In_penExtra)*12*F241,0)</f>
        <v>0</v>
      </c>
      <c r="M241" s="1" t="n">
        <f aca="false">IF(G241=1,(F_PenM+In_penExtra)*12*F241,0)</f>
        <v>0</v>
      </c>
      <c r="N241" s="112" t="n">
        <f aca="false">IF(C241&lt;PR_RelA1,PR_RelP1,IF(C241&lt;PR_RelA2,PR_RelP2,IF(C241&lt;PR_RelA3,PR_RelP3,IF(C241&lt;PR_RelA4,PR_RelP4,IF(C241&lt;PR_RelA5,PR_RelP5,PR_RelP6)))))</f>
        <v>0.15</v>
      </c>
      <c r="O241" s="1" t="n">
        <f aca="false">IF(G241=1,MIN(L241/H241,N241*MIN(K241/H241,PR_EarnCap))*H241,0)</f>
        <v>0</v>
      </c>
      <c r="P241" s="1" t="n">
        <f aca="false">IF(AND(G241=1,F_AE=1),MIN(K241/H241,PR_AEcap)*H241,0)</f>
        <v>0</v>
      </c>
      <c r="Q241" s="1" t="n">
        <f aca="false">IF(G241=1,IF(WI_Retire=1,MAX(0,M241+WI_M*12),M241)+(PR_AEee+PR_AEer+PR_AEst)*P241,0)</f>
        <v>0</v>
      </c>
      <c r="R241" s="1" t="n">
        <f aca="false">L241+PR_AEee*P241</f>
        <v>0</v>
      </c>
      <c r="S241" s="1" t="n">
        <f aca="false">AD240</f>
        <v>0</v>
      </c>
      <c r="T241" s="1" t="n">
        <f aca="false">IF(D241&lt;=PR_SFTfrom,PR_SFT2026,IF(D241=PR_SFTfrom+1,PR_SFT2027,IF(D241=PR_SFTfrom+2,PR_SFT2028,IF(D241&lt;=PR_SFTto,PR_SFT2029,PR_SFT2029*(1+AS_Infl)^(D241-PR_SFTto)))))</f>
        <v>3091426.24896</v>
      </c>
      <c r="U241" s="1" t="n">
        <f aca="false">IF(AND(G241=0,C241=F_V),1,0)</f>
        <v>0</v>
      </c>
      <c r="V241" s="1" t="n">
        <f aca="false">IF(U241=1,PR_SFTrate*MAX(0,S241-T241),0)</f>
        <v>0</v>
      </c>
      <c r="W241" s="1" t="n">
        <f aca="false">S241-V241</f>
        <v>0</v>
      </c>
      <c r="X241" s="1" t="n">
        <f aca="false">IF(AND(U241=1,AS_LumpPct&gt;0),W241*MIN(AS_LumpPct,PR_LSmax),0)</f>
        <v>0</v>
      </c>
      <c r="Y241" s="1" t="n">
        <f aca="false">X241-(PR_LSrate*MAX(0,MIN(X241,PR_LScap)-PR_LSfree)+PR_r2*MAX(0,X241-PR_LScap))</f>
        <v>0</v>
      </c>
      <c r="Z241" s="1" t="n">
        <f aca="false">W241-X241</f>
        <v>0</v>
      </c>
      <c r="AA241" s="112" t="n">
        <f aca="false">IF(C241&gt;=PR_ARFage1,IF(Z241&gt;PR_ARFbig,PR_ARFbigRate,IF(C241&gt;=PR_ARFage2,PR_ARF71,PR_ARF61)),0)</f>
        <v>0</v>
      </c>
      <c r="AB241" s="1" t="n">
        <f aca="false">IF(AS_DrawRule="min",Z241*AA241,IF(AS_DrawRule="fixed",MAX(AS_DrawFixed*E241,Z241*AA241),Z241*MAX(1/MAX(1,AS_End-C241+1),AA241)))</f>
        <v>0</v>
      </c>
      <c r="AC241" s="1" t="n">
        <f aca="false">IF(AND(G241=0,C241&gt;=F_V),MIN(Z241,AB241),0)</f>
        <v>0</v>
      </c>
      <c r="AD241" s="1" t="n">
        <f aca="false">IF(G241=1,S241*(1+F_PenG)+Q241,IF(C241&lt;F_V,S241*(1+F_PenG),(Z241-AC241)*(1+AS_PenRet)))</f>
        <v>0</v>
      </c>
      <c r="AE241" s="1" t="n">
        <f aca="false">IF(C241&gt;=PR_SPage,AS_SP*F_SpF*I241+IF(AND(C241&gt;=PR_Over80Age,F_SpF&gt;0),PR_Over80*PR_Weeks*I241,0),0)</f>
        <v>0</v>
      </c>
      <c r="AF241" s="1" t="n">
        <f aca="false">(F_OtherM+F_RentM)*12*E241</f>
        <v>0</v>
      </c>
      <c r="AG241" s="1" t="n">
        <f aca="false">F_PAge+B241</f>
        <v>7</v>
      </c>
      <c r="AH241" s="1" t="n">
        <f aca="false">IF(AND(F_Partner=1,F_PAge&gt;0,AG241&lt;IF(F_PRet&gt;0,F_PRet,PR_SPage)),F_PIncome*F241,0)</f>
        <v>0</v>
      </c>
      <c r="AI241" s="1" t="n">
        <f aca="false">IF(AND(F_Partner=1,AG241&gt;=PR_SPage,F_PSpQA=0),AS_SP*F_PSpF*I241,0)</f>
        <v>0</v>
      </c>
      <c r="AJ241" s="1" t="n">
        <f aca="false">IF(AND(F_Partner=1,F_PSpQA=1,C241&gt;=PR_SPage,AH241=0),IF(AG241&gt;=PR_SPage,PR_QA66,PR_QAunder)*PR_Weeks*I241,0)</f>
        <v>0</v>
      </c>
      <c r="AK241" s="1" t="n">
        <f aca="false">AE241+AJ241</f>
        <v>0</v>
      </c>
      <c r="AL241" s="1" t="n">
        <f aca="false">K241/H241</f>
        <v>0</v>
      </c>
      <c r="AM241" s="1" t="n">
        <f aca="false">AK241/H241</f>
        <v>0</v>
      </c>
      <c r="AN241" s="1" t="n">
        <f aca="false">AC241/H241</f>
        <v>0</v>
      </c>
      <c r="AO241" s="1" t="n">
        <f aca="false">AF241/H241</f>
        <v>0</v>
      </c>
      <c r="AP241" s="1" t="n">
        <f aca="false">O241/H241</f>
        <v>0</v>
      </c>
      <c r="AQ241" s="1" t="n">
        <f aca="false">AH241/H241</f>
        <v>0</v>
      </c>
      <c r="AR241" s="1" t="n">
        <f aca="false">AI241/H241</f>
        <v>0</v>
      </c>
      <c r="AS241" s="1" t="n">
        <f aca="false">MAX(0,AL241+AN241+AO241+AM241-AP241)</f>
        <v>0</v>
      </c>
      <c r="AT241" s="1" t="n">
        <f aca="false">MAX(0,AQ241+AR241)</f>
        <v>0</v>
      </c>
      <c r="AU241" s="1" t="n">
        <f aca="false">MIN(PR_PAYE,PR_PAYEcap*(AL241+AN241+AM241))</f>
        <v>0</v>
      </c>
      <c r="AV241" s="1" t="n">
        <f aca="false">MIN(PR_PAYE,PR_PAYEcap*(AQ241+AR241))</f>
        <v>0</v>
      </c>
      <c r="AW241" s="1" t="n">
        <f aca="false">IF(C241&gt;=PR_AgeCrAge,PR_AgeCr,0)</f>
        <v>0</v>
      </c>
      <c r="AX241" s="1" t="n">
        <f aca="false">IF(AG241&gt;=PR_AgeCrAge,PR_AgeCr,0)</f>
        <v>0</v>
      </c>
      <c r="AY241" s="1" t="n">
        <f aca="false">IF(AND(F_RentCred=1,D241&lt;=PR_RentLast),1,0)</f>
        <v>0</v>
      </c>
      <c r="AZ241" s="1" t="n">
        <f aca="false">AS241+AT241</f>
        <v>0</v>
      </c>
      <c r="BA241" s="1" t="n">
        <f aca="false">PR_PersonalM+AU241+AV241+AW241+AX241+IF(AY241=1,PR_RentJoint,0)</f>
        <v>4000</v>
      </c>
      <c r="BB241" s="1" t="n">
        <f aca="false">PR_BandM+MIN(MIN(AS241,AT241),PR_Uplift)</f>
        <v>53000</v>
      </c>
      <c r="BC241" s="1" t="n">
        <f aca="false">MAX(0,PR_r1*MIN(AZ241,BB241)+PR_r2*MAX(0,AZ241-BB241)-BA241)</f>
        <v>0</v>
      </c>
      <c r="BD241" s="1" t="n">
        <f aca="false">MAX(0,PR_HomeCarer-MAX(0,MIN(AS241,AT241)-PR_HCLimit)/2)</f>
        <v>1950</v>
      </c>
      <c r="BE241" s="1" t="n">
        <f aca="false">IF(F_Carer=1,MIN(BC241,MAX(0,PR_r1*MIN(AZ241,PR_BandM)+PR_r2*MAX(0,AZ241-PR_BandM)-BA241-BD241)),BC241)</f>
        <v>0</v>
      </c>
      <c r="BF241" s="1" t="n">
        <f aca="false">IF(OR(C241&gt;=PR_AgeCrAge,AG241&gt;=PR_AgeCrAge),IF(AZ241&lt;=PR_AgeExM,0,MIN(BE241,PR_AgeMarg*(AZ241-PR_AgeExM))),BE241)</f>
        <v>0</v>
      </c>
      <c r="BG241" s="1" t="n">
        <f aca="false">MAX(0,PR_r1*MIN(AS241,IF(F_Spccc=1,PR_BandSPCCC,PR_Band))+PR_r2*MAX(0,AS241-IF(F_Spccc=1,PR_BandSPCCC,PR_Band))-(PR_Personal+AU241+AW241+IF(F_Spccc=1,PR_SPCCC,0)+IF(AY241=1,PR_Rent,0)))</f>
        <v>0</v>
      </c>
      <c r="BH241" s="1" t="n">
        <f aca="false">IF(C241&gt;=PR_AgeCrAge,IF(AS241&lt;=PR_AgeEx,0,MIN(BG241,PR_AgeMarg*(AS241-PR_AgeEx))),BG241)</f>
        <v>0</v>
      </c>
      <c r="BI241" s="1" t="n">
        <f aca="false">IF(F_Partner=1,MAX(0,PR_r1*MIN(AT241,PR_Band)+PR_r2*MAX(0,AT241-PR_Band)-(PR_Personal+AV241+AX241+IF(AND(AY241=1,AT241&gt;0),PR_Rent,0))),0)</f>
        <v>0</v>
      </c>
      <c r="BJ241" s="1" t="n">
        <f aca="false">IF(AG241&gt;=PR_AgeCrAge,IF(AT241&lt;=PR_AgeEx,0,MIN(BI241,PR_AgeMarg*(AT241-PR_AgeEx))),BI241)</f>
        <v>0</v>
      </c>
      <c r="BK241" s="1" t="n">
        <f aca="false">IF(F_Partner=1,IF(F_Married=1,BF241,BH241+BJ241),BH241)</f>
        <v>0</v>
      </c>
      <c r="BL241" s="1" t="n">
        <f aca="false">AL241+AN241+AO241</f>
        <v>0</v>
      </c>
      <c r="BM241" s="1" t="n">
        <f aca="false">IF(BL241&lt;=PR_USCex,0,IF(IF(AND(C241&gt;=PR_USCredAge,BL241&lt;=PR_USCredMax),1,0)=1,PR_USCr1*MIN(BL241,PR_USCredB1)+PR_USCredR2*MAX(0,BL241-PR_USCredB1),PR_USCr1*MIN(BL241,PR_USCb1)+PR_USCr2*MAX(0,MIN(BL241,PR_USCb2)-PR_USCb1)+PR_USCr3*MAX(0,MIN(BL241,PR_USCb3)-PR_USCb2)+PR_USCr4*MAX(0,BL241-PR_USCb3)))+IF(F_SelfEmp=1,PR_USCse*MAX(0,AL241-PR_USCseOver),0)</f>
        <v>0</v>
      </c>
      <c r="BN241" s="1" t="n">
        <f aca="false">AQ241</f>
        <v>0</v>
      </c>
      <c r="BO241" s="1" t="n">
        <f aca="false">IF(F_Partner=1,IF(BN241&lt;=PR_USCex,0,IF(IF(AND(AG241&gt;=PR_USCredAge,BN241&lt;=PR_USCredMax),1,0)=1,PR_USCr1*MIN(BN241,PR_USCredB1)+PR_USCredR2*MAX(0,BN241-PR_USCredB1),PR_USCr1*MIN(BN241,PR_USCb1)+PR_USCr2*MAX(0,MIN(BN241,PR_USCb2)-PR_USCb1)+PR_USCr3*MAX(0,MIN(BN241,PR_USCb3)-PR_USCb2)+PR_USCr4*MAX(0,BN241-PR_USCb3))),0)</f>
        <v>0</v>
      </c>
      <c r="BP241" s="1" t="n">
        <f aca="false">IF(C241&lt;PR_PRSIend,IF(F_SelfEmp=1,IF(AL241&gt;PR_PRSIsMinInc,MAX(PR_PRSIsMin,AL241*J241),0),IF(AL241/52&lt;=PR_PRSIfree,0,MAX(0,(AL241/52*J241-IF(AL241/52&lt;=PR_PRSIcreditTo,MAX(0,PR_PRSIcreditMax-(AL241/52-(PR_PRSIfree+0.01))/PR_PRSItaper),0))*52)))+J241*AN241+IF(AO241&gt;PR_PRSIunearned,J241*AO241,0),0)</f>
        <v>0</v>
      </c>
      <c r="BQ241" s="1" t="n">
        <f aca="false">IF(AND(F_Partner=1,AG241&lt;PR_PRSIend),IF(AQ241/52&lt;=PR_PRSIfree,0,MAX(0,(AQ241/52*J241-IF(AQ241/52&lt;=PR_PRSIcreditTo,MAX(0,PR_PRSIcreditMax-(AQ241/52-(PR_PRSIfree+0.01))/PR_PRSItaper),0))*52)),0)</f>
        <v>0</v>
      </c>
      <c r="BR241" s="1" t="n">
        <f aca="false">BK241+BM241+BO241+BP241+BQ241</f>
        <v>0</v>
      </c>
      <c r="BS241" s="1" t="n">
        <f aca="false">BR241*H241</f>
        <v>0</v>
      </c>
      <c r="BT241" s="1" t="n">
        <f aca="false">K241+AK241+AC241+AF241+AH241+AI241</f>
        <v>0</v>
      </c>
    </row>
    <row r="242" customFormat="false" ht="15" hidden="false" customHeight="true" outlineLevel="0" collapsed="false">
      <c r="B242" s="1" t="n">
        <v>8</v>
      </c>
      <c r="C242" s="1" t="n">
        <f aca="false">F_Age+B242</f>
        <v>8</v>
      </c>
      <c r="D242" s="1" t="n">
        <f aca="false">AS_Year0+B242</f>
        <v>2035</v>
      </c>
      <c r="E242" s="111" t="n">
        <f aca="false">(1+AS_Infl)^B242</f>
        <v>1.17165938100227</v>
      </c>
      <c r="F242" s="111" t="n">
        <f aca="false">(1+AS_Wage)^B242</f>
        <v>1.26677008138762</v>
      </c>
      <c r="G242" s="1" t="n">
        <f aca="false">IF(C242&lt;F_R,1,0)</f>
        <v>1</v>
      </c>
      <c r="H242" s="111" t="n">
        <f aca="false">IF(AS_Bands="flat",1,E242)</f>
        <v>1.17165938100227</v>
      </c>
      <c r="I242" s="111" t="n">
        <f aca="false">IF(AS_SpGrow="pay",F242,IF(AS_SpGrow="flat",1,E242))</f>
        <v>1.17165938100227</v>
      </c>
      <c r="J242" s="111" t="n">
        <f aca="false">(12*PR_PRSIr0+(PR_PRSIr1-PR_PRSIr0)*MAX(0,MIN(12,D242*12+12-PR_PRSIt1))+(PR_PRSIr2-PR_PRSIr1)*MAX(0,MIN(12,D242*12+12-PR_PRSIt2))+(PR_PRSIr3-PR_PRSIr2)*MAX(0,MIN(12,D242*12+12-PR_PRSIt3)))/12</f>
        <v>0.047</v>
      </c>
      <c r="K242" s="1" t="n">
        <f aca="false">IF(G242=1,F_Income*F242,0)</f>
        <v>0</v>
      </c>
      <c r="L242" s="1" t="n">
        <f aca="false">IF(G242=1,(F_Own+In_penExtra)*12*F242,0)</f>
        <v>0</v>
      </c>
      <c r="M242" s="1" t="n">
        <f aca="false">IF(G242=1,(F_PenM+In_penExtra)*12*F242,0)</f>
        <v>0</v>
      </c>
      <c r="N242" s="112" t="n">
        <f aca="false">IF(C242&lt;PR_RelA1,PR_RelP1,IF(C242&lt;PR_RelA2,PR_RelP2,IF(C242&lt;PR_RelA3,PR_RelP3,IF(C242&lt;PR_RelA4,PR_RelP4,IF(C242&lt;PR_RelA5,PR_RelP5,PR_RelP6)))))</f>
        <v>0.15</v>
      </c>
      <c r="O242" s="1" t="n">
        <f aca="false">IF(G242=1,MIN(L242/H242,N242*MIN(K242/H242,PR_EarnCap))*H242,0)</f>
        <v>0</v>
      </c>
      <c r="P242" s="1" t="n">
        <f aca="false">IF(AND(G242=1,F_AE=1),MIN(K242/H242,PR_AEcap)*H242,0)</f>
        <v>0</v>
      </c>
      <c r="Q242" s="1" t="n">
        <f aca="false">IF(G242=1,IF(WI_Retire=1,MAX(0,M242+WI_M*12),M242)+(PR_AEee+PR_AEer+PR_AEst)*P242,0)</f>
        <v>0</v>
      </c>
      <c r="R242" s="1" t="n">
        <f aca="false">L242+PR_AEee*P242</f>
        <v>0</v>
      </c>
      <c r="S242" s="1" t="n">
        <f aca="false">AD241</f>
        <v>0</v>
      </c>
      <c r="T242" s="1" t="n">
        <f aca="false">IF(D242&lt;=PR_SFTfrom,PR_SFT2026,IF(D242=PR_SFTfrom+1,PR_SFT2027,IF(D242=PR_SFTfrom+2,PR_SFT2028,IF(D242&lt;=PR_SFTto,PR_SFT2029,PR_SFT2029*(1+AS_Infl)^(D242-PR_SFTto)))))</f>
        <v>3153254.7739392</v>
      </c>
      <c r="U242" s="1" t="n">
        <f aca="false">IF(AND(G242=0,C242=F_V),1,0)</f>
        <v>0</v>
      </c>
      <c r="V242" s="1" t="n">
        <f aca="false">IF(U242=1,PR_SFTrate*MAX(0,S242-T242),0)</f>
        <v>0</v>
      </c>
      <c r="W242" s="1" t="n">
        <f aca="false">S242-V242</f>
        <v>0</v>
      </c>
      <c r="X242" s="1" t="n">
        <f aca="false">IF(AND(U242=1,AS_LumpPct&gt;0),W242*MIN(AS_LumpPct,PR_LSmax),0)</f>
        <v>0</v>
      </c>
      <c r="Y242" s="1" t="n">
        <f aca="false">X242-(PR_LSrate*MAX(0,MIN(X242,PR_LScap)-PR_LSfree)+PR_r2*MAX(0,X242-PR_LScap))</f>
        <v>0</v>
      </c>
      <c r="Z242" s="1" t="n">
        <f aca="false">W242-X242</f>
        <v>0</v>
      </c>
      <c r="AA242" s="112" t="n">
        <f aca="false">IF(C242&gt;=PR_ARFage1,IF(Z242&gt;PR_ARFbig,PR_ARFbigRate,IF(C242&gt;=PR_ARFage2,PR_ARF71,PR_ARF61)),0)</f>
        <v>0</v>
      </c>
      <c r="AB242" s="1" t="n">
        <f aca="false">IF(AS_DrawRule="min",Z242*AA242,IF(AS_DrawRule="fixed",MAX(AS_DrawFixed*E242,Z242*AA242),Z242*MAX(1/MAX(1,AS_End-C242+1),AA242)))</f>
        <v>0</v>
      </c>
      <c r="AC242" s="1" t="n">
        <f aca="false">IF(AND(G242=0,C242&gt;=F_V),MIN(Z242,AB242),0)</f>
        <v>0</v>
      </c>
      <c r="AD242" s="1" t="n">
        <f aca="false">IF(G242=1,S242*(1+F_PenG)+Q242,IF(C242&lt;F_V,S242*(1+F_PenG),(Z242-AC242)*(1+AS_PenRet)))</f>
        <v>0</v>
      </c>
      <c r="AE242" s="1" t="n">
        <f aca="false">IF(C242&gt;=PR_SPage,AS_SP*F_SpF*I242+IF(AND(C242&gt;=PR_Over80Age,F_SpF&gt;0),PR_Over80*PR_Weeks*I242,0),0)</f>
        <v>0</v>
      </c>
      <c r="AF242" s="1" t="n">
        <f aca="false">(F_OtherM+F_RentM)*12*E242</f>
        <v>0</v>
      </c>
      <c r="AG242" s="1" t="n">
        <f aca="false">F_PAge+B242</f>
        <v>8</v>
      </c>
      <c r="AH242" s="1" t="n">
        <f aca="false">IF(AND(F_Partner=1,F_PAge&gt;0,AG242&lt;IF(F_PRet&gt;0,F_PRet,PR_SPage)),F_PIncome*F242,0)</f>
        <v>0</v>
      </c>
      <c r="AI242" s="1" t="n">
        <f aca="false">IF(AND(F_Partner=1,AG242&gt;=PR_SPage,F_PSpQA=0),AS_SP*F_PSpF*I242,0)</f>
        <v>0</v>
      </c>
      <c r="AJ242" s="1" t="n">
        <f aca="false">IF(AND(F_Partner=1,F_PSpQA=1,C242&gt;=PR_SPage,AH242=0),IF(AG242&gt;=PR_SPage,PR_QA66,PR_QAunder)*PR_Weeks*I242,0)</f>
        <v>0</v>
      </c>
      <c r="AK242" s="1" t="n">
        <f aca="false">AE242+AJ242</f>
        <v>0</v>
      </c>
      <c r="AL242" s="1" t="n">
        <f aca="false">K242/H242</f>
        <v>0</v>
      </c>
      <c r="AM242" s="1" t="n">
        <f aca="false">AK242/H242</f>
        <v>0</v>
      </c>
      <c r="AN242" s="1" t="n">
        <f aca="false">AC242/H242</f>
        <v>0</v>
      </c>
      <c r="AO242" s="1" t="n">
        <f aca="false">AF242/H242</f>
        <v>0</v>
      </c>
      <c r="AP242" s="1" t="n">
        <f aca="false">O242/H242</f>
        <v>0</v>
      </c>
      <c r="AQ242" s="1" t="n">
        <f aca="false">AH242/H242</f>
        <v>0</v>
      </c>
      <c r="AR242" s="1" t="n">
        <f aca="false">AI242/H242</f>
        <v>0</v>
      </c>
      <c r="AS242" s="1" t="n">
        <f aca="false">MAX(0,AL242+AN242+AO242+AM242-AP242)</f>
        <v>0</v>
      </c>
      <c r="AT242" s="1" t="n">
        <f aca="false">MAX(0,AQ242+AR242)</f>
        <v>0</v>
      </c>
      <c r="AU242" s="1" t="n">
        <f aca="false">MIN(PR_PAYE,PR_PAYEcap*(AL242+AN242+AM242))</f>
        <v>0</v>
      </c>
      <c r="AV242" s="1" t="n">
        <f aca="false">MIN(PR_PAYE,PR_PAYEcap*(AQ242+AR242))</f>
        <v>0</v>
      </c>
      <c r="AW242" s="1" t="n">
        <f aca="false">IF(C242&gt;=PR_AgeCrAge,PR_AgeCr,0)</f>
        <v>0</v>
      </c>
      <c r="AX242" s="1" t="n">
        <f aca="false">IF(AG242&gt;=PR_AgeCrAge,PR_AgeCr,0)</f>
        <v>0</v>
      </c>
      <c r="AY242" s="1" t="n">
        <f aca="false">IF(AND(F_RentCred=1,D242&lt;=PR_RentLast),1,0)</f>
        <v>0</v>
      </c>
      <c r="AZ242" s="1" t="n">
        <f aca="false">AS242+AT242</f>
        <v>0</v>
      </c>
      <c r="BA242" s="1" t="n">
        <f aca="false">PR_PersonalM+AU242+AV242+AW242+AX242+IF(AY242=1,PR_RentJoint,0)</f>
        <v>4000</v>
      </c>
      <c r="BB242" s="1" t="n">
        <f aca="false">PR_BandM+MIN(MIN(AS242,AT242),PR_Uplift)</f>
        <v>53000</v>
      </c>
      <c r="BC242" s="1" t="n">
        <f aca="false">MAX(0,PR_r1*MIN(AZ242,BB242)+PR_r2*MAX(0,AZ242-BB242)-BA242)</f>
        <v>0</v>
      </c>
      <c r="BD242" s="1" t="n">
        <f aca="false">MAX(0,PR_HomeCarer-MAX(0,MIN(AS242,AT242)-PR_HCLimit)/2)</f>
        <v>1950</v>
      </c>
      <c r="BE242" s="1" t="n">
        <f aca="false">IF(F_Carer=1,MIN(BC242,MAX(0,PR_r1*MIN(AZ242,PR_BandM)+PR_r2*MAX(0,AZ242-PR_BandM)-BA242-BD242)),BC242)</f>
        <v>0</v>
      </c>
      <c r="BF242" s="1" t="n">
        <f aca="false">IF(OR(C242&gt;=PR_AgeCrAge,AG242&gt;=PR_AgeCrAge),IF(AZ242&lt;=PR_AgeExM,0,MIN(BE242,PR_AgeMarg*(AZ242-PR_AgeExM))),BE242)</f>
        <v>0</v>
      </c>
      <c r="BG242" s="1" t="n">
        <f aca="false">MAX(0,PR_r1*MIN(AS242,IF(F_Spccc=1,PR_BandSPCCC,PR_Band))+PR_r2*MAX(0,AS242-IF(F_Spccc=1,PR_BandSPCCC,PR_Band))-(PR_Personal+AU242+AW242+IF(F_Spccc=1,PR_SPCCC,0)+IF(AY242=1,PR_Rent,0)))</f>
        <v>0</v>
      </c>
      <c r="BH242" s="1" t="n">
        <f aca="false">IF(C242&gt;=PR_AgeCrAge,IF(AS242&lt;=PR_AgeEx,0,MIN(BG242,PR_AgeMarg*(AS242-PR_AgeEx))),BG242)</f>
        <v>0</v>
      </c>
      <c r="BI242" s="1" t="n">
        <f aca="false">IF(F_Partner=1,MAX(0,PR_r1*MIN(AT242,PR_Band)+PR_r2*MAX(0,AT242-PR_Band)-(PR_Personal+AV242+AX242+IF(AND(AY242=1,AT242&gt;0),PR_Rent,0))),0)</f>
        <v>0</v>
      </c>
      <c r="BJ242" s="1" t="n">
        <f aca="false">IF(AG242&gt;=PR_AgeCrAge,IF(AT242&lt;=PR_AgeEx,0,MIN(BI242,PR_AgeMarg*(AT242-PR_AgeEx))),BI242)</f>
        <v>0</v>
      </c>
      <c r="BK242" s="1" t="n">
        <f aca="false">IF(F_Partner=1,IF(F_Married=1,BF242,BH242+BJ242),BH242)</f>
        <v>0</v>
      </c>
      <c r="BL242" s="1" t="n">
        <f aca="false">AL242+AN242+AO242</f>
        <v>0</v>
      </c>
      <c r="BM242" s="1" t="n">
        <f aca="false">IF(BL242&lt;=PR_USCex,0,IF(IF(AND(C242&gt;=PR_USCredAge,BL242&lt;=PR_USCredMax),1,0)=1,PR_USCr1*MIN(BL242,PR_USCredB1)+PR_USCredR2*MAX(0,BL242-PR_USCredB1),PR_USCr1*MIN(BL242,PR_USCb1)+PR_USCr2*MAX(0,MIN(BL242,PR_USCb2)-PR_USCb1)+PR_USCr3*MAX(0,MIN(BL242,PR_USCb3)-PR_USCb2)+PR_USCr4*MAX(0,BL242-PR_USCb3)))+IF(F_SelfEmp=1,PR_USCse*MAX(0,AL242-PR_USCseOver),0)</f>
        <v>0</v>
      </c>
      <c r="BN242" s="1" t="n">
        <f aca="false">AQ242</f>
        <v>0</v>
      </c>
      <c r="BO242" s="1" t="n">
        <f aca="false">IF(F_Partner=1,IF(BN242&lt;=PR_USCex,0,IF(IF(AND(AG242&gt;=PR_USCredAge,BN242&lt;=PR_USCredMax),1,0)=1,PR_USCr1*MIN(BN242,PR_USCredB1)+PR_USCredR2*MAX(0,BN242-PR_USCredB1),PR_USCr1*MIN(BN242,PR_USCb1)+PR_USCr2*MAX(0,MIN(BN242,PR_USCb2)-PR_USCb1)+PR_USCr3*MAX(0,MIN(BN242,PR_USCb3)-PR_USCb2)+PR_USCr4*MAX(0,BN242-PR_USCb3))),0)</f>
        <v>0</v>
      </c>
      <c r="BP242" s="1" t="n">
        <f aca="false">IF(C242&lt;PR_PRSIend,IF(F_SelfEmp=1,IF(AL242&gt;PR_PRSIsMinInc,MAX(PR_PRSIsMin,AL242*J242),0),IF(AL242/52&lt;=PR_PRSIfree,0,MAX(0,(AL242/52*J242-IF(AL242/52&lt;=PR_PRSIcreditTo,MAX(0,PR_PRSIcreditMax-(AL242/52-(PR_PRSIfree+0.01))/PR_PRSItaper),0))*52)))+J242*AN242+IF(AO242&gt;PR_PRSIunearned,J242*AO242,0),0)</f>
        <v>0</v>
      </c>
      <c r="BQ242" s="1" t="n">
        <f aca="false">IF(AND(F_Partner=1,AG242&lt;PR_PRSIend),IF(AQ242/52&lt;=PR_PRSIfree,0,MAX(0,(AQ242/52*J242-IF(AQ242/52&lt;=PR_PRSIcreditTo,MAX(0,PR_PRSIcreditMax-(AQ242/52-(PR_PRSIfree+0.01))/PR_PRSItaper),0))*52)),0)</f>
        <v>0</v>
      </c>
      <c r="BR242" s="1" t="n">
        <f aca="false">BK242+BM242+BO242+BP242+BQ242</f>
        <v>0</v>
      </c>
      <c r="BS242" s="1" t="n">
        <f aca="false">BR242*H242</f>
        <v>0</v>
      </c>
      <c r="BT242" s="1" t="n">
        <f aca="false">K242+AK242+AC242+AF242+AH242+AI242</f>
        <v>0</v>
      </c>
    </row>
    <row r="243" customFormat="false" ht="15" hidden="false" customHeight="true" outlineLevel="0" collapsed="false">
      <c r="B243" s="1" t="n">
        <v>9</v>
      </c>
      <c r="C243" s="1" t="n">
        <f aca="false">F_Age+B243</f>
        <v>9</v>
      </c>
      <c r="D243" s="1" t="n">
        <f aca="false">AS_Year0+B243</f>
        <v>2036</v>
      </c>
      <c r="E243" s="111" t="n">
        <f aca="false">(1+AS_Infl)^B243</f>
        <v>1.19509256862231</v>
      </c>
      <c r="F243" s="111" t="n">
        <f aca="false">(1+AS_Wage)^B243</f>
        <v>1.30477318382925</v>
      </c>
      <c r="G243" s="1" t="n">
        <f aca="false">IF(C243&lt;F_R,1,0)</f>
        <v>1</v>
      </c>
      <c r="H243" s="111" t="n">
        <f aca="false">IF(AS_Bands="flat",1,E243)</f>
        <v>1.19509256862231</v>
      </c>
      <c r="I243" s="111" t="n">
        <f aca="false">IF(AS_SpGrow="pay",F243,IF(AS_SpGrow="flat",1,E243))</f>
        <v>1.19509256862231</v>
      </c>
      <c r="J243" s="111" t="n">
        <f aca="false">(12*PR_PRSIr0+(PR_PRSIr1-PR_PRSIr0)*MAX(0,MIN(12,D243*12+12-PR_PRSIt1))+(PR_PRSIr2-PR_PRSIr1)*MAX(0,MIN(12,D243*12+12-PR_PRSIt2))+(PR_PRSIr3-PR_PRSIr2)*MAX(0,MIN(12,D243*12+12-PR_PRSIt3)))/12</f>
        <v>0.047</v>
      </c>
      <c r="K243" s="1" t="n">
        <f aca="false">IF(G243=1,F_Income*F243,0)</f>
        <v>0</v>
      </c>
      <c r="L243" s="1" t="n">
        <f aca="false">IF(G243=1,(F_Own+In_penExtra)*12*F243,0)</f>
        <v>0</v>
      </c>
      <c r="M243" s="1" t="n">
        <f aca="false">IF(G243=1,(F_PenM+In_penExtra)*12*F243,0)</f>
        <v>0</v>
      </c>
      <c r="N243" s="112" t="n">
        <f aca="false">IF(C243&lt;PR_RelA1,PR_RelP1,IF(C243&lt;PR_RelA2,PR_RelP2,IF(C243&lt;PR_RelA3,PR_RelP3,IF(C243&lt;PR_RelA4,PR_RelP4,IF(C243&lt;PR_RelA5,PR_RelP5,PR_RelP6)))))</f>
        <v>0.15</v>
      </c>
      <c r="O243" s="1" t="n">
        <f aca="false">IF(G243=1,MIN(L243/H243,N243*MIN(K243/H243,PR_EarnCap))*H243,0)</f>
        <v>0</v>
      </c>
      <c r="P243" s="1" t="n">
        <f aca="false">IF(AND(G243=1,F_AE=1),MIN(K243/H243,PR_AEcap)*H243,0)</f>
        <v>0</v>
      </c>
      <c r="Q243" s="1" t="n">
        <f aca="false">IF(G243=1,IF(WI_Retire=1,MAX(0,M243+WI_M*12),M243)+(PR_AEee+PR_AEer+PR_AEst)*P243,0)</f>
        <v>0</v>
      </c>
      <c r="R243" s="1" t="n">
        <f aca="false">L243+PR_AEee*P243</f>
        <v>0</v>
      </c>
      <c r="S243" s="1" t="n">
        <f aca="false">AD242</f>
        <v>0</v>
      </c>
      <c r="T243" s="1" t="n">
        <f aca="false">IF(D243&lt;=PR_SFTfrom,PR_SFT2026,IF(D243=PR_SFTfrom+1,PR_SFT2027,IF(D243=PR_SFTfrom+2,PR_SFT2028,IF(D243&lt;=PR_SFTto,PR_SFT2029,PR_SFT2029*(1+AS_Infl)^(D243-PR_SFTto)))))</f>
        <v>3216319.86941798</v>
      </c>
      <c r="U243" s="1" t="n">
        <f aca="false">IF(AND(G243=0,C243=F_V),1,0)</f>
        <v>0</v>
      </c>
      <c r="V243" s="1" t="n">
        <f aca="false">IF(U243=1,PR_SFTrate*MAX(0,S243-T243),0)</f>
        <v>0</v>
      </c>
      <c r="W243" s="1" t="n">
        <f aca="false">S243-V243</f>
        <v>0</v>
      </c>
      <c r="X243" s="1" t="n">
        <f aca="false">IF(AND(U243=1,AS_LumpPct&gt;0),W243*MIN(AS_LumpPct,PR_LSmax),0)</f>
        <v>0</v>
      </c>
      <c r="Y243" s="1" t="n">
        <f aca="false">X243-(PR_LSrate*MAX(0,MIN(X243,PR_LScap)-PR_LSfree)+PR_r2*MAX(0,X243-PR_LScap))</f>
        <v>0</v>
      </c>
      <c r="Z243" s="1" t="n">
        <f aca="false">W243-X243</f>
        <v>0</v>
      </c>
      <c r="AA243" s="112" t="n">
        <f aca="false">IF(C243&gt;=PR_ARFage1,IF(Z243&gt;PR_ARFbig,PR_ARFbigRate,IF(C243&gt;=PR_ARFage2,PR_ARF71,PR_ARF61)),0)</f>
        <v>0</v>
      </c>
      <c r="AB243" s="1" t="n">
        <f aca="false">IF(AS_DrawRule="min",Z243*AA243,IF(AS_DrawRule="fixed",MAX(AS_DrawFixed*E243,Z243*AA243),Z243*MAX(1/MAX(1,AS_End-C243+1),AA243)))</f>
        <v>0</v>
      </c>
      <c r="AC243" s="1" t="n">
        <f aca="false">IF(AND(G243=0,C243&gt;=F_V),MIN(Z243,AB243),0)</f>
        <v>0</v>
      </c>
      <c r="AD243" s="1" t="n">
        <f aca="false">IF(G243=1,S243*(1+F_PenG)+Q243,IF(C243&lt;F_V,S243*(1+F_PenG),(Z243-AC243)*(1+AS_PenRet)))</f>
        <v>0</v>
      </c>
      <c r="AE243" s="1" t="n">
        <f aca="false">IF(C243&gt;=PR_SPage,AS_SP*F_SpF*I243+IF(AND(C243&gt;=PR_Over80Age,F_SpF&gt;0),PR_Over80*PR_Weeks*I243,0),0)</f>
        <v>0</v>
      </c>
      <c r="AF243" s="1" t="n">
        <f aca="false">(F_OtherM+F_RentM)*12*E243</f>
        <v>0</v>
      </c>
      <c r="AG243" s="1" t="n">
        <f aca="false">F_PAge+B243</f>
        <v>9</v>
      </c>
      <c r="AH243" s="1" t="n">
        <f aca="false">IF(AND(F_Partner=1,F_PAge&gt;0,AG243&lt;IF(F_PRet&gt;0,F_PRet,PR_SPage)),F_PIncome*F243,0)</f>
        <v>0</v>
      </c>
      <c r="AI243" s="1" t="n">
        <f aca="false">IF(AND(F_Partner=1,AG243&gt;=PR_SPage,F_PSpQA=0),AS_SP*F_PSpF*I243,0)</f>
        <v>0</v>
      </c>
      <c r="AJ243" s="1" t="n">
        <f aca="false">IF(AND(F_Partner=1,F_PSpQA=1,C243&gt;=PR_SPage,AH243=0),IF(AG243&gt;=PR_SPage,PR_QA66,PR_QAunder)*PR_Weeks*I243,0)</f>
        <v>0</v>
      </c>
      <c r="AK243" s="1" t="n">
        <f aca="false">AE243+AJ243</f>
        <v>0</v>
      </c>
      <c r="AL243" s="1" t="n">
        <f aca="false">K243/H243</f>
        <v>0</v>
      </c>
      <c r="AM243" s="1" t="n">
        <f aca="false">AK243/H243</f>
        <v>0</v>
      </c>
      <c r="AN243" s="1" t="n">
        <f aca="false">AC243/H243</f>
        <v>0</v>
      </c>
      <c r="AO243" s="1" t="n">
        <f aca="false">AF243/H243</f>
        <v>0</v>
      </c>
      <c r="AP243" s="1" t="n">
        <f aca="false">O243/H243</f>
        <v>0</v>
      </c>
      <c r="AQ243" s="1" t="n">
        <f aca="false">AH243/H243</f>
        <v>0</v>
      </c>
      <c r="AR243" s="1" t="n">
        <f aca="false">AI243/H243</f>
        <v>0</v>
      </c>
      <c r="AS243" s="1" t="n">
        <f aca="false">MAX(0,AL243+AN243+AO243+AM243-AP243)</f>
        <v>0</v>
      </c>
      <c r="AT243" s="1" t="n">
        <f aca="false">MAX(0,AQ243+AR243)</f>
        <v>0</v>
      </c>
      <c r="AU243" s="1" t="n">
        <f aca="false">MIN(PR_PAYE,PR_PAYEcap*(AL243+AN243+AM243))</f>
        <v>0</v>
      </c>
      <c r="AV243" s="1" t="n">
        <f aca="false">MIN(PR_PAYE,PR_PAYEcap*(AQ243+AR243))</f>
        <v>0</v>
      </c>
      <c r="AW243" s="1" t="n">
        <f aca="false">IF(C243&gt;=PR_AgeCrAge,PR_AgeCr,0)</f>
        <v>0</v>
      </c>
      <c r="AX243" s="1" t="n">
        <f aca="false">IF(AG243&gt;=PR_AgeCrAge,PR_AgeCr,0)</f>
        <v>0</v>
      </c>
      <c r="AY243" s="1" t="n">
        <f aca="false">IF(AND(F_RentCred=1,D243&lt;=PR_RentLast),1,0)</f>
        <v>0</v>
      </c>
      <c r="AZ243" s="1" t="n">
        <f aca="false">AS243+AT243</f>
        <v>0</v>
      </c>
      <c r="BA243" s="1" t="n">
        <f aca="false">PR_PersonalM+AU243+AV243+AW243+AX243+IF(AY243=1,PR_RentJoint,0)</f>
        <v>4000</v>
      </c>
      <c r="BB243" s="1" t="n">
        <f aca="false">PR_BandM+MIN(MIN(AS243,AT243),PR_Uplift)</f>
        <v>53000</v>
      </c>
      <c r="BC243" s="1" t="n">
        <f aca="false">MAX(0,PR_r1*MIN(AZ243,BB243)+PR_r2*MAX(0,AZ243-BB243)-BA243)</f>
        <v>0</v>
      </c>
      <c r="BD243" s="1" t="n">
        <f aca="false">MAX(0,PR_HomeCarer-MAX(0,MIN(AS243,AT243)-PR_HCLimit)/2)</f>
        <v>1950</v>
      </c>
      <c r="BE243" s="1" t="n">
        <f aca="false">IF(F_Carer=1,MIN(BC243,MAX(0,PR_r1*MIN(AZ243,PR_BandM)+PR_r2*MAX(0,AZ243-PR_BandM)-BA243-BD243)),BC243)</f>
        <v>0</v>
      </c>
      <c r="BF243" s="1" t="n">
        <f aca="false">IF(OR(C243&gt;=PR_AgeCrAge,AG243&gt;=PR_AgeCrAge),IF(AZ243&lt;=PR_AgeExM,0,MIN(BE243,PR_AgeMarg*(AZ243-PR_AgeExM))),BE243)</f>
        <v>0</v>
      </c>
      <c r="BG243" s="1" t="n">
        <f aca="false">MAX(0,PR_r1*MIN(AS243,IF(F_Spccc=1,PR_BandSPCCC,PR_Band))+PR_r2*MAX(0,AS243-IF(F_Spccc=1,PR_BandSPCCC,PR_Band))-(PR_Personal+AU243+AW243+IF(F_Spccc=1,PR_SPCCC,0)+IF(AY243=1,PR_Rent,0)))</f>
        <v>0</v>
      </c>
      <c r="BH243" s="1" t="n">
        <f aca="false">IF(C243&gt;=PR_AgeCrAge,IF(AS243&lt;=PR_AgeEx,0,MIN(BG243,PR_AgeMarg*(AS243-PR_AgeEx))),BG243)</f>
        <v>0</v>
      </c>
      <c r="BI243" s="1" t="n">
        <f aca="false">IF(F_Partner=1,MAX(0,PR_r1*MIN(AT243,PR_Band)+PR_r2*MAX(0,AT243-PR_Band)-(PR_Personal+AV243+AX243+IF(AND(AY243=1,AT243&gt;0),PR_Rent,0))),0)</f>
        <v>0</v>
      </c>
      <c r="BJ243" s="1" t="n">
        <f aca="false">IF(AG243&gt;=PR_AgeCrAge,IF(AT243&lt;=PR_AgeEx,0,MIN(BI243,PR_AgeMarg*(AT243-PR_AgeEx))),BI243)</f>
        <v>0</v>
      </c>
      <c r="BK243" s="1" t="n">
        <f aca="false">IF(F_Partner=1,IF(F_Married=1,BF243,BH243+BJ243),BH243)</f>
        <v>0</v>
      </c>
      <c r="BL243" s="1" t="n">
        <f aca="false">AL243+AN243+AO243</f>
        <v>0</v>
      </c>
      <c r="BM243" s="1" t="n">
        <f aca="false">IF(BL243&lt;=PR_USCex,0,IF(IF(AND(C243&gt;=PR_USCredAge,BL243&lt;=PR_USCredMax),1,0)=1,PR_USCr1*MIN(BL243,PR_USCredB1)+PR_USCredR2*MAX(0,BL243-PR_USCredB1),PR_USCr1*MIN(BL243,PR_USCb1)+PR_USCr2*MAX(0,MIN(BL243,PR_USCb2)-PR_USCb1)+PR_USCr3*MAX(0,MIN(BL243,PR_USCb3)-PR_USCb2)+PR_USCr4*MAX(0,BL243-PR_USCb3)))+IF(F_SelfEmp=1,PR_USCse*MAX(0,AL243-PR_USCseOver),0)</f>
        <v>0</v>
      </c>
      <c r="BN243" s="1" t="n">
        <f aca="false">AQ243</f>
        <v>0</v>
      </c>
      <c r="BO243" s="1" t="n">
        <f aca="false">IF(F_Partner=1,IF(BN243&lt;=PR_USCex,0,IF(IF(AND(AG243&gt;=PR_USCredAge,BN243&lt;=PR_USCredMax),1,0)=1,PR_USCr1*MIN(BN243,PR_USCredB1)+PR_USCredR2*MAX(0,BN243-PR_USCredB1),PR_USCr1*MIN(BN243,PR_USCb1)+PR_USCr2*MAX(0,MIN(BN243,PR_USCb2)-PR_USCb1)+PR_USCr3*MAX(0,MIN(BN243,PR_USCb3)-PR_USCb2)+PR_USCr4*MAX(0,BN243-PR_USCb3))),0)</f>
        <v>0</v>
      </c>
      <c r="BP243" s="1" t="n">
        <f aca="false">IF(C243&lt;PR_PRSIend,IF(F_SelfEmp=1,IF(AL243&gt;PR_PRSIsMinInc,MAX(PR_PRSIsMin,AL243*J243),0),IF(AL243/52&lt;=PR_PRSIfree,0,MAX(0,(AL243/52*J243-IF(AL243/52&lt;=PR_PRSIcreditTo,MAX(0,PR_PRSIcreditMax-(AL243/52-(PR_PRSIfree+0.01))/PR_PRSItaper),0))*52)))+J243*AN243+IF(AO243&gt;PR_PRSIunearned,J243*AO243,0),0)</f>
        <v>0</v>
      </c>
      <c r="BQ243" s="1" t="n">
        <f aca="false">IF(AND(F_Partner=1,AG243&lt;PR_PRSIend),IF(AQ243/52&lt;=PR_PRSIfree,0,MAX(0,(AQ243/52*J243-IF(AQ243/52&lt;=PR_PRSIcreditTo,MAX(0,PR_PRSIcreditMax-(AQ243/52-(PR_PRSIfree+0.01))/PR_PRSItaper),0))*52)),0)</f>
        <v>0</v>
      </c>
      <c r="BR243" s="1" t="n">
        <f aca="false">BK243+BM243+BO243+BP243+BQ243</f>
        <v>0</v>
      </c>
      <c r="BS243" s="1" t="n">
        <f aca="false">BR243*H243</f>
        <v>0</v>
      </c>
      <c r="BT243" s="1" t="n">
        <f aca="false">K243+AK243+AC243+AF243+AH243+AI243</f>
        <v>0</v>
      </c>
    </row>
    <row r="244" customFormat="false" ht="15" hidden="false" customHeight="true" outlineLevel="0" collapsed="false">
      <c r="B244" s="1" t="n">
        <v>10</v>
      </c>
      <c r="C244" s="1" t="n">
        <f aca="false">F_Age+B244</f>
        <v>10</v>
      </c>
      <c r="D244" s="1" t="n">
        <f aca="false">AS_Year0+B244</f>
        <v>2037</v>
      </c>
      <c r="E244" s="111" t="n">
        <f aca="false">(1+AS_Infl)^B244</f>
        <v>1.21899441999476</v>
      </c>
      <c r="F244" s="111" t="n">
        <f aca="false">(1+AS_Wage)^B244</f>
        <v>1.34391637934412</v>
      </c>
      <c r="G244" s="1" t="n">
        <f aca="false">IF(C244&lt;F_R,1,0)</f>
        <v>1</v>
      </c>
      <c r="H244" s="111" t="n">
        <f aca="false">IF(AS_Bands="flat",1,E244)</f>
        <v>1.21899441999476</v>
      </c>
      <c r="I244" s="111" t="n">
        <f aca="false">IF(AS_SpGrow="pay",F244,IF(AS_SpGrow="flat",1,E244))</f>
        <v>1.21899441999476</v>
      </c>
      <c r="J244" s="111" t="n">
        <f aca="false">(12*PR_PRSIr0+(PR_PRSIr1-PR_PRSIr0)*MAX(0,MIN(12,D244*12+12-PR_PRSIt1))+(PR_PRSIr2-PR_PRSIr1)*MAX(0,MIN(12,D244*12+12-PR_PRSIt2))+(PR_PRSIr3-PR_PRSIr2)*MAX(0,MIN(12,D244*12+12-PR_PRSIt3)))/12</f>
        <v>0.047</v>
      </c>
      <c r="K244" s="1" t="n">
        <f aca="false">IF(G244=1,F_Income*F244,0)</f>
        <v>0</v>
      </c>
      <c r="L244" s="1" t="n">
        <f aca="false">IF(G244=1,(F_Own+In_penExtra)*12*F244,0)</f>
        <v>0</v>
      </c>
      <c r="M244" s="1" t="n">
        <f aca="false">IF(G244=1,(F_PenM+In_penExtra)*12*F244,0)</f>
        <v>0</v>
      </c>
      <c r="N244" s="112" t="n">
        <f aca="false">IF(C244&lt;PR_RelA1,PR_RelP1,IF(C244&lt;PR_RelA2,PR_RelP2,IF(C244&lt;PR_RelA3,PR_RelP3,IF(C244&lt;PR_RelA4,PR_RelP4,IF(C244&lt;PR_RelA5,PR_RelP5,PR_RelP6)))))</f>
        <v>0.15</v>
      </c>
      <c r="O244" s="1" t="n">
        <f aca="false">IF(G244=1,MIN(L244/H244,N244*MIN(K244/H244,PR_EarnCap))*H244,0)</f>
        <v>0</v>
      </c>
      <c r="P244" s="1" t="n">
        <f aca="false">IF(AND(G244=1,F_AE=1),MIN(K244/H244,PR_AEcap)*H244,0)</f>
        <v>0</v>
      </c>
      <c r="Q244" s="1" t="n">
        <f aca="false">IF(G244=1,IF(WI_Retire=1,MAX(0,M244+WI_M*12),M244)+(PR_AEee+PR_AEer+PR_AEst)*P244,0)</f>
        <v>0</v>
      </c>
      <c r="R244" s="1" t="n">
        <f aca="false">L244+PR_AEee*P244</f>
        <v>0</v>
      </c>
      <c r="S244" s="1" t="n">
        <f aca="false">AD243</f>
        <v>0</v>
      </c>
      <c r="T244" s="1" t="n">
        <f aca="false">IF(D244&lt;=PR_SFTfrom,PR_SFT2026,IF(D244=PR_SFTfrom+1,PR_SFT2027,IF(D244=PR_SFTfrom+2,PR_SFT2028,IF(D244&lt;=PR_SFTto,PR_SFT2029,PR_SFT2029*(1+AS_Infl)^(D244-PR_SFTto)))))</f>
        <v>3280646.26680634</v>
      </c>
      <c r="U244" s="1" t="n">
        <f aca="false">IF(AND(G244=0,C244=F_V),1,0)</f>
        <v>0</v>
      </c>
      <c r="V244" s="1" t="n">
        <f aca="false">IF(U244=1,PR_SFTrate*MAX(0,S244-T244),0)</f>
        <v>0</v>
      </c>
      <c r="W244" s="1" t="n">
        <f aca="false">S244-V244</f>
        <v>0</v>
      </c>
      <c r="X244" s="1" t="n">
        <f aca="false">IF(AND(U244=1,AS_LumpPct&gt;0),W244*MIN(AS_LumpPct,PR_LSmax),0)</f>
        <v>0</v>
      </c>
      <c r="Y244" s="1" t="n">
        <f aca="false">X244-(PR_LSrate*MAX(0,MIN(X244,PR_LScap)-PR_LSfree)+PR_r2*MAX(0,X244-PR_LScap))</f>
        <v>0</v>
      </c>
      <c r="Z244" s="1" t="n">
        <f aca="false">W244-X244</f>
        <v>0</v>
      </c>
      <c r="AA244" s="112" t="n">
        <f aca="false">IF(C244&gt;=PR_ARFage1,IF(Z244&gt;PR_ARFbig,PR_ARFbigRate,IF(C244&gt;=PR_ARFage2,PR_ARF71,PR_ARF61)),0)</f>
        <v>0</v>
      </c>
      <c r="AB244" s="1" t="n">
        <f aca="false">IF(AS_DrawRule="min",Z244*AA244,IF(AS_DrawRule="fixed",MAX(AS_DrawFixed*E244,Z244*AA244),Z244*MAX(1/MAX(1,AS_End-C244+1),AA244)))</f>
        <v>0</v>
      </c>
      <c r="AC244" s="1" t="n">
        <f aca="false">IF(AND(G244=0,C244&gt;=F_V),MIN(Z244,AB244),0)</f>
        <v>0</v>
      </c>
      <c r="AD244" s="1" t="n">
        <f aca="false">IF(G244=1,S244*(1+F_PenG)+Q244,IF(C244&lt;F_V,S244*(1+F_PenG),(Z244-AC244)*(1+AS_PenRet)))</f>
        <v>0</v>
      </c>
      <c r="AE244" s="1" t="n">
        <f aca="false">IF(C244&gt;=PR_SPage,AS_SP*F_SpF*I244+IF(AND(C244&gt;=PR_Over80Age,F_SpF&gt;0),PR_Over80*PR_Weeks*I244,0),0)</f>
        <v>0</v>
      </c>
      <c r="AF244" s="1" t="n">
        <f aca="false">(F_OtherM+F_RentM)*12*E244</f>
        <v>0</v>
      </c>
      <c r="AG244" s="1" t="n">
        <f aca="false">F_PAge+B244</f>
        <v>10</v>
      </c>
      <c r="AH244" s="1" t="n">
        <f aca="false">IF(AND(F_Partner=1,F_PAge&gt;0,AG244&lt;IF(F_PRet&gt;0,F_PRet,PR_SPage)),F_PIncome*F244,0)</f>
        <v>0</v>
      </c>
      <c r="AI244" s="1" t="n">
        <f aca="false">IF(AND(F_Partner=1,AG244&gt;=PR_SPage,F_PSpQA=0),AS_SP*F_PSpF*I244,0)</f>
        <v>0</v>
      </c>
      <c r="AJ244" s="1" t="n">
        <f aca="false">IF(AND(F_Partner=1,F_PSpQA=1,C244&gt;=PR_SPage,AH244=0),IF(AG244&gt;=PR_SPage,PR_QA66,PR_QAunder)*PR_Weeks*I244,0)</f>
        <v>0</v>
      </c>
      <c r="AK244" s="1" t="n">
        <f aca="false">AE244+AJ244</f>
        <v>0</v>
      </c>
      <c r="AL244" s="1" t="n">
        <f aca="false">K244/H244</f>
        <v>0</v>
      </c>
      <c r="AM244" s="1" t="n">
        <f aca="false">AK244/H244</f>
        <v>0</v>
      </c>
      <c r="AN244" s="1" t="n">
        <f aca="false">AC244/H244</f>
        <v>0</v>
      </c>
      <c r="AO244" s="1" t="n">
        <f aca="false">AF244/H244</f>
        <v>0</v>
      </c>
      <c r="AP244" s="1" t="n">
        <f aca="false">O244/H244</f>
        <v>0</v>
      </c>
      <c r="AQ244" s="1" t="n">
        <f aca="false">AH244/H244</f>
        <v>0</v>
      </c>
      <c r="AR244" s="1" t="n">
        <f aca="false">AI244/H244</f>
        <v>0</v>
      </c>
      <c r="AS244" s="1" t="n">
        <f aca="false">MAX(0,AL244+AN244+AO244+AM244-AP244)</f>
        <v>0</v>
      </c>
      <c r="AT244" s="1" t="n">
        <f aca="false">MAX(0,AQ244+AR244)</f>
        <v>0</v>
      </c>
      <c r="AU244" s="1" t="n">
        <f aca="false">MIN(PR_PAYE,PR_PAYEcap*(AL244+AN244+AM244))</f>
        <v>0</v>
      </c>
      <c r="AV244" s="1" t="n">
        <f aca="false">MIN(PR_PAYE,PR_PAYEcap*(AQ244+AR244))</f>
        <v>0</v>
      </c>
      <c r="AW244" s="1" t="n">
        <f aca="false">IF(C244&gt;=PR_AgeCrAge,PR_AgeCr,0)</f>
        <v>0</v>
      </c>
      <c r="AX244" s="1" t="n">
        <f aca="false">IF(AG244&gt;=PR_AgeCrAge,PR_AgeCr,0)</f>
        <v>0</v>
      </c>
      <c r="AY244" s="1" t="n">
        <f aca="false">IF(AND(F_RentCred=1,D244&lt;=PR_RentLast),1,0)</f>
        <v>0</v>
      </c>
      <c r="AZ244" s="1" t="n">
        <f aca="false">AS244+AT244</f>
        <v>0</v>
      </c>
      <c r="BA244" s="1" t="n">
        <f aca="false">PR_PersonalM+AU244+AV244+AW244+AX244+IF(AY244=1,PR_RentJoint,0)</f>
        <v>4000</v>
      </c>
      <c r="BB244" s="1" t="n">
        <f aca="false">PR_BandM+MIN(MIN(AS244,AT244),PR_Uplift)</f>
        <v>53000</v>
      </c>
      <c r="BC244" s="1" t="n">
        <f aca="false">MAX(0,PR_r1*MIN(AZ244,BB244)+PR_r2*MAX(0,AZ244-BB244)-BA244)</f>
        <v>0</v>
      </c>
      <c r="BD244" s="1" t="n">
        <f aca="false">MAX(0,PR_HomeCarer-MAX(0,MIN(AS244,AT244)-PR_HCLimit)/2)</f>
        <v>1950</v>
      </c>
      <c r="BE244" s="1" t="n">
        <f aca="false">IF(F_Carer=1,MIN(BC244,MAX(0,PR_r1*MIN(AZ244,PR_BandM)+PR_r2*MAX(0,AZ244-PR_BandM)-BA244-BD244)),BC244)</f>
        <v>0</v>
      </c>
      <c r="BF244" s="1" t="n">
        <f aca="false">IF(OR(C244&gt;=PR_AgeCrAge,AG244&gt;=PR_AgeCrAge),IF(AZ244&lt;=PR_AgeExM,0,MIN(BE244,PR_AgeMarg*(AZ244-PR_AgeExM))),BE244)</f>
        <v>0</v>
      </c>
      <c r="BG244" s="1" t="n">
        <f aca="false">MAX(0,PR_r1*MIN(AS244,IF(F_Spccc=1,PR_BandSPCCC,PR_Band))+PR_r2*MAX(0,AS244-IF(F_Spccc=1,PR_BandSPCCC,PR_Band))-(PR_Personal+AU244+AW244+IF(F_Spccc=1,PR_SPCCC,0)+IF(AY244=1,PR_Rent,0)))</f>
        <v>0</v>
      </c>
      <c r="BH244" s="1" t="n">
        <f aca="false">IF(C244&gt;=PR_AgeCrAge,IF(AS244&lt;=PR_AgeEx,0,MIN(BG244,PR_AgeMarg*(AS244-PR_AgeEx))),BG244)</f>
        <v>0</v>
      </c>
      <c r="BI244" s="1" t="n">
        <f aca="false">IF(F_Partner=1,MAX(0,PR_r1*MIN(AT244,PR_Band)+PR_r2*MAX(0,AT244-PR_Band)-(PR_Personal+AV244+AX244+IF(AND(AY244=1,AT244&gt;0),PR_Rent,0))),0)</f>
        <v>0</v>
      </c>
      <c r="BJ244" s="1" t="n">
        <f aca="false">IF(AG244&gt;=PR_AgeCrAge,IF(AT244&lt;=PR_AgeEx,0,MIN(BI244,PR_AgeMarg*(AT244-PR_AgeEx))),BI244)</f>
        <v>0</v>
      </c>
      <c r="BK244" s="1" t="n">
        <f aca="false">IF(F_Partner=1,IF(F_Married=1,BF244,BH244+BJ244),BH244)</f>
        <v>0</v>
      </c>
      <c r="BL244" s="1" t="n">
        <f aca="false">AL244+AN244+AO244</f>
        <v>0</v>
      </c>
      <c r="BM244" s="1" t="n">
        <f aca="false">IF(BL244&lt;=PR_USCex,0,IF(IF(AND(C244&gt;=PR_USCredAge,BL244&lt;=PR_USCredMax),1,0)=1,PR_USCr1*MIN(BL244,PR_USCredB1)+PR_USCredR2*MAX(0,BL244-PR_USCredB1),PR_USCr1*MIN(BL244,PR_USCb1)+PR_USCr2*MAX(0,MIN(BL244,PR_USCb2)-PR_USCb1)+PR_USCr3*MAX(0,MIN(BL244,PR_USCb3)-PR_USCb2)+PR_USCr4*MAX(0,BL244-PR_USCb3)))+IF(F_SelfEmp=1,PR_USCse*MAX(0,AL244-PR_USCseOver),0)</f>
        <v>0</v>
      </c>
      <c r="BN244" s="1" t="n">
        <f aca="false">AQ244</f>
        <v>0</v>
      </c>
      <c r="BO244" s="1" t="n">
        <f aca="false">IF(F_Partner=1,IF(BN244&lt;=PR_USCex,0,IF(IF(AND(AG244&gt;=PR_USCredAge,BN244&lt;=PR_USCredMax),1,0)=1,PR_USCr1*MIN(BN244,PR_USCredB1)+PR_USCredR2*MAX(0,BN244-PR_USCredB1),PR_USCr1*MIN(BN244,PR_USCb1)+PR_USCr2*MAX(0,MIN(BN244,PR_USCb2)-PR_USCb1)+PR_USCr3*MAX(0,MIN(BN244,PR_USCb3)-PR_USCb2)+PR_USCr4*MAX(0,BN244-PR_USCb3))),0)</f>
        <v>0</v>
      </c>
      <c r="BP244" s="1" t="n">
        <f aca="false">IF(C244&lt;PR_PRSIend,IF(F_SelfEmp=1,IF(AL244&gt;PR_PRSIsMinInc,MAX(PR_PRSIsMin,AL244*J244),0),IF(AL244/52&lt;=PR_PRSIfree,0,MAX(0,(AL244/52*J244-IF(AL244/52&lt;=PR_PRSIcreditTo,MAX(0,PR_PRSIcreditMax-(AL244/52-(PR_PRSIfree+0.01))/PR_PRSItaper),0))*52)))+J244*AN244+IF(AO244&gt;PR_PRSIunearned,J244*AO244,0),0)</f>
        <v>0</v>
      </c>
      <c r="BQ244" s="1" t="n">
        <f aca="false">IF(AND(F_Partner=1,AG244&lt;PR_PRSIend),IF(AQ244/52&lt;=PR_PRSIfree,0,MAX(0,(AQ244/52*J244-IF(AQ244/52&lt;=PR_PRSIcreditTo,MAX(0,PR_PRSIcreditMax-(AQ244/52-(PR_PRSIfree+0.01))/PR_PRSItaper),0))*52)),0)</f>
        <v>0</v>
      </c>
      <c r="BR244" s="1" t="n">
        <f aca="false">BK244+BM244+BO244+BP244+BQ244</f>
        <v>0</v>
      </c>
      <c r="BS244" s="1" t="n">
        <f aca="false">BR244*H244</f>
        <v>0</v>
      </c>
      <c r="BT244" s="1" t="n">
        <f aca="false">K244+AK244+AC244+AF244+AH244+AI244</f>
        <v>0</v>
      </c>
    </row>
    <row r="245" customFormat="false" ht="15" hidden="false" customHeight="true" outlineLevel="0" collapsed="false">
      <c r="B245" s="1" t="n">
        <v>11</v>
      </c>
      <c r="C245" s="1" t="n">
        <f aca="false">F_Age+B245</f>
        <v>11</v>
      </c>
      <c r="D245" s="1" t="n">
        <f aca="false">AS_Year0+B245</f>
        <v>2038</v>
      </c>
      <c r="E245" s="111" t="n">
        <f aca="false">(1+AS_Infl)^B245</f>
        <v>1.24337430839465</v>
      </c>
      <c r="F245" s="111" t="n">
        <f aca="false">(1+AS_Wage)^B245</f>
        <v>1.38423387072445</v>
      </c>
      <c r="G245" s="1" t="n">
        <f aca="false">IF(C245&lt;F_R,1,0)</f>
        <v>1</v>
      </c>
      <c r="H245" s="111" t="n">
        <f aca="false">IF(AS_Bands="flat",1,E245)</f>
        <v>1.24337430839465</v>
      </c>
      <c r="I245" s="111" t="n">
        <f aca="false">IF(AS_SpGrow="pay",F245,IF(AS_SpGrow="flat",1,E245))</f>
        <v>1.24337430839465</v>
      </c>
      <c r="J245" s="111" t="n">
        <f aca="false">(12*PR_PRSIr0+(PR_PRSIr1-PR_PRSIr0)*MAX(0,MIN(12,D245*12+12-PR_PRSIt1))+(PR_PRSIr2-PR_PRSIr1)*MAX(0,MIN(12,D245*12+12-PR_PRSIt2))+(PR_PRSIr3-PR_PRSIr2)*MAX(0,MIN(12,D245*12+12-PR_PRSIt3)))/12</f>
        <v>0.047</v>
      </c>
      <c r="K245" s="1" t="n">
        <f aca="false">IF(G245=1,F_Income*F245,0)</f>
        <v>0</v>
      </c>
      <c r="L245" s="1" t="n">
        <f aca="false">IF(G245=1,(F_Own+In_penExtra)*12*F245,0)</f>
        <v>0</v>
      </c>
      <c r="M245" s="1" t="n">
        <f aca="false">IF(G245=1,(F_PenM+In_penExtra)*12*F245,0)</f>
        <v>0</v>
      </c>
      <c r="N245" s="112" t="n">
        <f aca="false">IF(C245&lt;PR_RelA1,PR_RelP1,IF(C245&lt;PR_RelA2,PR_RelP2,IF(C245&lt;PR_RelA3,PR_RelP3,IF(C245&lt;PR_RelA4,PR_RelP4,IF(C245&lt;PR_RelA5,PR_RelP5,PR_RelP6)))))</f>
        <v>0.15</v>
      </c>
      <c r="O245" s="1" t="n">
        <f aca="false">IF(G245=1,MIN(L245/H245,N245*MIN(K245/H245,PR_EarnCap))*H245,0)</f>
        <v>0</v>
      </c>
      <c r="P245" s="1" t="n">
        <f aca="false">IF(AND(G245=1,F_AE=1),MIN(K245/H245,PR_AEcap)*H245,0)</f>
        <v>0</v>
      </c>
      <c r="Q245" s="1" t="n">
        <f aca="false">IF(G245=1,IF(WI_Retire=1,MAX(0,M245+WI_M*12),M245)+(PR_AEee+PR_AEer+PR_AEst)*P245,0)</f>
        <v>0</v>
      </c>
      <c r="R245" s="1" t="n">
        <f aca="false">L245+PR_AEee*P245</f>
        <v>0</v>
      </c>
      <c r="S245" s="1" t="n">
        <f aca="false">AD244</f>
        <v>0</v>
      </c>
      <c r="T245" s="1" t="n">
        <f aca="false">IF(D245&lt;=PR_SFTfrom,PR_SFT2026,IF(D245=PR_SFTfrom+1,PR_SFT2027,IF(D245=PR_SFTfrom+2,PR_SFT2028,IF(D245&lt;=PR_SFTto,PR_SFT2029,PR_SFT2029*(1+AS_Infl)^(D245-PR_SFTto)))))</f>
        <v>3346259.19214247</v>
      </c>
      <c r="U245" s="1" t="n">
        <f aca="false">IF(AND(G245=0,C245=F_V),1,0)</f>
        <v>0</v>
      </c>
      <c r="V245" s="1" t="n">
        <f aca="false">IF(U245=1,PR_SFTrate*MAX(0,S245-T245),0)</f>
        <v>0</v>
      </c>
      <c r="W245" s="1" t="n">
        <f aca="false">S245-V245</f>
        <v>0</v>
      </c>
      <c r="X245" s="1" t="n">
        <f aca="false">IF(AND(U245=1,AS_LumpPct&gt;0),W245*MIN(AS_LumpPct,PR_LSmax),0)</f>
        <v>0</v>
      </c>
      <c r="Y245" s="1" t="n">
        <f aca="false">X245-(PR_LSrate*MAX(0,MIN(X245,PR_LScap)-PR_LSfree)+PR_r2*MAX(0,X245-PR_LScap))</f>
        <v>0</v>
      </c>
      <c r="Z245" s="1" t="n">
        <f aca="false">W245-X245</f>
        <v>0</v>
      </c>
      <c r="AA245" s="112" t="n">
        <f aca="false">IF(C245&gt;=PR_ARFage1,IF(Z245&gt;PR_ARFbig,PR_ARFbigRate,IF(C245&gt;=PR_ARFage2,PR_ARF71,PR_ARF61)),0)</f>
        <v>0</v>
      </c>
      <c r="AB245" s="1" t="n">
        <f aca="false">IF(AS_DrawRule="min",Z245*AA245,IF(AS_DrawRule="fixed",MAX(AS_DrawFixed*E245,Z245*AA245),Z245*MAX(1/MAX(1,AS_End-C245+1),AA245)))</f>
        <v>0</v>
      </c>
      <c r="AC245" s="1" t="n">
        <f aca="false">IF(AND(G245=0,C245&gt;=F_V),MIN(Z245,AB245),0)</f>
        <v>0</v>
      </c>
      <c r="AD245" s="1" t="n">
        <f aca="false">IF(G245=1,S245*(1+F_PenG)+Q245,IF(C245&lt;F_V,S245*(1+F_PenG),(Z245-AC245)*(1+AS_PenRet)))</f>
        <v>0</v>
      </c>
      <c r="AE245" s="1" t="n">
        <f aca="false">IF(C245&gt;=PR_SPage,AS_SP*F_SpF*I245+IF(AND(C245&gt;=PR_Over80Age,F_SpF&gt;0),PR_Over80*PR_Weeks*I245,0),0)</f>
        <v>0</v>
      </c>
      <c r="AF245" s="1" t="n">
        <f aca="false">(F_OtherM+F_RentM)*12*E245</f>
        <v>0</v>
      </c>
      <c r="AG245" s="1" t="n">
        <f aca="false">F_PAge+B245</f>
        <v>11</v>
      </c>
      <c r="AH245" s="1" t="n">
        <f aca="false">IF(AND(F_Partner=1,F_PAge&gt;0,AG245&lt;IF(F_PRet&gt;0,F_PRet,PR_SPage)),F_PIncome*F245,0)</f>
        <v>0</v>
      </c>
      <c r="AI245" s="1" t="n">
        <f aca="false">IF(AND(F_Partner=1,AG245&gt;=PR_SPage,F_PSpQA=0),AS_SP*F_PSpF*I245,0)</f>
        <v>0</v>
      </c>
      <c r="AJ245" s="1" t="n">
        <f aca="false">IF(AND(F_Partner=1,F_PSpQA=1,C245&gt;=PR_SPage,AH245=0),IF(AG245&gt;=PR_SPage,PR_QA66,PR_QAunder)*PR_Weeks*I245,0)</f>
        <v>0</v>
      </c>
      <c r="AK245" s="1" t="n">
        <f aca="false">AE245+AJ245</f>
        <v>0</v>
      </c>
      <c r="AL245" s="1" t="n">
        <f aca="false">K245/H245</f>
        <v>0</v>
      </c>
      <c r="AM245" s="1" t="n">
        <f aca="false">AK245/H245</f>
        <v>0</v>
      </c>
      <c r="AN245" s="1" t="n">
        <f aca="false">AC245/H245</f>
        <v>0</v>
      </c>
      <c r="AO245" s="1" t="n">
        <f aca="false">AF245/H245</f>
        <v>0</v>
      </c>
      <c r="AP245" s="1" t="n">
        <f aca="false">O245/H245</f>
        <v>0</v>
      </c>
      <c r="AQ245" s="1" t="n">
        <f aca="false">AH245/H245</f>
        <v>0</v>
      </c>
      <c r="AR245" s="1" t="n">
        <f aca="false">AI245/H245</f>
        <v>0</v>
      </c>
      <c r="AS245" s="1" t="n">
        <f aca="false">MAX(0,AL245+AN245+AO245+AM245-AP245)</f>
        <v>0</v>
      </c>
      <c r="AT245" s="1" t="n">
        <f aca="false">MAX(0,AQ245+AR245)</f>
        <v>0</v>
      </c>
      <c r="AU245" s="1" t="n">
        <f aca="false">MIN(PR_PAYE,PR_PAYEcap*(AL245+AN245+AM245))</f>
        <v>0</v>
      </c>
      <c r="AV245" s="1" t="n">
        <f aca="false">MIN(PR_PAYE,PR_PAYEcap*(AQ245+AR245))</f>
        <v>0</v>
      </c>
      <c r="AW245" s="1" t="n">
        <f aca="false">IF(C245&gt;=PR_AgeCrAge,PR_AgeCr,0)</f>
        <v>0</v>
      </c>
      <c r="AX245" s="1" t="n">
        <f aca="false">IF(AG245&gt;=PR_AgeCrAge,PR_AgeCr,0)</f>
        <v>0</v>
      </c>
      <c r="AY245" s="1" t="n">
        <f aca="false">IF(AND(F_RentCred=1,D245&lt;=PR_RentLast),1,0)</f>
        <v>0</v>
      </c>
      <c r="AZ245" s="1" t="n">
        <f aca="false">AS245+AT245</f>
        <v>0</v>
      </c>
      <c r="BA245" s="1" t="n">
        <f aca="false">PR_PersonalM+AU245+AV245+AW245+AX245+IF(AY245=1,PR_RentJoint,0)</f>
        <v>4000</v>
      </c>
      <c r="BB245" s="1" t="n">
        <f aca="false">PR_BandM+MIN(MIN(AS245,AT245),PR_Uplift)</f>
        <v>53000</v>
      </c>
      <c r="BC245" s="1" t="n">
        <f aca="false">MAX(0,PR_r1*MIN(AZ245,BB245)+PR_r2*MAX(0,AZ245-BB245)-BA245)</f>
        <v>0</v>
      </c>
      <c r="BD245" s="1" t="n">
        <f aca="false">MAX(0,PR_HomeCarer-MAX(0,MIN(AS245,AT245)-PR_HCLimit)/2)</f>
        <v>1950</v>
      </c>
      <c r="BE245" s="1" t="n">
        <f aca="false">IF(F_Carer=1,MIN(BC245,MAX(0,PR_r1*MIN(AZ245,PR_BandM)+PR_r2*MAX(0,AZ245-PR_BandM)-BA245-BD245)),BC245)</f>
        <v>0</v>
      </c>
      <c r="BF245" s="1" t="n">
        <f aca="false">IF(OR(C245&gt;=PR_AgeCrAge,AG245&gt;=PR_AgeCrAge),IF(AZ245&lt;=PR_AgeExM,0,MIN(BE245,PR_AgeMarg*(AZ245-PR_AgeExM))),BE245)</f>
        <v>0</v>
      </c>
      <c r="BG245" s="1" t="n">
        <f aca="false">MAX(0,PR_r1*MIN(AS245,IF(F_Spccc=1,PR_BandSPCCC,PR_Band))+PR_r2*MAX(0,AS245-IF(F_Spccc=1,PR_BandSPCCC,PR_Band))-(PR_Personal+AU245+AW245+IF(F_Spccc=1,PR_SPCCC,0)+IF(AY245=1,PR_Rent,0)))</f>
        <v>0</v>
      </c>
      <c r="BH245" s="1" t="n">
        <f aca="false">IF(C245&gt;=PR_AgeCrAge,IF(AS245&lt;=PR_AgeEx,0,MIN(BG245,PR_AgeMarg*(AS245-PR_AgeEx))),BG245)</f>
        <v>0</v>
      </c>
      <c r="BI245" s="1" t="n">
        <f aca="false">IF(F_Partner=1,MAX(0,PR_r1*MIN(AT245,PR_Band)+PR_r2*MAX(0,AT245-PR_Band)-(PR_Personal+AV245+AX245+IF(AND(AY245=1,AT245&gt;0),PR_Rent,0))),0)</f>
        <v>0</v>
      </c>
      <c r="BJ245" s="1" t="n">
        <f aca="false">IF(AG245&gt;=PR_AgeCrAge,IF(AT245&lt;=PR_AgeEx,0,MIN(BI245,PR_AgeMarg*(AT245-PR_AgeEx))),BI245)</f>
        <v>0</v>
      </c>
      <c r="BK245" s="1" t="n">
        <f aca="false">IF(F_Partner=1,IF(F_Married=1,BF245,BH245+BJ245),BH245)</f>
        <v>0</v>
      </c>
      <c r="BL245" s="1" t="n">
        <f aca="false">AL245+AN245+AO245</f>
        <v>0</v>
      </c>
      <c r="BM245" s="1" t="n">
        <f aca="false">IF(BL245&lt;=PR_USCex,0,IF(IF(AND(C245&gt;=PR_USCredAge,BL245&lt;=PR_USCredMax),1,0)=1,PR_USCr1*MIN(BL245,PR_USCredB1)+PR_USCredR2*MAX(0,BL245-PR_USCredB1),PR_USCr1*MIN(BL245,PR_USCb1)+PR_USCr2*MAX(0,MIN(BL245,PR_USCb2)-PR_USCb1)+PR_USCr3*MAX(0,MIN(BL245,PR_USCb3)-PR_USCb2)+PR_USCr4*MAX(0,BL245-PR_USCb3)))+IF(F_SelfEmp=1,PR_USCse*MAX(0,AL245-PR_USCseOver),0)</f>
        <v>0</v>
      </c>
      <c r="BN245" s="1" t="n">
        <f aca="false">AQ245</f>
        <v>0</v>
      </c>
      <c r="BO245" s="1" t="n">
        <f aca="false">IF(F_Partner=1,IF(BN245&lt;=PR_USCex,0,IF(IF(AND(AG245&gt;=PR_USCredAge,BN245&lt;=PR_USCredMax),1,0)=1,PR_USCr1*MIN(BN245,PR_USCredB1)+PR_USCredR2*MAX(0,BN245-PR_USCredB1),PR_USCr1*MIN(BN245,PR_USCb1)+PR_USCr2*MAX(0,MIN(BN245,PR_USCb2)-PR_USCb1)+PR_USCr3*MAX(0,MIN(BN245,PR_USCb3)-PR_USCb2)+PR_USCr4*MAX(0,BN245-PR_USCb3))),0)</f>
        <v>0</v>
      </c>
      <c r="BP245" s="1" t="n">
        <f aca="false">IF(C245&lt;PR_PRSIend,IF(F_SelfEmp=1,IF(AL245&gt;PR_PRSIsMinInc,MAX(PR_PRSIsMin,AL245*J245),0),IF(AL245/52&lt;=PR_PRSIfree,0,MAX(0,(AL245/52*J245-IF(AL245/52&lt;=PR_PRSIcreditTo,MAX(0,PR_PRSIcreditMax-(AL245/52-(PR_PRSIfree+0.01))/PR_PRSItaper),0))*52)))+J245*AN245+IF(AO245&gt;PR_PRSIunearned,J245*AO245,0),0)</f>
        <v>0</v>
      </c>
      <c r="BQ245" s="1" t="n">
        <f aca="false">IF(AND(F_Partner=1,AG245&lt;PR_PRSIend),IF(AQ245/52&lt;=PR_PRSIfree,0,MAX(0,(AQ245/52*J245-IF(AQ245/52&lt;=PR_PRSIcreditTo,MAX(0,PR_PRSIcreditMax-(AQ245/52-(PR_PRSIfree+0.01))/PR_PRSItaper),0))*52)),0)</f>
        <v>0</v>
      </c>
      <c r="BR245" s="1" t="n">
        <f aca="false">BK245+BM245+BO245+BP245+BQ245</f>
        <v>0</v>
      </c>
      <c r="BS245" s="1" t="n">
        <f aca="false">BR245*H245</f>
        <v>0</v>
      </c>
      <c r="BT245" s="1" t="n">
        <f aca="false">K245+AK245+AC245+AF245+AH245+AI245</f>
        <v>0</v>
      </c>
    </row>
    <row r="246" customFormat="false" ht="15" hidden="false" customHeight="true" outlineLevel="0" collapsed="false">
      <c r="B246" s="1" t="n">
        <v>12</v>
      </c>
      <c r="C246" s="1" t="n">
        <f aca="false">F_Age+B246</f>
        <v>12</v>
      </c>
      <c r="D246" s="1" t="n">
        <f aca="false">AS_Year0+B246</f>
        <v>2039</v>
      </c>
      <c r="E246" s="111" t="n">
        <f aca="false">(1+AS_Infl)^B246</f>
        <v>1.26824179456255</v>
      </c>
      <c r="F246" s="111" t="n">
        <f aca="false">(1+AS_Wage)^B246</f>
        <v>1.42576088684618</v>
      </c>
      <c r="G246" s="1" t="n">
        <f aca="false">IF(C246&lt;F_R,1,0)</f>
        <v>1</v>
      </c>
      <c r="H246" s="111" t="n">
        <f aca="false">IF(AS_Bands="flat",1,E246)</f>
        <v>1.26824179456255</v>
      </c>
      <c r="I246" s="111" t="n">
        <f aca="false">IF(AS_SpGrow="pay",F246,IF(AS_SpGrow="flat",1,E246))</f>
        <v>1.26824179456255</v>
      </c>
      <c r="J246" s="111" t="n">
        <f aca="false">(12*PR_PRSIr0+(PR_PRSIr1-PR_PRSIr0)*MAX(0,MIN(12,D246*12+12-PR_PRSIt1))+(PR_PRSIr2-PR_PRSIr1)*MAX(0,MIN(12,D246*12+12-PR_PRSIt2))+(PR_PRSIr3-PR_PRSIr2)*MAX(0,MIN(12,D246*12+12-PR_PRSIt3)))/12</f>
        <v>0.047</v>
      </c>
      <c r="K246" s="1" t="n">
        <f aca="false">IF(G246=1,F_Income*F246,0)</f>
        <v>0</v>
      </c>
      <c r="L246" s="1" t="n">
        <f aca="false">IF(G246=1,(F_Own+In_penExtra)*12*F246,0)</f>
        <v>0</v>
      </c>
      <c r="M246" s="1" t="n">
        <f aca="false">IF(G246=1,(F_PenM+In_penExtra)*12*F246,0)</f>
        <v>0</v>
      </c>
      <c r="N246" s="112" t="n">
        <f aca="false">IF(C246&lt;PR_RelA1,PR_RelP1,IF(C246&lt;PR_RelA2,PR_RelP2,IF(C246&lt;PR_RelA3,PR_RelP3,IF(C246&lt;PR_RelA4,PR_RelP4,IF(C246&lt;PR_RelA5,PR_RelP5,PR_RelP6)))))</f>
        <v>0.15</v>
      </c>
      <c r="O246" s="1" t="n">
        <f aca="false">IF(G246=1,MIN(L246/H246,N246*MIN(K246/H246,PR_EarnCap))*H246,0)</f>
        <v>0</v>
      </c>
      <c r="P246" s="1" t="n">
        <f aca="false">IF(AND(G246=1,F_AE=1),MIN(K246/H246,PR_AEcap)*H246,0)</f>
        <v>0</v>
      </c>
      <c r="Q246" s="1" t="n">
        <f aca="false">IF(G246=1,IF(WI_Retire=1,MAX(0,M246+WI_M*12),M246)+(PR_AEee+PR_AEer+PR_AEst)*P246,0)</f>
        <v>0</v>
      </c>
      <c r="R246" s="1" t="n">
        <f aca="false">L246+PR_AEee*P246</f>
        <v>0</v>
      </c>
      <c r="S246" s="1" t="n">
        <f aca="false">AD245</f>
        <v>0</v>
      </c>
      <c r="T246" s="1" t="n">
        <f aca="false">IF(D246&lt;=PR_SFTfrom,PR_SFT2026,IF(D246=PR_SFTfrom+1,PR_SFT2027,IF(D246=PR_SFTfrom+2,PR_SFT2028,IF(D246&lt;=PR_SFTto,PR_SFT2029,PR_SFT2029*(1+AS_Infl)^(D246-PR_SFTto)))))</f>
        <v>3413184.37598532</v>
      </c>
      <c r="U246" s="1" t="n">
        <f aca="false">IF(AND(G246=0,C246=F_V),1,0)</f>
        <v>0</v>
      </c>
      <c r="V246" s="1" t="n">
        <f aca="false">IF(U246=1,PR_SFTrate*MAX(0,S246-T246),0)</f>
        <v>0</v>
      </c>
      <c r="W246" s="1" t="n">
        <f aca="false">S246-V246</f>
        <v>0</v>
      </c>
      <c r="X246" s="1" t="n">
        <f aca="false">IF(AND(U246=1,AS_LumpPct&gt;0),W246*MIN(AS_LumpPct,PR_LSmax),0)</f>
        <v>0</v>
      </c>
      <c r="Y246" s="1" t="n">
        <f aca="false">X246-(PR_LSrate*MAX(0,MIN(X246,PR_LScap)-PR_LSfree)+PR_r2*MAX(0,X246-PR_LScap))</f>
        <v>0</v>
      </c>
      <c r="Z246" s="1" t="n">
        <f aca="false">W246-X246</f>
        <v>0</v>
      </c>
      <c r="AA246" s="112" t="n">
        <f aca="false">IF(C246&gt;=PR_ARFage1,IF(Z246&gt;PR_ARFbig,PR_ARFbigRate,IF(C246&gt;=PR_ARFage2,PR_ARF71,PR_ARF61)),0)</f>
        <v>0</v>
      </c>
      <c r="AB246" s="1" t="n">
        <f aca="false">IF(AS_DrawRule="min",Z246*AA246,IF(AS_DrawRule="fixed",MAX(AS_DrawFixed*E246,Z246*AA246),Z246*MAX(1/MAX(1,AS_End-C246+1),AA246)))</f>
        <v>0</v>
      </c>
      <c r="AC246" s="1" t="n">
        <f aca="false">IF(AND(G246=0,C246&gt;=F_V),MIN(Z246,AB246),0)</f>
        <v>0</v>
      </c>
      <c r="AD246" s="1" t="n">
        <f aca="false">IF(G246=1,S246*(1+F_PenG)+Q246,IF(C246&lt;F_V,S246*(1+F_PenG),(Z246-AC246)*(1+AS_PenRet)))</f>
        <v>0</v>
      </c>
      <c r="AE246" s="1" t="n">
        <f aca="false">IF(C246&gt;=PR_SPage,AS_SP*F_SpF*I246+IF(AND(C246&gt;=PR_Over80Age,F_SpF&gt;0),PR_Over80*PR_Weeks*I246,0),0)</f>
        <v>0</v>
      </c>
      <c r="AF246" s="1" t="n">
        <f aca="false">(F_OtherM+F_RentM)*12*E246</f>
        <v>0</v>
      </c>
      <c r="AG246" s="1" t="n">
        <f aca="false">F_PAge+B246</f>
        <v>12</v>
      </c>
      <c r="AH246" s="1" t="n">
        <f aca="false">IF(AND(F_Partner=1,F_PAge&gt;0,AG246&lt;IF(F_PRet&gt;0,F_PRet,PR_SPage)),F_PIncome*F246,0)</f>
        <v>0</v>
      </c>
      <c r="AI246" s="1" t="n">
        <f aca="false">IF(AND(F_Partner=1,AG246&gt;=PR_SPage,F_PSpQA=0),AS_SP*F_PSpF*I246,0)</f>
        <v>0</v>
      </c>
      <c r="AJ246" s="1" t="n">
        <f aca="false">IF(AND(F_Partner=1,F_PSpQA=1,C246&gt;=PR_SPage,AH246=0),IF(AG246&gt;=PR_SPage,PR_QA66,PR_QAunder)*PR_Weeks*I246,0)</f>
        <v>0</v>
      </c>
      <c r="AK246" s="1" t="n">
        <f aca="false">AE246+AJ246</f>
        <v>0</v>
      </c>
      <c r="AL246" s="1" t="n">
        <f aca="false">K246/H246</f>
        <v>0</v>
      </c>
      <c r="AM246" s="1" t="n">
        <f aca="false">AK246/H246</f>
        <v>0</v>
      </c>
      <c r="AN246" s="1" t="n">
        <f aca="false">AC246/H246</f>
        <v>0</v>
      </c>
      <c r="AO246" s="1" t="n">
        <f aca="false">AF246/H246</f>
        <v>0</v>
      </c>
      <c r="AP246" s="1" t="n">
        <f aca="false">O246/H246</f>
        <v>0</v>
      </c>
      <c r="AQ246" s="1" t="n">
        <f aca="false">AH246/H246</f>
        <v>0</v>
      </c>
      <c r="AR246" s="1" t="n">
        <f aca="false">AI246/H246</f>
        <v>0</v>
      </c>
      <c r="AS246" s="1" t="n">
        <f aca="false">MAX(0,AL246+AN246+AO246+AM246-AP246)</f>
        <v>0</v>
      </c>
      <c r="AT246" s="1" t="n">
        <f aca="false">MAX(0,AQ246+AR246)</f>
        <v>0</v>
      </c>
      <c r="AU246" s="1" t="n">
        <f aca="false">MIN(PR_PAYE,PR_PAYEcap*(AL246+AN246+AM246))</f>
        <v>0</v>
      </c>
      <c r="AV246" s="1" t="n">
        <f aca="false">MIN(PR_PAYE,PR_PAYEcap*(AQ246+AR246))</f>
        <v>0</v>
      </c>
      <c r="AW246" s="1" t="n">
        <f aca="false">IF(C246&gt;=PR_AgeCrAge,PR_AgeCr,0)</f>
        <v>0</v>
      </c>
      <c r="AX246" s="1" t="n">
        <f aca="false">IF(AG246&gt;=PR_AgeCrAge,PR_AgeCr,0)</f>
        <v>0</v>
      </c>
      <c r="AY246" s="1" t="n">
        <f aca="false">IF(AND(F_RentCred=1,D246&lt;=PR_RentLast),1,0)</f>
        <v>0</v>
      </c>
      <c r="AZ246" s="1" t="n">
        <f aca="false">AS246+AT246</f>
        <v>0</v>
      </c>
      <c r="BA246" s="1" t="n">
        <f aca="false">PR_PersonalM+AU246+AV246+AW246+AX246+IF(AY246=1,PR_RentJoint,0)</f>
        <v>4000</v>
      </c>
      <c r="BB246" s="1" t="n">
        <f aca="false">PR_BandM+MIN(MIN(AS246,AT246),PR_Uplift)</f>
        <v>53000</v>
      </c>
      <c r="BC246" s="1" t="n">
        <f aca="false">MAX(0,PR_r1*MIN(AZ246,BB246)+PR_r2*MAX(0,AZ246-BB246)-BA246)</f>
        <v>0</v>
      </c>
      <c r="BD246" s="1" t="n">
        <f aca="false">MAX(0,PR_HomeCarer-MAX(0,MIN(AS246,AT246)-PR_HCLimit)/2)</f>
        <v>1950</v>
      </c>
      <c r="BE246" s="1" t="n">
        <f aca="false">IF(F_Carer=1,MIN(BC246,MAX(0,PR_r1*MIN(AZ246,PR_BandM)+PR_r2*MAX(0,AZ246-PR_BandM)-BA246-BD246)),BC246)</f>
        <v>0</v>
      </c>
      <c r="BF246" s="1" t="n">
        <f aca="false">IF(OR(C246&gt;=PR_AgeCrAge,AG246&gt;=PR_AgeCrAge),IF(AZ246&lt;=PR_AgeExM,0,MIN(BE246,PR_AgeMarg*(AZ246-PR_AgeExM))),BE246)</f>
        <v>0</v>
      </c>
      <c r="BG246" s="1" t="n">
        <f aca="false">MAX(0,PR_r1*MIN(AS246,IF(F_Spccc=1,PR_BandSPCCC,PR_Band))+PR_r2*MAX(0,AS246-IF(F_Spccc=1,PR_BandSPCCC,PR_Band))-(PR_Personal+AU246+AW246+IF(F_Spccc=1,PR_SPCCC,0)+IF(AY246=1,PR_Rent,0)))</f>
        <v>0</v>
      </c>
      <c r="BH246" s="1" t="n">
        <f aca="false">IF(C246&gt;=PR_AgeCrAge,IF(AS246&lt;=PR_AgeEx,0,MIN(BG246,PR_AgeMarg*(AS246-PR_AgeEx))),BG246)</f>
        <v>0</v>
      </c>
      <c r="BI246" s="1" t="n">
        <f aca="false">IF(F_Partner=1,MAX(0,PR_r1*MIN(AT246,PR_Band)+PR_r2*MAX(0,AT246-PR_Band)-(PR_Personal+AV246+AX246+IF(AND(AY246=1,AT246&gt;0),PR_Rent,0))),0)</f>
        <v>0</v>
      </c>
      <c r="BJ246" s="1" t="n">
        <f aca="false">IF(AG246&gt;=PR_AgeCrAge,IF(AT246&lt;=PR_AgeEx,0,MIN(BI246,PR_AgeMarg*(AT246-PR_AgeEx))),BI246)</f>
        <v>0</v>
      </c>
      <c r="BK246" s="1" t="n">
        <f aca="false">IF(F_Partner=1,IF(F_Married=1,BF246,BH246+BJ246),BH246)</f>
        <v>0</v>
      </c>
      <c r="BL246" s="1" t="n">
        <f aca="false">AL246+AN246+AO246</f>
        <v>0</v>
      </c>
      <c r="BM246" s="1" t="n">
        <f aca="false">IF(BL246&lt;=PR_USCex,0,IF(IF(AND(C246&gt;=PR_USCredAge,BL246&lt;=PR_USCredMax),1,0)=1,PR_USCr1*MIN(BL246,PR_USCredB1)+PR_USCredR2*MAX(0,BL246-PR_USCredB1),PR_USCr1*MIN(BL246,PR_USCb1)+PR_USCr2*MAX(0,MIN(BL246,PR_USCb2)-PR_USCb1)+PR_USCr3*MAX(0,MIN(BL246,PR_USCb3)-PR_USCb2)+PR_USCr4*MAX(0,BL246-PR_USCb3)))+IF(F_SelfEmp=1,PR_USCse*MAX(0,AL246-PR_USCseOver),0)</f>
        <v>0</v>
      </c>
      <c r="BN246" s="1" t="n">
        <f aca="false">AQ246</f>
        <v>0</v>
      </c>
      <c r="BO246" s="1" t="n">
        <f aca="false">IF(F_Partner=1,IF(BN246&lt;=PR_USCex,0,IF(IF(AND(AG246&gt;=PR_USCredAge,BN246&lt;=PR_USCredMax),1,0)=1,PR_USCr1*MIN(BN246,PR_USCredB1)+PR_USCredR2*MAX(0,BN246-PR_USCredB1),PR_USCr1*MIN(BN246,PR_USCb1)+PR_USCr2*MAX(0,MIN(BN246,PR_USCb2)-PR_USCb1)+PR_USCr3*MAX(0,MIN(BN246,PR_USCb3)-PR_USCb2)+PR_USCr4*MAX(0,BN246-PR_USCb3))),0)</f>
        <v>0</v>
      </c>
      <c r="BP246" s="1" t="n">
        <f aca="false">IF(C246&lt;PR_PRSIend,IF(F_SelfEmp=1,IF(AL246&gt;PR_PRSIsMinInc,MAX(PR_PRSIsMin,AL246*J246),0),IF(AL246/52&lt;=PR_PRSIfree,0,MAX(0,(AL246/52*J246-IF(AL246/52&lt;=PR_PRSIcreditTo,MAX(0,PR_PRSIcreditMax-(AL246/52-(PR_PRSIfree+0.01))/PR_PRSItaper),0))*52)))+J246*AN246+IF(AO246&gt;PR_PRSIunearned,J246*AO246,0),0)</f>
        <v>0</v>
      </c>
      <c r="BQ246" s="1" t="n">
        <f aca="false">IF(AND(F_Partner=1,AG246&lt;PR_PRSIend),IF(AQ246/52&lt;=PR_PRSIfree,0,MAX(0,(AQ246/52*J246-IF(AQ246/52&lt;=PR_PRSIcreditTo,MAX(0,PR_PRSIcreditMax-(AQ246/52-(PR_PRSIfree+0.01))/PR_PRSItaper),0))*52)),0)</f>
        <v>0</v>
      </c>
      <c r="BR246" s="1" t="n">
        <f aca="false">BK246+BM246+BO246+BP246+BQ246</f>
        <v>0</v>
      </c>
      <c r="BS246" s="1" t="n">
        <f aca="false">BR246*H246</f>
        <v>0</v>
      </c>
      <c r="BT246" s="1" t="n">
        <f aca="false">K246+AK246+AC246+AF246+AH246+AI246</f>
        <v>0</v>
      </c>
    </row>
    <row r="247" customFormat="false" ht="15" hidden="false" customHeight="true" outlineLevel="0" collapsed="false">
      <c r="B247" s="1" t="n">
        <v>13</v>
      </c>
      <c r="C247" s="1" t="n">
        <f aca="false">F_Age+B247</f>
        <v>13</v>
      </c>
      <c r="D247" s="1" t="n">
        <f aca="false">AS_Year0+B247</f>
        <v>2040</v>
      </c>
      <c r="E247" s="111" t="n">
        <f aca="false">(1+AS_Infl)^B247</f>
        <v>1.2936066304538</v>
      </c>
      <c r="F247" s="111" t="n">
        <f aca="false">(1+AS_Wage)^B247</f>
        <v>1.46853371345156</v>
      </c>
      <c r="G247" s="1" t="n">
        <f aca="false">IF(C247&lt;F_R,1,0)</f>
        <v>1</v>
      </c>
      <c r="H247" s="111" t="n">
        <f aca="false">IF(AS_Bands="flat",1,E247)</f>
        <v>1.2936066304538</v>
      </c>
      <c r="I247" s="111" t="n">
        <f aca="false">IF(AS_SpGrow="pay",F247,IF(AS_SpGrow="flat",1,E247))</f>
        <v>1.2936066304538</v>
      </c>
      <c r="J247" s="111" t="n">
        <f aca="false">(12*PR_PRSIr0+(PR_PRSIr1-PR_PRSIr0)*MAX(0,MIN(12,D247*12+12-PR_PRSIt1))+(PR_PRSIr2-PR_PRSIr1)*MAX(0,MIN(12,D247*12+12-PR_PRSIt2))+(PR_PRSIr3-PR_PRSIr2)*MAX(0,MIN(12,D247*12+12-PR_PRSIt3)))/12</f>
        <v>0.047</v>
      </c>
      <c r="K247" s="1" t="n">
        <f aca="false">IF(G247=1,F_Income*F247,0)</f>
        <v>0</v>
      </c>
      <c r="L247" s="1" t="n">
        <f aca="false">IF(G247=1,(F_Own+In_penExtra)*12*F247,0)</f>
        <v>0</v>
      </c>
      <c r="M247" s="1" t="n">
        <f aca="false">IF(G247=1,(F_PenM+In_penExtra)*12*F247,0)</f>
        <v>0</v>
      </c>
      <c r="N247" s="112" t="n">
        <f aca="false">IF(C247&lt;PR_RelA1,PR_RelP1,IF(C247&lt;PR_RelA2,PR_RelP2,IF(C247&lt;PR_RelA3,PR_RelP3,IF(C247&lt;PR_RelA4,PR_RelP4,IF(C247&lt;PR_RelA5,PR_RelP5,PR_RelP6)))))</f>
        <v>0.15</v>
      </c>
      <c r="O247" s="1" t="n">
        <f aca="false">IF(G247=1,MIN(L247/H247,N247*MIN(K247/H247,PR_EarnCap))*H247,0)</f>
        <v>0</v>
      </c>
      <c r="P247" s="1" t="n">
        <f aca="false">IF(AND(G247=1,F_AE=1),MIN(K247/H247,PR_AEcap)*H247,0)</f>
        <v>0</v>
      </c>
      <c r="Q247" s="1" t="n">
        <f aca="false">IF(G247=1,IF(WI_Retire=1,MAX(0,M247+WI_M*12),M247)+(PR_AEee+PR_AEer+PR_AEst)*P247,0)</f>
        <v>0</v>
      </c>
      <c r="R247" s="1" t="n">
        <f aca="false">L247+PR_AEee*P247</f>
        <v>0</v>
      </c>
      <c r="S247" s="1" t="n">
        <f aca="false">AD246</f>
        <v>0</v>
      </c>
      <c r="T247" s="1" t="n">
        <f aca="false">IF(D247&lt;=PR_SFTfrom,PR_SFT2026,IF(D247=PR_SFTfrom+1,PR_SFT2027,IF(D247=PR_SFTfrom+2,PR_SFT2028,IF(D247&lt;=PR_SFTto,PR_SFT2029,PR_SFT2029*(1+AS_Infl)^(D247-PR_SFTto)))))</f>
        <v>3481448.06350503</v>
      </c>
      <c r="U247" s="1" t="n">
        <f aca="false">IF(AND(G247=0,C247=F_V),1,0)</f>
        <v>0</v>
      </c>
      <c r="V247" s="1" t="n">
        <f aca="false">IF(U247=1,PR_SFTrate*MAX(0,S247-T247),0)</f>
        <v>0</v>
      </c>
      <c r="W247" s="1" t="n">
        <f aca="false">S247-V247</f>
        <v>0</v>
      </c>
      <c r="X247" s="1" t="n">
        <f aca="false">IF(AND(U247=1,AS_LumpPct&gt;0),W247*MIN(AS_LumpPct,PR_LSmax),0)</f>
        <v>0</v>
      </c>
      <c r="Y247" s="1" t="n">
        <f aca="false">X247-(PR_LSrate*MAX(0,MIN(X247,PR_LScap)-PR_LSfree)+PR_r2*MAX(0,X247-PR_LScap))</f>
        <v>0</v>
      </c>
      <c r="Z247" s="1" t="n">
        <f aca="false">W247-X247</f>
        <v>0</v>
      </c>
      <c r="AA247" s="112" t="n">
        <f aca="false">IF(C247&gt;=PR_ARFage1,IF(Z247&gt;PR_ARFbig,PR_ARFbigRate,IF(C247&gt;=PR_ARFage2,PR_ARF71,PR_ARF61)),0)</f>
        <v>0</v>
      </c>
      <c r="AB247" s="1" t="n">
        <f aca="false">IF(AS_DrawRule="min",Z247*AA247,IF(AS_DrawRule="fixed",MAX(AS_DrawFixed*E247,Z247*AA247),Z247*MAX(1/MAX(1,AS_End-C247+1),AA247)))</f>
        <v>0</v>
      </c>
      <c r="AC247" s="1" t="n">
        <f aca="false">IF(AND(G247=0,C247&gt;=F_V),MIN(Z247,AB247),0)</f>
        <v>0</v>
      </c>
      <c r="AD247" s="1" t="n">
        <f aca="false">IF(G247=1,S247*(1+F_PenG)+Q247,IF(C247&lt;F_V,S247*(1+F_PenG),(Z247-AC247)*(1+AS_PenRet)))</f>
        <v>0</v>
      </c>
      <c r="AE247" s="1" t="n">
        <f aca="false">IF(C247&gt;=PR_SPage,AS_SP*F_SpF*I247+IF(AND(C247&gt;=PR_Over80Age,F_SpF&gt;0),PR_Over80*PR_Weeks*I247,0),0)</f>
        <v>0</v>
      </c>
      <c r="AF247" s="1" t="n">
        <f aca="false">(F_OtherM+F_RentM)*12*E247</f>
        <v>0</v>
      </c>
      <c r="AG247" s="1" t="n">
        <f aca="false">F_PAge+B247</f>
        <v>13</v>
      </c>
      <c r="AH247" s="1" t="n">
        <f aca="false">IF(AND(F_Partner=1,F_PAge&gt;0,AG247&lt;IF(F_PRet&gt;0,F_PRet,PR_SPage)),F_PIncome*F247,0)</f>
        <v>0</v>
      </c>
      <c r="AI247" s="1" t="n">
        <f aca="false">IF(AND(F_Partner=1,AG247&gt;=PR_SPage,F_PSpQA=0),AS_SP*F_PSpF*I247,0)</f>
        <v>0</v>
      </c>
      <c r="AJ247" s="1" t="n">
        <f aca="false">IF(AND(F_Partner=1,F_PSpQA=1,C247&gt;=PR_SPage,AH247=0),IF(AG247&gt;=PR_SPage,PR_QA66,PR_QAunder)*PR_Weeks*I247,0)</f>
        <v>0</v>
      </c>
      <c r="AK247" s="1" t="n">
        <f aca="false">AE247+AJ247</f>
        <v>0</v>
      </c>
      <c r="AL247" s="1" t="n">
        <f aca="false">K247/H247</f>
        <v>0</v>
      </c>
      <c r="AM247" s="1" t="n">
        <f aca="false">AK247/H247</f>
        <v>0</v>
      </c>
      <c r="AN247" s="1" t="n">
        <f aca="false">AC247/H247</f>
        <v>0</v>
      </c>
      <c r="AO247" s="1" t="n">
        <f aca="false">AF247/H247</f>
        <v>0</v>
      </c>
      <c r="AP247" s="1" t="n">
        <f aca="false">O247/H247</f>
        <v>0</v>
      </c>
      <c r="AQ247" s="1" t="n">
        <f aca="false">AH247/H247</f>
        <v>0</v>
      </c>
      <c r="AR247" s="1" t="n">
        <f aca="false">AI247/H247</f>
        <v>0</v>
      </c>
      <c r="AS247" s="1" t="n">
        <f aca="false">MAX(0,AL247+AN247+AO247+AM247-AP247)</f>
        <v>0</v>
      </c>
      <c r="AT247" s="1" t="n">
        <f aca="false">MAX(0,AQ247+AR247)</f>
        <v>0</v>
      </c>
      <c r="AU247" s="1" t="n">
        <f aca="false">MIN(PR_PAYE,PR_PAYEcap*(AL247+AN247+AM247))</f>
        <v>0</v>
      </c>
      <c r="AV247" s="1" t="n">
        <f aca="false">MIN(PR_PAYE,PR_PAYEcap*(AQ247+AR247))</f>
        <v>0</v>
      </c>
      <c r="AW247" s="1" t="n">
        <f aca="false">IF(C247&gt;=PR_AgeCrAge,PR_AgeCr,0)</f>
        <v>0</v>
      </c>
      <c r="AX247" s="1" t="n">
        <f aca="false">IF(AG247&gt;=PR_AgeCrAge,PR_AgeCr,0)</f>
        <v>0</v>
      </c>
      <c r="AY247" s="1" t="n">
        <f aca="false">IF(AND(F_RentCred=1,D247&lt;=PR_RentLast),1,0)</f>
        <v>0</v>
      </c>
      <c r="AZ247" s="1" t="n">
        <f aca="false">AS247+AT247</f>
        <v>0</v>
      </c>
      <c r="BA247" s="1" t="n">
        <f aca="false">PR_PersonalM+AU247+AV247+AW247+AX247+IF(AY247=1,PR_RentJoint,0)</f>
        <v>4000</v>
      </c>
      <c r="BB247" s="1" t="n">
        <f aca="false">PR_BandM+MIN(MIN(AS247,AT247),PR_Uplift)</f>
        <v>53000</v>
      </c>
      <c r="BC247" s="1" t="n">
        <f aca="false">MAX(0,PR_r1*MIN(AZ247,BB247)+PR_r2*MAX(0,AZ247-BB247)-BA247)</f>
        <v>0</v>
      </c>
      <c r="BD247" s="1" t="n">
        <f aca="false">MAX(0,PR_HomeCarer-MAX(0,MIN(AS247,AT247)-PR_HCLimit)/2)</f>
        <v>1950</v>
      </c>
      <c r="BE247" s="1" t="n">
        <f aca="false">IF(F_Carer=1,MIN(BC247,MAX(0,PR_r1*MIN(AZ247,PR_BandM)+PR_r2*MAX(0,AZ247-PR_BandM)-BA247-BD247)),BC247)</f>
        <v>0</v>
      </c>
      <c r="BF247" s="1" t="n">
        <f aca="false">IF(OR(C247&gt;=PR_AgeCrAge,AG247&gt;=PR_AgeCrAge),IF(AZ247&lt;=PR_AgeExM,0,MIN(BE247,PR_AgeMarg*(AZ247-PR_AgeExM))),BE247)</f>
        <v>0</v>
      </c>
      <c r="BG247" s="1" t="n">
        <f aca="false">MAX(0,PR_r1*MIN(AS247,IF(F_Spccc=1,PR_BandSPCCC,PR_Band))+PR_r2*MAX(0,AS247-IF(F_Spccc=1,PR_BandSPCCC,PR_Band))-(PR_Personal+AU247+AW247+IF(F_Spccc=1,PR_SPCCC,0)+IF(AY247=1,PR_Rent,0)))</f>
        <v>0</v>
      </c>
      <c r="BH247" s="1" t="n">
        <f aca="false">IF(C247&gt;=PR_AgeCrAge,IF(AS247&lt;=PR_AgeEx,0,MIN(BG247,PR_AgeMarg*(AS247-PR_AgeEx))),BG247)</f>
        <v>0</v>
      </c>
      <c r="BI247" s="1" t="n">
        <f aca="false">IF(F_Partner=1,MAX(0,PR_r1*MIN(AT247,PR_Band)+PR_r2*MAX(0,AT247-PR_Band)-(PR_Personal+AV247+AX247+IF(AND(AY247=1,AT247&gt;0),PR_Rent,0))),0)</f>
        <v>0</v>
      </c>
      <c r="BJ247" s="1" t="n">
        <f aca="false">IF(AG247&gt;=PR_AgeCrAge,IF(AT247&lt;=PR_AgeEx,0,MIN(BI247,PR_AgeMarg*(AT247-PR_AgeEx))),BI247)</f>
        <v>0</v>
      </c>
      <c r="BK247" s="1" t="n">
        <f aca="false">IF(F_Partner=1,IF(F_Married=1,BF247,BH247+BJ247),BH247)</f>
        <v>0</v>
      </c>
      <c r="BL247" s="1" t="n">
        <f aca="false">AL247+AN247+AO247</f>
        <v>0</v>
      </c>
      <c r="BM247" s="1" t="n">
        <f aca="false">IF(BL247&lt;=PR_USCex,0,IF(IF(AND(C247&gt;=PR_USCredAge,BL247&lt;=PR_USCredMax),1,0)=1,PR_USCr1*MIN(BL247,PR_USCredB1)+PR_USCredR2*MAX(0,BL247-PR_USCredB1),PR_USCr1*MIN(BL247,PR_USCb1)+PR_USCr2*MAX(0,MIN(BL247,PR_USCb2)-PR_USCb1)+PR_USCr3*MAX(0,MIN(BL247,PR_USCb3)-PR_USCb2)+PR_USCr4*MAX(0,BL247-PR_USCb3)))+IF(F_SelfEmp=1,PR_USCse*MAX(0,AL247-PR_USCseOver),0)</f>
        <v>0</v>
      </c>
      <c r="BN247" s="1" t="n">
        <f aca="false">AQ247</f>
        <v>0</v>
      </c>
      <c r="BO247" s="1" t="n">
        <f aca="false">IF(F_Partner=1,IF(BN247&lt;=PR_USCex,0,IF(IF(AND(AG247&gt;=PR_USCredAge,BN247&lt;=PR_USCredMax),1,0)=1,PR_USCr1*MIN(BN247,PR_USCredB1)+PR_USCredR2*MAX(0,BN247-PR_USCredB1),PR_USCr1*MIN(BN247,PR_USCb1)+PR_USCr2*MAX(0,MIN(BN247,PR_USCb2)-PR_USCb1)+PR_USCr3*MAX(0,MIN(BN247,PR_USCb3)-PR_USCb2)+PR_USCr4*MAX(0,BN247-PR_USCb3))),0)</f>
        <v>0</v>
      </c>
      <c r="BP247" s="1" t="n">
        <f aca="false">IF(C247&lt;PR_PRSIend,IF(F_SelfEmp=1,IF(AL247&gt;PR_PRSIsMinInc,MAX(PR_PRSIsMin,AL247*J247),0),IF(AL247/52&lt;=PR_PRSIfree,0,MAX(0,(AL247/52*J247-IF(AL247/52&lt;=PR_PRSIcreditTo,MAX(0,PR_PRSIcreditMax-(AL247/52-(PR_PRSIfree+0.01))/PR_PRSItaper),0))*52)))+J247*AN247+IF(AO247&gt;PR_PRSIunearned,J247*AO247,0),0)</f>
        <v>0</v>
      </c>
      <c r="BQ247" s="1" t="n">
        <f aca="false">IF(AND(F_Partner=1,AG247&lt;PR_PRSIend),IF(AQ247/52&lt;=PR_PRSIfree,0,MAX(0,(AQ247/52*J247-IF(AQ247/52&lt;=PR_PRSIcreditTo,MAX(0,PR_PRSIcreditMax-(AQ247/52-(PR_PRSIfree+0.01))/PR_PRSItaper),0))*52)),0)</f>
        <v>0</v>
      </c>
      <c r="BR247" s="1" t="n">
        <f aca="false">BK247+BM247+BO247+BP247+BQ247</f>
        <v>0</v>
      </c>
      <c r="BS247" s="1" t="n">
        <f aca="false">BR247*H247</f>
        <v>0</v>
      </c>
      <c r="BT247" s="1" t="n">
        <f aca="false">K247+AK247+AC247+AF247+AH247+AI247</f>
        <v>0</v>
      </c>
    </row>
    <row r="248" customFormat="false" ht="15" hidden="false" customHeight="true" outlineLevel="0" collapsed="false">
      <c r="B248" s="1" t="n">
        <v>14</v>
      </c>
      <c r="C248" s="1" t="n">
        <f aca="false">F_Age+B248</f>
        <v>14</v>
      </c>
      <c r="D248" s="1" t="n">
        <f aca="false">AS_Year0+B248</f>
        <v>2041</v>
      </c>
      <c r="E248" s="111" t="n">
        <f aca="false">(1+AS_Infl)^B248</f>
        <v>1.31947876306287</v>
      </c>
      <c r="F248" s="111" t="n">
        <f aca="false">(1+AS_Wage)^B248</f>
        <v>1.51258972485511</v>
      </c>
      <c r="G248" s="1" t="n">
        <f aca="false">IF(C248&lt;F_R,1,0)</f>
        <v>1</v>
      </c>
      <c r="H248" s="111" t="n">
        <f aca="false">IF(AS_Bands="flat",1,E248)</f>
        <v>1.31947876306287</v>
      </c>
      <c r="I248" s="111" t="n">
        <f aca="false">IF(AS_SpGrow="pay",F248,IF(AS_SpGrow="flat",1,E248))</f>
        <v>1.31947876306287</v>
      </c>
      <c r="J248" s="111" t="n">
        <f aca="false">(12*PR_PRSIr0+(PR_PRSIr1-PR_PRSIr0)*MAX(0,MIN(12,D248*12+12-PR_PRSIt1))+(PR_PRSIr2-PR_PRSIr1)*MAX(0,MIN(12,D248*12+12-PR_PRSIt2))+(PR_PRSIr3-PR_PRSIr2)*MAX(0,MIN(12,D248*12+12-PR_PRSIt3)))/12</f>
        <v>0.047</v>
      </c>
      <c r="K248" s="1" t="n">
        <f aca="false">IF(G248=1,F_Income*F248,0)</f>
        <v>0</v>
      </c>
      <c r="L248" s="1" t="n">
        <f aca="false">IF(G248=1,(F_Own+In_penExtra)*12*F248,0)</f>
        <v>0</v>
      </c>
      <c r="M248" s="1" t="n">
        <f aca="false">IF(G248=1,(F_PenM+In_penExtra)*12*F248,0)</f>
        <v>0</v>
      </c>
      <c r="N248" s="112" t="n">
        <f aca="false">IF(C248&lt;PR_RelA1,PR_RelP1,IF(C248&lt;PR_RelA2,PR_RelP2,IF(C248&lt;PR_RelA3,PR_RelP3,IF(C248&lt;PR_RelA4,PR_RelP4,IF(C248&lt;PR_RelA5,PR_RelP5,PR_RelP6)))))</f>
        <v>0.15</v>
      </c>
      <c r="O248" s="1" t="n">
        <f aca="false">IF(G248=1,MIN(L248/H248,N248*MIN(K248/H248,PR_EarnCap))*H248,0)</f>
        <v>0</v>
      </c>
      <c r="P248" s="1" t="n">
        <f aca="false">IF(AND(G248=1,F_AE=1),MIN(K248/H248,PR_AEcap)*H248,0)</f>
        <v>0</v>
      </c>
      <c r="Q248" s="1" t="n">
        <f aca="false">IF(G248=1,IF(WI_Retire=1,MAX(0,M248+WI_M*12),M248)+(PR_AEee+PR_AEer+PR_AEst)*P248,0)</f>
        <v>0</v>
      </c>
      <c r="R248" s="1" t="n">
        <f aca="false">L248+PR_AEee*P248</f>
        <v>0</v>
      </c>
      <c r="S248" s="1" t="n">
        <f aca="false">AD247</f>
        <v>0</v>
      </c>
      <c r="T248" s="1" t="n">
        <f aca="false">IF(D248&lt;=PR_SFTfrom,PR_SFT2026,IF(D248=PR_SFTfrom+1,PR_SFT2027,IF(D248=PR_SFTfrom+2,PR_SFT2028,IF(D248&lt;=PR_SFTto,PR_SFT2029,PR_SFT2029*(1+AS_Infl)^(D248-PR_SFTto)))))</f>
        <v>3551077.02477513</v>
      </c>
      <c r="U248" s="1" t="n">
        <f aca="false">IF(AND(G248=0,C248=F_V),1,0)</f>
        <v>0</v>
      </c>
      <c r="V248" s="1" t="n">
        <f aca="false">IF(U248=1,PR_SFTrate*MAX(0,S248-T248),0)</f>
        <v>0</v>
      </c>
      <c r="W248" s="1" t="n">
        <f aca="false">S248-V248</f>
        <v>0</v>
      </c>
      <c r="X248" s="1" t="n">
        <f aca="false">IF(AND(U248=1,AS_LumpPct&gt;0),W248*MIN(AS_LumpPct,PR_LSmax),0)</f>
        <v>0</v>
      </c>
      <c r="Y248" s="1" t="n">
        <f aca="false">X248-(PR_LSrate*MAX(0,MIN(X248,PR_LScap)-PR_LSfree)+PR_r2*MAX(0,X248-PR_LScap))</f>
        <v>0</v>
      </c>
      <c r="Z248" s="1" t="n">
        <f aca="false">W248-X248</f>
        <v>0</v>
      </c>
      <c r="AA248" s="112" t="n">
        <f aca="false">IF(C248&gt;=PR_ARFage1,IF(Z248&gt;PR_ARFbig,PR_ARFbigRate,IF(C248&gt;=PR_ARFage2,PR_ARF71,PR_ARF61)),0)</f>
        <v>0</v>
      </c>
      <c r="AB248" s="1" t="n">
        <f aca="false">IF(AS_DrawRule="min",Z248*AA248,IF(AS_DrawRule="fixed",MAX(AS_DrawFixed*E248,Z248*AA248),Z248*MAX(1/MAX(1,AS_End-C248+1),AA248)))</f>
        <v>0</v>
      </c>
      <c r="AC248" s="1" t="n">
        <f aca="false">IF(AND(G248=0,C248&gt;=F_V),MIN(Z248,AB248),0)</f>
        <v>0</v>
      </c>
      <c r="AD248" s="1" t="n">
        <f aca="false">IF(G248=1,S248*(1+F_PenG)+Q248,IF(C248&lt;F_V,S248*(1+F_PenG),(Z248-AC248)*(1+AS_PenRet)))</f>
        <v>0</v>
      </c>
      <c r="AE248" s="1" t="n">
        <f aca="false">IF(C248&gt;=PR_SPage,AS_SP*F_SpF*I248+IF(AND(C248&gt;=PR_Over80Age,F_SpF&gt;0),PR_Over80*PR_Weeks*I248,0),0)</f>
        <v>0</v>
      </c>
      <c r="AF248" s="1" t="n">
        <f aca="false">(F_OtherM+F_RentM)*12*E248</f>
        <v>0</v>
      </c>
      <c r="AG248" s="1" t="n">
        <f aca="false">F_PAge+B248</f>
        <v>14</v>
      </c>
      <c r="AH248" s="1" t="n">
        <f aca="false">IF(AND(F_Partner=1,F_PAge&gt;0,AG248&lt;IF(F_PRet&gt;0,F_PRet,PR_SPage)),F_PIncome*F248,0)</f>
        <v>0</v>
      </c>
      <c r="AI248" s="1" t="n">
        <f aca="false">IF(AND(F_Partner=1,AG248&gt;=PR_SPage,F_PSpQA=0),AS_SP*F_PSpF*I248,0)</f>
        <v>0</v>
      </c>
      <c r="AJ248" s="1" t="n">
        <f aca="false">IF(AND(F_Partner=1,F_PSpQA=1,C248&gt;=PR_SPage,AH248=0),IF(AG248&gt;=PR_SPage,PR_QA66,PR_QAunder)*PR_Weeks*I248,0)</f>
        <v>0</v>
      </c>
      <c r="AK248" s="1" t="n">
        <f aca="false">AE248+AJ248</f>
        <v>0</v>
      </c>
      <c r="AL248" s="1" t="n">
        <f aca="false">K248/H248</f>
        <v>0</v>
      </c>
      <c r="AM248" s="1" t="n">
        <f aca="false">AK248/H248</f>
        <v>0</v>
      </c>
      <c r="AN248" s="1" t="n">
        <f aca="false">AC248/H248</f>
        <v>0</v>
      </c>
      <c r="AO248" s="1" t="n">
        <f aca="false">AF248/H248</f>
        <v>0</v>
      </c>
      <c r="AP248" s="1" t="n">
        <f aca="false">O248/H248</f>
        <v>0</v>
      </c>
      <c r="AQ248" s="1" t="n">
        <f aca="false">AH248/H248</f>
        <v>0</v>
      </c>
      <c r="AR248" s="1" t="n">
        <f aca="false">AI248/H248</f>
        <v>0</v>
      </c>
      <c r="AS248" s="1" t="n">
        <f aca="false">MAX(0,AL248+AN248+AO248+AM248-AP248)</f>
        <v>0</v>
      </c>
      <c r="AT248" s="1" t="n">
        <f aca="false">MAX(0,AQ248+AR248)</f>
        <v>0</v>
      </c>
      <c r="AU248" s="1" t="n">
        <f aca="false">MIN(PR_PAYE,PR_PAYEcap*(AL248+AN248+AM248))</f>
        <v>0</v>
      </c>
      <c r="AV248" s="1" t="n">
        <f aca="false">MIN(PR_PAYE,PR_PAYEcap*(AQ248+AR248))</f>
        <v>0</v>
      </c>
      <c r="AW248" s="1" t="n">
        <f aca="false">IF(C248&gt;=PR_AgeCrAge,PR_AgeCr,0)</f>
        <v>0</v>
      </c>
      <c r="AX248" s="1" t="n">
        <f aca="false">IF(AG248&gt;=PR_AgeCrAge,PR_AgeCr,0)</f>
        <v>0</v>
      </c>
      <c r="AY248" s="1" t="n">
        <f aca="false">IF(AND(F_RentCred=1,D248&lt;=PR_RentLast),1,0)</f>
        <v>0</v>
      </c>
      <c r="AZ248" s="1" t="n">
        <f aca="false">AS248+AT248</f>
        <v>0</v>
      </c>
      <c r="BA248" s="1" t="n">
        <f aca="false">PR_PersonalM+AU248+AV248+AW248+AX248+IF(AY248=1,PR_RentJoint,0)</f>
        <v>4000</v>
      </c>
      <c r="BB248" s="1" t="n">
        <f aca="false">PR_BandM+MIN(MIN(AS248,AT248),PR_Uplift)</f>
        <v>53000</v>
      </c>
      <c r="BC248" s="1" t="n">
        <f aca="false">MAX(0,PR_r1*MIN(AZ248,BB248)+PR_r2*MAX(0,AZ248-BB248)-BA248)</f>
        <v>0</v>
      </c>
      <c r="BD248" s="1" t="n">
        <f aca="false">MAX(0,PR_HomeCarer-MAX(0,MIN(AS248,AT248)-PR_HCLimit)/2)</f>
        <v>1950</v>
      </c>
      <c r="BE248" s="1" t="n">
        <f aca="false">IF(F_Carer=1,MIN(BC248,MAX(0,PR_r1*MIN(AZ248,PR_BandM)+PR_r2*MAX(0,AZ248-PR_BandM)-BA248-BD248)),BC248)</f>
        <v>0</v>
      </c>
      <c r="BF248" s="1" t="n">
        <f aca="false">IF(OR(C248&gt;=PR_AgeCrAge,AG248&gt;=PR_AgeCrAge),IF(AZ248&lt;=PR_AgeExM,0,MIN(BE248,PR_AgeMarg*(AZ248-PR_AgeExM))),BE248)</f>
        <v>0</v>
      </c>
      <c r="BG248" s="1" t="n">
        <f aca="false">MAX(0,PR_r1*MIN(AS248,IF(F_Spccc=1,PR_BandSPCCC,PR_Band))+PR_r2*MAX(0,AS248-IF(F_Spccc=1,PR_BandSPCCC,PR_Band))-(PR_Personal+AU248+AW248+IF(F_Spccc=1,PR_SPCCC,0)+IF(AY248=1,PR_Rent,0)))</f>
        <v>0</v>
      </c>
      <c r="BH248" s="1" t="n">
        <f aca="false">IF(C248&gt;=PR_AgeCrAge,IF(AS248&lt;=PR_AgeEx,0,MIN(BG248,PR_AgeMarg*(AS248-PR_AgeEx))),BG248)</f>
        <v>0</v>
      </c>
      <c r="BI248" s="1" t="n">
        <f aca="false">IF(F_Partner=1,MAX(0,PR_r1*MIN(AT248,PR_Band)+PR_r2*MAX(0,AT248-PR_Band)-(PR_Personal+AV248+AX248+IF(AND(AY248=1,AT248&gt;0),PR_Rent,0))),0)</f>
        <v>0</v>
      </c>
      <c r="BJ248" s="1" t="n">
        <f aca="false">IF(AG248&gt;=PR_AgeCrAge,IF(AT248&lt;=PR_AgeEx,0,MIN(BI248,PR_AgeMarg*(AT248-PR_AgeEx))),BI248)</f>
        <v>0</v>
      </c>
      <c r="BK248" s="1" t="n">
        <f aca="false">IF(F_Partner=1,IF(F_Married=1,BF248,BH248+BJ248),BH248)</f>
        <v>0</v>
      </c>
      <c r="BL248" s="1" t="n">
        <f aca="false">AL248+AN248+AO248</f>
        <v>0</v>
      </c>
      <c r="BM248" s="1" t="n">
        <f aca="false">IF(BL248&lt;=PR_USCex,0,IF(IF(AND(C248&gt;=PR_USCredAge,BL248&lt;=PR_USCredMax),1,0)=1,PR_USCr1*MIN(BL248,PR_USCredB1)+PR_USCredR2*MAX(0,BL248-PR_USCredB1),PR_USCr1*MIN(BL248,PR_USCb1)+PR_USCr2*MAX(0,MIN(BL248,PR_USCb2)-PR_USCb1)+PR_USCr3*MAX(0,MIN(BL248,PR_USCb3)-PR_USCb2)+PR_USCr4*MAX(0,BL248-PR_USCb3)))+IF(F_SelfEmp=1,PR_USCse*MAX(0,AL248-PR_USCseOver),0)</f>
        <v>0</v>
      </c>
      <c r="BN248" s="1" t="n">
        <f aca="false">AQ248</f>
        <v>0</v>
      </c>
      <c r="BO248" s="1" t="n">
        <f aca="false">IF(F_Partner=1,IF(BN248&lt;=PR_USCex,0,IF(IF(AND(AG248&gt;=PR_USCredAge,BN248&lt;=PR_USCredMax),1,0)=1,PR_USCr1*MIN(BN248,PR_USCredB1)+PR_USCredR2*MAX(0,BN248-PR_USCredB1),PR_USCr1*MIN(BN248,PR_USCb1)+PR_USCr2*MAX(0,MIN(BN248,PR_USCb2)-PR_USCb1)+PR_USCr3*MAX(0,MIN(BN248,PR_USCb3)-PR_USCb2)+PR_USCr4*MAX(0,BN248-PR_USCb3))),0)</f>
        <v>0</v>
      </c>
      <c r="BP248" s="1" t="n">
        <f aca="false">IF(C248&lt;PR_PRSIend,IF(F_SelfEmp=1,IF(AL248&gt;PR_PRSIsMinInc,MAX(PR_PRSIsMin,AL248*J248),0),IF(AL248/52&lt;=PR_PRSIfree,0,MAX(0,(AL248/52*J248-IF(AL248/52&lt;=PR_PRSIcreditTo,MAX(0,PR_PRSIcreditMax-(AL248/52-(PR_PRSIfree+0.01))/PR_PRSItaper),0))*52)))+J248*AN248+IF(AO248&gt;PR_PRSIunearned,J248*AO248,0),0)</f>
        <v>0</v>
      </c>
      <c r="BQ248" s="1" t="n">
        <f aca="false">IF(AND(F_Partner=1,AG248&lt;PR_PRSIend),IF(AQ248/52&lt;=PR_PRSIfree,0,MAX(0,(AQ248/52*J248-IF(AQ248/52&lt;=PR_PRSIcreditTo,MAX(0,PR_PRSIcreditMax-(AQ248/52-(PR_PRSIfree+0.01))/PR_PRSItaper),0))*52)),0)</f>
        <v>0</v>
      </c>
      <c r="BR248" s="1" t="n">
        <f aca="false">BK248+BM248+BO248+BP248+BQ248</f>
        <v>0</v>
      </c>
      <c r="BS248" s="1" t="n">
        <f aca="false">BR248*H248</f>
        <v>0</v>
      </c>
      <c r="BT248" s="1" t="n">
        <f aca="false">K248+AK248+AC248+AF248+AH248+AI248</f>
        <v>0</v>
      </c>
    </row>
    <row r="249" customFormat="false" ht="15" hidden="false" customHeight="true" outlineLevel="0" collapsed="false">
      <c r="B249" s="1" t="n">
        <v>15</v>
      </c>
      <c r="C249" s="1" t="n">
        <f aca="false">F_Age+B249</f>
        <v>15</v>
      </c>
      <c r="D249" s="1" t="n">
        <f aca="false">AS_Year0+B249</f>
        <v>2042</v>
      </c>
      <c r="E249" s="111" t="n">
        <f aca="false">(1+AS_Infl)^B249</f>
        <v>1.34586833832413</v>
      </c>
      <c r="F249" s="111" t="n">
        <f aca="false">(1+AS_Wage)^B249</f>
        <v>1.55796741660077</v>
      </c>
      <c r="G249" s="1" t="n">
        <f aca="false">IF(C249&lt;F_R,1,0)</f>
        <v>1</v>
      </c>
      <c r="H249" s="111" t="n">
        <f aca="false">IF(AS_Bands="flat",1,E249)</f>
        <v>1.34586833832413</v>
      </c>
      <c r="I249" s="111" t="n">
        <f aca="false">IF(AS_SpGrow="pay",F249,IF(AS_SpGrow="flat",1,E249))</f>
        <v>1.34586833832413</v>
      </c>
      <c r="J249" s="111" t="n">
        <f aca="false">(12*PR_PRSIr0+(PR_PRSIr1-PR_PRSIr0)*MAX(0,MIN(12,D249*12+12-PR_PRSIt1))+(PR_PRSIr2-PR_PRSIr1)*MAX(0,MIN(12,D249*12+12-PR_PRSIt2))+(PR_PRSIr3-PR_PRSIr2)*MAX(0,MIN(12,D249*12+12-PR_PRSIt3)))/12</f>
        <v>0.047</v>
      </c>
      <c r="K249" s="1" t="n">
        <f aca="false">IF(G249=1,F_Income*F249,0)</f>
        <v>0</v>
      </c>
      <c r="L249" s="1" t="n">
        <f aca="false">IF(G249=1,(F_Own+In_penExtra)*12*F249,0)</f>
        <v>0</v>
      </c>
      <c r="M249" s="1" t="n">
        <f aca="false">IF(G249=1,(F_PenM+In_penExtra)*12*F249,0)</f>
        <v>0</v>
      </c>
      <c r="N249" s="112" t="n">
        <f aca="false">IF(C249&lt;PR_RelA1,PR_RelP1,IF(C249&lt;PR_RelA2,PR_RelP2,IF(C249&lt;PR_RelA3,PR_RelP3,IF(C249&lt;PR_RelA4,PR_RelP4,IF(C249&lt;PR_RelA5,PR_RelP5,PR_RelP6)))))</f>
        <v>0.15</v>
      </c>
      <c r="O249" s="1" t="n">
        <f aca="false">IF(G249=1,MIN(L249/H249,N249*MIN(K249/H249,PR_EarnCap))*H249,0)</f>
        <v>0</v>
      </c>
      <c r="P249" s="1" t="n">
        <f aca="false">IF(AND(G249=1,F_AE=1),MIN(K249/H249,PR_AEcap)*H249,0)</f>
        <v>0</v>
      </c>
      <c r="Q249" s="1" t="n">
        <f aca="false">IF(G249=1,IF(WI_Retire=1,MAX(0,M249+WI_M*12),M249)+(PR_AEee+PR_AEer+PR_AEst)*P249,0)</f>
        <v>0</v>
      </c>
      <c r="R249" s="1" t="n">
        <f aca="false">L249+PR_AEee*P249</f>
        <v>0</v>
      </c>
      <c r="S249" s="1" t="n">
        <f aca="false">AD248</f>
        <v>0</v>
      </c>
      <c r="T249" s="1" t="n">
        <f aca="false">IF(D249&lt;=PR_SFTfrom,PR_SFT2026,IF(D249=PR_SFTfrom+1,PR_SFT2027,IF(D249=PR_SFTfrom+2,PR_SFT2028,IF(D249&lt;=PR_SFTto,PR_SFT2029,PR_SFT2029*(1+AS_Infl)^(D249-PR_SFTto)))))</f>
        <v>3622098.56527063</v>
      </c>
      <c r="U249" s="1" t="n">
        <f aca="false">IF(AND(G249=0,C249=F_V),1,0)</f>
        <v>0</v>
      </c>
      <c r="V249" s="1" t="n">
        <f aca="false">IF(U249=1,PR_SFTrate*MAX(0,S249-T249),0)</f>
        <v>0</v>
      </c>
      <c r="W249" s="1" t="n">
        <f aca="false">S249-V249</f>
        <v>0</v>
      </c>
      <c r="X249" s="1" t="n">
        <f aca="false">IF(AND(U249=1,AS_LumpPct&gt;0),W249*MIN(AS_LumpPct,PR_LSmax),0)</f>
        <v>0</v>
      </c>
      <c r="Y249" s="1" t="n">
        <f aca="false">X249-(PR_LSrate*MAX(0,MIN(X249,PR_LScap)-PR_LSfree)+PR_r2*MAX(0,X249-PR_LScap))</f>
        <v>0</v>
      </c>
      <c r="Z249" s="1" t="n">
        <f aca="false">W249-X249</f>
        <v>0</v>
      </c>
      <c r="AA249" s="112" t="n">
        <f aca="false">IF(C249&gt;=PR_ARFage1,IF(Z249&gt;PR_ARFbig,PR_ARFbigRate,IF(C249&gt;=PR_ARFage2,PR_ARF71,PR_ARF61)),0)</f>
        <v>0</v>
      </c>
      <c r="AB249" s="1" t="n">
        <f aca="false">IF(AS_DrawRule="min",Z249*AA249,IF(AS_DrawRule="fixed",MAX(AS_DrawFixed*E249,Z249*AA249),Z249*MAX(1/MAX(1,AS_End-C249+1),AA249)))</f>
        <v>0</v>
      </c>
      <c r="AC249" s="1" t="n">
        <f aca="false">IF(AND(G249=0,C249&gt;=F_V),MIN(Z249,AB249),0)</f>
        <v>0</v>
      </c>
      <c r="AD249" s="1" t="n">
        <f aca="false">IF(G249=1,S249*(1+F_PenG)+Q249,IF(C249&lt;F_V,S249*(1+F_PenG),(Z249-AC249)*(1+AS_PenRet)))</f>
        <v>0</v>
      </c>
      <c r="AE249" s="1" t="n">
        <f aca="false">IF(C249&gt;=PR_SPage,AS_SP*F_SpF*I249+IF(AND(C249&gt;=PR_Over80Age,F_SpF&gt;0),PR_Over80*PR_Weeks*I249,0),0)</f>
        <v>0</v>
      </c>
      <c r="AF249" s="1" t="n">
        <f aca="false">(F_OtherM+F_RentM)*12*E249</f>
        <v>0</v>
      </c>
      <c r="AG249" s="1" t="n">
        <f aca="false">F_PAge+B249</f>
        <v>15</v>
      </c>
      <c r="AH249" s="1" t="n">
        <f aca="false">IF(AND(F_Partner=1,F_PAge&gt;0,AG249&lt;IF(F_PRet&gt;0,F_PRet,PR_SPage)),F_PIncome*F249,0)</f>
        <v>0</v>
      </c>
      <c r="AI249" s="1" t="n">
        <f aca="false">IF(AND(F_Partner=1,AG249&gt;=PR_SPage,F_PSpQA=0),AS_SP*F_PSpF*I249,0)</f>
        <v>0</v>
      </c>
      <c r="AJ249" s="1" t="n">
        <f aca="false">IF(AND(F_Partner=1,F_PSpQA=1,C249&gt;=PR_SPage,AH249=0),IF(AG249&gt;=PR_SPage,PR_QA66,PR_QAunder)*PR_Weeks*I249,0)</f>
        <v>0</v>
      </c>
      <c r="AK249" s="1" t="n">
        <f aca="false">AE249+AJ249</f>
        <v>0</v>
      </c>
      <c r="AL249" s="1" t="n">
        <f aca="false">K249/H249</f>
        <v>0</v>
      </c>
      <c r="AM249" s="1" t="n">
        <f aca="false">AK249/H249</f>
        <v>0</v>
      </c>
      <c r="AN249" s="1" t="n">
        <f aca="false">AC249/H249</f>
        <v>0</v>
      </c>
      <c r="AO249" s="1" t="n">
        <f aca="false">AF249/H249</f>
        <v>0</v>
      </c>
      <c r="AP249" s="1" t="n">
        <f aca="false">O249/H249</f>
        <v>0</v>
      </c>
      <c r="AQ249" s="1" t="n">
        <f aca="false">AH249/H249</f>
        <v>0</v>
      </c>
      <c r="AR249" s="1" t="n">
        <f aca="false">AI249/H249</f>
        <v>0</v>
      </c>
      <c r="AS249" s="1" t="n">
        <f aca="false">MAX(0,AL249+AN249+AO249+AM249-AP249)</f>
        <v>0</v>
      </c>
      <c r="AT249" s="1" t="n">
        <f aca="false">MAX(0,AQ249+AR249)</f>
        <v>0</v>
      </c>
      <c r="AU249" s="1" t="n">
        <f aca="false">MIN(PR_PAYE,PR_PAYEcap*(AL249+AN249+AM249))</f>
        <v>0</v>
      </c>
      <c r="AV249" s="1" t="n">
        <f aca="false">MIN(PR_PAYE,PR_PAYEcap*(AQ249+AR249))</f>
        <v>0</v>
      </c>
      <c r="AW249" s="1" t="n">
        <f aca="false">IF(C249&gt;=PR_AgeCrAge,PR_AgeCr,0)</f>
        <v>0</v>
      </c>
      <c r="AX249" s="1" t="n">
        <f aca="false">IF(AG249&gt;=PR_AgeCrAge,PR_AgeCr,0)</f>
        <v>0</v>
      </c>
      <c r="AY249" s="1" t="n">
        <f aca="false">IF(AND(F_RentCred=1,D249&lt;=PR_RentLast),1,0)</f>
        <v>0</v>
      </c>
      <c r="AZ249" s="1" t="n">
        <f aca="false">AS249+AT249</f>
        <v>0</v>
      </c>
      <c r="BA249" s="1" t="n">
        <f aca="false">PR_PersonalM+AU249+AV249+AW249+AX249+IF(AY249=1,PR_RentJoint,0)</f>
        <v>4000</v>
      </c>
      <c r="BB249" s="1" t="n">
        <f aca="false">PR_BandM+MIN(MIN(AS249,AT249),PR_Uplift)</f>
        <v>53000</v>
      </c>
      <c r="BC249" s="1" t="n">
        <f aca="false">MAX(0,PR_r1*MIN(AZ249,BB249)+PR_r2*MAX(0,AZ249-BB249)-BA249)</f>
        <v>0</v>
      </c>
      <c r="BD249" s="1" t="n">
        <f aca="false">MAX(0,PR_HomeCarer-MAX(0,MIN(AS249,AT249)-PR_HCLimit)/2)</f>
        <v>1950</v>
      </c>
      <c r="BE249" s="1" t="n">
        <f aca="false">IF(F_Carer=1,MIN(BC249,MAX(0,PR_r1*MIN(AZ249,PR_BandM)+PR_r2*MAX(0,AZ249-PR_BandM)-BA249-BD249)),BC249)</f>
        <v>0</v>
      </c>
      <c r="BF249" s="1" t="n">
        <f aca="false">IF(OR(C249&gt;=PR_AgeCrAge,AG249&gt;=PR_AgeCrAge),IF(AZ249&lt;=PR_AgeExM,0,MIN(BE249,PR_AgeMarg*(AZ249-PR_AgeExM))),BE249)</f>
        <v>0</v>
      </c>
      <c r="BG249" s="1" t="n">
        <f aca="false">MAX(0,PR_r1*MIN(AS249,IF(F_Spccc=1,PR_BandSPCCC,PR_Band))+PR_r2*MAX(0,AS249-IF(F_Spccc=1,PR_BandSPCCC,PR_Band))-(PR_Personal+AU249+AW249+IF(F_Spccc=1,PR_SPCCC,0)+IF(AY249=1,PR_Rent,0)))</f>
        <v>0</v>
      </c>
      <c r="BH249" s="1" t="n">
        <f aca="false">IF(C249&gt;=PR_AgeCrAge,IF(AS249&lt;=PR_AgeEx,0,MIN(BG249,PR_AgeMarg*(AS249-PR_AgeEx))),BG249)</f>
        <v>0</v>
      </c>
      <c r="BI249" s="1" t="n">
        <f aca="false">IF(F_Partner=1,MAX(0,PR_r1*MIN(AT249,PR_Band)+PR_r2*MAX(0,AT249-PR_Band)-(PR_Personal+AV249+AX249+IF(AND(AY249=1,AT249&gt;0),PR_Rent,0))),0)</f>
        <v>0</v>
      </c>
      <c r="BJ249" s="1" t="n">
        <f aca="false">IF(AG249&gt;=PR_AgeCrAge,IF(AT249&lt;=PR_AgeEx,0,MIN(BI249,PR_AgeMarg*(AT249-PR_AgeEx))),BI249)</f>
        <v>0</v>
      </c>
      <c r="BK249" s="1" t="n">
        <f aca="false">IF(F_Partner=1,IF(F_Married=1,BF249,BH249+BJ249),BH249)</f>
        <v>0</v>
      </c>
      <c r="BL249" s="1" t="n">
        <f aca="false">AL249+AN249+AO249</f>
        <v>0</v>
      </c>
      <c r="BM249" s="1" t="n">
        <f aca="false">IF(BL249&lt;=PR_USCex,0,IF(IF(AND(C249&gt;=PR_USCredAge,BL249&lt;=PR_USCredMax),1,0)=1,PR_USCr1*MIN(BL249,PR_USCredB1)+PR_USCredR2*MAX(0,BL249-PR_USCredB1),PR_USCr1*MIN(BL249,PR_USCb1)+PR_USCr2*MAX(0,MIN(BL249,PR_USCb2)-PR_USCb1)+PR_USCr3*MAX(0,MIN(BL249,PR_USCb3)-PR_USCb2)+PR_USCr4*MAX(0,BL249-PR_USCb3)))+IF(F_SelfEmp=1,PR_USCse*MAX(0,AL249-PR_USCseOver),0)</f>
        <v>0</v>
      </c>
      <c r="BN249" s="1" t="n">
        <f aca="false">AQ249</f>
        <v>0</v>
      </c>
      <c r="BO249" s="1" t="n">
        <f aca="false">IF(F_Partner=1,IF(BN249&lt;=PR_USCex,0,IF(IF(AND(AG249&gt;=PR_USCredAge,BN249&lt;=PR_USCredMax),1,0)=1,PR_USCr1*MIN(BN249,PR_USCredB1)+PR_USCredR2*MAX(0,BN249-PR_USCredB1),PR_USCr1*MIN(BN249,PR_USCb1)+PR_USCr2*MAX(0,MIN(BN249,PR_USCb2)-PR_USCb1)+PR_USCr3*MAX(0,MIN(BN249,PR_USCb3)-PR_USCb2)+PR_USCr4*MAX(0,BN249-PR_USCb3))),0)</f>
        <v>0</v>
      </c>
      <c r="BP249" s="1" t="n">
        <f aca="false">IF(C249&lt;PR_PRSIend,IF(F_SelfEmp=1,IF(AL249&gt;PR_PRSIsMinInc,MAX(PR_PRSIsMin,AL249*J249),0),IF(AL249/52&lt;=PR_PRSIfree,0,MAX(0,(AL249/52*J249-IF(AL249/52&lt;=PR_PRSIcreditTo,MAX(0,PR_PRSIcreditMax-(AL249/52-(PR_PRSIfree+0.01))/PR_PRSItaper),0))*52)))+J249*AN249+IF(AO249&gt;PR_PRSIunearned,J249*AO249,0),0)</f>
        <v>0</v>
      </c>
      <c r="BQ249" s="1" t="n">
        <f aca="false">IF(AND(F_Partner=1,AG249&lt;PR_PRSIend),IF(AQ249/52&lt;=PR_PRSIfree,0,MAX(0,(AQ249/52*J249-IF(AQ249/52&lt;=PR_PRSIcreditTo,MAX(0,PR_PRSIcreditMax-(AQ249/52-(PR_PRSIfree+0.01))/PR_PRSItaper),0))*52)),0)</f>
        <v>0</v>
      </c>
      <c r="BR249" s="1" t="n">
        <f aca="false">BK249+BM249+BO249+BP249+BQ249</f>
        <v>0</v>
      </c>
      <c r="BS249" s="1" t="n">
        <f aca="false">BR249*H249</f>
        <v>0</v>
      </c>
      <c r="BT249" s="1" t="n">
        <f aca="false">K249+AK249+AC249+AF249+AH249+AI249</f>
        <v>0</v>
      </c>
    </row>
    <row r="250" customFormat="false" ht="15" hidden="false" customHeight="true" outlineLevel="0" collapsed="false">
      <c r="B250" s="1" t="n">
        <v>16</v>
      </c>
      <c r="C250" s="1" t="n">
        <f aca="false">F_Age+B250</f>
        <v>16</v>
      </c>
      <c r="D250" s="1" t="n">
        <f aca="false">AS_Year0+B250</f>
        <v>2043</v>
      </c>
      <c r="E250" s="111" t="n">
        <f aca="false">(1+AS_Infl)^B250</f>
        <v>1.37278570509061</v>
      </c>
      <c r="F250" s="111" t="n">
        <f aca="false">(1+AS_Wage)^B250</f>
        <v>1.60470643909879</v>
      </c>
      <c r="G250" s="1" t="n">
        <f aca="false">IF(C250&lt;F_R,1,0)</f>
        <v>1</v>
      </c>
      <c r="H250" s="111" t="n">
        <f aca="false">IF(AS_Bands="flat",1,E250)</f>
        <v>1.37278570509061</v>
      </c>
      <c r="I250" s="111" t="n">
        <f aca="false">IF(AS_SpGrow="pay",F250,IF(AS_SpGrow="flat",1,E250))</f>
        <v>1.37278570509061</v>
      </c>
      <c r="J250" s="111" t="n">
        <f aca="false">(12*PR_PRSIr0+(PR_PRSIr1-PR_PRSIr0)*MAX(0,MIN(12,D250*12+12-PR_PRSIt1))+(PR_PRSIr2-PR_PRSIr1)*MAX(0,MIN(12,D250*12+12-PR_PRSIt2))+(PR_PRSIr3-PR_PRSIr2)*MAX(0,MIN(12,D250*12+12-PR_PRSIt3)))/12</f>
        <v>0.047</v>
      </c>
      <c r="K250" s="1" t="n">
        <f aca="false">IF(G250=1,F_Income*F250,0)</f>
        <v>0</v>
      </c>
      <c r="L250" s="1" t="n">
        <f aca="false">IF(G250=1,(F_Own+In_penExtra)*12*F250,0)</f>
        <v>0</v>
      </c>
      <c r="M250" s="1" t="n">
        <f aca="false">IF(G250=1,(F_PenM+In_penExtra)*12*F250,0)</f>
        <v>0</v>
      </c>
      <c r="N250" s="112" t="n">
        <f aca="false">IF(C250&lt;PR_RelA1,PR_RelP1,IF(C250&lt;PR_RelA2,PR_RelP2,IF(C250&lt;PR_RelA3,PR_RelP3,IF(C250&lt;PR_RelA4,PR_RelP4,IF(C250&lt;PR_RelA5,PR_RelP5,PR_RelP6)))))</f>
        <v>0.15</v>
      </c>
      <c r="O250" s="1" t="n">
        <f aca="false">IF(G250=1,MIN(L250/H250,N250*MIN(K250/H250,PR_EarnCap))*H250,0)</f>
        <v>0</v>
      </c>
      <c r="P250" s="1" t="n">
        <f aca="false">IF(AND(G250=1,F_AE=1),MIN(K250/H250,PR_AEcap)*H250,0)</f>
        <v>0</v>
      </c>
      <c r="Q250" s="1" t="n">
        <f aca="false">IF(G250=1,IF(WI_Retire=1,MAX(0,M250+WI_M*12),M250)+(PR_AEee+PR_AEer+PR_AEst)*P250,0)</f>
        <v>0</v>
      </c>
      <c r="R250" s="1" t="n">
        <f aca="false">L250+PR_AEee*P250</f>
        <v>0</v>
      </c>
      <c r="S250" s="1" t="n">
        <f aca="false">AD249</f>
        <v>0</v>
      </c>
      <c r="T250" s="1" t="n">
        <f aca="false">IF(D250&lt;=PR_SFTfrom,PR_SFT2026,IF(D250=PR_SFTfrom+1,PR_SFT2027,IF(D250=PR_SFTfrom+2,PR_SFT2028,IF(D250&lt;=PR_SFTto,PR_SFT2029,PR_SFT2029*(1+AS_Infl)^(D250-PR_SFTto)))))</f>
        <v>3694540.53657604</v>
      </c>
      <c r="U250" s="1" t="n">
        <f aca="false">IF(AND(G250=0,C250=F_V),1,0)</f>
        <v>0</v>
      </c>
      <c r="V250" s="1" t="n">
        <f aca="false">IF(U250=1,PR_SFTrate*MAX(0,S250-T250),0)</f>
        <v>0</v>
      </c>
      <c r="W250" s="1" t="n">
        <f aca="false">S250-V250</f>
        <v>0</v>
      </c>
      <c r="X250" s="1" t="n">
        <f aca="false">IF(AND(U250=1,AS_LumpPct&gt;0),W250*MIN(AS_LumpPct,PR_LSmax),0)</f>
        <v>0</v>
      </c>
      <c r="Y250" s="1" t="n">
        <f aca="false">X250-(PR_LSrate*MAX(0,MIN(X250,PR_LScap)-PR_LSfree)+PR_r2*MAX(0,X250-PR_LScap))</f>
        <v>0</v>
      </c>
      <c r="Z250" s="1" t="n">
        <f aca="false">W250-X250</f>
        <v>0</v>
      </c>
      <c r="AA250" s="112" t="n">
        <f aca="false">IF(C250&gt;=PR_ARFage1,IF(Z250&gt;PR_ARFbig,PR_ARFbigRate,IF(C250&gt;=PR_ARFage2,PR_ARF71,PR_ARF61)),0)</f>
        <v>0</v>
      </c>
      <c r="AB250" s="1" t="n">
        <f aca="false">IF(AS_DrawRule="min",Z250*AA250,IF(AS_DrawRule="fixed",MAX(AS_DrawFixed*E250,Z250*AA250),Z250*MAX(1/MAX(1,AS_End-C250+1),AA250)))</f>
        <v>0</v>
      </c>
      <c r="AC250" s="1" t="n">
        <f aca="false">IF(AND(G250=0,C250&gt;=F_V),MIN(Z250,AB250),0)</f>
        <v>0</v>
      </c>
      <c r="AD250" s="1" t="n">
        <f aca="false">IF(G250=1,S250*(1+F_PenG)+Q250,IF(C250&lt;F_V,S250*(1+F_PenG),(Z250-AC250)*(1+AS_PenRet)))</f>
        <v>0</v>
      </c>
      <c r="AE250" s="1" t="n">
        <f aca="false">IF(C250&gt;=PR_SPage,AS_SP*F_SpF*I250+IF(AND(C250&gt;=PR_Over80Age,F_SpF&gt;0),PR_Over80*PR_Weeks*I250,0),0)</f>
        <v>0</v>
      </c>
      <c r="AF250" s="1" t="n">
        <f aca="false">(F_OtherM+F_RentM)*12*E250</f>
        <v>0</v>
      </c>
      <c r="AG250" s="1" t="n">
        <f aca="false">F_PAge+B250</f>
        <v>16</v>
      </c>
      <c r="AH250" s="1" t="n">
        <f aca="false">IF(AND(F_Partner=1,F_PAge&gt;0,AG250&lt;IF(F_PRet&gt;0,F_PRet,PR_SPage)),F_PIncome*F250,0)</f>
        <v>0</v>
      </c>
      <c r="AI250" s="1" t="n">
        <f aca="false">IF(AND(F_Partner=1,AG250&gt;=PR_SPage,F_PSpQA=0),AS_SP*F_PSpF*I250,0)</f>
        <v>0</v>
      </c>
      <c r="AJ250" s="1" t="n">
        <f aca="false">IF(AND(F_Partner=1,F_PSpQA=1,C250&gt;=PR_SPage,AH250=0),IF(AG250&gt;=PR_SPage,PR_QA66,PR_QAunder)*PR_Weeks*I250,0)</f>
        <v>0</v>
      </c>
      <c r="AK250" s="1" t="n">
        <f aca="false">AE250+AJ250</f>
        <v>0</v>
      </c>
      <c r="AL250" s="1" t="n">
        <f aca="false">K250/H250</f>
        <v>0</v>
      </c>
      <c r="AM250" s="1" t="n">
        <f aca="false">AK250/H250</f>
        <v>0</v>
      </c>
      <c r="AN250" s="1" t="n">
        <f aca="false">AC250/H250</f>
        <v>0</v>
      </c>
      <c r="AO250" s="1" t="n">
        <f aca="false">AF250/H250</f>
        <v>0</v>
      </c>
      <c r="AP250" s="1" t="n">
        <f aca="false">O250/H250</f>
        <v>0</v>
      </c>
      <c r="AQ250" s="1" t="n">
        <f aca="false">AH250/H250</f>
        <v>0</v>
      </c>
      <c r="AR250" s="1" t="n">
        <f aca="false">AI250/H250</f>
        <v>0</v>
      </c>
      <c r="AS250" s="1" t="n">
        <f aca="false">MAX(0,AL250+AN250+AO250+AM250-AP250)</f>
        <v>0</v>
      </c>
      <c r="AT250" s="1" t="n">
        <f aca="false">MAX(0,AQ250+AR250)</f>
        <v>0</v>
      </c>
      <c r="AU250" s="1" t="n">
        <f aca="false">MIN(PR_PAYE,PR_PAYEcap*(AL250+AN250+AM250))</f>
        <v>0</v>
      </c>
      <c r="AV250" s="1" t="n">
        <f aca="false">MIN(PR_PAYE,PR_PAYEcap*(AQ250+AR250))</f>
        <v>0</v>
      </c>
      <c r="AW250" s="1" t="n">
        <f aca="false">IF(C250&gt;=PR_AgeCrAge,PR_AgeCr,0)</f>
        <v>0</v>
      </c>
      <c r="AX250" s="1" t="n">
        <f aca="false">IF(AG250&gt;=PR_AgeCrAge,PR_AgeCr,0)</f>
        <v>0</v>
      </c>
      <c r="AY250" s="1" t="n">
        <f aca="false">IF(AND(F_RentCred=1,D250&lt;=PR_RentLast),1,0)</f>
        <v>0</v>
      </c>
      <c r="AZ250" s="1" t="n">
        <f aca="false">AS250+AT250</f>
        <v>0</v>
      </c>
      <c r="BA250" s="1" t="n">
        <f aca="false">PR_PersonalM+AU250+AV250+AW250+AX250+IF(AY250=1,PR_RentJoint,0)</f>
        <v>4000</v>
      </c>
      <c r="BB250" s="1" t="n">
        <f aca="false">PR_BandM+MIN(MIN(AS250,AT250),PR_Uplift)</f>
        <v>53000</v>
      </c>
      <c r="BC250" s="1" t="n">
        <f aca="false">MAX(0,PR_r1*MIN(AZ250,BB250)+PR_r2*MAX(0,AZ250-BB250)-BA250)</f>
        <v>0</v>
      </c>
      <c r="BD250" s="1" t="n">
        <f aca="false">MAX(0,PR_HomeCarer-MAX(0,MIN(AS250,AT250)-PR_HCLimit)/2)</f>
        <v>1950</v>
      </c>
      <c r="BE250" s="1" t="n">
        <f aca="false">IF(F_Carer=1,MIN(BC250,MAX(0,PR_r1*MIN(AZ250,PR_BandM)+PR_r2*MAX(0,AZ250-PR_BandM)-BA250-BD250)),BC250)</f>
        <v>0</v>
      </c>
      <c r="BF250" s="1" t="n">
        <f aca="false">IF(OR(C250&gt;=PR_AgeCrAge,AG250&gt;=PR_AgeCrAge),IF(AZ250&lt;=PR_AgeExM,0,MIN(BE250,PR_AgeMarg*(AZ250-PR_AgeExM))),BE250)</f>
        <v>0</v>
      </c>
      <c r="BG250" s="1" t="n">
        <f aca="false">MAX(0,PR_r1*MIN(AS250,IF(F_Spccc=1,PR_BandSPCCC,PR_Band))+PR_r2*MAX(0,AS250-IF(F_Spccc=1,PR_BandSPCCC,PR_Band))-(PR_Personal+AU250+AW250+IF(F_Spccc=1,PR_SPCCC,0)+IF(AY250=1,PR_Rent,0)))</f>
        <v>0</v>
      </c>
      <c r="BH250" s="1" t="n">
        <f aca="false">IF(C250&gt;=PR_AgeCrAge,IF(AS250&lt;=PR_AgeEx,0,MIN(BG250,PR_AgeMarg*(AS250-PR_AgeEx))),BG250)</f>
        <v>0</v>
      </c>
      <c r="BI250" s="1" t="n">
        <f aca="false">IF(F_Partner=1,MAX(0,PR_r1*MIN(AT250,PR_Band)+PR_r2*MAX(0,AT250-PR_Band)-(PR_Personal+AV250+AX250+IF(AND(AY250=1,AT250&gt;0),PR_Rent,0))),0)</f>
        <v>0</v>
      </c>
      <c r="BJ250" s="1" t="n">
        <f aca="false">IF(AG250&gt;=PR_AgeCrAge,IF(AT250&lt;=PR_AgeEx,0,MIN(BI250,PR_AgeMarg*(AT250-PR_AgeEx))),BI250)</f>
        <v>0</v>
      </c>
      <c r="BK250" s="1" t="n">
        <f aca="false">IF(F_Partner=1,IF(F_Married=1,BF250,BH250+BJ250),BH250)</f>
        <v>0</v>
      </c>
      <c r="BL250" s="1" t="n">
        <f aca="false">AL250+AN250+AO250</f>
        <v>0</v>
      </c>
      <c r="BM250" s="1" t="n">
        <f aca="false">IF(BL250&lt;=PR_USCex,0,IF(IF(AND(C250&gt;=PR_USCredAge,BL250&lt;=PR_USCredMax),1,0)=1,PR_USCr1*MIN(BL250,PR_USCredB1)+PR_USCredR2*MAX(0,BL250-PR_USCredB1),PR_USCr1*MIN(BL250,PR_USCb1)+PR_USCr2*MAX(0,MIN(BL250,PR_USCb2)-PR_USCb1)+PR_USCr3*MAX(0,MIN(BL250,PR_USCb3)-PR_USCb2)+PR_USCr4*MAX(0,BL250-PR_USCb3)))+IF(F_SelfEmp=1,PR_USCse*MAX(0,AL250-PR_USCseOver),0)</f>
        <v>0</v>
      </c>
      <c r="BN250" s="1" t="n">
        <f aca="false">AQ250</f>
        <v>0</v>
      </c>
      <c r="BO250" s="1" t="n">
        <f aca="false">IF(F_Partner=1,IF(BN250&lt;=PR_USCex,0,IF(IF(AND(AG250&gt;=PR_USCredAge,BN250&lt;=PR_USCredMax),1,0)=1,PR_USCr1*MIN(BN250,PR_USCredB1)+PR_USCredR2*MAX(0,BN250-PR_USCredB1),PR_USCr1*MIN(BN250,PR_USCb1)+PR_USCr2*MAX(0,MIN(BN250,PR_USCb2)-PR_USCb1)+PR_USCr3*MAX(0,MIN(BN250,PR_USCb3)-PR_USCb2)+PR_USCr4*MAX(0,BN250-PR_USCb3))),0)</f>
        <v>0</v>
      </c>
      <c r="BP250" s="1" t="n">
        <f aca="false">IF(C250&lt;PR_PRSIend,IF(F_SelfEmp=1,IF(AL250&gt;PR_PRSIsMinInc,MAX(PR_PRSIsMin,AL250*J250),0),IF(AL250/52&lt;=PR_PRSIfree,0,MAX(0,(AL250/52*J250-IF(AL250/52&lt;=PR_PRSIcreditTo,MAX(0,PR_PRSIcreditMax-(AL250/52-(PR_PRSIfree+0.01))/PR_PRSItaper),0))*52)))+J250*AN250+IF(AO250&gt;PR_PRSIunearned,J250*AO250,0),0)</f>
        <v>0</v>
      </c>
      <c r="BQ250" s="1" t="n">
        <f aca="false">IF(AND(F_Partner=1,AG250&lt;PR_PRSIend),IF(AQ250/52&lt;=PR_PRSIfree,0,MAX(0,(AQ250/52*J250-IF(AQ250/52&lt;=PR_PRSIcreditTo,MAX(0,PR_PRSIcreditMax-(AQ250/52-(PR_PRSIfree+0.01))/PR_PRSItaper),0))*52)),0)</f>
        <v>0</v>
      </c>
      <c r="BR250" s="1" t="n">
        <f aca="false">BK250+BM250+BO250+BP250+BQ250</f>
        <v>0</v>
      </c>
      <c r="BS250" s="1" t="n">
        <f aca="false">BR250*H250</f>
        <v>0</v>
      </c>
      <c r="BT250" s="1" t="n">
        <f aca="false">K250+AK250+AC250+AF250+AH250+AI250</f>
        <v>0</v>
      </c>
    </row>
    <row r="251" customFormat="false" ht="15" hidden="false" customHeight="true" outlineLevel="0" collapsed="false">
      <c r="B251" s="1" t="n">
        <v>17</v>
      </c>
      <c r="C251" s="1" t="n">
        <f aca="false">F_Age+B251</f>
        <v>17</v>
      </c>
      <c r="D251" s="1" t="n">
        <f aca="false">AS_Year0+B251</f>
        <v>2044</v>
      </c>
      <c r="E251" s="111" t="n">
        <f aca="false">(1+AS_Infl)^B251</f>
        <v>1.40024141919242</v>
      </c>
      <c r="F251" s="111" t="n">
        <f aca="false">(1+AS_Wage)^B251</f>
        <v>1.65284763227175</v>
      </c>
      <c r="G251" s="1" t="n">
        <f aca="false">IF(C251&lt;F_R,1,0)</f>
        <v>1</v>
      </c>
      <c r="H251" s="111" t="n">
        <f aca="false">IF(AS_Bands="flat",1,E251)</f>
        <v>1.40024141919242</v>
      </c>
      <c r="I251" s="111" t="n">
        <f aca="false">IF(AS_SpGrow="pay",F251,IF(AS_SpGrow="flat",1,E251))</f>
        <v>1.40024141919242</v>
      </c>
      <c r="J251" s="111" t="n">
        <f aca="false">(12*PR_PRSIr0+(PR_PRSIr1-PR_PRSIr0)*MAX(0,MIN(12,D251*12+12-PR_PRSIt1))+(PR_PRSIr2-PR_PRSIr1)*MAX(0,MIN(12,D251*12+12-PR_PRSIt2))+(PR_PRSIr3-PR_PRSIr2)*MAX(0,MIN(12,D251*12+12-PR_PRSIt3)))/12</f>
        <v>0.047</v>
      </c>
      <c r="K251" s="1" t="n">
        <f aca="false">IF(G251=1,F_Income*F251,0)</f>
        <v>0</v>
      </c>
      <c r="L251" s="1" t="n">
        <f aca="false">IF(G251=1,(F_Own+In_penExtra)*12*F251,0)</f>
        <v>0</v>
      </c>
      <c r="M251" s="1" t="n">
        <f aca="false">IF(G251=1,(F_PenM+In_penExtra)*12*F251,0)</f>
        <v>0</v>
      </c>
      <c r="N251" s="112" t="n">
        <f aca="false">IF(C251&lt;PR_RelA1,PR_RelP1,IF(C251&lt;PR_RelA2,PR_RelP2,IF(C251&lt;PR_RelA3,PR_RelP3,IF(C251&lt;PR_RelA4,PR_RelP4,IF(C251&lt;PR_RelA5,PR_RelP5,PR_RelP6)))))</f>
        <v>0.15</v>
      </c>
      <c r="O251" s="1" t="n">
        <f aca="false">IF(G251=1,MIN(L251/H251,N251*MIN(K251/H251,PR_EarnCap))*H251,0)</f>
        <v>0</v>
      </c>
      <c r="P251" s="1" t="n">
        <f aca="false">IF(AND(G251=1,F_AE=1),MIN(K251/H251,PR_AEcap)*H251,0)</f>
        <v>0</v>
      </c>
      <c r="Q251" s="1" t="n">
        <f aca="false">IF(G251=1,IF(WI_Retire=1,MAX(0,M251+WI_M*12),M251)+(PR_AEee+PR_AEer+PR_AEst)*P251,0)</f>
        <v>0</v>
      </c>
      <c r="R251" s="1" t="n">
        <f aca="false">L251+PR_AEee*P251</f>
        <v>0</v>
      </c>
      <c r="S251" s="1" t="n">
        <f aca="false">AD250</f>
        <v>0</v>
      </c>
      <c r="T251" s="1" t="n">
        <f aca="false">IF(D251&lt;=PR_SFTfrom,PR_SFT2026,IF(D251=PR_SFTfrom+1,PR_SFT2027,IF(D251=PR_SFTfrom+2,PR_SFT2028,IF(D251&lt;=PR_SFTto,PR_SFT2029,PR_SFT2029*(1+AS_Infl)^(D251-PR_SFTto)))))</f>
        <v>3768431.34730756</v>
      </c>
      <c r="U251" s="1" t="n">
        <f aca="false">IF(AND(G251=0,C251=F_V),1,0)</f>
        <v>0</v>
      </c>
      <c r="V251" s="1" t="n">
        <f aca="false">IF(U251=1,PR_SFTrate*MAX(0,S251-T251),0)</f>
        <v>0</v>
      </c>
      <c r="W251" s="1" t="n">
        <f aca="false">S251-V251</f>
        <v>0</v>
      </c>
      <c r="X251" s="1" t="n">
        <f aca="false">IF(AND(U251=1,AS_LumpPct&gt;0),W251*MIN(AS_LumpPct,PR_LSmax),0)</f>
        <v>0</v>
      </c>
      <c r="Y251" s="1" t="n">
        <f aca="false">X251-(PR_LSrate*MAX(0,MIN(X251,PR_LScap)-PR_LSfree)+PR_r2*MAX(0,X251-PR_LScap))</f>
        <v>0</v>
      </c>
      <c r="Z251" s="1" t="n">
        <f aca="false">W251-X251</f>
        <v>0</v>
      </c>
      <c r="AA251" s="112" t="n">
        <f aca="false">IF(C251&gt;=PR_ARFage1,IF(Z251&gt;PR_ARFbig,PR_ARFbigRate,IF(C251&gt;=PR_ARFage2,PR_ARF71,PR_ARF61)),0)</f>
        <v>0</v>
      </c>
      <c r="AB251" s="1" t="n">
        <f aca="false">IF(AS_DrawRule="min",Z251*AA251,IF(AS_DrawRule="fixed",MAX(AS_DrawFixed*E251,Z251*AA251),Z251*MAX(1/MAX(1,AS_End-C251+1),AA251)))</f>
        <v>0</v>
      </c>
      <c r="AC251" s="1" t="n">
        <f aca="false">IF(AND(G251=0,C251&gt;=F_V),MIN(Z251,AB251),0)</f>
        <v>0</v>
      </c>
      <c r="AD251" s="1" t="n">
        <f aca="false">IF(G251=1,S251*(1+F_PenG)+Q251,IF(C251&lt;F_V,S251*(1+F_PenG),(Z251-AC251)*(1+AS_PenRet)))</f>
        <v>0</v>
      </c>
      <c r="AE251" s="1" t="n">
        <f aca="false">IF(C251&gt;=PR_SPage,AS_SP*F_SpF*I251+IF(AND(C251&gt;=PR_Over80Age,F_SpF&gt;0),PR_Over80*PR_Weeks*I251,0),0)</f>
        <v>0</v>
      </c>
      <c r="AF251" s="1" t="n">
        <f aca="false">(F_OtherM+F_RentM)*12*E251</f>
        <v>0</v>
      </c>
      <c r="AG251" s="1" t="n">
        <f aca="false">F_PAge+B251</f>
        <v>17</v>
      </c>
      <c r="AH251" s="1" t="n">
        <f aca="false">IF(AND(F_Partner=1,F_PAge&gt;0,AG251&lt;IF(F_PRet&gt;0,F_PRet,PR_SPage)),F_PIncome*F251,0)</f>
        <v>0</v>
      </c>
      <c r="AI251" s="1" t="n">
        <f aca="false">IF(AND(F_Partner=1,AG251&gt;=PR_SPage,F_PSpQA=0),AS_SP*F_PSpF*I251,0)</f>
        <v>0</v>
      </c>
      <c r="AJ251" s="1" t="n">
        <f aca="false">IF(AND(F_Partner=1,F_PSpQA=1,C251&gt;=PR_SPage,AH251=0),IF(AG251&gt;=PR_SPage,PR_QA66,PR_QAunder)*PR_Weeks*I251,0)</f>
        <v>0</v>
      </c>
      <c r="AK251" s="1" t="n">
        <f aca="false">AE251+AJ251</f>
        <v>0</v>
      </c>
      <c r="AL251" s="1" t="n">
        <f aca="false">K251/H251</f>
        <v>0</v>
      </c>
      <c r="AM251" s="1" t="n">
        <f aca="false">AK251/H251</f>
        <v>0</v>
      </c>
      <c r="AN251" s="1" t="n">
        <f aca="false">AC251/H251</f>
        <v>0</v>
      </c>
      <c r="AO251" s="1" t="n">
        <f aca="false">AF251/H251</f>
        <v>0</v>
      </c>
      <c r="AP251" s="1" t="n">
        <f aca="false">O251/H251</f>
        <v>0</v>
      </c>
      <c r="AQ251" s="1" t="n">
        <f aca="false">AH251/H251</f>
        <v>0</v>
      </c>
      <c r="AR251" s="1" t="n">
        <f aca="false">AI251/H251</f>
        <v>0</v>
      </c>
      <c r="AS251" s="1" t="n">
        <f aca="false">MAX(0,AL251+AN251+AO251+AM251-AP251)</f>
        <v>0</v>
      </c>
      <c r="AT251" s="1" t="n">
        <f aca="false">MAX(0,AQ251+AR251)</f>
        <v>0</v>
      </c>
      <c r="AU251" s="1" t="n">
        <f aca="false">MIN(PR_PAYE,PR_PAYEcap*(AL251+AN251+AM251))</f>
        <v>0</v>
      </c>
      <c r="AV251" s="1" t="n">
        <f aca="false">MIN(PR_PAYE,PR_PAYEcap*(AQ251+AR251))</f>
        <v>0</v>
      </c>
      <c r="AW251" s="1" t="n">
        <f aca="false">IF(C251&gt;=PR_AgeCrAge,PR_AgeCr,0)</f>
        <v>0</v>
      </c>
      <c r="AX251" s="1" t="n">
        <f aca="false">IF(AG251&gt;=PR_AgeCrAge,PR_AgeCr,0)</f>
        <v>0</v>
      </c>
      <c r="AY251" s="1" t="n">
        <f aca="false">IF(AND(F_RentCred=1,D251&lt;=PR_RentLast),1,0)</f>
        <v>0</v>
      </c>
      <c r="AZ251" s="1" t="n">
        <f aca="false">AS251+AT251</f>
        <v>0</v>
      </c>
      <c r="BA251" s="1" t="n">
        <f aca="false">PR_PersonalM+AU251+AV251+AW251+AX251+IF(AY251=1,PR_RentJoint,0)</f>
        <v>4000</v>
      </c>
      <c r="BB251" s="1" t="n">
        <f aca="false">PR_BandM+MIN(MIN(AS251,AT251),PR_Uplift)</f>
        <v>53000</v>
      </c>
      <c r="BC251" s="1" t="n">
        <f aca="false">MAX(0,PR_r1*MIN(AZ251,BB251)+PR_r2*MAX(0,AZ251-BB251)-BA251)</f>
        <v>0</v>
      </c>
      <c r="BD251" s="1" t="n">
        <f aca="false">MAX(0,PR_HomeCarer-MAX(0,MIN(AS251,AT251)-PR_HCLimit)/2)</f>
        <v>1950</v>
      </c>
      <c r="BE251" s="1" t="n">
        <f aca="false">IF(F_Carer=1,MIN(BC251,MAX(0,PR_r1*MIN(AZ251,PR_BandM)+PR_r2*MAX(0,AZ251-PR_BandM)-BA251-BD251)),BC251)</f>
        <v>0</v>
      </c>
      <c r="BF251" s="1" t="n">
        <f aca="false">IF(OR(C251&gt;=PR_AgeCrAge,AG251&gt;=PR_AgeCrAge),IF(AZ251&lt;=PR_AgeExM,0,MIN(BE251,PR_AgeMarg*(AZ251-PR_AgeExM))),BE251)</f>
        <v>0</v>
      </c>
      <c r="BG251" s="1" t="n">
        <f aca="false">MAX(0,PR_r1*MIN(AS251,IF(F_Spccc=1,PR_BandSPCCC,PR_Band))+PR_r2*MAX(0,AS251-IF(F_Spccc=1,PR_BandSPCCC,PR_Band))-(PR_Personal+AU251+AW251+IF(F_Spccc=1,PR_SPCCC,0)+IF(AY251=1,PR_Rent,0)))</f>
        <v>0</v>
      </c>
      <c r="BH251" s="1" t="n">
        <f aca="false">IF(C251&gt;=PR_AgeCrAge,IF(AS251&lt;=PR_AgeEx,0,MIN(BG251,PR_AgeMarg*(AS251-PR_AgeEx))),BG251)</f>
        <v>0</v>
      </c>
      <c r="BI251" s="1" t="n">
        <f aca="false">IF(F_Partner=1,MAX(0,PR_r1*MIN(AT251,PR_Band)+PR_r2*MAX(0,AT251-PR_Band)-(PR_Personal+AV251+AX251+IF(AND(AY251=1,AT251&gt;0),PR_Rent,0))),0)</f>
        <v>0</v>
      </c>
      <c r="BJ251" s="1" t="n">
        <f aca="false">IF(AG251&gt;=PR_AgeCrAge,IF(AT251&lt;=PR_AgeEx,0,MIN(BI251,PR_AgeMarg*(AT251-PR_AgeEx))),BI251)</f>
        <v>0</v>
      </c>
      <c r="BK251" s="1" t="n">
        <f aca="false">IF(F_Partner=1,IF(F_Married=1,BF251,BH251+BJ251),BH251)</f>
        <v>0</v>
      </c>
      <c r="BL251" s="1" t="n">
        <f aca="false">AL251+AN251+AO251</f>
        <v>0</v>
      </c>
      <c r="BM251" s="1" t="n">
        <f aca="false">IF(BL251&lt;=PR_USCex,0,IF(IF(AND(C251&gt;=PR_USCredAge,BL251&lt;=PR_USCredMax),1,0)=1,PR_USCr1*MIN(BL251,PR_USCredB1)+PR_USCredR2*MAX(0,BL251-PR_USCredB1),PR_USCr1*MIN(BL251,PR_USCb1)+PR_USCr2*MAX(0,MIN(BL251,PR_USCb2)-PR_USCb1)+PR_USCr3*MAX(0,MIN(BL251,PR_USCb3)-PR_USCb2)+PR_USCr4*MAX(0,BL251-PR_USCb3)))+IF(F_SelfEmp=1,PR_USCse*MAX(0,AL251-PR_USCseOver),0)</f>
        <v>0</v>
      </c>
      <c r="BN251" s="1" t="n">
        <f aca="false">AQ251</f>
        <v>0</v>
      </c>
      <c r="BO251" s="1" t="n">
        <f aca="false">IF(F_Partner=1,IF(BN251&lt;=PR_USCex,0,IF(IF(AND(AG251&gt;=PR_USCredAge,BN251&lt;=PR_USCredMax),1,0)=1,PR_USCr1*MIN(BN251,PR_USCredB1)+PR_USCredR2*MAX(0,BN251-PR_USCredB1),PR_USCr1*MIN(BN251,PR_USCb1)+PR_USCr2*MAX(0,MIN(BN251,PR_USCb2)-PR_USCb1)+PR_USCr3*MAX(0,MIN(BN251,PR_USCb3)-PR_USCb2)+PR_USCr4*MAX(0,BN251-PR_USCb3))),0)</f>
        <v>0</v>
      </c>
      <c r="BP251" s="1" t="n">
        <f aca="false">IF(C251&lt;PR_PRSIend,IF(F_SelfEmp=1,IF(AL251&gt;PR_PRSIsMinInc,MAX(PR_PRSIsMin,AL251*J251),0),IF(AL251/52&lt;=PR_PRSIfree,0,MAX(0,(AL251/52*J251-IF(AL251/52&lt;=PR_PRSIcreditTo,MAX(0,PR_PRSIcreditMax-(AL251/52-(PR_PRSIfree+0.01))/PR_PRSItaper),0))*52)))+J251*AN251+IF(AO251&gt;PR_PRSIunearned,J251*AO251,0),0)</f>
        <v>0</v>
      </c>
      <c r="BQ251" s="1" t="n">
        <f aca="false">IF(AND(F_Partner=1,AG251&lt;PR_PRSIend),IF(AQ251/52&lt;=PR_PRSIfree,0,MAX(0,(AQ251/52*J251-IF(AQ251/52&lt;=PR_PRSIcreditTo,MAX(0,PR_PRSIcreditMax-(AQ251/52-(PR_PRSIfree+0.01))/PR_PRSItaper),0))*52)),0)</f>
        <v>0</v>
      </c>
      <c r="BR251" s="1" t="n">
        <f aca="false">BK251+BM251+BO251+BP251+BQ251</f>
        <v>0</v>
      </c>
      <c r="BS251" s="1" t="n">
        <f aca="false">BR251*H251</f>
        <v>0</v>
      </c>
      <c r="BT251" s="1" t="n">
        <f aca="false">K251+AK251+AC251+AF251+AH251+AI251</f>
        <v>0</v>
      </c>
    </row>
    <row r="252" customFormat="false" ht="15" hidden="false" customHeight="true" outlineLevel="0" collapsed="false">
      <c r="B252" s="1" t="n">
        <v>18</v>
      </c>
      <c r="C252" s="1" t="n">
        <f aca="false">F_Age+B252</f>
        <v>18</v>
      </c>
      <c r="D252" s="1" t="n">
        <f aca="false">AS_Year0+B252</f>
        <v>2045</v>
      </c>
      <c r="E252" s="111" t="n">
        <f aca="false">(1+AS_Infl)^B252</f>
        <v>1.42824624757627</v>
      </c>
      <c r="F252" s="111" t="n">
        <f aca="false">(1+AS_Wage)^B252</f>
        <v>1.7024330612399</v>
      </c>
      <c r="G252" s="1" t="n">
        <f aca="false">IF(C252&lt;F_R,1,0)</f>
        <v>1</v>
      </c>
      <c r="H252" s="111" t="n">
        <f aca="false">IF(AS_Bands="flat",1,E252)</f>
        <v>1.42824624757627</v>
      </c>
      <c r="I252" s="111" t="n">
        <f aca="false">IF(AS_SpGrow="pay",F252,IF(AS_SpGrow="flat",1,E252))</f>
        <v>1.42824624757627</v>
      </c>
      <c r="J252" s="111" t="n">
        <f aca="false">(12*PR_PRSIr0+(PR_PRSIr1-PR_PRSIr0)*MAX(0,MIN(12,D252*12+12-PR_PRSIt1))+(PR_PRSIr2-PR_PRSIr1)*MAX(0,MIN(12,D252*12+12-PR_PRSIt2))+(PR_PRSIr3-PR_PRSIr2)*MAX(0,MIN(12,D252*12+12-PR_PRSIt3)))/12</f>
        <v>0.047</v>
      </c>
      <c r="K252" s="1" t="n">
        <f aca="false">IF(G252=1,F_Income*F252,0)</f>
        <v>0</v>
      </c>
      <c r="L252" s="1" t="n">
        <f aca="false">IF(G252=1,(F_Own+In_penExtra)*12*F252,0)</f>
        <v>0</v>
      </c>
      <c r="M252" s="1" t="n">
        <f aca="false">IF(G252=1,(F_PenM+In_penExtra)*12*F252,0)</f>
        <v>0</v>
      </c>
      <c r="N252" s="112" t="n">
        <f aca="false">IF(C252&lt;PR_RelA1,PR_RelP1,IF(C252&lt;PR_RelA2,PR_RelP2,IF(C252&lt;PR_RelA3,PR_RelP3,IF(C252&lt;PR_RelA4,PR_RelP4,IF(C252&lt;PR_RelA5,PR_RelP5,PR_RelP6)))))</f>
        <v>0.15</v>
      </c>
      <c r="O252" s="1" t="n">
        <f aca="false">IF(G252=1,MIN(L252/H252,N252*MIN(K252/H252,PR_EarnCap))*H252,0)</f>
        <v>0</v>
      </c>
      <c r="P252" s="1" t="n">
        <f aca="false">IF(AND(G252=1,F_AE=1),MIN(K252/H252,PR_AEcap)*H252,0)</f>
        <v>0</v>
      </c>
      <c r="Q252" s="1" t="n">
        <f aca="false">IF(G252=1,IF(WI_Retire=1,MAX(0,M252+WI_M*12),M252)+(PR_AEee+PR_AEer+PR_AEst)*P252,0)</f>
        <v>0</v>
      </c>
      <c r="R252" s="1" t="n">
        <f aca="false">L252+PR_AEee*P252</f>
        <v>0</v>
      </c>
      <c r="S252" s="1" t="n">
        <f aca="false">AD251</f>
        <v>0</v>
      </c>
      <c r="T252" s="1" t="n">
        <f aca="false">IF(D252&lt;=PR_SFTfrom,PR_SFT2026,IF(D252=PR_SFTfrom+1,PR_SFT2027,IF(D252=PR_SFTfrom+2,PR_SFT2028,IF(D252&lt;=PR_SFTto,PR_SFT2029,PR_SFT2029*(1+AS_Infl)^(D252-PR_SFTto)))))</f>
        <v>3843799.97425372</v>
      </c>
      <c r="U252" s="1" t="n">
        <f aca="false">IF(AND(G252=0,C252=F_V),1,0)</f>
        <v>0</v>
      </c>
      <c r="V252" s="1" t="n">
        <f aca="false">IF(U252=1,PR_SFTrate*MAX(0,S252-T252),0)</f>
        <v>0</v>
      </c>
      <c r="W252" s="1" t="n">
        <f aca="false">S252-V252</f>
        <v>0</v>
      </c>
      <c r="X252" s="1" t="n">
        <f aca="false">IF(AND(U252=1,AS_LumpPct&gt;0),W252*MIN(AS_LumpPct,PR_LSmax),0)</f>
        <v>0</v>
      </c>
      <c r="Y252" s="1" t="n">
        <f aca="false">X252-(PR_LSrate*MAX(0,MIN(X252,PR_LScap)-PR_LSfree)+PR_r2*MAX(0,X252-PR_LScap))</f>
        <v>0</v>
      </c>
      <c r="Z252" s="1" t="n">
        <f aca="false">W252-X252</f>
        <v>0</v>
      </c>
      <c r="AA252" s="112" t="n">
        <f aca="false">IF(C252&gt;=PR_ARFage1,IF(Z252&gt;PR_ARFbig,PR_ARFbigRate,IF(C252&gt;=PR_ARFage2,PR_ARF71,PR_ARF61)),0)</f>
        <v>0</v>
      </c>
      <c r="AB252" s="1" t="n">
        <f aca="false">IF(AS_DrawRule="min",Z252*AA252,IF(AS_DrawRule="fixed",MAX(AS_DrawFixed*E252,Z252*AA252),Z252*MAX(1/MAX(1,AS_End-C252+1),AA252)))</f>
        <v>0</v>
      </c>
      <c r="AC252" s="1" t="n">
        <f aca="false">IF(AND(G252=0,C252&gt;=F_V),MIN(Z252,AB252),0)</f>
        <v>0</v>
      </c>
      <c r="AD252" s="1" t="n">
        <f aca="false">IF(G252=1,S252*(1+F_PenG)+Q252,IF(C252&lt;F_V,S252*(1+F_PenG),(Z252-AC252)*(1+AS_PenRet)))</f>
        <v>0</v>
      </c>
      <c r="AE252" s="1" t="n">
        <f aca="false">IF(C252&gt;=PR_SPage,AS_SP*F_SpF*I252+IF(AND(C252&gt;=PR_Over80Age,F_SpF&gt;0),PR_Over80*PR_Weeks*I252,0),0)</f>
        <v>0</v>
      </c>
      <c r="AF252" s="1" t="n">
        <f aca="false">(F_OtherM+F_RentM)*12*E252</f>
        <v>0</v>
      </c>
      <c r="AG252" s="1" t="n">
        <f aca="false">F_PAge+B252</f>
        <v>18</v>
      </c>
      <c r="AH252" s="1" t="n">
        <f aca="false">IF(AND(F_Partner=1,F_PAge&gt;0,AG252&lt;IF(F_PRet&gt;0,F_PRet,PR_SPage)),F_PIncome*F252,0)</f>
        <v>0</v>
      </c>
      <c r="AI252" s="1" t="n">
        <f aca="false">IF(AND(F_Partner=1,AG252&gt;=PR_SPage,F_PSpQA=0),AS_SP*F_PSpF*I252,0)</f>
        <v>0</v>
      </c>
      <c r="AJ252" s="1" t="n">
        <f aca="false">IF(AND(F_Partner=1,F_PSpQA=1,C252&gt;=PR_SPage,AH252=0),IF(AG252&gt;=PR_SPage,PR_QA66,PR_QAunder)*PR_Weeks*I252,0)</f>
        <v>0</v>
      </c>
      <c r="AK252" s="1" t="n">
        <f aca="false">AE252+AJ252</f>
        <v>0</v>
      </c>
      <c r="AL252" s="1" t="n">
        <f aca="false">K252/H252</f>
        <v>0</v>
      </c>
      <c r="AM252" s="1" t="n">
        <f aca="false">AK252/H252</f>
        <v>0</v>
      </c>
      <c r="AN252" s="1" t="n">
        <f aca="false">AC252/H252</f>
        <v>0</v>
      </c>
      <c r="AO252" s="1" t="n">
        <f aca="false">AF252/H252</f>
        <v>0</v>
      </c>
      <c r="AP252" s="1" t="n">
        <f aca="false">O252/H252</f>
        <v>0</v>
      </c>
      <c r="AQ252" s="1" t="n">
        <f aca="false">AH252/H252</f>
        <v>0</v>
      </c>
      <c r="AR252" s="1" t="n">
        <f aca="false">AI252/H252</f>
        <v>0</v>
      </c>
      <c r="AS252" s="1" t="n">
        <f aca="false">MAX(0,AL252+AN252+AO252+AM252-AP252)</f>
        <v>0</v>
      </c>
      <c r="AT252" s="1" t="n">
        <f aca="false">MAX(0,AQ252+AR252)</f>
        <v>0</v>
      </c>
      <c r="AU252" s="1" t="n">
        <f aca="false">MIN(PR_PAYE,PR_PAYEcap*(AL252+AN252+AM252))</f>
        <v>0</v>
      </c>
      <c r="AV252" s="1" t="n">
        <f aca="false">MIN(PR_PAYE,PR_PAYEcap*(AQ252+AR252))</f>
        <v>0</v>
      </c>
      <c r="AW252" s="1" t="n">
        <f aca="false">IF(C252&gt;=PR_AgeCrAge,PR_AgeCr,0)</f>
        <v>0</v>
      </c>
      <c r="AX252" s="1" t="n">
        <f aca="false">IF(AG252&gt;=PR_AgeCrAge,PR_AgeCr,0)</f>
        <v>0</v>
      </c>
      <c r="AY252" s="1" t="n">
        <f aca="false">IF(AND(F_RentCred=1,D252&lt;=PR_RentLast),1,0)</f>
        <v>0</v>
      </c>
      <c r="AZ252" s="1" t="n">
        <f aca="false">AS252+AT252</f>
        <v>0</v>
      </c>
      <c r="BA252" s="1" t="n">
        <f aca="false">PR_PersonalM+AU252+AV252+AW252+AX252+IF(AY252=1,PR_RentJoint,0)</f>
        <v>4000</v>
      </c>
      <c r="BB252" s="1" t="n">
        <f aca="false">PR_BandM+MIN(MIN(AS252,AT252),PR_Uplift)</f>
        <v>53000</v>
      </c>
      <c r="BC252" s="1" t="n">
        <f aca="false">MAX(0,PR_r1*MIN(AZ252,BB252)+PR_r2*MAX(0,AZ252-BB252)-BA252)</f>
        <v>0</v>
      </c>
      <c r="BD252" s="1" t="n">
        <f aca="false">MAX(0,PR_HomeCarer-MAX(0,MIN(AS252,AT252)-PR_HCLimit)/2)</f>
        <v>1950</v>
      </c>
      <c r="BE252" s="1" t="n">
        <f aca="false">IF(F_Carer=1,MIN(BC252,MAX(0,PR_r1*MIN(AZ252,PR_BandM)+PR_r2*MAX(0,AZ252-PR_BandM)-BA252-BD252)),BC252)</f>
        <v>0</v>
      </c>
      <c r="BF252" s="1" t="n">
        <f aca="false">IF(OR(C252&gt;=PR_AgeCrAge,AG252&gt;=PR_AgeCrAge),IF(AZ252&lt;=PR_AgeExM,0,MIN(BE252,PR_AgeMarg*(AZ252-PR_AgeExM))),BE252)</f>
        <v>0</v>
      </c>
      <c r="BG252" s="1" t="n">
        <f aca="false">MAX(0,PR_r1*MIN(AS252,IF(F_Spccc=1,PR_BandSPCCC,PR_Band))+PR_r2*MAX(0,AS252-IF(F_Spccc=1,PR_BandSPCCC,PR_Band))-(PR_Personal+AU252+AW252+IF(F_Spccc=1,PR_SPCCC,0)+IF(AY252=1,PR_Rent,0)))</f>
        <v>0</v>
      </c>
      <c r="BH252" s="1" t="n">
        <f aca="false">IF(C252&gt;=PR_AgeCrAge,IF(AS252&lt;=PR_AgeEx,0,MIN(BG252,PR_AgeMarg*(AS252-PR_AgeEx))),BG252)</f>
        <v>0</v>
      </c>
      <c r="BI252" s="1" t="n">
        <f aca="false">IF(F_Partner=1,MAX(0,PR_r1*MIN(AT252,PR_Band)+PR_r2*MAX(0,AT252-PR_Band)-(PR_Personal+AV252+AX252+IF(AND(AY252=1,AT252&gt;0),PR_Rent,0))),0)</f>
        <v>0</v>
      </c>
      <c r="BJ252" s="1" t="n">
        <f aca="false">IF(AG252&gt;=PR_AgeCrAge,IF(AT252&lt;=PR_AgeEx,0,MIN(BI252,PR_AgeMarg*(AT252-PR_AgeEx))),BI252)</f>
        <v>0</v>
      </c>
      <c r="BK252" s="1" t="n">
        <f aca="false">IF(F_Partner=1,IF(F_Married=1,BF252,BH252+BJ252),BH252)</f>
        <v>0</v>
      </c>
      <c r="BL252" s="1" t="n">
        <f aca="false">AL252+AN252+AO252</f>
        <v>0</v>
      </c>
      <c r="BM252" s="1" t="n">
        <f aca="false">IF(BL252&lt;=PR_USCex,0,IF(IF(AND(C252&gt;=PR_USCredAge,BL252&lt;=PR_USCredMax),1,0)=1,PR_USCr1*MIN(BL252,PR_USCredB1)+PR_USCredR2*MAX(0,BL252-PR_USCredB1),PR_USCr1*MIN(BL252,PR_USCb1)+PR_USCr2*MAX(0,MIN(BL252,PR_USCb2)-PR_USCb1)+PR_USCr3*MAX(0,MIN(BL252,PR_USCb3)-PR_USCb2)+PR_USCr4*MAX(0,BL252-PR_USCb3)))+IF(F_SelfEmp=1,PR_USCse*MAX(0,AL252-PR_USCseOver),0)</f>
        <v>0</v>
      </c>
      <c r="BN252" s="1" t="n">
        <f aca="false">AQ252</f>
        <v>0</v>
      </c>
      <c r="BO252" s="1" t="n">
        <f aca="false">IF(F_Partner=1,IF(BN252&lt;=PR_USCex,0,IF(IF(AND(AG252&gt;=PR_USCredAge,BN252&lt;=PR_USCredMax),1,0)=1,PR_USCr1*MIN(BN252,PR_USCredB1)+PR_USCredR2*MAX(0,BN252-PR_USCredB1),PR_USCr1*MIN(BN252,PR_USCb1)+PR_USCr2*MAX(0,MIN(BN252,PR_USCb2)-PR_USCb1)+PR_USCr3*MAX(0,MIN(BN252,PR_USCb3)-PR_USCb2)+PR_USCr4*MAX(0,BN252-PR_USCb3))),0)</f>
        <v>0</v>
      </c>
      <c r="BP252" s="1" t="n">
        <f aca="false">IF(C252&lt;PR_PRSIend,IF(F_SelfEmp=1,IF(AL252&gt;PR_PRSIsMinInc,MAX(PR_PRSIsMin,AL252*J252),0),IF(AL252/52&lt;=PR_PRSIfree,0,MAX(0,(AL252/52*J252-IF(AL252/52&lt;=PR_PRSIcreditTo,MAX(0,PR_PRSIcreditMax-(AL252/52-(PR_PRSIfree+0.01))/PR_PRSItaper),0))*52)))+J252*AN252+IF(AO252&gt;PR_PRSIunearned,J252*AO252,0),0)</f>
        <v>0</v>
      </c>
      <c r="BQ252" s="1" t="n">
        <f aca="false">IF(AND(F_Partner=1,AG252&lt;PR_PRSIend),IF(AQ252/52&lt;=PR_PRSIfree,0,MAX(0,(AQ252/52*J252-IF(AQ252/52&lt;=PR_PRSIcreditTo,MAX(0,PR_PRSIcreditMax-(AQ252/52-(PR_PRSIfree+0.01))/PR_PRSItaper),0))*52)),0)</f>
        <v>0</v>
      </c>
      <c r="BR252" s="1" t="n">
        <f aca="false">BK252+BM252+BO252+BP252+BQ252</f>
        <v>0</v>
      </c>
      <c r="BS252" s="1" t="n">
        <f aca="false">BR252*H252</f>
        <v>0</v>
      </c>
      <c r="BT252" s="1" t="n">
        <f aca="false">K252+AK252+AC252+AF252+AH252+AI252</f>
        <v>0</v>
      </c>
    </row>
    <row r="253" customFormat="false" ht="15" hidden="false" customHeight="true" outlineLevel="0" collapsed="false">
      <c r="B253" s="1" t="n">
        <v>19</v>
      </c>
      <c r="C253" s="1" t="n">
        <f aca="false">F_Age+B253</f>
        <v>19</v>
      </c>
      <c r="D253" s="1" t="n">
        <f aca="false">AS_Year0+B253</f>
        <v>2046</v>
      </c>
      <c r="E253" s="111" t="n">
        <f aca="false">(1+AS_Infl)^B253</f>
        <v>1.4568111725278</v>
      </c>
      <c r="F253" s="111" t="n">
        <f aca="false">(1+AS_Wage)^B253</f>
        <v>1.7535060530771</v>
      </c>
      <c r="G253" s="1" t="n">
        <f aca="false">IF(C253&lt;F_R,1,0)</f>
        <v>1</v>
      </c>
      <c r="H253" s="111" t="n">
        <f aca="false">IF(AS_Bands="flat",1,E253)</f>
        <v>1.4568111725278</v>
      </c>
      <c r="I253" s="111" t="n">
        <f aca="false">IF(AS_SpGrow="pay",F253,IF(AS_SpGrow="flat",1,E253))</f>
        <v>1.4568111725278</v>
      </c>
      <c r="J253" s="111" t="n">
        <f aca="false">(12*PR_PRSIr0+(PR_PRSIr1-PR_PRSIr0)*MAX(0,MIN(12,D253*12+12-PR_PRSIt1))+(PR_PRSIr2-PR_PRSIr1)*MAX(0,MIN(12,D253*12+12-PR_PRSIt2))+(PR_PRSIr3-PR_PRSIr2)*MAX(0,MIN(12,D253*12+12-PR_PRSIt3)))/12</f>
        <v>0.047</v>
      </c>
      <c r="K253" s="1" t="n">
        <f aca="false">IF(G253=1,F_Income*F253,0)</f>
        <v>0</v>
      </c>
      <c r="L253" s="1" t="n">
        <f aca="false">IF(G253=1,(F_Own+In_penExtra)*12*F253,0)</f>
        <v>0</v>
      </c>
      <c r="M253" s="1" t="n">
        <f aca="false">IF(G253=1,(F_PenM+In_penExtra)*12*F253,0)</f>
        <v>0</v>
      </c>
      <c r="N253" s="112" t="n">
        <f aca="false">IF(C253&lt;PR_RelA1,PR_RelP1,IF(C253&lt;PR_RelA2,PR_RelP2,IF(C253&lt;PR_RelA3,PR_RelP3,IF(C253&lt;PR_RelA4,PR_RelP4,IF(C253&lt;PR_RelA5,PR_RelP5,PR_RelP6)))))</f>
        <v>0.15</v>
      </c>
      <c r="O253" s="1" t="n">
        <f aca="false">IF(G253=1,MIN(L253/H253,N253*MIN(K253/H253,PR_EarnCap))*H253,0)</f>
        <v>0</v>
      </c>
      <c r="P253" s="1" t="n">
        <f aca="false">IF(AND(G253=1,F_AE=1),MIN(K253/H253,PR_AEcap)*H253,0)</f>
        <v>0</v>
      </c>
      <c r="Q253" s="1" t="n">
        <f aca="false">IF(G253=1,IF(WI_Retire=1,MAX(0,M253+WI_M*12),M253)+(PR_AEee+PR_AEer+PR_AEst)*P253,0)</f>
        <v>0</v>
      </c>
      <c r="R253" s="1" t="n">
        <f aca="false">L253+PR_AEee*P253</f>
        <v>0</v>
      </c>
      <c r="S253" s="1" t="n">
        <f aca="false">AD252</f>
        <v>0</v>
      </c>
      <c r="T253" s="1" t="n">
        <f aca="false">IF(D253&lt;=PR_SFTfrom,PR_SFT2026,IF(D253=PR_SFTfrom+1,PR_SFT2027,IF(D253=PR_SFTfrom+2,PR_SFT2028,IF(D253&lt;=PR_SFTto,PR_SFT2029,PR_SFT2029*(1+AS_Infl)^(D253-PR_SFTto)))))</f>
        <v>3920675.97373879</v>
      </c>
      <c r="U253" s="1" t="n">
        <f aca="false">IF(AND(G253=0,C253=F_V),1,0)</f>
        <v>0</v>
      </c>
      <c r="V253" s="1" t="n">
        <f aca="false">IF(U253=1,PR_SFTrate*MAX(0,S253-T253),0)</f>
        <v>0</v>
      </c>
      <c r="W253" s="1" t="n">
        <f aca="false">S253-V253</f>
        <v>0</v>
      </c>
      <c r="X253" s="1" t="n">
        <f aca="false">IF(AND(U253=1,AS_LumpPct&gt;0),W253*MIN(AS_LumpPct,PR_LSmax),0)</f>
        <v>0</v>
      </c>
      <c r="Y253" s="1" t="n">
        <f aca="false">X253-(PR_LSrate*MAX(0,MIN(X253,PR_LScap)-PR_LSfree)+PR_r2*MAX(0,X253-PR_LScap))</f>
        <v>0</v>
      </c>
      <c r="Z253" s="1" t="n">
        <f aca="false">W253-X253</f>
        <v>0</v>
      </c>
      <c r="AA253" s="112" t="n">
        <f aca="false">IF(C253&gt;=PR_ARFage1,IF(Z253&gt;PR_ARFbig,PR_ARFbigRate,IF(C253&gt;=PR_ARFage2,PR_ARF71,PR_ARF61)),0)</f>
        <v>0</v>
      </c>
      <c r="AB253" s="1" t="n">
        <f aca="false">IF(AS_DrawRule="min",Z253*AA253,IF(AS_DrawRule="fixed",MAX(AS_DrawFixed*E253,Z253*AA253),Z253*MAX(1/MAX(1,AS_End-C253+1),AA253)))</f>
        <v>0</v>
      </c>
      <c r="AC253" s="1" t="n">
        <f aca="false">IF(AND(G253=0,C253&gt;=F_V),MIN(Z253,AB253),0)</f>
        <v>0</v>
      </c>
      <c r="AD253" s="1" t="n">
        <f aca="false">IF(G253=1,S253*(1+F_PenG)+Q253,IF(C253&lt;F_V,S253*(1+F_PenG),(Z253-AC253)*(1+AS_PenRet)))</f>
        <v>0</v>
      </c>
      <c r="AE253" s="1" t="n">
        <f aca="false">IF(C253&gt;=PR_SPage,AS_SP*F_SpF*I253+IF(AND(C253&gt;=PR_Over80Age,F_SpF&gt;0),PR_Over80*PR_Weeks*I253,0),0)</f>
        <v>0</v>
      </c>
      <c r="AF253" s="1" t="n">
        <f aca="false">(F_OtherM+F_RentM)*12*E253</f>
        <v>0</v>
      </c>
      <c r="AG253" s="1" t="n">
        <f aca="false">F_PAge+B253</f>
        <v>19</v>
      </c>
      <c r="AH253" s="1" t="n">
        <f aca="false">IF(AND(F_Partner=1,F_PAge&gt;0,AG253&lt;IF(F_PRet&gt;0,F_PRet,PR_SPage)),F_PIncome*F253,0)</f>
        <v>0</v>
      </c>
      <c r="AI253" s="1" t="n">
        <f aca="false">IF(AND(F_Partner=1,AG253&gt;=PR_SPage,F_PSpQA=0),AS_SP*F_PSpF*I253,0)</f>
        <v>0</v>
      </c>
      <c r="AJ253" s="1" t="n">
        <f aca="false">IF(AND(F_Partner=1,F_PSpQA=1,C253&gt;=PR_SPage,AH253=0),IF(AG253&gt;=PR_SPage,PR_QA66,PR_QAunder)*PR_Weeks*I253,0)</f>
        <v>0</v>
      </c>
      <c r="AK253" s="1" t="n">
        <f aca="false">AE253+AJ253</f>
        <v>0</v>
      </c>
      <c r="AL253" s="1" t="n">
        <f aca="false">K253/H253</f>
        <v>0</v>
      </c>
      <c r="AM253" s="1" t="n">
        <f aca="false">AK253/H253</f>
        <v>0</v>
      </c>
      <c r="AN253" s="1" t="n">
        <f aca="false">AC253/H253</f>
        <v>0</v>
      </c>
      <c r="AO253" s="1" t="n">
        <f aca="false">AF253/H253</f>
        <v>0</v>
      </c>
      <c r="AP253" s="1" t="n">
        <f aca="false">O253/H253</f>
        <v>0</v>
      </c>
      <c r="AQ253" s="1" t="n">
        <f aca="false">AH253/H253</f>
        <v>0</v>
      </c>
      <c r="AR253" s="1" t="n">
        <f aca="false">AI253/H253</f>
        <v>0</v>
      </c>
      <c r="AS253" s="1" t="n">
        <f aca="false">MAX(0,AL253+AN253+AO253+AM253-AP253)</f>
        <v>0</v>
      </c>
      <c r="AT253" s="1" t="n">
        <f aca="false">MAX(0,AQ253+AR253)</f>
        <v>0</v>
      </c>
      <c r="AU253" s="1" t="n">
        <f aca="false">MIN(PR_PAYE,PR_PAYEcap*(AL253+AN253+AM253))</f>
        <v>0</v>
      </c>
      <c r="AV253" s="1" t="n">
        <f aca="false">MIN(PR_PAYE,PR_PAYEcap*(AQ253+AR253))</f>
        <v>0</v>
      </c>
      <c r="AW253" s="1" t="n">
        <f aca="false">IF(C253&gt;=PR_AgeCrAge,PR_AgeCr,0)</f>
        <v>0</v>
      </c>
      <c r="AX253" s="1" t="n">
        <f aca="false">IF(AG253&gt;=PR_AgeCrAge,PR_AgeCr,0)</f>
        <v>0</v>
      </c>
      <c r="AY253" s="1" t="n">
        <f aca="false">IF(AND(F_RentCred=1,D253&lt;=PR_RentLast),1,0)</f>
        <v>0</v>
      </c>
      <c r="AZ253" s="1" t="n">
        <f aca="false">AS253+AT253</f>
        <v>0</v>
      </c>
      <c r="BA253" s="1" t="n">
        <f aca="false">PR_PersonalM+AU253+AV253+AW253+AX253+IF(AY253=1,PR_RentJoint,0)</f>
        <v>4000</v>
      </c>
      <c r="BB253" s="1" t="n">
        <f aca="false">PR_BandM+MIN(MIN(AS253,AT253),PR_Uplift)</f>
        <v>53000</v>
      </c>
      <c r="BC253" s="1" t="n">
        <f aca="false">MAX(0,PR_r1*MIN(AZ253,BB253)+PR_r2*MAX(0,AZ253-BB253)-BA253)</f>
        <v>0</v>
      </c>
      <c r="BD253" s="1" t="n">
        <f aca="false">MAX(0,PR_HomeCarer-MAX(0,MIN(AS253,AT253)-PR_HCLimit)/2)</f>
        <v>1950</v>
      </c>
      <c r="BE253" s="1" t="n">
        <f aca="false">IF(F_Carer=1,MIN(BC253,MAX(0,PR_r1*MIN(AZ253,PR_BandM)+PR_r2*MAX(0,AZ253-PR_BandM)-BA253-BD253)),BC253)</f>
        <v>0</v>
      </c>
      <c r="BF253" s="1" t="n">
        <f aca="false">IF(OR(C253&gt;=PR_AgeCrAge,AG253&gt;=PR_AgeCrAge),IF(AZ253&lt;=PR_AgeExM,0,MIN(BE253,PR_AgeMarg*(AZ253-PR_AgeExM))),BE253)</f>
        <v>0</v>
      </c>
      <c r="BG253" s="1" t="n">
        <f aca="false">MAX(0,PR_r1*MIN(AS253,IF(F_Spccc=1,PR_BandSPCCC,PR_Band))+PR_r2*MAX(0,AS253-IF(F_Spccc=1,PR_BandSPCCC,PR_Band))-(PR_Personal+AU253+AW253+IF(F_Spccc=1,PR_SPCCC,0)+IF(AY253=1,PR_Rent,0)))</f>
        <v>0</v>
      </c>
      <c r="BH253" s="1" t="n">
        <f aca="false">IF(C253&gt;=PR_AgeCrAge,IF(AS253&lt;=PR_AgeEx,0,MIN(BG253,PR_AgeMarg*(AS253-PR_AgeEx))),BG253)</f>
        <v>0</v>
      </c>
      <c r="BI253" s="1" t="n">
        <f aca="false">IF(F_Partner=1,MAX(0,PR_r1*MIN(AT253,PR_Band)+PR_r2*MAX(0,AT253-PR_Band)-(PR_Personal+AV253+AX253+IF(AND(AY253=1,AT253&gt;0),PR_Rent,0))),0)</f>
        <v>0</v>
      </c>
      <c r="BJ253" s="1" t="n">
        <f aca="false">IF(AG253&gt;=PR_AgeCrAge,IF(AT253&lt;=PR_AgeEx,0,MIN(BI253,PR_AgeMarg*(AT253-PR_AgeEx))),BI253)</f>
        <v>0</v>
      </c>
      <c r="BK253" s="1" t="n">
        <f aca="false">IF(F_Partner=1,IF(F_Married=1,BF253,BH253+BJ253),BH253)</f>
        <v>0</v>
      </c>
      <c r="BL253" s="1" t="n">
        <f aca="false">AL253+AN253+AO253</f>
        <v>0</v>
      </c>
      <c r="BM253" s="1" t="n">
        <f aca="false">IF(BL253&lt;=PR_USCex,0,IF(IF(AND(C253&gt;=PR_USCredAge,BL253&lt;=PR_USCredMax),1,0)=1,PR_USCr1*MIN(BL253,PR_USCredB1)+PR_USCredR2*MAX(0,BL253-PR_USCredB1),PR_USCr1*MIN(BL253,PR_USCb1)+PR_USCr2*MAX(0,MIN(BL253,PR_USCb2)-PR_USCb1)+PR_USCr3*MAX(0,MIN(BL253,PR_USCb3)-PR_USCb2)+PR_USCr4*MAX(0,BL253-PR_USCb3)))+IF(F_SelfEmp=1,PR_USCse*MAX(0,AL253-PR_USCseOver),0)</f>
        <v>0</v>
      </c>
      <c r="BN253" s="1" t="n">
        <f aca="false">AQ253</f>
        <v>0</v>
      </c>
      <c r="BO253" s="1" t="n">
        <f aca="false">IF(F_Partner=1,IF(BN253&lt;=PR_USCex,0,IF(IF(AND(AG253&gt;=PR_USCredAge,BN253&lt;=PR_USCredMax),1,0)=1,PR_USCr1*MIN(BN253,PR_USCredB1)+PR_USCredR2*MAX(0,BN253-PR_USCredB1),PR_USCr1*MIN(BN253,PR_USCb1)+PR_USCr2*MAX(0,MIN(BN253,PR_USCb2)-PR_USCb1)+PR_USCr3*MAX(0,MIN(BN253,PR_USCb3)-PR_USCb2)+PR_USCr4*MAX(0,BN253-PR_USCb3))),0)</f>
        <v>0</v>
      </c>
      <c r="BP253" s="1" t="n">
        <f aca="false">IF(C253&lt;PR_PRSIend,IF(F_SelfEmp=1,IF(AL253&gt;PR_PRSIsMinInc,MAX(PR_PRSIsMin,AL253*J253),0),IF(AL253/52&lt;=PR_PRSIfree,0,MAX(0,(AL253/52*J253-IF(AL253/52&lt;=PR_PRSIcreditTo,MAX(0,PR_PRSIcreditMax-(AL253/52-(PR_PRSIfree+0.01))/PR_PRSItaper),0))*52)))+J253*AN253+IF(AO253&gt;PR_PRSIunearned,J253*AO253,0),0)</f>
        <v>0</v>
      </c>
      <c r="BQ253" s="1" t="n">
        <f aca="false">IF(AND(F_Partner=1,AG253&lt;PR_PRSIend),IF(AQ253/52&lt;=PR_PRSIfree,0,MAX(0,(AQ253/52*J253-IF(AQ253/52&lt;=PR_PRSIcreditTo,MAX(0,PR_PRSIcreditMax-(AQ253/52-(PR_PRSIfree+0.01))/PR_PRSItaper),0))*52)),0)</f>
        <v>0</v>
      </c>
      <c r="BR253" s="1" t="n">
        <f aca="false">BK253+BM253+BO253+BP253+BQ253</f>
        <v>0</v>
      </c>
      <c r="BS253" s="1" t="n">
        <f aca="false">BR253*H253</f>
        <v>0</v>
      </c>
      <c r="BT253" s="1" t="n">
        <f aca="false">K253+AK253+AC253+AF253+AH253+AI253</f>
        <v>0</v>
      </c>
    </row>
    <row r="254" customFormat="false" ht="15" hidden="false" customHeight="true" outlineLevel="0" collapsed="false">
      <c r="B254" s="1" t="n">
        <v>20</v>
      </c>
      <c r="C254" s="1" t="n">
        <f aca="false">F_Age+B254</f>
        <v>20</v>
      </c>
      <c r="D254" s="1" t="n">
        <f aca="false">AS_Year0+B254</f>
        <v>2047</v>
      </c>
      <c r="E254" s="111" t="n">
        <f aca="false">(1+AS_Infl)^B254</f>
        <v>1.48594739597836</v>
      </c>
      <c r="F254" s="111" t="n">
        <f aca="false">(1+AS_Wage)^B254</f>
        <v>1.80611123466941</v>
      </c>
      <c r="G254" s="1" t="n">
        <f aca="false">IF(C254&lt;F_R,1,0)</f>
        <v>1</v>
      </c>
      <c r="H254" s="111" t="n">
        <f aca="false">IF(AS_Bands="flat",1,E254)</f>
        <v>1.48594739597836</v>
      </c>
      <c r="I254" s="111" t="n">
        <f aca="false">IF(AS_SpGrow="pay",F254,IF(AS_SpGrow="flat",1,E254))</f>
        <v>1.48594739597836</v>
      </c>
      <c r="J254" s="111" t="n">
        <f aca="false">(12*PR_PRSIr0+(PR_PRSIr1-PR_PRSIr0)*MAX(0,MIN(12,D254*12+12-PR_PRSIt1))+(PR_PRSIr2-PR_PRSIr1)*MAX(0,MIN(12,D254*12+12-PR_PRSIt2))+(PR_PRSIr3-PR_PRSIr2)*MAX(0,MIN(12,D254*12+12-PR_PRSIt3)))/12</f>
        <v>0.047</v>
      </c>
      <c r="K254" s="1" t="n">
        <f aca="false">IF(G254=1,F_Income*F254,0)</f>
        <v>0</v>
      </c>
      <c r="L254" s="1" t="n">
        <f aca="false">IF(G254=1,(F_Own+In_penExtra)*12*F254,0)</f>
        <v>0</v>
      </c>
      <c r="M254" s="1" t="n">
        <f aca="false">IF(G254=1,(F_PenM+In_penExtra)*12*F254,0)</f>
        <v>0</v>
      </c>
      <c r="N254" s="112" t="n">
        <f aca="false">IF(C254&lt;PR_RelA1,PR_RelP1,IF(C254&lt;PR_RelA2,PR_RelP2,IF(C254&lt;PR_RelA3,PR_RelP3,IF(C254&lt;PR_RelA4,PR_RelP4,IF(C254&lt;PR_RelA5,PR_RelP5,PR_RelP6)))))</f>
        <v>0.15</v>
      </c>
      <c r="O254" s="1" t="n">
        <f aca="false">IF(G254=1,MIN(L254/H254,N254*MIN(K254/H254,PR_EarnCap))*H254,0)</f>
        <v>0</v>
      </c>
      <c r="P254" s="1" t="n">
        <f aca="false">IF(AND(G254=1,F_AE=1),MIN(K254/H254,PR_AEcap)*H254,0)</f>
        <v>0</v>
      </c>
      <c r="Q254" s="1" t="n">
        <f aca="false">IF(G254=1,IF(WI_Retire=1,MAX(0,M254+WI_M*12),M254)+(PR_AEee+PR_AEer+PR_AEst)*P254,0)</f>
        <v>0</v>
      </c>
      <c r="R254" s="1" t="n">
        <f aca="false">L254+PR_AEee*P254</f>
        <v>0</v>
      </c>
      <c r="S254" s="1" t="n">
        <f aca="false">AD253</f>
        <v>0</v>
      </c>
      <c r="T254" s="1" t="n">
        <f aca="false">IF(D254&lt;=PR_SFTfrom,PR_SFT2026,IF(D254=PR_SFTfrom+1,PR_SFT2027,IF(D254=PR_SFTfrom+2,PR_SFT2028,IF(D254&lt;=PR_SFTto,PR_SFT2029,PR_SFT2029*(1+AS_Infl)^(D254-PR_SFTto)))))</f>
        <v>3999089.49321357</v>
      </c>
      <c r="U254" s="1" t="n">
        <f aca="false">IF(AND(G254=0,C254=F_V),1,0)</f>
        <v>0</v>
      </c>
      <c r="V254" s="1" t="n">
        <f aca="false">IF(U254=1,PR_SFTrate*MAX(0,S254-T254),0)</f>
        <v>0</v>
      </c>
      <c r="W254" s="1" t="n">
        <f aca="false">S254-V254</f>
        <v>0</v>
      </c>
      <c r="X254" s="1" t="n">
        <f aca="false">IF(AND(U254=1,AS_LumpPct&gt;0),W254*MIN(AS_LumpPct,PR_LSmax),0)</f>
        <v>0</v>
      </c>
      <c r="Y254" s="1" t="n">
        <f aca="false">X254-(PR_LSrate*MAX(0,MIN(X254,PR_LScap)-PR_LSfree)+PR_r2*MAX(0,X254-PR_LScap))</f>
        <v>0</v>
      </c>
      <c r="Z254" s="1" t="n">
        <f aca="false">W254-X254</f>
        <v>0</v>
      </c>
      <c r="AA254" s="112" t="n">
        <f aca="false">IF(C254&gt;=PR_ARFage1,IF(Z254&gt;PR_ARFbig,PR_ARFbigRate,IF(C254&gt;=PR_ARFage2,PR_ARF71,PR_ARF61)),0)</f>
        <v>0</v>
      </c>
      <c r="AB254" s="1" t="n">
        <f aca="false">IF(AS_DrawRule="min",Z254*AA254,IF(AS_DrawRule="fixed",MAX(AS_DrawFixed*E254,Z254*AA254),Z254*MAX(1/MAX(1,AS_End-C254+1),AA254)))</f>
        <v>0</v>
      </c>
      <c r="AC254" s="1" t="n">
        <f aca="false">IF(AND(G254=0,C254&gt;=F_V),MIN(Z254,AB254),0)</f>
        <v>0</v>
      </c>
      <c r="AD254" s="1" t="n">
        <f aca="false">IF(G254=1,S254*(1+F_PenG)+Q254,IF(C254&lt;F_V,S254*(1+F_PenG),(Z254-AC254)*(1+AS_PenRet)))</f>
        <v>0</v>
      </c>
      <c r="AE254" s="1" t="n">
        <f aca="false">IF(C254&gt;=PR_SPage,AS_SP*F_SpF*I254+IF(AND(C254&gt;=PR_Over80Age,F_SpF&gt;0),PR_Over80*PR_Weeks*I254,0),0)</f>
        <v>0</v>
      </c>
      <c r="AF254" s="1" t="n">
        <f aca="false">(F_OtherM+F_RentM)*12*E254</f>
        <v>0</v>
      </c>
      <c r="AG254" s="1" t="n">
        <f aca="false">F_PAge+B254</f>
        <v>20</v>
      </c>
      <c r="AH254" s="1" t="n">
        <f aca="false">IF(AND(F_Partner=1,F_PAge&gt;0,AG254&lt;IF(F_PRet&gt;0,F_PRet,PR_SPage)),F_PIncome*F254,0)</f>
        <v>0</v>
      </c>
      <c r="AI254" s="1" t="n">
        <f aca="false">IF(AND(F_Partner=1,AG254&gt;=PR_SPage,F_PSpQA=0),AS_SP*F_PSpF*I254,0)</f>
        <v>0</v>
      </c>
      <c r="AJ254" s="1" t="n">
        <f aca="false">IF(AND(F_Partner=1,F_PSpQA=1,C254&gt;=PR_SPage,AH254=0),IF(AG254&gt;=PR_SPage,PR_QA66,PR_QAunder)*PR_Weeks*I254,0)</f>
        <v>0</v>
      </c>
      <c r="AK254" s="1" t="n">
        <f aca="false">AE254+AJ254</f>
        <v>0</v>
      </c>
      <c r="AL254" s="1" t="n">
        <f aca="false">K254/H254</f>
        <v>0</v>
      </c>
      <c r="AM254" s="1" t="n">
        <f aca="false">AK254/H254</f>
        <v>0</v>
      </c>
      <c r="AN254" s="1" t="n">
        <f aca="false">AC254/H254</f>
        <v>0</v>
      </c>
      <c r="AO254" s="1" t="n">
        <f aca="false">AF254/H254</f>
        <v>0</v>
      </c>
      <c r="AP254" s="1" t="n">
        <f aca="false">O254/H254</f>
        <v>0</v>
      </c>
      <c r="AQ254" s="1" t="n">
        <f aca="false">AH254/H254</f>
        <v>0</v>
      </c>
      <c r="AR254" s="1" t="n">
        <f aca="false">AI254/H254</f>
        <v>0</v>
      </c>
      <c r="AS254" s="1" t="n">
        <f aca="false">MAX(0,AL254+AN254+AO254+AM254-AP254)</f>
        <v>0</v>
      </c>
      <c r="AT254" s="1" t="n">
        <f aca="false">MAX(0,AQ254+AR254)</f>
        <v>0</v>
      </c>
      <c r="AU254" s="1" t="n">
        <f aca="false">MIN(PR_PAYE,PR_PAYEcap*(AL254+AN254+AM254))</f>
        <v>0</v>
      </c>
      <c r="AV254" s="1" t="n">
        <f aca="false">MIN(PR_PAYE,PR_PAYEcap*(AQ254+AR254))</f>
        <v>0</v>
      </c>
      <c r="AW254" s="1" t="n">
        <f aca="false">IF(C254&gt;=PR_AgeCrAge,PR_AgeCr,0)</f>
        <v>0</v>
      </c>
      <c r="AX254" s="1" t="n">
        <f aca="false">IF(AG254&gt;=PR_AgeCrAge,PR_AgeCr,0)</f>
        <v>0</v>
      </c>
      <c r="AY254" s="1" t="n">
        <f aca="false">IF(AND(F_RentCred=1,D254&lt;=PR_RentLast),1,0)</f>
        <v>0</v>
      </c>
      <c r="AZ254" s="1" t="n">
        <f aca="false">AS254+AT254</f>
        <v>0</v>
      </c>
      <c r="BA254" s="1" t="n">
        <f aca="false">PR_PersonalM+AU254+AV254+AW254+AX254+IF(AY254=1,PR_RentJoint,0)</f>
        <v>4000</v>
      </c>
      <c r="BB254" s="1" t="n">
        <f aca="false">PR_BandM+MIN(MIN(AS254,AT254),PR_Uplift)</f>
        <v>53000</v>
      </c>
      <c r="BC254" s="1" t="n">
        <f aca="false">MAX(0,PR_r1*MIN(AZ254,BB254)+PR_r2*MAX(0,AZ254-BB254)-BA254)</f>
        <v>0</v>
      </c>
      <c r="BD254" s="1" t="n">
        <f aca="false">MAX(0,PR_HomeCarer-MAX(0,MIN(AS254,AT254)-PR_HCLimit)/2)</f>
        <v>1950</v>
      </c>
      <c r="BE254" s="1" t="n">
        <f aca="false">IF(F_Carer=1,MIN(BC254,MAX(0,PR_r1*MIN(AZ254,PR_BandM)+PR_r2*MAX(0,AZ254-PR_BandM)-BA254-BD254)),BC254)</f>
        <v>0</v>
      </c>
      <c r="BF254" s="1" t="n">
        <f aca="false">IF(OR(C254&gt;=PR_AgeCrAge,AG254&gt;=PR_AgeCrAge),IF(AZ254&lt;=PR_AgeExM,0,MIN(BE254,PR_AgeMarg*(AZ254-PR_AgeExM))),BE254)</f>
        <v>0</v>
      </c>
      <c r="BG254" s="1" t="n">
        <f aca="false">MAX(0,PR_r1*MIN(AS254,IF(F_Spccc=1,PR_BandSPCCC,PR_Band))+PR_r2*MAX(0,AS254-IF(F_Spccc=1,PR_BandSPCCC,PR_Band))-(PR_Personal+AU254+AW254+IF(F_Spccc=1,PR_SPCCC,0)+IF(AY254=1,PR_Rent,0)))</f>
        <v>0</v>
      </c>
      <c r="BH254" s="1" t="n">
        <f aca="false">IF(C254&gt;=PR_AgeCrAge,IF(AS254&lt;=PR_AgeEx,0,MIN(BG254,PR_AgeMarg*(AS254-PR_AgeEx))),BG254)</f>
        <v>0</v>
      </c>
      <c r="BI254" s="1" t="n">
        <f aca="false">IF(F_Partner=1,MAX(0,PR_r1*MIN(AT254,PR_Band)+PR_r2*MAX(0,AT254-PR_Band)-(PR_Personal+AV254+AX254+IF(AND(AY254=1,AT254&gt;0),PR_Rent,0))),0)</f>
        <v>0</v>
      </c>
      <c r="BJ254" s="1" t="n">
        <f aca="false">IF(AG254&gt;=PR_AgeCrAge,IF(AT254&lt;=PR_AgeEx,0,MIN(BI254,PR_AgeMarg*(AT254-PR_AgeEx))),BI254)</f>
        <v>0</v>
      </c>
      <c r="BK254" s="1" t="n">
        <f aca="false">IF(F_Partner=1,IF(F_Married=1,BF254,BH254+BJ254),BH254)</f>
        <v>0</v>
      </c>
      <c r="BL254" s="1" t="n">
        <f aca="false">AL254+AN254+AO254</f>
        <v>0</v>
      </c>
      <c r="BM254" s="1" t="n">
        <f aca="false">IF(BL254&lt;=PR_USCex,0,IF(IF(AND(C254&gt;=PR_USCredAge,BL254&lt;=PR_USCredMax),1,0)=1,PR_USCr1*MIN(BL254,PR_USCredB1)+PR_USCredR2*MAX(0,BL254-PR_USCredB1),PR_USCr1*MIN(BL254,PR_USCb1)+PR_USCr2*MAX(0,MIN(BL254,PR_USCb2)-PR_USCb1)+PR_USCr3*MAX(0,MIN(BL254,PR_USCb3)-PR_USCb2)+PR_USCr4*MAX(0,BL254-PR_USCb3)))+IF(F_SelfEmp=1,PR_USCse*MAX(0,AL254-PR_USCseOver),0)</f>
        <v>0</v>
      </c>
      <c r="BN254" s="1" t="n">
        <f aca="false">AQ254</f>
        <v>0</v>
      </c>
      <c r="BO254" s="1" t="n">
        <f aca="false">IF(F_Partner=1,IF(BN254&lt;=PR_USCex,0,IF(IF(AND(AG254&gt;=PR_USCredAge,BN254&lt;=PR_USCredMax),1,0)=1,PR_USCr1*MIN(BN254,PR_USCredB1)+PR_USCredR2*MAX(0,BN254-PR_USCredB1),PR_USCr1*MIN(BN254,PR_USCb1)+PR_USCr2*MAX(0,MIN(BN254,PR_USCb2)-PR_USCb1)+PR_USCr3*MAX(0,MIN(BN254,PR_USCb3)-PR_USCb2)+PR_USCr4*MAX(0,BN254-PR_USCb3))),0)</f>
        <v>0</v>
      </c>
      <c r="BP254" s="1" t="n">
        <f aca="false">IF(C254&lt;PR_PRSIend,IF(F_SelfEmp=1,IF(AL254&gt;PR_PRSIsMinInc,MAX(PR_PRSIsMin,AL254*J254),0),IF(AL254/52&lt;=PR_PRSIfree,0,MAX(0,(AL254/52*J254-IF(AL254/52&lt;=PR_PRSIcreditTo,MAX(0,PR_PRSIcreditMax-(AL254/52-(PR_PRSIfree+0.01))/PR_PRSItaper),0))*52)))+J254*AN254+IF(AO254&gt;PR_PRSIunearned,J254*AO254,0),0)</f>
        <v>0</v>
      </c>
      <c r="BQ254" s="1" t="n">
        <f aca="false">IF(AND(F_Partner=1,AG254&lt;PR_PRSIend),IF(AQ254/52&lt;=PR_PRSIfree,0,MAX(0,(AQ254/52*J254-IF(AQ254/52&lt;=PR_PRSIcreditTo,MAX(0,PR_PRSIcreditMax-(AQ254/52-(PR_PRSIfree+0.01))/PR_PRSItaper),0))*52)),0)</f>
        <v>0</v>
      </c>
      <c r="BR254" s="1" t="n">
        <f aca="false">BK254+BM254+BO254+BP254+BQ254</f>
        <v>0</v>
      </c>
      <c r="BS254" s="1" t="n">
        <f aca="false">BR254*H254</f>
        <v>0</v>
      </c>
      <c r="BT254" s="1" t="n">
        <f aca="false">K254+AK254+AC254+AF254+AH254+AI254</f>
        <v>0</v>
      </c>
    </row>
    <row r="255" customFormat="false" ht="15" hidden="false" customHeight="true" outlineLevel="0" collapsed="false">
      <c r="B255" s="1" t="n">
        <v>21</v>
      </c>
      <c r="C255" s="1" t="n">
        <f aca="false">F_Age+B255</f>
        <v>21</v>
      </c>
      <c r="D255" s="1" t="n">
        <f aca="false">AS_Year0+B255</f>
        <v>2048</v>
      </c>
      <c r="E255" s="111" t="n">
        <f aca="false">(1+AS_Infl)^B255</f>
        <v>1.51566634389792</v>
      </c>
      <c r="F255" s="111" t="n">
        <f aca="false">(1+AS_Wage)^B255</f>
        <v>1.8602945717095</v>
      </c>
      <c r="G255" s="1" t="n">
        <f aca="false">IF(C255&lt;F_R,1,0)</f>
        <v>1</v>
      </c>
      <c r="H255" s="111" t="n">
        <f aca="false">IF(AS_Bands="flat",1,E255)</f>
        <v>1.51566634389792</v>
      </c>
      <c r="I255" s="111" t="n">
        <f aca="false">IF(AS_SpGrow="pay",F255,IF(AS_SpGrow="flat",1,E255))</f>
        <v>1.51566634389792</v>
      </c>
      <c r="J255" s="111" t="n">
        <f aca="false">(12*PR_PRSIr0+(PR_PRSIr1-PR_PRSIr0)*MAX(0,MIN(12,D255*12+12-PR_PRSIt1))+(PR_PRSIr2-PR_PRSIr1)*MAX(0,MIN(12,D255*12+12-PR_PRSIt2))+(PR_PRSIr3-PR_PRSIr2)*MAX(0,MIN(12,D255*12+12-PR_PRSIt3)))/12</f>
        <v>0.047</v>
      </c>
      <c r="K255" s="1" t="n">
        <f aca="false">IF(G255=1,F_Income*F255,0)</f>
        <v>0</v>
      </c>
      <c r="L255" s="1" t="n">
        <f aca="false">IF(G255=1,(F_Own+In_penExtra)*12*F255,0)</f>
        <v>0</v>
      </c>
      <c r="M255" s="1" t="n">
        <f aca="false">IF(G255=1,(F_PenM+In_penExtra)*12*F255,0)</f>
        <v>0</v>
      </c>
      <c r="N255" s="112" t="n">
        <f aca="false">IF(C255&lt;PR_RelA1,PR_RelP1,IF(C255&lt;PR_RelA2,PR_RelP2,IF(C255&lt;PR_RelA3,PR_RelP3,IF(C255&lt;PR_RelA4,PR_RelP4,IF(C255&lt;PR_RelA5,PR_RelP5,PR_RelP6)))))</f>
        <v>0.15</v>
      </c>
      <c r="O255" s="1" t="n">
        <f aca="false">IF(G255=1,MIN(L255/H255,N255*MIN(K255/H255,PR_EarnCap))*H255,0)</f>
        <v>0</v>
      </c>
      <c r="P255" s="1" t="n">
        <f aca="false">IF(AND(G255=1,F_AE=1),MIN(K255/H255,PR_AEcap)*H255,0)</f>
        <v>0</v>
      </c>
      <c r="Q255" s="1" t="n">
        <f aca="false">IF(G255=1,IF(WI_Retire=1,MAX(0,M255+WI_M*12),M255)+(PR_AEee+PR_AEer+PR_AEst)*P255,0)</f>
        <v>0</v>
      </c>
      <c r="R255" s="1" t="n">
        <f aca="false">L255+PR_AEee*P255</f>
        <v>0</v>
      </c>
      <c r="S255" s="1" t="n">
        <f aca="false">AD254</f>
        <v>0</v>
      </c>
      <c r="T255" s="1" t="n">
        <f aca="false">IF(D255&lt;=PR_SFTfrom,PR_SFT2026,IF(D255=PR_SFTfrom+1,PR_SFT2027,IF(D255=PR_SFTfrom+2,PR_SFT2028,IF(D255&lt;=PR_SFTto,PR_SFT2029,PR_SFT2029*(1+AS_Infl)^(D255-PR_SFTto)))))</f>
        <v>4079071.28307784</v>
      </c>
      <c r="U255" s="1" t="n">
        <f aca="false">IF(AND(G255=0,C255=F_V),1,0)</f>
        <v>0</v>
      </c>
      <c r="V255" s="1" t="n">
        <f aca="false">IF(U255=1,PR_SFTrate*MAX(0,S255-T255),0)</f>
        <v>0</v>
      </c>
      <c r="W255" s="1" t="n">
        <f aca="false">S255-V255</f>
        <v>0</v>
      </c>
      <c r="X255" s="1" t="n">
        <f aca="false">IF(AND(U255=1,AS_LumpPct&gt;0),W255*MIN(AS_LumpPct,PR_LSmax),0)</f>
        <v>0</v>
      </c>
      <c r="Y255" s="1" t="n">
        <f aca="false">X255-(PR_LSrate*MAX(0,MIN(X255,PR_LScap)-PR_LSfree)+PR_r2*MAX(0,X255-PR_LScap))</f>
        <v>0</v>
      </c>
      <c r="Z255" s="1" t="n">
        <f aca="false">W255-X255</f>
        <v>0</v>
      </c>
      <c r="AA255" s="112" t="n">
        <f aca="false">IF(C255&gt;=PR_ARFage1,IF(Z255&gt;PR_ARFbig,PR_ARFbigRate,IF(C255&gt;=PR_ARFage2,PR_ARF71,PR_ARF61)),0)</f>
        <v>0</v>
      </c>
      <c r="AB255" s="1" t="n">
        <f aca="false">IF(AS_DrawRule="min",Z255*AA255,IF(AS_DrawRule="fixed",MAX(AS_DrawFixed*E255,Z255*AA255),Z255*MAX(1/MAX(1,AS_End-C255+1),AA255)))</f>
        <v>0</v>
      </c>
      <c r="AC255" s="1" t="n">
        <f aca="false">IF(AND(G255=0,C255&gt;=F_V),MIN(Z255,AB255),0)</f>
        <v>0</v>
      </c>
      <c r="AD255" s="1" t="n">
        <f aca="false">IF(G255=1,S255*(1+F_PenG)+Q255,IF(C255&lt;F_V,S255*(1+F_PenG),(Z255-AC255)*(1+AS_PenRet)))</f>
        <v>0</v>
      </c>
      <c r="AE255" s="1" t="n">
        <f aca="false">IF(C255&gt;=PR_SPage,AS_SP*F_SpF*I255+IF(AND(C255&gt;=PR_Over80Age,F_SpF&gt;0),PR_Over80*PR_Weeks*I255,0),0)</f>
        <v>0</v>
      </c>
      <c r="AF255" s="1" t="n">
        <f aca="false">(F_OtherM+F_RentM)*12*E255</f>
        <v>0</v>
      </c>
      <c r="AG255" s="1" t="n">
        <f aca="false">F_PAge+B255</f>
        <v>21</v>
      </c>
      <c r="AH255" s="1" t="n">
        <f aca="false">IF(AND(F_Partner=1,F_PAge&gt;0,AG255&lt;IF(F_PRet&gt;0,F_PRet,PR_SPage)),F_PIncome*F255,0)</f>
        <v>0</v>
      </c>
      <c r="AI255" s="1" t="n">
        <f aca="false">IF(AND(F_Partner=1,AG255&gt;=PR_SPage,F_PSpQA=0),AS_SP*F_PSpF*I255,0)</f>
        <v>0</v>
      </c>
      <c r="AJ255" s="1" t="n">
        <f aca="false">IF(AND(F_Partner=1,F_PSpQA=1,C255&gt;=PR_SPage,AH255=0),IF(AG255&gt;=PR_SPage,PR_QA66,PR_QAunder)*PR_Weeks*I255,0)</f>
        <v>0</v>
      </c>
      <c r="AK255" s="1" t="n">
        <f aca="false">AE255+AJ255</f>
        <v>0</v>
      </c>
      <c r="AL255" s="1" t="n">
        <f aca="false">K255/H255</f>
        <v>0</v>
      </c>
      <c r="AM255" s="1" t="n">
        <f aca="false">AK255/H255</f>
        <v>0</v>
      </c>
      <c r="AN255" s="1" t="n">
        <f aca="false">AC255/H255</f>
        <v>0</v>
      </c>
      <c r="AO255" s="1" t="n">
        <f aca="false">AF255/H255</f>
        <v>0</v>
      </c>
      <c r="AP255" s="1" t="n">
        <f aca="false">O255/H255</f>
        <v>0</v>
      </c>
      <c r="AQ255" s="1" t="n">
        <f aca="false">AH255/H255</f>
        <v>0</v>
      </c>
      <c r="AR255" s="1" t="n">
        <f aca="false">AI255/H255</f>
        <v>0</v>
      </c>
      <c r="AS255" s="1" t="n">
        <f aca="false">MAX(0,AL255+AN255+AO255+AM255-AP255)</f>
        <v>0</v>
      </c>
      <c r="AT255" s="1" t="n">
        <f aca="false">MAX(0,AQ255+AR255)</f>
        <v>0</v>
      </c>
      <c r="AU255" s="1" t="n">
        <f aca="false">MIN(PR_PAYE,PR_PAYEcap*(AL255+AN255+AM255))</f>
        <v>0</v>
      </c>
      <c r="AV255" s="1" t="n">
        <f aca="false">MIN(PR_PAYE,PR_PAYEcap*(AQ255+AR255))</f>
        <v>0</v>
      </c>
      <c r="AW255" s="1" t="n">
        <f aca="false">IF(C255&gt;=PR_AgeCrAge,PR_AgeCr,0)</f>
        <v>0</v>
      </c>
      <c r="AX255" s="1" t="n">
        <f aca="false">IF(AG255&gt;=PR_AgeCrAge,PR_AgeCr,0)</f>
        <v>0</v>
      </c>
      <c r="AY255" s="1" t="n">
        <f aca="false">IF(AND(F_RentCred=1,D255&lt;=PR_RentLast),1,0)</f>
        <v>0</v>
      </c>
      <c r="AZ255" s="1" t="n">
        <f aca="false">AS255+AT255</f>
        <v>0</v>
      </c>
      <c r="BA255" s="1" t="n">
        <f aca="false">PR_PersonalM+AU255+AV255+AW255+AX255+IF(AY255=1,PR_RentJoint,0)</f>
        <v>4000</v>
      </c>
      <c r="BB255" s="1" t="n">
        <f aca="false">PR_BandM+MIN(MIN(AS255,AT255),PR_Uplift)</f>
        <v>53000</v>
      </c>
      <c r="BC255" s="1" t="n">
        <f aca="false">MAX(0,PR_r1*MIN(AZ255,BB255)+PR_r2*MAX(0,AZ255-BB255)-BA255)</f>
        <v>0</v>
      </c>
      <c r="BD255" s="1" t="n">
        <f aca="false">MAX(0,PR_HomeCarer-MAX(0,MIN(AS255,AT255)-PR_HCLimit)/2)</f>
        <v>1950</v>
      </c>
      <c r="BE255" s="1" t="n">
        <f aca="false">IF(F_Carer=1,MIN(BC255,MAX(0,PR_r1*MIN(AZ255,PR_BandM)+PR_r2*MAX(0,AZ255-PR_BandM)-BA255-BD255)),BC255)</f>
        <v>0</v>
      </c>
      <c r="BF255" s="1" t="n">
        <f aca="false">IF(OR(C255&gt;=PR_AgeCrAge,AG255&gt;=PR_AgeCrAge),IF(AZ255&lt;=PR_AgeExM,0,MIN(BE255,PR_AgeMarg*(AZ255-PR_AgeExM))),BE255)</f>
        <v>0</v>
      </c>
      <c r="BG255" s="1" t="n">
        <f aca="false">MAX(0,PR_r1*MIN(AS255,IF(F_Spccc=1,PR_BandSPCCC,PR_Band))+PR_r2*MAX(0,AS255-IF(F_Spccc=1,PR_BandSPCCC,PR_Band))-(PR_Personal+AU255+AW255+IF(F_Spccc=1,PR_SPCCC,0)+IF(AY255=1,PR_Rent,0)))</f>
        <v>0</v>
      </c>
      <c r="BH255" s="1" t="n">
        <f aca="false">IF(C255&gt;=PR_AgeCrAge,IF(AS255&lt;=PR_AgeEx,0,MIN(BG255,PR_AgeMarg*(AS255-PR_AgeEx))),BG255)</f>
        <v>0</v>
      </c>
      <c r="BI255" s="1" t="n">
        <f aca="false">IF(F_Partner=1,MAX(0,PR_r1*MIN(AT255,PR_Band)+PR_r2*MAX(0,AT255-PR_Band)-(PR_Personal+AV255+AX255+IF(AND(AY255=1,AT255&gt;0),PR_Rent,0))),0)</f>
        <v>0</v>
      </c>
      <c r="BJ255" s="1" t="n">
        <f aca="false">IF(AG255&gt;=PR_AgeCrAge,IF(AT255&lt;=PR_AgeEx,0,MIN(BI255,PR_AgeMarg*(AT255-PR_AgeEx))),BI255)</f>
        <v>0</v>
      </c>
      <c r="BK255" s="1" t="n">
        <f aca="false">IF(F_Partner=1,IF(F_Married=1,BF255,BH255+BJ255),BH255)</f>
        <v>0</v>
      </c>
      <c r="BL255" s="1" t="n">
        <f aca="false">AL255+AN255+AO255</f>
        <v>0</v>
      </c>
      <c r="BM255" s="1" t="n">
        <f aca="false">IF(BL255&lt;=PR_USCex,0,IF(IF(AND(C255&gt;=PR_USCredAge,BL255&lt;=PR_USCredMax),1,0)=1,PR_USCr1*MIN(BL255,PR_USCredB1)+PR_USCredR2*MAX(0,BL255-PR_USCredB1),PR_USCr1*MIN(BL255,PR_USCb1)+PR_USCr2*MAX(0,MIN(BL255,PR_USCb2)-PR_USCb1)+PR_USCr3*MAX(0,MIN(BL255,PR_USCb3)-PR_USCb2)+PR_USCr4*MAX(0,BL255-PR_USCb3)))+IF(F_SelfEmp=1,PR_USCse*MAX(0,AL255-PR_USCseOver),0)</f>
        <v>0</v>
      </c>
      <c r="BN255" s="1" t="n">
        <f aca="false">AQ255</f>
        <v>0</v>
      </c>
      <c r="BO255" s="1" t="n">
        <f aca="false">IF(F_Partner=1,IF(BN255&lt;=PR_USCex,0,IF(IF(AND(AG255&gt;=PR_USCredAge,BN255&lt;=PR_USCredMax),1,0)=1,PR_USCr1*MIN(BN255,PR_USCredB1)+PR_USCredR2*MAX(0,BN255-PR_USCredB1),PR_USCr1*MIN(BN255,PR_USCb1)+PR_USCr2*MAX(0,MIN(BN255,PR_USCb2)-PR_USCb1)+PR_USCr3*MAX(0,MIN(BN255,PR_USCb3)-PR_USCb2)+PR_USCr4*MAX(0,BN255-PR_USCb3))),0)</f>
        <v>0</v>
      </c>
      <c r="BP255" s="1" t="n">
        <f aca="false">IF(C255&lt;PR_PRSIend,IF(F_SelfEmp=1,IF(AL255&gt;PR_PRSIsMinInc,MAX(PR_PRSIsMin,AL255*J255),0),IF(AL255/52&lt;=PR_PRSIfree,0,MAX(0,(AL255/52*J255-IF(AL255/52&lt;=PR_PRSIcreditTo,MAX(0,PR_PRSIcreditMax-(AL255/52-(PR_PRSIfree+0.01))/PR_PRSItaper),0))*52)))+J255*AN255+IF(AO255&gt;PR_PRSIunearned,J255*AO255,0),0)</f>
        <v>0</v>
      </c>
      <c r="BQ255" s="1" t="n">
        <f aca="false">IF(AND(F_Partner=1,AG255&lt;PR_PRSIend),IF(AQ255/52&lt;=PR_PRSIfree,0,MAX(0,(AQ255/52*J255-IF(AQ255/52&lt;=PR_PRSIcreditTo,MAX(0,PR_PRSIcreditMax-(AQ255/52-(PR_PRSIfree+0.01))/PR_PRSItaper),0))*52)),0)</f>
        <v>0</v>
      </c>
      <c r="BR255" s="1" t="n">
        <f aca="false">BK255+BM255+BO255+BP255+BQ255</f>
        <v>0</v>
      </c>
      <c r="BS255" s="1" t="n">
        <f aca="false">BR255*H255</f>
        <v>0</v>
      </c>
      <c r="BT255" s="1" t="n">
        <f aca="false">K255+AK255+AC255+AF255+AH255+AI255</f>
        <v>0</v>
      </c>
    </row>
    <row r="256" customFormat="false" ht="15" hidden="false" customHeight="true" outlineLevel="0" collapsed="false">
      <c r="B256" s="1" t="n">
        <v>22</v>
      </c>
      <c r="C256" s="1" t="n">
        <f aca="false">F_Age+B256</f>
        <v>22</v>
      </c>
      <c r="D256" s="1" t="n">
        <f aca="false">AS_Year0+B256</f>
        <v>2049</v>
      </c>
      <c r="E256" s="111" t="n">
        <f aca="false">(1+AS_Infl)^B256</f>
        <v>1.54597967077588</v>
      </c>
      <c r="F256" s="111" t="n">
        <f aca="false">(1+AS_Wage)^B256</f>
        <v>1.91610340886078</v>
      </c>
      <c r="G256" s="1" t="n">
        <f aca="false">IF(C256&lt;F_R,1,0)</f>
        <v>1</v>
      </c>
      <c r="H256" s="111" t="n">
        <f aca="false">IF(AS_Bands="flat",1,E256)</f>
        <v>1.54597967077588</v>
      </c>
      <c r="I256" s="111" t="n">
        <f aca="false">IF(AS_SpGrow="pay",F256,IF(AS_SpGrow="flat",1,E256))</f>
        <v>1.54597967077588</v>
      </c>
      <c r="J256" s="111" t="n">
        <f aca="false">(12*PR_PRSIr0+(PR_PRSIr1-PR_PRSIr0)*MAX(0,MIN(12,D256*12+12-PR_PRSIt1))+(PR_PRSIr2-PR_PRSIr1)*MAX(0,MIN(12,D256*12+12-PR_PRSIt2))+(PR_PRSIr3-PR_PRSIr2)*MAX(0,MIN(12,D256*12+12-PR_PRSIt3)))/12</f>
        <v>0.047</v>
      </c>
      <c r="K256" s="1" t="n">
        <f aca="false">IF(G256=1,F_Income*F256,0)</f>
        <v>0</v>
      </c>
      <c r="L256" s="1" t="n">
        <f aca="false">IF(G256=1,(F_Own+In_penExtra)*12*F256,0)</f>
        <v>0</v>
      </c>
      <c r="M256" s="1" t="n">
        <f aca="false">IF(G256=1,(F_PenM+In_penExtra)*12*F256,0)</f>
        <v>0</v>
      </c>
      <c r="N256" s="112" t="n">
        <f aca="false">IF(C256&lt;PR_RelA1,PR_RelP1,IF(C256&lt;PR_RelA2,PR_RelP2,IF(C256&lt;PR_RelA3,PR_RelP3,IF(C256&lt;PR_RelA4,PR_RelP4,IF(C256&lt;PR_RelA5,PR_RelP5,PR_RelP6)))))</f>
        <v>0.15</v>
      </c>
      <c r="O256" s="1" t="n">
        <f aca="false">IF(G256=1,MIN(L256/H256,N256*MIN(K256/H256,PR_EarnCap))*H256,0)</f>
        <v>0</v>
      </c>
      <c r="P256" s="1" t="n">
        <f aca="false">IF(AND(G256=1,F_AE=1),MIN(K256/H256,PR_AEcap)*H256,0)</f>
        <v>0</v>
      </c>
      <c r="Q256" s="1" t="n">
        <f aca="false">IF(G256=1,IF(WI_Retire=1,MAX(0,M256+WI_M*12),M256)+(PR_AEee+PR_AEer+PR_AEst)*P256,0)</f>
        <v>0</v>
      </c>
      <c r="R256" s="1" t="n">
        <f aca="false">L256+PR_AEee*P256</f>
        <v>0</v>
      </c>
      <c r="S256" s="1" t="n">
        <f aca="false">AD255</f>
        <v>0</v>
      </c>
      <c r="T256" s="1" t="n">
        <f aca="false">IF(D256&lt;=PR_SFTfrom,PR_SFT2026,IF(D256=PR_SFTfrom+1,PR_SFT2027,IF(D256=PR_SFTfrom+2,PR_SFT2028,IF(D256&lt;=PR_SFTto,PR_SFT2029,PR_SFT2029*(1+AS_Infl)^(D256-PR_SFTto)))))</f>
        <v>4160652.70873939</v>
      </c>
      <c r="U256" s="1" t="n">
        <f aca="false">IF(AND(G256=0,C256=F_V),1,0)</f>
        <v>0</v>
      </c>
      <c r="V256" s="1" t="n">
        <f aca="false">IF(U256=1,PR_SFTrate*MAX(0,S256-T256),0)</f>
        <v>0</v>
      </c>
      <c r="W256" s="1" t="n">
        <f aca="false">S256-V256</f>
        <v>0</v>
      </c>
      <c r="X256" s="1" t="n">
        <f aca="false">IF(AND(U256=1,AS_LumpPct&gt;0),W256*MIN(AS_LumpPct,PR_LSmax),0)</f>
        <v>0</v>
      </c>
      <c r="Y256" s="1" t="n">
        <f aca="false">X256-(PR_LSrate*MAX(0,MIN(X256,PR_LScap)-PR_LSfree)+PR_r2*MAX(0,X256-PR_LScap))</f>
        <v>0</v>
      </c>
      <c r="Z256" s="1" t="n">
        <f aca="false">W256-X256</f>
        <v>0</v>
      </c>
      <c r="AA256" s="112" t="n">
        <f aca="false">IF(C256&gt;=PR_ARFage1,IF(Z256&gt;PR_ARFbig,PR_ARFbigRate,IF(C256&gt;=PR_ARFage2,PR_ARF71,PR_ARF61)),0)</f>
        <v>0</v>
      </c>
      <c r="AB256" s="1" t="n">
        <f aca="false">IF(AS_DrawRule="min",Z256*AA256,IF(AS_DrawRule="fixed",MAX(AS_DrawFixed*E256,Z256*AA256),Z256*MAX(1/MAX(1,AS_End-C256+1),AA256)))</f>
        <v>0</v>
      </c>
      <c r="AC256" s="1" t="n">
        <f aca="false">IF(AND(G256=0,C256&gt;=F_V),MIN(Z256,AB256),0)</f>
        <v>0</v>
      </c>
      <c r="AD256" s="1" t="n">
        <f aca="false">IF(G256=1,S256*(1+F_PenG)+Q256,IF(C256&lt;F_V,S256*(1+F_PenG),(Z256-AC256)*(1+AS_PenRet)))</f>
        <v>0</v>
      </c>
      <c r="AE256" s="1" t="n">
        <f aca="false">IF(C256&gt;=PR_SPage,AS_SP*F_SpF*I256+IF(AND(C256&gt;=PR_Over80Age,F_SpF&gt;0),PR_Over80*PR_Weeks*I256,0),0)</f>
        <v>0</v>
      </c>
      <c r="AF256" s="1" t="n">
        <f aca="false">(F_OtherM+F_RentM)*12*E256</f>
        <v>0</v>
      </c>
      <c r="AG256" s="1" t="n">
        <f aca="false">F_PAge+B256</f>
        <v>22</v>
      </c>
      <c r="AH256" s="1" t="n">
        <f aca="false">IF(AND(F_Partner=1,F_PAge&gt;0,AG256&lt;IF(F_PRet&gt;0,F_PRet,PR_SPage)),F_PIncome*F256,0)</f>
        <v>0</v>
      </c>
      <c r="AI256" s="1" t="n">
        <f aca="false">IF(AND(F_Partner=1,AG256&gt;=PR_SPage,F_PSpQA=0),AS_SP*F_PSpF*I256,0)</f>
        <v>0</v>
      </c>
      <c r="AJ256" s="1" t="n">
        <f aca="false">IF(AND(F_Partner=1,F_PSpQA=1,C256&gt;=PR_SPage,AH256=0),IF(AG256&gt;=PR_SPage,PR_QA66,PR_QAunder)*PR_Weeks*I256,0)</f>
        <v>0</v>
      </c>
      <c r="AK256" s="1" t="n">
        <f aca="false">AE256+AJ256</f>
        <v>0</v>
      </c>
      <c r="AL256" s="1" t="n">
        <f aca="false">K256/H256</f>
        <v>0</v>
      </c>
      <c r="AM256" s="1" t="n">
        <f aca="false">AK256/H256</f>
        <v>0</v>
      </c>
      <c r="AN256" s="1" t="n">
        <f aca="false">AC256/H256</f>
        <v>0</v>
      </c>
      <c r="AO256" s="1" t="n">
        <f aca="false">AF256/H256</f>
        <v>0</v>
      </c>
      <c r="AP256" s="1" t="n">
        <f aca="false">O256/H256</f>
        <v>0</v>
      </c>
      <c r="AQ256" s="1" t="n">
        <f aca="false">AH256/H256</f>
        <v>0</v>
      </c>
      <c r="AR256" s="1" t="n">
        <f aca="false">AI256/H256</f>
        <v>0</v>
      </c>
      <c r="AS256" s="1" t="n">
        <f aca="false">MAX(0,AL256+AN256+AO256+AM256-AP256)</f>
        <v>0</v>
      </c>
      <c r="AT256" s="1" t="n">
        <f aca="false">MAX(0,AQ256+AR256)</f>
        <v>0</v>
      </c>
      <c r="AU256" s="1" t="n">
        <f aca="false">MIN(PR_PAYE,PR_PAYEcap*(AL256+AN256+AM256))</f>
        <v>0</v>
      </c>
      <c r="AV256" s="1" t="n">
        <f aca="false">MIN(PR_PAYE,PR_PAYEcap*(AQ256+AR256))</f>
        <v>0</v>
      </c>
      <c r="AW256" s="1" t="n">
        <f aca="false">IF(C256&gt;=PR_AgeCrAge,PR_AgeCr,0)</f>
        <v>0</v>
      </c>
      <c r="AX256" s="1" t="n">
        <f aca="false">IF(AG256&gt;=PR_AgeCrAge,PR_AgeCr,0)</f>
        <v>0</v>
      </c>
      <c r="AY256" s="1" t="n">
        <f aca="false">IF(AND(F_RentCred=1,D256&lt;=PR_RentLast),1,0)</f>
        <v>0</v>
      </c>
      <c r="AZ256" s="1" t="n">
        <f aca="false">AS256+AT256</f>
        <v>0</v>
      </c>
      <c r="BA256" s="1" t="n">
        <f aca="false">PR_PersonalM+AU256+AV256+AW256+AX256+IF(AY256=1,PR_RentJoint,0)</f>
        <v>4000</v>
      </c>
      <c r="BB256" s="1" t="n">
        <f aca="false">PR_BandM+MIN(MIN(AS256,AT256),PR_Uplift)</f>
        <v>53000</v>
      </c>
      <c r="BC256" s="1" t="n">
        <f aca="false">MAX(0,PR_r1*MIN(AZ256,BB256)+PR_r2*MAX(0,AZ256-BB256)-BA256)</f>
        <v>0</v>
      </c>
      <c r="BD256" s="1" t="n">
        <f aca="false">MAX(0,PR_HomeCarer-MAX(0,MIN(AS256,AT256)-PR_HCLimit)/2)</f>
        <v>1950</v>
      </c>
      <c r="BE256" s="1" t="n">
        <f aca="false">IF(F_Carer=1,MIN(BC256,MAX(0,PR_r1*MIN(AZ256,PR_BandM)+PR_r2*MAX(0,AZ256-PR_BandM)-BA256-BD256)),BC256)</f>
        <v>0</v>
      </c>
      <c r="BF256" s="1" t="n">
        <f aca="false">IF(OR(C256&gt;=PR_AgeCrAge,AG256&gt;=PR_AgeCrAge),IF(AZ256&lt;=PR_AgeExM,0,MIN(BE256,PR_AgeMarg*(AZ256-PR_AgeExM))),BE256)</f>
        <v>0</v>
      </c>
      <c r="BG256" s="1" t="n">
        <f aca="false">MAX(0,PR_r1*MIN(AS256,IF(F_Spccc=1,PR_BandSPCCC,PR_Band))+PR_r2*MAX(0,AS256-IF(F_Spccc=1,PR_BandSPCCC,PR_Band))-(PR_Personal+AU256+AW256+IF(F_Spccc=1,PR_SPCCC,0)+IF(AY256=1,PR_Rent,0)))</f>
        <v>0</v>
      </c>
      <c r="BH256" s="1" t="n">
        <f aca="false">IF(C256&gt;=PR_AgeCrAge,IF(AS256&lt;=PR_AgeEx,0,MIN(BG256,PR_AgeMarg*(AS256-PR_AgeEx))),BG256)</f>
        <v>0</v>
      </c>
      <c r="BI256" s="1" t="n">
        <f aca="false">IF(F_Partner=1,MAX(0,PR_r1*MIN(AT256,PR_Band)+PR_r2*MAX(0,AT256-PR_Band)-(PR_Personal+AV256+AX256+IF(AND(AY256=1,AT256&gt;0),PR_Rent,0))),0)</f>
        <v>0</v>
      </c>
      <c r="BJ256" s="1" t="n">
        <f aca="false">IF(AG256&gt;=PR_AgeCrAge,IF(AT256&lt;=PR_AgeEx,0,MIN(BI256,PR_AgeMarg*(AT256-PR_AgeEx))),BI256)</f>
        <v>0</v>
      </c>
      <c r="BK256" s="1" t="n">
        <f aca="false">IF(F_Partner=1,IF(F_Married=1,BF256,BH256+BJ256),BH256)</f>
        <v>0</v>
      </c>
      <c r="BL256" s="1" t="n">
        <f aca="false">AL256+AN256+AO256</f>
        <v>0</v>
      </c>
      <c r="BM256" s="1" t="n">
        <f aca="false">IF(BL256&lt;=PR_USCex,0,IF(IF(AND(C256&gt;=PR_USCredAge,BL256&lt;=PR_USCredMax),1,0)=1,PR_USCr1*MIN(BL256,PR_USCredB1)+PR_USCredR2*MAX(0,BL256-PR_USCredB1),PR_USCr1*MIN(BL256,PR_USCb1)+PR_USCr2*MAX(0,MIN(BL256,PR_USCb2)-PR_USCb1)+PR_USCr3*MAX(0,MIN(BL256,PR_USCb3)-PR_USCb2)+PR_USCr4*MAX(0,BL256-PR_USCb3)))+IF(F_SelfEmp=1,PR_USCse*MAX(0,AL256-PR_USCseOver),0)</f>
        <v>0</v>
      </c>
      <c r="BN256" s="1" t="n">
        <f aca="false">AQ256</f>
        <v>0</v>
      </c>
      <c r="BO256" s="1" t="n">
        <f aca="false">IF(F_Partner=1,IF(BN256&lt;=PR_USCex,0,IF(IF(AND(AG256&gt;=PR_USCredAge,BN256&lt;=PR_USCredMax),1,0)=1,PR_USCr1*MIN(BN256,PR_USCredB1)+PR_USCredR2*MAX(0,BN256-PR_USCredB1),PR_USCr1*MIN(BN256,PR_USCb1)+PR_USCr2*MAX(0,MIN(BN256,PR_USCb2)-PR_USCb1)+PR_USCr3*MAX(0,MIN(BN256,PR_USCb3)-PR_USCb2)+PR_USCr4*MAX(0,BN256-PR_USCb3))),0)</f>
        <v>0</v>
      </c>
      <c r="BP256" s="1" t="n">
        <f aca="false">IF(C256&lt;PR_PRSIend,IF(F_SelfEmp=1,IF(AL256&gt;PR_PRSIsMinInc,MAX(PR_PRSIsMin,AL256*J256),0),IF(AL256/52&lt;=PR_PRSIfree,0,MAX(0,(AL256/52*J256-IF(AL256/52&lt;=PR_PRSIcreditTo,MAX(0,PR_PRSIcreditMax-(AL256/52-(PR_PRSIfree+0.01))/PR_PRSItaper),0))*52)))+J256*AN256+IF(AO256&gt;PR_PRSIunearned,J256*AO256,0),0)</f>
        <v>0</v>
      </c>
      <c r="BQ256" s="1" t="n">
        <f aca="false">IF(AND(F_Partner=1,AG256&lt;PR_PRSIend),IF(AQ256/52&lt;=PR_PRSIfree,0,MAX(0,(AQ256/52*J256-IF(AQ256/52&lt;=PR_PRSIcreditTo,MAX(0,PR_PRSIcreditMax-(AQ256/52-(PR_PRSIfree+0.01))/PR_PRSItaper),0))*52)),0)</f>
        <v>0</v>
      </c>
      <c r="BR256" s="1" t="n">
        <f aca="false">BK256+BM256+BO256+BP256+BQ256</f>
        <v>0</v>
      </c>
      <c r="BS256" s="1" t="n">
        <f aca="false">BR256*H256</f>
        <v>0</v>
      </c>
      <c r="BT256" s="1" t="n">
        <f aca="false">K256+AK256+AC256+AF256+AH256+AI256</f>
        <v>0</v>
      </c>
    </row>
    <row r="257" customFormat="false" ht="15" hidden="false" customHeight="true" outlineLevel="0" collapsed="false">
      <c r="B257" s="1" t="n">
        <v>23</v>
      </c>
      <c r="C257" s="1" t="n">
        <f aca="false">F_Age+B257</f>
        <v>23</v>
      </c>
      <c r="D257" s="1" t="n">
        <f aca="false">AS_Year0+B257</f>
        <v>2050</v>
      </c>
      <c r="E257" s="111" t="n">
        <f aca="false">(1+AS_Infl)^B257</f>
        <v>1.5768992641914</v>
      </c>
      <c r="F257" s="111" t="n">
        <f aca="false">(1+AS_Wage)^B257</f>
        <v>1.97358651112661</v>
      </c>
      <c r="G257" s="1" t="n">
        <f aca="false">IF(C257&lt;F_R,1,0)</f>
        <v>1</v>
      </c>
      <c r="H257" s="111" t="n">
        <f aca="false">IF(AS_Bands="flat",1,E257)</f>
        <v>1.5768992641914</v>
      </c>
      <c r="I257" s="111" t="n">
        <f aca="false">IF(AS_SpGrow="pay",F257,IF(AS_SpGrow="flat",1,E257))</f>
        <v>1.5768992641914</v>
      </c>
      <c r="J257" s="111" t="n">
        <f aca="false">(12*PR_PRSIr0+(PR_PRSIr1-PR_PRSIr0)*MAX(0,MIN(12,D257*12+12-PR_PRSIt1))+(PR_PRSIr2-PR_PRSIr1)*MAX(0,MIN(12,D257*12+12-PR_PRSIt2))+(PR_PRSIr3-PR_PRSIr2)*MAX(0,MIN(12,D257*12+12-PR_PRSIt3)))/12</f>
        <v>0.047</v>
      </c>
      <c r="K257" s="1" t="n">
        <f aca="false">IF(G257=1,F_Income*F257,0)</f>
        <v>0</v>
      </c>
      <c r="L257" s="1" t="n">
        <f aca="false">IF(G257=1,(F_Own+In_penExtra)*12*F257,0)</f>
        <v>0</v>
      </c>
      <c r="M257" s="1" t="n">
        <f aca="false">IF(G257=1,(F_PenM+In_penExtra)*12*F257,0)</f>
        <v>0</v>
      </c>
      <c r="N257" s="112" t="n">
        <f aca="false">IF(C257&lt;PR_RelA1,PR_RelP1,IF(C257&lt;PR_RelA2,PR_RelP2,IF(C257&lt;PR_RelA3,PR_RelP3,IF(C257&lt;PR_RelA4,PR_RelP4,IF(C257&lt;PR_RelA5,PR_RelP5,PR_RelP6)))))</f>
        <v>0.15</v>
      </c>
      <c r="O257" s="1" t="n">
        <f aca="false">IF(G257=1,MIN(L257/H257,N257*MIN(K257/H257,PR_EarnCap))*H257,0)</f>
        <v>0</v>
      </c>
      <c r="P257" s="1" t="n">
        <f aca="false">IF(AND(G257=1,F_AE=1),MIN(K257/H257,PR_AEcap)*H257,0)</f>
        <v>0</v>
      </c>
      <c r="Q257" s="1" t="n">
        <f aca="false">IF(G257=1,IF(WI_Retire=1,MAX(0,M257+WI_M*12),M257)+(PR_AEee+PR_AEer+PR_AEst)*P257,0)</f>
        <v>0</v>
      </c>
      <c r="R257" s="1" t="n">
        <f aca="false">L257+PR_AEee*P257</f>
        <v>0</v>
      </c>
      <c r="S257" s="1" t="n">
        <f aca="false">AD256</f>
        <v>0</v>
      </c>
      <c r="T257" s="1" t="n">
        <f aca="false">IF(D257&lt;=PR_SFTfrom,PR_SFT2026,IF(D257=PR_SFTfrom+1,PR_SFT2027,IF(D257=PR_SFTfrom+2,PR_SFT2028,IF(D257&lt;=PR_SFTto,PR_SFT2029,PR_SFT2029*(1+AS_Infl)^(D257-PR_SFTto)))))</f>
        <v>4243865.76291418</v>
      </c>
      <c r="U257" s="1" t="n">
        <f aca="false">IF(AND(G257=0,C257=F_V),1,0)</f>
        <v>0</v>
      </c>
      <c r="V257" s="1" t="n">
        <f aca="false">IF(U257=1,PR_SFTrate*MAX(0,S257-T257),0)</f>
        <v>0</v>
      </c>
      <c r="W257" s="1" t="n">
        <f aca="false">S257-V257</f>
        <v>0</v>
      </c>
      <c r="X257" s="1" t="n">
        <f aca="false">IF(AND(U257=1,AS_LumpPct&gt;0),W257*MIN(AS_LumpPct,PR_LSmax),0)</f>
        <v>0</v>
      </c>
      <c r="Y257" s="1" t="n">
        <f aca="false">X257-(PR_LSrate*MAX(0,MIN(X257,PR_LScap)-PR_LSfree)+PR_r2*MAX(0,X257-PR_LScap))</f>
        <v>0</v>
      </c>
      <c r="Z257" s="1" t="n">
        <f aca="false">W257-X257</f>
        <v>0</v>
      </c>
      <c r="AA257" s="112" t="n">
        <f aca="false">IF(C257&gt;=PR_ARFage1,IF(Z257&gt;PR_ARFbig,PR_ARFbigRate,IF(C257&gt;=PR_ARFage2,PR_ARF71,PR_ARF61)),0)</f>
        <v>0</v>
      </c>
      <c r="AB257" s="1" t="n">
        <f aca="false">IF(AS_DrawRule="min",Z257*AA257,IF(AS_DrawRule="fixed",MAX(AS_DrawFixed*E257,Z257*AA257),Z257*MAX(1/MAX(1,AS_End-C257+1),AA257)))</f>
        <v>0</v>
      </c>
      <c r="AC257" s="1" t="n">
        <f aca="false">IF(AND(G257=0,C257&gt;=F_V),MIN(Z257,AB257),0)</f>
        <v>0</v>
      </c>
      <c r="AD257" s="1" t="n">
        <f aca="false">IF(G257=1,S257*(1+F_PenG)+Q257,IF(C257&lt;F_V,S257*(1+F_PenG),(Z257-AC257)*(1+AS_PenRet)))</f>
        <v>0</v>
      </c>
      <c r="AE257" s="1" t="n">
        <f aca="false">IF(C257&gt;=PR_SPage,AS_SP*F_SpF*I257+IF(AND(C257&gt;=PR_Over80Age,F_SpF&gt;0),PR_Over80*PR_Weeks*I257,0),0)</f>
        <v>0</v>
      </c>
      <c r="AF257" s="1" t="n">
        <f aca="false">(F_OtherM+F_RentM)*12*E257</f>
        <v>0</v>
      </c>
      <c r="AG257" s="1" t="n">
        <f aca="false">F_PAge+B257</f>
        <v>23</v>
      </c>
      <c r="AH257" s="1" t="n">
        <f aca="false">IF(AND(F_Partner=1,F_PAge&gt;0,AG257&lt;IF(F_PRet&gt;0,F_PRet,PR_SPage)),F_PIncome*F257,0)</f>
        <v>0</v>
      </c>
      <c r="AI257" s="1" t="n">
        <f aca="false">IF(AND(F_Partner=1,AG257&gt;=PR_SPage,F_PSpQA=0),AS_SP*F_PSpF*I257,0)</f>
        <v>0</v>
      </c>
      <c r="AJ257" s="1" t="n">
        <f aca="false">IF(AND(F_Partner=1,F_PSpQA=1,C257&gt;=PR_SPage,AH257=0),IF(AG257&gt;=PR_SPage,PR_QA66,PR_QAunder)*PR_Weeks*I257,0)</f>
        <v>0</v>
      </c>
      <c r="AK257" s="1" t="n">
        <f aca="false">AE257+AJ257</f>
        <v>0</v>
      </c>
      <c r="AL257" s="1" t="n">
        <f aca="false">K257/H257</f>
        <v>0</v>
      </c>
      <c r="AM257" s="1" t="n">
        <f aca="false">AK257/H257</f>
        <v>0</v>
      </c>
      <c r="AN257" s="1" t="n">
        <f aca="false">AC257/H257</f>
        <v>0</v>
      </c>
      <c r="AO257" s="1" t="n">
        <f aca="false">AF257/H257</f>
        <v>0</v>
      </c>
      <c r="AP257" s="1" t="n">
        <f aca="false">O257/H257</f>
        <v>0</v>
      </c>
      <c r="AQ257" s="1" t="n">
        <f aca="false">AH257/H257</f>
        <v>0</v>
      </c>
      <c r="AR257" s="1" t="n">
        <f aca="false">AI257/H257</f>
        <v>0</v>
      </c>
      <c r="AS257" s="1" t="n">
        <f aca="false">MAX(0,AL257+AN257+AO257+AM257-AP257)</f>
        <v>0</v>
      </c>
      <c r="AT257" s="1" t="n">
        <f aca="false">MAX(0,AQ257+AR257)</f>
        <v>0</v>
      </c>
      <c r="AU257" s="1" t="n">
        <f aca="false">MIN(PR_PAYE,PR_PAYEcap*(AL257+AN257+AM257))</f>
        <v>0</v>
      </c>
      <c r="AV257" s="1" t="n">
        <f aca="false">MIN(PR_PAYE,PR_PAYEcap*(AQ257+AR257))</f>
        <v>0</v>
      </c>
      <c r="AW257" s="1" t="n">
        <f aca="false">IF(C257&gt;=PR_AgeCrAge,PR_AgeCr,0)</f>
        <v>0</v>
      </c>
      <c r="AX257" s="1" t="n">
        <f aca="false">IF(AG257&gt;=PR_AgeCrAge,PR_AgeCr,0)</f>
        <v>0</v>
      </c>
      <c r="AY257" s="1" t="n">
        <f aca="false">IF(AND(F_RentCred=1,D257&lt;=PR_RentLast),1,0)</f>
        <v>0</v>
      </c>
      <c r="AZ257" s="1" t="n">
        <f aca="false">AS257+AT257</f>
        <v>0</v>
      </c>
      <c r="BA257" s="1" t="n">
        <f aca="false">PR_PersonalM+AU257+AV257+AW257+AX257+IF(AY257=1,PR_RentJoint,0)</f>
        <v>4000</v>
      </c>
      <c r="BB257" s="1" t="n">
        <f aca="false">PR_BandM+MIN(MIN(AS257,AT257),PR_Uplift)</f>
        <v>53000</v>
      </c>
      <c r="BC257" s="1" t="n">
        <f aca="false">MAX(0,PR_r1*MIN(AZ257,BB257)+PR_r2*MAX(0,AZ257-BB257)-BA257)</f>
        <v>0</v>
      </c>
      <c r="BD257" s="1" t="n">
        <f aca="false">MAX(0,PR_HomeCarer-MAX(0,MIN(AS257,AT257)-PR_HCLimit)/2)</f>
        <v>1950</v>
      </c>
      <c r="BE257" s="1" t="n">
        <f aca="false">IF(F_Carer=1,MIN(BC257,MAX(0,PR_r1*MIN(AZ257,PR_BandM)+PR_r2*MAX(0,AZ257-PR_BandM)-BA257-BD257)),BC257)</f>
        <v>0</v>
      </c>
      <c r="BF257" s="1" t="n">
        <f aca="false">IF(OR(C257&gt;=PR_AgeCrAge,AG257&gt;=PR_AgeCrAge),IF(AZ257&lt;=PR_AgeExM,0,MIN(BE257,PR_AgeMarg*(AZ257-PR_AgeExM))),BE257)</f>
        <v>0</v>
      </c>
      <c r="BG257" s="1" t="n">
        <f aca="false">MAX(0,PR_r1*MIN(AS257,IF(F_Spccc=1,PR_BandSPCCC,PR_Band))+PR_r2*MAX(0,AS257-IF(F_Spccc=1,PR_BandSPCCC,PR_Band))-(PR_Personal+AU257+AW257+IF(F_Spccc=1,PR_SPCCC,0)+IF(AY257=1,PR_Rent,0)))</f>
        <v>0</v>
      </c>
      <c r="BH257" s="1" t="n">
        <f aca="false">IF(C257&gt;=PR_AgeCrAge,IF(AS257&lt;=PR_AgeEx,0,MIN(BG257,PR_AgeMarg*(AS257-PR_AgeEx))),BG257)</f>
        <v>0</v>
      </c>
      <c r="BI257" s="1" t="n">
        <f aca="false">IF(F_Partner=1,MAX(0,PR_r1*MIN(AT257,PR_Band)+PR_r2*MAX(0,AT257-PR_Band)-(PR_Personal+AV257+AX257+IF(AND(AY257=1,AT257&gt;0),PR_Rent,0))),0)</f>
        <v>0</v>
      </c>
      <c r="BJ257" s="1" t="n">
        <f aca="false">IF(AG257&gt;=PR_AgeCrAge,IF(AT257&lt;=PR_AgeEx,0,MIN(BI257,PR_AgeMarg*(AT257-PR_AgeEx))),BI257)</f>
        <v>0</v>
      </c>
      <c r="BK257" s="1" t="n">
        <f aca="false">IF(F_Partner=1,IF(F_Married=1,BF257,BH257+BJ257),BH257)</f>
        <v>0</v>
      </c>
      <c r="BL257" s="1" t="n">
        <f aca="false">AL257+AN257+AO257</f>
        <v>0</v>
      </c>
      <c r="BM257" s="1" t="n">
        <f aca="false">IF(BL257&lt;=PR_USCex,0,IF(IF(AND(C257&gt;=PR_USCredAge,BL257&lt;=PR_USCredMax),1,0)=1,PR_USCr1*MIN(BL257,PR_USCredB1)+PR_USCredR2*MAX(0,BL257-PR_USCredB1),PR_USCr1*MIN(BL257,PR_USCb1)+PR_USCr2*MAX(0,MIN(BL257,PR_USCb2)-PR_USCb1)+PR_USCr3*MAX(0,MIN(BL257,PR_USCb3)-PR_USCb2)+PR_USCr4*MAX(0,BL257-PR_USCb3)))+IF(F_SelfEmp=1,PR_USCse*MAX(0,AL257-PR_USCseOver),0)</f>
        <v>0</v>
      </c>
      <c r="BN257" s="1" t="n">
        <f aca="false">AQ257</f>
        <v>0</v>
      </c>
      <c r="BO257" s="1" t="n">
        <f aca="false">IF(F_Partner=1,IF(BN257&lt;=PR_USCex,0,IF(IF(AND(AG257&gt;=PR_USCredAge,BN257&lt;=PR_USCredMax),1,0)=1,PR_USCr1*MIN(BN257,PR_USCredB1)+PR_USCredR2*MAX(0,BN257-PR_USCredB1),PR_USCr1*MIN(BN257,PR_USCb1)+PR_USCr2*MAX(0,MIN(BN257,PR_USCb2)-PR_USCb1)+PR_USCr3*MAX(0,MIN(BN257,PR_USCb3)-PR_USCb2)+PR_USCr4*MAX(0,BN257-PR_USCb3))),0)</f>
        <v>0</v>
      </c>
      <c r="BP257" s="1" t="n">
        <f aca="false">IF(C257&lt;PR_PRSIend,IF(F_SelfEmp=1,IF(AL257&gt;PR_PRSIsMinInc,MAX(PR_PRSIsMin,AL257*J257),0),IF(AL257/52&lt;=PR_PRSIfree,0,MAX(0,(AL257/52*J257-IF(AL257/52&lt;=PR_PRSIcreditTo,MAX(0,PR_PRSIcreditMax-(AL257/52-(PR_PRSIfree+0.01))/PR_PRSItaper),0))*52)))+J257*AN257+IF(AO257&gt;PR_PRSIunearned,J257*AO257,0),0)</f>
        <v>0</v>
      </c>
      <c r="BQ257" s="1" t="n">
        <f aca="false">IF(AND(F_Partner=1,AG257&lt;PR_PRSIend),IF(AQ257/52&lt;=PR_PRSIfree,0,MAX(0,(AQ257/52*J257-IF(AQ257/52&lt;=PR_PRSIcreditTo,MAX(0,PR_PRSIcreditMax-(AQ257/52-(PR_PRSIfree+0.01))/PR_PRSItaper),0))*52)),0)</f>
        <v>0</v>
      </c>
      <c r="BR257" s="1" t="n">
        <f aca="false">BK257+BM257+BO257+BP257+BQ257</f>
        <v>0</v>
      </c>
      <c r="BS257" s="1" t="n">
        <f aca="false">BR257*H257</f>
        <v>0</v>
      </c>
      <c r="BT257" s="1" t="n">
        <f aca="false">K257+AK257+AC257+AF257+AH257+AI257</f>
        <v>0</v>
      </c>
    </row>
    <row r="258" customFormat="false" ht="15" hidden="false" customHeight="true" outlineLevel="0" collapsed="false">
      <c r="B258" s="1" t="n">
        <v>24</v>
      </c>
      <c r="C258" s="1" t="n">
        <f aca="false">F_Age+B258</f>
        <v>24</v>
      </c>
      <c r="D258" s="1" t="n">
        <f aca="false">AS_Year0+B258</f>
        <v>2051</v>
      </c>
      <c r="E258" s="111" t="n">
        <f aca="false">(1+AS_Infl)^B258</f>
        <v>1.60843724947523</v>
      </c>
      <c r="F258" s="111" t="n">
        <f aca="false">(1+AS_Wage)^B258</f>
        <v>2.0327941064604</v>
      </c>
      <c r="G258" s="1" t="n">
        <f aca="false">IF(C258&lt;F_R,1,0)</f>
        <v>1</v>
      </c>
      <c r="H258" s="111" t="n">
        <f aca="false">IF(AS_Bands="flat",1,E258)</f>
        <v>1.60843724947523</v>
      </c>
      <c r="I258" s="111" t="n">
        <f aca="false">IF(AS_SpGrow="pay",F258,IF(AS_SpGrow="flat",1,E258))</f>
        <v>1.60843724947523</v>
      </c>
      <c r="J258" s="111" t="n">
        <f aca="false">(12*PR_PRSIr0+(PR_PRSIr1-PR_PRSIr0)*MAX(0,MIN(12,D258*12+12-PR_PRSIt1))+(PR_PRSIr2-PR_PRSIr1)*MAX(0,MIN(12,D258*12+12-PR_PRSIt2))+(PR_PRSIr3-PR_PRSIr2)*MAX(0,MIN(12,D258*12+12-PR_PRSIt3)))/12</f>
        <v>0.047</v>
      </c>
      <c r="K258" s="1" t="n">
        <f aca="false">IF(G258=1,F_Income*F258,0)</f>
        <v>0</v>
      </c>
      <c r="L258" s="1" t="n">
        <f aca="false">IF(G258=1,(F_Own+In_penExtra)*12*F258,0)</f>
        <v>0</v>
      </c>
      <c r="M258" s="1" t="n">
        <f aca="false">IF(G258=1,(F_PenM+In_penExtra)*12*F258,0)</f>
        <v>0</v>
      </c>
      <c r="N258" s="112" t="n">
        <f aca="false">IF(C258&lt;PR_RelA1,PR_RelP1,IF(C258&lt;PR_RelA2,PR_RelP2,IF(C258&lt;PR_RelA3,PR_RelP3,IF(C258&lt;PR_RelA4,PR_RelP4,IF(C258&lt;PR_RelA5,PR_RelP5,PR_RelP6)))))</f>
        <v>0.15</v>
      </c>
      <c r="O258" s="1" t="n">
        <f aca="false">IF(G258=1,MIN(L258/H258,N258*MIN(K258/H258,PR_EarnCap))*H258,0)</f>
        <v>0</v>
      </c>
      <c r="P258" s="1" t="n">
        <f aca="false">IF(AND(G258=1,F_AE=1),MIN(K258/H258,PR_AEcap)*H258,0)</f>
        <v>0</v>
      </c>
      <c r="Q258" s="1" t="n">
        <f aca="false">IF(G258=1,IF(WI_Retire=1,MAX(0,M258+WI_M*12),M258)+(PR_AEee+PR_AEer+PR_AEst)*P258,0)</f>
        <v>0</v>
      </c>
      <c r="R258" s="1" t="n">
        <f aca="false">L258+PR_AEee*P258</f>
        <v>0</v>
      </c>
      <c r="S258" s="1" t="n">
        <f aca="false">AD257</f>
        <v>0</v>
      </c>
      <c r="T258" s="1" t="n">
        <f aca="false">IF(D258&lt;=PR_SFTfrom,PR_SFT2026,IF(D258=PR_SFTfrom+1,PR_SFT2027,IF(D258=PR_SFTfrom+2,PR_SFT2028,IF(D258&lt;=PR_SFTto,PR_SFT2029,PR_SFT2029*(1+AS_Infl)^(D258-PR_SFTto)))))</f>
        <v>4328743.07817247</v>
      </c>
      <c r="U258" s="1" t="n">
        <f aca="false">IF(AND(G258=0,C258=F_V),1,0)</f>
        <v>0</v>
      </c>
      <c r="V258" s="1" t="n">
        <f aca="false">IF(U258=1,PR_SFTrate*MAX(0,S258-T258),0)</f>
        <v>0</v>
      </c>
      <c r="W258" s="1" t="n">
        <f aca="false">S258-V258</f>
        <v>0</v>
      </c>
      <c r="X258" s="1" t="n">
        <f aca="false">IF(AND(U258=1,AS_LumpPct&gt;0),W258*MIN(AS_LumpPct,PR_LSmax),0)</f>
        <v>0</v>
      </c>
      <c r="Y258" s="1" t="n">
        <f aca="false">X258-(PR_LSrate*MAX(0,MIN(X258,PR_LScap)-PR_LSfree)+PR_r2*MAX(0,X258-PR_LScap))</f>
        <v>0</v>
      </c>
      <c r="Z258" s="1" t="n">
        <f aca="false">W258-X258</f>
        <v>0</v>
      </c>
      <c r="AA258" s="112" t="n">
        <f aca="false">IF(C258&gt;=PR_ARFage1,IF(Z258&gt;PR_ARFbig,PR_ARFbigRate,IF(C258&gt;=PR_ARFage2,PR_ARF71,PR_ARF61)),0)</f>
        <v>0</v>
      </c>
      <c r="AB258" s="1" t="n">
        <f aca="false">IF(AS_DrawRule="min",Z258*AA258,IF(AS_DrawRule="fixed",MAX(AS_DrawFixed*E258,Z258*AA258),Z258*MAX(1/MAX(1,AS_End-C258+1),AA258)))</f>
        <v>0</v>
      </c>
      <c r="AC258" s="1" t="n">
        <f aca="false">IF(AND(G258=0,C258&gt;=F_V),MIN(Z258,AB258),0)</f>
        <v>0</v>
      </c>
      <c r="AD258" s="1" t="n">
        <f aca="false">IF(G258=1,S258*(1+F_PenG)+Q258,IF(C258&lt;F_V,S258*(1+F_PenG),(Z258-AC258)*(1+AS_PenRet)))</f>
        <v>0</v>
      </c>
      <c r="AE258" s="1" t="n">
        <f aca="false">IF(C258&gt;=PR_SPage,AS_SP*F_SpF*I258+IF(AND(C258&gt;=PR_Over80Age,F_SpF&gt;0),PR_Over80*PR_Weeks*I258,0),0)</f>
        <v>0</v>
      </c>
      <c r="AF258" s="1" t="n">
        <f aca="false">(F_OtherM+F_RentM)*12*E258</f>
        <v>0</v>
      </c>
      <c r="AG258" s="1" t="n">
        <f aca="false">F_PAge+B258</f>
        <v>24</v>
      </c>
      <c r="AH258" s="1" t="n">
        <f aca="false">IF(AND(F_Partner=1,F_PAge&gt;0,AG258&lt;IF(F_PRet&gt;0,F_PRet,PR_SPage)),F_PIncome*F258,0)</f>
        <v>0</v>
      </c>
      <c r="AI258" s="1" t="n">
        <f aca="false">IF(AND(F_Partner=1,AG258&gt;=PR_SPage,F_PSpQA=0),AS_SP*F_PSpF*I258,0)</f>
        <v>0</v>
      </c>
      <c r="AJ258" s="1" t="n">
        <f aca="false">IF(AND(F_Partner=1,F_PSpQA=1,C258&gt;=PR_SPage,AH258=0),IF(AG258&gt;=PR_SPage,PR_QA66,PR_QAunder)*PR_Weeks*I258,0)</f>
        <v>0</v>
      </c>
      <c r="AK258" s="1" t="n">
        <f aca="false">AE258+AJ258</f>
        <v>0</v>
      </c>
      <c r="AL258" s="1" t="n">
        <f aca="false">K258/H258</f>
        <v>0</v>
      </c>
      <c r="AM258" s="1" t="n">
        <f aca="false">AK258/H258</f>
        <v>0</v>
      </c>
      <c r="AN258" s="1" t="n">
        <f aca="false">AC258/H258</f>
        <v>0</v>
      </c>
      <c r="AO258" s="1" t="n">
        <f aca="false">AF258/H258</f>
        <v>0</v>
      </c>
      <c r="AP258" s="1" t="n">
        <f aca="false">O258/H258</f>
        <v>0</v>
      </c>
      <c r="AQ258" s="1" t="n">
        <f aca="false">AH258/H258</f>
        <v>0</v>
      </c>
      <c r="AR258" s="1" t="n">
        <f aca="false">AI258/H258</f>
        <v>0</v>
      </c>
      <c r="AS258" s="1" t="n">
        <f aca="false">MAX(0,AL258+AN258+AO258+AM258-AP258)</f>
        <v>0</v>
      </c>
      <c r="AT258" s="1" t="n">
        <f aca="false">MAX(0,AQ258+AR258)</f>
        <v>0</v>
      </c>
      <c r="AU258" s="1" t="n">
        <f aca="false">MIN(PR_PAYE,PR_PAYEcap*(AL258+AN258+AM258))</f>
        <v>0</v>
      </c>
      <c r="AV258" s="1" t="n">
        <f aca="false">MIN(PR_PAYE,PR_PAYEcap*(AQ258+AR258))</f>
        <v>0</v>
      </c>
      <c r="AW258" s="1" t="n">
        <f aca="false">IF(C258&gt;=PR_AgeCrAge,PR_AgeCr,0)</f>
        <v>0</v>
      </c>
      <c r="AX258" s="1" t="n">
        <f aca="false">IF(AG258&gt;=PR_AgeCrAge,PR_AgeCr,0)</f>
        <v>0</v>
      </c>
      <c r="AY258" s="1" t="n">
        <f aca="false">IF(AND(F_RentCred=1,D258&lt;=PR_RentLast),1,0)</f>
        <v>0</v>
      </c>
      <c r="AZ258" s="1" t="n">
        <f aca="false">AS258+AT258</f>
        <v>0</v>
      </c>
      <c r="BA258" s="1" t="n">
        <f aca="false">PR_PersonalM+AU258+AV258+AW258+AX258+IF(AY258=1,PR_RentJoint,0)</f>
        <v>4000</v>
      </c>
      <c r="BB258" s="1" t="n">
        <f aca="false">PR_BandM+MIN(MIN(AS258,AT258),PR_Uplift)</f>
        <v>53000</v>
      </c>
      <c r="BC258" s="1" t="n">
        <f aca="false">MAX(0,PR_r1*MIN(AZ258,BB258)+PR_r2*MAX(0,AZ258-BB258)-BA258)</f>
        <v>0</v>
      </c>
      <c r="BD258" s="1" t="n">
        <f aca="false">MAX(0,PR_HomeCarer-MAX(0,MIN(AS258,AT258)-PR_HCLimit)/2)</f>
        <v>1950</v>
      </c>
      <c r="BE258" s="1" t="n">
        <f aca="false">IF(F_Carer=1,MIN(BC258,MAX(0,PR_r1*MIN(AZ258,PR_BandM)+PR_r2*MAX(0,AZ258-PR_BandM)-BA258-BD258)),BC258)</f>
        <v>0</v>
      </c>
      <c r="BF258" s="1" t="n">
        <f aca="false">IF(OR(C258&gt;=PR_AgeCrAge,AG258&gt;=PR_AgeCrAge),IF(AZ258&lt;=PR_AgeExM,0,MIN(BE258,PR_AgeMarg*(AZ258-PR_AgeExM))),BE258)</f>
        <v>0</v>
      </c>
      <c r="BG258" s="1" t="n">
        <f aca="false">MAX(0,PR_r1*MIN(AS258,IF(F_Spccc=1,PR_BandSPCCC,PR_Band))+PR_r2*MAX(0,AS258-IF(F_Spccc=1,PR_BandSPCCC,PR_Band))-(PR_Personal+AU258+AW258+IF(F_Spccc=1,PR_SPCCC,0)+IF(AY258=1,PR_Rent,0)))</f>
        <v>0</v>
      </c>
      <c r="BH258" s="1" t="n">
        <f aca="false">IF(C258&gt;=PR_AgeCrAge,IF(AS258&lt;=PR_AgeEx,0,MIN(BG258,PR_AgeMarg*(AS258-PR_AgeEx))),BG258)</f>
        <v>0</v>
      </c>
      <c r="BI258" s="1" t="n">
        <f aca="false">IF(F_Partner=1,MAX(0,PR_r1*MIN(AT258,PR_Band)+PR_r2*MAX(0,AT258-PR_Band)-(PR_Personal+AV258+AX258+IF(AND(AY258=1,AT258&gt;0),PR_Rent,0))),0)</f>
        <v>0</v>
      </c>
      <c r="BJ258" s="1" t="n">
        <f aca="false">IF(AG258&gt;=PR_AgeCrAge,IF(AT258&lt;=PR_AgeEx,0,MIN(BI258,PR_AgeMarg*(AT258-PR_AgeEx))),BI258)</f>
        <v>0</v>
      </c>
      <c r="BK258" s="1" t="n">
        <f aca="false">IF(F_Partner=1,IF(F_Married=1,BF258,BH258+BJ258),BH258)</f>
        <v>0</v>
      </c>
      <c r="BL258" s="1" t="n">
        <f aca="false">AL258+AN258+AO258</f>
        <v>0</v>
      </c>
      <c r="BM258" s="1" t="n">
        <f aca="false">IF(BL258&lt;=PR_USCex,0,IF(IF(AND(C258&gt;=PR_USCredAge,BL258&lt;=PR_USCredMax),1,0)=1,PR_USCr1*MIN(BL258,PR_USCredB1)+PR_USCredR2*MAX(0,BL258-PR_USCredB1),PR_USCr1*MIN(BL258,PR_USCb1)+PR_USCr2*MAX(0,MIN(BL258,PR_USCb2)-PR_USCb1)+PR_USCr3*MAX(0,MIN(BL258,PR_USCb3)-PR_USCb2)+PR_USCr4*MAX(0,BL258-PR_USCb3)))+IF(F_SelfEmp=1,PR_USCse*MAX(0,AL258-PR_USCseOver),0)</f>
        <v>0</v>
      </c>
      <c r="BN258" s="1" t="n">
        <f aca="false">AQ258</f>
        <v>0</v>
      </c>
      <c r="BO258" s="1" t="n">
        <f aca="false">IF(F_Partner=1,IF(BN258&lt;=PR_USCex,0,IF(IF(AND(AG258&gt;=PR_USCredAge,BN258&lt;=PR_USCredMax),1,0)=1,PR_USCr1*MIN(BN258,PR_USCredB1)+PR_USCredR2*MAX(0,BN258-PR_USCredB1),PR_USCr1*MIN(BN258,PR_USCb1)+PR_USCr2*MAX(0,MIN(BN258,PR_USCb2)-PR_USCb1)+PR_USCr3*MAX(0,MIN(BN258,PR_USCb3)-PR_USCb2)+PR_USCr4*MAX(0,BN258-PR_USCb3))),0)</f>
        <v>0</v>
      </c>
      <c r="BP258" s="1" t="n">
        <f aca="false">IF(C258&lt;PR_PRSIend,IF(F_SelfEmp=1,IF(AL258&gt;PR_PRSIsMinInc,MAX(PR_PRSIsMin,AL258*J258),0),IF(AL258/52&lt;=PR_PRSIfree,0,MAX(0,(AL258/52*J258-IF(AL258/52&lt;=PR_PRSIcreditTo,MAX(0,PR_PRSIcreditMax-(AL258/52-(PR_PRSIfree+0.01))/PR_PRSItaper),0))*52)))+J258*AN258+IF(AO258&gt;PR_PRSIunearned,J258*AO258,0),0)</f>
        <v>0</v>
      </c>
      <c r="BQ258" s="1" t="n">
        <f aca="false">IF(AND(F_Partner=1,AG258&lt;PR_PRSIend),IF(AQ258/52&lt;=PR_PRSIfree,0,MAX(0,(AQ258/52*J258-IF(AQ258/52&lt;=PR_PRSIcreditTo,MAX(0,PR_PRSIcreditMax-(AQ258/52-(PR_PRSIfree+0.01))/PR_PRSItaper),0))*52)),0)</f>
        <v>0</v>
      </c>
      <c r="BR258" s="1" t="n">
        <f aca="false">BK258+BM258+BO258+BP258+BQ258</f>
        <v>0</v>
      </c>
      <c r="BS258" s="1" t="n">
        <f aca="false">BR258*H258</f>
        <v>0</v>
      </c>
      <c r="BT258" s="1" t="n">
        <f aca="false">K258+AK258+AC258+AF258+AH258+AI258</f>
        <v>0</v>
      </c>
    </row>
    <row r="259" customFormat="false" ht="15" hidden="false" customHeight="true" outlineLevel="0" collapsed="false">
      <c r="B259" s="1" t="n">
        <v>25</v>
      </c>
      <c r="C259" s="1" t="n">
        <f aca="false">F_Age+B259</f>
        <v>25</v>
      </c>
      <c r="D259" s="1" t="n">
        <f aca="false">AS_Year0+B259</f>
        <v>2052</v>
      </c>
      <c r="E259" s="111" t="n">
        <f aca="false">(1+AS_Infl)^B259</f>
        <v>1.64060599446473</v>
      </c>
      <c r="F259" s="111" t="n">
        <f aca="false">(1+AS_Wage)^B259</f>
        <v>2.09377792965422</v>
      </c>
      <c r="G259" s="1" t="n">
        <f aca="false">IF(C259&lt;F_R,1,0)</f>
        <v>1</v>
      </c>
      <c r="H259" s="111" t="n">
        <f aca="false">IF(AS_Bands="flat",1,E259)</f>
        <v>1.64060599446473</v>
      </c>
      <c r="I259" s="111" t="n">
        <f aca="false">IF(AS_SpGrow="pay",F259,IF(AS_SpGrow="flat",1,E259))</f>
        <v>1.64060599446473</v>
      </c>
      <c r="J259" s="111" t="n">
        <f aca="false">(12*PR_PRSIr0+(PR_PRSIr1-PR_PRSIr0)*MAX(0,MIN(12,D259*12+12-PR_PRSIt1))+(PR_PRSIr2-PR_PRSIr1)*MAX(0,MIN(12,D259*12+12-PR_PRSIt2))+(PR_PRSIr3-PR_PRSIr2)*MAX(0,MIN(12,D259*12+12-PR_PRSIt3)))/12</f>
        <v>0.047</v>
      </c>
      <c r="K259" s="1" t="n">
        <f aca="false">IF(G259=1,F_Income*F259,0)</f>
        <v>0</v>
      </c>
      <c r="L259" s="1" t="n">
        <f aca="false">IF(G259=1,(F_Own+In_penExtra)*12*F259,0)</f>
        <v>0</v>
      </c>
      <c r="M259" s="1" t="n">
        <f aca="false">IF(G259=1,(F_PenM+In_penExtra)*12*F259,0)</f>
        <v>0</v>
      </c>
      <c r="N259" s="112" t="n">
        <f aca="false">IF(C259&lt;PR_RelA1,PR_RelP1,IF(C259&lt;PR_RelA2,PR_RelP2,IF(C259&lt;PR_RelA3,PR_RelP3,IF(C259&lt;PR_RelA4,PR_RelP4,IF(C259&lt;PR_RelA5,PR_RelP5,PR_RelP6)))))</f>
        <v>0.15</v>
      </c>
      <c r="O259" s="1" t="n">
        <f aca="false">IF(G259=1,MIN(L259/H259,N259*MIN(K259/H259,PR_EarnCap))*H259,0)</f>
        <v>0</v>
      </c>
      <c r="P259" s="1" t="n">
        <f aca="false">IF(AND(G259=1,F_AE=1),MIN(K259/H259,PR_AEcap)*H259,0)</f>
        <v>0</v>
      </c>
      <c r="Q259" s="1" t="n">
        <f aca="false">IF(G259=1,IF(WI_Retire=1,MAX(0,M259+WI_M*12),M259)+(PR_AEee+PR_AEer+PR_AEst)*P259,0)</f>
        <v>0</v>
      </c>
      <c r="R259" s="1" t="n">
        <f aca="false">L259+PR_AEee*P259</f>
        <v>0</v>
      </c>
      <c r="S259" s="1" t="n">
        <f aca="false">AD258</f>
        <v>0</v>
      </c>
      <c r="T259" s="1" t="n">
        <f aca="false">IF(D259&lt;=PR_SFTfrom,PR_SFT2026,IF(D259=PR_SFTfrom+1,PR_SFT2027,IF(D259=PR_SFTfrom+2,PR_SFT2028,IF(D259&lt;=PR_SFTto,PR_SFT2029,PR_SFT2029*(1+AS_Infl)^(D259-PR_SFTto)))))</f>
        <v>4415317.93973592</v>
      </c>
      <c r="U259" s="1" t="n">
        <f aca="false">IF(AND(G259=0,C259=F_V),1,0)</f>
        <v>0</v>
      </c>
      <c r="V259" s="1" t="n">
        <f aca="false">IF(U259=1,PR_SFTrate*MAX(0,S259-T259),0)</f>
        <v>0</v>
      </c>
      <c r="W259" s="1" t="n">
        <f aca="false">S259-V259</f>
        <v>0</v>
      </c>
      <c r="X259" s="1" t="n">
        <f aca="false">IF(AND(U259=1,AS_LumpPct&gt;0),W259*MIN(AS_LumpPct,PR_LSmax),0)</f>
        <v>0</v>
      </c>
      <c r="Y259" s="1" t="n">
        <f aca="false">X259-(PR_LSrate*MAX(0,MIN(X259,PR_LScap)-PR_LSfree)+PR_r2*MAX(0,X259-PR_LScap))</f>
        <v>0</v>
      </c>
      <c r="Z259" s="1" t="n">
        <f aca="false">W259-X259</f>
        <v>0</v>
      </c>
      <c r="AA259" s="112" t="n">
        <f aca="false">IF(C259&gt;=PR_ARFage1,IF(Z259&gt;PR_ARFbig,PR_ARFbigRate,IF(C259&gt;=PR_ARFage2,PR_ARF71,PR_ARF61)),0)</f>
        <v>0</v>
      </c>
      <c r="AB259" s="1" t="n">
        <f aca="false">IF(AS_DrawRule="min",Z259*AA259,IF(AS_DrawRule="fixed",MAX(AS_DrawFixed*E259,Z259*AA259),Z259*MAX(1/MAX(1,AS_End-C259+1),AA259)))</f>
        <v>0</v>
      </c>
      <c r="AC259" s="1" t="n">
        <f aca="false">IF(AND(G259=0,C259&gt;=F_V),MIN(Z259,AB259),0)</f>
        <v>0</v>
      </c>
      <c r="AD259" s="1" t="n">
        <f aca="false">IF(G259=1,S259*(1+F_PenG)+Q259,IF(C259&lt;F_V,S259*(1+F_PenG),(Z259-AC259)*(1+AS_PenRet)))</f>
        <v>0</v>
      </c>
      <c r="AE259" s="1" t="n">
        <f aca="false">IF(C259&gt;=PR_SPage,AS_SP*F_SpF*I259+IF(AND(C259&gt;=PR_Over80Age,F_SpF&gt;0),PR_Over80*PR_Weeks*I259,0),0)</f>
        <v>0</v>
      </c>
      <c r="AF259" s="1" t="n">
        <f aca="false">(F_OtherM+F_RentM)*12*E259</f>
        <v>0</v>
      </c>
      <c r="AG259" s="1" t="n">
        <f aca="false">F_PAge+B259</f>
        <v>25</v>
      </c>
      <c r="AH259" s="1" t="n">
        <f aca="false">IF(AND(F_Partner=1,F_PAge&gt;0,AG259&lt;IF(F_PRet&gt;0,F_PRet,PR_SPage)),F_PIncome*F259,0)</f>
        <v>0</v>
      </c>
      <c r="AI259" s="1" t="n">
        <f aca="false">IF(AND(F_Partner=1,AG259&gt;=PR_SPage,F_PSpQA=0),AS_SP*F_PSpF*I259,0)</f>
        <v>0</v>
      </c>
      <c r="AJ259" s="1" t="n">
        <f aca="false">IF(AND(F_Partner=1,F_PSpQA=1,C259&gt;=PR_SPage,AH259=0),IF(AG259&gt;=PR_SPage,PR_QA66,PR_QAunder)*PR_Weeks*I259,0)</f>
        <v>0</v>
      </c>
      <c r="AK259" s="1" t="n">
        <f aca="false">AE259+AJ259</f>
        <v>0</v>
      </c>
      <c r="AL259" s="1" t="n">
        <f aca="false">K259/H259</f>
        <v>0</v>
      </c>
      <c r="AM259" s="1" t="n">
        <f aca="false">AK259/H259</f>
        <v>0</v>
      </c>
      <c r="AN259" s="1" t="n">
        <f aca="false">AC259/H259</f>
        <v>0</v>
      </c>
      <c r="AO259" s="1" t="n">
        <f aca="false">AF259/H259</f>
        <v>0</v>
      </c>
      <c r="AP259" s="1" t="n">
        <f aca="false">O259/H259</f>
        <v>0</v>
      </c>
      <c r="AQ259" s="1" t="n">
        <f aca="false">AH259/H259</f>
        <v>0</v>
      </c>
      <c r="AR259" s="1" t="n">
        <f aca="false">AI259/H259</f>
        <v>0</v>
      </c>
      <c r="AS259" s="1" t="n">
        <f aca="false">MAX(0,AL259+AN259+AO259+AM259-AP259)</f>
        <v>0</v>
      </c>
      <c r="AT259" s="1" t="n">
        <f aca="false">MAX(0,AQ259+AR259)</f>
        <v>0</v>
      </c>
      <c r="AU259" s="1" t="n">
        <f aca="false">MIN(PR_PAYE,PR_PAYEcap*(AL259+AN259+AM259))</f>
        <v>0</v>
      </c>
      <c r="AV259" s="1" t="n">
        <f aca="false">MIN(PR_PAYE,PR_PAYEcap*(AQ259+AR259))</f>
        <v>0</v>
      </c>
      <c r="AW259" s="1" t="n">
        <f aca="false">IF(C259&gt;=PR_AgeCrAge,PR_AgeCr,0)</f>
        <v>0</v>
      </c>
      <c r="AX259" s="1" t="n">
        <f aca="false">IF(AG259&gt;=PR_AgeCrAge,PR_AgeCr,0)</f>
        <v>0</v>
      </c>
      <c r="AY259" s="1" t="n">
        <f aca="false">IF(AND(F_RentCred=1,D259&lt;=PR_RentLast),1,0)</f>
        <v>0</v>
      </c>
      <c r="AZ259" s="1" t="n">
        <f aca="false">AS259+AT259</f>
        <v>0</v>
      </c>
      <c r="BA259" s="1" t="n">
        <f aca="false">PR_PersonalM+AU259+AV259+AW259+AX259+IF(AY259=1,PR_RentJoint,0)</f>
        <v>4000</v>
      </c>
      <c r="BB259" s="1" t="n">
        <f aca="false">PR_BandM+MIN(MIN(AS259,AT259),PR_Uplift)</f>
        <v>53000</v>
      </c>
      <c r="BC259" s="1" t="n">
        <f aca="false">MAX(0,PR_r1*MIN(AZ259,BB259)+PR_r2*MAX(0,AZ259-BB259)-BA259)</f>
        <v>0</v>
      </c>
      <c r="BD259" s="1" t="n">
        <f aca="false">MAX(0,PR_HomeCarer-MAX(0,MIN(AS259,AT259)-PR_HCLimit)/2)</f>
        <v>1950</v>
      </c>
      <c r="BE259" s="1" t="n">
        <f aca="false">IF(F_Carer=1,MIN(BC259,MAX(0,PR_r1*MIN(AZ259,PR_BandM)+PR_r2*MAX(0,AZ259-PR_BandM)-BA259-BD259)),BC259)</f>
        <v>0</v>
      </c>
      <c r="BF259" s="1" t="n">
        <f aca="false">IF(OR(C259&gt;=PR_AgeCrAge,AG259&gt;=PR_AgeCrAge),IF(AZ259&lt;=PR_AgeExM,0,MIN(BE259,PR_AgeMarg*(AZ259-PR_AgeExM))),BE259)</f>
        <v>0</v>
      </c>
      <c r="BG259" s="1" t="n">
        <f aca="false">MAX(0,PR_r1*MIN(AS259,IF(F_Spccc=1,PR_BandSPCCC,PR_Band))+PR_r2*MAX(0,AS259-IF(F_Spccc=1,PR_BandSPCCC,PR_Band))-(PR_Personal+AU259+AW259+IF(F_Spccc=1,PR_SPCCC,0)+IF(AY259=1,PR_Rent,0)))</f>
        <v>0</v>
      </c>
      <c r="BH259" s="1" t="n">
        <f aca="false">IF(C259&gt;=PR_AgeCrAge,IF(AS259&lt;=PR_AgeEx,0,MIN(BG259,PR_AgeMarg*(AS259-PR_AgeEx))),BG259)</f>
        <v>0</v>
      </c>
      <c r="BI259" s="1" t="n">
        <f aca="false">IF(F_Partner=1,MAX(0,PR_r1*MIN(AT259,PR_Band)+PR_r2*MAX(0,AT259-PR_Band)-(PR_Personal+AV259+AX259+IF(AND(AY259=1,AT259&gt;0),PR_Rent,0))),0)</f>
        <v>0</v>
      </c>
      <c r="BJ259" s="1" t="n">
        <f aca="false">IF(AG259&gt;=PR_AgeCrAge,IF(AT259&lt;=PR_AgeEx,0,MIN(BI259,PR_AgeMarg*(AT259-PR_AgeEx))),BI259)</f>
        <v>0</v>
      </c>
      <c r="BK259" s="1" t="n">
        <f aca="false">IF(F_Partner=1,IF(F_Married=1,BF259,BH259+BJ259),BH259)</f>
        <v>0</v>
      </c>
      <c r="BL259" s="1" t="n">
        <f aca="false">AL259+AN259+AO259</f>
        <v>0</v>
      </c>
      <c r="BM259" s="1" t="n">
        <f aca="false">IF(BL259&lt;=PR_USCex,0,IF(IF(AND(C259&gt;=PR_USCredAge,BL259&lt;=PR_USCredMax),1,0)=1,PR_USCr1*MIN(BL259,PR_USCredB1)+PR_USCredR2*MAX(0,BL259-PR_USCredB1),PR_USCr1*MIN(BL259,PR_USCb1)+PR_USCr2*MAX(0,MIN(BL259,PR_USCb2)-PR_USCb1)+PR_USCr3*MAX(0,MIN(BL259,PR_USCb3)-PR_USCb2)+PR_USCr4*MAX(0,BL259-PR_USCb3)))+IF(F_SelfEmp=1,PR_USCse*MAX(0,AL259-PR_USCseOver),0)</f>
        <v>0</v>
      </c>
      <c r="BN259" s="1" t="n">
        <f aca="false">AQ259</f>
        <v>0</v>
      </c>
      <c r="BO259" s="1" t="n">
        <f aca="false">IF(F_Partner=1,IF(BN259&lt;=PR_USCex,0,IF(IF(AND(AG259&gt;=PR_USCredAge,BN259&lt;=PR_USCredMax),1,0)=1,PR_USCr1*MIN(BN259,PR_USCredB1)+PR_USCredR2*MAX(0,BN259-PR_USCredB1),PR_USCr1*MIN(BN259,PR_USCb1)+PR_USCr2*MAX(0,MIN(BN259,PR_USCb2)-PR_USCb1)+PR_USCr3*MAX(0,MIN(BN259,PR_USCb3)-PR_USCb2)+PR_USCr4*MAX(0,BN259-PR_USCb3))),0)</f>
        <v>0</v>
      </c>
      <c r="BP259" s="1" t="n">
        <f aca="false">IF(C259&lt;PR_PRSIend,IF(F_SelfEmp=1,IF(AL259&gt;PR_PRSIsMinInc,MAX(PR_PRSIsMin,AL259*J259),0),IF(AL259/52&lt;=PR_PRSIfree,0,MAX(0,(AL259/52*J259-IF(AL259/52&lt;=PR_PRSIcreditTo,MAX(0,PR_PRSIcreditMax-(AL259/52-(PR_PRSIfree+0.01))/PR_PRSItaper),0))*52)))+J259*AN259+IF(AO259&gt;PR_PRSIunearned,J259*AO259,0),0)</f>
        <v>0</v>
      </c>
      <c r="BQ259" s="1" t="n">
        <f aca="false">IF(AND(F_Partner=1,AG259&lt;PR_PRSIend),IF(AQ259/52&lt;=PR_PRSIfree,0,MAX(0,(AQ259/52*J259-IF(AQ259/52&lt;=PR_PRSIcreditTo,MAX(0,PR_PRSIcreditMax-(AQ259/52-(PR_PRSIfree+0.01))/PR_PRSItaper),0))*52)),0)</f>
        <v>0</v>
      </c>
      <c r="BR259" s="1" t="n">
        <f aca="false">BK259+BM259+BO259+BP259+BQ259</f>
        <v>0</v>
      </c>
      <c r="BS259" s="1" t="n">
        <f aca="false">BR259*H259</f>
        <v>0</v>
      </c>
      <c r="BT259" s="1" t="n">
        <f aca="false">K259+AK259+AC259+AF259+AH259+AI259</f>
        <v>0</v>
      </c>
    </row>
    <row r="260" customFormat="false" ht="15" hidden="false" customHeight="true" outlineLevel="0" collapsed="false">
      <c r="B260" s="1" t="n">
        <v>26</v>
      </c>
      <c r="C260" s="1" t="n">
        <f aca="false">F_Age+B260</f>
        <v>26</v>
      </c>
      <c r="D260" s="1" t="n">
        <f aca="false">AS_Year0+B260</f>
        <v>2053</v>
      </c>
      <c r="E260" s="111" t="n">
        <f aca="false">(1+AS_Infl)^B260</f>
        <v>1.67341811435403</v>
      </c>
      <c r="F260" s="111" t="n">
        <f aca="false">(1+AS_Wage)^B260</f>
        <v>2.15659126754384</v>
      </c>
      <c r="G260" s="1" t="n">
        <f aca="false">IF(C260&lt;F_R,1,0)</f>
        <v>1</v>
      </c>
      <c r="H260" s="111" t="n">
        <f aca="false">IF(AS_Bands="flat",1,E260)</f>
        <v>1.67341811435403</v>
      </c>
      <c r="I260" s="111" t="n">
        <f aca="false">IF(AS_SpGrow="pay",F260,IF(AS_SpGrow="flat",1,E260))</f>
        <v>1.67341811435403</v>
      </c>
      <c r="J260" s="111" t="n">
        <f aca="false">(12*PR_PRSIr0+(PR_PRSIr1-PR_PRSIr0)*MAX(0,MIN(12,D260*12+12-PR_PRSIt1))+(PR_PRSIr2-PR_PRSIr1)*MAX(0,MIN(12,D260*12+12-PR_PRSIt2))+(PR_PRSIr3-PR_PRSIr2)*MAX(0,MIN(12,D260*12+12-PR_PRSIt3)))/12</f>
        <v>0.047</v>
      </c>
      <c r="K260" s="1" t="n">
        <f aca="false">IF(G260=1,F_Income*F260,0)</f>
        <v>0</v>
      </c>
      <c r="L260" s="1" t="n">
        <f aca="false">IF(G260=1,(F_Own+In_penExtra)*12*F260,0)</f>
        <v>0</v>
      </c>
      <c r="M260" s="1" t="n">
        <f aca="false">IF(G260=1,(F_PenM+In_penExtra)*12*F260,0)</f>
        <v>0</v>
      </c>
      <c r="N260" s="112" t="n">
        <f aca="false">IF(C260&lt;PR_RelA1,PR_RelP1,IF(C260&lt;PR_RelA2,PR_RelP2,IF(C260&lt;PR_RelA3,PR_RelP3,IF(C260&lt;PR_RelA4,PR_RelP4,IF(C260&lt;PR_RelA5,PR_RelP5,PR_RelP6)))))</f>
        <v>0.15</v>
      </c>
      <c r="O260" s="1" t="n">
        <f aca="false">IF(G260=1,MIN(L260/H260,N260*MIN(K260/H260,PR_EarnCap))*H260,0)</f>
        <v>0</v>
      </c>
      <c r="P260" s="1" t="n">
        <f aca="false">IF(AND(G260=1,F_AE=1),MIN(K260/H260,PR_AEcap)*H260,0)</f>
        <v>0</v>
      </c>
      <c r="Q260" s="1" t="n">
        <f aca="false">IF(G260=1,IF(WI_Retire=1,MAX(0,M260+WI_M*12),M260)+(PR_AEee+PR_AEer+PR_AEst)*P260,0)</f>
        <v>0</v>
      </c>
      <c r="R260" s="1" t="n">
        <f aca="false">L260+PR_AEee*P260</f>
        <v>0</v>
      </c>
      <c r="S260" s="1" t="n">
        <f aca="false">AD259</f>
        <v>0</v>
      </c>
      <c r="T260" s="1" t="n">
        <f aca="false">IF(D260&lt;=PR_SFTfrom,PR_SFT2026,IF(D260=PR_SFTfrom+1,PR_SFT2027,IF(D260=PR_SFTfrom+2,PR_SFT2028,IF(D260&lt;=PR_SFTto,PR_SFT2029,PR_SFT2029*(1+AS_Infl)^(D260-PR_SFTto)))))</f>
        <v>4503624.29853063</v>
      </c>
      <c r="U260" s="1" t="n">
        <f aca="false">IF(AND(G260=0,C260=F_V),1,0)</f>
        <v>0</v>
      </c>
      <c r="V260" s="1" t="n">
        <f aca="false">IF(U260=1,PR_SFTrate*MAX(0,S260-T260),0)</f>
        <v>0</v>
      </c>
      <c r="W260" s="1" t="n">
        <f aca="false">S260-V260</f>
        <v>0</v>
      </c>
      <c r="X260" s="1" t="n">
        <f aca="false">IF(AND(U260=1,AS_LumpPct&gt;0),W260*MIN(AS_LumpPct,PR_LSmax),0)</f>
        <v>0</v>
      </c>
      <c r="Y260" s="1" t="n">
        <f aca="false">X260-(PR_LSrate*MAX(0,MIN(X260,PR_LScap)-PR_LSfree)+PR_r2*MAX(0,X260-PR_LScap))</f>
        <v>0</v>
      </c>
      <c r="Z260" s="1" t="n">
        <f aca="false">W260-X260</f>
        <v>0</v>
      </c>
      <c r="AA260" s="112" t="n">
        <f aca="false">IF(C260&gt;=PR_ARFage1,IF(Z260&gt;PR_ARFbig,PR_ARFbigRate,IF(C260&gt;=PR_ARFage2,PR_ARF71,PR_ARF61)),0)</f>
        <v>0</v>
      </c>
      <c r="AB260" s="1" t="n">
        <f aca="false">IF(AS_DrawRule="min",Z260*AA260,IF(AS_DrawRule="fixed",MAX(AS_DrawFixed*E260,Z260*AA260),Z260*MAX(1/MAX(1,AS_End-C260+1),AA260)))</f>
        <v>0</v>
      </c>
      <c r="AC260" s="1" t="n">
        <f aca="false">IF(AND(G260=0,C260&gt;=F_V),MIN(Z260,AB260),0)</f>
        <v>0</v>
      </c>
      <c r="AD260" s="1" t="n">
        <f aca="false">IF(G260=1,S260*(1+F_PenG)+Q260,IF(C260&lt;F_V,S260*(1+F_PenG),(Z260-AC260)*(1+AS_PenRet)))</f>
        <v>0</v>
      </c>
      <c r="AE260" s="1" t="n">
        <f aca="false">IF(C260&gt;=PR_SPage,AS_SP*F_SpF*I260+IF(AND(C260&gt;=PR_Over80Age,F_SpF&gt;0),PR_Over80*PR_Weeks*I260,0),0)</f>
        <v>0</v>
      </c>
      <c r="AF260" s="1" t="n">
        <f aca="false">(F_OtherM+F_RentM)*12*E260</f>
        <v>0</v>
      </c>
      <c r="AG260" s="1" t="n">
        <f aca="false">F_PAge+B260</f>
        <v>26</v>
      </c>
      <c r="AH260" s="1" t="n">
        <f aca="false">IF(AND(F_Partner=1,F_PAge&gt;0,AG260&lt;IF(F_PRet&gt;0,F_PRet,PR_SPage)),F_PIncome*F260,0)</f>
        <v>0</v>
      </c>
      <c r="AI260" s="1" t="n">
        <f aca="false">IF(AND(F_Partner=1,AG260&gt;=PR_SPage,F_PSpQA=0),AS_SP*F_PSpF*I260,0)</f>
        <v>0</v>
      </c>
      <c r="AJ260" s="1" t="n">
        <f aca="false">IF(AND(F_Partner=1,F_PSpQA=1,C260&gt;=PR_SPage,AH260=0),IF(AG260&gt;=PR_SPage,PR_QA66,PR_QAunder)*PR_Weeks*I260,0)</f>
        <v>0</v>
      </c>
      <c r="AK260" s="1" t="n">
        <f aca="false">AE260+AJ260</f>
        <v>0</v>
      </c>
      <c r="AL260" s="1" t="n">
        <f aca="false">K260/H260</f>
        <v>0</v>
      </c>
      <c r="AM260" s="1" t="n">
        <f aca="false">AK260/H260</f>
        <v>0</v>
      </c>
      <c r="AN260" s="1" t="n">
        <f aca="false">AC260/H260</f>
        <v>0</v>
      </c>
      <c r="AO260" s="1" t="n">
        <f aca="false">AF260/H260</f>
        <v>0</v>
      </c>
      <c r="AP260" s="1" t="n">
        <f aca="false">O260/H260</f>
        <v>0</v>
      </c>
      <c r="AQ260" s="1" t="n">
        <f aca="false">AH260/H260</f>
        <v>0</v>
      </c>
      <c r="AR260" s="1" t="n">
        <f aca="false">AI260/H260</f>
        <v>0</v>
      </c>
      <c r="AS260" s="1" t="n">
        <f aca="false">MAX(0,AL260+AN260+AO260+AM260-AP260)</f>
        <v>0</v>
      </c>
      <c r="AT260" s="1" t="n">
        <f aca="false">MAX(0,AQ260+AR260)</f>
        <v>0</v>
      </c>
      <c r="AU260" s="1" t="n">
        <f aca="false">MIN(PR_PAYE,PR_PAYEcap*(AL260+AN260+AM260))</f>
        <v>0</v>
      </c>
      <c r="AV260" s="1" t="n">
        <f aca="false">MIN(PR_PAYE,PR_PAYEcap*(AQ260+AR260))</f>
        <v>0</v>
      </c>
      <c r="AW260" s="1" t="n">
        <f aca="false">IF(C260&gt;=PR_AgeCrAge,PR_AgeCr,0)</f>
        <v>0</v>
      </c>
      <c r="AX260" s="1" t="n">
        <f aca="false">IF(AG260&gt;=PR_AgeCrAge,PR_AgeCr,0)</f>
        <v>0</v>
      </c>
      <c r="AY260" s="1" t="n">
        <f aca="false">IF(AND(F_RentCred=1,D260&lt;=PR_RentLast),1,0)</f>
        <v>0</v>
      </c>
      <c r="AZ260" s="1" t="n">
        <f aca="false">AS260+AT260</f>
        <v>0</v>
      </c>
      <c r="BA260" s="1" t="n">
        <f aca="false">PR_PersonalM+AU260+AV260+AW260+AX260+IF(AY260=1,PR_RentJoint,0)</f>
        <v>4000</v>
      </c>
      <c r="BB260" s="1" t="n">
        <f aca="false">PR_BandM+MIN(MIN(AS260,AT260),PR_Uplift)</f>
        <v>53000</v>
      </c>
      <c r="BC260" s="1" t="n">
        <f aca="false">MAX(0,PR_r1*MIN(AZ260,BB260)+PR_r2*MAX(0,AZ260-BB260)-BA260)</f>
        <v>0</v>
      </c>
      <c r="BD260" s="1" t="n">
        <f aca="false">MAX(0,PR_HomeCarer-MAX(0,MIN(AS260,AT260)-PR_HCLimit)/2)</f>
        <v>1950</v>
      </c>
      <c r="BE260" s="1" t="n">
        <f aca="false">IF(F_Carer=1,MIN(BC260,MAX(0,PR_r1*MIN(AZ260,PR_BandM)+PR_r2*MAX(0,AZ260-PR_BandM)-BA260-BD260)),BC260)</f>
        <v>0</v>
      </c>
      <c r="BF260" s="1" t="n">
        <f aca="false">IF(OR(C260&gt;=PR_AgeCrAge,AG260&gt;=PR_AgeCrAge),IF(AZ260&lt;=PR_AgeExM,0,MIN(BE260,PR_AgeMarg*(AZ260-PR_AgeExM))),BE260)</f>
        <v>0</v>
      </c>
      <c r="BG260" s="1" t="n">
        <f aca="false">MAX(0,PR_r1*MIN(AS260,IF(F_Spccc=1,PR_BandSPCCC,PR_Band))+PR_r2*MAX(0,AS260-IF(F_Spccc=1,PR_BandSPCCC,PR_Band))-(PR_Personal+AU260+AW260+IF(F_Spccc=1,PR_SPCCC,0)+IF(AY260=1,PR_Rent,0)))</f>
        <v>0</v>
      </c>
      <c r="BH260" s="1" t="n">
        <f aca="false">IF(C260&gt;=PR_AgeCrAge,IF(AS260&lt;=PR_AgeEx,0,MIN(BG260,PR_AgeMarg*(AS260-PR_AgeEx))),BG260)</f>
        <v>0</v>
      </c>
      <c r="BI260" s="1" t="n">
        <f aca="false">IF(F_Partner=1,MAX(0,PR_r1*MIN(AT260,PR_Band)+PR_r2*MAX(0,AT260-PR_Band)-(PR_Personal+AV260+AX260+IF(AND(AY260=1,AT260&gt;0),PR_Rent,0))),0)</f>
        <v>0</v>
      </c>
      <c r="BJ260" s="1" t="n">
        <f aca="false">IF(AG260&gt;=PR_AgeCrAge,IF(AT260&lt;=PR_AgeEx,0,MIN(BI260,PR_AgeMarg*(AT260-PR_AgeEx))),BI260)</f>
        <v>0</v>
      </c>
      <c r="BK260" s="1" t="n">
        <f aca="false">IF(F_Partner=1,IF(F_Married=1,BF260,BH260+BJ260),BH260)</f>
        <v>0</v>
      </c>
      <c r="BL260" s="1" t="n">
        <f aca="false">AL260+AN260+AO260</f>
        <v>0</v>
      </c>
      <c r="BM260" s="1" t="n">
        <f aca="false">IF(BL260&lt;=PR_USCex,0,IF(IF(AND(C260&gt;=PR_USCredAge,BL260&lt;=PR_USCredMax),1,0)=1,PR_USCr1*MIN(BL260,PR_USCredB1)+PR_USCredR2*MAX(0,BL260-PR_USCredB1),PR_USCr1*MIN(BL260,PR_USCb1)+PR_USCr2*MAX(0,MIN(BL260,PR_USCb2)-PR_USCb1)+PR_USCr3*MAX(0,MIN(BL260,PR_USCb3)-PR_USCb2)+PR_USCr4*MAX(0,BL260-PR_USCb3)))+IF(F_SelfEmp=1,PR_USCse*MAX(0,AL260-PR_USCseOver),0)</f>
        <v>0</v>
      </c>
      <c r="BN260" s="1" t="n">
        <f aca="false">AQ260</f>
        <v>0</v>
      </c>
      <c r="BO260" s="1" t="n">
        <f aca="false">IF(F_Partner=1,IF(BN260&lt;=PR_USCex,0,IF(IF(AND(AG260&gt;=PR_USCredAge,BN260&lt;=PR_USCredMax),1,0)=1,PR_USCr1*MIN(BN260,PR_USCredB1)+PR_USCredR2*MAX(0,BN260-PR_USCredB1),PR_USCr1*MIN(BN260,PR_USCb1)+PR_USCr2*MAX(0,MIN(BN260,PR_USCb2)-PR_USCb1)+PR_USCr3*MAX(0,MIN(BN260,PR_USCb3)-PR_USCb2)+PR_USCr4*MAX(0,BN260-PR_USCb3))),0)</f>
        <v>0</v>
      </c>
      <c r="BP260" s="1" t="n">
        <f aca="false">IF(C260&lt;PR_PRSIend,IF(F_SelfEmp=1,IF(AL260&gt;PR_PRSIsMinInc,MAX(PR_PRSIsMin,AL260*J260),0),IF(AL260/52&lt;=PR_PRSIfree,0,MAX(0,(AL260/52*J260-IF(AL260/52&lt;=PR_PRSIcreditTo,MAX(0,PR_PRSIcreditMax-(AL260/52-(PR_PRSIfree+0.01))/PR_PRSItaper),0))*52)))+J260*AN260+IF(AO260&gt;PR_PRSIunearned,J260*AO260,0),0)</f>
        <v>0</v>
      </c>
      <c r="BQ260" s="1" t="n">
        <f aca="false">IF(AND(F_Partner=1,AG260&lt;PR_PRSIend),IF(AQ260/52&lt;=PR_PRSIfree,0,MAX(0,(AQ260/52*J260-IF(AQ260/52&lt;=PR_PRSIcreditTo,MAX(0,PR_PRSIcreditMax-(AQ260/52-(PR_PRSIfree+0.01))/PR_PRSItaper),0))*52)),0)</f>
        <v>0</v>
      </c>
      <c r="BR260" s="1" t="n">
        <f aca="false">BK260+BM260+BO260+BP260+BQ260</f>
        <v>0</v>
      </c>
      <c r="BS260" s="1" t="n">
        <f aca="false">BR260*H260</f>
        <v>0</v>
      </c>
      <c r="BT260" s="1" t="n">
        <f aca="false">K260+AK260+AC260+AF260+AH260+AI260</f>
        <v>0</v>
      </c>
    </row>
    <row r="261" customFormat="false" ht="15" hidden="false" customHeight="true" outlineLevel="0" collapsed="false">
      <c r="B261" s="1" t="n">
        <v>27</v>
      </c>
      <c r="C261" s="1" t="n">
        <f aca="false">F_Age+B261</f>
        <v>27</v>
      </c>
      <c r="D261" s="1" t="n">
        <f aca="false">AS_Year0+B261</f>
        <v>2054</v>
      </c>
      <c r="E261" s="111" t="n">
        <f aca="false">(1+AS_Infl)^B261</f>
        <v>1.70688647664111</v>
      </c>
      <c r="F261" s="111" t="n">
        <f aca="false">(1+AS_Wage)^B261</f>
        <v>2.22128900557016</v>
      </c>
      <c r="G261" s="1" t="n">
        <f aca="false">IF(C261&lt;F_R,1,0)</f>
        <v>1</v>
      </c>
      <c r="H261" s="111" t="n">
        <f aca="false">IF(AS_Bands="flat",1,E261)</f>
        <v>1.70688647664111</v>
      </c>
      <c r="I261" s="111" t="n">
        <f aca="false">IF(AS_SpGrow="pay",F261,IF(AS_SpGrow="flat",1,E261))</f>
        <v>1.70688647664111</v>
      </c>
      <c r="J261" s="111" t="n">
        <f aca="false">(12*PR_PRSIr0+(PR_PRSIr1-PR_PRSIr0)*MAX(0,MIN(12,D261*12+12-PR_PRSIt1))+(PR_PRSIr2-PR_PRSIr1)*MAX(0,MIN(12,D261*12+12-PR_PRSIt2))+(PR_PRSIr3-PR_PRSIr2)*MAX(0,MIN(12,D261*12+12-PR_PRSIt3)))/12</f>
        <v>0.047</v>
      </c>
      <c r="K261" s="1" t="n">
        <f aca="false">IF(G261=1,F_Income*F261,0)</f>
        <v>0</v>
      </c>
      <c r="L261" s="1" t="n">
        <f aca="false">IF(G261=1,(F_Own+In_penExtra)*12*F261,0)</f>
        <v>0</v>
      </c>
      <c r="M261" s="1" t="n">
        <f aca="false">IF(G261=1,(F_PenM+In_penExtra)*12*F261,0)</f>
        <v>0</v>
      </c>
      <c r="N261" s="112" t="n">
        <f aca="false">IF(C261&lt;PR_RelA1,PR_RelP1,IF(C261&lt;PR_RelA2,PR_RelP2,IF(C261&lt;PR_RelA3,PR_RelP3,IF(C261&lt;PR_RelA4,PR_RelP4,IF(C261&lt;PR_RelA5,PR_RelP5,PR_RelP6)))))</f>
        <v>0.15</v>
      </c>
      <c r="O261" s="1" t="n">
        <f aca="false">IF(G261=1,MIN(L261/H261,N261*MIN(K261/H261,PR_EarnCap))*H261,0)</f>
        <v>0</v>
      </c>
      <c r="P261" s="1" t="n">
        <f aca="false">IF(AND(G261=1,F_AE=1),MIN(K261/H261,PR_AEcap)*H261,0)</f>
        <v>0</v>
      </c>
      <c r="Q261" s="1" t="n">
        <f aca="false">IF(G261=1,IF(WI_Retire=1,MAX(0,M261+WI_M*12),M261)+(PR_AEee+PR_AEer+PR_AEst)*P261,0)</f>
        <v>0</v>
      </c>
      <c r="R261" s="1" t="n">
        <f aca="false">L261+PR_AEee*P261</f>
        <v>0</v>
      </c>
      <c r="S261" s="1" t="n">
        <f aca="false">AD260</f>
        <v>0</v>
      </c>
      <c r="T261" s="1" t="n">
        <f aca="false">IF(D261&lt;=PR_SFTfrom,PR_SFT2026,IF(D261=PR_SFTfrom+1,PR_SFT2027,IF(D261=PR_SFTfrom+2,PR_SFT2028,IF(D261&lt;=PR_SFTto,PR_SFT2029,PR_SFT2029*(1+AS_Infl)^(D261-PR_SFTto)))))</f>
        <v>4593696.78450125</v>
      </c>
      <c r="U261" s="1" t="n">
        <f aca="false">IF(AND(G261=0,C261=F_V),1,0)</f>
        <v>0</v>
      </c>
      <c r="V261" s="1" t="n">
        <f aca="false">IF(U261=1,PR_SFTrate*MAX(0,S261-T261),0)</f>
        <v>0</v>
      </c>
      <c r="W261" s="1" t="n">
        <f aca="false">S261-V261</f>
        <v>0</v>
      </c>
      <c r="X261" s="1" t="n">
        <f aca="false">IF(AND(U261=1,AS_LumpPct&gt;0),W261*MIN(AS_LumpPct,PR_LSmax),0)</f>
        <v>0</v>
      </c>
      <c r="Y261" s="1" t="n">
        <f aca="false">X261-(PR_LSrate*MAX(0,MIN(X261,PR_LScap)-PR_LSfree)+PR_r2*MAX(0,X261-PR_LScap))</f>
        <v>0</v>
      </c>
      <c r="Z261" s="1" t="n">
        <f aca="false">W261-X261</f>
        <v>0</v>
      </c>
      <c r="AA261" s="112" t="n">
        <f aca="false">IF(C261&gt;=PR_ARFage1,IF(Z261&gt;PR_ARFbig,PR_ARFbigRate,IF(C261&gt;=PR_ARFage2,PR_ARF71,PR_ARF61)),0)</f>
        <v>0</v>
      </c>
      <c r="AB261" s="1" t="n">
        <f aca="false">IF(AS_DrawRule="min",Z261*AA261,IF(AS_DrawRule="fixed",MAX(AS_DrawFixed*E261,Z261*AA261),Z261*MAX(1/MAX(1,AS_End-C261+1),AA261)))</f>
        <v>0</v>
      </c>
      <c r="AC261" s="1" t="n">
        <f aca="false">IF(AND(G261=0,C261&gt;=F_V),MIN(Z261,AB261),0)</f>
        <v>0</v>
      </c>
      <c r="AD261" s="1" t="n">
        <f aca="false">IF(G261=1,S261*(1+F_PenG)+Q261,IF(C261&lt;F_V,S261*(1+F_PenG),(Z261-AC261)*(1+AS_PenRet)))</f>
        <v>0</v>
      </c>
      <c r="AE261" s="1" t="n">
        <f aca="false">IF(C261&gt;=PR_SPage,AS_SP*F_SpF*I261+IF(AND(C261&gt;=PR_Over80Age,F_SpF&gt;0),PR_Over80*PR_Weeks*I261,0),0)</f>
        <v>0</v>
      </c>
      <c r="AF261" s="1" t="n">
        <f aca="false">(F_OtherM+F_RentM)*12*E261</f>
        <v>0</v>
      </c>
      <c r="AG261" s="1" t="n">
        <f aca="false">F_PAge+B261</f>
        <v>27</v>
      </c>
      <c r="AH261" s="1" t="n">
        <f aca="false">IF(AND(F_Partner=1,F_PAge&gt;0,AG261&lt;IF(F_PRet&gt;0,F_PRet,PR_SPage)),F_PIncome*F261,0)</f>
        <v>0</v>
      </c>
      <c r="AI261" s="1" t="n">
        <f aca="false">IF(AND(F_Partner=1,AG261&gt;=PR_SPage,F_PSpQA=0),AS_SP*F_PSpF*I261,0)</f>
        <v>0</v>
      </c>
      <c r="AJ261" s="1" t="n">
        <f aca="false">IF(AND(F_Partner=1,F_PSpQA=1,C261&gt;=PR_SPage,AH261=0),IF(AG261&gt;=PR_SPage,PR_QA66,PR_QAunder)*PR_Weeks*I261,0)</f>
        <v>0</v>
      </c>
      <c r="AK261" s="1" t="n">
        <f aca="false">AE261+AJ261</f>
        <v>0</v>
      </c>
      <c r="AL261" s="1" t="n">
        <f aca="false">K261/H261</f>
        <v>0</v>
      </c>
      <c r="AM261" s="1" t="n">
        <f aca="false">AK261/H261</f>
        <v>0</v>
      </c>
      <c r="AN261" s="1" t="n">
        <f aca="false">AC261/H261</f>
        <v>0</v>
      </c>
      <c r="AO261" s="1" t="n">
        <f aca="false">AF261/H261</f>
        <v>0</v>
      </c>
      <c r="AP261" s="1" t="n">
        <f aca="false">O261/H261</f>
        <v>0</v>
      </c>
      <c r="AQ261" s="1" t="n">
        <f aca="false">AH261/H261</f>
        <v>0</v>
      </c>
      <c r="AR261" s="1" t="n">
        <f aca="false">AI261/H261</f>
        <v>0</v>
      </c>
      <c r="AS261" s="1" t="n">
        <f aca="false">MAX(0,AL261+AN261+AO261+AM261-AP261)</f>
        <v>0</v>
      </c>
      <c r="AT261" s="1" t="n">
        <f aca="false">MAX(0,AQ261+AR261)</f>
        <v>0</v>
      </c>
      <c r="AU261" s="1" t="n">
        <f aca="false">MIN(PR_PAYE,PR_PAYEcap*(AL261+AN261+AM261))</f>
        <v>0</v>
      </c>
      <c r="AV261" s="1" t="n">
        <f aca="false">MIN(PR_PAYE,PR_PAYEcap*(AQ261+AR261))</f>
        <v>0</v>
      </c>
      <c r="AW261" s="1" t="n">
        <f aca="false">IF(C261&gt;=PR_AgeCrAge,PR_AgeCr,0)</f>
        <v>0</v>
      </c>
      <c r="AX261" s="1" t="n">
        <f aca="false">IF(AG261&gt;=PR_AgeCrAge,PR_AgeCr,0)</f>
        <v>0</v>
      </c>
      <c r="AY261" s="1" t="n">
        <f aca="false">IF(AND(F_RentCred=1,D261&lt;=PR_RentLast),1,0)</f>
        <v>0</v>
      </c>
      <c r="AZ261" s="1" t="n">
        <f aca="false">AS261+AT261</f>
        <v>0</v>
      </c>
      <c r="BA261" s="1" t="n">
        <f aca="false">PR_PersonalM+AU261+AV261+AW261+AX261+IF(AY261=1,PR_RentJoint,0)</f>
        <v>4000</v>
      </c>
      <c r="BB261" s="1" t="n">
        <f aca="false">PR_BandM+MIN(MIN(AS261,AT261),PR_Uplift)</f>
        <v>53000</v>
      </c>
      <c r="BC261" s="1" t="n">
        <f aca="false">MAX(0,PR_r1*MIN(AZ261,BB261)+PR_r2*MAX(0,AZ261-BB261)-BA261)</f>
        <v>0</v>
      </c>
      <c r="BD261" s="1" t="n">
        <f aca="false">MAX(0,PR_HomeCarer-MAX(0,MIN(AS261,AT261)-PR_HCLimit)/2)</f>
        <v>1950</v>
      </c>
      <c r="BE261" s="1" t="n">
        <f aca="false">IF(F_Carer=1,MIN(BC261,MAX(0,PR_r1*MIN(AZ261,PR_BandM)+PR_r2*MAX(0,AZ261-PR_BandM)-BA261-BD261)),BC261)</f>
        <v>0</v>
      </c>
      <c r="BF261" s="1" t="n">
        <f aca="false">IF(OR(C261&gt;=PR_AgeCrAge,AG261&gt;=PR_AgeCrAge),IF(AZ261&lt;=PR_AgeExM,0,MIN(BE261,PR_AgeMarg*(AZ261-PR_AgeExM))),BE261)</f>
        <v>0</v>
      </c>
      <c r="BG261" s="1" t="n">
        <f aca="false">MAX(0,PR_r1*MIN(AS261,IF(F_Spccc=1,PR_BandSPCCC,PR_Band))+PR_r2*MAX(0,AS261-IF(F_Spccc=1,PR_BandSPCCC,PR_Band))-(PR_Personal+AU261+AW261+IF(F_Spccc=1,PR_SPCCC,0)+IF(AY261=1,PR_Rent,0)))</f>
        <v>0</v>
      </c>
      <c r="BH261" s="1" t="n">
        <f aca="false">IF(C261&gt;=PR_AgeCrAge,IF(AS261&lt;=PR_AgeEx,0,MIN(BG261,PR_AgeMarg*(AS261-PR_AgeEx))),BG261)</f>
        <v>0</v>
      </c>
      <c r="BI261" s="1" t="n">
        <f aca="false">IF(F_Partner=1,MAX(0,PR_r1*MIN(AT261,PR_Band)+PR_r2*MAX(0,AT261-PR_Band)-(PR_Personal+AV261+AX261+IF(AND(AY261=1,AT261&gt;0),PR_Rent,0))),0)</f>
        <v>0</v>
      </c>
      <c r="BJ261" s="1" t="n">
        <f aca="false">IF(AG261&gt;=PR_AgeCrAge,IF(AT261&lt;=PR_AgeEx,0,MIN(BI261,PR_AgeMarg*(AT261-PR_AgeEx))),BI261)</f>
        <v>0</v>
      </c>
      <c r="BK261" s="1" t="n">
        <f aca="false">IF(F_Partner=1,IF(F_Married=1,BF261,BH261+BJ261),BH261)</f>
        <v>0</v>
      </c>
      <c r="BL261" s="1" t="n">
        <f aca="false">AL261+AN261+AO261</f>
        <v>0</v>
      </c>
      <c r="BM261" s="1" t="n">
        <f aca="false">IF(BL261&lt;=PR_USCex,0,IF(IF(AND(C261&gt;=PR_USCredAge,BL261&lt;=PR_USCredMax),1,0)=1,PR_USCr1*MIN(BL261,PR_USCredB1)+PR_USCredR2*MAX(0,BL261-PR_USCredB1),PR_USCr1*MIN(BL261,PR_USCb1)+PR_USCr2*MAX(0,MIN(BL261,PR_USCb2)-PR_USCb1)+PR_USCr3*MAX(0,MIN(BL261,PR_USCb3)-PR_USCb2)+PR_USCr4*MAX(0,BL261-PR_USCb3)))+IF(F_SelfEmp=1,PR_USCse*MAX(0,AL261-PR_USCseOver),0)</f>
        <v>0</v>
      </c>
      <c r="BN261" s="1" t="n">
        <f aca="false">AQ261</f>
        <v>0</v>
      </c>
      <c r="BO261" s="1" t="n">
        <f aca="false">IF(F_Partner=1,IF(BN261&lt;=PR_USCex,0,IF(IF(AND(AG261&gt;=PR_USCredAge,BN261&lt;=PR_USCredMax),1,0)=1,PR_USCr1*MIN(BN261,PR_USCredB1)+PR_USCredR2*MAX(0,BN261-PR_USCredB1),PR_USCr1*MIN(BN261,PR_USCb1)+PR_USCr2*MAX(0,MIN(BN261,PR_USCb2)-PR_USCb1)+PR_USCr3*MAX(0,MIN(BN261,PR_USCb3)-PR_USCb2)+PR_USCr4*MAX(0,BN261-PR_USCb3))),0)</f>
        <v>0</v>
      </c>
      <c r="BP261" s="1" t="n">
        <f aca="false">IF(C261&lt;PR_PRSIend,IF(F_SelfEmp=1,IF(AL261&gt;PR_PRSIsMinInc,MAX(PR_PRSIsMin,AL261*J261),0),IF(AL261/52&lt;=PR_PRSIfree,0,MAX(0,(AL261/52*J261-IF(AL261/52&lt;=PR_PRSIcreditTo,MAX(0,PR_PRSIcreditMax-(AL261/52-(PR_PRSIfree+0.01))/PR_PRSItaper),0))*52)))+J261*AN261+IF(AO261&gt;PR_PRSIunearned,J261*AO261,0),0)</f>
        <v>0</v>
      </c>
      <c r="BQ261" s="1" t="n">
        <f aca="false">IF(AND(F_Partner=1,AG261&lt;PR_PRSIend),IF(AQ261/52&lt;=PR_PRSIfree,0,MAX(0,(AQ261/52*J261-IF(AQ261/52&lt;=PR_PRSIcreditTo,MAX(0,PR_PRSIcreditMax-(AQ261/52-(PR_PRSIfree+0.01))/PR_PRSItaper),0))*52)),0)</f>
        <v>0</v>
      </c>
      <c r="BR261" s="1" t="n">
        <f aca="false">BK261+BM261+BO261+BP261+BQ261</f>
        <v>0</v>
      </c>
      <c r="BS261" s="1" t="n">
        <f aca="false">BR261*H261</f>
        <v>0</v>
      </c>
      <c r="BT261" s="1" t="n">
        <f aca="false">K261+AK261+AC261+AF261+AH261+AI261</f>
        <v>0</v>
      </c>
    </row>
    <row r="262" customFormat="false" ht="15" hidden="false" customHeight="true" outlineLevel="0" collapsed="false">
      <c r="B262" s="1" t="n">
        <v>28</v>
      </c>
      <c r="C262" s="1" t="n">
        <f aca="false">F_Age+B262</f>
        <v>28</v>
      </c>
      <c r="D262" s="1" t="n">
        <f aca="false">AS_Year0+B262</f>
        <v>2055</v>
      </c>
      <c r="E262" s="111" t="n">
        <f aca="false">(1+AS_Infl)^B262</f>
        <v>1.74102420617393</v>
      </c>
      <c r="F262" s="111" t="n">
        <f aca="false">(1+AS_Wage)^B262</f>
        <v>2.28792767573726</v>
      </c>
      <c r="G262" s="1" t="n">
        <f aca="false">IF(C262&lt;F_R,1,0)</f>
        <v>1</v>
      </c>
      <c r="H262" s="111" t="n">
        <f aca="false">IF(AS_Bands="flat",1,E262)</f>
        <v>1.74102420617393</v>
      </c>
      <c r="I262" s="111" t="n">
        <f aca="false">IF(AS_SpGrow="pay",F262,IF(AS_SpGrow="flat",1,E262))</f>
        <v>1.74102420617393</v>
      </c>
      <c r="J262" s="111" t="n">
        <f aca="false">(12*PR_PRSIr0+(PR_PRSIr1-PR_PRSIr0)*MAX(0,MIN(12,D262*12+12-PR_PRSIt1))+(PR_PRSIr2-PR_PRSIr1)*MAX(0,MIN(12,D262*12+12-PR_PRSIt2))+(PR_PRSIr3-PR_PRSIr2)*MAX(0,MIN(12,D262*12+12-PR_PRSIt3)))/12</f>
        <v>0.047</v>
      </c>
      <c r="K262" s="1" t="n">
        <f aca="false">IF(G262=1,F_Income*F262,0)</f>
        <v>0</v>
      </c>
      <c r="L262" s="1" t="n">
        <f aca="false">IF(G262=1,(F_Own+In_penExtra)*12*F262,0)</f>
        <v>0</v>
      </c>
      <c r="M262" s="1" t="n">
        <f aca="false">IF(G262=1,(F_PenM+In_penExtra)*12*F262,0)</f>
        <v>0</v>
      </c>
      <c r="N262" s="112" t="n">
        <f aca="false">IF(C262&lt;PR_RelA1,PR_RelP1,IF(C262&lt;PR_RelA2,PR_RelP2,IF(C262&lt;PR_RelA3,PR_RelP3,IF(C262&lt;PR_RelA4,PR_RelP4,IF(C262&lt;PR_RelA5,PR_RelP5,PR_RelP6)))))</f>
        <v>0.15</v>
      </c>
      <c r="O262" s="1" t="n">
        <f aca="false">IF(G262=1,MIN(L262/H262,N262*MIN(K262/H262,PR_EarnCap))*H262,0)</f>
        <v>0</v>
      </c>
      <c r="P262" s="1" t="n">
        <f aca="false">IF(AND(G262=1,F_AE=1),MIN(K262/H262,PR_AEcap)*H262,0)</f>
        <v>0</v>
      </c>
      <c r="Q262" s="1" t="n">
        <f aca="false">IF(G262=1,IF(WI_Retire=1,MAX(0,M262+WI_M*12),M262)+(PR_AEee+PR_AEer+PR_AEst)*P262,0)</f>
        <v>0</v>
      </c>
      <c r="R262" s="1" t="n">
        <f aca="false">L262+PR_AEee*P262</f>
        <v>0</v>
      </c>
      <c r="S262" s="1" t="n">
        <f aca="false">AD261</f>
        <v>0</v>
      </c>
      <c r="T262" s="1" t="n">
        <f aca="false">IF(D262&lt;=PR_SFTfrom,PR_SFT2026,IF(D262=PR_SFTfrom+1,PR_SFT2027,IF(D262=PR_SFTfrom+2,PR_SFT2028,IF(D262&lt;=PR_SFTto,PR_SFT2029,PR_SFT2029*(1+AS_Infl)^(D262-PR_SFTto)))))</f>
        <v>4685570.72019127</v>
      </c>
      <c r="U262" s="1" t="n">
        <f aca="false">IF(AND(G262=0,C262=F_V),1,0)</f>
        <v>0</v>
      </c>
      <c r="V262" s="1" t="n">
        <f aca="false">IF(U262=1,PR_SFTrate*MAX(0,S262-T262),0)</f>
        <v>0</v>
      </c>
      <c r="W262" s="1" t="n">
        <f aca="false">S262-V262</f>
        <v>0</v>
      </c>
      <c r="X262" s="1" t="n">
        <f aca="false">IF(AND(U262=1,AS_LumpPct&gt;0),W262*MIN(AS_LumpPct,PR_LSmax),0)</f>
        <v>0</v>
      </c>
      <c r="Y262" s="1" t="n">
        <f aca="false">X262-(PR_LSrate*MAX(0,MIN(X262,PR_LScap)-PR_LSfree)+PR_r2*MAX(0,X262-PR_LScap))</f>
        <v>0</v>
      </c>
      <c r="Z262" s="1" t="n">
        <f aca="false">W262-X262</f>
        <v>0</v>
      </c>
      <c r="AA262" s="112" t="n">
        <f aca="false">IF(C262&gt;=PR_ARFage1,IF(Z262&gt;PR_ARFbig,PR_ARFbigRate,IF(C262&gt;=PR_ARFage2,PR_ARF71,PR_ARF61)),0)</f>
        <v>0</v>
      </c>
      <c r="AB262" s="1" t="n">
        <f aca="false">IF(AS_DrawRule="min",Z262*AA262,IF(AS_DrawRule="fixed",MAX(AS_DrawFixed*E262,Z262*AA262),Z262*MAX(1/MAX(1,AS_End-C262+1),AA262)))</f>
        <v>0</v>
      </c>
      <c r="AC262" s="1" t="n">
        <f aca="false">IF(AND(G262=0,C262&gt;=F_V),MIN(Z262,AB262),0)</f>
        <v>0</v>
      </c>
      <c r="AD262" s="1" t="n">
        <f aca="false">IF(G262=1,S262*(1+F_PenG)+Q262,IF(C262&lt;F_V,S262*(1+F_PenG),(Z262-AC262)*(1+AS_PenRet)))</f>
        <v>0</v>
      </c>
      <c r="AE262" s="1" t="n">
        <f aca="false">IF(C262&gt;=PR_SPage,AS_SP*F_SpF*I262+IF(AND(C262&gt;=PR_Over80Age,F_SpF&gt;0),PR_Over80*PR_Weeks*I262,0),0)</f>
        <v>0</v>
      </c>
      <c r="AF262" s="1" t="n">
        <f aca="false">(F_OtherM+F_RentM)*12*E262</f>
        <v>0</v>
      </c>
      <c r="AG262" s="1" t="n">
        <f aca="false">F_PAge+B262</f>
        <v>28</v>
      </c>
      <c r="AH262" s="1" t="n">
        <f aca="false">IF(AND(F_Partner=1,F_PAge&gt;0,AG262&lt;IF(F_PRet&gt;0,F_PRet,PR_SPage)),F_PIncome*F262,0)</f>
        <v>0</v>
      </c>
      <c r="AI262" s="1" t="n">
        <f aca="false">IF(AND(F_Partner=1,AG262&gt;=PR_SPage,F_PSpQA=0),AS_SP*F_PSpF*I262,0)</f>
        <v>0</v>
      </c>
      <c r="AJ262" s="1" t="n">
        <f aca="false">IF(AND(F_Partner=1,F_PSpQA=1,C262&gt;=PR_SPage,AH262=0),IF(AG262&gt;=PR_SPage,PR_QA66,PR_QAunder)*PR_Weeks*I262,0)</f>
        <v>0</v>
      </c>
      <c r="AK262" s="1" t="n">
        <f aca="false">AE262+AJ262</f>
        <v>0</v>
      </c>
      <c r="AL262" s="1" t="n">
        <f aca="false">K262/H262</f>
        <v>0</v>
      </c>
      <c r="AM262" s="1" t="n">
        <f aca="false">AK262/H262</f>
        <v>0</v>
      </c>
      <c r="AN262" s="1" t="n">
        <f aca="false">AC262/H262</f>
        <v>0</v>
      </c>
      <c r="AO262" s="1" t="n">
        <f aca="false">AF262/H262</f>
        <v>0</v>
      </c>
      <c r="AP262" s="1" t="n">
        <f aca="false">O262/H262</f>
        <v>0</v>
      </c>
      <c r="AQ262" s="1" t="n">
        <f aca="false">AH262/H262</f>
        <v>0</v>
      </c>
      <c r="AR262" s="1" t="n">
        <f aca="false">AI262/H262</f>
        <v>0</v>
      </c>
      <c r="AS262" s="1" t="n">
        <f aca="false">MAX(0,AL262+AN262+AO262+AM262-AP262)</f>
        <v>0</v>
      </c>
      <c r="AT262" s="1" t="n">
        <f aca="false">MAX(0,AQ262+AR262)</f>
        <v>0</v>
      </c>
      <c r="AU262" s="1" t="n">
        <f aca="false">MIN(PR_PAYE,PR_PAYEcap*(AL262+AN262+AM262))</f>
        <v>0</v>
      </c>
      <c r="AV262" s="1" t="n">
        <f aca="false">MIN(PR_PAYE,PR_PAYEcap*(AQ262+AR262))</f>
        <v>0</v>
      </c>
      <c r="AW262" s="1" t="n">
        <f aca="false">IF(C262&gt;=PR_AgeCrAge,PR_AgeCr,0)</f>
        <v>0</v>
      </c>
      <c r="AX262" s="1" t="n">
        <f aca="false">IF(AG262&gt;=PR_AgeCrAge,PR_AgeCr,0)</f>
        <v>0</v>
      </c>
      <c r="AY262" s="1" t="n">
        <f aca="false">IF(AND(F_RentCred=1,D262&lt;=PR_RentLast),1,0)</f>
        <v>0</v>
      </c>
      <c r="AZ262" s="1" t="n">
        <f aca="false">AS262+AT262</f>
        <v>0</v>
      </c>
      <c r="BA262" s="1" t="n">
        <f aca="false">PR_PersonalM+AU262+AV262+AW262+AX262+IF(AY262=1,PR_RentJoint,0)</f>
        <v>4000</v>
      </c>
      <c r="BB262" s="1" t="n">
        <f aca="false">PR_BandM+MIN(MIN(AS262,AT262),PR_Uplift)</f>
        <v>53000</v>
      </c>
      <c r="BC262" s="1" t="n">
        <f aca="false">MAX(0,PR_r1*MIN(AZ262,BB262)+PR_r2*MAX(0,AZ262-BB262)-BA262)</f>
        <v>0</v>
      </c>
      <c r="BD262" s="1" t="n">
        <f aca="false">MAX(0,PR_HomeCarer-MAX(0,MIN(AS262,AT262)-PR_HCLimit)/2)</f>
        <v>1950</v>
      </c>
      <c r="BE262" s="1" t="n">
        <f aca="false">IF(F_Carer=1,MIN(BC262,MAX(0,PR_r1*MIN(AZ262,PR_BandM)+PR_r2*MAX(0,AZ262-PR_BandM)-BA262-BD262)),BC262)</f>
        <v>0</v>
      </c>
      <c r="BF262" s="1" t="n">
        <f aca="false">IF(OR(C262&gt;=PR_AgeCrAge,AG262&gt;=PR_AgeCrAge),IF(AZ262&lt;=PR_AgeExM,0,MIN(BE262,PR_AgeMarg*(AZ262-PR_AgeExM))),BE262)</f>
        <v>0</v>
      </c>
      <c r="BG262" s="1" t="n">
        <f aca="false">MAX(0,PR_r1*MIN(AS262,IF(F_Spccc=1,PR_BandSPCCC,PR_Band))+PR_r2*MAX(0,AS262-IF(F_Spccc=1,PR_BandSPCCC,PR_Band))-(PR_Personal+AU262+AW262+IF(F_Spccc=1,PR_SPCCC,0)+IF(AY262=1,PR_Rent,0)))</f>
        <v>0</v>
      </c>
      <c r="BH262" s="1" t="n">
        <f aca="false">IF(C262&gt;=PR_AgeCrAge,IF(AS262&lt;=PR_AgeEx,0,MIN(BG262,PR_AgeMarg*(AS262-PR_AgeEx))),BG262)</f>
        <v>0</v>
      </c>
      <c r="BI262" s="1" t="n">
        <f aca="false">IF(F_Partner=1,MAX(0,PR_r1*MIN(AT262,PR_Band)+PR_r2*MAX(0,AT262-PR_Band)-(PR_Personal+AV262+AX262+IF(AND(AY262=1,AT262&gt;0),PR_Rent,0))),0)</f>
        <v>0</v>
      </c>
      <c r="BJ262" s="1" t="n">
        <f aca="false">IF(AG262&gt;=PR_AgeCrAge,IF(AT262&lt;=PR_AgeEx,0,MIN(BI262,PR_AgeMarg*(AT262-PR_AgeEx))),BI262)</f>
        <v>0</v>
      </c>
      <c r="BK262" s="1" t="n">
        <f aca="false">IF(F_Partner=1,IF(F_Married=1,BF262,BH262+BJ262),BH262)</f>
        <v>0</v>
      </c>
      <c r="BL262" s="1" t="n">
        <f aca="false">AL262+AN262+AO262</f>
        <v>0</v>
      </c>
      <c r="BM262" s="1" t="n">
        <f aca="false">IF(BL262&lt;=PR_USCex,0,IF(IF(AND(C262&gt;=PR_USCredAge,BL262&lt;=PR_USCredMax),1,0)=1,PR_USCr1*MIN(BL262,PR_USCredB1)+PR_USCredR2*MAX(0,BL262-PR_USCredB1),PR_USCr1*MIN(BL262,PR_USCb1)+PR_USCr2*MAX(0,MIN(BL262,PR_USCb2)-PR_USCb1)+PR_USCr3*MAX(0,MIN(BL262,PR_USCb3)-PR_USCb2)+PR_USCr4*MAX(0,BL262-PR_USCb3)))+IF(F_SelfEmp=1,PR_USCse*MAX(0,AL262-PR_USCseOver),0)</f>
        <v>0</v>
      </c>
      <c r="BN262" s="1" t="n">
        <f aca="false">AQ262</f>
        <v>0</v>
      </c>
      <c r="BO262" s="1" t="n">
        <f aca="false">IF(F_Partner=1,IF(BN262&lt;=PR_USCex,0,IF(IF(AND(AG262&gt;=PR_USCredAge,BN262&lt;=PR_USCredMax),1,0)=1,PR_USCr1*MIN(BN262,PR_USCredB1)+PR_USCredR2*MAX(0,BN262-PR_USCredB1),PR_USCr1*MIN(BN262,PR_USCb1)+PR_USCr2*MAX(0,MIN(BN262,PR_USCb2)-PR_USCb1)+PR_USCr3*MAX(0,MIN(BN262,PR_USCb3)-PR_USCb2)+PR_USCr4*MAX(0,BN262-PR_USCb3))),0)</f>
        <v>0</v>
      </c>
      <c r="BP262" s="1" t="n">
        <f aca="false">IF(C262&lt;PR_PRSIend,IF(F_SelfEmp=1,IF(AL262&gt;PR_PRSIsMinInc,MAX(PR_PRSIsMin,AL262*J262),0),IF(AL262/52&lt;=PR_PRSIfree,0,MAX(0,(AL262/52*J262-IF(AL262/52&lt;=PR_PRSIcreditTo,MAX(0,PR_PRSIcreditMax-(AL262/52-(PR_PRSIfree+0.01))/PR_PRSItaper),0))*52)))+J262*AN262+IF(AO262&gt;PR_PRSIunearned,J262*AO262,0),0)</f>
        <v>0</v>
      </c>
      <c r="BQ262" s="1" t="n">
        <f aca="false">IF(AND(F_Partner=1,AG262&lt;PR_PRSIend),IF(AQ262/52&lt;=PR_PRSIfree,0,MAX(0,(AQ262/52*J262-IF(AQ262/52&lt;=PR_PRSIcreditTo,MAX(0,PR_PRSIcreditMax-(AQ262/52-(PR_PRSIfree+0.01))/PR_PRSItaper),0))*52)),0)</f>
        <v>0</v>
      </c>
      <c r="BR262" s="1" t="n">
        <f aca="false">BK262+BM262+BO262+BP262+BQ262</f>
        <v>0</v>
      </c>
      <c r="BS262" s="1" t="n">
        <f aca="false">BR262*H262</f>
        <v>0</v>
      </c>
      <c r="BT262" s="1" t="n">
        <f aca="false">K262+AK262+AC262+AF262+AH262+AI262</f>
        <v>0</v>
      </c>
    </row>
    <row r="263" customFormat="false" ht="15" hidden="false" customHeight="true" outlineLevel="0" collapsed="false">
      <c r="B263" s="1" t="n">
        <v>29</v>
      </c>
      <c r="C263" s="1" t="n">
        <f aca="false">F_Age+B263</f>
        <v>29</v>
      </c>
      <c r="D263" s="1" t="n">
        <f aca="false">AS_Year0+B263</f>
        <v>2056</v>
      </c>
      <c r="E263" s="111" t="n">
        <f aca="false">(1+AS_Infl)^B263</f>
        <v>1.77584469029741</v>
      </c>
      <c r="F263" s="111" t="n">
        <f aca="false">(1+AS_Wage)^B263</f>
        <v>2.35656550600938</v>
      </c>
      <c r="G263" s="1" t="n">
        <f aca="false">IF(C263&lt;F_R,1,0)</f>
        <v>1</v>
      </c>
      <c r="H263" s="111" t="n">
        <f aca="false">IF(AS_Bands="flat",1,E263)</f>
        <v>1.77584469029741</v>
      </c>
      <c r="I263" s="111" t="n">
        <f aca="false">IF(AS_SpGrow="pay",F263,IF(AS_SpGrow="flat",1,E263))</f>
        <v>1.77584469029741</v>
      </c>
      <c r="J263" s="111" t="n">
        <f aca="false">(12*PR_PRSIr0+(PR_PRSIr1-PR_PRSIr0)*MAX(0,MIN(12,D263*12+12-PR_PRSIt1))+(PR_PRSIr2-PR_PRSIr1)*MAX(0,MIN(12,D263*12+12-PR_PRSIt2))+(PR_PRSIr3-PR_PRSIr2)*MAX(0,MIN(12,D263*12+12-PR_PRSIt3)))/12</f>
        <v>0.047</v>
      </c>
      <c r="K263" s="1" t="n">
        <f aca="false">IF(G263=1,F_Income*F263,0)</f>
        <v>0</v>
      </c>
      <c r="L263" s="1" t="n">
        <f aca="false">IF(G263=1,(F_Own+In_penExtra)*12*F263,0)</f>
        <v>0</v>
      </c>
      <c r="M263" s="1" t="n">
        <f aca="false">IF(G263=1,(F_PenM+In_penExtra)*12*F263,0)</f>
        <v>0</v>
      </c>
      <c r="N263" s="112" t="n">
        <f aca="false">IF(C263&lt;PR_RelA1,PR_RelP1,IF(C263&lt;PR_RelA2,PR_RelP2,IF(C263&lt;PR_RelA3,PR_RelP3,IF(C263&lt;PR_RelA4,PR_RelP4,IF(C263&lt;PR_RelA5,PR_RelP5,PR_RelP6)))))</f>
        <v>0.15</v>
      </c>
      <c r="O263" s="1" t="n">
        <f aca="false">IF(G263=1,MIN(L263/H263,N263*MIN(K263/H263,PR_EarnCap))*H263,0)</f>
        <v>0</v>
      </c>
      <c r="P263" s="1" t="n">
        <f aca="false">IF(AND(G263=1,F_AE=1),MIN(K263/H263,PR_AEcap)*H263,0)</f>
        <v>0</v>
      </c>
      <c r="Q263" s="1" t="n">
        <f aca="false">IF(G263=1,IF(WI_Retire=1,MAX(0,M263+WI_M*12),M263)+(PR_AEee+PR_AEer+PR_AEst)*P263,0)</f>
        <v>0</v>
      </c>
      <c r="R263" s="1" t="n">
        <f aca="false">L263+PR_AEee*P263</f>
        <v>0</v>
      </c>
      <c r="S263" s="1" t="n">
        <f aca="false">AD262</f>
        <v>0</v>
      </c>
      <c r="T263" s="1" t="n">
        <f aca="false">IF(D263&lt;=PR_SFTfrom,PR_SFT2026,IF(D263=PR_SFTfrom+1,PR_SFT2027,IF(D263=PR_SFTfrom+2,PR_SFT2028,IF(D263&lt;=PR_SFTto,PR_SFT2029,PR_SFT2029*(1+AS_Infl)^(D263-PR_SFTto)))))</f>
        <v>4779282.1345951</v>
      </c>
      <c r="U263" s="1" t="n">
        <f aca="false">IF(AND(G263=0,C263=F_V),1,0)</f>
        <v>0</v>
      </c>
      <c r="V263" s="1" t="n">
        <f aca="false">IF(U263=1,PR_SFTrate*MAX(0,S263-T263),0)</f>
        <v>0</v>
      </c>
      <c r="W263" s="1" t="n">
        <f aca="false">S263-V263</f>
        <v>0</v>
      </c>
      <c r="X263" s="1" t="n">
        <f aca="false">IF(AND(U263=1,AS_LumpPct&gt;0),W263*MIN(AS_LumpPct,PR_LSmax),0)</f>
        <v>0</v>
      </c>
      <c r="Y263" s="1" t="n">
        <f aca="false">X263-(PR_LSrate*MAX(0,MIN(X263,PR_LScap)-PR_LSfree)+PR_r2*MAX(0,X263-PR_LScap))</f>
        <v>0</v>
      </c>
      <c r="Z263" s="1" t="n">
        <f aca="false">W263-X263</f>
        <v>0</v>
      </c>
      <c r="AA263" s="112" t="n">
        <f aca="false">IF(C263&gt;=PR_ARFage1,IF(Z263&gt;PR_ARFbig,PR_ARFbigRate,IF(C263&gt;=PR_ARFage2,PR_ARF71,PR_ARF61)),0)</f>
        <v>0</v>
      </c>
      <c r="AB263" s="1" t="n">
        <f aca="false">IF(AS_DrawRule="min",Z263*AA263,IF(AS_DrawRule="fixed",MAX(AS_DrawFixed*E263,Z263*AA263),Z263*MAX(1/MAX(1,AS_End-C263+1),AA263)))</f>
        <v>0</v>
      </c>
      <c r="AC263" s="1" t="n">
        <f aca="false">IF(AND(G263=0,C263&gt;=F_V),MIN(Z263,AB263),0)</f>
        <v>0</v>
      </c>
      <c r="AD263" s="1" t="n">
        <f aca="false">IF(G263=1,S263*(1+F_PenG)+Q263,IF(C263&lt;F_V,S263*(1+F_PenG),(Z263-AC263)*(1+AS_PenRet)))</f>
        <v>0</v>
      </c>
      <c r="AE263" s="1" t="n">
        <f aca="false">IF(C263&gt;=PR_SPage,AS_SP*F_SpF*I263+IF(AND(C263&gt;=PR_Over80Age,F_SpF&gt;0),PR_Over80*PR_Weeks*I263,0),0)</f>
        <v>0</v>
      </c>
      <c r="AF263" s="1" t="n">
        <f aca="false">(F_OtherM+F_RentM)*12*E263</f>
        <v>0</v>
      </c>
      <c r="AG263" s="1" t="n">
        <f aca="false">F_PAge+B263</f>
        <v>29</v>
      </c>
      <c r="AH263" s="1" t="n">
        <f aca="false">IF(AND(F_Partner=1,F_PAge&gt;0,AG263&lt;IF(F_PRet&gt;0,F_PRet,PR_SPage)),F_PIncome*F263,0)</f>
        <v>0</v>
      </c>
      <c r="AI263" s="1" t="n">
        <f aca="false">IF(AND(F_Partner=1,AG263&gt;=PR_SPage,F_PSpQA=0),AS_SP*F_PSpF*I263,0)</f>
        <v>0</v>
      </c>
      <c r="AJ263" s="1" t="n">
        <f aca="false">IF(AND(F_Partner=1,F_PSpQA=1,C263&gt;=PR_SPage,AH263=0),IF(AG263&gt;=PR_SPage,PR_QA66,PR_QAunder)*PR_Weeks*I263,0)</f>
        <v>0</v>
      </c>
      <c r="AK263" s="1" t="n">
        <f aca="false">AE263+AJ263</f>
        <v>0</v>
      </c>
      <c r="AL263" s="1" t="n">
        <f aca="false">K263/H263</f>
        <v>0</v>
      </c>
      <c r="AM263" s="1" t="n">
        <f aca="false">AK263/H263</f>
        <v>0</v>
      </c>
      <c r="AN263" s="1" t="n">
        <f aca="false">AC263/H263</f>
        <v>0</v>
      </c>
      <c r="AO263" s="1" t="n">
        <f aca="false">AF263/H263</f>
        <v>0</v>
      </c>
      <c r="AP263" s="1" t="n">
        <f aca="false">O263/H263</f>
        <v>0</v>
      </c>
      <c r="AQ263" s="1" t="n">
        <f aca="false">AH263/H263</f>
        <v>0</v>
      </c>
      <c r="AR263" s="1" t="n">
        <f aca="false">AI263/H263</f>
        <v>0</v>
      </c>
      <c r="AS263" s="1" t="n">
        <f aca="false">MAX(0,AL263+AN263+AO263+AM263-AP263)</f>
        <v>0</v>
      </c>
      <c r="AT263" s="1" t="n">
        <f aca="false">MAX(0,AQ263+AR263)</f>
        <v>0</v>
      </c>
      <c r="AU263" s="1" t="n">
        <f aca="false">MIN(PR_PAYE,PR_PAYEcap*(AL263+AN263+AM263))</f>
        <v>0</v>
      </c>
      <c r="AV263" s="1" t="n">
        <f aca="false">MIN(PR_PAYE,PR_PAYEcap*(AQ263+AR263))</f>
        <v>0</v>
      </c>
      <c r="AW263" s="1" t="n">
        <f aca="false">IF(C263&gt;=PR_AgeCrAge,PR_AgeCr,0)</f>
        <v>0</v>
      </c>
      <c r="AX263" s="1" t="n">
        <f aca="false">IF(AG263&gt;=PR_AgeCrAge,PR_AgeCr,0)</f>
        <v>0</v>
      </c>
      <c r="AY263" s="1" t="n">
        <f aca="false">IF(AND(F_RentCred=1,D263&lt;=PR_RentLast),1,0)</f>
        <v>0</v>
      </c>
      <c r="AZ263" s="1" t="n">
        <f aca="false">AS263+AT263</f>
        <v>0</v>
      </c>
      <c r="BA263" s="1" t="n">
        <f aca="false">PR_PersonalM+AU263+AV263+AW263+AX263+IF(AY263=1,PR_RentJoint,0)</f>
        <v>4000</v>
      </c>
      <c r="BB263" s="1" t="n">
        <f aca="false">PR_BandM+MIN(MIN(AS263,AT263),PR_Uplift)</f>
        <v>53000</v>
      </c>
      <c r="BC263" s="1" t="n">
        <f aca="false">MAX(0,PR_r1*MIN(AZ263,BB263)+PR_r2*MAX(0,AZ263-BB263)-BA263)</f>
        <v>0</v>
      </c>
      <c r="BD263" s="1" t="n">
        <f aca="false">MAX(0,PR_HomeCarer-MAX(0,MIN(AS263,AT263)-PR_HCLimit)/2)</f>
        <v>1950</v>
      </c>
      <c r="BE263" s="1" t="n">
        <f aca="false">IF(F_Carer=1,MIN(BC263,MAX(0,PR_r1*MIN(AZ263,PR_BandM)+PR_r2*MAX(0,AZ263-PR_BandM)-BA263-BD263)),BC263)</f>
        <v>0</v>
      </c>
      <c r="BF263" s="1" t="n">
        <f aca="false">IF(OR(C263&gt;=PR_AgeCrAge,AG263&gt;=PR_AgeCrAge),IF(AZ263&lt;=PR_AgeExM,0,MIN(BE263,PR_AgeMarg*(AZ263-PR_AgeExM))),BE263)</f>
        <v>0</v>
      </c>
      <c r="BG263" s="1" t="n">
        <f aca="false">MAX(0,PR_r1*MIN(AS263,IF(F_Spccc=1,PR_BandSPCCC,PR_Band))+PR_r2*MAX(0,AS263-IF(F_Spccc=1,PR_BandSPCCC,PR_Band))-(PR_Personal+AU263+AW263+IF(F_Spccc=1,PR_SPCCC,0)+IF(AY263=1,PR_Rent,0)))</f>
        <v>0</v>
      </c>
      <c r="BH263" s="1" t="n">
        <f aca="false">IF(C263&gt;=PR_AgeCrAge,IF(AS263&lt;=PR_AgeEx,0,MIN(BG263,PR_AgeMarg*(AS263-PR_AgeEx))),BG263)</f>
        <v>0</v>
      </c>
      <c r="BI263" s="1" t="n">
        <f aca="false">IF(F_Partner=1,MAX(0,PR_r1*MIN(AT263,PR_Band)+PR_r2*MAX(0,AT263-PR_Band)-(PR_Personal+AV263+AX263+IF(AND(AY263=1,AT263&gt;0),PR_Rent,0))),0)</f>
        <v>0</v>
      </c>
      <c r="BJ263" s="1" t="n">
        <f aca="false">IF(AG263&gt;=PR_AgeCrAge,IF(AT263&lt;=PR_AgeEx,0,MIN(BI263,PR_AgeMarg*(AT263-PR_AgeEx))),BI263)</f>
        <v>0</v>
      </c>
      <c r="BK263" s="1" t="n">
        <f aca="false">IF(F_Partner=1,IF(F_Married=1,BF263,BH263+BJ263),BH263)</f>
        <v>0</v>
      </c>
      <c r="BL263" s="1" t="n">
        <f aca="false">AL263+AN263+AO263</f>
        <v>0</v>
      </c>
      <c r="BM263" s="1" t="n">
        <f aca="false">IF(BL263&lt;=PR_USCex,0,IF(IF(AND(C263&gt;=PR_USCredAge,BL263&lt;=PR_USCredMax),1,0)=1,PR_USCr1*MIN(BL263,PR_USCredB1)+PR_USCredR2*MAX(0,BL263-PR_USCredB1),PR_USCr1*MIN(BL263,PR_USCb1)+PR_USCr2*MAX(0,MIN(BL263,PR_USCb2)-PR_USCb1)+PR_USCr3*MAX(0,MIN(BL263,PR_USCb3)-PR_USCb2)+PR_USCr4*MAX(0,BL263-PR_USCb3)))+IF(F_SelfEmp=1,PR_USCse*MAX(0,AL263-PR_USCseOver),0)</f>
        <v>0</v>
      </c>
      <c r="BN263" s="1" t="n">
        <f aca="false">AQ263</f>
        <v>0</v>
      </c>
      <c r="BO263" s="1" t="n">
        <f aca="false">IF(F_Partner=1,IF(BN263&lt;=PR_USCex,0,IF(IF(AND(AG263&gt;=PR_USCredAge,BN263&lt;=PR_USCredMax),1,0)=1,PR_USCr1*MIN(BN263,PR_USCredB1)+PR_USCredR2*MAX(0,BN263-PR_USCredB1),PR_USCr1*MIN(BN263,PR_USCb1)+PR_USCr2*MAX(0,MIN(BN263,PR_USCb2)-PR_USCb1)+PR_USCr3*MAX(0,MIN(BN263,PR_USCb3)-PR_USCb2)+PR_USCr4*MAX(0,BN263-PR_USCb3))),0)</f>
        <v>0</v>
      </c>
      <c r="BP263" s="1" t="n">
        <f aca="false">IF(C263&lt;PR_PRSIend,IF(F_SelfEmp=1,IF(AL263&gt;PR_PRSIsMinInc,MAX(PR_PRSIsMin,AL263*J263),0),IF(AL263/52&lt;=PR_PRSIfree,0,MAX(0,(AL263/52*J263-IF(AL263/52&lt;=PR_PRSIcreditTo,MAX(0,PR_PRSIcreditMax-(AL263/52-(PR_PRSIfree+0.01))/PR_PRSItaper),0))*52)))+J263*AN263+IF(AO263&gt;PR_PRSIunearned,J263*AO263,0),0)</f>
        <v>0</v>
      </c>
      <c r="BQ263" s="1" t="n">
        <f aca="false">IF(AND(F_Partner=1,AG263&lt;PR_PRSIend),IF(AQ263/52&lt;=PR_PRSIfree,0,MAX(0,(AQ263/52*J263-IF(AQ263/52&lt;=PR_PRSIcreditTo,MAX(0,PR_PRSIcreditMax-(AQ263/52-(PR_PRSIfree+0.01))/PR_PRSItaper),0))*52)),0)</f>
        <v>0</v>
      </c>
      <c r="BR263" s="1" t="n">
        <f aca="false">BK263+BM263+BO263+BP263+BQ263</f>
        <v>0</v>
      </c>
      <c r="BS263" s="1" t="n">
        <f aca="false">BR263*H263</f>
        <v>0</v>
      </c>
      <c r="BT263" s="1" t="n">
        <f aca="false">K263+AK263+AC263+AF263+AH263+AI263</f>
        <v>0</v>
      </c>
    </row>
    <row r="264" customFormat="false" ht="15" hidden="false" customHeight="true" outlineLevel="0" collapsed="false">
      <c r="B264" s="1" t="n">
        <v>30</v>
      </c>
      <c r="C264" s="1" t="n">
        <f aca="false">F_Age+B264</f>
        <v>30</v>
      </c>
      <c r="D264" s="1" t="n">
        <f aca="false">AS_Year0+B264</f>
        <v>2057</v>
      </c>
      <c r="E264" s="111" t="n">
        <f aca="false">(1+AS_Infl)^B264</f>
        <v>1.81136158410335</v>
      </c>
      <c r="F264" s="111" t="n">
        <f aca="false">(1+AS_Wage)^B264</f>
        <v>2.42726247118966</v>
      </c>
      <c r="G264" s="1" t="n">
        <f aca="false">IF(C264&lt;F_R,1,0)</f>
        <v>1</v>
      </c>
      <c r="H264" s="111" t="n">
        <f aca="false">IF(AS_Bands="flat",1,E264)</f>
        <v>1.81136158410335</v>
      </c>
      <c r="I264" s="111" t="n">
        <f aca="false">IF(AS_SpGrow="pay",F264,IF(AS_SpGrow="flat",1,E264))</f>
        <v>1.81136158410335</v>
      </c>
      <c r="J264" s="111" t="n">
        <f aca="false">(12*PR_PRSIr0+(PR_PRSIr1-PR_PRSIr0)*MAX(0,MIN(12,D264*12+12-PR_PRSIt1))+(PR_PRSIr2-PR_PRSIr1)*MAX(0,MIN(12,D264*12+12-PR_PRSIt2))+(PR_PRSIr3-PR_PRSIr2)*MAX(0,MIN(12,D264*12+12-PR_PRSIt3)))/12</f>
        <v>0.047</v>
      </c>
      <c r="K264" s="1" t="n">
        <f aca="false">IF(G264=1,F_Income*F264,0)</f>
        <v>0</v>
      </c>
      <c r="L264" s="1" t="n">
        <f aca="false">IF(G264=1,(F_Own+In_penExtra)*12*F264,0)</f>
        <v>0</v>
      </c>
      <c r="M264" s="1" t="n">
        <f aca="false">IF(G264=1,(F_PenM+In_penExtra)*12*F264,0)</f>
        <v>0</v>
      </c>
      <c r="N264" s="112" t="n">
        <f aca="false">IF(C264&lt;PR_RelA1,PR_RelP1,IF(C264&lt;PR_RelA2,PR_RelP2,IF(C264&lt;PR_RelA3,PR_RelP3,IF(C264&lt;PR_RelA4,PR_RelP4,IF(C264&lt;PR_RelA5,PR_RelP5,PR_RelP6)))))</f>
        <v>0.2</v>
      </c>
      <c r="O264" s="1" t="n">
        <f aca="false">IF(G264=1,MIN(L264/H264,N264*MIN(K264/H264,PR_EarnCap))*H264,0)</f>
        <v>0</v>
      </c>
      <c r="P264" s="1" t="n">
        <f aca="false">IF(AND(G264=1,F_AE=1),MIN(K264/H264,PR_AEcap)*H264,0)</f>
        <v>0</v>
      </c>
      <c r="Q264" s="1" t="n">
        <f aca="false">IF(G264=1,IF(WI_Retire=1,MAX(0,M264+WI_M*12),M264)+(PR_AEee+PR_AEer+PR_AEst)*P264,0)</f>
        <v>0</v>
      </c>
      <c r="R264" s="1" t="n">
        <f aca="false">L264+PR_AEee*P264</f>
        <v>0</v>
      </c>
      <c r="S264" s="1" t="n">
        <f aca="false">AD263</f>
        <v>0</v>
      </c>
      <c r="T264" s="1" t="n">
        <f aca="false">IF(D264&lt;=PR_SFTfrom,PR_SFT2026,IF(D264=PR_SFTfrom+1,PR_SFT2027,IF(D264=PR_SFTfrom+2,PR_SFT2028,IF(D264&lt;=PR_SFTto,PR_SFT2029,PR_SFT2029*(1+AS_Infl)^(D264-PR_SFTto)))))</f>
        <v>4874867.777287</v>
      </c>
      <c r="U264" s="1" t="n">
        <f aca="false">IF(AND(G264=0,C264=F_V),1,0)</f>
        <v>0</v>
      </c>
      <c r="V264" s="1" t="n">
        <f aca="false">IF(U264=1,PR_SFTrate*MAX(0,S264-T264),0)</f>
        <v>0</v>
      </c>
      <c r="W264" s="1" t="n">
        <f aca="false">S264-V264</f>
        <v>0</v>
      </c>
      <c r="X264" s="1" t="n">
        <f aca="false">IF(AND(U264=1,AS_LumpPct&gt;0),W264*MIN(AS_LumpPct,PR_LSmax),0)</f>
        <v>0</v>
      </c>
      <c r="Y264" s="1" t="n">
        <f aca="false">X264-(PR_LSrate*MAX(0,MIN(X264,PR_LScap)-PR_LSfree)+PR_r2*MAX(0,X264-PR_LScap))</f>
        <v>0</v>
      </c>
      <c r="Z264" s="1" t="n">
        <f aca="false">W264-X264</f>
        <v>0</v>
      </c>
      <c r="AA264" s="112" t="n">
        <f aca="false">IF(C264&gt;=PR_ARFage1,IF(Z264&gt;PR_ARFbig,PR_ARFbigRate,IF(C264&gt;=PR_ARFage2,PR_ARF71,PR_ARF61)),0)</f>
        <v>0</v>
      </c>
      <c r="AB264" s="1" t="n">
        <f aca="false">IF(AS_DrawRule="min",Z264*AA264,IF(AS_DrawRule="fixed",MAX(AS_DrawFixed*E264,Z264*AA264),Z264*MAX(1/MAX(1,AS_End-C264+1),AA264)))</f>
        <v>0</v>
      </c>
      <c r="AC264" s="1" t="n">
        <f aca="false">IF(AND(G264=0,C264&gt;=F_V),MIN(Z264,AB264),0)</f>
        <v>0</v>
      </c>
      <c r="AD264" s="1" t="n">
        <f aca="false">IF(G264=1,S264*(1+F_PenG)+Q264,IF(C264&lt;F_V,S264*(1+F_PenG),(Z264-AC264)*(1+AS_PenRet)))</f>
        <v>0</v>
      </c>
      <c r="AE264" s="1" t="n">
        <f aca="false">IF(C264&gt;=PR_SPage,AS_SP*F_SpF*I264+IF(AND(C264&gt;=PR_Over80Age,F_SpF&gt;0),PR_Over80*PR_Weeks*I264,0),0)</f>
        <v>0</v>
      </c>
      <c r="AF264" s="1" t="n">
        <f aca="false">(F_OtherM+F_RentM)*12*E264</f>
        <v>0</v>
      </c>
      <c r="AG264" s="1" t="n">
        <f aca="false">F_PAge+B264</f>
        <v>30</v>
      </c>
      <c r="AH264" s="1" t="n">
        <f aca="false">IF(AND(F_Partner=1,F_PAge&gt;0,AG264&lt;IF(F_PRet&gt;0,F_PRet,PR_SPage)),F_PIncome*F264,0)</f>
        <v>0</v>
      </c>
      <c r="AI264" s="1" t="n">
        <f aca="false">IF(AND(F_Partner=1,AG264&gt;=PR_SPage,F_PSpQA=0),AS_SP*F_PSpF*I264,0)</f>
        <v>0</v>
      </c>
      <c r="AJ264" s="1" t="n">
        <f aca="false">IF(AND(F_Partner=1,F_PSpQA=1,C264&gt;=PR_SPage,AH264=0),IF(AG264&gt;=PR_SPage,PR_QA66,PR_QAunder)*PR_Weeks*I264,0)</f>
        <v>0</v>
      </c>
      <c r="AK264" s="1" t="n">
        <f aca="false">AE264+AJ264</f>
        <v>0</v>
      </c>
      <c r="AL264" s="1" t="n">
        <f aca="false">K264/H264</f>
        <v>0</v>
      </c>
      <c r="AM264" s="1" t="n">
        <f aca="false">AK264/H264</f>
        <v>0</v>
      </c>
      <c r="AN264" s="1" t="n">
        <f aca="false">AC264/H264</f>
        <v>0</v>
      </c>
      <c r="AO264" s="1" t="n">
        <f aca="false">AF264/H264</f>
        <v>0</v>
      </c>
      <c r="AP264" s="1" t="n">
        <f aca="false">O264/H264</f>
        <v>0</v>
      </c>
      <c r="AQ264" s="1" t="n">
        <f aca="false">AH264/H264</f>
        <v>0</v>
      </c>
      <c r="AR264" s="1" t="n">
        <f aca="false">AI264/H264</f>
        <v>0</v>
      </c>
      <c r="AS264" s="1" t="n">
        <f aca="false">MAX(0,AL264+AN264+AO264+AM264-AP264)</f>
        <v>0</v>
      </c>
      <c r="AT264" s="1" t="n">
        <f aca="false">MAX(0,AQ264+AR264)</f>
        <v>0</v>
      </c>
      <c r="AU264" s="1" t="n">
        <f aca="false">MIN(PR_PAYE,PR_PAYEcap*(AL264+AN264+AM264))</f>
        <v>0</v>
      </c>
      <c r="AV264" s="1" t="n">
        <f aca="false">MIN(PR_PAYE,PR_PAYEcap*(AQ264+AR264))</f>
        <v>0</v>
      </c>
      <c r="AW264" s="1" t="n">
        <f aca="false">IF(C264&gt;=PR_AgeCrAge,PR_AgeCr,0)</f>
        <v>0</v>
      </c>
      <c r="AX264" s="1" t="n">
        <f aca="false">IF(AG264&gt;=PR_AgeCrAge,PR_AgeCr,0)</f>
        <v>0</v>
      </c>
      <c r="AY264" s="1" t="n">
        <f aca="false">IF(AND(F_RentCred=1,D264&lt;=PR_RentLast),1,0)</f>
        <v>0</v>
      </c>
      <c r="AZ264" s="1" t="n">
        <f aca="false">AS264+AT264</f>
        <v>0</v>
      </c>
      <c r="BA264" s="1" t="n">
        <f aca="false">PR_PersonalM+AU264+AV264+AW264+AX264+IF(AY264=1,PR_RentJoint,0)</f>
        <v>4000</v>
      </c>
      <c r="BB264" s="1" t="n">
        <f aca="false">PR_BandM+MIN(MIN(AS264,AT264),PR_Uplift)</f>
        <v>53000</v>
      </c>
      <c r="BC264" s="1" t="n">
        <f aca="false">MAX(0,PR_r1*MIN(AZ264,BB264)+PR_r2*MAX(0,AZ264-BB264)-BA264)</f>
        <v>0</v>
      </c>
      <c r="BD264" s="1" t="n">
        <f aca="false">MAX(0,PR_HomeCarer-MAX(0,MIN(AS264,AT264)-PR_HCLimit)/2)</f>
        <v>1950</v>
      </c>
      <c r="BE264" s="1" t="n">
        <f aca="false">IF(F_Carer=1,MIN(BC264,MAX(0,PR_r1*MIN(AZ264,PR_BandM)+PR_r2*MAX(0,AZ264-PR_BandM)-BA264-BD264)),BC264)</f>
        <v>0</v>
      </c>
      <c r="BF264" s="1" t="n">
        <f aca="false">IF(OR(C264&gt;=PR_AgeCrAge,AG264&gt;=PR_AgeCrAge),IF(AZ264&lt;=PR_AgeExM,0,MIN(BE264,PR_AgeMarg*(AZ264-PR_AgeExM))),BE264)</f>
        <v>0</v>
      </c>
      <c r="BG264" s="1" t="n">
        <f aca="false">MAX(0,PR_r1*MIN(AS264,IF(F_Spccc=1,PR_BandSPCCC,PR_Band))+PR_r2*MAX(0,AS264-IF(F_Spccc=1,PR_BandSPCCC,PR_Band))-(PR_Personal+AU264+AW264+IF(F_Spccc=1,PR_SPCCC,0)+IF(AY264=1,PR_Rent,0)))</f>
        <v>0</v>
      </c>
      <c r="BH264" s="1" t="n">
        <f aca="false">IF(C264&gt;=PR_AgeCrAge,IF(AS264&lt;=PR_AgeEx,0,MIN(BG264,PR_AgeMarg*(AS264-PR_AgeEx))),BG264)</f>
        <v>0</v>
      </c>
      <c r="BI264" s="1" t="n">
        <f aca="false">IF(F_Partner=1,MAX(0,PR_r1*MIN(AT264,PR_Band)+PR_r2*MAX(0,AT264-PR_Band)-(PR_Personal+AV264+AX264+IF(AND(AY264=1,AT264&gt;0),PR_Rent,0))),0)</f>
        <v>0</v>
      </c>
      <c r="BJ264" s="1" t="n">
        <f aca="false">IF(AG264&gt;=PR_AgeCrAge,IF(AT264&lt;=PR_AgeEx,0,MIN(BI264,PR_AgeMarg*(AT264-PR_AgeEx))),BI264)</f>
        <v>0</v>
      </c>
      <c r="BK264" s="1" t="n">
        <f aca="false">IF(F_Partner=1,IF(F_Married=1,BF264,BH264+BJ264),BH264)</f>
        <v>0</v>
      </c>
      <c r="BL264" s="1" t="n">
        <f aca="false">AL264+AN264+AO264</f>
        <v>0</v>
      </c>
      <c r="BM264" s="1" t="n">
        <f aca="false">IF(BL264&lt;=PR_USCex,0,IF(IF(AND(C264&gt;=PR_USCredAge,BL264&lt;=PR_USCredMax),1,0)=1,PR_USCr1*MIN(BL264,PR_USCredB1)+PR_USCredR2*MAX(0,BL264-PR_USCredB1),PR_USCr1*MIN(BL264,PR_USCb1)+PR_USCr2*MAX(0,MIN(BL264,PR_USCb2)-PR_USCb1)+PR_USCr3*MAX(0,MIN(BL264,PR_USCb3)-PR_USCb2)+PR_USCr4*MAX(0,BL264-PR_USCb3)))+IF(F_SelfEmp=1,PR_USCse*MAX(0,AL264-PR_USCseOver),0)</f>
        <v>0</v>
      </c>
      <c r="BN264" s="1" t="n">
        <f aca="false">AQ264</f>
        <v>0</v>
      </c>
      <c r="BO264" s="1" t="n">
        <f aca="false">IF(F_Partner=1,IF(BN264&lt;=PR_USCex,0,IF(IF(AND(AG264&gt;=PR_USCredAge,BN264&lt;=PR_USCredMax),1,0)=1,PR_USCr1*MIN(BN264,PR_USCredB1)+PR_USCredR2*MAX(0,BN264-PR_USCredB1),PR_USCr1*MIN(BN264,PR_USCb1)+PR_USCr2*MAX(0,MIN(BN264,PR_USCb2)-PR_USCb1)+PR_USCr3*MAX(0,MIN(BN264,PR_USCb3)-PR_USCb2)+PR_USCr4*MAX(0,BN264-PR_USCb3))),0)</f>
        <v>0</v>
      </c>
      <c r="BP264" s="1" t="n">
        <f aca="false">IF(C264&lt;PR_PRSIend,IF(F_SelfEmp=1,IF(AL264&gt;PR_PRSIsMinInc,MAX(PR_PRSIsMin,AL264*J264),0),IF(AL264/52&lt;=PR_PRSIfree,0,MAX(0,(AL264/52*J264-IF(AL264/52&lt;=PR_PRSIcreditTo,MAX(0,PR_PRSIcreditMax-(AL264/52-(PR_PRSIfree+0.01))/PR_PRSItaper),0))*52)))+J264*AN264+IF(AO264&gt;PR_PRSIunearned,J264*AO264,0),0)</f>
        <v>0</v>
      </c>
      <c r="BQ264" s="1" t="n">
        <f aca="false">IF(AND(F_Partner=1,AG264&lt;PR_PRSIend),IF(AQ264/52&lt;=PR_PRSIfree,0,MAX(0,(AQ264/52*J264-IF(AQ264/52&lt;=PR_PRSIcreditTo,MAX(0,PR_PRSIcreditMax-(AQ264/52-(PR_PRSIfree+0.01))/PR_PRSItaper),0))*52)),0)</f>
        <v>0</v>
      </c>
      <c r="BR264" s="1" t="n">
        <f aca="false">BK264+BM264+BO264+BP264+BQ264</f>
        <v>0</v>
      </c>
      <c r="BS264" s="1" t="n">
        <f aca="false">BR264*H264</f>
        <v>0</v>
      </c>
      <c r="BT264" s="1" t="n">
        <f aca="false">K264+AK264+AC264+AF264+AH264+AI264</f>
        <v>0</v>
      </c>
    </row>
    <row r="265" customFormat="false" ht="15" hidden="false" customHeight="true" outlineLevel="0" collapsed="false">
      <c r="B265" s="1" t="n">
        <v>31</v>
      </c>
      <c r="C265" s="1" t="n">
        <f aca="false">F_Age+B265</f>
        <v>31</v>
      </c>
      <c r="D265" s="1" t="n">
        <f aca="false">AS_Year0+B265</f>
        <v>2058</v>
      </c>
      <c r="E265" s="111" t="n">
        <f aca="false">(1+AS_Infl)^B265</f>
        <v>1.84758881578542</v>
      </c>
      <c r="F265" s="111" t="n">
        <f aca="false">(1+AS_Wage)^B265</f>
        <v>2.50008034532535</v>
      </c>
      <c r="G265" s="1" t="n">
        <f aca="false">IF(C265&lt;F_R,1,0)</f>
        <v>1</v>
      </c>
      <c r="H265" s="111" t="n">
        <f aca="false">IF(AS_Bands="flat",1,E265)</f>
        <v>1.84758881578542</v>
      </c>
      <c r="I265" s="111" t="n">
        <f aca="false">IF(AS_SpGrow="pay",F265,IF(AS_SpGrow="flat",1,E265))</f>
        <v>1.84758881578542</v>
      </c>
      <c r="J265" s="111" t="n">
        <f aca="false">(12*PR_PRSIr0+(PR_PRSIr1-PR_PRSIr0)*MAX(0,MIN(12,D265*12+12-PR_PRSIt1))+(PR_PRSIr2-PR_PRSIr1)*MAX(0,MIN(12,D265*12+12-PR_PRSIt2))+(PR_PRSIr3-PR_PRSIr2)*MAX(0,MIN(12,D265*12+12-PR_PRSIt3)))/12</f>
        <v>0.047</v>
      </c>
      <c r="K265" s="1" t="n">
        <f aca="false">IF(G265=1,F_Income*F265,0)</f>
        <v>0</v>
      </c>
      <c r="L265" s="1" t="n">
        <f aca="false">IF(G265=1,(F_Own+In_penExtra)*12*F265,0)</f>
        <v>0</v>
      </c>
      <c r="M265" s="1" t="n">
        <f aca="false">IF(G265=1,(F_PenM+In_penExtra)*12*F265,0)</f>
        <v>0</v>
      </c>
      <c r="N265" s="112" t="n">
        <f aca="false">IF(C265&lt;PR_RelA1,PR_RelP1,IF(C265&lt;PR_RelA2,PR_RelP2,IF(C265&lt;PR_RelA3,PR_RelP3,IF(C265&lt;PR_RelA4,PR_RelP4,IF(C265&lt;PR_RelA5,PR_RelP5,PR_RelP6)))))</f>
        <v>0.2</v>
      </c>
      <c r="O265" s="1" t="n">
        <f aca="false">IF(G265=1,MIN(L265/H265,N265*MIN(K265/H265,PR_EarnCap))*H265,0)</f>
        <v>0</v>
      </c>
      <c r="P265" s="1" t="n">
        <f aca="false">IF(AND(G265=1,F_AE=1),MIN(K265/H265,PR_AEcap)*H265,0)</f>
        <v>0</v>
      </c>
      <c r="Q265" s="1" t="n">
        <f aca="false">IF(G265=1,IF(WI_Retire=1,MAX(0,M265+WI_M*12),M265)+(PR_AEee+PR_AEer+PR_AEst)*P265,0)</f>
        <v>0</v>
      </c>
      <c r="R265" s="1" t="n">
        <f aca="false">L265+PR_AEee*P265</f>
        <v>0</v>
      </c>
      <c r="S265" s="1" t="n">
        <f aca="false">AD264</f>
        <v>0</v>
      </c>
      <c r="T265" s="1" t="n">
        <f aca="false">IF(D265&lt;=PR_SFTfrom,PR_SFT2026,IF(D265=PR_SFTfrom+1,PR_SFT2027,IF(D265=PR_SFTfrom+2,PR_SFT2028,IF(D265&lt;=PR_SFTto,PR_SFT2029,PR_SFT2029*(1+AS_Infl)^(D265-PR_SFTto)))))</f>
        <v>4972365.13283274</v>
      </c>
      <c r="U265" s="1" t="n">
        <f aca="false">IF(AND(G265=0,C265=F_V),1,0)</f>
        <v>0</v>
      </c>
      <c r="V265" s="1" t="n">
        <f aca="false">IF(U265=1,PR_SFTrate*MAX(0,S265-T265),0)</f>
        <v>0</v>
      </c>
      <c r="W265" s="1" t="n">
        <f aca="false">S265-V265</f>
        <v>0</v>
      </c>
      <c r="X265" s="1" t="n">
        <f aca="false">IF(AND(U265=1,AS_LumpPct&gt;0),W265*MIN(AS_LumpPct,PR_LSmax),0)</f>
        <v>0</v>
      </c>
      <c r="Y265" s="1" t="n">
        <f aca="false">X265-(PR_LSrate*MAX(0,MIN(X265,PR_LScap)-PR_LSfree)+PR_r2*MAX(0,X265-PR_LScap))</f>
        <v>0</v>
      </c>
      <c r="Z265" s="1" t="n">
        <f aca="false">W265-X265</f>
        <v>0</v>
      </c>
      <c r="AA265" s="112" t="n">
        <f aca="false">IF(C265&gt;=PR_ARFage1,IF(Z265&gt;PR_ARFbig,PR_ARFbigRate,IF(C265&gt;=PR_ARFage2,PR_ARF71,PR_ARF61)),0)</f>
        <v>0</v>
      </c>
      <c r="AB265" s="1" t="n">
        <f aca="false">IF(AS_DrawRule="min",Z265*AA265,IF(AS_DrawRule="fixed",MAX(AS_DrawFixed*E265,Z265*AA265),Z265*MAX(1/MAX(1,AS_End-C265+1),AA265)))</f>
        <v>0</v>
      </c>
      <c r="AC265" s="1" t="n">
        <f aca="false">IF(AND(G265=0,C265&gt;=F_V),MIN(Z265,AB265),0)</f>
        <v>0</v>
      </c>
      <c r="AD265" s="1" t="n">
        <f aca="false">IF(G265=1,S265*(1+F_PenG)+Q265,IF(C265&lt;F_V,S265*(1+F_PenG),(Z265-AC265)*(1+AS_PenRet)))</f>
        <v>0</v>
      </c>
      <c r="AE265" s="1" t="n">
        <f aca="false">IF(C265&gt;=PR_SPage,AS_SP*F_SpF*I265+IF(AND(C265&gt;=PR_Over80Age,F_SpF&gt;0),PR_Over80*PR_Weeks*I265,0),0)</f>
        <v>0</v>
      </c>
      <c r="AF265" s="1" t="n">
        <f aca="false">(F_OtherM+F_RentM)*12*E265</f>
        <v>0</v>
      </c>
      <c r="AG265" s="1" t="n">
        <f aca="false">F_PAge+B265</f>
        <v>31</v>
      </c>
      <c r="AH265" s="1" t="n">
        <f aca="false">IF(AND(F_Partner=1,F_PAge&gt;0,AG265&lt;IF(F_PRet&gt;0,F_PRet,PR_SPage)),F_PIncome*F265,0)</f>
        <v>0</v>
      </c>
      <c r="AI265" s="1" t="n">
        <f aca="false">IF(AND(F_Partner=1,AG265&gt;=PR_SPage,F_PSpQA=0),AS_SP*F_PSpF*I265,0)</f>
        <v>0</v>
      </c>
      <c r="AJ265" s="1" t="n">
        <f aca="false">IF(AND(F_Partner=1,F_PSpQA=1,C265&gt;=PR_SPage,AH265=0),IF(AG265&gt;=PR_SPage,PR_QA66,PR_QAunder)*PR_Weeks*I265,0)</f>
        <v>0</v>
      </c>
      <c r="AK265" s="1" t="n">
        <f aca="false">AE265+AJ265</f>
        <v>0</v>
      </c>
      <c r="AL265" s="1" t="n">
        <f aca="false">K265/H265</f>
        <v>0</v>
      </c>
      <c r="AM265" s="1" t="n">
        <f aca="false">AK265/H265</f>
        <v>0</v>
      </c>
      <c r="AN265" s="1" t="n">
        <f aca="false">AC265/H265</f>
        <v>0</v>
      </c>
      <c r="AO265" s="1" t="n">
        <f aca="false">AF265/H265</f>
        <v>0</v>
      </c>
      <c r="AP265" s="1" t="n">
        <f aca="false">O265/H265</f>
        <v>0</v>
      </c>
      <c r="AQ265" s="1" t="n">
        <f aca="false">AH265/H265</f>
        <v>0</v>
      </c>
      <c r="AR265" s="1" t="n">
        <f aca="false">AI265/H265</f>
        <v>0</v>
      </c>
      <c r="AS265" s="1" t="n">
        <f aca="false">MAX(0,AL265+AN265+AO265+AM265-AP265)</f>
        <v>0</v>
      </c>
      <c r="AT265" s="1" t="n">
        <f aca="false">MAX(0,AQ265+AR265)</f>
        <v>0</v>
      </c>
      <c r="AU265" s="1" t="n">
        <f aca="false">MIN(PR_PAYE,PR_PAYEcap*(AL265+AN265+AM265))</f>
        <v>0</v>
      </c>
      <c r="AV265" s="1" t="n">
        <f aca="false">MIN(PR_PAYE,PR_PAYEcap*(AQ265+AR265))</f>
        <v>0</v>
      </c>
      <c r="AW265" s="1" t="n">
        <f aca="false">IF(C265&gt;=PR_AgeCrAge,PR_AgeCr,0)</f>
        <v>0</v>
      </c>
      <c r="AX265" s="1" t="n">
        <f aca="false">IF(AG265&gt;=PR_AgeCrAge,PR_AgeCr,0)</f>
        <v>0</v>
      </c>
      <c r="AY265" s="1" t="n">
        <f aca="false">IF(AND(F_RentCred=1,D265&lt;=PR_RentLast),1,0)</f>
        <v>0</v>
      </c>
      <c r="AZ265" s="1" t="n">
        <f aca="false">AS265+AT265</f>
        <v>0</v>
      </c>
      <c r="BA265" s="1" t="n">
        <f aca="false">PR_PersonalM+AU265+AV265+AW265+AX265+IF(AY265=1,PR_RentJoint,0)</f>
        <v>4000</v>
      </c>
      <c r="BB265" s="1" t="n">
        <f aca="false">PR_BandM+MIN(MIN(AS265,AT265),PR_Uplift)</f>
        <v>53000</v>
      </c>
      <c r="BC265" s="1" t="n">
        <f aca="false">MAX(0,PR_r1*MIN(AZ265,BB265)+PR_r2*MAX(0,AZ265-BB265)-BA265)</f>
        <v>0</v>
      </c>
      <c r="BD265" s="1" t="n">
        <f aca="false">MAX(0,PR_HomeCarer-MAX(0,MIN(AS265,AT265)-PR_HCLimit)/2)</f>
        <v>1950</v>
      </c>
      <c r="BE265" s="1" t="n">
        <f aca="false">IF(F_Carer=1,MIN(BC265,MAX(0,PR_r1*MIN(AZ265,PR_BandM)+PR_r2*MAX(0,AZ265-PR_BandM)-BA265-BD265)),BC265)</f>
        <v>0</v>
      </c>
      <c r="BF265" s="1" t="n">
        <f aca="false">IF(OR(C265&gt;=PR_AgeCrAge,AG265&gt;=PR_AgeCrAge),IF(AZ265&lt;=PR_AgeExM,0,MIN(BE265,PR_AgeMarg*(AZ265-PR_AgeExM))),BE265)</f>
        <v>0</v>
      </c>
      <c r="BG265" s="1" t="n">
        <f aca="false">MAX(0,PR_r1*MIN(AS265,IF(F_Spccc=1,PR_BandSPCCC,PR_Band))+PR_r2*MAX(0,AS265-IF(F_Spccc=1,PR_BandSPCCC,PR_Band))-(PR_Personal+AU265+AW265+IF(F_Spccc=1,PR_SPCCC,0)+IF(AY265=1,PR_Rent,0)))</f>
        <v>0</v>
      </c>
      <c r="BH265" s="1" t="n">
        <f aca="false">IF(C265&gt;=PR_AgeCrAge,IF(AS265&lt;=PR_AgeEx,0,MIN(BG265,PR_AgeMarg*(AS265-PR_AgeEx))),BG265)</f>
        <v>0</v>
      </c>
      <c r="BI265" s="1" t="n">
        <f aca="false">IF(F_Partner=1,MAX(0,PR_r1*MIN(AT265,PR_Band)+PR_r2*MAX(0,AT265-PR_Band)-(PR_Personal+AV265+AX265+IF(AND(AY265=1,AT265&gt;0),PR_Rent,0))),0)</f>
        <v>0</v>
      </c>
      <c r="BJ265" s="1" t="n">
        <f aca="false">IF(AG265&gt;=PR_AgeCrAge,IF(AT265&lt;=PR_AgeEx,0,MIN(BI265,PR_AgeMarg*(AT265-PR_AgeEx))),BI265)</f>
        <v>0</v>
      </c>
      <c r="BK265" s="1" t="n">
        <f aca="false">IF(F_Partner=1,IF(F_Married=1,BF265,BH265+BJ265),BH265)</f>
        <v>0</v>
      </c>
      <c r="BL265" s="1" t="n">
        <f aca="false">AL265+AN265+AO265</f>
        <v>0</v>
      </c>
      <c r="BM265" s="1" t="n">
        <f aca="false">IF(BL265&lt;=PR_USCex,0,IF(IF(AND(C265&gt;=PR_USCredAge,BL265&lt;=PR_USCredMax),1,0)=1,PR_USCr1*MIN(BL265,PR_USCredB1)+PR_USCredR2*MAX(0,BL265-PR_USCredB1),PR_USCr1*MIN(BL265,PR_USCb1)+PR_USCr2*MAX(0,MIN(BL265,PR_USCb2)-PR_USCb1)+PR_USCr3*MAX(0,MIN(BL265,PR_USCb3)-PR_USCb2)+PR_USCr4*MAX(0,BL265-PR_USCb3)))+IF(F_SelfEmp=1,PR_USCse*MAX(0,AL265-PR_USCseOver),0)</f>
        <v>0</v>
      </c>
      <c r="BN265" s="1" t="n">
        <f aca="false">AQ265</f>
        <v>0</v>
      </c>
      <c r="BO265" s="1" t="n">
        <f aca="false">IF(F_Partner=1,IF(BN265&lt;=PR_USCex,0,IF(IF(AND(AG265&gt;=PR_USCredAge,BN265&lt;=PR_USCredMax),1,0)=1,PR_USCr1*MIN(BN265,PR_USCredB1)+PR_USCredR2*MAX(0,BN265-PR_USCredB1),PR_USCr1*MIN(BN265,PR_USCb1)+PR_USCr2*MAX(0,MIN(BN265,PR_USCb2)-PR_USCb1)+PR_USCr3*MAX(0,MIN(BN265,PR_USCb3)-PR_USCb2)+PR_USCr4*MAX(0,BN265-PR_USCb3))),0)</f>
        <v>0</v>
      </c>
      <c r="BP265" s="1" t="n">
        <f aca="false">IF(C265&lt;PR_PRSIend,IF(F_SelfEmp=1,IF(AL265&gt;PR_PRSIsMinInc,MAX(PR_PRSIsMin,AL265*J265),0),IF(AL265/52&lt;=PR_PRSIfree,0,MAX(0,(AL265/52*J265-IF(AL265/52&lt;=PR_PRSIcreditTo,MAX(0,PR_PRSIcreditMax-(AL265/52-(PR_PRSIfree+0.01))/PR_PRSItaper),0))*52)))+J265*AN265+IF(AO265&gt;PR_PRSIunearned,J265*AO265,0),0)</f>
        <v>0</v>
      </c>
      <c r="BQ265" s="1" t="n">
        <f aca="false">IF(AND(F_Partner=1,AG265&lt;PR_PRSIend),IF(AQ265/52&lt;=PR_PRSIfree,0,MAX(0,(AQ265/52*J265-IF(AQ265/52&lt;=PR_PRSIcreditTo,MAX(0,PR_PRSIcreditMax-(AQ265/52-(PR_PRSIfree+0.01))/PR_PRSItaper),0))*52)),0)</f>
        <v>0</v>
      </c>
      <c r="BR265" s="1" t="n">
        <f aca="false">BK265+BM265+BO265+BP265+BQ265</f>
        <v>0</v>
      </c>
      <c r="BS265" s="1" t="n">
        <f aca="false">BR265*H265</f>
        <v>0</v>
      </c>
      <c r="BT265" s="1" t="n">
        <f aca="false">K265+AK265+AC265+AF265+AH265+AI265</f>
        <v>0</v>
      </c>
    </row>
    <row r="266" customFormat="false" ht="15" hidden="false" customHeight="true" outlineLevel="0" collapsed="false">
      <c r="B266" s="1" t="n">
        <v>32</v>
      </c>
      <c r="C266" s="1" t="n">
        <f aca="false">F_Age+B266</f>
        <v>32</v>
      </c>
      <c r="D266" s="1" t="n">
        <f aca="false">AS_Year0+B266</f>
        <v>2059</v>
      </c>
      <c r="E266" s="111" t="n">
        <f aca="false">(1+AS_Infl)^B266</f>
        <v>1.88454059210113</v>
      </c>
      <c r="F266" s="111" t="n">
        <f aca="false">(1+AS_Wage)^B266</f>
        <v>2.57508275568511</v>
      </c>
      <c r="G266" s="1" t="n">
        <f aca="false">IF(C266&lt;F_R,1,0)</f>
        <v>1</v>
      </c>
      <c r="H266" s="111" t="n">
        <f aca="false">IF(AS_Bands="flat",1,E266)</f>
        <v>1.88454059210113</v>
      </c>
      <c r="I266" s="111" t="n">
        <f aca="false">IF(AS_SpGrow="pay",F266,IF(AS_SpGrow="flat",1,E266))</f>
        <v>1.88454059210113</v>
      </c>
      <c r="J266" s="111" t="n">
        <f aca="false">(12*PR_PRSIr0+(PR_PRSIr1-PR_PRSIr0)*MAX(0,MIN(12,D266*12+12-PR_PRSIt1))+(PR_PRSIr2-PR_PRSIr1)*MAX(0,MIN(12,D266*12+12-PR_PRSIt2))+(PR_PRSIr3-PR_PRSIr2)*MAX(0,MIN(12,D266*12+12-PR_PRSIt3)))/12</f>
        <v>0.047</v>
      </c>
      <c r="K266" s="1" t="n">
        <f aca="false">IF(G266=1,F_Income*F266,0)</f>
        <v>0</v>
      </c>
      <c r="L266" s="1" t="n">
        <f aca="false">IF(G266=1,(F_Own+In_penExtra)*12*F266,0)</f>
        <v>0</v>
      </c>
      <c r="M266" s="1" t="n">
        <f aca="false">IF(G266=1,(F_PenM+In_penExtra)*12*F266,0)</f>
        <v>0</v>
      </c>
      <c r="N266" s="112" t="n">
        <f aca="false">IF(C266&lt;PR_RelA1,PR_RelP1,IF(C266&lt;PR_RelA2,PR_RelP2,IF(C266&lt;PR_RelA3,PR_RelP3,IF(C266&lt;PR_RelA4,PR_RelP4,IF(C266&lt;PR_RelA5,PR_RelP5,PR_RelP6)))))</f>
        <v>0.2</v>
      </c>
      <c r="O266" s="1" t="n">
        <f aca="false">IF(G266=1,MIN(L266/H266,N266*MIN(K266/H266,PR_EarnCap))*H266,0)</f>
        <v>0</v>
      </c>
      <c r="P266" s="1" t="n">
        <f aca="false">IF(AND(G266=1,F_AE=1),MIN(K266/H266,PR_AEcap)*H266,0)</f>
        <v>0</v>
      </c>
      <c r="Q266" s="1" t="n">
        <f aca="false">IF(G266=1,IF(WI_Retire=1,MAX(0,M266+WI_M*12),M266)+(PR_AEee+PR_AEer+PR_AEst)*P266,0)</f>
        <v>0</v>
      </c>
      <c r="R266" s="1" t="n">
        <f aca="false">L266+PR_AEee*P266</f>
        <v>0</v>
      </c>
      <c r="S266" s="1" t="n">
        <f aca="false">AD265</f>
        <v>0</v>
      </c>
      <c r="T266" s="1" t="n">
        <f aca="false">IF(D266&lt;=PR_SFTfrom,PR_SFT2026,IF(D266=PR_SFTfrom+1,PR_SFT2027,IF(D266=PR_SFTfrom+2,PR_SFT2028,IF(D266&lt;=PR_SFTto,PR_SFT2029,PR_SFT2029*(1+AS_Infl)^(D266-PR_SFTto)))))</f>
        <v>5071812.43548939</v>
      </c>
      <c r="U266" s="1" t="n">
        <f aca="false">IF(AND(G266=0,C266=F_V),1,0)</f>
        <v>0</v>
      </c>
      <c r="V266" s="1" t="n">
        <f aca="false">IF(U266=1,PR_SFTrate*MAX(0,S266-T266),0)</f>
        <v>0</v>
      </c>
      <c r="W266" s="1" t="n">
        <f aca="false">S266-V266</f>
        <v>0</v>
      </c>
      <c r="X266" s="1" t="n">
        <f aca="false">IF(AND(U266=1,AS_LumpPct&gt;0),W266*MIN(AS_LumpPct,PR_LSmax),0)</f>
        <v>0</v>
      </c>
      <c r="Y266" s="1" t="n">
        <f aca="false">X266-(PR_LSrate*MAX(0,MIN(X266,PR_LScap)-PR_LSfree)+PR_r2*MAX(0,X266-PR_LScap))</f>
        <v>0</v>
      </c>
      <c r="Z266" s="1" t="n">
        <f aca="false">W266-X266</f>
        <v>0</v>
      </c>
      <c r="AA266" s="112" t="n">
        <f aca="false">IF(C266&gt;=PR_ARFage1,IF(Z266&gt;PR_ARFbig,PR_ARFbigRate,IF(C266&gt;=PR_ARFage2,PR_ARF71,PR_ARF61)),0)</f>
        <v>0</v>
      </c>
      <c r="AB266" s="1" t="n">
        <f aca="false">IF(AS_DrawRule="min",Z266*AA266,IF(AS_DrawRule="fixed",MAX(AS_DrawFixed*E266,Z266*AA266),Z266*MAX(1/MAX(1,AS_End-C266+1),AA266)))</f>
        <v>0</v>
      </c>
      <c r="AC266" s="1" t="n">
        <f aca="false">IF(AND(G266=0,C266&gt;=F_V),MIN(Z266,AB266),0)</f>
        <v>0</v>
      </c>
      <c r="AD266" s="1" t="n">
        <f aca="false">IF(G266=1,S266*(1+F_PenG)+Q266,IF(C266&lt;F_V,S266*(1+F_PenG),(Z266-AC266)*(1+AS_PenRet)))</f>
        <v>0</v>
      </c>
      <c r="AE266" s="1" t="n">
        <f aca="false">IF(C266&gt;=PR_SPage,AS_SP*F_SpF*I266+IF(AND(C266&gt;=PR_Over80Age,F_SpF&gt;0),PR_Over80*PR_Weeks*I266,0),0)</f>
        <v>0</v>
      </c>
      <c r="AF266" s="1" t="n">
        <f aca="false">(F_OtherM+F_RentM)*12*E266</f>
        <v>0</v>
      </c>
      <c r="AG266" s="1" t="n">
        <f aca="false">F_PAge+B266</f>
        <v>32</v>
      </c>
      <c r="AH266" s="1" t="n">
        <f aca="false">IF(AND(F_Partner=1,F_PAge&gt;0,AG266&lt;IF(F_PRet&gt;0,F_PRet,PR_SPage)),F_PIncome*F266,0)</f>
        <v>0</v>
      </c>
      <c r="AI266" s="1" t="n">
        <f aca="false">IF(AND(F_Partner=1,AG266&gt;=PR_SPage,F_PSpQA=0),AS_SP*F_PSpF*I266,0)</f>
        <v>0</v>
      </c>
      <c r="AJ266" s="1" t="n">
        <f aca="false">IF(AND(F_Partner=1,F_PSpQA=1,C266&gt;=PR_SPage,AH266=0),IF(AG266&gt;=PR_SPage,PR_QA66,PR_QAunder)*PR_Weeks*I266,0)</f>
        <v>0</v>
      </c>
      <c r="AK266" s="1" t="n">
        <f aca="false">AE266+AJ266</f>
        <v>0</v>
      </c>
      <c r="AL266" s="1" t="n">
        <f aca="false">K266/H266</f>
        <v>0</v>
      </c>
      <c r="AM266" s="1" t="n">
        <f aca="false">AK266/H266</f>
        <v>0</v>
      </c>
      <c r="AN266" s="1" t="n">
        <f aca="false">AC266/H266</f>
        <v>0</v>
      </c>
      <c r="AO266" s="1" t="n">
        <f aca="false">AF266/H266</f>
        <v>0</v>
      </c>
      <c r="AP266" s="1" t="n">
        <f aca="false">O266/H266</f>
        <v>0</v>
      </c>
      <c r="AQ266" s="1" t="n">
        <f aca="false">AH266/H266</f>
        <v>0</v>
      </c>
      <c r="AR266" s="1" t="n">
        <f aca="false">AI266/H266</f>
        <v>0</v>
      </c>
      <c r="AS266" s="1" t="n">
        <f aca="false">MAX(0,AL266+AN266+AO266+AM266-AP266)</f>
        <v>0</v>
      </c>
      <c r="AT266" s="1" t="n">
        <f aca="false">MAX(0,AQ266+AR266)</f>
        <v>0</v>
      </c>
      <c r="AU266" s="1" t="n">
        <f aca="false">MIN(PR_PAYE,PR_PAYEcap*(AL266+AN266+AM266))</f>
        <v>0</v>
      </c>
      <c r="AV266" s="1" t="n">
        <f aca="false">MIN(PR_PAYE,PR_PAYEcap*(AQ266+AR266))</f>
        <v>0</v>
      </c>
      <c r="AW266" s="1" t="n">
        <f aca="false">IF(C266&gt;=PR_AgeCrAge,PR_AgeCr,0)</f>
        <v>0</v>
      </c>
      <c r="AX266" s="1" t="n">
        <f aca="false">IF(AG266&gt;=PR_AgeCrAge,PR_AgeCr,0)</f>
        <v>0</v>
      </c>
      <c r="AY266" s="1" t="n">
        <f aca="false">IF(AND(F_RentCred=1,D266&lt;=PR_RentLast),1,0)</f>
        <v>0</v>
      </c>
      <c r="AZ266" s="1" t="n">
        <f aca="false">AS266+AT266</f>
        <v>0</v>
      </c>
      <c r="BA266" s="1" t="n">
        <f aca="false">PR_PersonalM+AU266+AV266+AW266+AX266+IF(AY266=1,PR_RentJoint,0)</f>
        <v>4000</v>
      </c>
      <c r="BB266" s="1" t="n">
        <f aca="false">PR_BandM+MIN(MIN(AS266,AT266),PR_Uplift)</f>
        <v>53000</v>
      </c>
      <c r="BC266" s="1" t="n">
        <f aca="false">MAX(0,PR_r1*MIN(AZ266,BB266)+PR_r2*MAX(0,AZ266-BB266)-BA266)</f>
        <v>0</v>
      </c>
      <c r="BD266" s="1" t="n">
        <f aca="false">MAX(0,PR_HomeCarer-MAX(0,MIN(AS266,AT266)-PR_HCLimit)/2)</f>
        <v>1950</v>
      </c>
      <c r="BE266" s="1" t="n">
        <f aca="false">IF(F_Carer=1,MIN(BC266,MAX(0,PR_r1*MIN(AZ266,PR_BandM)+PR_r2*MAX(0,AZ266-PR_BandM)-BA266-BD266)),BC266)</f>
        <v>0</v>
      </c>
      <c r="BF266" s="1" t="n">
        <f aca="false">IF(OR(C266&gt;=PR_AgeCrAge,AG266&gt;=PR_AgeCrAge),IF(AZ266&lt;=PR_AgeExM,0,MIN(BE266,PR_AgeMarg*(AZ266-PR_AgeExM))),BE266)</f>
        <v>0</v>
      </c>
      <c r="BG266" s="1" t="n">
        <f aca="false">MAX(0,PR_r1*MIN(AS266,IF(F_Spccc=1,PR_BandSPCCC,PR_Band))+PR_r2*MAX(0,AS266-IF(F_Spccc=1,PR_BandSPCCC,PR_Band))-(PR_Personal+AU266+AW266+IF(F_Spccc=1,PR_SPCCC,0)+IF(AY266=1,PR_Rent,0)))</f>
        <v>0</v>
      </c>
      <c r="BH266" s="1" t="n">
        <f aca="false">IF(C266&gt;=PR_AgeCrAge,IF(AS266&lt;=PR_AgeEx,0,MIN(BG266,PR_AgeMarg*(AS266-PR_AgeEx))),BG266)</f>
        <v>0</v>
      </c>
      <c r="BI266" s="1" t="n">
        <f aca="false">IF(F_Partner=1,MAX(0,PR_r1*MIN(AT266,PR_Band)+PR_r2*MAX(0,AT266-PR_Band)-(PR_Personal+AV266+AX266+IF(AND(AY266=1,AT266&gt;0),PR_Rent,0))),0)</f>
        <v>0</v>
      </c>
      <c r="BJ266" s="1" t="n">
        <f aca="false">IF(AG266&gt;=PR_AgeCrAge,IF(AT266&lt;=PR_AgeEx,0,MIN(BI266,PR_AgeMarg*(AT266-PR_AgeEx))),BI266)</f>
        <v>0</v>
      </c>
      <c r="BK266" s="1" t="n">
        <f aca="false">IF(F_Partner=1,IF(F_Married=1,BF266,BH266+BJ266),BH266)</f>
        <v>0</v>
      </c>
      <c r="BL266" s="1" t="n">
        <f aca="false">AL266+AN266+AO266</f>
        <v>0</v>
      </c>
      <c r="BM266" s="1" t="n">
        <f aca="false">IF(BL266&lt;=PR_USCex,0,IF(IF(AND(C266&gt;=PR_USCredAge,BL266&lt;=PR_USCredMax),1,0)=1,PR_USCr1*MIN(BL266,PR_USCredB1)+PR_USCredR2*MAX(0,BL266-PR_USCredB1),PR_USCr1*MIN(BL266,PR_USCb1)+PR_USCr2*MAX(0,MIN(BL266,PR_USCb2)-PR_USCb1)+PR_USCr3*MAX(0,MIN(BL266,PR_USCb3)-PR_USCb2)+PR_USCr4*MAX(0,BL266-PR_USCb3)))+IF(F_SelfEmp=1,PR_USCse*MAX(0,AL266-PR_USCseOver),0)</f>
        <v>0</v>
      </c>
      <c r="BN266" s="1" t="n">
        <f aca="false">AQ266</f>
        <v>0</v>
      </c>
      <c r="BO266" s="1" t="n">
        <f aca="false">IF(F_Partner=1,IF(BN266&lt;=PR_USCex,0,IF(IF(AND(AG266&gt;=PR_USCredAge,BN266&lt;=PR_USCredMax),1,0)=1,PR_USCr1*MIN(BN266,PR_USCredB1)+PR_USCredR2*MAX(0,BN266-PR_USCredB1),PR_USCr1*MIN(BN266,PR_USCb1)+PR_USCr2*MAX(0,MIN(BN266,PR_USCb2)-PR_USCb1)+PR_USCr3*MAX(0,MIN(BN266,PR_USCb3)-PR_USCb2)+PR_USCr4*MAX(0,BN266-PR_USCb3))),0)</f>
        <v>0</v>
      </c>
      <c r="BP266" s="1" t="n">
        <f aca="false">IF(C266&lt;PR_PRSIend,IF(F_SelfEmp=1,IF(AL266&gt;PR_PRSIsMinInc,MAX(PR_PRSIsMin,AL266*J266),0),IF(AL266/52&lt;=PR_PRSIfree,0,MAX(0,(AL266/52*J266-IF(AL266/52&lt;=PR_PRSIcreditTo,MAX(0,PR_PRSIcreditMax-(AL266/52-(PR_PRSIfree+0.01))/PR_PRSItaper),0))*52)))+J266*AN266+IF(AO266&gt;PR_PRSIunearned,J266*AO266,0),0)</f>
        <v>0</v>
      </c>
      <c r="BQ266" s="1" t="n">
        <f aca="false">IF(AND(F_Partner=1,AG266&lt;PR_PRSIend),IF(AQ266/52&lt;=PR_PRSIfree,0,MAX(0,(AQ266/52*J266-IF(AQ266/52&lt;=PR_PRSIcreditTo,MAX(0,PR_PRSIcreditMax-(AQ266/52-(PR_PRSIfree+0.01))/PR_PRSItaper),0))*52)),0)</f>
        <v>0</v>
      </c>
      <c r="BR266" s="1" t="n">
        <f aca="false">BK266+BM266+BO266+BP266+BQ266</f>
        <v>0</v>
      </c>
      <c r="BS266" s="1" t="n">
        <f aca="false">BR266*H266</f>
        <v>0</v>
      </c>
      <c r="BT266" s="1" t="n">
        <f aca="false">K266+AK266+AC266+AF266+AH266+AI266</f>
        <v>0</v>
      </c>
    </row>
    <row r="267" customFormat="false" ht="15" hidden="false" customHeight="true" outlineLevel="0" collapsed="false">
      <c r="B267" s="1" t="n">
        <v>33</v>
      </c>
      <c r="C267" s="1" t="n">
        <f aca="false">F_Age+B267</f>
        <v>33</v>
      </c>
      <c r="D267" s="1" t="n">
        <f aca="false">AS_Year0+B267</f>
        <v>2060</v>
      </c>
      <c r="E267" s="111" t="n">
        <f aca="false">(1+AS_Infl)^B267</f>
        <v>1.92223140394315</v>
      </c>
      <c r="F267" s="111" t="n">
        <f aca="false">(1+AS_Wage)^B267</f>
        <v>2.65233523835567</v>
      </c>
      <c r="G267" s="1" t="n">
        <f aca="false">IF(C267&lt;F_R,1,0)</f>
        <v>1</v>
      </c>
      <c r="H267" s="111" t="n">
        <f aca="false">IF(AS_Bands="flat",1,E267)</f>
        <v>1.92223140394315</v>
      </c>
      <c r="I267" s="111" t="n">
        <f aca="false">IF(AS_SpGrow="pay",F267,IF(AS_SpGrow="flat",1,E267))</f>
        <v>1.92223140394315</v>
      </c>
      <c r="J267" s="111" t="n">
        <f aca="false">(12*PR_PRSIr0+(PR_PRSIr1-PR_PRSIr0)*MAX(0,MIN(12,D267*12+12-PR_PRSIt1))+(PR_PRSIr2-PR_PRSIr1)*MAX(0,MIN(12,D267*12+12-PR_PRSIt2))+(PR_PRSIr3-PR_PRSIr2)*MAX(0,MIN(12,D267*12+12-PR_PRSIt3)))/12</f>
        <v>0.047</v>
      </c>
      <c r="K267" s="1" t="n">
        <f aca="false">IF(G267=1,F_Income*F267,0)</f>
        <v>0</v>
      </c>
      <c r="L267" s="1" t="n">
        <f aca="false">IF(G267=1,(F_Own+In_penExtra)*12*F267,0)</f>
        <v>0</v>
      </c>
      <c r="M267" s="1" t="n">
        <f aca="false">IF(G267=1,(F_PenM+In_penExtra)*12*F267,0)</f>
        <v>0</v>
      </c>
      <c r="N267" s="112" t="n">
        <f aca="false">IF(C267&lt;PR_RelA1,PR_RelP1,IF(C267&lt;PR_RelA2,PR_RelP2,IF(C267&lt;PR_RelA3,PR_RelP3,IF(C267&lt;PR_RelA4,PR_RelP4,IF(C267&lt;PR_RelA5,PR_RelP5,PR_RelP6)))))</f>
        <v>0.2</v>
      </c>
      <c r="O267" s="1" t="n">
        <f aca="false">IF(G267=1,MIN(L267/H267,N267*MIN(K267/H267,PR_EarnCap))*H267,0)</f>
        <v>0</v>
      </c>
      <c r="P267" s="1" t="n">
        <f aca="false">IF(AND(G267=1,F_AE=1),MIN(K267/H267,PR_AEcap)*H267,0)</f>
        <v>0</v>
      </c>
      <c r="Q267" s="1" t="n">
        <f aca="false">IF(G267=1,IF(WI_Retire=1,MAX(0,M267+WI_M*12),M267)+(PR_AEee+PR_AEer+PR_AEst)*P267,0)</f>
        <v>0</v>
      </c>
      <c r="R267" s="1" t="n">
        <f aca="false">L267+PR_AEee*P267</f>
        <v>0</v>
      </c>
      <c r="S267" s="1" t="n">
        <f aca="false">AD266</f>
        <v>0</v>
      </c>
      <c r="T267" s="1" t="n">
        <f aca="false">IF(D267&lt;=PR_SFTfrom,PR_SFT2026,IF(D267=PR_SFTfrom+1,PR_SFT2027,IF(D267=PR_SFTfrom+2,PR_SFT2028,IF(D267&lt;=PR_SFTto,PR_SFT2029,PR_SFT2029*(1+AS_Infl)^(D267-PR_SFTto)))))</f>
        <v>5173248.68419918</v>
      </c>
      <c r="U267" s="1" t="n">
        <f aca="false">IF(AND(G267=0,C267=F_V),1,0)</f>
        <v>0</v>
      </c>
      <c r="V267" s="1" t="n">
        <f aca="false">IF(U267=1,PR_SFTrate*MAX(0,S267-T267),0)</f>
        <v>0</v>
      </c>
      <c r="W267" s="1" t="n">
        <f aca="false">S267-V267</f>
        <v>0</v>
      </c>
      <c r="X267" s="1" t="n">
        <f aca="false">IF(AND(U267=1,AS_LumpPct&gt;0),W267*MIN(AS_LumpPct,PR_LSmax),0)</f>
        <v>0</v>
      </c>
      <c r="Y267" s="1" t="n">
        <f aca="false">X267-(PR_LSrate*MAX(0,MIN(X267,PR_LScap)-PR_LSfree)+PR_r2*MAX(0,X267-PR_LScap))</f>
        <v>0</v>
      </c>
      <c r="Z267" s="1" t="n">
        <f aca="false">W267-X267</f>
        <v>0</v>
      </c>
      <c r="AA267" s="112" t="n">
        <f aca="false">IF(C267&gt;=PR_ARFage1,IF(Z267&gt;PR_ARFbig,PR_ARFbigRate,IF(C267&gt;=PR_ARFage2,PR_ARF71,PR_ARF61)),0)</f>
        <v>0</v>
      </c>
      <c r="AB267" s="1" t="n">
        <f aca="false">IF(AS_DrawRule="min",Z267*AA267,IF(AS_DrawRule="fixed",MAX(AS_DrawFixed*E267,Z267*AA267),Z267*MAX(1/MAX(1,AS_End-C267+1),AA267)))</f>
        <v>0</v>
      </c>
      <c r="AC267" s="1" t="n">
        <f aca="false">IF(AND(G267=0,C267&gt;=F_V),MIN(Z267,AB267),0)</f>
        <v>0</v>
      </c>
      <c r="AD267" s="1" t="n">
        <f aca="false">IF(G267=1,S267*(1+F_PenG)+Q267,IF(C267&lt;F_V,S267*(1+F_PenG),(Z267-AC267)*(1+AS_PenRet)))</f>
        <v>0</v>
      </c>
      <c r="AE267" s="1" t="n">
        <f aca="false">IF(C267&gt;=PR_SPage,AS_SP*F_SpF*I267+IF(AND(C267&gt;=PR_Over80Age,F_SpF&gt;0),PR_Over80*PR_Weeks*I267,0),0)</f>
        <v>0</v>
      </c>
      <c r="AF267" s="1" t="n">
        <f aca="false">(F_OtherM+F_RentM)*12*E267</f>
        <v>0</v>
      </c>
      <c r="AG267" s="1" t="n">
        <f aca="false">F_PAge+B267</f>
        <v>33</v>
      </c>
      <c r="AH267" s="1" t="n">
        <f aca="false">IF(AND(F_Partner=1,F_PAge&gt;0,AG267&lt;IF(F_PRet&gt;0,F_PRet,PR_SPage)),F_PIncome*F267,0)</f>
        <v>0</v>
      </c>
      <c r="AI267" s="1" t="n">
        <f aca="false">IF(AND(F_Partner=1,AG267&gt;=PR_SPage,F_PSpQA=0),AS_SP*F_PSpF*I267,0)</f>
        <v>0</v>
      </c>
      <c r="AJ267" s="1" t="n">
        <f aca="false">IF(AND(F_Partner=1,F_PSpQA=1,C267&gt;=PR_SPage,AH267=0),IF(AG267&gt;=PR_SPage,PR_QA66,PR_QAunder)*PR_Weeks*I267,0)</f>
        <v>0</v>
      </c>
      <c r="AK267" s="1" t="n">
        <f aca="false">AE267+AJ267</f>
        <v>0</v>
      </c>
      <c r="AL267" s="1" t="n">
        <f aca="false">K267/H267</f>
        <v>0</v>
      </c>
      <c r="AM267" s="1" t="n">
        <f aca="false">AK267/H267</f>
        <v>0</v>
      </c>
      <c r="AN267" s="1" t="n">
        <f aca="false">AC267/H267</f>
        <v>0</v>
      </c>
      <c r="AO267" s="1" t="n">
        <f aca="false">AF267/H267</f>
        <v>0</v>
      </c>
      <c r="AP267" s="1" t="n">
        <f aca="false">O267/H267</f>
        <v>0</v>
      </c>
      <c r="AQ267" s="1" t="n">
        <f aca="false">AH267/H267</f>
        <v>0</v>
      </c>
      <c r="AR267" s="1" t="n">
        <f aca="false">AI267/H267</f>
        <v>0</v>
      </c>
      <c r="AS267" s="1" t="n">
        <f aca="false">MAX(0,AL267+AN267+AO267+AM267-AP267)</f>
        <v>0</v>
      </c>
      <c r="AT267" s="1" t="n">
        <f aca="false">MAX(0,AQ267+AR267)</f>
        <v>0</v>
      </c>
      <c r="AU267" s="1" t="n">
        <f aca="false">MIN(PR_PAYE,PR_PAYEcap*(AL267+AN267+AM267))</f>
        <v>0</v>
      </c>
      <c r="AV267" s="1" t="n">
        <f aca="false">MIN(PR_PAYE,PR_PAYEcap*(AQ267+AR267))</f>
        <v>0</v>
      </c>
      <c r="AW267" s="1" t="n">
        <f aca="false">IF(C267&gt;=PR_AgeCrAge,PR_AgeCr,0)</f>
        <v>0</v>
      </c>
      <c r="AX267" s="1" t="n">
        <f aca="false">IF(AG267&gt;=PR_AgeCrAge,PR_AgeCr,0)</f>
        <v>0</v>
      </c>
      <c r="AY267" s="1" t="n">
        <f aca="false">IF(AND(F_RentCred=1,D267&lt;=PR_RentLast),1,0)</f>
        <v>0</v>
      </c>
      <c r="AZ267" s="1" t="n">
        <f aca="false">AS267+AT267</f>
        <v>0</v>
      </c>
      <c r="BA267" s="1" t="n">
        <f aca="false">PR_PersonalM+AU267+AV267+AW267+AX267+IF(AY267=1,PR_RentJoint,0)</f>
        <v>4000</v>
      </c>
      <c r="BB267" s="1" t="n">
        <f aca="false">PR_BandM+MIN(MIN(AS267,AT267),PR_Uplift)</f>
        <v>53000</v>
      </c>
      <c r="BC267" s="1" t="n">
        <f aca="false">MAX(0,PR_r1*MIN(AZ267,BB267)+PR_r2*MAX(0,AZ267-BB267)-BA267)</f>
        <v>0</v>
      </c>
      <c r="BD267" s="1" t="n">
        <f aca="false">MAX(0,PR_HomeCarer-MAX(0,MIN(AS267,AT267)-PR_HCLimit)/2)</f>
        <v>1950</v>
      </c>
      <c r="BE267" s="1" t="n">
        <f aca="false">IF(F_Carer=1,MIN(BC267,MAX(0,PR_r1*MIN(AZ267,PR_BandM)+PR_r2*MAX(0,AZ267-PR_BandM)-BA267-BD267)),BC267)</f>
        <v>0</v>
      </c>
      <c r="BF267" s="1" t="n">
        <f aca="false">IF(OR(C267&gt;=PR_AgeCrAge,AG267&gt;=PR_AgeCrAge),IF(AZ267&lt;=PR_AgeExM,0,MIN(BE267,PR_AgeMarg*(AZ267-PR_AgeExM))),BE267)</f>
        <v>0</v>
      </c>
      <c r="BG267" s="1" t="n">
        <f aca="false">MAX(0,PR_r1*MIN(AS267,IF(F_Spccc=1,PR_BandSPCCC,PR_Band))+PR_r2*MAX(0,AS267-IF(F_Spccc=1,PR_BandSPCCC,PR_Band))-(PR_Personal+AU267+AW267+IF(F_Spccc=1,PR_SPCCC,0)+IF(AY267=1,PR_Rent,0)))</f>
        <v>0</v>
      </c>
      <c r="BH267" s="1" t="n">
        <f aca="false">IF(C267&gt;=PR_AgeCrAge,IF(AS267&lt;=PR_AgeEx,0,MIN(BG267,PR_AgeMarg*(AS267-PR_AgeEx))),BG267)</f>
        <v>0</v>
      </c>
      <c r="BI267" s="1" t="n">
        <f aca="false">IF(F_Partner=1,MAX(0,PR_r1*MIN(AT267,PR_Band)+PR_r2*MAX(0,AT267-PR_Band)-(PR_Personal+AV267+AX267+IF(AND(AY267=1,AT267&gt;0),PR_Rent,0))),0)</f>
        <v>0</v>
      </c>
      <c r="BJ267" s="1" t="n">
        <f aca="false">IF(AG267&gt;=PR_AgeCrAge,IF(AT267&lt;=PR_AgeEx,0,MIN(BI267,PR_AgeMarg*(AT267-PR_AgeEx))),BI267)</f>
        <v>0</v>
      </c>
      <c r="BK267" s="1" t="n">
        <f aca="false">IF(F_Partner=1,IF(F_Married=1,BF267,BH267+BJ267),BH267)</f>
        <v>0</v>
      </c>
      <c r="BL267" s="1" t="n">
        <f aca="false">AL267+AN267+AO267</f>
        <v>0</v>
      </c>
      <c r="BM267" s="1" t="n">
        <f aca="false">IF(BL267&lt;=PR_USCex,0,IF(IF(AND(C267&gt;=PR_USCredAge,BL267&lt;=PR_USCredMax),1,0)=1,PR_USCr1*MIN(BL267,PR_USCredB1)+PR_USCredR2*MAX(0,BL267-PR_USCredB1),PR_USCr1*MIN(BL267,PR_USCb1)+PR_USCr2*MAX(0,MIN(BL267,PR_USCb2)-PR_USCb1)+PR_USCr3*MAX(0,MIN(BL267,PR_USCb3)-PR_USCb2)+PR_USCr4*MAX(0,BL267-PR_USCb3)))+IF(F_SelfEmp=1,PR_USCse*MAX(0,AL267-PR_USCseOver),0)</f>
        <v>0</v>
      </c>
      <c r="BN267" s="1" t="n">
        <f aca="false">AQ267</f>
        <v>0</v>
      </c>
      <c r="BO267" s="1" t="n">
        <f aca="false">IF(F_Partner=1,IF(BN267&lt;=PR_USCex,0,IF(IF(AND(AG267&gt;=PR_USCredAge,BN267&lt;=PR_USCredMax),1,0)=1,PR_USCr1*MIN(BN267,PR_USCredB1)+PR_USCredR2*MAX(0,BN267-PR_USCredB1),PR_USCr1*MIN(BN267,PR_USCb1)+PR_USCr2*MAX(0,MIN(BN267,PR_USCb2)-PR_USCb1)+PR_USCr3*MAX(0,MIN(BN267,PR_USCb3)-PR_USCb2)+PR_USCr4*MAX(0,BN267-PR_USCb3))),0)</f>
        <v>0</v>
      </c>
      <c r="BP267" s="1" t="n">
        <f aca="false">IF(C267&lt;PR_PRSIend,IF(F_SelfEmp=1,IF(AL267&gt;PR_PRSIsMinInc,MAX(PR_PRSIsMin,AL267*J267),0),IF(AL267/52&lt;=PR_PRSIfree,0,MAX(0,(AL267/52*J267-IF(AL267/52&lt;=PR_PRSIcreditTo,MAX(0,PR_PRSIcreditMax-(AL267/52-(PR_PRSIfree+0.01))/PR_PRSItaper),0))*52)))+J267*AN267+IF(AO267&gt;PR_PRSIunearned,J267*AO267,0),0)</f>
        <v>0</v>
      </c>
      <c r="BQ267" s="1" t="n">
        <f aca="false">IF(AND(F_Partner=1,AG267&lt;PR_PRSIend),IF(AQ267/52&lt;=PR_PRSIfree,0,MAX(0,(AQ267/52*J267-IF(AQ267/52&lt;=PR_PRSIcreditTo,MAX(0,PR_PRSIcreditMax-(AQ267/52-(PR_PRSIfree+0.01))/PR_PRSItaper),0))*52)),0)</f>
        <v>0</v>
      </c>
      <c r="BR267" s="1" t="n">
        <f aca="false">BK267+BM267+BO267+BP267+BQ267</f>
        <v>0</v>
      </c>
      <c r="BS267" s="1" t="n">
        <f aca="false">BR267*H267</f>
        <v>0</v>
      </c>
      <c r="BT267" s="1" t="n">
        <f aca="false">K267+AK267+AC267+AF267+AH267+AI267</f>
        <v>0</v>
      </c>
    </row>
    <row r="268" customFormat="false" ht="15" hidden="false" customHeight="true" outlineLevel="0" collapsed="false">
      <c r="B268" s="1" t="n">
        <v>34</v>
      </c>
      <c r="C268" s="1" t="n">
        <f aca="false">F_Age+B268</f>
        <v>34</v>
      </c>
      <c r="D268" s="1" t="n">
        <f aca="false">AS_Year0+B268</f>
        <v>2061</v>
      </c>
      <c r="E268" s="111" t="n">
        <f aca="false">(1+AS_Infl)^B268</f>
        <v>1.96067603202202</v>
      </c>
      <c r="F268" s="111" t="n">
        <f aca="false">(1+AS_Wage)^B268</f>
        <v>2.73190529550634</v>
      </c>
      <c r="G268" s="1" t="n">
        <f aca="false">IF(C268&lt;F_R,1,0)</f>
        <v>1</v>
      </c>
      <c r="H268" s="111" t="n">
        <f aca="false">IF(AS_Bands="flat",1,E268)</f>
        <v>1.96067603202202</v>
      </c>
      <c r="I268" s="111" t="n">
        <f aca="false">IF(AS_SpGrow="pay",F268,IF(AS_SpGrow="flat",1,E268))</f>
        <v>1.96067603202202</v>
      </c>
      <c r="J268" s="111" t="n">
        <f aca="false">(12*PR_PRSIr0+(PR_PRSIr1-PR_PRSIr0)*MAX(0,MIN(12,D268*12+12-PR_PRSIt1))+(PR_PRSIr2-PR_PRSIr1)*MAX(0,MIN(12,D268*12+12-PR_PRSIt2))+(PR_PRSIr3-PR_PRSIr2)*MAX(0,MIN(12,D268*12+12-PR_PRSIt3)))/12</f>
        <v>0.047</v>
      </c>
      <c r="K268" s="1" t="n">
        <f aca="false">IF(G268=1,F_Income*F268,0)</f>
        <v>0</v>
      </c>
      <c r="L268" s="1" t="n">
        <f aca="false">IF(G268=1,(F_Own+In_penExtra)*12*F268,0)</f>
        <v>0</v>
      </c>
      <c r="M268" s="1" t="n">
        <f aca="false">IF(G268=1,(F_PenM+In_penExtra)*12*F268,0)</f>
        <v>0</v>
      </c>
      <c r="N268" s="112" t="n">
        <f aca="false">IF(C268&lt;PR_RelA1,PR_RelP1,IF(C268&lt;PR_RelA2,PR_RelP2,IF(C268&lt;PR_RelA3,PR_RelP3,IF(C268&lt;PR_RelA4,PR_RelP4,IF(C268&lt;PR_RelA5,PR_RelP5,PR_RelP6)))))</f>
        <v>0.2</v>
      </c>
      <c r="O268" s="1" t="n">
        <f aca="false">IF(G268=1,MIN(L268/H268,N268*MIN(K268/H268,PR_EarnCap))*H268,0)</f>
        <v>0</v>
      </c>
      <c r="P268" s="1" t="n">
        <f aca="false">IF(AND(G268=1,F_AE=1),MIN(K268/H268,PR_AEcap)*H268,0)</f>
        <v>0</v>
      </c>
      <c r="Q268" s="1" t="n">
        <f aca="false">IF(G268=1,IF(WI_Retire=1,MAX(0,M268+WI_M*12),M268)+(PR_AEee+PR_AEer+PR_AEst)*P268,0)</f>
        <v>0</v>
      </c>
      <c r="R268" s="1" t="n">
        <f aca="false">L268+PR_AEee*P268</f>
        <v>0</v>
      </c>
      <c r="S268" s="1" t="n">
        <f aca="false">AD267</f>
        <v>0</v>
      </c>
      <c r="T268" s="1" t="n">
        <f aca="false">IF(D268&lt;=PR_SFTfrom,PR_SFT2026,IF(D268=PR_SFTfrom+1,PR_SFT2027,IF(D268=PR_SFTfrom+2,PR_SFT2028,IF(D268&lt;=PR_SFTto,PR_SFT2029,PR_SFT2029*(1+AS_Infl)^(D268-PR_SFTto)))))</f>
        <v>5276713.65788316</v>
      </c>
      <c r="U268" s="1" t="n">
        <f aca="false">IF(AND(G268=0,C268=F_V),1,0)</f>
        <v>0</v>
      </c>
      <c r="V268" s="1" t="n">
        <f aca="false">IF(U268=1,PR_SFTrate*MAX(0,S268-T268),0)</f>
        <v>0</v>
      </c>
      <c r="W268" s="1" t="n">
        <f aca="false">S268-V268</f>
        <v>0</v>
      </c>
      <c r="X268" s="1" t="n">
        <f aca="false">IF(AND(U268=1,AS_LumpPct&gt;0),W268*MIN(AS_LumpPct,PR_LSmax),0)</f>
        <v>0</v>
      </c>
      <c r="Y268" s="1" t="n">
        <f aca="false">X268-(PR_LSrate*MAX(0,MIN(X268,PR_LScap)-PR_LSfree)+PR_r2*MAX(0,X268-PR_LScap))</f>
        <v>0</v>
      </c>
      <c r="Z268" s="1" t="n">
        <f aca="false">W268-X268</f>
        <v>0</v>
      </c>
      <c r="AA268" s="112" t="n">
        <f aca="false">IF(C268&gt;=PR_ARFage1,IF(Z268&gt;PR_ARFbig,PR_ARFbigRate,IF(C268&gt;=PR_ARFage2,PR_ARF71,PR_ARF61)),0)</f>
        <v>0</v>
      </c>
      <c r="AB268" s="1" t="n">
        <f aca="false">IF(AS_DrawRule="min",Z268*AA268,IF(AS_DrawRule="fixed",MAX(AS_DrawFixed*E268,Z268*AA268),Z268*MAX(1/MAX(1,AS_End-C268+1),AA268)))</f>
        <v>0</v>
      </c>
      <c r="AC268" s="1" t="n">
        <f aca="false">IF(AND(G268=0,C268&gt;=F_V),MIN(Z268,AB268),0)</f>
        <v>0</v>
      </c>
      <c r="AD268" s="1" t="n">
        <f aca="false">IF(G268=1,S268*(1+F_PenG)+Q268,IF(C268&lt;F_V,S268*(1+F_PenG),(Z268-AC268)*(1+AS_PenRet)))</f>
        <v>0</v>
      </c>
      <c r="AE268" s="1" t="n">
        <f aca="false">IF(C268&gt;=PR_SPage,AS_SP*F_SpF*I268+IF(AND(C268&gt;=PR_Over80Age,F_SpF&gt;0),PR_Over80*PR_Weeks*I268,0),0)</f>
        <v>0</v>
      </c>
      <c r="AF268" s="1" t="n">
        <f aca="false">(F_OtherM+F_RentM)*12*E268</f>
        <v>0</v>
      </c>
      <c r="AG268" s="1" t="n">
        <f aca="false">F_PAge+B268</f>
        <v>34</v>
      </c>
      <c r="AH268" s="1" t="n">
        <f aca="false">IF(AND(F_Partner=1,F_PAge&gt;0,AG268&lt;IF(F_PRet&gt;0,F_PRet,PR_SPage)),F_PIncome*F268,0)</f>
        <v>0</v>
      </c>
      <c r="AI268" s="1" t="n">
        <f aca="false">IF(AND(F_Partner=1,AG268&gt;=PR_SPage,F_PSpQA=0),AS_SP*F_PSpF*I268,0)</f>
        <v>0</v>
      </c>
      <c r="AJ268" s="1" t="n">
        <f aca="false">IF(AND(F_Partner=1,F_PSpQA=1,C268&gt;=PR_SPage,AH268=0),IF(AG268&gt;=PR_SPage,PR_QA66,PR_QAunder)*PR_Weeks*I268,0)</f>
        <v>0</v>
      </c>
      <c r="AK268" s="1" t="n">
        <f aca="false">AE268+AJ268</f>
        <v>0</v>
      </c>
      <c r="AL268" s="1" t="n">
        <f aca="false">K268/H268</f>
        <v>0</v>
      </c>
      <c r="AM268" s="1" t="n">
        <f aca="false">AK268/H268</f>
        <v>0</v>
      </c>
      <c r="AN268" s="1" t="n">
        <f aca="false">AC268/H268</f>
        <v>0</v>
      </c>
      <c r="AO268" s="1" t="n">
        <f aca="false">AF268/H268</f>
        <v>0</v>
      </c>
      <c r="AP268" s="1" t="n">
        <f aca="false">O268/H268</f>
        <v>0</v>
      </c>
      <c r="AQ268" s="1" t="n">
        <f aca="false">AH268/H268</f>
        <v>0</v>
      </c>
      <c r="AR268" s="1" t="n">
        <f aca="false">AI268/H268</f>
        <v>0</v>
      </c>
      <c r="AS268" s="1" t="n">
        <f aca="false">MAX(0,AL268+AN268+AO268+AM268-AP268)</f>
        <v>0</v>
      </c>
      <c r="AT268" s="1" t="n">
        <f aca="false">MAX(0,AQ268+AR268)</f>
        <v>0</v>
      </c>
      <c r="AU268" s="1" t="n">
        <f aca="false">MIN(PR_PAYE,PR_PAYEcap*(AL268+AN268+AM268))</f>
        <v>0</v>
      </c>
      <c r="AV268" s="1" t="n">
        <f aca="false">MIN(PR_PAYE,PR_PAYEcap*(AQ268+AR268))</f>
        <v>0</v>
      </c>
      <c r="AW268" s="1" t="n">
        <f aca="false">IF(C268&gt;=PR_AgeCrAge,PR_AgeCr,0)</f>
        <v>0</v>
      </c>
      <c r="AX268" s="1" t="n">
        <f aca="false">IF(AG268&gt;=PR_AgeCrAge,PR_AgeCr,0)</f>
        <v>0</v>
      </c>
      <c r="AY268" s="1" t="n">
        <f aca="false">IF(AND(F_RentCred=1,D268&lt;=PR_RentLast),1,0)</f>
        <v>0</v>
      </c>
      <c r="AZ268" s="1" t="n">
        <f aca="false">AS268+AT268</f>
        <v>0</v>
      </c>
      <c r="BA268" s="1" t="n">
        <f aca="false">PR_PersonalM+AU268+AV268+AW268+AX268+IF(AY268=1,PR_RentJoint,0)</f>
        <v>4000</v>
      </c>
      <c r="BB268" s="1" t="n">
        <f aca="false">PR_BandM+MIN(MIN(AS268,AT268),PR_Uplift)</f>
        <v>53000</v>
      </c>
      <c r="BC268" s="1" t="n">
        <f aca="false">MAX(0,PR_r1*MIN(AZ268,BB268)+PR_r2*MAX(0,AZ268-BB268)-BA268)</f>
        <v>0</v>
      </c>
      <c r="BD268" s="1" t="n">
        <f aca="false">MAX(0,PR_HomeCarer-MAX(0,MIN(AS268,AT268)-PR_HCLimit)/2)</f>
        <v>1950</v>
      </c>
      <c r="BE268" s="1" t="n">
        <f aca="false">IF(F_Carer=1,MIN(BC268,MAX(0,PR_r1*MIN(AZ268,PR_BandM)+PR_r2*MAX(0,AZ268-PR_BandM)-BA268-BD268)),BC268)</f>
        <v>0</v>
      </c>
      <c r="BF268" s="1" t="n">
        <f aca="false">IF(OR(C268&gt;=PR_AgeCrAge,AG268&gt;=PR_AgeCrAge),IF(AZ268&lt;=PR_AgeExM,0,MIN(BE268,PR_AgeMarg*(AZ268-PR_AgeExM))),BE268)</f>
        <v>0</v>
      </c>
      <c r="BG268" s="1" t="n">
        <f aca="false">MAX(0,PR_r1*MIN(AS268,IF(F_Spccc=1,PR_BandSPCCC,PR_Band))+PR_r2*MAX(0,AS268-IF(F_Spccc=1,PR_BandSPCCC,PR_Band))-(PR_Personal+AU268+AW268+IF(F_Spccc=1,PR_SPCCC,0)+IF(AY268=1,PR_Rent,0)))</f>
        <v>0</v>
      </c>
      <c r="BH268" s="1" t="n">
        <f aca="false">IF(C268&gt;=PR_AgeCrAge,IF(AS268&lt;=PR_AgeEx,0,MIN(BG268,PR_AgeMarg*(AS268-PR_AgeEx))),BG268)</f>
        <v>0</v>
      </c>
      <c r="BI268" s="1" t="n">
        <f aca="false">IF(F_Partner=1,MAX(0,PR_r1*MIN(AT268,PR_Band)+PR_r2*MAX(0,AT268-PR_Band)-(PR_Personal+AV268+AX268+IF(AND(AY268=1,AT268&gt;0),PR_Rent,0))),0)</f>
        <v>0</v>
      </c>
      <c r="BJ268" s="1" t="n">
        <f aca="false">IF(AG268&gt;=PR_AgeCrAge,IF(AT268&lt;=PR_AgeEx,0,MIN(BI268,PR_AgeMarg*(AT268-PR_AgeEx))),BI268)</f>
        <v>0</v>
      </c>
      <c r="BK268" s="1" t="n">
        <f aca="false">IF(F_Partner=1,IF(F_Married=1,BF268,BH268+BJ268),BH268)</f>
        <v>0</v>
      </c>
      <c r="BL268" s="1" t="n">
        <f aca="false">AL268+AN268+AO268</f>
        <v>0</v>
      </c>
      <c r="BM268" s="1" t="n">
        <f aca="false">IF(BL268&lt;=PR_USCex,0,IF(IF(AND(C268&gt;=PR_USCredAge,BL268&lt;=PR_USCredMax),1,0)=1,PR_USCr1*MIN(BL268,PR_USCredB1)+PR_USCredR2*MAX(0,BL268-PR_USCredB1),PR_USCr1*MIN(BL268,PR_USCb1)+PR_USCr2*MAX(0,MIN(BL268,PR_USCb2)-PR_USCb1)+PR_USCr3*MAX(0,MIN(BL268,PR_USCb3)-PR_USCb2)+PR_USCr4*MAX(0,BL268-PR_USCb3)))+IF(F_SelfEmp=1,PR_USCse*MAX(0,AL268-PR_USCseOver),0)</f>
        <v>0</v>
      </c>
      <c r="BN268" s="1" t="n">
        <f aca="false">AQ268</f>
        <v>0</v>
      </c>
      <c r="BO268" s="1" t="n">
        <f aca="false">IF(F_Partner=1,IF(BN268&lt;=PR_USCex,0,IF(IF(AND(AG268&gt;=PR_USCredAge,BN268&lt;=PR_USCredMax),1,0)=1,PR_USCr1*MIN(BN268,PR_USCredB1)+PR_USCredR2*MAX(0,BN268-PR_USCredB1),PR_USCr1*MIN(BN268,PR_USCb1)+PR_USCr2*MAX(0,MIN(BN268,PR_USCb2)-PR_USCb1)+PR_USCr3*MAX(0,MIN(BN268,PR_USCb3)-PR_USCb2)+PR_USCr4*MAX(0,BN268-PR_USCb3))),0)</f>
        <v>0</v>
      </c>
      <c r="BP268" s="1" t="n">
        <f aca="false">IF(C268&lt;PR_PRSIend,IF(F_SelfEmp=1,IF(AL268&gt;PR_PRSIsMinInc,MAX(PR_PRSIsMin,AL268*J268),0),IF(AL268/52&lt;=PR_PRSIfree,0,MAX(0,(AL268/52*J268-IF(AL268/52&lt;=PR_PRSIcreditTo,MAX(0,PR_PRSIcreditMax-(AL268/52-(PR_PRSIfree+0.01))/PR_PRSItaper),0))*52)))+J268*AN268+IF(AO268&gt;PR_PRSIunearned,J268*AO268,0),0)</f>
        <v>0</v>
      </c>
      <c r="BQ268" s="1" t="n">
        <f aca="false">IF(AND(F_Partner=1,AG268&lt;PR_PRSIend),IF(AQ268/52&lt;=PR_PRSIfree,0,MAX(0,(AQ268/52*J268-IF(AQ268/52&lt;=PR_PRSIcreditTo,MAX(0,PR_PRSIcreditMax-(AQ268/52-(PR_PRSIfree+0.01))/PR_PRSItaper),0))*52)),0)</f>
        <v>0</v>
      </c>
      <c r="BR268" s="1" t="n">
        <f aca="false">BK268+BM268+BO268+BP268+BQ268</f>
        <v>0</v>
      </c>
      <c r="BS268" s="1" t="n">
        <f aca="false">BR268*H268</f>
        <v>0</v>
      </c>
      <c r="BT268" s="1" t="n">
        <f aca="false">K268+AK268+AC268+AF268+AH268+AI268</f>
        <v>0</v>
      </c>
    </row>
    <row r="269" customFormat="false" ht="15" hidden="false" customHeight="true" outlineLevel="0" collapsed="false">
      <c r="B269" s="1" t="n">
        <v>35</v>
      </c>
      <c r="C269" s="1" t="n">
        <f aca="false">F_Age+B269</f>
        <v>35</v>
      </c>
      <c r="D269" s="1" t="n">
        <f aca="false">AS_Year0+B269</f>
        <v>2062</v>
      </c>
      <c r="E269" s="111" t="n">
        <f aca="false">(1+AS_Infl)^B269</f>
        <v>1.99988955266246</v>
      </c>
      <c r="F269" s="111" t="n">
        <f aca="false">(1+AS_Wage)^B269</f>
        <v>2.81386245437153</v>
      </c>
      <c r="G269" s="1" t="n">
        <f aca="false">IF(C269&lt;F_R,1,0)</f>
        <v>1</v>
      </c>
      <c r="H269" s="111" t="n">
        <f aca="false">IF(AS_Bands="flat",1,E269)</f>
        <v>1.99988955266246</v>
      </c>
      <c r="I269" s="111" t="n">
        <f aca="false">IF(AS_SpGrow="pay",F269,IF(AS_SpGrow="flat",1,E269))</f>
        <v>1.99988955266246</v>
      </c>
      <c r="J269" s="111" t="n">
        <f aca="false">(12*PR_PRSIr0+(PR_PRSIr1-PR_PRSIr0)*MAX(0,MIN(12,D269*12+12-PR_PRSIt1))+(PR_PRSIr2-PR_PRSIr1)*MAX(0,MIN(12,D269*12+12-PR_PRSIt2))+(PR_PRSIr3-PR_PRSIr2)*MAX(0,MIN(12,D269*12+12-PR_PRSIt3)))/12</f>
        <v>0.047</v>
      </c>
      <c r="K269" s="1" t="n">
        <f aca="false">IF(G269=1,F_Income*F269,0)</f>
        <v>0</v>
      </c>
      <c r="L269" s="1" t="n">
        <f aca="false">IF(G269=1,(F_Own+In_penExtra)*12*F269,0)</f>
        <v>0</v>
      </c>
      <c r="M269" s="1" t="n">
        <f aca="false">IF(G269=1,(F_PenM+In_penExtra)*12*F269,0)</f>
        <v>0</v>
      </c>
      <c r="N269" s="112" t="n">
        <f aca="false">IF(C269&lt;PR_RelA1,PR_RelP1,IF(C269&lt;PR_RelA2,PR_RelP2,IF(C269&lt;PR_RelA3,PR_RelP3,IF(C269&lt;PR_RelA4,PR_RelP4,IF(C269&lt;PR_RelA5,PR_RelP5,PR_RelP6)))))</f>
        <v>0.2</v>
      </c>
      <c r="O269" s="1" t="n">
        <f aca="false">IF(G269=1,MIN(L269/H269,N269*MIN(K269/H269,PR_EarnCap))*H269,0)</f>
        <v>0</v>
      </c>
      <c r="P269" s="1" t="n">
        <f aca="false">IF(AND(G269=1,F_AE=1),MIN(K269/H269,PR_AEcap)*H269,0)</f>
        <v>0</v>
      </c>
      <c r="Q269" s="1" t="n">
        <f aca="false">IF(G269=1,IF(WI_Retire=1,MAX(0,M269+WI_M*12),M269)+(PR_AEee+PR_AEer+PR_AEst)*P269,0)</f>
        <v>0</v>
      </c>
      <c r="R269" s="1" t="n">
        <f aca="false">L269+PR_AEee*P269</f>
        <v>0</v>
      </c>
      <c r="S269" s="1" t="n">
        <f aca="false">AD268</f>
        <v>0</v>
      </c>
      <c r="T269" s="1" t="n">
        <f aca="false">IF(D269&lt;=PR_SFTfrom,PR_SFT2026,IF(D269=PR_SFTfrom+1,PR_SFT2027,IF(D269=PR_SFTfrom+2,PR_SFT2028,IF(D269&lt;=PR_SFTto,PR_SFT2029,PR_SFT2029*(1+AS_Infl)^(D269-PR_SFTto)))))</f>
        <v>5382247.93104083</v>
      </c>
      <c r="U269" s="1" t="n">
        <f aca="false">IF(AND(G269=0,C269=F_V),1,0)</f>
        <v>0</v>
      </c>
      <c r="V269" s="1" t="n">
        <f aca="false">IF(U269=1,PR_SFTrate*MAX(0,S269-T269),0)</f>
        <v>0</v>
      </c>
      <c r="W269" s="1" t="n">
        <f aca="false">S269-V269</f>
        <v>0</v>
      </c>
      <c r="X269" s="1" t="n">
        <f aca="false">IF(AND(U269=1,AS_LumpPct&gt;0),W269*MIN(AS_LumpPct,PR_LSmax),0)</f>
        <v>0</v>
      </c>
      <c r="Y269" s="1" t="n">
        <f aca="false">X269-(PR_LSrate*MAX(0,MIN(X269,PR_LScap)-PR_LSfree)+PR_r2*MAX(0,X269-PR_LScap))</f>
        <v>0</v>
      </c>
      <c r="Z269" s="1" t="n">
        <f aca="false">W269-X269</f>
        <v>0</v>
      </c>
      <c r="AA269" s="112" t="n">
        <f aca="false">IF(C269&gt;=PR_ARFage1,IF(Z269&gt;PR_ARFbig,PR_ARFbigRate,IF(C269&gt;=PR_ARFage2,PR_ARF71,PR_ARF61)),0)</f>
        <v>0</v>
      </c>
      <c r="AB269" s="1" t="n">
        <f aca="false">IF(AS_DrawRule="min",Z269*AA269,IF(AS_DrawRule="fixed",MAX(AS_DrawFixed*E269,Z269*AA269),Z269*MAX(1/MAX(1,AS_End-C269+1),AA269)))</f>
        <v>0</v>
      </c>
      <c r="AC269" s="1" t="n">
        <f aca="false">IF(AND(G269=0,C269&gt;=F_V),MIN(Z269,AB269),0)</f>
        <v>0</v>
      </c>
      <c r="AD269" s="1" t="n">
        <f aca="false">IF(G269=1,S269*(1+F_PenG)+Q269,IF(C269&lt;F_V,S269*(1+F_PenG),(Z269-AC269)*(1+AS_PenRet)))</f>
        <v>0</v>
      </c>
      <c r="AE269" s="1" t="n">
        <f aca="false">IF(C269&gt;=PR_SPage,AS_SP*F_SpF*I269+IF(AND(C269&gt;=PR_Over80Age,F_SpF&gt;0),PR_Over80*PR_Weeks*I269,0),0)</f>
        <v>0</v>
      </c>
      <c r="AF269" s="1" t="n">
        <f aca="false">(F_OtherM+F_RentM)*12*E269</f>
        <v>0</v>
      </c>
      <c r="AG269" s="1" t="n">
        <f aca="false">F_PAge+B269</f>
        <v>35</v>
      </c>
      <c r="AH269" s="1" t="n">
        <f aca="false">IF(AND(F_Partner=1,F_PAge&gt;0,AG269&lt;IF(F_PRet&gt;0,F_PRet,PR_SPage)),F_PIncome*F269,0)</f>
        <v>0</v>
      </c>
      <c r="AI269" s="1" t="n">
        <f aca="false">IF(AND(F_Partner=1,AG269&gt;=PR_SPage,F_PSpQA=0),AS_SP*F_PSpF*I269,0)</f>
        <v>0</v>
      </c>
      <c r="AJ269" s="1" t="n">
        <f aca="false">IF(AND(F_Partner=1,F_PSpQA=1,C269&gt;=PR_SPage,AH269=0),IF(AG269&gt;=PR_SPage,PR_QA66,PR_QAunder)*PR_Weeks*I269,0)</f>
        <v>0</v>
      </c>
      <c r="AK269" s="1" t="n">
        <f aca="false">AE269+AJ269</f>
        <v>0</v>
      </c>
      <c r="AL269" s="1" t="n">
        <f aca="false">K269/H269</f>
        <v>0</v>
      </c>
      <c r="AM269" s="1" t="n">
        <f aca="false">AK269/H269</f>
        <v>0</v>
      </c>
      <c r="AN269" s="1" t="n">
        <f aca="false">AC269/H269</f>
        <v>0</v>
      </c>
      <c r="AO269" s="1" t="n">
        <f aca="false">AF269/H269</f>
        <v>0</v>
      </c>
      <c r="AP269" s="1" t="n">
        <f aca="false">O269/H269</f>
        <v>0</v>
      </c>
      <c r="AQ269" s="1" t="n">
        <f aca="false">AH269/H269</f>
        <v>0</v>
      </c>
      <c r="AR269" s="1" t="n">
        <f aca="false">AI269/H269</f>
        <v>0</v>
      </c>
      <c r="AS269" s="1" t="n">
        <f aca="false">MAX(0,AL269+AN269+AO269+AM269-AP269)</f>
        <v>0</v>
      </c>
      <c r="AT269" s="1" t="n">
        <f aca="false">MAX(0,AQ269+AR269)</f>
        <v>0</v>
      </c>
      <c r="AU269" s="1" t="n">
        <f aca="false">MIN(PR_PAYE,PR_PAYEcap*(AL269+AN269+AM269))</f>
        <v>0</v>
      </c>
      <c r="AV269" s="1" t="n">
        <f aca="false">MIN(PR_PAYE,PR_PAYEcap*(AQ269+AR269))</f>
        <v>0</v>
      </c>
      <c r="AW269" s="1" t="n">
        <f aca="false">IF(C269&gt;=PR_AgeCrAge,PR_AgeCr,0)</f>
        <v>0</v>
      </c>
      <c r="AX269" s="1" t="n">
        <f aca="false">IF(AG269&gt;=PR_AgeCrAge,PR_AgeCr,0)</f>
        <v>0</v>
      </c>
      <c r="AY269" s="1" t="n">
        <f aca="false">IF(AND(F_RentCred=1,D269&lt;=PR_RentLast),1,0)</f>
        <v>0</v>
      </c>
      <c r="AZ269" s="1" t="n">
        <f aca="false">AS269+AT269</f>
        <v>0</v>
      </c>
      <c r="BA269" s="1" t="n">
        <f aca="false">PR_PersonalM+AU269+AV269+AW269+AX269+IF(AY269=1,PR_RentJoint,0)</f>
        <v>4000</v>
      </c>
      <c r="BB269" s="1" t="n">
        <f aca="false">PR_BandM+MIN(MIN(AS269,AT269),PR_Uplift)</f>
        <v>53000</v>
      </c>
      <c r="BC269" s="1" t="n">
        <f aca="false">MAX(0,PR_r1*MIN(AZ269,BB269)+PR_r2*MAX(0,AZ269-BB269)-BA269)</f>
        <v>0</v>
      </c>
      <c r="BD269" s="1" t="n">
        <f aca="false">MAX(0,PR_HomeCarer-MAX(0,MIN(AS269,AT269)-PR_HCLimit)/2)</f>
        <v>1950</v>
      </c>
      <c r="BE269" s="1" t="n">
        <f aca="false">IF(F_Carer=1,MIN(BC269,MAX(0,PR_r1*MIN(AZ269,PR_BandM)+PR_r2*MAX(0,AZ269-PR_BandM)-BA269-BD269)),BC269)</f>
        <v>0</v>
      </c>
      <c r="BF269" s="1" t="n">
        <f aca="false">IF(OR(C269&gt;=PR_AgeCrAge,AG269&gt;=PR_AgeCrAge),IF(AZ269&lt;=PR_AgeExM,0,MIN(BE269,PR_AgeMarg*(AZ269-PR_AgeExM))),BE269)</f>
        <v>0</v>
      </c>
      <c r="BG269" s="1" t="n">
        <f aca="false">MAX(0,PR_r1*MIN(AS269,IF(F_Spccc=1,PR_BandSPCCC,PR_Band))+PR_r2*MAX(0,AS269-IF(F_Spccc=1,PR_BandSPCCC,PR_Band))-(PR_Personal+AU269+AW269+IF(F_Spccc=1,PR_SPCCC,0)+IF(AY269=1,PR_Rent,0)))</f>
        <v>0</v>
      </c>
      <c r="BH269" s="1" t="n">
        <f aca="false">IF(C269&gt;=PR_AgeCrAge,IF(AS269&lt;=PR_AgeEx,0,MIN(BG269,PR_AgeMarg*(AS269-PR_AgeEx))),BG269)</f>
        <v>0</v>
      </c>
      <c r="BI269" s="1" t="n">
        <f aca="false">IF(F_Partner=1,MAX(0,PR_r1*MIN(AT269,PR_Band)+PR_r2*MAX(0,AT269-PR_Band)-(PR_Personal+AV269+AX269+IF(AND(AY269=1,AT269&gt;0),PR_Rent,0))),0)</f>
        <v>0</v>
      </c>
      <c r="BJ269" s="1" t="n">
        <f aca="false">IF(AG269&gt;=PR_AgeCrAge,IF(AT269&lt;=PR_AgeEx,0,MIN(BI269,PR_AgeMarg*(AT269-PR_AgeEx))),BI269)</f>
        <v>0</v>
      </c>
      <c r="BK269" s="1" t="n">
        <f aca="false">IF(F_Partner=1,IF(F_Married=1,BF269,BH269+BJ269),BH269)</f>
        <v>0</v>
      </c>
      <c r="BL269" s="1" t="n">
        <f aca="false">AL269+AN269+AO269</f>
        <v>0</v>
      </c>
      <c r="BM269" s="1" t="n">
        <f aca="false">IF(BL269&lt;=PR_USCex,0,IF(IF(AND(C269&gt;=PR_USCredAge,BL269&lt;=PR_USCredMax),1,0)=1,PR_USCr1*MIN(BL269,PR_USCredB1)+PR_USCredR2*MAX(0,BL269-PR_USCredB1),PR_USCr1*MIN(BL269,PR_USCb1)+PR_USCr2*MAX(0,MIN(BL269,PR_USCb2)-PR_USCb1)+PR_USCr3*MAX(0,MIN(BL269,PR_USCb3)-PR_USCb2)+PR_USCr4*MAX(0,BL269-PR_USCb3)))+IF(F_SelfEmp=1,PR_USCse*MAX(0,AL269-PR_USCseOver),0)</f>
        <v>0</v>
      </c>
      <c r="BN269" s="1" t="n">
        <f aca="false">AQ269</f>
        <v>0</v>
      </c>
      <c r="BO269" s="1" t="n">
        <f aca="false">IF(F_Partner=1,IF(BN269&lt;=PR_USCex,0,IF(IF(AND(AG269&gt;=PR_USCredAge,BN269&lt;=PR_USCredMax),1,0)=1,PR_USCr1*MIN(BN269,PR_USCredB1)+PR_USCredR2*MAX(0,BN269-PR_USCredB1),PR_USCr1*MIN(BN269,PR_USCb1)+PR_USCr2*MAX(0,MIN(BN269,PR_USCb2)-PR_USCb1)+PR_USCr3*MAX(0,MIN(BN269,PR_USCb3)-PR_USCb2)+PR_USCr4*MAX(0,BN269-PR_USCb3))),0)</f>
        <v>0</v>
      </c>
      <c r="BP269" s="1" t="n">
        <f aca="false">IF(C269&lt;PR_PRSIend,IF(F_SelfEmp=1,IF(AL269&gt;PR_PRSIsMinInc,MAX(PR_PRSIsMin,AL269*J269),0),IF(AL269/52&lt;=PR_PRSIfree,0,MAX(0,(AL269/52*J269-IF(AL269/52&lt;=PR_PRSIcreditTo,MAX(0,PR_PRSIcreditMax-(AL269/52-(PR_PRSIfree+0.01))/PR_PRSItaper),0))*52)))+J269*AN269+IF(AO269&gt;PR_PRSIunearned,J269*AO269,0),0)</f>
        <v>0</v>
      </c>
      <c r="BQ269" s="1" t="n">
        <f aca="false">IF(AND(F_Partner=1,AG269&lt;PR_PRSIend),IF(AQ269/52&lt;=PR_PRSIfree,0,MAX(0,(AQ269/52*J269-IF(AQ269/52&lt;=PR_PRSIcreditTo,MAX(0,PR_PRSIcreditMax-(AQ269/52-(PR_PRSIfree+0.01))/PR_PRSItaper),0))*52)),0)</f>
        <v>0</v>
      </c>
      <c r="BR269" s="1" t="n">
        <f aca="false">BK269+BM269+BO269+BP269+BQ269</f>
        <v>0</v>
      </c>
      <c r="BS269" s="1" t="n">
        <f aca="false">BR269*H269</f>
        <v>0</v>
      </c>
      <c r="BT269" s="1" t="n">
        <f aca="false">K269+AK269+AC269+AF269+AH269+AI269</f>
        <v>0</v>
      </c>
    </row>
    <row r="270" customFormat="false" ht="15" hidden="false" customHeight="true" outlineLevel="0" collapsed="false">
      <c r="B270" s="1" t="n">
        <v>36</v>
      </c>
      <c r="C270" s="1" t="n">
        <f aca="false">F_Age+B270</f>
        <v>36</v>
      </c>
      <c r="D270" s="1" t="n">
        <f aca="false">AS_Year0+B270</f>
        <v>2063</v>
      </c>
      <c r="E270" s="111" t="n">
        <f aca="false">(1+AS_Infl)^B270</f>
        <v>2.03988734371571</v>
      </c>
      <c r="F270" s="111" t="n">
        <f aca="false">(1+AS_Wage)^B270</f>
        <v>2.89827832800267</v>
      </c>
      <c r="G270" s="1" t="n">
        <f aca="false">IF(C270&lt;F_R,1,0)</f>
        <v>1</v>
      </c>
      <c r="H270" s="111" t="n">
        <f aca="false">IF(AS_Bands="flat",1,E270)</f>
        <v>2.03988734371571</v>
      </c>
      <c r="I270" s="111" t="n">
        <f aca="false">IF(AS_SpGrow="pay",F270,IF(AS_SpGrow="flat",1,E270))</f>
        <v>2.03988734371571</v>
      </c>
      <c r="J270" s="111" t="n">
        <f aca="false">(12*PR_PRSIr0+(PR_PRSIr1-PR_PRSIr0)*MAX(0,MIN(12,D270*12+12-PR_PRSIt1))+(PR_PRSIr2-PR_PRSIr1)*MAX(0,MIN(12,D270*12+12-PR_PRSIt2))+(PR_PRSIr3-PR_PRSIr2)*MAX(0,MIN(12,D270*12+12-PR_PRSIt3)))/12</f>
        <v>0.047</v>
      </c>
      <c r="K270" s="1" t="n">
        <f aca="false">IF(G270=1,F_Income*F270,0)</f>
        <v>0</v>
      </c>
      <c r="L270" s="1" t="n">
        <f aca="false">IF(G270=1,(F_Own+In_penExtra)*12*F270,0)</f>
        <v>0</v>
      </c>
      <c r="M270" s="1" t="n">
        <f aca="false">IF(G270=1,(F_PenM+In_penExtra)*12*F270,0)</f>
        <v>0</v>
      </c>
      <c r="N270" s="112" t="n">
        <f aca="false">IF(C270&lt;PR_RelA1,PR_RelP1,IF(C270&lt;PR_RelA2,PR_RelP2,IF(C270&lt;PR_RelA3,PR_RelP3,IF(C270&lt;PR_RelA4,PR_RelP4,IF(C270&lt;PR_RelA5,PR_RelP5,PR_RelP6)))))</f>
        <v>0.2</v>
      </c>
      <c r="O270" s="1" t="n">
        <f aca="false">IF(G270=1,MIN(L270/H270,N270*MIN(K270/H270,PR_EarnCap))*H270,0)</f>
        <v>0</v>
      </c>
      <c r="P270" s="1" t="n">
        <f aca="false">IF(AND(G270=1,F_AE=1),MIN(K270/H270,PR_AEcap)*H270,0)</f>
        <v>0</v>
      </c>
      <c r="Q270" s="1" t="n">
        <f aca="false">IF(G270=1,IF(WI_Retire=1,MAX(0,M270+WI_M*12),M270)+(PR_AEee+PR_AEer+PR_AEst)*P270,0)</f>
        <v>0</v>
      </c>
      <c r="R270" s="1" t="n">
        <f aca="false">L270+PR_AEee*P270</f>
        <v>0</v>
      </c>
      <c r="S270" s="1" t="n">
        <f aca="false">AD269</f>
        <v>0</v>
      </c>
      <c r="T270" s="1" t="n">
        <f aca="false">IF(D270&lt;=PR_SFTfrom,PR_SFT2026,IF(D270=PR_SFTfrom+1,PR_SFT2027,IF(D270=PR_SFTfrom+2,PR_SFT2028,IF(D270&lt;=PR_SFTto,PR_SFT2029,PR_SFT2029*(1+AS_Infl)^(D270-PR_SFTto)))))</f>
        <v>5489892.88966165</v>
      </c>
      <c r="U270" s="1" t="n">
        <f aca="false">IF(AND(G270=0,C270=F_V),1,0)</f>
        <v>0</v>
      </c>
      <c r="V270" s="1" t="n">
        <f aca="false">IF(U270=1,PR_SFTrate*MAX(0,S270-T270),0)</f>
        <v>0</v>
      </c>
      <c r="W270" s="1" t="n">
        <f aca="false">S270-V270</f>
        <v>0</v>
      </c>
      <c r="X270" s="1" t="n">
        <f aca="false">IF(AND(U270=1,AS_LumpPct&gt;0),W270*MIN(AS_LumpPct,PR_LSmax),0)</f>
        <v>0</v>
      </c>
      <c r="Y270" s="1" t="n">
        <f aca="false">X270-(PR_LSrate*MAX(0,MIN(X270,PR_LScap)-PR_LSfree)+PR_r2*MAX(0,X270-PR_LScap))</f>
        <v>0</v>
      </c>
      <c r="Z270" s="1" t="n">
        <f aca="false">W270-X270</f>
        <v>0</v>
      </c>
      <c r="AA270" s="112" t="n">
        <f aca="false">IF(C270&gt;=PR_ARFage1,IF(Z270&gt;PR_ARFbig,PR_ARFbigRate,IF(C270&gt;=PR_ARFage2,PR_ARF71,PR_ARF61)),0)</f>
        <v>0</v>
      </c>
      <c r="AB270" s="1" t="n">
        <f aca="false">IF(AS_DrawRule="min",Z270*AA270,IF(AS_DrawRule="fixed",MAX(AS_DrawFixed*E270,Z270*AA270),Z270*MAX(1/MAX(1,AS_End-C270+1),AA270)))</f>
        <v>0</v>
      </c>
      <c r="AC270" s="1" t="n">
        <f aca="false">IF(AND(G270=0,C270&gt;=F_V),MIN(Z270,AB270),0)</f>
        <v>0</v>
      </c>
      <c r="AD270" s="1" t="n">
        <f aca="false">IF(G270=1,S270*(1+F_PenG)+Q270,IF(C270&lt;F_V,S270*(1+F_PenG),(Z270-AC270)*(1+AS_PenRet)))</f>
        <v>0</v>
      </c>
      <c r="AE270" s="1" t="n">
        <f aca="false">IF(C270&gt;=PR_SPage,AS_SP*F_SpF*I270+IF(AND(C270&gt;=PR_Over80Age,F_SpF&gt;0),PR_Over80*PR_Weeks*I270,0),0)</f>
        <v>0</v>
      </c>
      <c r="AF270" s="1" t="n">
        <f aca="false">(F_OtherM+F_RentM)*12*E270</f>
        <v>0</v>
      </c>
      <c r="AG270" s="1" t="n">
        <f aca="false">F_PAge+B270</f>
        <v>36</v>
      </c>
      <c r="AH270" s="1" t="n">
        <f aca="false">IF(AND(F_Partner=1,F_PAge&gt;0,AG270&lt;IF(F_PRet&gt;0,F_PRet,PR_SPage)),F_PIncome*F270,0)</f>
        <v>0</v>
      </c>
      <c r="AI270" s="1" t="n">
        <f aca="false">IF(AND(F_Partner=1,AG270&gt;=PR_SPage,F_PSpQA=0),AS_SP*F_PSpF*I270,0)</f>
        <v>0</v>
      </c>
      <c r="AJ270" s="1" t="n">
        <f aca="false">IF(AND(F_Partner=1,F_PSpQA=1,C270&gt;=PR_SPage,AH270=0),IF(AG270&gt;=PR_SPage,PR_QA66,PR_QAunder)*PR_Weeks*I270,0)</f>
        <v>0</v>
      </c>
      <c r="AK270" s="1" t="n">
        <f aca="false">AE270+AJ270</f>
        <v>0</v>
      </c>
      <c r="AL270" s="1" t="n">
        <f aca="false">K270/H270</f>
        <v>0</v>
      </c>
      <c r="AM270" s="1" t="n">
        <f aca="false">AK270/H270</f>
        <v>0</v>
      </c>
      <c r="AN270" s="1" t="n">
        <f aca="false">AC270/H270</f>
        <v>0</v>
      </c>
      <c r="AO270" s="1" t="n">
        <f aca="false">AF270/H270</f>
        <v>0</v>
      </c>
      <c r="AP270" s="1" t="n">
        <f aca="false">O270/H270</f>
        <v>0</v>
      </c>
      <c r="AQ270" s="1" t="n">
        <f aca="false">AH270/H270</f>
        <v>0</v>
      </c>
      <c r="AR270" s="1" t="n">
        <f aca="false">AI270/H270</f>
        <v>0</v>
      </c>
      <c r="AS270" s="1" t="n">
        <f aca="false">MAX(0,AL270+AN270+AO270+AM270-AP270)</f>
        <v>0</v>
      </c>
      <c r="AT270" s="1" t="n">
        <f aca="false">MAX(0,AQ270+AR270)</f>
        <v>0</v>
      </c>
      <c r="AU270" s="1" t="n">
        <f aca="false">MIN(PR_PAYE,PR_PAYEcap*(AL270+AN270+AM270))</f>
        <v>0</v>
      </c>
      <c r="AV270" s="1" t="n">
        <f aca="false">MIN(PR_PAYE,PR_PAYEcap*(AQ270+AR270))</f>
        <v>0</v>
      </c>
      <c r="AW270" s="1" t="n">
        <f aca="false">IF(C270&gt;=PR_AgeCrAge,PR_AgeCr,0)</f>
        <v>0</v>
      </c>
      <c r="AX270" s="1" t="n">
        <f aca="false">IF(AG270&gt;=PR_AgeCrAge,PR_AgeCr,0)</f>
        <v>0</v>
      </c>
      <c r="AY270" s="1" t="n">
        <f aca="false">IF(AND(F_RentCred=1,D270&lt;=PR_RentLast),1,0)</f>
        <v>0</v>
      </c>
      <c r="AZ270" s="1" t="n">
        <f aca="false">AS270+AT270</f>
        <v>0</v>
      </c>
      <c r="BA270" s="1" t="n">
        <f aca="false">PR_PersonalM+AU270+AV270+AW270+AX270+IF(AY270=1,PR_RentJoint,0)</f>
        <v>4000</v>
      </c>
      <c r="BB270" s="1" t="n">
        <f aca="false">PR_BandM+MIN(MIN(AS270,AT270),PR_Uplift)</f>
        <v>53000</v>
      </c>
      <c r="BC270" s="1" t="n">
        <f aca="false">MAX(0,PR_r1*MIN(AZ270,BB270)+PR_r2*MAX(0,AZ270-BB270)-BA270)</f>
        <v>0</v>
      </c>
      <c r="BD270" s="1" t="n">
        <f aca="false">MAX(0,PR_HomeCarer-MAX(0,MIN(AS270,AT270)-PR_HCLimit)/2)</f>
        <v>1950</v>
      </c>
      <c r="BE270" s="1" t="n">
        <f aca="false">IF(F_Carer=1,MIN(BC270,MAX(0,PR_r1*MIN(AZ270,PR_BandM)+PR_r2*MAX(0,AZ270-PR_BandM)-BA270-BD270)),BC270)</f>
        <v>0</v>
      </c>
      <c r="BF270" s="1" t="n">
        <f aca="false">IF(OR(C270&gt;=PR_AgeCrAge,AG270&gt;=PR_AgeCrAge),IF(AZ270&lt;=PR_AgeExM,0,MIN(BE270,PR_AgeMarg*(AZ270-PR_AgeExM))),BE270)</f>
        <v>0</v>
      </c>
      <c r="BG270" s="1" t="n">
        <f aca="false">MAX(0,PR_r1*MIN(AS270,IF(F_Spccc=1,PR_BandSPCCC,PR_Band))+PR_r2*MAX(0,AS270-IF(F_Spccc=1,PR_BandSPCCC,PR_Band))-(PR_Personal+AU270+AW270+IF(F_Spccc=1,PR_SPCCC,0)+IF(AY270=1,PR_Rent,0)))</f>
        <v>0</v>
      </c>
      <c r="BH270" s="1" t="n">
        <f aca="false">IF(C270&gt;=PR_AgeCrAge,IF(AS270&lt;=PR_AgeEx,0,MIN(BG270,PR_AgeMarg*(AS270-PR_AgeEx))),BG270)</f>
        <v>0</v>
      </c>
      <c r="BI270" s="1" t="n">
        <f aca="false">IF(F_Partner=1,MAX(0,PR_r1*MIN(AT270,PR_Band)+PR_r2*MAX(0,AT270-PR_Band)-(PR_Personal+AV270+AX270+IF(AND(AY270=1,AT270&gt;0),PR_Rent,0))),0)</f>
        <v>0</v>
      </c>
      <c r="BJ270" s="1" t="n">
        <f aca="false">IF(AG270&gt;=PR_AgeCrAge,IF(AT270&lt;=PR_AgeEx,0,MIN(BI270,PR_AgeMarg*(AT270-PR_AgeEx))),BI270)</f>
        <v>0</v>
      </c>
      <c r="BK270" s="1" t="n">
        <f aca="false">IF(F_Partner=1,IF(F_Married=1,BF270,BH270+BJ270),BH270)</f>
        <v>0</v>
      </c>
      <c r="BL270" s="1" t="n">
        <f aca="false">AL270+AN270+AO270</f>
        <v>0</v>
      </c>
      <c r="BM270" s="1" t="n">
        <f aca="false">IF(BL270&lt;=PR_USCex,0,IF(IF(AND(C270&gt;=PR_USCredAge,BL270&lt;=PR_USCredMax),1,0)=1,PR_USCr1*MIN(BL270,PR_USCredB1)+PR_USCredR2*MAX(0,BL270-PR_USCredB1),PR_USCr1*MIN(BL270,PR_USCb1)+PR_USCr2*MAX(0,MIN(BL270,PR_USCb2)-PR_USCb1)+PR_USCr3*MAX(0,MIN(BL270,PR_USCb3)-PR_USCb2)+PR_USCr4*MAX(0,BL270-PR_USCb3)))+IF(F_SelfEmp=1,PR_USCse*MAX(0,AL270-PR_USCseOver),0)</f>
        <v>0</v>
      </c>
      <c r="BN270" s="1" t="n">
        <f aca="false">AQ270</f>
        <v>0</v>
      </c>
      <c r="BO270" s="1" t="n">
        <f aca="false">IF(F_Partner=1,IF(BN270&lt;=PR_USCex,0,IF(IF(AND(AG270&gt;=PR_USCredAge,BN270&lt;=PR_USCredMax),1,0)=1,PR_USCr1*MIN(BN270,PR_USCredB1)+PR_USCredR2*MAX(0,BN270-PR_USCredB1),PR_USCr1*MIN(BN270,PR_USCb1)+PR_USCr2*MAX(0,MIN(BN270,PR_USCb2)-PR_USCb1)+PR_USCr3*MAX(0,MIN(BN270,PR_USCb3)-PR_USCb2)+PR_USCr4*MAX(0,BN270-PR_USCb3))),0)</f>
        <v>0</v>
      </c>
      <c r="BP270" s="1" t="n">
        <f aca="false">IF(C270&lt;PR_PRSIend,IF(F_SelfEmp=1,IF(AL270&gt;PR_PRSIsMinInc,MAX(PR_PRSIsMin,AL270*J270),0),IF(AL270/52&lt;=PR_PRSIfree,0,MAX(0,(AL270/52*J270-IF(AL270/52&lt;=PR_PRSIcreditTo,MAX(0,PR_PRSIcreditMax-(AL270/52-(PR_PRSIfree+0.01))/PR_PRSItaper),0))*52)))+J270*AN270+IF(AO270&gt;PR_PRSIunearned,J270*AO270,0),0)</f>
        <v>0</v>
      </c>
      <c r="BQ270" s="1" t="n">
        <f aca="false">IF(AND(F_Partner=1,AG270&lt;PR_PRSIend),IF(AQ270/52&lt;=PR_PRSIfree,0,MAX(0,(AQ270/52*J270-IF(AQ270/52&lt;=PR_PRSIcreditTo,MAX(0,PR_PRSIcreditMax-(AQ270/52-(PR_PRSIfree+0.01))/PR_PRSItaper),0))*52)),0)</f>
        <v>0</v>
      </c>
      <c r="BR270" s="1" t="n">
        <f aca="false">BK270+BM270+BO270+BP270+BQ270</f>
        <v>0</v>
      </c>
      <c r="BS270" s="1" t="n">
        <f aca="false">BR270*H270</f>
        <v>0</v>
      </c>
      <c r="BT270" s="1" t="n">
        <f aca="false">K270+AK270+AC270+AF270+AH270+AI270</f>
        <v>0</v>
      </c>
    </row>
    <row r="271" customFormat="false" ht="15" hidden="false" customHeight="true" outlineLevel="0" collapsed="false">
      <c r="B271" s="1" t="n">
        <v>37</v>
      </c>
      <c r="C271" s="1" t="n">
        <f aca="false">F_Age+B271</f>
        <v>37</v>
      </c>
      <c r="D271" s="1" t="n">
        <f aca="false">AS_Year0+B271</f>
        <v>2064</v>
      </c>
      <c r="E271" s="111" t="n">
        <f aca="false">(1+AS_Infl)^B271</f>
        <v>2.08068509059002</v>
      </c>
      <c r="F271" s="111" t="n">
        <f aca="false">(1+AS_Wage)^B271</f>
        <v>2.98522667784275</v>
      </c>
      <c r="G271" s="1" t="n">
        <f aca="false">IF(C271&lt;F_R,1,0)</f>
        <v>1</v>
      </c>
      <c r="H271" s="111" t="n">
        <f aca="false">IF(AS_Bands="flat",1,E271)</f>
        <v>2.08068509059002</v>
      </c>
      <c r="I271" s="111" t="n">
        <f aca="false">IF(AS_SpGrow="pay",F271,IF(AS_SpGrow="flat",1,E271))</f>
        <v>2.08068509059002</v>
      </c>
      <c r="J271" s="111" t="n">
        <f aca="false">(12*PR_PRSIr0+(PR_PRSIr1-PR_PRSIr0)*MAX(0,MIN(12,D271*12+12-PR_PRSIt1))+(PR_PRSIr2-PR_PRSIr1)*MAX(0,MIN(12,D271*12+12-PR_PRSIt2))+(PR_PRSIr3-PR_PRSIr2)*MAX(0,MIN(12,D271*12+12-PR_PRSIt3)))/12</f>
        <v>0.047</v>
      </c>
      <c r="K271" s="1" t="n">
        <f aca="false">IF(G271=1,F_Income*F271,0)</f>
        <v>0</v>
      </c>
      <c r="L271" s="1" t="n">
        <f aca="false">IF(G271=1,(F_Own+In_penExtra)*12*F271,0)</f>
        <v>0</v>
      </c>
      <c r="M271" s="1" t="n">
        <f aca="false">IF(G271=1,(F_PenM+In_penExtra)*12*F271,0)</f>
        <v>0</v>
      </c>
      <c r="N271" s="112" t="n">
        <f aca="false">IF(C271&lt;PR_RelA1,PR_RelP1,IF(C271&lt;PR_RelA2,PR_RelP2,IF(C271&lt;PR_RelA3,PR_RelP3,IF(C271&lt;PR_RelA4,PR_RelP4,IF(C271&lt;PR_RelA5,PR_RelP5,PR_RelP6)))))</f>
        <v>0.2</v>
      </c>
      <c r="O271" s="1" t="n">
        <f aca="false">IF(G271=1,MIN(L271/H271,N271*MIN(K271/H271,PR_EarnCap))*H271,0)</f>
        <v>0</v>
      </c>
      <c r="P271" s="1" t="n">
        <f aca="false">IF(AND(G271=1,F_AE=1),MIN(K271/H271,PR_AEcap)*H271,0)</f>
        <v>0</v>
      </c>
      <c r="Q271" s="1" t="n">
        <f aca="false">IF(G271=1,IF(WI_Retire=1,MAX(0,M271+WI_M*12),M271)+(PR_AEee+PR_AEer+PR_AEst)*P271,0)</f>
        <v>0</v>
      </c>
      <c r="R271" s="1" t="n">
        <f aca="false">L271+PR_AEee*P271</f>
        <v>0</v>
      </c>
      <c r="S271" s="1" t="n">
        <f aca="false">AD270</f>
        <v>0</v>
      </c>
      <c r="T271" s="1" t="n">
        <f aca="false">IF(D271&lt;=PR_SFTfrom,PR_SFT2026,IF(D271=PR_SFTfrom+1,PR_SFT2027,IF(D271=PR_SFTfrom+2,PR_SFT2028,IF(D271&lt;=PR_SFTto,PR_SFT2029,PR_SFT2029*(1+AS_Infl)^(D271-PR_SFTto)))))</f>
        <v>5599690.74745488</v>
      </c>
      <c r="U271" s="1" t="n">
        <f aca="false">IF(AND(G271=0,C271=F_V),1,0)</f>
        <v>0</v>
      </c>
      <c r="V271" s="1" t="n">
        <f aca="false">IF(U271=1,PR_SFTrate*MAX(0,S271-T271),0)</f>
        <v>0</v>
      </c>
      <c r="W271" s="1" t="n">
        <f aca="false">S271-V271</f>
        <v>0</v>
      </c>
      <c r="X271" s="1" t="n">
        <f aca="false">IF(AND(U271=1,AS_LumpPct&gt;0),W271*MIN(AS_LumpPct,PR_LSmax),0)</f>
        <v>0</v>
      </c>
      <c r="Y271" s="1" t="n">
        <f aca="false">X271-(PR_LSrate*MAX(0,MIN(X271,PR_LScap)-PR_LSfree)+PR_r2*MAX(0,X271-PR_LScap))</f>
        <v>0</v>
      </c>
      <c r="Z271" s="1" t="n">
        <f aca="false">W271-X271</f>
        <v>0</v>
      </c>
      <c r="AA271" s="112" t="n">
        <f aca="false">IF(C271&gt;=PR_ARFage1,IF(Z271&gt;PR_ARFbig,PR_ARFbigRate,IF(C271&gt;=PR_ARFage2,PR_ARF71,PR_ARF61)),0)</f>
        <v>0</v>
      </c>
      <c r="AB271" s="1" t="n">
        <f aca="false">IF(AS_DrawRule="min",Z271*AA271,IF(AS_DrawRule="fixed",MAX(AS_DrawFixed*E271,Z271*AA271),Z271*MAX(1/MAX(1,AS_End-C271+1),AA271)))</f>
        <v>0</v>
      </c>
      <c r="AC271" s="1" t="n">
        <f aca="false">IF(AND(G271=0,C271&gt;=F_V),MIN(Z271,AB271),0)</f>
        <v>0</v>
      </c>
      <c r="AD271" s="1" t="n">
        <f aca="false">IF(G271=1,S271*(1+F_PenG)+Q271,IF(C271&lt;F_V,S271*(1+F_PenG),(Z271-AC271)*(1+AS_PenRet)))</f>
        <v>0</v>
      </c>
      <c r="AE271" s="1" t="n">
        <f aca="false">IF(C271&gt;=PR_SPage,AS_SP*F_SpF*I271+IF(AND(C271&gt;=PR_Over80Age,F_SpF&gt;0),PR_Over80*PR_Weeks*I271,0),0)</f>
        <v>0</v>
      </c>
      <c r="AF271" s="1" t="n">
        <f aca="false">(F_OtherM+F_RentM)*12*E271</f>
        <v>0</v>
      </c>
      <c r="AG271" s="1" t="n">
        <f aca="false">F_PAge+B271</f>
        <v>37</v>
      </c>
      <c r="AH271" s="1" t="n">
        <f aca="false">IF(AND(F_Partner=1,F_PAge&gt;0,AG271&lt;IF(F_PRet&gt;0,F_PRet,PR_SPage)),F_PIncome*F271,0)</f>
        <v>0</v>
      </c>
      <c r="AI271" s="1" t="n">
        <f aca="false">IF(AND(F_Partner=1,AG271&gt;=PR_SPage,F_PSpQA=0),AS_SP*F_PSpF*I271,0)</f>
        <v>0</v>
      </c>
      <c r="AJ271" s="1" t="n">
        <f aca="false">IF(AND(F_Partner=1,F_PSpQA=1,C271&gt;=PR_SPage,AH271=0),IF(AG271&gt;=PR_SPage,PR_QA66,PR_QAunder)*PR_Weeks*I271,0)</f>
        <v>0</v>
      </c>
      <c r="AK271" s="1" t="n">
        <f aca="false">AE271+AJ271</f>
        <v>0</v>
      </c>
      <c r="AL271" s="1" t="n">
        <f aca="false">K271/H271</f>
        <v>0</v>
      </c>
      <c r="AM271" s="1" t="n">
        <f aca="false">AK271/H271</f>
        <v>0</v>
      </c>
      <c r="AN271" s="1" t="n">
        <f aca="false">AC271/H271</f>
        <v>0</v>
      </c>
      <c r="AO271" s="1" t="n">
        <f aca="false">AF271/H271</f>
        <v>0</v>
      </c>
      <c r="AP271" s="1" t="n">
        <f aca="false">O271/H271</f>
        <v>0</v>
      </c>
      <c r="AQ271" s="1" t="n">
        <f aca="false">AH271/H271</f>
        <v>0</v>
      </c>
      <c r="AR271" s="1" t="n">
        <f aca="false">AI271/H271</f>
        <v>0</v>
      </c>
      <c r="AS271" s="1" t="n">
        <f aca="false">MAX(0,AL271+AN271+AO271+AM271-AP271)</f>
        <v>0</v>
      </c>
      <c r="AT271" s="1" t="n">
        <f aca="false">MAX(0,AQ271+AR271)</f>
        <v>0</v>
      </c>
      <c r="AU271" s="1" t="n">
        <f aca="false">MIN(PR_PAYE,PR_PAYEcap*(AL271+AN271+AM271))</f>
        <v>0</v>
      </c>
      <c r="AV271" s="1" t="n">
        <f aca="false">MIN(PR_PAYE,PR_PAYEcap*(AQ271+AR271))</f>
        <v>0</v>
      </c>
      <c r="AW271" s="1" t="n">
        <f aca="false">IF(C271&gt;=PR_AgeCrAge,PR_AgeCr,0)</f>
        <v>0</v>
      </c>
      <c r="AX271" s="1" t="n">
        <f aca="false">IF(AG271&gt;=PR_AgeCrAge,PR_AgeCr,0)</f>
        <v>0</v>
      </c>
      <c r="AY271" s="1" t="n">
        <f aca="false">IF(AND(F_RentCred=1,D271&lt;=PR_RentLast),1,0)</f>
        <v>0</v>
      </c>
      <c r="AZ271" s="1" t="n">
        <f aca="false">AS271+AT271</f>
        <v>0</v>
      </c>
      <c r="BA271" s="1" t="n">
        <f aca="false">PR_PersonalM+AU271+AV271+AW271+AX271+IF(AY271=1,PR_RentJoint,0)</f>
        <v>4000</v>
      </c>
      <c r="BB271" s="1" t="n">
        <f aca="false">PR_BandM+MIN(MIN(AS271,AT271),PR_Uplift)</f>
        <v>53000</v>
      </c>
      <c r="BC271" s="1" t="n">
        <f aca="false">MAX(0,PR_r1*MIN(AZ271,BB271)+PR_r2*MAX(0,AZ271-BB271)-BA271)</f>
        <v>0</v>
      </c>
      <c r="BD271" s="1" t="n">
        <f aca="false">MAX(0,PR_HomeCarer-MAX(0,MIN(AS271,AT271)-PR_HCLimit)/2)</f>
        <v>1950</v>
      </c>
      <c r="BE271" s="1" t="n">
        <f aca="false">IF(F_Carer=1,MIN(BC271,MAX(0,PR_r1*MIN(AZ271,PR_BandM)+PR_r2*MAX(0,AZ271-PR_BandM)-BA271-BD271)),BC271)</f>
        <v>0</v>
      </c>
      <c r="BF271" s="1" t="n">
        <f aca="false">IF(OR(C271&gt;=PR_AgeCrAge,AG271&gt;=PR_AgeCrAge),IF(AZ271&lt;=PR_AgeExM,0,MIN(BE271,PR_AgeMarg*(AZ271-PR_AgeExM))),BE271)</f>
        <v>0</v>
      </c>
      <c r="BG271" s="1" t="n">
        <f aca="false">MAX(0,PR_r1*MIN(AS271,IF(F_Spccc=1,PR_BandSPCCC,PR_Band))+PR_r2*MAX(0,AS271-IF(F_Spccc=1,PR_BandSPCCC,PR_Band))-(PR_Personal+AU271+AW271+IF(F_Spccc=1,PR_SPCCC,0)+IF(AY271=1,PR_Rent,0)))</f>
        <v>0</v>
      </c>
      <c r="BH271" s="1" t="n">
        <f aca="false">IF(C271&gt;=PR_AgeCrAge,IF(AS271&lt;=PR_AgeEx,0,MIN(BG271,PR_AgeMarg*(AS271-PR_AgeEx))),BG271)</f>
        <v>0</v>
      </c>
      <c r="BI271" s="1" t="n">
        <f aca="false">IF(F_Partner=1,MAX(0,PR_r1*MIN(AT271,PR_Band)+PR_r2*MAX(0,AT271-PR_Band)-(PR_Personal+AV271+AX271+IF(AND(AY271=1,AT271&gt;0),PR_Rent,0))),0)</f>
        <v>0</v>
      </c>
      <c r="BJ271" s="1" t="n">
        <f aca="false">IF(AG271&gt;=PR_AgeCrAge,IF(AT271&lt;=PR_AgeEx,0,MIN(BI271,PR_AgeMarg*(AT271-PR_AgeEx))),BI271)</f>
        <v>0</v>
      </c>
      <c r="BK271" s="1" t="n">
        <f aca="false">IF(F_Partner=1,IF(F_Married=1,BF271,BH271+BJ271),BH271)</f>
        <v>0</v>
      </c>
      <c r="BL271" s="1" t="n">
        <f aca="false">AL271+AN271+AO271</f>
        <v>0</v>
      </c>
      <c r="BM271" s="1" t="n">
        <f aca="false">IF(BL271&lt;=PR_USCex,0,IF(IF(AND(C271&gt;=PR_USCredAge,BL271&lt;=PR_USCredMax),1,0)=1,PR_USCr1*MIN(BL271,PR_USCredB1)+PR_USCredR2*MAX(0,BL271-PR_USCredB1),PR_USCr1*MIN(BL271,PR_USCb1)+PR_USCr2*MAX(0,MIN(BL271,PR_USCb2)-PR_USCb1)+PR_USCr3*MAX(0,MIN(BL271,PR_USCb3)-PR_USCb2)+PR_USCr4*MAX(0,BL271-PR_USCb3)))+IF(F_SelfEmp=1,PR_USCse*MAX(0,AL271-PR_USCseOver),0)</f>
        <v>0</v>
      </c>
      <c r="BN271" s="1" t="n">
        <f aca="false">AQ271</f>
        <v>0</v>
      </c>
      <c r="BO271" s="1" t="n">
        <f aca="false">IF(F_Partner=1,IF(BN271&lt;=PR_USCex,0,IF(IF(AND(AG271&gt;=PR_USCredAge,BN271&lt;=PR_USCredMax),1,0)=1,PR_USCr1*MIN(BN271,PR_USCredB1)+PR_USCredR2*MAX(0,BN271-PR_USCredB1),PR_USCr1*MIN(BN271,PR_USCb1)+PR_USCr2*MAX(0,MIN(BN271,PR_USCb2)-PR_USCb1)+PR_USCr3*MAX(0,MIN(BN271,PR_USCb3)-PR_USCb2)+PR_USCr4*MAX(0,BN271-PR_USCb3))),0)</f>
        <v>0</v>
      </c>
      <c r="BP271" s="1" t="n">
        <f aca="false">IF(C271&lt;PR_PRSIend,IF(F_SelfEmp=1,IF(AL271&gt;PR_PRSIsMinInc,MAX(PR_PRSIsMin,AL271*J271),0),IF(AL271/52&lt;=PR_PRSIfree,0,MAX(0,(AL271/52*J271-IF(AL271/52&lt;=PR_PRSIcreditTo,MAX(0,PR_PRSIcreditMax-(AL271/52-(PR_PRSIfree+0.01))/PR_PRSItaper),0))*52)))+J271*AN271+IF(AO271&gt;PR_PRSIunearned,J271*AO271,0),0)</f>
        <v>0</v>
      </c>
      <c r="BQ271" s="1" t="n">
        <f aca="false">IF(AND(F_Partner=1,AG271&lt;PR_PRSIend),IF(AQ271/52&lt;=PR_PRSIfree,0,MAX(0,(AQ271/52*J271-IF(AQ271/52&lt;=PR_PRSIcreditTo,MAX(0,PR_PRSIcreditMax-(AQ271/52-(PR_PRSIfree+0.01))/PR_PRSItaper),0))*52)),0)</f>
        <v>0</v>
      </c>
      <c r="BR271" s="1" t="n">
        <f aca="false">BK271+BM271+BO271+BP271+BQ271</f>
        <v>0</v>
      </c>
      <c r="BS271" s="1" t="n">
        <f aca="false">BR271*H271</f>
        <v>0</v>
      </c>
      <c r="BT271" s="1" t="n">
        <f aca="false">K271+AK271+AC271+AF271+AH271+AI271</f>
        <v>0</v>
      </c>
    </row>
    <row r="272" customFormat="false" ht="15" hidden="false" customHeight="true" outlineLevel="0" collapsed="false">
      <c r="B272" s="1" t="n">
        <v>38</v>
      </c>
      <c r="C272" s="1" t="n">
        <f aca="false">F_Age+B272</f>
        <v>38</v>
      </c>
      <c r="D272" s="1" t="n">
        <f aca="false">AS_Year0+B272</f>
        <v>2065</v>
      </c>
      <c r="E272" s="111" t="n">
        <f aca="false">(1+AS_Infl)^B272</f>
        <v>2.12229879240182</v>
      </c>
      <c r="F272" s="111" t="n">
        <f aca="false">(1+AS_Wage)^B272</f>
        <v>3.07478347817804</v>
      </c>
      <c r="G272" s="1" t="n">
        <f aca="false">IF(C272&lt;F_R,1,0)</f>
        <v>1</v>
      </c>
      <c r="H272" s="111" t="n">
        <f aca="false">IF(AS_Bands="flat",1,E272)</f>
        <v>2.12229879240182</v>
      </c>
      <c r="I272" s="111" t="n">
        <f aca="false">IF(AS_SpGrow="pay",F272,IF(AS_SpGrow="flat",1,E272))</f>
        <v>2.12229879240182</v>
      </c>
      <c r="J272" s="111" t="n">
        <f aca="false">(12*PR_PRSIr0+(PR_PRSIr1-PR_PRSIr0)*MAX(0,MIN(12,D272*12+12-PR_PRSIt1))+(PR_PRSIr2-PR_PRSIr1)*MAX(0,MIN(12,D272*12+12-PR_PRSIt2))+(PR_PRSIr3-PR_PRSIr2)*MAX(0,MIN(12,D272*12+12-PR_PRSIt3)))/12</f>
        <v>0.047</v>
      </c>
      <c r="K272" s="1" t="n">
        <f aca="false">IF(G272=1,F_Income*F272,0)</f>
        <v>0</v>
      </c>
      <c r="L272" s="1" t="n">
        <f aca="false">IF(G272=1,(F_Own+In_penExtra)*12*F272,0)</f>
        <v>0</v>
      </c>
      <c r="M272" s="1" t="n">
        <f aca="false">IF(G272=1,(F_PenM+In_penExtra)*12*F272,0)</f>
        <v>0</v>
      </c>
      <c r="N272" s="112" t="n">
        <f aca="false">IF(C272&lt;PR_RelA1,PR_RelP1,IF(C272&lt;PR_RelA2,PR_RelP2,IF(C272&lt;PR_RelA3,PR_RelP3,IF(C272&lt;PR_RelA4,PR_RelP4,IF(C272&lt;PR_RelA5,PR_RelP5,PR_RelP6)))))</f>
        <v>0.2</v>
      </c>
      <c r="O272" s="1" t="n">
        <f aca="false">IF(G272=1,MIN(L272/H272,N272*MIN(K272/H272,PR_EarnCap))*H272,0)</f>
        <v>0</v>
      </c>
      <c r="P272" s="1" t="n">
        <f aca="false">IF(AND(G272=1,F_AE=1),MIN(K272/H272,PR_AEcap)*H272,0)</f>
        <v>0</v>
      </c>
      <c r="Q272" s="1" t="n">
        <f aca="false">IF(G272=1,IF(WI_Retire=1,MAX(0,M272+WI_M*12),M272)+(PR_AEee+PR_AEer+PR_AEst)*P272,0)</f>
        <v>0</v>
      </c>
      <c r="R272" s="1" t="n">
        <f aca="false">L272+PR_AEee*P272</f>
        <v>0</v>
      </c>
      <c r="S272" s="1" t="n">
        <f aca="false">AD271</f>
        <v>0</v>
      </c>
      <c r="T272" s="1" t="n">
        <f aca="false">IF(D272&lt;=PR_SFTfrom,PR_SFT2026,IF(D272=PR_SFTfrom+1,PR_SFT2027,IF(D272=PR_SFTfrom+2,PR_SFT2028,IF(D272&lt;=PR_SFTto,PR_SFT2029,PR_SFT2029*(1+AS_Infl)^(D272-PR_SFTto)))))</f>
        <v>5711684.56240398</v>
      </c>
      <c r="U272" s="1" t="n">
        <f aca="false">IF(AND(G272=0,C272=F_V),1,0)</f>
        <v>0</v>
      </c>
      <c r="V272" s="1" t="n">
        <f aca="false">IF(U272=1,PR_SFTrate*MAX(0,S272-T272),0)</f>
        <v>0</v>
      </c>
      <c r="W272" s="1" t="n">
        <f aca="false">S272-V272</f>
        <v>0</v>
      </c>
      <c r="X272" s="1" t="n">
        <f aca="false">IF(AND(U272=1,AS_LumpPct&gt;0),W272*MIN(AS_LumpPct,PR_LSmax),0)</f>
        <v>0</v>
      </c>
      <c r="Y272" s="1" t="n">
        <f aca="false">X272-(PR_LSrate*MAX(0,MIN(X272,PR_LScap)-PR_LSfree)+PR_r2*MAX(0,X272-PR_LScap))</f>
        <v>0</v>
      </c>
      <c r="Z272" s="1" t="n">
        <f aca="false">W272-X272</f>
        <v>0</v>
      </c>
      <c r="AA272" s="112" t="n">
        <f aca="false">IF(C272&gt;=PR_ARFage1,IF(Z272&gt;PR_ARFbig,PR_ARFbigRate,IF(C272&gt;=PR_ARFage2,PR_ARF71,PR_ARF61)),0)</f>
        <v>0</v>
      </c>
      <c r="AB272" s="1" t="n">
        <f aca="false">IF(AS_DrawRule="min",Z272*AA272,IF(AS_DrawRule="fixed",MAX(AS_DrawFixed*E272,Z272*AA272),Z272*MAX(1/MAX(1,AS_End-C272+1),AA272)))</f>
        <v>0</v>
      </c>
      <c r="AC272" s="1" t="n">
        <f aca="false">IF(AND(G272=0,C272&gt;=F_V),MIN(Z272,AB272),0)</f>
        <v>0</v>
      </c>
      <c r="AD272" s="1" t="n">
        <f aca="false">IF(G272=1,S272*(1+F_PenG)+Q272,IF(C272&lt;F_V,S272*(1+F_PenG),(Z272-AC272)*(1+AS_PenRet)))</f>
        <v>0</v>
      </c>
      <c r="AE272" s="1" t="n">
        <f aca="false">IF(C272&gt;=PR_SPage,AS_SP*F_SpF*I272+IF(AND(C272&gt;=PR_Over80Age,F_SpF&gt;0),PR_Over80*PR_Weeks*I272,0),0)</f>
        <v>0</v>
      </c>
      <c r="AF272" s="1" t="n">
        <f aca="false">(F_OtherM+F_RentM)*12*E272</f>
        <v>0</v>
      </c>
      <c r="AG272" s="1" t="n">
        <f aca="false">F_PAge+B272</f>
        <v>38</v>
      </c>
      <c r="AH272" s="1" t="n">
        <f aca="false">IF(AND(F_Partner=1,F_PAge&gt;0,AG272&lt;IF(F_PRet&gt;0,F_PRet,PR_SPage)),F_PIncome*F272,0)</f>
        <v>0</v>
      </c>
      <c r="AI272" s="1" t="n">
        <f aca="false">IF(AND(F_Partner=1,AG272&gt;=PR_SPage,F_PSpQA=0),AS_SP*F_PSpF*I272,0)</f>
        <v>0</v>
      </c>
      <c r="AJ272" s="1" t="n">
        <f aca="false">IF(AND(F_Partner=1,F_PSpQA=1,C272&gt;=PR_SPage,AH272=0),IF(AG272&gt;=PR_SPage,PR_QA66,PR_QAunder)*PR_Weeks*I272,0)</f>
        <v>0</v>
      </c>
      <c r="AK272" s="1" t="n">
        <f aca="false">AE272+AJ272</f>
        <v>0</v>
      </c>
      <c r="AL272" s="1" t="n">
        <f aca="false">K272/H272</f>
        <v>0</v>
      </c>
      <c r="AM272" s="1" t="n">
        <f aca="false">AK272/H272</f>
        <v>0</v>
      </c>
      <c r="AN272" s="1" t="n">
        <f aca="false">AC272/H272</f>
        <v>0</v>
      </c>
      <c r="AO272" s="1" t="n">
        <f aca="false">AF272/H272</f>
        <v>0</v>
      </c>
      <c r="AP272" s="1" t="n">
        <f aca="false">O272/H272</f>
        <v>0</v>
      </c>
      <c r="AQ272" s="1" t="n">
        <f aca="false">AH272/H272</f>
        <v>0</v>
      </c>
      <c r="AR272" s="1" t="n">
        <f aca="false">AI272/H272</f>
        <v>0</v>
      </c>
      <c r="AS272" s="1" t="n">
        <f aca="false">MAX(0,AL272+AN272+AO272+AM272-AP272)</f>
        <v>0</v>
      </c>
      <c r="AT272" s="1" t="n">
        <f aca="false">MAX(0,AQ272+AR272)</f>
        <v>0</v>
      </c>
      <c r="AU272" s="1" t="n">
        <f aca="false">MIN(PR_PAYE,PR_PAYEcap*(AL272+AN272+AM272))</f>
        <v>0</v>
      </c>
      <c r="AV272" s="1" t="n">
        <f aca="false">MIN(PR_PAYE,PR_PAYEcap*(AQ272+AR272))</f>
        <v>0</v>
      </c>
      <c r="AW272" s="1" t="n">
        <f aca="false">IF(C272&gt;=PR_AgeCrAge,PR_AgeCr,0)</f>
        <v>0</v>
      </c>
      <c r="AX272" s="1" t="n">
        <f aca="false">IF(AG272&gt;=PR_AgeCrAge,PR_AgeCr,0)</f>
        <v>0</v>
      </c>
      <c r="AY272" s="1" t="n">
        <f aca="false">IF(AND(F_RentCred=1,D272&lt;=PR_RentLast),1,0)</f>
        <v>0</v>
      </c>
      <c r="AZ272" s="1" t="n">
        <f aca="false">AS272+AT272</f>
        <v>0</v>
      </c>
      <c r="BA272" s="1" t="n">
        <f aca="false">PR_PersonalM+AU272+AV272+AW272+AX272+IF(AY272=1,PR_RentJoint,0)</f>
        <v>4000</v>
      </c>
      <c r="BB272" s="1" t="n">
        <f aca="false">PR_BandM+MIN(MIN(AS272,AT272),PR_Uplift)</f>
        <v>53000</v>
      </c>
      <c r="BC272" s="1" t="n">
        <f aca="false">MAX(0,PR_r1*MIN(AZ272,BB272)+PR_r2*MAX(0,AZ272-BB272)-BA272)</f>
        <v>0</v>
      </c>
      <c r="BD272" s="1" t="n">
        <f aca="false">MAX(0,PR_HomeCarer-MAX(0,MIN(AS272,AT272)-PR_HCLimit)/2)</f>
        <v>1950</v>
      </c>
      <c r="BE272" s="1" t="n">
        <f aca="false">IF(F_Carer=1,MIN(BC272,MAX(0,PR_r1*MIN(AZ272,PR_BandM)+PR_r2*MAX(0,AZ272-PR_BandM)-BA272-BD272)),BC272)</f>
        <v>0</v>
      </c>
      <c r="BF272" s="1" t="n">
        <f aca="false">IF(OR(C272&gt;=PR_AgeCrAge,AG272&gt;=PR_AgeCrAge),IF(AZ272&lt;=PR_AgeExM,0,MIN(BE272,PR_AgeMarg*(AZ272-PR_AgeExM))),BE272)</f>
        <v>0</v>
      </c>
      <c r="BG272" s="1" t="n">
        <f aca="false">MAX(0,PR_r1*MIN(AS272,IF(F_Spccc=1,PR_BandSPCCC,PR_Band))+PR_r2*MAX(0,AS272-IF(F_Spccc=1,PR_BandSPCCC,PR_Band))-(PR_Personal+AU272+AW272+IF(F_Spccc=1,PR_SPCCC,0)+IF(AY272=1,PR_Rent,0)))</f>
        <v>0</v>
      </c>
      <c r="BH272" s="1" t="n">
        <f aca="false">IF(C272&gt;=PR_AgeCrAge,IF(AS272&lt;=PR_AgeEx,0,MIN(BG272,PR_AgeMarg*(AS272-PR_AgeEx))),BG272)</f>
        <v>0</v>
      </c>
      <c r="BI272" s="1" t="n">
        <f aca="false">IF(F_Partner=1,MAX(0,PR_r1*MIN(AT272,PR_Band)+PR_r2*MAX(0,AT272-PR_Band)-(PR_Personal+AV272+AX272+IF(AND(AY272=1,AT272&gt;0),PR_Rent,0))),0)</f>
        <v>0</v>
      </c>
      <c r="BJ272" s="1" t="n">
        <f aca="false">IF(AG272&gt;=PR_AgeCrAge,IF(AT272&lt;=PR_AgeEx,0,MIN(BI272,PR_AgeMarg*(AT272-PR_AgeEx))),BI272)</f>
        <v>0</v>
      </c>
      <c r="BK272" s="1" t="n">
        <f aca="false">IF(F_Partner=1,IF(F_Married=1,BF272,BH272+BJ272),BH272)</f>
        <v>0</v>
      </c>
      <c r="BL272" s="1" t="n">
        <f aca="false">AL272+AN272+AO272</f>
        <v>0</v>
      </c>
      <c r="BM272" s="1" t="n">
        <f aca="false">IF(BL272&lt;=PR_USCex,0,IF(IF(AND(C272&gt;=PR_USCredAge,BL272&lt;=PR_USCredMax),1,0)=1,PR_USCr1*MIN(BL272,PR_USCredB1)+PR_USCredR2*MAX(0,BL272-PR_USCredB1),PR_USCr1*MIN(BL272,PR_USCb1)+PR_USCr2*MAX(0,MIN(BL272,PR_USCb2)-PR_USCb1)+PR_USCr3*MAX(0,MIN(BL272,PR_USCb3)-PR_USCb2)+PR_USCr4*MAX(0,BL272-PR_USCb3)))+IF(F_SelfEmp=1,PR_USCse*MAX(0,AL272-PR_USCseOver),0)</f>
        <v>0</v>
      </c>
      <c r="BN272" s="1" t="n">
        <f aca="false">AQ272</f>
        <v>0</v>
      </c>
      <c r="BO272" s="1" t="n">
        <f aca="false">IF(F_Partner=1,IF(BN272&lt;=PR_USCex,0,IF(IF(AND(AG272&gt;=PR_USCredAge,BN272&lt;=PR_USCredMax),1,0)=1,PR_USCr1*MIN(BN272,PR_USCredB1)+PR_USCredR2*MAX(0,BN272-PR_USCredB1),PR_USCr1*MIN(BN272,PR_USCb1)+PR_USCr2*MAX(0,MIN(BN272,PR_USCb2)-PR_USCb1)+PR_USCr3*MAX(0,MIN(BN272,PR_USCb3)-PR_USCb2)+PR_USCr4*MAX(0,BN272-PR_USCb3))),0)</f>
        <v>0</v>
      </c>
      <c r="BP272" s="1" t="n">
        <f aca="false">IF(C272&lt;PR_PRSIend,IF(F_SelfEmp=1,IF(AL272&gt;PR_PRSIsMinInc,MAX(PR_PRSIsMin,AL272*J272),0),IF(AL272/52&lt;=PR_PRSIfree,0,MAX(0,(AL272/52*J272-IF(AL272/52&lt;=PR_PRSIcreditTo,MAX(0,PR_PRSIcreditMax-(AL272/52-(PR_PRSIfree+0.01))/PR_PRSItaper),0))*52)))+J272*AN272+IF(AO272&gt;PR_PRSIunearned,J272*AO272,0),0)</f>
        <v>0</v>
      </c>
      <c r="BQ272" s="1" t="n">
        <f aca="false">IF(AND(F_Partner=1,AG272&lt;PR_PRSIend),IF(AQ272/52&lt;=PR_PRSIfree,0,MAX(0,(AQ272/52*J272-IF(AQ272/52&lt;=PR_PRSIcreditTo,MAX(0,PR_PRSIcreditMax-(AQ272/52-(PR_PRSIfree+0.01))/PR_PRSItaper),0))*52)),0)</f>
        <v>0</v>
      </c>
      <c r="BR272" s="1" t="n">
        <f aca="false">BK272+BM272+BO272+BP272+BQ272</f>
        <v>0</v>
      </c>
      <c r="BS272" s="1" t="n">
        <f aca="false">BR272*H272</f>
        <v>0</v>
      </c>
      <c r="BT272" s="1" t="n">
        <f aca="false">K272+AK272+AC272+AF272+AH272+AI272</f>
        <v>0</v>
      </c>
    </row>
    <row r="273" customFormat="false" ht="15" hidden="false" customHeight="true" outlineLevel="0" collapsed="false">
      <c r="B273" s="1" t="n">
        <v>39</v>
      </c>
      <c r="C273" s="1" t="n">
        <f aca="false">F_Age+B273</f>
        <v>39</v>
      </c>
      <c r="D273" s="1" t="n">
        <f aca="false">AS_Year0+B273</f>
        <v>2066</v>
      </c>
      <c r="E273" s="111" t="n">
        <f aca="false">(1+AS_Infl)^B273</f>
        <v>2.16474476824986</v>
      </c>
      <c r="F273" s="111" t="n">
        <f aca="false">(1+AS_Wage)^B273</f>
        <v>3.16702698252338</v>
      </c>
      <c r="G273" s="1" t="n">
        <f aca="false">IF(C273&lt;F_R,1,0)</f>
        <v>1</v>
      </c>
      <c r="H273" s="111" t="n">
        <f aca="false">IF(AS_Bands="flat",1,E273)</f>
        <v>2.16474476824986</v>
      </c>
      <c r="I273" s="111" t="n">
        <f aca="false">IF(AS_SpGrow="pay",F273,IF(AS_SpGrow="flat",1,E273))</f>
        <v>2.16474476824986</v>
      </c>
      <c r="J273" s="111" t="n">
        <f aca="false">(12*PR_PRSIr0+(PR_PRSIr1-PR_PRSIr0)*MAX(0,MIN(12,D273*12+12-PR_PRSIt1))+(PR_PRSIr2-PR_PRSIr1)*MAX(0,MIN(12,D273*12+12-PR_PRSIt2))+(PR_PRSIr3-PR_PRSIr2)*MAX(0,MIN(12,D273*12+12-PR_PRSIt3)))/12</f>
        <v>0.047</v>
      </c>
      <c r="K273" s="1" t="n">
        <f aca="false">IF(G273=1,F_Income*F273,0)</f>
        <v>0</v>
      </c>
      <c r="L273" s="1" t="n">
        <f aca="false">IF(G273=1,(F_Own+In_penExtra)*12*F273,0)</f>
        <v>0</v>
      </c>
      <c r="M273" s="1" t="n">
        <f aca="false">IF(G273=1,(F_PenM+In_penExtra)*12*F273,0)</f>
        <v>0</v>
      </c>
      <c r="N273" s="112" t="n">
        <f aca="false">IF(C273&lt;PR_RelA1,PR_RelP1,IF(C273&lt;PR_RelA2,PR_RelP2,IF(C273&lt;PR_RelA3,PR_RelP3,IF(C273&lt;PR_RelA4,PR_RelP4,IF(C273&lt;PR_RelA5,PR_RelP5,PR_RelP6)))))</f>
        <v>0.2</v>
      </c>
      <c r="O273" s="1" t="n">
        <f aca="false">IF(G273=1,MIN(L273/H273,N273*MIN(K273/H273,PR_EarnCap))*H273,0)</f>
        <v>0</v>
      </c>
      <c r="P273" s="1" t="n">
        <f aca="false">IF(AND(G273=1,F_AE=1),MIN(K273/H273,PR_AEcap)*H273,0)</f>
        <v>0</v>
      </c>
      <c r="Q273" s="1" t="n">
        <f aca="false">IF(G273=1,IF(WI_Retire=1,MAX(0,M273+WI_M*12),M273)+(PR_AEee+PR_AEer+PR_AEst)*P273,0)</f>
        <v>0</v>
      </c>
      <c r="R273" s="1" t="n">
        <f aca="false">L273+PR_AEee*P273</f>
        <v>0</v>
      </c>
      <c r="S273" s="1" t="n">
        <f aca="false">AD272</f>
        <v>0</v>
      </c>
      <c r="T273" s="1" t="n">
        <f aca="false">IF(D273&lt;=PR_SFTfrom,PR_SFT2026,IF(D273=PR_SFTfrom+1,PR_SFT2027,IF(D273=PR_SFTfrom+2,PR_SFT2028,IF(D273&lt;=PR_SFTto,PR_SFT2029,PR_SFT2029*(1+AS_Infl)^(D273-PR_SFTto)))))</f>
        <v>5825918.25365206</v>
      </c>
      <c r="U273" s="1" t="n">
        <f aca="false">IF(AND(G273=0,C273=F_V),1,0)</f>
        <v>0</v>
      </c>
      <c r="V273" s="1" t="n">
        <f aca="false">IF(U273=1,PR_SFTrate*MAX(0,S273-T273),0)</f>
        <v>0</v>
      </c>
      <c r="W273" s="1" t="n">
        <f aca="false">S273-V273</f>
        <v>0</v>
      </c>
      <c r="X273" s="1" t="n">
        <f aca="false">IF(AND(U273=1,AS_LumpPct&gt;0),W273*MIN(AS_LumpPct,PR_LSmax),0)</f>
        <v>0</v>
      </c>
      <c r="Y273" s="1" t="n">
        <f aca="false">X273-(PR_LSrate*MAX(0,MIN(X273,PR_LScap)-PR_LSfree)+PR_r2*MAX(0,X273-PR_LScap))</f>
        <v>0</v>
      </c>
      <c r="Z273" s="1" t="n">
        <f aca="false">W273-X273</f>
        <v>0</v>
      </c>
      <c r="AA273" s="112" t="n">
        <f aca="false">IF(C273&gt;=PR_ARFage1,IF(Z273&gt;PR_ARFbig,PR_ARFbigRate,IF(C273&gt;=PR_ARFage2,PR_ARF71,PR_ARF61)),0)</f>
        <v>0</v>
      </c>
      <c r="AB273" s="1" t="n">
        <f aca="false">IF(AS_DrawRule="min",Z273*AA273,IF(AS_DrawRule="fixed",MAX(AS_DrawFixed*E273,Z273*AA273),Z273*MAX(1/MAX(1,AS_End-C273+1),AA273)))</f>
        <v>0</v>
      </c>
      <c r="AC273" s="1" t="n">
        <f aca="false">IF(AND(G273=0,C273&gt;=F_V),MIN(Z273,AB273),0)</f>
        <v>0</v>
      </c>
      <c r="AD273" s="1" t="n">
        <f aca="false">IF(G273=1,S273*(1+F_PenG)+Q273,IF(C273&lt;F_V,S273*(1+F_PenG),(Z273-AC273)*(1+AS_PenRet)))</f>
        <v>0</v>
      </c>
      <c r="AE273" s="1" t="n">
        <f aca="false">IF(C273&gt;=PR_SPage,AS_SP*F_SpF*I273+IF(AND(C273&gt;=PR_Over80Age,F_SpF&gt;0),PR_Over80*PR_Weeks*I273,0),0)</f>
        <v>0</v>
      </c>
      <c r="AF273" s="1" t="n">
        <f aca="false">(F_OtherM+F_RentM)*12*E273</f>
        <v>0</v>
      </c>
      <c r="AG273" s="1" t="n">
        <f aca="false">F_PAge+B273</f>
        <v>39</v>
      </c>
      <c r="AH273" s="1" t="n">
        <f aca="false">IF(AND(F_Partner=1,F_PAge&gt;0,AG273&lt;IF(F_PRet&gt;0,F_PRet,PR_SPage)),F_PIncome*F273,0)</f>
        <v>0</v>
      </c>
      <c r="AI273" s="1" t="n">
        <f aca="false">IF(AND(F_Partner=1,AG273&gt;=PR_SPage,F_PSpQA=0),AS_SP*F_PSpF*I273,0)</f>
        <v>0</v>
      </c>
      <c r="AJ273" s="1" t="n">
        <f aca="false">IF(AND(F_Partner=1,F_PSpQA=1,C273&gt;=PR_SPage,AH273=0),IF(AG273&gt;=PR_SPage,PR_QA66,PR_QAunder)*PR_Weeks*I273,0)</f>
        <v>0</v>
      </c>
      <c r="AK273" s="1" t="n">
        <f aca="false">AE273+AJ273</f>
        <v>0</v>
      </c>
      <c r="AL273" s="1" t="n">
        <f aca="false">K273/H273</f>
        <v>0</v>
      </c>
      <c r="AM273" s="1" t="n">
        <f aca="false">AK273/H273</f>
        <v>0</v>
      </c>
      <c r="AN273" s="1" t="n">
        <f aca="false">AC273/H273</f>
        <v>0</v>
      </c>
      <c r="AO273" s="1" t="n">
        <f aca="false">AF273/H273</f>
        <v>0</v>
      </c>
      <c r="AP273" s="1" t="n">
        <f aca="false">O273/H273</f>
        <v>0</v>
      </c>
      <c r="AQ273" s="1" t="n">
        <f aca="false">AH273/H273</f>
        <v>0</v>
      </c>
      <c r="AR273" s="1" t="n">
        <f aca="false">AI273/H273</f>
        <v>0</v>
      </c>
      <c r="AS273" s="1" t="n">
        <f aca="false">MAX(0,AL273+AN273+AO273+AM273-AP273)</f>
        <v>0</v>
      </c>
      <c r="AT273" s="1" t="n">
        <f aca="false">MAX(0,AQ273+AR273)</f>
        <v>0</v>
      </c>
      <c r="AU273" s="1" t="n">
        <f aca="false">MIN(PR_PAYE,PR_PAYEcap*(AL273+AN273+AM273))</f>
        <v>0</v>
      </c>
      <c r="AV273" s="1" t="n">
        <f aca="false">MIN(PR_PAYE,PR_PAYEcap*(AQ273+AR273))</f>
        <v>0</v>
      </c>
      <c r="AW273" s="1" t="n">
        <f aca="false">IF(C273&gt;=PR_AgeCrAge,PR_AgeCr,0)</f>
        <v>0</v>
      </c>
      <c r="AX273" s="1" t="n">
        <f aca="false">IF(AG273&gt;=PR_AgeCrAge,PR_AgeCr,0)</f>
        <v>0</v>
      </c>
      <c r="AY273" s="1" t="n">
        <f aca="false">IF(AND(F_RentCred=1,D273&lt;=PR_RentLast),1,0)</f>
        <v>0</v>
      </c>
      <c r="AZ273" s="1" t="n">
        <f aca="false">AS273+AT273</f>
        <v>0</v>
      </c>
      <c r="BA273" s="1" t="n">
        <f aca="false">PR_PersonalM+AU273+AV273+AW273+AX273+IF(AY273=1,PR_RentJoint,0)</f>
        <v>4000</v>
      </c>
      <c r="BB273" s="1" t="n">
        <f aca="false">PR_BandM+MIN(MIN(AS273,AT273),PR_Uplift)</f>
        <v>53000</v>
      </c>
      <c r="BC273" s="1" t="n">
        <f aca="false">MAX(0,PR_r1*MIN(AZ273,BB273)+PR_r2*MAX(0,AZ273-BB273)-BA273)</f>
        <v>0</v>
      </c>
      <c r="BD273" s="1" t="n">
        <f aca="false">MAX(0,PR_HomeCarer-MAX(0,MIN(AS273,AT273)-PR_HCLimit)/2)</f>
        <v>1950</v>
      </c>
      <c r="BE273" s="1" t="n">
        <f aca="false">IF(F_Carer=1,MIN(BC273,MAX(0,PR_r1*MIN(AZ273,PR_BandM)+PR_r2*MAX(0,AZ273-PR_BandM)-BA273-BD273)),BC273)</f>
        <v>0</v>
      </c>
      <c r="BF273" s="1" t="n">
        <f aca="false">IF(OR(C273&gt;=PR_AgeCrAge,AG273&gt;=PR_AgeCrAge),IF(AZ273&lt;=PR_AgeExM,0,MIN(BE273,PR_AgeMarg*(AZ273-PR_AgeExM))),BE273)</f>
        <v>0</v>
      </c>
      <c r="BG273" s="1" t="n">
        <f aca="false">MAX(0,PR_r1*MIN(AS273,IF(F_Spccc=1,PR_BandSPCCC,PR_Band))+PR_r2*MAX(0,AS273-IF(F_Spccc=1,PR_BandSPCCC,PR_Band))-(PR_Personal+AU273+AW273+IF(F_Spccc=1,PR_SPCCC,0)+IF(AY273=1,PR_Rent,0)))</f>
        <v>0</v>
      </c>
      <c r="BH273" s="1" t="n">
        <f aca="false">IF(C273&gt;=PR_AgeCrAge,IF(AS273&lt;=PR_AgeEx,0,MIN(BG273,PR_AgeMarg*(AS273-PR_AgeEx))),BG273)</f>
        <v>0</v>
      </c>
      <c r="BI273" s="1" t="n">
        <f aca="false">IF(F_Partner=1,MAX(0,PR_r1*MIN(AT273,PR_Band)+PR_r2*MAX(0,AT273-PR_Band)-(PR_Personal+AV273+AX273+IF(AND(AY273=1,AT273&gt;0),PR_Rent,0))),0)</f>
        <v>0</v>
      </c>
      <c r="BJ273" s="1" t="n">
        <f aca="false">IF(AG273&gt;=PR_AgeCrAge,IF(AT273&lt;=PR_AgeEx,0,MIN(BI273,PR_AgeMarg*(AT273-PR_AgeEx))),BI273)</f>
        <v>0</v>
      </c>
      <c r="BK273" s="1" t="n">
        <f aca="false">IF(F_Partner=1,IF(F_Married=1,BF273,BH273+BJ273),BH273)</f>
        <v>0</v>
      </c>
      <c r="BL273" s="1" t="n">
        <f aca="false">AL273+AN273+AO273</f>
        <v>0</v>
      </c>
      <c r="BM273" s="1" t="n">
        <f aca="false">IF(BL273&lt;=PR_USCex,0,IF(IF(AND(C273&gt;=PR_USCredAge,BL273&lt;=PR_USCredMax),1,0)=1,PR_USCr1*MIN(BL273,PR_USCredB1)+PR_USCredR2*MAX(0,BL273-PR_USCredB1),PR_USCr1*MIN(BL273,PR_USCb1)+PR_USCr2*MAX(0,MIN(BL273,PR_USCb2)-PR_USCb1)+PR_USCr3*MAX(0,MIN(BL273,PR_USCb3)-PR_USCb2)+PR_USCr4*MAX(0,BL273-PR_USCb3)))+IF(F_SelfEmp=1,PR_USCse*MAX(0,AL273-PR_USCseOver),0)</f>
        <v>0</v>
      </c>
      <c r="BN273" s="1" t="n">
        <f aca="false">AQ273</f>
        <v>0</v>
      </c>
      <c r="BO273" s="1" t="n">
        <f aca="false">IF(F_Partner=1,IF(BN273&lt;=PR_USCex,0,IF(IF(AND(AG273&gt;=PR_USCredAge,BN273&lt;=PR_USCredMax),1,0)=1,PR_USCr1*MIN(BN273,PR_USCredB1)+PR_USCredR2*MAX(0,BN273-PR_USCredB1),PR_USCr1*MIN(BN273,PR_USCb1)+PR_USCr2*MAX(0,MIN(BN273,PR_USCb2)-PR_USCb1)+PR_USCr3*MAX(0,MIN(BN273,PR_USCb3)-PR_USCb2)+PR_USCr4*MAX(0,BN273-PR_USCb3))),0)</f>
        <v>0</v>
      </c>
      <c r="BP273" s="1" t="n">
        <f aca="false">IF(C273&lt;PR_PRSIend,IF(F_SelfEmp=1,IF(AL273&gt;PR_PRSIsMinInc,MAX(PR_PRSIsMin,AL273*J273),0),IF(AL273/52&lt;=PR_PRSIfree,0,MAX(0,(AL273/52*J273-IF(AL273/52&lt;=PR_PRSIcreditTo,MAX(0,PR_PRSIcreditMax-(AL273/52-(PR_PRSIfree+0.01))/PR_PRSItaper),0))*52)))+J273*AN273+IF(AO273&gt;PR_PRSIunearned,J273*AO273,0),0)</f>
        <v>0</v>
      </c>
      <c r="BQ273" s="1" t="n">
        <f aca="false">IF(AND(F_Partner=1,AG273&lt;PR_PRSIend),IF(AQ273/52&lt;=PR_PRSIfree,0,MAX(0,(AQ273/52*J273-IF(AQ273/52&lt;=PR_PRSIcreditTo,MAX(0,PR_PRSIcreditMax-(AQ273/52-(PR_PRSIfree+0.01))/PR_PRSItaper),0))*52)),0)</f>
        <v>0</v>
      </c>
      <c r="BR273" s="1" t="n">
        <f aca="false">BK273+BM273+BO273+BP273+BQ273</f>
        <v>0</v>
      </c>
      <c r="BS273" s="1" t="n">
        <f aca="false">BR273*H273</f>
        <v>0</v>
      </c>
      <c r="BT273" s="1" t="n">
        <f aca="false">K273+AK273+AC273+AF273+AH273+AI273</f>
        <v>0</v>
      </c>
    </row>
    <row r="274" customFormat="false" ht="15" hidden="false" customHeight="true" outlineLevel="0" collapsed="false">
      <c r="B274" s="1" t="n">
        <v>40</v>
      </c>
      <c r="C274" s="1" t="n">
        <f aca="false">F_Age+B274</f>
        <v>40</v>
      </c>
      <c r="D274" s="1" t="n">
        <f aca="false">AS_Year0+B274</f>
        <v>2067</v>
      </c>
      <c r="E274" s="111" t="n">
        <f aca="false">(1+AS_Infl)^B274</f>
        <v>2.20803966361485</v>
      </c>
      <c r="F274" s="111" t="n">
        <f aca="false">(1+AS_Wage)^B274</f>
        <v>3.26203779199908</v>
      </c>
      <c r="G274" s="1" t="n">
        <f aca="false">IF(C274&lt;F_R,1,0)</f>
        <v>1</v>
      </c>
      <c r="H274" s="111" t="n">
        <f aca="false">IF(AS_Bands="flat",1,E274)</f>
        <v>2.20803966361485</v>
      </c>
      <c r="I274" s="111" t="n">
        <f aca="false">IF(AS_SpGrow="pay",F274,IF(AS_SpGrow="flat",1,E274))</f>
        <v>2.20803966361485</v>
      </c>
      <c r="J274" s="111" t="n">
        <f aca="false">(12*PR_PRSIr0+(PR_PRSIr1-PR_PRSIr0)*MAX(0,MIN(12,D274*12+12-PR_PRSIt1))+(PR_PRSIr2-PR_PRSIr1)*MAX(0,MIN(12,D274*12+12-PR_PRSIt2))+(PR_PRSIr3-PR_PRSIr2)*MAX(0,MIN(12,D274*12+12-PR_PRSIt3)))/12</f>
        <v>0.047</v>
      </c>
      <c r="K274" s="1" t="n">
        <f aca="false">IF(G274=1,F_Income*F274,0)</f>
        <v>0</v>
      </c>
      <c r="L274" s="1" t="n">
        <f aca="false">IF(G274=1,(F_Own+In_penExtra)*12*F274,0)</f>
        <v>0</v>
      </c>
      <c r="M274" s="1" t="n">
        <f aca="false">IF(G274=1,(F_PenM+In_penExtra)*12*F274,0)</f>
        <v>0</v>
      </c>
      <c r="N274" s="112" t="n">
        <f aca="false">IF(C274&lt;PR_RelA1,PR_RelP1,IF(C274&lt;PR_RelA2,PR_RelP2,IF(C274&lt;PR_RelA3,PR_RelP3,IF(C274&lt;PR_RelA4,PR_RelP4,IF(C274&lt;PR_RelA5,PR_RelP5,PR_RelP6)))))</f>
        <v>0.25</v>
      </c>
      <c r="O274" s="1" t="n">
        <f aca="false">IF(G274=1,MIN(L274/H274,N274*MIN(K274/H274,PR_EarnCap))*H274,0)</f>
        <v>0</v>
      </c>
      <c r="P274" s="1" t="n">
        <f aca="false">IF(AND(G274=1,F_AE=1),MIN(K274/H274,PR_AEcap)*H274,0)</f>
        <v>0</v>
      </c>
      <c r="Q274" s="1" t="n">
        <f aca="false">IF(G274=1,IF(WI_Retire=1,MAX(0,M274+WI_M*12),M274)+(PR_AEee+PR_AEer+PR_AEst)*P274,0)</f>
        <v>0</v>
      </c>
      <c r="R274" s="1" t="n">
        <f aca="false">L274+PR_AEee*P274</f>
        <v>0</v>
      </c>
      <c r="S274" s="1" t="n">
        <f aca="false">AD273</f>
        <v>0</v>
      </c>
      <c r="T274" s="1" t="n">
        <f aca="false">IF(D274&lt;=PR_SFTfrom,PR_SFT2026,IF(D274=PR_SFTfrom+1,PR_SFT2027,IF(D274=PR_SFTfrom+2,PR_SFT2028,IF(D274&lt;=PR_SFTto,PR_SFT2029,PR_SFT2029*(1+AS_Infl)^(D274-PR_SFTto)))))</f>
        <v>5942436.6187251</v>
      </c>
      <c r="U274" s="1" t="n">
        <f aca="false">IF(AND(G274=0,C274=F_V),1,0)</f>
        <v>0</v>
      </c>
      <c r="V274" s="1" t="n">
        <f aca="false">IF(U274=1,PR_SFTrate*MAX(0,S274-T274),0)</f>
        <v>0</v>
      </c>
      <c r="W274" s="1" t="n">
        <f aca="false">S274-V274</f>
        <v>0</v>
      </c>
      <c r="X274" s="1" t="n">
        <f aca="false">IF(AND(U274=1,AS_LumpPct&gt;0),W274*MIN(AS_LumpPct,PR_LSmax),0)</f>
        <v>0</v>
      </c>
      <c r="Y274" s="1" t="n">
        <f aca="false">X274-(PR_LSrate*MAX(0,MIN(X274,PR_LScap)-PR_LSfree)+PR_r2*MAX(0,X274-PR_LScap))</f>
        <v>0</v>
      </c>
      <c r="Z274" s="1" t="n">
        <f aca="false">W274-X274</f>
        <v>0</v>
      </c>
      <c r="AA274" s="112" t="n">
        <f aca="false">IF(C274&gt;=PR_ARFage1,IF(Z274&gt;PR_ARFbig,PR_ARFbigRate,IF(C274&gt;=PR_ARFage2,PR_ARF71,PR_ARF61)),0)</f>
        <v>0</v>
      </c>
      <c r="AB274" s="1" t="n">
        <f aca="false">IF(AS_DrawRule="min",Z274*AA274,IF(AS_DrawRule="fixed",MAX(AS_DrawFixed*E274,Z274*AA274),Z274*MAX(1/MAX(1,AS_End-C274+1),AA274)))</f>
        <v>0</v>
      </c>
      <c r="AC274" s="1" t="n">
        <f aca="false">IF(AND(G274=0,C274&gt;=F_V),MIN(Z274,AB274),0)</f>
        <v>0</v>
      </c>
      <c r="AD274" s="1" t="n">
        <f aca="false">IF(G274=1,S274*(1+F_PenG)+Q274,IF(C274&lt;F_V,S274*(1+F_PenG),(Z274-AC274)*(1+AS_PenRet)))</f>
        <v>0</v>
      </c>
      <c r="AE274" s="1" t="n">
        <f aca="false">IF(C274&gt;=PR_SPage,AS_SP*F_SpF*I274+IF(AND(C274&gt;=PR_Over80Age,F_SpF&gt;0),PR_Over80*PR_Weeks*I274,0),0)</f>
        <v>0</v>
      </c>
      <c r="AF274" s="1" t="n">
        <f aca="false">(F_OtherM+F_RentM)*12*E274</f>
        <v>0</v>
      </c>
      <c r="AG274" s="1" t="n">
        <f aca="false">F_PAge+B274</f>
        <v>40</v>
      </c>
      <c r="AH274" s="1" t="n">
        <f aca="false">IF(AND(F_Partner=1,F_PAge&gt;0,AG274&lt;IF(F_PRet&gt;0,F_PRet,PR_SPage)),F_PIncome*F274,0)</f>
        <v>0</v>
      </c>
      <c r="AI274" s="1" t="n">
        <f aca="false">IF(AND(F_Partner=1,AG274&gt;=PR_SPage,F_PSpQA=0),AS_SP*F_PSpF*I274,0)</f>
        <v>0</v>
      </c>
      <c r="AJ274" s="1" t="n">
        <f aca="false">IF(AND(F_Partner=1,F_PSpQA=1,C274&gt;=PR_SPage,AH274=0),IF(AG274&gt;=PR_SPage,PR_QA66,PR_QAunder)*PR_Weeks*I274,0)</f>
        <v>0</v>
      </c>
      <c r="AK274" s="1" t="n">
        <f aca="false">AE274+AJ274</f>
        <v>0</v>
      </c>
      <c r="AL274" s="1" t="n">
        <f aca="false">K274/H274</f>
        <v>0</v>
      </c>
      <c r="AM274" s="1" t="n">
        <f aca="false">AK274/H274</f>
        <v>0</v>
      </c>
      <c r="AN274" s="1" t="n">
        <f aca="false">AC274/H274</f>
        <v>0</v>
      </c>
      <c r="AO274" s="1" t="n">
        <f aca="false">AF274/H274</f>
        <v>0</v>
      </c>
      <c r="AP274" s="1" t="n">
        <f aca="false">O274/H274</f>
        <v>0</v>
      </c>
      <c r="AQ274" s="1" t="n">
        <f aca="false">AH274/H274</f>
        <v>0</v>
      </c>
      <c r="AR274" s="1" t="n">
        <f aca="false">AI274/H274</f>
        <v>0</v>
      </c>
      <c r="AS274" s="1" t="n">
        <f aca="false">MAX(0,AL274+AN274+AO274+AM274-AP274)</f>
        <v>0</v>
      </c>
      <c r="AT274" s="1" t="n">
        <f aca="false">MAX(0,AQ274+AR274)</f>
        <v>0</v>
      </c>
      <c r="AU274" s="1" t="n">
        <f aca="false">MIN(PR_PAYE,PR_PAYEcap*(AL274+AN274+AM274))</f>
        <v>0</v>
      </c>
      <c r="AV274" s="1" t="n">
        <f aca="false">MIN(PR_PAYE,PR_PAYEcap*(AQ274+AR274))</f>
        <v>0</v>
      </c>
      <c r="AW274" s="1" t="n">
        <f aca="false">IF(C274&gt;=PR_AgeCrAge,PR_AgeCr,0)</f>
        <v>0</v>
      </c>
      <c r="AX274" s="1" t="n">
        <f aca="false">IF(AG274&gt;=PR_AgeCrAge,PR_AgeCr,0)</f>
        <v>0</v>
      </c>
      <c r="AY274" s="1" t="n">
        <f aca="false">IF(AND(F_RentCred=1,D274&lt;=PR_RentLast),1,0)</f>
        <v>0</v>
      </c>
      <c r="AZ274" s="1" t="n">
        <f aca="false">AS274+AT274</f>
        <v>0</v>
      </c>
      <c r="BA274" s="1" t="n">
        <f aca="false">PR_PersonalM+AU274+AV274+AW274+AX274+IF(AY274=1,PR_RentJoint,0)</f>
        <v>4000</v>
      </c>
      <c r="BB274" s="1" t="n">
        <f aca="false">PR_BandM+MIN(MIN(AS274,AT274),PR_Uplift)</f>
        <v>53000</v>
      </c>
      <c r="BC274" s="1" t="n">
        <f aca="false">MAX(0,PR_r1*MIN(AZ274,BB274)+PR_r2*MAX(0,AZ274-BB274)-BA274)</f>
        <v>0</v>
      </c>
      <c r="BD274" s="1" t="n">
        <f aca="false">MAX(0,PR_HomeCarer-MAX(0,MIN(AS274,AT274)-PR_HCLimit)/2)</f>
        <v>1950</v>
      </c>
      <c r="BE274" s="1" t="n">
        <f aca="false">IF(F_Carer=1,MIN(BC274,MAX(0,PR_r1*MIN(AZ274,PR_BandM)+PR_r2*MAX(0,AZ274-PR_BandM)-BA274-BD274)),BC274)</f>
        <v>0</v>
      </c>
      <c r="BF274" s="1" t="n">
        <f aca="false">IF(OR(C274&gt;=PR_AgeCrAge,AG274&gt;=PR_AgeCrAge),IF(AZ274&lt;=PR_AgeExM,0,MIN(BE274,PR_AgeMarg*(AZ274-PR_AgeExM))),BE274)</f>
        <v>0</v>
      </c>
      <c r="BG274" s="1" t="n">
        <f aca="false">MAX(0,PR_r1*MIN(AS274,IF(F_Spccc=1,PR_BandSPCCC,PR_Band))+PR_r2*MAX(0,AS274-IF(F_Spccc=1,PR_BandSPCCC,PR_Band))-(PR_Personal+AU274+AW274+IF(F_Spccc=1,PR_SPCCC,0)+IF(AY274=1,PR_Rent,0)))</f>
        <v>0</v>
      </c>
      <c r="BH274" s="1" t="n">
        <f aca="false">IF(C274&gt;=PR_AgeCrAge,IF(AS274&lt;=PR_AgeEx,0,MIN(BG274,PR_AgeMarg*(AS274-PR_AgeEx))),BG274)</f>
        <v>0</v>
      </c>
      <c r="BI274" s="1" t="n">
        <f aca="false">IF(F_Partner=1,MAX(0,PR_r1*MIN(AT274,PR_Band)+PR_r2*MAX(0,AT274-PR_Band)-(PR_Personal+AV274+AX274+IF(AND(AY274=1,AT274&gt;0),PR_Rent,0))),0)</f>
        <v>0</v>
      </c>
      <c r="BJ274" s="1" t="n">
        <f aca="false">IF(AG274&gt;=PR_AgeCrAge,IF(AT274&lt;=PR_AgeEx,0,MIN(BI274,PR_AgeMarg*(AT274-PR_AgeEx))),BI274)</f>
        <v>0</v>
      </c>
      <c r="BK274" s="1" t="n">
        <f aca="false">IF(F_Partner=1,IF(F_Married=1,BF274,BH274+BJ274),BH274)</f>
        <v>0</v>
      </c>
      <c r="BL274" s="1" t="n">
        <f aca="false">AL274+AN274+AO274</f>
        <v>0</v>
      </c>
      <c r="BM274" s="1" t="n">
        <f aca="false">IF(BL274&lt;=PR_USCex,0,IF(IF(AND(C274&gt;=PR_USCredAge,BL274&lt;=PR_USCredMax),1,0)=1,PR_USCr1*MIN(BL274,PR_USCredB1)+PR_USCredR2*MAX(0,BL274-PR_USCredB1),PR_USCr1*MIN(BL274,PR_USCb1)+PR_USCr2*MAX(0,MIN(BL274,PR_USCb2)-PR_USCb1)+PR_USCr3*MAX(0,MIN(BL274,PR_USCb3)-PR_USCb2)+PR_USCr4*MAX(0,BL274-PR_USCb3)))+IF(F_SelfEmp=1,PR_USCse*MAX(0,AL274-PR_USCseOver),0)</f>
        <v>0</v>
      </c>
      <c r="BN274" s="1" t="n">
        <f aca="false">AQ274</f>
        <v>0</v>
      </c>
      <c r="BO274" s="1" t="n">
        <f aca="false">IF(F_Partner=1,IF(BN274&lt;=PR_USCex,0,IF(IF(AND(AG274&gt;=PR_USCredAge,BN274&lt;=PR_USCredMax),1,0)=1,PR_USCr1*MIN(BN274,PR_USCredB1)+PR_USCredR2*MAX(0,BN274-PR_USCredB1),PR_USCr1*MIN(BN274,PR_USCb1)+PR_USCr2*MAX(0,MIN(BN274,PR_USCb2)-PR_USCb1)+PR_USCr3*MAX(0,MIN(BN274,PR_USCb3)-PR_USCb2)+PR_USCr4*MAX(0,BN274-PR_USCb3))),0)</f>
        <v>0</v>
      </c>
      <c r="BP274" s="1" t="n">
        <f aca="false">IF(C274&lt;PR_PRSIend,IF(F_SelfEmp=1,IF(AL274&gt;PR_PRSIsMinInc,MAX(PR_PRSIsMin,AL274*J274),0),IF(AL274/52&lt;=PR_PRSIfree,0,MAX(0,(AL274/52*J274-IF(AL274/52&lt;=PR_PRSIcreditTo,MAX(0,PR_PRSIcreditMax-(AL274/52-(PR_PRSIfree+0.01))/PR_PRSItaper),0))*52)))+J274*AN274+IF(AO274&gt;PR_PRSIunearned,J274*AO274,0),0)</f>
        <v>0</v>
      </c>
      <c r="BQ274" s="1" t="n">
        <f aca="false">IF(AND(F_Partner=1,AG274&lt;PR_PRSIend),IF(AQ274/52&lt;=PR_PRSIfree,0,MAX(0,(AQ274/52*J274-IF(AQ274/52&lt;=PR_PRSIcreditTo,MAX(0,PR_PRSIcreditMax-(AQ274/52-(PR_PRSIfree+0.01))/PR_PRSItaper),0))*52)),0)</f>
        <v>0</v>
      </c>
      <c r="BR274" s="1" t="n">
        <f aca="false">BK274+BM274+BO274+BP274+BQ274</f>
        <v>0</v>
      </c>
      <c r="BS274" s="1" t="n">
        <f aca="false">BR274*H274</f>
        <v>0</v>
      </c>
      <c r="BT274" s="1" t="n">
        <f aca="false">K274+AK274+AC274+AF274+AH274+AI274</f>
        <v>0</v>
      </c>
    </row>
    <row r="275" customFormat="false" ht="15" hidden="false" customHeight="true" outlineLevel="0" collapsed="false">
      <c r="B275" s="1" t="n">
        <v>41</v>
      </c>
      <c r="C275" s="1" t="n">
        <f aca="false">F_Age+B275</f>
        <v>41</v>
      </c>
      <c r="D275" s="1" t="n">
        <f aca="false">AS_Year0+B275</f>
        <v>2068</v>
      </c>
      <c r="E275" s="111" t="n">
        <f aca="false">(1+AS_Infl)^B275</f>
        <v>2.25220045688715</v>
      </c>
      <c r="F275" s="111" t="n">
        <f aca="false">(1+AS_Wage)^B275</f>
        <v>3.35989892575905</v>
      </c>
      <c r="G275" s="1" t="n">
        <f aca="false">IF(C275&lt;F_R,1,0)</f>
        <v>1</v>
      </c>
      <c r="H275" s="111" t="n">
        <f aca="false">IF(AS_Bands="flat",1,E275)</f>
        <v>2.25220045688715</v>
      </c>
      <c r="I275" s="111" t="n">
        <f aca="false">IF(AS_SpGrow="pay",F275,IF(AS_SpGrow="flat",1,E275))</f>
        <v>2.25220045688715</v>
      </c>
      <c r="J275" s="111" t="n">
        <f aca="false">(12*PR_PRSIr0+(PR_PRSIr1-PR_PRSIr0)*MAX(0,MIN(12,D275*12+12-PR_PRSIt1))+(PR_PRSIr2-PR_PRSIr1)*MAX(0,MIN(12,D275*12+12-PR_PRSIt2))+(PR_PRSIr3-PR_PRSIr2)*MAX(0,MIN(12,D275*12+12-PR_PRSIt3)))/12</f>
        <v>0.047</v>
      </c>
      <c r="K275" s="1" t="n">
        <f aca="false">IF(G275=1,F_Income*F275,0)</f>
        <v>0</v>
      </c>
      <c r="L275" s="1" t="n">
        <f aca="false">IF(G275=1,(F_Own+In_penExtra)*12*F275,0)</f>
        <v>0</v>
      </c>
      <c r="M275" s="1" t="n">
        <f aca="false">IF(G275=1,(F_PenM+In_penExtra)*12*F275,0)</f>
        <v>0</v>
      </c>
      <c r="N275" s="112" t="n">
        <f aca="false">IF(C275&lt;PR_RelA1,PR_RelP1,IF(C275&lt;PR_RelA2,PR_RelP2,IF(C275&lt;PR_RelA3,PR_RelP3,IF(C275&lt;PR_RelA4,PR_RelP4,IF(C275&lt;PR_RelA5,PR_RelP5,PR_RelP6)))))</f>
        <v>0.25</v>
      </c>
      <c r="O275" s="1" t="n">
        <f aca="false">IF(G275=1,MIN(L275/H275,N275*MIN(K275/H275,PR_EarnCap))*H275,0)</f>
        <v>0</v>
      </c>
      <c r="P275" s="1" t="n">
        <f aca="false">IF(AND(G275=1,F_AE=1),MIN(K275/H275,PR_AEcap)*H275,0)</f>
        <v>0</v>
      </c>
      <c r="Q275" s="1" t="n">
        <f aca="false">IF(G275=1,IF(WI_Retire=1,MAX(0,M275+WI_M*12),M275)+(PR_AEee+PR_AEer+PR_AEst)*P275,0)</f>
        <v>0</v>
      </c>
      <c r="R275" s="1" t="n">
        <f aca="false">L275+PR_AEee*P275</f>
        <v>0</v>
      </c>
      <c r="S275" s="1" t="n">
        <f aca="false">AD274</f>
        <v>0</v>
      </c>
      <c r="T275" s="1" t="n">
        <f aca="false">IF(D275&lt;=PR_SFTfrom,PR_SFT2026,IF(D275=PR_SFTfrom+1,PR_SFT2027,IF(D275=PR_SFTfrom+2,PR_SFT2028,IF(D275&lt;=PR_SFTto,PR_SFT2029,PR_SFT2029*(1+AS_Infl)^(D275-PR_SFTto)))))</f>
        <v>6061285.3510996</v>
      </c>
      <c r="U275" s="1" t="n">
        <f aca="false">IF(AND(G275=0,C275=F_V),1,0)</f>
        <v>0</v>
      </c>
      <c r="V275" s="1" t="n">
        <f aca="false">IF(U275=1,PR_SFTrate*MAX(0,S275-T275),0)</f>
        <v>0</v>
      </c>
      <c r="W275" s="1" t="n">
        <f aca="false">S275-V275</f>
        <v>0</v>
      </c>
      <c r="X275" s="1" t="n">
        <f aca="false">IF(AND(U275=1,AS_LumpPct&gt;0),W275*MIN(AS_LumpPct,PR_LSmax),0)</f>
        <v>0</v>
      </c>
      <c r="Y275" s="1" t="n">
        <f aca="false">X275-(PR_LSrate*MAX(0,MIN(X275,PR_LScap)-PR_LSfree)+PR_r2*MAX(0,X275-PR_LScap))</f>
        <v>0</v>
      </c>
      <c r="Z275" s="1" t="n">
        <f aca="false">W275-X275</f>
        <v>0</v>
      </c>
      <c r="AA275" s="112" t="n">
        <f aca="false">IF(C275&gt;=PR_ARFage1,IF(Z275&gt;PR_ARFbig,PR_ARFbigRate,IF(C275&gt;=PR_ARFage2,PR_ARF71,PR_ARF61)),0)</f>
        <v>0</v>
      </c>
      <c r="AB275" s="1" t="n">
        <f aca="false">IF(AS_DrawRule="min",Z275*AA275,IF(AS_DrawRule="fixed",MAX(AS_DrawFixed*E275,Z275*AA275),Z275*MAX(1/MAX(1,AS_End-C275+1),AA275)))</f>
        <v>0</v>
      </c>
      <c r="AC275" s="1" t="n">
        <f aca="false">IF(AND(G275=0,C275&gt;=F_V),MIN(Z275,AB275),0)</f>
        <v>0</v>
      </c>
      <c r="AD275" s="1" t="n">
        <f aca="false">IF(G275=1,S275*(1+F_PenG)+Q275,IF(C275&lt;F_V,S275*(1+F_PenG),(Z275-AC275)*(1+AS_PenRet)))</f>
        <v>0</v>
      </c>
      <c r="AE275" s="1" t="n">
        <f aca="false">IF(C275&gt;=PR_SPage,AS_SP*F_SpF*I275+IF(AND(C275&gt;=PR_Over80Age,F_SpF&gt;0),PR_Over80*PR_Weeks*I275,0),0)</f>
        <v>0</v>
      </c>
      <c r="AF275" s="1" t="n">
        <f aca="false">(F_OtherM+F_RentM)*12*E275</f>
        <v>0</v>
      </c>
      <c r="AG275" s="1" t="n">
        <f aca="false">F_PAge+B275</f>
        <v>41</v>
      </c>
      <c r="AH275" s="1" t="n">
        <f aca="false">IF(AND(F_Partner=1,F_PAge&gt;0,AG275&lt;IF(F_PRet&gt;0,F_PRet,PR_SPage)),F_PIncome*F275,0)</f>
        <v>0</v>
      </c>
      <c r="AI275" s="1" t="n">
        <f aca="false">IF(AND(F_Partner=1,AG275&gt;=PR_SPage,F_PSpQA=0),AS_SP*F_PSpF*I275,0)</f>
        <v>0</v>
      </c>
      <c r="AJ275" s="1" t="n">
        <f aca="false">IF(AND(F_Partner=1,F_PSpQA=1,C275&gt;=PR_SPage,AH275=0),IF(AG275&gt;=PR_SPage,PR_QA66,PR_QAunder)*PR_Weeks*I275,0)</f>
        <v>0</v>
      </c>
      <c r="AK275" s="1" t="n">
        <f aca="false">AE275+AJ275</f>
        <v>0</v>
      </c>
      <c r="AL275" s="1" t="n">
        <f aca="false">K275/H275</f>
        <v>0</v>
      </c>
      <c r="AM275" s="1" t="n">
        <f aca="false">AK275/H275</f>
        <v>0</v>
      </c>
      <c r="AN275" s="1" t="n">
        <f aca="false">AC275/H275</f>
        <v>0</v>
      </c>
      <c r="AO275" s="1" t="n">
        <f aca="false">AF275/H275</f>
        <v>0</v>
      </c>
      <c r="AP275" s="1" t="n">
        <f aca="false">O275/H275</f>
        <v>0</v>
      </c>
      <c r="AQ275" s="1" t="n">
        <f aca="false">AH275/H275</f>
        <v>0</v>
      </c>
      <c r="AR275" s="1" t="n">
        <f aca="false">AI275/H275</f>
        <v>0</v>
      </c>
      <c r="AS275" s="1" t="n">
        <f aca="false">MAX(0,AL275+AN275+AO275+AM275-AP275)</f>
        <v>0</v>
      </c>
      <c r="AT275" s="1" t="n">
        <f aca="false">MAX(0,AQ275+AR275)</f>
        <v>0</v>
      </c>
      <c r="AU275" s="1" t="n">
        <f aca="false">MIN(PR_PAYE,PR_PAYEcap*(AL275+AN275+AM275))</f>
        <v>0</v>
      </c>
      <c r="AV275" s="1" t="n">
        <f aca="false">MIN(PR_PAYE,PR_PAYEcap*(AQ275+AR275))</f>
        <v>0</v>
      </c>
      <c r="AW275" s="1" t="n">
        <f aca="false">IF(C275&gt;=PR_AgeCrAge,PR_AgeCr,0)</f>
        <v>0</v>
      </c>
      <c r="AX275" s="1" t="n">
        <f aca="false">IF(AG275&gt;=PR_AgeCrAge,PR_AgeCr,0)</f>
        <v>0</v>
      </c>
      <c r="AY275" s="1" t="n">
        <f aca="false">IF(AND(F_RentCred=1,D275&lt;=PR_RentLast),1,0)</f>
        <v>0</v>
      </c>
      <c r="AZ275" s="1" t="n">
        <f aca="false">AS275+AT275</f>
        <v>0</v>
      </c>
      <c r="BA275" s="1" t="n">
        <f aca="false">PR_PersonalM+AU275+AV275+AW275+AX275+IF(AY275=1,PR_RentJoint,0)</f>
        <v>4000</v>
      </c>
      <c r="BB275" s="1" t="n">
        <f aca="false">PR_BandM+MIN(MIN(AS275,AT275),PR_Uplift)</f>
        <v>53000</v>
      </c>
      <c r="BC275" s="1" t="n">
        <f aca="false">MAX(0,PR_r1*MIN(AZ275,BB275)+PR_r2*MAX(0,AZ275-BB275)-BA275)</f>
        <v>0</v>
      </c>
      <c r="BD275" s="1" t="n">
        <f aca="false">MAX(0,PR_HomeCarer-MAX(0,MIN(AS275,AT275)-PR_HCLimit)/2)</f>
        <v>1950</v>
      </c>
      <c r="BE275" s="1" t="n">
        <f aca="false">IF(F_Carer=1,MIN(BC275,MAX(0,PR_r1*MIN(AZ275,PR_BandM)+PR_r2*MAX(0,AZ275-PR_BandM)-BA275-BD275)),BC275)</f>
        <v>0</v>
      </c>
      <c r="BF275" s="1" t="n">
        <f aca="false">IF(OR(C275&gt;=PR_AgeCrAge,AG275&gt;=PR_AgeCrAge),IF(AZ275&lt;=PR_AgeExM,0,MIN(BE275,PR_AgeMarg*(AZ275-PR_AgeExM))),BE275)</f>
        <v>0</v>
      </c>
      <c r="BG275" s="1" t="n">
        <f aca="false">MAX(0,PR_r1*MIN(AS275,IF(F_Spccc=1,PR_BandSPCCC,PR_Band))+PR_r2*MAX(0,AS275-IF(F_Spccc=1,PR_BandSPCCC,PR_Band))-(PR_Personal+AU275+AW275+IF(F_Spccc=1,PR_SPCCC,0)+IF(AY275=1,PR_Rent,0)))</f>
        <v>0</v>
      </c>
      <c r="BH275" s="1" t="n">
        <f aca="false">IF(C275&gt;=PR_AgeCrAge,IF(AS275&lt;=PR_AgeEx,0,MIN(BG275,PR_AgeMarg*(AS275-PR_AgeEx))),BG275)</f>
        <v>0</v>
      </c>
      <c r="BI275" s="1" t="n">
        <f aca="false">IF(F_Partner=1,MAX(0,PR_r1*MIN(AT275,PR_Band)+PR_r2*MAX(0,AT275-PR_Band)-(PR_Personal+AV275+AX275+IF(AND(AY275=1,AT275&gt;0),PR_Rent,0))),0)</f>
        <v>0</v>
      </c>
      <c r="BJ275" s="1" t="n">
        <f aca="false">IF(AG275&gt;=PR_AgeCrAge,IF(AT275&lt;=PR_AgeEx,0,MIN(BI275,PR_AgeMarg*(AT275-PR_AgeEx))),BI275)</f>
        <v>0</v>
      </c>
      <c r="BK275" s="1" t="n">
        <f aca="false">IF(F_Partner=1,IF(F_Married=1,BF275,BH275+BJ275),BH275)</f>
        <v>0</v>
      </c>
      <c r="BL275" s="1" t="n">
        <f aca="false">AL275+AN275+AO275</f>
        <v>0</v>
      </c>
      <c r="BM275" s="1" t="n">
        <f aca="false">IF(BL275&lt;=PR_USCex,0,IF(IF(AND(C275&gt;=PR_USCredAge,BL275&lt;=PR_USCredMax),1,0)=1,PR_USCr1*MIN(BL275,PR_USCredB1)+PR_USCredR2*MAX(0,BL275-PR_USCredB1),PR_USCr1*MIN(BL275,PR_USCb1)+PR_USCr2*MAX(0,MIN(BL275,PR_USCb2)-PR_USCb1)+PR_USCr3*MAX(0,MIN(BL275,PR_USCb3)-PR_USCb2)+PR_USCr4*MAX(0,BL275-PR_USCb3)))+IF(F_SelfEmp=1,PR_USCse*MAX(0,AL275-PR_USCseOver),0)</f>
        <v>0</v>
      </c>
      <c r="BN275" s="1" t="n">
        <f aca="false">AQ275</f>
        <v>0</v>
      </c>
      <c r="BO275" s="1" t="n">
        <f aca="false">IF(F_Partner=1,IF(BN275&lt;=PR_USCex,0,IF(IF(AND(AG275&gt;=PR_USCredAge,BN275&lt;=PR_USCredMax),1,0)=1,PR_USCr1*MIN(BN275,PR_USCredB1)+PR_USCredR2*MAX(0,BN275-PR_USCredB1),PR_USCr1*MIN(BN275,PR_USCb1)+PR_USCr2*MAX(0,MIN(BN275,PR_USCb2)-PR_USCb1)+PR_USCr3*MAX(0,MIN(BN275,PR_USCb3)-PR_USCb2)+PR_USCr4*MAX(0,BN275-PR_USCb3))),0)</f>
        <v>0</v>
      </c>
      <c r="BP275" s="1" t="n">
        <f aca="false">IF(C275&lt;PR_PRSIend,IF(F_SelfEmp=1,IF(AL275&gt;PR_PRSIsMinInc,MAX(PR_PRSIsMin,AL275*J275),0),IF(AL275/52&lt;=PR_PRSIfree,0,MAX(0,(AL275/52*J275-IF(AL275/52&lt;=PR_PRSIcreditTo,MAX(0,PR_PRSIcreditMax-(AL275/52-(PR_PRSIfree+0.01))/PR_PRSItaper),0))*52)))+J275*AN275+IF(AO275&gt;PR_PRSIunearned,J275*AO275,0),0)</f>
        <v>0</v>
      </c>
      <c r="BQ275" s="1" t="n">
        <f aca="false">IF(AND(F_Partner=1,AG275&lt;PR_PRSIend),IF(AQ275/52&lt;=PR_PRSIfree,0,MAX(0,(AQ275/52*J275-IF(AQ275/52&lt;=PR_PRSIcreditTo,MAX(0,PR_PRSIcreditMax-(AQ275/52-(PR_PRSIfree+0.01))/PR_PRSItaper),0))*52)),0)</f>
        <v>0</v>
      </c>
      <c r="BR275" s="1" t="n">
        <f aca="false">BK275+BM275+BO275+BP275+BQ275</f>
        <v>0</v>
      </c>
      <c r="BS275" s="1" t="n">
        <f aca="false">BR275*H275</f>
        <v>0</v>
      </c>
      <c r="BT275" s="1" t="n">
        <f aca="false">K275+AK275+AC275+AF275+AH275+AI275</f>
        <v>0</v>
      </c>
    </row>
    <row r="276" customFormat="false" ht="15" hidden="false" customHeight="true" outlineLevel="0" collapsed="false">
      <c r="B276" s="1" t="n">
        <v>42</v>
      </c>
      <c r="C276" s="1" t="n">
        <f aca="false">F_Age+B276</f>
        <v>42</v>
      </c>
      <c r="D276" s="1" t="n">
        <f aca="false">AS_Year0+B276</f>
        <v>2069</v>
      </c>
      <c r="E276" s="111" t="n">
        <f aca="false">(1+AS_Infl)^B276</f>
        <v>2.29724446602489</v>
      </c>
      <c r="F276" s="111" t="n">
        <f aca="false">(1+AS_Wage)^B276</f>
        <v>3.46069589353182</v>
      </c>
      <c r="G276" s="1" t="n">
        <f aca="false">IF(C276&lt;F_R,1,0)</f>
        <v>1</v>
      </c>
      <c r="H276" s="111" t="n">
        <f aca="false">IF(AS_Bands="flat",1,E276)</f>
        <v>2.29724446602489</v>
      </c>
      <c r="I276" s="111" t="n">
        <f aca="false">IF(AS_SpGrow="pay",F276,IF(AS_SpGrow="flat",1,E276))</f>
        <v>2.29724446602489</v>
      </c>
      <c r="J276" s="111" t="n">
        <f aca="false">(12*PR_PRSIr0+(PR_PRSIr1-PR_PRSIr0)*MAX(0,MIN(12,D276*12+12-PR_PRSIt1))+(PR_PRSIr2-PR_PRSIr1)*MAX(0,MIN(12,D276*12+12-PR_PRSIt2))+(PR_PRSIr3-PR_PRSIr2)*MAX(0,MIN(12,D276*12+12-PR_PRSIt3)))/12</f>
        <v>0.047</v>
      </c>
      <c r="K276" s="1" t="n">
        <f aca="false">IF(G276=1,F_Income*F276,0)</f>
        <v>0</v>
      </c>
      <c r="L276" s="1" t="n">
        <f aca="false">IF(G276=1,(F_Own+In_penExtra)*12*F276,0)</f>
        <v>0</v>
      </c>
      <c r="M276" s="1" t="n">
        <f aca="false">IF(G276=1,(F_PenM+In_penExtra)*12*F276,0)</f>
        <v>0</v>
      </c>
      <c r="N276" s="112" t="n">
        <f aca="false">IF(C276&lt;PR_RelA1,PR_RelP1,IF(C276&lt;PR_RelA2,PR_RelP2,IF(C276&lt;PR_RelA3,PR_RelP3,IF(C276&lt;PR_RelA4,PR_RelP4,IF(C276&lt;PR_RelA5,PR_RelP5,PR_RelP6)))))</f>
        <v>0.25</v>
      </c>
      <c r="O276" s="1" t="n">
        <f aca="false">IF(G276=1,MIN(L276/H276,N276*MIN(K276/H276,PR_EarnCap))*H276,0)</f>
        <v>0</v>
      </c>
      <c r="P276" s="1" t="n">
        <f aca="false">IF(AND(G276=1,F_AE=1),MIN(K276/H276,PR_AEcap)*H276,0)</f>
        <v>0</v>
      </c>
      <c r="Q276" s="1" t="n">
        <f aca="false">IF(G276=1,IF(WI_Retire=1,MAX(0,M276+WI_M*12),M276)+(PR_AEee+PR_AEer+PR_AEst)*P276,0)</f>
        <v>0</v>
      </c>
      <c r="R276" s="1" t="n">
        <f aca="false">L276+PR_AEee*P276</f>
        <v>0</v>
      </c>
      <c r="S276" s="1" t="n">
        <f aca="false">AD275</f>
        <v>0</v>
      </c>
      <c r="T276" s="1" t="n">
        <f aca="false">IF(D276&lt;=PR_SFTfrom,PR_SFT2026,IF(D276=PR_SFTfrom+1,PR_SFT2027,IF(D276=PR_SFTfrom+2,PR_SFT2028,IF(D276&lt;=PR_SFTto,PR_SFT2029,PR_SFT2029*(1+AS_Infl)^(D276-PR_SFTto)))))</f>
        <v>6182511.05812159</v>
      </c>
      <c r="U276" s="1" t="n">
        <f aca="false">IF(AND(G276=0,C276=F_V),1,0)</f>
        <v>0</v>
      </c>
      <c r="V276" s="1" t="n">
        <f aca="false">IF(U276=1,PR_SFTrate*MAX(0,S276-T276),0)</f>
        <v>0</v>
      </c>
      <c r="W276" s="1" t="n">
        <f aca="false">S276-V276</f>
        <v>0</v>
      </c>
      <c r="X276" s="1" t="n">
        <f aca="false">IF(AND(U276=1,AS_LumpPct&gt;0),W276*MIN(AS_LumpPct,PR_LSmax),0)</f>
        <v>0</v>
      </c>
      <c r="Y276" s="1" t="n">
        <f aca="false">X276-(PR_LSrate*MAX(0,MIN(X276,PR_LScap)-PR_LSfree)+PR_r2*MAX(0,X276-PR_LScap))</f>
        <v>0</v>
      </c>
      <c r="Z276" s="1" t="n">
        <f aca="false">W276-X276</f>
        <v>0</v>
      </c>
      <c r="AA276" s="112" t="n">
        <f aca="false">IF(C276&gt;=PR_ARFage1,IF(Z276&gt;PR_ARFbig,PR_ARFbigRate,IF(C276&gt;=PR_ARFage2,PR_ARF71,PR_ARF61)),0)</f>
        <v>0</v>
      </c>
      <c r="AB276" s="1" t="n">
        <f aca="false">IF(AS_DrawRule="min",Z276*AA276,IF(AS_DrawRule="fixed",MAX(AS_DrawFixed*E276,Z276*AA276),Z276*MAX(1/MAX(1,AS_End-C276+1),AA276)))</f>
        <v>0</v>
      </c>
      <c r="AC276" s="1" t="n">
        <f aca="false">IF(AND(G276=0,C276&gt;=F_V),MIN(Z276,AB276),0)</f>
        <v>0</v>
      </c>
      <c r="AD276" s="1" t="n">
        <f aca="false">IF(G276=1,S276*(1+F_PenG)+Q276,IF(C276&lt;F_V,S276*(1+F_PenG),(Z276-AC276)*(1+AS_PenRet)))</f>
        <v>0</v>
      </c>
      <c r="AE276" s="1" t="n">
        <f aca="false">IF(C276&gt;=PR_SPage,AS_SP*F_SpF*I276+IF(AND(C276&gt;=PR_Over80Age,F_SpF&gt;0),PR_Over80*PR_Weeks*I276,0),0)</f>
        <v>0</v>
      </c>
      <c r="AF276" s="1" t="n">
        <f aca="false">(F_OtherM+F_RentM)*12*E276</f>
        <v>0</v>
      </c>
      <c r="AG276" s="1" t="n">
        <f aca="false">F_PAge+B276</f>
        <v>42</v>
      </c>
      <c r="AH276" s="1" t="n">
        <f aca="false">IF(AND(F_Partner=1,F_PAge&gt;0,AG276&lt;IF(F_PRet&gt;0,F_PRet,PR_SPage)),F_PIncome*F276,0)</f>
        <v>0</v>
      </c>
      <c r="AI276" s="1" t="n">
        <f aca="false">IF(AND(F_Partner=1,AG276&gt;=PR_SPage,F_PSpQA=0),AS_SP*F_PSpF*I276,0)</f>
        <v>0</v>
      </c>
      <c r="AJ276" s="1" t="n">
        <f aca="false">IF(AND(F_Partner=1,F_PSpQA=1,C276&gt;=PR_SPage,AH276=0),IF(AG276&gt;=PR_SPage,PR_QA66,PR_QAunder)*PR_Weeks*I276,0)</f>
        <v>0</v>
      </c>
      <c r="AK276" s="1" t="n">
        <f aca="false">AE276+AJ276</f>
        <v>0</v>
      </c>
      <c r="AL276" s="1" t="n">
        <f aca="false">K276/H276</f>
        <v>0</v>
      </c>
      <c r="AM276" s="1" t="n">
        <f aca="false">AK276/H276</f>
        <v>0</v>
      </c>
      <c r="AN276" s="1" t="n">
        <f aca="false">AC276/H276</f>
        <v>0</v>
      </c>
      <c r="AO276" s="1" t="n">
        <f aca="false">AF276/H276</f>
        <v>0</v>
      </c>
      <c r="AP276" s="1" t="n">
        <f aca="false">O276/H276</f>
        <v>0</v>
      </c>
      <c r="AQ276" s="1" t="n">
        <f aca="false">AH276/H276</f>
        <v>0</v>
      </c>
      <c r="AR276" s="1" t="n">
        <f aca="false">AI276/H276</f>
        <v>0</v>
      </c>
      <c r="AS276" s="1" t="n">
        <f aca="false">MAX(0,AL276+AN276+AO276+AM276-AP276)</f>
        <v>0</v>
      </c>
      <c r="AT276" s="1" t="n">
        <f aca="false">MAX(0,AQ276+AR276)</f>
        <v>0</v>
      </c>
      <c r="AU276" s="1" t="n">
        <f aca="false">MIN(PR_PAYE,PR_PAYEcap*(AL276+AN276+AM276))</f>
        <v>0</v>
      </c>
      <c r="AV276" s="1" t="n">
        <f aca="false">MIN(PR_PAYE,PR_PAYEcap*(AQ276+AR276))</f>
        <v>0</v>
      </c>
      <c r="AW276" s="1" t="n">
        <f aca="false">IF(C276&gt;=PR_AgeCrAge,PR_AgeCr,0)</f>
        <v>0</v>
      </c>
      <c r="AX276" s="1" t="n">
        <f aca="false">IF(AG276&gt;=PR_AgeCrAge,PR_AgeCr,0)</f>
        <v>0</v>
      </c>
      <c r="AY276" s="1" t="n">
        <f aca="false">IF(AND(F_RentCred=1,D276&lt;=PR_RentLast),1,0)</f>
        <v>0</v>
      </c>
      <c r="AZ276" s="1" t="n">
        <f aca="false">AS276+AT276</f>
        <v>0</v>
      </c>
      <c r="BA276" s="1" t="n">
        <f aca="false">PR_PersonalM+AU276+AV276+AW276+AX276+IF(AY276=1,PR_RentJoint,0)</f>
        <v>4000</v>
      </c>
      <c r="BB276" s="1" t="n">
        <f aca="false">PR_BandM+MIN(MIN(AS276,AT276),PR_Uplift)</f>
        <v>53000</v>
      </c>
      <c r="BC276" s="1" t="n">
        <f aca="false">MAX(0,PR_r1*MIN(AZ276,BB276)+PR_r2*MAX(0,AZ276-BB276)-BA276)</f>
        <v>0</v>
      </c>
      <c r="BD276" s="1" t="n">
        <f aca="false">MAX(0,PR_HomeCarer-MAX(0,MIN(AS276,AT276)-PR_HCLimit)/2)</f>
        <v>1950</v>
      </c>
      <c r="BE276" s="1" t="n">
        <f aca="false">IF(F_Carer=1,MIN(BC276,MAX(0,PR_r1*MIN(AZ276,PR_BandM)+PR_r2*MAX(0,AZ276-PR_BandM)-BA276-BD276)),BC276)</f>
        <v>0</v>
      </c>
      <c r="BF276" s="1" t="n">
        <f aca="false">IF(OR(C276&gt;=PR_AgeCrAge,AG276&gt;=PR_AgeCrAge),IF(AZ276&lt;=PR_AgeExM,0,MIN(BE276,PR_AgeMarg*(AZ276-PR_AgeExM))),BE276)</f>
        <v>0</v>
      </c>
      <c r="BG276" s="1" t="n">
        <f aca="false">MAX(0,PR_r1*MIN(AS276,IF(F_Spccc=1,PR_BandSPCCC,PR_Band))+PR_r2*MAX(0,AS276-IF(F_Spccc=1,PR_BandSPCCC,PR_Band))-(PR_Personal+AU276+AW276+IF(F_Spccc=1,PR_SPCCC,0)+IF(AY276=1,PR_Rent,0)))</f>
        <v>0</v>
      </c>
      <c r="BH276" s="1" t="n">
        <f aca="false">IF(C276&gt;=PR_AgeCrAge,IF(AS276&lt;=PR_AgeEx,0,MIN(BG276,PR_AgeMarg*(AS276-PR_AgeEx))),BG276)</f>
        <v>0</v>
      </c>
      <c r="BI276" s="1" t="n">
        <f aca="false">IF(F_Partner=1,MAX(0,PR_r1*MIN(AT276,PR_Band)+PR_r2*MAX(0,AT276-PR_Band)-(PR_Personal+AV276+AX276+IF(AND(AY276=1,AT276&gt;0),PR_Rent,0))),0)</f>
        <v>0</v>
      </c>
      <c r="BJ276" s="1" t="n">
        <f aca="false">IF(AG276&gt;=PR_AgeCrAge,IF(AT276&lt;=PR_AgeEx,0,MIN(BI276,PR_AgeMarg*(AT276-PR_AgeEx))),BI276)</f>
        <v>0</v>
      </c>
      <c r="BK276" s="1" t="n">
        <f aca="false">IF(F_Partner=1,IF(F_Married=1,BF276,BH276+BJ276),BH276)</f>
        <v>0</v>
      </c>
      <c r="BL276" s="1" t="n">
        <f aca="false">AL276+AN276+AO276</f>
        <v>0</v>
      </c>
      <c r="BM276" s="1" t="n">
        <f aca="false">IF(BL276&lt;=PR_USCex,0,IF(IF(AND(C276&gt;=PR_USCredAge,BL276&lt;=PR_USCredMax),1,0)=1,PR_USCr1*MIN(BL276,PR_USCredB1)+PR_USCredR2*MAX(0,BL276-PR_USCredB1),PR_USCr1*MIN(BL276,PR_USCb1)+PR_USCr2*MAX(0,MIN(BL276,PR_USCb2)-PR_USCb1)+PR_USCr3*MAX(0,MIN(BL276,PR_USCb3)-PR_USCb2)+PR_USCr4*MAX(0,BL276-PR_USCb3)))+IF(F_SelfEmp=1,PR_USCse*MAX(0,AL276-PR_USCseOver),0)</f>
        <v>0</v>
      </c>
      <c r="BN276" s="1" t="n">
        <f aca="false">AQ276</f>
        <v>0</v>
      </c>
      <c r="BO276" s="1" t="n">
        <f aca="false">IF(F_Partner=1,IF(BN276&lt;=PR_USCex,0,IF(IF(AND(AG276&gt;=PR_USCredAge,BN276&lt;=PR_USCredMax),1,0)=1,PR_USCr1*MIN(BN276,PR_USCredB1)+PR_USCredR2*MAX(0,BN276-PR_USCredB1),PR_USCr1*MIN(BN276,PR_USCb1)+PR_USCr2*MAX(0,MIN(BN276,PR_USCb2)-PR_USCb1)+PR_USCr3*MAX(0,MIN(BN276,PR_USCb3)-PR_USCb2)+PR_USCr4*MAX(0,BN276-PR_USCb3))),0)</f>
        <v>0</v>
      </c>
      <c r="BP276" s="1" t="n">
        <f aca="false">IF(C276&lt;PR_PRSIend,IF(F_SelfEmp=1,IF(AL276&gt;PR_PRSIsMinInc,MAX(PR_PRSIsMin,AL276*J276),0),IF(AL276/52&lt;=PR_PRSIfree,0,MAX(0,(AL276/52*J276-IF(AL276/52&lt;=PR_PRSIcreditTo,MAX(0,PR_PRSIcreditMax-(AL276/52-(PR_PRSIfree+0.01))/PR_PRSItaper),0))*52)))+J276*AN276+IF(AO276&gt;PR_PRSIunearned,J276*AO276,0),0)</f>
        <v>0</v>
      </c>
      <c r="BQ276" s="1" t="n">
        <f aca="false">IF(AND(F_Partner=1,AG276&lt;PR_PRSIend),IF(AQ276/52&lt;=PR_PRSIfree,0,MAX(0,(AQ276/52*J276-IF(AQ276/52&lt;=PR_PRSIcreditTo,MAX(0,PR_PRSIcreditMax-(AQ276/52-(PR_PRSIfree+0.01))/PR_PRSItaper),0))*52)),0)</f>
        <v>0</v>
      </c>
      <c r="BR276" s="1" t="n">
        <f aca="false">BK276+BM276+BO276+BP276+BQ276</f>
        <v>0</v>
      </c>
      <c r="BS276" s="1" t="n">
        <f aca="false">BR276*H276</f>
        <v>0</v>
      </c>
      <c r="BT276" s="1" t="n">
        <f aca="false">K276+AK276+AC276+AF276+AH276+AI276</f>
        <v>0</v>
      </c>
    </row>
    <row r="277" customFormat="false" ht="15" hidden="false" customHeight="true" outlineLevel="0" collapsed="false">
      <c r="B277" s="1" t="n">
        <v>43</v>
      </c>
      <c r="C277" s="1" t="n">
        <f aca="false">F_Age+B277</f>
        <v>43</v>
      </c>
      <c r="D277" s="1" t="n">
        <f aca="false">AS_Year0+B277</f>
        <v>2070</v>
      </c>
      <c r="E277" s="111" t="n">
        <f aca="false">(1+AS_Infl)^B277</f>
        <v>2.34318935534539</v>
      </c>
      <c r="F277" s="111" t="n">
        <f aca="false">(1+AS_Wage)^B277</f>
        <v>3.56451677033778</v>
      </c>
      <c r="G277" s="1" t="n">
        <f aca="false">IF(C277&lt;F_R,1,0)</f>
        <v>1</v>
      </c>
      <c r="H277" s="111" t="n">
        <f aca="false">IF(AS_Bands="flat",1,E277)</f>
        <v>2.34318935534539</v>
      </c>
      <c r="I277" s="111" t="n">
        <f aca="false">IF(AS_SpGrow="pay",F277,IF(AS_SpGrow="flat",1,E277))</f>
        <v>2.34318935534539</v>
      </c>
      <c r="J277" s="111" t="n">
        <f aca="false">(12*PR_PRSIr0+(PR_PRSIr1-PR_PRSIr0)*MAX(0,MIN(12,D277*12+12-PR_PRSIt1))+(PR_PRSIr2-PR_PRSIr1)*MAX(0,MIN(12,D277*12+12-PR_PRSIt2))+(PR_PRSIr3-PR_PRSIr2)*MAX(0,MIN(12,D277*12+12-PR_PRSIt3)))/12</f>
        <v>0.047</v>
      </c>
      <c r="K277" s="1" t="n">
        <f aca="false">IF(G277=1,F_Income*F277,0)</f>
        <v>0</v>
      </c>
      <c r="L277" s="1" t="n">
        <f aca="false">IF(G277=1,(F_Own+In_penExtra)*12*F277,0)</f>
        <v>0</v>
      </c>
      <c r="M277" s="1" t="n">
        <f aca="false">IF(G277=1,(F_PenM+In_penExtra)*12*F277,0)</f>
        <v>0</v>
      </c>
      <c r="N277" s="112" t="n">
        <f aca="false">IF(C277&lt;PR_RelA1,PR_RelP1,IF(C277&lt;PR_RelA2,PR_RelP2,IF(C277&lt;PR_RelA3,PR_RelP3,IF(C277&lt;PR_RelA4,PR_RelP4,IF(C277&lt;PR_RelA5,PR_RelP5,PR_RelP6)))))</f>
        <v>0.25</v>
      </c>
      <c r="O277" s="1" t="n">
        <f aca="false">IF(G277=1,MIN(L277/H277,N277*MIN(K277/H277,PR_EarnCap))*H277,0)</f>
        <v>0</v>
      </c>
      <c r="P277" s="1" t="n">
        <f aca="false">IF(AND(G277=1,F_AE=1),MIN(K277/H277,PR_AEcap)*H277,0)</f>
        <v>0</v>
      </c>
      <c r="Q277" s="1" t="n">
        <f aca="false">IF(G277=1,IF(WI_Retire=1,MAX(0,M277+WI_M*12),M277)+(PR_AEee+PR_AEer+PR_AEst)*P277,0)</f>
        <v>0</v>
      </c>
      <c r="R277" s="1" t="n">
        <f aca="false">L277+PR_AEee*P277</f>
        <v>0</v>
      </c>
      <c r="S277" s="1" t="n">
        <f aca="false">AD276</f>
        <v>0</v>
      </c>
      <c r="T277" s="1" t="n">
        <f aca="false">IF(D277&lt;=PR_SFTfrom,PR_SFT2026,IF(D277=PR_SFTfrom+1,PR_SFT2027,IF(D277=PR_SFTfrom+2,PR_SFT2028,IF(D277&lt;=PR_SFTto,PR_SFT2029,PR_SFT2029*(1+AS_Infl)^(D277-PR_SFTto)))))</f>
        <v>6306161.27928402</v>
      </c>
      <c r="U277" s="1" t="n">
        <f aca="false">IF(AND(G277=0,C277=F_V),1,0)</f>
        <v>0</v>
      </c>
      <c r="V277" s="1" t="n">
        <f aca="false">IF(U277=1,PR_SFTrate*MAX(0,S277-T277),0)</f>
        <v>0</v>
      </c>
      <c r="W277" s="1" t="n">
        <f aca="false">S277-V277</f>
        <v>0</v>
      </c>
      <c r="X277" s="1" t="n">
        <f aca="false">IF(AND(U277=1,AS_LumpPct&gt;0),W277*MIN(AS_LumpPct,PR_LSmax),0)</f>
        <v>0</v>
      </c>
      <c r="Y277" s="1" t="n">
        <f aca="false">X277-(PR_LSrate*MAX(0,MIN(X277,PR_LScap)-PR_LSfree)+PR_r2*MAX(0,X277-PR_LScap))</f>
        <v>0</v>
      </c>
      <c r="Z277" s="1" t="n">
        <f aca="false">W277-X277</f>
        <v>0</v>
      </c>
      <c r="AA277" s="112" t="n">
        <f aca="false">IF(C277&gt;=PR_ARFage1,IF(Z277&gt;PR_ARFbig,PR_ARFbigRate,IF(C277&gt;=PR_ARFage2,PR_ARF71,PR_ARF61)),0)</f>
        <v>0</v>
      </c>
      <c r="AB277" s="1" t="n">
        <f aca="false">IF(AS_DrawRule="min",Z277*AA277,IF(AS_DrawRule="fixed",MAX(AS_DrawFixed*E277,Z277*AA277),Z277*MAX(1/MAX(1,AS_End-C277+1),AA277)))</f>
        <v>0</v>
      </c>
      <c r="AC277" s="1" t="n">
        <f aca="false">IF(AND(G277=0,C277&gt;=F_V),MIN(Z277,AB277),0)</f>
        <v>0</v>
      </c>
      <c r="AD277" s="1" t="n">
        <f aca="false">IF(G277=1,S277*(1+F_PenG)+Q277,IF(C277&lt;F_V,S277*(1+F_PenG),(Z277-AC277)*(1+AS_PenRet)))</f>
        <v>0</v>
      </c>
      <c r="AE277" s="1" t="n">
        <f aca="false">IF(C277&gt;=PR_SPage,AS_SP*F_SpF*I277+IF(AND(C277&gt;=PR_Over80Age,F_SpF&gt;0),PR_Over80*PR_Weeks*I277,0),0)</f>
        <v>0</v>
      </c>
      <c r="AF277" s="1" t="n">
        <f aca="false">(F_OtherM+F_RentM)*12*E277</f>
        <v>0</v>
      </c>
      <c r="AG277" s="1" t="n">
        <f aca="false">F_PAge+B277</f>
        <v>43</v>
      </c>
      <c r="AH277" s="1" t="n">
        <f aca="false">IF(AND(F_Partner=1,F_PAge&gt;0,AG277&lt;IF(F_PRet&gt;0,F_PRet,PR_SPage)),F_PIncome*F277,0)</f>
        <v>0</v>
      </c>
      <c r="AI277" s="1" t="n">
        <f aca="false">IF(AND(F_Partner=1,AG277&gt;=PR_SPage,F_PSpQA=0),AS_SP*F_PSpF*I277,0)</f>
        <v>0</v>
      </c>
      <c r="AJ277" s="1" t="n">
        <f aca="false">IF(AND(F_Partner=1,F_PSpQA=1,C277&gt;=PR_SPage,AH277=0),IF(AG277&gt;=PR_SPage,PR_QA66,PR_QAunder)*PR_Weeks*I277,0)</f>
        <v>0</v>
      </c>
      <c r="AK277" s="1" t="n">
        <f aca="false">AE277+AJ277</f>
        <v>0</v>
      </c>
      <c r="AL277" s="1" t="n">
        <f aca="false">K277/H277</f>
        <v>0</v>
      </c>
      <c r="AM277" s="1" t="n">
        <f aca="false">AK277/H277</f>
        <v>0</v>
      </c>
      <c r="AN277" s="1" t="n">
        <f aca="false">AC277/H277</f>
        <v>0</v>
      </c>
      <c r="AO277" s="1" t="n">
        <f aca="false">AF277/H277</f>
        <v>0</v>
      </c>
      <c r="AP277" s="1" t="n">
        <f aca="false">O277/H277</f>
        <v>0</v>
      </c>
      <c r="AQ277" s="1" t="n">
        <f aca="false">AH277/H277</f>
        <v>0</v>
      </c>
      <c r="AR277" s="1" t="n">
        <f aca="false">AI277/H277</f>
        <v>0</v>
      </c>
      <c r="AS277" s="1" t="n">
        <f aca="false">MAX(0,AL277+AN277+AO277+AM277-AP277)</f>
        <v>0</v>
      </c>
      <c r="AT277" s="1" t="n">
        <f aca="false">MAX(0,AQ277+AR277)</f>
        <v>0</v>
      </c>
      <c r="AU277" s="1" t="n">
        <f aca="false">MIN(PR_PAYE,PR_PAYEcap*(AL277+AN277+AM277))</f>
        <v>0</v>
      </c>
      <c r="AV277" s="1" t="n">
        <f aca="false">MIN(PR_PAYE,PR_PAYEcap*(AQ277+AR277))</f>
        <v>0</v>
      </c>
      <c r="AW277" s="1" t="n">
        <f aca="false">IF(C277&gt;=PR_AgeCrAge,PR_AgeCr,0)</f>
        <v>0</v>
      </c>
      <c r="AX277" s="1" t="n">
        <f aca="false">IF(AG277&gt;=PR_AgeCrAge,PR_AgeCr,0)</f>
        <v>0</v>
      </c>
      <c r="AY277" s="1" t="n">
        <f aca="false">IF(AND(F_RentCred=1,D277&lt;=PR_RentLast),1,0)</f>
        <v>0</v>
      </c>
      <c r="AZ277" s="1" t="n">
        <f aca="false">AS277+AT277</f>
        <v>0</v>
      </c>
      <c r="BA277" s="1" t="n">
        <f aca="false">PR_PersonalM+AU277+AV277+AW277+AX277+IF(AY277=1,PR_RentJoint,0)</f>
        <v>4000</v>
      </c>
      <c r="BB277" s="1" t="n">
        <f aca="false">PR_BandM+MIN(MIN(AS277,AT277),PR_Uplift)</f>
        <v>53000</v>
      </c>
      <c r="BC277" s="1" t="n">
        <f aca="false">MAX(0,PR_r1*MIN(AZ277,BB277)+PR_r2*MAX(0,AZ277-BB277)-BA277)</f>
        <v>0</v>
      </c>
      <c r="BD277" s="1" t="n">
        <f aca="false">MAX(0,PR_HomeCarer-MAX(0,MIN(AS277,AT277)-PR_HCLimit)/2)</f>
        <v>1950</v>
      </c>
      <c r="BE277" s="1" t="n">
        <f aca="false">IF(F_Carer=1,MIN(BC277,MAX(0,PR_r1*MIN(AZ277,PR_BandM)+PR_r2*MAX(0,AZ277-PR_BandM)-BA277-BD277)),BC277)</f>
        <v>0</v>
      </c>
      <c r="BF277" s="1" t="n">
        <f aca="false">IF(OR(C277&gt;=PR_AgeCrAge,AG277&gt;=PR_AgeCrAge),IF(AZ277&lt;=PR_AgeExM,0,MIN(BE277,PR_AgeMarg*(AZ277-PR_AgeExM))),BE277)</f>
        <v>0</v>
      </c>
      <c r="BG277" s="1" t="n">
        <f aca="false">MAX(0,PR_r1*MIN(AS277,IF(F_Spccc=1,PR_BandSPCCC,PR_Band))+PR_r2*MAX(0,AS277-IF(F_Spccc=1,PR_BandSPCCC,PR_Band))-(PR_Personal+AU277+AW277+IF(F_Spccc=1,PR_SPCCC,0)+IF(AY277=1,PR_Rent,0)))</f>
        <v>0</v>
      </c>
      <c r="BH277" s="1" t="n">
        <f aca="false">IF(C277&gt;=PR_AgeCrAge,IF(AS277&lt;=PR_AgeEx,0,MIN(BG277,PR_AgeMarg*(AS277-PR_AgeEx))),BG277)</f>
        <v>0</v>
      </c>
      <c r="BI277" s="1" t="n">
        <f aca="false">IF(F_Partner=1,MAX(0,PR_r1*MIN(AT277,PR_Band)+PR_r2*MAX(0,AT277-PR_Band)-(PR_Personal+AV277+AX277+IF(AND(AY277=1,AT277&gt;0),PR_Rent,0))),0)</f>
        <v>0</v>
      </c>
      <c r="BJ277" s="1" t="n">
        <f aca="false">IF(AG277&gt;=PR_AgeCrAge,IF(AT277&lt;=PR_AgeEx,0,MIN(BI277,PR_AgeMarg*(AT277-PR_AgeEx))),BI277)</f>
        <v>0</v>
      </c>
      <c r="BK277" s="1" t="n">
        <f aca="false">IF(F_Partner=1,IF(F_Married=1,BF277,BH277+BJ277),BH277)</f>
        <v>0</v>
      </c>
      <c r="BL277" s="1" t="n">
        <f aca="false">AL277+AN277+AO277</f>
        <v>0</v>
      </c>
      <c r="BM277" s="1" t="n">
        <f aca="false">IF(BL277&lt;=PR_USCex,0,IF(IF(AND(C277&gt;=PR_USCredAge,BL277&lt;=PR_USCredMax),1,0)=1,PR_USCr1*MIN(BL277,PR_USCredB1)+PR_USCredR2*MAX(0,BL277-PR_USCredB1),PR_USCr1*MIN(BL277,PR_USCb1)+PR_USCr2*MAX(0,MIN(BL277,PR_USCb2)-PR_USCb1)+PR_USCr3*MAX(0,MIN(BL277,PR_USCb3)-PR_USCb2)+PR_USCr4*MAX(0,BL277-PR_USCb3)))+IF(F_SelfEmp=1,PR_USCse*MAX(0,AL277-PR_USCseOver),0)</f>
        <v>0</v>
      </c>
      <c r="BN277" s="1" t="n">
        <f aca="false">AQ277</f>
        <v>0</v>
      </c>
      <c r="BO277" s="1" t="n">
        <f aca="false">IF(F_Partner=1,IF(BN277&lt;=PR_USCex,0,IF(IF(AND(AG277&gt;=PR_USCredAge,BN277&lt;=PR_USCredMax),1,0)=1,PR_USCr1*MIN(BN277,PR_USCredB1)+PR_USCredR2*MAX(0,BN277-PR_USCredB1),PR_USCr1*MIN(BN277,PR_USCb1)+PR_USCr2*MAX(0,MIN(BN277,PR_USCb2)-PR_USCb1)+PR_USCr3*MAX(0,MIN(BN277,PR_USCb3)-PR_USCb2)+PR_USCr4*MAX(0,BN277-PR_USCb3))),0)</f>
        <v>0</v>
      </c>
      <c r="BP277" s="1" t="n">
        <f aca="false">IF(C277&lt;PR_PRSIend,IF(F_SelfEmp=1,IF(AL277&gt;PR_PRSIsMinInc,MAX(PR_PRSIsMin,AL277*J277),0),IF(AL277/52&lt;=PR_PRSIfree,0,MAX(0,(AL277/52*J277-IF(AL277/52&lt;=PR_PRSIcreditTo,MAX(0,PR_PRSIcreditMax-(AL277/52-(PR_PRSIfree+0.01))/PR_PRSItaper),0))*52)))+J277*AN277+IF(AO277&gt;PR_PRSIunearned,J277*AO277,0),0)</f>
        <v>0</v>
      </c>
      <c r="BQ277" s="1" t="n">
        <f aca="false">IF(AND(F_Partner=1,AG277&lt;PR_PRSIend),IF(AQ277/52&lt;=PR_PRSIfree,0,MAX(0,(AQ277/52*J277-IF(AQ277/52&lt;=PR_PRSIcreditTo,MAX(0,PR_PRSIcreditMax-(AQ277/52-(PR_PRSIfree+0.01))/PR_PRSItaper),0))*52)),0)</f>
        <v>0</v>
      </c>
      <c r="BR277" s="1" t="n">
        <f aca="false">BK277+BM277+BO277+BP277+BQ277</f>
        <v>0</v>
      </c>
      <c r="BS277" s="1" t="n">
        <f aca="false">BR277*H277</f>
        <v>0</v>
      </c>
      <c r="BT277" s="1" t="n">
        <f aca="false">K277+AK277+AC277+AF277+AH277+AI277</f>
        <v>0</v>
      </c>
    </row>
    <row r="278" customFormat="false" ht="15" hidden="false" customHeight="true" outlineLevel="0" collapsed="false">
      <c r="B278" s="1" t="n">
        <v>44</v>
      </c>
      <c r="C278" s="1" t="n">
        <f aca="false">F_Age+B278</f>
        <v>44</v>
      </c>
      <c r="D278" s="1" t="n">
        <f aca="false">AS_Year0+B278</f>
        <v>2071</v>
      </c>
      <c r="E278" s="111" t="n">
        <f aca="false">(1+AS_Infl)^B278</f>
        <v>2.3900531424523</v>
      </c>
      <c r="F278" s="111" t="n">
        <f aca="false">(1+AS_Wage)^B278</f>
        <v>3.67145227344791</v>
      </c>
      <c r="G278" s="1" t="n">
        <f aca="false">IF(C278&lt;F_R,1,0)</f>
        <v>1</v>
      </c>
      <c r="H278" s="111" t="n">
        <f aca="false">IF(AS_Bands="flat",1,E278)</f>
        <v>2.3900531424523</v>
      </c>
      <c r="I278" s="111" t="n">
        <f aca="false">IF(AS_SpGrow="pay",F278,IF(AS_SpGrow="flat",1,E278))</f>
        <v>2.3900531424523</v>
      </c>
      <c r="J278" s="111" t="n">
        <f aca="false">(12*PR_PRSIr0+(PR_PRSIr1-PR_PRSIr0)*MAX(0,MIN(12,D278*12+12-PR_PRSIt1))+(PR_PRSIr2-PR_PRSIr1)*MAX(0,MIN(12,D278*12+12-PR_PRSIt2))+(PR_PRSIr3-PR_PRSIr2)*MAX(0,MIN(12,D278*12+12-PR_PRSIt3)))/12</f>
        <v>0.047</v>
      </c>
      <c r="K278" s="1" t="n">
        <f aca="false">IF(G278=1,F_Income*F278,0)</f>
        <v>0</v>
      </c>
      <c r="L278" s="1" t="n">
        <f aca="false">IF(G278=1,(F_Own+In_penExtra)*12*F278,0)</f>
        <v>0</v>
      </c>
      <c r="M278" s="1" t="n">
        <f aca="false">IF(G278=1,(F_PenM+In_penExtra)*12*F278,0)</f>
        <v>0</v>
      </c>
      <c r="N278" s="112" t="n">
        <f aca="false">IF(C278&lt;PR_RelA1,PR_RelP1,IF(C278&lt;PR_RelA2,PR_RelP2,IF(C278&lt;PR_RelA3,PR_RelP3,IF(C278&lt;PR_RelA4,PR_RelP4,IF(C278&lt;PR_RelA5,PR_RelP5,PR_RelP6)))))</f>
        <v>0.25</v>
      </c>
      <c r="O278" s="1" t="n">
        <f aca="false">IF(G278=1,MIN(L278/H278,N278*MIN(K278/H278,PR_EarnCap))*H278,0)</f>
        <v>0</v>
      </c>
      <c r="P278" s="1" t="n">
        <f aca="false">IF(AND(G278=1,F_AE=1),MIN(K278/H278,PR_AEcap)*H278,0)</f>
        <v>0</v>
      </c>
      <c r="Q278" s="1" t="n">
        <f aca="false">IF(G278=1,IF(WI_Retire=1,MAX(0,M278+WI_M*12),M278)+(PR_AEee+PR_AEer+PR_AEst)*P278,0)</f>
        <v>0</v>
      </c>
      <c r="R278" s="1" t="n">
        <f aca="false">L278+PR_AEee*P278</f>
        <v>0</v>
      </c>
      <c r="S278" s="1" t="n">
        <f aca="false">AD277</f>
        <v>0</v>
      </c>
      <c r="T278" s="1" t="n">
        <f aca="false">IF(D278&lt;=PR_SFTfrom,PR_SFT2026,IF(D278=PR_SFTfrom+1,PR_SFT2027,IF(D278=PR_SFTfrom+2,PR_SFT2028,IF(D278&lt;=PR_SFTto,PR_SFT2029,PR_SFT2029*(1+AS_Infl)^(D278-PR_SFTto)))))</f>
        <v>6432284.5048697</v>
      </c>
      <c r="U278" s="1" t="n">
        <f aca="false">IF(AND(G278=0,C278=F_V),1,0)</f>
        <v>0</v>
      </c>
      <c r="V278" s="1" t="n">
        <f aca="false">IF(U278=1,PR_SFTrate*MAX(0,S278-T278),0)</f>
        <v>0</v>
      </c>
      <c r="W278" s="1" t="n">
        <f aca="false">S278-V278</f>
        <v>0</v>
      </c>
      <c r="X278" s="1" t="n">
        <f aca="false">IF(AND(U278=1,AS_LumpPct&gt;0),W278*MIN(AS_LumpPct,PR_LSmax),0)</f>
        <v>0</v>
      </c>
      <c r="Y278" s="1" t="n">
        <f aca="false">X278-(PR_LSrate*MAX(0,MIN(X278,PR_LScap)-PR_LSfree)+PR_r2*MAX(0,X278-PR_LScap))</f>
        <v>0</v>
      </c>
      <c r="Z278" s="1" t="n">
        <f aca="false">W278-X278</f>
        <v>0</v>
      </c>
      <c r="AA278" s="112" t="n">
        <f aca="false">IF(C278&gt;=PR_ARFage1,IF(Z278&gt;PR_ARFbig,PR_ARFbigRate,IF(C278&gt;=PR_ARFage2,PR_ARF71,PR_ARF61)),0)</f>
        <v>0</v>
      </c>
      <c r="AB278" s="1" t="n">
        <f aca="false">IF(AS_DrawRule="min",Z278*AA278,IF(AS_DrawRule="fixed",MAX(AS_DrawFixed*E278,Z278*AA278),Z278*MAX(1/MAX(1,AS_End-C278+1),AA278)))</f>
        <v>0</v>
      </c>
      <c r="AC278" s="1" t="n">
        <f aca="false">IF(AND(G278=0,C278&gt;=F_V),MIN(Z278,AB278),0)</f>
        <v>0</v>
      </c>
      <c r="AD278" s="1" t="n">
        <f aca="false">IF(G278=1,S278*(1+F_PenG)+Q278,IF(C278&lt;F_V,S278*(1+F_PenG),(Z278-AC278)*(1+AS_PenRet)))</f>
        <v>0</v>
      </c>
      <c r="AE278" s="1" t="n">
        <f aca="false">IF(C278&gt;=PR_SPage,AS_SP*F_SpF*I278+IF(AND(C278&gt;=PR_Over80Age,F_SpF&gt;0),PR_Over80*PR_Weeks*I278,0),0)</f>
        <v>0</v>
      </c>
      <c r="AF278" s="1" t="n">
        <f aca="false">(F_OtherM+F_RentM)*12*E278</f>
        <v>0</v>
      </c>
      <c r="AG278" s="1" t="n">
        <f aca="false">F_PAge+B278</f>
        <v>44</v>
      </c>
      <c r="AH278" s="1" t="n">
        <f aca="false">IF(AND(F_Partner=1,F_PAge&gt;0,AG278&lt;IF(F_PRet&gt;0,F_PRet,PR_SPage)),F_PIncome*F278,0)</f>
        <v>0</v>
      </c>
      <c r="AI278" s="1" t="n">
        <f aca="false">IF(AND(F_Partner=1,AG278&gt;=PR_SPage,F_PSpQA=0),AS_SP*F_PSpF*I278,0)</f>
        <v>0</v>
      </c>
      <c r="AJ278" s="1" t="n">
        <f aca="false">IF(AND(F_Partner=1,F_PSpQA=1,C278&gt;=PR_SPage,AH278=0),IF(AG278&gt;=PR_SPage,PR_QA66,PR_QAunder)*PR_Weeks*I278,0)</f>
        <v>0</v>
      </c>
      <c r="AK278" s="1" t="n">
        <f aca="false">AE278+AJ278</f>
        <v>0</v>
      </c>
      <c r="AL278" s="1" t="n">
        <f aca="false">K278/H278</f>
        <v>0</v>
      </c>
      <c r="AM278" s="1" t="n">
        <f aca="false">AK278/H278</f>
        <v>0</v>
      </c>
      <c r="AN278" s="1" t="n">
        <f aca="false">AC278/H278</f>
        <v>0</v>
      </c>
      <c r="AO278" s="1" t="n">
        <f aca="false">AF278/H278</f>
        <v>0</v>
      </c>
      <c r="AP278" s="1" t="n">
        <f aca="false">O278/H278</f>
        <v>0</v>
      </c>
      <c r="AQ278" s="1" t="n">
        <f aca="false">AH278/H278</f>
        <v>0</v>
      </c>
      <c r="AR278" s="1" t="n">
        <f aca="false">AI278/H278</f>
        <v>0</v>
      </c>
      <c r="AS278" s="1" t="n">
        <f aca="false">MAX(0,AL278+AN278+AO278+AM278-AP278)</f>
        <v>0</v>
      </c>
      <c r="AT278" s="1" t="n">
        <f aca="false">MAX(0,AQ278+AR278)</f>
        <v>0</v>
      </c>
      <c r="AU278" s="1" t="n">
        <f aca="false">MIN(PR_PAYE,PR_PAYEcap*(AL278+AN278+AM278))</f>
        <v>0</v>
      </c>
      <c r="AV278" s="1" t="n">
        <f aca="false">MIN(PR_PAYE,PR_PAYEcap*(AQ278+AR278))</f>
        <v>0</v>
      </c>
      <c r="AW278" s="1" t="n">
        <f aca="false">IF(C278&gt;=PR_AgeCrAge,PR_AgeCr,0)</f>
        <v>0</v>
      </c>
      <c r="AX278" s="1" t="n">
        <f aca="false">IF(AG278&gt;=PR_AgeCrAge,PR_AgeCr,0)</f>
        <v>0</v>
      </c>
      <c r="AY278" s="1" t="n">
        <f aca="false">IF(AND(F_RentCred=1,D278&lt;=PR_RentLast),1,0)</f>
        <v>0</v>
      </c>
      <c r="AZ278" s="1" t="n">
        <f aca="false">AS278+AT278</f>
        <v>0</v>
      </c>
      <c r="BA278" s="1" t="n">
        <f aca="false">PR_PersonalM+AU278+AV278+AW278+AX278+IF(AY278=1,PR_RentJoint,0)</f>
        <v>4000</v>
      </c>
      <c r="BB278" s="1" t="n">
        <f aca="false">PR_BandM+MIN(MIN(AS278,AT278),PR_Uplift)</f>
        <v>53000</v>
      </c>
      <c r="BC278" s="1" t="n">
        <f aca="false">MAX(0,PR_r1*MIN(AZ278,BB278)+PR_r2*MAX(0,AZ278-BB278)-BA278)</f>
        <v>0</v>
      </c>
      <c r="BD278" s="1" t="n">
        <f aca="false">MAX(0,PR_HomeCarer-MAX(0,MIN(AS278,AT278)-PR_HCLimit)/2)</f>
        <v>1950</v>
      </c>
      <c r="BE278" s="1" t="n">
        <f aca="false">IF(F_Carer=1,MIN(BC278,MAX(0,PR_r1*MIN(AZ278,PR_BandM)+PR_r2*MAX(0,AZ278-PR_BandM)-BA278-BD278)),BC278)</f>
        <v>0</v>
      </c>
      <c r="BF278" s="1" t="n">
        <f aca="false">IF(OR(C278&gt;=PR_AgeCrAge,AG278&gt;=PR_AgeCrAge),IF(AZ278&lt;=PR_AgeExM,0,MIN(BE278,PR_AgeMarg*(AZ278-PR_AgeExM))),BE278)</f>
        <v>0</v>
      </c>
      <c r="BG278" s="1" t="n">
        <f aca="false">MAX(0,PR_r1*MIN(AS278,IF(F_Spccc=1,PR_BandSPCCC,PR_Band))+PR_r2*MAX(0,AS278-IF(F_Spccc=1,PR_BandSPCCC,PR_Band))-(PR_Personal+AU278+AW278+IF(F_Spccc=1,PR_SPCCC,0)+IF(AY278=1,PR_Rent,0)))</f>
        <v>0</v>
      </c>
      <c r="BH278" s="1" t="n">
        <f aca="false">IF(C278&gt;=PR_AgeCrAge,IF(AS278&lt;=PR_AgeEx,0,MIN(BG278,PR_AgeMarg*(AS278-PR_AgeEx))),BG278)</f>
        <v>0</v>
      </c>
      <c r="BI278" s="1" t="n">
        <f aca="false">IF(F_Partner=1,MAX(0,PR_r1*MIN(AT278,PR_Band)+PR_r2*MAX(0,AT278-PR_Band)-(PR_Personal+AV278+AX278+IF(AND(AY278=1,AT278&gt;0),PR_Rent,0))),0)</f>
        <v>0</v>
      </c>
      <c r="BJ278" s="1" t="n">
        <f aca="false">IF(AG278&gt;=PR_AgeCrAge,IF(AT278&lt;=PR_AgeEx,0,MIN(BI278,PR_AgeMarg*(AT278-PR_AgeEx))),BI278)</f>
        <v>0</v>
      </c>
      <c r="BK278" s="1" t="n">
        <f aca="false">IF(F_Partner=1,IF(F_Married=1,BF278,BH278+BJ278),BH278)</f>
        <v>0</v>
      </c>
      <c r="BL278" s="1" t="n">
        <f aca="false">AL278+AN278+AO278</f>
        <v>0</v>
      </c>
      <c r="BM278" s="1" t="n">
        <f aca="false">IF(BL278&lt;=PR_USCex,0,IF(IF(AND(C278&gt;=PR_USCredAge,BL278&lt;=PR_USCredMax),1,0)=1,PR_USCr1*MIN(BL278,PR_USCredB1)+PR_USCredR2*MAX(0,BL278-PR_USCredB1),PR_USCr1*MIN(BL278,PR_USCb1)+PR_USCr2*MAX(0,MIN(BL278,PR_USCb2)-PR_USCb1)+PR_USCr3*MAX(0,MIN(BL278,PR_USCb3)-PR_USCb2)+PR_USCr4*MAX(0,BL278-PR_USCb3)))+IF(F_SelfEmp=1,PR_USCse*MAX(0,AL278-PR_USCseOver),0)</f>
        <v>0</v>
      </c>
      <c r="BN278" s="1" t="n">
        <f aca="false">AQ278</f>
        <v>0</v>
      </c>
      <c r="BO278" s="1" t="n">
        <f aca="false">IF(F_Partner=1,IF(BN278&lt;=PR_USCex,0,IF(IF(AND(AG278&gt;=PR_USCredAge,BN278&lt;=PR_USCredMax),1,0)=1,PR_USCr1*MIN(BN278,PR_USCredB1)+PR_USCredR2*MAX(0,BN278-PR_USCredB1),PR_USCr1*MIN(BN278,PR_USCb1)+PR_USCr2*MAX(0,MIN(BN278,PR_USCb2)-PR_USCb1)+PR_USCr3*MAX(0,MIN(BN278,PR_USCb3)-PR_USCb2)+PR_USCr4*MAX(0,BN278-PR_USCb3))),0)</f>
        <v>0</v>
      </c>
      <c r="BP278" s="1" t="n">
        <f aca="false">IF(C278&lt;PR_PRSIend,IF(F_SelfEmp=1,IF(AL278&gt;PR_PRSIsMinInc,MAX(PR_PRSIsMin,AL278*J278),0),IF(AL278/52&lt;=PR_PRSIfree,0,MAX(0,(AL278/52*J278-IF(AL278/52&lt;=PR_PRSIcreditTo,MAX(0,PR_PRSIcreditMax-(AL278/52-(PR_PRSIfree+0.01))/PR_PRSItaper),0))*52)))+J278*AN278+IF(AO278&gt;PR_PRSIunearned,J278*AO278,0),0)</f>
        <v>0</v>
      </c>
      <c r="BQ278" s="1" t="n">
        <f aca="false">IF(AND(F_Partner=1,AG278&lt;PR_PRSIend),IF(AQ278/52&lt;=PR_PRSIfree,0,MAX(0,(AQ278/52*J278-IF(AQ278/52&lt;=PR_PRSIcreditTo,MAX(0,PR_PRSIcreditMax-(AQ278/52-(PR_PRSIfree+0.01))/PR_PRSItaper),0))*52)),0)</f>
        <v>0</v>
      </c>
      <c r="BR278" s="1" t="n">
        <f aca="false">BK278+BM278+BO278+BP278+BQ278</f>
        <v>0</v>
      </c>
      <c r="BS278" s="1" t="n">
        <f aca="false">BR278*H278</f>
        <v>0</v>
      </c>
      <c r="BT278" s="1" t="n">
        <f aca="false">K278+AK278+AC278+AF278+AH278+AI278</f>
        <v>0</v>
      </c>
    </row>
    <row r="279" customFormat="false" ht="15" hidden="false" customHeight="true" outlineLevel="0" collapsed="false">
      <c r="B279" s="1" t="n">
        <v>45</v>
      </c>
      <c r="C279" s="1" t="n">
        <f aca="false">F_Age+B279</f>
        <v>45</v>
      </c>
      <c r="D279" s="1" t="n">
        <f aca="false">AS_Year0+B279</f>
        <v>2072</v>
      </c>
      <c r="E279" s="111" t="n">
        <f aca="false">(1+AS_Infl)^B279</f>
        <v>2.43785420530135</v>
      </c>
      <c r="F279" s="111" t="n">
        <f aca="false">(1+AS_Wage)^B279</f>
        <v>3.78159584165135</v>
      </c>
      <c r="G279" s="1" t="n">
        <f aca="false">IF(C279&lt;F_R,1,0)</f>
        <v>1</v>
      </c>
      <c r="H279" s="111" t="n">
        <f aca="false">IF(AS_Bands="flat",1,E279)</f>
        <v>2.43785420530135</v>
      </c>
      <c r="I279" s="111" t="n">
        <f aca="false">IF(AS_SpGrow="pay",F279,IF(AS_SpGrow="flat",1,E279))</f>
        <v>2.43785420530135</v>
      </c>
      <c r="J279" s="111" t="n">
        <f aca="false">(12*PR_PRSIr0+(PR_PRSIr1-PR_PRSIr0)*MAX(0,MIN(12,D279*12+12-PR_PRSIt1))+(PR_PRSIr2-PR_PRSIr1)*MAX(0,MIN(12,D279*12+12-PR_PRSIt2))+(PR_PRSIr3-PR_PRSIr2)*MAX(0,MIN(12,D279*12+12-PR_PRSIt3)))/12</f>
        <v>0.047</v>
      </c>
      <c r="K279" s="1" t="n">
        <f aca="false">IF(G279=1,F_Income*F279,0)</f>
        <v>0</v>
      </c>
      <c r="L279" s="1" t="n">
        <f aca="false">IF(G279=1,(F_Own+In_penExtra)*12*F279,0)</f>
        <v>0</v>
      </c>
      <c r="M279" s="1" t="n">
        <f aca="false">IF(G279=1,(F_PenM+In_penExtra)*12*F279,0)</f>
        <v>0</v>
      </c>
      <c r="N279" s="112" t="n">
        <f aca="false">IF(C279&lt;PR_RelA1,PR_RelP1,IF(C279&lt;PR_RelA2,PR_RelP2,IF(C279&lt;PR_RelA3,PR_RelP3,IF(C279&lt;PR_RelA4,PR_RelP4,IF(C279&lt;PR_RelA5,PR_RelP5,PR_RelP6)))))</f>
        <v>0.25</v>
      </c>
      <c r="O279" s="1" t="n">
        <f aca="false">IF(G279=1,MIN(L279/H279,N279*MIN(K279/H279,PR_EarnCap))*H279,0)</f>
        <v>0</v>
      </c>
      <c r="P279" s="1" t="n">
        <f aca="false">IF(AND(G279=1,F_AE=1),MIN(K279/H279,PR_AEcap)*H279,0)</f>
        <v>0</v>
      </c>
      <c r="Q279" s="1" t="n">
        <f aca="false">IF(G279=1,IF(WI_Retire=1,MAX(0,M279+WI_M*12),M279)+(PR_AEee+PR_AEer+PR_AEst)*P279,0)</f>
        <v>0</v>
      </c>
      <c r="R279" s="1" t="n">
        <f aca="false">L279+PR_AEee*P279</f>
        <v>0</v>
      </c>
      <c r="S279" s="1" t="n">
        <f aca="false">AD278</f>
        <v>0</v>
      </c>
      <c r="T279" s="1" t="n">
        <f aca="false">IF(D279&lt;=PR_SFTfrom,PR_SFT2026,IF(D279=PR_SFTfrom+1,PR_SFT2027,IF(D279=PR_SFTfrom+2,PR_SFT2028,IF(D279&lt;=PR_SFTto,PR_SFT2029,PR_SFT2029*(1+AS_Infl)^(D279-PR_SFTto)))))</f>
        <v>6560930.1949671</v>
      </c>
      <c r="U279" s="1" t="n">
        <f aca="false">IF(AND(G279=0,C279=F_V),1,0)</f>
        <v>0</v>
      </c>
      <c r="V279" s="1" t="n">
        <f aca="false">IF(U279=1,PR_SFTrate*MAX(0,S279-T279),0)</f>
        <v>0</v>
      </c>
      <c r="W279" s="1" t="n">
        <f aca="false">S279-V279</f>
        <v>0</v>
      </c>
      <c r="X279" s="1" t="n">
        <f aca="false">IF(AND(U279=1,AS_LumpPct&gt;0),W279*MIN(AS_LumpPct,PR_LSmax),0)</f>
        <v>0</v>
      </c>
      <c r="Y279" s="1" t="n">
        <f aca="false">X279-(PR_LSrate*MAX(0,MIN(X279,PR_LScap)-PR_LSfree)+PR_r2*MAX(0,X279-PR_LScap))</f>
        <v>0</v>
      </c>
      <c r="Z279" s="1" t="n">
        <f aca="false">W279-X279</f>
        <v>0</v>
      </c>
      <c r="AA279" s="112" t="n">
        <f aca="false">IF(C279&gt;=PR_ARFage1,IF(Z279&gt;PR_ARFbig,PR_ARFbigRate,IF(C279&gt;=PR_ARFage2,PR_ARF71,PR_ARF61)),0)</f>
        <v>0</v>
      </c>
      <c r="AB279" s="1" t="n">
        <f aca="false">IF(AS_DrawRule="min",Z279*AA279,IF(AS_DrawRule="fixed",MAX(AS_DrawFixed*E279,Z279*AA279),Z279*MAX(1/MAX(1,AS_End-C279+1),AA279)))</f>
        <v>0</v>
      </c>
      <c r="AC279" s="1" t="n">
        <f aca="false">IF(AND(G279=0,C279&gt;=F_V),MIN(Z279,AB279),0)</f>
        <v>0</v>
      </c>
      <c r="AD279" s="1" t="n">
        <f aca="false">IF(G279=1,S279*(1+F_PenG)+Q279,IF(C279&lt;F_V,S279*(1+F_PenG),(Z279-AC279)*(1+AS_PenRet)))</f>
        <v>0</v>
      </c>
      <c r="AE279" s="1" t="n">
        <f aca="false">IF(C279&gt;=PR_SPage,AS_SP*F_SpF*I279+IF(AND(C279&gt;=PR_Over80Age,F_SpF&gt;0),PR_Over80*PR_Weeks*I279,0),0)</f>
        <v>0</v>
      </c>
      <c r="AF279" s="1" t="n">
        <f aca="false">(F_OtherM+F_RentM)*12*E279</f>
        <v>0</v>
      </c>
      <c r="AG279" s="1" t="n">
        <f aca="false">F_PAge+B279</f>
        <v>45</v>
      </c>
      <c r="AH279" s="1" t="n">
        <f aca="false">IF(AND(F_Partner=1,F_PAge&gt;0,AG279&lt;IF(F_PRet&gt;0,F_PRet,PR_SPage)),F_PIncome*F279,0)</f>
        <v>0</v>
      </c>
      <c r="AI279" s="1" t="n">
        <f aca="false">IF(AND(F_Partner=1,AG279&gt;=PR_SPage,F_PSpQA=0),AS_SP*F_PSpF*I279,0)</f>
        <v>0</v>
      </c>
      <c r="AJ279" s="1" t="n">
        <f aca="false">IF(AND(F_Partner=1,F_PSpQA=1,C279&gt;=PR_SPage,AH279=0),IF(AG279&gt;=PR_SPage,PR_QA66,PR_QAunder)*PR_Weeks*I279,0)</f>
        <v>0</v>
      </c>
      <c r="AK279" s="1" t="n">
        <f aca="false">AE279+AJ279</f>
        <v>0</v>
      </c>
      <c r="AL279" s="1" t="n">
        <f aca="false">K279/H279</f>
        <v>0</v>
      </c>
      <c r="AM279" s="1" t="n">
        <f aca="false">AK279/H279</f>
        <v>0</v>
      </c>
      <c r="AN279" s="1" t="n">
        <f aca="false">AC279/H279</f>
        <v>0</v>
      </c>
      <c r="AO279" s="1" t="n">
        <f aca="false">AF279/H279</f>
        <v>0</v>
      </c>
      <c r="AP279" s="1" t="n">
        <f aca="false">O279/H279</f>
        <v>0</v>
      </c>
      <c r="AQ279" s="1" t="n">
        <f aca="false">AH279/H279</f>
        <v>0</v>
      </c>
      <c r="AR279" s="1" t="n">
        <f aca="false">AI279/H279</f>
        <v>0</v>
      </c>
      <c r="AS279" s="1" t="n">
        <f aca="false">MAX(0,AL279+AN279+AO279+AM279-AP279)</f>
        <v>0</v>
      </c>
      <c r="AT279" s="1" t="n">
        <f aca="false">MAX(0,AQ279+AR279)</f>
        <v>0</v>
      </c>
      <c r="AU279" s="1" t="n">
        <f aca="false">MIN(PR_PAYE,PR_PAYEcap*(AL279+AN279+AM279))</f>
        <v>0</v>
      </c>
      <c r="AV279" s="1" t="n">
        <f aca="false">MIN(PR_PAYE,PR_PAYEcap*(AQ279+AR279))</f>
        <v>0</v>
      </c>
      <c r="AW279" s="1" t="n">
        <f aca="false">IF(C279&gt;=PR_AgeCrAge,PR_AgeCr,0)</f>
        <v>0</v>
      </c>
      <c r="AX279" s="1" t="n">
        <f aca="false">IF(AG279&gt;=PR_AgeCrAge,PR_AgeCr,0)</f>
        <v>0</v>
      </c>
      <c r="AY279" s="1" t="n">
        <f aca="false">IF(AND(F_RentCred=1,D279&lt;=PR_RentLast),1,0)</f>
        <v>0</v>
      </c>
      <c r="AZ279" s="1" t="n">
        <f aca="false">AS279+AT279</f>
        <v>0</v>
      </c>
      <c r="BA279" s="1" t="n">
        <f aca="false">PR_PersonalM+AU279+AV279+AW279+AX279+IF(AY279=1,PR_RentJoint,0)</f>
        <v>4000</v>
      </c>
      <c r="BB279" s="1" t="n">
        <f aca="false">PR_BandM+MIN(MIN(AS279,AT279),PR_Uplift)</f>
        <v>53000</v>
      </c>
      <c r="BC279" s="1" t="n">
        <f aca="false">MAX(0,PR_r1*MIN(AZ279,BB279)+PR_r2*MAX(0,AZ279-BB279)-BA279)</f>
        <v>0</v>
      </c>
      <c r="BD279" s="1" t="n">
        <f aca="false">MAX(0,PR_HomeCarer-MAX(0,MIN(AS279,AT279)-PR_HCLimit)/2)</f>
        <v>1950</v>
      </c>
      <c r="BE279" s="1" t="n">
        <f aca="false">IF(F_Carer=1,MIN(BC279,MAX(0,PR_r1*MIN(AZ279,PR_BandM)+PR_r2*MAX(0,AZ279-PR_BandM)-BA279-BD279)),BC279)</f>
        <v>0</v>
      </c>
      <c r="BF279" s="1" t="n">
        <f aca="false">IF(OR(C279&gt;=PR_AgeCrAge,AG279&gt;=PR_AgeCrAge),IF(AZ279&lt;=PR_AgeExM,0,MIN(BE279,PR_AgeMarg*(AZ279-PR_AgeExM))),BE279)</f>
        <v>0</v>
      </c>
      <c r="BG279" s="1" t="n">
        <f aca="false">MAX(0,PR_r1*MIN(AS279,IF(F_Spccc=1,PR_BandSPCCC,PR_Band))+PR_r2*MAX(0,AS279-IF(F_Spccc=1,PR_BandSPCCC,PR_Band))-(PR_Personal+AU279+AW279+IF(F_Spccc=1,PR_SPCCC,0)+IF(AY279=1,PR_Rent,0)))</f>
        <v>0</v>
      </c>
      <c r="BH279" s="1" t="n">
        <f aca="false">IF(C279&gt;=PR_AgeCrAge,IF(AS279&lt;=PR_AgeEx,0,MIN(BG279,PR_AgeMarg*(AS279-PR_AgeEx))),BG279)</f>
        <v>0</v>
      </c>
      <c r="BI279" s="1" t="n">
        <f aca="false">IF(F_Partner=1,MAX(0,PR_r1*MIN(AT279,PR_Band)+PR_r2*MAX(0,AT279-PR_Band)-(PR_Personal+AV279+AX279+IF(AND(AY279=1,AT279&gt;0),PR_Rent,0))),0)</f>
        <v>0</v>
      </c>
      <c r="BJ279" s="1" t="n">
        <f aca="false">IF(AG279&gt;=PR_AgeCrAge,IF(AT279&lt;=PR_AgeEx,0,MIN(BI279,PR_AgeMarg*(AT279-PR_AgeEx))),BI279)</f>
        <v>0</v>
      </c>
      <c r="BK279" s="1" t="n">
        <f aca="false">IF(F_Partner=1,IF(F_Married=1,BF279,BH279+BJ279),BH279)</f>
        <v>0</v>
      </c>
      <c r="BL279" s="1" t="n">
        <f aca="false">AL279+AN279+AO279</f>
        <v>0</v>
      </c>
      <c r="BM279" s="1" t="n">
        <f aca="false">IF(BL279&lt;=PR_USCex,0,IF(IF(AND(C279&gt;=PR_USCredAge,BL279&lt;=PR_USCredMax),1,0)=1,PR_USCr1*MIN(BL279,PR_USCredB1)+PR_USCredR2*MAX(0,BL279-PR_USCredB1),PR_USCr1*MIN(BL279,PR_USCb1)+PR_USCr2*MAX(0,MIN(BL279,PR_USCb2)-PR_USCb1)+PR_USCr3*MAX(0,MIN(BL279,PR_USCb3)-PR_USCb2)+PR_USCr4*MAX(0,BL279-PR_USCb3)))+IF(F_SelfEmp=1,PR_USCse*MAX(0,AL279-PR_USCseOver),0)</f>
        <v>0</v>
      </c>
      <c r="BN279" s="1" t="n">
        <f aca="false">AQ279</f>
        <v>0</v>
      </c>
      <c r="BO279" s="1" t="n">
        <f aca="false">IF(F_Partner=1,IF(BN279&lt;=PR_USCex,0,IF(IF(AND(AG279&gt;=PR_USCredAge,BN279&lt;=PR_USCredMax),1,0)=1,PR_USCr1*MIN(BN279,PR_USCredB1)+PR_USCredR2*MAX(0,BN279-PR_USCredB1),PR_USCr1*MIN(BN279,PR_USCb1)+PR_USCr2*MAX(0,MIN(BN279,PR_USCb2)-PR_USCb1)+PR_USCr3*MAX(0,MIN(BN279,PR_USCb3)-PR_USCb2)+PR_USCr4*MAX(0,BN279-PR_USCb3))),0)</f>
        <v>0</v>
      </c>
      <c r="BP279" s="1" t="n">
        <f aca="false">IF(C279&lt;PR_PRSIend,IF(F_SelfEmp=1,IF(AL279&gt;PR_PRSIsMinInc,MAX(PR_PRSIsMin,AL279*J279),0),IF(AL279/52&lt;=PR_PRSIfree,0,MAX(0,(AL279/52*J279-IF(AL279/52&lt;=PR_PRSIcreditTo,MAX(0,PR_PRSIcreditMax-(AL279/52-(PR_PRSIfree+0.01))/PR_PRSItaper),0))*52)))+J279*AN279+IF(AO279&gt;PR_PRSIunearned,J279*AO279,0),0)</f>
        <v>0</v>
      </c>
      <c r="BQ279" s="1" t="n">
        <f aca="false">IF(AND(F_Partner=1,AG279&lt;PR_PRSIend),IF(AQ279/52&lt;=PR_PRSIfree,0,MAX(0,(AQ279/52*J279-IF(AQ279/52&lt;=PR_PRSIcreditTo,MAX(0,PR_PRSIcreditMax-(AQ279/52-(PR_PRSIfree+0.01))/PR_PRSItaper),0))*52)),0)</f>
        <v>0</v>
      </c>
      <c r="BR279" s="1" t="n">
        <f aca="false">BK279+BM279+BO279+BP279+BQ279</f>
        <v>0</v>
      </c>
      <c r="BS279" s="1" t="n">
        <f aca="false">BR279*H279</f>
        <v>0</v>
      </c>
      <c r="BT279" s="1" t="n">
        <f aca="false">K279+AK279+AC279+AF279+AH279+AI279</f>
        <v>0</v>
      </c>
    </row>
    <row r="280" customFormat="false" ht="15" hidden="false" customHeight="true" outlineLevel="0" collapsed="false">
      <c r="B280" s="1" t="n">
        <v>46</v>
      </c>
      <c r="C280" s="1" t="n">
        <f aca="false">F_Age+B280</f>
        <v>46</v>
      </c>
      <c r="D280" s="1" t="n">
        <f aca="false">AS_Year0+B280</f>
        <v>2073</v>
      </c>
      <c r="E280" s="111" t="n">
        <f aca="false">(1+AS_Infl)^B280</f>
        <v>2.48661128940737</v>
      </c>
      <c r="F280" s="111" t="n">
        <f aca="false">(1+AS_Wage)^B280</f>
        <v>3.89504371690089</v>
      </c>
      <c r="G280" s="1" t="n">
        <f aca="false">IF(C280&lt;F_R,1,0)</f>
        <v>1</v>
      </c>
      <c r="H280" s="111" t="n">
        <f aca="false">IF(AS_Bands="flat",1,E280)</f>
        <v>2.48661128940737</v>
      </c>
      <c r="I280" s="111" t="n">
        <f aca="false">IF(AS_SpGrow="pay",F280,IF(AS_SpGrow="flat",1,E280))</f>
        <v>2.48661128940737</v>
      </c>
      <c r="J280" s="111" t="n">
        <f aca="false">(12*PR_PRSIr0+(PR_PRSIr1-PR_PRSIr0)*MAX(0,MIN(12,D280*12+12-PR_PRSIt1))+(PR_PRSIr2-PR_PRSIr1)*MAX(0,MIN(12,D280*12+12-PR_PRSIt2))+(PR_PRSIr3-PR_PRSIr2)*MAX(0,MIN(12,D280*12+12-PR_PRSIt3)))/12</f>
        <v>0.047</v>
      </c>
      <c r="K280" s="1" t="n">
        <f aca="false">IF(G280=1,F_Income*F280,0)</f>
        <v>0</v>
      </c>
      <c r="L280" s="1" t="n">
        <f aca="false">IF(G280=1,(F_Own+In_penExtra)*12*F280,0)</f>
        <v>0</v>
      </c>
      <c r="M280" s="1" t="n">
        <f aca="false">IF(G280=1,(F_PenM+In_penExtra)*12*F280,0)</f>
        <v>0</v>
      </c>
      <c r="N280" s="112" t="n">
        <f aca="false">IF(C280&lt;PR_RelA1,PR_RelP1,IF(C280&lt;PR_RelA2,PR_RelP2,IF(C280&lt;PR_RelA3,PR_RelP3,IF(C280&lt;PR_RelA4,PR_RelP4,IF(C280&lt;PR_RelA5,PR_RelP5,PR_RelP6)))))</f>
        <v>0.25</v>
      </c>
      <c r="O280" s="1" t="n">
        <f aca="false">IF(G280=1,MIN(L280/H280,N280*MIN(K280/H280,PR_EarnCap))*H280,0)</f>
        <v>0</v>
      </c>
      <c r="P280" s="1" t="n">
        <f aca="false">IF(AND(G280=1,F_AE=1),MIN(K280/H280,PR_AEcap)*H280,0)</f>
        <v>0</v>
      </c>
      <c r="Q280" s="1" t="n">
        <f aca="false">IF(G280=1,IF(WI_Retire=1,MAX(0,M280+WI_M*12),M280)+(PR_AEee+PR_AEer+PR_AEst)*P280,0)</f>
        <v>0</v>
      </c>
      <c r="R280" s="1" t="n">
        <f aca="false">L280+PR_AEee*P280</f>
        <v>0</v>
      </c>
      <c r="S280" s="1" t="n">
        <f aca="false">AD279</f>
        <v>0</v>
      </c>
      <c r="T280" s="1" t="n">
        <f aca="false">IF(D280&lt;=PR_SFTfrom,PR_SFT2026,IF(D280=PR_SFTfrom+1,PR_SFT2027,IF(D280=PR_SFTfrom+2,PR_SFT2028,IF(D280&lt;=PR_SFTto,PR_SFT2029,PR_SFT2029*(1+AS_Infl)^(D280-PR_SFTto)))))</f>
        <v>6692148.79886644</v>
      </c>
      <c r="U280" s="1" t="n">
        <f aca="false">IF(AND(G280=0,C280=F_V),1,0)</f>
        <v>0</v>
      </c>
      <c r="V280" s="1" t="n">
        <f aca="false">IF(U280=1,PR_SFTrate*MAX(0,S280-T280),0)</f>
        <v>0</v>
      </c>
      <c r="W280" s="1" t="n">
        <f aca="false">S280-V280</f>
        <v>0</v>
      </c>
      <c r="X280" s="1" t="n">
        <f aca="false">IF(AND(U280=1,AS_LumpPct&gt;0),W280*MIN(AS_LumpPct,PR_LSmax),0)</f>
        <v>0</v>
      </c>
      <c r="Y280" s="1" t="n">
        <f aca="false">X280-(PR_LSrate*MAX(0,MIN(X280,PR_LScap)-PR_LSfree)+PR_r2*MAX(0,X280-PR_LScap))</f>
        <v>0</v>
      </c>
      <c r="Z280" s="1" t="n">
        <f aca="false">W280-X280</f>
        <v>0</v>
      </c>
      <c r="AA280" s="112" t="n">
        <f aca="false">IF(C280&gt;=PR_ARFage1,IF(Z280&gt;PR_ARFbig,PR_ARFbigRate,IF(C280&gt;=PR_ARFage2,PR_ARF71,PR_ARF61)),0)</f>
        <v>0</v>
      </c>
      <c r="AB280" s="1" t="n">
        <f aca="false">IF(AS_DrawRule="min",Z280*AA280,IF(AS_DrawRule="fixed",MAX(AS_DrawFixed*E280,Z280*AA280),Z280*MAX(1/MAX(1,AS_End-C280+1),AA280)))</f>
        <v>0</v>
      </c>
      <c r="AC280" s="1" t="n">
        <f aca="false">IF(AND(G280=0,C280&gt;=F_V),MIN(Z280,AB280),0)</f>
        <v>0</v>
      </c>
      <c r="AD280" s="1" t="n">
        <f aca="false">IF(G280=1,S280*(1+F_PenG)+Q280,IF(C280&lt;F_V,S280*(1+F_PenG),(Z280-AC280)*(1+AS_PenRet)))</f>
        <v>0</v>
      </c>
      <c r="AE280" s="1" t="n">
        <f aca="false">IF(C280&gt;=PR_SPage,AS_SP*F_SpF*I280+IF(AND(C280&gt;=PR_Over80Age,F_SpF&gt;0),PR_Over80*PR_Weeks*I280,0),0)</f>
        <v>0</v>
      </c>
      <c r="AF280" s="1" t="n">
        <f aca="false">(F_OtherM+F_RentM)*12*E280</f>
        <v>0</v>
      </c>
      <c r="AG280" s="1" t="n">
        <f aca="false">F_PAge+B280</f>
        <v>46</v>
      </c>
      <c r="AH280" s="1" t="n">
        <f aca="false">IF(AND(F_Partner=1,F_PAge&gt;0,AG280&lt;IF(F_PRet&gt;0,F_PRet,PR_SPage)),F_PIncome*F280,0)</f>
        <v>0</v>
      </c>
      <c r="AI280" s="1" t="n">
        <f aca="false">IF(AND(F_Partner=1,AG280&gt;=PR_SPage,F_PSpQA=0),AS_SP*F_PSpF*I280,0)</f>
        <v>0</v>
      </c>
      <c r="AJ280" s="1" t="n">
        <f aca="false">IF(AND(F_Partner=1,F_PSpQA=1,C280&gt;=PR_SPage,AH280=0),IF(AG280&gt;=PR_SPage,PR_QA66,PR_QAunder)*PR_Weeks*I280,0)</f>
        <v>0</v>
      </c>
      <c r="AK280" s="1" t="n">
        <f aca="false">AE280+AJ280</f>
        <v>0</v>
      </c>
      <c r="AL280" s="1" t="n">
        <f aca="false">K280/H280</f>
        <v>0</v>
      </c>
      <c r="AM280" s="1" t="n">
        <f aca="false">AK280/H280</f>
        <v>0</v>
      </c>
      <c r="AN280" s="1" t="n">
        <f aca="false">AC280/H280</f>
        <v>0</v>
      </c>
      <c r="AO280" s="1" t="n">
        <f aca="false">AF280/H280</f>
        <v>0</v>
      </c>
      <c r="AP280" s="1" t="n">
        <f aca="false">O280/H280</f>
        <v>0</v>
      </c>
      <c r="AQ280" s="1" t="n">
        <f aca="false">AH280/H280</f>
        <v>0</v>
      </c>
      <c r="AR280" s="1" t="n">
        <f aca="false">AI280/H280</f>
        <v>0</v>
      </c>
      <c r="AS280" s="1" t="n">
        <f aca="false">MAX(0,AL280+AN280+AO280+AM280-AP280)</f>
        <v>0</v>
      </c>
      <c r="AT280" s="1" t="n">
        <f aca="false">MAX(0,AQ280+AR280)</f>
        <v>0</v>
      </c>
      <c r="AU280" s="1" t="n">
        <f aca="false">MIN(PR_PAYE,PR_PAYEcap*(AL280+AN280+AM280))</f>
        <v>0</v>
      </c>
      <c r="AV280" s="1" t="n">
        <f aca="false">MIN(PR_PAYE,PR_PAYEcap*(AQ280+AR280))</f>
        <v>0</v>
      </c>
      <c r="AW280" s="1" t="n">
        <f aca="false">IF(C280&gt;=PR_AgeCrAge,PR_AgeCr,0)</f>
        <v>0</v>
      </c>
      <c r="AX280" s="1" t="n">
        <f aca="false">IF(AG280&gt;=PR_AgeCrAge,PR_AgeCr,0)</f>
        <v>0</v>
      </c>
      <c r="AY280" s="1" t="n">
        <f aca="false">IF(AND(F_RentCred=1,D280&lt;=PR_RentLast),1,0)</f>
        <v>0</v>
      </c>
      <c r="AZ280" s="1" t="n">
        <f aca="false">AS280+AT280</f>
        <v>0</v>
      </c>
      <c r="BA280" s="1" t="n">
        <f aca="false">PR_PersonalM+AU280+AV280+AW280+AX280+IF(AY280=1,PR_RentJoint,0)</f>
        <v>4000</v>
      </c>
      <c r="BB280" s="1" t="n">
        <f aca="false">PR_BandM+MIN(MIN(AS280,AT280),PR_Uplift)</f>
        <v>53000</v>
      </c>
      <c r="BC280" s="1" t="n">
        <f aca="false">MAX(0,PR_r1*MIN(AZ280,BB280)+PR_r2*MAX(0,AZ280-BB280)-BA280)</f>
        <v>0</v>
      </c>
      <c r="BD280" s="1" t="n">
        <f aca="false">MAX(0,PR_HomeCarer-MAX(0,MIN(AS280,AT280)-PR_HCLimit)/2)</f>
        <v>1950</v>
      </c>
      <c r="BE280" s="1" t="n">
        <f aca="false">IF(F_Carer=1,MIN(BC280,MAX(0,PR_r1*MIN(AZ280,PR_BandM)+PR_r2*MAX(0,AZ280-PR_BandM)-BA280-BD280)),BC280)</f>
        <v>0</v>
      </c>
      <c r="BF280" s="1" t="n">
        <f aca="false">IF(OR(C280&gt;=PR_AgeCrAge,AG280&gt;=PR_AgeCrAge),IF(AZ280&lt;=PR_AgeExM,0,MIN(BE280,PR_AgeMarg*(AZ280-PR_AgeExM))),BE280)</f>
        <v>0</v>
      </c>
      <c r="BG280" s="1" t="n">
        <f aca="false">MAX(0,PR_r1*MIN(AS280,IF(F_Spccc=1,PR_BandSPCCC,PR_Band))+PR_r2*MAX(0,AS280-IF(F_Spccc=1,PR_BandSPCCC,PR_Band))-(PR_Personal+AU280+AW280+IF(F_Spccc=1,PR_SPCCC,0)+IF(AY280=1,PR_Rent,0)))</f>
        <v>0</v>
      </c>
      <c r="BH280" s="1" t="n">
        <f aca="false">IF(C280&gt;=PR_AgeCrAge,IF(AS280&lt;=PR_AgeEx,0,MIN(BG280,PR_AgeMarg*(AS280-PR_AgeEx))),BG280)</f>
        <v>0</v>
      </c>
      <c r="BI280" s="1" t="n">
        <f aca="false">IF(F_Partner=1,MAX(0,PR_r1*MIN(AT280,PR_Band)+PR_r2*MAX(0,AT280-PR_Band)-(PR_Personal+AV280+AX280+IF(AND(AY280=1,AT280&gt;0),PR_Rent,0))),0)</f>
        <v>0</v>
      </c>
      <c r="BJ280" s="1" t="n">
        <f aca="false">IF(AG280&gt;=PR_AgeCrAge,IF(AT280&lt;=PR_AgeEx,0,MIN(BI280,PR_AgeMarg*(AT280-PR_AgeEx))),BI280)</f>
        <v>0</v>
      </c>
      <c r="BK280" s="1" t="n">
        <f aca="false">IF(F_Partner=1,IF(F_Married=1,BF280,BH280+BJ280),BH280)</f>
        <v>0</v>
      </c>
      <c r="BL280" s="1" t="n">
        <f aca="false">AL280+AN280+AO280</f>
        <v>0</v>
      </c>
      <c r="BM280" s="1" t="n">
        <f aca="false">IF(BL280&lt;=PR_USCex,0,IF(IF(AND(C280&gt;=PR_USCredAge,BL280&lt;=PR_USCredMax),1,0)=1,PR_USCr1*MIN(BL280,PR_USCredB1)+PR_USCredR2*MAX(0,BL280-PR_USCredB1),PR_USCr1*MIN(BL280,PR_USCb1)+PR_USCr2*MAX(0,MIN(BL280,PR_USCb2)-PR_USCb1)+PR_USCr3*MAX(0,MIN(BL280,PR_USCb3)-PR_USCb2)+PR_USCr4*MAX(0,BL280-PR_USCb3)))+IF(F_SelfEmp=1,PR_USCse*MAX(0,AL280-PR_USCseOver),0)</f>
        <v>0</v>
      </c>
      <c r="BN280" s="1" t="n">
        <f aca="false">AQ280</f>
        <v>0</v>
      </c>
      <c r="BO280" s="1" t="n">
        <f aca="false">IF(F_Partner=1,IF(BN280&lt;=PR_USCex,0,IF(IF(AND(AG280&gt;=PR_USCredAge,BN280&lt;=PR_USCredMax),1,0)=1,PR_USCr1*MIN(BN280,PR_USCredB1)+PR_USCredR2*MAX(0,BN280-PR_USCredB1),PR_USCr1*MIN(BN280,PR_USCb1)+PR_USCr2*MAX(0,MIN(BN280,PR_USCb2)-PR_USCb1)+PR_USCr3*MAX(0,MIN(BN280,PR_USCb3)-PR_USCb2)+PR_USCr4*MAX(0,BN280-PR_USCb3))),0)</f>
        <v>0</v>
      </c>
      <c r="BP280" s="1" t="n">
        <f aca="false">IF(C280&lt;PR_PRSIend,IF(F_SelfEmp=1,IF(AL280&gt;PR_PRSIsMinInc,MAX(PR_PRSIsMin,AL280*J280),0),IF(AL280/52&lt;=PR_PRSIfree,0,MAX(0,(AL280/52*J280-IF(AL280/52&lt;=PR_PRSIcreditTo,MAX(0,PR_PRSIcreditMax-(AL280/52-(PR_PRSIfree+0.01))/PR_PRSItaper),0))*52)))+J280*AN280+IF(AO280&gt;PR_PRSIunearned,J280*AO280,0),0)</f>
        <v>0</v>
      </c>
      <c r="BQ280" s="1" t="n">
        <f aca="false">IF(AND(F_Partner=1,AG280&lt;PR_PRSIend),IF(AQ280/52&lt;=PR_PRSIfree,0,MAX(0,(AQ280/52*J280-IF(AQ280/52&lt;=PR_PRSIcreditTo,MAX(0,PR_PRSIcreditMax-(AQ280/52-(PR_PRSIfree+0.01))/PR_PRSItaper),0))*52)),0)</f>
        <v>0</v>
      </c>
      <c r="BR280" s="1" t="n">
        <f aca="false">BK280+BM280+BO280+BP280+BQ280</f>
        <v>0</v>
      </c>
      <c r="BS280" s="1" t="n">
        <f aca="false">BR280*H280</f>
        <v>0</v>
      </c>
      <c r="BT280" s="1" t="n">
        <f aca="false">K280+AK280+AC280+AF280+AH280+AI280</f>
        <v>0</v>
      </c>
    </row>
    <row r="281" customFormat="false" ht="15" hidden="false" customHeight="true" outlineLevel="0" collapsed="false">
      <c r="B281" s="1" t="n">
        <v>47</v>
      </c>
      <c r="C281" s="1" t="n">
        <f aca="false">F_Age+B281</f>
        <v>47</v>
      </c>
      <c r="D281" s="1" t="n">
        <f aca="false">AS_Year0+B281</f>
        <v>2074</v>
      </c>
      <c r="E281" s="111" t="n">
        <f aca="false">(1+AS_Infl)^B281</f>
        <v>2.53634351519552</v>
      </c>
      <c r="F281" s="111" t="n">
        <f aca="false">(1+AS_Wage)^B281</f>
        <v>4.01189502840791</v>
      </c>
      <c r="G281" s="1" t="n">
        <f aca="false">IF(C281&lt;F_R,1,0)</f>
        <v>1</v>
      </c>
      <c r="H281" s="111" t="n">
        <f aca="false">IF(AS_Bands="flat",1,E281)</f>
        <v>2.53634351519552</v>
      </c>
      <c r="I281" s="111" t="n">
        <f aca="false">IF(AS_SpGrow="pay",F281,IF(AS_SpGrow="flat",1,E281))</f>
        <v>2.53634351519552</v>
      </c>
      <c r="J281" s="111" t="n">
        <f aca="false">(12*PR_PRSIr0+(PR_PRSIr1-PR_PRSIr0)*MAX(0,MIN(12,D281*12+12-PR_PRSIt1))+(PR_PRSIr2-PR_PRSIr1)*MAX(0,MIN(12,D281*12+12-PR_PRSIt2))+(PR_PRSIr3-PR_PRSIr2)*MAX(0,MIN(12,D281*12+12-PR_PRSIt3)))/12</f>
        <v>0.047</v>
      </c>
      <c r="K281" s="1" t="n">
        <f aca="false">IF(G281=1,F_Income*F281,0)</f>
        <v>0</v>
      </c>
      <c r="L281" s="1" t="n">
        <f aca="false">IF(G281=1,(F_Own+In_penExtra)*12*F281,0)</f>
        <v>0</v>
      </c>
      <c r="M281" s="1" t="n">
        <f aca="false">IF(G281=1,(F_PenM+In_penExtra)*12*F281,0)</f>
        <v>0</v>
      </c>
      <c r="N281" s="112" t="n">
        <f aca="false">IF(C281&lt;PR_RelA1,PR_RelP1,IF(C281&lt;PR_RelA2,PR_RelP2,IF(C281&lt;PR_RelA3,PR_RelP3,IF(C281&lt;PR_RelA4,PR_RelP4,IF(C281&lt;PR_RelA5,PR_RelP5,PR_RelP6)))))</f>
        <v>0.25</v>
      </c>
      <c r="O281" s="1" t="n">
        <f aca="false">IF(G281=1,MIN(L281/H281,N281*MIN(K281/H281,PR_EarnCap))*H281,0)</f>
        <v>0</v>
      </c>
      <c r="P281" s="1" t="n">
        <f aca="false">IF(AND(G281=1,F_AE=1),MIN(K281/H281,PR_AEcap)*H281,0)</f>
        <v>0</v>
      </c>
      <c r="Q281" s="1" t="n">
        <f aca="false">IF(G281=1,IF(WI_Retire=1,MAX(0,M281+WI_M*12),M281)+(PR_AEee+PR_AEer+PR_AEst)*P281,0)</f>
        <v>0</v>
      </c>
      <c r="R281" s="1" t="n">
        <f aca="false">L281+PR_AEee*P281</f>
        <v>0</v>
      </c>
      <c r="S281" s="1" t="n">
        <f aca="false">AD280</f>
        <v>0</v>
      </c>
      <c r="T281" s="1" t="n">
        <f aca="false">IF(D281&lt;=PR_SFTfrom,PR_SFT2026,IF(D281=PR_SFTfrom+1,PR_SFT2027,IF(D281=PR_SFTfrom+2,PR_SFT2028,IF(D281&lt;=PR_SFTto,PR_SFT2029,PR_SFT2029*(1+AS_Infl)^(D281-PR_SFTto)))))</f>
        <v>6825991.77484377</v>
      </c>
      <c r="U281" s="1" t="n">
        <f aca="false">IF(AND(G281=0,C281=F_V),1,0)</f>
        <v>0</v>
      </c>
      <c r="V281" s="1" t="n">
        <f aca="false">IF(U281=1,PR_SFTrate*MAX(0,S281-T281),0)</f>
        <v>0</v>
      </c>
      <c r="W281" s="1" t="n">
        <f aca="false">S281-V281</f>
        <v>0</v>
      </c>
      <c r="X281" s="1" t="n">
        <f aca="false">IF(AND(U281=1,AS_LumpPct&gt;0),W281*MIN(AS_LumpPct,PR_LSmax),0)</f>
        <v>0</v>
      </c>
      <c r="Y281" s="1" t="n">
        <f aca="false">X281-(PR_LSrate*MAX(0,MIN(X281,PR_LScap)-PR_LSfree)+PR_r2*MAX(0,X281-PR_LScap))</f>
        <v>0</v>
      </c>
      <c r="Z281" s="1" t="n">
        <f aca="false">W281-X281</f>
        <v>0</v>
      </c>
      <c r="AA281" s="112" t="n">
        <f aca="false">IF(C281&gt;=PR_ARFage1,IF(Z281&gt;PR_ARFbig,PR_ARFbigRate,IF(C281&gt;=PR_ARFage2,PR_ARF71,PR_ARF61)),0)</f>
        <v>0</v>
      </c>
      <c r="AB281" s="1" t="n">
        <f aca="false">IF(AS_DrawRule="min",Z281*AA281,IF(AS_DrawRule="fixed",MAX(AS_DrawFixed*E281,Z281*AA281),Z281*MAX(1/MAX(1,AS_End-C281+1),AA281)))</f>
        <v>0</v>
      </c>
      <c r="AC281" s="1" t="n">
        <f aca="false">IF(AND(G281=0,C281&gt;=F_V),MIN(Z281,AB281),0)</f>
        <v>0</v>
      </c>
      <c r="AD281" s="1" t="n">
        <f aca="false">IF(G281=1,S281*(1+F_PenG)+Q281,IF(C281&lt;F_V,S281*(1+F_PenG),(Z281-AC281)*(1+AS_PenRet)))</f>
        <v>0</v>
      </c>
      <c r="AE281" s="1" t="n">
        <f aca="false">IF(C281&gt;=PR_SPage,AS_SP*F_SpF*I281+IF(AND(C281&gt;=PR_Over80Age,F_SpF&gt;0),PR_Over80*PR_Weeks*I281,0),0)</f>
        <v>0</v>
      </c>
      <c r="AF281" s="1" t="n">
        <f aca="false">(F_OtherM+F_RentM)*12*E281</f>
        <v>0</v>
      </c>
      <c r="AG281" s="1" t="n">
        <f aca="false">F_PAge+B281</f>
        <v>47</v>
      </c>
      <c r="AH281" s="1" t="n">
        <f aca="false">IF(AND(F_Partner=1,F_PAge&gt;0,AG281&lt;IF(F_PRet&gt;0,F_PRet,PR_SPage)),F_PIncome*F281,0)</f>
        <v>0</v>
      </c>
      <c r="AI281" s="1" t="n">
        <f aca="false">IF(AND(F_Partner=1,AG281&gt;=PR_SPage,F_PSpQA=0),AS_SP*F_PSpF*I281,0)</f>
        <v>0</v>
      </c>
      <c r="AJ281" s="1" t="n">
        <f aca="false">IF(AND(F_Partner=1,F_PSpQA=1,C281&gt;=PR_SPage,AH281=0),IF(AG281&gt;=PR_SPage,PR_QA66,PR_QAunder)*PR_Weeks*I281,0)</f>
        <v>0</v>
      </c>
      <c r="AK281" s="1" t="n">
        <f aca="false">AE281+AJ281</f>
        <v>0</v>
      </c>
      <c r="AL281" s="1" t="n">
        <f aca="false">K281/H281</f>
        <v>0</v>
      </c>
      <c r="AM281" s="1" t="n">
        <f aca="false">AK281/H281</f>
        <v>0</v>
      </c>
      <c r="AN281" s="1" t="n">
        <f aca="false">AC281/H281</f>
        <v>0</v>
      </c>
      <c r="AO281" s="1" t="n">
        <f aca="false">AF281/H281</f>
        <v>0</v>
      </c>
      <c r="AP281" s="1" t="n">
        <f aca="false">O281/H281</f>
        <v>0</v>
      </c>
      <c r="AQ281" s="1" t="n">
        <f aca="false">AH281/H281</f>
        <v>0</v>
      </c>
      <c r="AR281" s="1" t="n">
        <f aca="false">AI281/H281</f>
        <v>0</v>
      </c>
      <c r="AS281" s="1" t="n">
        <f aca="false">MAX(0,AL281+AN281+AO281+AM281-AP281)</f>
        <v>0</v>
      </c>
      <c r="AT281" s="1" t="n">
        <f aca="false">MAX(0,AQ281+AR281)</f>
        <v>0</v>
      </c>
      <c r="AU281" s="1" t="n">
        <f aca="false">MIN(PR_PAYE,PR_PAYEcap*(AL281+AN281+AM281))</f>
        <v>0</v>
      </c>
      <c r="AV281" s="1" t="n">
        <f aca="false">MIN(PR_PAYE,PR_PAYEcap*(AQ281+AR281))</f>
        <v>0</v>
      </c>
      <c r="AW281" s="1" t="n">
        <f aca="false">IF(C281&gt;=PR_AgeCrAge,PR_AgeCr,0)</f>
        <v>0</v>
      </c>
      <c r="AX281" s="1" t="n">
        <f aca="false">IF(AG281&gt;=PR_AgeCrAge,PR_AgeCr,0)</f>
        <v>0</v>
      </c>
      <c r="AY281" s="1" t="n">
        <f aca="false">IF(AND(F_RentCred=1,D281&lt;=PR_RentLast),1,0)</f>
        <v>0</v>
      </c>
      <c r="AZ281" s="1" t="n">
        <f aca="false">AS281+AT281</f>
        <v>0</v>
      </c>
      <c r="BA281" s="1" t="n">
        <f aca="false">PR_PersonalM+AU281+AV281+AW281+AX281+IF(AY281=1,PR_RentJoint,0)</f>
        <v>4000</v>
      </c>
      <c r="BB281" s="1" t="n">
        <f aca="false">PR_BandM+MIN(MIN(AS281,AT281),PR_Uplift)</f>
        <v>53000</v>
      </c>
      <c r="BC281" s="1" t="n">
        <f aca="false">MAX(0,PR_r1*MIN(AZ281,BB281)+PR_r2*MAX(0,AZ281-BB281)-BA281)</f>
        <v>0</v>
      </c>
      <c r="BD281" s="1" t="n">
        <f aca="false">MAX(0,PR_HomeCarer-MAX(0,MIN(AS281,AT281)-PR_HCLimit)/2)</f>
        <v>1950</v>
      </c>
      <c r="BE281" s="1" t="n">
        <f aca="false">IF(F_Carer=1,MIN(BC281,MAX(0,PR_r1*MIN(AZ281,PR_BandM)+PR_r2*MAX(0,AZ281-PR_BandM)-BA281-BD281)),BC281)</f>
        <v>0</v>
      </c>
      <c r="BF281" s="1" t="n">
        <f aca="false">IF(OR(C281&gt;=PR_AgeCrAge,AG281&gt;=PR_AgeCrAge),IF(AZ281&lt;=PR_AgeExM,0,MIN(BE281,PR_AgeMarg*(AZ281-PR_AgeExM))),BE281)</f>
        <v>0</v>
      </c>
      <c r="BG281" s="1" t="n">
        <f aca="false">MAX(0,PR_r1*MIN(AS281,IF(F_Spccc=1,PR_BandSPCCC,PR_Band))+PR_r2*MAX(0,AS281-IF(F_Spccc=1,PR_BandSPCCC,PR_Band))-(PR_Personal+AU281+AW281+IF(F_Spccc=1,PR_SPCCC,0)+IF(AY281=1,PR_Rent,0)))</f>
        <v>0</v>
      </c>
      <c r="BH281" s="1" t="n">
        <f aca="false">IF(C281&gt;=PR_AgeCrAge,IF(AS281&lt;=PR_AgeEx,0,MIN(BG281,PR_AgeMarg*(AS281-PR_AgeEx))),BG281)</f>
        <v>0</v>
      </c>
      <c r="BI281" s="1" t="n">
        <f aca="false">IF(F_Partner=1,MAX(0,PR_r1*MIN(AT281,PR_Band)+PR_r2*MAX(0,AT281-PR_Band)-(PR_Personal+AV281+AX281+IF(AND(AY281=1,AT281&gt;0),PR_Rent,0))),0)</f>
        <v>0</v>
      </c>
      <c r="BJ281" s="1" t="n">
        <f aca="false">IF(AG281&gt;=PR_AgeCrAge,IF(AT281&lt;=PR_AgeEx,0,MIN(BI281,PR_AgeMarg*(AT281-PR_AgeEx))),BI281)</f>
        <v>0</v>
      </c>
      <c r="BK281" s="1" t="n">
        <f aca="false">IF(F_Partner=1,IF(F_Married=1,BF281,BH281+BJ281),BH281)</f>
        <v>0</v>
      </c>
      <c r="BL281" s="1" t="n">
        <f aca="false">AL281+AN281+AO281</f>
        <v>0</v>
      </c>
      <c r="BM281" s="1" t="n">
        <f aca="false">IF(BL281&lt;=PR_USCex,0,IF(IF(AND(C281&gt;=PR_USCredAge,BL281&lt;=PR_USCredMax),1,0)=1,PR_USCr1*MIN(BL281,PR_USCredB1)+PR_USCredR2*MAX(0,BL281-PR_USCredB1),PR_USCr1*MIN(BL281,PR_USCb1)+PR_USCr2*MAX(0,MIN(BL281,PR_USCb2)-PR_USCb1)+PR_USCr3*MAX(0,MIN(BL281,PR_USCb3)-PR_USCb2)+PR_USCr4*MAX(0,BL281-PR_USCb3)))+IF(F_SelfEmp=1,PR_USCse*MAX(0,AL281-PR_USCseOver),0)</f>
        <v>0</v>
      </c>
      <c r="BN281" s="1" t="n">
        <f aca="false">AQ281</f>
        <v>0</v>
      </c>
      <c r="BO281" s="1" t="n">
        <f aca="false">IF(F_Partner=1,IF(BN281&lt;=PR_USCex,0,IF(IF(AND(AG281&gt;=PR_USCredAge,BN281&lt;=PR_USCredMax),1,0)=1,PR_USCr1*MIN(BN281,PR_USCredB1)+PR_USCredR2*MAX(0,BN281-PR_USCredB1),PR_USCr1*MIN(BN281,PR_USCb1)+PR_USCr2*MAX(0,MIN(BN281,PR_USCb2)-PR_USCb1)+PR_USCr3*MAX(0,MIN(BN281,PR_USCb3)-PR_USCb2)+PR_USCr4*MAX(0,BN281-PR_USCb3))),0)</f>
        <v>0</v>
      </c>
      <c r="BP281" s="1" t="n">
        <f aca="false">IF(C281&lt;PR_PRSIend,IF(F_SelfEmp=1,IF(AL281&gt;PR_PRSIsMinInc,MAX(PR_PRSIsMin,AL281*J281),0),IF(AL281/52&lt;=PR_PRSIfree,0,MAX(0,(AL281/52*J281-IF(AL281/52&lt;=PR_PRSIcreditTo,MAX(0,PR_PRSIcreditMax-(AL281/52-(PR_PRSIfree+0.01))/PR_PRSItaper),0))*52)))+J281*AN281+IF(AO281&gt;PR_PRSIunearned,J281*AO281,0),0)</f>
        <v>0</v>
      </c>
      <c r="BQ281" s="1" t="n">
        <f aca="false">IF(AND(F_Partner=1,AG281&lt;PR_PRSIend),IF(AQ281/52&lt;=PR_PRSIfree,0,MAX(0,(AQ281/52*J281-IF(AQ281/52&lt;=PR_PRSIcreditTo,MAX(0,PR_PRSIcreditMax-(AQ281/52-(PR_PRSIfree+0.01))/PR_PRSItaper),0))*52)),0)</f>
        <v>0</v>
      </c>
      <c r="BR281" s="1" t="n">
        <f aca="false">BK281+BM281+BO281+BP281+BQ281</f>
        <v>0</v>
      </c>
      <c r="BS281" s="1" t="n">
        <f aca="false">BR281*H281</f>
        <v>0</v>
      </c>
      <c r="BT281" s="1" t="n">
        <f aca="false">K281+AK281+AC281+AF281+AH281+AI281</f>
        <v>0</v>
      </c>
    </row>
    <row r="282" customFormat="false" ht="15" hidden="false" customHeight="true" outlineLevel="0" collapsed="false">
      <c r="B282" s="1" t="n">
        <v>48</v>
      </c>
      <c r="C282" s="1" t="n">
        <f aca="false">F_Age+B282</f>
        <v>48</v>
      </c>
      <c r="D282" s="1" t="n">
        <f aca="false">AS_Year0+B282</f>
        <v>2075</v>
      </c>
      <c r="E282" s="111" t="n">
        <f aca="false">(1+AS_Infl)^B282</f>
        <v>2.58707038549943</v>
      </c>
      <c r="F282" s="111" t="n">
        <f aca="false">(1+AS_Wage)^B282</f>
        <v>4.13225187926015</v>
      </c>
      <c r="G282" s="1" t="n">
        <f aca="false">IF(C282&lt;F_R,1,0)</f>
        <v>1</v>
      </c>
      <c r="H282" s="111" t="n">
        <f aca="false">IF(AS_Bands="flat",1,E282)</f>
        <v>2.58707038549943</v>
      </c>
      <c r="I282" s="111" t="n">
        <f aca="false">IF(AS_SpGrow="pay",F282,IF(AS_SpGrow="flat",1,E282))</f>
        <v>2.58707038549943</v>
      </c>
      <c r="J282" s="111" t="n">
        <f aca="false">(12*PR_PRSIr0+(PR_PRSIr1-PR_PRSIr0)*MAX(0,MIN(12,D282*12+12-PR_PRSIt1))+(PR_PRSIr2-PR_PRSIr1)*MAX(0,MIN(12,D282*12+12-PR_PRSIt2))+(PR_PRSIr3-PR_PRSIr2)*MAX(0,MIN(12,D282*12+12-PR_PRSIt3)))/12</f>
        <v>0.047</v>
      </c>
      <c r="K282" s="1" t="n">
        <f aca="false">IF(G282=1,F_Income*F282,0)</f>
        <v>0</v>
      </c>
      <c r="L282" s="1" t="n">
        <f aca="false">IF(G282=1,(F_Own+In_penExtra)*12*F282,0)</f>
        <v>0</v>
      </c>
      <c r="M282" s="1" t="n">
        <f aca="false">IF(G282=1,(F_PenM+In_penExtra)*12*F282,0)</f>
        <v>0</v>
      </c>
      <c r="N282" s="112" t="n">
        <f aca="false">IF(C282&lt;PR_RelA1,PR_RelP1,IF(C282&lt;PR_RelA2,PR_RelP2,IF(C282&lt;PR_RelA3,PR_RelP3,IF(C282&lt;PR_RelA4,PR_RelP4,IF(C282&lt;PR_RelA5,PR_RelP5,PR_RelP6)))))</f>
        <v>0.25</v>
      </c>
      <c r="O282" s="1" t="n">
        <f aca="false">IF(G282=1,MIN(L282/H282,N282*MIN(K282/H282,PR_EarnCap))*H282,0)</f>
        <v>0</v>
      </c>
      <c r="P282" s="1" t="n">
        <f aca="false">IF(AND(G282=1,F_AE=1),MIN(K282/H282,PR_AEcap)*H282,0)</f>
        <v>0</v>
      </c>
      <c r="Q282" s="1" t="n">
        <f aca="false">IF(G282=1,IF(WI_Retire=1,MAX(0,M282+WI_M*12),M282)+(PR_AEee+PR_AEer+PR_AEst)*P282,0)</f>
        <v>0</v>
      </c>
      <c r="R282" s="1" t="n">
        <f aca="false">L282+PR_AEee*P282</f>
        <v>0</v>
      </c>
      <c r="S282" s="1" t="n">
        <f aca="false">AD281</f>
        <v>0</v>
      </c>
      <c r="T282" s="1" t="n">
        <f aca="false">IF(D282&lt;=PR_SFTfrom,PR_SFT2026,IF(D282=PR_SFTfrom+1,PR_SFT2027,IF(D282=PR_SFTfrom+2,PR_SFT2028,IF(D282&lt;=PR_SFTto,PR_SFT2029,PR_SFT2029*(1+AS_Infl)^(D282-PR_SFTto)))))</f>
        <v>6962511.61034064</v>
      </c>
      <c r="U282" s="1" t="n">
        <f aca="false">IF(AND(G282=0,C282=F_V),1,0)</f>
        <v>0</v>
      </c>
      <c r="V282" s="1" t="n">
        <f aca="false">IF(U282=1,PR_SFTrate*MAX(0,S282-T282),0)</f>
        <v>0</v>
      </c>
      <c r="W282" s="1" t="n">
        <f aca="false">S282-V282</f>
        <v>0</v>
      </c>
      <c r="X282" s="1" t="n">
        <f aca="false">IF(AND(U282=1,AS_LumpPct&gt;0),W282*MIN(AS_LumpPct,PR_LSmax),0)</f>
        <v>0</v>
      </c>
      <c r="Y282" s="1" t="n">
        <f aca="false">X282-(PR_LSrate*MAX(0,MIN(X282,PR_LScap)-PR_LSfree)+PR_r2*MAX(0,X282-PR_LScap))</f>
        <v>0</v>
      </c>
      <c r="Z282" s="1" t="n">
        <f aca="false">W282-X282</f>
        <v>0</v>
      </c>
      <c r="AA282" s="112" t="n">
        <f aca="false">IF(C282&gt;=PR_ARFage1,IF(Z282&gt;PR_ARFbig,PR_ARFbigRate,IF(C282&gt;=PR_ARFage2,PR_ARF71,PR_ARF61)),0)</f>
        <v>0</v>
      </c>
      <c r="AB282" s="1" t="n">
        <f aca="false">IF(AS_DrawRule="min",Z282*AA282,IF(AS_DrawRule="fixed",MAX(AS_DrawFixed*E282,Z282*AA282),Z282*MAX(1/MAX(1,AS_End-C282+1),AA282)))</f>
        <v>0</v>
      </c>
      <c r="AC282" s="1" t="n">
        <f aca="false">IF(AND(G282=0,C282&gt;=F_V),MIN(Z282,AB282),0)</f>
        <v>0</v>
      </c>
      <c r="AD282" s="1" t="n">
        <f aca="false">IF(G282=1,S282*(1+F_PenG)+Q282,IF(C282&lt;F_V,S282*(1+F_PenG),(Z282-AC282)*(1+AS_PenRet)))</f>
        <v>0</v>
      </c>
      <c r="AE282" s="1" t="n">
        <f aca="false">IF(C282&gt;=PR_SPage,AS_SP*F_SpF*I282+IF(AND(C282&gt;=PR_Over80Age,F_SpF&gt;0),PR_Over80*PR_Weeks*I282,0),0)</f>
        <v>0</v>
      </c>
      <c r="AF282" s="1" t="n">
        <f aca="false">(F_OtherM+F_RentM)*12*E282</f>
        <v>0</v>
      </c>
      <c r="AG282" s="1" t="n">
        <f aca="false">F_PAge+B282</f>
        <v>48</v>
      </c>
      <c r="AH282" s="1" t="n">
        <f aca="false">IF(AND(F_Partner=1,F_PAge&gt;0,AG282&lt;IF(F_PRet&gt;0,F_PRet,PR_SPage)),F_PIncome*F282,0)</f>
        <v>0</v>
      </c>
      <c r="AI282" s="1" t="n">
        <f aca="false">IF(AND(F_Partner=1,AG282&gt;=PR_SPage,F_PSpQA=0),AS_SP*F_PSpF*I282,0)</f>
        <v>0</v>
      </c>
      <c r="AJ282" s="1" t="n">
        <f aca="false">IF(AND(F_Partner=1,F_PSpQA=1,C282&gt;=PR_SPage,AH282=0),IF(AG282&gt;=PR_SPage,PR_QA66,PR_QAunder)*PR_Weeks*I282,0)</f>
        <v>0</v>
      </c>
      <c r="AK282" s="1" t="n">
        <f aca="false">AE282+AJ282</f>
        <v>0</v>
      </c>
      <c r="AL282" s="1" t="n">
        <f aca="false">K282/H282</f>
        <v>0</v>
      </c>
      <c r="AM282" s="1" t="n">
        <f aca="false">AK282/H282</f>
        <v>0</v>
      </c>
      <c r="AN282" s="1" t="n">
        <f aca="false">AC282/H282</f>
        <v>0</v>
      </c>
      <c r="AO282" s="1" t="n">
        <f aca="false">AF282/H282</f>
        <v>0</v>
      </c>
      <c r="AP282" s="1" t="n">
        <f aca="false">O282/H282</f>
        <v>0</v>
      </c>
      <c r="AQ282" s="1" t="n">
        <f aca="false">AH282/H282</f>
        <v>0</v>
      </c>
      <c r="AR282" s="1" t="n">
        <f aca="false">AI282/H282</f>
        <v>0</v>
      </c>
      <c r="AS282" s="1" t="n">
        <f aca="false">MAX(0,AL282+AN282+AO282+AM282-AP282)</f>
        <v>0</v>
      </c>
      <c r="AT282" s="1" t="n">
        <f aca="false">MAX(0,AQ282+AR282)</f>
        <v>0</v>
      </c>
      <c r="AU282" s="1" t="n">
        <f aca="false">MIN(PR_PAYE,PR_PAYEcap*(AL282+AN282+AM282))</f>
        <v>0</v>
      </c>
      <c r="AV282" s="1" t="n">
        <f aca="false">MIN(PR_PAYE,PR_PAYEcap*(AQ282+AR282))</f>
        <v>0</v>
      </c>
      <c r="AW282" s="1" t="n">
        <f aca="false">IF(C282&gt;=PR_AgeCrAge,PR_AgeCr,0)</f>
        <v>0</v>
      </c>
      <c r="AX282" s="1" t="n">
        <f aca="false">IF(AG282&gt;=PR_AgeCrAge,PR_AgeCr,0)</f>
        <v>0</v>
      </c>
      <c r="AY282" s="1" t="n">
        <f aca="false">IF(AND(F_RentCred=1,D282&lt;=PR_RentLast),1,0)</f>
        <v>0</v>
      </c>
      <c r="AZ282" s="1" t="n">
        <f aca="false">AS282+AT282</f>
        <v>0</v>
      </c>
      <c r="BA282" s="1" t="n">
        <f aca="false">PR_PersonalM+AU282+AV282+AW282+AX282+IF(AY282=1,PR_RentJoint,0)</f>
        <v>4000</v>
      </c>
      <c r="BB282" s="1" t="n">
        <f aca="false">PR_BandM+MIN(MIN(AS282,AT282),PR_Uplift)</f>
        <v>53000</v>
      </c>
      <c r="BC282" s="1" t="n">
        <f aca="false">MAX(0,PR_r1*MIN(AZ282,BB282)+PR_r2*MAX(0,AZ282-BB282)-BA282)</f>
        <v>0</v>
      </c>
      <c r="BD282" s="1" t="n">
        <f aca="false">MAX(0,PR_HomeCarer-MAX(0,MIN(AS282,AT282)-PR_HCLimit)/2)</f>
        <v>1950</v>
      </c>
      <c r="BE282" s="1" t="n">
        <f aca="false">IF(F_Carer=1,MIN(BC282,MAX(0,PR_r1*MIN(AZ282,PR_BandM)+PR_r2*MAX(0,AZ282-PR_BandM)-BA282-BD282)),BC282)</f>
        <v>0</v>
      </c>
      <c r="BF282" s="1" t="n">
        <f aca="false">IF(OR(C282&gt;=PR_AgeCrAge,AG282&gt;=PR_AgeCrAge),IF(AZ282&lt;=PR_AgeExM,0,MIN(BE282,PR_AgeMarg*(AZ282-PR_AgeExM))),BE282)</f>
        <v>0</v>
      </c>
      <c r="BG282" s="1" t="n">
        <f aca="false">MAX(0,PR_r1*MIN(AS282,IF(F_Spccc=1,PR_BandSPCCC,PR_Band))+PR_r2*MAX(0,AS282-IF(F_Spccc=1,PR_BandSPCCC,PR_Band))-(PR_Personal+AU282+AW282+IF(F_Spccc=1,PR_SPCCC,0)+IF(AY282=1,PR_Rent,0)))</f>
        <v>0</v>
      </c>
      <c r="BH282" s="1" t="n">
        <f aca="false">IF(C282&gt;=PR_AgeCrAge,IF(AS282&lt;=PR_AgeEx,0,MIN(BG282,PR_AgeMarg*(AS282-PR_AgeEx))),BG282)</f>
        <v>0</v>
      </c>
      <c r="BI282" s="1" t="n">
        <f aca="false">IF(F_Partner=1,MAX(0,PR_r1*MIN(AT282,PR_Band)+PR_r2*MAX(0,AT282-PR_Band)-(PR_Personal+AV282+AX282+IF(AND(AY282=1,AT282&gt;0),PR_Rent,0))),0)</f>
        <v>0</v>
      </c>
      <c r="BJ282" s="1" t="n">
        <f aca="false">IF(AG282&gt;=PR_AgeCrAge,IF(AT282&lt;=PR_AgeEx,0,MIN(BI282,PR_AgeMarg*(AT282-PR_AgeEx))),BI282)</f>
        <v>0</v>
      </c>
      <c r="BK282" s="1" t="n">
        <f aca="false">IF(F_Partner=1,IF(F_Married=1,BF282,BH282+BJ282),BH282)</f>
        <v>0</v>
      </c>
      <c r="BL282" s="1" t="n">
        <f aca="false">AL282+AN282+AO282</f>
        <v>0</v>
      </c>
      <c r="BM282" s="1" t="n">
        <f aca="false">IF(BL282&lt;=PR_USCex,0,IF(IF(AND(C282&gt;=PR_USCredAge,BL282&lt;=PR_USCredMax),1,0)=1,PR_USCr1*MIN(BL282,PR_USCredB1)+PR_USCredR2*MAX(0,BL282-PR_USCredB1),PR_USCr1*MIN(BL282,PR_USCb1)+PR_USCr2*MAX(0,MIN(BL282,PR_USCb2)-PR_USCb1)+PR_USCr3*MAX(0,MIN(BL282,PR_USCb3)-PR_USCb2)+PR_USCr4*MAX(0,BL282-PR_USCb3)))+IF(F_SelfEmp=1,PR_USCse*MAX(0,AL282-PR_USCseOver),0)</f>
        <v>0</v>
      </c>
      <c r="BN282" s="1" t="n">
        <f aca="false">AQ282</f>
        <v>0</v>
      </c>
      <c r="BO282" s="1" t="n">
        <f aca="false">IF(F_Partner=1,IF(BN282&lt;=PR_USCex,0,IF(IF(AND(AG282&gt;=PR_USCredAge,BN282&lt;=PR_USCredMax),1,0)=1,PR_USCr1*MIN(BN282,PR_USCredB1)+PR_USCredR2*MAX(0,BN282-PR_USCredB1),PR_USCr1*MIN(BN282,PR_USCb1)+PR_USCr2*MAX(0,MIN(BN282,PR_USCb2)-PR_USCb1)+PR_USCr3*MAX(0,MIN(BN282,PR_USCb3)-PR_USCb2)+PR_USCr4*MAX(0,BN282-PR_USCb3))),0)</f>
        <v>0</v>
      </c>
      <c r="BP282" s="1" t="n">
        <f aca="false">IF(C282&lt;PR_PRSIend,IF(F_SelfEmp=1,IF(AL282&gt;PR_PRSIsMinInc,MAX(PR_PRSIsMin,AL282*J282),0),IF(AL282/52&lt;=PR_PRSIfree,0,MAX(0,(AL282/52*J282-IF(AL282/52&lt;=PR_PRSIcreditTo,MAX(0,PR_PRSIcreditMax-(AL282/52-(PR_PRSIfree+0.01))/PR_PRSItaper),0))*52)))+J282*AN282+IF(AO282&gt;PR_PRSIunearned,J282*AO282,0),0)</f>
        <v>0</v>
      </c>
      <c r="BQ282" s="1" t="n">
        <f aca="false">IF(AND(F_Partner=1,AG282&lt;PR_PRSIend),IF(AQ282/52&lt;=PR_PRSIfree,0,MAX(0,(AQ282/52*J282-IF(AQ282/52&lt;=PR_PRSIcreditTo,MAX(0,PR_PRSIcreditMax-(AQ282/52-(PR_PRSIfree+0.01))/PR_PRSItaper),0))*52)),0)</f>
        <v>0</v>
      </c>
      <c r="BR282" s="1" t="n">
        <f aca="false">BK282+BM282+BO282+BP282+BQ282</f>
        <v>0</v>
      </c>
      <c r="BS282" s="1" t="n">
        <f aca="false">BR282*H282</f>
        <v>0</v>
      </c>
      <c r="BT282" s="1" t="n">
        <f aca="false">K282+AK282+AC282+AF282+AH282+AI282</f>
        <v>0</v>
      </c>
    </row>
    <row r="283" customFormat="false" ht="15" hidden="false" customHeight="true" outlineLevel="0" collapsed="false">
      <c r="B283" s="1" t="n">
        <v>49</v>
      </c>
      <c r="C283" s="1" t="n">
        <f aca="false">F_Age+B283</f>
        <v>49</v>
      </c>
      <c r="D283" s="1" t="n">
        <f aca="false">AS_Year0+B283</f>
        <v>2076</v>
      </c>
      <c r="E283" s="111" t="n">
        <f aca="false">(1+AS_Infl)^B283</f>
        <v>2.63881179320942</v>
      </c>
      <c r="F283" s="111" t="n">
        <f aca="false">(1+AS_Wage)^B283</f>
        <v>4.25621943563796</v>
      </c>
      <c r="G283" s="1" t="n">
        <f aca="false">IF(C283&lt;F_R,1,0)</f>
        <v>1</v>
      </c>
      <c r="H283" s="111" t="n">
        <f aca="false">IF(AS_Bands="flat",1,E283)</f>
        <v>2.63881179320942</v>
      </c>
      <c r="I283" s="111" t="n">
        <f aca="false">IF(AS_SpGrow="pay",F283,IF(AS_SpGrow="flat",1,E283))</f>
        <v>2.63881179320942</v>
      </c>
      <c r="J283" s="111" t="n">
        <f aca="false">(12*PR_PRSIr0+(PR_PRSIr1-PR_PRSIr0)*MAX(0,MIN(12,D283*12+12-PR_PRSIt1))+(PR_PRSIr2-PR_PRSIr1)*MAX(0,MIN(12,D283*12+12-PR_PRSIt2))+(PR_PRSIr3-PR_PRSIr2)*MAX(0,MIN(12,D283*12+12-PR_PRSIt3)))/12</f>
        <v>0.047</v>
      </c>
      <c r="K283" s="1" t="n">
        <f aca="false">IF(G283=1,F_Income*F283,0)</f>
        <v>0</v>
      </c>
      <c r="L283" s="1" t="n">
        <f aca="false">IF(G283=1,(F_Own+In_penExtra)*12*F283,0)</f>
        <v>0</v>
      </c>
      <c r="M283" s="1" t="n">
        <f aca="false">IF(G283=1,(F_PenM+In_penExtra)*12*F283,0)</f>
        <v>0</v>
      </c>
      <c r="N283" s="112" t="n">
        <f aca="false">IF(C283&lt;PR_RelA1,PR_RelP1,IF(C283&lt;PR_RelA2,PR_RelP2,IF(C283&lt;PR_RelA3,PR_RelP3,IF(C283&lt;PR_RelA4,PR_RelP4,IF(C283&lt;PR_RelA5,PR_RelP5,PR_RelP6)))))</f>
        <v>0.25</v>
      </c>
      <c r="O283" s="1" t="n">
        <f aca="false">IF(G283=1,MIN(L283/H283,N283*MIN(K283/H283,PR_EarnCap))*H283,0)</f>
        <v>0</v>
      </c>
      <c r="P283" s="1" t="n">
        <f aca="false">IF(AND(G283=1,F_AE=1),MIN(K283/H283,PR_AEcap)*H283,0)</f>
        <v>0</v>
      </c>
      <c r="Q283" s="1" t="n">
        <f aca="false">IF(G283=1,IF(WI_Retire=1,MAX(0,M283+WI_M*12),M283)+(PR_AEee+PR_AEer+PR_AEst)*P283,0)</f>
        <v>0</v>
      </c>
      <c r="R283" s="1" t="n">
        <f aca="false">L283+PR_AEee*P283</f>
        <v>0</v>
      </c>
      <c r="S283" s="1" t="n">
        <f aca="false">AD282</f>
        <v>0</v>
      </c>
      <c r="T283" s="1" t="n">
        <f aca="false">IF(D283&lt;=PR_SFTfrom,PR_SFT2026,IF(D283=PR_SFTfrom+1,PR_SFT2027,IF(D283=PR_SFTfrom+2,PR_SFT2028,IF(D283&lt;=PR_SFTto,PR_SFT2029,PR_SFT2029*(1+AS_Infl)^(D283-PR_SFTto)))))</f>
        <v>7101761.84254746</v>
      </c>
      <c r="U283" s="1" t="n">
        <f aca="false">IF(AND(G283=0,C283=F_V),1,0)</f>
        <v>0</v>
      </c>
      <c r="V283" s="1" t="n">
        <f aca="false">IF(U283=1,PR_SFTrate*MAX(0,S283-T283),0)</f>
        <v>0</v>
      </c>
      <c r="W283" s="1" t="n">
        <f aca="false">S283-V283</f>
        <v>0</v>
      </c>
      <c r="X283" s="1" t="n">
        <f aca="false">IF(AND(U283=1,AS_LumpPct&gt;0),W283*MIN(AS_LumpPct,PR_LSmax),0)</f>
        <v>0</v>
      </c>
      <c r="Y283" s="1" t="n">
        <f aca="false">X283-(PR_LSrate*MAX(0,MIN(X283,PR_LScap)-PR_LSfree)+PR_r2*MAX(0,X283-PR_LScap))</f>
        <v>0</v>
      </c>
      <c r="Z283" s="1" t="n">
        <f aca="false">W283-X283</f>
        <v>0</v>
      </c>
      <c r="AA283" s="112" t="n">
        <f aca="false">IF(C283&gt;=PR_ARFage1,IF(Z283&gt;PR_ARFbig,PR_ARFbigRate,IF(C283&gt;=PR_ARFage2,PR_ARF71,PR_ARF61)),0)</f>
        <v>0</v>
      </c>
      <c r="AB283" s="1" t="n">
        <f aca="false">IF(AS_DrawRule="min",Z283*AA283,IF(AS_DrawRule="fixed",MAX(AS_DrawFixed*E283,Z283*AA283),Z283*MAX(1/MAX(1,AS_End-C283+1),AA283)))</f>
        <v>0</v>
      </c>
      <c r="AC283" s="1" t="n">
        <f aca="false">IF(AND(G283=0,C283&gt;=F_V),MIN(Z283,AB283),0)</f>
        <v>0</v>
      </c>
      <c r="AD283" s="1" t="n">
        <f aca="false">IF(G283=1,S283*(1+F_PenG)+Q283,IF(C283&lt;F_V,S283*(1+F_PenG),(Z283-AC283)*(1+AS_PenRet)))</f>
        <v>0</v>
      </c>
      <c r="AE283" s="1" t="n">
        <f aca="false">IF(C283&gt;=PR_SPage,AS_SP*F_SpF*I283+IF(AND(C283&gt;=PR_Over80Age,F_SpF&gt;0),PR_Over80*PR_Weeks*I283,0),0)</f>
        <v>0</v>
      </c>
      <c r="AF283" s="1" t="n">
        <f aca="false">(F_OtherM+F_RentM)*12*E283</f>
        <v>0</v>
      </c>
      <c r="AG283" s="1" t="n">
        <f aca="false">F_PAge+B283</f>
        <v>49</v>
      </c>
      <c r="AH283" s="1" t="n">
        <f aca="false">IF(AND(F_Partner=1,F_PAge&gt;0,AG283&lt;IF(F_PRet&gt;0,F_PRet,PR_SPage)),F_PIncome*F283,0)</f>
        <v>0</v>
      </c>
      <c r="AI283" s="1" t="n">
        <f aca="false">IF(AND(F_Partner=1,AG283&gt;=PR_SPage,F_PSpQA=0),AS_SP*F_PSpF*I283,0)</f>
        <v>0</v>
      </c>
      <c r="AJ283" s="1" t="n">
        <f aca="false">IF(AND(F_Partner=1,F_PSpQA=1,C283&gt;=PR_SPage,AH283=0),IF(AG283&gt;=PR_SPage,PR_QA66,PR_QAunder)*PR_Weeks*I283,0)</f>
        <v>0</v>
      </c>
      <c r="AK283" s="1" t="n">
        <f aca="false">AE283+AJ283</f>
        <v>0</v>
      </c>
      <c r="AL283" s="1" t="n">
        <f aca="false">K283/H283</f>
        <v>0</v>
      </c>
      <c r="AM283" s="1" t="n">
        <f aca="false">AK283/H283</f>
        <v>0</v>
      </c>
      <c r="AN283" s="1" t="n">
        <f aca="false">AC283/H283</f>
        <v>0</v>
      </c>
      <c r="AO283" s="1" t="n">
        <f aca="false">AF283/H283</f>
        <v>0</v>
      </c>
      <c r="AP283" s="1" t="n">
        <f aca="false">O283/H283</f>
        <v>0</v>
      </c>
      <c r="AQ283" s="1" t="n">
        <f aca="false">AH283/H283</f>
        <v>0</v>
      </c>
      <c r="AR283" s="1" t="n">
        <f aca="false">AI283/H283</f>
        <v>0</v>
      </c>
      <c r="AS283" s="1" t="n">
        <f aca="false">MAX(0,AL283+AN283+AO283+AM283-AP283)</f>
        <v>0</v>
      </c>
      <c r="AT283" s="1" t="n">
        <f aca="false">MAX(0,AQ283+AR283)</f>
        <v>0</v>
      </c>
      <c r="AU283" s="1" t="n">
        <f aca="false">MIN(PR_PAYE,PR_PAYEcap*(AL283+AN283+AM283))</f>
        <v>0</v>
      </c>
      <c r="AV283" s="1" t="n">
        <f aca="false">MIN(PR_PAYE,PR_PAYEcap*(AQ283+AR283))</f>
        <v>0</v>
      </c>
      <c r="AW283" s="1" t="n">
        <f aca="false">IF(C283&gt;=PR_AgeCrAge,PR_AgeCr,0)</f>
        <v>0</v>
      </c>
      <c r="AX283" s="1" t="n">
        <f aca="false">IF(AG283&gt;=PR_AgeCrAge,PR_AgeCr,0)</f>
        <v>0</v>
      </c>
      <c r="AY283" s="1" t="n">
        <f aca="false">IF(AND(F_RentCred=1,D283&lt;=PR_RentLast),1,0)</f>
        <v>0</v>
      </c>
      <c r="AZ283" s="1" t="n">
        <f aca="false">AS283+AT283</f>
        <v>0</v>
      </c>
      <c r="BA283" s="1" t="n">
        <f aca="false">PR_PersonalM+AU283+AV283+AW283+AX283+IF(AY283=1,PR_RentJoint,0)</f>
        <v>4000</v>
      </c>
      <c r="BB283" s="1" t="n">
        <f aca="false">PR_BandM+MIN(MIN(AS283,AT283),PR_Uplift)</f>
        <v>53000</v>
      </c>
      <c r="BC283" s="1" t="n">
        <f aca="false">MAX(0,PR_r1*MIN(AZ283,BB283)+PR_r2*MAX(0,AZ283-BB283)-BA283)</f>
        <v>0</v>
      </c>
      <c r="BD283" s="1" t="n">
        <f aca="false">MAX(0,PR_HomeCarer-MAX(0,MIN(AS283,AT283)-PR_HCLimit)/2)</f>
        <v>1950</v>
      </c>
      <c r="BE283" s="1" t="n">
        <f aca="false">IF(F_Carer=1,MIN(BC283,MAX(0,PR_r1*MIN(AZ283,PR_BandM)+PR_r2*MAX(0,AZ283-PR_BandM)-BA283-BD283)),BC283)</f>
        <v>0</v>
      </c>
      <c r="BF283" s="1" t="n">
        <f aca="false">IF(OR(C283&gt;=PR_AgeCrAge,AG283&gt;=PR_AgeCrAge),IF(AZ283&lt;=PR_AgeExM,0,MIN(BE283,PR_AgeMarg*(AZ283-PR_AgeExM))),BE283)</f>
        <v>0</v>
      </c>
      <c r="BG283" s="1" t="n">
        <f aca="false">MAX(0,PR_r1*MIN(AS283,IF(F_Spccc=1,PR_BandSPCCC,PR_Band))+PR_r2*MAX(0,AS283-IF(F_Spccc=1,PR_BandSPCCC,PR_Band))-(PR_Personal+AU283+AW283+IF(F_Spccc=1,PR_SPCCC,0)+IF(AY283=1,PR_Rent,0)))</f>
        <v>0</v>
      </c>
      <c r="BH283" s="1" t="n">
        <f aca="false">IF(C283&gt;=PR_AgeCrAge,IF(AS283&lt;=PR_AgeEx,0,MIN(BG283,PR_AgeMarg*(AS283-PR_AgeEx))),BG283)</f>
        <v>0</v>
      </c>
      <c r="BI283" s="1" t="n">
        <f aca="false">IF(F_Partner=1,MAX(0,PR_r1*MIN(AT283,PR_Band)+PR_r2*MAX(0,AT283-PR_Band)-(PR_Personal+AV283+AX283+IF(AND(AY283=1,AT283&gt;0),PR_Rent,0))),0)</f>
        <v>0</v>
      </c>
      <c r="BJ283" s="1" t="n">
        <f aca="false">IF(AG283&gt;=PR_AgeCrAge,IF(AT283&lt;=PR_AgeEx,0,MIN(BI283,PR_AgeMarg*(AT283-PR_AgeEx))),BI283)</f>
        <v>0</v>
      </c>
      <c r="BK283" s="1" t="n">
        <f aca="false">IF(F_Partner=1,IF(F_Married=1,BF283,BH283+BJ283),BH283)</f>
        <v>0</v>
      </c>
      <c r="BL283" s="1" t="n">
        <f aca="false">AL283+AN283+AO283</f>
        <v>0</v>
      </c>
      <c r="BM283" s="1" t="n">
        <f aca="false">IF(BL283&lt;=PR_USCex,0,IF(IF(AND(C283&gt;=PR_USCredAge,BL283&lt;=PR_USCredMax),1,0)=1,PR_USCr1*MIN(BL283,PR_USCredB1)+PR_USCredR2*MAX(0,BL283-PR_USCredB1),PR_USCr1*MIN(BL283,PR_USCb1)+PR_USCr2*MAX(0,MIN(BL283,PR_USCb2)-PR_USCb1)+PR_USCr3*MAX(0,MIN(BL283,PR_USCb3)-PR_USCb2)+PR_USCr4*MAX(0,BL283-PR_USCb3)))+IF(F_SelfEmp=1,PR_USCse*MAX(0,AL283-PR_USCseOver),0)</f>
        <v>0</v>
      </c>
      <c r="BN283" s="1" t="n">
        <f aca="false">AQ283</f>
        <v>0</v>
      </c>
      <c r="BO283" s="1" t="n">
        <f aca="false">IF(F_Partner=1,IF(BN283&lt;=PR_USCex,0,IF(IF(AND(AG283&gt;=PR_USCredAge,BN283&lt;=PR_USCredMax),1,0)=1,PR_USCr1*MIN(BN283,PR_USCredB1)+PR_USCredR2*MAX(0,BN283-PR_USCredB1),PR_USCr1*MIN(BN283,PR_USCb1)+PR_USCr2*MAX(0,MIN(BN283,PR_USCb2)-PR_USCb1)+PR_USCr3*MAX(0,MIN(BN283,PR_USCb3)-PR_USCb2)+PR_USCr4*MAX(0,BN283-PR_USCb3))),0)</f>
        <v>0</v>
      </c>
      <c r="BP283" s="1" t="n">
        <f aca="false">IF(C283&lt;PR_PRSIend,IF(F_SelfEmp=1,IF(AL283&gt;PR_PRSIsMinInc,MAX(PR_PRSIsMin,AL283*J283),0),IF(AL283/52&lt;=PR_PRSIfree,0,MAX(0,(AL283/52*J283-IF(AL283/52&lt;=PR_PRSIcreditTo,MAX(0,PR_PRSIcreditMax-(AL283/52-(PR_PRSIfree+0.01))/PR_PRSItaper),0))*52)))+J283*AN283+IF(AO283&gt;PR_PRSIunearned,J283*AO283,0),0)</f>
        <v>0</v>
      </c>
      <c r="BQ283" s="1" t="n">
        <f aca="false">IF(AND(F_Partner=1,AG283&lt;PR_PRSIend),IF(AQ283/52&lt;=PR_PRSIfree,0,MAX(0,(AQ283/52*J283-IF(AQ283/52&lt;=PR_PRSIcreditTo,MAX(0,PR_PRSIcreditMax-(AQ283/52-(PR_PRSIfree+0.01))/PR_PRSItaper),0))*52)),0)</f>
        <v>0</v>
      </c>
      <c r="BR283" s="1" t="n">
        <f aca="false">BK283+BM283+BO283+BP283+BQ283</f>
        <v>0</v>
      </c>
      <c r="BS283" s="1" t="n">
        <f aca="false">BR283*H283</f>
        <v>0</v>
      </c>
      <c r="BT283" s="1" t="n">
        <f aca="false">K283+AK283+AC283+AF283+AH283+AI283</f>
        <v>0</v>
      </c>
    </row>
    <row r="284" customFormat="false" ht="15" hidden="false" customHeight="true" outlineLevel="0" collapsed="false">
      <c r="B284" s="1" t="n">
        <v>50</v>
      </c>
      <c r="C284" s="1" t="n">
        <f aca="false">F_Age+B284</f>
        <v>50</v>
      </c>
      <c r="D284" s="1" t="n">
        <f aca="false">AS_Year0+B284</f>
        <v>2077</v>
      </c>
      <c r="E284" s="111" t="n">
        <f aca="false">(1+AS_Infl)^B284</f>
        <v>2.69158802907361</v>
      </c>
      <c r="F284" s="111" t="n">
        <f aca="false">(1+AS_Wage)^B284</f>
        <v>4.3839060187071</v>
      </c>
      <c r="G284" s="1" t="n">
        <f aca="false">IF(C284&lt;F_R,1,0)</f>
        <v>1</v>
      </c>
      <c r="H284" s="111" t="n">
        <f aca="false">IF(AS_Bands="flat",1,E284)</f>
        <v>2.69158802907361</v>
      </c>
      <c r="I284" s="111" t="n">
        <f aca="false">IF(AS_SpGrow="pay",F284,IF(AS_SpGrow="flat",1,E284))</f>
        <v>2.69158802907361</v>
      </c>
      <c r="J284" s="111" t="n">
        <f aca="false">(12*PR_PRSIr0+(PR_PRSIr1-PR_PRSIr0)*MAX(0,MIN(12,D284*12+12-PR_PRSIt1))+(PR_PRSIr2-PR_PRSIr1)*MAX(0,MIN(12,D284*12+12-PR_PRSIt2))+(PR_PRSIr3-PR_PRSIr2)*MAX(0,MIN(12,D284*12+12-PR_PRSIt3)))/12</f>
        <v>0.047</v>
      </c>
      <c r="K284" s="1" t="n">
        <f aca="false">IF(G284=1,F_Income*F284,0)</f>
        <v>0</v>
      </c>
      <c r="L284" s="1" t="n">
        <f aca="false">IF(G284=1,(F_Own+In_penExtra)*12*F284,0)</f>
        <v>0</v>
      </c>
      <c r="M284" s="1" t="n">
        <f aca="false">IF(G284=1,(F_PenM+In_penExtra)*12*F284,0)</f>
        <v>0</v>
      </c>
      <c r="N284" s="112" t="n">
        <f aca="false">IF(C284&lt;PR_RelA1,PR_RelP1,IF(C284&lt;PR_RelA2,PR_RelP2,IF(C284&lt;PR_RelA3,PR_RelP3,IF(C284&lt;PR_RelA4,PR_RelP4,IF(C284&lt;PR_RelA5,PR_RelP5,PR_RelP6)))))</f>
        <v>0.3</v>
      </c>
      <c r="O284" s="1" t="n">
        <f aca="false">IF(G284=1,MIN(L284/H284,N284*MIN(K284/H284,PR_EarnCap))*H284,0)</f>
        <v>0</v>
      </c>
      <c r="P284" s="1" t="n">
        <f aca="false">IF(AND(G284=1,F_AE=1),MIN(K284/H284,PR_AEcap)*H284,0)</f>
        <v>0</v>
      </c>
      <c r="Q284" s="1" t="n">
        <f aca="false">IF(G284=1,IF(WI_Retire=1,MAX(0,M284+WI_M*12),M284)+(PR_AEee+PR_AEer+PR_AEst)*P284,0)</f>
        <v>0</v>
      </c>
      <c r="R284" s="1" t="n">
        <f aca="false">L284+PR_AEee*P284</f>
        <v>0</v>
      </c>
      <c r="S284" s="1" t="n">
        <f aca="false">AD283</f>
        <v>0</v>
      </c>
      <c r="T284" s="1" t="n">
        <f aca="false">IF(D284&lt;=PR_SFTfrom,PR_SFT2026,IF(D284=PR_SFTfrom+1,PR_SFT2027,IF(D284=PR_SFTfrom+2,PR_SFT2028,IF(D284&lt;=PR_SFTto,PR_SFT2029,PR_SFT2029*(1+AS_Infl)^(D284-PR_SFTto)))))</f>
        <v>7243797.07939841</v>
      </c>
      <c r="U284" s="1" t="n">
        <f aca="false">IF(AND(G284=0,C284=F_V),1,0)</f>
        <v>0</v>
      </c>
      <c r="V284" s="1" t="n">
        <f aca="false">IF(U284=1,PR_SFTrate*MAX(0,S284-T284),0)</f>
        <v>0</v>
      </c>
      <c r="W284" s="1" t="n">
        <f aca="false">S284-V284</f>
        <v>0</v>
      </c>
      <c r="X284" s="1" t="n">
        <f aca="false">IF(AND(U284=1,AS_LumpPct&gt;0),W284*MIN(AS_LumpPct,PR_LSmax),0)</f>
        <v>0</v>
      </c>
      <c r="Y284" s="1" t="n">
        <f aca="false">X284-(PR_LSrate*MAX(0,MIN(X284,PR_LScap)-PR_LSfree)+PR_r2*MAX(0,X284-PR_LScap))</f>
        <v>0</v>
      </c>
      <c r="Z284" s="1" t="n">
        <f aca="false">W284-X284</f>
        <v>0</v>
      </c>
      <c r="AA284" s="112" t="n">
        <f aca="false">IF(C284&gt;=PR_ARFage1,IF(Z284&gt;PR_ARFbig,PR_ARFbigRate,IF(C284&gt;=PR_ARFage2,PR_ARF71,PR_ARF61)),0)</f>
        <v>0</v>
      </c>
      <c r="AB284" s="1" t="n">
        <f aca="false">IF(AS_DrawRule="min",Z284*AA284,IF(AS_DrawRule="fixed",MAX(AS_DrawFixed*E284,Z284*AA284),Z284*MAX(1/MAX(1,AS_End-C284+1),AA284)))</f>
        <v>0</v>
      </c>
      <c r="AC284" s="1" t="n">
        <f aca="false">IF(AND(G284=0,C284&gt;=F_V),MIN(Z284,AB284),0)</f>
        <v>0</v>
      </c>
      <c r="AD284" s="1" t="n">
        <f aca="false">IF(G284=1,S284*(1+F_PenG)+Q284,IF(C284&lt;F_V,S284*(1+F_PenG),(Z284-AC284)*(1+AS_PenRet)))</f>
        <v>0</v>
      </c>
      <c r="AE284" s="1" t="n">
        <f aca="false">IF(C284&gt;=PR_SPage,AS_SP*F_SpF*I284+IF(AND(C284&gt;=PR_Over80Age,F_SpF&gt;0),PR_Over80*PR_Weeks*I284,0),0)</f>
        <v>0</v>
      </c>
      <c r="AF284" s="1" t="n">
        <f aca="false">(F_OtherM+F_RentM)*12*E284</f>
        <v>0</v>
      </c>
      <c r="AG284" s="1" t="n">
        <f aca="false">F_PAge+B284</f>
        <v>50</v>
      </c>
      <c r="AH284" s="1" t="n">
        <f aca="false">IF(AND(F_Partner=1,F_PAge&gt;0,AG284&lt;IF(F_PRet&gt;0,F_PRet,PR_SPage)),F_PIncome*F284,0)</f>
        <v>0</v>
      </c>
      <c r="AI284" s="1" t="n">
        <f aca="false">IF(AND(F_Partner=1,AG284&gt;=PR_SPage,F_PSpQA=0),AS_SP*F_PSpF*I284,0)</f>
        <v>0</v>
      </c>
      <c r="AJ284" s="1" t="n">
        <f aca="false">IF(AND(F_Partner=1,F_PSpQA=1,C284&gt;=PR_SPage,AH284=0),IF(AG284&gt;=PR_SPage,PR_QA66,PR_QAunder)*PR_Weeks*I284,0)</f>
        <v>0</v>
      </c>
      <c r="AK284" s="1" t="n">
        <f aca="false">AE284+AJ284</f>
        <v>0</v>
      </c>
      <c r="AL284" s="1" t="n">
        <f aca="false">K284/H284</f>
        <v>0</v>
      </c>
      <c r="AM284" s="1" t="n">
        <f aca="false">AK284/H284</f>
        <v>0</v>
      </c>
      <c r="AN284" s="1" t="n">
        <f aca="false">AC284/H284</f>
        <v>0</v>
      </c>
      <c r="AO284" s="1" t="n">
        <f aca="false">AF284/H284</f>
        <v>0</v>
      </c>
      <c r="AP284" s="1" t="n">
        <f aca="false">O284/H284</f>
        <v>0</v>
      </c>
      <c r="AQ284" s="1" t="n">
        <f aca="false">AH284/H284</f>
        <v>0</v>
      </c>
      <c r="AR284" s="1" t="n">
        <f aca="false">AI284/H284</f>
        <v>0</v>
      </c>
      <c r="AS284" s="1" t="n">
        <f aca="false">MAX(0,AL284+AN284+AO284+AM284-AP284)</f>
        <v>0</v>
      </c>
      <c r="AT284" s="1" t="n">
        <f aca="false">MAX(0,AQ284+AR284)</f>
        <v>0</v>
      </c>
      <c r="AU284" s="1" t="n">
        <f aca="false">MIN(PR_PAYE,PR_PAYEcap*(AL284+AN284+AM284))</f>
        <v>0</v>
      </c>
      <c r="AV284" s="1" t="n">
        <f aca="false">MIN(PR_PAYE,PR_PAYEcap*(AQ284+AR284))</f>
        <v>0</v>
      </c>
      <c r="AW284" s="1" t="n">
        <f aca="false">IF(C284&gt;=PR_AgeCrAge,PR_AgeCr,0)</f>
        <v>0</v>
      </c>
      <c r="AX284" s="1" t="n">
        <f aca="false">IF(AG284&gt;=PR_AgeCrAge,PR_AgeCr,0)</f>
        <v>0</v>
      </c>
      <c r="AY284" s="1" t="n">
        <f aca="false">IF(AND(F_RentCred=1,D284&lt;=PR_RentLast),1,0)</f>
        <v>0</v>
      </c>
      <c r="AZ284" s="1" t="n">
        <f aca="false">AS284+AT284</f>
        <v>0</v>
      </c>
      <c r="BA284" s="1" t="n">
        <f aca="false">PR_PersonalM+AU284+AV284+AW284+AX284+IF(AY284=1,PR_RentJoint,0)</f>
        <v>4000</v>
      </c>
      <c r="BB284" s="1" t="n">
        <f aca="false">PR_BandM+MIN(MIN(AS284,AT284),PR_Uplift)</f>
        <v>53000</v>
      </c>
      <c r="BC284" s="1" t="n">
        <f aca="false">MAX(0,PR_r1*MIN(AZ284,BB284)+PR_r2*MAX(0,AZ284-BB284)-BA284)</f>
        <v>0</v>
      </c>
      <c r="BD284" s="1" t="n">
        <f aca="false">MAX(0,PR_HomeCarer-MAX(0,MIN(AS284,AT284)-PR_HCLimit)/2)</f>
        <v>1950</v>
      </c>
      <c r="BE284" s="1" t="n">
        <f aca="false">IF(F_Carer=1,MIN(BC284,MAX(0,PR_r1*MIN(AZ284,PR_BandM)+PR_r2*MAX(0,AZ284-PR_BandM)-BA284-BD284)),BC284)</f>
        <v>0</v>
      </c>
      <c r="BF284" s="1" t="n">
        <f aca="false">IF(OR(C284&gt;=PR_AgeCrAge,AG284&gt;=PR_AgeCrAge),IF(AZ284&lt;=PR_AgeExM,0,MIN(BE284,PR_AgeMarg*(AZ284-PR_AgeExM))),BE284)</f>
        <v>0</v>
      </c>
      <c r="BG284" s="1" t="n">
        <f aca="false">MAX(0,PR_r1*MIN(AS284,IF(F_Spccc=1,PR_BandSPCCC,PR_Band))+PR_r2*MAX(0,AS284-IF(F_Spccc=1,PR_BandSPCCC,PR_Band))-(PR_Personal+AU284+AW284+IF(F_Spccc=1,PR_SPCCC,0)+IF(AY284=1,PR_Rent,0)))</f>
        <v>0</v>
      </c>
      <c r="BH284" s="1" t="n">
        <f aca="false">IF(C284&gt;=PR_AgeCrAge,IF(AS284&lt;=PR_AgeEx,0,MIN(BG284,PR_AgeMarg*(AS284-PR_AgeEx))),BG284)</f>
        <v>0</v>
      </c>
      <c r="BI284" s="1" t="n">
        <f aca="false">IF(F_Partner=1,MAX(0,PR_r1*MIN(AT284,PR_Band)+PR_r2*MAX(0,AT284-PR_Band)-(PR_Personal+AV284+AX284+IF(AND(AY284=1,AT284&gt;0),PR_Rent,0))),0)</f>
        <v>0</v>
      </c>
      <c r="BJ284" s="1" t="n">
        <f aca="false">IF(AG284&gt;=PR_AgeCrAge,IF(AT284&lt;=PR_AgeEx,0,MIN(BI284,PR_AgeMarg*(AT284-PR_AgeEx))),BI284)</f>
        <v>0</v>
      </c>
      <c r="BK284" s="1" t="n">
        <f aca="false">IF(F_Partner=1,IF(F_Married=1,BF284,BH284+BJ284),BH284)</f>
        <v>0</v>
      </c>
      <c r="BL284" s="1" t="n">
        <f aca="false">AL284+AN284+AO284</f>
        <v>0</v>
      </c>
      <c r="BM284" s="1" t="n">
        <f aca="false">IF(BL284&lt;=PR_USCex,0,IF(IF(AND(C284&gt;=PR_USCredAge,BL284&lt;=PR_USCredMax),1,0)=1,PR_USCr1*MIN(BL284,PR_USCredB1)+PR_USCredR2*MAX(0,BL284-PR_USCredB1),PR_USCr1*MIN(BL284,PR_USCb1)+PR_USCr2*MAX(0,MIN(BL284,PR_USCb2)-PR_USCb1)+PR_USCr3*MAX(0,MIN(BL284,PR_USCb3)-PR_USCb2)+PR_USCr4*MAX(0,BL284-PR_USCb3)))+IF(F_SelfEmp=1,PR_USCse*MAX(0,AL284-PR_USCseOver),0)</f>
        <v>0</v>
      </c>
      <c r="BN284" s="1" t="n">
        <f aca="false">AQ284</f>
        <v>0</v>
      </c>
      <c r="BO284" s="1" t="n">
        <f aca="false">IF(F_Partner=1,IF(BN284&lt;=PR_USCex,0,IF(IF(AND(AG284&gt;=PR_USCredAge,BN284&lt;=PR_USCredMax),1,0)=1,PR_USCr1*MIN(BN284,PR_USCredB1)+PR_USCredR2*MAX(0,BN284-PR_USCredB1),PR_USCr1*MIN(BN284,PR_USCb1)+PR_USCr2*MAX(0,MIN(BN284,PR_USCb2)-PR_USCb1)+PR_USCr3*MAX(0,MIN(BN284,PR_USCb3)-PR_USCb2)+PR_USCr4*MAX(0,BN284-PR_USCb3))),0)</f>
        <v>0</v>
      </c>
      <c r="BP284" s="1" t="n">
        <f aca="false">IF(C284&lt;PR_PRSIend,IF(F_SelfEmp=1,IF(AL284&gt;PR_PRSIsMinInc,MAX(PR_PRSIsMin,AL284*J284),0),IF(AL284/52&lt;=PR_PRSIfree,0,MAX(0,(AL284/52*J284-IF(AL284/52&lt;=PR_PRSIcreditTo,MAX(0,PR_PRSIcreditMax-(AL284/52-(PR_PRSIfree+0.01))/PR_PRSItaper),0))*52)))+J284*AN284+IF(AO284&gt;PR_PRSIunearned,J284*AO284,0),0)</f>
        <v>0</v>
      </c>
      <c r="BQ284" s="1" t="n">
        <f aca="false">IF(AND(F_Partner=1,AG284&lt;PR_PRSIend),IF(AQ284/52&lt;=PR_PRSIfree,0,MAX(0,(AQ284/52*J284-IF(AQ284/52&lt;=PR_PRSIcreditTo,MAX(0,PR_PRSIcreditMax-(AQ284/52-(PR_PRSIfree+0.01))/PR_PRSItaper),0))*52)),0)</f>
        <v>0</v>
      </c>
      <c r="BR284" s="1" t="n">
        <f aca="false">BK284+BM284+BO284+BP284+BQ284</f>
        <v>0</v>
      </c>
      <c r="BS284" s="1" t="n">
        <f aca="false">BR284*H284</f>
        <v>0</v>
      </c>
      <c r="BT284" s="1" t="n">
        <f aca="false">K284+AK284+AC284+AF284+AH284+AI284</f>
        <v>0</v>
      </c>
    </row>
    <row r="285" customFormat="false" ht="15" hidden="false" customHeight="true" outlineLevel="0" collapsed="false">
      <c r="B285" s="1" t="n">
        <v>51</v>
      </c>
      <c r="C285" s="1" t="n">
        <f aca="false">F_Age+B285</f>
        <v>51</v>
      </c>
      <c r="D285" s="1" t="n">
        <f aca="false">AS_Year0+B285</f>
        <v>2078</v>
      </c>
      <c r="E285" s="111" t="n">
        <f aca="false">(1+AS_Infl)^B285</f>
        <v>2.74541978965508</v>
      </c>
      <c r="F285" s="111" t="n">
        <f aca="false">(1+AS_Wage)^B285</f>
        <v>4.51542319926831</v>
      </c>
      <c r="G285" s="1" t="n">
        <f aca="false">IF(C285&lt;F_R,1,0)</f>
        <v>1</v>
      </c>
      <c r="H285" s="111" t="n">
        <f aca="false">IF(AS_Bands="flat",1,E285)</f>
        <v>2.74541978965508</v>
      </c>
      <c r="I285" s="111" t="n">
        <f aca="false">IF(AS_SpGrow="pay",F285,IF(AS_SpGrow="flat",1,E285))</f>
        <v>2.74541978965508</v>
      </c>
      <c r="J285" s="111" t="n">
        <f aca="false">(12*PR_PRSIr0+(PR_PRSIr1-PR_PRSIr0)*MAX(0,MIN(12,D285*12+12-PR_PRSIt1))+(PR_PRSIr2-PR_PRSIr1)*MAX(0,MIN(12,D285*12+12-PR_PRSIt2))+(PR_PRSIr3-PR_PRSIr2)*MAX(0,MIN(12,D285*12+12-PR_PRSIt3)))/12</f>
        <v>0.047</v>
      </c>
      <c r="K285" s="1" t="n">
        <f aca="false">IF(G285=1,F_Income*F285,0)</f>
        <v>0</v>
      </c>
      <c r="L285" s="1" t="n">
        <f aca="false">IF(G285=1,(F_Own+In_penExtra)*12*F285,0)</f>
        <v>0</v>
      </c>
      <c r="M285" s="1" t="n">
        <f aca="false">IF(G285=1,(F_PenM+In_penExtra)*12*F285,0)</f>
        <v>0</v>
      </c>
      <c r="N285" s="112" t="n">
        <f aca="false">IF(C285&lt;PR_RelA1,PR_RelP1,IF(C285&lt;PR_RelA2,PR_RelP2,IF(C285&lt;PR_RelA3,PR_RelP3,IF(C285&lt;PR_RelA4,PR_RelP4,IF(C285&lt;PR_RelA5,PR_RelP5,PR_RelP6)))))</f>
        <v>0.3</v>
      </c>
      <c r="O285" s="1" t="n">
        <f aca="false">IF(G285=1,MIN(L285/H285,N285*MIN(K285/H285,PR_EarnCap))*H285,0)</f>
        <v>0</v>
      </c>
      <c r="P285" s="1" t="n">
        <f aca="false">IF(AND(G285=1,F_AE=1),MIN(K285/H285,PR_AEcap)*H285,0)</f>
        <v>0</v>
      </c>
      <c r="Q285" s="1" t="n">
        <f aca="false">IF(G285=1,IF(WI_Retire=1,MAX(0,M285+WI_M*12),M285)+(PR_AEee+PR_AEer+PR_AEst)*P285,0)</f>
        <v>0</v>
      </c>
      <c r="R285" s="1" t="n">
        <f aca="false">L285+PR_AEee*P285</f>
        <v>0</v>
      </c>
      <c r="S285" s="1" t="n">
        <f aca="false">AD284</f>
        <v>0</v>
      </c>
      <c r="T285" s="1" t="n">
        <f aca="false">IF(D285&lt;=PR_SFTfrom,PR_SFT2026,IF(D285=PR_SFTfrom+1,PR_SFT2027,IF(D285=PR_SFTfrom+2,PR_SFT2028,IF(D285&lt;=PR_SFTto,PR_SFT2029,PR_SFT2029*(1+AS_Infl)^(D285-PR_SFTto)))))</f>
        <v>7388673.02098637</v>
      </c>
      <c r="U285" s="1" t="n">
        <f aca="false">IF(AND(G285=0,C285=F_V),1,0)</f>
        <v>0</v>
      </c>
      <c r="V285" s="1" t="n">
        <f aca="false">IF(U285=1,PR_SFTrate*MAX(0,S285-T285),0)</f>
        <v>0</v>
      </c>
      <c r="W285" s="1" t="n">
        <f aca="false">S285-V285</f>
        <v>0</v>
      </c>
      <c r="X285" s="1" t="n">
        <f aca="false">IF(AND(U285=1,AS_LumpPct&gt;0),W285*MIN(AS_LumpPct,PR_LSmax),0)</f>
        <v>0</v>
      </c>
      <c r="Y285" s="1" t="n">
        <f aca="false">X285-(PR_LSrate*MAX(0,MIN(X285,PR_LScap)-PR_LSfree)+PR_r2*MAX(0,X285-PR_LScap))</f>
        <v>0</v>
      </c>
      <c r="Z285" s="1" t="n">
        <f aca="false">W285-X285</f>
        <v>0</v>
      </c>
      <c r="AA285" s="112" t="n">
        <f aca="false">IF(C285&gt;=PR_ARFage1,IF(Z285&gt;PR_ARFbig,PR_ARFbigRate,IF(C285&gt;=PR_ARFage2,PR_ARF71,PR_ARF61)),0)</f>
        <v>0</v>
      </c>
      <c r="AB285" s="1" t="n">
        <f aca="false">IF(AS_DrawRule="min",Z285*AA285,IF(AS_DrawRule="fixed",MAX(AS_DrawFixed*E285,Z285*AA285),Z285*MAX(1/MAX(1,AS_End-C285+1),AA285)))</f>
        <v>0</v>
      </c>
      <c r="AC285" s="1" t="n">
        <f aca="false">IF(AND(G285=0,C285&gt;=F_V),MIN(Z285,AB285),0)</f>
        <v>0</v>
      </c>
      <c r="AD285" s="1" t="n">
        <f aca="false">IF(G285=1,S285*(1+F_PenG)+Q285,IF(C285&lt;F_V,S285*(1+F_PenG),(Z285-AC285)*(1+AS_PenRet)))</f>
        <v>0</v>
      </c>
      <c r="AE285" s="1" t="n">
        <f aca="false">IF(C285&gt;=PR_SPage,AS_SP*F_SpF*I285+IF(AND(C285&gt;=PR_Over80Age,F_SpF&gt;0),PR_Over80*PR_Weeks*I285,0),0)</f>
        <v>0</v>
      </c>
      <c r="AF285" s="1" t="n">
        <f aca="false">(F_OtherM+F_RentM)*12*E285</f>
        <v>0</v>
      </c>
      <c r="AG285" s="1" t="n">
        <f aca="false">F_PAge+B285</f>
        <v>51</v>
      </c>
      <c r="AH285" s="1" t="n">
        <f aca="false">IF(AND(F_Partner=1,F_PAge&gt;0,AG285&lt;IF(F_PRet&gt;0,F_PRet,PR_SPage)),F_PIncome*F285,0)</f>
        <v>0</v>
      </c>
      <c r="AI285" s="1" t="n">
        <f aca="false">IF(AND(F_Partner=1,AG285&gt;=PR_SPage,F_PSpQA=0),AS_SP*F_PSpF*I285,0)</f>
        <v>0</v>
      </c>
      <c r="AJ285" s="1" t="n">
        <f aca="false">IF(AND(F_Partner=1,F_PSpQA=1,C285&gt;=PR_SPage,AH285=0),IF(AG285&gt;=PR_SPage,PR_QA66,PR_QAunder)*PR_Weeks*I285,0)</f>
        <v>0</v>
      </c>
      <c r="AK285" s="1" t="n">
        <f aca="false">AE285+AJ285</f>
        <v>0</v>
      </c>
      <c r="AL285" s="1" t="n">
        <f aca="false">K285/H285</f>
        <v>0</v>
      </c>
      <c r="AM285" s="1" t="n">
        <f aca="false">AK285/H285</f>
        <v>0</v>
      </c>
      <c r="AN285" s="1" t="n">
        <f aca="false">AC285/H285</f>
        <v>0</v>
      </c>
      <c r="AO285" s="1" t="n">
        <f aca="false">AF285/H285</f>
        <v>0</v>
      </c>
      <c r="AP285" s="1" t="n">
        <f aca="false">O285/H285</f>
        <v>0</v>
      </c>
      <c r="AQ285" s="1" t="n">
        <f aca="false">AH285/H285</f>
        <v>0</v>
      </c>
      <c r="AR285" s="1" t="n">
        <f aca="false">AI285/H285</f>
        <v>0</v>
      </c>
      <c r="AS285" s="1" t="n">
        <f aca="false">MAX(0,AL285+AN285+AO285+AM285-AP285)</f>
        <v>0</v>
      </c>
      <c r="AT285" s="1" t="n">
        <f aca="false">MAX(0,AQ285+AR285)</f>
        <v>0</v>
      </c>
      <c r="AU285" s="1" t="n">
        <f aca="false">MIN(PR_PAYE,PR_PAYEcap*(AL285+AN285+AM285))</f>
        <v>0</v>
      </c>
      <c r="AV285" s="1" t="n">
        <f aca="false">MIN(PR_PAYE,PR_PAYEcap*(AQ285+AR285))</f>
        <v>0</v>
      </c>
      <c r="AW285" s="1" t="n">
        <f aca="false">IF(C285&gt;=PR_AgeCrAge,PR_AgeCr,0)</f>
        <v>0</v>
      </c>
      <c r="AX285" s="1" t="n">
        <f aca="false">IF(AG285&gt;=PR_AgeCrAge,PR_AgeCr,0)</f>
        <v>0</v>
      </c>
      <c r="AY285" s="1" t="n">
        <f aca="false">IF(AND(F_RentCred=1,D285&lt;=PR_RentLast),1,0)</f>
        <v>0</v>
      </c>
      <c r="AZ285" s="1" t="n">
        <f aca="false">AS285+AT285</f>
        <v>0</v>
      </c>
      <c r="BA285" s="1" t="n">
        <f aca="false">PR_PersonalM+AU285+AV285+AW285+AX285+IF(AY285=1,PR_RentJoint,0)</f>
        <v>4000</v>
      </c>
      <c r="BB285" s="1" t="n">
        <f aca="false">PR_BandM+MIN(MIN(AS285,AT285),PR_Uplift)</f>
        <v>53000</v>
      </c>
      <c r="BC285" s="1" t="n">
        <f aca="false">MAX(0,PR_r1*MIN(AZ285,BB285)+PR_r2*MAX(0,AZ285-BB285)-BA285)</f>
        <v>0</v>
      </c>
      <c r="BD285" s="1" t="n">
        <f aca="false">MAX(0,PR_HomeCarer-MAX(0,MIN(AS285,AT285)-PR_HCLimit)/2)</f>
        <v>1950</v>
      </c>
      <c r="BE285" s="1" t="n">
        <f aca="false">IF(F_Carer=1,MIN(BC285,MAX(0,PR_r1*MIN(AZ285,PR_BandM)+PR_r2*MAX(0,AZ285-PR_BandM)-BA285-BD285)),BC285)</f>
        <v>0</v>
      </c>
      <c r="BF285" s="1" t="n">
        <f aca="false">IF(OR(C285&gt;=PR_AgeCrAge,AG285&gt;=PR_AgeCrAge),IF(AZ285&lt;=PR_AgeExM,0,MIN(BE285,PR_AgeMarg*(AZ285-PR_AgeExM))),BE285)</f>
        <v>0</v>
      </c>
      <c r="BG285" s="1" t="n">
        <f aca="false">MAX(0,PR_r1*MIN(AS285,IF(F_Spccc=1,PR_BandSPCCC,PR_Band))+PR_r2*MAX(0,AS285-IF(F_Spccc=1,PR_BandSPCCC,PR_Band))-(PR_Personal+AU285+AW285+IF(F_Spccc=1,PR_SPCCC,0)+IF(AY285=1,PR_Rent,0)))</f>
        <v>0</v>
      </c>
      <c r="BH285" s="1" t="n">
        <f aca="false">IF(C285&gt;=PR_AgeCrAge,IF(AS285&lt;=PR_AgeEx,0,MIN(BG285,PR_AgeMarg*(AS285-PR_AgeEx))),BG285)</f>
        <v>0</v>
      </c>
      <c r="BI285" s="1" t="n">
        <f aca="false">IF(F_Partner=1,MAX(0,PR_r1*MIN(AT285,PR_Band)+PR_r2*MAX(0,AT285-PR_Band)-(PR_Personal+AV285+AX285+IF(AND(AY285=1,AT285&gt;0),PR_Rent,0))),0)</f>
        <v>0</v>
      </c>
      <c r="BJ285" s="1" t="n">
        <f aca="false">IF(AG285&gt;=PR_AgeCrAge,IF(AT285&lt;=PR_AgeEx,0,MIN(BI285,PR_AgeMarg*(AT285-PR_AgeEx))),BI285)</f>
        <v>0</v>
      </c>
      <c r="BK285" s="1" t="n">
        <f aca="false">IF(F_Partner=1,IF(F_Married=1,BF285,BH285+BJ285),BH285)</f>
        <v>0</v>
      </c>
      <c r="BL285" s="1" t="n">
        <f aca="false">AL285+AN285+AO285</f>
        <v>0</v>
      </c>
      <c r="BM285" s="1" t="n">
        <f aca="false">IF(BL285&lt;=PR_USCex,0,IF(IF(AND(C285&gt;=PR_USCredAge,BL285&lt;=PR_USCredMax),1,0)=1,PR_USCr1*MIN(BL285,PR_USCredB1)+PR_USCredR2*MAX(0,BL285-PR_USCredB1),PR_USCr1*MIN(BL285,PR_USCb1)+PR_USCr2*MAX(0,MIN(BL285,PR_USCb2)-PR_USCb1)+PR_USCr3*MAX(0,MIN(BL285,PR_USCb3)-PR_USCb2)+PR_USCr4*MAX(0,BL285-PR_USCb3)))+IF(F_SelfEmp=1,PR_USCse*MAX(0,AL285-PR_USCseOver),0)</f>
        <v>0</v>
      </c>
      <c r="BN285" s="1" t="n">
        <f aca="false">AQ285</f>
        <v>0</v>
      </c>
      <c r="BO285" s="1" t="n">
        <f aca="false">IF(F_Partner=1,IF(BN285&lt;=PR_USCex,0,IF(IF(AND(AG285&gt;=PR_USCredAge,BN285&lt;=PR_USCredMax),1,0)=1,PR_USCr1*MIN(BN285,PR_USCredB1)+PR_USCredR2*MAX(0,BN285-PR_USCredB1),PR_USCr1*MIN(BN285,PR_USCb1)+PR_USCr2*MAX(0,MIN(BN285,PR_USCb2)-PR_USCb1)+PR_USCr3*MAX(0,MIN(BN285,PR_USCb3)-PR_USCb2)+PR_USCr4*MAX(0,BN285-PR_USCb3))),0)</f>
        <v>0</v>
      </c>
      <c r="BP285" s="1" t="n">
        <f aca="false">IF(C285&lt;PR_PRSIend,IF(F_SelfEmp=1,IF(AL285&gt;PR_PRSIsMinInc,MAX(PR_PRSIsMin,AL285*J285),0),IF(AL285/52&lt;=PR_PRSIfree,0,MAX(0,(AL285/52*J285-IF(AL285/52&lt;=PR_PRSIcreditTo,MAX(0,PR_PRSIcreditMax-(AL285/52-(PR_PRSIfree+0.01))/PR_PRSItaper),0))*52)))+J285*AN285+IF(AO285&gt;PR_PRSIunearned,J285*AO285,0),0)</f>
        <v>0</v>
      </c>
      <c r="BQ285" s="1" t="n">
        <f aca="false">IF(AND(F_Partner=1,AG285&lt;PR_PRSIend),IF(AQ285/52&lt;=PR_PRSIfree,0,MAX(0,(AQ285/52*J285-IF(AQ285/52&lt;=PR_PRSIcreditTo,MAX(0,PR_PRSIcreditMax-(AQ285/52-(PR_PRSIfree+0.01))/PR_PRSItaper),0))*52)),0)</f>
        <v>0</v>
      </c>
      <c r="BR285" s="1" t="n">
        <f aca="false">BK285+BM285+BO285+BP285+BQ285</f>
        <v>0</v>
      </c>
      <c r="BS285" s="1" t="n">
        <f aca="false">BR285*H285</f>
        <v>0</v>
      </c>
      <c r="BT285" s="1" t="n">
        <f aca="false">K285+AK285+AC285+AF285+AH285+AI285</f>
        <v>0</v>
      </c>
    </row>
    <row r="286" customFormat="false" ht="15" hidden="false" customHeight="true" outlineLevel="0" collapsed="false">
      <c r="B286" s="1" t="n">
        <v>52</v>
      </c>
      <c r="C286" s="1" t="n">
        <f aca="false">F_Age+B286</f>
        <v>52</v>
      </c>
      <c r="D286" s="1" t="n">
        <f aca="false">AS_Year0+B286</f>
        <v>2079</v>
      </c>
      <c r="E286" s="111" t="n">
        <f aca="false">(1+AS_Infl)^B286</f>
        <v>2.80032818544818</v>
      </c>
      <c r="F286" s="111" t="n">
        <f aca="false">(1+AS_Wage)^B286</f>
        <v>4.65088589524636</v>
      </c>
      <c r="G286" s="1" t="n">
        <f aca="false">IF(C286&lt;F_R,1,0)</f>
        <v>1</v>
      </c>
      <c r="H286" s="111" t="n">
        <f aca="false">IF(AS_Bands="flat",1,E286)</f>
        <v>2.80032818544818</v>
      </c>
      <c r="I286" s="111" t="n">
        <f aca="false">IF(AS_SpGrow="pay",F286,IF(AS_SpGrow="flat",1,E286))</f>
        <v>2.80032818544818</v>
      </c>
      <c r="J286" s="111" t="n">
        <f aca="false">(12*PR_PRSIr0+(PR_PRSIr1-PR_PRSIr0)*MAX(0,MIN(12,D286*12+12-PR_PRSIt1))+(PR_PRSIr2-PR_PRSIr1)*MAX(0,MIN(12,D286*12+12-PR_PRSIt2))+(PR_PRSIr3-PR_PRSIr2)*MAX(0,MIN(12,D286*12+12-PR_PRSIt3)))/12</f>
        <v>0.047</v>
      </c>
      <c r="K286" s="1" t="n">
        <f aca="false">IF(G286=1,F_Income*F286,0)</f>
        <v>0</v>
      </c>
      <c r="L286" s="1" t="n">
        <f aca="false">IF(G286=1,(F_Own+In_penExtra)*12*F286,0)</f>
        <v>0</v>
      </c>
      <c r="M286" s="1" t="n">
        <f aca="false">IF(G286=1,(F_PenM+In_penExtra)*12*F286,0)</f>
        <v>0</v>
      </c>
      <c r="N286" s="112" t="n">
        <f aca="false">IF(C286&lt;PR_RelA1,PR_RelP1,IF(C286&lt;PR_RelA2,PR_RelP2,IF(C286&lt;PR_RelA3,PR_RelP3,IF(C286&lt;PR_RelA4,PR_RelP4,IF(C286&lt;PR_RelA5,PR_RelP5,PR_RelP6)))))</f>
        <v>0.3</v>
      </c>
      <c r="O286" s="1" t="n">
        <f aca="false">IF(G286=1,MIN(L286/H286,N286*MIN(K286/H286,PR_EarnCap))*H286,0)</f>
        <v>0</v>
      </c>
      <c r="P286" s="1" t="n">
        <f aca="false">IF(AND(G286=1,F_AE=1),MIN(K286/H286,PR_AEcap)*H286,0)</f>
        <v>0</v>
      </c>
      <c r="Q286" s="1" t="n">
        <f aca="false">IF(G286=1,IF(WI_Retire=1,MAX(0,M286+WI_M*12),M286)+(PR_AEee+PR_AEer+PR_AEst)*P286,0)</f>
        <v>0</v>
      </c>
      <c r="R286" s="1" t="n">
        <f aca="false">L286+PR_AEee*P286</f>
        <v>0</v>
      </c>
      <c r="S286" s="1" t="n">
        <f aca="false">AD285</f>
        <v>0</v>
      </c>
      <c r="T286" s="1" t="n">
        <f aca="false">IF(D286&lt;=PR_SFTfrom,PR_SFT2026,IF(D286=PR_SFTfrom+1,PR_SFT2027,IF(D286=PR_SFTfrom+2,PR_SFT2028,IF(D286&lt;=PR_SFTto,PR_SFT2029,PR_SFT2029*(1+AS_Infl)^(D286-PR_SFTto)))))</f>
        <v>7536446.4814061</v>
      </c>
      <c r="U286" s="1" t="n">
        <f aca="false">IF(AND(G286=0,C286=F_V),1,0)</f>
        <v>0</v>
      </c>
      <c r="V286" s="1" t="n">
        <f aca="false">IF(U286=1,PR_SFTrate*MAX(0,S286-T286),0)</f>
        <v>0</v>
      </c>
      <c r="W286" s="1" t="n">
        <f aca="false">S286-V286</f>
        <v>0</v>
      </c>
      <c r="X286" s="1" t="n">
        <f aca="false">IF(AND(U286=1,AS_LumpPct&gt;0),W286*MIN(AS_LumpPct,PR_LSmax),0)</f>
        <v>0</v>
      </c>
      <c r="Y286" s="1" t="n">
        <f aca="false">X286-(PR_LSrate*MAX(0,MIN(X286,PR_LScap)-PR_LSfree)+PR_r2*MAX(0,X286-PR_LScap))</f>
        <v>0</v>
      </c>
      <c r="Z286" s="1" t="n">
        <f aca="false">W286-X286</f>
        <v>0</v>
      </c>
      <c r="AA286" s="112" t="n">
        <f aca="false">IF(C286&gt;=PR_ARFage1,IF(Z286&gt;PR_ARFbig,PR_ARFbigRate,IF(C286&gt;=PR_ARFage2,PR_ARF71,PR_ARF61)),0)</f>
        <v>0</v>
      </c>
      <c r="AB286" s="1" t="n">
        <f aca="false">IF(AS_DrawRule="min",Z286*AA286,IF(AS_DrawRule="fixed",MAX(AS_DrawFixed*E286,Z286*AA286),Z286*MAX(1/MAX(1,AS_End-C286+1),AA286)))</f>
        <v>0</v>
      </c>
      <c r="AC286" s="1" t="n">
        <f aca="false">IF(AND(G286=0,C286&gt;=F_V),MIN(Z286,AB286),0)</f>
        <v>0</v>
      </c>
      <c r="AD286" s="1" t="n">
        <f aca="false">IF(G286=1,S286*(1+F_PenG)+Q286,IF(C286&lt;F_V,S286*(1+F_PenG),(Z286-AC286)*(1+AS_PenRet)))</f>
        <v>0</v>
      </c>
      <c r="AE286" s="1" t="n">
        <f aca="false">IF(C286&gt;=PR_SPage,AS_SP*F_SpF*I286+IF(AND(C286&gt;=PR_Over80Age,F_SpF&gt;0),PR_Over80*PR_Weeks*I286,0),0)</f>
        <v>0</v>
      </c>
      <c r="AF286" s="1" t="n">
        <f aca="false">(F_OtherM+F_RentM)*12*E286</f>
        <v>0</v>
      </c>
      <c r="AG286" s="1" t="n">
        <f aca="false">F_PAge+B286</f>
        <v>52</v>
      </c>
      <c r="AH286" s="1" t="n">
        <f aca="false">IF(AND(F_Partner=1,F_PAge&gt;0,AG286&lt;IF(F_PRet&gt;0,F_PRet,PR_SPage)),F_PIncome*F286,0)</f>
        <v>0</v>
      </c>
      <c r="AI286" s="1" t="n">
        <f aca="false">IF(AND(F_Partner=1,AG286&gt;=PR_SPage,F_PSpQA=0),AS_SP*F_PSpF*I286,0)</f>
        <v>0</v>
      </c>
      <c r="AJ286" s="1" t="n">
        <f aca="false">IF(AND(F_Partner=1,F_PSpQA=1,C286&gt;=PR_SPage,AH286=0),IF(AG286&gt;=PR_SPage,PR_QA66,PR_QAunder)*PR_Weeks*I286,0)</f>
        <v>0</v>
      </c>
      <c r="AK286" s="1" t="n">
        <f aca="false">AE286+AJ286</f>
        <v>0</v>
      </c>
      <c r="AL286" s="1" t="n">
        <f aca="false">K286/H286</f>
        <v>0</v>
      </c>
      <c r="AM286" s="1" t="n">
        <f aca="false">AK286/H286</f>
        <v>0</v>
      </c>
      <c r="AN286" s="1" t="n">
        <f aca="false">AC286/H286</f>
        <v>0</v>
      </c>
      <c r="AO286" s="1" t="n">
        <f aca="false">AF286/H286</f>
        <v>0</v>
      </c>
      <c r="AP286" s="1" t="n">
        <f aca="false">O286/H286</f>
        <v>0</v>
      </c>
      <c r="AQ286" s="1" t="n">
        <f aca="false">AH286/H286</f>
        <v>0</v>
      </c>
      <c r="AR286" s="1" t="n">
        <f aca="false">AI286/H286</f>
        <v>0</v>
      </c>
      <c r="AS286" s="1" t="n">
        <f aca="false">MAX(0,AL286+AN286+AO286+AM286-AP286)</f>
        <v>0</v>
      </c>
      <c r="AT286" s="1" t="n">
        <f aca="false">MAX(0,AQ286+AR286)</f>
        <v>0</v>
      </c>
      <c r="AU286" s="1" t="n">
        <f aca="false">MIN(PR_PAYE,PR_PAYEcap*(AL286+AN286+AM286))</f>
        <v>0</v>
      </c>
      <c r="AV286" s="1" t="n">
        <f aca="false">MIN(PR_PAYE,PR_PAYEcap*(AQ286+AR286))</f>
        <v>0</v>
      </c>
      <c r="AW286" s="1" t="n">
        <f aca="false">IF(C286&gt;=PR_AgeCrAge,PR_AgeCr,0)</f>
        <v>0</v>
      </c>
      <c r="AX286" s="1" t="n">
        <f aca="false">IF(AG286&gt;=PR_AgeCrAge,PR_AgeCr,0)</f>
        <v>0</v>
      </c>
      <c r="AY286" s="1" t="n">
        <f aca="false">IF(AND(F_RentCred=1,D286&lt;=PR_RentLast),1,0)</f>
        <v>0</v>
      </c>
      <c r="AZ286" s="1" t="n">
        <f aca="false">AS286+AT286</f>
        <v>0</v>
      </c>
      <c r="BA286" s="1" t="n">
        <f aca="false">PR_PersonalM+AU286+AV286+AW286+AX286+IF(AY286=1,PR_RentJoint,0)</f>
        <v>4000</v>
      </c>
      <c r="BB286" s="1" t="n">
        <f aca="false">PR_BandM+MIN(MIN(AS286,AT286),PR_Uplift)</f>
        <v>53000</v>
      </c>
      <c r="BC286" s="1" t="n">
        <f aca="false">MAX(0,PR_r1*MIN(AZ286,BB286)+PR_r2*MAX(0,AZ286-BB286)-BA286)</f>
        <v>0</v>
      </c>
      <c r="BD286" s="1" t="n">
        <f aca="false">MAX(0,PR_HomeCarer-MAX(0,MIN(AS286,AT286)-PR_HCLimit)/2)</f>
        <v>1950</v>
      </c>
      <c r="BE286" s="1" t="n">
        <f aca="false">IF(F_Carer=1,MIN(BC286,MAX(0,PR_r1*MIN(AZ286,PR_BandM)+PR_r2*MAX(0,AZ286-PR_BandM)-BA286-BD286)),BC286)</f>
        <v>0</v>
      </c>
      <c r="BF286" s="1" t="n">
        <f aca="false">IF(OR(C286&gt;=PR_AgeCrAge,AG286&gt;=PR_AgeCrAge),IF(AZ286&lt;=PR_AgeExM,0,MIN(BE286,PR_AgeMarg*(AZ286-PR_AgeExM))),BE286)</f>
        <v>0</v>
      </c>
      <c r="BG286" s="1" t="n">
        <f aca="false">MAX(0,PR_r1*MIN(AS286,IF(F_Spccc=1,PR_BandSPCCC,PR_Band))+PR_r2*MAX(0,AS286-IF(F_Spccc=1,PR_BandSPCCC,PR_Band))-(PR_Personal+AU286+AW286+IF(F_Spccc=1,PR_SPCCC,0)+IF(AY286=1,PR_Rent,0)))</f>
        <v>0</v>
      </c>
      <c r="BH286" s="1" t="n">
        <f aca="false">IF(C286&gt;=PR_AgeCrAge,IF(AS286&lt;=PR_AgeEx,0,MIN(BG286,PR_AgeMarg*(AS286-PR_AgeEx))),BG286)</f>
        <v>0</v>
      </c>
      <c r="BI286" s="1" t="n">
        <f aca="false">IF(F_Partner=1,MAX(0,PR_r1*MIN(AT286,PR_Band)+PR_r2*MAX(0,AT286-PR_Band)-(PR_Personal+AV286+AX286+IF(AND(AY286=1,AT286&gt;0),PR_Rent,0))),0)</f>
        <v>0</v>
      </c>
      <c r="BJ286" s="1" t="n">
        <f aca="false">IF(AG286&gt;=PR_AgeCrAge,IF(AT286&lt;=PR_AgeEx,0,MIN(BI286,PR_AgeMarg*(AT286-PR_AgeEx))),BI286)</f>
        <v>0</v>
      </c>
      <c r="BK286" s="1" t="n">
        <f aca="false">IF(F_Partner=1,IF(F_Married=1,BF286,BH286+BJ286),BH286)</f>
        <v>0</v>
      </c>
      <c r="BL286" s="1" t="n">
        <f aca="false">AL286+AN286+AO286</f>
        <v>0</v>
      </c>
      <c r="BM286" s="1" t="n">
        <f aca="false">IF(BL286&lt;=PR_USCex,0,IF(IF(AND(C286&gt;=PR_USCredAge,BL286&lt;=PR_USCredMax),1,0)=1,PR_USCr1*MIN(BL286,PR_USCredB1)+PR_USCredR2*MAX(0,BL286-PR_USCredB1),PR_USCr1*MIN(BL286,PR_USCb1)+PR_USCr2*MAX(0,MIN(BL286,PR_USCb2)-PR_USCb1)+PR_USCr3*MAX(0,MIN(BL286,PR_USCb3)-PR_USCb2)+PR_USCr4*MAX(0,BL286-PR_USCb3)))+IF(F_SelfEmp=1,PR_USCse*MAX(0,AL286-PR_USCseOver),0)</f>
        <v>0</v>
      </c>
      <c r="BN286" s="1" t="n">
        <f aca="false">AQ286</f>
        <v>0</v>
      </c>
      <c r="BO286" s="1" t="n">
        <f aca="false">IF(F_Partner=1,IF(BN286&lt;=PR_USCex,0,IF(IF(AND(AG286&gt;=PR_USCredAge,BN286&lt;=PR_USCredMax),1,0)=1,PR_USCr1*MIN(BN286,PR_USCredB1)+PR_USCredR2*MAX(0,BN286-PR_USCredB1),PR_USCr1*MIN(BN286,PR_USCb1)+PR_USCr2*MAX(0,MIN(BN286,PR_USCb2)-PR_USCb1)+PR_USCr3*MAX(0,MIN(BN286,PR_USCb3)-PR_USCb2)+PR_USCr4*MAX(0,BN286-PR_USCb3))),0)</f>
        <v>0</v>
      </c>
      <c r="BP286" s="1" t="n">
        <f aca="false">IF(C286&lt;PR_PRSIend,IF(F_SelfEmp=1,IF(AL286&gt;PR_PRSIsMinInc,MAX(PR_PRSIsMin,AL286*J286),0),IF(AL286/52&lt;=PR_PRSIfree,0,MAX(0,(AL286/52*J286-IF(AL286/52&lt;=PR_PRSIcreditTo,MAX(0,PR_PRSIcreditMax-(AL286/52-(PR_PRSIfree+0.01))/PR_PRSItaper),0))*52)))+J286*AN286+IF(AO286&gt;PR_PRSIunearned,J286*AO286,0),0)</f>
        <v>0</v>
      </c>
      <c r="BQ286" s="1" t="n">
        <f aca="false">IF(AND(F_Partner=1,AG286&lt;PR_PRSIend),IF(AQ286/52&lt;=PR_PRSIfree,0,MAX(0,(AQ286/52*J286-IF(AQ286/52&lt;=PR_PRSIcreditTo,MAX(0,PR_PRSIcreditMax-(AQ286/52-(PR_PRSIfree+0.01))/PR_PRSItaper),0))*52)),0)</f>
        <v>0</v>
      </c>
      <c r="BR286" s="1" t="n">
        <f aca="false">BK286+BM286+BO286+BP286+BQ286</f>
        <v>0</v>
      </c>
      <c r="BS286" s="1" t="n">
        <f aca="false">BR286*H286</f>
        <v>0</v>
      </c>
      <c r="BT286" s="1" t="n">
        <f aca="false">K286+AK286+AC286+AF286+AH286+AI286</f>
        <v>0</v>
      </c>
    </row>
    <row r="287" customFormat="false" ht="15" hidden="false" customHeight="true" outlineLevel="0" collapsed="false">
      <c r="B287" s="1" t="n">
        <v>53</v>
      </c>
      <c r="C287" s="1" t="n">
        <f aca="false">F_Age+B287</f>
        <v>53</v>
      </c>
      <c r="D287" s="1" t="n">
        <f aca="false">AS_Year0+B287</f>
        <v>2080</v>
      </c>
      <c r="E287" s="111" t="n">
        <f aca="false">(1+AS_Infl)^B287</f>
        <v>2.85633474915715</v>
      </c>
      <c r="F287" s="111" t="n">
        <f aca="false">(1+AS_Wage)^B287</f>
        <v>4.79041247210375</v>
      </c>
      <c r="G287" s="1" t="n">
        <f aca="false">IF(C287&lt;F_R,1,0)</f>
        <v>1</v>
      </c>
      <c r="H287" s="111" t="n">
        <f aca="false">IF(AS_Bands="flat",1,E287)</f>
        <v>2.85633474915715</v>
      </c>
      <c r="I287" s="111" t="n">
        <f aca="false">IF(AS_SpGrow="pay",F287,IF(AS_SpGrow="flat",1,E287))</f>
        <v>2.85633474915715</v>
      </c>
      <c r="J287" s="111" t="n">
        <f aca="false">(12*PR_PRSIr0+(PR_PRSIr1-PR_PRSIr0)*MAX(0,MIN(12,D287*12+12-PR_PRSIt1))+(PR_PRSIr2-PR_PRSIr1)*MAX(0,MIN(12,D287*12+12-PR_PRSIt2))+(PR_PRSIr3-PR_PRSIr2)*MAX(0,MIN(12,D287*12+12-PR_PRSIt3)))/12</f>
        <v>0.047</v>
      </c>
      <c r="K287" s="1" t="n">
        <f aca="false">IF(G287=1,F_Income*F287,0)</f>
        <v>0</v>
      </c>
      <c r="L287" s="1" t="n">
        <f aca="false">IF(G287=1,(F_Own+In_penExtra)*12*F287,0)</f>
        <v>0</v>
      </c>
      <c r="M287" s="1" t="n">
        <f aca="false">IF(G287=1,(F_PenM+In_penExtra)*12*F287,0)</f>
        <v>0</v>
      </c>
      <c r="N287" s="112" t="n">
        <f aca="false">IF(C287&lt;PR_RelA1,PR_RelP1,IF(C287&lt;PR_RelA2,PR_RelP2,IF(C287&lt;PR_RelA3,PR_RelP3,IF(C287&lt;PR_RelA4,PR_RelP4,IF(C287&lt;PR_RelA5,PR_RelP5,PR_RelP6)))))</f>
        <v>0.3</v>
      </c>
      <c r="O287" s="1" t="n">
        <f aca="false">IF(G287=1,MIN(L287/H287,N287*MIN(K287/H287,PR_EarnCap))*H287,0)</f>
        <v>0</v>
      </c>
      <c r="P287" s="1" t="n">
        <f aca="false">IF(AND(G287=1,F_AE=1),MIN(K287/H287,PR_AEcap)*H287,0)</f>
        <v>0</v>
      </c>
      <c r="Q287" s="1" t="n">
        <f aca="false">IF(G287=1,IF(WI_Retire=1,MAX(0,M287+WI_M*12),M287)+(PR_AEee+PR_AEer+PR_AEst)*P287,0)</f>
        <v>0</v>
      </c>
      <c r="R287" s="1" t="n">
        <f aca="false">L287+PR_AEee*P287</f>
        <v>0</v>
      </c>
      <c r="S287" s="1" t="n">
        <f aca="false">AD286</f>
        <v>0</v>
      </c>
      <c r="T287" s="1" t="n">
        <f aca="false">IF(D287&lt;=PR_SFTfrom,PR_SFT2026,IF(D287=PR_SFTfrom+1,PR_SFT2027,IF(D287=PR_SFTfrom+2,PR_SFT2028,IF(D287&lt;=PR_SFTto,PR_SFT2029,PR_SFT2029*(1+AS_Infl)^(D287-PR_SFTto)))))</f>
        <v>7687175.41103423</v>
      </c>
      <c r="U287" s="1" t="n">
        <f aca="false">IF(AND(G287=0,C287=F_V),1,0)</f>
        <v>0</v>
      </c>
      <c r="V287" s="1" t="n">
        <f aca="false">IF(U287=1,PR_SFTrate*MAX(0,S287-T287),0)</f>
        <v>0</v>
      </c>
      <c r="W287" s="1" t="n">
        <f aca="false">S287-V287</f>
        <v>0</v>
      </c>
      <c r="X287" s="1" t="n">
        <f aca="false">IF(AND(U287=1,AS_LumpPct&gt;0),W287*MIN(AS_LumpPct,PR_LSmax),0)</f>
        <v>0</v>
      </c>
      <c r="Y287" s="1" t="n">
        <f aca="false">X287-(PR_LSrate*MAX(0,MIN(X287,PR_LScap)-PR_LSfree)+PR_r2*MAX(0,X287-PR_LScap))</f>
        <v>0</v>
      </c>
      <c r="Z287" s="1" t="n">
        <f aca="false">W287-X287</f>
        <v>0</v>
      </c>
      <c r="AA287" s="112" t="n">
        <f aca="false">IF(C287&gt;=PR_ARFage1,IF(Z287&gt;PR_ARFbig,PR_ARFbigRate,IF(C287&gt;=PR_ARFage2,PR_ARF71,PR_ARF61)),0)</f>
        <v>0</v>
      </c>
      <c r="AB287" s="1" t="n">
        <f aca="false">IF(AS_DrawRule="min",Z287*AA287,IF(AS_DrawRule="fixed",MAX(AS_DrawFixed*E287,Z287*AA287),Z287*MAX(1/MAX(1,AS_End-C287+1),AA287)))</f>
        <v>0</v>
      </c>
      <c r="AC287" s="1" t="n">
        <f aca="false">IF(AND(G287=0,C287&gt;=F_V),MIN(Z287,AB287),0)</f>
        <v>0</v>
      </c>
      <c r="AD287" s="1" t="n">
        <f aca="false">IF(G287=1,S287*(1+F_PenG)+Q287,IF(C287&lt;F_V,S287*(1+F_PenG),(Z287-AC287)*(1+AS_PenRet)))</f>
        <v>0</v>
      </c>
      <c r="AE287" s="1" t="n">
        <f aca="false">IF(C287&gt;=PR_SPage,AS_SP*F_SpF*I287+IF(AND(C287&gt;=PR_Over80Age,F_SpF&gt;0),PR_Over80*PR_Weeks*I287,0),0)</f>
        <v>0</v>
      </c>
      <c r="AF287" s="1" t="n">
        <f aca="false">(F_OtherM+F_RentM)*12*E287</f>
        <v>0</v>
      </c>
      <c r="AG287" s="1" t="n">
        <f aca="false">F_PAge+B287</f>
        <v>53</v>
      </c>
      <c r="AH287" s="1" t="n">
        <f aca="false">IF(AND(F_Partner=1,F_PAge&gt;0,AG287&lt;IF(F_PRet&gt;0,F_PRet,PR_SPage)),F_PIncome*F287,0)</f>
        <v>0</v>
      </c>
      <c r="AI287" s="1" t="n">
        <f aca="false">IF(AND(F_Partner=1,AG287&gt;=PR_SPage,F_PSpQA=0),AS_SP*F_PSpF*I287,0)</f>
        <v>0</v>
      </c>
      <c r="AJ287" s="1" t="n">
        <f aca="false">IF(AND(F_Partner=1,F_PSpQA=1,C287&gt;=PR_SPage,AH287=0),IF(AG287&gt;=PR_SPage,PR_QA66,PR_QAunder)*PR_Weeks*I287,0)</f>
        <v>0</v>
      </c>
      <c r="AK287" s="1" t="n">
        <f aca="false">AE287+AJ287</f>
        <v>0</v>
      </c>
      <c r="AL287" s="1" t="n">
        <f aca="false">K287/H287</f>
        <v>0</v>
      </c>
      <c r="AM287" s="1" t="n">
        <f aca="false">AK287/H287</f>
        <v>0</v>
      </c>
      <c r="AN287" s="1" t="n">
        <f aca="false">AC287/H287</f>
        <v>0</v>
      </c>
      <c r="AO287" s="1" t="n">
        <f aca="false">AF287/H287</f>
        <v>0</v>
      </c>
      <c r="AP287" s="1" t="n">
        <f aca="false">O287/H287</f>
        <v>0</v>
      </c>
      <c r="AQ287" s="1" t="n">
        <f aca="false">AH287/H287</f>
        <v>0</v>
      </c>
      <c r="AR287" s="1" t="n">
        <f aca="false">AI287/H287</f>
        <v>0</v>
      </c>
      <c r="AS287" s="1" t="n">
        <f aca="false">MAX(0,AL287+AN287+AO287+AM287-AP287)</f>
        <v>0</v>
      </c>
      <c r="AT287" s="1" t="n">
        <f aca="false">MAX(0,AQ287+AR287)</f>
        <v>0</v>
      </c>
      <c r="AU287" s="1" t="n">
        <f aca="false">MIN(PR_PAYE,PR_PAYEcap*(AL287+AN287+AM287))</f>
        <v>0</v>
      </c>
      <c r="AV287" s="1" t="n">
        <f aca="false">MIN(PR_PAYE,PR_PAYEcap*(AQ287+AR287))</f>
        <v>0</v>
      </c>
      <c r="AW287" s="1" t="n">
        <f aca="false">IF(C287&gt;=PR_AgeCrAge,PR_AgeCr,0)</f>
        <v>0</v>
      </c>
      <c r="AX287" s="1" t="n">
        <f aca="false">IF(AG287&gt;=PR_AgeCrAge,PR_AgeCr,0)</f>
        <v>0</v>
      </c>
      <c r="AY287" s="1" t="n">
        <f aca="false">IF(AND(F_RentCred=1,D287&lt;=PR_RentLast),1,0)</f>
        <v>0</v>
      </c>
      <c r="AZ287" s="1" t="n">
        <f aca="false">AS287+AT287</f>
        <v>0</v>
      </c>
      <c r="BA287" s="1" t="n">
        <f aca="false">PR_PersonalM+AU287+AV287+AW287+AX287+IF(AY287=1,PR_RentJoint,0)</f>
        <v>4000</v>
      </c>
      <c r="BB287" s="1" t="n">
        <f aca="false">PR_BandM+MIN(MIN(AS287,AT287),PR_Uplift)</f>
        <v>53000</v>
      </c>
      <c r="BC287" s="1" t="n">
        <f aca="false">MAX(0,PR_r1*MIN(AZ287,BB287)+PR_r2*MAX(0,AZ287-BB287)-BA287)</f>
        <v>0</v>
      </c>
      <c r="BD287" s="1" t="n">
        <f aca="false">MAX(0,PR_HomeCarer-MAX(0,MIN(AS287,AT287)-PR_HCLimit)/2)</f>
        <v>1950</v>
      </c>
      <c r="BE287" s="1" t="n">
        <f aca="false">IF(F_Carer=1,MIN(BC287,MAX(0,PR_r1*MIN(AZ287,PR_BandM)+PR_r2*MAX(0,AZ287-PR_BandM)-BA287-BD287)),BC287)</f>
        <v>0</v>
      </c>
      <c r="BF287" s="1" t="n">
        <f aca="false">IF(OR(C287&gt;=PR_AgeCrAge,AG287&gt;=PR_AgeCrAge),IF(AZ287&lt;=PR_AgeExM,0,MIN(BE287,PR_AgeMarg*(AZ287-PR_AgeExM))),BE287)</f>
        <v>0</v>
      </c>
      <c r="BG287" s="1" t="n">
        <f aca="false">MAX(0,PR_r1*MIN(AS287,IF(F_Spccc=1,PR_BandSPCCC,PR_Band))+PR_r2*MAX(0,AS287-IF(F_Spccc=1,PR_BandSPCCC,PR_Band))-(PR_Personal+AU287+AW287+IF(F_Spccc=1,PR_SPCCC,0)+IF(AY287=1,PR_Rent,0)))</f>
        <v>0</v>
      </c>
      <c r="BH287" s="1" t="n">
        <f aca="false">IF(C287&gt;=PR_AgeCrAge,IF(AS287&lt;=PR_AgeEx,0,MIN(BG287,PR_AgeMarg*(AS287-PR_AgeEx))),BG287)</f>
        <v>0</v>
      </c>
      <c r="BI287" s="1" t="n">
        <f aca="false">IF(F_Partner=1,MAX(0,PR_r1*MIN(AT287,PR_Band)+PR_r2*MAX(0,AT287-PR_Band)-(PR_Personal+AV287+AX287+IF(AND(AY287=1,AT287&gt;0),PR_Rent,0))),0)</f>
        <v>0</v>
      </c>
      <c r="BJ287" s="1" t="n">
        <f aca="false">IF(AG287&gt;=PR_AgeCrAge,IF(AT287&lt;=PR_AgeEx,0,MIN(BI287,PR_AgeMarg*(AT287-PR_AgeEx))),BI287)</f>
        <v>0</v>
      </c>
      <c r="BK287" s="1" t="n">
        <f aca="false">IF(F_Partner=1,IF(F_Married=1,BF287,BH287+BJ287),BH287)</f>
        <v>0</v>
      </c>
      <c r="BL287" s="1" t="n">
        <f aca="false">AL287+AN287+AO287</f>
        <v>0</v>
      </c>
      <c r="BM287" s="1" t="n">
        <f aca="false">IF(BL287&lt;=PR_USCex,0,IF(IF(AND(C287&gt;=PR_USCredAge,BL287&lt;=PR_USCredMax),1,0)=1,PR_USCr1*MIN(BL287,PR_USCredB1)+PR_USCredR2*MAX(0,BL287-PR_USCredB1),PR_USCr1*MIN(BL287,PR_USCb1)+PR_USCr2*MAX(0,MIN(BL287,PR_USCb2)-PR_USCb1)+PR_USCr3*MAX(0,MIN(BL287,PR_USCb3)-PR_USCb2)+PR_USCr4*MAX(0,BL287-PR_USCb3)))+IF(F_SelfEmp=1,PR_USCse*MAX(0,AL287-PR_USCseOver),0)</f>
        <v>0</v>
      </c>
      <c r="BN287" s="1" t="n">
        <f aca="false">AQ287</f>
        <v>0</v>
      </c>
      <c r="BO287" s="1" t="n">
        <f aca="false">IF(F_Partner=1,IF(BN287&lt;=PR_USCex,0,IF(IF(AND(AG287&gt;=PR_USCredAge,BN287&lt;=PR_USCredMax),1,0)=1,PR_USCr1*MIN(BN287,PR_USCredB1)+PR_USCredR2*MAX(0,BN287-PR_USCredB1),PR_USCr1*MIN(BN287,PR_USCb1)+PR_USCr2*MAX(0,MIN(BN287,PR_USCb2)-PR_USCb1)+PR_USCr3*MAX(0,MIN(BN287,PR_USCb3)-PR_USCb2)+PR_USCr4*MAX(0,BN287-PR_USCb3))),0)</f>
        <v>0</v>
      </c>
      <c r="BP287" s="1" t="n">
        <f aca="false">IF(C287&lt;PR_PRSIend,IF(F_SelfEmp=1,IF(AL287&gt;PR_PRSIsMinInc,MAX(PR_PRSIsMin,AL287*J287),0),IF(AL287/52&lt;=PR_PRSIfree,0,MAX(0,(AL287/52*J287-IF(AL287/52&lt;=PR_PRSIcreditTo,MAX(0,PR_PRSIcreditMax-(AL287/52-(PR_PRSIfree+0.01))/PR_PRSItaper),0))*52)))+J287*AN287+IF(AO287&gt;PR_PRSIunearned,J287*AO287,0),0)</f>
        <v>0</v>
      </c>
      <c r="BQ287" s="1" t="n">
        <f aca="false">IF(AND(F_Partner=1,AG287&lt;PR_PRSIend),IF(AQ287/52&lt;=PR_PRSIfree,0,MAX(0,(AQ287/52*J287-IF(AQ287/52&lt;=PR_PRSIcreditTo,MAX(0,PR_PRSIcreditMax-(AQ287/52-(PR_PRSIfree+0.01))/PR_PRSItaper),0))*52)),0)</f>
        <v>0</v>
      </c>
      <c r="BR287" s="1" t="n">
        <f aca="false">BK287+BM287+BO287+BP287+BQ287</f>
        <v>0</v>
      </c>
      <c r="BS287" s="1" t="n">
        <f aca="false">BR287*H287</f>
        <v>0</v>
      </c>
      <c r="BT287" s="1" t="n">
        <f aca="false">K287+AK287+AC287+AF287+AH287+AI287</f>
        <v>0</v>
      </c>
    </row>
    <row r="288" customFormat="false" ht="15" hidden="false" customHeight="true" outlineLevel="0" collapsed="false">
      <c r="B288" s="1" t="n">
        <v>54</v>
      </c>
      <c r="C288" s="1" t="n">
        <f aca="false">F_Age+B288</f>
        <v>54</v>
      </c>
      <c r="D288" s="1" t="n">
        <f aca="false">AS_Year0+B288</f>
        <v>2081</v>
      </c>
      <c r="E288" s="111" t="n">
        <f aca="false">(1+AS_Infl)^B288</f>
        <v>2.91346144414029</v>
      </c>
      <c r="F288" s="111" t="n">
        <f aca="false">(1+AS_Wage)^B288</f>
        <v>4.93412484626686</v>
      </c>
      <c r="G288" s="1" t="n">
        <f aca="false">IF(C288&lt;F_R,1,0)</f>
        <v>1</v>
      </c>
      <c r="H288" s="111" t="n">
        <f aca="false">IF(AS_Bands="flat",1,E288)</f>
        <v>2.91346144414029</v>
      </c>
      <c r="I288" s="111" t="n">
        <f aca="false">IF(AS_SpGrow="pay",F288,IF(AS_SpGrow="flat",1,E288))</f>
        <v>2.91346144414029</v>
      </c>
      <c r="J288" s="111" t="n">
        <f aca="false">(12*PR_PRSIr0+(PR_PRSIr1-PR_PRSIr0)*MAX(0,MIN(12,D288*12+12-PR_PRSIt1))+(PR_PRSIr2-PR_PRSIr1)*MAX(0,MIN(12,D288*12+12-PR_PRSIt2))+(PR_PRSIr3-PR_PRSIr2)*MAX(0,MIN(12,D288*12+12-PR_PRSIt3)))/12</f>
        <v>0.047</v>
      </c>
      <c r="K288" s="1" t="n">
        <f aca="false">IF(G288=1,F_Income*F288,0)</f>
        <v>0</v>
      </c>
      <c r="L288" s="1" t="n">
        <f aca="false">IF(G288=1,(F_Own+In_penExtra)*12*F288,0)</f>
        <v>0</v>
      </c>
      <c r="M288" s="1" t="n">
        <f aca="false">IF(G288=1,(F_PenM+In_penExtra)*12*F288,0)</f>
        <v>0</v>
      </c>
      <c r="N288" s="112" t="n">
        <f aca="false">IF(C288&lt;PR_RelA1,PR_RelP1,IF(C288&lt;PR_RelA2,PR_RelP2,IF(C288&lt;PR_RelA3,PR_RelP3,IF(C288&lt;PR_RelA4,PR_RelP4,IF(C288&lt;PR_RelA5,PR_RelP5,PR_RelP6)))))</f>
        <v>0.3</v>
      </c>
      <c r="O288" s="1" t="n">
        <f aca="false">IF(G288=1,MIN(L288/H288,N288*MIN(K288/H288,PR_EarnCap))*H288,0)</f>
        <v>0</v>
      </c>
      <c r="P288" s="1" t="n">
        <f aca="false">IF(AND(G288=1,F_AE=1),MIN(K288/H288,PR_AEcap)*H288,0)</f>
        <v>0</v>
      </c>
      <c r="Q288" s="1" t="n">
        <f aca="false">IF(G288=1,IF(WI_Retire=1,MAX(0,M288+WI_M*12),M288)+(PR_AEee+PR_AEer+PR_AEst)*P288,0)</f>
        <v>0</v>
      </c>
      <c r="R288" s="1" t="n">
        <f aca="false">L288+PR_AEee*P288</f>
        <v>0</v>
      </c>
      <c r="S288" s="1" t="n">
        <f aca="false">AD287</f>
        <v>0</v>
      </c>
      <c r="T288" s="1" t="n">
        <f aca="false">IF(D288&lt;=PR_SFTfrom,PR_SFT2026,IF(D288=PR_SFTfrom+1,PR_SFT2027,IF(D288=PR_SFTfrom+2,PR_SFT2028,IF(D288&lt;=PR_SFTto,PR_SFT2029,PR_SFT2029*(1+AS_Infl)^(D288-PR_SFTto)))))</f>
        <v>7840918.91925491</v>
      </c>
      <c r="U288" s="1" t="n">
        <f aca="false">IF(AND(G288=0,C288=F_V),1,0)</f>
        <v>0</v>
      </c>
      <c r="V288" s="1" t="n">
        <f aca="false">IF(U288=1,PR_SFTrate*MAX(0,S288-T288),0)</f>
        <v>0</v>
      </c>
      <c r="W288" s="1" t="n">
        <f aca="false">S288-V288</f>
        <v>0</v>
      </c>
      <c r="X288" s="1" t="n">
        <f aca="false">IF(AND(U288=1,AS_LumpPct&gt;0),W288*MIN(AS_LumpPct,PR_LSmax),0)</f>
        <v>0</v>
      </c>
      <c r="Y288" s="1" t="n">
        <f aca="false">X288-(PR_LSrate*MAX(0,MIN(X288,PR_LScap)-PR_LSfree)+PR_r2*MAX(0,X288-PR_LScap))</f>
        <v>0</v>
      </c>
      <c r="Z288" s="1" t="n">
        <f aca="false">W288-X288</f>
        <v>0</v>
      </c>
      <c r="AA288" s="112" t="n">
        <f aca="false">IF(C288&gt;=PR_ARFage1,IF(Z288&gt;PR_ARFbig,PR_ARFbigRate,IF(C288&gt;=PR_ARFage2,PR_ARF71,PR_ARF61)),0)</f>
        <v>0</v>
      </c>
      <c r="AB288" s="1" t="n">
        <f aca="false">IF(AS_DrawRule="min",Z288*AA288,IF(AS_DrawRule="fixed",MAX(AS_DrawFixed*E288,Z288*AA288),Z288*MAX(1/MAX(1,AS_End-C288+1),AA288)))</f>
        <v>0</v>
      </c>
      <c r="AC288" s="1" t="n">
        <f aca="false">IF(AND(G288=0,C288&gt;=F_V),MIN(Z288,AB288),0)</f>
        <v>0</v>
      </c>
      <c r="AD288" s="1" t="n">
        <f aca="false">IF(G288=1,S288*(1+F_PenG)+Q288,IF(C288&lt;F_V,S288*(1+F_PenG),(Z288-AC288)*(1+AS_PenRet)))</f>
        <v>0</v>
      </c>
      <c r="AE288" s="1" t="n">
        <f aca="false">IF(C288&gt;=PR_SPage,AS_SP*F_SpF*I288+IF(AND(C288&gt;=PR_Over80Age,F_SpF&gt;0),PR_Over80*PR_Weeks*I288,0),0)</f>
        <v>0</v>
      </c>
      <c r="AF288" s="1" t="n">
        <f aca="false">(F_OtherM+F_RentM)*12*E288</f>
        <v>0</v>
      </c>
      <c r="AG288" s="1" t="n">
        <f aca="false">F_PAge+B288</f>
        <v>54</v>
      </c>
      <c r="AH288" s="1" t="n">
        <f aca="false">IF(AND(F_Partner=1,F_PAge&gt;0,AG288&lt;IF(F_PRet&gt;0,F_PRet,PR_SPage)),F_PIncome*F288,0)</f>
        <v>0</v>
      </c>
      <c r="AI288" s="1" t="n">
        <f aca="false">IF(AND(F_Partner=1,AG288&gt;=PR_SPage,F_PSpQA=0),AS_SP*F_PSpF*I288,0)</f>
        <v>0</v>
      </c>
      <c r="AJ288" s="1" t="n">
        <f aca="false">IF(AND(F_Partner=1,F_PSpQA=1,C288&gt;=PR_SPage,AH288=0),IF(AG288&gt;=PR_SPage,PR_QA66,PR_QAunder)*PR_Weeks*I288,0)</f>
        <v>0</v>
      </c>
      <c r="AK288" s="1" t="n">
        <f aca="false">AE288+AJ288</f>
        <v>0</v>
      </c>
      <c r="AL288" s="1" t="n">
        <f aca="false">K288/H288</f>
        <v>0</v>
      </c>
      <c r="AM288" s="1" t="n">
        <f aca="false">AK288/H288</f>
        <v>0</v>
      </c>
      <c r="AN288" s="1" t="n">
        <f aca="false">AC288/H288</f>
        <v>0</v>
      </c>
      <c r="AO288" s="1" t="n">
        <f aca="false">AF288/H288</f>
        <v>0</v>
      </c>
      <c r="AP288" s="1" t="n">
        <f aca="false">O288/H288</f>
        <v>0</v>
      </c>
      <c r="AQ288" s="1" t="n">
        <f aca="false">AH288/H288</f>
        <v>0</v>
      </c>
      <c r="AR288" s="1" t="n">
        <f aca="false">AI288/H288</f>
        <v>0</v>
      </c>
      <c r="AS288" s="1" t="n">
        <f aca="false">MAX(0,AL288+AN288+AO288+AM288-AP288)</f>
        <v>0</v>
      </c>
      <c r="AT288" s="1" t="n">
        <f aca="false">MAX(0,AQ288+AR288)</f>
        <v>0</v>
      </c>
      <c r="AU288" s="1" t="n">
        <f aca="false">MIN(PR_PAYE,PR_PAYEcap*(AL288+AN288+AM288))</f>
        <v>0</v>
      </c>
      <c r="AV288" s="1" t="n">
        <f aca="false">MIN(PR_PAYE,PR_PAYEcap*(AQ288+AR288))</f>
        <v>0</v>
      </c>
      <c r="AW288" s="1" t="n">
        <f aca="false">IF(C288&gt;=PR_AgeCrAge,PR_AgeCr,0)</f>
        <v>0</v>
      </c>
      <c r="AX288" s="1" t="n">
        <f aca="false">IF(AG288&gt;=PR_AgeCrAge,PR_AgeCr,0)</f>
        <v>0</v>
      </c>
      <c r="AY288" s="1" t="n">
        <f aca="false">IF(AND(F_RentCred=1,D288&lt;=PR_RentLast),1,0)</f>
        <v>0</v>
      </c>
      <c r="AZ288" s="1" t="n">
        <f aca="false">AS288+AT288</f>
        <v>0</v>
      </c>
      <c r="BA288" s="1" t="n">
        <f aca="false">PR_PersonalM+AU288+AV288+AW288+AX288+IF(AY288=1,PR_RentJoint,0)</f>
        <v>4000</v>
      </c>
      <c r="BB288" s="1" t="n">
        <f aca="false">PR_BandM+MIN(MIN(AS288,AT288),PR_Uplift)</f>
        <v>53000</v>
      </c>
      <c r="BC288" s="1" t="n">
        <f aca="false">MAX(0,PR_r1*MIN(AZ288,BB288)+PR_r2*MAX(0,AZ288-BB288)-BA288)</f>
        <v>0</v>
      </c>
      <c r="BD288" s="1" t="n">
        <f aca="false">MAX(0,PR_HomeCarer-MAX(0,MIN(AS288,AT288)-PR_HCLimit)/2)</f>
        <v>1950</v>
      </c>
      <c r="BE288" s="1" t="n">
        <f aca="false">IF(F_Carer=1,MIN(BC288,MAX(0,PR_r1*MIN(AZ288,PR_BandM)+PR_r2*MAX(0,AZ288-PR_BandM)-BA288-BD288)),BC288)</f>
        <v>0</v>
      </c>
      <c r="BF288" s="1" t="n">
        <f aca="false">IF(OR(C288&gt;=PR_AgeCrAge,AG288&gt;=PR_AgeCrAge),IF(AZ288&lt;=PR_AgeExM,0,MIN(BE288,PR_AgeMarg*(AZ288-PR_AgeExM))),BE288)</f>
        <v>0</v>
      </c>
      <c r="BG288" s="1" t="n">
        <f aca="false">MAX(0,PR_r1*MIN(AS288,IF(F_Spccc=1,PR_BandSPCCC,PR_Band))+PR_r2*MAX(0,AS288-IF(F_Spccc=1,PR_BandSPCCC,PR_Band))-(PR_Personal+AU288+AW288+IF(F_Spccc=1,PR_SPCCC,0)+IF(AY288=1,PR_Rent,0)))</f>
        <v>0</v>
      </c>
      <c r="BH288" s="1" t="n">
        <f aca="false">IF(C288&gt;=PR_AgeCrAge,IF(AS288&lt;=PR_AgeEx,0,MIN(BG288,PR_AgeMarg*(AS288-PR_AgeEx))),BG288)</f>
        <v>0</v>
      </c>
      <c r="BI288" s="1" t="n">
        <f aca="false">IF(F_Partner=1,MAX(0,PR_r1*MIN(AT288,PR_Band)+PR_r2*MAX(0,AT288-PR_Band)-(PR_Personal+AV288+AX288+IF(AND(AY288=1,AT288&gt;0),PR_Rent,0))),0)</f>
        <v>0</v>
      </c>
      <c r="BJ288" s="1" t="n">
        <f aca="false">IF(AG288&gt;=PR_AgeCrAge,IF(AT288&lt;=PR_AgeEx,0,MIN(BI288,PR_AgeMarg*(AT288-PR_AgeEx))),BI288)</f>
        <v>0</v>
      </c>
      <c r="BK288" s="1" t="n">
        <f aca="false">IF(F_Partner=1,IF(F_Married=1,BF288,BH288+BJ288),BH288)</f>
        <v>0</v>
      </c>
      <c r="BL288" s="1" t="n">
        <f aca="false">AL288+AN288+AO288</f>
        <v>0</v>
      </c>
      <c r="BM288" s="1" t="n">
        <f aca="false">IF(BL288&lt;=PR_USCex,0,IF(IF(AND(C288&gt;=PR_USCredAge,BL288&lt;=PR_USCredMax),1,0)=1,PR_USCr1*MIN(BL288,PR_USCredB1)+PR_USCredR2*MAX(0,BL288-PR_USCredB1),PR_USCr1*MIN(BL288,PR_USCb1)+PR_USCr2*MAX(0,MIN(BL288,PR_USCb2)-PR_USCb1)+PR_USCr3*MAX(0,MIN(BL288,PR_USCb3)-PR_USCb2)+PR_USCr4*MAX(0,BL288-PR_USCb3)))+IF(F_SelfEmp=1,PR_USCse*MAX(0,AL288-PR_USCseOver),0)</f>
        <v>0</v>
      </c>
      <c r="BN288" s="1" t="n">
        <f aca="false">AQ288</f>
        <v>0</v>
      </c>
      <c r="BO288" s="1" t="n">
        <f aca="false">IF(F_Partner=1,IF(BN288&lt;=PR_USCex,0,IF(IF(AND(AG288&gt;=PR_USCredAge,BN288&lt;=PR_USCredMax),1,0)=1,PR_USCr1*MIN(BN288,PR_USCredB1)+PR_USCredR2*MAX(0,BN288-PR_USCredB1),PR_USCr1*MIN(BN288,PR_USCb1)+PR_USCr2*MAX(0,MIN(BN288,PR_USCb2)-PR_USCb1)+PR_USCr3*MAX(0,MIN(BN288,PR_USCb3)-PR_USCb2)+PR_USCr4*MAX(0,BN288-PR_USCb3))),0)</f>
        <v>0</v>
      </c>
      <c r="BP288" s="1" t="n">
        <f aca="false">IF(C288&lt;PR_PRSIend,IF(F_SelfEmp=1,IF(AL288&gt;PR_PRSIsMinInc,MAX(PR_PRSIsMin,AL288*J288),0),IF(AL288/52&lt;=PR_PRSIfree,0,MAX(0,(AL288/52*J288-IF(AL288/52&lt;=PR_PRSIcreditTo,MAX(0,PR_PRSIcreditMax-(AL288/52-(PR_PRSIfree+0.01))/PR_PRSItaper),0))*52)))+J288*AN288+IF(AO288&gt;PR_PRSIunearned,J288*AO288,0),0)</f>
        <v>0</v>
      </c>
      <c r="BQ288" s="1" t="n">
        <f aca="false">IF(AND(F_Partner=1,AG288&lt;PR_PRSIend),IF(AQ288/52&lt;=PR_PRSIfree,0,MAX(0,(AQ288/52*J288-IF(AQ288/52&lt;=PR_PRSIcreditTo,MAX(0,PR_PRSIcreditMax-(AQ288/52-(PR_PRSIfree+0.01))/PR_PRSItaper),0))*52)),0)</f>
        <v>0</v>
      </c>
      <c r="BR288" s="1" t="n">
        <f aca="false">BK288+BM288+BO288+BP288+BQ288</f>
        <v>0</v>
      </c>
      <c r="BS288" s="1" t="n">
        <f aca="false">BR288*H288</f>
        <v>0</v>
      </c>
      <c r="BT288" s="1" t="n">
        <f aca="false">K288+AK288+AC288+AF288+AH288+AI288</f>
        <v>0</v>
      </c>
    </row>
    <row r="289" customFormat="false" ht="15" hidden="false" customHeight="true" outlineLevel="0" collapsed="false">
      <c r="B289" s="1" t="n">
        <v>55</v>
      </c>
      <c r="C289" s="1" t="n">
        <f aca="false">F_Age+B289</f>
        <v>55</v>
      </c>
      <c r="D289" s="1" t="n">
        <f aca="false">AS_Year0+B289</f>
        <v>2082</v>
      </c>
      <c r="E289" s="111" t="n">
        <f aca="false">(1+AS_Infl)^B289</f>
        <v>2.97173067302309</v>
      </c>
      <c r="F289" s="111" t="n">
        <f aca="false">(1+AS_Wage)^B289</f>
        <v>5.08214859165487</v>
      </c>
      <c r="G289" s="1" t="n">
        <f aca="false">IF(C289&lt;F_R,1,0)</f>
        <v>1</v>
      </c>
      <c r="H289" s="111" t="n">
        <f aca="false">IF(AS_Bands="flat",1,E289)</f>
        <v>2.97173067302309</v>
      </c>
      <c r="I289" s="111" t="n">
        <f aca="false">IF(AS_SpGrow="pay",F289,IF(AS_SpGrow="flat",1,E289))</f>
        <v>2.97173067302309</v>
      </c>
      <c r="J289" s="111" t="n">
        <f aca="false">(12*PR_PRSIr0+(PR_PRSIr1-PR_PRSIr0)*MAX(0,MIN(12,D289*12+12-PR_PRSIt1))+(PR_PRSIr2-PR_PRSIr1)*MAX(0,MIN(12,D289*12+12-PR_PRSIt2))+(PR_PRSIr3-PR_PRSIr2)*MAX(0,MIN(12,D289*12+12-PR_PRSIt3)))/12</f>
        <v>0.047</v>
      </c>
      <c r="K289" s="1" t="n">
        <f aca="false">IF(G289=1,F_Income*F289,0)</f>
        <v>0</v>
      </c>
      <c r="L289" s="1" t="n">
        <f aca="false">IF(G289=1,(F_Own+In_penExtra)*12*F289,0)</f>
        <v>0</v>
      </c>
      <c r="M289" s="1" t="n">
        <f aca="false">IF(G289=1,(F_PenM+In_penExtra)*12*F289,0)</f>
        <v>0</v>
      </c>
      <c r="N289" s="112" t="n">
        <f aca="false">IF(C289&lt;PR_RelA1,PR_RelP1,IF(C289&lt;PR_RelA2,PR_RelP2,IF(C289&lt;PR_RelA3,PR_RelP3,IF(C289&lt;PR_RelA4,PR_RelP4,IF(C289&lt;PR_RelA5,PR_RelP5,PR_RelP6)))))</f>
        <v>0.35</v>
      </c>
      <c r="O289" s="1" t="n">
        <f aca="false">IF(G289=1,MIN(L289/H289,N289*MIN(K289/H289,PR_EarnCap))*H289,0)</f>
        <v>0</v>
      </c>
      <c r="P289" s="1" t="n">
        <f aca="false">IF(AND(G289=1,F_AE=1),MIN(K289/H289,PR_AEcap)*H289,0)</f>
        <v>0</v>
      </c>
      <c r="Q289" s="1" t="n">
        <f aca="false">IF(G289=1,IF(WI_Retire=1,MAX(0,M289+WI_M*12),M289)+(PR_AEee+PR_AEer+PR_AEst)*P289,0)</f>
        <v>0</v>
      </c>
      <c r="R289" s="1" t="n">
        <f aca="false">L289+PR_AEee*P289</f>
        <v>0</v>
      </c>
      <c r="S289" s="1" t="n">
        <f aca="false">AD288</f>
        <v>0</v>
      </c>
      <c r="T289" s="1" t="n">
        <f aca="false">IF(D289&lt;=PR_SFTfrom,PR_SFT2026,IF(D289=PR_SFTfrom+1,PR_SFT2027,IF(D289=PR_SFTfrom+2,PR_SFT2028,IF(D289&lt;=PR_SFTto,PR_SFT2029,PR_SFT2029*(1+AS_Infl)^(D289-PR_SFTto)))))</f>
        <v>7997737.29764001</v>
      </c>
      <c r="U289" s="1" t="n">
        <f aca="false">IF(AND(G289=0,C289=F_V),1,0)</f>
        <v>0</v>
      </c>
      <c r="V289" s="1" t="n">
        <f aca="false">IF(U289=1,PR_SFTrate*MAX(0,S289-T289),0)</f>
        <v>0</v>
      </c>
      <c r="W289" s="1" t="n">
        <f aca="false">S289-V289</f>
        <v>0</v>
      </c>
      <c r="X289" s="1" t="n">
        <f aca="false">IF(AND(U289=1,AS_LumpPct&gt;0),W289*MIN(AS_LumpPct,PR_LSmax),0)</f>
        <v>0</v>
      </c>
      <c r="Y289" s="1" t="n">
        <f aca="false">X289-(PR_LSrate*MAX(0,MIN(X289,PR_LScap)-PR_LSfree)+PR_r2*MAX(0,X289-PR_LScap))</f>
        <v>0</v>
      </c>
      <c r="Z289" s="1" t="n">
        <f aca="false">W289-X289</f>
        <v>0</v>
      </c>
      <c r="AA289" s="112" t="n">
        <f aca="false">IF(C289&gt;=PR_ARFage1,IF(Z289&gt;PR_ARFbig,PR_ARFbigRate,IF(C289&gt;=PR_ARFage2,PR_ARF71,PR_ARF61)),0)</f>
        <v>0</v>
      </c>
      <c r="AB289" s="1" t="n">
        <f aca="false">IF(AS_DrawRule="min",Z289*AA289,IF(AS_DrawRule="fixed",MAX(AS_DrawFixed*E289,Z289*AA289),Z289*MAX(1/MAX(1,AS_End-C289+1),AA289)))</f>
        <v>0</v>
      </c>
      <c r="AC289" s="1" t="n">
        <f aca="false">IF(AND(G289=0,C289&gt;=F_V),MIN(Z289,AB289),0)</f>
        <v>0</v>
      </c>
      <c r="AD289" s="1" t="n">
        <f aca="false">IF(G289=1,S289*(1+F_PenG)+Q289,IF(C289&lt;F_V,S289*(1+F_PenG),(Z289-AC289)*(1+AS_PenRet)))</f>
        <v>0</v>
      </c>
      <c r="AE289" s="1" t="n">
        <f aca="false">IF(C289&gt;=PR_SPage,AS_SP*F_SpF*I289+IF(AND(C289&gt;=PR_Over80Age,F_SpF&gt;0),PR_Over80*PR_Weeks*I289,0),0)</f>
        <v>0</v>
      </c>
      <c r="AF289" s="1" t="n">
        <f aca="false">(F_OtherM+F_RentM)*12*E289</f>
        <v>0</v>
      </c>
      <c r="AG289" s="1" t="n">
        <f aca="false">F_PAge+B289</f>
        <v>55</v>
      </c>
      <c r="AH289" s="1" t="n">
        <f aca="false">IF(AND(F_Partner=1,F_PAge&gt;0,AG289&lt;IF(F_PRet&gt;0,F_PRet,PR_SPage)),F_PIncome*F289,0)</f>
        <v>0</v>
      </c>
      <c r="AI289" s="1" t="n">
        <f aca="false">IF(AND(F_Partner=1,AG289&gt;=PR_SPage,F_PSpQA=0),AS_SP*F_PSpF*I289,0)</f>
        <v>0</v>
      </c>
      <c r="AJ289" s="1" t="n">
        <f aca="false">IF(AND(F_Partner=1,F_PSpQA=1,C289&gt;=PR_SPage,AH289=0),IF(AG289&gt;=PR_SPage,PR_QA66,PR_QAunder)*PR_Weeks*I289,0)</f>
        <v>0</v>
      </c>
      <c r="AK289" s="1" t="n">
        <f aca="false">AE289+AJ289</f>
        <v>0</v>
      </c>
      <c r="AL289" s="1" t="n">
        <f aca="false">K289/H289</f>
        <v>0</v>
      </c>
      <c r="AM289" s="1" t="n">
        <f aca="false">AK289/H289</f>
        <v>0</v>
      </c>
      <c r="AN289" s="1" t="n">
        <f aca="false">AC289/H289</f>
        <v>0</v>
      </c>
      <c r="AO289" s="1" t="n">
        <f aca="false">AF289/H289</f>
        <v>0</v>
      </c>
      <c r="AP289" s="1" t="n">
        <f aca="false">O289/H289</f>
        <v>0</v>
      </c>
      <c r="AQ289" s="1" t="n">
        <f aca="false">AH289/H289</f>
        <v>0</v>
      </c>
      <c r="AR289" s="1" t="n">
        <f aca="false">AI289/H289</f>
        <v>0</v>
      </c>
      <c r="AS289" s="1" t="n">
        <f aca="false">MAX(0,AL289+AN289+AO289+AM289-AP289)</f>
        <v>0</v>
      </c>
      <c r="AT289" s="1" t="n">
        <f aca="false">MAX(0,AQ289+AR289)</f>
        <v>0</v>
      </c>
      <c r="AU289" s="1" t="n">
        <f aca="false">MIN(PR_PAYE,PR_PAYEcap*(AL289+AN289+AM289))</f>
        <v>0</v>
      </c>
      <c r="AV289" s="1" t="n">
        <f aca="false">MIN(PR_PAYE,PR_PAYEcap*(AQ289+AR289))</f>
        <v>0</v>
      </c>
      <c r="AW289" s="1" t="n">
        <f aca="false">IF(C289&gt;=PR_AgeCrAge,PR_AgeCr,0)</f>
        <v>0</v>
      </c>
      <c r="AX289" s="1" t="n">
        <f aca="false">IF(AG289&gt;=PR_AgeCrAge,PR_AgeCr,0)</f>
        <v>0</v>
      </c>
      <c r="AY289" s="1" t="n">
        <f aca="false">IF(AND(F_RentCred=1,D289&lt;=PR_RentLast),1,0)</f>
        <v>0</v>
      </c>
      <c r="AZ289" s="1" t="n">
        <f aca="false">AS289+AT289</f>
        <v>0</v>
      </c>
      <c r="BA289" s="1" t="n">
        <f aca="false">PR_PersonalM+AU289+AV289+AW289+AX289+IF(AY289=1,PR_RentJoint,0)</f>
        <v>4000</v>
      </c>
      <c r="BB289" s="1" t="n">
        <f aca="false">PR_BandM+MIN(MIN(AS289,AT289),PR_Uplift)</f>
        <v>53000</v>
      </c>
      <c r="BC289" s="1" t="n">
        <f aca="false">MAX(0,PR_r1*MIN(AZ289,BB289)+PR_r2*MAX(0,AZ289-BB289)-BA289)</f>
        <v>0</v>
      </c>
      <c r="BD289" s="1" t="n">
        <f aca="false">MAX(0,PR_HomeCarer-MAX(0,MIN(AS289,AT289)-PR_HCLimit)/2)</f>
        <v>1950</v>
      </c>
      <c r="BE289" s="1" t="n">
        <f aca="false">IF(F_Carer=1,MIN(BC289,MAX(0,PR_r1*MIN(AZ289,PR_BandM)+PR_r2*MAX(0,AZ289-PR_BandM)-BA289-BD289)),BC289)</f>
        <v>0</v>
      </c>
      <c r="BF289" s="1" t="n">
        <f aca="false">IF(OR(C289&gt;=PR_AgeCrAge,AG289&gt;=PR_AgeCrAge),IF(AZ289&lt;=PR_AgeExM,0,MIN(BE289,PR_AgeMarg*(AZ289-PR_AgeExM))),BE289)</f>
        <v>0</v>
      </c>
      <c r="BG289" s="1" t="n">
        <f aca="false">MAX(0,PR_r1*MIN(AS289,IF(F_Spccc=1,PR_BandSPCCC,PR_Band))+PR_r2*MAX(0,AS289-IF(F_Spccc=1,PR_BandSPCCC,PR_Band))-(PR_Personal+AU289+AW289+IF(F_Spccc=1,PR_SPCCC,0)+IF(AY289=1,PR_Rent,0)))</f>
        <v>0</v>
      </c>
      <c r="BH289" s="1" t="n">
        <f aca="false">IF(C289&gt;=PR_AgeCrAge,IF(AS289&lt;=PR_AgeEx,0,MIN(BG289,PR_AgeMarg*(AS289-PR_AgeEx))),BG289)</f>
        <v>0</v>
      </c>
      <c r="BI289" s="1" t="n">
        <f aca="false">IF(F_Partner=1,MAX(0,PR_r1*MIN(AT289,PR_Band)+PR_r2*MAX(0,AT289-PR_Band)-(PR_Personal+AV289+AX289+IF(AND(AY289=1,AT289&gt;0),PR_Rent,0))),0)</f>
        <v>0</v>
      </c>
      <c r="BJ289" s="1" t="n">
        <f aca="false">IF(AG289&gt;=PR_AgeCrAge,IF(AT289&lt;=PR_AgeEx,0,MIN(BI289,PR_AgeMarg*(AT289-PR_AgeEx))),BI289)</f>
        <v>0</v>
      </c>
      <c r="BK289" s="1" t="n">
        <f aca="false">IF(F_Partner=1,IF(F_Married=1,BF289,BH289+BJ289),BH289)</f>
        <v>0</v>
      </c>
      <c r="BL289" s="1" t="n">
        <f aca="false">AL289+AN289+AO289</f>
        <v>0</v>
      </c>
      <c r="BM289" s="1" t="n">
        <f aca="false">IF(BL289&lt;=PR_USCex,0,IF(IF(AND(C289&gt;=PR_USCredAge,BL289&lt;=PR_USCredMax),1,0)=1,PR_USCr1*MIN(BL289,PR_USCredB1)+PR_USCredR2*MAX(0,BL289-PR_USCredB1),PR_USCr1*MIN(BL289,PR_USCb1)+PR_USCr2*MAX(0,MIN(BL289,PR_USCb2)-PR_USCb1)+PR_USCr3*MAX(0,MIN(BL289,PR_USCb3)-PR_USCb2)+PR_USCr4*MAX(0,BL289-PR_USCb3)))+IF(F_SelfEmp=1,PR_USCse*MAX(0,AL289-PR_USCseOver),0)</f>
        <v>0</v>
      </c>
      <c r="BN289" s="1" t="n">
        <f aca="false">AQ289</f>
        <v>0</v>
      </c>
      <c r="BO289" s="1" t="n">
        <f aca="false">IF(F_Partner=1,IF(BN289&lt;=PR_USCex,0,IF(IF(AND(AG289&gt;=PR_USCredAge,BN289&lt;=PR_USCredMax),1,0)=1,PR_USCr1*MIN(BN289,PR_USCredB1)+PR_USCredR2*MAX(0,BN289-PR_USCredB1),PR_USCr1*MIN(BN289,PR_USCb1)+PR_USCr2*MAX(0,MIN(BN289,PR_USCb2)-PR_USCb1)+PR_USCr3*MAX(0,MIN(BN289,PR_USCb3)-PR_USCb2)+PR_USCr4*MAX(0,BN289-PR_USCb3))),0)</f>
        <v>0</v>
      </c>
      <c r="BP289" s="1" t="n">
        <f aca="false">IF(C289&lt;PR_PRSIend,IF(F_SelfEmp=1,IF(AL289&gt;PR_PRSIsMinInc,MAX(PR_PRSIsMin,AL289*J289),0),IF(AL289/52&lt;=PR_PRSIfree,0,MAX(0,(AL289/52*J289-IF(AL289/52&lt;=PR_PRSIcreditTo,MAX(0,PR_PRSIcreditMax-(AL289/52-(PR_PRSIfree+0.01))/PR_PRSItaper),0))*52)))+J289*AN289+IF(AO289&gt;PR_PRSIunearned,J289*AO289,0),0)</f>
        <v>0</v>
      </c>
      <c r="BQ289" s="1" t="n">
        <f aca="false">IF(AND(F_Partner=1,AG289&lt;PR_PRSIend),IF(AQ289/52&lt;=PR_PRSIfree,0,MAX(0,(AQ289/52*J289-IF(AQ289/52&lt;=PR_PRSIcreditTo,MAX(0,PR_PRSIcreditMax-(AQ289/52-(PR_PRSIfree+0.01))/PR_PRSItaper),0))*52)),0)</f>
        <v>0</v>
      </c>
      <c r="BR289" s="1" t="n">
        <f aca="false">BK289+BM289+BO289+BP289+BQ289</f>
        <v>0</v>
      </c>
      <c r="BS289" s="1" t="n">
        <f aca="false">BR289*H289</f>
        <v>0</v>
      </c>
      <c r="BT289" s="1" t="n">
        <f aca="false">K289+AK289+AC289+AF289+AH289+AI289</f>
        <v>0</v>
      </c>
    </row>
    <row r="290" customFormat="false" ht="15" hidden="false" customHeight="true" outlineLevel="0" collapsed="false">
      <c r="B290" s="1" t="n">
        <v>56</v>
      </c>
      <c r="C290" s="1" t="n">
        <f aca="false">F_Age+B290</f>
        <v>56</v>
      </c>
      <c r="D290" s="1" t="n">
        <f aca="false">AS_Year0+B290</f>
        <v>2083</v>
      </c>
      <c r="E290" s="111" t="n">
        <f aca="false">(1+AS_Infl)^B290</f>
        <v>3.03116528648356</v>
      </c>
      <c r="F290" s="111" t="n">
        <f aca="false">(1+AS_Wage)^B290</f>
        <v>5.23461304940451</v>
      </c>
      <c r="G290" s="1" t="n">
        <f aca="false">IF(C290&lt;F_R,1,0)</f>
        <v>1</v>
      </c>
      <c r="H290" s="111" t="n">
        <f aca="false">IF(AS_Bands="flat",1,E290)</f>
        <v>3.03116528648356</v>
      </c>
      <c r="I290" s="111" t="n">
        <f aca="false">IF(AS_SpGrow="pay",F290,IF(AS_SpGrow="flat",1,E290))</f>
        <v>3.03116528648356</v>
      </c>
      <c r="J290" s="111" t="n">
        <f aca="false">(12*PR_PRSIr0+(PR_PRSIr1-PR_PRSIr0)*MAX(0,MIN(12,D290*12+12-PR_PRSIt1))+(PR_PRSIr2-PR_PRSIr1)*MAX(0,MIN(12,D290*12+12-PR_PRSIt2))+(PR_PRSIr3-PR_PRSIr2)*MAX(0,MIN(12,D290*12+12-PR_PRSIt3)))/12</f>
        <v>0.047</v>
      </c>
      <c r="K290" s="1" t="n">
        <f aca="false">IF(G290=1,F_Income*F290,0)</f>
        <v>0</v>
      </c>
      <c r="L290" s="1" t="n">
        <f aca="false">IF(G290=1,(F_Own+In_penExtra)*12*F290,0)</f>
        <v>0</v>
      </c>
      <c r="M290" s="1" t="n">
        <f aca="false">IF(G290=1,(F_PenM+In_penExtra)*12*F290,0)</f>
        <v>0</v>
      </c>
      <c r="N290" s="112" t="n">
        <f aca="false">IF(C290&lt;PR_RelA1,PR_RelP1,IF(C290&lt;PR_RelA2,PR_RelP2,IF(C290&lt;PR_RelA3,PR_RelP3,IF(C290&lt;PR_RelA4,PR_RelP4,IF(C290&lt;PR_RelA5,PR_RelP5,PR_RelP6)))))</f>
        <v>0.35</v>
      </c>
      <c r="O290" s="1" t="n">
        <f aca="false">IF(G290=1,MIN(L290/H290,N290*MIN(K290/H290,PR_EarnCap))*H290,0)</f>
        <v>0</v>
      </c>
      <c r="P290" s="1" t="n">
        <f aca="false">IF(AND(G290=1,F_AE=1),MIN(K290/H290,PR_AEcap)*H290,0)</f>
        <v>0</v>
      </c>
      <c r="Q290" s="1" t="n">
        <f aca="false">IF(G290=1,IF(WI_Retire=1,MAX(0,M290+WI_M*12),M290)+(PR_AEee+PR_AEer+PR_AEst)*P290,0)</f>
        <v>0</v>
      </c>
      <c r="R290" s="1" t="n">
        <f aca="false">L290+PR_AEee*P290</f>
        <v>0</v>
      </c>
      <c r="S290" s="1" t="n">
        <f aca="false">AD289</f>
        <v>0</v>
      </c>
      <c r="T290" s="1" t="n">
        <f aca="false">IF(D290&lt;=PR_SFTfrom,PR_SFT2026,IF(D290=PR_SFTfrom+1,PR_SFT2027,IF(D290=PR_SFTfrom+2,PR_SFT2028,IF(D290&lt;=PR_SFTto,PR_SFT2029,PR_SFT2029*(1+AS_Infl)^(D290-PR_SFTto)))))</f>
        <v>8157692.04359281</v>
      </c>
      <c r="U290" s="1" t="n">
        <f aca="false">IF(AND(G290=0,C290=F_V),1,0)</f>
        <v>0</v>
      </c>
      <c r="V290" s="1" t="n">
        <f aca="false">IF(U290=1,PR_SFTrate*MAX(0,S290-T290),0)</f>
        <v>0</v>
      </c>
      <c r="W290" s="1" t="n">
        <f aca="false">S290-V290</f>
        <v>0</v>
      </c>
      <c r="X290" s="1" t="n">
        <f aca="false">IF(AND(U290=1,AS_LumpPct&gt;0),W290*MIN(AS_LumpPct,PR_LSmax),0)</f>
        <v>0</v>
      </c>
      <c r="Y290" s="1" t="n">
        <f aca="false">X290-(PR_LSrate*MAX(0,MIN(X290,PR_LScap)-PR_LSfree)+PR_r2*MAX(0,X290-PR_LScap))</f>
        <v>0</v>
      </c>
      <c r="Z290" s="1" t="n">
        <f aca="false">W290-X290</f>
        <v>0</v>
      </c>
      <c r="AA290" s="112" t="n">
        <f aca="false">IF(C290&gt;=PR_ARFage1,IF(Z290&gt;PR_ARFbig,PR_ARFbigRate,IF(C290&gt;=PR_ARFage2,PR_ARF71,PR_ARF61)),0)</f>
        <v>0</v>
      </c>
      <c r="AB290" s="1" t="n">
        <f aca="false">IF(AS_DrawRule="min",Z290*AA290,IF(AS_DrawRule="fixed",MAX(AS_DrawFixed*E290,Z290*AA290),Z290*MAX(1/MAX(1,AS_End-C290+1),AA290)))</f>
        <v>0</v>
      </c>
      <c r="AC290" s="1" t="n">
        <f aca="false">IF(AND(G290=0,C290&gt;=F_V),MIN(Z290,AB290),0)</f>
        <v>0</v>
      </c>
      <c r="AD290" s="1" t="n">
        <f aca="false">IF(G290=1,S290*(1+F_PenG)+Q290,IF(C290&lt;F_V,S290*(1+F_PenG),(Z290-AC290)*(1+AS_PenRet)))</f>
        <v>0</v>
      </c>
      <c r="AE290" s="1" t="n">
        <f aca="false">IF(C290&gt;=PR_SPage,AS_SP*F_SpF*I290+IF(AND(C290&gt;=PR_Over80Age,F_SpF&gt;0),PR_Over80*PR_Weeks*I290,0),0)</f>
        <v>0</v>
      </c>
      <c r="AF290" s="1" t="n">
        <f aca="false">(F_OtherM+F_RentM)*12*E290</f>
        <v>0</v>
      </c>
      <c r="AG290" s="1" t="n">
        <f aca="false">F_PAge+B290</f>
        <v>56</v>
      </c>
      <c r="AH290" s="1" t="n">
        <f aca="false">IF(AND(F_Partner=1,F_PAge&gt;0,AG290&lt;IF(F_PRet&gt;0,F_PRet,PR_SPage)),F_PIncome*F290,0)</f>
        <v>0</v>
      </c>
      <c r="AI290" s="1" t="n">
        <f aca="false">IF(AND(F_Partner=1,AG290&gt;=PR_SPage,F_PSpQA=0),AS_SP*F_PSpF*I290,0)</f>
        <v>0</v>
      </c>
      <c r="AJ290" s="1" t="n">
        <f aca="false">IF(AND(F_Partner=1,F_PSpQA=1,C290&gt;=PR_SPage,AH290=0),IF(AG290&gt;=PR_SPage,PR_QA66,PR_QAunder)*PR_Weeks*I290,0)</f>
        <v>0</v>
      </c>
      <c r="AK290" s="1" t="n">
        <f aca="false">AE290+AJ290</f>
        <v>0</v>
      </c>
      <c r="AL290" s="1" t="n">
        <f aca="false">K290/H290</f>
        <v>0</v>
      </c>
      <c r="AM290" s="1" t="n">
        <f aca="false">AK290/H290</f>
        <v>0</v>
      </c>
      <c r="AN290" s="1" t="n">
        <f aca="false">AC290/H290</f>
        <v>0</v>
      </c>
      <c r="AO290" s="1" t="n">
        <f aca="false">AF290/H290</f>
        <v>0</v>
      </c>
      <c r="AP290" s="1" t="n">
        <f aca="false">O290/H290</f>
        <v>0</v>
      </c>
      <c r="AQ290" s="1" t="n">
        <f aca="false">AH290/H290</f>
        <v>0</v>
      </c>
      <c r="AR290" s="1" t="n">
        <f aca="false">AI290/H290</f>
        <v>0</v>
      </c>
      <c r="AS290" s="1" t="n">
        <f aca="false">MAX(0,AL290+AN290+AO290+AM290-AP290)</f>
        <v>0</v>
      </c>
      <c r="AT290" s="1" t="n">
        <f aca="false">MAX(0,AQ290+AR290)</f>
        <v>0</v>
      </c>
      <c r="AU290" s="1" t="n">
        <f aca="false">MIN(PR_PAYE,PR_PAYEcap*(AL290+AN290+AM290))</f>
        <v>0</v>
      </c>
      <c r="AV290" s="1" t="n">
        <f aca="false">MIN(PR_PAYE,PR_PAYEcap*(AQ290+AR290))</f>
        <v>0</v>
      </c>
      <c r="AW290" s="1" t="n">
        <f aca="false">IF(C290&gt;=PR_AgeCrAge,PR_AgeCr,0)</f>
        <v>0</v>
      </c>
      <c r="AX290" s="1" t="n">
        <f aca="false">IF(AG290&gt;=PR_AgeCrAge,PR_AgeCr,0)</f>
        <v>0</v>
      </c>
      <c r="AY290" s="1" t="n">
        <f aca="false">IF(AND(F_RentCred=1,D290&lt;=PR_RentLast),1,0)</f>
        <v>0</v>
      </c>
      <c r="AZ290" s="1" t="n">
        <f aca="false">AS290+AT290</f>
        <v>0</v>
      </c>
      <c r="BA290" s="1" t="n">
        <f aca="false">PR_PersonalM+AU290+AV290+AW290+AX290+IF(AY290=1,PR_RentJoint,0)</f>
        <v>4000</v>
      </c>
      <c r="BB290" s="1" t="n">
        <f aca="false">PR_BandM+MIN(MIN(AS290,AT290),PR_Uplift)</f>
        <v>53000</v>
      </c>
      <c r="BC290" s="1" t="n">
        <f aca="false">MAX(0,PR_r1*MIN(AZ290,BB290)+PR_r2*MAX(0,AZ290-BB290)-BA290)</f>
        <v>0</v>
      </c>
      <c r="BD290" s="1" t="n">
        <f aca="false">MAX(0,PR_HomeCarer-MAX(0,MIN(AS290,AT290)-PR_HCLimit)/2)</f>
        <v>1950</v>
      </c>
      <c r="BE290" s="1" t="n">
        <f aca="false">IF(F_Carer=1,MIN(BC290,MAX(0,PR_r1*MIN(AZ290,PR_BandM)+PR_r2*MAX(0,AZ290-PR_BandM)-BA290-BD290)),BC290)</f>
        <v>0</v>
      </c>
      <c r="BF290" s="1" t="n">
        <f aca="false">IF(OR(C290&gt;=PR_AgeCrAge,AG290&gt;=PR_AgeCrAge),IF(AZ290&lt;=PR_AgeExM,0,MIN(BE290,PR_AgeMarg*(AZ290-PR_AgeExM))),BE290)</f>
        <v>0</v>
      </c>
      <c r="BG290" s="1" t="n">
        <f aca="false">MAX(0,PR_r1*MIN(AS290,IF(F_Spccc=1,PR_BandSPCCC,PR_Band))+PR_r2*MAX(0,AS290-IF(F_Spccc=1,PR_BandSPCCC,PR_Band))-(PR_Personal+AU290+AW290+IF(F_Spccc=1,PR_SPCCC,0)+IF(AY290=1,PR_Rent,0)))</f>
        <v>0</v>
      </c>
      <c r="BH290" s="1" t="n">
        <f aca="false">IF(C290&gt;=PR_AgeCrAge,IF(AS290&lt;=PR_AgeEx,0,MIN(BG290,PR_AgeMarg*(AS290-PR_AgeEx))),BG290)</f>
        <v>0</v>
      </c>
      <c r="BI290" s="1" t="n">
        <f aca="false">IF(F_Partner=1,MAX(0,PR_r1*MIN(AT290,PR_Band)+PR_r2*MAX(0,AT290-PR_Band)-(PR_Personal+AV290+AX290+IF(AND(AY290=1,AT290&gt;0),PR_Rent,0))),0)</f>
        <v>0</v>
      </c>
      <c r="BJ290" s="1" t="n">
        <f aca="false">IF(AG290&gt;=PR_AgeCrAge,IF(AT290&lt;=PR_AgeEx,0,MIN(BI290,PR_AgeMarg*(AT290-PR_AgeEx))),BI290)</f>
        <v>0</v>
      </c>
      <c r="BK290" s="1" t="n">
        <f aca="false">IF(F_Partner=1,IF(F_Married=1,BF290,BH290+BJ290),BH290)</f>
        <v>0</v>
      </c>
      <c r="BL290" s="1" t="n">
        <f aca="false">AL290+AN290+AO290</f>
        <v>0</v>
      </c>
      <c r="BM290" s="1" t="n">
        <f aca="false">IF(BL290&lt;=PR_USCex,0,IF(IF(AND(C290&gt;=PR_USCredAge,BL290&lt;=PR_USCredMax),1,0)=1,PR_USCr1*MIN(BL290,PR_USCredB1)+PR_USCredR2*MAX(0,BL290-PR_USCredB1),PR_USCr1*MIN(BL290,PR_USCb1)+PR_USCr2*MAX(0,MIN(BL290,PR_USCb2)-PR_USCb1)+PR_USCr3*MAX(0,MIN(BL290,PR_USCb3)-PR_USCb2)+PR_USCr4*MAX(0,BL290-PR_USCb3)))+IF(F_SelfEmp=1,PR_USCse*MAX(0,AL290-PR_USCseOver),0)</f>
        <v>0</v>
      </c>
      <c r="BN290" s="1" t="n">
        <f aca="false">AQ290</f>
        <v>0</v>
      </c>
      <c r="BO290" s="1" t="n">
        <f aca="false">IF(F_Partner=1,IF(BN290&lt;=PR_USCex,0,IF(IF(AND(AG290&gt;=PR_USCredAge,BN290&lt;=PR_USCredMax),1,0)=1,PR_USCr1*MIN(BN290,PR_USCredB1)+PR_USCredR2*MAX(0,BN290-PR_USCredB1),PR_USCr1*MIN(BN290,PR_USCb1)+PR_USCr2*MAX(0,MIN(BN290,PR_USCb2)-PR_USCb1)+PR_USCr3*MAX(0,MIN(BN290,PR_USCb3)-PR_USCb2)+PR_USCr4*MAX(0,BN290-PR_USCb3))),0)</f>
        <v>0</v>
      </c>
      <c r="BP290" s="1" t="n">
        <f aca="false">IF(C290&lt;PR_PRSIend,IF(F_SelfEmp=1,IF(AL290&gt;PR_PRSIsMinInc,MAX(PR_PRSIsMin,AL290*J290),0),IF(AL290/52&lt;=PR_PRSIfree,0,MAX(0,(AL290/52*J290-IF(AL290/52&lt;=PR_PRSIcreditTo,MAX(0,PR_PRSIcreditMax-(AL290/52-(PR_PRSIfree+0.01))/PR_PRSItaper),0))*52)))+J290*AN290+IF(AO290&gt;PR_PRSIunearned,J290*AO290,0),0)</f>
        <v>0</v>
      </c>
      <c r="BQ290" s="1" t="n">
        <f aca="false">IF(AND(F_Partner=1,AG290&lt;PR_PRSIend),IF(AQ290/52&lt;=PR_PRSIfree,0,MAX(0,(AQ290/52*J290-IF(AQ290/52&lt;=PR_PRSIcreditTo,MAX(0,PR_PRSIcreditMax-(AQ290/52-(PR_PRSIfree+0.01))/PR_PRSItaper),0))*52)),0)</f>
        <v>0</v>
      </c>
      <c r="BR290" s="1" t="n">
        <f aca="false">BK290+BM290+BO290+BP290+BQ290</f>
        <v>0</v>
      </c>
      <c r="BS290" s="1" t="n">
        <f aca="false">BR290*H290</f>
        <v>0</v>
      </c>
      <c r="BT290" s="1" t="n">
        <f aca="false">K290+AK290+AC290+AF290+AH290+AI290</f>
        <v>0</v>
      </c>
    </row>
    <row r="291" customFormat="false" ht="15" hidden="false" customHeight="true" outlineLevel="0" collapsed="false">
      <c r="B291" s="1" t="n">
        <v>57</v>
      </c>
      <c r="C291" s="1" t="n">
        <f aca="false">F_Age+B291</f>
        <v>57</v>
      </c>
      <c r="D291" s="1" t="n">
        <f aca="false">AS_Year0+B291</f>
        <v>2084</v>
      </c>
      <c r="E291" s="111" t="n">
        <f aca="false">(1+AS_Infl)^B291</f>
        <v>3.09178859221323</v>
      </c>
      <c r="F291" s="111" t="n">
        <f aca="false">(1+AS_Wage)^B291</f>
        <v>5.39165144088665</v>
      </c>
      <c r="G291" s="1" t="n">
        <f aca="false">IF(C291&lt;F_R,1,0)</f>
        <v>1</v>
      </c>
      <c r="H291" s="111" t="n">
        <f aca="false">IF(AS_Bands="flat",1,E291)</f>
        <v>3.09178859221323</v>
      </c>
      <c r="I291" s="111" t="n">
        <f aca="false">IF(AS_SpGrow="pay",F291,IF(AS_SpGrow="flat",1,E291))</f>
        <v>3.09178859221323</v>
      </c>
      <c r="J291" s="111" t="n">
        <f aca="false">(12*PR_PRSIr0+(PR_PRSIr1-PR_PRSIr0)*MAX(0,MIN(12,D291*12+12-PR_PRSIt1))+(PR_PRSIr2-PR_PRSIr1)*MAX(0,MIN(12,D291*12+12-PR_PRSIt2))+(PR_PRSIr3-PR_PRSIr2)*MAX(0,MIN(12,D291*12+12-PR_PRSIt3)))/12</f>
        <v>0.047</v>
      </c>
      <c r="K291" s="1" t="n">
        <f aca="false">IF(G291=1,F_Income*F291,0)</f>
        <v>0</v>
      </c>
      <c r="L291" s="1" t="n">
        <f aca="false">IF(G291=1,(F_Own+In_penExtra)*12*F291,0)</f>
        <v>0</v>
      </c>
      <c r="M291" s="1" t="n">
        <f aca="false">IF(G291=1,(F_PenM+In_penExtra)*12*F291,0)</f>
        <v>0</v>
      </c>
      <c r="N291" s="112" t="n">
        <f aca="false">IF(C291&lt;PR_RelA1,PR_RelP1,IF(C291&lt;PR_RelA2,PR_RelP2,IF(C291&lt;PR_RelA3,PR_RelP3,IF(C291&lt;PR_RelA4,PR_RelP4,IF(C291&lt;PR_RelA5,PR_RelP5,PR_RelP6)))))</f>
        <v>0.35</v>
      </c>
      <c r="O291" s="1" t="n">
        <f aca="false">IF(G291=1,MIN(L291/H291,N291*MIN(K291/H291,PR_EarnCap))*H291,0)</f>
        <v>0</v>
      </c>
      <c r="P291" s="1" t="n">
        <f aca="false">IF(AND(G291=1,F_AE=1),MIN(K291/H291,PR_AEcap)*H291,0)</f>
        <v>0</v>
      </c>
      <c r="Q291" s="1" t="n">
        <f aca="false">IF(G291=1,IF(WI_Retire=1,MAX(0,M291+WI_M*12),M291)+(PR_AEee+PR_AEer+PR_AEst)*P291,0)</f>
        <v>0</v>
      </c>
      <c r="R291" s="1" t="n">
        <f aca="false">L291+PR_AEee*P291</f>
        <v>0</v>
      </c>
      <c r="S291" s="1" t="n">
        <f aca="false">AD290</f>
        <v>0</v>
      </c>
      <c r="T291" s="1" t="n">
        <f aca="false">IF(D291&lt;=PR_SFTfrom,PR_SFT2026,IF(D291=PR_SFTfrom+1,PR_SFT2027,IF(D291=PR_SFTfrom+2,PR_SFT2028,IF(D291&lt;=PR_SFTto,PR_SFT2029,PR_SFT2029*(1+AS_Infl)^(D291-PR_SFTto)))))</f>
        <v>8320845.88446466</v>
      </c>
      <c r="U291" s="1" t="n">
        <f aca="false">IF(AND(G291=0,C291=F_V),1,0)</f>
        <v>0</v>
      </c>
      <c r="V291" s="1" t="n">
        <f aca="false">IF(U291=1,PR_SFTrate*MAX(0,S291-T291),0)</f>
        <v>0</v>
      </c>
      <c r="W291" s="1" t="n">
        <f aca="false">S291-V291</f>
        <v>0</v>
      </c>
      <c r="X291" s="1" t="n">
        <f aca="false">IF(AND(U291=1,AS_LumpPct&gt;0),W291*MIN(AS_LumpPct,PR_LSmax),0)</f>
        <v>0</v>
      </c>
      <c r="Y291" s="1" t="n">
        <f aca="false">X291-(PR_LSrate*MAX(0,MIN(X291,PR_LScap)-PR_LSfree)+PR_r2*MAX(0,X291-PR_LScap))</f>
        <v>0</v>
      </c>
      <c r="Z291" s="1" t="n">
        <f aca="false">W291-X291</f>
        <v>0</v>
      </c>
      <c r="AA291" s="112" t="n">
        <f aca="false">IF(C291&gt;=PR_ARFage1,IF(Z291&gt;PR_ARFbig,PR_ARFbigRate,IF(C291&gt;=PR_ARFage2,PR_ARF71,PR_ARF61)),0)</f>
        <v>0</v>
      </c>
      <c r="AB291" s="1" t="n">
        <f aca="false">IF(AS_DrawRule="min",Z291*AA291,IF(AS_DrawRule="fixed",MAX(AS_DrawFixed*E291,Z291*AA291),Z291*MAX(1/MAX(1,AS_End-C291+1),AA291)))</f>
        <v>0</v>
      </c>
      <c r="AC291" s="1" t="n">
        <f aca="false">IF(AND(G291=0,C291&gt;=F_V),MIN(Z291,AB291),0)</f>
        <v>0</v>
      </c>
      <c r="AD291" s="1" t="n">
        <f aca="false">IF(G291=1,S291*(1+F_PenG)+Q291,IF(C291&lt;F_V,S291*(1+F_PenG),(Z291-AC291)*(1+AS_PenRet)))</f>
        <v>0</v>
      </c>
      <c r="AE291" s="1" t="n">
        <f aca="false">IF(C291&gt;=PR_SPage,AS_SP*F_SpF*I291+IF(AND(C291&gt;=PR_Over80Age,F_SpF&gt;0),PR_Over80*PR_Weeks*I291,0),0)</f>
        <v>0</v>
      </c>
      <c r="AF291" s="1" t="n">
        <f aca="false">(F_OtherM+F_RentM)*12*E291</f>
        <v>0</v>
      </c>
      <c r="AG291" s="1" t="n">
        <f aca="false">F_PAge+B291</f>
        <v>57</v>
      </c>
      <c r="AH291" s="1" t="n">
        <f aca="false">IF(AND(F_Partner=1,F_PAge&gt;0,AG291&lt;IF(F_PRet&gt;0,F_PRet,PR_SPage)),F_PIncome*F291,0)</f>
        <v>0</v>
      </c>
      <c r="AI291" s="1" t="n">
        <f aca="false">IF(AND(F_Partner=1,AG291&gt;=PR_SPage,F_PSpQA=0),AS_SP*F_PSpF*I291,0)</f>
        <v>0</v>
      </c>
      <c r="AJ291" s="1" t="n">
        <f aca="false">IF(AND(F_Partner=1,F_PSpQA=1,C291&gt;=PR_SPage,AH291=0),IF(AG291&gt;=PR_SPage,PR_QA66,PR_QAunder)*PR_Weeks*I291,0)</f>
        <v>0</v>
      </c>
      <c r="AK291" s="1" t="n">
        <f aca="false">AE291+AJ291</f>
        <v>0</v>
      </c>
      <c r="AL291" s="1" t="n">
        <f aca="false">K291/H291</f>
        <v>0</v>
      </c>
      <c r="AM291" s="1" t="n">
        <f aca="false">AK291/H291</f>
        <v>0</v>
      </c>
      <c r="AN291" s="1" t="n">
        <f aca="false">AC291/H291</f>
        <v>0</v>
      </c>
      <c r="AO291" s="1" t="n">
        <f aca="false">AF291/H291</f>
        <v>0</v>
      </c>
      <c r="AP291" s="1" t="n">
        <f aca="false">O291/H291</f>
        <v>0</v>
      </c>
      <c r="AQ291" s="1" t="n">
        <f aca="false">AH291/H291</f>
        <v>0</v>
      </c>
      <c r="AR291" s="1" t="n">
        <f aca="false">AI291/H291</f>
        <v>0</v>
      </c>
      <c r="AS291" s="1" t="n">
        <f aca="false">MAX(0,AL291+AN291+AO291+AM291-AP291)</f>
        <v>0</v>
      </c>
      <c r="AT291" s="1" t="n">
        <f aca="false">MAX(0,AQ291+AR291)</f>
        <v>0</v>
      </c>
      <c r="AU291" s="1" t="n">
        <f aca="false">MIN(PR_PAYE,PR_PAYEcap*(AL291+AN291+AM291))</f>
        <v>0</v>
      </c>
      <c r="AV291" s="1" t="n">
        <f aca="false">MIN(PR_PAYE,PR_PAYEcap*(AQ291+AR291))</f>
        <v>0</v>
      </c>
      <c r="AW291" s="1" t="n">
        <f aca="false">IF(C291&gt;=PR_AgeCrAge,PR_AgeCr,0)</f>
        <v>0</v>
      </c>
      <c r="AX291" s="1" t="n">
        <f aca="false">IF(AG291&gt;=PR_AgeCrAge,PR_AgeCr,0)</f>
        <v>0</v>
      </c>
      <c r="AY291" s="1" t="n">
        <f aca="false">IF(AND(F_RentCred=1,D291&lt;=PR_RentLast),1,0)</f>
        <v>0</v>
      </c>
      <c r="AZ291" s="1" t="n">
        <f aca="false">AS291+AT291</f>
        <v>0</v>
      </c>
      <c r="BA291" s="1" t="n">
        <f aca="false">PR_PersonalM+AU291+AV291+AW291+AX291+IF(AY291=1,PR_RentJoint,0)</f>
        <v>4000</v>
      </c>
      <c r="BB291" s="1" t="n">
        <f aca="false">PR_BandM+MIN(MIN(AS291,AT291),PR_Uplift)</f>
        <v>53000</v>
      </c>
      <c r="BC291" s="1" t="n">
        <f aca="false">MAX(0,PR_r1*MIN(AZ291,BB291)+PR_r2*MAX(0,AZ291-BB291)-BA291)</f>
        <v>0</v>
      </c>
      <c r="BD291" s="1" t="n">
        <f aca="false">MAX(0,PR_HomeCarer-MAX(0,MIN(AS291,AT291)-PR_HCLimit)/2)</f>
        <v>1950</v>
      </c>
      <c r="BE291" s="1" t="n">
        <f aca="false">IF(F_Carer=1,MIN(BC291,MAX(0,PR_r1*MIN(AZ291,PR_BandM)+PR_r2*MAX(0,AZ291-PR_BandM)-BA291-BD291)),BC291)</f>
        <v>0</v>
      </c>
      <c r="BF291" s="1" t="n">
        <f aca="false">IF(OR(C291&gt;=PR_AgeCrAge,AG291&gt;=PR_AgeCrAge),IF(AZ291&lt;=PR_AgeExM,0,MIN(BE291,PR_AgeMarg*(AZ291-PR_AgeExM))),BE291)</f>
        <v>0</v>
      </c>
      <c r="BG291" s="1" t="n">
        <f aca="false">MAX(0,PR_r1*MIN(AS291,IF(F_Spccc=1,PR_BandSPCCC,PR_Band))+PR_r2*MAX(0,AS291-IF(F_Spccc=1,PR_BandSPCCC,PR_Band))-(PR_Personal+AU291+AW291+IF(F_Spccc=1,PR_SPCCC,0)+IF(AY291=1,PR_Rent,0)))</f>
        <v>0</v>
      </c>
      <c r="BH291" s="1" t="n">
        <f aca="false">IF(C291&gt;=PR_AgeCrAge,IF(AS291&lt;=PR_AgeEx,0,MIN(BG291,PR_AgeMarg*(AS291-PR_AgeEx))),BG291)</f>
        <v>0</v>
      </c>
      <c r="BI291" s="1" t="n">
        <f aca="false">IF(F_Partner=1,MAX(0,PR_r1*MIN(AT291,PR_Band)+PR_r2*MAX(0,AT291-PR_Band)-(PR_Personal+AV291+AX291+IF(AND(AY291=1,AT291&gt;0),PR_Rent,0))),0)</f>
        <v>0</v>
      </c>
      <c r="BJ291" s="1" t="n">
        <f aca="false">IF(AG291&gt;=PR_AgeCrAge,IF(AT291&lt;=PR_AgeEx,0,MIN(BI291,PR_AgeMarg*(AT291-PR_AgeEx))),BI291)</f>
        <v>0</v>
      </c>
      <c r="BK291" s="1" t="n">
        <f aca="false">IF(F_Partner=1,IF(F_Married=1,BF291,BH291+BJ291),BH291)</f>
        <v>0</v>
      </c>
      <c r="BL291" s="1" t="n">
        <f aca="false">AL291+AN291+AO291</f>
        <v>0</v>
      </c>
      <c r="BM291" s="1" t="n">
        <f aca="false">IF(BL291&lt;=PR_USCex,0,IF(IF(AND(C291&gt;=PR_USCredAge,BL291&lt;=PR_USCredMax),1,0)=1,PR_USCr1*MIN(BL291,PR_USCredB1)+PR_USCredR2*MAX(0,BL291-PR_USCredB1),PR_USCr1*MIN(BL291,PR_USCb1)+PR_USCr2*MAX(0,MIN(BL291,PR_USCb2)-PR_USCb1)+PR_USCr3*MAX(0,MIN(BL291,PR_USCb3)-PR_USCb2)+PR_USCr4*MAX(0,BL291-PR_USCb3)))+IF(F_SelfEmp=1,PR_USCse*MAX(0,AL291-PR_USCseOver),0)</f>
        <v>0</v>
      </c>
      <c r="BN291" s="1" t="n">
        <f aca="false">AQ291</f>
        <v>0</v>
      </c>
      <c r="BO291" s="1" t="n">
        <f aca="false">IF(F_Partner=1,IF(BN291&lt;=PR_USCex,0,IF(IF(AND(AG291&gt;=PR_USCredAge,BN291&lt;=PR_USCredMax),1,0)=1,PR_USCr1*MIN(BN291,PR_USCredB1)+PR_USCredR2*MAX(0,BN291-PR_USCredB1),PR_USCr1*MIN(BN291,PR_USCb1)+PR_USCr2*MAX(0,MIN(BN291,PR_USCb2)-PR_USCb1)+PR_USCr3*MAX(0,MIN(BN291,PR_USCb3)-PR_USCb2)+PR_USCr4*MAX(0,BN291-PR_USCb3))),0)</f>
        <v>0</v>
      </c>
      <c r="BP291" s="1" t="n">
        <f aca="false">IF(C291&lt;PR_PRSIend,IF(F_SelfEmp=1,IF(AL291&gt;PR_PRSIsMinInc,MAX(PR_PRSIsMin,AL291*J291),0),IF(AL291/52&lt;=PR_PRSIfree,0,MAX(0,(AL291/52*J291-IF(AL291/52&lt;=PR_PRSIcreditTo,MAX(0,PR_PRSIcreditMax-(AL291/52-(PR_PRSIfree+0.01))/PR_PRSItaper),0))*52)))+J291*AN291+IF(AO291&gt;PR_PRSIunearned,J291*AO291,0),0)</f>
        <v>0</v>
      </c>
      <c r="BQ291" s="1" t="n">
        <f aca="false">IF(AND(F_Partner=1,AG291&lt;PR_PRSIend),IF(AQ291/52&lt;=PR_PRSIfree,0,MAX(0,(AQ291/52*J291-IF(AQ291/52&lt;=PR_PRSIcreditTo,MAX(0,PR_PRSIcreditMax-(AQ291/52-(PR_PRSIfree+0.01))/PR_PRSItaper),0))*52)),0)</f>
        <v>0</v>
      </c>
      <c r="BR291" s="1" t="n">
        <f aca="false">BK291+BM291+BO291+BP291+BQ291</f>
        <v>0</v>
      </c>
      <c r="BS291" s="1" t="n">
        <f aca="false">BR291*H291</f>
        <v>0</v>
      </c>
      <c r="BT291" s="1" t="n">
        <f aca="false">K291+AK291+AC291+AF291+AH291+AI291</f>
        <v>0</v>
      </c>
    </row>
    <row r="292" customFormat="false" ht="15" hidden="false" customHeight="true" outlineLevel="0" collapsed="false">
      <c r="B292" s="1" t="n">
        <v>58</v>
      </c>
      <c r="C292" s="1" t="n">
        <f aca="false">F_Age+B292</f>
        <v>58</v>
      </c>
      <c r="D292" s="1" t="n">
        <f aca="false">AS_Year0+B292</f>
        <v>2085</v>
      </c>
      <c r="E292" s="111" t="n">
        <f aca="false">(1+AS_Infl)^B292</f>
        <v>3.15362436405749</v>
      </c>
      <c r="F292" s="111" t="n">
        <f aca="false">(1+AS_Wage)^B292</f>
        <v>5.55340098411325</v>
      </c>
      <c r="G292" s="1" t="n">
        <f aca="false">IF(C292&lt;F_R,1,0)</f>
        <v>1</v>
      </c>
      <c r="H292" s="111" t="n">
        <f aca="false">IF(AS_Bands="flat",1,E292)</f>
        <v>3.15362436405749</v>
      </c>
      <c r="I292" s="111" t="n">
        <f aca="false">IF(AS_SpGrow="pay",F292,IF(AS_SpGrow="flat",1,E292))</f>
        <v>3.15362436405749</v>
      </c>
      <c r="J292" s="111" t="n">
        <f aca="false">(12*PR_PRSIr0+(PR_PRSIr1-PR_PRSIr0)*MAX(0,MIN(12,D292*12+12-PR_PRSIt1))+(PR_PRSIr2-PR_PRSIr1)*MAX(0,MIN(12,D292*12+12-PR_PRSIt2))+(PR_PRSIr3-PR_PRSIr2)*MAX(0,MIN(12,D292*12+12-PR_PRSIt3)))/12</f>
        <v>0.047</v>
      </c>
      <c r="K292" s="1" t="n">
        <f aca="false">IF(G292=1,F_Income*F292,0)</f>
        <v>0</v>
      </c>
      <c r="L292" s="1" t="n">
        <f aca="false">IF(G292=1,(F_Own+In_penExtra)*12*F292,0)</f>
        <v>0</v>
      </c>
      <c r="M292" s="1" t="n">
        <f aca="false">IF(G292=1,(F_PenM+In_penExtra)*12*F292,0)</f>
        <v>0</v>
      </c>
      <c r="N292" s="112" t="n">
        <f aca="false">IF(C292&lt;PR_RelA1,PR_RelP1,IF(C292&lt;PR_RelA2,PR_RelP2,IF(C292&lt;PR_RelA3,PR_RelP3,IF(C292&lt;PR_RelA4,PR_RelP4,IF(C292&lt;PR_RelA5,PR_RelP5,PR_RelP6)))))</f>
        <v>0.35</v>
      </c>
      <c r="O292" s="1" t="n">
        <f aca="false">IF(G292=1,MIN(L292/H292,N292*MIN(K292/H292,PR_EarnCap))*H292,0)</f>
        <v>0</v>
      </c>
      <c r="P292" s="1" t="n">
        <f aca="false">IF(AND(G292=1,F_AE=1),MIN(K292/H292,PR_AEcap)*H292,0)</f>
        <v>0</v>
      </c>
      <c r="Q292" s="1" t="n">
        <f aca="false">IF(G292=1,IF(WI_Retire=1,MAX(0,M292+WI_M*12),M292)+(PR_AEee+PR_AEer+PR_AEst)*P292,0)</f>
        <v>0</v>
      </c>
      <c r="R292" s="1" t="n">
        <f aca="false">L292+PR_AEee*P292</f>
        <v>0</v>
      </c>
      <c r="S292" s="1" t="n">
        <f aca="false">AD291</f>
        <v>0</v>
      </c>
      <c r="T292" s="1" t="n">
        <f aca="false">IF(D292&lt;=PR_SFTfrom,PR_SFT2026,IF(D292=PR_SFTfrom+1,PR_SFT2027,IF(D292=PR_SFTfrom+2,PR_SFT2028,IF(D292&lt;=PR_SFTto,PR_SFT2029,PR_SFT2029*(1+AS_Infl)^(D292-PR_SFTto)))))</f>
        <v>8487262.80215396</v>
      </c>
      <c r="U292" s="1" t="n">
        <f aca="false">IF(AND(G292=0,C292=F_V),1,0)</f>
        <v>0</v>
      </c>
      <c r="V292" s="1" t="n">
        <f aca="false">IF(U292=1,PR_SFTrate*MAX(0,S292-T292),0)</f>
        <v>0</v>
      </c>
      <c r="W292" s="1" t="n">
        <f aca="false">S292-V292</f>
        <v>0</v>
      </c>
      <c r="X292" s="1" t="n">
        <f aca="false">IF(AND(U292=1,AS_LumpPct&gt;0),W292*MIN(AS_LumpPct,PR_LSmax),0)</f>
        <v>0</v>
      </c>
      <c r="Y292" s="1" t="n">
        <f aca="false">X292-(PR_LSrate*MAX(0,MIN(X292,PR_LScap)-PR_LSfree)+PR_r2*MAX(0,X292-PR_LScap))</f>
        <v>0</v>
      </c>
      <c r="Z292" s="1" t="n">
        <f aca="false">W292-X292</f>
        <v>0</v>
      </c>
      <c r="AA292" s="112" t="n">
        <f aca="false">IF(C292&gt;=PR_ARFage1,IF(Z292&gt;PR_ARFbig,PR_ARFbigRate,IF(C292&gt;=PR_ARFage2,PR_ARF71,PR_ARF61)),0)</f>
        <v>0</v>
      </c>
      <c r="AB292" s="1" t="n">
        <f aca="false">IF(AS_DrawRule="min",Z292*AA292,IF(AS_DrawRule="fixed",MAX(AS_DrawFixed*E292,Z292*AA292),Z292*MAX(1/MAX(1,AS_End-C292+1),AA292)))</f>
        <v>0</v>
      </c>
      <c r="AC292" s="1" t="n">
        <f aca="false">IF(AND(G292=0,C292&gt;=F_V),MIN(Z292,AB292),0)</f>
        <v>0</v>
      </c>
      <c r="AD292" s="1" t="n">
        <f aca="false">IF(G292=1,S292*(1+F_PenG)+Q292,IF(C292&lt;F_V,S292*(1+F_PenG),(Z292-AC292)*(1+AS_PenRet)))</f>
        <v>0</v>
      </c>
      <c r="AE292" s="1" t="n">
        <f aca="false">IF(C292&gt;=PR_SPage,AS_SP*F_SpF*I292+IF(AND(C292&gt;=PR_Over80Age,F_SpF&gt;0),PR_Over80*PR_Weeks*I292,0),0)</f>
        <v>0</v>
      </c>
      <c r="AF292" s="1" t="n">
        <f aca="false">(F_OtherM+F_RentM)*12*E292</f>
        <v>0</v>
      </c>
      <c r="AG292" s="1" t="n">
        <f aca="false">F_PAge+B292</f>
        <v>58</v>
      </c>
      <c r="AH292" s="1" t="n">
        <f aca="false">IF(AND(F_Partner=1,F_PAge&gt;0,AG292&lt;IF(F_PRet&gt;0,F_PRet,PR_SPage)),F_PIncome*F292,0)</f>
        <v>0</v>
      </c>
      <c r="AI292" s="1" t="n">
        <f aca="false">IF(AND(F_Partner=1,AG292&gt;=PR_SPage,F_PSpQA=0),AS_SP*F_PSpF*I292,0)</f>
        <v>0</v>
      </c>
      <c r="AJ292" s="1" t="n">
        <f aca="false">IF(AND(F_Partner=1,F_PSpQA=1,C292&gt;=PR_SPage,AH292=0),IF(AG292&gt;=PR_SPage,PR_QA66,PR_QAunder)*PR_Weeks*I292,0)</f>
        <v>0</v>
      </c>
      <c r="AK292" s="1" t="n">
        <f aca="false">AE292+AJ292</f>
        <v>0</v>
      </c>
      <c r="AL292" s="1" t="n">
        <f aca="false">K292/H292</f>
        <v>0</v>
      </c>
      <c r="AM292" s="1" t="n">
        <f aca="false">AK292/H292</f>
        <v>0</v>
      </c>
      <c r="AN292" s="1" t="n">
        <f aca="false">AC292/H292</f>
        <v>0</v>
      </c>
      <c r="AO292" s="1" t="n">
        <f aca="false">AF292/H292</f>
        <v>0</v>
      </c>
      <c r="AP292" s="1" t="n">
        <f aca="false">O292/H292</f>
        <v>0</v>
      </c>
      <c r="AQ292" s="1" t="n">
        <f aca="false">AH292/H292</f>
        <v>0</v>
      </c>
      <c r="AR292" s="1" t="n">
        <f aca="false">AI292/H292</f>
        <v>0</v>
      </c>
      <c r="AS292" s="1" t="n">
        <f aca="false">MAX(0,AL292+AN292+AO292+AM292-AP292)</f>
        <v>0</v>
      </c>
      <c r="AT292" s="1" t="n">
        <f aca="false">MAX(0,AQ292+AR292)</f>
        <v>0</v>
      </c>
      <c r="AU292" s="1" t="n">
        <f aca="false">MIN(PR_PAYE,PR_PAYEcap*(AL292+AN292+AM292))</f>
        <v>0</v>
      </c>
      <c r="AV292" s="1" t="n">
        <f aca="false">MIN(PR_PAYE,PR_PAYEcap*(AQ292+AR292))</f>
        <v>0</v>
      </c>
      <c r="AW292" s="1" t="n">
        <f aca="false">IF(C292&gt;=PR_AgeCrAge,PR_AgeCr,0)</f>
        <v>0</v>
      </c>
      <c r="AX292" s="1" t="n">
        <f aca="false">IF(AG292&gt;=PR_AgeCrAge,PR_AgeCr,0)</f>
        <v>0</v>
      </c>
      <c r="AY292" s="1" t="n">
        <f aca="false">IF(AND(F_RentCred=1,D292&lt;=PR_RentLast),1,0)</f>
        <v>0</v>
      </c>
      <c r="AZ292" s="1" t="n">
        <f aca="false">AS292+AT292</f>
        <v>0</v>
      </c>
      <c r="BA292" s="1" t="n">
        <f aca="false">PR_PersonalM+AU292+AV292+AW292+AX292+IF(AY292=1,PR_RentJoint,0)</f>
        <v>4000</v>
      </c>
      <c r="BB292" s="1" t="n">
        <f aca="false">PR_BandM+MIN(MIN(AS292,AT292),PR_Uplift)</f>
        <v>53000</v>
      </c>
      <c r="BC292" s="1" t="n">
        <f aca="false">MAX(0,PR_r1*MIN(AZ292,BB292)+PR_r2*MAX(0,AZ292-BB292)-BA292)</f>
        <v>0</v>
      </c>
      <c r="BD292" s="1" t="n">
        <f aca="false">MAX(0,PR_HomeCarer-MAX(0,MIN(AS292,AT292)-PR_HCLimit)/2)</f>
        <v>1950</v>
      </c>
      <c r="BE292" s="1" t="n">
        <f aca="false">IF(F_Carer=1,MIN(BC292,MAX(0,PR_r1*MIN(AZ292,PR_BandM)+PR_r2*MAX(0,AZ292-PR_BandM)-BA292-BD292)),BC292)</f>
        <v>0</v>
      </c>
      <c r="BF292" s="1" t="n">
        <f aca="false">IF(OR(C292&gt;=PR_AgeCrAge,AG292&gt;=PR_AgeCrAge),IF(AZ292&lt;=PR_AgeExM,0,MIN(BE292,PR_AgeMarg*(AZ292-PR_AgeExM))),BE292)</f>
        <v>0</v>
      </c>
      <c r="BG292" s="1" t="n">
        <f aca="false">MAX(0,PR_r1*MIN(AS292,IF(F_Spccc=1,PR_BandSPCCC,PR_Band))+PR_r2*MAX(0,AS292-IF(F_Spccc=1,PR_BandSPCCC,PR_Band))-(PR_Personal+AU292+AW292+IF(F_Spccc=1,PR_SPCCC,0)+IF(AY292=1,PR_Rent,0)))</f>
        <v>0</v>
      </c>
      <c r="BH292" s="1" t="n">
        <f aca="false">IF(C292&gt;=PR_AgeCrAge,IF(AS292&lt;=PR_AgeEx,0,MIN(BG292,PR_AgeMarg*(AS292-PR_AgeEx))),BG292)</f>
        <v>0</v>
      </c>
      <c r="BI292" s="1" t="n">
        <f aca="false">IF(F_Partner=1,MAX(0,PR_r1*MIN(AT292,PR_Band)+PR_r2*MAX(0,AT292-PR_Band)-(PR_Personal+AV292+AX292+IF(AND(AY292=1,AT292&gt;0),PR_Rent,0))),0)</f>
        <v>0</v>
      </c>
      <c r="BJ292" s="1" t="n">
        <f aca="false">IF(AG292&gt;=PR_AgeCrAge,IF(AT292&lt;=PR_AgeEx,0,MIN(BI292,PR_AgeMarg*(AT292-PR_AgeEx))),BI292)</f>
        <v>0</v>
      </c>
      <c r="BK292" s="1" t="n">
        <f aca="false">IF(F_Partner=1,IF(F_Married=1,BF292,BH292+BJ292),BH292)</f>
        <v>0</v>
      </c>
      <c r="BL292" s="1" t="n">
        <f aca="false">AL292+AN292+AO292</f>
        <v>0</v>
      </c>
      <c r="BM292" s="1" t="n">
        <f aca="false">IF(BL292&lt;=PR_USCex,0,IF(IF(AND(C292&gt;=PR_USCredAge,BL292&lt;=PR_USCredMax),1,0)=1,PR_USCr1*MIN(BL292,PR_USCredB1)+PR_USCredR2*MAX(0,BL292-PR_USCredB1),PR_USCr1*MIN(BL292,PR_USCb1)+PR_USCr2*MAX(0,MIN(BL292,PR_USCb2)-PR_USCb1)+PR_USCr3*MAX(0,MIN(BL292,PR_USCb3)-PR_USCb2)+PR_USCr4*MAX(0,BL292-PR_USCb3)))+IF(F_SelfEmp=1,PR_USCse*MAX(0,AL292-PR_USCseOver),0)</f>
        <v>0</v>
      </c>
      <c r="BN292" s="1" t="n">
        <f aca="false">AQ292</f>
        <v>0</v>
      </c>
      <c r="BO292" s="1" t="n">
        <f aca="false">IF(F_Partner=1,IF(BN292&lt;=PR_USCex,0,IF(IF(AND(AG292&gt;=PR_USCredAge,BN292&lt;=PR_USCredMax),1,0)=1,PR_USCr1*MIN(BN292,PR_USCredB1)+PR_USCredR2*MAX(0,BN292-PR_USCredB1),PR_USCr1*MIN(BN292,PR_USCb1)+PR_USCr2*MAX(0,MIN(BN292,PR_USCb2)-PR_USCb1)+PR_USCr3*MAX(0,MIN(BN292,PR_USCb3)-PR_USCb2)+PR_USCr4*MAX(0,BN292-PR_USCb3))),0)</f>
        <v>0</v>
      </c>
      <c r="BP292" s="1" t="n">
        <f aca="false">IF(C292&lt;PR_PRSIend,IF(F_SelfEmp=1,IF(AL292&gt;PR_PRSIsMinInc,MAX(PR_PRSIsMin,AL292*J292),0),IF(AL292/52&lt;=PR_PRSIfree,0,MAX(0,(AL292/52*J292-IF(AL292/52&lt;=PR_PRSIcreditTo,MAX(0,PR_PRSIcreditMax-(AL292/52-(PR_PRSIfree+0.01))/PR_PRSItaper),0))*52)))+J292*AN292+IF(AO292&gt;PR_PRSIunearned,J292*AO292,0),0)</f>
        <v>0</v>
      </c>
      <c r="BQ292" s="1" t="n">
        <f aca="false">IF(AND(F_Partner=1,AG292&lt;PR_PRSIend),IF(AQ292/52&lt;=PR_PRSIfree,0,MAX(0,(AQ292/52*J292-IF(AQ292/52&lt;=PR_PRSIcreditTo,MAX(0,PR_PRSIcreditMax-(AQ292/52-(PR_PRSIfree+0.01))/PR_PRSItaper),0))*52)),0)</f>
        <v>0</v>
      </c>
      <c r="BR292" s="1" t="n">
        <f aca="false">BK292+BM292+BO292+BP292+BQ292</f>
        <v>0</v>
      </c>
      <c r="BS292" s="1" t="n">
        <f aca="false">BR292*H292</f>
        <v>0</v>
      </c>
      <c r="BT292" s="1" t="n">
        <f aca="false">K292+AK292+AC292+AF292+AH292+AI292</f>
        <v>0</v>
      </c>
    </row>
    <row r="293" customFormat="false" ht="15" hidden="false" customHeight="true" outlineLevel="0" collapsed="false">
      <c r="B293" s="1" t="n">
        <v>59</v>
      </c>
      <c r="C293" s="1" t="n">
        <f aca="false">F_Age+B293</f>
        <v>59</v>
      </c>
      <c r="D293" s="1" t="n">
        <f aca="false">AS_Year0+B293</f>
        <v>2086</v>
      </c>
      <c r="E293" s="111" t="n">
        <f aca="false">(1+AS_Infl)^B293</f>
        <v>3.21669685133864</v>
      </c>
      <c r="F293" s="111" t="n">
        <f aca="false">(1+AS_Wage)^B293</f>
        <v>5.72000301363665</v>
      </c>
      <c r="G293" s="1" t="n">
        <f aca="false">IF(C293&lt;F_R,1,0)</f>
        <v>1</v>
      </c>
      <c r="H293" s="111" t="n">
        <f aca="false">IF(AS_Bands="flat",1,E293)</f>
        <v>3.21669685133864</v>
      </c>
      <c r="I293" s="111" t="n">
        <f aca="false">IF(AS_SpGrow="pay",F293,IF(AS_SpGrow="flat",1,E293))</f>
        <v>3.21669685133864</v>
      </c>
      <c r="J293" s="111" t="n">
        <f aca="false">(12*PR_PRSIr0+(PR_PRSIr1-PR_PRSIr0)*MAX(0,MIN(12,D293*12+12-PR_PRSIt1))+(PR_PRSIr2-PR_PRSIr1)*MAX(0,MIN(12,D293*12+12-PR_PRSIt2))+(PR_PRSIr3-PR_PRSIr2)*MAX(0,MIN(12,D293*12+12-PR_PRSIt3)))/12</f>
        <v>0.047</v>
      </c>
      <c r="K293" s="1" t="n">
        <f aca="false">IF(G293=1,F_Income*F293,0)</f>
        <v>0</v>
      </c>
      <c r="L293" s="1" t="n">
        <f aca="false">IF(G293=1,(F_Own+In_penExtra)*12*F293,0)</f>
        <v>0</v>
      </c>
      <c r="M293" s="1" t="n">
        <f aca="false">IF(G293=1,(F_PenM+In_penExtra)*12*F293,0)</f>
        <v>0</v>
      </c>
      <c r="N293" s="112" t="n">
        <f aca="false">IF(C293&lt;PR_RelA1,PR_RelP1,IF(C293&lt;PR_RelA2,PR_RelP2,IF(C293&lt;PR_RelA3,PR_RelP3,IF(C293&lt;PR_RelA4,PR_RelP4,IF(C293&lt;PR_RelA5,PR_RelP5,PR_RelP6)))))</f>
        <v>0.35</v>
      </c>
      <c r="O293" s="1" t="n">
        <f aca="false">IF(G293=1,MIN(L293/H293,N293*MIN(K293/H293,PR_EarnCap))*H293,0)</f>
        <v>0</v>
      </c>
      <c r="P293" s="1" t="n">
        <f aca="false">IF(AND(G293=1,F_AE=1),MIN(K293/H293,PR_AEcap)*H293,0)</f>
        <v>0</v>
      </c>
      <c r="Q293" s="1" t="n">
        <f aca="false">IF(G293=1,IF(WI_Retire=1,MAX(0,M293+WI_M*12),M293)+(PR_AEee+PR_AEer+PR_AEst)*P293,0)</f>
        <v>0</v>
      </c>
      <c r="R293" s="1" t="n">
        <f aca="false">L293+PR_AEee*P293</f>
        <v>0</v>
      </c>
      <c r="S293" s="1" t="n">
        <f aca="false">AD292</f>
        <v>0</v>
      </c>
      <c r="T293" s="1" t="n">
        <f aca="false">IF(D293&lt;=PR_SFTfrom,PR_SFT2026,IF(D293=PR_SFTfrom+1,PR_SFT2027,IF(D293=PR_SFTfrom+2,PR_SFT2028,IF(D293&lt;=PR_SFTto,PR_SFT2029,PR_SFT2029*(1+AS_Infl)^(D293-PR_SFTto)))))</f>
        <v>8657008.05819704</v>
      </c>
      <c r="U293" s="1" t="n">
        <f aca="false">IF(AND(G293=0,C293=F_V),1,0)</f>
        <v>0</v>
      </c>
      <c r="V293" s="1" t="n">
        <f aca="false">IF(U293=1,PR_SFTrate*MAX(0,S293-T293),0)</f>
        <v>0</v>
      </c>
      <c r="W293" s="1" t="n">
        <f aca="false">S293-V293</f>
        <v>0</v>
      </c>
      <c r="X293" s="1" t="n">
        <f aca="false">IF(AND(U293=1,AS_LumpPct&gt;0),W293*MIN(AS_LumpPct,PR_LSmax),0)</f>
        <v>0</v>
      </c>
      <c r="Y293" s="1" t="n">
        <f aca="false">X293-(PR_LSrate*MAX(0,MIN(X293,PR_LScap)-PR_LSfree)+PR_r2*MAX(0,X293-PR_LScap))</f>
        <v>0</v>
      </c>
      <c r="Z293" s="1" t="n">
        <f aca="false">W293-X293</f>
        <v>0</v>
      </c>
      <c r="AA293" s="112" t="n">
        <f aca="false">IF(C293&gt;=PR_ARFage1,IF(Z293&gt;PR_ARFbig,PR_ARFbigRate,IF(C293&gt;=PR_ARFage2,PR_ARF71,PR_ARF61)),0)</f>
        <v>0</v>
      </c>
      <c r="AB293" s="1" t="n">
        <f aca="false">IF(AS_DrawRule="min",Z293*AA293,IF(AS_DrawRule="fixed",MAX(AS_DrawFixed*E293,Z293*AA293),Z293*MAX(1/MAX(1,AS_End-C293+1),AA293)))</f>
        <v>0</v>
      </c>
      <c r="AC293" s="1" t="n">
        <f aca="false">IF(AND(G293=0,C293&gt;=F_V),MIN(Z293,AB293),0)</f>
        <v>0</v>
      </c>
      <c r="AD293" s="1" t="n">
        <f aca="false">IF(G293=1,S293*(1+F_PenG)+Q293,IF(C293&lt;F_V,S293*(1+F_PenG),(Z293-AC293)*(1+AS_PenRet)))</f>
        <v>0</v>
      </c>
      <c r="AE293" s="1" t="n">
        <f aca="false">IF(C293&gt;=PR_SPage,AS_SP*F_SpF*I293+IF(AND(C293&gt;=PR_Over80Age,F_SpF&gt;0),PR_Over80*PR_Weeks*I293,0),0)</f>
        <v>0</v>
      </c>
      <c r="AF293" s="1" t="n">
        <f aca="false">(F_OtherM+F_RentM)*12*E293</f>
        <v>0</v>
      </c>
      <c r="AG293" s="1" t="n">
        <f aca="false">F_PAge+B293</f>
        <v>59</v>
      </c>
      <c r="AH293" s="1" t="n">
        <f aca="false">IF(AND(F_Partner=1,F_PAge&gt;0,AG293&lt;IF(F_PRet&gt;0,F_PRet,PR_SPage)),F_PIncome*F293,0)</f>
        <v>0</v>
      </c>
      <c r="AI293" s="1" t="n">
        <f aca="false">IF(AND(F_Partner=1,AG293&gt;=PR_SPage,F_PSpQA=0),AS_SP*F_PSpF*I293,0)</f>
        <v>0</v>
      </c>
      <c r="AJ293" s="1" t="n">
        <f aca="false">IF(AND(F_Partner=1,F_PSpQA=1,C293&gt;=PR_SPage,AH293=0),IF(AG293&gt;=PR_SPage,PR_QA66,PR_QAunder)*PR_Weeks*I293,0)</f>
        <v>0</v>
      </c>
      <c r="AK293" s="1" t="n">
        <f aca="false">AE293+AJ293</f>
        <v>0</v>
      </c>
      <c r="AL293" s="1" t="n">
        <f aca="false">K293/H293</f>
        <v>0</v>
      </c>
      <c r="AM293" s="1" t="n">
        <f aca="false">AK293/H293</f>
        <v>0</v>
      </c>
      <c r="AN293" s="1" t="n">
        <f aca="false">AC293/H293</f>
        <v>0</v>
      </c>
      <c r="AO293" s="1" t="n">
        <f aca="false">AF293/H293</f>
        <v>0</v>
      </c>
      <c r="AP293" s="1" t="n">
        <f aca="false">O293/H293</f>
        <v>0</v>
      </c>
      <c r="AQ293" s="1" t="n">
        <f aca="false">AH293/H293</f>
        <v>0</v>
      </c>
      <c r="AR293" s="1" t="n">
        <f aca="false">AI293/H293</f>
        <v>0</v>
      </c>
      <c r="AS293" s="1" t="n">
        <f aca="false">MAX(0,AL293+AN293+AO293+AM293-AP293)</f>
        <v>0</v>
      </c>
      <c r="AT293" s="1" t="n">
        <f aca="false">MAX(0,AQ293+AR293)</f>
        <v>0</v>
      </c>
      <c r="AU293" s="1" t="n">
        <f aca="false">MIN(PR_PAYE,PR_PAYEcap*(AL293+AN293+AM293))</f>
        <v>0</v>
      </c>
      <c r="AV293" s="1" t="n">
        <f aca="false">MIN(PR_PAYE,PR_PAYEcap*(AQ293+AR293))</f>
        <v>0</v>
      </c>
      <c r="AW293" s="1" t="n">
        <f aca="false">IF(C293&gt;=PR_AgeCrAge,PR_AgeCr,0)</f>
        <v>0</v>
      </c>
      <c r="AX293" s="1" t="n">
        <f aca="false">IF(AG293&gt;=PR_AgeCrAge,PR_AgeCr,0)</f>
        <v>0</v>
      </c>
      <c r="AY293" s="1" t="n">
        <f aca="false">IF(AND(F_RentCred=1,D293&lt;=PR_RentLast),1,0)</f>
        <v>0</v>
      </c>
      <c r="AZ293" s="1" t="n">
        <f aca="false">AS293+AT293</f>
        <v>0</v>
      </c>
      <c r="BA293" s="1" t="n">
        <f aca="false">PR_PersonalM+AU293+AV293+AW293+AX293+IF(AY293=1,PR_RentJoint,0)</f>
        <v>4000</v>
      </c>
      <c r="BB293" s="1" t="n">
        <f aca="false">PR_BandM+MIN(MIN(AS293,AT293),PR_Uplift)</f>
        <v>53000</v>
      </c>
      <c r="BC293" s="1" t="n">
        <f aca="false">MAX(0,PR_r1*MIN(AZ293,BB293)+PR_r2*MAX(0,AZ293-BB293)-BA293)</f>
        <v>0</v>
      </c>
      <c r="BD293" s="1" t="n">
        <f aca="false">MAX(0,PR_HomeCarer-MAX(0,MIN(AS293,AT293)-PR_HCLimit)/2)</f>
        <v>1950</v>
      </c>
      <c r="BE293" s="1" t="n">
        <f aca="false">IF(F_Carer=1,MIN(BC293,MAX(0,PR_r1*MIN(AZ293,PR_BandM)+PR_r2*MAX(0,AZ293-PR_BandM)-BA293-BD293)),BC293)</f>
        <v>0</v>
      </c>
      <c r="BF293" s="1" t="n">
        <f aca="false">IF(OR(C293&gt;=PR_AgeCrAge,AG293&gt;=PR_AgeCrAge),IF(AZ293&lt;=PR_AgeExM,0,MIN(BE293,PR_AgeMarg*(AZ293-PR_AgeExM))),BE293)</f>
        <v>0</v>
      </c>
      <c r="BG293" s="1" t="n">
        <f aca="false">MAX(0,PR_r1*MIN(AS293,IF(F_Spccc=1,PR_BandSPCCC,PR_Band))+PR_r2*MAX(0,AS293-IF(F_Spccc=1,PR_BandSPCCC,PR_Band))-(PR_Personal+AU293+AW293+IF(F_Spccc=1,PR_SPCCC,0)+IF(AY293=1,PR_Rent,0)))</f>
        <v>0</v>
      </c>
      <c r="BH293" s="1" t="n">
        <f aca="false">IF(C293&gt;=PR_AgeCrAge,IF(AS293&lt;=PR_AgeEx,0,MIN(BG293,PR_AgeMarg*(AS293-PR_AgeEx))),BG293)</f>
        <v>0</v>
      </c>
      <c r="BI293" s="1" t="n">
        <f aca="false">IF(F_Partner=1,MAX(0,PR_r1*MIN(AT293,PR_Band)+PR_r2*MAX(0,AT293-PR_Band)-(PR_Personal+AV293+AX293+IF(AND(AY293=1,AT293&gt;0),PR_Rent,0))),0)</f>
        <v>0</v>
      </c>
      <c r="BJ293" s="1" t="n">
        <f aca="false">IF(AG293&gt;=PR_AgeCrAge,IF(AT293&lt;=PR_AgeEx,0,MIN(BI293,PR_AgeMarg*(AT293-PR_AgeEx))),BI293)</f>
        <v>0</v>
      </c>
      <c r="BK293" s="1" t="n">
        <f aca="false">IF(F_Partner=1,IF(F_Married=1,BF293,BH293+BJ293),BH293)</f>
        <v>0</v>
      </c>
      <c r="BL293" s="1" t="n">
        <f aca="false">AL293+AN293+AO293</f>
        <v>0</v>
      </c>
      <c r="BM293" s="1" t="n">
        <f aca="false">IF(BL293&lt;=PR_USCex,0,IF(IF(AND(C293&gt;=PR_USCredAge,BL293&lt;=PR_USCredMax),1,0)=1,PR_USCr1*MIN(BL293,PR_USCredB1)+PR_USCredR2*MAX(0,BL293-PR_USCredB1),PR_USCr1*MIN(BL293,PR_USCb1)+PR_USCr2*MAX(0,MIN(BL293,PR_USCb2)-PR_USCb1)+PR_USCr3*MAX(0,MIN(BL293,PR_USCb3)-PR_USCb2)+PR_USCr4*MAX(0,BL293-PR_USCb3)))+IF(F_SelfEmp=1,PR_USCse*MAX(0,AL293-PR_USCseOver),0)</f>
        <v>0</v>
      </c>
      <c r="BN293" s="1" t="n">
        <f aca="false">AQ293</f>
        <v>0</v>
      </c>
      <c r="BO293" s="1" t="n">
        <f aca="false">IF(F_Partner=1,IF(BN293&lt;=PR_USCex,0,IF(IF(AND(AG293&gt;=PR_USCredAge,BN293&lt;=PR_USCredMax),1,0)=1,PR_USCr1*MIN(BN293,PR_USCredB1)+PR_USCredR2*MAX(0,BN293-PR_USCredB1),PR_USCr1*MIN(BN293,PR_USCb1)+PR_USCr2*MAX(0,MIN(BN293,PR_USCb2)-PR_USCb1)+PR_USCr3*MAX(0,MIN(BN293,PR_USCb3)-PR_USCb2)+PR_USCr4*MAX(0,BN293-PR_USCb3))),0)</f>
        <v>0</v>
      </c>
      <c r="BP293" s="1" t="n">
        <f aca="false">IF(C293&lt;PR_PRSIend,IF(F_SelfEmp=1,IF(AL293&gt;PR_PRSIsMinInc,MAX(PR_PRSIsMin,AL293*J293),0),IF(AL293/52&lt;=PR_PRSIfree,0,MAX(0,(AL293/52*J293-IF(AL293/52&lt;=PR_PRSIcreditTo,MAX(0,PR_PRSIcreditMax-(AL293/52-(PR_PRSIfree+0.01))/PR_PRSItaper),0))*52)))+J293*AN293+IF(AO293&gt;PR_PRSIunearned,J293*AO293,0),0)</f>
        <v>0</v>
      </c>
      <c r="BQ293" s="1" t="n">
        <f aca="false">IF(AND(F_Partner=1,AG293&lt;PR_PRSIend),IF(AQ293/52&lt;=PR_PRSIfree,0,MAX(0,(AQ293/52*J293-IF(AQ293/52&lt;=PR_PRSIcreditTo,MAX(0,PR_PRSIcreditMax-(AQ293/52-(PR_PRSIfree+0.01))/PR_PRSItaper),0))*52)),0)</f>
        <v>0</v>
      </c>
      <c r="BR293" s="1" t="n">
        <f aca="false">BK293+BM293+BO293+BP293+BQ293</f>
        <v>0</v>
      </c>
      <c r="BS293" s="1" t="n">
        <f aca="false">BR293*H293</f>
        <v>0</v>
      </c>
      <c r="BT293" s="1" t="n">
        <f aca="false">K293+AK293+AC293+AF293+AH293+AI293</f>
        <v>0</v>
      </c>
    </row>
    <row r="294" customFormat="false" ht="15" hidden="false" customHeight="true" outlineLevel="0" collapsed="false">
      <c r="B294" s="1" t="n">
        <v>60</v>
      </c>
      <c r="C294" s="1" t="n">
        <f aca="false">F_Age+B294</f>
        <v>60</v>
      </c>
      <c r="D294" s="1" t="n">
        <f aca="false">AS_Year0+B294</f>
        <v>2087</v>
      </c>
      <c r="E294" s="111" t="n">
        <f aca="false">(1+AS_Infl)^B294</f>
        <v>3.28103078836541</v>
      </c>
      <c r="F294" s="111" t="n">
        <f aca="false">(1+AS_Wage)^B294</f>
        <v>5.89160310404575</v>
      </c>
      <c r="G294" s="1" t="n">
        <f aca="false">IF(C294&lt;F_R,1,0)</f>
        <v>1</v>
      </c>
      <c r="H294" s="111" t="n">
        <f aca="false">IF(AS_Bands="flat",1,E294)</f>
        <v>3.28103078836541</v>
      </c>
      <c r="I294" s="111" t="n">
        <f aca="false">IF(AS_SpGrow="pay",F294,IF(AS_SpGrow="flat",1,E294))</f>
        <v>3.28103078836541</v>
      </c>
      <c r="J294" s="111" t="n">
        <f aca="false">(12*PR_PRSIr0+(PR_PRSIr1-PR_PRSIr0)*MAX(0,MIN(12,D294*12+12-PR_PRSIt1))+(PR_PRSIr2-PR_PRSIr1)*MAX(0,MIN(12,D294*12+12-PR_PRSIt2))+(PR_PRSIr3-PR_PRSIr2)*MAX(0,MIN(12,D294*12+12-PR_PRSIt3)))/12</f>
        <v>0.047</v>
      </c>
      <c r="K294" s="1" t="n">
        <f aca="false">IF(G294=1,F_Income*F294,0)</f>
        <v>0</v>
      </c>
      <c r="L294" s="1" t="n">
        <f aca="false">IF(G294=1,(F_Own+In_penExtra)*12*F294,0)</f>
        <v>0</v>
      </c>
      <c r="M294" s="1" t="n">
        <f aca="false">IF(G294=1,(F_PenM+In_penExtra)*12*F294,0)</f>
        <v>0</v>
      </c>
      <c r="N294" s="112" t="n">
        <f aca="false">IF(C294&lt;PR_RelA1,PR_RelP1,IF(C294&lt;PR_RelA2,PR_RelP2,IF(C294&lt;PR_RelA3,PR_RelP3,IF(C294&lt;PR_RelA4,PR_RelP4,IF(C294&lt;PR_RelA5,PR_RelP5,PR_RelP6)))))</f>
        <v>0.4</v>
      </c>
      <c r="O294" s="1" t="n">
        <f aca="false">IF(G294=1,MIN(L294/H294,N294*MIN(K294/H294,PR_EarnCap))*H294,0)</f>
        <v>0</v>
      </c>
      <c r="P294" s="1" t="n">
        <f aca="false">IF(AND(G294=1,F_AE=1),MIN(K294/H294,PR_AEcap)*H294,0)</f>
        <v>0</v>
      </c>
      <c r="Q294" s="1" t="n">
        <f aca="false">IF(G294=1,IF(WI_Retire=1,MAX(0,M294+WI_M*12),M294)+(PR_AEee+PR_AEer+PR_AEst)*P294,0)</f>
        <v>0</v>
      </c>
      <c r="R294" s="1" t="n">
        <f aca="false">L294+PR_AEee*P294</f>
        <v>0</v>
      </c>
      <c r="S294" s="1" t="n">
        <f aca="false">AD293</f>
        <v>0</v>
      </c>
      <c r="T294" s="1" t="n">
        <f aca="false">IF(D294&lt;=PR_SFTfrom,PR_SFT2026,IF(D294=PR_SFTfrom+1,PR_SFT2027,IF(D294=PR_SFTfrom+2,PR_SFT2028,IF(D294&lt;=PR_SFTto,PR_SFT2029,PR_SFT2029*(1+AS_Infl)^(D294-PR_SFTto)))))</f>
        <v>8830148.21936098</v>
      </c>
      <c r="U294" s="1" t="n">
        <f aca="false">IF(AND(G294=0,C294=F_V),1,0)</f>
        <v>0</v>
      </c>
      <c r="V294" s="1" t="n">
        <f aca="false">IF(U294=1,PR_SFTrate*MAX(0,S294-T294),0)</f>
        <v>0</v>
      </c>
      <c r="W294" s="1" t="n">
        <f aca="false">S294-V294</f>
        <v>0</v>
      </c>
      <c r="X294" s="1" t="n">
        <f aca="false">IF(AND(U294=1,AS_LumpPct&gt;0),W294*MIN(AS_LumpPct,PR_LSmax),0)</f>
        <v>0</v>
      </c>
      <c r="Y294" s="1" t="n">
        <f aca="false">X294-(PR_LSrate*MAX(0,MIN(X294,PR_LScap)-PR_LSfree)+PR_r2*MAX(0,X294-PR_LScap))</f>
        <v>0</v>
      </c>
      <c r="Z294" s="1" t="n">
        <f aca="false">W294-X294</f>
        <v>0</v>
      </c>
      <c r="AA294" s="112" t="n">
        <f aca="false">IF(C294&gt;=PR_ARFage1,IF(Z294&gt;PR_ARFbig,PR_ARFbigRate,IF(C294&gt;=PR_ARFage2,PR_ARF71,PR_ARF61)),0)</f>
        <v>0</v>
      </c>
      <c r="AB294" s="1" t="n">
        <f aca="false">IF(AS_DrawRule="min",Z294*AA294,IF(AS_DrawRule="fixed",MAX(AS_DrawFixed*E294,Z294*AA294),Z294*MAX(1/MAX(1,AS_End-C294+1),AA294)))</f>
        <v>0</v>
      </c>
      <c r="AC294" s="1" t="n">
        <f aca="false">IF(AND(G294=0,C294&gt;=F_V),MIN(Z294,AB294),0)</f>
        <v>0</v>
      </c>
      <c r="AD294" s="1" t="n">
        <f aca="false">IF(G294=1,S294*(1+F_PenG)+Q294,IF(C294&lt;F_V,S294*(1+F_PenG),(Z294-AC294)*(1+AS_PenRet)))</f>
        <v>0</v>
      </c>
      <c r="AE294" s="1" t="n">
        <f aca="false">IF(C294&gt;=PR_SPage,AS_SP*F_SpF*I294+IF(AND(C294&gt;=PR_Over80Age,F_SpF&gt;0),PR_Over80*PR_Weeks*I294,0),0)</f>
        <v>0</v>
      </c>
      <c r="AF294" s="1" t="n">
        <f aca="false">(F_OtherM+F_RentM)*12*E294</f>
        <v>0</v>
      </c>
      <c r="AG294" s="1" t="n">
        <f aca="false">F_PAge+B294</f>
        <v>60</v>
      </c>
      <c r="AH294" s="1" t="n">
        <f aca="false">IF(AND(F_Partner=1,F_PAge&gt;0,AG294&lt;IF(F_PRet&gt;0,F_PRet,PR_SPage)),F_PIncome*F294,0)</f>
        <v>0</v>
      </c>
      <c r="AI294" s="1" t="n">
        <f aca="false">IF(AND(F_Partner=1,AG294&gt;=PR_SPage,F_PSpQA=0),AS_SP*F_PSpF*I294,0)</f>
        <v>0</v>
      </c>
      <c r="AJ294" s="1" t="n">
        <f aca="false">IF(AND(F_Partner=1,F_PSpQA=1,C294&gt;=PR_SPage,AH294=0),IF(AG294&gt;=PR_SPage,PR_QA66,PR_QAunder)*PR_Weeks*I294,0)</f>
        <v>0</v>
      </c>
      <c r="AK294" s="1" t="n">
        <f aca="false">AE294+AJ294</f>
        <v>0</v>
      </c>
      <c r="AL294" s="1" t="n">
        <f aca="false">K294/H294</f>
        <v>0</v>
      </c>
      <c r="AM294" s="1" t="n">
        <f aca="false">AK294/H294</f>
        <v>0</v>
      </c>
      <c r="AN294" s="1" t="n">
        <f aca="false">AC294/H294</f>
        <v>0</v>
      </c>
      <c r="AO294" s="1" t="n">
        <f aca="false">AF294/H294</f>
        <v>0</v>
      </c>
      <c r="AP294" s="1" t="n">
        <f aca="false">O294/H294</f>
        <v>0</v>
      </c>
      <c r="AQ294" s="1" t="n">
        <f aca="false">AH294/H294</f>
        <v>0</v>
      </c>
      <c r="AR294" s="1" t="n">
        <f aca="false">AI294/H294</f>
        <v>0</v>
      </c>
      <c r="AS294" s="1" t="n">
        <f aca="false">MAX(0,AL294+AN294+AO294+AM294-AP294)</f>
        <v>0</v>
      </c>
      <c r="AT294" s="1" t="n">
        <f aca="false">MAX(0,AQ294+AR294)</f>
        <v>0</v>
      </c>
      <c r="AU294" s="1" t="n">
        <f aca="false">MIN(PR_PAYE,PR_PAYEcap*(AL294+AN294+AM294))</f>
        <v>0</v>
      </c>
      <c r="AV294" s="1" t="n">
        <f aca="false">MIN(PR_PAYE,PR_PAYEcap*(AQ294+AR294))</f>
        <v>0</v>
      </c>
      <c r="AW294" s="1" t="n">
        <f aca="false">IF(C294&gt;=PR_AgeCrAge,PR_AgeCr,0)</f>
        <v>0</v>
      </c>
      <c r="AX294" s="1" t="n">
        <f aca="false">IF(AG294&gt;=PR_AgeCrAge,PR_AgeCr,0)</f>
        <v>0</v>
      </c>
      <c r="AY294" s="1" t="n">
        <f aca="false">IF(AND(F_RentCred=1,D294&lt;=PR_RentLast),1,0)</f>
        <v>0</v>
      </c>
      <c r="AZ294" s="1" t="n">
        <f aca="false">AS294+AT294</f>
        <v>0</v>
      </c>
      <c r="BA294" s="1" t="n">
        <f aca="false">PR_PersonalM+AU294+AV294+AW294+AX294+IF(AY294=1,PR_RentJoint,0)</f>
        <v>4000</v>
      </c>
      <c r="BB294" s="1" t="n">
        <f aca="false">PR_BandM+MIN(MIN(AS294,AT294),PR_Uplift)</f>
        <v>53000</v>
      </c>
      <c r="BC294" s="1" t="n">
        <f aca="false">MAX(0,PR_r1*MIN(AZ294,BB294)+PR_r2*MAX(0,AZ294-BB294)-BA294)</f>
        <v>0</v>
      </c>
      <c r="BD294" s="1" t="n">
        <f aca="false">MAX(0,PR_HomeCarer-MAX(0,MIN(AS294,AT294)-PR_HCLimit)/2)</f>
        <v>1950</v>
      </c>
      <c r="BE294" s="1" t="n">
        <f aca="false">IF(F_Carer=1,MIN(BC294,MAX(0,PR_r1*MIN(AZ294,PR_BandM)+PR_r2*MAX(0,AZ294-PR_BandM)-BA294-BD294)),BC294)</f>
        <v>0</v>
      </c>
      <c r="BF294" s="1" t="n">
        <f aca="false">IF(OR(C294&gt;=PR_AgeCrAge,AG294&gt;=PR_AgeCrAge),IF(AZ294&lt;=PR_AgeExM,0,MIN(BE294,PR_AgeMarg*(AZ294-PR_AgeExM))),BE294)</f>
        <v>0</v>
      </c>
      <c r="BG294" s="1" t="n">
        <f aca="false">MAX(0,PR_r1*MIN(AS294,IF(F_Spccc=1,PR_BandSPCCC,PR_Band))+PR_r2*MAX(0,AS294-IF(F_Spccc=1,PR_BandSPCCC,PR_Band))-(PR_Personal+AU294+AW294+IF(F_Spccc=1,PR_SPCCC,0)+IF(AY294=1,PR_Rent,0)))</f>
        <v>0</v>
      </c>
      <c r="BH294" s="1" t="n">
        <f aca="false">IF(C294&gt;=PR_AgeCrAge,IF(AS294&lt;=PR_AgeEx,0,MIN(BG294,PR_AgeMarg*(AS294-PR_AgeEx))),BG294)</f>
        <v>0</v>
      </c>
      <c r="BI294" s="1" t="n">
        <f aca="false">IF(F_Partner=1,MAX(0,PR_r1*MIN(AT294,PR_Band)+PR_r2*MAX(0,AT294-PR_Band)-(PR_Personal+AV294+AX294+IF(AND(AY294=1,AT294&gt;0),PR_Rent,0))),0)</f>
        <v>0</v>
      </c>
      <c r="BJ294" s="1" t="n">
        <f aca="false">IF(AG294&gt;=PR_AgeCrAge,IF(AT294&lt;=PR_AgeEx,0,MIN(BI294,PR_AgeMarg*(AT294-PR_AgeEx))),BI294)</f>
        <v>0</v>
      </c>
      <c r="BK294" s="1" t="n">
        <f aca="false">IF(F_Partner=1,IF(F_Married=1,BF294,BH294+BJ294),BH294)</f>
        <v>0</v>
      </c>
      <c r="BL294" s="1" t="n">
        <f aca="false">AL294+AN294+AO294</f>
        <v>0</v>
      </c>
      <c r="BM294" s="1" t="n">
        <f aca="false">IF(BL294&lt;=PR_USCex,0,IF(IF(AND(C294&gt;=PR_USCredAge,BL294&lt;=PR_USCredMax),1,0)=1,PR_USCr1*MIN(BL294,PR_USCredB1)+PR_USCredR2*MAX(0,BL294-PR_USCredB1),PR_USCr1*MIN(BL294,PR_USCb1)+PR_USCr2*MAX(0,MIN(BL294,PR_USCb2)-PR_USCb1)+PR_USCr3*MAX(0,MIN(BL294,PR_USCb3)-PR_USCb2)+PR_USCr4*MAX(0,BL294-PR_USCb3)))+IF(F_SelfEmp=1,PR_USCse*MAX(0,AL294-PR_USCseOver),0)</f>
        <v>0</v>
      </c>
      <c r="BN294" s="1" t="n">
        <f aca="false">AQ294</f>
        <v>0</v>
      </c>
      <c r="BO294" s="1" t="n">
        <f aca="false">IF(F_Partner=1,IF(BN294&lt;=PR_USCex,0,IF(IF(AND(AG294&gt;=PR_USCredAge,BN294&lt;=PR_USCredMax),1,0)=1,PR_USCr1*MIN(BN294,PR_USCredB1)+PR_USCredR2*MAX(0,BN294-PR_USCredB1),PR_USCr1*MIN(BN294,PR_USCb1)+PR_USCr2*MAX(0,MIN(BN294,PR_USCb2)-PR_USCb1)+PR_USCr3*MAX(0,MIN(BN294,PR_USCb3)-PR_USCb2)+PR_USCr4*MAX(0,BN294-PR_USCb3))),0)</f>
        <v>0</v>
      </c>
      <c r="BP294" s="1" t="n">
        <f aca="false">IF(C294&lt;PR_PRSIend,IF(F_SelfEmp=1,IF(AL294&gt;PR_PRSIsMinInc,MAX(PR_PRSIsMin,AL294*J294),0),IF(AL294/52&lt;=PR_PRSIfree,0,MAX(0,(AL294/52*J294-IF(AL294/52&lt;=PR_PRSIcreditTo,MAX(0,PR_PRSIcreditMax-(AL294/52-(PR_PRSIfree+0.01))/PR_PRSItaper),0))*52)))+J294*AN294+IF(AO294&gt;PR_PRSIunearned,J294*AO294,0),0)</f>
        <v>0</v>
      </c>
      <c r="BQ294" s="1" t="n">
        <f aca="false">IF(AND(F_Partner=1,AG294&lt;PR_PRSIend),IF(AQ294/52&lt;=PR_PRSIfree,0,MAX(0,(AQ294/52*J294-IF(AQ294/52&lt;=PR_PRSIcreditTo,MAX(0,PR_PRSIcreditMax-(AQ294/52-(PR_PRSIfree+0.01))/PR_PRSItaper),0))*52)),0)</f>
        <v>0</v>
      </c>
      <c r="BR294" s="1" t="n">
        <f aca="false">BK294+BM294+BO294+BP294+BQ294</f>
        <v>0</v>
      </c>
      <c r="BS294" s="1" t="n">
        <f aca="false">BR294*H294</f>
        <v>0</v>
      </c>
      <c r="BT294" s="1" t="n">
        <f aca="false">K294+AK294+AC294+AF294+AH294+AI294</f>
        <v>0</v>
      </c>
    </row>
    <row r="295" customFormat="false" ht="15" hidden="false" customHeight="true" outlineLevel="0" collapsed="false">
      <c r="B295" s="1" t="n">
        <v>61</v>
      </c>
      <c r="C295" s="1" t="n">
        <f aca="false">F_Age+B295</f>
        <v>61</v>
      </c>
      <c r="D295" s="1" t="n">
        <f aca="false">AS_Year0+B295</f>
        <v>2088</v>
      </c>
      <c r="E295" s="111" t="n">
        <f aca="false">(1+AS_Infl)^B295</f>
        <v>3.34665140413272</v>
      </c>
      <c r="F295" s="111" t="n">
        <f aca="false">(1+AS_Wage)^B295</f>
        <v>6.06835119716712</v>
      </c>
      <c r="G295" s="1" t="n">
        <f aca="false">IF(C295&lt;F_R,1,0)</f>
        <v>1</v>
      </c>
      <c r="H295" s="111" t="n">
        <f aca="false">IF(AS_Bands="flat",1,E295)</f>
        <v>3.34665140413272</v>
      </c>
      <c r="I295" s="111" t="n">
        <f aca="false">IF(AS_SpGrow="pay",F295,IF(AS_SpGrow="flat",1,E295))</f>
        <v>3.34665140413272</v>
      </c>
      <c r="J295" s="111" t="n">
        <f aca="false">(12*PR_PRSIr0+(PR_PRSIr1-PR_PRSIr0)*MAX(0,MIN(12,D295*12+12-PR_PRSIt1))+(PR_PRSIr2-PR_PRSIr1)*MAX(0,MIN(12,D295*12+12-PR_PRSIt2))+(PR_PRSIr3-PR_PRSIr2)*MAX(0,MIN(12,D295*12+12-PR_PRSIt3)))/12</f>
        <v>0.047</v>
      </c>
      <c r="K295" s="1" t="n">
        <f aca="false">IF(G295=1,F_Income*F295,0)</f>
        <v>0</v>
      </c>
      <c r="L295" s="1" t="n">
        <f aca="false">IF(G295=1,(F_Own+In_penExtra)*12*F295,0)</f>
        <v>0</v>
      </c>
      <c r="M295" s="1" t="n">
        <f aca="false">IF(G295=1,(F_PenM+In_penExtra)*12*F295,0)</f>
        <v>0</v>
      </c>
      <c r="N295" s="112" t="n">
        <f aca="false">IF(C295&lt;PR_RelA1,PR_RelP1,IF(C295&lt;PR_RelA2,PR_RelP2,IF(C295&lt;PR_RelA3,PR_RelP3,IF(C295&lt;PR_RelA4,PR_RelP4,IF(C295&lt;PR_RelA5,PR_RelP5,PR_RelP6)))))</f>
        <v>0.4</v>
      </c>
      <c r="O295" s="1" t="n">
        <f aca="false">IF(G295=1,MIN(L295/H295,N295*MIN(K295/H295,PR_EarnCap))*H295,0)</f>
        <v>0</v>
      </c>
      <c r="P295" s="1" t="n">
        <f aca="false">IF(AND(G295=1,F_AE=1),MIN(K295/H295,PR_AEcap)*H295,0)</f>
        <v>0</v>
      </c>
      <c r="Q295" s="1" t="n">
        <f aca="false">IF(G295=1,IF(WI_Retire=1,MAX(0,M295+WI_M*12),M295)+(PR_AEee+PR_AEer+PR_AEst)*P295,0)</f>
        <v>0</v>
      </c>
      <c r="R295" s="1" t="n">
        <f aca="false">L295+PR_AEee*P295</f>
        <v>0</v>
      </c>
      <c r="S295" s="1" t="n">
        <f aca="false">AD294</f>
        <v>0</v>
      </c>
      <c r="T295" s="1" t="n">
        <f aca="false">IF(D295&lt;=PR_SFTfrom,PR_SFT2026,IF(D295=PR_SFTfrom+1,PR_SFT2027,IF(D295=PR_SFTfrom+2,PR_SFT2028,IF(D295&lt;=PR_SFTto,PR_SFT2029,PR_SFT2029*(1+AS_Infl)^(D295-PR_SFTto)))))</f>
        <v>9006751.1837482</v>
      </c>
      <c r="U295" s="1" t="n">
        <f aca="false">IF(AND(G295=0,C295=F_V),1,0)</f>
        <v>0</v>
      </c>
      <c r="V295" s="1" t="n">
        <f aca="false">IF(U295=1,PR_SFTrate*MAX(0,S295-T295),0)</f>
        <v>0</v>
      </c>
      <c r="W295" s="1" t="n">
        <f aca="false">S295-V295</f>
        <v>0</v>
      </c>
      <c r="X295" s="1" t="n">
        <f aca="false">IF(AND(U295=1,AS_LumpPct&gt;0),W295*MIN(AS_LumpPct,PR_LSmax),0)</f>
        <v>0</v>
      </c>
      <c r="Y295" s="1" t="n">
        <f aca="false">X295-(PR_LSrate*MAX(0,MIN(X295,PR_LScap)-PR_LSfree)+PR_r2*MAX(0,X295-PR_LScap))</f>
        <v>0</v>
      </c>
      <c r="Z295" s="1" t="n">
        <f aca="false">W295-X295</f>
        <v>0</v>
      </c>
      <c r="AA295" s="112" t="n">
        <f aca="false">IF(C295&gt;=PR_ARFage1,IF(Z295&gt;PR_ARFbig,PR_ARFbigRate,IF(C295&gt;=PR_ARFage2,PR_ARF71,PR_ARF61)),0)</f>
        <v>0.04</v>
      </c>
      <c r="AB295" s="1" t="n">
        <f aca="false">IF(AS_DrawRule="min",Z295*AA295,IF(AS_DrawRule="fixed",MAX(AS_DrawFixed*E295,Z295*AA295),Z295*MAX(1/MAX(1,AS_End-C295+1),AA295)))</f>
        <v>0</v>
      </c>
      <c r="AC295" s="1" t="n">
        <f aca="false">IF(AND(G295=0,C295&gt;=F_V),MIN(Z295,AB295),0)</f>
        <v>0</v>
      </c>
      <c r="AD295" s="1" t="n">
        <f aca="false">IF(G295=1,S295*(1+F_PenG)+Q295,IF(C295&lt;F_V,S295*(1+F_PenG),(Z295-AC295)*(1+AS_PenRet)))</f>
        <v>0</v>
      </c>
      <c r="AE295" s="1" t="n">
        <f aca="false">IF(C295&gt;=PR_SPage,AS_SP*F_SpF*I295+IF(AND(C295&gt;=PR_Over80Age,F_SpF&gt;0),PR_Over80*PR_Weeks*I295,0),0)</f>
        <v>0</v>
      </c>
      <c r="AF295" s="1" t="n">
        <f aca="false">(F_OtherM+F_RentM)*12*E295</f>
        <v>0</v>
      </c>
      <c r="AG295" s="1" t="n">
        <f aca="false">F_PAge+B295</f>
        <v>61</v>
      </c>
      <c r="AH295" s="1" t="n">
        <f aca="false">IF(AND(F_Partner=1,F_PAge&gt;0,AG295&lt;IF(F_PRet&gt;0,F_PRet,PR_SPage)),F_PIncome*F295,0)</f>
        <v>0</v>
      </c>
      <c r="AI295" s="1" t="n">
        <f aca="false">IF(AND(F_Partner=1,AG295&gt;=PR_SPage,F_PSpQA=0),AS_SP*F_PSpF*I295,0)</f>
        <v>0</v>
      </c>
      <c r="AJ295" s="1" t="n">
        <f aca="false">IF(AND(F_Partner=1,F_PSpQA=1,C295&gt;=PR_SPage,AH295=0),IF(AG295&gt;=PR_SPage,PR_QA66,PR_QAunder)*PR_Weeks*I295,0)</f>
        <v>0</v>
      </c>
      <c r="AK295" s="1" t="n">
        <f aca="false">AE295+AJ295</f>
        <v>0</v>
      </c>
      <c r="AL295" s="1" t="n">
        <f aca="false">K295/H295</f>
        <v>0</v>
      </c>
      <c r="AM295" s="1" t="n">
        <f aca="false">AK295/H295</f>
        <v>0</v>
      </c>
      <c r="AN295" s="1" t="n">
        <f aca="false">AC295/H295</f>
        <v>0</v>
      </c>
      <c r="AO295" s="1" t="n">
        <f aca="false">AF295/H295</f>
        <v>0</v>
      </c>
      <c r="AP295" s="1" t="n">
        <f aca="false">O295/H295</f>
        <v>0</v>
      </c>
      <c r="AQ295" s="1" t="n">
        <f aca="false">AH295/H295</f>
        <v>0</v>
      </c>
      <c r="AR295" s="1" t="n">
        <f aca="false">AI295/H295</f>
        <v>0</v>
      </c>
      <c r="AS295" s="1" t="n">
        <f aca="false">MAX(0,AL295+AN295+AO295+AM295-AP295)</f>
        <v>0</v>
      </c>
      <c r="AT295" s="1" t="n">
        <f aca="false">MAX(0,AQ295+AR295)</f>
        <v>0</v>
      </c>
      <c r="AU295" s="1" t="n">
        <f aca="false">MIN(PR_PAYE,PR_PAYEcap*(AL295+AN295+AM295))</f>
        <v>0</v>
      </c>
      <c r="AV295" s="1" t="n">
        <f aca="false">MIN(PR_PAYE,PR_PAYEcap*(AQ295+AR295))</f>
        <v>0</v>
      </c>
      <c r="AW295" s="1" t="n">
        <f aca="false">IF(C295&gt;=PR_AgeCrAge,PR_AgeCr,0)</f>
        <v>0</v>
      </c>
      <c r="AX295" s="1" t="n">
        <f aca="false">IF(AG295&gt;=PR_AgeCrAge,PR_AgeCr,0)</f>
        <v>0</v>
      </c>
      <c r="AY295" s="1" t="n">
        <f aca="false">IF(AND(F_RentCred=1,D295&lt;=PR_RentLast),1,0)</f>
        <v>0</v>
      </c>
      <c r="AZ295" s="1" t="n">
        <f aca="false">AS295+AT295</f>
        <v>0</v>
      </c>
      <c r="BA295" s="1" t="n">
        <f aca="false">PR_PersonalM+AU295+AV295+AW295+AX295+IF(AY295=1,PR_RentJoint,0)</f>
        <v>4000</v>
      </c>
      <c r="BB295" s="1" t="n">
        <f aca="false">PR_BandM+MIN(MIN(AS295,AT295),PR_Uplift)</f>
        <v>53000</v>
      </c>
      <c r="BC295" s="1" t="n">
        <f aca="false">MAX(0,PR_r1*MIN(AZ295,BB295)+PR_r2*MAX(0,AZ295-BB295)-BA295)</f>
        <v>0</v>
      </c>
      <c r="BD295" s="1" t="n">
        <f aca="false">MAX(0,PR_HomeCarer-MAX(0,MIN(AS295,AT295)-PR_HCLimit)/2)</f>
        <v>1950</v>
      </c>
      <c r="BE295" s="1" t="n">
        <f aca="false">IF(F_Carer=1,MIN(BC295,MAX(0,PR_r1*MIN(AZ295,PR_BandM)+PR_r2*MAX(0,AZ295-PR_BandM)-BA295-BD295)),BC295)</f>
        <v>0</v>
      </c>
      <c r="BF295" s="1" t="n">
        <f aca="false">IF(OR(C295&gt;=PR_AgeCrAge,AG295&gt;=PR_AgeCrAge),IF(AZ295&lt;=PR_AgeExM,0,MIN(BE295,PR_AgeMarg*(AZ295-PR_AgeExM))),BE295)</f>
        <v>0</v>
      </c>
      <c r="BG295" s="1" t="n">
        <f aca="false">MAX(0,PR_r1*MIN(AS295,IF(F_Spccc=1,PR_BandSPCCC,PR_Band))+PR_r2*MAX(0,AS295-IF(F_Spccc=1,PR_BandSPCCC,PR_Band))-(PR_Personal+AU295+AW295+IF(F_Spccc=1,PR_SPCCC,0)+IF(AY295=1,PR_Rent,0)))</f>
        <v>0</v>
      </c>
      <c r="BH295" s="1" t="n">
        <f aca="false">IF(C295&gt;=PR_AgeCrAge,IF(AS295&lt;=PR_AgeEx,0,MIN(BG295,PR_AgeMarg*(AS295-PR_AgeEx))),BG295)</f>
        <v>0</v>
      </c>
      <c r="BI295" s="1" t="n">
        <f aca="false">IF(F_Partner=1,MAX(0,PR_r1*MIN(AT295,PR_Band)+PR_r2*MAX(0,AT295-PR_Band)-(PR_Personal+AV295+AX295+IF(AND(AY295=1,AT295&gt;0),PR_Rent,0))),0)</f>
        <v>0</v>
      </c>
      <c r="BJ295" s="1" t="n">
        <f aca="false">IF(AG295&gt;=PR_AgeCrAge,IF(AT295&lt;=PR_AgeEx,0,MIN(BI295,PR_AgeMarg*(AT295-PR_AgeEx))),BI295)</f>
        <v>0</v>
      </c>
      <c r="BK295" s="1" t="n">
        <f aca="false">IF(F_Partner=1,IF(F_Married=1,BF295,BH295+BJ295),BH295)</f>
        <v>0</v>
      </c>
      <c r="BL295" s="1" t="n">
        <f aca="false">AL295+AN295+AO295</f>
        <v>0</v>
      </c>
      <c r="BM295" s="1" t="n">
        <f aca="false">IF(BL295&lt;=PR_USCex,0,IF(IF(AND(C295&gt;=PR_USCredAge,BL295&lt;=PR_USCredMax),1,0)=1,PR_USCr1*MIN(BL295,PR_USCredB1)+PR_USCredR2*MAX(0,BL295-PR_USCredB1),PR_USCr1*MIN(BL295,PR_USCb1)+PR_USCr2*MAX(0,MIN(BL295,PR_USCb2)-PR_USCb1)+PR_USCr3*MAX(0,MIN(BL295,PR_USCb3)-PR_USCb2)+PR_USCr4*MAX(0,BL295-PR_USCb3)))+IF(F_SelfEmp=1,PR_USCse*MAX(0,AL295-PR_USCseOver),0)</f>
        <v>0</v>
      </c>
      <c r="BN295" s="1" t="n">
        <f aca="false">AQ295</f>
        <v>0</v>
      </c>
      <c r="BO295" s="1" t="n">
        <f aca="false">IF(F_Partner=1,IF(BN295&lt;=PR_USCex,0,IF(IF(AND(AG295&gt;=PR_USCredAge,BN295&lt;=PR_USCredMax),1,0)=1,PR_USCr1*MIN(BN295,PR_USCredB1)+PR_USCredR2*MAX(0,BN295-PR_USCredB1),PR_USCr1*MIN(BN295,PR_USCb1)+PR_USCr2*MAX(0,MIN(BN295,PR_USCb2)-PR_USCb1)+PR_USCr3*MAX(0,MIN(BN295,PR_USCb3)-PR_USCb2)+PR_USCr4*MAX(0,BN295-PR_USCb3))),0)</f>
        <v>0</v>
      </c>
      <c r="BP295" s="1" t="n">
        <f aca="false">IF(C295&lt;PR_PRSIend,IF(F_SelfEmp=1,IF(AL295&gt;PR_PRSIsMinInc,MAX(PR_PRSIsMin,AL295*J295),0),IF(AL295/52&lt;=PR_PRSIfree,0,MAX(0,(AL295/52*J295-IF(AL295/52&lt;=PR_PRSIcreditTo,MAX(0,PR_PRSIcreditMax-(AL295/52-(PR_PRSIfree+0.01))/PR_PRSItaper),0))*52)))+J295*AN295+IF(AO295&gt;PR_PRSIunearned,J295*AO295,0),0)</f>
        <v>0</v>
      </c>
      <c r="BQ295" s="1" t="n">
        <f aca="false">IF(AND(F_Partner=1,AG295&lt;PR_PRSIend),IF(AQ295/52&lt;=PR_PRSIfree,0,MAX(0,(AQ295/52*J295-IF(AQ295/52&lt;=PR_PRSIcreditTo,MAX(0,PR_PRSIcreditMax-(AQ295/52-(PR_PRSIfree+0.01))/PR_PRSItaper),0))*52)),0)</f>
        <v>0</v>
      </c>
      <c r="BR295" s="1" t="n">
        <f aca="false">BK295+BM295+BO295+BP295+BQ295</f>
        <v>0</v>
      </c>
      <c r="BS295" s="1" t="n">
        <f aca="false">BR295*H295</f>
        <v>0</v>
      </c>
      <c r="BT295" s="1" t="n">
        <f aca="false">K295+AK295+AC295+AF295+AH295+AI295</f>
        <v>0</v>
      </c>
    </row>
    <row r="296" customFormat="false" ht="15" hidden="false" customHeight="true" outlineLevel="0" collapsed="false">
      <c r="B296" s="1" t="n">
        <v>62</v>
      </c>
      <c r="C296" s="1" t="n">
        <f aca="false">F_Age+B296</f>
        <v>62</v>
      </c>
      <c r="D296" s="1" t="n">
        <f aca="false">AS_Year0+B296</f>
        <v>2089</v>
      </c>
      <c r="E296" s="111" t="n">
        <f aca="false">(1+AS_Infl)^B296</f>
        <v>3.41358443221538</v>
      </c>
      <c r="F296" s="111" t="n">
        <f aca="false">(1+AS_Wage)^B296</f>
        <v>6.25040173308213</v>
      </c>
      <c r="G296" s="1" t="n">
        <f aca="false">IF(C296&lt;F_R,1,0)</f>
        <v>1</v>
      </c>
      <c r="H296" s="111" t="n">
        <f aca="false">IF(AS_Bands="flat",1,E296)</f>
        <v>3.41358443221538</v>
      </c>
      <c r="I296" s="111" t="n">
        <f aca="false">IF(AS_SpGrow="pay",F296,IF(AS_SpGrow="flat",1,E296))</f>
        <v>3.41358443221538</v>
      </c>
      <c r="J296" s="111" t="n">
        <f aca="false">(12*PR_PRSIr0+(PR_PRSIr1-PR_PRSIr0)*MAX(0,MIN(12,D296*12+12-PR_PRSIt1))+(PR_PRSIr2-PR_PRSIr1)*MAX(0,MIN(12,D296*12+12-PR_PRSIt2))+(PR_PRSIr3-PR_PRSIr2)*MAX(0,MIN(12,D296*12+12-PR_PRSIt3)))/12</f>
        <v>0.047</v>
      </c>
      <c r="K296" s="1" t="n">
        <f aca="false">IF(G296=1,F_Income*F296,0)</f>
        <v>0</v>
      </c>
      <c r="L296" s="1" t="n">
        <f aca="false">IF(G296=1,(F_Own+In_penExtra)*12*F296,0)</f>
        <v>0</v>
      </c>
      <c r="M296" s="1" t="n">
        <f aca="false">IF(G296=1,(F_PenM+In_penExtra)*12*F296,0)</f>
        <v>0</v>
      </c>
      <c r="N296" s="112" t="n">
        <f aca="false">IF(C296&lt;PR_RelA1,PR_RelP1,IF(C296&lt;PR_RelA2,PR_RelP2,IF(C296&lt;PR_RelA3,PR_RelP3,IF(C296&lt;PR_RelA4,PR_RelP4,IF(C296&lt;PR_RelA5,PR_RelP5,PR_RelP6)))))</f>
        <v>0.4</v>
      </c>
      <c r="O296" s="1" t="n">
        <f aca="false">IF(G296=1,MIN(L296/H296,N296*MIN(K296/H296,PR_EarnCap))*H296,0)</f>
        <v>0</v>
      </c>
      <c r="P296" s="1" t="n">
        <f aca="false">IF(AND(G296=1,F_AE=1),MIN(K296/H296,PR_AEcap)*H296,0)</f>
        <v>0</v>
      </c>
      <c r="Q296" s="1" t="n">
        <f aca="false">IF(G296=1,IF(WI_Retire=1,MAX(0,M296+WI_M*12),M296)+(PR_AEee+PR_AEer+PR_AEst)*P296,0)</f>
        <v>0</v>
      </c>
      <c r="R296" s="1" t="n">
        <f aca="false">L296+PR_AEee*P296</f>
        <v>0</v>
      </c>
      <c r="S296" s="1" t="n">
        <f aca="false">AD295</f>
        <v>0</v>
      </c>
      <c r="T296" s="1" t="n">
        <f aca="false">IF(D296&lt;=PR_SFTfrom,PR_SFT2026,IF(D296=PR_SFTfrom+1,PR_SFT2027,IF(D296=PR_SFTfrom+2,PR_SFT2028,IF(D296&lt;=PR_SFTto,PR_SFT2029,PR_SFT2029*(1+AS_Infl)^(D296-PR_SFTto)))))</f>
        <v>9186886.20742316</v>
      </c>
      <c r="U296" s="1" t="n">
        <f aca="false">IF(AND(G296=0,C296=F_V),1,0)</f>
        <v>0</v>
      </c>
      <c r="V296" s="1" t="n">
        <f aca="false">IF(U296=1,PR_SFTrate*MAX(0,S296-T296),0)</f>
        <v>0</v>
      </c>
      <c r="W296" s="1" t="n">
        <f aca="false">S296-V296</f>
        <v>0</v>
      </c>
      <c r="X296" s="1" t="n">
        <f aca="false">IF(AND(U296=1,AS_LumpPct&gt;0),W296*MIN(AS_LumpPct,PR_LSmax),0)</f>
        <v>0</v>
      </c>
      <c r="Y296" s="1" t="n">
        <f aca="false">X296-(PR_LSrate*MAX(0,MIN(X296,PR_LScap)-PR_LSfree)+PR_r2*MAX(0,X296-PR_LScap))</f>
        <v>0</v>
      </c>
      <c r="Z296" s="1" t="n">
        <f aca="false">W296-X296</f>
        <v>0</v>
      </c>
      <c r="AA296" s="112" t="n">
        <f aca="false">IF(C296&gt;=PR_ARFage1,IF(Z296&gt;PR_ARFbig,PR_ARFbigRate,IF(C296&gt;=PR_ARFage2,PR_ARF71,PR_ARF61)),0)</f>
        <v>0.04</v>
      </c>
      <c r="AB296" s="1" t="n">
        <f aca="false">IF(AS_DrawRule="min",Z296*AA296,IF(AS_DrawRule="fixed",MAX(AS_DrawFixed*E296,Z296*AA296),Z296*MAX(1/MAX(1,AS_End-C296+1),AA296)))</f>
        <v>0</v>
      </c>
      <c r="AC296" s="1" t="n">
        <f aca="false">IF(AND(G296=0,C296&gt;=F_V),MIN(Z296,AB296),0)</f>
        <v>0</v>
      </c>
      <c r="AD296" s="1" t="n">
        <f aca="false">IF(G296=1,S296*(1+F_PenG)+Q296,IF(C296&lt;F_V,S296*(1+F_PenG),(Z296-AC296)*(1+AS_PenRet)))</f>
        <v>0</v>
      </c>
      <c r="AE296" s="1" t="n">
        <f aca="false">IF(C296&gt;=PR_SPage,AS_SP*F_SpF*I296+IF(AND(C296&gt;=PR_Over80Age,F_SpF&gt;0),PR_Over80*PR_Weeks*I296,0),0)</f>
        <v>0</v>
      </c>
      <c r="AF296" s="1" t="n">
        <f aca="false">(F_OtherM+F_RentM)*12*E296</f>
        <v>0</v>
      </c>
      <c r="AG296" s="1" t="n">
        <f aca="false">F_PAge+B296</f>
        <v>62</v>
      </c>
      <c r="AH296" s="1" t="n">
        <f aca="false">IF(AND(F_Partner=1,F_PAge&gt;0,AG296&lt;IF(F_PRet&gt;0,F_PRet,PR_SPage)),F_PIncome*F296,0)</f>
        <v>0</v>
      </c>
      <c r="AI296" s="1" t="n">
        <f aca="false">IF(AND(F_Partner=1,AG296&gt;=PR_SPage,F_PSpQA=0),AS_SP*F_PSpF*I296,0)</f>
        <v>0</v>
      </c>
      <c r="AJ296" s="1" t="n">
        <f aca="false">IF(AND(F_Partner=1,F_PSpQA=1,C296&gt;=PR_SPage,AH296=0),IF(AG296&gt;=PR_SPage,PR_QA66,PR_QAunder)*PR_Weeks*I296,0)</f>
        <v>0</v>
      </c>
      <c r="AK296" s="1" t="n">
        <f aca="false">AE296+AJ296</f>
        <v>0</v>
      </c>
      <c r="AL296" s="1" t="n">
        <f aca="false">K296/H296</f>
        <v>0</v>
      </c>
      <c r="AM296" s="1" t="n">
        <f aca="false">AK296/H296</f>
        <v>0</v>
      </c>
      <c r="AN296" s="1" t="n">
        <f aca="false">AC296/H296</f>
        <v>0</v>
      </c>
      <c r="AO296" s="1" t="n">
        <f aca="false">AF296/H296</f>
        <v>0</v>
      </c>
      <c r="AP296" s="1" t="n">
        <f aca="false">O296/H296</f>
        <v>0</v>
      </c>
      <c r="AQ296" s="1" t="n">
        <f aca="false">AH296/H296</f>
        <v>0</v>
      </c>
      <c r="AR296" s="1" t="n">
        <f aca="false">AI296/H296</f>
        <v>0</v>
      </c>
      <c r="AS296" s="1" t="n">
        <f aca="false">MAX(0,AL296+AN296+AO296+AM296-AP296)</f>
        <v>0</v>
      </c>
      <c r="AT296" s="1" t="n">
        <f aca="false">MAX(0,AQ296+AR296)</f>
        <v>0</v>
      </c>
      <c r="AU296" s="1" t="n">
        <f aca="false">MIN(PR_PAYE,PR_PAYEcap*(AL296+AN296+AM296))</f>
        <v>0</v>
      </c>
      <c r="AV296" s="1" t="n">
        <f aca="false">MIN(PR_PAYE,PR_PAYEcap*(AQ296+AR296))</f>
        <v>0</v>
      </c>
      <c r="AW296" s="1" t="n">
        <f aca="false">IF(C296&gt;=PR_AgeCrAge,PR_AgeCr,0)</f>
        <v>0</v>
      </c>
      <c r="AX296" s="1" t="n">
        <f aca="false">IF(AG296&gt;=PR_AgeCrAge,PR_AgeCr,0)</f>
        <v>0</v>
      </c>
      <c r="AY296" s="1" t="n">
        <f aca="false">IF(AND(F_RentCred=1,D296&lt;=PR_RentLast),1,0)</f>
        <v>0</v>
      </c>
      <c r="AZ296" s="1" t="n">
        <f aca="false">AS296+AT296</f>
        <v>0</v>
      </c>
      <c r="BA296" s="1" t="n">
        <f aca="false">PR_PersonalM+AU296+AV296+AW296+AX296+IF(AY296=1,PR_RentJoint,0)</f>
        <v>4000</v>
      </c>
      <c r="BB296" s="1" t="n">
        <f aca="false">PR_BandM+MIN(MIN(AS296,AT296),PR_Uplift)</f>
        <v>53000</v>
      </c>
      <c r="BC296" s="1" t="n">
        <f aca="false">MAX(0,PR_r1*MIN(AZ296,BB296)+PR_r2*MAX(0,AZ296-BB296)-BA296)</f>
        <v>0</v>
      </c>
      <c r="BD296" s="1" t="n">
        <f aca="false">MAX(0,PR_HomeCarer-MAX(0,MIN(AS296,AT296)-PR_HCLimit)/2)</f>
        <v>1950</v>
      </c>
      <c r="BE296" s="1" t="n">
        <f aca="false">IF(F_Carer=1,MIN(BC296,MAX(0,PR_r1*MIN(AZ296,PR_BandM)+PR_r2*MAX(0,AZ296-PR_BandM)-BA296-BD296)),BC296)</f>
        <v>0</v>
      </c>
      <c r="BF296" s="1" t="n">
        <f aca="false">IF(OR(C296&gt;=PR_AgeCrAge,AG296&gt;=PR_AgeCrAge),IF(AZ296&lt;=PR_AgeExM,0,MIN(BE296,PR_AgeMarg*(AZ296-PR_AgeExM))),BE296)</f>
        <v>0</v>
      </c>
      <c r="BG296" s="1" t="n">
        <f aca="false">MAX(0,PR_r1*MIN(AS296,IF(F_Spccc=1,PR_BandSPCCC,PR_Band))+PR_r2*MAX(0,AS296-IF(F_Spccc=1,PR_BandSPCCC,PR_Band))-(PR_Personal+AU296+AW296+IF(F_Spccc=1,PR_SPCCC,0)+IF(AY296=1,PR_Rent,0)))</f>
        <v>0</v>
      </c>
      <c r="BH296" s="1" t="n">
        <f aca="false">IF(C296&gt;=PR_AgeCrAge,IF(AS296&lt;=PR_AgeEx,0,MIN(BG296,PR_AgeMarg*(AS296-PR_AgeEx))),BG296)</f>
        <v>0</v>
      </c>
      <c r="BI296" s="1" t="n">
        <f aca="false">IF(F_Partner=1,MAX(0,PR_r1*MIN(AT296,PR_Band)+PR_r2*MAX(0,AT296-PR_Band)-(PR_Personal+AV296+AX296+IF(AND(AY296=1,AT296&gt;0),PR_Rent,0))),0)</f>
        <v>0</v>
      </c>
      <c r="BJ296" s="1" t="n">
        <f aca="false">IF(AG296&gt;=PR_AgeCrAge,IF(AT296&lt;=PR_AgeEx,0,MIN(BI296,PR_AgeMarg*(AT296-PR_AgeEx))),BI296)</f>
        <v>0</v>
      </c>
      <c r="BK296" s="1" t="n">
        <f aca="false">IF(F_Partner=1,IF(F_Married=1,BF296,BH296+BJ296),BH296)</f>
        <v>0</v>
      </c>
      <c r="BL296" s="1" t="n">
        <f aca="false">AL296+AN296+AO296</f>
        <v>0</v>
      </c>
      <c r="BM296" s="1" t="n">
        <f aca="false">IF(BL296&lt;=PR_USCex,0,IF(IF(AND(C296&gt;=PR_USCredAge,BL296&lt;=PR_USCredMax),1,0)=1,PR_USCr1*MIN(BL296,PR_USCredB1)+PR_USCredR2*MAX(0,BL296-PR_USCredB1),PR_USCr1*MIN(BL296,PR_USCb1)+PR_USCr2*MAX(0,MIN(BL296,PR_USCb2)-PR_USCb1)+PR_USCr3*MAX(0,MIN(BL296,PR_USCb3)-PR_USCb2)+PR_USCr4*MAX(0,BL296-PR_USCb3)))+IF(F_SelfEmp=1,PR_USCse*MAX(0,AL296-PR_USCseOver),0)</f>
        <v>0</v>
      </c>
      <c r="BN296" s="1" t="n">
        <f aca="false">AQ296</f>
        <v>0</v>
      </c>
      <c r="BO296" s="1" t="n">
        <f aca="false">IF(F_Partner=1,IF(BN296&lt;=PR_USCex,0,IF(IF(AND(AG296&gt;=PR_USCredAge,BN296&lt;=PR_USCredMax),1,0)=1,PR_USCr1*MIN(BN296,PR_USCredB1)+PR_USCredR2*MAX(0,BN296-PR_USCredB1),PR_USCr1*MIN(BN296,PR_USCb1)+PR_USCr2*MAX(0,MIN(BN296,PR_USCb2)-PR_USCb1)+PR_USCr3*MAX(0,MIN(BN296,PR_USCb3)-PR_USCb2)+PR_USCr4*MAX(0,BN296-PR_USCb3))),0)</f>
        <v>0</v>
      </c>
      <c r="BP296" s="1" t="n">
        <f aca="false">IF(C296&lt;PR_PRSIend,IF(F_SelfEmp=1,IF(AL296&gt;PR_PRSIsMinInc,MAX(PR_PRSIsMin,AL296*J296),0),IF(AL296/52&lt;=PR_PRSIfree,0,MAX(0,(AL296/52*J296-IF(AL296/52&lt;=PR_PRSIcreditTo,MAX(0,PR_PRSIcreditMax-(AL296/52-(PR_PRSIfree+0.01))/PR_PRSItaper),0))*52)))+J296*AN296+IF(AO296&gt;PR_PRSIunearned,J296*AO296,0),0)</f>
        <v>0</v>
      </c>
      <c r="BQ296" s="1" t="n">
        <f aca="false">IF(AND(F_Partner=1,AG296&lt;PR_PRSIend),IF(AQ296/52&lt;=PR_PRSIfree,0,MAX(0,(AQ296/52*J296-IF(AQ296/52&lt;=PR_PRSIcreditTo,MAX(0,PR_PRSIcreditMax-(AQ296/52-(PR_PRSIfree+0.01))/PR_PRSItaper),0))*52)),0)</f>
        <v>0</v>
      </c>
      <c r="BR296" s="1" t="n">
        <f aca="false">BK296+BM296+BO296+BP296+BQ296</f>
        <v>0</v>
      </c>
      <c r="BS296" s="1" t="n">
        <f aca="false">BR296*H296</f>
        <v>0</v>
      </c>
      <c r="BT296" s="1" t="n">
        <f aca="false">K296+AK296+AC296+AF296+AH296+AI296</f>
        <v>0</v>
      </c>
    </row>
    <row r="297" customFormat="false" ht="15" hidden="false" customHeight="true" outlineLevel="0" collapsed="false">
      <c r="B297" s="1" t="n">
        <v>63</v>
      </c>
      <c r="C297" s="1" t="n">
        <f aca="false">F_Age+B297</f>
        <v>63</v>
      </c>
      <c r="D297" s="1" t="n">
        <f aca="false">AS_Year0+B297</f>
        <v>2090</v>
      </c>
      <c r="E297" s="111" t="n">
        <f aca="false">(1+AS_Infl)^B297</f>
        <v>3.48185612085969</v>
      </c>
      <c r="F297" s="111" t="n">
        <f aca="false">(1+AS_Wage)^B297</f>
        <v>6.4379137850746</v>
      </c>
      <c r="G297" s="1" t="n">
        <f aca="false">IF(C297&lt;F_R,1,0)</f>
        <v>1</v>
      </c>
      <c r="H297" s="111" t="n">
        <f aca="false">IF(AS_Bands="flat",1,E297)</f>
        <v>3.48185612085969</v>
      </c>
      <c r="I297" s="111" t="n">
        <f aca="false">IF(AS_SpGrow="pay",F297,IF(AS_SpGrow="flat",1,E297))</f>
        <v>3.48185612085969</v>
      </c>
      <c r="J297" s="111" t="n">
        <f aca="false">(12*PR_PRSIr0+(PR_PRSIr1-PR_PRSIr0)*MAX(0,MIN(12,D297*12+12-PR_PRSIt1))+(PR_PRSIr2-PR_PRSIr1)*MAX(0,MIN(12,D297*12+12-PR_PRSIt2))+(PR_PRSIr3-PR_PRSIr2)*MAX(0,MIN(12,D297*12+12-PR_PRSIt3)))/12</f>
        <v>0.047</v>
      </c>
      <c r="K297" s="1" t="n">
        <f aca="false">IF(G297=1,F_Income*F297,0)</f>
        <v>0</v>
      </c>
      <c r="L297" s="1" t="n">
        <f aca="false">IF(G297=1,(F_Own+In_penExtra)*12*F297,0)</f>
        <v>0</v>
      </c>
      <c r="M297" s="1" t="n">
        <f aca="false">IF(G297=1,(F_PenM+In_penExtra)*12*F297,0)</f>
        <v>0</v>
      </c>
      <c r="N297" s="112" t="n">
        <f aca="false">IF(C297&lt;PR_RelA1,PR_RelP1,IF(C297&lt;PR_RelA2,PR_RelP2,IF(C297&lt;PR_RelA3,PR_RelP3,IF(C297&lt;PR_RelA4,PR_RelP4,IF(C297&lt;PR_RelA5,PR_RelP5,PR_RelP6)))))</f>
        <v>0.4</v>
      </c>
      <c r="O297" s="1" t="n">
        <f aca="false">IF(G297=1,MIN(L297/H297,N297*MIN(K297/H297,PR_EarnCap))*H297,0)</f>
        <v>0</v>
      </c>
      <c r="P297" s="1" t="n">
        <f aca="false">IF(AND(G297=1,F_AE=1),MIN(K297/H297,PR_AEcap)*H297,0)</f>
        <v>0</v>
      </c>
      <c r="Q297" s="1" t="n">
        <f aca="false">IF(G297=1,IF(WI_Retire=1,MAX(0,M297+WI_M*12),M297)+(PR_AEee+PR_AEer+PR_AEst)*P297,0)</f>
        <v>0</v>
      </c>
      <c r="R297" s="1" t="n">
        <f aca="false">L297+PR_AEee*P297</f>
        <v>0</v>
      </c>
      <c r="S297" s="1" t="n">
        <f aca="false">AD296</f>
        <v>0</v>
      </c>
      <c r="T297" s="1" t="n">
        <f aca="false">IF(D297&lt;=PR_SFTfrom,PR_SFT2026,IF(D297=PR_SFTfrom+1,PR_SFT2027,IF(D297=PR_SFTfrom+2,PR_SFT2028,IF(D297&lt;=PR_SFTto,PR_SFT2029,PR_SFT2029*(1+AS_Infl)^(D297-PR_SFTto)))))</f>
        <v>9370623.93157162</v>
      </c>
      <c r="U297" s="1" t="n">
        <f aca="false">IF(AND(G297=0,C297=F_V),1,0)</f>
        <v>0</v>
      </c>
      <c r="V297" s="1" t="n">
        <f aca="false">IF(U297=1,PR_SFTrate*MAX(0,S297-T297),0)</f>
        <v>0</v>
      </c>
      <c r="W297" s="1" t="n">
        <f aca="false">S297-V297</f>
        <v>0</v>
      </c>
      <c r="X297" s="1" t="n">
        <f aca="false">IF(AND(U297=1,AS_LumpPct&gt;0),W297*MIN(AS_LumpPct,PR_LSmax),0)</f>
        <v>0</v>
      </c>
      <c r="Y297" s="1" t="n">
        <f aca="false">X297-(PR_LSrate*MAX(0,MIN(X297,PR_LScap)-PR_LSfree)+PR_r2*MAX(0,X297-PR_LScap))</f>
        <v>0</v>
      </c>
      <c r="Z297" s="1" t="n">
        <f aca="false">W297-X297</f>
        <v>0</v>
      </c>
      <c r="AA297" s="112" t="n">
        <f aca="false">IF(C297&gt;=PR_ARFage1,IF(Z297&gt;PR_ARFbig,PR_ARFbigRate,IF(C297&gt;=PR_ARFage2,PR_ARF71,PR_ARF61)),0)</f>
        <v>0.04</v>
      </c>
      <c r="AB297" s="1" t="n">
        <f aca="false">IF(AS_DrawRule="min",Z297*AA297,IF(AS_DrawRule="fixed",MAX(AS_DrawFixed*E297,Z297*AA297),Z297*MAX(1/MAX(1,AS_End-C297+1),AA297)))</f>
        <v>0</v>
      </c>
      <c r="AC297" s="1" t="n">
        <f aca="false">IF(AND(G297=0,C297&gt;=F_V),MIN(Z297,AB297),0)</f>
        <v>0</v>
      </c>
      <c r="AD297" s="1" t="n">
        <f aca="false">IF(G297=1,S297*(1+F_PenG)+Q297,IF(C297&lt;F_V,S297*(1+F_PenG),(Z297-AC297)*(1+AS_PenRet)))</f>
        <v>0</v>
      </c>
      <c r="AE297" s="1" t="n">
        <f aca="false">IF(C297&gt;=PR_SPage,AS_SP*F_SpF*I297+IF(AND(C297&gt;=PR_Over80Age,F_SpF&gt;0),PR_Over80*PR_Weeks*I297,0),0)</f>
        <v>0</v>
      </c>
      <c r="AF297" s="1" t="n">
        <f aca="false">(F_OtherM+F_RentM)*12*E297</f>
        <v>0</v>
      </c>
      <c r="AG297" s="1" t="n">
        <f aca="false">F_PAge+B297</f>
        <v>63</v>
      </c>
      <c r="AH297" s="1" t="n">
        <f aca="false">IF(AND(F_Partner=1,F_PAge&gt;0,AG297&lt;IF(F_PRet&gt;0,F_PRet,PR_SPage)),F_PIncome*F297,0)</f>
        <v>0</v>
      </c>
      <c r="AI297" s="1" t="n">
        <f aca="false">IF(AND(F_Partner=1,AG297&gt;=PR_SPage,F_PSpQA=0),AS_SP*F_PSpF*I297,0)</f>
        <v>0</v>
      </c>
      <c r="AJ297" s="1" t="n">
        <f aca="false">IF(AND(F_Partner=1,F_PSpQA=1,C297&gt;=PR_SPage,AH297=0),IF(AG297&gt;=PR_SPage,PR_QA66,PR_QAunder)*PR_Weeks*I297,0)</f>
        <v>0</v>
      </c>
      <c r="AK297" s="1" t="n">
        <f aca="false">AE297+AJ297</f>
        <v>0</v>
      </c>
      <c r="AL297" s="1" t="n">
        <f aca="false">K297/H297</f>
        <v>0</v>
      </c>
      <c r="AM297" s="1" t="n">
        <f aca="false">AK297/H297</f>
        <v>0</v>
      </c>
      <c r="AN297" s="1" t="n">
        <f aca="false">AC297/H297</f>
        <v>0</v>
      </c>
      <c r="AO297" s="1" t="n">
        <f aca="false">AF297/H297</f>
        <v>0</v>
      </c>
      <c r="AP297" s="1" t="n">
        <f aca="false">O297/H297</f>
        <v>0</v>
      </c>
      <c r="AQ297" s="1" t="n">
        <f aca="false">AH297/H297</f>
        <v>0</v>
      </c>
      <c r="AR297" s="1" t="n">
        <f aca="false">AI297/H297</f>
        <v>0</v>
      </c>
      <c r="AS297" s="1" t="n">
        <f aca="false">MAX(0,AL297+AN297+AO297+AM297-AP297)</f>
        <v>0</v>
      </c>
      <c r="AT297" s="1" t="n">
        <f aca="false">MAX(0,AQ297+AR297)</f>
        <v>0</v>
      </c>
      <c r="AU297" s="1" t="n">
        <f aca="false">MIN(PR_PAYE,PR_PAYEcap*(AL297+AN297+AM297))</f>
        <v>0</v>
      </c>
      <c r="AV297" s="1" t="n">
        <f aca="false">MIN(PR_PAYE,PR_PAYEcap*(AQ297+AR297))</f>
        <v>0</v>
      </c>
      <c r="AW297" s="1" t="n">
        <f aca="false">IF(C297&gt;=PR_AgeCrAge,PR_AgeCr,0)</f>
        <v>0</v>
      </c>
      <c r="AX297" s="1" t="n">
        <f aca="false">IF(AG297&gt;=PR_AgeCrAge,PR_AgeCr,0)</f>
        <v>0</v>
      </c>
      <c r="AY297" s="1" t="n">
        <f aca="false">IF(AND(F_RentCred=1,D297&lt;=PR_RentLast),1,0)</f>
        <v>0</v>
      </c>
      <c r="AZ297" s="1" t="n">
        <f aca="false">AS297+AT297</f>
        <v>0</v>
      </c>
      <c r="BA297" s="1" t="n">
        <f aca="false">PR_PersonalM+AU297+AV297+AW297+AX297+IF(AY297=1,PR_RentJoint,0)</f>
        <v>4000</v>
      </c>
      <c r="BB297" s="1" t="n">
        <f aca="false">PR_BandM+MIN(MIN(AS297,AT297),PR_Uplift)</f>
        <v>53000</v>
      </c>
      <c r="BC297" s="1" t="n">
        <f aca="false">MAX(0,PR_r1*MIN(AZ297,BB297)+PR_r2*MAX(0,AZ297-BB297)-BA297)</f>
        <v>0</v>
      </c>
      <c r="BD297" s="1" t="n">
        <f aca="false">MAX(0,PR_HomeCarer-MAX(0,MIN(AS297,AT297)-PR_HCLimit)/2)</f>
        <v>1950</v>
      </c>
      <c r="BE297" s="1" t="n">
        <f aca="false">IF(F_Carer=1,MIN(BC297,MAX(0,PR_r1*MIN(AZ297,PR_BandM)+PR_r2*MAX(0,AZ297-PR_BandM)-BA297-BD297)),BC297)</f>
        <v>0</v>
      </c>
      <c r="BF297" s="1" t="n">
        <f aca="false">IF(OR(C297&gt;=PR_AgeCrAge,AG297&gt;=PR_AgeCrAge),IF(AZ297&lt;=PR_AgeExM,0,MIN(BE297,PR_AgeMarg*(AZ297-PR_AgeExM))),BE297)</f>
        <v>0</v>
      </c>
      <c r="BG297" s="1" t="n">
        <f aca="false">MAX(0,PR_r1*MIN(AS297,IF(F_Spccc=1,PR_BandSPCCC,PR_Band))+PR_r2*MAX(0,AS297-IF(F_Spccc=1,PR_BandSPCCC,PR_Band))-(PR_Personal+AU297+AW297+IF(F_Spccc=1,PR_SPCCC,0)+IF(AY297=1,PR_Rent,0)))</f>
        <v>0</v>
      </c>
      <c r="BH297" s="1" t="n">
        <f aca="false">IF(C297&gt;=PR_AgeCrAge,IF(AS297&lt;=PR_AgeEx,0,MIN(BG297,PR_AgeMarg*(AS297-PR_AgeEx))),BG297)</f>
        <v>0</v>
      </c>
      <c r="BI297" s="1" t="n">
        <f aca="false">IF(F_Partner=1,MAX(0,PR_r1*MIN(AT297,PR_Band)+PR_r2*MAX(0,AT297-PR_Band)-(PR_Personal+AV297+AX297+IF(AND(AY297=1,AT297&gt;0),PR_Rent,0))),0)</f>
        <v>0</v>
      </c>
      <c r="BJ297" s="1" t="n">
        <f aca="false">IF(AG297&gt;=PR_AgeCrAge,IF(AT297&lt;=PR_AgeEx,0,MIN(BI297,PR_AgeMarg*(AT297-PR_AgeEx))),BI297)</f>
        <v>0</v>
      </c>
      <c r="BK297" s="1" t="n">
        <f aca="false">IF(F_Partner=1,IF(F_Married=1,BF297,BH297+BJ297),BH297)</f>
        <v>0</v>
      </c>
      <c r="BL297" s="1" t="n">
        <f aca="false">AL297+AN297+AO297</f>
        <v>0</v>
      </c>
      <c r="BM297" s="1" t="n">
        <f aca="false">IF(BL297&lt;=PR_USCex,0,IF(IF(AND(C297&gt;=PR_USCredAge,BL297&lt;=PR_USCredMax),1,0)=1,PR_USCr1*MIN(BL297,PR_USCredB1)+PR_USCredR2*MAX(0,BL297-PR_USCredB1),PR_USCr1*MIN(BL297,PR_USCb1)+PR_USCr2*MAX(0,MIN(BL297,PR_USCb2)-PR_USCb1)+PR_USCr3*MAX(0,MIN(BL297,PR_USCb3)-PR_USCb2)+PR_USCr4*MAX(0,BL297-PR_USCb3)))+IF(F_SelfEmp=1,PR_USCse*MAX(0,AL297-PR_USCseOver),0)</f>
        <v>0</v>
      </c>
      <c r="BN297" s="1" t="n">
        <f aca="false">AQ297</f>
        <v>0</v>
      </c>
      <c r="BO297" s="1" t="n">
        <f aca="false">IF(F_Partner=1,IF(BN297&lt;=PR_USCex,0,IF(IF(AND(AG297&gt;=PR_USCredAge,BN297&lt;=PR_USCredMax),1,0)=1,PR_USCr1*MIN(BN297,PR_USCredB1)+PR_USCredR2*MAX(0,BN297-PR_USCredB1),PR_USCr1*MIN(BN297,PR_USCb1)+PR_USCr2*MAX(0,MIN(BN297,PR_USCb2)-PR_USCb1)+PR_USCr3*MAX(0,MIN(BN297,PR_USCb3)-PR_USCb2)+PR_USCr4*MAX(0,BN297-PR_USCb3))),0)</f>
        <v>0</v>
      </c>
      <c r="BP297" s="1" t="n">
        <f aca="false">IF(C297&lt;PR_PRSIend,IF(F_SelfEmp=1,IF(AL297&gt;PR_PRSIsMinInc,MAX(PR_PRSIsMin,AL297*J297),0),IF(AL297/52&lt;=PR_PRSIfree,0,MAX(0,(AL297/52*J297-IF(AL297/52&lt;=PR_PRSIcreditTo,MAX(0,PR_PRSIcreditMax-(AL297/52-(PR_PRSIfree+0.01))/PR_PRSItaper),0))*52)))+J297*AN297+IF(AO297&gt;PR_PRSIunearned,J297*AO297,0),0)</f>
        <v>0</v>
      </c>
      <c r="BQ297" s="1" t="n">
        <f aca="false">IF(AND(F_Partner=1,AG297&lt;PR_PRSIend),IF(AQ297/52&lt;=PR_PRSIfree,0,MAX(0,(AQ297/52*J297-IF(AQ297/52&lt;=PR_PRSIcreditTo,MAX(0,PR_PRSIcreditMax-(AQ297/52-(PR_PRSIfree+0.01))/PR_PRSItaper),0))*52)),0)</f>
        <v>0</v>
      </c>
      <c r="BR297" s="1" t="n">
        <f aca="false">BK297+BM297+BO297+BP297+BQ297</f>
        <v>0</v>
      </c>
      <c r="BS297" s="1" t="n">
        <f aca="false">BR297*H297</f>
        <v>0</v>
      </c>
      <c r="BT297" s="1" t="n">
        <f aca="false">K297+AK297+AC297+AF297+AH297+AI297</f>
        <v>0</v>
      </c>
    </row>
    <row r="298" customFormat="false" ht="15" hidden="false" customHeight="true" outlineLevel="0" collapsed="false">
      <c r="B298" s="1" t="n">
        <v>64</v>
      </c>
      <c r="C298" s="1" t="n">
        <f aca="false">F_Age+B298</f>
        <v>64</v>
      </c>
      <c r="D298" s="1" t="n">
        <f aca="false">AS_Year0+B298</f>
        <v>2091</v>
      </c>
      <c r="E298" s="111" t="n">
        <f aca="false">(1+AS_Infl)^B298</f>
        <v>3.55149324327688</v>
      </c>
      <c r="F298" s="111" t="n">
        <f aca="false">(1+AS_Wage)^B298</f>
        <v>6.63105119862683</v>
      </c>
      <c r="G298" s="1" t="n">
        <f aca="false">IF(C298&lt;F_R,1,0)</f>
        <v>1</v>
      </c>
      <c r="H298" s="111" t="n">
        <f aca="false">IF(AS_Bands="flat",1,E298)</f>
        <v>3.55149324327688</v>
      </c>
      <c r="I298" s="111" t="n">
        <f aca="false">IF(AS_SpGrow="pay",F298,IF(AS_SpGrow="flat",1,E298))</f>
        <v>3.55149324327688</v>
      </c>
      <c r="J298" s="111" t="n">
        <f aca="false">(12*PR_PRSIr0+(PR_PRSIr1-PR_PRSIr0)*MAX(0,MIN(12,D298*12+12-PR_PRSIt1))+(PR_PRSIr2-PR_PRSIr1)*MAX(0,MIN(12,D298*12+12-PR_PRSIt2))+(PR_PRSIr3-PR_PRSIr2)*MAX(0,MIN(12,D298*12+12-PR_PRSIt3)))/12</f>
        <v>0.047</v>
      </c>
      <c r="K298" s="1" t="n">
        <f aca="false">IF(G298=1,F_Income*F298,0)</f>
        <v>0</v>
      </c>
      <c r="L298" s="1" t="n">
        <f aca="false">IF(G298=1,(F_Own+In_penExtra)*12*F298,0)</f>
        <v>0</v>
      </c>
      <c r="M298" s="1" t="n">
        <f aca="false">IF(G298=1,(F_PenM+In_penExtra)*12*F298,0)</f>
        <v>0</v>
      </c>
      <c r="N298" s="112" t="n">
        <f aca="false">IF(C298&lt;PR_RelA1,PR_RelP1,IF(C298&lt;PR_RelA2,PR_RelP2,IF(C298&lt;PR_RelA3,PR_RelP3,IF(C298&lt;PR_RelA4,PR_RelP4,IF(C298&lt;PR_RelA5,PR_RelP5,PR_RelP6)))))</f>
        <v>0.4</v>
      </c>
      <c r="O298" s="1" t="n">
        <f aca="false">IF(G298=1,MIN(L298/H298,N298*MIN(K298/H298,PR_EarnCap))*H298,0)</f>
        <v>0</v>
      </c>
      <c r="P298" s="1" t="n">
        <f aca="false">IF(AND(G298=1,F_AE=1),MIN(K298/H298,PR_AEcap)*H298,0)</f>
        <v>0</v>
      </c>
      <c r="Q298" s="1" t="n">
        <f aca="false">IF(G298=1,IF(WI_Retire=1,MAX(0,M298+WI_M*12),M298)+(PR_AEee+PR_AEer+PR_AEst)*P298,0)</f>
        <v>0</v>
      </c>
      <c r="R298" s="1" t="n">
        <f aca="false">L298+PR_AEee*P298</f>
        <v>0</v>
      </c>
      <c r="S298" s="1" t="n">
        <f aca="false">AD297</f>
        <v>0</v>
      </c>
      <c r="T298" s="1" t="n">
        <f aca="false">IF(D298&lt;=PR_SFTfrom,PR_SFT2026,IF(D298=PR_SFTfrom+1,PR_SFT2027,IF(D298=PR_SFTfrom+2,PR_SFT2028,IF(D298&lt;=PR_SFTto,PR_SFT2029,PR_SFT2029*(1+AS_Infl)^(D298-PR_SFTto)))))</f>
        <v>9558036.41020306</v>
      </c>
      <c r="U298" s="1" t="n">
        <f aca="false">IF(AND(G298=0,C298=F_V),1,0)</f>
        <v>0</v>
      </c>
      <c r="V298" s="1" t="n">
        <f aca="false">IF(U298=1,PR_SFTrate*MAX(0,S298-T298),0)</f>
        <v>0</v>
      </c>
      <c r="W298" s="1" t="n">
        <f aca="false">S298-V298</f>
        <v>0</v>
      </c>
      <c r="X298" s="1" t="n">
        <f aca="false">IF(AND(U298=1,AS_LumpPct&gt;0),W298*MIN(AS_LumpPct,PR_LSmax),0)</f>
        <v>0</v>
      </c>
      <c r="Y298" s="1" t="n">
        <f aca="false">X298-(PR_LSrate*MAX(0,MIN(X298,PR_LScap)-PR_LSfree)+PR_r2*MAX(0,X298-PR_LScap))</f>
        <v>0</v>
      </c>
      <c r="Z298" s="1" t="n">
        <f aca="false">W298-X298</f>
        <v>0</v>
      </c>
      <c r="AA298" s="112" t="n">
        <f aca="false">IF(C298&gt;=PR_ARFage1,IF(Z298&gt;PR_ARFbig,PR_ARFbigRate,IF(C298&gt;=PR_ARFage2,PR_ARF71,PR_ARF61)),0)</f>
        <v>0.04</v>
      </c>
      <c r="AB298" s="1" t="n">
        <f aca="false">IF(AS_DrawRule="min",Z298*AA298,IF(AS_DrawRule="fixed",MAX(AS_DrawFixed*E298,Z298*AA298),Z298*MAX(1/MAX(1,AS_End-C298+1),AA298)))</f>
        <v>0</v>
      </c>
      <c r="AC298" s="1" t="n">
        <f aca="false">IF(AND(G298=0,C298&gt;=F_V),MIN(Z298,AB298),0)</f>
        <v>0</v>
      </c>
      <c r="AD298" s="1" t="n">
        <f aca="false">IF(G298=1,S298*(1+F_PenG)+Q298,IF(C298&lt;F_V,S298*(1+F_PenG),(Z298-AC298)*(1+AS_PenRet)))</f>
        <v>0</v>
      </c>
      <c r="AE298" s="1" t="n">
        <f aca="false">IF(C298&gt;=PR_SPage,AS_SP*F_SpF*I298+IF(AND(C298&gt;=PR_Over80Age,F_SpF&gt;0),PR_Over80*PR_Weeks*I298,0),0)</f>
        <v>0</v>
      </c>
      <c r="AF298" s="1" t="n">
        <f aca="false">(F_OtherM+F_RentM)*12*E298</f>
        <v>0</v>
      </c>
      <c r="AG298" s="1" t="n">
        <f aca="false">F_PAge+B298</f>
        <v>64</v>
      </c>
      <c r="AH298" s="1" t="n">
        <f aca="false">IF(AND(F_Partner=1,F_PAge&gt;0,AG298&lt;IF(F_PRet&gt;0,F_PRet,PR_SPage)),F_PIncome*F298,0)</f>
        <v>0</v>
      </c>
      <c r="AI298" s="1" t="n">
        <f aca="false">IF(AND(F_Partner=1,AG298&gt;=PR_SPage,F_PSpQA=0),AS_SP*F_PSpF*I298,0)</f>
        <v>0</v>
      </c>
      <c r="AJ298" s="1" t="n">
        <f aca="false">IF(AND(F_Partner=1,F_PSpQA=1,C298&gt;=PR_SPage,AH298=0),IF(AG298&gt;=PR_SPage,PR_QA66,PR_QAunder)*PR_Weeks*I298,0)</f>
        <v>0</v>
      </c>
      <c r="AK298" s="1" t="n">
        <f aca="false">AE298+AJ298</f>
        <v>0</v>
      </c>
      <c r="AL298" s="1" t="n">
        <f aca="false">K298/H298</f>
        <v>0</v>
      </c>
      <c r="AM298" s="1" t="n">
        <f aca="false">AK298/H298</f>
        <v>0</v>
      </c>
      <c r="AN298" s="1" t="n">
        <f aca="false">AC298/H298</f>
        <v>0</v>
      </c>
      <c r="AO298" s="1" t="n">
        <f aca="false">AF298/H298</f>
        <v>0</v>
      </c>
      <c r="AP298" s="1" t="n">
        <f aca="false">O298/H298</f>
        <v>0</v>
      </c>
      <c r="AQ298" s="1" t="n">
        <f aca="false">AH298/H298</f>
        <v>0</v>
      </c>
      <c r="AR298" s="1" t="n">
        <f aca="false">AI298/H298</f>
        <v>0</v>
      </c>
      <c r="AS298" s="1" t="n">
        <f aca="false">MAX(0,AL298+AN298+AO298+AM298-AP298)</f>
        <v>0</v>
      </c>
      <c r="AT298" s="1" t="n">
        <f aca="false">MAX(0,AQ298+AR298)</f>
        <v>0</v>
      </c>
      <c r="AU298" s="1" t="n">
        <f aca="false">MIN(PR_PAYE,PR_PAYEcap*(AL298+AN298+AM298))</f>
        <v>0</v>
      </c>
      <c r="AV298" s="1" t="n">
        <f aca="false">MIN(PR_PAYE,PR_PAYEcap*(AQ298+AR298))</f>
        <v>0</v>
      </c>
      <c r="AW298" s="1" t="n">
        <f aca="false">IF(C298&gt;=PR_AgeCrAge,PR_AgeCr,0)</f>
        <v>0</v>
      </c>
      <c r="AX298" s="1" t="n">
        <f aca="false">IF(AG298&gt;=PR_AgeCrAge,PR_AgeCr,0)</f>
        <v>0</v>
      </c>
      <c r="AY298" s="1" t="n">
        <f aca="false">IF(AND(F_RentCred=1,D298&lt;=PR_RentLast),1,0)</f>
        <v>0</v>
      </c>
      <c r="AZ298" s="1" t="n">
        <f aca="false">AS298+AT298</f>
        <v>0</v>
      </c>
      <c r="BA298" s="1" t="n">
        <f aca="false">PR_PersonalM+AU298+AV298+AW298+AX298+IF(AY298=1,PR_RentJoint,0)</f>
        <v>4000</v>
      </c>
      <c r="BB298" s="1" t="n">
        <f aca="false">PR_BandM+MIN(MIN(AS298,AT298),PR_Uplift)</f>
        <v>53000</v>
      </c>
      <c r="BC298" s="1" t="n">
        <f aca="false">MAX(0,PR_r1*MIN(AZ298,BB298)+PR_r2*MAX(0,AZ298-BB298)-BA298)</f>
        <v>0</v>
      </c>
      <c r="BD298" s="1" t="n">
        <f aca="false">MAX(0,PR_HomeCarer-MAX(0,MIN(AS298,AT298)-PR_HCLimit)/2)</f>
        <v>1950</v>
      </c>
      <c r="BE298" s="1" t="n">
        <f aca="false">IF(F_Carer=1,MIN(BC298,MAX(0,PR_r1*MIN(AZ298,PR_BandM)+PR_r2*MAX(0,AZ298-PR_BandM)-BA298-BD298)),BC298)</f>
        <v>0</v>
      </c>
      <c r="BF298" s="1" t="n">
        <f aca="false">IF(OR(C298&gt;=PR_AgeCrAge,AG298&gt;=PR_AgeCrAge),IF(AZ298&lt;=PR_AgeExM,0,MIN(BE298,PR_AgeMarg*(AZ298-PR_AgeExM))),BE298)</f>
        <v>0</v>
      </c>
      <c r="BG298" s="1" t="n">
        <f aca="false">MAX(0,PR_r1*MIN(AS298,IF(F_Spccc=1,PR_BandSPCCC,PR_Band))+PR_r2*MAX(0,AS298-IF(F_Spccc=1,PR_BandSPCCC,PR_Band))-(PR_Personal+AU298+AW298+IF(F_Spccc=1,PR_SPCCC,0)+IF(AY298=1,PR_Rent,0)))</f>
        <v>0</v>
      </c>
      <c r="BH298" s="1" t="n">
        <f aca="false">IF(C298&gt;=PR_AgeCrAge,IF(AS298&lt;=PR_AgeEx,0,MIN(BG298,PR_AgeMarg*(AS298-PR_AgeEx))),BG298)</f>
        <v>0</v>
      </c>
      <c r="BI298" s="1" t="n">
        <f aca="false">IF(F_Partner=1,MAX(0,PR_r1*MIN(AT298,PR_Band)+PR_r2*MAX(0,AT298-PR_Band)-(PR_Personal+AV298+AX298+IF(AND(AY298=1,AT298&gt;0),PR_Rent,0))),0)</f>
        <v>0</v>
      </c>
      <c r="BJ298" s="1" t="n">
        <f aca="false">IF(AG298&gt;=PR_AgeCrAge,IF(AT298&lt;=PR_AgeEx,0,MIN(BI298,PR_AgeMarg*(AT298-PR_AgeEx))),BI298)</f>
        <v>0</v>
      </c>
      <c r="BK298" s="1" t="n">
        <f aca="false">IF(F_Partner=1,IF(F_Married=1,BF298,BH298+BJ298),BH298)</f>
        <v>0</v>
      </c>
      <c r="BL298" s="1" t="n">
        <f aca="false">AL298+AN298+AO298</f>
        <v>0</v>
      </c>
      <c r="BM298" s="1" t="n">
        <f aca="false">IF(BL298&lt;=PR_USCex,0,IF(IF(AND(C298&gt;=PR_USCredAge,BL298&lt;=PR_USCredMax),1,0)=1,PR_USCr1*MIN(BL298,PR_USCredB1)+PR_USCredR2*MAX(0,BL298-PR_USCredB1),PR_USCr1*MIN(BL298,PR_USCb1)+PR_USCr2*MAX(0,MIN(BL298,PR_USCb2)-PR_USCb1)+PR_USCr3*MAX(0,MIN(BL298,PR_USCb3)-PR_USCb2)+PR_USCr4*MAX(0,BL298-PR_USCb3)))+IF(F_SelfEmp=1,PR_USCse*MAX(0,AL298-PR_USCseOver),0)</f>
        <v>0</v>
      </c>
      <c r="BN298" s="1" t="n">
        <f aca="false">AQ298</f>
        <v>0</v>
      </c>
      <c r="BO298" s="1" t="n">
        <f aca="false">IF(F_Partner=1,IF(BN298&lt;=PR_USCex,0,IF(IF(AND(AG298&gt;=PR_USCredAge,BN298&lt;=PR_USCredMax),1,0)=1,PR_USCr1*MIN(BN298,PR_USCredB1)+PR_USCredR2*MAX(0,BN298-PR_USCredB1),PR_USCr1*MIN(BN298,PR_USCb1)+PR_USCr2*MAX(0,MIN(BN298,PR_USCb2)-PR_USCb1)+PR_USCr3*MAX(0,MIN(BN298,PR_USCb3)-PR_USCb2)+PR_USCr4*MAX(0,BN298-PR_USCb3))),0)</f>
        <v>0</v>
      </c>
      <c r="BP298" s="1" t="n">
        <f aca="false">IF(C298&lt;PR_PRSIend,IF(F_SelfEmp=1,IF(AL298&gt;PR_PRSIsMinInc,MAX(PR_PRSIsMin,AL298*J298),0),IF(AL298/52&lt;=PR_PRSIfree,0,MAX(0,(AL298/52*J298-IF(AL298/52&lt;=PR_PRSIcreditTo,MAX(0,PR_PRSIcreditMax-(AL298/52-(PR_PRSIfree+0.01))/PR_PRSItaper),0))*52)))+J298*AN298+IF(AO298&gt;PR_PRSIunearned,J298*AO298,0),0)</f>
        <v>0</v>
      </c>
      <c r="BQ298" s="1" t="n">
        <f aca="false">IF(AND(F_Partner=1,AG298&lt;PR_PRSIend),IF(AQ298/52&lt;=PR_PRSIfree,0,MAX(0,(AQ298/52*J298-IF(AQ298/52&lt;=PR_PRSIcreditTo,MAX(0,PR_PRSIcreditMax-(AQ298/52-(PR_PRSIfree+0.01))/PR_PRSItaper),0))*52)),0)</f>
        <v>0</v>
      </c>
      <c r="BR298" s="1" t="n">
        <f aca="false">BK298+BM298+BO298+BP298+BQ298</f>
        <v>0</v>
      </c>
      <c r="BS298" s="1" t="n">
        <f aca="false">BR298*H298</f>
        <v>0</v>
      </c>
      <c r="BT298" s="1" t="n">
        <f aca="false">K298+AK298+AC298+AF298+AH298+AI298</f>
        <v>0</v>
      </c>
    </row>
    <row r="299" customFormat="false" ht="15" hidden="false" customHeight="true" outlineLevel="0" collapsed="false">
      <c r="B299" s="1" t="n">
        <v>65</v>
      </c>
      <c r="C299" s="1" t="n">
        <f aca="false">F_Age+B299</f>
        <v>65</v>
      </c>
      <c r="D299" s="1" t="n">
        <f aca="false">AS_Year0+B299</f>
        <v>2092</v>
      </c>
      <c r="E299" s="111" t="n">
        <f aca="false">(1+AS_Infl)^B299</f>
        <v>3.62252310814242</v>
      </c>
      <c r="F299" s="111" t="n">
        <f aca="false">(1+AS_Wage)^B299</f>
        <v>6.82998273458564</v>
      </c>
      <c r="G299" s="1" t="n">
        <f aca="false">IF(C299&lt;F_R,1,0)</f>
        <v>1</v>
      </c>
      <c r="H299" s="111" t="n">
        <f aca="false">IF(AS_Bands="flat",1,E299)</f>
        <v>3.62252310814242</v>
      </c>
      <c r="I299" s="111" t="n">
        <f aca="false">IF(AS_SpGrow="pay",F299,IF(AS_SpGrow="flat",1,E299))</f>
        <v>3.62252310814242</v>
      </c>
      <c r="J299" s="111" t="n">
        <f aca="false">(12*PR_PRSIr0+(PR_PRSIr1-PR_PRSIr0)*MAX(0,MIN(12,D299*12+12-PR_PRSIt1))+(PR_PRSIr2-PR_PRSIr1)*MAX(0,MIN(12,D299*12+12-PR_PRSIt2))+(PR_PRSIr3-PR_PRSIr2)*MAX(0,MIN(12,D299*12+12-PR_PRSIt3)))/12</f>
        <v>0.047</v>
      </c>
      <c r="K299" s="1" t="n">
        <f aca="false">IF(G299=1,F_Income*F299,0)</f>
        <v>0</v>
      </c>
      <c r="L299" s="1" t="n">
        <f aca="false">IF(G299=1,(F_Own+In_penExtra)*12*F299,0)</f>
        <v>0</v>
      </c>
      <c r="M299" s="1" t="n">
        <f aca="false">IF(G299=1,(F_PenM+In_penExtra)*12*F299,0)</f>
        <v>0</v>
      </c>
      <c r="N299" s="112" t="n">
        <f aca="false">IF(C299&lt;PR_RelA1,PR_RelP1,IF(C299&lt;PR_RelA2,PR_RelP2,IF(C299&lt;PR_RelA3,PR_RelP3,IF(C299&lt;PR_RelA4,PR_RelP4,IF(C299&lt;PR_RelA5,PR_RelP5,PR_RelP6)))))</f>
        <v>0.4</v>
      </c>
      <c r="O299" s="1" t="n">
        <f aca="false">IF(G299=1,MIN(L299/H299,N299*MIN(K299/H299,PR_EarnCap))*H299,0)</f>
        <v>0</v>
      </c>
      <c r="P299" s="1" t="n">
        <f aca="false">IF(AND(G299=1,F_AE=1),MIN(K299/H299,PR_AEcap)*H299,0)</f>
        <v>0</v>
      </c>
      <c r="Q299" s="1" t="n">
        <f aca="false">IF(G299=1,IF(WI_Retire=1,MAX(0,M299+WI_M*12),M299)+(PR_AEee+PR_AEer+PR_AEst)*P299,0)</f>
        <v>0</v>
      </c>
      <c r="R299" s="1" t="n">
        <f aca="false">L299+PR_AEee*P299</f>
        <v>0</v>
      </c>
      <c r="S299" s="1" t="n">
        <f aca="false">AD298</f>
        <v>0</v>
      </c>
      <c r="T299" s="1" t="n">
        <f aca="false">IF(D299&lt;=PR_SFTfrom,PR_SFT2026,IF(D299=PR_SFTfrom+1,PR_SFT2027,IF(D299=PR_SFTfrom+2,PR_SFT2028,IF(D299&lt;=PR_SFTto,PR_SFT2029,PR_SFT2029*(1+AS_Infl)^(D299-PR_SFTto)))))</f>
        <v>9749197.13840712</v>
      </c>
      <c r="U299" s="1" t="n">
        <f aca="false">IF(AND(G299=0,C299=F_V),1,0)</f>
        <v>0</v>
      </c>
      <c r="V299" s="1" t="n">
        <f aca="false">IF(U299=1,PR_SFTrate*MAX(0,S299-T299),0)</f>
        <v>0</v>
      </c>
      <c r="W299" s="1" t="n">
        <f aca="false">S299-V299</f>
        <v>0</v>
      </c>
      <c r="X299" s="1" t="n">
        <f aca="false">IF(AND(U299=1,AS_LumpPct&gt;0),W299*MIN(AS_LumpPct,PR_LSmax),0)</f>
        <v>0</v>
      </c>
      <c r="Y299" s="1" t="n">
        <f aca="false">X299-(PR_LSrate*MAX(0,MIN(X299,PR_LScap)-PR_LSfree)+PR_r2*MAX(0,X299-PR_LScap))</f>
        <v>0</v>
      </c>
      <c r="Z299" s="1" t="n">
        <f aca="false">W299-X299</f>
        <v>0</v>
      </c>
      <c r="AA299" s="112" t="n">
        <f aca="false">IF(C299&gt;=PR_ARFage1,IF(Z299&gt;PR_ARFbig,PR_ARFbigRate,IF(C299&gt;=PR_ARFage2,PR_ARF71,PR_ARF61)),0)</f>
        <v>0.04</v>
      </c>
      <c r="AB299" s="1" t="n">
        <f aca="false">IF(AS_DrawRule="min",Z299*AA299,IF(AS_DrawRule="fixed",MAX(AS_DrawFixed*E299,Z299*AA299),Z299*MAX(1/MAX(1,AS_End-C299+1),AA299)))</f>
        <v>0</v>
      </c>
      <c r="AC299" s="1" t="n">
        <f aca="false">IF(AND(G299=0,C299&gt;=F_V),MIN(Z299,AB299),0)</f>
        <v>0</v>
      </c>
      <c r="AD299" s="1" t="n">
        <f aca="false">IF(G299=1,S299*(1+F_PenG)+Q299,IF(C299&lt;F_V,S299*(1+F_PenG),(Z299-AC299)*(1+AS_PenRet)))</f>
        <v>0</v>
      </c>
      <c r="AE299" s="1" t="n">
        <f aca="false">IF(C299&gt;=PR_SPage,AS_SP*F_SpF*I299+IF(AND(C299&gt;=PR_Over80Age,F_SpF&gt;0),PR_Over80*PR_Weeks*I299,0),0)</f>
        <v>0</v>
      </c>
      <c r="AF299" s="1" t="n">
        <f aca="false">(F_OtherM+F_RentM)*12*E299</f>
        <v>0</v>
      </c>
      <c r="AG299" s="1" t="n">
        <f aca="false">F_PAge+B299</f>
        <v>65</v>
      </c>
      <c r="AH299" s="1" t="n">
        <f aca="false">IF(AND(F_Partner=1,F_PAge&gt;0,AG299&lt;IF(F_PRet&gt;0,F_PRet,PR_SPage)),F_PIncome*F299,0)</f>
        <v>0</v>
      </c>
      <c r="AI299" s="1" t="n">
        <f aca="false">IF(AND(F_Partner=1,AG299&gt;=PR_SPage,F_PSpQA=0),AS_SP*F_PSpF*I299,0)</f>
        <v>0</v>
      </c>
      <c r="AJ299" s="1" t="n">
        <f aca="false">IF(AND(F_Partner=1,F_PSpQA=1,C299&gt;=PR_SPage,AH299=0),IF(AG299&gt;=PR_SPage,PR_QA66,PR_QAunder)*PR_Weeks*I299,0)</f>
        <v>0</v>
      </c>
      <c r="AK299" s="1" t="n">
        <f aca="false">AE299+AJ299</f>
        <v>0</v>
      </c>
      <c r="AL299" s="1" t="n">
        <f aca="false">K299/H299</f>
        <v>0</v>
      </c>
      <c r="AM299" s="1" t="n">
        <f aca="false">AK299/H299</f>
        <v>0</v>
      </c>
      <c r="AN299" s="1" t="n">
        <f aca="false">AC299/H299</f>
        <v>0</v>
      </c>
      <c r="AO299" s="1" t="n">
        <f aca="false">AF299/H299</f>
        <v>0</v>
      </c>
      <c r="AP299" s="1" t="n">
        <f aca="false">O299/H299</f>
        <v>0</v>
      </c>
      <c r="AQ299" s="1" t="n">
        <f aca="false">AH299/H299</f>
        <v>0</v>
      </c>
      <c r="AR299" s="1" t="n">
        <f aca="false">AI299/H299</f>
        <v>0</v>
      </c>
      <c r="AS299" s="1" t="n">
        <f aca="false">MAX(0,AL299+AN299+AO299+AM299-AP299)</f>
        <v>0</v>
      </c>
      <c r="AT299" s="1" t="n">
        <f aca="false">MAX(0,AQ299+AR299)</f>
        <v>0</v>
      </c>
      <c r="AU299" s="1" t="n">
        <f aca="false">MIN(PR_PAYE,PR_PAYEcap*(AL299+AN299+AM299))</f>
        <v>0</v>
      </c>
      <c r="AV299" s="1" t="n">
        <f aca="false">MIN(PR_PAYE,PR_PAYEcap*(AQ299+AR299))</f>
        <v>0</v>
      </c>
      <c r="AW299" s="1" t="n">
        <f aca="false">IF(C299&gt;=PR_AgeCrAge,PR_AgeCr,0)</f>
        <v>245</v>
      </c>
      <c r="AX299" s="1" t="n">
        <f aca="false">IF(AG299&gt;=PR_AgeCrAge,PR_AgeCr,0)</f>
        <v>245</v>
      </c>
      <c r="AY299" s="1" t="n">
        <f aca="false">IF(AND(F_RentCred=1,D299&lt;=PR_RentLast),1,0)</f>
        <v>0</v>
      </c>
      <c r="AZ299" s="1" t="n">
        <f aca="false">AS299+AT299</f>
        <v>0</v>
      </c>
      <c r="BA299" s="1" t="n">
        <f aca="false">PR_PersonalM+AU299+AV299+AW299+AX299+IF(AY299=1,PR_RentJoint,0)</f>
        <v>4490</v>
      </c>
      <c r="BB299" s="1" t="n">
        <f aca="false">PR_BandM+MIN(MIN(AS299,AT299),PR_Uplift)</f>
        <v>53000</v>
      </c>
      <c r="BC299" s="1" t="n">
        <f aca="false">MAX(0,PR_r1*MIN(AZ299,BB299)+PR_r2*MAX(0,AZ299-BB299)-BA299)</f>
        <v>0</v>
      </c>
      <c r="BD299" s="1" t="n">
        <f aca="false">MAX(0,PR_HomeCarer-MAX(0,MIN(AS299,AT299)-PR_HCLimit)/2)</f>
        <v>1950</v>
      </c>
      <c r="BE299" s="1" t="n">
        <f aca="false">IF(F_Carer=1,MIN(BC299,MAX(0,PR_r1*MIN(AZ299,PR_BandM)+PR_r2*MAX(0,AZ299-PR_BandM)-BA299-BD299)),BC299)</f>
        <v>0</v>
      </c>
      <c r="BF299" s="1" t="n">
        <f aca="false">IF(OR(C299&gt;=PR_AgeCrAge,AG299&gt;=PR_AgeCrAge),IF(AZ299&lt;=PR_AgeExM,0,MIN(BE299,PR_AgeMarg*(AZ299-PR_AgeExM))),BE299)</f>
        <v>0</v>
      </c>
      <c r="BG299" s="1" t="n">
        <f aca="false">MAX(0,PR_r1*MIN(AS299,IF(F_Spccc=1,PR_BandSPCCC,PR_Band))+PR_r2*MAX(0,AS299-IF(F_Spccc=1,PR_BandSPCCC,PR_Band))-(PR_Personal+AU299+AW299+IF(F_Spccc=1,PR_SPCCC,0)+IF(AY299=1,PR_Rent,0)))</f>
        <v>0</v>
      </c>
      <c r="BH299" s="1" t="n">
        <f aca="false">IF(C299&gt;=PR_AgeCrAge,IF(AS299&lt;=PR_AgeEx,0,MIN(BG299,PR_AgeMarg*(AS299-PR_AgeEx))),BG299)</f>
        <v>0</v>
      </c>
      <c r="BI299" s="1" t="n">
        <f aca="false">IF(F_Partner=1,MAX(0,PR_r1*MIN(AT299,PR_Band)+PR_r2*MAX(0,AT299-PR_Band)-(PR_Personal+AV299+AX299+IF(AND(AY299=1,AT299&gt;0),PR_Rent,0))),0)</f>
        <v>0</v>
      </c>
      <c r="BJ299" s="1" t="n">
        <f aca="false">IF(AG299&gt;=PR_AgeCrAge,IF(AT299&lt;=PR_AgeEx,0,MIN(BI299,PR_AgeMarg*(AT299-PR_AgeEx))),BI299)</f>
        <v>0</v>
      </c>
      <c r="BK299" s="1" t="n">
        <f aca="false">IF(F_Partner=1,IF(F_Married=1,BF299,BH299+BJ299),BH299)</f>
        <v>0</v>
      </c>
      <c r="BL299" s="1" t="n">
        <f aca="false">AL299+AN299+AO299</f>
        <v>0</v>
      </c>
      <c r="BM299" s="1" t="n">
        <f aca="false">IF(BL299&lt;=PR_USCex,0,IF(IF(AND(C299&gt;=PR_USCredAge,BL299&lt;=PR_USCredMax),1,0)=1,PR_USCr1*MIN(BL299,PR_USCredB1)+PR_USCredR2*MAX(0,BL299-PR_USCredB1),PR_USCr1*MIN(BL299,PR_USCb1)+PR_USCr2*MAX(0,MIN(BL299,PR_USCb2)-PR_USCb1)+PR_USCr3*MAX(0,MIN(BL299,PR_USCb3)-PR_USCb2)+PR_USCr4*MAX(0,BL299-PR_USCb3)))+IF(F_SelfEmp=1,PR_USCse*MAX(0,AL299-PR_USCseOver),0)</f>
        <v>0</v>
      </c>
      <c r="BN299" s="1" t="n">
        <f aca="false">AQ299</f>
        <v>0</v>
      </c>
      <c r="BO299" s="1" t="n">
        <f aca="false">IF(F_Partner=1,IF(BN299&lt;=PR_USCex,0,IF(IF(AND(AG299&gt;=PR_USCredAge,BN299&lt;=PR_USCredMax),1,0)=1,PR_USCr1*MIN(BN299,PR_USCredB1)+PR_USCredR2*MAX(0,BN299-PR_USCredB1),PR_USCr1*MIN(BN299,PR_USCb1)+PR_USCr2*MAX(0,MIN(BN299,PR_USCb2)-PR_USCb1)+PR_USCr3*MAX(0,MIN(BN299,PR_USCb3)-PR_USCb2)+PR_USCr4*MAX(0,BN299-PR_USCb3))),0)</f>
        <v>0</v>
      </c>
      <c r="BP299" s="1" t="n">
        <f aca="false">IF(C299&lt;PR_PRSIend,IF(F_SelfEmp=1,IF(AL299&gt;PR_PRSIsMinInc,MAX(PR_PRSIsMin,AL299*J299),0),IF(AL299/52&lt;=PR_PRSIfree,0,MAX(0,(AL299/52*J299-IF(AL299/52&lt;=PR_PRSIcreditTo,MAX(0,PR_PRSIcreditMax-(AL299/52-(PR_PRSIfree+0.01))/PR_PRSItaper),0))*52)))+J299*AN299+IF(AO299&gt;PR_PRSIunearned,J299*AO299,0),0)</f>
        <v>0</v>
      </c>
      <c r="BQ299" s="1" t="n">
        <f aca="false">IF(AND(F_Partner=1,AG299&lt;PR_PRSIend),IF(AQ299/52&lt;=PR_PRSIfree,0,MAX(0,(AQ299/52*J299-IF(AQ299/52&lt;=PR_PRSIcreditTo,MAX(0,PR_PRSIcreditMax-(AQ299/52-(PR_PRSIfree+0.01))/PR_PRSItaper),0))*52)),0)</f>
        <v>0</v>
      </c>
      <c r="BR299" s="1" t="n">
        <f aca="false">BK299+BM299+BO299+BP299+BQ299</f>
        <v>0</v>
      </c>
      <c r="BS299" s="1" t="n">
        <f aca="false">BR299*H299</f>
        <v>0</v>
      </c>
      <c r="BT299" s="1" t="n">
        <f aca="false">K299+AK299+AC299+AF299+AH299+AI299</f>
        <v>0</v>
      </c>
    </row>
    <row r="300" customFormat="false" ht="15" hidden="false" customHeight="true" outlineLevel="0" collapsed="false">
      <c r="B300" s="1" t="n">
        <v>66</v>
      </c>
      <c r="C300" s="1" t="n">
        <f aca="false">F_Age+B300</f>
        <v>66</v>
      </c>
      <c r="D300" s="1" t="n">
        <f aca="false">AS_Year0+B300</f>
        <v>2093</v>
      </c>
      <c r="E300" s="111" t="n">
        <f aca="false">(1+AS_Infl)^B300</f>
        <v>3.69497357030527</v>
      </c>
      <c r="F300" s="111" t="n">
        <f aca="false">(1+AS_Wage)^B300</f>
        <v>7.03488221662321</v>
      </c>
      <c r="G300" s="1" t="n">
        <f aca="false">IF(C300&lt;F_R,1,0)</f>
        <v>0</v>
      </c>
      <c r="H300" s="111" t="n">
        <f aca="false">IF(AS_Bands="flat",1,E300)</f>
        <v>3.69497357030527</v>
      </c>
      <c r="I300" s="111" t="n">
        <f aca="false">IF(AS_SpGrow="pay",F300,IF(AS_SpGrow="flat",1,E300))</f>
        <v>3.69497357030527</v>
      </c>
      <c r="J300" s="111" t="n">
        <f aca="false">(12*PR_PRSIr0+(PR_PRSIr1-PR_PRSIr0)*MAX(0,MIN(12,D300*12+12-PR_PRSIt1))+(PR_PRSIr2-PR_PRSIr1)*MAX(0,MIN(12,D300*12+12-PR_PRSIt2))+(PR_PRSIr3-PR_PRSIr2)*MAX(0,MIN(12,D300*12+12-PR_PRSIt3)))/12</f>
        <v>0.047</v>
      </c>
      <c r="K300" s="1" t="n">
        <f aca="false">IF(G300=1,F_Income*F300,0)</f>
        <v>0</v>
      </c>
      <c r="L300" s="1" t="n">
        <f aca="false">IF(G300=1,(F_Own+In_penExtra)*12*F300,0)</f>
        <v>0</v>
      </c>
      <c r="M300" s="1" t="n">
        <f aca="false">IF(G300=1,(F_PenM+In_penExtra)*12*F300,0)</f>
        <v>0</v>
      </c>
      <c r="N300" s="112" t="n">
        <f aca="false">IF(C300&lt;PR_RelA1,PR_RelP1,IF(C300&lt;PR_RelA2,PR_RelP2,IF(C300&lt;PR_RelA3,PR_RelP3,IF(C300&lt;PR_RelA4,PR_RelP4,IF(C300&lt;PR_RelA5,PR_RelP5,PR_RelP6)))))</f>
        <v>0.4</v>
      </c>
      <c r="O300" s="1" t="n">
        <f aca="false">IF(G300=1,MIN(L300/H300,N300*MIN(K300/H300,PR_EarnCap))*H300,0)</f>
        <v>0</v>
      </c>
      <c r="P300" s="1" t="n">
        <f aca="false">IF(AND(G300=1,F_AE=1),MIN(K300/H300,PR_AEcap)*H300,0)</f>
        <v>0</v>
      </c>
      <c r="Q300" s="1" t="n">
        <f aca="false">IF(G300=1,IF(WI_Retire=1,MAX(0,M300+WI_M*12),M300)+(PR_AEee+PR_AEer+PR_AEst)*P300,0)</f>
        <v>0</v>
      </c>
      <c r="R300" s="1" t="n">
        <f aca="false">L300+PR_AEee*P300</f>
        <v>0</v>
      </c>
      <c r="S300" s="1" t="n">
        <f aca="false">AD299</f>
        <v>0</v>
      </c>
      <c r="T300" s="1" t="n">
        <f aca="false">IF(D300&lt;=PR_SFTfrom,PR_SFT2026,IF(D300=PR_SFTfrom+1,PR_SFT2027,IF(D300=PR_SFTfrom+2,PR_SFT2028,IF(D300&lt;=PR_SFTto,PR_SFT2029,PR_SFT2029*(1+AS_Infl)^(D300-PR_SFTto)))))</f>
        <v>9944181.08117526</v>
      </c>
      <c r="U300" s="1" t="n">
        <f aca="false">IF(AND(G300=0,C300=F_V),1,0)</f>
        <v>1</v>
      </c>
      <c r="V300" s="1" t="n">
        <f aca="false">IF(U300=1,PR_SFTrate*MAX(0,S300-T300),0)</f>
        <v>0</v>
      </c>
      <c r="W300" s="1" t="n">
        <f aca="false">S300-V300</f>
        <v>0</v>
      </c>
      <c r="X300" s="1" t="n">
        <f aca="false">IF(AND(U300=1,AS_LumpPct&gt;0),W300*MIN(AS_LumpPct,PR_LSmax),0)</f>
        <v>0</v>
      </c>
      <c r="Y300" s="1" t="n">
        <f aca="false">X300-(PR_LSrate*MAX(0,MIN(X300,PR_LScap)-PR_LSfree)+PR_r2*MAX(0,X300-PR_LScap))</f>
        <v>0</v>
      </c>
      <c r="Z300" s="1" t="n">
        <f aca="false">W300-X300</f>
        <v>0</v>
      </c>
      <c r="AA300" s="112" t="n">
        <f aca="false">IF(C300&gt;=PR_ARFage1,IF(Z300&gt;PR_ARFbig,PR_ARFbigRate,IF(C300&gt;=PR_ARFage2,PR_ARF71,PR_ARF61)),0)</f>
        <v>0.04</v>
      </c>
      <c r="AB300" s="1" t="n">
        <f aca="false">IF(AS_DrawRule="min",Z300*AA300,IF(AS_DrawRule="fixed",MAX(AS_DrawFixed*E300,Z300*AA300),Z300*MAX(1/MAX(1,AS_End-C300+1),AA300)))</f>
        <v>0</v>
      </c>
      <c r="AC300" s="1" t="n">
        <f aca="false">IF(AND(G300=0,C300&gt;=F_V),MIN(Z300,AB300),0)</f>
        <v>0</v>
      </c>
      <c r="AD300" s="1" t="n">
        <f aca="false">IF(G300=1,S300*(1+F_PenG)+Q300,IF(C300&lt;F_V,S300*(1+F_PenG),(Z300-AC300)*(1+AS_PenRet)))</f>
        <v>0</v>
      </c>
      <c r="AE300" s="1" t="n">
        <f aca="false">IF(C300&gt;=PR_SPage,AS_SP*F_SpF*I300+IF(AND(C300&gt;=PR_Over80Age,F_SpF&gt;0),PR_Over80*PR_Weeks*I300,0),0)</f>
        <v>46005.6725270424</v>
      </c>
      <c r="AF300" s="1" t="n">
        <f aca="false">(F_OtherM+F_RentM)*12*E300</f>
        <v>0</v>
      </c>
      <c r="AG300" s="1" t="n">
        <f aca="false">F_PAge+B300</f>
        <v>66</v>
      </c>
      <c r="AH300" s="1" t="n">
        <f aca="false">IF(AND(F_Partner=1,F_PAge&gt;0,AG300&lt;IF(F_PRet&gt;0,F_PRet,PR_SPage)),F_PIncome*F300,0)</f>
        <v>0</v>
      </c>
      <c r="AI300" s="1" t="n">
        <f aca="false">IF(AND(F_Partner=1,AG300&gt;=PR_SPage,F_PSpQA=0),AS_SP*F_PSpF*I300,0)</f>
        <v>0</v>
      </c>
      <c r="AJ300" s="1" t="n">
        <f aca="false">IF(AND(F_Partner=1,F_PSpQA=1,C300&gt;=PR_SPage,AH300=0),IF(AG300&gt;=PR_SPage,PR_QA66,PR_QAunder)*PR_Weeks*I300,0)</f>
        <v>0</v>
      </c>
      <c r="AK300" s="1" t="n">
        <f aca="false">AE300+AJ300</f>
        <v>46005.6725270424</v>
      </c>
      <c r="AL300" s="1" t="n">
        <f aca="false">K300/H300</f>
        <v>0</v>
      </c>
      <c r="AM300" s="1" t="n">
        <f aca="false">AK300/H300</f>
        <v>12450.88</v>
      </c>
      <c r="AN300" s="1" t="n">
        <f aca="false">AC300/H300</f>
        <v>0</v>
      </c>
      <c r="AO300" s="1" t="n">
        <f aca="false">AF300/H300</f>
        <v>0</v>
      </c>
      <c r="AP300" s="1" t="n">
        <f aca="false">O300/H300</f>
        <v>0</v>
      </c>
      <c r="AQ300" s="1" t="n">
        <f aca="false">AH300/H300</f>
        <v>0</v>
      </c>
      <c r="AR300" s="1" t="n">
        <f aca="false">AI300/H300</f>
        <v>0</v>
      </c>
      <c r="AS300" s="1" t="n">
        <f aca="false">MAX(0,AL300+AN300+AO300+AM300-AP300)</f>
        <v>12450.88</v>
      </c>
      <c r="AT300" s="1" t="n">
        <f aca="false">MAX(0,AQ300+AR300)</f>
        <v>0</v>
      </c>
      <c r="AU300" s="1" t="n">
        <f aca="false">MIN(PR_PAYE,PR_PAYEcap*(AL300+AN300+AM300))</f>
        <v>2000</v>
      </c>
      <c r="AV300" s="1" t="n">
        <f aca="false">MIN(PR_PAYE,PR_PAYEcap*(AQ300+AR300))</f>
        <v>0</v>
      </c>
      <c r="AW300" s="1" t="n">
        <f aca="false">IF(C300&gt;=PR_AgeCrAge,PR_AgeCr,0)</f>
        <v>245</v>
      </c>
      <c r="AX300" s="1" t="n">
        <f aca="false">IF(AG300&gt;=PR_AgeCrAge,PR_AgeCr,0)</f>
        <v>245</v>
      </c>
      <c r="AY300" s="1" t="n">
        <f aca="false">IF(AND(F_RentCred=1,D300&lt;=PR_RentLast),1,0)</f>
        <v>0</v>
      </c>
      <c r="AZ300" s="1" t="n">
        <f aca="false">AS300+AT300</f>
        <v>12450.88</v>
      </c>
      <c r="BA300" s="1" t="n">
        <f aca="false">PR_PersonalM+AU300+AV300+AW300+AX300+IF(AY300=1,PR_RentJoint,0)</f>
        <v>6490</v>
      </c>
      <c r="BB300" s="1" t="n">
        <f aca="false">PR_BandM+MIN(MIN(AS300,AT300),PR_Uplift)</f>
        <v>53000</v>
      </c>
      <c r="BC300" s="1" t="n">
        <f aca="false">MAX(0,PR_r1*MIN(AZ300,BB300)+PR_r2*MAX(0,AZ300-BB300)-BA300)</f>
        <v>0</v>
      </c>
      <c r="BD300" s="1" t="n">
        <f aca="false">MAX(0,PR_HomeCarer-MAX(0,MIN(AS300,AT300)-PR_HCLimit)/2)</f>
        <v>1950</v>
      </c>
      <c r="BE300" s="1" t="n">
        <f aca="false">IF(F_Carer=1,MIN(BC300,MAX(0,PR_r1*MIN(AZ300,PR_BandM)+PR_r2*MAX(0,AZ300-PR_BandM)-BA300-BD300)),BC300)</f>
        <v>0</v>
      </c>
      <c r="BF300" s="1" t="n">
        <f aca="false">IF(OR(C300&gt;=PR_AgeCrAge,AG300&gt;=PR_AgeCrAge),IF(AZ300&lt;=PR_AgeExM,0,MIN(BE300,PR_AgeMarg*(AZ300-PR_AgeExM))),BE300)</f>
        <v>0</v>
      </c>
      <c r="BG300" s="1" t="n">
        <f aca="false">MAX(0,PR_r1*MIN(AS300,IF(F_Spccc=1,PR_BandSPCCC,PR_Band))+PR_r2*MAX(0,AS300-IF(F_Spccc=1,PR_BandSPCCC,PR_Band))-(PR_Personal+AU300+AW300+IF(F_Spccc=1,PR_SPCCC,0)+IF(AY300=1,PR_Rent,0)))</f>
        <v>0</v>
      </c>
      <c r="BH300" s="1" t="n">
        <f aca="false">IF(C300&gt;=PR_AgeCrAge,IF(AS300&lt;=PR_AgeEx,0,MIN(BG300,PR_AgeMarg*(AS300-PR_AgeEx))),BG300)</f>
        <v>0</v>
      </c>
      <c r="BI300" s="1" t="n">
        <f aca="false">IF(F_Partner=1,MAX(0,PR_r1*MIN(AT300,PR_Band)+PR_r2*MAX(0,AT300-PR_Band)-(PR_Personal+AV300+AX300+IF(AND(AY300=1,AT300&gt;0),PR_Rent,0))),0)</f>
        <v>0</v>
      </c>
      <c r="BJ300" s="1" t="n">
        <f aca="false">IF(AG300&gt;=PR_AgeCrAge,IF(AT300&lt;=PR_AgeEx,0,MIN(BI300,PR_AgeMarg*(AT300-PR_AgeEx))),BI300)</f>
        <v>0</v>
      </c>
      <c r="BK300" s="1" t="n">
        <f aca="false">IF(F_Partner=1,IF(F_Married=1,BF300,BH300+BJ300),BH300)</f>
        <v>0</v>
      </c>
      <c r="BL300" s="1" t="n">
        <f aca="false">AL300+AN300+AO300</f>
        <v>0</v>
      </c>
      <c r="BM300" s="1" t="n">
        <f aca="false">IF(BL300&lt;=PR_USCex,0,IF(IF(AND(C300&gt;=PR_USCredAge,BL300&lt;=PR_USCredMax),1,0)=1,PR_USCr1*MIN(BL300,PR_USCredB1)+PR_USCredR2*MAX(0,BL300-PR_USCredB1),PR_USCr1*MIN(BL300,PR_USCb1)+PR_USCr2*MAX(0,MIN(BL300,PR_USCb2)-PR_USCb1)+PR_USCr3*MAX(0,MIN(BL300,PR_USCb3)-PR_USCb2)+PR_USCr4*MAX(0,BL300-PR_USCb3)))+IF(F_SelfEmp=1,PR_USCse*MAX(0,AL300-PR_USCseOver),0)</f>
        <v>0</v>
      </c>
      <c r="BN300" s="1" t="n">
        <f aca="false">AQ300</f>
        <v>0</v>
      </c>
      <c r="BO300" s="1" t="n">
        <f aca="false">IF(F_Partner=1,IF(BN300&lt;=PR_USCex,0,IF(IF(AND(AG300&gt;=PR_USCredAge,BN300&lt;=PR_USCredMax),1,0)=1,PR_USCr1*MIN(BN300,PR_USCredB1)+PR_USCredR2*MAX(0,BN300-PR_USCredB1),PR_USCr1*MIN(BN300,PR_USCb1)+PR_USCr2*MAX(0,MIN(BN300,PR_USCb2)-PR_USCb1)+PR_USCr3*MAX(0,MIN(BN300,PR_USCb3)-PR_USCb2)+PR_USCr4*MAX(0,BN300-PR_USCb3))),0)</f>
        <v>0</v>
      </c>
      <c r="BP300" s="1" t="n">
        <f aca="false">IF(C300&lt;PR_PRSIend,IF(F_SelfEmp=1,IF(AL300&gt;PR_PRSIsMinInc,MAX(PR_PRSIsMin,AL300*J300),0),IF(AL300/52&lt;=PR_PRSIfree,0,MAX(0,(AL300/52*J300-IF(AL300/52&lt;=PR_PRSIcreditTo,MAX(0,PR_PRSIcreditMax-(AL300/52-(PR_PRSIfree+0.01))/PR_PRSItaper),0))*52)))+J300*AN300+IF(AO300&gt;PR_PRSIunearned,J300*AO300,0),0)</f>
        <v>0</v>
      </c>
      <c r="BQ300" s="1" t="n">
        <f aca="false">IF(AND(F_Partner=1,AG300&lt;PR_PRSIend),IF(AQ300/52&lt;=PR_PRSIfree,0,MAX(0,(AQ300/52*J300-IF(AQ300/52&lt;=PR_PRSIcreditTo,MAX(0,PR_PRSIcreditMax-(AQ300/52-(PR_PRSIfree+0.01))/PR_PRSItaper),0))*52)),0)</f>
        <v>0</v>
      </c>
      <c r="BR300" s="1" t="n">
        <f aca="false">BK300+BM300+BO300+BP300+BQ300</f>
        <v>0</v>
      </c>
      <c r="BS300" s="1" t="n">
        <f aca="false">BR300*H300</f>
        <v>0</v>
      </c>
      <c r="BT300" s="1" t="n">
        <f aca="false">K300+AK300+AC300+AF300+AH300+AI300</f>
        <v>46005.6725270424</v>
      </c>
    </row>
    <row r="301" customFormat="false" ht="15" hidden="false" customHeight="true" outlineLevel="0" collapsed="false">
      <c r="B301" s="1" t="n">
        <v>67</v>
      </c>
      <c r="C301" s="1" t="n">
        <f aca="false">F_Age+B301</f>
        <v>67</v>
      </c>
      <c r="D301" s="1" t="n">
        <f aca="false">AS_Year0+B301</f>
        <v>2094</v>
      </c>
      <c r="E301" s="111" t="n">
        <f aca="false">(1+AS_Infl)^B301</f>
        <v>3.76887304171137</v>
      </c>
      <c r="F301" s="111" t="n">
        <f aca="false">(1+AS_Wage)^B301</f>
        <v>7.24592868312191</v>
      </c>
      <c r="G301" s="1" t="n">
        <f aca="false">IF(C301&lt;F_R,1,0)</f>
        <v>0</v>
      </c>
      <c r="H301" s="111" t="n">
        <f aca="false">IF(AS_Bands="flat",1,E301)</f>
        <v>3.76887304171137</v>
      </c>
      <c r="I301" s="111" t="n">
        <f aca="false">IF(AS_SpGrow="pay",F301,IF(AS_SpGrow="flat",1,E301))</f>
        <v>3.76887304171137</v>
      </c>
      <c r="J301" s="111" t="n">
        <f aca="false">(12*PR_PRSIr0+(PR_PRSIr1-PR_PRSIr0)*MAX(0,MIN(12,D301*12+12-PR_PRSIt1))+(PR_PRSIr2-PR_PRSIr1)*MAX(0,MIN(12,D301*12+12-PR_PRSIt2))+(PR_PRSIr3-PR_PRSIr2)*MAX(0,MIN(12,D301*12+12-PR_PRSIt3)))/12</f>
        <v>0.047</v>
      </c>
      <c r="K301" s="1" t="n">
        <f aca="false">IF(G301=1,F_Income*F301,0)</f>
        <v>0</v>
      </c>
      <c r="L301" s="1" t="n">
        <f aca="false">IF(G301=1,(F_Own+In_penExtra)*12*F301,0)</f>
        <v>0</v>
      </c>
      <c r="M301" s="1" t="n">
        <f aca="false">IF(G301=1,(F_PenM+In_penExtra)*12*F301,0)</f>
        <v>0</v>
      </c>
      <c r="N301" s="112" t="n">
        <f aca="false">IF(C301&lt;PR_RelA1,PR_RelP1,IF(C301&lt;PR_RelA2,PR_RelP2,IF(C301&lt;PR_RelA3,PR_RelP3,IF(C301&lt;PR_RelA4,PR_RelP4,IF(C301&lt;PR_RelA5,PR_RelP5,PR_RelP6)))))</f>
        <v>0.4</v>
      </c>
      <c r="O301" s="1" t="n">
        <f aca="false">IF(G301=1,MIN(L301/H301,N301*MIN(K301/H301,PR_EarnCap))*H301,0)</f>
        <v>0</v>
      </c>
      <c r="P301" s="1" t="n">
        <f aca="false">IF(AND(G301=1,F_AE=1),MIN(K301/H301,PR_AEcap)*H301,0)</f>
        <v>0</v>
      </c>
      <c r="Q301" s="1" t="n">
        <f aca="false">IF(G301=1,IF(WI_Retire=1,MAX(0,M301+WI_M*12),M301)+(PR_AEee+PR_AEer+PR_AEst)*P301,0)</f>
        <v>0</v>
      </c>
      <c r="R301" s="1" t="n">
        <f aca="false">L301+PR_AEee*P301</f>
        <v>0</v>
      </c>
      <c r="S301" s="1" t="n">
        <f aca="false">AD300</f>
        <v>0</v>
      </c>
      <c r="T301" s="1" t="n">
        <f aca="false">IF(D301&lt;=PR_SFTfrom,PR_SFT2026,IF(D301=PR_SFTfrom+1,PR_SFT2027,IF(D301=PR_SFTfrom+2,PR_SFT2028,IF(D301&lt;=PR_SFTto,PR_SFT2029,PR_SFT2029*(1+AS_Infl)^(D301-PR_SFTto)))))</f>
        <v>10143064.7027988</v>
      </c>
      <c r="U301" s="1" t="n">
        <f aca="false">IF(AND(G301=0,C301=F_V),1,0)</f>
        <v>0</v>
      </c>
      <c r="V301" s="1" t="n">
        <f aca="false">IF(U301=1,PR_SFTrate*MAX(0,S301-T301),0)</f>
        <v>0</v>
      </c>
      <c r="W301" s="1" t="n">
        <f aca="false">S301-V301</f>
        <v>0</v>
      </c>
      <c r="X301" s="1" t="n">
        <f aca="false">IF(AND(U301=1,AS_LumpPct&gt;0),W301*MIN(AS_LumpPct,PR_LSmax),0)</f>
        <v>0</v>
      </c>
      <c r="Y301" s="1" t="n">
        <f aca="false">X301-(PR_LSrate*MAX(0,MIN(X301,PR_LScap)-PR_LSfree)+PR_r2*MAX(0,X301-PR_LScap))</f>
        <v>0</v>
      </c>
      <c r="Z301" s="1" t="n">
        <f aca="false">W301-X301</f>
        <v>0</v>
      </c>
      <c r="AA301" s="112" t="n">
        <f aca="false">IF(C301&gt;=PR_ARFage1,IF(Z301&gt;PR_ARFbig,PR_ARFbigRate,IF(C301&gt;=PR_ARFage2,PR_ARF71,PR_ARF61)),0)</f>
        <v>0.04</v>
      </c>
      <c r="AB301" s="1" t="n">
        <f aca="false">IF(AS_DrawRule="min",Z301*AA301,IF(AS_DrawRule="fixed",MAX(AS_DrawFixed*E301,Z301*AA301),Z301*MAX(1/MAX(1,AS_End-C301+1),AA301)))</f>
        <v>0</v>
      </c>
      <c r="AC301" s="1" t="n">
        <f aca="false">IF(AND(G301=0,C301&gt;=F_V),MIN(Z301,AB301),0)</f>
        <v>0</v>
      </c>
      <c r="AD301" s="1" t="n">
        <f aca="false">IF(G301=1,S301*(1+F_PenG)+Q301,IF(C301&lt;F_V,S301*(1+F_PenG),(Z301-AC301)*(1+AS_PenRet)))</f>
        <v>0</v>
      </c>
      <c r="AE301" s="1" t="n">
        <f aca="false">IF(C301&gt;=PR_SPage,AS_SP*F_SpF*I301+IF(AND(C301&gt;=PR_Over80Age,F_SpF&gt;0),PR_Over80*PR_Weeks*I301,0),0)</f>
        <v>46925.7859775833</v>
      </c>
      <c r="AF301" s="1" t="n">
        <f aca="false">(F_OtherM+F_RentM)*12*E301</f>
        <v>0</v>
      </c>
      <c r="AG301" s="1" t="n">
        <f aca="false">F_PAge+B301</f>
        <v>67</v>
      </c>
      <c r="AH301" s="1" t="n">
        <f aca="false">IF(AND(F_Partner=1,F_PAge&gt;0,AG301&lt;IF(F_PRet&gt;0,F_PRet,PR_SPage)),F_PIncome*F301,0)</f>
        <v>0</v>
      </c>
      <c r="AI301" s="1" t="n">
        <f aca="false">IF(AND(F_Partner=1,AG301&gt;=PR_SPage,F_PSpQA=0),AS_SP*F_PSpF*I301,0)</f>
        <v>0</v>
      </c>
      <c r="AJ301" s="1" t="n">
        <f aca="false">IF(AND(F_Partner=1,F_PSpQA=1,C301&gt;=PR_SPage,AH301=0),IF(AG301&gt;=PR_SPage,PR_QA66,PR_QAunder)*PR_Weeks*I301,0)</f>
        <v>0</v>
      </c>
      <c r="AK301" s="1" t="n">
        <f aca="false">AE301+AJ301</f>
        <v>46925.7859775833</v>
      </c>
      <c r="AL301" s="1" t="n">
        <f aca="false">K301/H301</f>
        <v>0</v>
      </c>
      <c r="AM301" s="1" t="n">
        <f aca="false">AK301/H301</f>
        <v>12450.88</v>
      </c>
      <c r="AN301" s="1" t="n">
        <f aca="false">AC301/H301</f>
        <v>0</v>
      </c>
      <c r="AO301" s="1" t="n">
        <f aca="false">AF301/H301</f>
        <v>0</v>
      </c>
      <c r="AP301" s="1" t="n">
        <f aca="false">O301/H301</f>
        <v>0</v>
      </c>
      <c r="AQ301" s="1" t="n">
        <f aca="false">AH301/H301</f>
        <v>0</v>
      </c>
      <c r="AR301" s="1" t="n">
        <f aca="false">AI301/H301</f>
        <v>0</v>
      </c>
      <c r="AS301" s="1" t="n">
        <f aca="false">MAX(0,AL301+AN301+AO301+AM301-AP301)</f>
        <v>12450.88</v>
      </c>
      <c r="AT301" s="1" t="n">
        <f aca="false">MAX(0,AQ301+AR301)</f>
        <v>0</v>
      </c>
      <c r="AU301" s="1" t="n">
        <f aca="false">MIN(PR_PAYE,PR_PAYEcap*(AL301+AN301+AM301))</f>
        <v>2000</v>
      </c>
      <c r="AV301" s="1" t="n">
        <f aca="false">MIN(PR_PAYE,PR_PAYEcap*(AQ301+AR301))</f>
        <v>0</v>
      </c>
      <c r="AW301" s="1" t="n">
        <f aca="false">IF(C301&gt;=PR_AgeCrAge,PR_AgeCr,0)</f>
        <v>245</v>
      </c>
      <c r="AX301" s="1" t="n">
        <f aca="false">IF(AG301&gt;=PR_AgeCrAge,PR_AgeCr,0)</f>
        <v>245</v>
      </c>
      <c r="AY301" s="1" t="n">
        <f aca="false">IF(AND(F_RentCred=1,D301&lt;=PR_RentLast),1,0)</f>
        <v>0</v>
      </c>
      <c r="AZ301" s="1" t="n">
        <f aca="false">AS301+AT301</f>
        <v>12450.88</v>
      </c>
      <c r="BA301" s="1" t="n">
        <f aca="false">PR_PersonalM+AU301+AV301+AW301+AX301+IF(AY301=1,PR_RentJoint,0)</f>
        <v>6490</v>
      </c>
      <c r="BB301" s="1" t="n">
        <f aca="false">PR_BandM+MIN(MIN(AS301,AT301),PR_Uplift)</f>
        <v>53000</v>
      </c>
      <c r="BC301" s="1" t="n">
        <f aca="false">MAX(0,PR_r1*MIN(AZ301,BB301)+PR_r2*MAX(0,AZ301-BB301)-BA301)</f>
        <v>0</v>
      </c>
      <c r="BD301" s="1" t="n">
        <f aca="false">MAX(0,PR_HomeCarer-MAX(0,MIN(AS301,AT301)-PR_HCLimit)/2)</f>
        <v>1950</v>
      </c>
      <c r="BE301" s="1" t="n">
        <f aca="false">IF(F_Carer=1,MIN(BC301,MAX(0,PR_r1*MIN(AZ301,PR_BandM)+PR_r2*MAX(0,AZ301-PR_BandM)-BA301-BD301)),BC301)</f>
        <v>0</v>
      </c>
      <c r="BF301" s="1" t="n">
        <f aca="false">IF(OR(C301&gt;=PR_AgeCrAge,AG301&gt;=PR_AgeCrAge),IF(AZ301&lt;=PR_AgeExM,0,MIN(BE301,PR_AgeMarg*(AZ301-PR_AgeExM))),BE301)</f>
        <v>0</v>
      </c>
      <c r="BG301" s="1" t="n">
        <f aca="false">MAX(0,PR_r1*MIN(AS301,IF(F_Spccc=1,PR_BandSPCCC,PR_Band))+PR_r2*MAX(0,AS301-IF(F_Spccc=1,PR_BandSPCCC,PR_Band))-(PR_Personal+AU301+AW301+IF(F_Spccc=1,PR_SPCCC,0)+IF(AY301=1,PR_Rent,0)))</f>
        <v>0</v>
      </c>
      <c r="BH301" s="1" t="n">
        <f aca="false">IF(C301&gt;=PR_AgeCrAge,IF(AS301&lt;=PR_AgeEx,0,MIN(BG301,PR_AgeMarg*(AS301-PR_AgeEx))),BG301)</f>
        <v>0</v>
      </c>
      <c r="BI301" s="1" t="n">
        <f aca="false">IF(F_Partner=1,MAX(0,PR_r1*MIN(AT301,PR_Band)+PR_r2*MAX(0,AT301-PR_Band)-(PR_Personal+AV301+AX301+IF(AND(AY301=1,AT301&gt;0),PR_Rent,0))),0)</f>
        <v>0</v>
      </c>
      <c r="BJ301" s="1" t="n">
        <f aca="false">IF(AG301&gt;=PR_AgeCrAge,IF(AT301&lt;=PR_AgeEx,0,MIN(BI301,PR_AgeMarg*(AT301-PR_AgeEx))),BI301)</f>
        <v>0</v>
      </c>
      <c r="BK301" s="1" t="n">
        <f aca="false">IF(F_Partner=1,IF(F_Married=1,BF301,BH301+BJ301),BH301)</f>
        <v>0</v>
      </c>
      <c r="BL301" s="1" t="n">
        <f aca="false">AL301+AN301+AO301</f>
        <v>0</v>
      </c>
      <c r="BM301" s="1" t="n">
        <f aca="false">IF(BL301&lt;=PR_USCex,0,IF(IF(AND(C301&gt;=PR_USCredAge,BL301&lt;=PR_USCredMax),1,0)=1,PR_USCr1*MIN(BL301,PR_USCredB1)+PR_USCredR2*MAX(0,BL301-PR_USCredB1),PR_USCr1*MIN(BL301,PR_USCb1)+PR_USCr2*MAX(0,MIN(BL301,PR_USCb2)-PR_USCb1)+PR_USCr3*MAX(0,MIN(BL301,PR_USCb3)-PR_USCb2)+PR_USCr4*MAX(0,BL301-PR_USCb3)))+IF(F_SelfEmp=1,PR_USCse*MAX(0,AL301-PR_USCseOver),0)</f>
        <v>0</v>
      </c>
      <c r="BN301" s="1" t="n">
        <f aca="false">AQ301</f>
        <v>0</v>
      </c>
      <c r="BO301" s="1" t="n">
        <f aca="false">IF(F_Partner=1,IF(BN301&lt;=PR_USCex,0,IF(IF(AND(AG301&gt;=PR_USCredAge,BN301&lt;=PR_USCredMax),1,0)=1,PR_USCr1*MIN(BN301,PR_USCredB1)+PR_USCredR2*MAX(0,BN301-PR_USCredB1),PR_USCr1*MIN(BN301,PR_USCb1)+PR_USCr2*MAX(0,MIN(BN301,PR_USCb2)-PR_USCb1)+PR_USCr3*MAX(0,MIN(BN301,PR_USCb3)-PR_USCb2)+PR_USCr4*MAX(0,BN301-PR_USCb3))),0)</f>
        <v>0</v>
      </c>
      <c r="BP301" s="1" t="n">
        <f aca="false">IF(C301&lt;PR_PRSIend,IF(F_SelfEmp=1,IF(AL301&gt;PR_PRSIsMinInc,MAX(PR_PRSIsMin,AL301*J301),0),IF(AL301/52&lt;=PR_PRSIfree,0,MAX(0,(AL301/52*J301-IF(AL301/52&lt;=PR_PRSIcreditTo,MAX(0,PR_PRSIcreditMax-(AL301/52-(PR_PRSIfree+0.01))/PR_PRSItaper),0))*52)))+J301*AN301+IF(AO301&gt;PR_PRSIunearned,J301*AO301,0),0)</f>
        <v>0</v>
      </c>
      <c r="BQ301" s="1" t="n">
        <f aca="false">IF(AND(F_Partner=1,AG301&lt;PR_PRSIend),IF(AQ301/52&lt;=PR_PRSIfree,0,MAX(0,(AQ301/52*J301-IF(AQ301/52&lt;=PR_PRSIcreditTo,MAX(0,PR_PRSIcreditMax-(AQ301/52-(PR_PRSIfree+0.01))/PR_PRSItaper),0))*52)),0)</f>
        <v>0</v>
      </c>
      <c r="BR301" s="1" t="n">
        <f aca="false">BK301+BM301+BO301+BP301+BQ301</f>
        <v>0</v>
      </c>
      <c r="BS301" s="1" t="n">
        <f aca="false">BR301*H301</f>
        <v>0</v>
      </c>
      <c r="BT301" s="1" t="n">
        <f aca="false">K301+AK301+AC301+AF301+AH301+AI301</f>
        <v>46925.7859775833</v>
      </c>
    </row>
    <row r="302" customFormat="false" ht="15" hidden="false" customHeight="true" outlineLevel="0" collapsed="false">
      <c r="B302" s="1" t="n">
        <v>68</v>
      </c>
      <c r="C302" s="1" t="n">
        <f aca="false">F_Age+B302</f>
        <v>68</v>
      </c>
      <c r="D302" s="1" t="n">
        <f aca="false">AS_Year0+B302</f>
        <v>2095</v>
      </c>
      <c r="E302" s="111" t="n">
        <f aca="false">(1+AS_Infl)^B302</f>
        <v>3.8442505025456</v>
      </c>
      <c r="F302" s="111" t="n">
        <f aca="false">(1+AS_Wage)^B302</f>
        <v>7.46330654361556</v>
      </c>
      <c r="G302" s="1" t="n">
        <f aca="false">IF(C302&lt;F_R,1,0)</f>
        <v>0</v>
      </c>
      <c r="H302" s="111" t="n">
        <f aca="false">IF(AS_Bands="flat",1,E302)</f>
        <v>3.8442505025456</v>
      </c>
      <c r="I302" s="111" t="n">
        <f aca="false">IF(AS_SpGrow="pay",F302,IF(AS_SpGrow="flat",1,E302))</f>
        <v>3.8442505025456</v>
      </c>
      <c r="J302" s="111" t="n">
        <f aca="false">(12*PR_PRSIr0+(PR_PRSIr1-PR_PRSIr0)*MAX(0,MIN(12,D302*12+12-PR_PRSIt1))+(PR_PRSIr2-PR_PRSIr1)*MAX(0,MIN(12,D302*12+12-PR_PRSIt2))+(PR_PRSIr3-PR_PRSIr2)*MAX(0,MIN(12,D302*12+12-PR_PRSIt3)))/12</f>
        <v>0.047</v>
      </c>
      <c r="K302" s="1" t="n">
        <f aca="false">IF(G302=1,F_Income*F302,0)</f>
        <v>0</v>
      </c>
      <c r="L302" s="1" t="n">
        <f aca="false">IF(G302=1,(F_Own+In_penExtra)*12*F302,0)</f>
        <v>0</v>
      </c>
      <c r="M302" s="1" t="n">
        <f aca="false">IF(G302=1,(F_PenM+In_penExtra)*12*F302,0)</f>
        <v>0</v>
      </c>
      <c r="N302" s="112" t="n">
        <f aca="false">IF(C302&lt;PR_RelA1,PR_RelP1,IF(C302&lt;PR_RelA2,PR_RelP2,IF(C302&lt;PR_RelA3,PR_RelP3,IF(C302&lt;PR_RelA4,PR_RelP4,IF(C302&lt;PR_RelA5,PR_RelP5,PR_RelP6)))))</f>
        <v>0.4</v>
      </c>
      <c r="O302" s="1" t="n">
        <f aca="false">IF(G302=1,MIN(L302/H302,N302*MIN(K302/H302,PR_EarnCap))*H302,0)</f>
        <v>0</v>
      </c>
      <c r="P302" s="1" t="n">
        <f aca="false">IF(AND(G302=1,F_AE=1),MIN(K302/H302,PR_AEcap)*H302,0)</f>
        <v>0</v>
      </c>
      <c r="Q302" s="1" t="n">
        <f aca="false">IF(G302=1,IF(WI_Retire=1,MAX(0,M302+WI_M*12),M302)+(PR_AEee+PR_AEer+PR_AEst)*P302,0)</f>
        <v>0</v>
      </c>
      <c r="R302" s="1" t="n">
        <f aca="false">L302+PR_AEee*P302</f>
        <v>0</v>
      </c>
      <c r="S302" s="1" t="n">
        <f aca="false">AD301</f>
        <v>0</v>
      </c>
      <c r="T302" s="1" t="n">
        <f aca="false">IF(D302&lt;=PR_SFTfrom,PR_SFT2026,IF(D302=PR_SFTfrom+1,PR_SFT2027,IF(D302=PR_SFTfrom+2,PR_SFT2028,IF(D302&lt;=PR_SFTto,PR_SFT2029,PR_SFT2029*(1+AS_Infl)^(D302-PR_SFTto)))))</f>
        <v>10345925.9968547</v>
      </c>
      <c r="U302" s="1" t="n">
        <f aca="false">IF(AND(G302=0,C302=F_V),1,0)</f>
        <v>0</v>
      </c>
      <c r="V302" s="1" t="n">
        <f aca="false">IF(U302=1,PR_SFTrate*MAX(0,S302-T302),0)</f>
        <v>0</v>
      </c>
      <c r="W302" s="1" t="n">
        <f aca="false">S302-V302</f>
        <v>0</v>
      </c>
      <c r="X302" s="1" t="n">
        <f aca="false">IF(AND(U302=1,AS_LumpPct&gt;0),W302*MIN(AS_LumpPct,PR_LSmax),0)</f>
        <v>0</v>
      </c>
      <c r="Y302" s="1" t="n">
        <f aca="false">X302-(PR_LSrate*MAX(0,MIN(X302,PR_LScap)-PR_LSfree)+PR_r2*MAX(0,X302-PR_LScap))</f>
        <v>0</v>
      </c>
      <c r="Z302" s="1" t="n">
        <f aca="false">W302-X302</f>
        <v>0</v>
      </c>
      <c r="AA302" s="112" t="n">
        <f aca="false">IF(C302&gt;=PR_ARFage1,IF(Z302&gt;PR_ARFbig,PR_ARFbigRate,IF(C302&gt;=PR_ARFage2,PR_ARF71,PR_ARF61)),0)</f>
        <v>0.04</v>
      </c>
      <c r="AB302" s="1" t="n">
        <f aca="false">IF(AS_DrawRule="min",Z302*AA302,IF(AS_DrawRule="fixed",MAX(AS_DrawFixed*E302,Z302*AA302),Z302*MAX(1/MAX(1,AS_End-C302+1),AA302)))</f>
        <v>0</v>
      </c>
      <c r="AC302" s="1" t="n">
        <f aca="false">IF(AND(G302=0,C302&gt;=F_V),MIN(Z302,AB302),0)</f>
        <v>0</v>
      </c>
      <c r="AD302" s="1" t="n">
        <f aca="false">IF(G302=1,S302*(1+F_PenG)+Q302,IF(C302&lt;F_V,S302*(1+F_PenG),(Z302-AC302)*(1+AS_PenRet)))</f>
        <v>0</v>
      </c>
      <c r="AE302" s="1" t="n">
        <f aca="false">IF(C302&gt;=PR_SPage,AS_SP*F_SpF*I302+IF(AND(C302&gt;=PR_Over80Age,F_SpF&gt;0),PR_Over80*PR_Weeks*I302,0),0)</f>
        <v>47864.3016971349</v>
      </c>
      <c r="AF302" s="1" t="n">
        <f aca="false">(F_OtherM+F_RentM)*12*E302</f>
        <v>0</v>
      </c>
      <c r="AG302" s="1" t="n">
        <f aca="false">F_PAge+B302</f>
        <v>68</v>
      </c>
      <c r="AH302" s="1" t="n">
        <f aca="false">IF(AND(F_Partner=1,F_PAge&gt;0,AG302&lt;IF(F_PRet&gt;0,F_PRet,PR_SPage)),F_PIncome*F302,0)</f>
        <v>0</v>
      </c>
      <c r="AI302" s="1" t="n">
        <f aca="false">IF(AND(F_Partner=1,AG302&gt;=PR_SPage,F_PSpQA=0),AS_SP*F_PSpF*I302,0)</f>
        <v>0</v>
      </c>
      <c r="AJ302" s="1" t="n">
        <f aca="false">IF(AND(F_Partner=1,F_PSpQA=1,C302&gt;=PR_SPage,AH302=0),IF(AG302&gt;=PR_SPage,PR_QA66,PR_QAunder)*PR_Weeks*I302,0)</f>
        <v>0</v>
      </c>
      <c r="AK302" s="1" t="n">
        <f aca="false">AE302+AJ302</f>
        <v>47864.3016971349</v>
      </c>
      <c r="AL302" s="1" t="n">
        <f aca="false">K302/H302</f>
        <v>0</v>
      </c>
      <c r="AM302" s="1" t="n">
        <f aca="false">AK302/H302</f>
        <v>12450.88</v>
      </c>
      <c r="AN302" s="1" t="n">
        <f aca="false">AC302/H302</f>
        <v>0</v>
      </c>
      <c r="AO302" s="1" t="n">
        <f aca="false">AF302/H302</f>
        <v>0</v>
      </c>
      <c r="AP302" s="1" t="n">
        <f aca="false">O302/H302</f>
        <v>0</v>
      </c>
      <c r="AQ302" s="1" t="n">
        <f aca="false">AH302/H302</f>
        <v>0</v>
      </c>
      <c r="AR302" s="1" t="n">
        <f aca="false">AI302/H302</f>
        <v>0</v>
      </c>
      <c r="AS302" s="1" t="n">
        <f aca="false">MAX(0,AL302+AN302+AO302+AM302-AP302)</f>
        <v>12450.88</v>
      </c>
      <c r="AT302" s="1" t="n">
        <f aca="false">MAX(0,AQ302+AR302)</f>
        <v>0</v>
      </c>
      <c r="AU302" s="1" t="n">
        <f aca="false">MIN(PR_PAYE,PR_PAYEcap*(AL302+AN302+AM302))</f>
        <v>2000</v>
      </c>
      <c r="AV302" s="1" t="n">
        <f aca="false">MIN(PR_PAYE,PR_PAYEcap*(AQ302+AR302))</f>
        <v>0</v>
      </c>
      <c r="AW302" s="1" t="n">
        <f aca="false">IF(C302&gt;=PR_AgeCrAge,PR_AgeCr,0)</f>
        <v>245</v>
      </c>
      <c r="AX302" s="1" t="n">
        <f aca="false">IF(AG302&gt;=PR_AgeCrAge,PR_AgeCr,0)</f>
        <v>245</v>
      </c>
      <c r="AY302" s="1" t="n">
        <f aca="false">IF(AND(F_RentCred=1,D302&lt;=PR_RentLast),1,0)</f>
        <v>0</v>
      </c>
      <c r="AZ302" s="1" t="n">
        <f aca="false">AS302+AT302</f>
        <v>12450.88</v>
      </c>
      <c r="BA302" s="1" t="n">
        <f aca="false">PR_PersonalM+AU302+AV302+AW302+AX302+IF(AY302=1,PR_RentJoint,0)</f>
        <v>6490</v>
      </c>
      <c r="BB302" s="1" t="n">
        <f aca="false">PR_BandM+MIN(MIN(AS302,AT302),PR_Uplift)</f>
        <v>53000</v>
      </c>
      <c r="BC302" s="1" t="n">
        <f aca="false">MAX(0,PR_r1*MIN(AZ302,BB302)+PR_r2*MAX(0,AZ302-BB302)-BA302)</f>
        <v>0</v>
      </c>
      <c r="BD302" s="1" t="n">
        <f aca="false">MAX(0,PR_HomeCarer-MAX(0,MIN(AS302,AT302)-PR_HCLimit)/2)</f>
        <v>1950</v>
      </c>
      <c r="BE302" s="1" t="n">
        <f aca="false">IF(F_Carer=1,MIN(BC302,MAX(0,PR_r1*MIN(AZ302,PR_BandM)+PR_r2*MAX(0,AZ302-PR_BandM)-BA302-BD302)),BC302)</f>
        <v>0</v>
      </c>
      <c r="BF302" s="1" t="n">
        <f aca="false">IF(OR(C302&gt;=PR_AgeCrAge,AG302&gt;=PR_AgeCrAge),IF(AZ302&lt;=PR_AgeExM,0,MIN(BE302,PR_AgeMarg*(AZ302-PR_AgeExM))),BE302)</f>
        <v>0</v>
      </c>
      <c r="BG302" s="1" t="n">
        <f aca="false">MAX(0,PR_r1*MIN(AS302,IF(F_Spccc=1,PR_BandSPCCC,PR_Band))+PR_r2*MAX(0,AS302-IF(F_Spccc=1,PR_BandSPCCC,PR_Band))-(PR_Personal+AU302+AW302+IF(F_Spccc=1,PR_SPCCC,0)+IF(AY302=1,PR_Rent,0)))</f>
        <v>0</v>
      </c>
      <c r="BH302" s="1" t="n">
        <f aca="false">IF(C302&gt;=PR_AgeCrAge,IF(AS302&lt;=PR_AgeEx,0,MIN(BG302,PR_AgeMarg*(AS302-PR_AgeEx))),BG302)</f>
        <v>0</v>
      </c>
      <c r="BI302" s="1" t="n">
        <f aca="false">IF(F_Partner=1,MAX(0,PR_r1*MIN(AT302,PR_Band)+PR_r2*MAX(0,AT302-PR_Band)-(PR_Personal+AV302+AX302+IF(AND(AY302=1,AT302&gt;0),PR_Rent,0))),0)</f>
        <v>0</v>
      </c>
      <c r="BJ302" s="1" t="n">
        <f aca="false">IF(AG302&gt;=PR_AgeCrAge,IF(AT302&lt;=PR_AgeEx,0,MIN(BI302,PR_AgeMarg*(AT302-PR_AgeEx))),BI302)</f>
        <v>0</v>
      </c>
      <c r="BK302" s="1" t="n">
        <f aca="false">IF(F_Partner=1,IF(F_Married=1,BF302,BH302+BJ302),BH302)</f>
        <v>0</v>
      </c>
      <c r="BL302" s="1" t="n">
        <f aca="false">AL302+AN302+AO302</f>
        <v>0</v>
      </c>
      <c r="BM302" s="1" t="n">
        <f aca="false">IF(BL302&lt;=PR_USCex,0,IF(IF(AND(C302&gt;=PR_USCredAge,BL302&lt;=PR_USCredMax),1,0)=1,PR_USCr1*MIN(BL302,PR_USCredB1)+PR_USCredR2*MAX(0,BL302-PR_USCredB1),PR_USCr1*MIN(BL302,PR_USCb1)+PR_USCr2*MAX(0,MIN(BL302,PR_USCb2)-PR_USCb1)+PR_USCr3*MAX(0,MIN(BL302,PR_USCb3)-PR_USCb2)+PR_USCr4*MAX(0,BL302-PR_USCb3)))+IF(F_SelfEmp=1,PR_USCse*MAX(0,AL302-PR_USCseOver),0)</f>
        <v>0</v>
      </c>
      <c r="BN302" s="1" t="n">
        <f aca="false">AQ302</f>
        <v>0</v>
      </c>
      <c r="BO302" s="1" t="n">
        <f aca="false">IF(F_Partner=1,IF(BN302&lt;=PR_USCex,0,IF(IF(AND(AG302&gt;=PR_USCredAge,BN302&lt;=PR_USCredMax),1,0)=1,PR_USCr1*MIN(BN302,PR_USCredB1)+PR_USCredR2*MAX(0,BN302-PR_USCredB1),PR_USCr1*MIN(BN302,PR_USCb1)+PR_USCr2*MAX(0,MIN(BN302,PR_USCb2)-PR_USCb1)+PR_USCr3*MAX(0,MIN(BN302,PR_USCb3)-PR_USCb2)+PR_USCr4*MAX(0,BN302-PR_USCb3))),0)</f>
        <v>0</v>
      </c>
      <c r="BP302" s="1" t="n">
        <f aca="false">IF(C302&lt;PR_PRSIend,IF(F_SelfEmp=1,IF(AL302&gt;PR_PRSIsMinInc,MAX(PR_PRSIsMin,AL302*J302),0),IF(AL302/52&lt;=PR_PRSIfree,0,MAX(0,(AL302/52*J302-IF(AL302/52&lt;=PR_PRSIcreditTo,MAX(0,PR_PRSIcreditMax-(AL302/52-(PR_PRSIfree+0.01))/PR_PRSItaper),0))*52)))+J302*AN302+IF(AO302&gt;PR_PRSIunearned,J302*AO302,0),0)</f>
        <v>0</v>
      </c>
      <c r="BQ302" s="1" t="n">
        <f aca="false">IF(AND(F_Partner=1,AG302&lt;PR_PRSIend),IF(AQ302/52&lt;=PR_PRSIfree,0,MAX(0,(AQ302/52*J302-IF(AQ302/52&lt;=PR_PRSIcreditTo,MAX(0,PR_PRSIcreditMax-(AQ302/52-(PR_PRSIfree+0.01))/PR_PRSItaper),0))*52)),0)</f>
        <v>0</v>
      </c>
      <c r="BR302" s="1" t="n">
        <f aca="false">BK302+BM302+BO302+BP302+BQ302</f>
        <v>0</v>
      </c>
      <c r="BS302" s="1" t="n">
        <f aca="false">BR302*H302</f>
        <v>0</v>
      </c>
      <c r="BT302" s="1" t="n">
        <f aca="false">K302+AK302+AC302+AF302+AH302+AI302</f>
        <v>47864.3016971349</v>
      </c>
    </row>
    <row r="303" customFormat="false" ht="15" hidden="false" customHeight="true" outlineLevel="0" collapsed="false">
      <c r="B303" s="1" t="n">
        <v>69</v>
      </c>
      <c r="C303" s="1" t="n">
        <f aca="false">F_Age+B303</f>
        <v>69</v>
      </c>
      <c r="D303" s="1" t="n">
        <f aca="false">AS_Year0+B303</f>
        <v>2096</v>
      </c>
      <c r="E303" s="111" t="n">
        <f aca="false">(1+AS_Infl)^B303</f>
        <v>3.92113551259651</v>
      </c>
      <c r="F303" s="111" t="n">
        <f aca="false">(1+AS_Wage)^B303</f>
        <v>7.68720573992403</v>
      </c>
      <c r="G303" s="1" t="n">
        <f aca="false">IF(C303&lt;F_R,1,0)</f>
        <v>0</v>
      </c>
      <c r="H303" s="111" t="n">
        <f aca="false">IF(AS_Bands="flat",1,E303)</f>
        <v>3.92113551259651</v>
      </c>
      <c r="I303" s="111" t="n">
        <f aca="false">IF(AS_SpGrow="pay",F303,IF(AS_SpGrow="flat",1,E303))</f>
        <v>3.92113551259651</v>
      </c>
      <c r="J303" s="111" t="n">
        <f aca="false">(12*PR_PRSIr0+(PR_PRSIr1-PR_PRSIr0)*MAX(0,MIN(12,D303*12+12-PR_PRSIt1))+(PR_PRSIr2-PR_PRSIr1)*MAX(0,MIN(12,D303*12+12-PR_PRSIt2))+(PR_PRSIr3-PR_PRSIr2)*MAX(0,MIN(12,D303*12+12-PR_PRSIt3)))/12</f>
        <v>0.047</v>
      </c>
      <c r="K303" s="1" t="n">
        <f aca="false">IF(G303=1,F_Income*F303,0)</f>
        <v>0</v>
      </c>
      <c r="L303" s="1" t="n">
        <f aca="false">IF(G303=1,(F_Own+In_penExtra)*12*F303,0)</f>
        <v>0</v>
      </c>
      <c r="M303" s="1" t="n">
        <f aca="false">IF(G303=1,(F_PenM+In_penExtra)*12*F303,0)</f>
        <v>0</v>
      </c>
      <c r="N303" s="112" t="n">
        <f aca="false">IF(C303&lt;PR_RelA1,PR_RelP1,IF(C303&lt;PR_RelA2,PR_RelP2,IF(C303&lt;PR_RelA3,PR_RelP3,IF(C303&lt;PR_RelA4,PR_RelP4,IF(C303&lt;PR_RelA5,PR_RelP5,PR_RelP6)))))</f>
        <v>0.4</v>
      </c>
      <c r="O303" s="1" t="n">
        <f aca="false">IF(G303=1,MIN(L303/H303,N303*MIN(K303/H303,PR_EarnCap))*H303,0)</f>
        <v>0</v>
      </c>
      <c r="P303" s="1" t="n">
        <f aca="false">IF(AND(G303=1,F_AE=1),MIN(K303/H303,PR_AEcap)*H303,0)</f>
        <v>0</v>
      </c>
      <c r="Q303" s="1" t="n">
        <f aca="false">IF(G303=1,IF(WI_Retire=1,MAX(0,M303+WI_M*12),M303)+(PR_AEee+PR_AEer+PR_AEst)*P303,0)</f>
        <v>0</v>
      </c>
      <c r="R303" s="1" t="n">
        <f aca="false">L303+PR_AEee*P303</f>
        <v>0</v>
      </c>
      <c r="S303" s="1" t="n">
        <f aca="false">AD302</f>
        <v>0</v>
      </c>
      <c r="T303" s="1" t="n">
        <f aca="false">IF(D303&lt;=PR_SFTfrom,PR_SFT2026,IF(D303=PR_SFTfrom+1,PR_SFT2027,IF(D303=PR_SFTfrom+2,PR_SFT2028,IF(D303&lt;=PR_SFTto,PR_SFT2029,PR_SFT2029*(1+AS_Infl)^(D303-PR_SFTto)))))</f>
        <v>10552844.5167918</v>
      </c>
      <c r="U303" s="1" t="n">
        <f aca="false">IF(AND(G303=0,C303=F_V),1,0)</f>
        <v>0</v>
      </c>
      <c r="V303" s="1" t="n">
        <f aca="false">IF(U303=1,PR_SFTrate*MAX(0,S303-T303),0)</f>
        <v>0</v>
      </c>
      <c r="W303" s="1" t="n">
        <f aca="false">S303-V303</f>
        <v>0</v>
      </c>
      <c r="X303" s="1" t="n">
        <f aca="false">IF(AND(U303=1,AS_LumpPct&gt;0),W303*MIN(AS_LumpPct,PR_LSmax),0)</f>
        <v>0</v>
      </c>
      <c r="Y303" s="1" t="n">
        <f aca="false">X303-(PR_LSrate*MAX(0,MIN(X303,PR_LScap)-PR_LSfree)+PR_r2*MAX(0,X303-PR_LScap))</f>
        <v>0</v>
      </c>
      <c r="Z303" s="1" t="n">
        <f aca="false">W303-X303</f>
        <v>0</v>
      </c>
      <c r="AA303" s="112" t="n">
        <f aca="false">IF(C303&gt;=PR_ARFage1,IF(Z303&gt;PR_ARFbig,PR_ARFbigRate,IF(C303&gt;=PR_ARFage2,PR_ARF71,PR_ARF61)),0)</f>
        <v>0.04</v>
      </c>
      <c r="AB303" s="1" t="n">
        <f aca="false">IF(AS_DrawRule="min",Z303*AA303,IF(AS_DrawRule="fixed",MAX(AS_DrawFixed*E303,Z303*AA303),Z303*MAX(1/MAX(1,AS_End-C303+1),AA303)))</f>
        <v>0</v>
      </c>
      <c r="AC303" s="1" t="n">
        <f aca="false">IF(AND(G303=0,C303&gt;=F_V),MIN(Z303,AB303),0)</f>
        <v>0</v>
      </c>
      <c r="AD303" s="1" t="n">
        <f aca="false">IF(G303=1,S303*(1+F_PenG)+Q303,IF(C303&lt;F_V,S303*(1+F_PenG),(Z303-AC303)*(1+AS_PenRet)))</f>
        <v>0</v>
      </c>
      <c r="AE303" s="1" t="n">
        <f aca="false">IF(C303&gt;=PR_SPage,AS_SP*F_SpF*I303+IF(AND(C303&gt;=PR_Over80Age,F_SpF&gt;0),PR_Over80*PR_Weeks*I303,0),0)</f>
        <v>48821.5877310776</v>
      </c>
      <c r="AF303" s="1" t="n">
        <f aca="false">(F_OtherM+F_RentM)*12*E303</f>
        <v>0</v>
      </c>
      <c r="AG303" s="1" t="n">
        <f aca="false">F_PAge+B303</f>
        <v>69</v>
      </c>
      <c r="AH303" s="1" t="n">
        <f aca="false">IF(AND(F_Partner=1,F_PAge&gt;0,AG303&lt;IF(F_PRet&gt;0,F_PRet,PR_SPage)),F_PIncome*F303,0)</f>
        <v>0</v>
      </c>
      <c r="AI303" s="1" t="n">
        <f aca="false">IF(AND(F_Partner=1,AG303&gt;=PR_SPage,F_PSpQA=0),AS_SP*F_PSpF*I303,0)</f>
        <v>0</v>
      </c>
      <c r="AJ303" s="1" t="n">
        <f aca="false">IF(AND(F_Partner=1,F_PSpQA=1,C303&gt;=PR_SPage,AH303=0),IF(AG303&gt;=PR_SPage,PR_QA66,PR_QAunder)*PR_Weeks*I303,0)</f>
        <v>0</v>
      </c>
      <c r="AK303" s="1" t="n">
        <f aca="false">AE303+AJ303</f>
        <v>48821.5877310776</v>
      </c>
      <c r="AL303" s="1" t="n">
        <f aca="false">K303/H303</f>
        <v>0</v>
      </c>
      <c r="AM303" s="1" t="n">
        <f aca="false">AK303/H303</f>
        <v>12450.88</v>
      </c>
      <c r="AN303" s="1" t="n">
        <f aca="false">AC303/H303</f>
        <v>0</v>
      </c>
      <c r="AO303" s="1" t="n">
        <f aca="false">AF303/H303</f>
        <v>0</v>
      </c>
      <c r="AP303" s="1" t="n">
        <f aca="false">O303/H303</f>
        <v>0</v>
      </c>
      <c r="AQ303" s="1" t="n">
        <f aca="false">AH303/H303</f>
        <v>0</v>
      </c>
      <c r="AR303" s="1" t="n">
        <f aca="false">AI303/H303</f>
        <v>0</v>
      </c>
      <c r="AS303" s="1" t="n">
        <f aca="false">MAX(0,AL303+AN303+AO303+AM303-AP303)</f>
        <v>12450.88</v>
      </c>
      <c r="AT303" s="1" t="n">
        <f aca="false">MAX(0,AQ303+AR303)</f>
        <v>0</v>
      </c>
      <c r="AU303" s="1" t="n">
        <f aca="false">MIN(PR_PAYE,PR_PAYEcap*(AL303+AN303+AM303))</f>
        <v>2000</v>
      </c>
      <c r="AV303" s="1" t="n">
        <f aca="false">MIN(PR_PAYE,PR_PAYEcap*(AQ303+AR303))</f>
        <v>0</v>
      </c>
      <c r="AW303" s="1" t="n">
        <f aca="false">IF(C303&gt;=PR_AgeCrAge,PR_AgeCr,0)</f>
        <v>245</v>
      </c>
      <c r="AX303" s="1" t="n">
        <f aca="false">IF(AG303&gt;=PR_AgeCrAge,PR_AgeCr,0)</f>
        <v>245</v>
      </c>
      <c r="AY303" s="1" t="n">
        <f aca="false">IF(AND(F_RentCred=1,D303&lt;=PR_RentLast),1,0)</f>
        <v>0</v>
      </c>
      <c r="AZ303" s="1" t="n">
        <f aca="false">AS303+AT303</f>
        <v>12450.88</v>
      </c>
      <c r="BA303" s="1" t="n">
        <f aca="false">PR_PersonalM+AU303+AV303+AW303+AX303+IF(AY303=1,PR_RentJoint,0)</f>
        <v>6490</v>
      </c>
      <c r="BB303" s="1" t="n">
        <f aca="false">PR_BandM+MIN(MIN(AS303,AT303),PR_Uplift)</f>
        <v>53000</v>
      </c>
      <c r="BC303" s="1" t="n">
        <f aca="false">MAX(0,PR_r1*MIN(AZ303,BB303)+PR_r2*MAX(0,AZ303-BB303)-BA303)</f>
        <v>0</v>
      </c>
      <c r="BD303" s="1" t="n">
        <f aca="false">MAX(0,PR_HomeCarer-MAX(0,MIN(AS303,AT303)-PR_HCLimit)/2)</f>
        <v>1950</v>
      </c>
      <c r="BE303" s="1" t="n">
        <f aca="false">IF(F_Carer=1,MIN(BC303,MAX(0,PR_r1*MIN(AZ303,PR_BandM)+PR_r2*MAX(0,AZ303-PR_BandM)-BA303-BD303)),BC303)</f>
        <v>0</v>
      </c>
      <c r="BF303" s="1" t="n">
        <f aca="false">IF(OR(C303&gt;=PR_AgeCrAge,AG303&gt;=PR_AgeCrAge),IF(AZ303&lt;=PR_AgeExM,0,MIN(BE303,PR_AgeMarg*(AZ303-PR_AgeExM))),BE303)</f>
        <v>0</v>
      </c>
      <c r="BG303" s="1" t="n">
        <f aca="false">MAX(0,PR_r1*MIN(AS303,IF(F_Spccc=1,PR_BandSPCCC,PR_Band))+PR_r2*MAX(0,AS303-IF(F_Spccc=1,PR_BandSPCCC,PR_Band))-(PR_Personal+AU303+AW303+IF(F_Spccc=1,PR_SPCCC,0)+IF(AY303=1,PR_Rent,0)))</f>
        <v>0</v>
      </c>
      <c r="BH303" s="1" t="n">
        <f aca="false">IF(C303&gt;=PR_AgeCrAge,IF(AS303&lt;=PR_AgeEx,0,MIN(BG303,PR_AgeMarg*(AS303-PR_AgeEx))),BG303)</f>
        <v>0</v>
      </c>
      <c r="BI303" s="1" t="n">
        <f aca="false">IF(F_Partner=1,MAX(0,PR_r1*MIN(AT303,PR_Band)+PR_r2*MAX(0,AT303-PR_Band)-(PR_Personal+AV303+AX303+IF(AND(AY303=1,AT303&gt;0),PR_Rent,0))),0)</f>
        <v>0</v>
      </c>
      <c r="BJ303" s="1" t="n">
        <f aca="false">IF(AG303&gt;=PR_AgeCrAge,IF(AT303&lt;=PR_AgeEx,0,MIN(BI303,PR_AgeMarg*(AT303-PR_AgeEx))),BI303)</f>
        <v>0</v>
      </c>
      <c r="BK303" s="1" t="n">
        <f aca="false">IF(F_Partner=1,IF(F_Married=1,BF303,BH303+BJ303),BH303)</f>
        <v>0</v>
      </c>
      <c r="BL303" s="1" t="n">
        <f aca="false">AL303+AN303+AO303</f>
        <v>0</v>
      </c>
      <c r="BM303" s="1" t="n">
        <f aca="false">IF(BL303&lt;=PR_USCex,0,IF(IF(AND(C303&gt;=PR_USCredAge,BL303&lt;=PR_USCredMax),1,0)=1,PR_USCr1*MIN(BL303,PR_USCredB1)+PR_USCredR2*MAX(0,BL303-PR_USCredB1),PR_USCr1*MIN(BL303,PR_USCb1)+PR_USCr2*MAX(0,MIN(BL303,PR_USCb2)-PR_USCb1)+PR_USCr3*MAX(0,MIN(BL303,PR_USCb3)-PR_USCb2)+PR_USCr4*MAX(0,BL303-PR_USCb3)))+IF(F_SelfEmp=1,PR_USCse*MAX(0,AL303-PR_USCseOver),0)</f>
        <v>0</v>
      </c>
      <c r="BN303" s="1" t="n">
        <f aca="false">AQ303</f>
        <v>0</v>
      </c>
      <c r="BO303" s="1" t="n">
        <f aca="false">IF(F_Partner=1,IF(BN303&lt;=PR_USCex,0,IF(IF(AND(AG303&gt;=PR_USCredAge,BN303&lt;=PR_USCredMax),1,0)=1,PR_USCr1*MIN(BN303,PR_USCredB1)+PR_USCredR2*MAX(0,BN303-PR_USCredB1),PR_USCr1*MIN(BN303,PR_USCb1)+PR_USCr2*MAX(0,MIN(BN303,PR_USCb2)-PR_USCb1)+PR_USCr3*MAX(0,MIN(BN303,PR_USCb3)-PR_USCb2)+PR_USCr4*MAX(0,BN303-PR_USCb3))),0)</f>
        <v>0</v>
      </c>
      <c r="BP303" s="1" t="n">
        <f aca="false">IF(C303&lt;PR_PRSIend,IF(F_SelfEmp=1,IF(AL303&gt;PR_PRSIsMinInc,MAX(PR_PRSIsMin,AL303*J303),0),IF(AL303/52&lt;=PR_PRSIfree,0,MAX(0,(AL303/52*J303-IF(AL303/52&lt;=PR_PRSIcreditTo,MAX(0,PR_PRSIcreditMax-(AL303/52-(PR_PRSIfree+0.01))/PR_PRSItaper),0))*52)))+J303*AN303+IF(AO303&gt;PR_PRSIunearned,J303*AO303,0),0)</f>
        <v>0</v>
      </c>
      <c r="BQ303" s="1" t="n">
        <f aca="false">IF(AND(F_Partner=1,AG303&lt;PR_PRSIend),IF(AQ303/52&lt;=PR_PRSIfree,0,MAX(0,(AQ303/52*J303-IF(AQ303/52&lt;=PR_PRSIcreditTo,MAX(0,PR_PRSIcreditMax-(AQ303/52-(PR_PRSIfree+0.01))/PR_PRSItaper),0))*52)),0)</f>
        <v>0</v>
      </c>
      <c r="BR303" s="1" t="n">
        <f aca="false">BK303+BM303+BO303+BP303+BQ303</f>
        <v>0</v>
      </c>
      <c r="BS303" s="1" t="n">
        <f aca="false">BR303*H303</f>
        <v>0</v>
      </c>
      <c r="BT303" s="1" t="n">
        <f aca="false">K303+AK303+AC303+AF303+AH303+AI303</f>
        <v>48821.5877310776</v>
      </c>
    </row>
    <row r="304" customFormat="false" ht="15" hidden="false" customHeight="true" outlineLevel="0" collapsed="false">
      <c r="B304" s="1" t="n">
        <v>70</v>
      </c>
      <c r="C304" s="1" t="n">
        <f aca="false">F_Age+B304</f>
        <v>70</v>
      </c>
      <c r="D304" s="1" t="n">
        <f aca="false">AS_Year0+B304</f>
        <v>2097</v>
      </c>
      <c r="E304" s="111" t="n">
        <f aca="false">(1+AS_Infl)^B304</f>
        <v>3.99955822284844</v>
      </c>
      <c r="F304" s="111" t="n">
        <f aca="false">(1+AS_Wage)^B304</f>
        <v>7.91782191212175</v>
      </c>
      <c r="G304" s="1" t="n">
        <f aca="false">IF(C304&lt;F_R,1,0)</f>
        <v>0</v>
      </c>
      <c r="H304" s="111" t="n">
        <f aca="false">IF(AS_Bands="flat",1,E304)</f>
        <v>3.99955822284844</v>
      </c>
      <c r="I304" s="111" t="n">
        <f aca="false">IF(AS_SpGrow="pay",F304,IF(AS_SpGrow="flat",1,E304))</f>
        <v>3.99955822284844</v>
      </c>
      <c r="J304" s="111" t="n">
        <f aca="false">(12*PR_PRSIr0+(PR_PRSIr1-PR_PRSIr0)*MAX(0,MIN(12,D304*12+12-PR_PRSIt1))+(PR_PRSIr2-PR_PRSIr1)*MAX(0,MIN(12,D304*12+12-PR_PRSIt2))+(PR_PRSIr3-PR_PRSIr2)*MAX(0,MIN(12,D304*12+12-PR_PRSIt3)))/12</f>
        <v>0.047</v>
      </c>
      <c r="K304" s="1" t="n">
        <f aca="false">IF(G304=1,F_Income*F304,0)</f>
        <v>0</v>
      </c>
      <c r="L304" s="1" t="n">
        <f aca="false">IF(G304=1,(F_Own+In_penExtra)*12*F304,0)</f>
        <v>0</v>
      </c>
      <c r="M304" s="1" t="n">
        <f aca="false">IF(G304=1,(F_PenM+In_penExtra)*12*F304,0)</f>
        <v>0</v>
      </c>
      <c r="N304" s="112" t="n">
        <f aca="false">IF(C304&lt;PR_RelA1,PR_RelP1,IF(C304&lt;PR_RelA2,PR_RelP2,IF(C304&lt;PR_RelA3,PR_RelP3,IF(C304&lt;PR_RelA4,PR_RelP4,IF(C304&lt;PR_RelA5,PR_RelP5,PR_RelP6)))))</f>
        <v>0.4</v>
      </c>
      <c r="O304" s="1" t="n">
        <f aca="false">IF(G304=1,MIN(L304/H304,N304*MIN(K304/H304,PR_EarnCap))*H304,0)</f>
        <v>0</v>
      </c>
      <c r="P304" s="1" t="n">
        <f aca="false">IF(AND(G304=1,F_AE=1),MIN(K304/H304,PR_AEcap)*H304,0)</f>
        <v>0</v>
      </c>
      <c r="Q304" s="1" t="n">
        <f aca="false">IF(G304=1,IF(WI_Retire=1,MAX(0,M304+WI_M*12),M304)+(PR_AEee+PR_AEer+PR_AEst)*P304,0)</f>
        <v>0</v>
      </c>
      <c r="R304" s="1" t="n">
        <f aca="false">L304+PR_AEee*P304</f>
        <v>0</v>
      </c>
      <c r="S304" s="1" t="n">
        <f aca="false">AD303</f>
        <v>0</v>
      </c>
      <c r="T304" s="1" t="n">
        <f aca="false">IF(D304&lt;=PR_SFTfrom,PR_SFT2026,IF(D304=PR_SFTfrom+1,PR_SFT2027,IF(D304=PR_SFTfrom+2,PR_SFT2028,IF(D304&lt;=PR_SFTto,PR_SFT2029,PR_SFT2029*(1+AS_Infl)^(D304-PR_SFTto)))))</f>
        <v>10763901.4071277</v>
      </c>
      <c r="U304" s="1" t="n">
        <f aca="false">IF(AND(G304=0,C304=F_V),1,0)</f>
        <v>0</v>
      </c>
      <c r="V304" s="1" t="n">
        <f aca="false">IF(U304=1,PR_SFTrate*MAX(0,S304-T304),0)</f>
        <v>0</v>
      </c>
      <c r="W304" s="1" t="n">
        <f aca="false">S304-V304</f>
        <v>0</v>
      </c>
      <c r="X304" s="1" t="n">
        <f aca="false">IF(AND(U304=1,AS_LumpPct&gt;0),W304*MIN(AS_LumpPct,PR_LSmax),0)</f>
        <v>0</v>
      </c>
      <c r="Y304" s="1" t="n">
        <f aca="false">X304-(PR_LSrate*MAX(0,MIN(X304,PR_LScap)-PR_LSfree)+PR_r2*MAX(0,X304-PR_LScap))</f>
        <v>0</v>
      </c>
      <c r="Z304" s="1" t="n">
        <f aca="false">W304-X304</f>
        <v>0</v>
      </c>
      <c r="AA304" s="112" t="n">
        <f aca="false">IF(C304&gt;=PR_ARFage1,IF(Z304&gt;PR_ARFbig,PR_ARFbigRate,IF(C304&gt;=PR_ARFage2,PR_ARF71,PR_ARF61)),0)</f>
        <v>0.04</v>
      </c>
      <c r="AB304" s="1" t="n">
        <f aca="false">IF(AS_DrawRule="min",Z304*AA304,IF(AS_DrawRule="fixed",MAX(AS_DrawFixed*E304,Z304*AA304),Z304*MAX(1/MAX(1,AS_End-C304+1),AA304)))</f>
        <v>0</v>
      </c>
      <c r="AC304" s="1" t="n">
        <f aca="false">IF(AND(G304=0,C304&gt;=F_V),MIN(Z304,AB304),0)</f>
        <v>0</v>
      </c>
      <c r="AD304" s="1" t="n">
        <f aca="false">IF(G304=1,S304*(1+F_PenG)+Q304,IF(C304&lt;F_V,S304*(1+F_PenG),(Z304-AC304)*(1+AS_PenRet)))</f>
        <v>0</v>
      </c>
      <c r="AE304" s="1" t="n">
        <f aca="false">IF(C304&gt;=PR_SPage,AS_SP*F_SpF*I304+IF(AND(C304&gt;=PR_Over80Age,F_SpF&gt;0),PR_Over80*PR_Weeks*I304,0),0)</f>
        <v>49798.0194856992</v>
      </c>
      <c r="AF304" s="1" t="n">
        <f aca="false">(F_OtherM+F_RentM)*12*E304</f>
        <v>0</v>
      </c>
      <c r="AG304" s="1" t="n">
        <f aca="false">F_PAge+B304</f>
        <v>70</v>
      </c>
      <c r="AH304" s="1" t="n">
        <f aca="false">IF(AND(F_Partner=1,F_PAge&gt;0,AG304&lt;IF(F_PRet&gt;0,F_PRet,PR_SPage)),F_PIncome*F304,0)</f>
        <v>0</v>
      </c>
      <c r="AI304" s="1" t="n">
        <f aca="false">IF(AND(F_Partner=1,AG304&gt;=PR_SPage,F_PSpQA=0),AS_SP*F_PSpF*I304,0)</f>
        <v>0</v>
      </c>
      <c r="AJ304" s="1" t="n">
        <f aca="false">IF(AND(F_Partner=1,F_PSpQA=1,C304&gt;=PR_SPage,AH304=0),IF(AG304&gt;=PR_SPage,PR_QA66,PR_QAunder)*PR_Weeks*I304,0)</f>
        <v>0</v>
      </c>
      <c r="AK304" s="1" t="n">
        <f aca="false">AE304+AJ304</f>
        <v>49798.0194856992</v>
      </c>
      <c r="AL304" s="1" t="n">
        <f aca="false">K304/H304</f>
        <v>0</v>
      </c>
      <c r="AM304" s="1" t="n">
        <f aca="false">AK304/H304</f>
        <v>12450.88</v>
      </c>
      <c r="AN304" s="1" t="n">
        <f aca="false">AC304/H304</f>
        <v>0</v>
      </c>
      <c r="AO304" s="1" t="n">
        <f aca="false">AF304/H304</f>
        <v>0</v>
      </c>
      <c r="AP304" s="1" t="n">
        <f aca="false">O304/H304</f>
        <v>0</v>
      </c>
      <c r="AQ304" s="1" t="n">
        <f aca="false">AH304/H304</f>
        <v>0</v>
      </c>
      <c r="AR304" s="1" t="n">
        <f aca="false">AI304/H304</f>
        <v>0</v>
      </c>
      <c r="AS304" s="1" t="n">
        <f aca="false">MAX(0,AL304+AN304+AO304+AM304-AP304)</f>
        <v>12450.88</v>
      </c>
      <c r="AT304" s="1" t="n">
        <f aca="false">MAX(0,AQ304+AR304)</f>
        <v>0</v>
      </c>
      <c r="AU304" s="1" t="n">
        <f aca="false">MIN(PR_PAYE,PR_PAYEcap*(AL304+AN304+AM304))</f>
        <v>2000</v>
      </c>
      <c r="AV304" s="1" t="n">
        <f aca="false">MIN(PR_PAYE,PR_PAYEcap*(AQ304+AR304))</f>
        <v>0</v>
      </c>
      <c r="AW304" s="1" t="n">
        <f aca="false">IF(C304&gt;=PR_AgeCrAge,PR_AgeCr,0)</f>
        <v>245</v>
      </c>
      <c r="AX304" s="1" t="n">
        <f aca="false">IF(AG304&gt;=PR_AgeCrAge,PR_AgeCr,0)</f>
        <v>245</v>
      </c>
      <c r="AY304" s="1" t="n">
        <f aca="false">IF(AND(F_RentCred=1,D304&lt;=PR_RentLast),1,0)</f>
        <v>0</v>
      </c>
      <c r="AZ304" s="1" t="n">
        <f aca="false">AS304+AT304</f>
        <v>12450.88</v>
      </c>
      <c r="BA304" s="1" t="n">
        <f aca="false">PR_PersonalM+AU304+AV304+AW304+AX304+IF(AY304=1,PR_RentJoint,0)</f>
        <v>6490</v>
      </c>
      <c r="BB304" s="1" t="n">
        <f aca="false">PR_BandM+MIN(MIN(AS304,AT304),PR_Uplift)</f>
        <v>53000</v>
      </c>
      <c r="BC304" s="1" t="n">
        <f aca="false">MAX(0,PR_r1*MIN(AZ304,BB304)+PR_r2*MAX(0,AZ304-BB304)-BA304)</f>
        <v>0</v>
      </c>
      <c r="BD304" s="1" t="n">
        <f aca="false">MAX(0,PR_HomeCarer-MAX(0,MIN(AS304,AT304)-PR_HCLimit)/2)</f>
        <v>1950</v>
      </c>
      <c r="BE304" s="1" t="n">
        <f aca="false">IF(F_Carer=1,MIN(BC304,MAX(0,PR_r1*MIN(AZ304,PR_BandM)+PR_r2*MAX(0,AZ304-PR_BandM)-BA304-BD304)),BC304)</f>
        <v>0</v>
      </c>
      <c r="BF304" s="1" t="n">
        <f aca="false">IF(OR(C304&gt;=PR_AgeCrAge,AG304&gt;=PR_AgeCrAge),IF(AZ304&lt;=PR_AgeExM,0,MIN(BE304,PR_AgeMarg*(AZ304-PR_AgeExM))),BE304)</f>
        <v>0</v>
      </c>
      <c r="BG304" s="1" t="n">
        <f aca="false">MAX(0,PR_r1*MIN(AS304,IF(F_Spccc=1,PR_BandSPCCC,PR_Band))+PR_r2*MAX(0,AS304-IF(F_Spccc=1,PR_BandSPCCC,PR_Band))-(PR_Personal+AU304+AW304+IF(F_Spccc=1,PR_SPCCC,0)+IF(AY304=1,PR_Rent,0)))</f>
        <v>0</v>
      </c>
      <c r="BH304" s="1" t="n">
        <f aca="false">IF(C304&gt;=PR_AgeCrAge,IF(AS304&lt;=PR_AgeEx,0,MIN(BG304,PR_AgeMarg*(AS304-PR_AgeEx))),BG304)</f>
        <v>0</v>
      </c>
      <c r="BI304" s="1" t="n">
        <f aca="false">IF(F_Partner=1,MAX(0,PR_r1*MIN(AT304,PR_Band)+PR_r2*MAX(0,AT304-PR_Band)-(PR_Personal+AV304+AX304+IF(AND(AY304=1,AT304&gt;0),PR_Rent,0))),0)</f>
        <v>0</v>
      </c>
      <c r="BJ304" s="1" t="n">
        <f aca="false">IF(AG304&gt;=PR_AgeCrAge,IF(AT304&lt;=PR_AgeEx,0,MIN(BI304,PR_AgeMarg*(AT304-PR_AgeEx))),BI304)</f>
        <v>0</v>
      </c>
      <c r="BK304" s="1" t="n">
        <f aca="false">IF(F_Partner=1,IF(F_Married=1,BF304,BH304+BJ304),BH304)</f>
        <v>0</v>
      </c>
      <c r="BL304" s="1" t="n">
        <f aca="false">AL304+AN304+AO304</f>
        <v>0</v>
      </c>
      <c r="BM304" s="1" t="n">
        <f aca="false">IF(BL304&lt;=PR_USCex,0,IF(IF(AND(C304&gt;=PR_USCredAge,BL304&lt;=PR_USCredMax),1,0)=1,PR_USCr1*MIN(BL304,PR_USCredB1)+PR_USCredR2*MAX(0,BL304-PR_USCredB1),PR_USCr1*MIN(BL304,PR_USCb1)+PR_USCr2*MAX(0,MIN(BL304,PR_USCb2)-PR_USCb1)+PR_USCr3*MAX(0,MIN(BL304,PR_USCb3)-PR_USCb2)+PR_USCr4*MAX(0,BL304-PR_USCb3)))+IF(F_SelfEmp=1,PR_USCse*MAX(0,AL304-PR_USCseOver),0)</f>
        <v>0</v>
      </c>
      <c r="BN304" s="1" t="n">
        <f aca="false">AQ304</f>
        <v>0</v>
      </c>
      <c r="BO304" s="1" t="n">
        <f aca="false">IF(F_Partner=1,IF(BN304&lt;=PR_USCex,0,IF(IF(AND(AG304&gt;=PR_USCredAge,BN304&lt;=PR_USCredMax),1,0)=1,PR_USCr1*MIN(BN304,PR_USCredB1)+PR_USCredR2*MAX(0,BN304-PR_USCredB1),PR_USCr1*MIN(BN304,PR_USCb1)+PR_USCr2*MAX(0,MIN(BN304,PR_USCb2)-PR_USCb1)+PR_USCr3*MAX(0,MIN(BN304,PR_USCb3)-PR_USCb2)+PR_USCr4*MAX(0,BN304-PR_USCb3))),0)</f>
        <v>0</v>
      </c>
      <c r="BP304" s="1" t="n">
        <f aca="false">IF(C304&lt;PR_PRSIend,IF(F_SelfEmp=1,IF(AL304&gt;PR_PRSIsMinInc,MAX(PR_PRSIsMin,AL304*J304),0),IF(AL304/52&lt;=PR_PRSIfree,0,MAX(0,(AL304/52*J304-IF(AL304/52&lt;=PR_PRSIcreditTo,MAX(0,PR_PRSIcreditMax-(AL304/52-(PR_PRSIfree+0.01))/PR_PRSItaper),0))*52)))+J304*AN304+IF(AO304&gt;PR_PRSIunearned,J304*AO304,0),0)</f>
        <v>0</v>
      </c>
      <c r="BQ304" s="1" t="n">
        <f aca="false">IF(AND(F_Partner=1,AG304&lt;PR_PRSIend),IF(AQ304/52&lt;=PR_PRSIfree,0,MAX(0,(AQ304/52*J304-IF(AQ304/52&lt;=PR_PRSIcreditTo,MAX(0,PR_PRSIcreditMax-(AQ304/52-(PR_PRSIfree+0.01))/PR_PRSItaper),0))*52)),0)</f>
        <v>0</v>
      </c>
      <c r="BR304" s="1" t="n">
        <f aca="false">BK304+BM304+BO304+BP304+BQ304</f>
        <v>0</v>
      </c>
      <c r="BS304" s="1" t="n">
        <f aca="false">BR304*H304</f>
        <v>0</v>
      </c>
      <c r="BT304" s="1" t="n">
        <f aca="false">K304+AK304+AC304+AF304+AH304+AI304</f>
        <v>49798.0194856992</v>
      </c>
    </row>
    <row r="305" customFormat="false" ht="15" hidden="false" customHeight="true" outlineLevel="0" collapsed="false">
      <c r="B305" s="1" t="n">
        <v>71</v>
      </c>
      <c r="C305" s="1" t="n">
        <f aca="false">F_Age+B305</f>
        <v>71</v>
      </c>
      <c r="D305" s="1" t="n">
        <f aca="false">AS_Year0+B305</f>
        <v>2098</v>
      </c>
      <c r="E305" s="111" t="n">
        <f aca="false">(1+AS_Infl)^B305</f>
        <v>4.07954938730541</v>
      </c>
      <c r="F305" s="111" t="n">
        <f aca="false">(1+AS_Wage)^B305</f>
        <v>8.1553565694854</v>
      </c>
      <c r="G305" s="1" t="n">
        <f aca="false">IF(C305&lt;F_R,1,0)</f>
        <v>0</v>
      </c>
      <c r="H305" s="111" t="n">
        <f aca="false">IF(AS_Bands="flat",1,E305)</f>
        <v>4.07954938730541</v>
      </c>
      <c r="I305" s="111" t="n">
        <f aca="false">IF(AS_SpGrow="pay",F305,IF(AS_SpGrow="flat",1,E305))</f>
        <v>4.07954938730541</v>
      </c>
      <c r="J305" s="111" t="n">
        <f aca="false">(12*PR_PRSIr0+(PR_PRSIr1-PR_PRSIr0)*MAX(0,MIN(12,D305*12+12-PR_PRSIt1))+(PR_PRSIr2-PR_PRSIr1)*MAX(0,MIN(12,D305*12+12-PR_PRSIt2))+(PR_PRSIr3-PR_PRSIr2)*MAX(0,MIN(12,D305*12+12-PR_PRSIt3)))/12</f>
        <v>0.047</v>
      </c>
      <c r="K305" s="1" t="n">
        <f aca="false">IF(G305=1,F_Income*F305,0)</f>
        <v>0</v>
      </c>
      <c r="L305" s="1" t="n">
        <f aca="false">IF(G305=1,(F_Own+In_penExtra)*12*F305,0)</f>
        <v>0</v>
      </c>
      <c r="M305" s="1" t="n">
        <f aca="false">IF(G305=1,(F_PenM+In_penExtra)*12*F305,0)</f>
        <v>0</v>
      </c>
      <c r="N305" s="112" t="n">
        <f aca="false">IF(C305&lt;PR_RelA1,PR_RelP1,IF(C305&lt;PR_RelA2,PR_RelP2,IF(C305&lt;PR_RelA3,PR_RelP3,IF(C305&lt;PR_RelA4,PR_RelP4,IF(C305&lt;PR_RelA5,PR_RelP5,PR_RelP6)))))</f>
        <v>0.4</v>
      </c>
      <c r="O305" s="1" t="n">
        <f aca="false">IF(G305=1,MIN(L305/H305,N305*MIN(K305/H305,PR_EarnCap))*H305,0)</f>
        <v>0</v>
      </c>
      <c r="P305" s="1" t="n">
        <f aca="false">IF(AND(G305=1,F_AE=1),MIN(K305/H305,PR_AEcap)*H305,0)</f>
        <v>0</v>
      </c>
      <c r="Q305" s="1" t="n">
        <f aca="false">IF(G305=1,IF(WI_Retire=1,MAX(0,M305+WI_M*12),M305)+(PR_AEee+PR_AEer+PR_AEst)*P305,0)</f>
        <v>0</v>
      </c>
      <c r="R305" s="1" t="n">
        <f aca="false">L305+PR_AEee*P305</f>
        <v>0</v>
      </c>
      <c r="S305" s="1" t="n">
        <f aca="false">AD304</f>
        <v>0</v>
      </c>
      <c r="T305" s="1" t="n">
        <f aca="false">IF(D305&lt;=PR_SFTfrom,PR_SFT2026,IF(D305=PR_SFTfrom+1,PR_SFT2027,IF(D305=PR_SFTfrom+2,PR_SFT2028,IF(D305&lt;=PR_SFTto,PR_SFT2029,PR_SFT2029*(1+AS_Infl)^(D305-PR_SFTto)))))</f>
        <v>10979179.4352702</v>
      </c>
      <c r="U305" s="1" t="n">
        <f aca="false">IF(AND(G305=0,C305=F_V),1,0)</f>
        <v>0</v>
      </c>
      <c r="V305" s="1" t="n">
        <f aca="false">IF(U305=1,PR_SFTrate*MAX(0,S305-T305),0)</f>
        <v>0</v>
      </c>
      <c r="W305" s="1" t="n">
        <f aca="false">S305-V305</f>
        <v>0</v>
      </c>
      <c r="X305" s="1" t="n">
        <f aca="false">IF(AND(U305=1,AS_LumpPct&gt;0),W305*MIN(AS_LumpPct,PR_LSmax),0)</f>
        <v>0</v>
      </c>
      <c r="Y305" s="1" t="n">
        <f aca="false">X305-(PR_LSrate*MAX(0,MIN(X305,PR_LScap)-PR_LSfree)+PR_r2*MAX(0,X305-PR_LScap))</f>
        <v>0</v>
      </c>
      <c r="Z305" s="1" t="n">
        <f aca="false">W305-X305</f>
        <v>0</v>
      </c>
      <c r="AA305" s="112" t="n">
        <f aca="false">IF(C305&gt;=PR_ARFage1,IF(Z305&gt;PR_ARFbig,PR_ARFbigRate,IF(C305&gt;=PR_ARFage2,PR_ARF71,PR_ARF61)),0)</f>
        <v>0.05</v>
      </c>
      <c r="AB305" s="1" t="n">
        <f aca="false">IF(AS_DrawRule="min",Z305*AA305,IF(AS_DrawRule="fixed",MAX(AS_DrawFixed*E305,Z305*AA305),Z305*MAX(1/MAX(1,AS_End-C305+1),AA305)))</f>
        <v>0</v>
      </c>
      <c r="AC305" s="1" t="n">
        <f aca="false">IF(AND(G305=0,C305&gt;=F_V),MIN(Z305,AB305),0)</f>
        <v>0</v>
      </c>
      <c r="AD305" s="1" t="n">
        <f aca="false">IF(G305=1,S305*(1+F_PenG)+Q305,IF(C305&lt;F_V,S305*(1+F_PenG),(Z305-AC305)*(1+AS_PenRet)))</f>
        <v>0</v>
      </c>
      <c r="AE305" s="1" t="n">
        <f aca="false">IF(C305&gt;=PR_SPage,AS_SP*F_SpF*I305+IF(AND(C305&gt;=PR_Over80Age,F_SpF&gt;0),PR_Over80*PR_Weeks*I305,0),0)</f>
        <v>50793.9798754132</v>
      </c>
      <c r="AF305" s="1" t="n">
        <f aca="false">(F_OtherM+F_RentM)*12*E305</f>
        <v>0</v>
      </c>
      <c r="AG305" s="1" t="n">
        <f aca="false">F_PAge+B305</f>
        <v>71</v>
      </c>
      <c r="AH305" s="1" t="n">
        <f aca="false">IF(AND(F_Partner=1,F_PAge&gt;0,AG305&lt;IF(F_PRet&gt;0,F_PRet,PR_SPage)),F_PIncome*F305,0)</f>
        <v>0</v>
      </c>
      <c r="AI305" s="1" t="n">
        <f aca="false">IF(AND(F_Partner=1,AG305&gt;=PR_SPage,F_PSpQA=0),AS_SP*F_PSpF*I305,0)</f>
        <v>0</v>
      </c>
      <c r="AJ305" s="1" t="n">
        <f aca="false">IF(AND(F_Partner=1,F_PSpQA=1,C305&gt;=PR_SPage,AH305=0),IF(AG305&gt;=PR_SPage,PR_QA66,PR_QAunder)*PR_Weeks*I305,0)</f>
        <v>0</v>
      </c>
      <c r="AK305" s="1" t="n">
        <f aca="false">AE305+AJ305</f>
        <v>50793.9798754132</v>
      </c>
      <c r="AL305" s="1" t="n">
        <f aca="false">K305/H305</f>
        <v>0</v>
      </c>
      <c r="AM305" s="1" t="n">
        <f aca="false">AK305/H305</f>
        <v>12450.88</v>
      </c>
      <c r="AN305" s="1" t="n">
        <f aca="false">AC305/H305</f>
        <v>0</v>
      </c>
      <c r="AO305" s="1" t="n">
        <f aca="false">AF305/H305</f>
        <v>0</v>
      </c>
      <c r="AP305" s="1" t="n">
        <f aca="false">O305/H305</f>
        <v>0</v>
      </c>
      <c r="AQ305" s="1" t="n">
        <f aca="false">AH305/H305</f>
        <v>0</v>
      </c>
      <c r="AR305" s="1" t="n">
        <f aca="false">AI305/H305</f>
        <v>0</v>
      </c>
      <c r="AS305" s="1" t="n">
        <f aca="false">MAX(0,AL305+AN305+AO305+AM305-AP305)</f>
        <v>12450.88</v>
      </c>
      <c r="AT305" s="1" t="n">
        <f aca="false">MAX(0,AQ305+AR305)</f>
        <v>0</v>
      </c>
      <c r="AU305" s="1" t="n">
        <f aca="false">MIN(PR_PAYE,PR_PAYEcap*(AL305+AN305+AM305))</f>
        <v>2000</v>
      </c>
      <c r="AV305" s="1" t="n">
        <f aca="false">MIN(PR_PAYE,PR_PAYEcap*(AQ305+AR305))</f>
        <v>0</v>
      </c>
      <c r="AW305" s="1" t="n">
        <f aca="false">IF(C305&gt;=PR_AgeCrAge,PR_AgeCr,0)</f>
        <v>245</v>
      </c>
      <c r="AX305" s="1" t="n">
        <f aca="false">IF(AG305&gt;=PR_AgeCrAge,PR_AgeCr,0)</f>
        <v>245</v>
      </c>
      <c r="AY305" s="1" t="n">
        <f aca="false">IF(AND(F_RentCred=1,D305&lt;=PR_RentLast),1,0)</f>
        <v>0</v>
      </c>
      <c r="AZ305" s="1" t="n">
        <f aca="false">AS305+AT305</f>
        <v>12450.88</v>
      </c>
      <c r="BA305" s="1" t="n">
        <f aca="false">PR_PersonalM+AU305+AV305+AW305+AX305+IF(AY305=1,PR_RentJoint,0)</f>
        <v>6490</v>
      </c>
      <c r="BB305" s="1" t="n">
        <f aca="false">PR_BandM+MIN(MIN(AS305,AT305),PR_Uplift)</f>
        <v>53000</v>
      </c>
      <c r="BC305" s="1" t="n">
        <f aca="false">MAX(0,PR_r1*MIN(AZ305,BB305)+PR_r2*MAX(0,AZ305-BB305)-BA305)</f>
        <v>0</v>
      </c>
      <c r="BD305" s="1" t="n">
        <f aca="false">MAX(0,PR_HomeCarer-MAX(0,MIN(AS305,AT305)-PR_HCLimit)/2)</f>
        <v>1950</v>
      </c>
      <c r="BE305" s="1" t="n">
        <f aca="false">IF(F_Carer=1,MIN(BC305,MAX(0,PR_r1*MIN(AZ305,PR_BandM)+PR_r2*MAX(0,AZ305-PR_BandM)-BA305-BD305)),BC305)</f>
        <v>0</v>
      </c>
      <c r="BF305" s="1" t="n">
        <f aca="false">IF(OR(C305&gt;=PR_AgeCrAge,AG305&gt;=PR_AgeCrAge),IF(AZ305&lt;=PR_AgeExM,0,MIN(BE305,PR_AgeMarg*(AZ305-PR_AgeExM))),BE305)</f>
        <v>0</v>
      </c>
      <c r="BG305" s="1" t="n">
        <f aca="false">MAX(0,PR_r1*MIN(AS305,IF(F_Spccc=1,PR_BandSPCCC,PR_Band))+PR_r2*MAX(0,AS305-IF(F_Spccc=1,PR_BandSPCCC,PR_Band))-(PR_Personal+AU305+AW305+IF(F_Spccc=1,PR_SPCCC,0)+IF(AY305=1,PR_Rent,0)))</f>
        <v>0</v>
      </c>
      <c r="BH305" s="1" t="n">
        <f aca="false">IF(C305&gt;=PR_AgeCrAge,IF(AS305&lt;=PR_AgeEx,0,MIN(BG305,PR_AgeMarg*(AS305-PR_AgeEx))),BG305)</f>
        <v>0</v>
      </c>
      <c r="BI305" s="1" t="n">
        <f aca="false">IF(F_Partner=1,MAX(0,PR_r1*MIN(AT305,PR_Band)+PR_r2*MAX(0,AT305-PR_Band)-(PR_Personal+AV305+AX305+IF(AND(AY305=1,AT305&gt;0),PR_Rent,0))),0)</f>
        <v>0</v>
      </c>
      <c r="BJ305" s="1" t="n">
        <f aca="false">IF(AG305&gt;=PR_AgeCrAge,IF(AT305&lt;=PR_AgeEx,0,MIN(BI305,PR_AgeMarg*(AT305-PR_AgeEx))),BI305)</f>
        <v>0</v>
      </c>
      <c r="BK305" s="1" t="n">
        <f aca="false">IF(F_Partner=1,IF(F_Married=1,BF305,BH305+BJ305),BH305)</f>
        <v>0</v>
      </c>
      <c r="BL305" s="1" t="n">
        <f aca="false">AL305+AN305+AO305</f>
        <v>0</v>
      </c>
      <c r="BM305" s="1" t="n">
        <f aca="false">IF(BL305&lt;=PR_USCex,0,IF(IF(AND(C305&gt;=PR_USCredAge,BL305&lt;=PR_USCredMax),1,0)=1,PR_USCr1*MIN(BL305,PR_USCredB1)+PR_USCredR2*MAX(0,BL305-PR_USCredB1),PR_USCr1*MIN(BL305,PR_USCb1)+PR_USCr2*MAX(0,MIN(BL305,PR_USCb2)-PR_USCb1)+PR_USCr3*MAX(0,MIN(BL305,PR_USCb3)-PR_USCb2)+PR_USCr4*MAX(0,BL305-PR_USCb3)))+IF(F_SelfEmp=1,PR_USCse*MAX(0,AL305-PR_USCseOver),0)</f>
        <v>0</v>
      </c>
      <c r="BN305" s="1" t="n">
        <f aca="false">AQ305</f>
        <v>0</v>
      </c>
      <c r="BO305" s="1" t="n">
        <f aca="false">IF(F_Partner=1,IF(BN305&lt;=PR_USCex,0,IF(IF(AND(AG305&gt;=PR_USCredAge,BN305&lt;=PR_USCredMax),1,0)=1,PR_USCr1*MIN(BN305,PR_USCredB1)+PR_USCredR2*MAX(0,BN305-PR_USCredB1),PR_USCr1*MIN(BN305,PR_USCb1)+PR_USCr2*MAX(0,MIN(BN305,PR_USCb2)-PR_USCb1)+PR_USCr3*MAX(0,MIN(BN305,PR_USCb3)-PR_USCb2)+PR_USCr4*MAX(0,BN305-PR_USCb3))),0)</f>
        <v>0</v>
      </c>
      <c r="BP305" s="1" t="n">
        <f aca="false">IF(C305&lt;PR_PRSIend,IF(F_SelfEmp=1,IF(AL305&gt;PR_PRSIsMinInc,MAX(PR_PRSIsMin,AL305*J305),0),IF(AL305/52&lt;=PR_PRSIfree,0,MAX(0,(AL305/52*J305-IF(AL305/52&lt;=PR_PRSIcreditTo,MAX(0,PR_PRSIcreditMax-(AL305/52-(PR_PRSIfree+0.01))/PR_PRSItaper),0))*52)))+J305*AN305+IF(AO305&gt;PR_PRSIunearned,J305*AO305,0),0)</f>
        <v>0</v>
      </c>
      <c r="BQ305" s="1" t="n">
        <f aca="false">IF(AND(F_Partner=1,AG305&lt;PR_PRSIend),IF(AQ305/52&lt;=PR_PRSIfree,0,MAX(0,(AQ305/52*J305-IF(AQ305/52&lt;=PR_PRSIcreditTo,MAX(0,PR_PRSIcreditMax-(AQ305/52-(PR_PRSIfree+0.01))/PR_PRSItaper),0))*52)),0)</f>
        <v>0</v>
      </c>
      <c r="BR305" s="1" t="n">
        <f aca="false">BK305+BM305+BO305+BP305+BQ305</f>
        <v>0</v>
      </c>
      <c r="BS305" s="1" t="n">
        <f aca="false">BR305*H305</f>
        <v>0</v>
      </c>
      <c r="BT305" s="1" t="n">
        <f aca="false">K305+AK305+AC305+AF305+AH305+AI305</f>
        <v>50793.9798754132</v>
      </c>
    </row>
    <row r="306" customFormat="false" ht="15" hidden="false" customHeight="true" outlineLevel="0" collapsed="false">
      <c r="B306" s="1" t="n">
        <v>72</v>
      </c>
      <c r="C306" s="1" t="n">
        <f aca="false">F_Age+B306</f>
        <v>72</v>
      </c>
      <c r="D306" s="1" t="n">
        <f aca="false">AS_Year0+B306</f>
        <v>2099</v>
      </c>
      <c r="E306" s="111" t="n">
        <f aca="false">(1+AS_Infl)^B306</f>
        <v>4.16114037505152</v>
      </c>
      <c r="F306" s="111" t="n">
        <f aca="false">(1+AS_Wage)^B306</f>
        <v>8.40001726656997</v>
      </c>
      <c r="G306" s="1" t="n">
        <f aca="false">IF(C306&lt;F_R,1,0)</f>
        <v>0</v>
      </c>
      <c r="H306" s="111" t="n">
        <f aca="false">IF(AS_Bands="flat",1,E306)</f>
        <v>4.16114037505152</v>
      </c>
      <c r="I306" s="111" t="n">
        <f aca="false">IF(AS_SpGrow="pay",F306,IF(AS_SpGrow="flat",1,E306))</f>
        <v>4.16114037505152</v>
      </c>
      <c r="J306" s="111" t="n">
        <f aca="false">(12*PR_PRSIr0+(PR_PRSIr1-PR_PRSIr0)*MAX(0,MIN(12,D306*12+12-PR_PRSIt1))+(PR_PRSIr2-PR_PRSIr1)*MAX(0,MIN(12,D306*12+12-PR_PRSIt2))+(PR_PRSIr3-PR_PRSIr2)*MAX(0,MIN(12,D306*12+12-PR_PRSIt3)))/12</f>
        <v>0.047</v>
      </c>
      <c r="K306" s="1" t="n">
        <f aca="false">IF(G306=1,F_Income*F306,0)</f>
        <v>0</v>
      </c>
      <c r="L306" s="1" t="n">
        <f aca="false">IF(G306=1,(F_Own+In_penExtra)*12*F306,0)</f>
        <v>0</v>
      </c>
      <c r="M306" s="1" t="n">
        <f aca="false">IF(G306=1,(F_PenM+In_penExtra)*12*F306,0)</f>
        <v>0</v>
      </c>
      <c r="N306" s="112" t="n">
        <f aca="false">IF(C306&lt;PR_RelA1,PR_RelP1,IF(C306&lt;PR_RelA2,PR_RelP2,IF(C306&lt;PR_RelA3,PR_RelP3,IF(C306&lt;PR_RelA4,PR_RelP4,IF(C306&lt;PR_RelA5,PR_RelP5,PR_RelP6)))))</f>
        <v>0.4</v>
      </c>
      <c r="O306" s="1" t="n">
        <f aca="false">IF(G306=1,MIN(L306/H306,N306*MIN(K306/H306,PR_EarnCap))*H306,0)</f>
        <v>0</v>
      </c>
      <c r="P306" s="1" t="n">
        <f aca="false">IF(AND(G306=1,F_AE=1),MIN(K306/H306,PR_AEcap)*H306,0)</f>
        <v>0</v>
      </c>
      <c r="Q306" s="1" t="n">
        <f aca="false">IF(G306=1,IF(WI_Retire=1,MAX(0,M306+WI_M*12),M306)+(PR_AEee+PR_AEer+PR_AEst)*P306,0)</f>
        <v>0</v>
      </c>
      <c r="R306" s="1" t="n">
        <f aca="false">L306+PR_AEee*P306</f>
        <v>0</v>
      </c>
      <c r="S306" s="1" t="n">
        <f aca="false">AD305</f>
        <v>0</v>
      </c>
      <c r="T306" s="1" t="n">
        <f aca="false">IF(D306&lt;=PR_SFTfrom,PR_SFT2026,IF(D306=PR_SFTfrom+1,PR_SFT2027,IF(D306=PR_SFTfrom+2,PR_SFT2028,IF(D306&lt;=PR_SFTto,PR_SFT2029,PR_SFT2029*(1+AS_Infl)^(D306-PR_SFTto)))))</f>
        <v>11198763.0239756</v>
      </c>
      <c r="U306" s="1" t="n">
        <f aca="false">IF(AND(G306=0,C306=F_V),1,0)</f>
        <v>0</v>
      </c>
      <c r="V306" s="1" t="n">
        <f aca="false">IF(U306=1,PR_SFTrate*MAX(0,S306-T306),0)</f>
        <v>0</v>
      </c>
      <c r="W306" s="1" t="n">
        <f aca="false">S306-V306</f>
        <v>0</v>
      </c>
      <c r="X306" s="1" t="n">
        <f aca="false">IF(AND(U306=1,AS_LumpPct&gt;0),W306*MIN(AS_LumpPct,PR_LSmax),0)</f>
        <v>0</v>
      </c>
      <c r="Y306" s="1" t="n">
        <f aca="false">X306-(PR_LSrate*MAX(0,MIN(X306,PR_LScap)-PR_LSfree)+PR_r2*MAX(0,X306-PR_LScap))</f>
        <v>0</v>
      </c>
      <c r="Z306" s="1" t="n">
        <f aca="false">W306-X306</f>
        <v>0</v>
      </c>
      <c r="AA306" s="112" t="n">
        <f aca="false">IF(C306&gt;=PR_ARFage1,IF(Z306&gt;PR_ARFbig,PR_ARFbigRate,IF(C306&gt;=PR_ARFage2,PR_ARF71,PR_ARF61)),0)</f>
        <v>0.05</v>
      </c>
      <c r="AB306" s="1" t="n">
        <f aca="false">IF(AS_DrawRule="min",Z306*AA306,IF(AS_DrawRule="fixed",MAX(AS_DrawFixed*E306,Z306*AA306),Z306*MAX(1/MAX(1,AS_End-C306+1),AA306)))</f>
        <v>0</v>
      </c>
      <c r="AC306" s="1" t="n">
        <f aca="false">IF(AND(G306=0,C306&gt;=F_V),MIN(Z306,AB306),0)</f>
        <v>0</v>
      </c>
      <c r="AD306" s="1" t="n">
        <f aca="false">IF(G306=1,S306*(1+F_PenG)+Q306,IF(C306&lt;F_V,S306*(1+F_PenG),(Z306-AC306)*(1+AS_PenRet)))</f>
        <v>0</v>
      </c>
      <c r="AE306" s="1" t="n">
        <f aca="false">IF(C306&gt;=PR_SPage,AS_SP*F_SpF*I306+IF(AND(C306&gt;=PR_Over80Age,F_SpF&gt;0),PR_Over80*PR_Weeks*I306,0),0)</f>
        <v>51809.8594729214</v>
      </c>
      <c r="AF306" s="1" t="n">
        <f aca="false">(F_OtherM+F_RentM)*12*E306</f>
        <v>0</v>
      </c>
      <c r="AG306" s="1" t="n">
        <f aca="false">F_PAge+B306</f>
        <v>72</v>
      </c>
      <c r="AH306" s="1" t="n">
        <f aca="false">IF(AND(F_Partner=1,F_PAge&gt;0,AG306&lt;IF(F_PRet&gt;0,F_PRet,PR_SPage)),F_PIncome*F306,0)</f>
        <v>0</v>
      </c>
      <c r="AI306" s="1" t="n">
        <f aca="false">IF(AND(F_Partner=1,AG306&gt;=PR_SPage,F_PSpQA=0),AS_SP*F_PSpF*I306,0)</f>
        <v>0</v>
      </c>
      <c r="AJ306" s="1" t="n">
        <f aca="false">IF(AND(F_Partner=1,F_PSpQA=1,C306&gt;=PR_SPage,AH306=0),IF(AG306&gt;=PR_SPage,PR_QA66,PR_QAunder)*PR_Weeks*I306,0)</f>
        <v>0</v>
      </c>
      <c r="AK306" s="1" t="n">
        <f aca="false">AE306+AJ306</f>
        <v>51809.8594729214</v>
      </c>
      <c r="AL306" s="1" t="n">
        <f aca="false">K306/H306</f>
        <v>0</v>
      </c>
      <c r="AM306" s="1" t="n">
        <f aca="false">AK306/H306</f>
        <v>12450.88</v>
      </c>
      <c r="AN306" s="1" t="n">
        <f aca="false">AC306/H306</f>
        <v>0</v>
      </c>
      <c r="AO306" s="1" t="n">
        <f aca="false">AF306/H306</f>
        <v>0</v>
      </c>
      <c r="AP306" s="1" t="n">
        <f aca="false">O306/H306</f>
        <v>0</v>
      </c>
      <c r="AQ306" s="1" t="n">
        <f aca="false">AH306/H306</f>
        <v>0</v>
      </c>
      <c r="AR306" s="1" t="n">
        <f aca="false">AI306/H306</f>
        <v>0</v>
      </c>
      <c r="AS306" s="1" t="n">
        <f aca="false">MAX(0,AL306+AN306+AO306+AM306-AP306)</f>
        <v>12450.88</v>
      </c>
      <c r="AT306" s="1" t="n">
        <f aca="false">MAX(0,AQ306+AR306)</f>
        <v>0</v>
      </c>
      <c r="AU306" s="1" t="n">
        <f aca="false">MIN(PR_PAYE,PR_PAYEcap*(AL306+AN306+AM306))</f>
        <v>2000</v>
      </c>
      <c r="AV306" s="1" t="n">
        <f aca="false">MIN(PR_PAYE,PR_PAYEcap*(AQ306+AR306))</f>
        <v>0</v>
      </c>
      <c r="AW306" s="1" t="n">
        <f aca="false">IF(C306&gt;=PR_AgeCrAge,PR_AgeCr,0)</f>
        <v>245</v>
      </c>
      <c r="AX306" s="1" t="n">
        <f aca="false">IF(AG306&gt;=PR_AgeCrAge,PR_AgeCr,0)</f>
        <v>245</v>
      </c>
      <c r="AY306" s="1" t="n">
        <f aca="false">IF(AND(F_RentCred=1,D306&lt;=PR_RentLast),1,0)</f>
        <v>0</v>
      </c>
      <c r="AZ306" s="1" t="n">
        <f aca="false">AS306+AT306</f>
        <v>12450.88</v>
      </c>
      <c r="BA306" s="1" t="n">
        <f aca="false">PR_PersonalM+AU306+AV306+AW306+AX306+IF(AY306=1,PR_RentJoint,0)</f>
        <v>6490</v>
      </c>
      <c r="BB306" s="1" t="n">
        <f aca="false">PR_BandM+MIN(MIN(AS306,AT306),PR_Uplift)</f>
        <v>53000</v>
      </c>
      <c r="BC306" s="1" t="n">
        <f aca="false">MAX(0,PR_r1*MIN(AZ306,BB306)+PR_r2*MAX(0,AZ306-BB306)-BA306)</f>
        <v>0</v>
      </c>
      <c r="BD306" s="1" t="n">
        <f aca="false">MAX(0,PR_HomeCarer-MAX(0,MIN(AS306,AT306)-PR_HCLimit)/2)</f>
        <v>1950</v>
      </c>
      <c r="BE306" s="1" t="n">
        <f aca="false">IF(F_Carer=1,MIN(BC306,MAX(0,PR_r1*MIN(AZ306,PR_BandM)+PR_r2*MAX(0,AZ306-PR_BandM)-BA306-BD306)),BC306)</f>
        <v>0</v>
      </c>
      <c r="BF306" s="1" t="n">
        <f aca="false">IF(OR(C306&gt;=PR_AgeCrAge,AG306&gt;=PR_AgeCrAge),IF(AZ306&lt;=PR_AgeExM,0,MIN(BE306,PR_AgeMarg*(AZ306-PR_AgeExM))),BE306)</f>
        <v>0</v>
      </c>
      <c r="BG306" s="1" t="n">
        <f aca="false">MAX(0,PR_r1*MIN(AS306,IF(F_Spccc=1,PR_BandSPCCC,PR_Band))+PR_r2*MAX(0,AS306-IF(F_Spccc=1,PR_BandSPCCC,PR_Band))-(PR_Personal+AU306+AW306+IF(F_Spccc=1,PR_SPCCC,0)+IF(AY306=1,PR_Rent,0)))</f>
        <v>0</v>
      </c>
      <c r="BH306" s="1" t="n">
        <f aca="false">IF(C306&gt;=PR_AgeCrAge,IF(AS306&lt;=PR_AgeEx,0,MIN(BG306,PR_AgeMarg*(AS306-PR_AgeEx))),BG306)</f>
        <v>0</v>
      </c>
      <c r="BI306" s="1" t="n">
        <f aca="false">IF(F_Partner=1,MAX(0,PR_r1*MIN(AT306,PR_Band)+PR_r2*MAX(0,AT306-PR_Band)-(PR_Personal+AV306+AX306+IF(AND(AY306=1,AT306&gt;0),PR_Rent,0))),0)</f>
        <v>0</v>
      </c>
      <c r="BJ306" s="1" t="n">
        <f aca="false">IF(AG306&gt;=PR_AgeCrAge,IF(AT306&lt;=PR_AgeEx,0,MIN(BI306,PR_AgeMarg*(AT306-PR_AgeEx))),BI306)</f>
        <v>0</v>
      </c>
      <c r="BK306" s="1" t="n">
        <f aca="false">IF(F_Partner=1,IF(F_Married=1,BF306,BH306+BJ306),BH306)</f>
        <v>0</v>
      </c>
      <c r="BL306" s="1" t="n">
        <f aca="false">AL306+AN306+AO306</f>
        <v>0</v>
      </c>
      <c r="BM306" s="1" t="n">
        <f aca="false">IF(BL306&lt;=PR_USCex,0,IF(IF(AND(C306&gt;=PR_USCredAge,BL306&lt;=PR_USCredMax),1,0)=1,PR_USCr1*MIN(BL306,PR_USCredB1)+PR_USCredR2*MAX(0,BL306-PR_USCredB1),PR_USCr1*MIN(BL306,PR_USCb1)+PR_USCr2*MAX(0,MIN(BL306,PR_USCb2)-PR_USCb1)+PR_USCr3*MAX(0,MIN(BL306,PR_USCb3)-PR_USCb2)+PR_USCr4*MAX(0,BL306-PR_USCb3)))+IF(F_SelfEmp=1,PR_USCse*MAX(0,AL306-PR_USCseOver),0)</f>
        <v>0</v>
      </c>
      <c r="BN306" s="1" t="n">
        <f aca="false">AQ306</f>
        <v>0</v>
      </c>
      <c r="BO306" s="1" t="n">
        <f aca="false">IF(F_Partner=1,IF(BN306&lt;=PR_USCex,0,IF(IF(AND(AG306&gt;=PR_USCredAge,BN306&lt;=PR_USCredMax),1,0)=1,PR_USCr1*MIN(BN306,PR_USCredB1)+PR_USCredR2*MAX(0,BN306-PR_USCredB1),PR_USCr1*MIN(BN306,PR_USCb1)+PR_USCr2*MAX(0,MIN(BN306,PR_USCb2)-PR_USCb1)+PR_USCr3*MAX(0,MIN(BN306,PR_USCb3)-PR_USCb2)+PR_USCr4*MAX(0,BN306-PR_USCb3))),0)</f>
        <v>0</v>
      </c>
      <c r="BP306" s="1" t="n">
        <f aca="false">IF(C306&lt;PR_PRSIend,IF(F_SelfEmp=1,IF(AL306&gt;PR_PRSIsMinInc,MAX(PR_PRSIsMin,AL306*J306),0),IF(AL306/52&lt;=PR_PRSIfree,0,MAX(0,(AL306/52*J306-IF(AL306/52&lt;=PR_PRSIcreditTo,MAX(0,PR_PRSIcreditMax-(AL306/52-(PR_PRSIfree+0.01))/PR_PRSItaper),0))*52)))+J306*AN306+IF(AO306&gt;PR_PRSIunearned,J306*AO306,0),0)</f>
        <v>0</v>
      </c>
      <c r="BQ306" s="1" t="n">
        <f aca="false">IF(AND(F_Partner=1,AG306&lt;PR_PRSIend),IF(AQ306/52&lt;=PR_PRSIfree,0,MAX(0,(AQ306/52*J306-IF(AQ306/52&lt;=PR_PRSIcreditTo,MAX(0,PR_PRSIcreditMax-(AQ306/52-(PR_PRSIfree+0.01))/PR_PRSItaper),0))*52)),0)</f>
        <v>0</v>
      </c>
      <c r="BR306" s="1" t="n">
        <f aca="false">BK306+BM306+BO306+BP306+BQ306</f>
        <v>0</v>
      </c>
      <c r="BS306" s="1" t="n">
        <f aca="false">BR306*H306</f>
        <v>0</v>
      </c>
      <c r="BT306" s="1" t="n">
        <f aca="false">K306+AK306+AC306+AF306+AH306+AI306</f>
        <v>51809.8594729214</v>
      </c>
    </row>
    <row r="307" customFormat="false" ht="15" hidden="false" customHeight="true" outlineLevel="0" collapsed="false">
      <c r="B307" s="1" t="n">
        <v>73</v>
      </c>
      <c r="C307" s="1" t="n">
        <f aca="false">F_Age+B307</f>
        <v>73</v>
      </c>
      <c r="D307" s="1" t="n">
        <f aca="false">AS_Year0+B307</f>
        <v>2100</v>
      </c>
      <c r="E307" s="111" t="n">
        <f aca="false">(1+AS_Infl)^B307</f>
        <v>4.24436318255255</v>
      </c>
      <c r="F307" s="111" t="n">
        <f aca="false">(1+AS_Wage)^B307</f>
        <v>8.65201778456706</v>
      </c>
      <c r="G307" s="1" t="n">
        <f aca="false">IF(C307&lt;F_R,1,0)</f>
        <v>0</v>
      </c>
      <c r="H307" s="111" t="n">
        <f aca="false">IF(AS_Bands="flat",1,E307)</f>
        <v>4.24436318255255</v>
      </c>
      <c r="I307" s="111" t="n">
        <f aca="false">IF(AS_SpGrow="pay",F307,IF(AS_SpGrow="flat",1,E307))</f>
        <v>4.24436318255255</v>
      </c>
      <c r="J307" s="111" t="n">
        <f aca="false">(12*PR_PRSIr0+(PR_PRSIr1-PR_PRSIr0)*MAX(0,MIN(12,D307*12+12-PR_PRSIt1))+(PR_PRSIr2-PR_PRSIr1)*MAX(0,MIN(12,D307*12+12-PR_PRSIt2))+(PR_PRSIr3-PR_PRSIr2)*MAX(0,MIN(12,D307*12+12-PR_PRSIt3)))/12</f>
        <v>0.047</v>
      </c>
      <c r="K307" s="1" t="n">
        <f aca="false">IF(G307=1,F_Income*F307,0)</f>
        <v>0</v>
      </c>
      <c r="L307" s="1" t="n">
        <f aca="false">IF(G307=1,(F_Own+In_penExtra)*12*F307,0)</f>
        <v>0</v>
      </c>
      <c r="M307" s="1" t="n">
        <f aca="false">IF(G307=1,(F_PenM+In_penExtra)*12*F307,0)</f>
        <v>0</v>
      </c>
      <c r="N307" s="112" t="n">
        <f aca="false">IF(C307&lt;PR_RelA1,PR_RelP1,IF(C307&lt;PR_RelA2,PR_RelP2,IF(C307&lt;PR_RelA3,PR_RelP3,IF(C307&lt;PR_RelA4,PR_RelP4,IF(C307&lt;PR_RelA5,PR_RelP5,PR_RelP6)))))</f>
        <v>0.4</v>
      </c>
      <c r="O307" s="1" t="n">
        <f aca="false">IF(G307=1,MIN(L307/H307,N307*MIN(K307/H307,PR_EarnCap))*H307,0)</f>
        <v>0</v>
      </c>
      <c r="P307" s="1" t="n">
        <f aca="false">IF(AND(G307=1,F_AE=1),MIN(K307/H307,PR_AEcap)*H307,0)</f>
        <v>0</v>
      </c>
      <c r="Q307" s="1" t="n">
        <f aca="false">IF(G307=1,IF(WI_Retire=1,MAX(0,M307+WI_M*12),M307)+(PR_AEee+PR_AEer+PR_AEst)*P307,0)</f>
        <v>0</v>
      </c>
      <c r="R307" s="1" t="n">
        <f aca="false">L307+PR_AEee*P307</f>
        <v>0</v>
      </c>
      <c r="S307" s="1" t="n">
        <f aca="false">AD306</f>
        <v>0</v>
      </c>
      <c r="T307" s="1" t="n">
        <f aca="false">IF(D307&lt;=PR_SFTfrom,PR_SFT2026,IF(D307=PR_SFTfrom+1,PR_SFT2027,IF(D307=PR_SFTfrom+2,PR_SFT2028,IF(D307&lt;=PR_SFTto,PR_SFT2029,PR_SFT2029*(1+AS_Infl)^(D307-PR_SFTto)))))</f>
        <v>11422738.2844551</v>
      </c>
      <c r="U307" s="1" t="n">
        <f aca="false">IF(AND(G307=0,C307=F_V),1,0)</f>
        <v>0</v>
      </c>
      <c r="V307" s="1" t="n">
        <f aca="false">IF(U307=1,PR_SFTrate*MAX(0,S307-T307),0)</f>
        <v>0</v>
      </c>
      <c r="W307" s="1" t="n">
        <f aca="false">S307-V307</f>
        <v>0</v>
      </c>
      <c r="X307" s="1" t="n">
        <f aca="false">IF(AND(U307=1,AS_LumpPct&gt;0),W307*MIN(AS_LumpPct,PR_LSmax),0)</f>
        <v>0</v>
      </c>
      <c r="Y307" s="1" t="n">
        <f aca="false">X307-(PR_LSrate*MAX(0,MIN(X307,PR_LScap)-PR_LSfree)+PR_r2*MAX(0,X307-PR_LScap))</f>
        <v>0</v>
      </c>
      <c r="Z307" s="1" t="n">
        <f aca="false">W307-X307</f>
        <v>0</v>
      </c>
      <c r="AA307" s="112" t="n">
        <f aca="false">IF(C307&gt;=PR_ARFage1,IF(Z307&gt;PR_ARFbig,PR_ARFbigRate,IF(C307&gt;=PR_ARFage2,PR_ARF71,PR_ARF61)),0)</f>
        <v>0.05</v>
      </c>
      <c r="AB307" s="1" t="n">
        <f aca="false">IF(AS_DrawRule="min",Z307*AA307,IF(AS_DrawRule="fixed",MAX(AS_DrawFixed*E307,Z307*AA307),Z307*MAX(1/MAX(1,AS_End-C307+1),AA307)))</f>
        <v>0</v>
      </c>
      <c r="AC307" s="1" t="n">
        <f aca="false">IF(AND(G307=0,C307&gt;=F_V),MIN(Z307,AB307),0)</f>
        <v>0</v>
      </c>
      <c r="AD307" s="1" t="n">
        <f aca="false">IF(G307=1,S307*(1+F_PenG)+Q307,IF(C307&lt;F_V,S307*(1+F_PenG),(Z307-AC307)*(1+AS_PenRet)))</f>
        <v>0</v>
      </c>
      <c r="AE307" s="1" t="n">
        <f aca="false">IF(C307&gt;=PR_SPage,AS_SP*F_SpF*I307+IF(AND(C307&gt;=PR_Over80Age,F_SpF&gt;0),PR_Over80*PR_Weeks*I307,0),0)</f>
        <v>52846.0566623799</v>
      </c>
      <c r="AF307" s="1" t="n">
        <f aca="false">(F_OtherM+F_RentM)*12*E307</f>
        <v>0</v>
      </c>
      <c r="AG307" s="1" t="n">
        <f aca="false">F_PAge+B307</f>
        <v>73</v>
      </c>
      <c r="AH307" s="1" t="n">
        <f aca="false">IF(AND(F_Partner=1,F_PAge&gt;0,AG307&lt;IF(F_PRet&gt;0,F_PRet,PR_SPage)),F_PIncome*F307,0)</f>
        <v>0</v>
      </c>
      <c r="AI307" s="1" t="n">
        <f aca="false">IF(AND(F_Partner=1,AG307&gt;=PR_SPage,F_PSpQA=0),AS_SP*F_PSpF*I307,0)</f>
        <v>0</v>
      </c>
      <c r="AJ307" s="1" t="n">
        <f aca="false">IF(AND(F_Partner=1,F_PSpQA=1,C307&gt;=PR_SPage,AH307=0),IF(AG307&gt;=PR_SPage,PR_QA66,PR_QAunder)*PR_Weeks*I307,0)</f>
        <v>0</v>
      </c>
      <c r="AK307" s="1" t="n">
        <f aca="false">AE307+AJ307</f>
        <v>52846.0566623799</v>
      </c>
      <c r="AL307" s="1" t="n">
        <f aca="false">K307/H307</f>
        <v>0</v>
      </c>
      <c r="AM307" s="1" t="n">
        <f aca="false">AK307/H307</f>
        <v>12450.88</v>
      </c>
      <c r="AN307" s="1" t="n">
        <f aca="false">AC307/H307</f>
        <v>0</v>
      </c>
      <c r="AO307" s="1" t="n">
        <f aca="false">AF307/H307</f>
        <v>0</v>
      </c>
      <c r="AP307" s="1" t="n">
        <f aca="false">O307/H307</f>
        <v>0</v>
      </c>
      <c r="AQ307" s="1" t="n">
        <f aca="false">AH307/H307</f>
        <v>0</v>
      </c>
      <c r="AR307" s="1" t="n">
        <f aca="false">AI307/H307</f>
        <v>0</v>
      </c>
      <c r="AS307" s="1" t="n">
        <f aca="false">MAX(0,AL307+AN307+AO307+AM307-AP307)</f>
        <v>12450.88</v>
      </c>
      <c r="AT307" s="1" t="n">
        <f aca="false">MAX(0,AQ307+AR307)</f>
        <v>0</v>
      </c>
      <c r="AU307" s="1" t="n">
        <f aca="false">MIN(PR_PAYE,PR_PAYEcap*(AL307+AN307+AM307))</f>
        <v>2000</v>
      </c>
      <c r="AV307" s="1" t="n">
        <f aca="false">MIN(PR_PAYE,PR_PAYEcap*(AQ307+AR307))</f>
        <v>0</v>
      </c>
      <c r="AW307" s="1" t="n">
        <f aca="false">IF(C307&gt;=PR_AgeCrAge,PR_AgeCr,0)</f>
        <v>245</v>
      </c>
      <c r="AX307" s="1" t="n">
        <f aca="false">IF(AG307&gt;=PR_AgeCrAge,PR_AgeCr,0)</f>
        <v>245</v>
      </c>
      <c r="AY307" s="1" t="n">
        <f aca="false">IF(AND(F_RentCred=1,D307&lt;=PR_RentLast),1,0)</f>
        <v>0</v>
      </c>
      <c r="AZ307" s="1" t="n">
        <f aca="false">AS307+AT307</f>
        <v>12450.88</v>
      </c>
      <c r="BA307" s="1" t="n">
        <f aca="false">PR_PersonalM+AU307+AV307+AW307+AX307+IF(AY307=1,PR_RentJoint,0)</f>
        <v>6490</v>
      </c>
      <c r="BB307" s="1" t="n">
        <f aca="false">PR_BandM+MIN(MIN(AS307,AT307),PR_Uplift)</f>
        <v>53000</v>
      </c>
      <c r="BC307" s="1" t="n">
        <f aca="false">MAX(0,PR_r1*MIN(AZ307,BB307)+PR_r2*MAX(0,AZ307-BB307)-BA307)</f>
        <v>0</v>
      </c>
      <c r="BD307" s="1" t="n">
        <f aca="false">MAX(0,PR_HomeCarer-MAX(0,MIN(AS307,AT307)-PR_HCLimit)/2)</f>
        <v>1950</v>
      </c>
      <c r="BE307" s="1" t="n">
        <f aca="false">IF(F_Carer=1,MIN(BC307,MAX(0,PR_r1*MIN(AZ307,PR_BandM)+PR_r2*MAX(0,AZ307-PR_BandM)-BA307-BD307)),BC307)</f>
        <v>0</v>
      </c>
      <c r="BF307" s="1" t="n">
        <f aca="false">IF(OR(C307&gt;=PR_AgeCrAge,AG307&gt;=PR_AgeCrAge),IF(AZ307&lt;=PR_AgeExM,0,MIN(BE307,PR_AgeMarg*(AZ307-PR_AgeExM))),BE307)</f>
        <v>0</v>
      </c>
      <c r="BG307" s="1" t="n">
        <f aca="false">MAX(0,PR_r1*MIN(AS307,IF(F_Spccc=1,PR_BandSPCCC,PR_Band))+PR_r2*MAX(0,AS307-IF(F_Spccc=1,PR_BandSPCCC,PR_Band))-(PR_Personal+AU307+AW307+IF(F_Spccc=1,PR_SPCCC,0)+IF(AY307=1,PR_Rent,0)))</f>
        <v>0</v>
      </c>
      <c r="BH307" s="1" t="n">
        <f aca="false">IF(C307&gt;=PR_AgeCrAge,IF(AS307&lt;=PR_AgeEx,0,MIN(BG307,PR_AgeMarg*(AS307-PR_AgeEx))),BG307)</f>
        <v>0</v>
      </c>
      <c r="BI307" s="1" t="n">
        <f aca="false">IF(F_Partner=1,MAX(0,PR_r1*MIN(AT307,PR_Band)+PR_r2*MAX(0,AT307-PR_Band)-(PR_Personal+AV307+AX307+IF(AND(AY307=1,AT307&gt;0),PR_Rent,0))),0)</f>
        <v>0</v>
      </c>
      <c r="BJ307" s="1" t="n">
        <f aca="false">IF(AG307&gt;=PR_AgeCrAge,IF(AT307&lt;=PR_AgeEx,0,MIN(BI307,PR_AgeMarg*(AT307-PR_AgeEx))),BI307)</f>
        <v>0</v>
      </c>
      <c r="BK307" s="1" t="n">
        <f aca="false">IF(F_Partner=1,IF(F_Married=1,BF307,BH307+BJ307),BH307)</f>
        <v>0</v>
      </c>
      <c r="BL307" s="1" t="n">
        <f aca="false">AL307+AN307+AO307</f>
        <v>0</v>
      </c>
      <c r="BM307" s="1" t="n">
        <f aca="false">IF(BL307&lt;=PR_USCex,0,IF(IF(AND(C307&gt;=PR_USCredAge,BL307&lt;=PR_USCredMax),1,0)=1,PR_USCr1*MIN(BL307,PR_USCredB1)+PR_USCredR2*MAX(0,BL307-PR_USCredB1),PR_USCr1*MIN(BL307,PR_USCb1)+PR_USCr2*MAX(0,MIN(BL307,PR_USCb2)-PR_USCb1)+PR_USCr3*MAX(0,MIN(BL307,PR_USCb3)-PR_USCb2)+PR_USCr4*MAX(0,BL307-PR_USCb3)))+IF(F_SelfEmp=1,PR_USCse*MAX(0,AL307-PR_USCseOver),0)</f>
        <v>0</v>
      </c>
      <c r="BN307" s="1" t="n">
        <f aca="false">AQ307</f>
        <v>0</v>
      </c>
      <c r="BO307" s="1" t="n">
        <f aca="false">IF(F_Partner=1,IF(BN307&lt;=PR_USCex,0,IF(IF(AND(AG307&gt;=PR_USCredAge,BN307&lt;=PR_USCredMax),1,0)=1,PR_USCr1*MIN(BN307,PR_USCredB1)+PR_USCredR2*MAX(0,BN307-PR_USCredB1),PR_USCr1*MIN(BN307,PR_USCb1)+PR_USCr2*MAX(0,MIN(BN307,PR_USCb2)-PR_USCb1)+PR_USCr3*MAX(0,MIN(BN307,PR_USCb3)-PR_USCb2)+PR_USCr4*MAX(0,BN307-PR_USCb3))),0)</f>
        <v>0</v>
      </c>
      <c r="BP307" s="1" t="n">
        <f aca="false">IF(C307&lt;PR_PRSIend,IF(F_SelfEmp=1,IF(AL307&gt;PR_PRSIsMinInc,MAX(PR_PRSIsMin,AL307*J307),0),IF(AL307/52&lt;=PR_PRSIfree,0,MAX(0,(AL307/52*J307-IF(AL307/52&lt;=PR_PRSIcreditTo,MAX(0,PR_PRSIcreditMax-(AL307/52-(PR_PRSIfree+0.01))/PR_PRSItaper),0))*52)))+J307*AN307+IF(AO307&gt;PR_PRSIunearned,J307*AO307,0),0)</f>
        <v>0</v>
      </c>
      <c r="BQ307" s="1" t="n">
        <f aca="false">IF(AND(F_Partner=1,AG307&lt;PR_PRSIend),IF(AQ307/52&lt;=PR_PRSIfree,0,MAX(0,(AQ307/52*J307-IF(AQ307/52&lt;=PR_PRSIcreditTo,MAX(0,PR_PRSIcreditMax-(AQ307/52-(PR_PRSIfree+0.01))/PR_PRSItaper),0))*52)),0)</f>
        <v>0</v>
      </c>
      <c r="BR307" s="1" t="n">
        <f aca="false">BK307+BM307+BO307+BP307+BQ307</f>
        <v>0</v>
      </c>
      <c r="BS307" s="1" t="n">
        <f aca="false">BR307*H307</f>
        <v>0</v>
      </c>
      <c r="BT307" s="1" t="n">
        <f aca="false">K307+AK307+AC307+AF307+AH307+AI307</f>
        <v>52846.0566623799</v>
      </c>
    </row>
    <row r="308" customFormat="false" ht="15" hidden="false" customHeight="true" outlineLevel="0" collapsed="false">
      <c r="B308" s="1" t="n">
        <v>74</v>
      </c>
      <c r="C308" s="1" t="n">
        <f aca="false">F_Age+B308</f>
        <v>74</v>
      </c>
      <c r="D308" s="1" t="n">
        <f aca="false">AS_Year0+B308</f>
        <v>2101</v>
      </c>
      <c r="E308" s="111" t="n">
        <f aca="false">(1+AS_Infl)^B308</f>
        <v>4.3292504462036</v>
      </c>
      <c r="F308" s="111" t="n">
        <f aca="false">(1+AS_Wage)^B308</f>
        <v>8.91157831810408</v>
      </c>
      <c r="G308" s="1" t="n">
        <f aca="false">IF(C308&lt;F_R,1,0)</f>
        <v>0</v>
      </c>
      <c r="H308" s="111" t="n">
        <f aca="false">IF(AS_Bands="flat",1,E308)</f>
        <v>4.3292504462036</v>
      </c>
      <c r="I308" s="111" t="n">
        <f aca="false">IF(AS_SpGrow="pay",F308,IF(AS_SpGrow="flat",1,E308))</f>
        <v>4.3292504462036</v>
      </c>
      <c r="J308" s="111" t="n">
        <f aca="false">(12*PR_PRSIr0+(PR_PRSIr1-PR_PRSIr0)*MAX(0,MIN(12,D308*12+12-PR_PRSIt1))+(PR_PRSIr2-PR_PRSIr1)*MAX(0,MIN(12,D308*12+12-PR_PRSIt2))+(PR_PRSIr3-PR_PRSIr2)*MAX(0,MIN(12,D308*12+12-PR_PRSIt3)))/12</f>
        <v>0.047</v>
      </c>
      <c r="K308" s="1" t="n">
        <f aca="false">IF(G308=1,F_Income*F308,0)</f>
        <v>0</v>
      </c>
      <c r="L308" s="1" t="n">
        <f aca="false">IF(G308=1,(F_Own+In_penExtra)*12*F308,0)</f>
        <v>0</v>
      </c>
      <c r="M308" s="1" t="n">
        <f aca="false">IF(G308=1,(F_PenM+In_penExtra)*12*F308,0)</f>
        <v>0</v>
      </c>
      <c r="N308" s="112" t="n">
        <f aca="false">IF(C308&lt;PR_RelA1,PR_RelP1,IF(C308&lt;PR_RelA2,PR_RelP2,IF(C308&lt;PR_RelA3,PR_RelP3,IF(C308&lt;PR_RelA4,PR_RelP4,IF(C308&lt;PR_RelA5,PR_RelP5,PR_RelP6)))))</f>
        <v>0.4</v>
      </c>
      <c r="O308" s="1" t="n">
        <f aca="false">IF(G308=1,MIN(L308/H308,N308*MIN(K308/H308,PR_EarnCap))*H308,0)</f>
        <v>0</v>
      </c>
      <c r="P308" s="1" t="n">
        <f aca="false">IF(AND(G308=1,F_AE=1),MIN(K308/H308,PR_AEcap)*H308,0)</f>
        <v>0</v>
      </c>
      <c r="Q308" s="1" t="n">
        <f aca="false">IF(G308=1,IF(WI_Retire=1,MAX(0,M308+WI_M*12),M308)+(PR_AEee+PR_AEer+PR_AEst)*P308,0)</f>
        <v>0</v>
      </c>
      <c r="R308" s="1" t="n">
        <f aca="false">L308+PR_AEee*P308</f>
        <v>0</v>
      </c>
      <c r="S308" s="1" t="n">
        <f aca="false">AD307</f>
        <v>0</v>
      </c>
      <c r="T308" s="1" t="n">
        <f aca="false">IF(D308&lt;=PR_SFTfrom,PR_SFT2026,IF(D308=PR_SFTfrom+1,PR_SFT2027,IF(D308=PR_SFTfrom+2,PR_SFT2028,IF(D308&lt;=PR_SFTto,PR_SFT2029,PR_SFT2029*(1+AS_Infl)^(D308-PR_SFTto)))))</f>
        <v>11651193.0501443</v>
      </c>
      <c r="U308" s="1" t="n">
        <f aca="false">IF(AND(G308=0,C308=F_V),1,0)</f>
        <v>0</v>
      </c>
      <c r="V308" s="1" t="n">
        <f aca="false">IF(U308=1,PR_SFTrate*MAX(0,S308-T308),0)</f>
        <v>0</v>
      </c>
      <c r="W308" s="1" t="n">
        <f aca="false">S308-V308</f>
        <v>0</v>
      </c>
      <c r="X308" s="1" t="n">
        <f aca="false">IF(AND(U308=1,AS_LumpPct&gt;0),W308*MIN(AS_LumpPct,PR_LSmax),0)</f>
        <v>0</v>
      </c>
      <c r="Y308" s="1" t="n">
        <f aca="false">X308-(PR_LSrate*MAX(0,MIN(X308,PR_LScap)-PR_LSfree)+PR_r2*MAX(0,X308-PR_LScap))</f>
        <v>0</v>
      </c>
      <c r="Z308" s="1" t="n">
        <f aca="false">W308-X308</f>
        <v>0</v>
      </c>
      <c r="AA308" s="112" t="n">
        <f aca="false">IF(C308&gt;=PR_ARFage1,IF(Z308&gt;PR_ARFbig,PR_ARFbigRate,IF(C308&gt;=PR_ARFage2,PR_ARF71,PR_ARF61)),0)</f>
        <v>0.05</v>
      </c>
      <c r="AB308" s="1" t="n">
        <f aca="false">IF(AS_DrawRule="min",Z308*AA308,IF(AS_DrawRule="fixed",MAX(AS_DrawFixed*E308,Z308*AA308),Z308*MAX(1/MAX(1,AS_End-C308+1),AA308)))</f>
        <v>0</v>
      </c>
      <c r="AC308" s="1" t="n">
        <f aca="false">IF(AND(G308=0,C308&gt;=F_V),MIN(Z308,AB308),0)</f>
        <v>0</v>
      </c>
      <c r="AD308" s="1" t="n">
        <f aca="false">IF(G308=1,S308*(1+F_PenG)+Q308,IF(C308&lt;F_V,S308*(1+F_PenG),(Z308-AC308)*(1+AS_PenRet)))</f>
        <v>0</v>
      </c>
      <c r="AE308" s="1" t="n">
        <f aca="false">IF(C308&gt;=PR_SPage,AS_SP*F_SpF*I308+IF(AND(C308&gt;=PR_Over80Age,F_SpF&gt;0),PR_Over80*PR_Weeks*I308,0),0)</f>
        <v>53902.9777956275</v>
      </c>
      <c r="AF308" s="1" t="n">
        <f aca="false">(F_OtherM+F_RentM)*12*E308</f>
        <v>0</v>
      </c>
      <c r="AG308" s="1" t="n">
        <f aca="false">F_PAge+B308</f>
        <v>74</v>
      </c>
      <c r="AH308" s="1" t="n">
        <f aca="false">IF(AND(F_Partner=1,F_PAge&gt;0,AG308&lt;IF(F_PRet&gt;0,F_PRet,PR_SPage)),F_PIncome*F308,0)</f>
        <v>0</v>
      </c>
      <c r="AI308" s="1" t="n">
        <f aca="false">IF(AND(F_Partner=1,AG308&gt;=PR_SPage,F_PSpQA=0),AS_SP*F_PSpF*I308,0)</f>
        <v>0</v>
      </c>
      <c r="AJ308" s="1" t="n">
        <f aca="false">IF(AND(F_Partner=1,F_PSpQA=1,C308&gt;=PR_SPage,AH308=0),IF(AG308&gt;=PR_SPage,PR_QA66,PR_QAunder)*PR_Weeks*I308,0)</f>
        <v>0</v>
      </c>
      <c r="AK308" s="1" t="n">
        <f aca="false">AE308+AJ308</f>
        <v>53902.9777956275</v>
      </c>
      <c r="AL308" s="1" t="n">
        <f aca="false">K308/H308</f>
        <v>0</v>
      </c>
      <c r="AM308" s="1" t="n">
        <f aca="false">AK308/H308</f>
        <v>12450.88</v>
      </c>
      <c r="AN308" s="1" t="n">
        <f aca="false">AC308/H308</f>
        <v>0</v>
      </c>
      <c r="AO308" s="1" t="n">
        <f aca="false">AF308/H308</f>
        <v>0</v>
      </c>
      <c r="AP308" s="1" t="n">
        <f aca="false">O308/H308</f>
        <v>0</v>
      </c>
      <c r="AQ308" s="1" t="n">
        <f aca="false">AH308/H308</f>
        <v>0</v>
      </c>
      <c r="AR308" s="1" t="n">
        <f aca="false">AI308/H308</f>
        <v>0</v>
      </c>
      <c r="AS308" s="1" t="n">
        <f aca="false">MAX(0,AL308+AN308+AO308+AM308-AP308)</f>
        <v>12450.88</v>
      </c>
      <c r="AT308" s="1" t="n">
        <f aca="false">MAX(0,AQ308+AR308)</f>
        <v>0</v>
      </c>
      <c r="AU308" s="1" t="n">
        <f aca="false">MIN(PR_PAYE,PR_PAYEcap*(AL308+AN308+AM308))</f>
        <v>2000</v>
      </c>
      <c r="AV308" s="1" t="n">
        <f aca="false">MIN(PR_PAYE,PR_PAYEcap*(AQ308+AR308))</f>
        <v>0</v>
      </c>
      <c r="AW308" s="1" t="n">
        <f aca="false">IF(C308&gt;=PR_AgeCrAge,PR_AgeCr,0)</f>
        <v>245</v>
      </c>
      <c r="AX308" s="1" t="n">
        <f aca="false">IF(AG308&gt;=PR_AgeCrAge,PR_AgeCr,0)</f>
        <v>245</v>
      </c>
      <c r="AY308" s="1" t="n">
        <f aca="false">IF(AND(F_RentCred=1,D308&lt;=PR_RentLast),1,0)</f>
        <v>0</v>
      </c>
      <c r="AZ308" s="1" t="n">
        <f aca="false">AS308+AT308</f>
        <v>12450.88</v>
      </c>
      <c r="BA308" s="1" t="n">
        <f aca="false">PR_PersonalM+AU308+AV308+AW308+AX308+IF(AY308=1,PR_RentJoint,0)</f>
        <v>6490</v>
      </c>
      <c r="BB308" s="1" t="n">
        <f aca="false">PR_BandM+MIN(MIN(AS308,AT308),PR_Uplift)</f>
        <v>53000</v>
      </c>
      <c r="BC308" s="1" t="n">
        <f aca="false">MAX(0,PR_r1*MIN(AZ308,BB308)+PR_r2*MAX(0,AZ308-BB308)-BA308)</f>
        <v>0</v>
      </c>
      <c r="BD308" s="1" t="n">
        <f aca="false">MAX(0,PR_HomeCarer-MAX(0,MIN(AS308,AT308)-PR_HCLimit)/2)</f>
        <v>1950</v>
      </c>
      <c r="BE308" s="1" t="n">
        <f aca="false">IF(F_Carer=1,MIN(BC308,MAX(0,PR_r1*MIN(AZ308,PR_BandM)+PR_r2*MAX(0,AZ308-PR_BandM)-BA308-BD308)),BC308)</f>
        <v>0</v>
      </c>
      <c r="BF308" s="1" t="n">
        <f aca="false">IF(OR(C308&gt;=PR_AgeCrAge,AG308&gt;=PR_AgeCrAge),IF(AZ308&lt;=PR_AgeExM,0,MIN(BE308,PR_AgeMarg*(AZ308-PR_AgeExM))),BE308)</f>
        <v>0</v>
      </c>
      <c r="BG308" s="1" t="n">
        <f aca="false">MAX(0,PR_r1*MIN(AS308,IF(F_Spccc=1,PR_BandSPCCC,PR_Band))+PR_r2*MAX(0,AS308-IF(F_Spccc=1,PR_BandSPCCC,PR_Band))-(PR_Personal+AU308+AW308+IF(F_Spccc=1,PR_SPCCC,0)+IF(AY308=1,PR_Rent,0)))</f>
        <v>0</v>
      </c>
      <c r="BH308" s="1" t="n">
        <f aca="false">IF(C308&gt;=PR_AgeCrAge,IF(AS308&lt;=PR_AgeEx,0,MIN(BG308,PR_AgeMarg*(AS308-PR_AgeEx))),BG308)</f>
        <v>0</v>
      </c>
      <c r="BI308" s="1" t="n">
        <f aca="false">IF(F_Partner=1,MAX(0,PR_r1*MIN(AT308,PR_Band)+PR_r2*MAX(0,AT308-PR_Band)-(PR_Personal+AV308+AX308+IF(AND(AY308=1,AT308&gt;0),PR_Rent,0))),0)</f>
        <v>0</v>
      </c>
      <c r="BJ308" s="1" t="n">
        <f aca="false">IF(AG308&gt;=PR_AgeCrAge,IF(AT308&lt;=PR_AgeEx,0,MIN(BI308,PR_AgeMarg*(AT308-PR_AgeEx))),BI308)</f>
        <v>0</v>
      </c>
      <c r="BK308" s="1" t="n">
        <f aca="false">IF(F_Partner=1,IF(F_Married=1,BF308,BH308+BJ308),BH308)</f>
        <v>0</v>
      </c>
      <c r="BL308" s="1" t="n">
        <f aca="false">AL308+AN308+AO308</f>
        <v>0</v>
      </c>
      <c r="BM308" s="1" t="n">
        <f aca="false">IF(BL308&lt;=PR_USCex,0,IF(IF(AND(C308&gt;=PR_USCredAge,BL308&lt;=PR_USCredMax),1,0)=1,PR_USCr1*MIN(BL308,PR_USCredB1)+PR_USCredR2*MAX(0,BL308-PR_USCredB1),PR_USCr1*MIN(BL308,PR_USCb1)+PR_USCr2*MAX(0,MIN(BL308,PR_USCb2)-PR_USCb1)+PR_USCr3*MAX(0,MIN(BL308,PR_USCb3)-PR_USCb2)+PR_USCr4*MAX(0,BL308-PR_USCb3)))+IF(F_SelfEmp=1,PR_USCse*MAX(0,AL308-PR_USCseOver),0)</f>
        <v>0</v>
      </c>
      <c r="BN308" s="1" t="n">
        <f aca="false">AQ308</f>
        <v>0</v>
      </c>
      <c r="BO308" s="1" t="n">
        <f aca="false">IF(F_Partner=1,IF(BN308&lt;=PR_USCex,0,IF(IF(AND(AG308&gt;=PR_USCredAge,BN308&lt;=PR_USCredMax),1,0)=1,PR_USCr1*MIN(BN308,PR_USCredB1)+PR_USCredR2*MAX(0,BN308-PR_USCredB1),PR_USCr1*MIN(BN308,PR_USCb1)+PR_USCr2*MAX(0,MIN(BN308,PR_USCb2)-PR_USCb1)+PR_USCr3*MAX(0,MIN(BN308,PR_USCb3)-PR_USCb2)+PR_USCr4*MAX(0,BN308-PR_USCb3))),0)</f>
        <v>0</v>
      </c>
      <c r="BP308" s="1" t="n">
        <f aca="false">IF(C308&lt;PR_PRSIend,IF(F_SelfEmp=1,IF(AL308&gt;PR_PRSIsMinInc,MAX(PR_PRSIsMin,AL308*J308),0),IF(AL308/52&lt;=PR_PRSIfree,0,MAX(0,(AL308/52*J308-IF(AL308/52&lt;=PR_PRSIcreditTo,MAX(0,PR_PRSIcreditMax-(AL308/52-(PR_PRSIfree+0.01))/PR_PRSItaper),0))*52)))+J308*AN308+IF(AO308&gt;PR_PRSIunearned,J308*AO308,0),0)</f>
        <v>0</v>
      </c>
      <c r="BQ308" s="1" t="n">
        <f aca="false">IF(AND(F_Partner=1,AG308&lt;PR_PRSIend),IF(AQ308/52&lt;=PR_PRSIfree,0,MAX(0,(AQ308/52*J308-IF(AQ308/52&lt;=PR_PRSIcreditTo,MAX(0,PR_PRSIcreditMax-(AQ308/52-(PR_PRSIfree+0.01))/PR_PRSItaper),0))*52)),0)</f>
        <v>0</v>
      </c>
      <c r="BR308" s="1" t="n">
        <f aca="false">BK308+BM308+BO308+BP308+BQ308</f>
        <v>0</v>
      </c>
      <c r="BS308" s="1" t="n">
        <f aca="false">BR308*H308</f>
        <v>0</v>
      </c>
      <c r="BT308" s="1" t="n">
        <f aca="false">K308+AK308+AC308+AF308+AH308+AI308</f>
        <v>53902.9777956275</v>
      </c>
    </row>
    <row r="309" customFormat="false" ht="15" hidden="false" customHeight="true" outlineLevel="0" collapsed="false">
      <c r="B309" s="1" t="n">
        <v>75</v>
      </c>
      <c r="C309" s="1" t="n">
        <f aca="false">F_Age+B309</f>
        <v>75</v>
      </c>
      <c r="D309" s="1" t="n">
        <f aca="false">AS_Year0+B309</f>
        <v>2102</v>
      </c>
      <c r="E309" s="111" t="n">
        <f aca="false">(1+AS_Infl)^B309</f>
        <v>4.41583545512767</v>
      </c>
      <c r="F309" s="111" t="n">
        <f aca="false">(1+AS_Wage)^B309</f>
        <v>9.1789256676472</v>
      </c>
      <c r="G309" s="1" t="n">
        <f aca="false">IF(C309&lt;F_R,1,0)</f>
        <v>0</v>
      </c>
      <c r="H309" s="111" t="n">
        <f aca="false">IF(AS_Bands="flat",1,E309)</f>
        <v>4.41583545512767</v>
      </c>
      <c r="I309" s="111" t="n">
        <f aca="false">IF(AS_SpGrow="pay",F309,IF(AS_SpGrow="flat",1,E309))</f>
        <v>4.41583545512767</v>
      </c>
      <c r="J309" s="111" t="n">
        <f aca="false">(12*PR_PRSIr0+(PR_PRSIr1-PR_PRSIr0)*MAX(0,MIN(12,D309*12+12-PR_PRSIt1))+(PR_PRSIr2-PR_PRSIr1)*MAX(0,MIN(12,D309*12+12-PR_PRSIt2))+(PR_PRSIr3-PR_PRSIr2)*MAX(0,MIN(12,D309*12+12-PR_PRSIt3)))/12</f>
        <v>0.047</v>
      </c>
      <c r="K309" s="1" t="n">
        <f aca="false">IF(G309=1,F_Income*F309,0)</f>
        <v>0</v>
      </c>
      <c r="L309" s="1" t="n">
        <f aca="false">IF(G309=1,(F_Own+In_penExtra)*12*F309,0)</f>
        <v>0</v>
      </c>
      <c r="M309" s="1" t="n">
        <f aca="false">IF(G309=1,(F_PenM+In_penExtra)*12*F309,0)</f>
        <v>0</v>
      </c>
      <c r="N309" s="112" t="n">
        <f aca="false">IF(C309&lt;PR_RelA1,PR_RelP1,IF(C309&lt;PR_RelA2,PR_RelP2,IF(C309&lt;PR_RelA3,PR_RelP3,IF(C309&lt;PR_RelA4,PR_RelP4,IF(C309&lt;PR_RelA5,PR_RelP5,PR_RelP6)))))</f>
        <v>0.4</v>
      </c>
      <c r="O309" s="1" t="n">
        <f aca="false">IF(G309=1,MIN(L309/H309,N309*MIN(K309/H309,PR_EarnCap))*H309,0)</f>
        <v>0</v>
      </c>
      <c r="P309" s="1" t="n">
        <f aca="false">IF(AND(G309=1,F_AE=1),MIN(K309/H309,PR_AEcap)*H309,0)</f>
        <v>0</v>
      </c>
      <c r="Q309" s="1" t="n">
        <f aca="false">IF(G309=1,IF(WI_Retire=1,MAX(0,M309+WI_M*12),M309)+(PR_AEee+PR_AEer+PR_AEst)*P309,0)</f>
        <v>0</v>
      </c>
      <c r="R309" s="1" t="n">
        <f aca="false">L309+PR_AEee*P309</f>
        <v>0</v>
      </c>
      <c r="S309" s="1" t="n">
        <f aca="false">AD308</f>
        <v>0</v>
      </c>
      <c r="T309" s="1" t="n">
        <f aca="false">IF(D309&lt;=PR_SFTfrom,PR_SFT2026,IF(D309=PR_SFTfrom+1,PR_SFT2027,IF(D309=PR_SFTfrom+2,PR_SFT2028,IF(D309&lt;=PR_SFTto,PR_SFT2029,PR_SFT2029*(1+AS_Infl)^(D309-PR_SFTto)))))</f>
        <v>11884216.9111471</v>
      </c>
      <c r="U309" s="1" t="n">
        <f aca="false">IF(AND(G309=0,C309=F_V),1,0)</f>
        <v>0</v>
      </c>
      <c r="V309" s="1" t="n">
        <f aca="false">IF(U309=1,PR_SFTrate*MAX(0,S309-T309),0)</f>
        <v>0</v>
      </c>
      <c r="W309" s="1" t="n">
        <f aca="false">S309-V309</f>
        <v>0</v>
      </c>
      <c r="X309" s="1" t="n">
        <f aca="false">IF(AND(U309=1,AS_LumpPct&gt;0),W309*MIN(AS_LumpPct,PR_LSmax),0)</f>
        <v>0</v>
      </c>
      <c r="Y309" s="1" t="n">
        <f aca="false">X309-(PR_LSrate*MAX(0,MIN(X309,PR_LScap)-PR_LSfree)+PR_r2*MAX(0,X309-PR_LScap))</f>
        <v>0</v>
      </c>
      <c r="Z309" s="1" t="n">
        <f aca="false">W309-X309</f>
        <v>0</v>
      </c>
      <c r="AA309" s="112" t="n">
        <f aca="false">IF(C309&gt;=PR_ARFage1,IF(Z309&gt;PR_ARFbig,PR_ARFbigRate,IF(C309&gt;=PR_ARFage2,PR_ARF71,PR_ARF61)),0)</f>
        <v>0.05</v>
      </c>
      <c r="AB309" s="1" t="n">
        <f aca="false">IF(AS_DrawRule="min",Z309*AA309,IF(AS_DrawRule="fixed",MAX(AS_DrawFixed*E309,Z309*AA309),Z309*MAX(1/MAX(1,AS_End-C309+1),AA309)))</f>
        <v>0</v>
      </c>
      <c r="AC309" s="1" t="n">
        <f aca="false">IF(AND(G309=0,C309&gt;=F_V),MIN(Z309,AB309),0)</f>
        <v>0</v>
      </c>
      <c r="AD309" s="1" t="n">
        <f aca="false">IF(G309=1,S309*(1+F_PenG)+Q309,IF(C309&lt;F_V,S309*(1+F_PenG),(Z309-AC309)*(1+AS_PenRet)))</f>
        <v>0</v>
      </c>
      <c r="AE309" s="1" t="n">
        <f aca="false">IF(C309&gt;=PR_SPage,AS_SP*F_SpF*I309+IF(AND(C309&gt;=PR_Over80Age,F_SpF&gt;0),PR_Over80*PR_Weeks*I309,0),0)</f>
        <v>54981.03735154</v>
      </c>
      <c r="AF309" s="1" t="n">
        <f aca="false">(F_OtherM+F_RentM)*12*E309</f>
        <v>0</v>
      </c>
      <c r="AG309" s="1" t="n">
        <f aca="false">F_PAge+B309</f>
        <v>75</v>
      </c>
      <c r="AH309" s="1" t="n">
        <f aca="false">IF(AND(F_Partner=1,F_PAge&gt;0,AG309&lt;IF(F_PRet&gt;0,F_PRet,PR_SPage)),F_PIncome*F309,0)</f>
        <v>0</v>
      </c>
      <c r="AI309" s="1" t="n">
        <f aca="false">IF(AND(F_Partner=1,AG309&gt;=PR_SPage,F_PSpQA=0),AS_SP*F_PSpF*I309,0)</f>
        <v>0</v>
      </c>
      <c r="AJ309" s="1" t="n">
        <f aca="false">IF(AND(F_Partner=1,F_PSpQA=1,C309&gt;=PR_SPage,AH309=0),IF(AG309&gt;=PR_SPage,PR_QA66,PR_QAunder)*PR_Weeks*I309,0)</f>
        <v>0</v>
      </c>
      <c r="AK309" s="1" t="n">
        <f aca="false">AE309+AJ309</f>
        <v>54981.03735154</v>
      </c>
      <c r="AL309" s="1" t="n">
        <f aca="false">K309/H309</f>
        <v>0</v>
      </c>
      <c r="AM309" s="1" t="n">
        <f aca="false">AK309/H309</f>
        <v>12450.88</v>
      </c>
      <c r="AN309" s="1" t="n">
        <f aca="false">AC309/H309</f>
        <v>0</v>
      </c>
      <c r="AO309" s="1" t="n">
        <f aca="false">AF309/H309</f>
        <v>0</v>
      </c>
      <c r="AP309" s="1" t="n">
        <f aca="false">O309/H309</f>
        <v>0</v>
      </c>
      <c r="AQ309" s="1" t="n">
        <f aca="false">AH309/H309</f>
        <v>0</v>
      </c>
      <c r="AR309" s="1" t="n">
        <f aca="false">AI309/H309</f>
        <v>0</v>
      </c>
      <c r="AS309" s="1" t="n">
        <f aca="false">MAX(0,AL309+AN309+AO309+AM309-AP309)</f>
        <v>12450.88</v>
      </c>
      <c r="AT309" s="1" t="n">
        <f aca="false">MAX(0,AQ309+AR309)</f>
        <v>0</v>
      </c>
      <c r="AU309" s="1" t="n">
        <f aca="false">MIN(PR_PAYE,PR_PAYEcap*(AL309+AN309+AM309))</f>
        <v>2000</v>
      </c>
      <c r="AV309" s="1" t="n">
        <f aca="false">MIN(PR_PAYE,PR_PAYEcap*(AQ309+AR309))</f>
        <v>0</v>
      </c>
      <c r="AW309" s="1" t="n">
        <f aca="false">IF(C309&gt;=PR_AgeCrAge,PR_AgeCr,0)</f>
        <v>245</v>
      </c>
      <c r="AX309" s="1" t="n">
        <f aca="false">IF(AG309&gt;=PR_AgeCrAge,PR_AgeCr,0)</f>
        <v>245</v>
      </c>
      <c r="AY309" s="1" t="n">
        <f aca="false">IF(AND(F_RentCred=1,D309&lt;=PR_RentLast),1,0)</f>
        <v>0</v>
      </c>
      <c r="AZ309" s="1" t="n">
        <f aca="false">AS309+AT309</f>
        <v>12450.88</v>
      </c>
      <c r="BA309" s="1" t="n">
        <f aca="false">PR_PersonalM+AU309+AV309+AW309+AX309+IF(AY309=1,PR_RentJoint,0)</f>
        <v>6490</v>
      </c>
      <c r="BB309" s="1" t="n">
        <f aca="false">PR_BandM+MIN(MIN(AS309,AT309),PR_Uplift)</f>
        <v>53000</v>
      </c>
      <c r="BC309" s="1" t="n">
        <f aca="false">MAX(0,PR_r1*MIN(AZ309,BB309)+PR_r2*MAX(0,AZ309-BB309)-BA309)</f>
        <v>0</v>
      </c>
      <c r="BD309" s="1" t="n">
        <f aca="false">MAX(0,PR_HomeCarer-MAX(0,MIN(AS309,AT309)-PR_HCLimit)/2)</f>
        <v>1950</v>
      </c>
      <c r="BE309" s="1" t="n">
        <f aca="false">IF(F_Carer=1,MIN(BC309,MAX(0,PR_r1*MIN(AZ309,PR_BandM)+PR_r2*MAX(0,AZ309-PR_BandM)-BA309-BD309)),BC309)</f>
        <v>0</v>
      </c>
      <c r="BF309" s="1" t="n">
        <f aca="false">IF(OR(C309&gt;=PR_AgeCrAge,AG309&gt;=PR_AgeCrAge),IF(AZ309&lt;=PR_AgeExM,0,MIN(BE309,PR_AgeMarg*(AZ309-PR_AgeExM))),BE309)</f>
        <v>0</v>
      </c>
      <c r="BG309" s="1" t="n">
        <f aca="false">MAX(0,PR_r1*MIN(AS309,IF(F_Spccc=1,PR_BandSPCCC,PR_Band))+PR_r2*MAX(0,AS309-IF(F_Spccc=1,PR_BandSPCCC,PR_Band))-(PR_Personal+AU309+AW309+IF(F_Spccc=1,PR_SPCCC,0)+IF(AY309=1,PR_Rent,0)))</f>
        <v>0</v>
      </c>
      <c r="BH309" s="1" t="n">
        <f aca="false">IF(C309&gt;=PR_AgeCrAge,IF(AS309&lt;=PR_AgeEx,0,MIN(BG309,PR_AgeMarg*(AS309-PR_AgeEx))),BG309)</f>
        <v>0</v>
      </c>
      <c r="BI309" s="1" t="n">
        <f aca="false">IF(F_Partner=1,MAX(0,PR_r1*MIN(AT309,PR_Band)+PR_r2*MAX(0,AT309-PR_Band)-(PR_Personal+AV309+AX309+IF(AND(AY309=1,AT309&gt;0),PR_Rent,0))),0)</f>
        <v>0</v>
      </c>
      <c r="BJ309" s="1" t="n">
        <f aca="false">IF(AG309&gt;=PR_AgeCrAge,IF(AT309&lt;=PR_AgeEx,0,MIN(BI309,PR_AgeMarg*(AT309-PR_AgeEx))),BI309)</f>
        <v>0</v>
      </c>
      <c r="BK309" s="1" t="n">
        <f aca="false">IF(F_Partner=1,IF(F_Married=1,BF309,BH309+BJ309),BH309)</f>
        <v>0</v>
      </c>
      <c r="BL309" s="1" t="n">
        <f aca="false">AL309+AN309+AO309</f>
        <v>0</v>
      </c>
      <c r="BM309" s="1" t="n">
        <f aca="false">IF(BL309&lt;=PR_USCex,0,IF(IF(AND(C309&gt;=PR_USCredAge,BL309&lt;=PR_USCredMax),1,0)=1,PR_USCr1*MIN(BL309,PR_USCredB1)+PR_USCredR2*MAX(0,BL309-PR_USCredB1),PR_USCr1*MIN(BL309,PR_USCb1)+PR_USCr2*MAX(0,MIN(BL309,PR_USCb2)-PR_USCb1)+PR_USCr3*MAX(0,MIN(BL309,PR_USCb3)-PR_USCb2)+PR_USCr4*MAX(0,BL309-PR_USCb3)))+IF(F_SelfEmp=1,PR_USCse*MAX(0,AL309-PR_USCseOver),0)</f>
        <v>0</v>
      </c>
      <c r="BN309" s="1" t="n">
        <f aca="false">AQ309</f>
        <v>0</v>
      </c>
      <c r="BO309" s="1" t="n">
        <f aca="false">IF(F_Partner=1,IF(BN309&lt;=PR_USCex,0,IF(IF(AND(AG309&gt;=PR_USCredAge,BN309&lt;=PR_USCredMax),1,0)=1,PR_USCr1*MIN(BN309,PR_USCredB1)+PR_USCredR2*MAX(0,BN309-PR_USCredB1),PR_USCr1*MIN(BN309,PR_USCb1)+PR_USCr2*MAX(0,MIN(BN309,PR_USCb2)-PR_USCb1)+PR_USCr3*MAX(0,MIN(BN309,PR_USCb3)-PR_USCb2)+PR_USCr4*MAX(0,BN309-PR_USCb3))),0)</f>
        <v>0</v>
      </c>
      <c r="BP309" s="1" t="n">
        <f aca="false">IF(C309&lt;PR_PRSIend,IF(F_SelfEmp=1,IF(AL309&gt;PR_PRSIsMinInc,MAX(PR_PRSIsMin,AL309*J309),0),IF(AL309/52&lt;=PR_PRSIfree,0,MAX(0,(AL309/52*J309-IF(AL309/52&lt;=PR_PRSIcreditTo,MAX(0,PR_PRSIcreditMax-(AL309/52-(PR_PRSIfree+0.01))/PR_PRSItaper),0))*52)))+J309*AN309+IF(AO309&gt;PR_PRSIunearned,J309*AO309,0),0)</f>
        <v>0</v>
      </c>
      <c r="BQ309" s="1" t="n">
        <f aca="false">IF(AND(F_Partner=1,AG309&lt;PR_PRSIend),IF(AQ309/52&lt;=PR_PRSIfree,0,MAX(0,(AQ309/52*J309-IF(AQ309/52&lt;=PR_PRSIcreditTo,MAX(0,PR_PRSIcreditMax-(AQ309/52-(PR_PRSIfree+0.01))/PR_PRSItaper),0))*52)),0)</f>
        <v>0</v>
      </c>
      <c r="BR309" s="1" t="n">
        <f aca="false">BK309+BM309+BO309+BP309+BQ309</f>
        <v>0</v>
      </c>
      <c r="BS309" s="1" t="n">
        <f aca="false">BR309*H309</f>
        <v>0</v>
      </c>
      <c r="BT309" s="1" t="n">
        <f aca="false">K309+AK309+AC309+AF309+AH309+AI309</f>
        <v>54981.03735154</v>
      </c>
    </row>
    <row r="310" customFormat="false" ht="15" hidden="false" customHeight="true" outlineLevel="0" collapsed="false">
      <c r="B310" s="1" t="n">
        <v>76</v>
      </c>
      <c r="C310" s="1" t="n">
        <f aca="false">F_Age+B310</f>
        <v>76</v>
      </c>
      <c r="D310" s="1" t="n">
        <f aca="false">AS_Year0+B310</f>
        <v>2103</v>
      </c>
      <c r="E310" s="111" t="n">
        <f aca="false">(1+AS_Infl)^B310</f>
        <v>4.50415216423022</v>
      </c>
      <c r="F310" s="111" t="n">
        <f aca="false">(1+AS_Wage)^B310</f>
        <v>9.45429343767662</v>
      </c>
      <c r="G310" s="1" t="n">
        <f aca="false">IF(C310&lt;F_R,1,0)</f>
        <v>0</v>
      </c>
      <c r="H310" s="111" t="n">
        <f aca="false">IF(AS_Bands="flat",1,E310)</f>
        <v>4.50415216423022</v>
      </c>
      <c r="I310" s="111" t="n">
        <f aca="false">IF(AS_SpGrow="pay",F310,IF(AS_SpGrow="flat",1,E310))</f>
        <v>4.50415216423022</v>
      </c>
      <c r="J310" s="111" t="n">
        <f aca="false">(12*PR_PRSIr0+(PR_PRSIr1-PR_PRSIr0)*MAX(0,MIN(12,D310*12+12-PR_PRSIt1))+(PR_PRSIr2-PR_PRSIr1)*MAX(0,MIN(12,D310*12+12-PR_PRSIt2))+(PR_PRSIr3-PR_PRSIr2)*MAX(0,MIN(12,D310*12+12-PR_PRSIt3)))/12</f>
        <v>0.047</v>
      </c>
      <c r="K310" s="1" t="n">
        <f aca="false">IF(G310=1,F_Income*F310,0)</f>
        <v>0</v>
      </c>
      <c r="L310" s="1" t="n">
        <f aca="false">IF(G310=1,(F_Own+In_penExtra)*12*F310,0)</f>
        <v>0</v>
      </c>
      <c r="M310" s="1" t="n">
        <f aca="false">IF(G310=1,(F_PenM+In_penExtra)*12*F310,0)</f>
        <v>0</v>
      </c>
      <c r="N310" s="112" t="n">
        <f aca="false">IF(C310&lt;PR_RelA1,PR_RelP1,IF(C310&lt;PR_RelA2,PR_RelP2,IF(C310&lt;PR_RelA3,PR_RelP3,IF(C310&lt;PR_RelA4,PR_RelP4,IF(C310&lt;PR_RelA5,PR_RelP5,PR_RelP6)))))</f>
        <v>0.4</v>
      </c>
      <c r="O310" s="1" t="n">
        <f aca="false">IF(G310=1,MIN(L310/H310,N310*MIN(K310/H310,PR_EarnCap))*H310,0)</f>
        <v>0</v>
      </c>
      <c r="P310" s="1" t="n">
        <f aca="false">IF(AND(G310=1,F_AE=1),MIN(K310/H310,PR_AEcap)*H310,0)</f>
        <v>0</v>
      </c>
      <c r="Q310" s="1" t="n">
        <f aca="false">IF(G310=1,IF(WI_Retire=1,MAX(0,M310+WI_M*12),M310)+(PR_AEee+PR_AEer+PR_AEst)*P310,0)</f>
        <v>0</v>
      </c>
      <c r="R310" s="1" t="n">
        <f aca="false">L310+PR_AEee*P310</f>
        <v>0</v>
      </c>
      <c r="S310" s="1" t="n">
        <f aca="false">AD309</f>
        <v>0</v>
      </c>
      <c r="T310" s="1" t="n">
        <f aca="false">IF(D310&lt;=PR_SFTfrom,PR_SFT2026,IF(D310=PR_SFTfrom+1,PR_SFT2027,IF(D310=PR_SFTfrom+2,PR_SFT2028,IF(D310&lt;=PR_SFTto,PR_SFT2029,PR_SFT2029*(1+AS_Infl)^(D310-PR_SFTto)))))</f>
        <v>12121901.2493701</v>
      </c>
      <c r="U310" s="1" t="n">
        <f aca="false">IF(AND(G310=0,C310=F_V),1,0)</f>
        <v>0</v>
      </c>
      <c r="V310" s="1" t="n">
        <f aca="false">IF(U310=1,PR_SFTrate*MAX(0,S310-T310),0)</f>
        <v>0</v>
      </c>
      <c r="W310" s="1" t="n">
        <f aca="false">S310-V310</f>
        <v>0</v>
      </c>
      <c r="X310" s="1" t="n">
        <f aca="false">IF(AND(U310=1,AS_LumpPct&gt;0),W310*MIN(AS_LumpPct,PR_LSmax),0)</f>
        <v>0</v>
      </c>
      <c r="Y310" s="1" t="n">
        <f aca="false">X310-(PR_LSrate*MAX(0,MIN(X310,PR_LScap)-PR_LSfree)+PR_r2*MAX(0,X310-PR_LScap))</f>
        <v>0</v>
      </c>
      <c r="Z310" s="1" t="n">
        <f aca="false">W310-X310</f>
        <v>0</v>
      </c>
      <c r="AA310" s="112" t="n">
        <f aca="false">IF(C310&gt;=PR_ARFage1,IF(Z310&gt;PR_ARFbig,PR_ARFbigRate,IF(C310&gt;=PR_ARFage2,PR_ARF71,PR_ARF61)),0)</f>
        <v>0.05</v>
      </c>
      <c r="AB310" s="1" t="n">
        <f aca="false">IF(AS_DrawRule="min",Z310*AA310,IF(AS_DrawRule="fixed",MAX(AS_DrawFixed*E310,Z310*AA310),Z310*MAX(1/MAX(1,AS_End-C310+1),AA310)))</f>
        <v>0</v>
      </c>
      <c r="AC310" s="1" t="n">
        <f aca="false">IF(AND(G310=0,C310&gt;=F_V),MIN(Z310,AB310),0)</f>
        <v>0</v>
      </c>
      <c r="AD310" s="1" t="n">
        <f aca="false">IF(G310=1,S310*(1+F_PenG)+Q310,IF(C310&lt;F_V,S310*(1+F_PenG),(Z310-AC310)*(1+AS_PenRet)))</f>
        <v>0</v>
      </c>
      <c r="AE310" s="1" t="n">
        <f aca="false">IF(C310&gt;=PR_SPage,AS_SP*F_SpF*I310+IF(AND(C310&gt;=PR_Over80Age,F_SpF&gt;0),PR_Over80*PR_Weeks*I310,0),0)</f>
        <v>56080.6580985708</v>
      </c>
      <c r="AF310" s="1" t="n">
        <f aca="false">(F_OtherM+F_RentM)*12*E310</f>
        <v>0</v>
      </c>
      <c r="AG310" s="1" t="n">
        <f aca="false">F_PAge+B310</f>
        <v>76</v>
      </c>
      <c r="AH310" s="1" t="n">
        <f aca="false">IF(AND(F_Partner=1,F_PAge&gt;0,AG310&lt;IF(F_PRet&gt;0,F_PRet,PR_SPage)),F_PIncome*F310,0)</f>
        <v>0</v>
      </c>
      <c r="AI310" s="1" t="n">
        <f aca="false">IF(AND(F_Partner=1,AG310&gt;=PR_SPage,F_PSpQA=0),AS_SP*F_PSpF*I310,0)</f>
        <v>0</v>
      </c>
      <c r="AJ310" s="1" t="n">
        <f aca="false">IF(AND(F_Partner=1,F_PSpQA=1,C310&gt;=PR_SPage,AH310=0),IF(AG310&gt;=PR_SPage,PR_QA66,PR_QAunder)*PR_Weeks*I310,0)</f>
        <v>0</v>
      </c>
      <c r="AK310" s="1" t="n">
        <f aca="false">AE310+AJ310</f>
        <v>56080.6580985708</v>
      </c>
      <c r="AL310" s="1" t="n">
        <f aca="false">K310/H310</f>
        <v>0</v>
      </c>
      <c r="AM310" s="1" t="n">
        <f aca="false">AK310/H310</f>
        <v>12450.88</v>
      </c>
      <c r="AN310" s="1" t="n">
        <f aca="false">AC310/H310</f>
        <v>0</v>
      </c>
      <c r="AO310" s="1" t="n">
        <f aca="false">AF310/H310</f>
        <v>0</v>
      </c>
      <c r="AP310" s="1" t="n">
        <f aca="false">O310/H310</f>
        <v>0</v>
      </c>
      <c r="AQ310" s="1" t="n">
        <f aca="false">AH310/H310</f>
        <v>0</v>
      </c>
      <c r="AR310" s="1" t="n">
        <f aca="false">AI310/H310</f>
        <v>0</v>
      </c>
      <c r="AS310" s="1" t="n">
        <f aca="false">MAX(0,AL310+AN310+AO310+AM310-AP310)</f>
        <v>12450.88</v>
      </c>
      <c r="AT310" s="1" t="n">
        <f aca="false">MAX(0,AQ310+AR310)</f>
        <v>0</v>
      </c>
      <c r="AU310" s="1" t="n">
        <f aca="false">MIN(PR_PAYE,PR_PAYEcap*(AL310+AN310+AM310))</f>
        <v>2000</v>
      </c>
      <c r="AV310" s="1" t="n">
        <f aca="false">MIN(PR_PAYE,PR_PAYEcap*(AQ310+AR310))</f>
        <v>0</v>
      </c>
      <c r="AW310" s="1" t="n">
        <f aca="false">IF(C310&gt;=PR_AgeCrAge,PR_AgeCr,0)</f>
        <v>245</v>
      </c>
      <c r="AX310" s="1" t="n">
        <f aca="false">IF(AG310&gt;=PR_AgeCrAge,PR_AgeCr,0)</f>
        <v>245</v>
      </c>
      <c r="AY310" s="1" t="n">
        <f aca="false">IF(AND(F_RentCred=1,D310&lt;=PR_RentLast),1,0)</f>
        <v>0</v>
      </c>
      <c r="AZ310" s="1" t="n">
        <f aca="false">AS310+AT310</f>
        <v>12450.88</v>
      </c>
      <c r="BA310" s="1" t="n">
        <f aca="false">PR_PersonalM+AU310+AV310+AW310+AX310+IF(AY310=1,PR_RentJoint,0)</f>
        <v>6490</v>
      </c>
      <c r="BB310" s="1" t="n">
        <f aca="false">PR_BandM+MIN(MIN(AS310,AT310),PR_Uplift)</f>
        <v>53000</v>
      </c>
      <c r="BC310" s="1" t="n">
        <f aca="false">MAX(0,PR_r1*MIN(AZ310,BB310)+PR_r2*MAX(0,AZ310-BB310)-BA310)</f>
        <v>0</v>
      </c>
      <c r="BD310" s="1" t="n">
        <f aca="false">MAX(0,PR_HomeCarer-MAX(0,MIN(AS310,AT310)-PR_HCLimit)/2)</f>
        <v>1950</v>
      </c>
      <c r="BE310" s="1" t="n">
        <f aca="false">IF(F_Carer=1,MIN(BC310,MAX(0,PR_r1*MIN(AZ310,PR_BandM)+PR_r2*MAX(0,AZ310-PR_BandM)-BA310-BD310)),BC310)</f>
        <v>0</v>
      </c>
      <c r="BF310" s="1" t="n">
        <f aca="false">IF(OR(C310&gt;=PR_AgeCrAge,AG310&gt;=PR_AgeCrAge),IF(AZ310&lt;=PR_AgeExM,0,MIN(BE310,PR_AgeMarg*(AZ310-PR_AgeExM))),BE310)</f>
        <v>0</v>
      </c>
      <c r="BG310" s="1" t="n">
        <f aca="false">MAX(0,PR_r1*MIN(AS310,IF(F_Spccc=1,PR_BandSPCCC,PR_Band))+PR_r2*MAX(0,AS310-IF(F_Spccc=1,PR_BandSPCCC,PR_Band))-(PR_Personal+AU310+AW310+IF(F_Spccc=1,PR_SPCCC,0)+IF(AY310=1,PR_Rent,0)))</f>
        <v>0</v>
      </c>
      <c r="BH310" s="1" t="n">
        <f aca="false">IF(C310&gt;=PR_AgeCrAge,IF(AS310&lt;=PR_AgeEx,0,MIN(BG310,PR_AgeMarg*(AS310-PR_AgeEx))),BG310)</f>
        <v>0</v>
      </c>
      <c r="BI310" s="1" t="n">
        <f aca="false">IF(F_Partner=1,MAX(0,PR_r1*MIN(AT310,PR_Band)+PR_r2*MAX(0,AT310-PR_Band)-(PR_Personal+AV310+AX310+IF(AND(AY310=1,AT310&gt;0),PR_Rent,0))),0)</f>
        <v>0</v>
      </c>
      <c r="BJ310" s="1" t="n">
        <f aca="false">IF(AG310&gt;=PR_AgeCrAge,IF(AT310&lt;=PR_AgeEx,0,MIN(BI310,PR_AgeMarg*(AT310-PR_AgeEx))),BI310)</f>
        <v>0</v>
      </c>
      <c r="BK310" s="1" t="n">
        <f aca="false">IF(F_Partner=1,IF(F_Married=1,BF310,BH310+BJ310),BH310)</f>
        <v>0</v>
      </c>
      <c r="BL310" s="1" t="n">
        <f aca="false">AL310+AN310+AO310</f>
        <v>0</v>
      </c>
      <c r="BM310" s="1" t="n">
        <f aca="false">IF(BL310&lt;=PR_USCex,0,IF(IF(AND(C310&gt;=PR_USCredAge,BL310&lt;=PR_USCredMax),1,0)=1,PR_USCr1*MIN(BL310,PR_USCredB1)+PR_USCredR2*MAX(0,BL310-PR_USCredB1),PR_USCr1*MIN(BL310,PR_USCb1)+PR_USCr2*MAX(0,MIN(BL310,PR_USCb2)-PR_USCb1)+PR_USCr3*MAX(0,MIN(BL310,PR_USCb3)-PR_USCb2)+PR_USCr4*MAX(0,BL310-PR_USCb3)))+IF(F_SelfEmp=1,PR_USCse*MAX(0,AL310-PR_USCseOver),0)</f>
        <v>0</v>
      </c>
      <c r="BN310" s="1" t="n">
        <f aca="false">AQ310</f>
        <v>0</v>
      </c>
      <c r="BO310" s="1" t="n">
        <f aca="false">IF(F_Partner=1,IF(BN310&lt;=PR_USCex,0,IF(IF(AND(AG310&gt;=PR_USCredAge,BN310&lt;=PR_USCredMax),1,0)=1,PR_USCr1*MIN(BN310,PR_USCredB1)+PR_USCredR2*MAX(0,BN310-PR_USCredB1),PR_USCr1*MIN(BN310,PR_USCb1)+PR_USCr2*MAX(0,MIN(BN310,PR_USCb2)-PR_USCb1)+PR_USCr3*MAX(0,MIN(BN310,PR_USCb3)-PR_USCb2)+PR_USCr4*MAX(0,BN310-PR_USCb3))),0)</f>
        <v>0</v>
      </c>
      <c r="BP310" s="1" t="n">
        <f aca="false">IF(C310&lt;PR_PRSIend,IF(F_SelfEmp=1,IF(AL310&gt;PR_PRSIsMinInc,MAX(PR_PRSIsMin,AL310*J310),0),IF(AL310/52&lt;=PR_PRSIfree,0,MAX(0,(AL310/52*J310-IF(AL310/52&lt;=PR_PRSIcreditTo,MAX(0,PR_PRSIcreditMax-(AL310/52-(PR_PRSIfree+0.01))/PR_PRSItaper),0))*52)))+J310*AN310+IF(AO310&gt;PR_PRSIunearned,J310*AO310,0),0)</f>
        <v>0</v>
      </c>
      <c r="BQ310" s="1" t="n">
        <f aca="false">IF(AND(F_Partner=1,AG310&lt;PR_PRSIend),IF(AQ310/52&lt;=PR_PRSIfree,0,MAX(0,(AQ310/52*J310-IF(AQ310/52&lt;=PR_PRSIcreditTo,MAX(0,PR_PRSIcreditMax-(AQ310/52-(PR_PRSIfree+0.01))/PR_PRSItaper),0))*52)),0)</f>
        <v>0</v>
      </c>
      <c r="BR310" s="1" t="n">
        <f aca="false">BK310+BM310+BO310+BP310+BQ310</f>
        <v>0</v>
      </c>
      <c r="BS310" s="1" t="n">
        <f aca="false">BR310*H310</f>
        <v>0</v>
      </c>
      <c r="BT310" s="1" t="n">
        <f aca="false">K310+AK310+AC310+AF310+AH310+AI310</f>
        <v>56080.6580985708</v>
      </c>
    </row>
    <row r="311" customFormat="false" ht="15" hidden="false" customHeight="true" outlineLevel="0" collapsed="false">
      <c r="B311" s="1" t="n">
        <v>77</v>
      </c>
      <c r="C311" s="1" t="n">
        <f aca="false">F_Age+B311</f>
        <v>77</v>
      </c>
      <c r="D311" s="1" t="n">
        <f aca="false">AS_Year0+B311</f>
        <v>2104</v>
      </c>
      <c r="E311" s="111" t="n">
        <f aca="false">(1+AS_Infl)^B311</f>
        <v>4.59423520751483</v>
      </c>
      <c r="F311" s="111" t="n">
        <f aca="false">(1+AS_Wage)^B311</f>
        <v>9.73792224080692</v>
      </c>
      <c r="G311" s="1" t="n">
        <f aca="false">IF(C311&lt;F_R,1,0)</f>
        <v>0</v>
      </c>
      <c r="H311" s="111" t="n">
        <f aca="false">IF(AS_Bands="flat",1,E311)</f>
        <v>4.59423520751483</v>
      </c>
      <c r="I311" s="111" t="n">
        <f aca="false">IF(AS_SpGrow="pay",F311,IF(AS_SpGrow="flat",1,E311))</f>
        <v>4.59423520751483</v>
      </c>
      <c r="J311" s="111" t="n">
        <f aca="false">(12*PR_PRSIr0+(PR_PRSIr1-PR_PRSIr0)*MAX(0,MIN(12,D311*12+12-PR_PRSIt1))+(PR_PRSIr2-PR_PRSIr1)*MAX(0,MIN(12,D311*12+12-PR_PRSIt2))+(PR_PRSIr3-PR_PRSIr2)*MAX(0,MIN(12,D311*12+12-PR_PRSIt3)))/12</f>
        <v>0.047</v>
      </c>
      <c r="K311" s="1" t="n">
        <f aca="false">IF(G311=1,F_Income*F311,0)</f>
        <v>0</v>
      </c>
      <c r="L311" s="1" t="n">
        <f aca="false">IF(G311=1,(F_Own+In_penExtra)*12*F311,0)</f>
        <v>0</v>
      </c>
      <c r="M311" s="1" t="n">
        <f aca="false">IF(G311=1,(F_PenM+In_penExtra)*12*F311,0)</f>
        <v>0</v>
      </c>
      <c r="N311" s="112" t="n">
        <f aca="false">IF(C311&lt;PR_RelA1,PR_RelP1,IF(C311&lt;PR_RelA2,PR_RelP2,IF(C311&lt;PR_RelA3,PR_RelP3,IF(C311&lt;PR_RelA4,PR_RelP4,IF(C311&lt;PR_RelA5,PR_RelP5,PR_RelP6)))))</f>
        <v>0.4</v>
      </c>
      <c r="O311" s="1" t="n">
        <f aca="false">IF(G311=1,MIN(L311/H311,N311*MIN(K311/H311,PR_EarnCap))*H311,0)</f>
        <v>0</v>
      </c>
      <c r="P311" s="1" t="n">
        <f aca="false">IF(AND(G311=1,F_AE=1),MIN(K311/H311,PR_AEcap)*H311,0)</f>
        <v>0</v>
      </c>
      <c r="Q311" s="1" t="n">
        <f aca="false">IF(G311=1,IF(WI_Retire=1,MAX(0,M311+WI_M*12),M311)+(PR_AEee+PR_AEer+PR_AEst)*P311,0)</f>
        <v>0</v>
      </c>
      <c r="R311" s="1" t="n">
        <f aca="false">L311+PR_AEee*P311</f>
        <v>0</v>
      </c>
      <c r="S311" s="1" t="n">
        <f aca="false">AD310</f>
        <v>0</v>
      </c>
      <c r="T311" s="1" t="n">
        <f aca="false">IF(D311&lt;=PR_SFTfrom,PR_SFT2026,IF(D311=PR_SFTfrom+1,PR_SFT2027,IF(D311=PR_SFTfrom+2,PR_SFT2028,IF(D311&lt;=PR_SFTto,PR_SFT2029,PR_SFT2029*(1+AS_Infl)^(D311-PR_SFTto)))))</f>
        <v>12364339.2743575</v>
      </c>
      <c r="U311" s="1" t="n">
        <f aca="false">IF(AND(G311=0,C311=F_V),1,0)</f>
        <v>0</v>
      </c>
      <c r="V311" s="1" t="n">
        <f aca="false">IF(U311=1,PR_SFTrate*MAX(0,S311-T311),0)</f>
        <v>0</v>
      </c>
      <c r="W311" s="1" t="n">
        <f aca="false">S311-V311</f>
        <v>0</v>
      </c>
      <c r="X311" s="1" t="n">
        <f aca="false">IF(AND(U311=1,AS_LumpPct&gt;0),W311*MIN(AS_LumpPct,PR_LSmax),0)</f>
        <v>0</v>
      </c>
      <c r="Y311" s="1" t="n">
        <f aca="false">X311-(PR_LSrate*MAX(0,MIN(X311,PR_LScap)-PR_LSfree)+PR_r2*MAX(0,X311-PR_LScap))</f>
        <v>0</v>
      </c>
      <c r="Z311" s="1" t="n">
        <f aca="false">W311-X311</f>
        <v>0</v>
      </c>
      <c r="AA311" s="112" t="n">
        <f aca="false">IF(C311&gt;=PR_ARFage1,IF(Z311&gt;PR_ARFbig,PR_ARFbigRate,IF(C311&gt;=PR_ARFage2,PR_ARF71,PR_ARF61)),0)</f>
        <v>0.05</v>
      </c>
      <c r="AB311" s="1" t="n">
        <f aca="false">IF(AS_DrawRule="min",Z311*AA311,IF(AS_DrawRule="fixed",MAX(AS_DrawFixed*E311,Z311*AA311),Z311*MAX(1/MAX(1,AS_End-C311+1),AA311)))</f>
        <v>0</v>
      </c>
      <c r="AC311" s="1" t="n">
        <f aca="false">IF(AND(G311=0,C311&gt;=F_V),MIN(Z311,AB311),0)</f>
        <v>0</v>
      </c>
      <c r="AD311" s="1" t="n">
        <f aca="false">IF(G311=1,S311*(1+F_PenG)+Q311,IF(C311&lt;F_V,S311*(1+F_PenG),(Z311-AC311)*(1+AS_PenRet)))</f>
        <v>0</v>
      </c>
      <c r="AE311" s="1" t="n">
        <f aca="false">IF(C311&gt;=PR_SPage,AS_SP*F_SpF*I311+IF(AND(C311&gt;=PR_Over80Age,F_SpF&gt;0),PR_Over80*PR_Weeks*I311,0),0)</f>
        <v>57202.2712605422</v>
      </c>
      <c r="AF311" s="1" t="n">
        <f aca="false">(F_OtherM+F_RentM)*12*E311</f>
        <v>0</v>
      </c>
      <c r="AG311" s="1" t="n">
        <f aca="false">F_PAge+B311</f>
        <v>77</v>
      </c>
      <c r="AH311" s="1" t="n">
        <f aca="false">IF(AND(F_Partner=1,F_PAge&gt;0,AG311&lt;IF(F_PRet&gt;0,F_PRet,PR_SPage)),F_PIncome*F311,0)</f>
        <v>0</v>
      </c>
      <c r="AI311" s="1" t="n">
        <f aca="false">IF(AND(F_Partner=1,AG311&gt;=PR_SPage,F_PSpQA=0),AS_SP*F_PSpF*I311,0)</f>
        <v>0</v>
      </c>
      <c r="AJ311" s="1" t="n">
        <f aca="false">IF(AND(F_Partner=1,F_PSpQA=1,C311&gt;=PR_SPage,AH311=0),IF(AG311&gt;=PR_SPage,PR_QA66,PR_QAunder)*PR_Weeks*I311,0)</f>
        <v>0</v>
      </c>
      <c r="AK311" s="1" t="n">
        <f aca="false">AE311+AJ311</f>
        <v>57202.2712605422</v>
      </c>
      <c r="AL311" s="1" t="n">
        <f aca="false">K311/H311</f>
        <v>0</v>
      </c>
      <c r="AM311" s="1" t="n">
        <f aca="false">AK311/H311</f>
        <v>12450.88</v>
      </c>
      <c r="AN311" s="1" t="n">
        <f aca="false">AC311/H311</f>
        <v>0</v>
      </c>
      <c r="AO311" s="1" t="n">
        <f aca="false">AF311/H311</f>
        <v>0</v>
      </c>
      <c r="AP311" s="1" t="n">
        <f aca="false">O311/H311</f>
        <v>0</v>
      </c>
      <c r="AQ311" s="1" t="n">
        <f aca="false">AH311/H311</f>
        <v>0</v>
      </c>
      <c r="AR311" s="1" t="n">
        <f aca="false">AI311/H311</f>
        <v>0</v>
      </c>
      <c r="AS311" s="1" t="n">
        <f aca="false">MAX(0,AL311+AN311+AO311+AM311-AP311)</f>
        <v>12450.88</v>
      </c>
      <c r="AT311" s="1" t="n">
        <f aca="false">MAX(0,AQ311+AR311)</f>
        <v>0</v>
      </c>
      <c r="AU311" s="1" t="n">
        <f aca="false">MIN(PR_PAYE,PR_PAYEcap*(AL311+AN311+AM311))</f>
        <v>2000</v>
      </c>
      <c r="AV311" s="1" t="n">
        <f aca="false">MIN(PR_PAYE,PR_PAYEcap*(AQ311+AR311))</f>
        <v>0</v>
      </c>
      <c r="AW311" s="1" t="n">
        <f aca="false">IF(C311&gt;=PR_AgeCrAge,PR_AgeCr,0)</f>
        <v>245</v>
      </c>
      <c r="AX311" s="1" t="n">
        <f aca="false">IF(AG311&gt;=PR_AgeCrAge,PR_AgeCr,0)</f>
        <v>245</v>
      </c>
      <c r="AY311" s="1" t="n">
        <f aca="false">IF(AND(F_RentCred=1,D311&lt;=PR_RentLast),1,0)</f>
        <v>0</v>
      </c>
      <c r="AZ311" s="1" t="n">
        <f aca="false">AS311+AT311</f>
        <v>12450.88</v>
      </c>
      <c r="BA311" s="1" t="n">
        <f aca="false">PR_PersonalM+AU311+AV311+AW311+AX311+IF(AY311=1,PR_RentJoint,0)</f>
        <v>6490</v>
      </c>
      <c r="BB311" s="1" t="n">
        <f aca="false">PR_BandM+MIN(MIN(AS311,AT311),PR_Uplift)</f>
        <v>53000</v>
      </c>
      <c r="BC311" s="1" t="n">
        <f aca="false">MAX(0,PR_r1*MIN(AZ311,BB311)+PR_r2*MAX(0,AZ311-BB311)-BA311)</f>
        <v>0</v>
      </c>
      <c r="BD311" s="1" t="n">
        <f aca="false">MAX(0,PR_HomeCarer-MAX(0,MIN(AS311,AT311)-PR_HCLimit)/2)</f>
        <v>1950</v>
      </c>
      <c r="BE311" s="1" t="n">
        <f aca="false">IF(F_Carer=1,MIN(BC311,MAX(0,PR_r1*MIN(AZ311,PR_BandM)+PR_r2*MAX(0,AZ311-PR_BandM)-BA311-BD311)),BC311)</f>
        <v>0</v>
      </c>
      <c r="BF311" s="1" t="n">
        <f aca="false">IF(OR(C311&gt;=PR_AgeCrAge,AG311&gt;=PR_AgeCrAge),IF(AZ311&lt;=PR_AgeExM,0,MIN(BE311,PR_AgeMarg*(AZ311-PR_AgeExM))),BE311)</f>
        <v>0</v>
      </c>
      <c r="BG311" s="1" t="n">
        <f aca="false">MAX(0,PR_r1*MIN(AS311,IF(F_Spccc=1,PR_BandSPCCC,PR_Band))+PR_r2*MAX(0,AS311-IF(F_Spccc=1,PR_BandSPCCC,PR_Band))-(PR_Personal+AU311+AW311+IF(F_Spccc=1,PR_SPCCC,0)+IF(AY311=1,PR_Rent,0)))</f>
        <v>0</v>
      </c>
      <c r="BH311" s="1" t="n">
        <f aca="false">IF(C311&gt;=PR_AgeCrAge,IF(AS311&lt;=PR_AgeEx,0,MIN(BG311,PR_AgeMarg*(AS311-PR_AgeEx))),BG311)</f>
        <v>0</v>
      </c>
      <c r="BI311" s="1" t="n">
        <f aca="false">IF(F_Partner=1,MAX(0,PR_r1*MIN(AT311,PR_Band)+PR_r2*MAX(0,AT311-PR_Band)-(PR_Personal+AV311+AX311+IF(AND(AY311=1,AT311&gt;0),PR_Rent,0))),0)</f>
        <v>0</v>
      </c>
      <c r="BJ311" s="1" t="n">
        <f aca="false">IF(AG311&gt;=PR_AgeCrAge,IF(AT311&lt;=PR_AgeEx,0,MIN(BI311,PR_AgeMarg*(AT311-PR_AgeEx))),BI311)</f>
        <v>0</v>
      </c>
      <c r="BK311" s="1" t="n">
        <f aca="false">IF(F_Partner=1,IF(F_Married=1,BF311,BH311+BJ311),BH311)</f>
        <v>0</v>
      </c>
      <c r="BL311" s="1" t="n">
        <f aca="false">AL311+AN311+AO311</f>
        <v>0</v>
      </c>
      <c r="BM311" s="1" t="n">
        <f aca="false">IF(BL311&lt;=PR_USCex,0,IF(IF(AND(C311&gt;=PR_USCredAge,BL311&lt;=PR_USCredMax),1,0)=1,PR_USCr1*MIN(BL311,PR_USCredB1)+PR_USCredR2*MAX(0,BL311-PR_USCredB1),PR_USCr1*MIN(BL311,PR_USCb1)+PR_USCr2*MAX(0,MIN(BL311,PR_USCb2)-PR_USCb1)+PR_USCr3*MAX(0,MIN(BL311,PR_USCb3)-PR_USCb2)+PR_USCr4*MAX(0,BL311-PR_USCb3)))+IF(F_SelfEmp=1,PR_USCse*MAX(0,AL311-PR_USCseOver),0)</f>
        <v>0</v>
      </c>
      <c r="BN311" s="1" t="n">
        <f aca="false">AQ311</f>
        <v>0</v>
      </c>
      <c r="BO311" s="1" t="n">
        <f aca="false">IF(F_Partner=1,IF(BN311&lt;=PR_USCex,0,IF(IF(AND(AG311&gt;=PR_USCredAge,BN311&lt;=PR_USCredMax),1,0)=1,PR_USCr1*MIN(BN311,PR_USCredB1)+PR_USCredR2*MAX(0,BN311-PR_USCredB1),PR_USCr1*MIN(BN311,PR_USCb1)+PR_USCr2*MAX(0,MIN(BN311,PR_USCb2)-PR_USCb1)+PR_USCr3*MAX(0,MIN(BN311,PR_USCb3)-PR_USCb2)+PR_USCr4*MAX(0,BN311-PR_USCb3))),0)</f>
        <v>0</v>
      </c>
      <c r="BP311" s="1" t="n">
        <f aca="false">IF(C311&lt;PR_PRSIend,IF(F_SelfEmp=1,IF(AL311&gt;PR_PRSIsMinInc,MAX(PR_PRSIsMin,AL311*J311),0),IF(AL311/52&lt;=PR_PRSIfree,0,MAX(0,(AL311/52*J311-IF(AL311/52&lt;=PR_PRSIcreditTo,MAX(0,PR_PRSIcreditMax-(AL311/52-(PR_PRSIfree+0.01))/PR_PRSItaper),0))*52)))+J311*AN311+IF(AO311&gt;PR_PRSIunearned,J311*AO311,0),0)</f>
        <v>0</v>
      </c>
      <c r="BQ311" s="1" t="n">
        <f aca="false">IF(AND(F_Partner=1,AG311&lt;PR_PRSIend),IF(AQ311/52&lt;=PR_PRSIfree,0,MAX(0,(AQ311/52*J311-IF(AQ311/52&lt;=PR_PRSIcreditTo,MAX(0,PR_PRSIcreditMax-(AQ311/52-(PR_PRSIfree+0.01))/PR_PRSItaper),0))*52)),0)</f>
        <v>0</v>
      </c>
      <c r="BR311" s="1" t="n">
        <f aca="false">BK311+BM311+BO311+BP311+BQ311</f>
        <v>0</v>
      </c>
      <c r="BS311" s="1" t="n">
        <f aca="false">BR311*H311</f>
        <v>0</v>
      </c>
      <c r="BT311" s="1" t="n">
        <f aca="false">K311+AK311+AC311+AF311+AH311+AI311</f>
        <v>57202.2712605422</v>
      </c>
    </row>
    <row r="312" customFormat="false" ht="15" hidden="false" customHeight="true" outlineLevel="0" collapsed="false">
      <c r="B312" s="1" t="n">
        <v>78</v>
      </c>
      <c r="C312" s="1" t="n">
        <f aca="false">F_Age+B312</f>
        <v>78</v>
      </c>
      <c r="D312" s="1" t="n">
        <f aca="false">AS_Year0+B312</f>
        <v>2105</v>
      </c>
      <c r="E312" s="111" t="n">
        <f aca="false">(1+AS_Infl)^B312</f>
        <v>4.68611991166513</v>
      </c>
      <c r="F312" s="111" t="n">
        <f aca="false">(1+AS_Wage)^B312</f>
        <v>10.0300599080311</v>
      </c>
      <c r="G312" s="1" t="n">
        <f aca="false">IF(C312&lt;F_R,1,0)</f>
        <v>0</v>
      </c>
      <c r="H312" s="111" t="n">
        <f aca="false">IF(AS_Bands="flat",1,E312)</f>
        <v>4.68611991166513</v>
      </c>
      <c r="I312" s="111" t="n">
        <f aca="false">IF(AS_SpGrow="pay",F312,IF(AS_SpGrow="flat",1,E312))</f>
        <v>4.68611991166513</v>
      </c>
      <c r="J312" s="111" t="n">
        <f aca="false">(12*PR_PRSIr0+(PR_PRSIr1-PR_PRSIr0)*MAX(0,MIN(12,D312*12+12-PR_PRSIt1))+(PR_PRSIr2-PR_PRSIr1)*MAX(0,MIN(12,D312*12+12-PR_PRSIt2))+(PR_PRSIr3-PR_PRSIr2)*MAX(0,MIN(12,D312*12+12-PR_PRSIt3)))/12</f>
        <v>0.047</v>
      </c>
      <c r="K312" s="1" t="n">
        <f aca="false">IF(G312=1,F_Income*F312,0)</f>
        <v>0</v>
      </c>
      <c r="L312" s="1" t="n">
        <f aca="false">IF(G312=1,(F_Own+In_penExtra)*12*F312,0)</f>
        <v>0</v>
      </c>
      <c r="M312" s="1" t="n">
        <f aca="false">IF(G312=1,(F_PenM+In_penExtra)*12*F312,0)</f>
        <v>0</v>
      </c>
      <c r="N312" s="112" t="n">
        <f aca="false">IF(C312&lt;PR_RelA1,PR_RelP1,IF(C312&lt;PR_RelA2,PR_RelP2,IF(C312&lt;PR_RelA3,PR_RelP3,IF(C312&lt;PR_RelA4,PR_RelP4,IF(C312&lt;PR_RelA5,PR_RelP5,PR_RelP6)))))</f>
        <v>0.4</v>
      </c>
      <c r="O312" s="1" t="n">
        <f aca="false">IF(G312=1,MIN(L312/H312,N312*MIN(K312/H312,PR_EarnCap))*H312,0)</f>
        <v>0</v>
      </c>
      <c r="P312" s="1" t="n">
        <f aca="false">IF(AND(G312=1,F_AE=1),MIN(K312/H312,PR_AEcap)*H312,0)</f>
        <v>0</v>
      </c>
      <c r="Q312" s="1" t="n">
        <f aca="false">IF(G312=1,IF(WI_Retire=1,MAX(0,M312+WI_M*12),M312)+(PR_AEee+PR_AEer+PR_AEst)*P312,0)</f>
        <v>0</v>
      </c>
      <c r="R312" s="1" t="n">
        <f aca="false">L312+PR_AEee*P312</f>
        <v>0</v>
      </c>
      <c r="S312" s="1" t="n">
        <f aca="false">AD311</f>
        <v>0</v>
      </c>
      <c r="T312" s="1" t="n">
        <f aca="false">IF(D312&lt;=PR_SFTfrom,PR_SFT2026,IF(D312=PR_SFTfrom+1,PR_SFT2027,IF(D312=PR_SFTfrom+2,PR_SFT2028,IF(D312&lt;=PR_SFTto,PR_SFT2029,PR_SFT2029*(1+AS_Infl)^(D312-PR_SFTto)))))</f>
        <v>12611626.0598446</v>
      </c>
      <c r="U312" s="1" t="n">
        <f aca="false">IF(AND(G312=0,C312=F_V),1,0)</f>
        <v>0</v>
      </c>
      <c r="V312" s="1" t="n">
        <f aca="false">IF(U312=1,PR_SFTrate*MAX(0,S312-T312),0)</f>
        <v>0</v>
      </c>
      <c r="W312" s="1" t="n">
        <f aca="false">S312-V312</f>
        <v>0</v>
      </c>
      <c r="X312" s="1" t="n">
        <f aca="false">IF(AND(U312=1,AS_LumpPct&gt;0),W312*MIN(AS_LumpPct,PR_LSmax),0)</f>
        <v>0</v>
      </c>
      <c r="Y312" s="1" t="n">
        <f aca="false">X312-(PR_LSrate*MAX(0,MIN(X312,PR_LScap)-PR_LSfree)+PR_r2*MAX(0,X312-PR_LScap))</f>
        <v>0</v>
      </c>
      <c r="Z312" s="1" t="n">
        <f aca="false">W312-X312</f>
        <v>0</v>
      </c>
      <c r="AA312" s="112" t="n">
        <f aca="false">IF(C312&gt;=PR_ARFage1,IF(Z312&gt;PR_ARFbig,PR_ARFbigRate,IF(C312&gt;=PR_ARFage2,PR_ARF71,PR_ARF61)),0)</f>
        <v>0.05</v>
      </c>
      <c r="AB312" s="1" t="n">
        <f aca="false">IF(AS_DrawRule="min",Z312*AA312,IF(AS_DrawRule="fixed",MAX(AS_DrawFixed*E312,Z312*AA312),Z312*MAX(1/MAX(1,AS_End-C312+1),AA312)))</f>
        <v>0</v>
      </c>
      <c r="AC312" s="1" t="n">
        <f aca="false">IF(AND(G312=0,C312&gt;=F_V),MIN(Z312,AB312),0)</f>
        <v>0</v>
      </c>
      <c r="AD312" s="1" t="n">
        <f aca="false">IF(G312=1,S312*(1+F_PenG)+Q312,IF(C312&lt;F_V,S312*(1+F_PenG),(Z312-AC312)*(1+AS_PenRet)))</f>
        <v>0</v>
      </c>
      <c r="AE312" s="1" t="n">
        <f aca="false">IF(C312&gt;=PR_SPage,AS_SP*F_SpF*I312+IF(AND(C312&gt;=PR_Over80Age,F_SpF&gt;0),PR_Over80*PR_Weeks*I312,0),0)</f>
        <v>58346.3166857531</v>
      </c>
      <c r="AF312" s="1" t="n">
        <f aca="false">(F_OtherM+F_RentM)*12*E312</f>
        <v>0</v>
      </c>
      <c r="AG312" s="1" t="n">
        <f aca="false">F_PAge+B312</f>
        <v>78</v>
      </c>
      <c r="AH312" s="1" t="n">
        <f aca="false">IF(AND(F_Partner=1,F_PAge&gt;0,AG312&lt;IF(F_PRet&gt;0,F_PRet,PR_SPage)),F_PIncome*F312,0)</f>
        <v>0</v>
      </c>
      <c r="AI312" s="1" t="n">
        <f aca="false">IF(AND(F_Partner=1,AG312&gt;=PR_SPage,F_PSpQA=0),AS_SP*F_PSpF*I312,0)</f>
        <v>0</v>
      </c>
      <c r="AJ312" s="1" t="n">
        <f aca="false">IF(AND(F_Partner=1,F_PSpQA=1,C312&gt;=PR_SPage,AH312=0),IF(AG312&gt;=PR_SPage,PR_QA66,PR_QAunder)*PR_Weeks*I312,0)</f>
        <v>0</v>
      </c>
      <c r="AK312" s="1" t="n">
        <f aca="false">AE312+AJ312</f>
        <v>58346.3166857531</v>
      </c>
      <c r="AL312" s="1" t="n">
        <f aca="false">K312/H312</f>
        <v>0</v>
      </c>
      <c r="AM312" s="1" t="n">
        <f aca="false">AK312/H312</f>
        <v>12450.88</v>
      </c>
      <c r="AN312" s="1" t="n">
        <f aca="false">AC312/H312</f>
        <v>0</v>
      </c>
      <c r="AO312" s="1" t="n">
        <f aca="false">AF312/H312</f>
        <v>0</v>
      </c>
      <c r="AP312" s="1" t="n">
        <f aca="false">O312/H312</f>
        <v>0</v>
      </c>
      <c r="AQ312" s="1" t="n">
        <f aca="false">AH312/H312</f>
        <v>0</v>
      </c>
      <c r="AR312" s="1" t="n">
        <f aca="false">AI312/H312</f>
        <v>0</v>
      </c>
      <c r="AS312" s="1" t="n">
        <f aca="false">MAX(0,AL312+AN312+AO312+AM312-AP312)</f>
        <v>12450.88</v>
      </c>
      <c r="AT312" s="1" t="n">
        <f aca="false">MAX(0,AQ312+AR312)</f>
        <v>0</v>
      </c>
      <c r="AU312" s="1" t="n">
        <f aca="false">MIN(PR_PAYE,PR_PAYEcap*(AL312+AN312+AM312))</f>
        <v>2000</v>
      </c>
      <c r="AV312" s="1" t="n">
        <f aca="false">MIN(PR_PAYE,PR_PAYEcap*(AQ312+AR312))</f>
        <v>0</v>
      </c>
      <c r="AW312" s="1" t="n">
        <f aca="false">IF(C312&gt;=PR_AgeCrAge,PR_AgeCr,0)</f>
        <v>245</v>
      </c>
      <c r="AX312" s="1" t="n">
        <f aca="false">IF(AG312&gt;=PR_AgeCrAge,PR_AgeCr,0)</f>
        <v>245</v>
      </c>
      <c r="AY312" s="1" t="n">
        <f aca="false">IF(AND(F_RentCred=1,D312&lt;=PR_RentLast),1,0)</f>
        <v>0</v>
      </c>
      <c r="AZ312" s="1" t="n">
        <f aca="false">AS312+AT312</f>
        <v>12450.88</v>
      </c>
      <c r="BA312" s="1" t="n">
        <f aca="false">PR_PersonalM+AU312+AV312+AW312+AX312+IF(AY312=1,PR_RentJoint,0)</f>
        <v>6490</v>
      </c>
      <c r="BB312" s="1" t="n">
        <f aca="false">PR_BandM+MIN(MIN(AS312,AT312),PR_Uplift)</f>
        <v>53000</v>
      </c>
      <c r="BC312" s="1" t="n">
        <f aca="false">MAX(0,PR_r1*MIN(AZ312,BB312)+PR_r2*MAX(0,AZ312-BB312)-BA312)</f>
        <v>0</v>
      </c>
      <c r="BD312" s="1" t="n">
        <f aca="false">MAX(0,PR_HomeCarer-MAX(0,MIN(AS312,AT312)-PR_HCLimit)/2)</f>
        <v>1950</v>
      </c>
      <c r="BE312" s="1" t="n">
        <f aca="false">IF(F_Carer=1,MIN(BC312,MAX(0,PR_r1*MIN(AZ312,PR_BandM)+PR_r2*MAX(0,AZ312-PR_BandM)-BA312-BD312)),BC312)</f>
        <v>0</v>
      </c>
      <c r="BF312" s="1" t="n">
        <f aca="false">IF(OR(C312&gt;=PR_AgeCrAge,AG312&gt;=PR_AgeCrAge),IF(AZ312&lt;=PR_AgeExM,0,MIN(BE312,PR_AgeMarg*(AZ312-PR_AgeExM))),BE312)</f>
        <v>0</v>
      </c>
      <c r="BG312" s="1" t="n">
        <f aca="false">MAX(0,PR_r1*MIN(AS312,IF(F_Spccc=1,PR_BandSPCCC,PR_Band))+PR_r2*MAX(0,AS312-IF(F_Spccc=1,PR_BandSPCCC,PR_Band))-(PR_Personal+AU312+AW312+IF(F_Spccc=1,PR_SPCCC,0)+IF(AY312=1,PR_Rent,0)))</f>
        <v>0</v>
      </c>
      <c r="BH312" s="1" t="n">
        <f aca="false">IF(C312&gt;=PR_AgeCrAge,IF(AS312&lt;=PR_AgeEx,0,MIN(BG312,PR_AgeMarg*(AS312-PR_AgeEx))),BG312)</f>
        <v>0</v>
      </c>
      <c r="BI312" s="1" t="n">
        <f aca="false">IF(F_Partner=1,MAX(0,PR_r1*MIN(AT312,PR_Band)+PR_r2*MAX(0,AT312-PR_Band)-(PR_Personal+AV312+AX312+IF(AND(AY312=1,AT312&gt;0),PR_Rent,0))),0)</f>
        <v>0</v>
      </c>
      <c r="BJ312" s="1" t="n">
        <f aca="false">IF(AG312&gt;=PR_AgeCrAge,IF(AT312&lt;=PR_AgeEx,0,MIN(BI312,PR_AgeMarg*(AT312-PR_AgeEx))),BI312)</f>
        <v>0</v>
      </c>
      <c r="BK312" s="1" t="n">
        <f aca="false">IF(F_Partner=1,IF(F_Married=1,BF312,BH312+BJ312),BH312)</f>
        <v>0</v>
      </c>
      <c r="BL312" s="1" t="n">
        <f aca="false">AL312+AN312+AO312</f>
        <v>0</v>
      </c>
      <c r="BM312" s="1" t="n">
        <f aca="false">IF(BL312&lt;=PR_USCex,0,IF(IF(AND(C312&gt;=PR_USCredAge,BL312&lt;=PR_USCredMax),1,0)=1,PR_USCr1*MIN(BL312,PR_USCredB1)+PR_USCredR2*MAX(0,BL312-PR_USCredB1),PR_USCr1*MIN(BL312,PR_USCb1)+PR_USCr2*MAX(0,MIN(BL312,PR_USCb2)-PR_USCb1)+PR_USCr3*MAX(0,MIN(BL312,PR_USCb3)-PR_USCb2)+PR_USCr4*MAX(0,BL312-PR_USCb3)))+IF(F_SelfEmp=1,PR_USCse*MAX(0,AL312-PR_USCseOver),0)</f>
        <v>0</v>
      </c>
      <c r="BN312" s="1" t="n">
        <f aca="false">AQ312</f>
        <v>0</v>
      </c>
      <c r="BO312" s="1" t="n">
        <f aca="false">IF(F_Partner=1,IF(BN312&lt;=PR_USCex,0,IF(IF(AND(AG312&gt;=PR_USCredAge,BN312&lt;=PR_USCredMax),1,0)=1,PR_USCr1*MIN(BN312,PR_USCredB1)+PR_USCredR2*MAX(0,BN312-PR_USCredB1),PR_USCr1*MIN(BN312,PR_USCb1)+PR_USCr2*MAX(0,MIN(BN312,PR_USCb2)-PR_USCb1)+PR_USCr3*MAX(0,MIN(BN312,PR_USCb3)-PR_USCb2)+PR_USCr4*MAX(0,BN312-PR_USCb3))),0)</f>
        <v>0</v>
      </c>
      <c r="BP312" s="1" t="n">
        <f aca="false">IF(C312&lt;PR_PRSIend,IF(F_SelfEmp=1,IF(AL312&gt;PR_PRSIsMinInc,MAX(PR_PRSIsMin,AL312*J312),0),IF(AL312/52&lt;=PR_PRSIfree,0,MAX(0,(AL312/52*J312-IF(AL312/52&lt;=PR_PRSIcreditTo,MAX(0,PR_PRSIcreditMax-(AL312/52-(PR_PRSIfree+0.01))/PR_PRSItaper),0))*52)))+J312*AN312+IF(AO312&gt;PR_PRSIunearned,J312*AO312,0),0)</f>
        <v>0</v>
      </c>
      <c r="BQ312" s="1" t="n">
        <f aca="false">IF(AND(F_Partner=1,AG312&lt;PR_PRSIend),IF(AQ312/52&lt;=PR_PRSIfree,0,MAX(0,(AQ312/52*J312-IF(AQ312/52&lt;=PR_PRSIcreditTo,MAX(0,PR_PRSIcreditMax-(AQ312/52-(PR_PRSIfree+0.01))/PR_PRSItaper),0))*52)),0)</f>
        <v>0</v>
      </c>
      <c r="BR312" s="1" t="n">
        <f aca="false">BK312+BM312+BO312+BP312+BQ312</f>
        <v>0</v>
      </c>
      <c r="BS312" s="1" t="n">
        <f aca="false">BR312*H312</f>
        <v>0</v>
      </c>
      <c r="BT312" s="1" t="n">
        <f aca="false">K312+AK312+AC312+AF312+AH312+AI312</f>
        <v>58346.3166857531</v>
      </c>
    </row>
    <row r="313" customFormat="false" ht="15" hidden="false" customHeight="true" outlineLevel="0" collapsed="false">
      <c r="B313" s="1" t="n">
        <v>79</v>
      </c>
      <c r="C313" s="1" t="n">
        <f aca="false">F_Age+B313</f>
        <v>79</v>
      </c>
      <c r="D313" s="1" t="n">
        <f aca="false">AS_Year0+B313</f>
        <v>2106</v>
      </c>
      <c r="E313" s="111" t="n">
        <f aca="false">(1+AS_Infl)^B313</f>
        <v>4.77984230989843</v>
      </c>
      <c r="F313" s="111" t="n">
        <f aca="false">(1+AS_Wage)^B313</f>
        <v>10.3309617052721</v>
      </c>
      <c r="G313" s="1" t="n">
        <f aca="false">IF(C313&lt;F_R,1,0)</f>
        <v>0</v>
      </c>
      <c r="H313" s="111" t="n">
        <f aca="false">IF(AS_Bands="flat",1,E313)</f>
        <v>4.77984230989843</v>
      </c>
      <c r="I313" s="111" t="n">
        <f aca="false">IF(AS_SpGrow="pay",F313,IF(AS_SpGrow="flat",1,E313))</f>
        <v>4.77984230989843</v>
      </c>
      <c r="J313" s="111" t="n">
        <f aca="false">(12*PR_PRSIr0+(PR_PRSIr1-PR_PRSIr0)*MAX(0,MIN(12,D313*12+12-PR_PRSIt1))+(PR_PRSIr2-PR_PRSIr1)*MAX(0,MIN(12,D313*12+12-PR_PRSIt2))+(PR_PRSIr3-PR_PRSIr2)*MAX(0,MIN(12,D313*12+12-PR_PRSIt3)))/12</f>
        <v>0.047</v>
      </c>
      <c r="K313" s="1" t="n">
        <f aca="false">IF(G313=1,F_Income*F313,0)</f>
        <v>0</v>
      </c>
      <c r="L313" s="1" t="n">
        <f aca="false">IF(G313=1,(F_Own+In_penExtra)*12*F313,0)</f>
        <v>0</v>
      </c>
      <c r="M313" s="1" t="n">
        <f aca="false">IF(G313=1,(F_PenM+In_penExtra)*12*F313,0)</f>
        <v>0</v>
      </c>
      <c r="N313" s="112" t="n">
        <f aca="false">IF(C313&lt;PR_RelA1,PR_RelP1,IF(C313&lt;PR_RelA2,PR_RelP2,IF(C313&lt;PR_RelA3,PR_RelP3,IF(C313&lt;PR_RelA4,PR_RelP4,IF(C313&lt;PR_RelA5,PR_RelP5,PR_RelP6)))))</f>
        <v>0.4</v>
      </c>
      <c r="O313" s="1" t="n">
        <f aca="false">IF(G313=1,MIN(L313/H313,N313*MIN(K313/H313,PR_EarnCap))*H313,0)</f>
        <v>0</v>
      </c>
      <c r="P313" s="1" t="n">
        <f aca="false">IF(AND(G313=1,F_AE=1),MIN(K313/H313,PR_AEcap)*H313,0)</f>
        <v>0</v>
      </c>
      <c r="Q313" s="1" t="n">
        <f aca="false">IF(G313=1,IF(WI_Retire=1,MAX(0,M313+WI_M*12),M313)+(PR_AEee+PR_AEer+PR_AEst)*P313,0)</f>
        <v>0</v>
      </c>
      <c r="R313" s="1" t="n">
        <f aca="false">L313+PR_AEee*P313</f>
        <v>0</v>
      </c>
      <c r="S313" s="1" t="n">
        <f aca="false">AD312</f>
        <v>0</v>
      </c>
      <c r="T313" s="1" t="n">
        <f aca="false">IF(D313&lt;=PR_SFTfrom,PR_SFT2026,IF(D313=PR_SFTfrom+1,PR_SFT2027,IF(D313=PR_SFTfrom+2,PR_SFT2028,IF(D313&lt;=PR_SFTto,PR_SFT2029,PR_SFT2029*(1+AS_Infl)^(D313-PR_SFTto)))))</f>
        <v>12863858.5810415</v>
      </c>
      <c r="U313" s="1" t="n">
        <f aca="false">IF(AND(G313=0,C313=F_V),1,0)</f>
        <v>0</v>
      </c>
      <c r="V313" s="1" t="n">
        <f aca="false">IF(U313=1,PR_SFTrate*MAX(0,S313-T313),0)</f>
        <v>0</v>
      </c>
      <c r="W313" s="1" t="n">
        <f aca="false">S313-V313</f>
        <v>0</v>
      </c>
      <c r="X313" s="1" t="n">
        <f aca="false">IF(AND(U313=1,AS_LumpPct&gt;0),W313*MIN(AS_LumpPct,PR_LSmax),0)</f>
        <v>0</v>
      </c>
      <c r="Y313" s="1" t="n">
        <f aca="false">X313-(PR_LSrate*MAX(0,MIN(X313,PR_LScap)-PR_LSfree)+PR_r2*MAX(0,X313-PR_LScap))</f>
        <v>0</v>
      </c>
      <c r="Z313" s="1" t="n">
        <f aca="false">W313-X313</f>
        <v>0</v>
      </c>
      <c r="AA313" s="112" t="n">
        <f aca="false">IF(C313&gt;=PR_ARFage1,IF(Z313&gt;PR_ARFbig,PR_ARFbigRate,IF(C313&gt;=PR_ARFage2,PR_ARF71,PR_ARF61)),0)</f>
        <v>0.05</v>
      </c>
      <c r="AB313" s="1" t="n">
        <f aca="false">IF(AS_DrawRule="min",Z313*AA313,IF(AS_DrawRule="fixed",MAX(AS_DrawFixed*E313,Z313*AA313),Z313*MAX(1/MAX(1,AS_End-C313+1),AA313)))</f>
        <v>0</v>
      </c>
      <c r="AC313" s="1" t="n">
        <f aca="false">IF(AND(G313=0,C313&gt;=F_V),MIN(Z313,AB313),0)</f>
        <v>0</v>
      </c>
      <c r="AD313" s="1" t="n">
        <f aca="false">IF(G313=1,S313*(1+F_PenG)+Q313,IF(C313&lt;F_V,S313*(1+F_PenG),(Z313-AC313)*(1+AS_PenRet)))</f>
        <v>0</v>
      </c>
      <c r="AE313" s="1" t="n">
        <f aca="false">IF(C313&gt;=PR_SPage,AS_SP*F_SpF*I313+IF(AND(C313&gt;=PR_Over80Age,F_SpF&gt;0),PR_Over80*PR_Weeks*I313,0),0)</f>
        <v>59513.2430194681</v>
      </c>
      <c r="AF313" s="1" t="n">
        <f aca="false">(F_OtherM+F_RentM)*12*E313</f>
        <v>0</v>
      </c>
      <c r="AG313" s="1" t="n">
        <f aca="false">F_PAge+B313</f>
        <v>79</v>
      </c>
      <c r="AH313" s="1" t="n">
        <f aca="false">IF(AND(F_Partner=1,F_PAge&gt;0,AG313&lt;IF(F_PRet&gt;0,F_PRet,PR_SPage)),F_PIncome*F313,0)</f>
        <v>0</v>
      </c>
      <c r="AI313" s="1" t="n">
        <f aca="false">IF(AND(F_Partner=1,AG313&gt;=PR_SPage,F_PSpQA=0),AS_SP*F_PSpF*I313,0)</f>
        <v>0</v>
      </c>
      <c r="AJ313" s="1" t="n">
        <f aca="false">IF(AND(F_Partner=1,F_PSpQA=1,C313&gt;=PR_SPage,AH313=0),IF(AG313&gt;=PR_SPage,PR_QA66,PR_QAunder)*PR_Weeks*I313,0)</f>
        <v>0</v>
      </c>
      <c r="AK313" s="1" t="n">
        <f aca="false">AE313+AJ313</f>
        <v>59513.2430194681</v>
      </c>
      <c r="AL313" s="1" t="n">
        <f aca="false">K313/H313</f>
        <v>0</v>
      </c>
      <c r="AM313" s="1" t="n">
        <f aca="false">AK313/H313</f>
        <v>12450.88</v>
      </c>
      <c r="AN313" s="1" t="n">
        <f aca="false">AC313/H313</f>
        <v>0</v>
      </c>
      <c r="AO313" s="1" t="n">
        <f aca="false">AF313/H313</f>
        <v>0</v>
      </c>
      <c r="AP313" s="1" t="n">
        <f aca="false">O313/H313</f>
        <v>0</v>
      </c>
      <c r="AQ313" s="1" t="n">
        <f aca="false">AH313/H313</f>
        <v>0</v>
      </c>
      <c r="AR313" s="1" t="n">
        <f aca="false">AI313/H313</f>
        <v>0</v>
      </c>
      <c r="AS313" s="1" t="n">
        <f aca="false">MAX(0,AL313+AN313+AO313+AM313-AP313)</f>
        <v>12450.88</v>
      </c>
      <c r="AT313" s="1" t="n">
        <f aca="false">MAX(0,AQ313+AR313)</f>
        <v>0</v>
      </c>
      <c r="AU313" s="1" t="n">
        <f aca="false">MIN(PR_PAYE,PR_PAYEcap*(AL313+AN313+AM313))</f>
        <v>2000</v>
      </c>
      <c r="AV313" s="1" t="n">
        <f aca="false">MIN(PR_PAYE,PR_PAYEcap*(AQ313+AR313))</f>
        <v>0</v>
      </c>
      <c r="AW313" s="1" t="n">
        <f aca="false">IF(C313&gt;=PR_AgeCrAge,PR_AgeCr,0)</f>
        <v>245</v>
      </c>
      <c r="AX313" s="1" t="n">
        <f aca="false">IF(AG313&gt;=PR_AgeCrAge,PR_AgeCr,0)</f>
        <v>245</v>
      </c>
      <c r="AY313" s="1" t="n">
        <f aca="false">IF(AND(F_RentCred=1,D313&lt;=PR_RentLast),1,0)</f>
        <v>0</v>
      </c>
      <c r="AZ313" s="1" t="n">
        <f aca="false">AS313+AT313</f>
        <v>12450.88</v>
      </c>
      <c r="BA313" s="1" t="n">
        <f aca="false">PR_PersonalM+AU313+AV313+AW313+AX313+IF(AY313=1,PR_RentJoint,0)</f>
        <v>6490</v>
      </c>
      <c r="BB313" s="1" t="n">
        <f aca="false">PR_BandM+MIN(MIN(AS313,AT313),PR_Uplift)</f>
        <v>53000</v>
      </c>
      <c r="BC313" s="1" t="n">
        <f aca="false">MAX(0,PR_r1*MIN(AZ313,BB313)+PR_r2*MAX(0,AZ313-BB313)-BA313)</f>
        <v>0</v>
      </c>
      <c r="BD313" s="1" t="n">
        <f aca="false">MAX(0,PR_HomeCarer-MAX(0,MIN(AS313,AT313)-PR_HCLimit)/2)</f>
        <v>1950</v>
      </c>
      <c r="BE313" s="1" t="n">
        <f aca="false">IF(F_Carer=1,MIN(BC313,MAX(0,PR_r1*MIN(AZ313,PR_BandM)+PR_r2*MAX(0,AZ313-PR_BandM)-BA313-BD313)),BC313)</f>
        <v>0</v>
      </c>
      <c r="BF313" s="1" t="n">
        <f aca="false">IF(OR(C313&gt;=PR_AgeCrAge,AG313&gt;=PR_AgeCrAge),IF(AZ313&lt;=PR_AgeExM,0,MIN(BE313,PR_AgeMarg*(AZ313-PR_AgeExM))),BE313)</f>
        <v>0</v>
      </c>
      <c r="BG313" s="1" t="n">
        <f aca="false">MAX(0,PR_r1*MIN(AS313,IF(F_Spccc=1,PR_BandSPCCC,PR_Band))+PR_r2*MAX(0,AS313-IF(F_Spccc=1,PR_BandSPCCC,PR_Band))-(PR_Personal+AU313+AW313+IF(F_Spccc=1,PR_SPCCC,0)+IF(AY313=1,PR_Rent,0)))</f>
        <v>0</v>
      </c>
      <c r="BH313" s="1" t="n">
        <f aca="false">IF(C313&gt;=PR_AgeCrAge,IF(AS313&lt;=PR_AgeEx,0,MIN(BG313,PR_AgeMarg*(AS313-PR_AgeEx))),BG313)</f>
        <v>0</v>
      </c>
      <c r="BI313" s="1" t="n">
        <f aca="false">IF(F_Partner=1,MAX(0,PR_r1*MIN(AT313,PR_Band)+PR_r2*MAX(0,AT313-PR_Band)-(PR_Personal+AV313+AX313+IF(AND(AY313=1,AT313&gt;0),PR_Rent,0))),0)</f>
        <v>0</v>
      </c>
      <c r="BJ313" s="1" t="n">
        <f aca="false">IF(AG313&gt;=PR_AgeCrAge,IF(AT313&lt;=PR_AgeEx,0,MIN(BI313,PR_AgeMarg*(AT313-PR_AgeEx))),BI313)</f>
        <v>0</v>
      </c>
      <c r="BK313" s="1" t="n">
        <f aca="false">IF(F_Partner=1,IF(F_Married=1,BF313,BH313+BJ313),BH313)</f>
        <v>0</v>
      </c>
      <c r="BL313" s="1" t="n">
        <f aca="false">AL313+AN313+AO313</f>
        <v>0</v>
      </c>
      <c r="BM313" s="1" t="n">
        <f aca="false">IF(BL313&lt;=PR_USCex,0,IF(IF(AND(C313&gt;=PR_USCredAge,BL313&lt;=PR_USCredMax),1,0)=1,PR_USCr1*MIN(BL313,PR_USCredB1)+PR_USCredR2*MAX(0,BL313-PR_USCredB1),PR_USCr1*MIN(BL313,PR_USCb1)+PR_USCr2*MAX(0,MIN(BL313,PR_USCb2)-PR_USCb1)+PR_USCr3*MAX(0,MIN(BL313,PR_USCb3)-PR_USCb2)+PR_USCr4*MAX(0,BL313-PR_USCb3)))+IF(F_SelfEmp=1,PR_USCse*MAX(0,AL313-PR_USCseOver),0)</f>
        <v>0</v>
      </c>
      <c r="BN313" s="1" t="n">
        <f aca="false">AQ313</f>
        <v>0</v>
      </c>
      <c r="BO313" s="1" t="n">
        <f aca="false">IF(F_Partner=1,IF(BN313&lt;=PR_USCex,0,IF(IF(AND(AG313&gt;=PR_USCredAge,BN313&lt;=PR_USCredMax),1,0)=1,PR_USCr1*MIN(BN313,PR_USCredB1)+PR_USCredR2*MAX(0,BN313-PR_USCredB1),PR_USCr1*MIN(BN313,PR_USCb1)+PR_USCr2*MAX(0,MIN(BN313,PR_USCb2)-PR_USCb1)+PR_USCr3*MAX(0,MIN(BN313,PR_USCb3)-PR_USCb2)+PR_USCr4*MAX(0,BN313-PR_USCb3))),0)</f>
        <v>0</v>
      </c>
      <c r="BP313" s="1" t="n">
        <f aca="false">IF(C313&lt;PR_PRSIend,IF(F_SelfEmp=1,IF(AL313&gt;PR_PRSIsMinInc,MAX(PR_PRSIsMin,AL313*J313),0),IF(AL313/52&lt;=PR_PRSIfree,0,MAX(0,(AL313/52*J313-IF(AL313/52&lt;=PR_PRSIcreditTo,MAX(0,PR_PRSIcreditMax-(AL313/52-(PR_PRSIfree+0.01))/PR_PRSItaper),0))*52)))+J313*AN313+IF(AO313&gt;PR_PRSIunearned,J313*AO313,0),0)</f>
        <v>0</v>
      </c>
      <c r="BQ313" s="1" t="n">
        <f aca="false">IF(AND(F_Partner=1,AG313&lt;PR_PRSIend),IF(AQ313/52&lt;=PR_PRSIfree,0,MAX(0,(AQ313/52*J313-IF(AQ313/52&lt;=PR_PRSIcreditTo,MAX(0,PR_PRSIcreditMax-(AQ313/52-(PR_PRSIfree+0.01))/PR_PRSItaper),0))*52)),0)</f>
        <v>0</v>
      </c>
      <c r="BR313" s="1" t="n">
        <f aca="false">BK313+BM313+BO313+BP313+BQ313</f>
        <v>0</v>
      </c>
      <c r="BS313" s="1" t="n">
        <f aca="false">BR313*H313</f>
        <v>0</v>
      </c>
      <c r="BT313" s="1" t="n">
        <f aca="false">K313+AK313+AC313+AF313+AH313+AI313</f>
        <v>59513.2430194681</v>
      </c>
    </row>
    <row r="314" customFormat="false" ht="15" hidden="false" customHeight="true" outlineLevel="0" collapsed="false">
      <c r="B314" s="1" t="n">
        <v>80</v>
      </c>
      <c r="C314" s="1" t="n">
        <f aca="false">F_Age+B314</f>
        <v>80</v>
      </c>
      <c r="D314" s="1" t="n">
        <f aca="false">AS_Year0+B314</f>
        <v>2107</v>
      </c>
      <c r="E314" s="111" t="n">
        <f aca="false">(1+AS_Infl)^B314</f>
        <v>4.8754391560964</v>
      </c>
      <c r="F314" s="111" t="n">
        <f aca="false">(1+AS_Wage)^B314</f>
        <v>10.6408905564302</v>
      </c>
      <c r="G314" s="1" t="n">
        <f aca="false">IF(C314&lt;F_R,1,0)</f>
        <v>0</v>
      </c>
      <c r="H314" s="111" t="n">
        <f aca="false">IF(AS_Bands="flat",1,E314)</f>
        <v>4.8754391560964</v>
      </c>
      <c r="I314" s="111" t="n">
        <f aca="false">IF(AS_SpGrow="pay",F314,IF(AS_SpGrow="flat",1,E314))</f>
        <v>4.8754391560964</v>
      </c>
      <c r="J314" s="111" t="n">
        <f aca="false">(12*PR_PRSIr0+(PR_PRSIr1-PR_PRSIr0)*MAX(0,MIN(12,D314*12+12-PR_PRSIt1))+(PR_PRSIr2-PR_PRSIr1)*MAX(0,MIN(12,D314*12+12-PR_PRSIt2))+(PR_PRSIr3-PR_PRSIr2)*MAX(0,MIN(12,D314*12+12-PR_PRSIt3)))/12</f>
        <v>0.047</v>
      </c>
      <c r="K314" s="1" t="n">
        <f aca="false">IF(G314=1,F_Income*F314,0)</f>
        <v>0</v>
      </c>
      <c r="L314" s="1" t="n">
        <f aca="false">IF(G314=1,(F_Own+In_penExtra)*12*F314,0)</f>
        <v>0</v>
      </c>
      <c r="M314" s="1" t="n">
        <f aca="false">IF(G314=1,(F_PenM+In_penExtra)*12*F314,0)</f>
        <v>0</v>
      </c>
      <c r="N314" s="112" t="n">
        <f aca="false">IF(C314&lt;PR_RelA1,PR_RelP1,IF(C314&lt;PR_RelA2,PR_RelP2,IF(C314&lt;PR_RelA3,PR_RelP3,IF(C314&lt;PR_RelA4,PR_RelP4,IF(C314&lt;PR_RelA5,PR_RelP5,PR_RelP6)))))</f>
        <v>0.4</v>
      </c>
      <c r="O314" s="1" t="n">
        <f aca="false">IF(G314=1,MIN(L314/H314,N314*MIN(K314/H314,PR_EarnCap))*H314,0)</f>
        <v>0</v>
      </c>
      <c r="P314" s="1" t="n">
        <f aca="false">IF(AND(G314=1,F_AE=1),MIN(K314/H314,PR_AEcap)*H314,0)</f>
        <v>0</v>
      </c>
      <c r="Q314" s="1" t="n">
        <f aca="false">IF(G314=1,IF(WI_Retire=1,MAX(0,M314+WI_M*12),M314)+(PR_AEee+PR_AEer+PR_AEst)*P314,0)</f>
        <v>0</v>
      </c>
      <c r="R314" s="1" t="n">
        <f aca="false">L314+PR_AEee*P314</f>
        <v>0</v>
      </c>
      <c r="S314" s="1" t="n">
        <f aca="false">AD313</f>
        <v>0</v>
      </c>
      <c r="T314" s="1" t="n">
        <f aca="false">IF(D314&lt;=PR_SFTfrom,PR_SFT2026,IF(D314=PR_SFTfrom+1,PR_SFT2027,IF(D314=PR_SFTfrom+2,PR_SFT2028,IF(D314&lt;=PR_SFTto,PR_SFT2029,PR_SFT2029*(1+AS_Infl)^(D314-PR_SFTto)))))</f>
        <v>13121135.7526624</v>
      </c>
      <c r="U314" s="1" t="n">
        <f aca="false">IF(AND(G314=0,C314=F_V),1,0)</f>
        <v>0</v>
      </c>
      <c r="V314" s="1" t="n">
        <f aca="false">IF(U314=1,PR_SFTrate*MAX(0,S314-T314),0)</f>
        <v>0</v>
      </c>
      <c r="W314" s="1" t="n">
        <f aca="false">S314-V314</f>
        <v>0</v>
      </c>
      <c r="X314" s="1" t="n">
        <f aca="false">IF(AND(U314=1,AS_LumpPct&gt;0),W314*MIN(AS_LumpPct,PR_LSmax),0)</f>
        <v>0</v>
      </c>
      <c r="Y314" s="1" t="n">
        <f aca="false">X314-(PR_LSrate*MAX(0,MIN(X314,PR_LScap)-PR_LSfree)+PR_r2*MAX(0,X314-PR_LScap))</f>
        <v>0</v>
      </c>
      <c r="Z314" s="1" t="n">
        <f aca="false">W314-X314</f>
        <v>0</v>
      </c>
      <c r="AA314" s="112" t="n">
        <f aca="false">IF(C314&gt;=PR_ARFage1,IF(Z314&gt;PR_ARFbig,PR_ARFbigRate,IF(C314&gt;=PR_ARFage2,PR_ARF71,PR_ARF61)),0)</f>
        <v>0.05</v>
      </c>
      <c r="AB314" s="1" t="n">
        <f aca="false">IF(AS_DrawRule="min",Z314*AA314,IF(AS_DrawRule="fixed",MAX(AS_DrawFixed*E314,Z314*AA314),Z314*MAX(1/MAX(1,AS_End-C314+1),AA314)))</f>
        <v>0</v>
      </c>
      <c r="AC314" s="1" t="n">
        <f aca="false">IF(AND(G314=0,C314&gt;=F_V),MIN(Z314,AB314),0)</f>
        <v>0</v>
      </c>
      <c r="AD314" s="1" t="n">
        <f aca="false">IF(G314=1,S314*(1+F_PenG)+Q314,IF(C314&lt;F_V,S314*(1+F_PenG),(Z314-AC314)*(1+AS_PenRet)))</f>
        <v>0</v>
      </c>
      <c r="AE314" s="1" t="n">
        <f aca="false">IF(C314&gt;=PR_SPage,AS_SP*F_SpF*I314+IF(AND(C314&gt;=PR_Over80Age,F_SpF&gt;0),PR_Over80*PR_Weeks*I314,0),0)</f>
        <v>63238.7362410276</v>
      </c>
      <c r="AF314" s="1" t="n">
        <f aca="false">(F_OtherM+F_RentM)*12*E314</f>
        <v>0</v>
      </c>
      <c r="AG314" s="1" t="n">
        <f aca="false">F_PAge+B314</f>
        <v>80</v>
      </c>
      <c r="AH314" s="1" t="n">
        <f aca="false">IF(AND(F_Partner=1,F_PAge&gt;0,AG314&lt;IF(F_PRet&gt;0,F_PRet,PR_SPage)),F_PIncome*F314,0)</f>
        <v>0</v>
      </c>
      <c r="AI314" s="1" t="n">
        <f aca="false">IF(AND(F_Partner=1,AG314&gt;=PR_SPage,F_PSpQA=0),AS_SP*F_PSpF*I314,0)</f>
        <v>0</v>
      </c>
      <c r="AJ314" s="1" t="n">
        <f aca="false">IF(AND(F_Partner=1,F_PSpQA=1,C314&gt;=PR_SPage,AH314=0),IF(AG314&gt;=PR_SPage,PR_QA66,PR_QAunder)*PR_Weeks*I314,0)</f>
        <v>0</v>
      </c>
      <c r="AK314" s="1" t="n">
        <f aca="false">AE314+AJ314</f>
        <v>63238.7362410276</v>
      </c>
      <c r="AL314" s="1" t="n">
        <f aca="false">K314/H314</f>
        <v>0</v>
      </c>
      <c r="AM314" s="1" t="n">
        <f aca="false">AK314/H314</f>
        <v>12970.88</v>
      </c>
      <c r="AN314" s="1" t="n">
        <f aca="false">AC314/H314</f>
        <v>0</v>
      </c>
      <c r="AO314" s="1" t="n">
        <f aca="false">AF314/H314</f>
        <v>0</v>
      </c>
      <c r="AP314" s="1" t="n">
        <f aca="false">O314/H314</f>
        <v>0</v>
      </c>
      <c r="AQ314" s="1" t="n">
        <f aca="false">AH314/H314</f>
        <v>0</v>
      </c>
      <c r="AR314" s="1" t="n">
        <f aca="false">AI314/H314</f>
        <v>0</v>
      </c>
      <c r="AS314" s="1" t="n">
        <f aca="false">MAX(0,AL314+AN314+AO314+AM314-AP314)</f>
        <v>12970.88</v>
      </c>
      <c r="AT314" s="1" t="n">
        <f aca="false">MAX(0,AQ314+AR314)</f>
        <v>0</v>
      </c>
      <c r="AU314" s="1" t="n">
        <f aca="false">MIN(PR_PAYE,PR_PAYEcap*(AL314+AN314+AM314))</f>
        <v>2000</v>
      </c>
      <c r="AV314" s="1" t="n">
        <f aca="false">MIN(PR_PAYE,PR_PAYEcap*(AQ314+AR314))</f>
        <v>0</v>
      </c>
      <c r="AW314" s="1" t="n">
        <f aca="false">IF(C314&gt;=PR_AgeCrAge,PR_AgeCr,0)</f>
        <v>245</v>
      </c>
      <c r="AX314" s="1" t="n">
        <f aca="false">IF(AG314&gt;=PR_AgeCrAge,PR_AgeCr,0)</f>
        <v>245</v>
      </c>
      <c r="AY314" s="1" t="n">
        <f aca="false">IF(AND(F_RentCred=1,D314&lt;=PR_RentLast),1,0)</f>
        <v>0</v>
      </c>
      <c r="AZ314" s="1" t="n">
        <f aca="false">AS314+AT314</f>
        <v>12970.88</v>
      </c>
      <c r="BA314" s="1" t="n">
        <f aca="false">PR_PersonalM+AU314+AV314+AW314+AX314+IF(AY314=1,PR_RentJoint,0)</f>
        <v>6490</v>
      </c>
      <c r="BB314" s="1" t="n">
        <f aca="false">PR_BandM+MIN(MIN(AS314,AT314),PR_Uplift)</f>
        <v>53000</v>
      </c>
      <c r="BC314" s="1" t="n">
        <f aca="false">MAX(0,PR_r1*MIN(AZ314,BB314)+PR_r2*MAX(0,AZ314-BB314)-BA314)</f>
        <v>0</v>
      </c>
      <c r="BD314" s="1" t="n">
        <f aca="false">MAX(0,PR_HomeCarer-MAX(0,MIN(AS314,AT314)-PR_HCLimit)/2)</f>
        <v>1950</v>
      </c>
      <c r="BE314" s="1" t="n">
        <f aca="false">IF(F_Carer=1,MIN(BC314,MAX(0,PR_r1*MIN(AZ314,PR_BandM)+PR_r2*MAX(0,AZ314-PR_BandM)-BA314-BD314)),BC314)</f>
        <v>0</v>
      </c>
      <c r="BF314" s="1" t="n">
        <f aca="false">IF(OR(C314&gt;=PR_AgeCrAge,AG314&gt;=PR_AgeCrAge),IF(AZ314&lt;=PR_AgeExM,0,MIN(BE314,PR_AgeMarg*(AZ314-PR_AgeExM))),BE314)</f>
        <v>0</v>
      </c>
      <c r="BG314" s="1" t="n">
        <f aca="false">MAX(0,PR_r1*MIN(AS314,IF(F_Spccc=1,PR_BandSPCCC,PR_Band))+PR_r2*MAX(0,AS314-IF(F_Spccc=1,PR_BandSPCCC,PR_Band))-(PR_Personal+AU314+AW314+IF(F_Spccc=1,PR_SPCCC,0)+IF(AY314=1,PR_Rent,0)))</f>
        <v>0</v>
      </c>
      <c r="BH314" s="1" t="n">
        <f aca="false">IF(C314&gt;=PR_AgeCrAge,IF(AS314&lt;=PR_AgeEx,0,MIN(BG314,PR_AgeMarg*(AS314-PR_AgeEx))),BG314)</f>
        <v>0</v>
      </c>
      <c r="BI314" s="1" t="n">
        <f aca="false">IF(F_Partner=1,MAX(0,PR_r1*MIN(AT314,PR_Band)+PR_r2*MAX(0,AT314-PR_Band)-(PR_Personal+AV314+AX314+IF(AND(AY314=1,AT314&gt;0),PR_Rent,0))),0)</f>
        <v>0</v>
      </c>
      <c r="BJ314" s="1" t="n">
        <f aca="false">IF(AG314&gt;=PR_AgeCrAge,IF(AT314&lt;=PR_AgeEx,0,MIN(BI314,PR_AgeMarg*(AT314-PR_AgeEx))),BI314)</f>
        <v>0</v>
      </c>
      <c r="BK314" s="1" t="n">
        <f aca="false">IF(F_Partner=1,IF(F_Married=1,BF314,BH314+BJ314),BH314)</f>
        <v>0</v>
      </c>
      <c r="BL314" s="1" t="n">
        <f aca="false">AL314+AN314+AO314</f>
        <v>0</v>
      </c>
      <c r="BM314" s="1" t="n">
        <f aca="false">IF(BL314&lt;=PR_USCex,0,IF(IF(AND(C314&gt;=PR_USCredAge,BL314&lt;=PR_USCredMax),1,0)=1,PR_USCr1*MIN(BL314,PR_USCredB1)+PR_USCredR2*MAX(0,BL314-PR_USCredB1),PR_USCr1*MIN(BL314,PR_USCb1)+PR_USCr2*MAX(0,MIN(BL314,PR_USCb2)-PR_USCb1)+PR_USCr3*MAX(0,MIN(BL314,PR_USCb3)-PR_USCb2)+PR_USCr4*MAX(0,BL314-PR_USCb3)))+IF(F_SelfEmp=1,PR_USCse*MAX(0,AL314-PR_USCseOver),0)</f>
        <v>0</v>
      </c>
      <c r="BN314" s="1" t="n">
        <f aca="false">AQ314</f>
        <v>0</v>
      </c>
      <c r="BO314" s="1" t="n">
        <f aca="false">IF(F_Partner=1,IF(BN314&lt;=PR_USCex,0,IF(IF(AND(AG314&gt;=PR_USCredAge,BN314&lt;=PR_USCredMax),1,0)=1,PR_USCr1*MIN(BN314,PR_USCredB1)+PR_USCredR2*MAX(0,BN314-PR_USCredB1),PR_USCr1*MIN(BN314,PR_USCb1)+PR_USCr2*MAX(0,MIN(BN314,PR_USCb2)-PR_USCb1)+PR_USCr3*MAX(0,MIN(BN314,PR_USCb3)-PR_USCb2)+PR_USCr4*MAX(0,BN314-PR_USCb3))),0)</f>
        <v>0</v>
      </c>
      <c r="BP314" s="1" t="n">
        <f aca="false">IF(C314&lt;PR_PRSIend,IF(F_SelfEmp=1,IF(AL314&gt;PR_PRSIsMinInc,MAX(PR_PRSIsMin,AL314*J314),0),IF(AL314/52&lt;=PR_PRSIfree,0,MAX(0,(AL314/52*J314-IF(AL314/52&lt;=PR_PRSIcreditTo,MAX(0,PR_PRSIcreditMax-(AL314/52-(PR_PRSIfree+0.01))/PR_PRSItaper),0))*52)))+J314*AN314+IF(AO314&gt;PR_PRSIunearned,J314*AO314,0),0)</f>
        <v>0</v>
      </c>
      <c r="BQ314" s="1" t="n">
        <f aca="false">IF(AND(F_Partner=1,AG314&lt;PR_PRSIend),IF(AQ314/52&lt;=PR_PRSIfree,0,MAX(0,(AQ314/52*J314-IF(AQ314/52&lt;=PR_PRSIcreditTo,MAX(0,PR_PRSIcreditMax-(AQ314/52-(PR_PRSIfree+0.01))/PR_PRSItaper),0))*52)),0)</f>
        <v>0</v>
      </c>
      <c r="BR314" s="1" t="n">
        <f aca="false">BK314+BM314+BO314+BP314+BQ314</f>
        <v>0</v>
      </c>
      <c r="BS314" s="1" t="n">
        <f aca="false">BR314*H314</f>
        <v>0</v>
      </c>
      <c r="BT314" s="1" t="n">
        <f aca="false">K314+AK314+AC314+AF314+AH314+AI314</f>
        <v>63238.7362410276</v>
      </c>
    </row>
    <row r="315" customFormat="false" ht="15" hidden="false" customHeight="true" outlineLevel="0" collapsed="false">
      <c r="B315" s="1" t="n">
        <v>81</v>
      </c>
      <c r="C315" s="1" t="n">
        <f aca="false">F_Age+B315</f>
        <v>81</v>
      </c>
      <c r="D315" s="1" t="n">
        <f aca="false">AS_Year0+B315</f>
        <v>2108</v>
      </c>
      <c r="E315" s="111" t="n">
        <f aca="false">(1+AS_Infl)^B315</f>
        <v>4.97294793921833</v>
      </c>
      <c r="F315" s="111" t="n">
        <f aca="false">(1+AS_Wage)^B315</f>
        <v>10.9601172731231</v>
      </c>
      <c r="G315" s="1" t="n">
        <f aca="false">IF(C315&lt;F_R,1,0)</f>
        <v>0</v>
      </c>
      <c r="H315" s="111" t="n">
        <f aca="false">IF(AS_Bands="flat",1,E315)</f>
        <v>4.97294793921833</v>
      </c>
      <c r="I315" s="111" t="n">
        <f aca="false">IF(AS_SpGrow="pay",F315,IF(AS_SpGrow="flat",1,E315))</f>
        <v>4.97294793921833</v>
      </c>
      <c r="J315" s="111" t="n">
        <f aca="false">(12*PR_PRSIr0+(PR_PRSIr1-PR_PRSIr0)*MAX(0,MIN(12,D315*12+12-PR_PRSIt1))+(PR_PRSIr2-PR_PRSIr1)*MAX(0,MIN(12,D315*12+12-PR_PRSIt2))+(PR_PRSIr3-PR_PRSIr2)*MAX(0,MIN(12,D315*12+12-PR_PRSIt3)))/12</f>
        <v>0.047</v>
      </c>
      <c r="K315" s="1" t="n">
        <f aca="false">IF(G315=1,F_Income*F315,0)</f>
        <v>0</v>
      </c>
      <c r="L315" s="1" t="n">
        <f aca="false">IF(G315=1,(F_Own+In_penExtra)*12*F315,0)</f>
        <v>0</v>
      </c>
      <c r="M315" s="1" t="n">
        <f aca="false">IF(G315=1,(F_PenM+In_penExtra)*12*F315,0)</f>
        <v>0</v>
      </c>
      <c r="N315" s="112" t="n">
        <f aca="false">IF(C315&lt;PR_RelA1,PR_RelP1,IF(C315&lt;PR_RelA2,PR_RelP2,IF(C315&lt;PR_RelA3,PR_RelP3,IF(C315&lt;PR_RelA4,PR_RelP4,IF(C315&lt;PR_RelA5,PR_RelP5,PR_RelP6)))))</f>
        <v>0.4</v>
      </c>
      <c r="O315" s="1" t="n">
        <f aca="false">IF(G315=1,MIN(L315/H315,N315*MIN(K315/H315,PR_EarnCap))*H315,0)</f>
        <v>0</v>
      </c>
      <c r="P315" s="1" t="n">
        <f aca="false">IF(AND(G315=1,F_AE=1),MIN(K315/H315,PR_AEcap)*H315,0)</f>
        <v>0</v>
      </c>
      <c r="Q315" s="1" t="n">
        <f aca="false">IF(G315=1,IF(WI_Retire=1,MAX(0,M315+WI_M*12),M315)+(PR_AEee+PR_AEer+PR_AEst)*P315,0)</f>
        <v>0</v>
      </c>
      <c r="R315" s="1" t="n">
        <f aca="false">L315+PR_AEee*P315</f>
        <v>0</v>
      </c>
      <c r="S315" s="1" t="n">
        <f aca="false">AD314</f>
        <v>0</v>
      </c>
      <c r="T315" s="1" t="n">
        <f aca="false">IF(D315&lt;=PR_SFTfrom,PR_SFT2026,IF(D315=PR_SFTfrom+1,PR_SFT2027,IF(D315=PR_SFTfrom+2,PR_SFT2028,IF(D315&lt;=PR_SFTto,PR_SFT2029,PR_SFT2029*(1+AS_Infl)^(D315-PR_SFTto)))))</f>
        <v>13383558.4677156</v>
      </c>
      <c r="U315" s="1" t="n">
        <f aca="false">IF(AND(G315=0,C315=F_V),1,0)</f>
        <v>0</v>
      </c>
      <c r="V315" s="1" t="n">
        <f aca="false">IF(U315=1,PR_SFTrate*MAX(0,S315-T315),0)</f>
        <v>0</v>
      </c>
      <c r="W315" s="1" t="n">
        <f aca="false">S315-V315</f>
        <v>0</v>
      </c>
      <c r="X315" s="1" t="n">
        <f aca="false">IF(AND(U315=1,AS_LumpPct&gt;0),W315*MIN(AS_LumpPct,PR_LSmax),0)</f>
        <v>0</v>
      </c>
      <c r="Y315" s="1" t="n">
        <f aca="false">X315-(PR_LSrate*MAX(0,MIN(X315,PR_LScap)-PR_LSfree)+PR_r2*MAX(0,X315-PR_LScap))</f>
        <v>0</v>
      </c>
      <c r="Z315" s="1" t="n">
        <f aca="false">W315-X315</f>
        <v>0</v>
      </c>
      <c r="AA315" s="112" t="n">
        <f aca="false">IF(C315&gt;=PR_ARFage1,IF(Z315&gt;PR_ARFbig,PR_ARFbigRate,IF(C315&gt;=PR_ARFage2,PR_ARF71,PR_ARF61)),0)</f>
        <v>0.05</v>
      </c>
      <c r="AB315" s="1" t="n">
        <f aca="false">IF(AS_DrawRule="min",Z315*AA315,IF(AS_DrawRule="fixed",MAX(AS_DrawFixed*E315,Z315*AA315),Z315*MAX(1/MAX(1,AS_End-C315+1),AA315)))</f>
        <v>0</v>
      </c>
      <c r="AC315" s="1" t="n">
        <f aca="false">IF(AND(G315=0,C315&gt;=F_V),MIN(Z315,AB315),0)</f>
        <v>0</v>
      </c>
      <c r="AD315" s="1" t="n">
        <f aca="false">IF(G315=1,S315*(1+F_PenG)+Q315,IF(C315&lt;F_V,S315*(1+F_PenG),(Z315-AC315)*(1+AS_PenRet)))</f>
        <v>0</v>
      </c>
      <c r="AE315" s="1" t="n">
        <f aca="false">IF(C315&gt;=PR_SPage,AS_SP*F_SpF*I315+IF(AND(C315&gt;=PR_Over80Age,F_SpF&gt;0),PR_Over80*PR_Weeks*I315,0),0)</f>
        <v>64503.5109658482</v>
      </c>
      <c r="AF315" s="1" t="n">
        <f aca="false">(F_OtherM+F_RentM)*12*E315</f>
        <v>0</v>
      </c>
      <c r="AG315" s="1" t="n">
        <f aca="false">F_PAge+B315</f>
        <v>81</v>
      </c>
      <c r="AH315" s="1" t="n">
        <f aca="false">IF(AND(F_Partner=1,F_PAge&gt;0,AG315&lt;IF(F_PRet&gt;0,F_PRet,PR_SPage)),F_PIncome*F315,0)</f>
        <v>0</v>
      </c>
      <c r="AI315" s="1" t="n">
        <f aca="false">IF(AND(F_Partner=1,AG315&gt;=PR_SPage,F_PSpQA=0),AS_SP*F_PSpF*I315,0)</f>
        <v>0</v>
      </c>
      <c r="AJ315" s="1" t="n">
        <f aca="false">IF(AND(F_Partner=1,F_PSpQA=1,C315&gt;=PR_SPage,AH315=0),IF(AG315&gt;=PR_SPage,PR_QA66,PR_QAunder)*PR_Weeks*I315,0)</f>
        <v>0</v>
      </c>
      <c r="AK315" s="1" t="n">
        <f aca="false">AE315+AJ315</f>
        <v>64503.5109658482</v>
      </c>
      <c r="AL315" s="1" t="n">
        <f aca="false">K315/H315</f>
        <v>0</v>
      </c>
      <c r="AM315" s="1" t="n">
        <f aca="false">AK315/H315</f>
        <v>12970.88</v>
      </c>
      <c r="AN315" s="1" t="n">
        <f aca="false">AC315/H315</f>
        <v>0</v>
      </c>
      <c r="AO315" s="1" t="n">
        <f aca="false">AF315/H315</f>
        <v>0</v>
      </c>
      <c r="AP315" s="1" t="n">
        <f aca="false">O315/H315</f>
        <v>0</v>
      </c>
      <c r="AQ315" s="1" t="n">
        <f aca="false">AH315/H315</f>
        <v>0</v>
      </c>
      <c r="AR315" s="1" t="n">
        <f aca="false">AI315/H315</f>
        <v>0</v>
      </c>
      <c r="AS315" s="1" t="n">
        <f aca="false">MAX(0,AL315+AN315+AO315+AM315-AP315)</f>
        <v>12970.88</v>
      </c>
      <c r="AT315" s="1" t="n">
        <f aca="false">MAX(0,AQ315+AR315)</f>
        <v>0</v>
      </c>
      <c r="AU315" s="1" t="n">
        <f aca="false">MIN(PR_PAYE,PR_PAYEcap*(AL315+AN315+AM315))</f>
        <v>2000</v>
      </c>
      <c r="AV315" s="1" t="n">
        <f aca="false">MIN(PR_PAYE,PR_PAYEcap*(AQ315+AR315))</f>
        <v>0</v>
      </c>
      <c r="AW315" s="1" t="n">
        <f aca="false">IF(C315&gt;=PR_AgeCrAge,PR_AgeCr,0)</f>
        <v>245</v>
      </c>
      <c r="AX315" s="1" t="n">
        <f aca="false">IF(AG315&gt;=PR_AgeCrAge,PR_AgeCr,0)</f>
        <v>245</v>
      </c>
      <c r="AY315" s="1" t="n">
        <f aca="false">IF(AND(F_RentCred=1,D315&lt;=PR_RentLast),1,0)</f>
        <v>0</v>
      </c>
      <c r="AZ315" s="1" t="n">
        <f aca="false">AS315+AT315</f>
        <v>12970.88</v>
      </c>
      <c r="BA315" s="1" t="n">
        <f aca="false">PR_PersonalM+AU315+AV315+AW315+AX315+IF(AY315=1,PR_RentJoint,0)</f>
        <v>6490</v>
      </c>
      <c r="BB315" s="1" t="n">
        <f aca="false">PR_BandM+MIN(MIN(AS315,AT315),PR_Uplift)</f>
        <v>53000</v>
      </c>
      <c r="BC315" s="1" t="n">
        <f aca="false">MAX(0,PR_r1*MIN(AZ315,BB315)+PR_r2*MAX(0,AZ315-BB315)-BA315)</f>
        <v>0</v>
      </c>
      <c r="BD315" s="1" t="n">
        <f aca="false">MAX(0,PR_HomeCarer-MAX(0,MIN(AS315,AT315)-PR_HCLimit)/2)</f>
        <v>1950</v>
      </c>
      <c r="BE315" s="1" t="n">
        <f aca="false">IF(F_Carer=1,MIN(BC315,MAX(0,PR_r1*MIN(AZ315,PR_BandM)+PR_r2*MAX(0,AZ315-PR_BandM)-BA315-BD315)),BC315)</f>
        <v>0</v>
      </c>
      <c r="BF315" s="1" t="n">
        <f aca="false">IF(OR(C315&gt;=PR_AgeCrAge,AG315&gt;=PR_AgeCrAge),IF(AZ315&lt;=PR_AgeExM,0,MIN(BE315,PR_AgeMarg*(AZ315-PR_AgeExM))),BE315)</f>
        <v>0</v>
      </c>
      <c r="BG315" s="1" t="n">
        <f aca="false">MAX(0,PR_r1*MIN(AS315,IF(F_Spccc=1,PR_BandSPCCC,PR_Band))+PR_r2*MAX(0,AS315-IF(F_Spccc=1,PR_BandSPCCC,PR_Band))-(PR_Personal+AU315+AW315+IF(F_Spccc=1,PR_SPCCC,0)+IF(AY315=1,PR_Rent,0)))</f>
        <v>0</v>
      </c>
      <c r="BH315" s="1" t="n">
        <f aca="false">IF(C315&gt;=PR_AgeCrAge,IF(AS315&lt;=PR_AgeEx,0,MIN(BG315,PR_AgeMarg*(AS315-PR_AgeEx))),BG315)</f>
        <v>0</v>
      </c>
      <c r="BI315" s="1" t="n">
        <f aca="false">IF(F_Partner=1,MAX(0,PR_r1*MIN(AT315,PR_Band)+PR_r2*MAX(0,AT315-PR_Band)-(PR_Personal+AV315+AX315+IF(AND(AY315=1,AT315&gt;0),PR_Rent,0))),0)</f>
        <v>0</v>
      </c>
      <c r="BJ315" s="1" t="n">
        <f aca="false">IF(AG315&gt;=PR_AgeCrAge,IF(AT315&lt;=PR_AgeEx,0,MIN(BI315,PR_AgeMarg*(AT315-PR_AgeEx))),BI315)</f>
        <v>0</v>
      </c>
      <c r="BK315" s="1" t="n">
        <f aca="false">IF(F_Partner=1,IF(F_Married=1,BF315,BH315+BJ315),BH315)</f>
        <v>0</v>
      </c>
      <c r="BL315" s="1" t="n">
        <f aca="false">AL315+AN315+AO315</f>
        <v>0</v>
      </c>
      <c r="BM315" s="1" t="n">
        <f aca="false">IF(BL315&lt;=PR_USCex,0,IF(IF(AND(C315&gt;=PR_USCredAge,BL315&lt;=PR_USCredMax),1,0)=1,PR_USCr1*MIN(BL315,PR_USCredB1)+PR_USCredR2*MAX(0,BL315-PR_USCredB1),PR_USCr1*MIN(BL315,PR_USCb1)+PR_USCr2*MAX(0,MIN(BL315,PR_USCb2)-PR_USCb1)+PR_USCr3*MAX(0,MIN(BL315,PR_USCb3)-PR_USCb2)+PR_USCr4*MAX(0,BL315-PR_USCb3)))+IF(F_SelfEmp=1,PR_USCse*MAX(0,AL315-PR_USCseOver),0)</f>
        <v>0</v>
      </c>
      <c r="BN315" s="1" t="n">
        <f aca="false">AQ315</f>
        <v>0</v>
      </c>
      <c r="BO315" s="1" t="n">
        <f aca="false">IF(F_Partner=1,IF(BN315&lt;=PR_USCex,0,IF(IF(AND(AG315&gt;=PR_USCredAge,BN315&lt;=PR_USCredMax),1,0)=1,PR_USCr1*MIN(BN315,PR_USCredB1)+PR_USCredR2*MAX(0,BN315-PR_USCredB1),PR_USCr1*MIN(BN315,PR_USCb1)+PR_USCr2*MAX(0,MIN(BN315,PR_USCb2)-PR_USCb1)+PR_USCr3*MAX(0,MIN(BN315,PR_USCb3)-PR_USCb2)+PR_USCr4*MAX(0,BN315-PR_USCb3))),0)</f>
        <v>0</v>
      </c>
      <c r="BP315" s="1" t="n">
        <f aca="false">IF(C315&lt;PR_PRSIend,IF(F_SelfEmp=1,IF(AL315&gt;PR_PRSIsMinInc,MAX(PR_PRSIsMin,AL315*J315),0),IF(AL315/52&lt;=PR_PRSIfree,0,MAX(0,(AL315/52*J315-IF(AL315/52&lt;=PR_PRSIcreditTo,MAX(0,PR_PRSIcreditMax-(AL315/52-(PR_PRSIfree+0.01))/PR_PRSItaper),0))*52)))+J315*AN315+IF(AO315&gt;PR_PRSIunearned,J315*AO315,0),0)</f>
        <v>0</v>
      </c>
      <c r="BQ315" s="1" t="n">
        <f aca="false">IF(AND(F_Partner=1,AG315&lt;PR_PRSIend),IF(AQ315/52&lt;=PR_PRSIfree,0,MAX(0,(AQ315/52*J315-IF(AQ315/52&lt;=PR_PRSIcreditTo,MAX(0,PR_PRSIcreditMax-(AQ315/52-(PR_PRSIfree+0.01))/PR_PRSItaper),0))*52)),0)</f>
        <v>0</v>
      </c>
      <c r="BR315" s="1" t="n">
        <f aca="false">BK315+BM315+BO315+BP315+BQ315</f>
        <v>0</v>
      </c>
      <c r="BS315" s="1" t="n">
        <f aca="false">BR315*H315</f>
        <v>0</v>
      </c>
      <c r="BT315" s="1" t="n">
        <f aca="false">K315+AK315+AC315+AF315+AH315+AI315</f>
        <v>64503.5109658482</v>
      </c>
    </row>
    <row r="316" customFormat="false" ht="15" hidden="false" customHeight="true" outlineLevel="0" collapsed="false">
      <c r="B316" s="1" t="n">
        <v>82</v>
      </c>
      <c r="C316" s="1" t="n">
        <f aca="false">F_Age+B316</f>
        <v>82</v>
      </c>
      <c r="D316" s="1" t="n">
        <f aca="false">AS_Year0+B316</f>
        <v>2109</v>
      </c>
      <c r="E316" s="111" t="n">
        <f aca="false">(1+AS_Infl)^B316</f>
        <v>5.07240689800269</v>
      </c>
      <c r="F316" s="111" t="n">
        <f aca="false">(1+AS_Wage)^B316</f>
        <v>11.2889207913168</v>
      </c>
      <c r="G316" s="1" t="n">
        <f aca="false">IF(C316&lt;F_R,1,0)</f>
        <v>0</v>
      </c>
      <c r="H316" s="111" t="n">
        <f aca="false">IF(AS_Bands="flat",1,E316)</f>
        <v>5.07240689800269</v>
      </c>
      <c r="I316" s="111" t="n">
        <f aca="false">IF(AS_SpGrow="pay",F316,IF(AS_SpGrow="flat",1,E316))</f>
        <v>5.07240689800269</v>
      </c>
      <c r="J316" s="111" t="n">
        <f aca="false">(12*PR_PRSIr0+(PR_PRSIr1-PR_PRSIr0)*MAX(0,MIN(12,D316*12+12-PR_PRSIt1))+(PR_PRSIr2-PR_PRSIr1)*MAX(0,MIN(12,D316*12+12-PR_PRSIt2))+(PR_PRSIr3-PR_PRSIr2)*MAX(0,MIN(12,D316*12+12-PR_PRSIt3)))/12</f>
        <v>0.047</v>
      </c>
      <c r="K316" s="1" t="n">
        <f aca="false">IF(G316=1,F_Income*F316,0)</f>
        <v>0</v>
      </c>
      <c r="L316" s="1" t="n">
        <f aca="false">IF(G316=1,(F_Own+In_penExtra)*12*F316,0)</f>
        <v>0</v>
      </c>
      <c r="M316" s="1" t="n">
        <f aca="false">IF(G316=1,(F_PenM+In_penExtra)*12*F316,0)</f>
        <v>0</v>
      </c>
      <c r="N316" s="112" t="n">
        <f aca="false">IF(C316&lt;PR_RelA1,PR_RelP1,IF(C316&lt;PR_RelA2,PR_RelP2,IF(C316&lt;PR_RelA3,PR_RelP3,IF(C316&lt;PR_RelA4,PR_RelP4,IF(C316&lt;PR_RelA5,PR_RelP5,PR_RelP6)))))</f>
        <v>0.4</v>
      </c>
      <c r="O316" s="1" t="n">
        <f aca="false">IF(G316=1,MIN(L316/H316,N316*MIN(K316/H316,PR_EarnCap))*H316,0)</f>
        <v>0</v>
      </c>
      <c r="P316" s="1" t="n">
        <f aca="false">IF(AND(G316=1,F_AE=1),MIN(K316/H316,PR_AEcap)*H316,0)</f>
        <v>0</v>
      </c>
      <c r="Q316" s="1" t="n">
        <f aca="false">IF(G316=1,IF(WI_Retire=1,MAX(0,M316+WI_M*12),M316)+(PR_AEee+PR_AEer+PR_AEst)*P316,0)</f>
        <v>0</v>
      </c>
      <c r="R316" s="1" t="n">
        <f aca="false">L316+PR_AEee*P316</f>
        <v>0</v>
      </c>
      <c r="S316" s="1" t="n">
        <f aca="false">AD315</f>
        <v>0</v>
      </c>
      <c r="T316" s="1" t="n">
        <f aca="false">IF(D316&lt;=PR_SFTfrom,PR_SFT2026,IF(D316=PR_SFTfrom+1,PR_SFT2027,IF(D316=PR_SFTfrom+2,PR_SFT2028,IF(D316&lt;=PR_SFTto,PR_SFT2029,PR_SFT2029*(1+AS_Infl)^(D316-PR_SFTto)))))</f>
        <v>13651229.6370699</v>
      </c>
      <c r="U316" s="1" t="n">
        <f aca="false">IF(AND(G316=0,C316=F_V),1,0)</f>
        <v>0</v>
      </c>
      <c r="V316" s="1" t="n">
        <f aca="false">IF(U316=1,PR_SFTrate*MAX(0,S316-T316),0)</f>
        <v>0</v>
      </c>
      <c r="W316" s="1" t="n">
        <f aca="false">S316-V316</f>
        <v>0</v>
      </c>
      <c r="X316" s="1" t="n">
        <f aca="false">IF(AND(U316=1,AS_LumpPct&gt;0),W316*MIN(AS_LumpPct,PR_LSmax),0)</f>
        <v>0</v>
      </c>
      <c r="Y316" s="1" t="n">
        <f aca="false">X316-(PR_LSrate*MAX(0,MIN(X316,PR_LScap)-PR_LSfree)+PR_r2*MAX(0,X316-PR_LScap))</f>
        <v>0</v>
      </c>
      <c r="Z316" s="1" t="n">
        <f aca="false">W316-X316</f>
        <v>0</v>
      </c>
      <c r="AA316" s="112" t="n">
        <f aca="false">IF(C316&gt;=PR_ARFage1,IF(Z316&gt;PR_ARFbig,PR_ARFbigRate,IF(C316&gt;=PR_ARFage2,PR_ARF71,PR_ARF61)),0)</f>
        <v>0.05</v>
      </c>
      <c r="AB316" s="1" t="n">
        <f aca="false">IF(AS_DrawRule="min",Z316*AA316,IF(AS_DrawRule="fixed",MAX(AS_DrawFixed*E316,Z316*AA316),Z316*MAX(1/MAX(1,AS_End-C316+1),AA316)))</f>
        <v>0</v>
      </c>
      <c r="AC316" s="1" t="n">
        <f aca="false">IF(AND(G316=0,C316&gt;=F_V),MIN(Z316,AB316),0)</f>
        <v>0</v>
      </c>
      <c r="AD316" s="1" t="n">
        <f aca="false">IF(G316=1,S316*(1+F_PenG)+Q316,IF(C316&lt;F_V,S316*(1+F_PenG),(Z316-AC316)*(1+AS_PenRet)))</f>
        <v>0</v>
      </c>
      <c r="AE316" s="1" t="n">
        <f aca="false">IF(C316&gt;=PR_SPage,AS_SP*F_SpF*I316+IF(AND(C316&gt;=PR_Over80Age,F_SpF&gt;0),PR_Over80*PR_Weeks*I316,0),0)</f>
        <v>65793.5811851652</v>
      </c>
      <c r="AF316" s="1" t="n">
        <f aca="false">(F_OtherM+F_RentM)*12*E316</f>
        <v>0</v>
      </c>
      <c r="AG316" s="1" t="n">
        <f aca="false">F_PAge+B316</f>
        <v>82</v>
      </c>
      <c r="AH316" s="1" t="n">
        <f aca="false">IF(AND(F_Partner=1,F_PAge&gt;0,AG316&lt;IF(F_PRet&gt;0,F_PRet,PR_SPage)),F_PIncome*F316,0)</f>
        <v>0</v>
      </c>
      <c r="AI316" s="1" t="n">
        <f aca="false">IF(AND(F_Partner=1,AG316&gt;=PR_SPage,F_PSpQA=0),AS_SP*F_PSpF*I316,0)</f>
        <v>0</v>
      </c>
      <c r="AJ316" s="1" t="n">
        <f aca="false">IF(AND(F_Partner=1,F_PSpQA=1,C316&gt;=PR_SPage,AH316=0),IF(AG316&gt;=PR_SPage,PR_QA66,PR_QAunder)*PR_Weeks*I316,0)</f>
        <v>0</v>
      </c>
      <c r="AK316" s="1" t="n">
        <f aca="false">AE316+AJ316</f>
        <v>65793.5811851652</v>
      </c>
      <c r="AL316" s="1" t="n">
        <f aca="false">K316/H316</f>
        <v>0</v>
      </c>
      <c r="AM316" s="1" t="n">
        <f aca="false">AK316/H316</f>
        <v>12970.88</v>
      </c>
      <c r="AN316" s="1" t="n">
        <f aca="false">AC316/H316</f>
        <v>0</v>
      </c>
      <c r="AO316" s="1" t="n">
        <f aca="false">AF316/H316</f>
        <v>0</v>
      </c>
      <c r="AP316" s="1" t="n">
        <f aca="false">O316/H316</f>
        <v>0</v>
      </c>
      <c r="AQ316" s="1" t="n">
        <f aca="false">AH316/H316</f>
        <v>0</v>
      </c>
      <c r="AR316" s="1" t="n">
        <f aca="false">AI316/H316</f>
        <v>0</v>
      </c>
      <c r="AS316" s="1" t="n">
        <f aca="false">MAX(0,AL316+AN316+AO316+AM316-AP316)</f>
        <v>12970.88</v>
      </c>
      <c r="AT316" s="1" t="n">
        <f aca="false">MAX(0,AQ316+AR316)</f>
        <v>0</v>
      </c>
      <c r="AU316" s="1" t="n">
        <f aca="false">MIN(PR_PAYE,PR_PAYEcap*(AL316+AN316+AM316))</f>
        <v>2000</v>
      </c>
      <c r="AV316" s="1" t="n">
        <f aca="false">MIN(PR_PAYE,PR_PAYEcap*(AQ316+AR316))</f>
        <v>0</v>
      </c>
      <c r="AW316" s="1" t="n">
        <f aca="false">IF(C316&gt;=PR_AgeCrAge,PR_AgeCr,0)</f>
        <v>245</v>
      </c>
      <c r="AX316" s="1" t="n">
        <f aca="false">IF(AG316&gt;=PR_AgeCrAge,PR_AgeCr,0)</f>
        <v>245</v>
      </c>
      <c r="AY316" s="1" t="n">
        <f aca="false">IF(AND(F_RentCred=1,D316&lt;=PR_RentLast),1,0)</f>
        <v>0</v>
      </c>
      <c r="AZ316" s="1" t="n">
        <f aca="false">AS316+AT316</f>
        <v>12970.88</v>
      </c>
      <c r="BA316" s="1" t="n">
        <f aca="false">PR_PersonalM+AU316+AV316+AW316+AX316+IF(AY316=1,PR_RentJoint,0)</f>
        <v>6490</v>
      </c>
      <c r="BB316" s="1" t="n">
        <f aca="false">PR_BandM+MIN(MIN(AS316,AT316),PR_Uplift)</f>
        <v>53000</v>
      </c>
      <c r="BC316" s="1" t="n">
        <f aca="false">MAX(0,PR_r1*MIN(AZ316,BB316)+PR_r2*MAX(0,AZ316-BB316)-BA316)</f>
        <v>0</v>
      </c>
      <c r="BD316" s="1" t="n">
        <f aca="false">MAX(0,PR_HomeCarer-MAX(0,MIN(AS316,AT316)-PR_HCLimit)/2)</f>
        <v>1950</v>
      </c>
      <c r="BE316" s="1" t="n">
        <f aca="false">IF(F_Carer=1,MIN(BC316,MAX(0,PR_r1*MIN(AZ316,PR_BandM)+PR_r2*MAX(0,AZ316-PR_BandM)-BA316-BD316)),BC316)</f>
        <v>0</v>
      </c>
      <c r="BF316" s="1" t="n">
        <f aca="false">IF(OR(C316&gt;=PR_AgeCrAge,AG316&gt;=PR_AgeCrAge),IF(AZ316&lt;=PR_AgeExM,0,MIN(BE316,PR_AgeMarg*(AZ316-PR_AgeExM))),BE316)</f>
        <v>0</v>
      </c>
      <c r="BG316" s="1" t="n">
        <f aca="false">MAX(0,PR_r1*MIN(AS316,IF(F_Spccc=1,PR_BandSPCCC,PR_Band))+PR_r2*MAX(0,AS316-IF(F_Spccc=1,PR_BandSPCCC,PR_Band))-(PR_Personal+AU316+AW316+IF(F_Spccc=1,PR_SPCCC,0)+IF(AY316=1,PR_Rent,0)))</f>
        <v>0</v>
      </c>
      <c r="BH316" s="1" t="n">
        <f aca="false">IF(C316&gt;=PR_AgeCrAge,IF(AS316&lt;=PR_AgeEx,0,MIN(BG316,PR_AgeMarg*(AS316-PR_AgeEx))),BG316)</f>
        <v>0</v>
      </c>
      <c r="BI316" s="1" t="n">
        <f aca="false">IF(F_Partner=1,MAX(0,PR_r1*MIN(AT316,PR_Band)+PR_r2*MAX(0,AT316-PR_Band)-(PR_Personal+AV316+AX316+IF(AND(AY316=1,AT316&gt;0),PR_Rent,0))),0)</f>
        <v>0</v>
      </c>
      <c r="BJ316" s="1" t="n">
        <f aca="false">IF(AG316&gt;=PR_AgeCrAge,IF(AT316&lt;=PR_AgeEx,0,MIN(BI316,PR_AgeMarg*(AT316-PR_AgeEx))),BI316)</f>
        <v>0</v>
      </c>
      <c r="BK316" s="1" t="n">
        <f aca="false">IF(F_Partner=1,IF(F_Married=1,BF316,BH316+BJ316),BH316)</f>
        <v>0</v>
      </c>
      <c r="BL316" s="1" t="n">
        <f aca="false">AL316+AN316+AO316</f>
        <v>0</v>
      </c>
      <c r="BM316" s="1" t="n">
        <f aca="false">IF(BL316&lt;=PR_USCex,0,IF(IF(AND(C316&gt;=PR_USCredAge,BL316&lt;=PR_USCredMax),1,0)=1,PR_USCr1*MIN(BL316,PR_USCredB1)+PR_USCredR2*MAX(0,BL316-PR_USCredB1),PR_USCr1*MIN(BL316,PR_USCb1)+PR_USCr2*MAX(0,MIN(BL316,PR_USCb2)-PR_USCb1)+PR_USCr3*MAX(0,MIN(BL316,PR_USCb3)-PR_USCb2)+PR_USCr4*MAX(0,BL316-PR_USCb3)))+IF(F_SelfEmp=1,PR_USCse*MAX(0,AL316-PR_USCseOver),0)</f>
        <v>0</v>
      </c>
      <c r="BN316" s="1" t="n">
        <f aca="false">AQ316</f>
        <v>0</v>
      </c>
      <c r="BO316" s="1" t="n">
        <f aca="false">IF(F_Partner=1,IF(BN316&lt;=PR_USCex,0,IF(IF(AND(AG316&gt;=PR_USCredAge,BN316&lt;=PR_USCredMax),1,0)=1,PR_USCr1*MIN(BN316,PR_USCredB1)+PR_USCredR2*MAX(0,BN316-PR_USCredB1),PR_USCr1*MIN(BN316,PR_USCb1)+PR_USCr2*MAX(0,MIN(BN316,PR_USCb2)-PR_USCb1)+PR_USCr3*MAX(0,MIN(BN316,PR_USCb3)-PR_USCb2)+PR_USCr4*MAX(0,BN316-PR_USCb3))),0)</f>
        <v>0</v>
      </c>
      <c r="BP316" s="1" t="n">
        <f aca="false">IF(C316&lt;PR_PRSIend,IF(F_SelfEmp=1,IF(AL316&gt;PR_PRSIsMinInc,MAX(PR_PRSIsMin,AL316*J316),0),IF(AL316/52&lt;=PR_PRSIfree,0,MAX(0,(AL316/52*J316-IF(AL316/52&lt;=PR_PRSIcreditTo,MAX(0,PR_PRSIcreditMax-(AL316/52-(PR_PRSIfree+0.01))/PR_PRSItaper),0))*52)))+J316*AN316+IF(AO316&gt;PR_PRSIunearned,J316*AO316,0),0)</f>
        <v>0</v>
      </c>
      <c r="BQ316" s="1" t="n">
        <f aca="false">IF(AND(F_Partner=1,AG316&lt;PR_PRSIend),IF(AQ316/52&lt;=PR_PRSIfree,0,MAX(0,(AQ316/52*J316-IF(AQ316/52&lt;=PR_PRSIcreditTo,MAX(0,PR_PRSIcreditMax-(AQ316/52-(PR_PRSIfree+0.01))/PR_PRSItaper),0))*52)),0)</f>
        <v>0</v>
      </c>
      <c r="BR316" s="1" t="n">
        <f aca="false">BK316+BM316+BO316+BP316+BQ316</f>
        <v>0</v>
      </c>
      <c r="BS316" s="1" t="n">
        <f aca="false">BR316*H316</f>
        <v>0</v>
      </c>
      <c r="BT316" s="1" t="n">
        <f aca="false">K316+AK316+AC316+AF316+AH316+AI316</f>
        <v>65793.5811851652</v>
      </c>
    </row>
    <row r="317" customFormat="false" ht="15" hidden="false" customHeight="true" outlineLevel="0" collapsed="false">
      <c r="B317" s="1" t="n">
        <v>83</v>
      </c>
      <c r="C317" s="1" t="n">
        <f aca="false">F_Age+B317</f>
        <v>83</v>
      </c>
      <c r="D317" s="1" t="n">
        <f aca="false">AS_Year0+B317</f>
        <v>2110</v>
      </c>
      <c r="E317" s="111" t="n">
        <f aca="false">(1+AS_Infl)^B317</f>
        <v>5.17385503596275</v>
      </c>
      <c r="F317" s="111" t="n">
        <f aca="false">(1+AS_Wage)^B317</f>
        <v>11.6275884150563</v>
      </c>
      <c r="G317" s="1" t="n">
        <f aca="false">IF(C317&lt;F_R,1,0)</f>
        <v>0</v>
      </c>
      <c r="H317" s="111" t="n">
        <f aca="false">IF(AS_Bands="flat",1,E317)</f>
        <v>5.17385503596275</v>
      </c>
      <c r="I317" s="111" t="n">
        <f aca="false">IF(AS_SpGrow="pay",F317,IF(AS_SpGrow="flat",1,E317))</f>
        <v>5.17385503596275</v>
      </c>
      <c r="J317" s="111" t="n">
        <f aca="false">(12*PR_PRSIr0+(PR_PRSIr1-PR_PRSIr0)*MAX(0,MIN(12,D317*12+12-PR_PRSIt1))+(PR_PRSIr2-PR_PRSIr1)*MAX(0,MIN(12,D317*12+12-PR_PRSIt2))+(PR_PRSIr3-PR_PRSIr2)*MAX(0,MIN(12,D317*12+12-PR_PRSIt3)))/12</f>
        <v>0.047</v>
      </c>
      <c r="K317" s="1" t="n">
        <f aca="false">IF(G317=1,F_Income*F317,0)</f>
        <v>0</v>
      </c>
      <c r="L317" s="1" t="n">
        <f aca="false">IF(G317=1,(F_Own+In_penExtra)*12*F317,0)</f>
        <v>0</v>
      </c>
      <c r="M317" s="1" t="n">
        <f aca="false">IF(G317=1,(F_PenM+In_penExtra)*12*F317,0)</f>
        <v>0</v>
      </c>
      <c r="N317" s="112" t="n">
        <f aca="false">IF(C317&lt;PR_RelA1,PR_RelP1,IF(C317&lt;PR_RelA2,PR_RelP2,IF(C317&lt;PR_RelA3,PR_RelP3,IF(C317&lt;PR_RelA4,PR_RelP4,IF(C317&lt;PR_RelA5,PR_RelP5,PR_RelP6)))))</f>
        <v>0.4</v>
      </c>
      <c r="O317" s="1" t="n">
        <f aca="false">IF(G317=1,MIN(L317/H317,N317*MIN(K317/H317,PR_EarnCap))*H317,0)</f>
        <v>0</v>
      </c>
      <c r="P317" s="1" t="n">
        <f aca="false">IF(AND(G317=1,F_AE=1),MIN(K317/H317,PR_AEcap)*H317,0)</f>
        <v>0</v>
      </c>
      <c r="Q317" s="1" t="n">
        <f aca="false">IF(G317=1,IF(WI_Retire=1,MAX(0,M317+WI_M*12),M317)+(PR_AEee+PR_AEer+PR_AEst)*P317,0)</f>
        <v>0</v>
      </c>
      <c r="R317" s="1" t="n">
        <f aca="false">L317+PR_AEee*P317</f>
        <v>0</v>
      </c>
      <c r="S317" s="1" t="n">
        <f aca="false">AD316</f>
        <v>0</v>
      </c>
      <c r="T317" s="1" t="n">
        <f aca="false">IF(D317&lt;=PR_SFTfrom,PR_SFT2026,IF(D317=PR_SFTfrom+1,PR_SFT2027,IF(D317=PR_SFTfrom+2,PR_SFT2028,IF(D317&lt;=PR_SFTto,PR_SFT2029,PR_SFT2029*(1+AS_Infl)^(D317-PR_SFTto)))))</f>
        <v>13924254.2298113</v>
      </c>
      <c r="U317" s="1" t="n">
        <f aca="false">IF(AND(G317=0,C317=F_V),1,0)</f>
        <v>0</v>
      </c>
      <c r="V317" s="1" t="n">
        <f aca="false">IF(U317=1,PR_SFTrate*MAX(0,S317-T317),0)</f>
        <v>0</v>
      </c>
      <c r="W317" s="1" t="n">
        <f aca="false">S317-V317</f>
        <v>0</v>
      </c>
      <c r="X317" s="1" t="n">
        <f aca="false">IF(AND(U317=1,AS_LumpPct&gt;0),W317*MIN(AS_LumpPct,PR_LSmax),0)</f>
        <v>0</v>
      </c>
      <c r="Y317" s="1" t="n">
        <f aca="false">X317-(PR_LSrate*MAX(0,MIN(X317,PR_LScap)-PR_LSfree)+PR_r2*MAX(0,X317-PR_LScap))</f>
        <v>0</v>
      </c>
      <c r="Z317" s="1" t="n">
        <f aca="false">W317-X317</f>
        <v>0</v>
      </c>
      <c r="AA317" s="112" t="n">
        <f aca="false">IF(C317&gt;=PR_ARFage1,IF(Z317&gt;PR_ARFbig,PR_ARFbigRate,IF(C317&gt;=PR_ARFage2,PR_ARF71,PR_ARF61)),0)</f>
        <v>0.05</v>
      </c>
      <c r="AB317" s="1" t="n">
        <f aca="false">IF(AS_DrawRule="min",Z317*AA317,IF(AS_DrawRule="fixed",MAX(AS_DrawFixed*E317,Z317*AA317),Z317*MAX(1/MAX(1,AS_End-C317+1),AA317)))</f>
        <v>0</v>
      </c>
      <c r="AC317" s="1" t="n">
        <f aca="false">IF(AND(G317=0,C317&gt;=F_V),MIN(Z317,AB317),0)</f>
        <v>0</v>
      </c>
      <c r="AD317" s="1" t="n">
        <f aca="false">IF(G317=1,S317*(1+F_PenG)+Q317,IF(C317&lt;F_V,S317*(1+F_PenG),(Z317-AC317)*(1+AS_PenRet)))</f>
        <v>0</v>
      </c>
      <c r="AE317" s="1" t="n">
        <f aca="false">IF(C317&gt;=PR_SPage,AS_SP*F_SpF*I317+IF(AND(C317&gt;=PR_Over80Age,F_SpF&gt;0),PR_Over80*PR_Weeks*I317,0),0)</f>
        <v>67109.4528088685</v>
      </c>
      <c r="AF317" s="1" t="n">
        <f aca="false">(F_OtherM+F_RentM)*12*E317</f>
        <v>0</v>
      </c>
      <c r="AG317" s="1" t="n">
        <f aca="false">F_PAge+B317</f>
        <v>83</v>
      </c>
      <c r="AH317" s="1" t="n">
        <f aca="false">IF(AND(F_Partner=1,F_PAge&gt;0,AG317&lt;IF(F_PRet&gt;0,F_PRet,PR_SPage)),F_PIncome*F317,0)</f>
        <v>0</v>
      </c>
      <c r="AI317" s="1" t="n">
        <f aca="false">IF(AND(F_Partner=1,AG317&gt;=PR_SPage,F_PSpQA=0),AS_SP*F_PSpF*I317,0)</f>
        <v>0</v>
      </c>
      <c r="AJ317" s="1" t="n">
        <f aca="false">IF(AND(F_Partner=1,F_PSpQA=1,C317&gt;=PR_SPage,AH317=0),IF(AG317&gt;=PR_SPage,PR_QA66,PR_QAunder)*PR_Weeks*I317,0)</f>
        <v>0</v>
      </c>
      <c r="AK317" s="1" t="n">
        <f aca="false">AE317+AJ317</f>
        <v>67109.4528088685</v>
      </c>
      <c r="AL317" s="1" t="n">
        <f aca="false">K317/H317</f>
        <v>0</v>
      </c>
      <c r="AM317" s="1" t="n">
        <f aca="false">AK317/H317</f>
        <v>12970.88</v>
      </c>
      <c r="AN317" s="1" t="n">
        <f aca="false">AC317/H317</f>
        <v>0</v>
      </c>
      <c r="AO317" s="1" t="n">
        <f aca="false">AF317/H317</f>
        <v>0</v>
      </c>
      <c r="AP317" s="1" t="n">
        <f aca="false">O317/H317</f>
        <v>0</v>
      </c>
      <c r="AQ317" s="1" t="n">
        <f aca="false">AH317/H317</f>
        <v>0</v>
      </c>
      <c r="AR317" s="1" t="n">
        <f aca="false">AI317/H317</f>
        <v>0</v>
      </c>
      <c r="AS317" s="1" t="n">
        <f aca="false">MAX(0,AL317+AN317+AO317+AM317-AP317)</f>
        <v>12970.88</v>
      </c>
      <c r="AT317" s="1" t="n">
        <f aca="false">MAX(0,AQ317+AR317)</f>
        <v>0</v>
      </c>
      <c r="AU317" s="1" t="n">
        <f aca="false">MIN(PR_PAYE,PR_PAYEcap*(AL317+AN317+AM317))</f>
        <v>2000</v>
      </c>
      <c r="AV317" s="1" t="n">
        <f aca="false">MIN(PR_PAYE,PR_PAYEcap*(AQ317+AR317))</f>
        <v>0</v>
      </c>
      <c r="AW317" s="1" t="n">
        <f aca="false">IF(C317&gt;=PR_AgeCrAge,PR_AgeCr,0)</f>
        <v>245</v>
      </c>
      <c r="AX317" s="1" t="n">
        <f aca="false">IF(AG317&gt;=PR_AgeCrAge,PR_AgeCr,0)</f>
        <v>245</v>
      </c>
      <c r="AY317" s="1" t="n">
        <f aca="false">IF(AND(F_RentCred=1,D317&lt;=PR_RentLast),1,0)</f>
        <v>0</v>
      </c>
      <c r="AZ317" s="1" t="n">
        <f aca="false">AS317+AT317</f>
        <v>12970.88</v>
      </c>
      <c r="BA317" s="1" t="n">
        <f aca="false">PR_PersonalM+AU317+AV317+AW317+AX317+IF(AY317=1,PR_RentJoint,0)</f>
        <v>6490</v>
      </c>
      <c r="BB317" s="1" t="n">
        <f aca="false">PR_BandM+MIN(MIN(AS317,AT317),PR_Uplift)</f>
        <v>53000</v>
      </c>
      <c r="BC317" s="1" t="n">
        <f aca="false">MAX(0,PR_r1*MIN(AZ317,BB317)+PR_r2*MAX(0,AZ317-BB317)-BA317)</f>
        <v>0</v>
      </c>
      <c r="BD317" s="1" t="n">
        <f aca="false">MAX(0,PR_HomeCarer-MAX(0,MIN(AS317,AT317)-PR_HCLimit)/2)</f>
        <v>1950</v>
      </c>
      <c r="BE317" s="1" t="n">
        <f aca="false">IF(F_Carer=1,MIN(BC317,MAX(0,PR_r1*MIN(AZ317,PR_BandM)+PR_r2*MAX(0,AZ317-PR_BandM)-BA317-BD317)),BC317)</f>
        <v>0</v>
      </c>
      <c r="BF317" s="1" t="n">
        <f aca="false">IF(OR(C317&gt;=PR_AgeCrAge,AG317&gt;=PR_AgeCrAge),IF(AZ317&lt;=PR_AgeExM,0,MIN(BE317,PR_AgeMarg*(AZ317-PR_AgeExM))),BE317)</f>
        <v>0</v>
      </c>
      <c r="BG317" s="1" t="n">
        <f aca="false">MAX(0,PR_r1*MIN(AS317,IF(F_Spccc=1,PR_BandSPCCC,PR_Band))+PR_r2*MAX(0,AS317-IF(F_Spccc=1,PR_BandSPCCC,PR_Band))-(PR_Personal+AU317+AW317+IF(F_Spccc=1,PR_SPCCC,0)+IF(AY317=1,PR_Rent,0)))</f>
        <v>0</v>
      </c>
      <c r="BH317" s="1" t="n">
        <f aca="false">IF(C317&gt;=PR_AgeCrAge,IF(AS317&lt;=PR_AgeEx,0,MIN(BG317,PR_AgeMarg*(AS317-PR_AgeEx))),BG317)</f>
        <v>0</v>
      </c>
      <c r="BI317" s="1" t="n">
        <f aca="false">IF(F_Partner=1,MAX(0,PR_r1*MIN(AT317,PR_Band)+PR_r2*MAX(0,AT317-PR_Band)-(PR_Personal+AV317+AX317+IF(AND(AY317=1,AT317&gt;0),PR_Rent,0))),0)</f>
        <v>0</v>
      </c>
      <c r="BJ317" s="1" t="n">
        <f aca="false">IF(AG317&gt;=PR_AgeCrAge,IF(AT317&lt;=PR_AgeEx,0,MIN(BI317,PR_AgeMarg*(AT317-PR_AgeEx))),BI317)</f>
        <v>0</v>
      </c>
      <c r="BK317" s="1" t="n">
        <f aca="false">IF(F_Partner=1,IF(F_Married=1,BF317,BH317+BJ317),BH317)</f>
        <v>0</v>
      </c>
      <c r="BL317" s="1" t="n">
        <f aca="false">AL317+AN317+AO317</f>
        <v>0</v>
      </c>
      <c r="BM317" s="1" t="n">
        <f aca="false">IF(BL317&lt;=PR_USCex,0,IF(IF(AND(C317&gt;=PR_USCredAge,BL317&lt;=PR_USCredMax),1,0)=1,PR_USCr1*MIN(BL317,PR_USCredB1)+PR_USCredR2*MAX(0,BL317-PR_USCredB1),PR_USCr1*MIN(BL317,PR_USCb1)+PR_USCr2*MAX(0,MIN(BL317,PR_USCb2)-PR_USCb1)+PR_USCr3*MAX(0,MIN(BL317,PR_USCb3)-PR_USCb2)+PR_USCr4*MAX(0,BL317-PR_USCb3)))+IF(F_SelfEmp=1,PR_USCse*MAX(0,AL317-PR_USCseOver),0)</f>
        <v>0</v>
      </c>
      <c r="BN317" s="1" t="n">
        <f aca="false">AQ317</f>
        <v>0</v>
      </c>
      <c r="BO317" s="1" t="n">
        <f aca="false">IF(F_Partner=1,IF(BN317&lt;=PR_USCex,0,IF(IF(AND(AG317&gt;=PR_USCredAge,BN317&lt;=PR_USCredMax),1,0)=1,PR_USCr1*MIN(BN317,PR_USCredB1)+PR_USCredR2*MAX(0,BN317-PR_USCredB1),PR_USCr1*MIN(BN317,PR_USCb1)+PR_USCr2*MAX(0,MIN(BN317,PR_USCb2)-PR_USCb1)+PR_USCr3*MAX(0,MIN(BN317,PR_USCb3)-PR_USCb2)+PR_USCr4*MAX(0,BN317-PR_USCb3))),0)</f>
        <v>0</v>
      </c>
      <c r="BP317" s="1" t="n">
        <f aca="false">IF(C317&lt;PR_PRSIend,IF(F_SelfEmp=1,IF(AL317&gt;PR_PRSIsMinInc,MAX(PR_PRSIsMin,AL317*J317),0),IF(AL317/52&lt;=PR_PRSIfree,0,MAX(0,(AL317/52*J317-IF(AL317/52&lt;=PR_PRSIcreditTo,MAX(0,PR_PRSIcreditMax-(AL317/52-(PR_PRSIfree+0.01))/PR_PRSItaper),0))*52)))+J317*AN317+IF(AO317&gt;PR_PRSIunearned,J317*AO317,0),0)</f>
        <v>0</v>
      </c>
      <c r="BQ317" s="1" t="n">
        <f aca="false">IF(AND(F_Partner=1,AG317&lt;PR_PRSIend),IF(AQ317/52&lt;=PR_PRSIfree,0,MAX(0,(AQ317/52*J317-IF(AQ317/52&lt;=PR_PRSIcreditTo,MAX(0,PR_PRSIcreditMax-(AQ317/52-(PR_PRSIfree+0.01))/PR_PRSItaper),0))*52)),0)</f>
        <v>0</v>
      </c>
      <c r="BR317" s="1" t="n">
        <f aca="false">BK317+BM317+BO317+BP317+BQ317</f>
        <v>0</v>
      </c>
      <c r="BS317" s="1" t="n">
        <f aca="false">BR317*H317</f>
        <v>0</v>
      </c>
      <c r="BT317" s="1" t="n">
        <f aca="false">K317+AK317+AC317+AF317+AH317+AI317</f>
        <v>67109.4528088685</v>
      </c>
    </row>
    <row r="318" customFormat="false" ht="15" hidden="false" customHeight="true" outlineLevel="0" collapsed="false">
      <c r="B318" s="1" t="n">
        <v>84</v>
      </c>
      <c r="C318" s="1" t="n">
        <f aca="false">F_Age+B318</f>
        <v>84</v>
      </c>
      <c r="D318" s="1" t="n">
        <f aca="false">AS_Year0+B318</f>
        <v>2111</v>
      </c>
      <c r="E318" s="111" t="n">
        <f aca="false">(1+AS_Infl)^B318</f>
        <v>5.277332136682</v>
      </c>
      <c r="F318" s="111" t="n">
        <f aca="false">(1+AS_Wage)^B318</f>
        <v>11.976416067508</v>
      </c>
      <c r="G318" s="1" t="n">
        <f aca="false">IF(C318&lt;F_R,1,0)</f>
        <v>0</v>
      </c>
      <c r="H318" s="111" t="n">
        <f aca="false">IF(AS_Bands="flat",1,E318)</f>
        <v>5.277332136682</v>
      </c>
      <c r="I318" s="111" t="n">
        <f aca="false">IF(AS_SpGrow="pay",F318,IF(AS_SpGrow="flat",1,E318))</f>
        <v>5.277332136682</v>
      </c>
      <c r="J318" s="111" t="n">
        <f aca="false">(12*PR_PRSIr0+(PR_PRSIr1-PR_PRSIr0)*MAX(0,MIN(12,D318*12+12-PR_PRSIt1))+(PR_PRSIr2-PR_PRSIr1)*MAX(0,MIN(12,D318*12+12-PR_PRSIt2))+(PR_PRSIr3-PR_PRSIr2)*MAX(0,MIN(12,D318*12+12-PR_PRSIt3)))/12</f>
        <v>0.047</v>
      </c>
      <c r="K318" s="1" t="n">
        <f aca="false">IF(G318=1,F_Income*F318,0)</f>
        <v>0</v>
      </c>
      <c r="L318" s="1" t="n">
        <f aca="false">IF(G318=1,(F_Own+In_penExtra)*12*F318,0)</f>
        <v>0</v>
      </c>
      <c r="M318" s="1" t="n">
        <f aca="false">IF(G318=1,(F_PenM+In_penExtra)*12*F318,0)</f>
        <v>0</v>
      </c>
      <c r="N318" s="112" t="n">
        <f aca="false">IF(C318&lt;PR_RelA1,PR_RelP1,IF(C318&lt;PR_RelA2,PR_RelP2,IF(C318&lt;PR_RelA3,PR_RelP3,IF(C318&lt;PR_RelA4,PR_RelP4,IF(C318&lt;PR_RelA5,PR_RelP5,PR_RelP6)))))</f>
        <v>0.4</v>
      </c>
      <c r="O318" s="1" t="n">
        <f aca="false">IF(G318=1,MIN(L318/H318,N318*MIN(K318/H318,PR_EarnCap))*H318,0)</f>
        <v>0</v>
      </c>
      <c r="P318" s="1" t="n">
        <f aca="false">IF(AND(G318=1,F_AE=1),MIN(K318/H318,PR_AEcap)*H318,0)</f>
        <v>0</v>
      </c>
      <c r="Q318" s="1" t="n">
        <f aca="false">IF(G318=1,IF(WI_Retire=1,MAX(0,M318+WI_M*12),M318)+(PR_AEee+PR_AEer+PR_AEst)*P318,0)</f>
        <v>0</v>
      </c>
      <c r="R318" s="1" t="n">
        <f aca="false">L318+PR_AEee*P318</f>
        <v>0</v>
      </c>
      <c r="S318" s="1" t="n">
        <f aca="false">AD317</f>
        <v>0</v>
      </c>
      <c r="T318" s="1" t="n">
        <f aca="false">IF(D318&lt;=PR_SFTfrom,PR_SFT2026,IF(D318=PR_SFTfrom+1,PR_SFT2027,IF(D318=PR_SFTfrom+2,PR_SFT2028,IF(D318&lt;=PR_SFTto,PR_SFT2029,PR_SFT2029*(1+AS_Infl)^(D318-PR_SFTto)))))</f>
        <v>14202739.3144075</v>
      </c>
      <c r="U318" s="1" t="n">
        <f aca="false">IF(AND(G318=0,C318=F_V),1,0)</f>
        <v>0</v>
      </c>
      <c r="V318" s="1" t="n">
        <f aca="false">IF(U318=1,PR_SFTrate*MAX(0,S318-T318),0)</f>
        <v>0</v>
      </c>
      <c r="W318" s="1" t="n">
        <f aca="false">S318-V318</f>
        <v>0</v>
      </c>
      <c r="X318" s="1" t="n">
        <f aca="false">IF(AND(U318=1,AS_LumpPct&gt;0),W318*MIN(AS_LumpPct,PR_LSmax),0)</f>
        <v>0</v>
      </c>
      <c r="Y318" s="1" t="n">
        <f aca="false">X318-(PR_LSrate*MAX(0,MIN(X318,PR_LScap)-PR_LSfree)+PR_r2*MAX(0,X318-PR_LScap))</f>
        <v>0</v>
      </c>
      <c r="Z318" s="1" t="n">
        <f aca="false">W318-X318</f>
        <v>0</v>
      </c>
      <c r="AA318" s="112" t="n">
        <f aca="false">IF(C318&gt;=PR_ARFage1,IF(Z318&gt;PR_ARFbig,PR_ARFbigRate,IF(C318&gt;=PR_ARFage2,PR_ARF71,PR_ARF61)),0)</f>
        <v>0.05</v>
      </c>
      <c r="AB318" s="1" t="n">
        <f aca="false">IF(AS_DrawRule="min",Z318*AA318,IF(AS_DrawRule="fixed",MAX(AS_DrawFixed*E318,Z318*AA318),Z318*MAX(1/MAX(1,AS_End-C318+1),AA318)))</f>
        <v>0</v>
      </c>
      <c r="AC318" s="1" t="n">
        <f aca="false">IF(AND(G318=0,C318&gt;=F_V),MIN(Z318,AB318),0)</f>
        <v>0</v>
      </c>
      <c r="AD318" s="1" t="n">
        <f aca="false">IF(G318=1,S318*(1+F_PenG)+Q318,IF(C318&lt;F_V,S318*(1+F_PenG),(Z318-AC318)*(1+AS_PenRet)))</f>
        <v>0</v>
      </c>
      <c r="AE318" s="1" t="n">
        <f aca="false">IF(C318&gt;=PR_SPage,AS_SP*F_SpF*I318+IF(AND(C318&gt;=PR_Over80Age,F_SpF&gt;0),PR_Over80*PR_Weeks*I318,0),0)</f>
        <v>68451.6418650458</v>
      </c>
      <c r="AF318" s="1" t="n">
        <f aca="false">(F_OtherM+F_RentM)*12*E318</f>
        <v>0</v>
      </c>
      <c r="AG318" s="1" t="n">
        <f aca="false">F_PAge+B318</f>
        <v>84</v>
      </c>
      <c r="AH318" s="1" t="n">
        <f aca="false">IF(AND(F_Partner=1,F_PAge&gt;0,AG318&lt;IF(F_PRet&gt;0,F_PRet,PR_SPage)),F_PIncome*F318,0)</f>
        <v>0</v>
      </c>
      <c r="AI318" s="1" t="n">
        <f aca="false">IF(AND(F_Partner=1,AG318&gt;=PR_SPage,F_PSpQA=0),AS_SP*F_PSpF*I318,0)</f>
        <v>0</v>
      </c>
      <c r="AJ318" s="1" t="n">
        <f aca="false">IF(AND(F_Partner=1,F_PSpQA=1,C318&gt;=PR_SPage,AH318=0),IF(AG318&gt;=PR_SPage,PR_QA66,PR_QAunder)*PR_Weeks*I318,0)</f>
        <v>0</v>
      </c>
      <c r="AK318" s="1" t="n">
        <f aca="false">AE318+AJ318</f>
        <v>68451.6418650458</v>
      </c>
      <c r="AL318" s="1" t="n">
        <f aca="false">K318/H318</f>
        <v>0</v>
      </c>
      <c r="AM318" s="1" t="n">
        <f aca="false">AK318/H318</f>
        <v>12970.88</v>
      </c>
      <c r="AN318" s="1" t="n">
        <f aca="false">AC318/H318</f>
        <v>0</v>
      </c>
      <c r="AO318" s="1" t="n">
        <f aca="false">AF318/H318</f>
        <v>0</v>
      </c>
      <c r="AP318" s="1" t="n">
        <f aca="false">O318/H318</f>
        <v>0</v>
      </c>
      <c r="AQ318" s="1" t="n">
        <f aca="false">AH318/H318</f>
        <v>0</v>
      </c>
      <c r="AR318" s="1" t="n">
        <f aca="false">AI318/H318</f>
        <v>0</v>
      </c>
      <c r="AS318" s="1" t="n">
        <f aca="false">MAX(0,AL318+AN318+AO318+AM318-AP318)</f>
        <v>12970.88</v>
      </c>
      <c r="AT318" s="1" t="n">
        <f aca="false">MAX(0,AQ318+AR318)</f>
        <v>0</v>
      </c>
      <c r="AU318" s="1" t="n">
        <f aca="false">MIN(PR_PAYE,PR_PAYEcap*(AL318+AN318+AM318))</f>
        <v>2000</v>
      </c>
      <c r="AV318" s="1" t="n">
        <f aca="false">MIN(PR_PAYE,PR_PAYEcap*(AQ318+AR318))</f>
        <v>0</v>
      </c>
      <c r="AW318" s="1" t="n">
        <f aca="false">IF(C318&gt;=PR_AgeCrAge,PR_AgeCr,0)</f>
        <v>245</v>
      </c>
      <c r="AX318" s="1" t="n">
        <f aca="false">IF(AG318&gt;=PR_AgeCrAge,PR_AgeCr,0)</f>
        <v>245</v>
      </c>
      <c r="AY318" s="1" t="n">
        <f aca="false">IF(AND(F_RentCred=1,D318&lt;=PR_RentLast),1,0)</f>
        <v>0</v>
      </c>
      <c r="AZ318" s="1" t="n">
        <f aca="false">AS318+AT318</f>
        <v>12970.88</v>
      </c>
      <c r="BA318" s="1" t="n">
        <f aca="false">PR_PersonalM+AU318+AV318+AW318+AX318+IF(AY318=1,PR_RentJoint,0)</f>
        <v>6490</v>
      </c>
      <c r="BB318" s="1" t="n">
        <f aca="false">PR_BandM+MIN(MIN(AS318,AT318),PR_Uplift)</f>
        <v>53000</v>
      </c>
      <c r="BC318" s="1" t="n">
        <f aca="false">MAX(0,PR_r1*MIN(AZ318,BB318)+PR_r2*MAX(0,AZ318-BB318)-BA318)</f>
        <v>0</v>
      </c>
      <c r="BD318" s="1" t="n">
        <f aca="false">MAX(0,PR_HomeCarer-MAX(0,MIN(AS318,AT318)-PR_HCLimit)/2)</f>
        <v>1950</v>
      </c>
      <c r="BE318" s="1" t="n">
        <f aca="false">IF(F_Carer=1,MIN(BC318,MAX(0,PR_r1*MIN(AZ318,PR_BandM)+PR_r2*MAX(0,AZ318-PR_BandM)-BA318-BD318)),BC318)</f>
        <v>0</v>
      </c>
      <c r="BF318" s="1" t="n">
        <f aca="false">IF(OR(C318&gt;=PR_AgeCrAge,AG318&gt;=PR_AgeCrAge),IF(AZ318&lt;=PR_AgeExM,0,MIN(BE318,PR_AgeMarg*(AZ318-PR_AgeExM))),BE318)</f>
        <v>0</v>
      </c>
      <c r="BG318" s="1" t="n">
        <f aca="false">MAX(0,PR_r1*MIN(AS318,IF(F_Spccc=1,PR_BandSPCCC,PR_Band))+PR_r2*MAX(0,AS318-IF(F_Spccc=1,PR_BandSPCCC,PR_Band))-(PR_Personal+AU318+AW318+IF(F_Spccc=1,PR_SPCCC,0)+IF(AY318=1,PR_Rent,0)))</f>
        <v>0</v>
      </c>
      <c r="BH318" s="1" t="n">
        <f aca="false">IF(C318&gt;=PR_AgeCrAge,IF(AS318&lt;=PR_AgeEx,0,MIN(BG318,PR_AgeMarg*(AS318-PR_AgeEx))),BG318)</f>
        <v>0</v>
      </c>
      <c r="BI318" s="1" t="n">
        <f aca="false">IF(F_Partner=1,MAX(0,PR_r1*MIN(AT318,PR_Band)+PR_r2*MAX(0,AT318-PR_Band)-(PR_Personal+AV318+AX318+IF(AND(AY318=1,AT318&gt;0),PR_Rent,0))),0)</f>
        <v>0</v>
      </c>
      <c r="BJ318" s="1" t="n">
        <f aca="false">IF(AG318&gt;=PR_AgeCrAge,IF(AT318&lt;=PR_AgeEx,0,MIN(BI318,PR_AgeMarg*(AT318-PR_AgeEx))),BI318)</f>
        <v>0</v>
      </c>
      <c r="BK318" s="1" t="n">
        <f aca="false">IF(F_Partner=1,IF(F_Married=1,BF318,BH318+BJ318),BH318)</f>
        <v>0</v>
      </c>
      <c r="BL318" s="1" t="n">
        <f aca="false">AL318+AN318+AO318</f>
        <v>0</v>
      </c>
      <c r="BM318" s="1" t="n">
        <f aca="false">IF(BL318&lt;=PR_USCex,0,IF(IF(AND(C318&gt;=PR_USCredAge,BL318&lt;=PR_USCredMax),1,0)=1,PR_USCr1*MIN(BL318,PR_USCredB1)+PR_USCredR2*MAX(0,BL318-PR_USCredB1),PR_USCr1*MIN(BL318,PR_USCb1)+PR_USCr2*MAX(0,MIN(BL318,PR_USCb2)-PR_USCb1)+PR_USCr3*MAX(0,MIN(BL318,PR_USCb3)-PR_USCb2)+PR_USCr4*MAX(0,BL318-PR_USCb3)))+IF(F_SelfEmp=1,PR_USCse*MAX(0,AL318-PR_USCseOver),0)</f>
        <v>0</v>
      </c>
      <c r="BN318" s="1" t="n">
        <f aca="false">AQ318</f>
        <v>0</v>
      </c>
      <c r="BO318" s="1" t="n">
        <f aca="false">IF(F_Partner=1,IF(BN318&lt;=PR_USCex,0,IF(IF(AND(AG318&gt;=PR_USCredAge,BN318&lt;=PR_USCredMax),1,0)=1,PR_USCr1*MIN(BN318,PR_USCredB1)+PR_USCredR2*MAX(0,BN318-PR_USCredB1),PR_USCr1*MIN(BN318,PR_USCb1)+PR_USCr2*MAX(0,MIN(BN318,PR_USCb2)-PR_USCb1)+PR_USCr3*MAX(0,MIN(BN318,PR_USCb3)-PR_USCb2)+PR_USCr4*MAX(0,BN318-PR_USCb3))),0)</f>
        <v>0</v>
      </c>
      <c r="BP318" s="1" t="n">
        <f aca="false">IF(C318&lt;PR_PRSIend,IF(F_SelfEmp=1,IF(AL318&gt;PR_PRSIsMinInc,MAX(PR_PRSIsMin,AL318*J318),0),IF(AL318/52&lt;=PR_PRSIfree,0,MAX(0,(AL318/52*J318-IF(AL318/52&lt;=PR_PRSIcreditTo,MAX(0,PR_PRSIcreditMax-(AL318/52-(PR_PRSIfree+0.01))/PR_PRSItaper),0))*52)))+J318*AN318+IF(AO318&gt;PR_PRSIunearned,J318*AO318,0),0)</f>
        <v>0</v>
      </c>
      <c r="BQ318" s="1" t="n">
        <f aca="false">IF(AND(F_Partner=1,AG318&lt;PR_PRSIend),IF(AQ318/52&lt;=PR_PRSIfree,0,MAX(0,(AQ318/52*J318-IF(AQ318/52&lt;=PR_PRSIcreditTo,MAX(0,PR_PRSIcreditMax-(AQ318/52-(PR_PRSIfree+0.01))/PR_PRSItaper),0))*52)),0)</f>
        <v>0</v>
      </c>
      <c r="BR318" s="1" t="n">
        <f aca="false">BK318+BM318+BO318+BP318+BQ318</f>
        <v>0</v>
      </c>
      <c r="BS318" s="1" t="n">
        <f aca="false">BR318*H318</f>
        <v>0</v>
      </c>
      <c r="BT318" s="1" t="n">
        <f aca="false">K318+AK318+AC318+AF318+AH318+AI318</f>
        <v>68451.6418650458</v>
      </c>
    </row>
    <row r="319" customFormat="false" ht="15" hidden="false" customHeight="true" outlineLevel="0" collapsed="false">
      <c r="B319" s="1" t="n">
        <v>85</v>
      </c>
      <c r="C319" s="1" t="n">
        <f aca="false">F_Age+B319</f>
        <v>85</v>
      </c>
      <c r="D319" s="1" t="n">
        <f aca="false">AS_Year0+B319</f>
        <v>2112</v>
      </c>
      <c r="E319" s="111" t="n">
        <f aca="false">(1+AS_Infl)^B319</f>
        <v>5.38287877941564</v>
      </c>
      <c r="F319" s="111" t="n">
        <f aca="false">(1+AS_Wage)^B319</f>
        <v>12.3357085495333</v>
      </c>
      <c r="G319" s="1" t="n">
        <f aca="false">IF(C319&lt;F_R,1,0)</f>
        <v>0</v>
      </c>
      <c r="H319" s="111" t="n">
        <f aca="false">IF(AS_Bands="flat",1,E319)</f>
        <v>5.38287877941564</v>
      </c>
      <c r="I319" s="111" t="n">
        <f aca="false">IF(AS_SpGrow="pay",F319,IF(AS_SpGrow="flat",1,E319))</f>
        <v>5.38287877941564</v>
      </c>
      <c r="J319" s="111" t="n">
        <f aca="false">(12*PR_PRSIr0+(PR_PRSIr1-PR_PRSIr0)*MAX(0,MIN(12,D319*12+12-PR_PRSIt1))+(PR_PRSIr2-PR_PRSIr1)*MAX(0,MIN(12,D319*12+12-PR_PRSIt2))+(PR_PRSIr3-PR_PRSIr2)*MAX(0,MIN(12,D319*12+12-PR_PRSIt3)))/12</f>
        <v>0.047</v>
      </c>
      <c r="K319" s="1" t="n">
        <f aca="false">IF(G319=1,F_Income*F319,0)</f>
        <v>0</v>
      </c>
      <c r="L319" s="1" t="n">
        <f aca="false">IF(G319=1,(F_Own+In_penExtra)*12*F319,0)</f>
        <v>0</v>
      </c>
      <c r="M319" s="1" t="n">
        <f aca="false">IF(G319=1,(F_PenM+In_penExtra)*12*F319,0)</f>
        <v>0</v>
      </c>
      <c r="N319" s="112" t="n">
        <f aca="false">IF(C319&lt;PR_RelA1,PR_RelP1,IF(C319&lt;PR_RelA2,PR_RelP2,IF(C319&lt;PR_RelA3,PR_RelP3,IF(C319&lt;PR_RelA4,PR_RelP4,IF(C319&lt;PR_RelA5,PR_RelP5,PR_RelP6)))))</f>
        <v>0.4</v>
      </c>
      <c r="O319" s="1" t="n">
        <f aca="false">IF(G319=1,MIN(L319/H319,N319*MIN(K319/H319,PR_EarnCap))*H319,0)</f>
        <v>0</v>
      </c>
      <c r="P319" s="1" t="n">
        <f aca="false">IF(AND(G319=1,F_AE=1),MIN(K319/H319,PR_AEcap)*H319,0)</f>
        <v>0</v>
      </c>
      <c r="Q319" s="1" t="n">
        <f aca="false">IF(G319=1,IF(WI_Retire=1,MAX(0,M319+WI_M*12),M319)+(PR_AEee+PR_AEer+PR_AEst)*P319,0)</f>
        <v>0</v>
      </c>
      <c r="R319" s="1" t="n">
        <f aca="false">L319+PR_AEee*P319</f>
        <v>0</v>
      </c>
      <c r="S319" s="1" t="n">
        <f aca="false">AD318</f>
        <v>0</v>
      </c>
      <c r="T319" s="1" t="n">
        <f aca="false">IF(D319&lt;=PR_SFTfrom,PR_SFT2026,IF(D319=PR_SFTfrom+1,PR_SFT2027,IF(D319=PR_SFTfrom+2,PR_SFT2028,IF(D319&lt;=PR_SFTto,PR_SFT2029,PR_SFT2029*(1+AS_Infl)^(D319-PR_SFTto)))))</f>
        <v>14486794.1006957</v>
      </c>
      <c r="U319" s="1" t="n">
        <f aca="false">IF(AND(G319=0,C319=F_V),1,0)</f>
        <v>0</v>
      </c>
      <c r="V319" s="1" t="n">
        <f aca="false">IF(U319=1,PR_SFTrate*MAX(0,S319-T319),0)</f>
        <v>0</v>
      </c>
      <c r="W319" s="1" t="n">
        <f aca="false">S319-V319</f>
        <v>0</v>
      </c>
      <c r="X319" s="1" t="n">
        <f aca="false">IF(AND(U319=1,AS_LumpPct&gt;0),W319*MIN(AS_LumpPct,PR_LSmax),0)</f>
        <v>0</v>
      </c>
      <c r="Y319" s="1" t="n">
        <f aca="false">X319-(PR_LSrate*MAX(0,MIN(X319,PR_LScap)-PR_LSfree)+PR_r2*MAX(0,X319-PR_LScap))</f>
        <v>0</v>
      </c>
      <c r="Z319" s="1" t="n">
        <f aca="false">W319-X319</f>
        <v>0</v>
      </c>
      <c r="AA319" s="112" t="n">
        <f aca="false">IF(C319&gt;=PR_ARFage1,IF(Z319&gt;PR_ARFbig,PR_ARFbigRate,IF(C319&gt;=PR_ARFage2,PR_ARF71,PR_ARF61)),0)</f>
        <v>0.05</v>
      </c>
      <c r="AB319" s="1" t="n">
        <f aca="false">IF(AS_DrawRule="min",Z319*AA319,IF(AS_DrawRule="fixed",MAX(AS_DrawFixed*E319,Z319*AA319),Z319*MAX(1/MAX(1,AS_End-C319+1),AA319)))</f>
        <v>0</v>
      </c>
      <c r="AC319" s="1" t="n">
        <f aca="false">IF(AND(G319=0,C319&gt;=F_V),MIN(Z319,AB319),0)</f>
        <v>0</v>
      </c>
      <c r="AD319" s="1" t="n">
        <f aca="false">IF(G319=1,S319*(1+F_PenG)+Q319,IF(C319&lt;F_V,S319*(1+F_PenG),(Z319-AC319)*(1+AS_PenRet)))</f>
        <v>0</v>
      </c>
      <c r="AE319" s="1" t="n">
        <f aca="false">IF(C319&gt;=PR_SPage,AS_SP*F_SpF*I319+IF(AND(C319&gt;=PR_Over80Age,F_SpF&gt;0),PR_Over80*PR_Weeks*I319,0),0)</f>
        <v>69820.6747023468</v>
      </c>
      <c r="AF319" s="1" t="n">
        <f aca="false">(F_OtherM+F_RentM)*12*E319</f>
        <v>0</v>
      </c>
      <c r="AG319" s="1" t="n">
        <f aca="false">F_PAge+B319</f>
        <v>85</v>
      </c>
      <c r="AH319" s="1" t="n">
        <f aca="false">IF(AND(F_Partner=1,F_PAge&gt;0,AG319&lt;IF(F_PRet&gt;0,F_PRet,PR_SPage)),F_PIncome*F319,0)</f>
        <v>0</v>
      </c>
      <c r="AI319" s="1" t="n">
        <f aca="false">IF(AND(F_Partner=1,AG319&gt;=PR_SPage,F_PSpQA=0),AS_SP*F_PSpF*I319,0)</f>
        <v>0</v>
      </c>
      <c r="AJ319" s="1" t="n">
        <f aca="false">IF(AND(F_Partner=1,F_PSpQA=1,C319&gt;=PR_SPage,AH319=0),IF(AG319&gt;=PR_SPage,PR_QA66,PR_QAunder)*PR_Weeks*I319,0)</f>
        <v>0</v>
      </c>
      <c r="AK319" s="1" t="n">
        <f aca="false">AE319+AJ319</f>
        <v>69820.6747023468</v>
      </c>
      <c r="AL319" s="1" t="n">
        <f aca="false">K319/H319</f>
        <v>0</v>
      </c>
      <c r="AM319" s="1" t="n">
        <f aca="false">AK319/H319</f>
        <v>12970.88</v>
      </c>
      <c r="AN319" s="1" t="n">
        <f aca="false">AC319/H319</f>
        <v>0</v>
      </c>
      <c r="AO319" s="1" t="n">
        <f aca="false">AF319/H319</f>
        <v>0</v>
      </c>
      <c r="AP319" s="1" t="n">
        <f aca="false">O319/H319</f>
        <v>0</v>
      </c>
      <c r="AQ319" s="1" t="n">
        <f aca="false">AH319/H319</f>
        <v>0</v>
      </c>
      <c r="AR319" s="1" t="n">
        <f aca="false">AI319/H319</f>
        <v>0</v>
      </c>
      <c r="AS319" s="1" t="n">
        <f aca="false">MAX(0,AL319+AN319+AO319+AM319-AP319)</f>
        <v>12970.88</v>
      </c>
      <c r="AT319" s="1" t="n">
        <f aca="false">MAX(0,AQ319+AR319)</f>
        <v>0</v>
      </c>
      <c r="AU319" s="1" t="n">
        <f aca="false">MIN(PR_PAYE,PR_PAYEcap*(AL319+AN319+AM319))</f>
        <v>2000</v>
      </c>
      <c r="AV319" s="1" t="n">
        <f aca="false">MIN(PR_PAYE,PR_PAYEcap*(AQ319+AR319))</f>
        <v>0</v>
      </c>
      <c r="AW319" s="1" t="n">
        <f aca="false">IF(C319&gt;=PR_AgeCrAge,PR_AgeCr,0)</f>
        <v>245</v>
      </c>
      <c r="AX319" s="1" t="n">
        <f aca="false">IF(AG319&gt;=PR_AgeCrAge,PR_AgeCr,0)</f>
        <v>245</v>
      </c>
      <c r="AY319" s="1" t="n">
        <f aca="false">IF(AND(F_RentCred=1,D319&lt;=PR_RentLast),1,0)</f>
        <v>0</v>
      </c>
      <c r="AZ319" s="1" t="n">
        <f aca="false">AS319+AT319</f>
        <v>12970.88</v>
      </c>
      <c r="BA319" s="1" t="n">
        <f aca="false">PR_PersonalM+AU319+AV319+AW319+AX319+IF(AY319=1,PR_RentJoint,0)</f>
        <v>6490</v>
      </c>
      <c r="BB319" s="1" t="n">
        <f aca="false">PR_BandM+MIN(MIN(AS319,AT319),PR_Uplift)</f>
        <v>53000</v>
      </c>
      <c r="BC319" s="1" t="n">
        <f aca="false">MAX(0,PR_r1*MIN(AZ319,BB319)+PR_r2*MAX(0,AZ319-BB319)-BA319)</f>
        <v>0</v>
      </c>
      <c r="BD319" s="1" t="n">
        <f aca="false">MAX(0,PR_HomeCarer-MAX(0,MIN(AS319,AT319)-PR_HCLimit)/2)</f>
        <v>1950</v>
      </c>
      <c r="BE319" s="1" t="n">
        <f aca="false">IF(F_Carer=1,MIN(BC319,MAX(0,PR_r1*MIN(AZ319,PR_BandM)+PR_r2*MAX(0,AZ319-PR_BandM)-BA319-BD319)),BC319)</f>
        <v>0</v>
      </c>
      <c r="BF319" s="1" t="n">
        <f aca="false">IF(OR(C319&gt;=PR_AgeCrAge,AG319&gt;=PR_AgeCrAge),IF(AZ319&lt;=PR_AgeExM,0,MIN(BE319,PR_AgeMarg*(AZ319-PR_AgeExM))),BE319)</f>
        <v>0</v>
      </c>
      <c r="BG319" s="1" t="n">
        <f aca="false">MAX(0,PR_r1*MIN(AS319,IF(F_Spccc=1,PR_BandSPCCC,PR_Band))+PR_r2*MAX(0,AS319-IF(F_Spccc=1,PR_BandSPCCC,PR_Band))-(PR_Personal+AU319+AW319+IF(F_Spccc=1,PR_SPCCC,0)+IF(AY319=1,PR_Rent,0)))</f>
        <v>0</v>
      </c>
      <c r="BH319" s="1" t="n">
        <f aca="false">IF(C319&gt;=PR_AgeCrAge,IF(AS319&lt;=PR_AgeEx,0,MIN(BG319,PR_AgeMarg*(AS319-PR_AgeEx))),BG319)</f>
        <v>0</v>
      </c>
      <c r="BI319" s="1" t="n">
        <f aca="false">IF(F_Partner=1,MAX(0,PR_r1*MIN(AT319,PR_Band)+PR_r2*MAX(0,AT319-PR_Band)-(PR_Personal+AV319+AX319+IF(AND(AY319=1,AT319&gt;0),PR_Rent,0))),0)</f>
        <v>0</v>
      </c>
      <c r="BJ319" s="1" t="n">
        <f aca="false">IF(AG319&gt;=PR_AgeCrAge,IF(AT319&lt;=PR_AgeEx,0,MIN(BI319,PR_AgeMarg*(AT319-PR_AgeEx))),BI319)</f>
        <v>0</v>
      </c>
      <c r="BK319" s="1" t="n">
        <f aca="false">IF(F_Partner=1,IF(F_Married=1,BF319,BH319+BJ319),BH319)</f>
        <v>0</v>
      </c>
      <c r="BL319" s="1" t="n">
        <f aca="false">AL319+AN319+AO319</f>
        <v>0</v>
      </c>
      <c r="BM319" s="1" t="n">
        <f aca="false">IF(BL319&lt;=PR_USCex,0,IF(IF(AND(C319&gt;=PR_USCredAge,BL319&lt;=PR_USCredMax),1,0)=1,PR_USCr1*MIN(BL319,PR_USCredB1)+PR_USCredR2*MAX(0,BL319-PR_USCredB1),PR_USCr1*MIN(BL319,PR_USCb1)+PR_USCr2*MAX(0,MIN(BL319,PR_USCb2)-PR_USCb1)+PR_USCr3*MAX(0,MIN(BL319,PR_USCb3)-PR_USCb2)+PR_USCr4*MAX(0,BL319-PR_USCb3)))+IF(F_SelfEmp=1,PR_USCse*MAX(0,AL319-PR_USCseOver),0)</f>
        <v>0</v>
      </c>
      <c r="BN319" s="1" t="n">
        <f aca="false">AQ319</f>
        <v>0</v>
      </c>
      <c r="BO319" s="1" t="n">
        <f aca="false">IF(F_Partner=1,IF(BN319&lt;=PR_USCex,0,IF(IF(AND(AG319&gt;=PR_USCredAge,BN319&lt;=PR_USCredMax),1,0)=1,PR_USCr1*MIN(BN319,PR_USCredB1)+PR_USCredR2*MAX(0,BN319-PR_USCredB1),PR_USCr1*MIN(BN319,PR_USCb1)+PR_USCr2*MAX(0,MIN(BN319,PR_USCb2)-PR_USCb1)+PR_USCr3*MAX(0,MIN(BN319,PR_USCb3)-PR_USCb2)+PR_USCr4*MAX(0,BN319-PR_USCb3))),0)</f>
        <v>0</v>
      </c>
      <c r="BP319" s="1" t="n">
        <f aca="false">IF(C319&lt;PR_PRSIend,IF(F_SelfEmp=1,IF(AL319&gt;PR_PRSIsMinInc,MAX(PR_PRSIsMin,AL319*J319),0),IF(AL319/52&lt;=PR_PRSIfree,0,MAX(0,(AL319/52*J319-IF(AL319/52&lt;=PR_PRSIcreditTo,MAX(0,PR_PRSIcreditMax-(AL319/52-(PR_PRSIfree+0.01))/PR_PRSItaper),0))*52)))+J319*AN319+IF(AO319&gt;PR_PRSIunearned,J319*AO319,0),0)</f>
        <v>0</v>
      </c>
      <c r="BQ319" s="1" t="n">
        <f aca="false">IF(AND(F_Partner=1,AG319&lt;PR_PRSIend),IF(AQ319/52&lt;=PR_PRSIfree,0,MAX(0,(AQ319/52*J319-IF(AQ319/52&lt;=PR_PRSIcreditTo,MAX(0,PR_PRSIcreditMax-(AQ319/52-(PR_PRSIfree+0.01))/PR_PRSItaper),0))*52)),0)</f>
        <v>0</v>
      </c>
      <c r="BR319" s="1" t="n">
        <f aca="false">BK319+BM319+BO319+BP319+BQ319</f>
        <v>0</v>
      </c>
      <c r="BS319" s="1" t="n">
        <f aca="false">BR319*H319</f>
        <v>0</v>
      </c>
      <c r="BT319" s="1" t="n">
        <f aca="false">K319+AK319+AC319+AF319+AH319+AI319</f>
        <v>69820.6747023468</v>
      </c>
    </row>
    <row r="320" customFormat="false" ht="15" hidden="false" customHeight="true" outlineLevel="0" collapsed="false">
      <c r="B320" s="1" t="n">
        <v>86</v>
      </c>
      <c r="C320" s="1" t="n">
        <f aca="false">F_Age+B320</f>
        <v>86</v>
      </c>
      <c r="D320" s="1" t="n">
        <f aca="false">AS_Year0+B320</f>
        <v>2113</v>
      </c>
      <c r="E320" s="111" t="n">
        <f aca="false">(1+AS_Infl)^B320</f>
        <v>5.49053635500395</v>
      </c>
      <c r="F320" s="111" t="n">
        <f aca="false">(1+AS_Wage)^B320</f>
        <v>12.7057798060193</v>
      </c>
      <c r="G320" s="1" t="n">
        <f aca="false">IF(C320&lt;F_R,1,0)</f>
        <v>0</v>
      </c>
      <c r="H320" s="111" t="n">
        <f aca="false">IF(AS_Bands="flat",1,E320)</f>
        <v>5.49053635500395</v>
      </c>
      <c r="I320" s="111" t="n">
        <f aca="false">IF(AS_SpGrow="pay",F320,IF(AS_SpGrow="flat",1,E320))</f>
        <v>5.49053635500395</v>
      </c>
      <c r="J320" s="111" t="n">
        <f aca="false">(12*PR_PRSIr0+(PR_PRSIr1-PR_PRSIr0)*MAX(0,MIN(12,D320*12+12-PR_PRSIt1))+(PR_PRSIr2-PR_PRSIr1)*MAX(0,MIN(12,D320*12+12-PR_PRSIt2))+(PR_PRSIr3-PR_PRSIr2)*MAX(0,MIN(12,D320*12+12-PR_PRSIt3)))/12</f>
        <v>0.047</v>
      </c>
      <c r="K320" s="1" t="n">
        <f aca="false">IF(G320=1,F_Income*F320,0)</f>
        <v>0</v>
      </c>
      <c r="L320" s="1" t="n">
        <f aca="false">IF(G320=1,(F_Own+In_penExtra)*12*F320,0)</f>
        <v>0</v>
      </c>
      <c r="M320" s="1" t="n">
        <f aca="false">IF(G320=1,(F_PenM+In_penExtra)*12*F320,0)</f>
        <v>0</v>
      </c>
      <c r="N320" s="112" t="n">
        <f aca="false">IF(C320&lt;PR_RelA1,PR_RelP1,IF(C320&lt;PR_RelA2,PR_RelP2,IF(C320&lt;PR_RelA3,PR_RelP3,IF(C320&lt;PR_RelA4,PR_RelP4,IF(C320&lt;PR_RelA5,PR_RelP5,PR_RelP6)))))</f>
        <v>0.4</v>
      </c>
      <c r="O320" s="1" t="n">
        <f aca="false">IF(G320=1,MIN(L320/H320,N320*MIN(K320/H320,PR_EarnCap))*H320,0)</f>
        <v>0</v>
      </c>
      <c r="P320" s="1" t="n">
        <f aca="false">IF(AND(G320=1,F_AE=1),MIN(K320/H320,PR_AEcap)*H320,0)</f>
        <v>0</v>
      </c>
      <c r="Q320" s="1" t="n">
        <f aca="false">IF(G320=1,IF(WI_Retire=1,MAX(0,M320+WI_M*12),M320)+(PR_AEee+PR_AEer+PR_AEst)*P320,0)</f>
        <v>0</v>
      </c>
      <c r="R320" s="1" t="n">
        <f aca="false">L320+PR_AEee*P320</f>
        <v>0</v>
      </c>
      <c r="S320" s="1" t="n">
        <f aca="false">AD319</f>
        <v>0</v>
      </c>
      <c r="T320" s="1" t="n">
        <f aca="false">IF(D320&lt;=PR_SFTfrom,PR_SFT2026,IF(D320=PR_SFTfrom+1,PR_SFT2027,IF(D320=PR_SFTfrom+2,PR_SFT2028,IF(D320&lt;=PR_SFTto,PR_SFT2029,PR_SFT2029*(1+AS_Infl)^(D320-PR_SFTto)))))</f>
        <v>14776529.9827096</v>
      </c>
      <c r="U320" s="1" t="n">
        <f aca="false">IF(AND(G320=0,C320=F_V),1,0)</f>
        <v>0</v>
      </c>
      <c r="V320" s="1" t="n">
        <f aca="false">IF(U320=1,PR_SFTrate*MAX(0,S320-T320),0)</f>
        <v>0</v>
      </c>
      <c r="W320" s="1" t="n">
        <f aca="false">S320-V320</f>
        <v>0</v>
      </c>
      <c r="X320" s="1" t="n">
        <f aca="false">IF(AND(U320=1,AS_LumpPct&gt;0),W320*MIN(AS_LumpPct,PR_LSmax),0)</f>
        <v>0</v>
      </c>
      <c r="Y320" s="1" t="n">
        <f aca="false">X320-(PR_LSrate*MAX(0,MIN(X320,PR_LScap)-PR_LSfree)+PR_r2*MAX(0,X320-PR_LScap))</f>
        <v>0</v>
      </c>
      <c r="Z320" s="1" t="n">
        <f aca="false">W320-X320</f>
        <v>0</v>
      </c>
      <c r="AA320" s="112" t="n">
        <f aca="false">IF(C320&gt;=PR_ARFage1,IF(Z320&gt;PR_ARFbig,PR_ARFbigRate,IF(C320&gt;=PR_ARFage2,PR_ARF71,PR_ARF61)),0)</f>
        <v>0.05</v>
      </c>
      <c r="AB320" s="1" t="n">
        <f aca="false">IF(AS_DrawRule="min",Z320*AA320,IF(AS_DrawRule="fixed",MAX(AS_DrawFixed*E320,Z320*AA320),Z320*MAX(1/MAX(1,AS_End-C320+1),AA320)))</f>
        <v>0</v>
      </c>
      <c r="AC320" s="1" t="n">
        <f aca="false">IF(AND(G320=0,C320&gt;=F_V),MIN(Z320,AB320),0)</f>
        <v>0</v>
      </c>
      <c r="AD320" s="1" t="n">
        <f aca="false">IF(G320=1,S320*(1+F_PenG)+Q320,IF(C320&lt;F_V,S320*(1+F_PenG),(Z320-AC320)*(1+AS_PenRet)))</f>
        <v>0</v>
      </c>
      <c r="AE320" s="1" t="n">
        <f aca="false">IF(C320&gt;=PR_SPage,AS_SP*F_SpF*I320+IF(AND(C320&gt;=PR_Over80Age,F_SpF&gt;0),PR_Over80*PR_Weeks*I320,0),0)</f>
        <v>71217.0881963937</v>
      </c>
      <c r="AF320" s="1" t="n">
        <f aca="false">(F_OtherM+F_RentM)*12*E320</f>
        <v>0</v>
      </c>
      <c r="AG320" s="1" t="n">
        <f aca="false">F_PAge+B320</f>
        <v>86</v>
      </c>
      <c r="AH320" s="1" t="n">
        <f aca="false">IF(AND(F_Partner=1,F_PAge&gt;0,AG320&lt;IF(F_PRet&gt;0,F_PRet,PR_SPage)),F_PIncome*F320,0)</f>
        <v>0</v>
      </c>
      <c r="AI320" s="1" t="n">
        <f aca="false">IF(AND(F_Partner=1,AG320&gt;=PR_SPage,F_PSpQA=0),AS_SP*F_PSpF*I320,0)</f>
        <v>0</v>
      </c>
      <c r="AJ320" s="1" t="n">
        <f aca="false">IF(AND(F_Partner=1,F_PSpQA=1,C320&gt;=PR_SPage,AH320=0),IF(AG320&gt;=PR_SPage,PR_QA66,PR_QAunder)*PR_Weeks*I320,0)</f>
        <v>0</v>
      </c>
      <c r="AK320" s="1" t="n">
        <f aca="false">AE320+AJ320</f>
        <v>71217.0881963937</v>
      </c>
      <c r="AL320" s="1" t="n">
        <f aca="false">K320/H320</f>
        <v>0</v>
      </c>
      <c r="AM320" s="1" t="n">
        <f aca="false">AK320/H320</f>
        <v>12970.88</v>
      </c>
      <c r="AN320" s="1" t="n">
        <f aca="false">AC320/H320</f>
        <v>0</v>
      </c>
      <c r="AO320" s="1" t="n">
        <f aca="false">AF320/H320</f>
        <v>0</v>
      </c>
      <c r="AP320" s="1" t="n">
        <f aca="false">O320/H320</f>
        <v>0</v>
      </c>
      <c r="AQ320" s="1" t="n">
        <f aca="false">AH320/H320</f>
        <v>0</v>
      </c>
      <c r="AR320" s="1" t="n">
        <f aca="false">AI320/H320</f>
        <v>0</v>
      </c>
      <c r="AS320" s="1" t="n">
        <f aca="false">MAX(0,AL320+AN320+AO320+AM320-AP320)</f>
        <v>12970.88</v>
      </c>
      <c r="AT320" s="1" t="n">
        <f aca="false">MAX(0,AQ320+AR320)</f>
        <v>0</v>
      </c>
      <c r="AU320" s="1" t="n">
        <f aca="false">MIN(PR_PAYE,PR_PAYEcap*(AL320+AN320+AM320))</f>
        <v>2000</v>
      </c>
      <c r="AV320" s="1" t="n">
        <f aca="false">MIN(PR_PAYE,PR_PAYEcap*(AQ320+AR320))</f>
        <v>0</v>
      </c>
      <c r="AW320" s="1" t="n">
        <f aca="false">IF(C320&gt;=PR_AgeCrAge,PR_AgeCr,0)</f>
        <v>245</v>
      </c>
      <c r="AX320" s="1" t="n">
        <f aca="false">IF(AG320&gt;=PR_AgeCrAge,PR_AgeCr,0)</f>
        <v>245</v>
      </c>
      <c r="AY320" s="1" t="n">
        <f aca="false">IF(AND(F_RentCred=1,D320&lt;=PR_RentLast),1,0)</f>
        <v>0</v>
      </c>
      <c r="AZ320" s="1" t="n">
        <f aca="false">AS320+AT320</f>
        <v>12970.88</v>
      </c>
      <c r="BA320" s="1" t="n">
        <f aca="false">PR_PersonalM+AU320+AV320+AW320+AX320+IF(AY320=1,PR_RentJoint,0)</f>
        <v>6490</v>
      </c>
      <c r="BB320" s="1" t="n">
        <f aca="false">PR_BandM+MIN(MIN(AS320,AT320),PR_Uplift)</f>
        <v>53000</v>
      </c>
      <c r="BC320" s="1" t="n">
        <f aca="false">MAX(0,PR_r1*MIN(AZ320,BB320)+PR_r2*MAX(0,AZ320-BB320)-BA320)</f>
        <v>0</v>
      </c>
      <c r="BD320" s="1" t="n">
        <f aca="false">MAX(0,PR_HomeCarer-MAX(0,MIN(AS320,AT320)-PR_HCLimit)/2)</f>
        <v>1950</v>
      </c>
      <c r="BE320" s="1" t="n">
        <f aca="false">IF(F_Carer=1,MIN(BC320,MAX(0,PR_r1*MIN(AZ320,PR_BandM)+PR_r2*MAX(0,AZ320-PR_BandM)-BA320-BD320)),BC320)</f>
        <v>0</v>
      </c>
      <c r="BF320" s="1" t="n">
        <f aca="false">IF(OR(C320&gt;=PR_AgeCrAge,AG320&gt;=PR_AgeCrAge),IF(AZ320&lt;=PR_AgeExM,0,MIN(BE320,PR_AgeMarg*(AZ320-PR_AgeExM))),BE320)</f>
        <v>0</v>
      </c>
      <c r="BG320" s="1" t="n">
        <f aca="false">MAX(0,PR_r1*MIN(AS320,IF(F_Spccc=1,PR_BandSPCCC,PR_Band))+PR_r2*MAX(0,AS320-IF(F_Spccc=1,PR_BandSPCCC,PR_Band))-(PR_Personal+AU320+AW320+IF(F_Spccc=1,PR_SPCCC,0)+IF(AY320=1,PR_Rent,0)))</f>
        <v>0</v>
      </c>
      <c r="BH320" s="1" t="n">
        <f aca="false">IF(C320&gt;=PR_AgeCrAge,IF(AS320&lt;=PR_AgeEx,0,MIN(BG320,PR_AgeMarg*(AS320-PR_AgeEx))),BG320)</f>
        <v>0</v>
      </c>
      <c r="BI320" s="1" t="n">
        <f aca="false">IF(F_Partner=1,MAX(0,PR_r1*MIN(AT320,PR_Band)+PR_r2*MAX(0,AT320-PR_Band)-(PR_Personal+AV320+AX320+IF(AND(AY320=1,AT320&gt;0),PR_Rent,0))),0)</f>
        <v>0</v>
      </c>
      <c r="BJ320" s="1" t="n">
        <f aca="false">IF(AG320&gt;=PR_AgeCrAge,IF(AT320&lt;=PR_AgeEx,0,MIN(BI320,PR_AgeMarg*(AT320-PR_AgeEx))),BI320)</f>
        <v>0</v>
      </c>
      <c r="BK320" s="1" t="n">
        <f aca="false">IF(F_Partner=1,IF(F_Married=1,BF320,BH320+BJ320),BH320)</f>
        <v>0</v>
      </c>
      <c r="BL320" s="1" t="n">
        <f aca="false">AL320+AN320+AO320</f>
        <v>0</v>
      </c>
      <c r="BM320" s="1" t="n">
        <f aca="false">IF(BL320&lt;=PR_USCex,0,IF(IF(AND(C320&gt;=PR_USCredAge,BL320&lt;=PR_USCredMax),1,0)=1,PR_USCr1*MIN(BL320,PR_USCredB1)+PR_USCredR2*MAX(0,BL320-PR_USCredB1),PR_USCr1*MIN(BL320,PR_USCb1)+PR_USCr2*MAX(0,MIN(BL320,PR_USCb2)-PR_USCb1)+PR_USCr3*MAX(0,MIN(BL320,PR_USCb3)-PR_USCb2)+PR_USCr4*MAX(0,BL320-PR_USCb3)))+IF(F_SelfEmp=1,PR_USCse*MAX(0,AL320-PR_USCseOver),0)</f>
        <v>0</v>
      </c>
      <c r="BN320" s="1" t="n">
        <f aca="false">AQ320</f>
        <v>0</v>
      </c>
      <c r="BO320" s="1" t="n">
        <f aca="false">IF(F_Partner=1,IF(BN320&lt;=PR_USCex,0,IF(IF(AND(AG320&gt;=PR_USCredAge,BN320&lt;=PR_USCredMax),1,0)=1,PR_USCr1*MIN(BN320,PR_USCredB1)+PR_USCredR2*MAX(0,BN320-PR_USCredB1),PR_USCr1*MIN(BN320,PR_USCb1)+PR_USCr2*MAX(0,MIN(BN320,PR_USCb2)-PR_USCb1)+PR_USCr3*MAX(0,MIN(BN320,PR_USCb3)-PR_USCb2)+PR_USCr4*MAX(0,BN320-PR_USCb3))),0)</f>
        <v>0</v>
      </c>
      <c r="BP320" s="1" t="n">
        <f aca="false">IF(C320&lt;PR_PRSIend,IF(F_SelfEmp=1,IF(AL320&gt;PR_PRSIsMinInc,MAX(PR_PRSIsMin,AL320*J320),0),IF(AL320/52&lt;=PR_PRSIfree,0,MAX(0,(AL320/52*J320-IF(AL320/52&lt;=PR_PRSIcreditTo,MAX(0,PR_PRSIcreditMax-(AL320/52-(PR_PRSIfree+0.01))/PR_PRSItaper),0))*52)))+J320*AN320+IF(AO320&gt;PR_PRSIunearned,J320*AO320,0),0)</f>
        <v>0</v>
      </c>
      <c r="BQ320" s="1" t="n">
        <f aca="false">IF(AND(F_Partner=1,AG320&lt;PR_PRSIend),IF(AQ320/52&lt;=PR_PRSIfree,0,MAX(0,(AQ320/52*J320-IF(AQ320/52&lt;=PR_PRSIcreditTo,MAX(0,PR_PRSIcreditMax-(AQ320/52-(PR_PRSIfree+0.01))/PR_PRSItaper),0))*52)),0)</f>
        <v>0</v>
      </c>
      <c r="BR320" s="1" t="n">
        <f aca="false">BK320+BM320+BO320+BP320+BQ320</f>
        <v>0</v>
      </c>
      <c r="BS320" s="1" t="n">
        <f aca="false">BR320*H320</f>
        <v>0</v>
      </c>
      <c r="BT320" s="1" t="n">
        <f aca="false">K320+AK320+AC320+AF320+AH320+AI320</f>
        <v>71217.0881963937</v>
      </c>
    </row>
    <row r="321" customFormat="false" ht="15" hidden="false" customHeight="true" outlineLevel="0" collapsed="false">
      <c r="B321" s="1" t="n">
        <v>87</v>
      </c>
      <c r="C321" s="1" t="n">
        <f aca="false">F_Age+B321</f>
        <v>87</v>
      </c>
      <c r="D321" s="1" t="n">
        <f aca="false">AS_Year0+B321</f>
        <v>2114</v>
      </c>
      <c r="E321" s="111" t="n">
        <f aca="false">(1+AS_Infl)^B321</f>
        <v>5.60034708210403</v>
      </c>
      <c r="F321" s="111" t="n">
        <f aca="false">(1+AS_Wage)^B321</f>
        <v>13.0869532001998</v>
      </c>
      <c r="G321" s="1" t="n">
        <f aca="false">IF(C321&lt;F_R,1,0)</f>
        <v>0</v>
      </c>
      <c r="H321" s="111" t="n">
        <f aca="false">IF(AS_Bands="flat",1,E321)</f>
        <v>5.60034708210403</v>
      </c>
      <c r="I321" s="111" t="n">
        <f aca="false">IF(AS_SpGrow="pay",F321,IF(AS_SpGrow="flat",1,E321))</f>
        <v>5.60034708210403</v>
      </c>
      <c r="J321" s="111" t="n">
        <f aca="false">(12*PR_PRSIr0+(PR_PRSIr1-PR_PRSIr0)*MAX(0,MIN(12,D321*12+12-PR_PRSIt1))+(PR_PRSIr2-PR_PRSIr1)*MAX(0,MIN(12,D321*12+12-PR_PRSIt2))+(PR_PRSIr3-PR_PRSIr2)*MAX(0,MIN(12,D321*12+12-PR_PRSIt3)))/12</f>
        <v>0.047</v>
      </c>
      <c r="K321" s="1" t="n">
        <f aca="false">IF(G321=1,F_Income*F321,0)</f>
        <v>0</v>
      </c>
      <c r="L321" s="1" t="n">
        <f aca="false">IF(G321=1,(F_Own+In_penExtra)*12*F321,0)</f>
        <v>0</v>
      </c>
      <c r="M321" s="1" t="n">
        <f aca="false">IF(G321=1,(F_PenM+In_penExtra)*12*F321,0)</f>
        <v>0</v>
      </c>
      <c r="N321" s="112" t="n">
        <f aca="false">IF(C321&lt;PR_RelA1,PR_RelP1,IF(C321&lt;PR_RelA2,PR_RelP2,IF(C321&lt;PR_RelA3,PR_RelP3,IF(C321&lt;PR_RelA4,PR_RelP4,IF(C321&lt;PR_RelA5,PR_RelP5,PR_RelP6)))))</f>
        <v>0.4</v>
      </c>
      <c r="O321" s="1" t="n">
        <f aca="false">IF(G321=1,MIN(L321/H321,N321*MIN(K321/H321,PR_EarnCap))*H321,0)</f>
        <v>0</v>
      </c>
      <c r="P321" s="1" t="n">
        <f aca="false">IF(AND(G321=1,F_AE=1),MIN(K321/H321,PR_AEcap)*H321,0)</f>
        <v>0</v>
      </c>
      <c r="Q321" s="1" t="n">
        <f aca="false">IF(G321=1,IF(WI_Retire=1,MAX(0,M321+WI_M*12),M321)+(PR_AEee+PR_AEer+PR_AEst)*P321,0)</f>
        <v>0</v>
      </c>
      <c r="R321" s="1" t="n">
        <f aca="false">L321+PR_AEee*P321</f>
        <v>0</v>
      </c>
      <c r="S321" s="1" t="n">
        <f aca="false">AD320</f>
        <v>0</v>
      </c>
      <c r="T321" s="1" t="n">
        <f aca="false">IF(D321&lt;=PR_SFTfrom,PR_SFT2026,IF(D321=PR_SFTfrom+1,PR_SFT2027,IF(D321=PR_SFTfrom+2,PR_SFT2028,IF(D321&lt;=PR_SFTto,PR_SFT2029,PR_SFT2029*(1+AS_Infl)^(D321-PR_SFTto)))))</f>
        <v>15072060.5823638</v>
      </c>
      <c r="U321" s="1" t="n">
        <f aca="false">IF(AND(G321=0,C321=F_V),1,0)</f>
        <v>0</v>
      </c>
      <c r="V321" s="1" t="n">
        <f aca="false">IF(U321=1,PR_SFTrate*MAX(0,S321-T321),0)</f>
        <v>0</v>
      </c>
      <c r="W321" s="1" t="n">
        <f aca="false">S321-V321</f>
        <v>0</v>
      </c>
      <c r="X321" s="1" t="n">
        <f aca="false">IF(AND(U321=1,AS_LumpPct&gt;0),W321*MIN(AS_LumpPct,PR_LSmax),0)</f>
        <v>0</v>
      </c>
      <c r="Y321" s="1" t="n">
        <f aca="false">X321-(PR_LSrate*MAX(0,MIN(X321,PR_LScap)-PR_LSfree)+PR_r2*MAX(0,X321-PR_LScap))</f>
        <v>0</v>
      </c>
      <c r="Z321" s="1" t="n">
        <f aca="false">W321-X321</f>
        <v>0</v>
      </c>
      <c r="AA321" s="112" t="n">
        <f aca="false">IF(C321&gt;=PR_ARFage1,IF(Z321&gt;PR_ARFbig,PR_ARFbigRate,IF(C321&gt;=PR_ARFage2,PR_ARF71,PR_ARF61)),0)</f>
        <v>0.05</v>
      </c>
      <c r="AB321" s="1" t="n">
        <f aca="false">IF(AS_DrawRule="min",Z321*AA321,IF(AS_DrawRule="fixed",MAX(AS_DrawFixed*E321,Z321*AA321),Z321*MAX(1/MAX(1,AS_End-C321+1),AA321)))</f>
        <v>0</v>
      </c>
      <c r="AC321" s="1" t="n">
        <f aca="false">IF(AND(G321=0,C321&gt;=F_V),MIN(Z321,AB321),0)</f>
        <v>0</v>
      </c>
      <c r="AD321" s="1" t="n">
        <f aca="false">IF(G321=1,S321*(1+F_PenG)+Q321,IF(C321&lt;F_V,S321*(1+F_PenG),(Z321-AC321)*(1+AS_PenRet)))</f>
        <v>0</v>
      </c>
      <c r="AE321" s="1" t="n">
        <f aca="false">IF(C321&gt;=PR_SPage,AS_SP*F_SpF*I321+IF(AND(C321&gt;=PR_Over80Age,F_SpF&gt;0),PR_Over80*PR_Weeks*I321,0),0)</f>
        <v>72641.4299603216</v>
      </c>
      <c r="AF321" s="1" t="n">
        <f aca="false">(F_OtherM+F_RentM)*12*E321</f>
        <v>0</v>
      </c>
      <c r="AG321" s="1" t="n">
        <f aca="false">F_PAge+B321</f>
        <v>87</v>
      </c>
      <c r="AH321" s="1" t="n">
        <f aca="false">IF(AND(F_Partner=1,F_PAge&gt;0,AG321&lt;IF(F_PRet&gt;0,F_PRet,PR_SPage)),F_PIncome*F321,0)</f>
        <v>0</v>
      </c>
      <c r="AI321" s="1" t="n">
        <f aca="false">IF(AND(F_Partner=1,AG321&gt;=PR_SPage,F_PSpQA=0),AS_SP*F_PSpF*I321,0)</f>
        <v>0</v>
      </c>
      <c r="AJ321" s="1" t="n">
        <f aca="false">IF(AND(F_Partner=1,F_PSpQA=1,C321&gt;=PR_SPage,AH321=0),IF(AG321&gt;=PR_SPage,PR_QA66,PR_QAunder)*PR_Weeks*I321,0)</f>
        <v>0</v>
      </c>
      <c r="AK321" s="1" t="n">
        <f aca="false">AE321+AJ321</f>
        <v>72641.4299603216</v>
      </c>
      <c r="AL321" s="1" t="n">
        <f aca="false">K321/H321</f>
        <v>0</v>
      </c>
      <c r="AM321" s="1" t="n">
        <f aca="false">AK321/H321</f>
        <v>12970.88</v>
      </c>
      <c r="AN321" s="1" t="n">
        <f aca="false">AC321/H321</f>
        <v>0</v>
      </c>
      <c r="AO321" s="1" t="n">
        <f aca="false">AF321/H321</f>
        <v>0</v>
      </c>
      <c r="AP321" s="1" t="n">
        <f aca="false">O321/H321</f>
        <v>0</v>
      </c>
      <c r="AQ321" s="1" t="n">
        <f aca="false">AH321/H321</f>
        <v>0</v>
      </c>
      <c r="AR321" s="1" t="n">
        <f aca="false">AI321/H321</f>
        <v>0</v>
      </c>
      <c r="AS321" s="1" t="n">
        <f aca="false">MAX(0,AL321+AN321+AO321+AM321-AP321)</f>
        <v>12970.88</v>
      </c>
      <c r="AT321" s="1" t="n">
        <f aca="false">MAX(0,AQ321+AR321)</f>
        <v>0</v>
      </c>
      <c r="AU321" s="1" t="n">
        <f aca="false">MIN(PR_PAYE,PR_PAYEcap*(AL321+AN321+AM321))</f>
        <v>2000</v>
      </c>
      <c r="AV321" s="1" t="n">
        <f aca="false">MIN(PR_PAYE,PR_PAYEcap*(AQ321+AR321))</f>
        <v>0</v>
      </c>
      <c r="AW321" s="1" t="n">
        <f aca="false">IF(C321&gt;=PR_AgeCrAge,PR_AgeCr,0)</f>
        <v>245</v>
      </c>
      <c r="AX321" s="1" t="n">
        <f aca="false">IF(AG321&gt;=PR_AgeCrAge,PR_AgeCr,0)</f>
        <v>245</v>
      </c>
      <c r="AY321" s="1" t="n">
        <f aca="false">IF(AND(F_RentCred=1,D321&lt;=PR_RentLast),1,0)</f>
        <v>0</v>
      </c>
      <c r="AZ321" s="1" t="n">
        <f aca="false">AS321+AT321</f>
        <v>12970.88</v>
      </c>
      <c r="BA321" s="1" t="n">
        <f aca="false">PR_PersonalM+AU321+AV321+AW321+AX321+IF(AY321=1,PR_RentJoint,0)</f>
        <v>6490</v>
      </c>
      <c r="BB321" s="1" t="n">
        <f aca="false">PR_BandM+MIN(MIN(AS321,AT321),PR_Uplift)</f>
        <v>53000</v>
      </c>
      <c r="BC321" s="1" t="n">
        <f aca="false">MAX(0,PR_r1*MIN(AZ321,BB321)+PR_r2*MAX(0,AZ321-BB321)-BA321)</f>
        <v>0</v>
      </c>
      <c r="BD321" s="1" t="n">
        <f aca="false">MAX(0,PR_HomeCarer-MAX(0,MIN(AS321,AT321)-PR_HCLimit)/2)</f>
        <v>1950</v>
      </c>
      <c r="BE321" s="1" t="n">
        <f aca="false">IF(F_Carer=1,MIN(BC321,MAX(0,PR_r1*MIN(AZ321,PR_BandM)+PR_r2*MAX(0,AZ321-PR_BandM)-BA321-BD321)),BC321)</f>
        <v>0</v>
      </c>
      <c r="BF321" s="1" t="n">
        <f aca="false">IF(OR(C321&gt;=PR_AgeCrAge,AG321&gt;=PR_AgeCrAge),IF(AZ321&lt;=PR_AgeExM,0,MIN(BE321,PR_AgeMarg*(AZ321-PR_AgeExM))),BE321)</f>
        <v>0</v>
      </c>
      <c r="BG321" s="1" t="n">
        <f aca="false">MAX(0,PR_r1*MIN(AS321,IF(F_Spccc=1,PR_BandSPCCC,PR_Band))+PR_r2*MAX(0,AS321-IF(F_Spccc=1,PR_BandSPCCC,PR_Band))-(PR_Personal+AU321+AW321+IF(F_Spccc=1,PR_SPCCC,0)+IF(AY321=1,PR_Rent,0)))</f>
        <v>0</v>
      </c>
      <c r="BH321" s="1" t="n">
        <f aca="false">IF(C321&gt;=PR_AgeCrAge,IF(AS321&lt;=PR_AgeEx,0,MIN(BG321,PR_AgeMarg*(AS321-PR_AgeEx))),BG321)</f>
        <v>0</v>
      </c>
      <c r="BI321" s="1" t="n">
        <f aca="false">IF(F_Partner=1,MAX(0,PR_r1*MIN(AT321,PR_Band)+PR_r2*MAX(0,AT321-PR_Band)-(PR_Personal+AV321+AX321+IF(AND(AY321=1,AT321&gt;0),PR_Rent,0))),0)</f>
        <v>0</v>
      </c>
      <c r="BJ321" s="1" t="n">
        <f aca="false">IF(AG321&gt;=PR_AgeCrAge,IF(AT321&lt;=PR_AgeEx,0,MIN(BI321,PR_AgeMarg*(AT321-PR_AgeEx))),BI321)</f>
        <v>0</v>
      </c>
      <c r="BK321" s="1" t="n">
        <f aca="false">IF(F_Partner=1,IF(F_Married=1,BF321,BH321+BJ321),BH321)</f>
        <v>0</v>
      </c>
      <c r="BL321" s="1" t="n">
        <f aca="false">AL321+AN321+AO321</f>
        <v>0</v>
      </c>
      <c r="BM321" s="1" t="n">
        <f aca="false">IF(BL321&lt;=PR_USCex,0,IF(IF(AND(C321&gt;=PR_USCredAge,BL321&lt;=PR_USCredMax),1,0)=1,PR_USCr1*MIN(BL321,PR_USCredB1)+PR_USCredR2*MAX(0,BL321-PR_USCredB1),PR_USCr1*MIN(BL321,PR_USCb1)+PR_USCr2*MAX(0,MIN(BL321,PR_USCb2)-PR_USCb1)+PR_USCr3*MAX(0,MIN(BL321,PR_USCb3)-PR_USCb2)+PR_USCr4*MAX(0,BL321-PR_USCb3)))+IF(F_SelfEmp=1,PR_USCse*MAX(0,AL321-PR_USCseOver),0)</f>
        <v>0</v>
      </c>
      <c r="BN321" s="1" t="n">
        <f aca="false">AQ321</f>
        <v>0</v>
      </c>
      <c r="BO321" s="1" t="n">
        <f aca="false">IF(F_Partner=1,IF(BN321&lt;=PR_USCex,0,IF(IF(AND(AG321&gt;=PR_USCredAge,BN321&lt;=PR_USCredMax),1,0)=1,PR_USCr1*MIN(BN321,PR_USCredB1)+PR_USCredR2*MAX(0,BN321-PR_USCredB1),PR_USCr1*MIN(BN321,PR_USCb1)+PR_USCr2*MAX(0,MIN(BN321,PR_USCb2)-PR_USCb1)+PR_USCr3*MAX(0,MIN(BN321,PR_USCb3)-PR_USCb2)+PR_USCr4*MAX(0,BN321-PR_USCb3))),0)</f>
        <v>0</v>
      </c>
      <c r="BP321" s="1" t="n">
        <f aca="false">IF(C321&lt;PR_PRSIend,IF(F_SelfEmp=1,IF(AL321&gt;PR_PRSIsMinInc,MAX(PR_PRSIsMin,AL321*J321),0),IF(AL321/52&lt;=PR_PRSIfree,0,MAX(0,(AL321/52*J321-IF(AL321/52&lt;=PR_PRSIcreditTo,MAX(0,PR_PRSIcreditMax-(AL321/52-(PR_PRSIfree+0.01))/PR_PRSItaper),0))*52)))+J321*AN321+IF(AO321&gt;PR_PRSIunearned,J321*AO321,0),0)</f>
        <v>0</v>
      </c>
      <c r="BQ321" s="1" t="n">
        <f aca="false">IF(AND(F_Partner=1,AG321&lt;PR_PRSIend),IF(AQ321/52&lt;=PR_PRSIfree,0,MAX(0,(AQ321/52*J321-IF(AQ321/52&lt;=PR_PRSIcreditTo,MAX(0,PR_PRSIcreditMax-(AQ321/52-(PR_PRSIfree+0.01))/PR_PRSItaper),0))*52)),0)</f>
        <v>0</v>
      </c>
      <c r="BR321" s="1" t="n">
        <f aca="false">BK321+BM321+BO321+BP321+BQ321</f>
        <v>0</v>
      </c>
      <c r="BS321" s="1" t="n">
        <f aca="false">BR321*H321</f>
        <v>0</v>
      </c>
      <c r="BT321" s="1" t="n">
        <f aca="false">K321+AK321+AC321+AF321+AH321+AI321</f>
        <v>72641.4299603216</v>
      </c>
    </row>
    <row r="322" customFormat="false" ht="15" hidden="false" customHeight="true" outlineLevel="0" collapsed="false">
      <c r="B322" s="1" t="n">
        <v>88</v>
      </c>
      <c r="C322" s="1" t="n">
        <f aca="false">F_Age+B322</f>
        <v>88</v>
      </c>
      <c r="D322" s="1" t="n">
        <f aca="false">AS_Year0+B322</f>
        <v>2115</v>
      </c>
      <c r="E322" s="111" t="n">
        <f aca="false">(1+AS_Infl)^B322</f>
        <v>5.71235402374611</v>
      </c>
      <c r="F322" s="111" t="n">
        <f aca="false">(1+AS_Wage)^B322</f>
        <v>13.4795617962058</v>
      </c>
      <c r="G322" s="1" t="n">
        <f aca="false">IF(C322&lt;F_R,1,0)</f>
        <v>0</v>
      </c>
      <c r="H322" s="111" t="n">
        <f aca="false">IF(AS_Bands="flat",1,E322)</f>
        <v>5.71235402374611</v>
      </c>
      <c r="I322" s="111" t="n">
        <f aca="false">IF(AS_SpGrow="pay",F322,IF(AS_SpGrow="flat",1,E322))</f>
        <v>5.71235402374611</v>
      </c>
      <c r="J322" s="111" t="n">
        <f aca="false">(12*PR_PRSIr0+(PR_PRSIr1-PR_PRSIr0)*MAX(0,MIN(12,D322*12+12-PR_PRSIt1))+(PR_PRSIr2-PR_PRSIr1)*MAX(0,MIN(12,D322*12+12-PR_PRSIt2))+(PR_PRSIr3-PR_PRSIr2)*MAX(0,MIN(12,D322*12+12-PR_PRSIt3)))/12</f>
        <v>0.047</v>
      </c>
      <c r="K322" s="1" t="n">
        <f aca="false">IF(G322=1,F_Income*F322,0)</f>
        <v>0</v>
      </c>
      <c r="L322" s="1" t="n">
        <f aca="false">IF(G322=1,(F_Own+In_penExtra)*12*F322,0)</f>
        <v>0</v>
      </c>
      <c r="M322" s="1" t="n">
        <f aca="false">IF(G322=1,(F_PenM+In_penExtra)*12*F322,0)</f>
        <v>0</v>
      </c>
      <c r="N322" s="112" t="n">
        <f aca="false">IF(C322&lt;PR_RelA1,PR_RelP1,IF(C322&lt;PR_RelA2,PR_RelP2,IF(C322&lt;PR_RelA3,PR_RelP3,IF(C322&lt;PR_RelA4,PR_RelP4,IF(C322&lt;PR_RelA5,PR_RelP5,PR_RelP6)))))</f>
        <v>0.4</v>
      </c>
      <c r="O322" s="1" t="n">
        <f aca="false">IF(G322=1,MIN(L322/H322,N322*MIN(K322/H322,PR_EarnCap))*H322,0)</f>
        <v>0</v>
      </c>
      <c r="P322" s="1" t="n">
        <f aca="false">IF(AND(G322=1,F_AE=1),MIN(K322/H322,PR_AEcap)*H322,0)</f>
        <v>0</v>
      </c>
      <c r="Q322" s="1" t="n">
        <f aca="false">IF(G322=1,IF(WI_Retire=1,MAX(0,M322+WI_M*12),M322)+(PR_AEee+PR_AEer+PR_AEst)*P322,0)</f>
        <v>0</v>
      </c>
      <c r="R322" s="1" t="n">
        <f aca="false">L322+PR_AEee*P322</f>
        <v>0</v>
      </c>
      <c r="S322" s="1" t="n">
        <f aca="false">AD321</f>
        <v>0</v>
      </c>
      <c r="T322" s="1" t="n">
        <f aca="false">IF(D322&lt;=PR_SFTfrom,PR_SFT2026,IF(D322=PR_SFTfrom+1,PR_SFT2027,IF(D322=PR_SFTfrom+2,PR_SFT2028,IF(D322&lt;=PR_SFTto,PR_SFT2029,PR_SFT2029*(1+AS_Infl)^(D322-PR_SFTto)))))</f>
        <v>15373501.7940111</v>
      </c>
      <c r="U322" s="1" t="n">
        <f aca="false">IF(AND(G322=0,C322=F_V),1,0)</f>
        <v>0</v>
      </c>
      <c r="V322" s="1" t="n">
        <f aca="false">IF(U322=1,PR_SFTrate*MAX(0,S322-T322),0)</f>
        <v>0</v>
      </c>
      <c r="W322" s="1" t="n">
        <f aca="false">S322-V322</f>
        <v>0</v>
      </c>
      <c r="X322" s="1" t="n">
        <f aca="false">IF(AND(U322=1,AS_LumpPct&gt;0),W322*MIN(AS_LumpPct,PR_LSmax),0)</f>
        <v>0</v>
      </c>
      <c r="Y322" s="1" t="n">
        <f aca="false">X322-(PR_LSrate*MAX(0,MIN(X322,PR_LScap)-PR_LSfree)+PR_r2*MAX(0,X322-PR_LScap))</f>
        <v>0</v>
      </c>
      <c r="Z322" s="1" t="n">
        <f aca="false">W322-X322</f>
        <v>0</v>
      </c>
      <c r="AA322" s="112" t="n">
        <f aca="false">IF(C322&gt;=PR_ARFage1,IF(Z322&gt;PR_ARFbig,PR_ARFbigRate,IF(C322&gt;=PR_ARFage2,PR_ARF71,PR_ARF61)),0)</f>
        <v>0.05</v>
      </c>
      <c r="AB322" s="1" t="n">
        <f aca="false">IF(AS_DrawRule="min",Z322*AA322,IF(AS_DrawRule="fixed",MAX(AS_DrawFixed*E322,Z322*AA322),Z322*MAX(1/MAX(1,AS_End-C322+1),AA322)))</f>
        <v>0</v>
      </c>
      <c r="AC322" s="1" t="n">
        <f aca="false">IF(AND(G322=0,C322&gt;=F_V),MIN(Z322,AB322),0)</f>
        <v>0</v>
      </c>
      <c r="AD322" s="1" t="n">
        <f aca="false">IF(G322=1,S322*(1+F_PenG)+Q322,IF(C322&lt;F_V,S322*(1+F_PenG),(Z322-AC322)*(1+AS_PenRet)))</f>
        <v>0</v>
      </c>
      <c r="AE322" s="1" t="n">
        <f aca="false">IF(C322&gt;=PR_SPage,AS_SP*F_SpF*I322+IF(AND(C322&gt;=PR_Over80Age,F_SpF&gt;0),PR_Over80*PR_Weeks*I322,0),0)</f>
        <v>74094.258559528</v>
      </c>
      <c r="AF322" s="1" t="n">
        <f aca="false">(F_OtherM+F_RentM)*12*E322</f>
        <v>0</v>
      </c>
      <c r="AG322" s="1" t="n">
        <f aca="false">F_PAge+B322</f>
        <v>88</v>
      </c>
      <c r="AH322" s="1" t="n">
        <f aca="false">IF(AND(F_Partner=1,F_PAge&gt;0,AG322&lt;IF(F_PRet&gt;0,F_PRet,PR_SPage)),F_PIncome*F322,0)</f>
        <v>0</v>
      </c>
      <c r="AI322" s="1" t="n">
        <f aca="false">IF(AND(F_Partner=1,AG322&gt;=PR_SPage,F_PSpQA=0),AS_SP*F_PSpF*I322,0)</f>
        <v>0</v>
      </c>
      <c r="AJ322" s="1" t="n">
        <f aca="false">IF(AND(F_Partner=1,F_PSpQA=1,C322&gt;=PR_SPage,AH322=0),IF(AG322&gt;=PR_SPage,PR_QA66,PR_QAunder)*PR_Weeks*I322,0)</f>
        <v>0</v>
      </c>
      <c r="AK322" s="1" t="n">
        <f aca="false">AE322+AJ322</f>
        <v>74094.258559528</v>
      </c>
      <c r="AL322" s="1" t="n">
        <f aca="false">K322/H322</f>
        <v>0</v>
      </c>
      <c r="AM322" s="1" t="n">
        <f aca="false">AK322/H322</f>
        <v>12970.88</v>
      </c>
      <c r="AN322" s="1" t="n">
        <f aca="false">AC322/H322</f>
        <v>0</v>
      </c>
      <c r="AO322" s="1" t="n">
        <f aca="false">AF322/H322</f>
        <v>0</v>
      </c>
      <c r="AP322" s="1" t="n">
        <f aca="false">O322/H322</f>
        <v>0</v>
      </c>
      <c r="AQ322" s="1" t="n">
        <f aca="false">AH322/H322</f>
        <v>0</v>
      </c>
      <c r="AR322" s="1" t="n">
        <f aca="false">AI322/H322</f>
        <v>0</v>
      </c>
      <c r="AS322" s="1" t="n">
        <f aca="false">MAX(0,AL322+AN322+AO322+AM322-AP322)</f>
        <v>12970.88</v>
      </c>
      <c r="AT322" s="1" t="n">
        <f aca="false">MAX(0,AQ322+AR322)</f>
        <v>0</v>
      </c>
      <c r="AU322" s="1" t="n">
        <f aca="false">MIN(PR_PAYE,PR_PAYEcap*(AL322+AN322+AM322))</f>
        <v>2000</v>
      </c>
      <c r="AV322" s="1" t="n">
        <f aca="false">MIN(PR_PAYE,PR_PAYEcap*(AQ322+AR322))</f>
        <v>0</v>
      </c>
      <c r="AW322" s="1" t="n">
        <f aca="false">IF(C322&gt;=PR_AgeCrAge,PR_AgeCr,0)</f>
        <v>245</v>
      </c>
      <c r="AX322" s="1" t="n">
        <f aca="false">IF(AG322&gt;=PR_AgeCrAge,PR_AgeCr,0)</f>
        <v>245</v>
      </c>
      <c r="AY322" s="1" t="n">
        <f aca="false">IF(AND(F_RentCred=1,D322&lt;=PR_RentLast),1,0)</f>
        <v>0</v>
      </c>
      <c r="AZ322" s="1" t="n">
        <f aca="false">AS322+AT322</f>
        <v>12970.88</v>
      </c>
      <c r="BA322" s="1" t="n">
        <f aca="false">PR_PersonalM+AU322+AV322+AW322+AX322+IF(AY322=1,PR_RentJoint,0)</f>
        <v>6490</v>
      </c>
      <c r="BB322" s="1" t="n">
        <f aca="false">PR_BandM+MIN(MIN(AS322,AT322),PR_Uplift)</f>
        <v>53000</v>
      </c>
      <c r="BC322" s="1" t="n">
        <f aca="false">MAX(0,PR_r1*MIN(AZ322,BB322)+PR_r2*MAX(0,AZ322-BB322)-BA322)</f>
        <v>0</v>
      </c>
      <c r="BD322" s="1" t="n">
        <f aca="false">MAX(0,PR_HomeCarer-MAX(0,MIN(AS322,AT322)-PR_HCLimit)/2)</f>
        <v>1950</v>
      </c>
      <c r="BE322" s="1" t="n">
        <f aca="false">IF(F_Carer=1,MIN(BC322,MAX(0,PR_r1*MIN(AZ322,PR_BandM)+PR_r2*MAX(0,AZ322-PR_BandM)-BA322-BD322)),BC322)</f>
        <v>0</v>
      </c>
      <c r="BF322" s="1" t="n">
        <f aca="false">IF(OR(C322&gt;=PR_AgeCrAge,AG322&gt;=PR_AgeCrAge),IF(AZ322&lt;=PR_AgeExM,0,MIN(BE322,PR_AgeMarg*(AZ322-PR_AgeExM))),BE322)</f>
        <v>0</v>
      </c>
      <c r="BG322" s="1" t="n">
        <f aca="false">MAX(0,PR_r1*MIN(AS322,IF(F_Spccc=1,PR_BandSPCCC,PR_Band))+PR_r2*MAX(0,AS322-IF(F_Spccc=1,PR_BandSPCCC,PR_Band))-(PR_Personal+AU322+AW322+IF(F_Spccc=1,PR_SPCCC,0)+IF(AY322=1,PR_Rent,0)))</f>
        <v>0</v>
      </c>
      <c r="BH322" s="1" t="n">
        <f aca="false">IF(C322&gt;=PR_AgeCrAge,IF(AS322&lt;=PR_AgeEx,0,MIN(BG322,PR_AgeMarg*(AS322-PR_AgeEx))),BG322)</f>
        <v>0</v>
      </c>
      <c r="BI322" s="1" t="n">
        <f aca="false">IF(F_Partner=1,MAX(0,PR_r1*MIN(AT322,PR_Band)+PR_r2*MAX(0,AT322-PR_Band)-(PR_Personal+AV322+AX322+IF(AND(AY322=1,AT322&gt;0),PR_Rent,0))),0)</f>
        <v>0</v>
      </c>
      <c r="BJ322" s="1" t="n">
        <f aca="false">IF(AG322&gt;=PR_AgeCrAge,IF(AT322&lt;=PR_AgeEx,0,MIN(BI322,PR_AgeMarg*(AT322-PR_AgeEx))),BI322)</f>
        <v>0</v>
      </c>
      <c r="BK322" s="1" t="n">
        <f aca="false">IF(F_Partner=1,IF(F_Married=1,BF322,BH322+BJ322),BH322)</f>
        <v>0</v>
      </c>
      <c r="BL322" s="1" t="n">
        <f aca="false">AL322+AN322+AO322</f>
        <v>0</v>
      </c>
      <c r="BM322" s="1" t="n">
        <f aca="false">IF(BL322&lt;=PR_USCex,0,IF(IF(AND(C322&gt;=PR_USCredAge,BL322&lt;=PR_USCredMax),1,0)=1,PR_USCr1*MIN(BL322,PR_USCredB1)+PR_USCredR2*MAX(0,BL322-PR_USCredB1),PR_USCr1*MIN(BL322,PR_USCb1)+PR_USCr2*MAX(0,MIN(BL322,PR_USCb2)-PR_USCb1)+PR_USCr3*MAX(0,MIN(BL322,PR_USCb3)-PR_USCb2)+PR_USCr4*MAX(0,BL322-PR_USCb3)))+IF(F_SelfEmp=1,PR_USCse*MAX(0,AL322-PR_USCseOver),0)</f>
        <v>0</v>
      </c>
      <c r="BN322" s="1" t="n">
        <f aca="false">AQ322</f>
        <v>0</v>
      </c>
      <c r="BO322" s="1" t="n">
        <f aca="false">IF(F_Partner=1,IF(BN322&lt;=PR_USCex,0,IF(IF(AND(AG322&gt;=PR_USCredAge,BN322&lt;=PR_USCredMax),1,0)=1,PR_USCr1*MIN(BN322,PR_USCredB1)+PR_USCredR2*MAX(0,BN322-PR_USCredB1),PR_USCr1*MIN(BN322,PR_USCb1)+PR_USCr2*MAX(0,MIN(BN322,PR_USCb2)-PR_USCb1)+PR_USCr3*MAX(0,MIN(BN322,PR_USCb3)-PR_USCb2)+PR_USCr4*MAX(0,BN322-PR_USCb3))),0)</f>
        <v>0</v>
      </c>
      <c r="BP322" s="1" t="n">
        <f aca="false">IF(C322&lt;PR_PRSIend,IF(F_SelfEmp=1,IF(AL322&gt;PR_PRSIsMinInc,MAX(PR_PRSIsMin,AL322*J322),0),IF(AL322/52&lt;=PR_PRSIfree,0,MAX(0,(AL322/52*J322-IF(AL322/52&lt;=PR_PRSIcreditTo,MAX(0,PR_PRSIcreditMax-(AL322/52-(PR_PRSIfree+0.01))/PR_PRSItaper),0))*52)))+J322*AN322+IF(AO322&gt;PR_PRSIunearned,J322*AO322,0),0)</f>
        <v>0</v>
      </c>
      <c r="BQ322" s="1" t="n">
        <f aca="false">IF(AND(F_Partner=1,AG322&lt;PR_PRSIend),IF(AQ322/52&lt;=PR_PRSIfree,0,MAX(0,(AQ322/52*J322-IF(AQ322/52&lt;=PR_PRSIcreditTo,MAX(0,PR_PRSIcreditMax-(AQ322/52-(PR_PRSIfree+0.01))/PR_PRSItaper),0))*52)),0)</f>
        <v>0</v>
      </c>
      <c r="BR322" s="1" t="n">
        <f aca="false">BK322+BM322+BO322+BP322+BQ322</f>
        <v>0</v>
      </c>
      <c r="BS322" s="1" t="n">
        <f aca="false">BR322*H322</f>
        <v>0</v>
      </c>
      <c r="BT322" s="1" t="n">
        <f aca="false">K322+AK322+AC322+AF322+AH322+AI322</f>
        <v>74094.258559528</v>
      </c>
    </row>
    <row r="323" customFormat="false" ht="15" hidden="false" customHeight="true" outlineLevel="0" collapsed="false">
      <c r="B323" s="1" t="n">
        <v>89</v>
      </c>
      <c r="C323" s="1" t="n">
        <f aca="false">F_Age+B323</f>
        <v>89</v>
      </c>
      <c r="D323" s="1" t="n">
        <f aca="false">AS_Year0+B323</f>
        <v>2116</v>
      </c>
      <c r="E323" s="111" t="n">
        <f aca="false">(1+AS_Infl)^B323</f>
        <v>5.82660110422104</v>
      </c>
      <c r="F323" s="111" t="n">
        <f aca="false">(1+AS_Wage)^B323</f>
        <v>13.883948650092</v>
      </c>
      <c r="G323" s="1" t="n">
        <f aca="false">IF(C323&lt;F_R,1,0)</f>
        <v>0</v>
      </c>
      <c r="H323" s="111" t="n">
        <f aca="false">IF(AS_Bands="flat",1,E323)</f>
        <v>5.82660110422104</v>
      </c>
      <c r="I323" s="111" t="n">
        <f aca="false">IF(AS_SpGrow="pay",F323,IF(AS_SpGrow="flat",1,E323))</f>
        <v>5.82660110422104</v>
      </c>
      <c r="J323" s="111" t="n">
        <f aca="false">(12*PR_PRSIr0+(PR_PRSIr1-PR_PRSIr0)*MAX(0,MIN(12,D323*12+12-PR_PRSIt1))+(PR_PRSIr2-PR_PRSIr1)*MAX(0,MIN(12,D323*12+12-PR_PRSIt2))+(PR_PRSIr3-PR_PRSIr2)*MAX(0,MIN(12,D323*12+12-PR_PRSIt3)))/12</f>
        <v>0.047</v>
      </c>
      <c r="K323" s="1" t="n">
        <f aca="false">IF(G323=1,F_Income*F323,0)</f>
        <v>0</v>
      </c>
      <c r="L323" s="1" t="n">
        <f aca="false">IF(G323=1,(F_Own+In_penExtra)*12*F323,0)</f>
        <v>0</v>
      </c>
      <c r="M323" s="1" t="n">
        <f aca="false">IF(G323=1,(F_PenM+In_penExtra)*12*F323,0)</f>
        <v>0</v>
      </c>
      <c r="N323" s="112" t="n">
        <f aca="false">IF(C323&lt;PR_RelA1,PR_RelP1,IF(C323&lt;PR_RelA2,PR_RelP2,IF(C323&lt;PR_RelA3,PR_RelP3,IF(C323&lt;PR_RelA4,PR_RelP4,IF(C323&lt;PR_RelA5,PR_RelP5,PR_RelP6)))))</f>
        <v>0.4</v>
      </c>
      <c r="O323" s="1" t="n">
        <f aca="false">IF(G323=1,MIN(L323/H323,N323*MIN(K323/H323,PR_EarnCap))*H323,0)</f>
        <v>0</v>
      </c>
      <c r="P323" s="1" t="n">
        <f aca="false">IF(AND(G323=1,F_AE=1),MIN(K323/H323,PR_AEcap)*H323,0)</f>
        <v>0</v>
      </c>
      <c r="Q323" s="1" t="n">
        <f aca="false">IF(G323=1,IF(WI_Retire=1,MAX(0,M323+WI_M*12),M323)+(PR_AEee+PR_AEer+PR_AEst)*P323,0)</f>
        <v>0</v>
      </c>
      <c r="R323" s="1" t="n">
        <f aca="false">L323+PR_AEee*P323</f>
        <v>0</v>
      </c>
      <c r="S323" s="1" t="n">
        <f aca="false">AD322</f>
        <v>0</v>
      </c>
      <c r="T323" s="1" t="n">
        <f aca="false">IF(D323&lt;=PR_SFTfrom,PR_SFT2026,IF(D323=PR_SFTfrom+1,PR_SFT2027,IF(D323=PR_SFTfrom+2,PR_SFT2028,IF(D323&lt;=PR_SFTto,PR_SFT2029,PR_SFT2029*(1+AS_Infl)^(D323-PR_SFTto)))))</f>
        <v>15680971.8298913</v>
      </c>
      <c r="U323" s="1" t="n">
        <f aca="false">IF(AND(G323=0,C323=F_V),1,0)</f>
        <v>0</v>
      </c>
      <c r="V323" s="1" t="n">
        <f aca="false">IF(U323=1,PR_SFTrate*MAX(0,S323-T323),0)</f>
        <v>0</v>
      </c>
      <c r="W323" s="1" t="n">
        <f aca="false">S323-V323</f>
        <v>0</v>
      </c>
      <c r="X323" s="1" t="n">
        <f aca="false">IF(AND(U323=1,AS_LumpPct&gt;0),W323*MIN(AS_LumpPct,PR_LSmax),0)</f>
        <v>0</v>
      </c>
      <c r="Y323" s="1" t="n">
        <f aca="false">X323-(PR_LSrate*MAX(0,MIN(X323,PR_LScap)-PR_LSfree)+PR_r2*MAX(0,X323-PR_LScap))</f>
        <v>0</v>
      </c>
      <c r="Z323" s="1" t="n">
        <f aca="false">W323-X323</f>
        <v>0</v>
      </c>
      <c r="AA323" s="112" t="n">
        <f aca="false">IF(C323&gt;=PR_ARFage1,IF(Z323&gt;PR_ARFbig,PR_ARFbigRate,IF(C323&gt;=PR_ARFage2,PR_ARF71,PR_ARF61)),0)</f>
        <v>0.05</v>
      </c>
      <c r="AB323" s="1" t="n">
        <f aca="false">IF(AS_DrawRule="min",Z323*AA323,IF(AS_DrawRule="fixed",MAX(AS_DrawFixed*E323,Z323*AA323),Z323*MAX(1/MAX(1,AS_End-C323+1),AA323)))</f>
        <v>0</v>
      </c>
      <c r="AC323" s="1" t="n">
        <f aca="false">IF(AND(G323=0,C323&gt;=F_V),MIN(Z323,AB323),0)</f>
        <v>0</v>
      </c>
      <c r="AD323" s="1" t="n">
        <f aca="false">IF(G323=1,S323*(1+F_PenG)+Q323,IF(C323&lt;F_V,S323*(1+F_PenG),(Z323-AC323)*(1+AS_PenRet)))</f>
        <v>0</v>
      </c>
      <c r="AE323" s="1" t="n">
        <f aca="false">IF(C323&gt;=PR_SPage,AS_SP*F_SpF*I323+IF(AND(C323&gt;=PR_Over80Age,F_SpF&gt;0),PR_Over80*PR_Weeks*I323,0),0)</f>
        <v>75576.1437307186</v>
      </c>
      <c r="AF323" s="1" t="n">
        <f aca="false">(F_OtherM+F_RentM)*12*E323</f>
        <v>0</v>
      </c>
      <c r="AG323" s="1" t="n">
        <f aca="false">F_PAge+B323</f>
        <v>89</v>
      </c>
      <c r="AH323" s="1" t="n">
        <f aca="false">IF(AND(F_Partner=1,F_PAge&gt;0,AG323&lt;IF(F_PRet&gt;0,F_PRet,PR_SPage)),F_PIncome*F323,0)</f>
        <v>0</v>
      </c>
      <c r="AI323" s="1" t="n">
        <f aca="false">IF(AND(F_Partner=1,AG323&gt;=PR_SPage,F_PSpQA=0),AS_SP*F_PSpF*I323,0)</f>
        <v>0</v>
      </c>
      <c r="AJ323" s="1" t="n">
        <f aca="false">IF(AND(F_Partner=1,F_PSpQA=1,C323&gt;=PR_SPage,AH323=0),IF(AG323&gt;=PR_SPage,PR_QA66,PR_QAunder)*PR_Weeks*I323,0)</f>
        <v>0</v>
      </c>
      <c r="AK323" s="1" t="n">
        <f aca="false">AE323+AJ323</f>
        <v>75576.1437307186</v>
      </c>
      <c r="AL323" s="1" t="n">
        <f aca="false">K323/H323</f>
        <v>0</v>
      </c>
      <c r="AM323" s="1" t="n">
        <f aca="false">AK323/H323</f>
        <v>12970.88</v>
      </c>
      <c r="AN323" s="1" t="n">
        <f aca="false">AC323/H323</f>
        <v>0</v>
      </c>
      <c r="AO323" s="1" t="n">
        <f aca="false">AF323/H323</f>
        <v>0</v>
      </c>
      <c r="AP323" s="1" t="n">
        <f aca="false">O323/H323</f>
        <v>0</v>
      </c>
      <c r="AQ323" s="1" t="n">
        <f aca="false">AH323/H323</f>
        <v>0</v>
      </c>
      <c r="AR323" s="1" t="n">
        <f aca="false">AI323/H323</f>
        <v>0</v>
      </c>
      <c r="AS323" s="1" t="n">
        <f aca="false">MAX(0,AL323+AN323+AO323+AM323-AP323)</f>
        <v>12970.88</v>
      </c>
      <c r="AT323" s="1" t="n">
        <f aca="false">MAX(0,AQ323+AR323)</f>
        <v>0</v>
      </c>
      <c r="AU323" s="1" t="n">
        <f aca="false">MIN(PR_PAYE,PR_PAYEcap*(AL323+AN323+AM323))</f>
        <v>2000</v>
      </c>
      <c r="AV323" s="1" t="n">
        <f aca="false">MIN(PR_PAYE,PR_PAYEcap*(AQ323+AR323))</f>
        <v>0</v>
      </c>
      <c r="AW323" s="1" t="n">
        <f aca="false">IF(C323&gt;=PR_AgeCrAge,PR_AgeCr,0)</f>
        <v>245</v>
      </c>
      <c r="AX323" s="1" t="n">
        <f aca="false">IF(AG323&gt;=PR_AgeCrAge,PR_AgeCr,0)</f>
        <v>245</v>
      </c>
      <c r="AY323" s="1" t="n">
        <f aca="false">IF(AND(F_RentCred=1,D323&lt;=PR_RentLast),1,0)</f>
        <v>0</v>
      </c>
      <c r="AZ323" s="1" t="n">
        <f aca="false">AS323+AT323</f>
        <v>12970.88</v>
      </c>
      <c r="BA323" s="1" t="n">
        <f aca="false">PR_PersonalM+AU323+AV323+AW323+AX323+IF(AY323=1,PR_RentJoint,0)</f>
        <v>6490</v>
      </c>
      <c r="BB323" s="1" t="n">
        <f aca="false">PR_BandM+MIN(MIN(AS323,AT323),PR_Uplift)</f>
        <v>53000</v>
      </c>
      <c r="BC323" s="1" t="n">
        <f aca="false">MAX(0,PR_r1*MIN(AZ323,BB323)+PR_r2*MAX(0,AZ323-BB323)-BA323)</f>
        <v>0</v>
      </c>
      <c r="BD323" s="1" t="n">
        <f aca="false">MAX(0,PR_HomeCarer-MAX(0,MIN(AS323,AT323)-PR_HCLimit)/2)</f>
        <v>1950</v>
      </c>
      <c r="BE323" s="1" t="n">
        <f aca="false">IF(F_Carer=1,MIN(BC323,MAX(0,PR_r1*MIN(AZ323,PR_BandM)+PR_r2*MAX(0,AZ323-PR_BandM)-BA323-BD323)),BC323)</f>
        <v>0</v>
      </c>
      <c r="BF323" s="1" t="n">
        <f aca="false">IF(OR(C323&gt;=PR_AgeCrAge,AG323&gt;=PR_AgeCrAge),IF(AZ323&lt;=PR_AgeExM,0,MIN(BE323,PR_AgeMarg*(AZ323-PR_AgeExM))),BE323)</f>
        <v>0</v>
      </c>
      <c r="BG323" s="1" t="n">
        <f aca="false">MAX(0,PR_r1*MIN(AS323,IF(F_Spccc=1,PR_BandSPCCC,PR_Band))+PR_r2*MAX(0,AS323-IF(F_Spccc=1,PR_BandSPCCC,PR_Band))-(PR_Personal+AU323+AW323+IF(F_Spccc=1,PR_SPCCC,0)+IF(AY323=1,PR_Rent,0)))</f>
        <v>0</v>
      </c>
      <c r="BH323" s="1" t="n">
        <f aca="false">IF(C323&gt;=PR_AgeCrAge,IF(AS323&lt;=PR_AgeEx,0,MIN(BG323,PR_AgeMarg*(AS323-PR_AgeEx))),BG323)</f>
        <v>0</v>
      </c>
      <c r="BI323" s="1" t="n">
        <f aca="false">IF(F_Partner=1,MAX(0,PR_r1*MIN(AT323,PR_Band)+PR_r2*MAX(0,AT323-PR_Band)-(PR_Personal+AV323+AX323+IF(AND(AY323=1,AT323&gt;0),PR_Rent,0))),0)</f>
        <v>0</v>
      </c>
      <c r="BJ323" s="1" t="n">
        <f aca="false">IF(AG323&gt;=PR_AgeCrAge,IF(AT323&lt;=PR_AgeEx,0,MIN(BI323,PR_AgeMarg*(AT323-PR_AgeEx))),BI323)</f>
        <v>0</v>
      </c>
      <c r="BK323" s="1" t="n">
        <f aca="false">IF(F_Partner=1,IF(F_Married=1,BF323,BH323+BJ323),BH323)</f>
        <v>0</v>
      </c>
      <c r="BL323" s="1" t="n">
        <f aca="false">AL323+AN323+AO323</f>
        <v>0</v>
      </c>
      <c r="BM323" s="1" t="n">
        <f aca="false">IF(BL323&lt;=PR_USCex,0,IF(IF(AND(C323&gt;=PR_USCredAge,BL323&lt;=PR_USCredMax),1,0)=1,PR_USCr1*MIN(BL323,PR_USCredB1)+PR_USCredR2*MAX(0,BL323-PR_USCredB1),PR_USCr1*MIN(BL323,PR_USCb1)+PR_USCr2*MAX(0,MIN(BL323,PR_USCb2)-PR_USCb1)+PR_USCr3*MAX(0,MIN(BL323,PR_USCb3)-PR_USCb2)+PR_USCr4*MAX(0,BL323-PR_USCb3)))+IF(F_SelfEmp=1,PR_USCse*MAX(0,AL323-PR_USCseOver),0)</f>
        <v>0</v>
      </c>
      <c r="BN323" s="1" t="n">
        <f aca="false">AQ323</f>
        <v>0</v>
      </c>
      <c r="BO323" s="1" t="n">
        <f aca="false">IF(F_Partner=1,IF(BN323&lt;=PR_USCex,0,IF(IF(AND(AG323&gt;=PR_USCredAge,BN323&lt;=PR_USCredMax),1,0)=1,PR_USCr1*MIN(BN323,PR_USCredB1)+PR_USCredR2*MAX(0,BN323-PR_USCredB1),PR_USCr1*MIN(BN323,PR_USCb1)+PR_USCr2*MAX(0,MIN(BN323,PR_USCb2)-PR_USCb1)+PR_USCr3*MAX(0,MIN(BN323,PR_USCb3)-PR_USCb2)+PR_USCr4*MAX(0,BN323-PR_USCb3))),0)</f>
        <v>0</v>
      </c>
      <c r="BP323" s="1" t="n">
        <f aca="false">IF(C323&lt;PR_PRSIend,IF(F_SelfEmp=1,IF(AL323&gt;PR_PRSIsMinInc,MAX(PR_PRSIsMin,AL323*J323),0),IF(AL323/52&lt;=PR_PRSIfree,0,MAX(0,(AL323/52*J323-IF(AL323/52&lt;=PR_PRSIcreditTo,MAX(0,PR_PRSIcreditMax-(AL323/52-(PR_PRSIfree+0.01))/PR_PRSItaper),0))*52)))+J323*AN323+IF(AO323&gt;PR_PRSIunearned,J323*AO323,0),0)</f>
        <v>0</v>
      </c>
      <c r="BQ323" s="1" t="n">
        <f aca="false">IF(AND(F_Partner=1,AG323&lt;PR_PRSIend),IF(AQ323/52&lt;=PR_PRSIfree,0,MAX(0,(AQ323/52*J323-IF(AQ323/52&lt;=PR_PRSIcreditTo,MAX(0,PR_PRSIcreditMax-(AQ323/52-(PR_PRSIfree+0.01))/PR_PRSItaper),0))*52)),0)</f>
        <v>0</v>
      </c>
      <c r="BR323" s="1" t="n">
        <f aca="false">BK323+BM323+BO323+BP323+BQ323</f>
        <v>0</v>
      </c>
      <c r="BS323" s="1" t="n">
        <f aca="false">BR323*H323</f>
        <v>0</v>
      </c>
      <c r="BT323" s="1" t="n">
        <f aca="false">K323+AK323+AC323+AF323+AH323+AI323</f>
        <v>75576.1437307186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UI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2" min="2" style="1" width="6"/>
    <col collapsed="false" customWidth="true" hidden="false" outlineLevel="0" max="4" min="3" style="1" width="7"/>
    <col collapsed="false" customWidth="true" hidden="false" outlineLevel="0" max="5" min="5" style="1" width="11"/>
    <col collapsed="false" customWidth="true" hidden="false" outlineLevel="0" max="6" min="6" style="1" width="7"/>
    <col collapsed="false" customWidth="true" hidden="false" outlineLevel="0" max="19" min="7" style="1" width="11"/>
    <col collapsed="false" customWidth="true" hidden="false" outlineLevel="0" max="22" min="20" style="1" width="7"/>
    <col collapsed="false" customWidth="true" hidden="false" outlineLevel="0" max="31" min="23" style="1" width="11"/>
    <col collapsed="false" customWidth="true" hidden="false" outlineLevel="0" max="33" min="32" style="1" width="7"/>
    <col collapsed="false" customWidth="true" hidden="false" outlineLevel="0" max="41" min="34" style="1" width="11"/>
    <col collapsed="false" customWidth="true" hidden="false" outlineLevel="0" max="43" min="42" style="1" width="7"/>
    <col collapsed="false" customWidth="true" hidden="false" outlineLevel="0" max="51" min="44" style="1" width="11"/>
    <col collapsed="false" customWidth="true" hidden="false" outlineLevel="0" max="53" min="52" style="1" width="7"/>
    <col collapsed="false" customWidth="true" hidden="false" outlineLevel="0" max="61" min="54" style="1" width="11"/>
    <col collapsed="false" customWidth="true" hidden="false" outlineLevel="0" max="63" min="62" style="1" width="7"/>
    <col collapsed="false" customWidth="true" hidden="false" outlineLevel="0" max="71" min="64" style="1" width="11"/>
    <col collapsed="false" customWidth="true" hidden="false" outlineLevel="0" max="73" min="72" style="1" width="7"/>
    <col collapsed="false" customWidth="true" hidden="false" outlineLevel="0" max="81" min="74" style="1" width="11"/>
    <col collapsed="false" customWidth="true" hidden="false" outlineLevel="0" max="83" min="82" style="1" width="7"/>
    <col collapsed="false" customWidth="true" hidden="false" outlineLevel="0" max="91" min="84" style="1" width="11"/>
    <col collapsed="false" customWidth="true" hidden="false" outlineLevel="0" max="93" min="92" style="1" width="7"/>
    <col collapsed="false" customWidth="true" hidden="false" outlineLevel="0" max="101" min="94" style="1" width="11"/>
    <col collapsed="false" customWidth="true" hidden="false" outlineLevel="0" max="103" min="102" style="1" width="7"/>
    <col collapsed="false" customWidth="true" hidden="false" outlineLevel="0" max="111" min="104" style="1" width="11"/>
    <col collapsed="false" customWidth="true" hidden="false" outlineLevel="0" max="113" min="112" style="1" width="7"/>
    <col collapsed="false" customWidth="true" hidden="false" outlineLevel="0" max="121" min="114" style="1" width="11"/>
    <col collapsed="false" customWidth="true" hidden="false" outlineLevel="0" max="123" min="122" style="1" width="7"/>
    <col collapsed="false" customWidth="true" hidden="false" outlineLevel="0" max="131" min="124" style="1" width="11"/>
    <col collapsed="false" customWidth="true" hidden="false" outlineLevel="0" max="133" min="132" style="1" width="7"/>
    <col collapsed="false" customWidth="true" hidden="false" outlineLevel="0" max="141" min="134" style="1" width="11"/>
    <col collapsed="false" customWidth="true" hidden="false" outlineLevel="0" max="143" min="142" style="1" width="7"/>
    <col collapsed="false" customWidth="true" hidden="false" outlineLevel="0" max="151" min="144" style="1" width="11"/>
    <col collapsed="false" customWidth="true" hidden="false" outlineLevel="0" max="153" min="152" style="1" width="7"/>
    <col collapsed="false" customWidth="true" hidden="false" outlineLevel="0" max="161" min="154" style="1" width="11"/>
    <col collapsed="false" customWidth="true" hidden="false" outlineLevel="0" max="163" min="162" style="1" width="7"/>
    <col collapsed="false" customWidth="true" hidden="false" outlineLevel="0" max="171" min="164" style="1" width="11"/>
    <col collapsed="false" customWidth="true" hidden="false" outlineLevel="0" max="173" min="172" style="1" width="7"/>
    <col collapsed="false" customWidth="true" hidden="false" outlineLevel="0" max="181" min="174" style="1" width="11"/>
    <col collapsed="false" customWidth="true" hidden="false" outlineLevel="0" max="183" min="182" style="1" width="7"/>
    <col collapsed="false" customWidth="true" hidden="false" outlineLevel="0" max="191" min="184" style="1" width="11"/>
    <col collapsed="false" customWidth="true" hidden="false" outlineLevel="0" max="193" min="192" style="1" width="7"/>
    <col collapsed="false" customWidth="true" hidden="false" outlineLevel="0" max="201" min="194" style="1" width="11"/>
    <col collapsed="false" customWidth="true" hidden="false" outlineLevel="0" max="203" min="202" style="1" width="7"/>
    <col collapsed="false" customWidth="true" hidden="false" outlineLevel="0" max="211" min="204" style="1" width="11"/>
    <col collapsed="false" customWidth="true" hidden="false" outlineLevel="0" max="213" min="212" style="1" width="7"/>
    <col collapsed="false" customWidth="true" hidden="false" outlineLevel="0" max="227" min="214" style="1" width="11"/>
    <col collapsed="false" customWidth="true" hidden="false" outlineLevel="0" max="228" min="228" style="1" width="7"/>
    <col collapsed="false" customWidth="true" hidden="false" outlineLevel="0" max="230" min="229" style="1" width="11"/>
    <col collapsed="false" customWidth="true" hidden="false" outlineLevel="0" max="231" min="231" style="1" width="7"/>
    <col collapsed="false" customWidth="true" hidden="false" outlineLevel="0" max="234" min="232" style="1" width="11"/>
    <col collapsed="false" customWidth="true" hidden="false" outlineLevel="0" max="235" min="235" style="1" width="7"/>
    <col collapsed="false" customWidth="true" hidden="false" outlineLevel="0" max="536" min="236" style="1" width="11"/>
    <col collapsed="false" customWidth="true" hidden="false" outlineLevel="0" max="537" min="537" style="1" width="7"/>
    <col collapsed="false" customWidth="true" hidden="false" outlineLevel="0" max="540" min="538" style="1" width="11"/>
    <col collapsed="false" customWidth="true" hidden="false" outlineLevel="0" max="541" min="541" style="1" width="7"/>
    <col collapsed="false" customWidth="true" hidden="false" outlineLevel="0" max="544" min="542" style="1" width="11"/>
    <col collapsed="false" customWidth="true" hidden="false" outlineLevel="0" max="548" min="545" style="1" width="7"/>
    <col collapsed="false" customWidth="true" hidden="false" outlineLevel="0" max="549" min="549" style="1" width="24"/>
    <col collapsed="false" customWidth="true" hidden="false" outlineLevel="0" max="555" min="550" style="1" width="7"/>
  </cols>
  <sheetData>
    <row r="1" customFormat="false" ht="17.25" hidden="false" customHeight="true" outlineLevel="0" collapsed="false">
      <c r="B1" s="90" t="s">
        <v>1932</v>
      </c>
    </row>
    <row r="2" customFormat="false" ht="48" hidden="false" customHeight="true" outlineLevel="0" collapsed="false">
      <c r="B2" s="91" t="s">
        <v>1933</v>
      </c>
      <c r="C2" s="91"/>
      <c r="D2" s="91"/>
      <c r="E2" s="91"/>
      <c r="F2" s="91"/>
      <c r="G2" s="91"/>
      <c r="H2" s="91"/>
      <c r="I2" s="91"/>
      <c r="J2" s="91"/>
      <c r="K2" s="91"/>
      <c r="L2" s="91"/>
    </row>
    <row r="6" customFormat="false" ht="122.25" hidden="false" customHeight="true" outlineLevel="0" collapsed="false">
      <c r="A6" s="93" t="s">
        <v>1861</v>
      </c>
      <c r="B6" s="100" t="s">
        <v>1862</v>
      </c>
      <c r="C6" s="100" t="s">
        <v>1934</v>
      </c>
      <c r="D6" s="100" t="s">
        <v>720</v>
      </c>
      <c r="E6" s="100" t="s">
        <v>1863</v>
      </c>
      <c r="F6" s="100" t="s">
        <v>1865</v>
      </c>
      <c r="G6" s="100" t="s">
        <v>1935</v>
      </c>
      <c r="H6" s="100" t="s">
        <v>1936</v>
      </c>
      <c r="I6" s="100" t="s">
        <v>1937</v>
      </c>
      <c r="J6" s="100" t="s">
        <v>1938</v>
      </c>
      <c r="K6" s="100" t="s">
        <v>1939</v>
      </c>
      <c r="L6" s="100" t="s">
        <v>1940</v>
      </c>
      <c r="M6" s="100" t="s">
        <v>1941</v>
      </c>
      <c r="N6" s="100" t="s">
        <v>1942</v>
      </c>
      <c r="O6" s="100" t="s">
        <v>1943</v>
      </c>
      <c r="P6" s="100" t="s">
        <v>1944</v>
      </c>
      <c r="Q6" s="100" t="s">
        <v>1945</v>
      </c>
      <c r="R6" s="100" t="s">
        <v>1946</v>
      </c>
      <c r="S6" s="100" t="s">
        <v>1947</v>
      </c>
      <c r="T6" s="100" t="s">
        <v>1948</v>
      </c>
      <c r="U6" s="100" t="s">
        <v>1949</v>
      </c>
      <c r="V6" s="100" t="s">
        <v>1950</v>
      </c>
      <c r="W6" s="100" t="s">
        <v>1951</v>
      </c>
      <c r="X6" s="100" t="s">
        <v>1952</v>
      </c>
      <c r="Y6" s="100" t="s">
        <v>1953</v>
      </c>
      <c r="Z6" s="100" t="s">
        <v>1954</v>
      </c>
      <c r="AA6" s="100" t="s">
        <v>1955</v>
      </c>
      <c r="AB6" s="100" t="s">
        <v>1956</v>
      </c>
      <c r="AC6" s="100" t="s">
        <v>1957</v>
      </c>
      <c r="AD6" s="100" t="s">
        <v>1958</v>
      </c>
      <c r="AE6" s="100" t="s">
        <v>1959</v>
      </c>
      <c r="AF6" s="100" t="s">
        <v>1960</v>
      </c>
      <c r="AG6" s="100" t="s">
        <v>1961</v>
      </c>
      <c r="AH6" s="100" t="s">
        <v>1962</v>
      </c>
      <c r="AI6" s="100" t="s">
        <v>1963</v>
      </c>
      <c r="AJ6" s="100" t="s">
        <v>1964</v>
      </c>
      <c r="AK6" s="100" t="s">
        <v>1965</v>
      </c>
      <c r="AL6" s="100" t="s">
        <v>1966</v>
      </c>
      <c r="AM6" s="100" t="s">
        <v>1967</v>
      </c>
      <c r="AN6" s="100" t="s">
        <v>1968</v>
      </c>
      <c r="AO6" s="100" t="s">
        <v>1969</v>
      </c>
      <c r="AP6" s="100" t="s">
        <v>1970</v>
      </c>
      <c r="AQ6" s="100" t="s">
        <v>1971</v>
      </c>
      <c r="AR6" s="100" t="s">
        <v>1972</v>
      </c>
      <c r="AS6" s="100" t="s">
        <v>1973</v>
      </c>
      <c r="AT6" s="100" t="s">
        <v>1974</v>
      </c>
      <c r="AU6" s="100" t="s">
        <v>1975</v>
      </c>
      <c r="AV6" s="100" t="s">
        <v>1976</v>
      </c>
      <c r="AW6" s="100" t="s">
        <v>1977</v>
      </c>
      <c r="AX6" s="100" t="s">
        <v>1978</v>
      </c>
      <c r="AY6" s="100" t="s">
        <v>1979</v>
      </c>
      <c r="AZ6" s="100" t="s">
        <v>1980</v>
      </c>
      <c r="BA6" s="100" t="s">
        <v>1981</v>
      </c>
      <c r="BB6" s="100" t="s">
        <v>1982</v>
      </c>
      <c r="BC6" s="100" t="s">
        <v>1983</v>
      </c>
      <c r="BD6" s="100" t="s">
        <v>1984</v>
      </c>
      <c r="BE6" s="100" t="s">
        <v>1985</v>
      </c>
      <c r="BF6" s="100" t="s">
        <v>1986</v>
      </c>
      <c r="BG6" s="100" t="s">
        <v>1987</v>
      </c>
      <c r="BH6" s="100" t="s">
        <v>1988</v>
      </c>
      <c r="BI6" s="100" t="s">
        <v>1989</v>
      </c>
      <c r="BJ6" s="100" t="s">
        <v>1990</v>
      </c>
      <c r="BK6" s="100" t="s">
        <v>1991</v>
      </c>
      <c r="BL6" s="100" t="s">
        <v>1992</v>
      </c>
      <c r="BM6" s="100" t="s">
        <v>1993</v>
      </c>
      <c r="BN6" s="100" t="s">
        <v>1994</v>
      </c>
      <c r="BO6" s="100" t="s">
        <v>1995</v>
      </c>
      <c r="BP6" s="100" t="s">
        <v>1996</v>
      </c>
      <c r="BQ6" s="100" t="s">
        <v>1997</v>
      </c>
      <c r="BR6" s="100" t="s">
        <v>1998</v>
      </c>
      <c r="BS6" s="100" t="s">
        <v>1999</v>
      </c>
      <c r="BT6" s="100" t="s">
        <v>2000</v>
      </c>
      <c r="BU6" s="100" t="s">
        <v>2001</v>
      </c>
      <c r="BV6" s="100" t="s">
        <v>2002</v>
      </c>
      <c r="BW6" s="100" t="s">
        <v>2003</v>
      </c>
      <c r="BX6" s="100" t="s">
        <v>2004</v>
      </c>
      <c r="BY6" s="100" t="s">
        <v>2005</v>
      </c>
      <c r="BZ6" s="100" t="s">
        <v>2006</v>
      </c>
      <c r="CA6" s="100" t="s">
        <v>2007</v>
      </c>
      <c r="CB6" s="100" t="s">
        <v>2008</v>
      </c>
      <c r="CC6" s="100" t="s">
        <v>2009</v>
      </c>
      <c r="CD6" s="100" t="s">
        <v>2010</v>
      </c>
      <c r="CE6" s="100" t="s">
        <v>2011</v>
      </c>
      <c r="CF6" s="100" t="s">
        <v>2012</v>
      </c>
      <c r="CG6" s="100" t="s">
        <v>2013</v>
      </c>
      <c r="CH6" s="100" t="s">
        <v>2014</v>
      </c>
      <c r="CI6" s="100" t="s">
        <v>2015</v>
      </c>
      <c r="CJ6" s="100" t="s">
        <v>2016</v>
      </c>
      <c r="CK6" s="100" t="s">
        <v>2017</v>
      </c>
      <c r="CL6" s="100" t="s">
        <v>2018</v>
      </c>
      <c r="CM6" s="100" t="s">
        <v>2019</v>
      </c>
      <c r="CN6" s="100" t="s">
        <v>2020</v>
      </c>
      <c r="CO6" s="100" t="s">
        <v>2021</v>
      </c>
      <c r="CP6" s="100" t="s">
        <v>2022</v>
      </c>
      <c r="CQ6" s="100" t="s">
        <v>2023</v>
      </c>
      <c r="CR6" s="100" t="s">
        <v>2024</v>
      </c>
      <c r="CS6" s="100" t="s">
        <v>2025</v>
      </c>
      <c r="CT6" s="100" t="s">
        <v>2026</v>
      </c>
      <c r="CU6" s="100" t="s">
        <v>2027</v>
      </c>
      <c r="CV6" s="100" t="s">
        <v>2028</v>
      </c>
      <c r="CW6" s="100" t="s">
        <v>2029</v>
      </c>
      <c r="CX6" s="100" t="s">
        <v>2030</v>
      </c>
      <c r="CY6" s="100" t="s">
        <v>2031</v>
      </c>
      <c r="CZ6" s="100" t="s">
        <v>2032</v>
      </c>
      <c r="DA6" s="100" t="s">
        <v>2033</v>
      </c>
      <c r="DB6" s="100" t="s">
        <v>2034</v>
      </c>
      <c r="DC6" s="100" t="s">
        <v>2035</v>
      </c>
      <c r="DD6" s="100" t="s">
        <v>2036</v>
      </c>
      <c r="DE6" s="100" t="s">
        <v>2037</v>
      </c>
      <c r="DF6" s="100" t="s">
        <v>2038</v>
      </c>
      <c r="DG6" s="100" t="s">
        <v>2039</v>
      </c>
      <c r="DH6" s="100" t="s">
        <v>2040</v>
      </c>
      <c r="DI6" s="100" t="s">
        <v>2041</v>
      </c>
      <c r="DJ6" s="100" t="s">
        <v>2042</v>
      </c>
      <c r="DK6" s="100" t="s">
        <v>2043</v>
      </c>
      <c r="DL6" s="100" t="s">
        <v>2044</v>
      </c>
      <c r="DM6" s="100" t="s">
        <v>2045</v>
      </c>
      <c r="DN6" s="100" t="s">
        <v>2046</v>
      </c>
      <c r="DO6" s="100" t="s">
        <v>2047</v>
      </c>
      <c r="DP6" s="100" t="s">
        <v>2048</v>
      </c>
      <c r="DQ6" s="100" t="s">
        <v>2049</v>
      </c>
      <c r="DR6" s="100" t="s">
        <v>2050</v>
      </c>
      <c r="DS6" s="100" t="s">
        <v>2051</v>
      </c>
      <c r="DT6" s="100" t="s">
        <v>2052</v>
      </c>
      <c r="DU6" s="100" t="s">
        <v>2053</v>
      </c>
      <c r="DV6" s="100" t="s">
        <v>2054</v>
      </c>
      <c r="DW6" s="100" t="s">
        <v>2055</v>
      </c>
      <c r="DX6" s="100" t="s">
        <v>2056</v>
      </c>
      <c r="DY6" s="100" t="s">
        <v>2057</v>
      </c>
      <c r="DZ6" s="100" t="s">
        <v>2058</v>
      </c>
      <c r="EA6" s="100" t="s">
        <v>2059</v>
      </c>
      <c r="EB6" s="100" t="s">
        <v>2060</v>
      </c>
      <c r="EC6" s="100" t="s">
        <v>2061</v>
      </c>
      <c r="ED6" s="100" t="s">
        <v>2062</v>
      </c>
      <c r="EE6" s="100" t="s">
        <v>2063</v>
      </c>
      <c r="EF6" s="100" t="s">
        <v>2064</v>
      </c>
      <c r="EG6" s="100" t="s">
        <v>2065</v>
      </c>
      <c r="EH6" s="100" t="s">
        <v>2066</v>
      </c>
      <c r="EI6" s="100" t="s">
        <v>2067</v>
      </c>
      <c r="EJ6" s="100" t="s">
        <v>2068</v>
      </c>
      <c r="EK6" s="100" t="s">
        <v>2069</v>
      </c>
      <c r="EL6" s="100" t="s">
        <v>2070</v>
      </c>
      <c r="EM6" s="100" t="s">
        <v>2071</v>
      </c>
      <c r="EN6" s="100" t="s">
        <v>2072</v>
      </c>
      <c r="EO6" s="100" t="s">
        <v>2073</v>
      </c>
      <c r="EP6" s="100" t="s">
        <v>2074</v>
      </c>
      <c r="EQ6" s="100" t="s">
        <v>2075</v>
      </c>
      <c r="ER6" s="100" t="s">
        <v>2076</v>
      </c>
      <c r="ES6" s="100" t="s">
        <v>2077</v>
      </c>
      <c r="ET6" s="100" t="s">
        <v>2078</v>
      </c>
      <c r="EU6" s="100" t="s">
        <v>2079</v>
      </c>
      <c r="EV6" s="100" t="s">
        <v>2080</v>
      </c>
      <c r="EW6" s="100" t="s">
        <v>2081</v>
      </c>
      <c r="EX6" s="100" t="s">
        <v>2082</v>
      </c>
      <c r="EY6" s="100" t="s">
        <v>2083</v>
      </c>
      <c r="EZ6" s="100" t="s">
        <v>2084</v>
      </c>
      <c r="FA6" s="100" t="s">
        <v>2085</v>
      </c>
      <c r="FB6" s="100" t="s">
        <v>2086</v>
      </c>
      <c r="FC6" s="100" t="s">
        <v>2087</v>
      </c>
      <c r="FD6" s="100" t="s">
        <v>2088</v>
      </c>
      <c r="FE6" s="100" t="s">
        <v>2089</v>
      </c>
      <c r="FF6" s="100" t="s">
        <v>2090</v>
      </c>
      <c r="FG6" s="100" t="s">
        <v>2091</v>
      </c>
      <c r="FH6" s="100" t="s">
        <v>2092</v>
      </c>
      <c r="FI6" s="100" t="s">
        <v>2093</v>
      </c>
      <c r="FJ6" s="100" t="s">
        <v>2094</v>
      </c>
      <c r="FK6" s="100" t="s">
        <v>2095</v>
      </c>
      <c r="FL6" s="100" t="s">
        <v>2096</v>
      </c>
      <c r="FM6" s="100" t="s">
        <v>2097</v>
      </c>
      <c r="FN6" s="100" t="s">
        <v>2098</v>
      </c>
      <c r="FO6" s="100" t="s">
        <v>2099</v>
      </c>
      <c r="FP6" s="100" t="s">
        <v>2100</v>
      </c>
      <c r="FQ6" s="100" t="s">
        <v>2101</v>
      </c>
      <c r="FR6" s="100" t="s">
        <v>2102</v>
      </c>
      <c r="FS6" s="100" t="s">
        <v>2103</v>
      </c>
      <c r="FT6" s="100" t="s">
        <v>2104</v>
      </c>
      <c r="FU6" s="100" t="s">
        <v>2105</v>
      </c>
      <c r="FV6" s="100" t="s">
        <v>2106</v>
      </c>
      <c r="FW6" s="100" t="s">
        <v>2107</v>
      </c>
      <c r="FX6" s="100" t="s">
        <v>2108</v>
      </c>
      <c r="FY6" s="100" t="s">
        <v>2109</v>
      </c>
      <c r="FZ6" s="100" t="s">
        <v>2110</v>
      </c>
      <c r="GA6" s="100" t="s">
        <v>2111</v>
      </c>
      <c r="GB6" s="100" t="s">
        <v>2112</v>
      </c>
      <c r="GC6" s="100" t="s">
        <v>2113</v>
      </c>
      <c r="GD6" s="100" t="s">
        <v>2114</v>
      </c>
      <c r="GE6" s="100" t="s">
        <v>2115</v>
      </c>
      <c r="GF6" s="100" t="s">
        <v>2116</v>
      </c>
      <c r="GG6" s="100" t="s">
        <v>2117</v>
      </c>
      <c r="GH6" s="100" t="s">
        <v>2118</v>
      </c>
      <c r="GI6" s="100" t="s">
        <v>2119</v>
      </c>
      <c r="GJ6" s="100" t="s">
        <v>2120</v>
      </c>
      <c r="GK6" s="100" t="s">
        <v>2121</v>
      </c>
      <c r="GL6" s="100" t="s">
        <v>2122</v>
      </c>
      <c r="GM6" s="100" t="s">
        <v>2123</v>
      </c>
      <c r="GN6" s="100" t="s">
        <v>2124</v>
      </c>
      <c r="GO6" s="100" t="s">
        <v>2125</v>
      </c>
      <c r="GP6" s="100" t="s">
        <v>2126</v>
      </c>
      <c r="GQ6" s="100" t="s">
        <v>2127</v>
      </c>
      <c r="GR6" s="100" t="s">
        <v>2128</v>
      </c>
      <c r="GS6" s="100" t="s">
        <v>2129</v>
      </c>
      <c r="GT6" s="100" t="s">
        <v>2130</v>
      </c>
      <c r="GU6" s="100" t="s">
        <v>2131</v>
      </c>
      <c r="GV6" s="100" t="s">
        <v>2132</v>
      </c>
      <c r="GW6" s="100" t="s">
        <v>2133</v>
      </c>
      <c r="GX6" s="100" t="s">
        <v>2134</v>
      </c>
      <c r="GY6" s="100" t="s">
        <v>2135</v>
      </c>
      <c r="GZ6" s="100" t="s">
        <v>2136</v>
      </c>
      <c r="HA6" s="100" t="s">
        <v>2137</v>
      </c>
      <c r="HB6" s="100" t="s">
        <v>2138</v>
      </c>
      <c r="HC6" s="100" t="s">
        <v>2139</v>
      </c>
      <c r="HD6" s="100" t="s">
        <v>2140</v>
      </c>
      <c r="HE6" s="100" t="s">
        <v>2141</v>
      </c>
      <c r="HF6" s="100" t="s">
        <v>2142</v>
      </c>
      <c r="HG6" s="100" t="s">
        <v>2143</v>
      </c>
      <c r="HH6" s="100" t="s">
        <v>2144</v>
      </c>
      <c r="HI6" s="100" t="s">
        <v>2145</v>
      </c>
      <c r="HJ6" s="100" t="s">
        <v>2146</v>
      </c>
      <c r="HK6" s="100" t="s">
        <v>2147</v>
      </c>
      <c r="HL6" s="100" t="s">
        <v>2148</v>
      </c>
      <c r="HM6" s="100" t="s">
        <v>2149</v>
      </c>
      <c r="HN6" s="100" t="s">
        <v>2150</v>
      </c>
      <c r="HO6" s="100" t="s">
        <v>2151</v>
      </c>
      <c r="HP6" s="100" t="s">
        <v>2152</v>
      </c>
      <c r="HQ6" s="100" t="s">
        <v>2153</v>
      </c>
      <c r="HR6" s="100" t="s">
        <v>2154</v>
      </c>
      <c r="HS6" s="100" t="s">
        <v>2155</v>
      </c>
      <c r="HT6" s="100" t="s">
        <v>2156</v>
      </c>
      <c r="HU6" s="100" t="s">
        <v>2157</v>
      </c>
      <c r="HV6" s="100" t="s">
        <v>2158</v>
      </c>
      <c r="HW6" s="100" t="s">
        <v>2159</v>
      </c>
      <c r="HX6" s="100" t="s">
        <v>2160</v>
      </c>
      <c r="HY6" s="100" t="s">
        <v>2161</v>
      </c>
      <c r="HZ6" s="100" t="s">
        <v>2162</v>
      </c>
      <c r="IA6" s="100" t="s">
        <v>2163</v>
      </c>
      <c r="IB6" s="100" t="s">
        <v>2164</v>
      </c>
      <c r="IC6" s="100" t="s">
        <v>2165</v>
      </c>
      <c r="ID6" s="100" t="s">
        <v>2166</v>
      </c>
      <c r="IE6" s="100" t="s">
        <v>2167</v>
      </c>
      <c r="IF6" s="100" t="s">
        <v>2168</v>
      </c>
      <c r="IG6" s="100" t="s">
        <v>2169</v>
      </c>
      <c r="IH6" s="100" t="s">
        <v>2170</v>
      </c>
      <c r="II6" s="100" t="s">
        <v>2171</v>
      </c>
      <c r="IJ6" s="100" t="s">
        <v>2172</v>
      </c>
      <c r="IK6" s="100" t="s">
        <v>2173</v>
      </c>
      <c r="IL6" s="100" t="s">
        <v>2174</v>
      </c>
      <c r="IM6" s="100" t="s">
        <v>2175</v>
      </c>
      <c r="IN6" s="100" t="s">
        <v>2176</v>
      </c>
      <c r="IO6" s="100" t="s">
        <v>2177</v>
      </c>
      <c r="IP6" s="100" t="s">
        <v>2178</v>
      </c>
      <c r="IQ6" s="100" t="s">
        <v>2179</v>
      </c>
      <c r="IR6" s="100" t="s">
        <v>2180</v>
      </c>
      <c r="IS6" s="100" t="s">
        <v>2181</v>
      </c>
      <c r="IT6" s="100" t="s">
        <v>2182</v>
      </c>
      <c r="IU6" s="100" t="s">
        <v>2183</v>
      </c>
      <c r="IV6" s="100" t="s">
        <v>2184</v>
      </c>
      <c r="IW6" s="100" t="s">
        <v>2185</v>
      </c>
      <c r="IX6" s="100" t="s">
        <v>2186</v>
      </c>
      <c r="IY6" s="100" t="s">
        <v>2187</v>
      </c>
      <c r="IZ6" s="100" t="s">
        <v>2188</v>
      </c>
      <c r="JA6" s="100" t="s">
        <v>2189</v>
      </c>
      <c r="JB6" s="100" t="s">
        <v>2190</v>
      </c>
      <c r="JC6" s="100" t="s">
        <v>2191</v>
      </c>
      <c r="JD6" s="100" t="s">
        <v>2192</v>
      </c>
      <c r="JE6" s="100" t="s">
        <v>2193</v>
      </c>
      <c r="JF6" s="100" t="s">
        <v>2194</v>
      </c>
      <c r="JG6" s="100" t="s">
        <v>2195</v>
      </c>
      <c r="JH6" s="100" t="s">
        <v>2196</v>
      </c>
      <c r="JI6" s="100" t="s">
        <v>2197</v>
      </c>
      <c r="JJ6" s="100" t="s">
        <v>2198</v>
      </c>
      <c r="JK6" s="100" t="s">
        <v>2199</v>
      </c>
      <c r="JL6" s="100" t="s">
        <v>2200</v>
      </c>
      <c r="JM6" s="100" t="s">
        <v>2201</v>
      </c>
      <c r="JN6" s="100" t="s">
        <v>2202</v>
      </c>
      <c r="JO6" s="100" t="s">
        <v>2203</v>
      </c>
      <c r="JP6" s="100" t="s">
        <v>2204</v>
      </c>
      <c r="JQ6" s="100" t="s">
        <v>2205</v>
      </c>
      <c r="JR6" s="100" t="s">
        <v>2206</v>
      </c>
      <c r="JS6" s="100" t="s">
        <v>2207</v>
      </c>
      <c r="JT6" s="100" t="s">
        <v>2208</v>
      </c>
      <c r="JU6" s="100" t="s">
        <v>2209</v>
      </c>
      <c r="JV6" s="100" t="s">
        <v>2210</v>
      </c>
      <c r="JW6" s="100" t="s">
        <v>2211</v>
      </c>
      <c r="JX6" s="100" t="s">
        <v>2212</v>
      </c>
      <c r="JY6" s="100" t="s">
        <v>2213</v>
      </c>
      <c r="JZ6" s="100" t="s">
        <v>2214</v>
      </c>
      <c r="KA6" s="100" t="s">
        <v>2215</v>
      </c>
      <c r="KB6" s="100" t="s">
        <v>2216</v>
      </c>
      <c r="KC6" s="100" t="s">
        <v>2217</v>
      </c>
      <c r="KD6" s="100" t="s">
        <v>2218</v>
      </c>
      <c r="KE6" s="100" t="s">
        <v>2219</v>
      </c>
      <c r="KF6" s="100" t="s">
        <v>2220</v>
      </c>
      <c r="KG6" s="100" t="s">
        <v>2221</v>
      </c>
      <c r="KH6" s="100" t="s">
        <v>2222</v>
      </c>
      <c r="KI6" s="100" t="s">
        <v>2223</v>
      </c>
      <c r="KJ6" s="100" t="s">
        <v>2224</v>
      </c>
      <c r="KK6" s="100" t="s">
        <v>2225</v>
      </c>
      <c r="KL6" s="100" t="s">
        <v>2226</v>
      </c>
      <c r="KM6" s="100" t="s">
        <v>2227</v>
      </c>
      <c r="KN6" s="100" t="s">
        <v>2228</v>
      </c>
      <c r="KO6" s="100" t="s">
        <v>2229</v>
      </c>
      <c r="KP6" s="100" t="s">
        <v>2230</v>
      </c>
      <c r="KQ6" s="100" t="s">
        <v>2231</v>
      </c>
      <c r="KR6" s="100" t="s">
        <v>2232</v>
      </c>
      <c r="KS6" s="100" t="s">
        <v>2233</v>
      </c>
      <c r="KT6" s="100" t="s">
        <v>2234</v>
      </c>
      <c r="KU6" s="100" t="s">
        <v>2235</v>
      </c>
      <c r="KV6" s="100" t="s">
        <v>2236</v>
      </c>
      <c r="KW6" s="100" t="s">
        <v>2237</v>
      </c>
      <c r="KX6" s="100" t="s">
        <v>2238</v>
      </c>
      <c r="KY6" s="100" t="s">
        <v>2239</v>
      </c>
      <c r="KZ6" s="100" t="s">
        <v>2240</v>
      </c>
      <c r="LA6" s="100" t="s">
        <v>2241</v>
      </c>
      <c r="LB6" s="100" t="s">
        <v>2242</v>
      </c>
      <c r="LC6" s="100" t="s">
        <v>2243</v>
      </c>
      <c r="LD6" s="100" t="s">
        <v>2244</v>
      </c>
      <c r="LE6" s="100" t="s">
        <v>2245</v>
      </c>
      <c r="LF6" s="100" t="s">
        <v>2246</v>
      </c>
      <c r="LG6" s="100" t="s">
        <v>2247</v>
      </c>
      <c r="LH6" s="100" t="s">
        <v>2248</v>
      </c>
      <c r="LI6" s="100" t="s">
        <v>2249</v>
      </c>
      <c r="LJ6" s="100" t="s">
        <v>2250</v>
      </c>
      <c r="LK6" s="100" t="s">
        <v>2251</v>
      </c>
      <c r="LL6" s="100" t="s">
        <v>2252</v>
      </c>
      <c r="LM6" s="100" t="s">
        <v>2253</v>
      </c>
      <c r="LN6" s="100" t="s">
        <v>2254</v>
      </c>
      <c r="LO6" s="100" t="s">
        <v>2255</v>
      </c>
      <c r="LP6" s="100" t="s">
        <v>2256</v>
      </c>
      <c r="LQ6" s="100" t="s">
        <v>2257</v>
      </c>
      <c r="LR6" s="100" t="s">
        <v>2258</v>
      </c>
      <c r="LS6" s="100" t="s">
        <v>2259</v>
      </c>
      <c r="LT6" s="100" t="s">
        <v>2260</v>
      </c>
      <c r="LU6" s="100" t="s">
        <v>2261</v>
      </c>
      <c r="LV6" s="100" t="s">
        <v>2262</v>
      </c>
      <c r="LW6" s="100" t="s">
        <v>2263</v>
      </c>
      <c r="LX6" s="100" t="s">
        <v>2264</v>
      </c>
      <c r="LY6" s="100" t="s">
        <v>2265</v>
      </c>
      <c r="LZ6" s="100" t="s">
        <v>2266</v>
      </c>
      <c r="MA6" s="100" t="s">
        <v>2267</v>
      </c>
      <c r="MB6" s="100" t="s">
        <v>2268</v>
      </c>
      <c r="MC6" s="100" t="s">
        <v>2269</v>
      </c>
      <c r="MD6" s="100" t="s">
        <v>2270</v>
      </c>
      <c r="ME6" s="100" t="s">
        <v>2271</v>
      </c>
      <c r="MF6" s="100" t="s">
        <v>2272</v>
      </c>
      <c r="MG6" s="100" t="s">
        <v>2273</v>
      </c>
      <c r="MH6" s="100" t="s">
        <v>2274</v>
      </c>
      <c r="MI6" s="100" t="s">
        <v>2275</v>
      </c>
      <c r="MJ6" s="100" t="s">
        <v>2276</v>
      </c>
      <c r="MK6" s="100" t="s">
        <v>2277</v>
      </c>
      <c r="ML6" s="100" t="s">
        <v>2278</v>
      </c>
      <c r="MM6" s="100" t="s">
        <v>2279</v>
      </c>
      <c r="MN6" s="100" t="s">
        <v>2280</v>
      </c>
      <c r="MO6" s="100" t="s">
        <v>2281</v>
      </c>
      <c r="MP6" s="100" t="s">
        <v>2282</v>
      </c>
      <c r="MQ6" s="100" t="s">
        <v>2283</v>
      </c>
      <c r="MR6" s="100" t="s">
        <v>2284</v>
      </c>
      <c r="MS6" s="100" t="s">
        <v>2285</v>
      </c>
      <c r="MT6" s="100" t="s">
        <v>2286</v>
      </c>
      <c r="MU6" s="100" t="s">
        <v>2287</v>
      </c>
      <c r="MV6" s="100" t="s">
        <v>2288</v>
      </c>
      <c r="MW6" s="100" t="s">
        <v>2289</v>
      </c>
      <c r="MX6" s="100" t="s">
        <v>2290</v>
      </c>
      <c r="MY6" s="100" t="s">
        <v>2291</v>
      </c>
      <c r="MZ6" s="100" t="s">
        <v>2292</v>
      </c>
      <c r="NA6" s="100" t="s">
        <v>2293</v>
      </c>
      <c r="NB6" s="100" t="s">
        <v>2294</v>
      </c>
      <c r="NC6" s="100" t="s">
        <v>2295</v>
      </c>
      <c r="ND6" s="100" t="s">
        <v>2296</v>
      </c>
      <c r="NE6" s="100" t="s">
        <v>2297</v>
      </c>
      <c r="NF6" s="100" t="s">
        <v>2298</v>
      </c>
      <c r="NG6" s="100" t="s">
        <v>2299</v>
      </c>
      <c r="NH6" s="100" t="s">
        <v>2300</v>
      </c>
      <c r="NI6" s="100" t="s">
        <v>2301</v>
      </c>
      <c r="NJ6" s="100" t="s">
        <v>2302</v>
      </c>
      <c r="NK6" s="100" t="s">
        <v>2303</v>
      </c>
      <c r="NL6" s="100" t="s">
        <v>2304</v>
      </c>
      <c r="NM6" s="100" t="s">
        <v>2305</v>
      </c>
      <c r="NN6" s="100" t="s">
        <v>2306</v>
      </c>
      <c r="NO6" s="100" t="s">
        <v>2307</v>
      </c>
      <c r="NP6" s="100" t="s">
        <v>2308</v>
      </c>
      <c r="NQ6" s="100" t="s">
        <v>2309</v>
      </c>
      <c r="NR6" s="100" t="s">
        <v>2310</v>
      </c>
      <c r="NS6" s="100" t="s">
        <v>2311</v>
      </c>
      <c r="NT6" s="100" t="s">
        <v>2312</v>
      </c>
      <c r="NU6" s="100" t="s">
        <v>2313</v>
      </c>
      <c r="NV6" s="100" t="s">
        <v>2314</v>
      </c>
      <c r="NW6" s="100" t="s">
        <v>2315</v>
      </c>
      <c r="NX6" s="100" t="s">
        <v>2316</v>
      </c>
      <c r="NY6" s="100" t="s">
        <v>2317</v>
      </c>
      <c r="NZ6" s="100" t="s">
        <v>2318</v>
      </c>
      <c r="OA6" s="100" t="s">
        <v>2319</v>
      </c>
      <c r="OB6" s="100" t="s">
        <v>2320</v>
      </c>
      <c r="OC6" s="100" t="s">
        <v>2321</v>
      </c>
      <c r="OD6" s="100" t="s">
        <v>2322</v>
      </c>
      <c r="OE6" s="100" t="s">
        <v>2323</v>
      </c>
      <c r="OF6" s="100" t="s">
        <v>2324</v>
      </c>
      <c r="OG6" s="100" t="s">
        <v>2325</v>
      </c>
      <c r="OH6" s="100" t="s">
        <v>2326</v>
      </c>
      <c r="OI6" s="100" t="s">
        <v>2327</v>
      </c>
      <c r="OJ6" s="100" t="s">
        <v>2328</v>
      </c>
      <c r="OK6" s="100" t="s">
        <v>2329</v>
      </c>
      <c r="OL6" s="100" t="s">
        <v>2330</v>
      </c>
      <c r="OM6" s="100" t="s">
        <v>2331</v>
      </c>
      <c r="ON6" s="100" t="s">
        <v>2332</v>
      </c>
      <c r="OO6" s="100" t="s">
        <v>2333</v>
      </c>
      <c r="OP6" s="100" t="s">
        <v>2334</v>
      </c>
      <c r="OQ6" s="100" t="s">
        <v>2335</v>
      </c>
      <c r="OR6" s="100" t="s">
        <v>2336</v>
      </c>
      <c r="OS6" s="100" t="s">
        <v>2337</v>
      </c>
      <c r="OT6" s="100" t="s">
        <v>2338</v>
      </c>
      <c r="OU6" s="100" t="s">
        <v>2339</v>
      </c>
      <c r="OV6" s="100" t="s">
        <v>2340</v>
      </c>
      <c r="OW6" s="100" t="s">
        <v>2341</v>
      </c>
      <c r="OX6" s="100" t="s">
        <v>2342</v>
      </c>
      <c r="OY6" s="100" t="s">
        <v>2343</v>
      </c>
      <c r="OZ6" s="100" t="s">
        <v>2344</v>
      </c>
      <c r="PA6" s="100" t="s">
        <v>2345</v>
      </c>
      <c r="PB6" s="100" t="s">
        <v>2346</v>
      </c>
      <c r="PC6" s="100" t="s">
        <v>2347</v>
      </c>
      <c r="PD6" s="100" t="s">
        <v>2348</v>
      </c>
      <c r="PE6" s="100" t="s">
        <v>2349</v>
      </c>
      <c r="PF6" s="100" t="s">
        <v>2350</v>
      </c>
      <c r="PG6" s="100" t="s">
        <v>2351</v>
      </c>
      <c r="PH6" s="100" t="s">
        <v>2352</v>
      </c>
      <c r="PI6" s="100" t="s">
        <v>2353</v>
      </c>
      <c r="PJ6" s="100" t="s">
        <v>2354</v>
      </c>
      <c r="PK6" s="100" t="s">
        <v>2355</v>
      </c>
      <c r="PL6" s="100" t="s">
        <v>2356</v>
      </c>
      <c r="PM6" s="100" t="s">
        <v>2357</v>
      </c>
      <c r="PN6" s="100" t="s">
        <v>2358</v>
      </c>
      <c r="PO6" s="100" t="s">
        <v>2359</v>
      </c>
      <c r="PP6" s="100" t="s">
        <v>2360</v>
      </c>
      <c r="PQ6" s="100" t="s">
        <v>2361</v>
      </c>
      <c r="PR6" s="100" t="s">
        <v>2362</v>
      </c>
      <c r="PS6" s="100" t="s">
        <v>2363</v>
      </c>
      <c r="PT6" s="100" t="s">
        <v>2364</v>
      </c>
      <c r="PU6" s="100" t="s">
        <v>2365</v>
      </c>
      <c r="PV6" s="100" t="s">
        <v>2366</v>
      </c>
      <c r="PW6" s="100" t="s">
        <v>2367</v>
      </c>
      <c r="PX6" s="100" t="s">
        <v>2368</v>
      </c>
      <c r="PY6" s="100" t="s">
        <v>2369</v>
      </c>
      <c r="PZ6" s="100" t="s">
        <v>2370</v>
      </c>
      <c r="QA6" s="100" t="s">
        <v>2371</v>
      </c>
      <c r="QB6" s="100" t="s">
        <v>2372</v>
      </c>
      <c r="QC6" s="100" t="s">
        <v>2373</v>
      </c>
      <c r="QD6" s="100" t="s">
        <v>2374</v>
      </c>
      <c r="QE6" s="100" t="s">
        <v>2375</v>
      </c>
      <c r="QF6" s="100" t="s">
        <v>2376</v>
      </c>
      <c r="QG6" s="100" t="s">
        <v>2377</v>
      </c>
      <c r="QH6" s="100" t="s">
        <v>2378</v>
      </c>
      <c r="QI6" s="100" t="s">
        <v>2379</v>
      </c>
      <c r="QJ6" s="100" t="s">
        <v>2380</v>
      </c>
      <c r="QK6" s="100" t="s">
        <v>2381</v>
      </c>
      <c r="QL6" s="100" t="s">
        <v>2382</v>
      </c>
      <c r="QM6" s="100" t="s">
        <v>2383</v>
      </c>
      <c r="QN6" s="100" t="s">
        <v>2384</v>
      </c>
      <c r="QO6" s="100" t="s">
        <v>2385</v>
      </c>
      <c r="QP6" s="100" t="s">
        <v>2386</v>
      </c>
      <c r="QQ6" s="100" t="s">
        <v>2387</v>
      </c>
      <c r="QR6" s="100" t="s">
        <v>2388</v>
      </c>
      <c r="QS6" s="100" t="s">
        <v>2389</v>
      </c>
      <c r="QT6" s="100" t="s">
        <v>2390</v>
      </c>
      <c r="QU6" s="100" t="s">
        <v>2391</v>
      </c>
      <c r="QV6" s="100" t="s">
        <v>2392</v>
      </c>
      <c r="QW6" s="100" t="s">
        <v>2393</v>
      </c>
      <c r="QX6" s="100" t="s">
        <v>2394</v>
      </c>
      <c r="QY6" s="100" t="s">
        <v>2395</v>
      </c>
      <c r="QZ6" s="100" t="s">
        <v>2396</v>
      </c>
      <c r="RA6" s="100" t="s">
        <v>2397</v>
      </c>
      <c r="RB6" s="100" t="s">
        <v>2398</v>
      </c>
      <c r="RC6" s="100" t="s">
        <v>2399</v>
      </c>
      <c r="RD6" s="100" t="s">
        <v>2400</v>
      </c>
      <c r="RE6" s="100" t="s">
        <v>2401</v>
      </c>
      <c r="RF6" s="100" t="s">
        <v>2402</v>
      </c>
      <c r="RG6" s="100" t="s">
        <v>2403</v>
      </c>
      <c r="RH6" s="100" t="s">
        <v>2404</v>
      </c>
      <c r="RI6" s="100" t="s">
        <v>2405</v>
      </c>
      <c r="RJ6" s="100" t="s">
        <v>2406</v>
      </c>
      <c r="RK6" s="100" t="s">
        <v>2407</v>
      </c>
      <c r="RL6" s="100" t="s">
        <v>2408</v>
      </c>
      <c r="RM6" s="100" t="s">
        <v>2409</v>
      </c>
      <c r="RN6" s="100" t="s">
        <v>2410</v>
      </c>
      <c r="RO6" s="100" t="s">
        <v>2411</v>
      </c>
      <c r="RP6" s="100" t="s">
        <v>2412</v>
      </c>
      <c r="RQ6" s="100" t="s">
        <v>2413</v>
      </c>
      <c r="RR6" s="100" t="s">
        <v>2414</v>
      </c>
      <c r="RS6" s="100" t="s">
        <v>2415</v>
      </c>
      <c r="RT6" s="100" t="s">
        <v>2416</v>
      </c>
      <c r="RU6" s="100" t="s">
        <v>2417</v>
      </c>
      <c r="RV6" s="100" t="s">
        <v>2418</v>
      </c>
      <c r="RW6" s="100" t="s">
        <v>2419</v>
      </c>
      <c r="RX6" s="100" t="s">
        <v>2420</v>
      </c>
      <c r="RY6" s="100" t="s">
        <v>2421</v>
      </c>
      <c r="RZ6" s="100" t="s">
        <v>2422</v>
      </c>
      <c r="SA6" s="100" t="s">
        <v>2423</v>
      </c>
      <c r="SB6" s="100" t="s">
        <v>2424</v>
      </c>
      <c r="SC6" s="100" t="s">
        <v>2425</v>
      </c>
      <c r="SD6" s="100" t="s">
        <v>2426</v>
      </c>
      <c r="SE6" s="100" t="s">
        <v>2427</v>
      </c>
      <c r="SF6" s="100" t="s">
        <v>2428</v>
      </c>
      <c r="SG6" s="100" t="s">
        <v>2429</v>
      </c>
      <c r="SH6" s="100" t="s">
        <v>2430</v>
      </c>
      <c r="SI6" s="100" t="s">
        <v>2431</v>
      </c>
      <c r="SJ6" s="100" t="s">
        <v>2432</v>
      </c>
      <c r="SK6" s="100" t="s">
        <v>2433</v>
      </c>
      <c r="SL6" s="100" t="s">
        <v>2434</v>
      </c>
      <c r="SM6" s="100" t="s">
        <v>2435</v>
      </c>
      <c r="SN6" s="100" t="s">
        <v>2436</v>
      </c>
      <c r="SO6" s="100" t="s">
        <v>2437</v>
      </c>
      <c r="SP6" s="100" t="s">
        <v>2438</v>
      </c>
      <c r="SQ6" s="100" t="s">
        <v>2439</v>
      </c>
      <c r="SR6" s="100" t="s">
        <v>2440</v>
      </c>
      <c r="SS6" s="100" t="s">
        <v>2441</v>
      </c>
      <c r="ST6" s="100" t="s">
        <v>2442</v>
      </c>
      <c r="SU6" s="100" t="s">
        <v>2443</v>
      </c>
      <c r="SV6" s="100" t="s">
        <v>2444</v>
      </c>
      <c r="SW6" s="100" t="s">
        <v>2445</v>
      </c>
      <c r="SX6" s="100" t="s">
        <v>2446</v>
      </c>
      <c r="SY6" s="100" t="s">
        <v>2447</v>
      </c>
      <c r="SZ6" s="100" t="s">
        <v>2448</v>
      </c>
      <c r="TA6" s="100" t="s">
        <v>2449</v>
      </c>
      <c r="TB6" s="100" t="s">
        <v>2450</v>
      </c>
      <c r="TC6" s="100" t="s">
        <v>2451</v>
      </c>
      <c r="TD6" s="100" t="s">
        <v>2452</v>
      </c>
      <c r="TE6" s="100" t="s">
        <v>2453</v>
      </c>
      <c r="TF6" s="100" t="s">
        <v>2454</v>
      </c>
      <c r="TG6" s="100" t="s">
        <v>2455</v>
      </c>
      <c r="TH6" s="100" t="s">
        <v>2456</v>
      </c>
      <c r="TI6" s="100" t="s">
        <v>2457</v>
      </c>
      <c r="TJ6" s="100" t="s">
        <v>2458</v>
      </c>
      <c r="TK6" s="100" t="s">
        <v>2459</v>
      </c>
      <c r="TL6" s="100" t="s">
        <v>2460</v>
      </c>
      <c r="TM6" s="100" t="s">
        <v>2461</v>
      </c>
      <c r="TN6" s="100" t="s">
        <v>2462</v>
      </c>
      <c r="TO6" s="100" t="s">
        <v>2463</v>
      </c>
      <c r="TP6" s="100" t="s">
        <v>2464</v>
      </c>
      <c r="TQ6" s="100" t="s">
        <v>2465</v>
      </c>
      <c r="TR6" s="100" t="s">
        <v>2466</v>
      </c>
      <c r="TS6" s="100" t="s">
        <v>2467</v>
      </c>
      <c r="TT6" s="100" t="s">
        <v>1888</v>
      </c>
      <c r="TU6" s="100" t="s">
        <v>2468</v>
      </c>
      <c r="TV6" s="100" t="s">
        <v>2469</v>
      </c>
      <c r="TW6" s="100" t="s">
        <v>2470</v>
      </c>
      <c r="TX6" s="100" t="s">
        <v>2471</v>
      </c>
      <c r="TY6" s="100" t="s">
        <v>2472</v>
      </c>
      <c r="TZ6" s="100" t="s">
        <v>2473</v>
      </c>
      <c r="UA6" s="100" t="s">
        <v>2474</v>
      </c>
      <c r="UB6" s="100" t="s">
        <v>2475</v>
      </c>
      <c r="UC6" s="100" t="s">
        <v>2476</v>
      </c>
      <c r="UD6" s="100" t="s">
        <v>2477</v>
      </c>
      <c r="UE6" s="100" t="s">
        <v>2478</v>
      </c>
      <c r="UF6" s="100" t="s">
        <v>2479</v>
      </c>
      <c r="UG6" s="100" t="s">
        <v>2480</v>
      </c>
      <c r="UH6" s="100" t="s">
        <v>2481</v>
      </c>
      <c r="UI6" s="100" t="s">
        <v>2482</v>
      </c>
    </row>
    <row r="7" customFormat="false" ht="15" hidden="false" customHeight="true" outlineLevel="0" collapsed="false">
      <c r="A7" s="1" t="s">
        <v>1931</v>
      </c>
      <c r="N7" s="110" t="n">
        <f aca="false">F_CardBal</f>
        <v>0</v>
      </c>
      <c r="Q7" s="110" t="n">
        <f aca="false">F_LoanBal</f>
        <v>0</v>
      </c>
      <c r="S7" s="110" t="n">
        <f aca="false">Init_Free0</f>
        <v>0</v>
      </c>
      <c r="AE7" s="110" t="n">
        <f aca="false">Init_Buf0</f>
        <v>0</v>
      </c>
      <c r="HQ7" s="110" t="n">
        <f aca="false">F_MortBal</f>
        <v>0</v>
      </c>
      <c r="HS7" s="110" t="n">
        <v>0</v>
      </c>
      <c r="QJ7" s="110" t="n">
        <f aca="false">Init_Free1</f>
        <v>0</v>
      </c>
      <c r="QK7" s="110" t="n">
        <f aca="false">Init_Buf0</f>
        <v>0</v>
      </c>
      <c r="QL7" s="110" t="n">
        <f aca="false">Slot1_Pot0</f>
        <v>0</v>
      </c>
      <c r="QP7" s="110" t="n">
        <f aca="false">Slot2_Pot0</f>
        <v>0</v>
      </c>
      <c r="QT7" s="110" t="n">
        <f aca="false">Slot3_Pot0</f>
        <v>0</v>
      </c>
      <c r="QX7" s="110" t="n">
        <f aca="false">Slot4_Pot0</f>
        <v>0</v>
      </c>
      <c r="RB7" s="110" t="n">
        <f aca="false">Slot5_Pot0</f>
        <v>0</v>
      </c>
      <c r="RF7" s="110" t="n">
        <f aca="false">Slot6_Pot0</f>
        <v>0</v>
      </c>
      <c r="RJ7" s="110" t="n">
        <f aca="false">Slot7_Pot0</f>
        <v>0</v>
      </c>
      <c r="RN7" s="110" t="n">
        <f aca="false">Slot8_Pot0</f>
        <v>0</v>
      </c>
      <c r="RR7" s="110" t="n">
        <f aca="false">Slot9_Pot0</f>
        <v>0</v>
      </c>
      <c r="RV7" s="110" t="n">
        <f aca="false">Slot10_Pot0</f>
        <v>0</v>
      </c>
      <c r="RZ7" s="110" t="n">
        <f aca="false">Slot11_Pot0</f>
        <v>0</v>
      </c>
      <c r="SD7" s="110" t="n">
        <f aca="false">Slot12_Pot0</f>
        <v>0</v>
      </c>
      <c r="SH7" s="110" t="n">
        <f aca="false">Slot13_Pot0</f>
        <v>0</v>
      </c>
      <c r="SL7" s="110" t="n">
        <f aca="false">Slot14_Pot0</f>
        <v>0</v>
      </c>
      <c r="SP7" s="110" t="n">
        <f aca="false">Slot15_Pot0</f>
        <v>0</v>
      </c>
      <c r="ST7" s="110" t="n">
        <f aca="false">Slot16_Pot0</f>
        <v>0</v>
      </c>
      <c r="SX7" s="110" t="n">
        <f aca="false">Slot17_Pot0</f>
        <v>0</v>
      </c>
      <c r="TB7" s="110" t="n">
        <f aca="false">Slot18_Pot0</f>
        <v>0</v>
      </c>
      <c r="TF7" s="110" t="n">
        <f aca="false">Slot19_Pot0</f>
        <v>0</v>
      </c>
      <c r="TJ7" s="110" t="n">
        <f aca="false">Slot20_Pot0</f>
        <v>0</v>
      </c>
      <c r="UE7" s="110" t="n">
        <v>0</v>
      </c>
    </row>
    <row r="8" customFormat="false" ht="15" hidden="false" customHeight="true" outlineLevel="0" collapsed="false">
      <c r="B8" s="1" t="n">
        <v>0</v>
      </c>
      <c r="C8" s="1" t="n">
        <f aca="false">IF(B8&lt;=F_N,1,0)</f>
        <v>1</v>
      </c>
      <c r="D8" s="1" t="n">
        <f aca="false">'Plan pay &amp; tax'!C234</f>
        <v>0</v>
      </c>
      <c r="E8" s="111" t="n">
        <f aca="false">'Plan pay &amp; tax'!E234</f>
        <v>1</v>
      </c>
      <c r="F8" s="1" t="n">
        <f aca="false">'Plan pay &amp; tax'!G234</f>
        <v>1</v>
      </c>
      <c r="G8" s="1" t="n">
        <f aca="false">'Plan pay &amp; tax'!BT234-'Plan pay &amp; tax'!BS234-'Plan pay &amp; tax'!R234</f>
        <v>0</v>
      </c>
      <c r="H8" s="1" t="n">
        <f aca="false">IF(F8=1,F_CostsM*12,IF(RG_Exists=1,RG_Amount,F_CostsM*12*AS_RetireSpend))*E8+F_OneOffY*E8</f>
        <v>0</v>
      </c>
      <c r="I8" s="1" t="n">
        <f aca="false">HQ7</f>
        <v>0</v>
      </c>
      <c r="J8" s="1" t="n">
        <f aca="false">IF(I8&gt;1,'Plan debt months'!AC8,0)</f>
        <v>0</v>
      </c>
      <c r="K8" s="1" t="n">
        <f aca="false">IF(I8&gt;1,'Plan debt months'!AB8,I8)</f>
        <v>0</v>
      </c>
      <c r="L8" s="1" t="n">
        <f aca="false">N7</f>
        <v>0</v>
      </c>
      <c r="M8" s="1" t="n">
        <f aca="false">IF(L8&gt;1,'Plan debt months'!BD8,0)</f>
        <v>0</v>
      </c>
      <c r="N8" s="1" t="n">
        <f aca="false">IF(L8&gt;1,'Plan debt months'!BC8,L8)</f>
        <v>0</v>
      </c>
      <c r="O8" s="1" t="n">
        <f aca="false">Q7</f>
        <v>0</v>
      </c>
      <c r="P8" s="1" t="n">
        <f aca="false">IF(O8&gt;1,'Plan debt months'!CE8,0)</f>
        <v>0</v>
      </c>
      <c r="Q8" s="1" t="n">
        <f aca="false">IF(O8&gt;1,'Plan debt months'!CD8,O8)</f>
        <v>0</v>
      </c>
      <c r="R8" s="1" t="n">
        <f aca="false">J8+M8+P8</f>
        <v>0</v>
      </c>
      <c r="S8" s="1" t="n">
        <f aca="false">QJ7+'Plan pay &amp; tax'!Y234</f>
        <v>0</v>
      </c>
      <c r="T8" s="1" t="n">
        <f aca="false">QJ7</f>
        <v>0</v>
      </c>
      <c r="U8" s="1" t="n">
        <f aca="false">IF(AND(Slot1_On=1,D8=Slot1_Age),1,0)</f>
        <v>0</v>
      </c>
      <c r="V8" s="1" t="n">
        <f aca="false">IF(AND(Slot1_On=1,Slot1_Age&gt;D8),1,0)</f>
        <v>0</v>
      </c>
      <c r="W8" s="1" t="n">
        <f aca="false">QL7</f>
        <v>0</v>
      </c>
      <c r="X8" s="1" t="n">
        <f aca="false">U8*MIN(Slot1_Cost,W8)</f>
        <v>0</v>
      </c>
      <c r="Y8" s="1" t="n">
        <f aca="false">U8*Slot1_SpendLike*MIN(Slot1_Cost-X8,S8)</f>
        <v>0</v>
      </c>
      <c r="Z8" s="1" t="n">
        <f aca="false">X8+Y8</f>
        <v>0</v>
      </c>
      <c r="AA8" s="1" t="n">
        <f aca="false">S8-Y8+U8*IF(Slot1_SpendLike=1,W8-X8,IF(Slot1_PotFree=1,W8,0))</f>
        <v>0</v>
      </c>
      <c r="AB8" s="1" t="n">
        <f aca="false">AE8+U8*Slot1_BufPot*W8</f>
        <v>0</v>
      </c>
      <c r="AC8" s="1" t="n">
        <f aca="false">IF(AND(U8=1,Slot1_IsMfree=1),IF(Z8&gt;=Slot1_Cost-1,0,MAX(0,K8-Z8)),K8)</f>
        <v>0</v>
      </c>
      <c r="AD8" s="1" t="n">
        <f aca="false">U8*(Slot1_Cost-Z8)</f>
        <v>0</v>
      </c>
      <c r="AE8" s="1" t="n">
        <f aca="false">QK7</f>
        <v>0</v>
      </c>
      <c r="AF8" s="1" t="n">
        <f aca="false">IF(AND(Slot2_On=1,D8=Slot2_Age),1,0)</f>
        <v>0</v>
      </c>
      <c r="AG8" s="1" t="n">
        <f aca="false">IF(AND(Slot2_On=1,Slot2_Age&gt;D8),1,0)</f>
        <v>0</v>
      </c>
      <c r="AH8" s="1" t="n">
        <f aca="false">QP7</f>
        <v>0</v>
      </c>
      <c r="AI8" s="1" t="n">
        <f aca="false">AF8*MIN(Slot2_Cost,AH8)</f>
        <v>0</v>
      </c>
      <c r="AJ8" s="1" t="n">
        <f aca="false">AF8*Slot2_SpendLike*MIN(Slot2_Cost-AI8,AA8)</f>
        <v>0</v>
      </c>
      <c r="AK8" s="1" t="n">
        <f aca="false">AI8+AJ8</f>
        <v>0</v>
      </c>
      <c r="AL8" s="1" t="n">
        <f aca="false">AA8-AJ8+AF8*IF(Slot2_SpendLike=1,AH8-AI8,IF(Slot2_PotFree=1,AH8,0))</f>
        <v>0</v>
      </c>
      <c r="AM8" s="1" t="n">
        <f aca="false">AB8+AF8*Slot2_BufPot*AH8</f>
        <v>0</v>
      </c>
      <c r="AN8" s="1" t="n">
        <f aca="false">IF(AND(AF8=1,Slot2_IsMfree=1),IF(AK8&gt;=Slot2_Cost-1,0,MAX(0,AC8-AK8)),AC8)</f>
        <v>0</v>
      </c>
      <c r="AO8" s="1" t="n">
        <f aca="false">AF8*(Slot2_Cost-AK8)</f>
        <v>0</v>
      </c>
      <c r="AP8" s="1" t="n">
        <f aca="false">IF(AND(Slot3_On=1,D8=Slot3_Age),1,0)</f>
        <v>0</v>
      </c>
      <c r="AQ8" s="1" t="n">
        <f aca="false">IF(AND(Slot3_On=1,Slot3_Age&gt;D8),1,0)</f>
        <v>0</v>
      </c>
      <c r="AR8" s="1" t="n">
        <f aca="false">QT7</f>
        <v>0</v>
      </c>
      <c r="AS8" s="1" t="n">
        <f aca="false">AP8*MIN(Slot3_Cost,AR8)</f>
        <v>0</v>
      </c>
      <c r="AT8" s="1" t="n">
        <f aca="false">AP8*Slot3_SpendLike*MIN(Slot3_Cost-AS8,AL8)</f>
        <v>0</v>
      </c>
      <c r="AU8" s="1" t="n">
        <f aca="false">AS8+AT8</f>
        <v>0</v>
      </c>
      <c r="AV8" s="1" t="n">
        <f aca="false">AL8-AT8+AP8*IF(Slot3_SpendLike=1,AR8-AS8,IF(Slot3_PotFree=1,AR8,0))</f>
        <v>0</v>
      </c>
      <c r="AW8" s="1" t="n">
        <f aca="false">AM8+AP8*Slot3_BufPot*AR8</f>
        <v>0</v>
      </c>
      <c r="AX8" s="1" t="n">
        <f aca="false">IF(AND(AP8=1,Slot3_IsMfree=1),IF(AU8&gt;=Slot3_Cost-1,0,MAX(0,AN8-AU8)),AN8)</f>
        <v>0</v>
      </c>
      <c r="AY8" s="1" t="n">
        <f aca="false">AP8*(Slot3_Cost-AU8)</f>
        <v>0</v>
      </c>
      <c r="AZ8" s="1" t="n">
        <f aca="false">IF(AND(Slot4_On=1,D8=Slot4_Age),1,0)</f>
        <v>0</v>
      </c>
      <c r="BA8" s="1" t="n">
        <f aca="false">IF(AND(Slot4_On=1,Slot4_Age&gt;D8),1,0)</f>
        <v>0</v>
      </c>
      <c r="BB8" s="1" t="n">
        <f aca="false">QX7</f>
        <v>0</v>
      </c>
      <c r="BC8" s="1" t="n">
        <f aca="false">AZ8*MIN(Slot4_Cost,BB8)</f>
        <v>0</v>
      </c>
      <c r="BD8" s="1" t="n">
        <f aca="false">AZ8*Slot4_SpendLike*MIN(Slot4_Cost-BC8,AV8)</f>
        <v>0</v>
      </c>
      <c r="BE8" s="1" t="n">
        <f aca="false">BC8+BD8</f>
        <v>0</v>
      </c>
      <c r="BF8" s="1" t="n">
        <f aca="false">AV8-BD8+AZ8*IF(Slot4_SpendLike=1,BB8-BC8,IF(Slot4_PotFree=1,BB8,0))</f>
        <v>0</v>
      </c>
      <c r="BG8" s="1" t="n">
        <f aca="false">AW8+AZ8*Slot4_BufPot*BB8</f>
        <v>0</v>
      </c>
      <c r="BH8" s="1" t="n">
        <f aca="false">IF(AND(AZ8=1,Slot4_IsMfree=1),IF(BE8&gt;=Slot4_Cost-1,0,MAX(0,AX8-BE8)),AX8)</f>
        <v>0</v>
      </c>
      <c r="BI8" s="1" t="n">
        <f aca="false">AZ8*(Slot4_Cost-BE8)</f>
        <v>0</v>
      </c>
      <c r="BJ8" s="1" t="n">
        <f aca="false">IF(AND(Slot5_On=1,D8=Slot5_Age),1,0)</f>
        <v>0</v>
      </c>
      <c r="BK8" s="1" t="n">
        <f aca="false">IF(AND(Slot5_On=1,Slot5_Age&gt;D8),1,0)</f>
        <v>0</v>
      </c>
      <c r="BL8" s="1" t="n">
        <f aca="false">RB7</f>
        <v>0</v>
      </c>
      <c r="BM8" s="1" t="n">
        <f aca="false">BJ8*MIN(Slot5_Cost,BL8)</f>
        <v>0</v>
      </c>
      <c r="BN8" s="1" t="n">
        <f aca="false">BJ8*Slot5_SpendLike*MIN(Slot5_Cost-BM8,BF8)</f>
        <v>0</v>
      </c>
      <c r="BO8" s="1" t="n">
        <f aca="false">BM8+BN8</f>
        <v>0</v>
      </c>
      <c r="BP8" s="1" t="n">
        <f aca="false">BF8-BN8+BJ8*IF(Slot5_SpendLike=1,BL8-BM8,IF(Slot5_PotFree=1,BL8,0))</f>
        <v>0</v>
      </c>
      <c r="BQ8" s="1" t="n">
        <f aca="false">BG8+BJ8*Slot5_BufPot*BL8</f>
        <v>0</v>
      </c>
      <c r="BR8" s="1" t="n">
        <f aca="false">IF(AND(BJ8=1,Slot5_IsMfree=1),IF(BO8&gt;=Slot5_Cost-1,0,MAX(0,BH8-BO8)),BH8)</f>
        <v>0</v>
      </c>
      <c r="BS8" s="1" t="n">
        <f aca="false">BJ8*(Slot5_Cost-BO8)</f>
        <v>0</v>
      </c>
      <c r="BT8" s="1" t="n">
        <f aca="false">IF(AND(Slot6_On=1,D8=Slot6_Age),1,0)</f>
        <v>0</v>
      </c>
      <c r="BU8" s="1" t="n">
        <f aca="false">IF(AND(Slot6_On=1,Slot6_Age&gt;D8),1,0)</f>
        <v>0</v>
      </c>
      <c r="BV8" s="1" t="n">
        <f aca="false">RF7</f>
        <v>0</v>
      </c>
      <c r="BW8" s="1" t="n">
        <f aca="false">BT8*MIN(Slot6_Cost,BV8)</f>
        <v>0</v>
      </c>
      <c r="BX8" s="1" t="n">
        <f aca="false">BT8*Slot6_SpendLike*MIN(Slot6_Cost-BW8,BP8)</f>
        <v>0</v>
      </c>
      <c r="BY8" s="1" t="n">
        <f aca="false">BW8+BX8</f>
        <v>0</v>
      </c>
      <c r="BZ8" s="1" t="n">
        <f aca="false">BP8-BX8+BT8*IF(Slot6_SpendLike=1,BV8-BW8,IF(Slot6_PotFree=1,BV8,0))</f>
        <v>0</v>
      </c>
      <c r="CA8" s="1" t="n">
        <f aca="false">BQ8+BT8*Slot6_BufPot*BV8</f>
        <v>0</v>
      </c>
      <c r="CB8" s="1" t="n">
        <f aca="false">IF(AND(BT8=1,Slot6_IsMfree=1),IF(BY8&gt;=Slot6_Cost-1,0,MAX(0,BR8-BY8)),BR8)</f>
        <v>0</v>
      </c>
      <c r="CC8" s="1" t="n">
        <f aca="false">BT8*(Slot6_Cost-BY8)</f>
        <v>0</v>
      </c>
      <c r="CD8" s="1" t="n">
        <f aca="false">IF(AND(Slot7_On=1,D8=Slot7_Age),1,0)</f>
        <v>0</v>
      </c>
      <c r="CE8" s="1" t="n">
        <f aca="false">IF(AND(Slot7_On=1,Slot7_Age&gt;D8),1,0)</f>
        <v>0</v>
      </c>
      <c r="CF8" s="1" t="n">
        <f aca="false">RJ7</f>
        <v>0</v>
      </c>
      <c r="CG8" s="1" t="n">
        <f aca="false">CD8*MIN(Slot7_Cost,CF8)</f>
        <v>0</v>
      </c>
      <c r="CH8" s="1" t="n">
        <f aca="false">CD8*Slot7_SpendLike*MIN(Slot7_Cost-CG8,BZ8)</f>
        <v>0</v>
      </c>
      <c r="CI8" s="1" t="n">
        <f aca="false">CG8+CH8</f>
        <v>0</v>
      </c>
      <c r="CJ8" s="1" t="n">
        <f aca="false">BZ8-CH8+CD8*IF(Slot7_SpendLike=1,CF8-CG8,IF(Slot7_PotFree=1,CF8,0))</f>
        <v>0</v>
      </c>
      <c r="CK8" s="1" t="n">
        <f aca="false">CA8+CD8*Slot7_BufPot*CF8</f>
        <v>0</v>
      </c>
      <c r="CL8" s="1" t="n">
        <f aca="false">IF(AND(CD8=1,Slot7_IsMfree=1),IF(CI8&gt;=Slot7_Cost-1,0,MAX(0,CB8-CI8)),CB8)</f>
        <v>0</v>
      </c>
      <c r="CM8" s="1" t="n">
        <f aca="false">CD8*(Slot7_Cost-CI8)</f>
        <v>0</v>
      </c>
      <c r="CN8" s="1" t="n">
        <f aca="false">IF(AND(Slot8_On=1,D8=Slot8_Age),1,0)</f>
        <v>0</v>
      </c>
      <c r="CO8" s="1" t="n">
        <f aca="false">IF(AND(Slot8_On=1,Slot8_Age&gt;D8),1,0)</f>
        <v>0</v>
      </c>
      <c r="CP8" s="1" t="n">
        <f aca="false">RN7</f>
        <v>0</v>
      </c>
      <c r="CQ8" s="1" t="n">
        <f aca="false">CN8*MIN(Slot8_Cost,CP8)</f>
        <v>0</v>
      </c>
      <c r="CR8" s="1" t="n">
        <f aca="false">CN8*Slot8_SpendLike*MIN(Slot8_Cost-CQ8,CJ8)</f>
        <v>0</v>
      </c>
      <c r="CS8" s="1" t="n">
        <f aca="false">CQ8+CR8</f>
        <v>0</v>
      </c>
      <c r="CT8" s="1" t="n">
        <f aca="false">CJ8-CR8+CN8*IF(Slot8_SpendLike=1,CP8-CQ8,IF(Slot8_PotFree=1,CP8,0))</f>
        <v>0</v>
      </c>
      <c r="CU8" s="1" t="n">
        <f aca="false">CK8+CN8*Slot8_BufPot*CP8</f>
        <v>0</v>
      </c>
      <c r="CV8" s="1" t="n">
        <f aca="false">IF(AND(CN8=1,Slot8_IsMfree=1),IF(CS8&gt;=Slot8_Cost-1,0,MAX(0,CL8-CS8)),CL8)</f>
        <v>0</v>
      </c>
      <c r="CW8" s="1" t="n">
        <f aca="false">CN8*(Slot8_Cost-CS8)</f>
        <v>0</v>
      </c>
      <c r="CX8" s="1" t="n">
        <f aca="false">IF(AND(Slot9_On=1,D8=Slot9_Age),1,0)</f>
        <v>0</v>
      </c>
      <c r="CY8" s="1" t="n">
        <f aca="false">IF(AND(Slot9_On=1,Slot9_Age&gt;D8),1,0)</f>
        <v>0</v>
      </c>
      <c r="CZ8" s="1" t="n">
        <f aca="false">RR7</f>
        <v>0</v>
      </c>
      <c r="DA8" s="1" t="n">
        <f aca="false">CX8*MIN(Slot9_Cost,CZ8)</f>
        <v>0</v>
      </c>
      <c r="DB8" s="1" t="n">
        <f aca="false">CX8*Slot9_SpendLike*MIN(Slot9_Cost-DA8,CT8)</f>
        <v>0</v>
      </c>
      <c r="DC8" s="1" t="n">
        <f aca="false">DA8+DB8</f>
        <v>0</v>
      </c>
      <c r="DD8" s="1" t="n">
        <f aca="false">CT8-DB8+CX8*IF(Slot9_SpendLike=1,CZ8-DA8,IF(Slot9_PotFree=1,CZ8,0))</f>
        <v>0</v>
      </c>
      <c r="DE8" s="1" t="n">
        <f aca="false">CU8+CX8*Slot9_BufPot*CZ8</f>
        <v>0</v>
      </c>
      <c r="DF8" s="1" t="n">
        <f aca="false">IF(AND(CX8=1,Slot9_IsMfree=1),IF(DC8&gt;=Slot9_Cost-1,0,MAX(0,CV8-DC8)),CV8)</f>
        <v>0</v>
      </c>
      <c r="DG8" s="1" t="n">
        <f aca="false">CX8*(Slot9_Cost-DC8)</f>
        <v>0</v>
      </c>
      <c r="DH8" s="1" t="n">
        <f aca="false">IF(AND(Slot10_On=1,D8=Slot10_Age),1,0)</f>
        <v>0</v>
      </c>
      <c r="DI8" s="1" t="n">
        <f aca="false">IF(AND(Slot10_On=1,Slot10_Age&gt;D8),1,0)</f>
        <v>0</v>
      </c>
      <c r="DJ8" s="1" t="n">
        <f aca="false">RV7</f>
        <v>0</v>
      </c>
      <c r="DK8" s="1" t="n">
        <f aca="false">DH8*MIN(Slot10_Cost,DJ8)</f>
        <v>0</v>
      </c>
      <c r="DL8" s="1" t="n">
        <f aca="false">DH8*Slot10_SpendLike*MIN(Slot10_Cost-DK8,DD8)</f>
        <v>0</v>
      </c>
      <c r="DM8" s="1" t="n">
        <f aca="false">DK8+DL8</f>
        <v>0</v>
      </c>
      <c r="DN8" s="1" t="n">
        <f aca="false">DD8-DL8+DH8*IF(Slot10_SpendLike=1,DJ8-DK8,IF(Slot10_PotFree=1,DJ8,0))</f>
        <v>0</v>
      </c>
      <c r="DO8" s="1" t="n">
        <f aca="false">DE8+DH8*Slot10_BufPot*DJ8</f>
        <v>0</v>
      </c>
      <c r="DP8" s="1" t="n">
        <f aca="false">IF(AND(DH8=1,Slot10_IsMfree=1),IF(DM8&gt;=Slot10_Cost-1,0,MAX(0,DF8-DM8)),DF8)</f>
        <v>0</v>
      </c>
      <c r="DQ8" s="1" t="n">
        <f aca="false">DH8*(Slot10_Cost-DM8)</f>
        <v>0</v>
      </c>
      <c r="DR8" s="1" t="n">
        <f aca="false">IF(AND(Slot11_On=1,D8=Slot11_Age),1,0)</f>
        <v>0</v>
      </c>
      <c r="DS8" s="1" t="n">
        <f aca="false">IF(AND(Slot11_On=1,Slot11_Age&gt;D8),1,0)</f>
        <v>0</v>
      </c>
      <c r="DT8" s="1" t="n">
        <f aca="false">RZ7</f>
        <v>0</v>
      </c>
      <c r="DU8" s="1" t="n">
        <f aca="false">DR8*MIN(Slot11_Cost,DT8)</f>
        <v>0</v>
      </c>
      <c r="DV8" s="1" t="n">
        <f aca="false">DR8*Slot11_SpendLike*MIN(Slot11_Cost-DU8,DN8)</f>
        <v>0</v>
      </c>
      <c r="DW8" s="1" t="n">
        <f aca="false">DU8+DV8</f>
        <v>0</v>
      </c>
      <c r="DX8" s="1" t="n">
        <f aca="false">DN8-DV8+DR8*IF(Slot11_SpendLike=1,DT8-DU8,IF(Slot11_PotFree=1,DT8,0))</f>
        <v>0</v>
      </c>
      <c r="DY8" s="1" t="n">
        <f aca="false">DO8+DR8*Slot11_BufPot*DT8</f>
        <v>0</v>
      </c>
      <c r="DZ8" s="1" t="n">
        <f aca="false">IF(AND(DR8=1,Slot11_IsMfree=1),IF(DW8&gt;=Slot11_Cost-1,0,MAX(0,DP8-DW8)),DP8)</f>
        <v>0</v>
      </c>
      <c r="EA8" s="1" t="n">
        <f aca="false">DR8*(Slot11_Cost-DW8)</f>
        <v>0</v>
      </c>
      <c r="EB8" s="1" t="n">
        <f aca="false">IF(AND(Slot12_On=1,D8=Slot12_Age),1,0)</f>
        <v>0</v>
      </c>
      <c r="EC8" s="1" t="n">
        <f aca="false">IF(AND(Slot12_On=1,Slot12_Age&gt;D8),1,0)</f>
        <v>0</v>
      </c>
      <c r="ED8" s="1" t="n">
        <f aca="false">SD7</f>
        <v>0</v>
      </c>
      <c r="EE8" s="1" t="n">
        <f aca="false">EB8*MIN(Slot12_Cost,ED8)</f>
        <v>0</v>
      </c>
      <c r="EF8" s="1" t="n">
        <f aca="false">EB8*Slot12_SpendLike*MIN(Slot12_Cost-EE8,DX8)</f>
        <v>0</v>
      </c>
      <c r="EG8" s="1" t="n">
        <f aca="false">EE8+EF8</f>
        <v>0</v>
      </c>
      <c r="EH8" s="1" t="n">
        <f aca="false">DX8-EF8+EB8*IF(Slot12_SpendLike=1,ED8-EE8,IF(Slot12_PotFree=1,ED8,0))</f>
        <v>0</v>
      </c>
      <c r="EI8" s="1" t="n">
        <f aca="false">DY8+EB8*Slot12_BufPot*ED8</f>
        <v>0</v>
      </c>
      <c r="EJ8" s="1" t="n">
        <f aca="false">IF(AND(EB8=1,Slot12_IsMfree=1),IF(EG8&gt;=Slot12_Cost-1,0,MAX(0,DZ8-EG8)),DZ8)</f>
        <v>0</v>
      </c>
      <c r="EK8" s="1" t="n">
        <f aca="false">EB8*(Slot12_Cost-EG8)</f>
        <v>0</v>
      </c>
      <c r="EL8" s="1" t="n">
        <f aca="false">IF(AND(Slot13_On=1,D8=Slot13_Age),1,0)</f>
        <v>0</v>
      </c>
      <c r="EM8" s="1" t="n">
        <f aca="false">IF(AND(Slot13_On=1,Slot13_Age&gt;D8),1,0)</f>
        <v>0</v>
      </c>
      <c r="EN8" s="1" t="n">
        <f aca="false">SH7</f>
        <v>0</v>
      </c>
      <c r="EO8" s="1" t="n">
        <f aca="false">EL8*MIN(Slot13_Cost,EN8)</f>
        <v>0</v>
      </c>
      <c r="EP8" s="1" t="n">
        <f aca="false">EL8*Slot13_SpendLike*MIN(Slot13_Cost-EO8,EH8)</f>
        <v>0</v>
      </c>
      <c r="EQ8" s="1" t="n">
        <f aca="false">EO8+EP8</f>
        <v>0</v>
      </c>
      <c r="ER8" s="1" t="n">
        <f aca="false">EH8-EP8+EL8*IF(Slot13_SpendLike=1,EN8-EO8,IF(Slot13_PotFree=1,EN8,0))</f>
        <v>0</v>
      </c>
      <c r="ES8" s="1" t="n">
        <f aca="false">EI8+EL8*Slot13_BufPot*EN8</f>
        <v>0</v>
      </c>
      <c r="ET8" s="1" t="n">
        <f aca="false">IF(AND(EL8=1,Slot13_IsMfree=1),IF(EQ8&gt;=Slot13_Cost-1,0,MAX(0,EJ8-EQ8)),EJ8)</f>
        <v>0</v>
      </c>
      <c r="EU8" s="1" t="n">
        <f aca="false">EL8*(Slot13_Cost-EQ8)</f>
        <v>0</v>
      </c>
      <c r="EV8" s="1" t="n">
        <f aca="false">IF(AND(Slot14_On=1,D8=Slot14_Age),1,0)</f>
        <v>0</v>
      </c>
      <c r="EW8" s="1" t="n">
        <f aca="false">IF(AND(Slot14_On=1,Slot14_Age&gt;D8),1,0)</f>
        <v>0</v>
      </c>
      <c r="EX8" s="1" t="n">
        <f aca="false">SL7</f>
        <v>0</v>
      </c>
      <c r="EY8" s="1" t="n">
        <f aca="false">EV8*MIN(Slot14_Cost,EX8)</f>
        <v>0</v>
      </c>
      <c r="EZ8" s="1" t="n">
        <f aca="false">EV8*Slot14_SpendLike*MIN(Slot14_Cost-EY8,ER8)</f>
        <v>0</v>
      </c>
      <c r="FA8" s="1" t="n">
        <f aca="false">EY8+EZ8</f>
        <v>0</v>
      </c>
      <c r="FB8" s="1" t="n">
        <f aca="false">ER8-EZ8+EV8*IF(Slot14_SpendLike=1,EX8-EY8,IF(Slot14_PotFree=1,EX8,0))</f>
        <v>0</v>
      </c>
      <c r="FC8" s="1" t="n">
        <f aca="false">ES8+EV8*Slot14_BufPot*EX8</f>
        <v>0</v>
      </c>
      <c r="FD8" s="1" t="n">
        <f aca="false">IF(AND(EV8=1,Slot14_IsMfree=1),IF(FA8&gt;=Slot14_Cost-1,0,MAX(0,ET8-FA8)),ET8)</f>
        <v>0</v>
      </c>
      <c r="FE8" s="1" t="n">
        <f aca="false">EV8*(Slot14_Cost-FA8)</f>
        <v>0</v>
      </c>
      <c r="FF8" s="1" t="n">
        <f aca="false">IF(AND(Slot15_On=1,D8=Slot15_Age),1,0)</f>
        <v>0</v>
      </c>
      <c r="FG8" s="1" t="n">
        <f aca="false">IF(AND(Slot15_On=1,Slot15_Age&gt;D8),1,0)</f>
        <v>0</v>
      </c>
      <c r="FH8" s="1" t="n">
        <f aca="false">SP7</f>
        <v>0</v>
      </c>
      <c r="FI8" s="1" t="n">
        <f aca="false">FF8*MIN(Slot15_Cost,FH8)</f>
        <v>0</v>
      </c>
      <c r="FJ8" s="1" t="n">
        <f aca="false">FF8*Slot15_SpendLike*MIN(Slot15_Cost-FI8,FB8)</f>
        <v>0</v>
      </c>
      <c r="FK8" s="1" t="n">
        <f aca="false">FI8+FJ8</f>
        <v>0</v>
      </c>
      <c r="FL8" s="1" t="n">
        <f aca="false">FB8-FJ8+FF8*IF(Slot15_SpendLike=1,FH8-FI8,IF(Slot15_PotFree=1,FH8,0))</f>
        <v>0</v>
      </c>
      <c r="FM8" s="1" t="n">
        <f aca="false">FC8+FF8*Slot15_BufPot*FH8</f>
        <v>0</v>
      </c>
      <c r="FN8" s="1" t="n">
        <f aca="false">IF(AND(FF8=1,Slot15_IsMfree=1),IF(FK8&gt;=Slot15_Cost-1,0,MAX(0,FD8-FK8)),FD8)</f>
        <v>0</v>
      </c>
      <c r="FO8" s="1" t="n">
        <f aca="false">FF8*(Slot15_Cost-FK8)</f>
        <v>0</v>
      </c>
      <c r="FP8" s="1" t="n">
        <f aca="false">IF(AND(Slot16_On=1,D8=Slot16_Age),1,0)</f>
        <v>0</v>
      </c>
      <c r="FQ8" s="1" t="n">
        <f aca="false">IF(AND(Slot16_On=1,Slot16_Age&gt;D8),1,0)</f>
        <v>0</v>
      </c>
      <c r="FR8" s="1" t="n">
        <f aca="false">ST7</f>
        <v>0</v>
      </c>
      <c r="FS8" s="1" t="n">
        <f aca="false">FP8*MIN(Slot16_Cost,FR8)</f>
        <v>0</v>
      </c>
      <c r="FT8" s="1" t="n">
        <f aca="false">FP8*Slot16_SpendLike*MIN(Slot16_Cost-FS8,FL8)</f>
        <v>0</v>
      </c>
      <c r="FU8" s="1" t="n">
        <f aca="false">FS8+FT8</f>
        <v>0</v>
      </c>
      <c r="FV8" s="1" t="n">
        <f aca="false">FL8-FT8+FP8*IF(Slot16_SpendLike=1,FR8-FS8,IF(Slot16_PotFree=1,FR8,0))</f>
        <v>0</v>
      </c>
      <c r="FW8" s="1" t="n">
        <f aca="false">FM8+FP8*Slot16_BufPot*FR8</f>
        <v>0</v>
      </c>
      <c r="FX8" s="1" t="n">
        <f aca="false">IF(AND(FP8=1,Slot16_IsMfree=1),IF(FU8&gt;=Slot16_Cost-1,0,MAX(0,FN8-FU8)),FN8)</f>
        <v>0</v>
      </c>
      <c r="FY8" s="1" t="n">
        <f aca="false">FP8*(Slot16_Cost-FU8)</f>
        <v>0</v>
      </c>
      <c r="FZ8" s="1" t="n">
        <f aca="false">IF(AND(Slot17_On=1,D8=Slot17_Age),1,0)</f>
        <v>0</v>
      </c>
      <c r="GA8" s="1" t="n">
        <f aca="false">IF(AND(Slot17_On=1,Slot17_Age&gt;D8),1,0)</f>
        <v>0</v>
      </c>
      <c r="GB8" s="1" t="n">
        <f aca="false">SX7</f>
        <v>0</v>
      </c>
      <c r="GC8" s="1" t="n">
        <f aca="false">FZ8*MIN(Slot17_Cost,GB8)</f>
        <v>0</v>
      </c>
      <c r="GD8" s="1" t="n">
        <f aca="false">FZ8*Slot17_SpendLike*MIN(Slot17_Cost-GC8,FV8)</f>
        <v>0</v>
      </c>
      <c r="GE8" s="1" t="n">
        <f aca="false">GC8+GD8</f>
        <v>0</v>
      </c>
      <c r="GF8" s="1" t="n">
        <f aca="false">FV8-GD8+FZ8*IF(Slot17_SpendLike=1,GB8-GC8,IF(Slot17_PotFree=1,GB8,0))</f>
        <v>0</v>
      </c>
      <c r="GG8" s="1" t="n">
        <f aca="false">FW8+FZ8*Slot17_BufPot*GB8</f>
        <v>0</v>
      </c>
      <c r="GH8" s="1" t="n">
        <f aca="false">IF(AND(FZ8=1,Slot17_IsMfree=1),IF(GE8&gt;=Slot17_Cost-1,0,MAX(0,FX8-GE8)),FX8)</f>
        <v>0</v>
      </c>
      <c r="GI8" s="1" t="n">
        <f aca="false">FZ8*(Slot17_Cost-GE8)</f>
        <v>0</v>
      </c>
      <c r="GJ8" s="1" t="n">
        <f aca="false">IF(AND(Slot18_On=1,D8=Slot18_Age),1,0)</f>
        <v>0</v>
      </c>
      <c r="GK8" s="1" t="n">
        <f aca="false">IF(AND(Slot18_On=1,Slot18_Age&gt;D8),1,0)</f>
        <v>0</v>
      </c>
      <c r="GL8" s="1" t="n">
        <f aca="false">TB7</f>
        <v>0</v>
      </c>
      <c r="GM8" s="1" t="n">
        <f aca="false">GJ8*MIN(Slot18_Cost,GL8)</f>
        <v>0</v>
      </c>
      <c r="GN8" s="1" t="n">
        <f aca="false">GJ8*Slot18_SpendLike*MIN(Slot18_Cost-GM8,GF8)</f>
        <v>0</v>
      </c>
      <c r="GO8" s="1" t="n">
        <f aca="false">GM8+GN8</f>
        <v>0</v>
      </c>
      <c r="GP8" s="1" t="n">
        <f aca="false">GF8-GN8+GJ8*IF(Slot18_SpendLike=1,GL8-GM8,IF(Slot18_PotFree=1,GL8,0))</f>
        <v>0</v>
      </c>
      <c r="GQ8" s="1" t="n">
        <f aca="false">GG8+GJ8*Slot18_BufPot*GL8</f>
        <v>0</v>
      </c>
      <c r="GR8" s="1" t="n">
        <f aca="false">IF(AND(GJ8=1,Slot18_IsMfree=1),IF(GO8&gt;=Slot18_Cost-1,0,MAX(0,GH8-GO8)),GH8)</f>
        <v>0</v>
      </c>
      <c r="GS8" s="1" t="n">
        <f aca="false">GJ8*(Slot18_Cost-GO8)</f>
        <v>0</v>
      </c>
      <c r="GT8" s="1" t="n">
        <f aca="false">IF(AND(Slot19_On=1,D8=Slot19_Age),1,0)</f>
        <v>0</v>
      </c>
      <c r="GU8" s="1" t="n">
        <f aca="false">IF(AND(Slot19_On=1,Slot19_Age&gt;D8),1,0)</f>
        <v>0</v>
      </c>
      <c r="GV8" s="1" t="n">
        <f aca="false">TF7</f>
        <v>0</v>
      </c>
      <c r="GW8" s="1" t="n">
        <f aca="false">GT8*MIN(Slot19_Cost,GV8)</f>
        <v>0</v>
      </c>
      <c r="GX8" s="1" t="n">
        <f aca="false">GT8*Slot19_SpendLike*MIN(Slot19_Cost-GW8,GP8)</f>
        <v>0</v>
      </c>
      <c r="GY8" s="1" t="n">
        <f aca="false">GW8+GX8</f>
        <v>0</v>
      </c>
      <c r="GZ8" s="1" t="n">
        <f aca="false">GP8-GX8+GT8*IF(Slot19_SpendLike=1,GV8-GW8,IF(Slot19_PotFree=1,GV8,0))</f>
        <v>0</v>
      </c>
      <c r="HA8" s="1" t="n">
        <f aca="false">GQ8+GT8*Slot19_BufPot*GV8</f>
        <v>0</v>
      </c>
      <c r="HB8" s="1" t="n">
        <f aca="false">IF(AND(GT8=1,Slot19_IsMfree=1),IF(GY8&gt;=Slot19_Cost-1,0,MAX(0,GR8-GY8)),GR8)</f>
        <v>0</v>
      </c>
      <c r="HC8" s="1" t="n">
        <f aca="false">GT8*(Slot19_Cost-GY8)</f>
        <v>0</v>
      </c>
      <c r="HD8" s="1" t="n">
        <f aca="false">IF(AND(Slot20_On=1,D8=Slot20_Age),1,0)</f>
        <v>0</v>
      </c>
      <c r="HE8" s="1" t="n">
        <f aca="false">IF(AND(Slot20_On=1,Slot20_Age&gt;D8),1,0)</f>
        <v>0</v>
      </c>
      <c r="HF8" s="1" t="n">
        <f aca="false">TJ7</f>
        <v>0</v>
      </c>
      <c r="HG8" s="1" t="n">
        <f aca="false">HD8*MIN(Slot20_Cost,HF8)</f>
        <v>0</v>
      </c>
      <c r="HH8" s="1" t="n">
        <f aca="false">HD8*Slot20_SpendLike*MIN(Slot20_Cost-HG8,GZ8)</f>
        <v>0</v>
      </c>
      <c r="HI8" s="1" t="n">
        <f aca="false">HG8+HH8</f>
        <v>0</v>
      </c>
      <c r="HJ8" s="1" t="n">
        <f aca="false">GZ8-HH8+HD8*IF(Slot20_SpendLike=1,HF8-HG8,IF(Slot20_PotFree=1,HF8,0))</f>
        <v>0</v>
      </c>
      <c r="HK8" s="1" t="n">
        <f aca="false">HA8+HD8*Slot20_BufPot*HF8</f>
        <v>0</v>
      </c>
      <c r="HL8" s="1" t="n">
        <f aca="false">IF(AND(HD8=1,Slot20_IsMfree=1),IF(HI8&gt;=Slot20_Cost-1,0,MAX(0,HB8-HI8)),HB8)</f>
        <v>0</v>
      </c>
      <c r="HM8" s="1" t="n">
        <f aca="false">HD8*(Slot20_Cost-HI8)</f>
        <v>0</v>
      </c>
      <c r="HN8" s="1" t="n">
        <f aca="false">U8*Slot1_SpendLike*Z8+AF8*Slot2_SpendLike*AK8+AP8*Slot3_SpendLike*AU8+AZ8*Slot4_SpendLike*BE8+BJ8*Slot5_SpendLike*BO8+BT8*Slot6_SpendLike*BY8+CD8*Slot7_SpendLike*CI8+CN8*Slot8_SpendLike*CS8+CX8*Slot9_SpendLike*DC8+DH8*Slot10_SpendLike*DM8+DR8*Slot11_SpendLike*DW8+EB8*Slot12_SpendLike*EG8+EL8*Slot13_SpendLike*EQ8+EV8*Slot14_SpendLike*FA8+FF8*Slot15_SpendLike*FK8+FP8*Slot16_SpendLike*FU8+FZ8*Slot17_SpendLike*GE8+GJ8*Slot18_SpendLike*GO8+GT8*Slot19_SpendLike*GY8+HD8*Slot20_SpendLike*HI8</f>
        <v>0</v>
      </c>
      <c r="HO8" s="1" t="n">
        <f aca="false">AD8+AO8+AY8+BI8+BS8+CC8+CM8+CW8+DG8+DQ8+EA8+EK8+EU8+FE8+FO8+FY8+GI8+GS8+HC8+HM8</f>
        <v>0</v>
      </c>
      <c r="HP8" s="1" t="n">
        <f aca="false">U8*Slot1_Cost+AF8*Slot2_Cost+AP8*Slot3_Cost+AZ8*Slot4_Cost+BJ8*Slot5_Cost+BT8*Slot6_Cost+CD8*Slot7_Cost+CN8*Slot8_Cost+CX8*Slot9_Cost+DH8*Slot10_Cost+DR8*Slot11_Cost+EB8*Slot12_Cost+EL8*Slot13_Cost+EV8*Slot14_Cost+FF8*Slot15_Cost+FP8*Slot16_Cost+FZ8*Slot17_Cost+GJ8*Slot18_Cost+GT8*Slot19_Cost+HD8*Slot20_Cost</f>
        <v>0</v>
      </c>
      <c r="HQ8" s="1" t="n">
        <f aca="false">HL8</f>
        <v>0</v>
      </c>
      <c r="HR8" s="1" t="n">
        <f aca="false">G8-H8-R8</f>
        <v>0</v>
      </c>
      <c r="HS8" s="1" t="n">
        <f aca="false">IF(B8=0,IF(AND(Has_q6=1,In_q6=4),PR_ShareVaries*(MAX(0,HR8)/12),MIN(IF(Has_q6=1,CHOOSE(In_q6+1,PR_SaveB1,PR_SaveB2,PR_SaveB3,PR_SaveB4,0),AS_NoAnswer),AS_SaveShare*(MAX(0,HR8)/12))),HS7)</f>
        <v>0</v>
      </c>
      <c r="HT8" s="1" t="n">
        <f aca="false">IF(HR8&gt;=0,1,0)</f>
        <v>1</v>
      </c>
      <c r="HU8" s="1" t="n">
        <f aca="false">MAX(0,HR8/12/E8)</f>
        <v>0</v>
      </c>
      <c r="HV8" s="1" t="n">
        <f aca="false">IF(AND(Has_q6=1,In_q6=4),PR_ShareVaries*(HU8),MIN(IF(Has_q6=1,CHOOSE(In_q6+1,PR_SaveB1,PR_SaveB2,PR_SaveB3,PR_SaveB4,0),AS_NoAnswer),AS_SaveShare*(HU8)))</f>
        <v>0</v>
      </c>
      <c r="HW8" s="1" t="n">
        <f aca="false">IF(Has_saveM=1,IF(In_saveUp="Yes",1,IF(In_saveUp="No",0,IF(In_saveM&gt;=HS8-0.5,1,0))),0)</f>
        <v>0</v>
      </c>
      <c r="HX8" s="1" t="n">
        <f aca="false">IF(Has_saveM=1,MIN(HU8,IF(HW8=1,MAX(In_saveM,HV8),MIN(In_saveM,HV8))),HV8)</f>
        <v>0</v>
      </c>
      <c r="HY8" s="1" t="n">
        <f aca="false">IF(F8=1,HX8*12*E8,0)</f>
        <v>0</v>
      </c>
      <c r="HZ8" s="1" t="n">
        <f aca="false">MAX(0,HY8+IF(AND(WI_Retire=0,WI_M&lt;0,F8=1),WI_M*12*E8,0))</f>
        <v>0</v>
      </c>
      <c r="IA8" s="1" t="n">
        <f aca="false">Slot1_IsWG*V8+Slot2_IsWG*AG8+Slot3_IsWG*AQ8+Slot4_IsWG*BA8+Slot5_IsWG*BK8+Slot6_IsWG*BU8+Slot7_IsWG*CE8+Slot8_IsWG*CO8+Slot9_IsWG*CY8+Slot10_IsWG*DI8+Slot11_IsWG*DS8+Slot12_IsWG*EC8+Slot13_IsWG*EM8+Slot14_IsWG*EW8+Slot15_IsWG*FG8+Slot16_IsWG*FQ8+Slot17_IsWG*GA8+Slot18_IsWG*GK8+Slot19_IsWG*GU8+Slot20_IsWG*HE8</f>
        <v>0</v>
      </c>
      <c r="IB8" s="1" t="n">
        <f aca="false">IF(AND(WI_Retire=0,WI_M&gt;0,F8=1,IA8&gt;=1),WI_M*12*E8,0)</f>
        <v>0</v>
      </c>
      <c r="IC8" s="1" t="n">
        <f aca="false">IF(HT8=1,MIN(HZ8,HR8),0)</f>
        <v>0</v>
      </c>
      <c r="ID8" s="1" t="n">
        <f aca="false">IF(HT8=1,MIN(IB8,HR8-IC8),0)</f>
        <v>0</v>
      </c>
      <c r="IE8" s="1" t="n">
        <f aca="false">IF(V8=1,IF(ABS((1+AS_Wage)/(1+Slot1_Rate)-1)&lt;0.000000000001,(Slot1_Age-D8)*(1+Slot1_Rate)^(Slot1_Age-D8),(1+Slot1_Rate)^(Slot1_Age-D8)*(1-((1+AS_Wage)/(1+Slot1_Rate))^(Slot1_Age-D8))/(1-(1+AS_Wage)/(1+Slot1_Rate))),1)</f>
        <v>1</v>
      </c>
      <c r="IF8" s="1" t="n">
        <f aca="false">IF(AND(HT8=1,ID8&gt;0,Slot1_IsWG=1,V8=1),MAX(0,(Slot1_Cost-W8*(1+Slot1_Rate)^(Slot1_Age-D8))/IE8),0)</f>
        <v>0</v>
      </c>
      <c r="IG8" s="1" t="n">
        <f aca="false">IF(AND(HT8=1,ID8&gt;0,Slot1_IsWG=1,V8=1),MIN(ID8,IF8),0)</f>
        <v>0</v>
      </c>
      <c r="IH8" s="1" t="n">
        <f aca="false">W8+IG8</f>
        <v>0</v>
      </c>
      <c r="II8" s="1" t="n">
        <f aca="false">IF(V8=1,MAX(0,(Slot1_Cost-IH8*(1+Slot1_Rate)^(Slot1_Age-D8))/IE8),0)</f>
        <v>0</v>
      </c>
      <c r="IJ8" s="1" t="n">
        <f aca="false">IF(V8=1,MAX(0,(Slot1_Cost-W8*(1+Slot1_Rate)^(Slot1_Age-D8))/IE8),0)</f>
        <v>0</v>
      </c>
      <c r="IK8" s="1" t="n">
        <f aca="false">IF(AND(HT8=1,V8=1),MIN(IC8,II8),0)</f>
        <v>0</v>
      </c>
      <c r="IL8" s="1" t="n">
        <f aca="false">IC8-IK8</f>
        <v>0</v>
      </c>
      <c r="IM8" s="1" t="n">
        <f aca="false">IF(AG8=1,IF(ABS((1+AS_Wage)/(1+Slot2_Rate)-1)&lt;0.000000000001,(Slot2_Age-D8)*(1+Slot2_Rate)^(Slot2_Age-D8),(1+Slot2_Rate)^(Slot2_Age-D8)*(1-((1+AS_Wage)/(1+Slot2_Rate))^(Slot2_Age-D8))/(1-(1+AS_Wage)/(1+Slot2_Rate))),1)</f>
        <v>1</v>
      </c>
      <c r="IN8" s="1" t="n">
        <f aca="false">IF(AND(HT8=1,ID8&gt;0,Slot2_IsWG=1,AG8=1),MAX(0,(Slot2_Cost-AH8*(1+Slot2_Rate)^(Slot2_Age-D8))/IM8),0)</f>
        <v>0</v>
      </c>
      <c r="IO8" s="1" t="n">
        <f aca="false">IF(AND(HT8=1,ID8&gt;0,Slot2_IsWG=1,AG8=1),MIN(ID8,IN8),0)</f>
        <v>0</v>
      </c>
      <c r="IP8" s="1" t="n">
        <f aca="false">AH8+IO8</f>
        <v>0</v>
      </c>
      <c r="IQ8" s="1" t="n">
        <f aca="false">IF(AG8=1,MAX(0,(Slot2_Cost-IP8*(1+Slot2_Rate)^(Slot2_Age-D8))/IM8),0)</f>
        <v>0</v>
      </c>
      <c r="IR8" s="1" t="n">
        <f aca="false">IF(AG8=1,MAX(0,(Slot2_Cost-AH8*(1+Slot2_Rate)^(Slot2_Age-D8))/IM8),0)</f>
        <v>0</v>
      </c>
      <c r="IS8" s="1" t="n">
        <f aca="false">IF(AND(HT8=1,AG8=1),MIN(IL8,IQ8),0)</f>
        <v>0</v>
      </c>
      <c r="IT8" s="1" t="n">
        <f aca="false">IL8-IS8</f>
        <v>0</v>
      </c>
      <c r="IU8" s="1" t="n">
        <f aca="false">IF(AQ8=1,IF(ABS((1+AS_Wage)/(1+Slot3_Rate)-1)&lt;0.000000000001,(Slot3_Age-D8)*(1+Slot3_Rate)^(Slot3_Age-D8),(1+Slot3_Rate)^(Slot3_Age-D8)*(1-((1+AS_Wage)/(1+Slot3_Rate))^(Slot3_Age-D8))/(1-(1+AS_Wage)/(1+Slot3_Rate))),1)</f>
        <v>1</v>
      </c>
      <c r="IV8" s="1" t="n">
        <f aca="false">IF(AND(HT8=1,ID8&gt;0,Slot3_IsWG=1,AQ8=1),MAX(0,(Slot3_Cost-AR8*(1+Slot3_Rate)^(Slot3_Age-D8))/IU8),0)</f>
        <v>0</v>
      </c>
      <c r="IW8" s="1" t="n">
        <f aca="false">IF(AND(HT8=1,ID8&gt;0,Slot3_IsWG=1,AQ8=1),MIN(ID8,IV8),0)</f>
        <v>0</v>
      </c>
      <c r="IX8" s="1" t="n">
        <f aca="false">AR8+IW8</f>
        <v>0</v>
      </c>
      <c r="IY8" s="1" t="n">
        <f aca="false">IF(AQ8=1,MAX(0,(Slot3_Cost-IX8*(1+Slot3_Rate)^(Slot3_Age-D8))/IU8),0)</f>
        <v>0</v>
      </c>
      <c r="IZ8" s="1" t="n">
        <f aca="false">IF(AQ8=1,MAX(0,(Slot3_Cost-AR8*(1+Slot3_Rate)^(Slot3_Age-D8))/IU8),0)</f>
        <v>0</v>
      </c>
      <c r="JA8" s="1" t="n">
        <f aca="false">IF(AND(HT8=1,AQ8=1),MIN(IT8,IY8),0)</f>
        <v>0</v>
      </c>
      <c r="JB8" s="1" t="n">
        <f aca="false">IT8-JA8</f>
        <v>0</v>
      </c>
      <c r="JC8" s="1" t="n">
        <f aca="false">IF(BA8=1,IF(ABS((1+AS_Wage)/(1+Slot4_Rate)-1)&lt;0.000000000001,(Slot4_Age-D8)*(1+Slot4_Rate)^(Slot4_Age-D8),(1+Slot4_Rate)^(Slot4_Age-D8)*(1-((1+AS_Wage)/(1+Slot4_Rate))^(Slot4_Age-D8))/(1-(1+AS_Wage)/(1+Slot4_Rate))),1)</f>
        <v>1</v>
      </c>
      <c r="JD8" s="1" t="n">
        <f aca="false">IF(AND(HT8=1,ID8&gt;0,Slot4_IsWG=1,BA8=1),MAX(0,(Slot4_Cost-BB8*(1+Slot4_Rate)^(Slot4_Age-D8))/JC8),0)</f>
        <v>0</v>
      </c>
      <c r="JE8" s="1" t="n">
        <f aca="false">IF(AND(HT8=1,ID8&gt;0,Slot4_IsWG=1,BA8=1),MIN(ID8,JD8),0)</f>
        <v>0</v>
      </c>
      <c r="JF8" s="1" t="n">
        <f aca="false">BB8+JE8</f>
        <v>0</v>
      </c>
      <c r="JG8" s="1" t="n">
        <f aca="false">IF(BA8=1,MAX(0,(Slot4_Cost-JF8*(1+Slot4_Rate)^(Slot4_Age-D8))/JC8),0)</f>
        <v>0</v>
      </c>
      <c r="JH8" s="1" t="n">
        <f aca="false">IF(BA8=1,MAX(0,(Slot4_Cost-BB8*(1+Slot4_Rate)^(Slot4_Age-D8))/JC8),0)</f>
        <v>0</v>
      </c>
      <c r="JI8" s="1" t="n">
        <f aca="false">IF(AND(HT8=1,BA8=1),MIN(JB8,JG8),0)</f>
        <v>0</v>
      </c>
      <c r="JJ8" s="1" t="n">
        <f aca="false">JB8-JI8</f>
        <v>0</v>
      </c>
      <c r="JK8" s="1" t="n">
        <f aca="false">IF(BK8=1,IF(ABS((1+AS_Wage)/(1+Slot5_Rate)-1)&lt;0.000000000001,(Slot5_Age-D8)*(1+Slot5_Rate)^(Slot5_Age-D8),(1+Slot5_Rate)^(Slot5_Age-D8)*(1-((1+AS_Wage)/(1+Slot5_Rate))^(Slot5_Age-D8))/(1-(1+AS_Wage)/(1+Slot5_Rate))),1)</f>
        <v>1</v>
      </c>
      <c r="JL8" s="1" t="n">
        <f aca="false">IF(AND(HT8=1,ID8&gt;0,Slot5_IsWG=1,BK8=1),MAX(0,(Slot5_Cost-BL8*(1+Slot5_Rate)^(Slot5_Age-D8))/JK8),0)</f>
        <v>0</v>
      </c>
      <c r="JM8" s="1" t="n">
        <f aca="false">IF(AND(HT8=1,ID8&gt;0,Slot5_IsWG=1,BK8=1),MIN(ID8,JL8),0)</f>
        <v>0</v>
      </c>
      <c r="JN8" s="1" t="n">
        <f aca="false">BL8+JM8</f>
        <v>0</v>
      </c>
      <c r="JO8" s="1" t="n">
        <f aca="false">IF(BK8=1,MAX(0,(Slot5_Cost-JN8*(1+Slot5_Rate)^(Slot5_Age-D8))/JK8),0)</f>
        <v>0</v>
      </c>
      <c r="JP8" s="1" t="n">
        <f aca="false">IF(BK8=1,MAX(0,(Slot5_Cost-BL8*(1+Slot5_Rate)^(Slot5_Age-D8))/JK8),0)</f>
        <v>0</v>
      </c>
      <c r="JQ8" s="1" t="n">
        <f aca="false">IF(AND(HT8=1,BK8=1),MIN(JJ8,JO8),0)</f>
        <v>0</v>
      </c>
      <c r="JR8" s="1" t="n">
        <f aca="false">JJ8-JQ8</f>
        <v>0</v>
      </c>
      <c r="JS8" s="1" t="n">
        <f aca="false">IF(BU8=1,IF(ABS((1+AS_Wage)/(1+Slot6_Rate)-1)&lt;0.000000000001,(Slot6_Age-D8)*(1+Slot6_Rate)^(Slot6_Age-D8),(1+Slot6_Rate)^(Slot6_Age-D8)*(1-((1+AS_Wage)/(1+Slot6_Rate))^(Slot6_Age-D8))/(1-(1+AS_Wage)/(1+Slot6_Rate))),1)</f>
        <v>1</v>
      </c>
      <c r="JT8" s="1" t="n">
        <f aca="false">IF(AND(HT8=1,ID8&gt;0,Slot6_IsWG=1,BU8=1),MAX(0,(Slot6_Cost-BV8*(1+Slot6_Rate)^(Slot6_Age-D8))/JS8),0)</f>
        <v>0</v>
      </c>
      <c r="JU8" s="1" t="n">
        <f aca="false">IF(AND(HT8=1,ID8&gt;0,Slot6_IsWG=1,BU8=1),MIN(ID8,JT8),0)</f>
        <v>0</v>
      </c>
      <c r="JV8" s="1" t="n">
        <f aca="false">BV8+JU8</f>
        <v>0</v>
      </c>
      <c r="JW8" s="1" t="n">
        <f aca="false">IF(BU8=1,MAX(0,(Slot6_Cost-JV8*(1+Slot6_Rate)^(Slot6_Age-D8))/JS8),0)</f>
        <v>0</v>
      </c>
      <c r="JX8" s="1" t="n">
        <f aca="false">IF(BU8=1,MAX(0,(Slot6_Cost-BV8*(1+Slot6_Rate)^(Slot6_Age-D8))/JS8),0)</f>
        <v>0</v>
      </c>
      <c r="JY8" s="1" t="n">
        <f aca="false">IF(AND(HT8=1,BU8=1),MIN(JR8,JW8),0)</f>
        <v>0</v>
      </c>
      <c r="JZ8" s="1" t="n">
        <f aca="false">JR8-JY8</f>
        <v>0</v>
      </c>
      <c r="KA8" s="1" t="n">
        <f aca="false">IF(CE8=1,IF(ABS((1+AS_Wage)/(1+Slot7_Rate)-1)&lt;0.000000000001,(Slot7_Age-D8)*(1+Slot7_Rate)^(Slot7_Age-D8),(1+Slot7_Rate)^(Slot7_Age-D8)*(1-((1+AS_Wage)/(1+Slot7_Rate))^(Slot7_Age-D8))/(1-(1+AS_Wage)/(1+Slot7_Rate))),1)</f>
        <v>1</v>
      </c>
      <c r="KB8" s="1" t="n">
        <f aca="false">IF(AND(HT8=1,ID8&gt;0,Slot7_IsWG=1,CE8=1),MAX(0,(Slot7_Cost-CF8*(1+Slot7_Rate)^(Slot7_Age-D8))/KA8),0)</f>
        <v>0</v>
      </c>
      <c r="KC8" s="1" t="n">
        <f aca="false">IF(AND(HT8=1,ID8&gt;0,Slot7_IsWG=1,CE8=1),MIN(ID8,KB8),0)</f>
        <v>0</v>
      </c>
      <c r="KD8" s="1" t="n">
        <f aca="false">CF8+KC8</f>
        <v>0</v>
      </c>
      <c r="KE8" s="1" t="n">
        <f aca="false">IF(CE8=1,MAX(0,(Slot7_Cost-KD8*(1+Slot7_Rate)^(Slot7_Age-D8))/KA8),0)</f>
        <v>0</v>
      </c>
      <c r="KF8" s="1" t="n">
        <f aca="false">IF(CE8=1,MAX(0,(Slot7_Cost-CF8*(1+Slot7_Rate)^(Slot7_Age-D8))/KA8),0)</f>
        <v>0</v>
      </c>
      <c r="KG8" s="1" t="n">
        <f aca="false">IF(AND(HT8=1,CE8=1),MIN(JZ8,KE8),0)</f>
        <v>0</v>
      </c>
      <c r="KH8" s="1" t="n">
        <f aca="false">JZ8-KG8</f>
        <v>0</v>
      </c>
      <c r="KI8" s="1" t="n">
        <f aca="false">IF(CO8=1,IF(ABS((1+AS_Wage)/(1+Slot8_Rate)-1)&lt;0.000000000001,(Slot8_Age-D8)*(1+Slot8_Rate)^(Slot8_Age-D8),(1+Slot8_Rate)^(Slot8_Age-D8)*(1-((1+AS_Wage)/(1+Slot8_Rate))^(Slot8_Age-D8))/(1-(1+AS_Wage)/(1+Slot8_Rate))),1)</f>
        <v>1</v>
      </c>
      <c r="KJ8" s="1" t="n">
        <f aca="false">IF(AND(HT8=1,ID8&gt;0,Slot8_IsWG=1,CO8=1),MAX(0,(Slot8_Cost-CP8*(1+Slot8_Rate)^(Slot8_Age-D8))/KI8),0)</f>
        <v>0</v>
      </c>
      <c r="KK8" s="1" t="n">
        <f aca="false">IF(AND(HT8=1,ID8&gt;0,Slot8_IsWG=1,CO8=1),MIN(ID8,KJ8),0)</f>
        <v>0</v>
      </c>
      <c r="KL8" s="1" t="n">
        <f aca="false">CP8+KK8</f>
        <v>0</v>
      </c>
      <c r="KM8" s="1" t="n">
        <f aca="false">IF(CO8=1,MAX(0,(Slot8_Cost-KL8*(1+Slot8_Rate)^(Slot8_Age-D8))/KI8),0)</f>
        <v>0</v>
      </c>
      <c r="KN8" s="1" t="n">
        <f aca="false">IF(CO8=1,MAX(0,(Slot8_Cost-CP8*(1+Slot8_Rate)^(Slot8_Age-D8))/KI8),0)</f>
        <v>0</v>
      </c>
      <c r="KO8" s="1" t="n">
        <f aca="false">IF(AND(HT8=1,CO8=1),MIN(KH8,KM8),0)</f>
        <v>0</v>
      </c>
      <c r="KP8" s="1" t="n">
        <f aca="false">KH8-KO8</f>
        <v>0</v>
      </c>
      <c r="KQ8" s="1" t="n">
        <f aca="false">IF(CY8=1,IF(ABS((1+AS_Wage)/(1+Slot9_Rate)-1)&lt;0.000000000001,(Slot9_Age-D8)*(1+Slot9_Rate)^(Slot9_Age-D8),(1+Slot9_Rate)^(Slot9_Age-D8)*(1-((1+AS_Wage)/(1+Slot9_Rate))^(Slot9_Age-D8))/(1-(1+AS_Wage)/(1+Slot9_Rate))),1)</f>
        <v>1</v>
      </c>
      <c r="KR8" s="1" t="n">
        <f aca="false">IF(AND(HT8=1,ID8&gt;0,Slot9_IsWG=1,CY8=1),MAX(0,(Slot9_Cost-CZ8*(1+Slot9_Rate)^(Slot9_Age-D8))/KQ8),0)</f>
        <v>0</v>
      </c>
      <c r="KS8" s="1" t="n">
        <f aca="false">IF(AND(HT8=1,ID8&gt;0,Slot9_IsWG=1,CY8=1),MIN(ID8,KR8),0)</f>
        <v>0</v>
      </c>
      <c r="KT8" s="1" t="n">
        <f aca="false">CZ8+KS8</f>
        <v>0</v>
      </c>
      <c r="KU8" s="1" t="n">
        <f aca="false">IF(CY8=1,MAX(0,(Slot9_Cost-KT8*(1+Slot9_Rate)^(Slot9_Age-D8))/KQ8),0)</f>
        <v>0</v>
      </c>
      <c r="KV8" s="1" t="n">
        <f aca="false">IF(CY8=1,MAX(0,(Slot9_Cost-CZ8*(1+Slot9_Rate)^(Slot9_Age-D8))/KQ8),0)</f>
        <v>0</v>
      </c>
      <c r="KW8" s="1" t="n">
        <f aca="false">IF(AND(HT8=1,CY8=1),MIN(KP8,KU8),0)</f>
        <v>0</v>
      </c>
      <c r="KX8" s="1" t="n">
        <f aca="false">KP8-KW8</f>
        <v>0</v>
      </c>
      <c r="KY8" s="1" t="n">
        <f aca="false">IF(DI8=1,IF(ABS((1+AS_Wage)/(1+Slot10_Rate)-1)&lt;0.000000000001,(Slot10_Age-D8)*(1+Slot10_Rate)^(Slot10_Age-D8),(1+Slot10_Rate)^(Slot10_Age-D8)*(1-((1+AS_Wage)/(1+Slot10_Rate))^(Slot10_Age-D8))/(1-(1+AS_Wage)/(1+Slot10_Rate))),1)</f>
        <v>1</v>
      </c>
      <c r="KZ8" s="1" t="n">
        <f aca="false">IF(AND(HT8=1,ID8&gt;0,Slot10_IsWG=1,DI8=1),MAX(0,(Slot10_Cost-DJ8*(1+Slot10_Rate)^(Slot10_Age-D8))/KY8),0)</f>
        <v>0</v>
      </c>
      <c r="LA8" s="1" t="n">
        <f aca="false">IF(AND(HT8=1,ID8&gt;0,Slot10_IsWG=1,DI8=1),MIN(ID8,KZ8),0)</f>
        <v>0</v>
      </c>
      <c r="LB8" s="1" t="n">
        <f aca="false">DJ8+LA8</f>
        <v>0</v>
      </c>
      <c r="LC8" s="1" t="n">
        <f aca="false">IF(DI8=1,MAX(0,(Slot10_Cost-LB8*(1+Slot10_Rate)^(Slot10_Age-D8))/KY8),0)</f>
        <v>0</v>
      </c>
      <c r="LD8" s="1" t="n">
        <f aca="false">IF(DI8=1,MAX(0,(Slot10_Cost-DJ8*(1+Slot10_Rate)^(Slot10_Age-D8))/KY8),0)</f>
        <v>0</v>
      </c>
      <c r="LE8" s="1" t="n">
        <f aca="false">IF(AND(HT8=1,DI8=1),MIN(KX8,LC8),0)</f>
        <v>0</v>
      </c>
      <c r="LF8" s="1" t="n">
        <f aca="false">KX8-LE8</f>
        <v>0</v>
      </c>
      <c r="LG8" s="1" t="n">
        <f aca="false">IF(DS8=1,IF(ABS((1+AS_Wage)/(1+Slot11_Rate)-1)&lt;0.000000000001,(Slot11_Age-D8)*(1+Slot11_Rate)^(Slot11_Age-D8),(1+Slot11_Rate)^(Slot11_Age-D8)*(1-((1+AS_Wage)/(1+Slot11_Rate))^(Slot11_Age-D8))/(1-(1+AS_Wage)/(1+Slot11_Rate))),1)</f>
        <v>1</v>
      </c>
      <c r="LH8" s="1" t="n">
        <f aca="false">IF(AND(HT8=1,ID8&gt;0,Slot11_IsWG=1,DS8=1),MAX(0,(Slot11_Cost-DT8*(1+Slot11_Rate)^(Slot11_Age-D8))/LG8),0)</f>
        <v>0</v>
      </c>
      <c r="LI8" s="1" t="n">
        <f aca="false">IF(AND(HT8=1,ID8&gt;0,Slot11_IsWG=1,DS8=1),MIN(ID8,LH8),0)</f>
        <v>0</v>
      </c>
      <c r="LJ8" s="1" t="n">
        <f aca="false">DT8+LI8</f>
        <v>0</v>
      </c>
      <c r="LK8" s="1" t="n">
        <f aca="false">IF(DS8=1,MAX(0,(Slot11_Cost-LJ8*(1+Slot11_Rate)^(Slot11_Age-D8))/LG8),0)</f>
        <v>0</v>
      </c>
      <c r="LL8" s="1" t="n">
        <f aca="false">IF(DS8=1,MAX(0,(Slot11_Cost-DT8*(1+Slot11_Rate)^(Slot11_Age-D8))/LG8),0)</f>
        <v>0</v>
      </c>
      <c r="LM8" s="1" t="n">
        <f aca="false">IF(AND(HT8=1,DS8=1),MIN(LF8,LK8),0)</f>
        <v>0</v>
      </c>
      <c r="LN8" s="1" t="n">
        <f aca="false">LF8-LM8</f>
        <v>0</v>
      </c>
      <c r="LO8" s="1" t="n">
        <f aca="false">IF(EC8=1,IF(ABS((1+AS_Wage)/(1+Slot12_Rate)-1)&lt;0.000000000001,(Slot12_Age-D8)*(1+Slot12_Rate)^(Slot12_Age-D8),(1+Slot12_Rate)^(Slot12_Age-D8)*(1-((1+AS_Wage)/(1+Slot12_Rate))^(Slot12_Age-D8))/(1-(1+AS_Wage)/(1+Slot12_Rate))),1)</f>
        <v>1</v>
      </c>
      <c r="LP8" s="1" t="n">
        <f aca="false">IF(AND(HT8=1,ID8&gt;0,Slot12_IsWG=1,EC8=1),MAX(0,(Slot12_Cost-ED8*(1+Slot12_Rate)^(Slot12_Age-D8))/LO8),0)</f>
        <v>0</v>
      </c>
      <c r="LQ8" s="1" t="n">
        <f aca="false">IF(AND(HT8=1,ID8&gt;0,Slot12_IsWG=1,EC8=1),MIN(ID8,LP8),0)</f>
        <v>0</v>
      </c>
      <c r="LR8" s="1" t="n">
        <f aca="false">ED8+LQ8</f>
        <v>0</v>
      </c>
      <c r="LS8" s="1" t="n">
        <f aca="false">IF(EC8=1,MAX(0,(Slot12_Cost-LR8*(1+Slot12_Rate)^(Slot12_Age-D8))/LO8),0)</f>
        <v>0</v>
      </c>
      <c r="LT8" s="1" t="n">
        <f aca="false">IF(EC8=1,MAX(0,(Slot12_Cost-ED8*(1+Slot12_Rate)^(Slot12_Age-D8))/LO8),0)</f>
        <v>0</v>
      </c>
      <c r="LU8" s="1" t="n">
        <f aca="false">IF(AND(HT8=1,EC8=1),MIN(LN8,LS8),0)</f>
        <v>0</v>
      </c>
      <c r="LV8" s="1" t="n">
        <f aca="false">LN8-LU8</f>
        <v>0</v>
      </c>
      <c r="LW8" s="1" t="n">
        <f aca="false">IF(EM8=1,IF(ABS((1+AS_Wage)/(1+Slot13_Rate)-1)&lt;0.000000000001,(Slot13_Age-D8)*(1+Slot13_Rate)^(Slot13_Age-D8),(1+Slot13_Rate)^(Slot13_Age-D8)*(1-((1+AS_Wage)/(1+Slot13_Rate))^(Slot13_Age-D8))/(1-(1+AS_Wage)/(1+Slot13_Rate))),1)</f>
        <v>1</v>
      </c>
      <c r="LX8" s="1" t="n">
        <f aca="false">IF(AND(HT8=1,ID8&gt;0,Slot13_IsWG=1,EM8=1),MAX(0,(Slot13_Cost-EN8*(1+Slot13_Rate)^(Slot13_Age-D8))/LW8),0)</f>
        <v>0</v>
      </c>
      <c r="LY8" s="1" t="n">
        <f aca="false">IF(AND(HT8=1,ID8&gt;0,Slot13_IsWG=1,EM8=1),MIN(ID8,LX8),0)</f>
        <v>0</v>
      </c>
      <c r="LZ8" s="1" t="n">
        <f aca="false">EN8+LY8</f>
        <v>0</v>
      </c>
      <c r="MA8" s="1" t="n">
        <f aca="false">IF(EM8=1,MAX(0,(Slot13_Cost-LZ8*(1+Slot13_Rate)^(Slot13_Age-D8))/LW8),0)</f>
        <v>0</v>
      </c>
      <c r="MB8" s="1" t="n">
        <f aca="false">IF(EM8=1,MAX(0,(Slot13_Cost-EN8*(1+Slot13_Rate)^(Slot13_Age-D8))/LW8),0)</f>
        <v>0</v>
      </c>
      <c r="MC8" s="1" t="n">
        <f aca="false">IF(AND(HT8=1,EM8=1),MIN(LV8,MA8),0)</f>
        <v>0</v>
      </c>
      <c r="MD8" s="1" t="n">
        <f aca="false">LV8-MC8</f>
        <v>0</v>
      </c>
      <c r="ME8" s="1" t="n">
        <f aca="false">IF(EW8=1,IF(ABS((1+AS_Wage)/(1+Slot14_Rate)-1)&lt;0.000000000001,(Slot14_Age-D8)*(1+Slot14_Rate)^(Slot14_Age-D8),(1+Slot14_Rate)^(Slot14_Age-D8)*(1-((1+AS_Wage)/(1+Slot14_Rate))^(Slot14_Age-D8))/(1-(1+AS_Wage)/(1+Slot14_Rate))),1)</f>
        <v>1</v>
      </c>
      <c r="MF8" s="1" t="n">
        <f aca="false">IF(AND(HT8=1,ID8&gt;0,Slot14_IsWG=1,EW8=1),MAX(0,(Slot14_Cost-EX8*(1+Slot14_Rate)^(Slot14_Age-D8))/ME8),0)</f>
        <v>0</v>
      </c>
      <c r="MG8" s="1" t="n">
        <f aca="false">IF(AND(HT8=1,ID8&gt;0,Slot14_IsWG=1,EW8=1),MIN(ID8,MF8),0)</f>
        <v>0</v>
      </c>
      <c r="MH8" s="1" t="n">
        <f aca="false">EX8+MG8</f>
        <v>0</v>
      </c>
      <c r="MI8" s="1" t="n">
        <f aca="false">IF(EW8=1,MAX(0,(Slot14_Cost-MH8*(1+Slot14_Rate)^(Slot14_Age-D8))/ME8),0)</f>
        <v>0</v>
      </c>
      <c r="MJ8" s="1" t="n">
        <f aca="false">IF(EW8=1,MAX(0,(Slot14_Cost-EX8*(1+Slot14_Rate)^(Slot14_Age-D8))/ME8),0)</f>
        <v>0</v>
      </c>
      <c r="MK8" s="1" t="n">
        <f aca="false">IF(AND(HT8=1,EW8=1),MIN(MD8,MI8),0)</f>
        <v>0</v>
      </c>
      <c r="ML8" s="1" t="n">
        <f aca="false">MD8-MK8</f>
        <v>0</v>
      </c>
      <c r="MM8" s="1" t="n">
        <f aca="false">IF(FG8=1,IF(ABS((1+AS_Wage)/(1+Slot15_Rate)-1)&lt;0.000000000001,(Slot15_Age-D8)*(1+Slot15_Rate)^(Slot15_Age-D8),(1+Slot15_Rate)^(Slot15_Age-D8)*(1-((1+AS_Wage)/(1+Slot15_Rate))^(Slot15_Age-D8))/(1-(1+AS_Wage)/(1+Slot15_Rate))),1)</f>
        <v>1</v>
      </c>
      <c r="MN8" s="1" t="n">
        <f aca="false">IF(AND(HT8=1,ID8&gt;0,Slot15_IsWG=1,FG8=1),MAX(0,(Slot15_Cost-FH8*(1+Slot15_Rate)^(Slot15_Age-D8))/MM8),0)</f>
        <v>0</v>
      </c>
      <c r="MO8" s="1" t="n">
        <f aca="false">IF(AND(HT8=1,ID8&gt;0,Slot15_IsWG=1,FG8=1),MIN(ID8,MN8),0)</f>
        <v>0</v>
      </c>
      <c r="MP8" s="1" t="n">
        <f aca="false">FH8+MO8</f>
        <v>0</v>
      </c>
      <c r="MQ8" s="1" t="n">
        <f aca="false">IF(FG8=1,MAX(0,(Slot15_Cost-MP8*(1+Slot15_Rate)^(Slot15_Age-D8))/MM8),0)</f>
        <v>0</v>
      </c>
      <c r="MR8" s="1" t="n">
        <f aca="false">IF(FG8=1,MAX(0,(Slot15_Cost-FH8*(1+Slot15_Rate)^(Slot15_Age-D8))/MM8),0)</f>
        <v>0</v>
      </c>
      <c r="MS8" s="1" t="n">
        <f aca="false">IF(AND(HT8=1,FG8=1),MIN(ML8,MQ8),0)</f>
        <v>0</v>
      </c>
      <c r="MT8" s="1" t="n">
        <f aca="false">ML8-MS8</f>
        <v>0</v>
      </c>
      <c r="MU8" s="1" t="n">
        <f aca="false">IF(FQ8=1,IF(ABS((1+AS_Wage)/(1+Slot16_Rate)-1)&lt;0.000000000001,(Slot16_Age-D8)*(1+Slot16_Rate)^(Slot16_Age-D8),(1+Slot16_Rate)^(Slot16_Age-D8)*(1-((1+AS_Wage)/(1+Slot16_Rate))^(Slot16_Age-D8))/(1-(1+AS_Wage)/(1+Slot16_Rate))),1)</f>
        <v>1</v>
      </c>
      <c r="MV8" s="1" t="n">
        <f aca="false">IF(AND(HT8=1,ID8&gt;0,Slot16_IsWG=1,FQ8=1),MAX(0,(Slot16_Cost-FR8*(1+Slot16_Rate)^(Slot16_Age-D8))/MU8),0)</f>
        <v>0</v>
      </c>
      <c r="MW8" s="1" t="n">
        <f aca="false">IF(AND(HT8=1,ID8&gt;0,Slot16_IsWG=1,FQ8=1),MIN(ID8,MV8),0)</f>
        <v>0</v>
      </c>
      <c r="MX8" s="1" t="n">
        <f aca="false">FR8+MW8</f>
        <v>0</v>
      </c>
      <c r="MY8" s="1" t="n">
        <f aca="false">IF(FQ8=1,MAX(0,(Slot16_Cost-MX8*(1+Slot16_Rate)^(Slot16_Age-D8))/MU8),0)</f>
        <v>0</v>
      </c>
      <c r="MZ8" s="1" t="n">
        <f aca="false">IF(FQ8=1,MAX(0,(Slot16_Cost-FR8*(1+Slot16_Rate)^(Slot16_Age-D8))/MU8),0)</f>
        <v>0</v>
      </c>
      <c r="NA8" s="1" t="n">
        <f aca="false">IF(AND(HT8=1,FQ8=1),MIN(MT8,MY8),0)</f>
        <v>0</v>
      </c>
      <c r="NB8" s="1" t="n">
        <f aca="false">MT8-NA8</f>
        <v>0</v>
      </c>
      <c r="NC8" s="1" t="n">
        <f aca="false">IF(GA8=1,IF(ABS((1+AS_Wage)/(1+Slot17_Rate)-1)&lt;0.000000000001,(Slot17_Age-D8)*(1+Slot17_Rate)^(Slot17_Age-D8),(1+Slot17_Rate)^(Slot17_Age-D8)*(1-((1+AS_Wage)/(1+Slot17_Rate))^(Slot17_Age-D8))/(1-(1+AS_Wage)/(1+Slot17_Rate))),1)</f>
        <v>1</v>
      </c>
      <c r="ND8" s="1" t="n">
        <f aca="false">IF(AND(HT8=1,ID8&gt;0,Slot17_IsWG=1,GA8=1),MAX(0,(Slot17_Cost-GB8*(1+Slot17_Rate)^(Slot17_Age-D8))/NC8),0)</f>
        <v>0</v>
      </c>
      <c r="NE8" s="1" t="n">
        <f aca="false">IF(AND(HT8=1,ID8&gt;0,Slot17_IsWG=1,GA8=1),MIN(ID8,ND8),0)</f>
        <v>0</v>
      </c>
      <c r="NF8" s="1" t="n">
        <f aca="false">GB8+NE8</f>
        <v>0</v>
      </c>
      <c r="NG8" s="1" t="n">
        <f aca="false">IF(GA8=1,MAX(0,(Slot17_Cost-NF8*(1+Slot17_Rate)^(Slot17_Age-D8))/NC8),0)</f>
        <v>0</v>
      </c>
      <c r="NH8" s="1" t="n">
        <f aca="false">IF(GA8=1,MAX(0,(Slot17_Cost-GB8*(1+Slot17_Rate)^(Slot17_Age-D8))/NC8),0)</f>
        <v>0</v>
      </c>
      <c r="NI8" s="1" t="n">
        <f aca="false">IF(AND(HT8=1,GA8=1),MIN(NB8,NG8),0)</f>
        <v>0</v>
      </c>
      <c r="NJ8" s="1" t="n">
        <f aca="false">NB8-NI8</f>
        <v>0</v>
      </c>
      <c r="NK8" s="1" t="n">
        <f aca="false">IF(GK8=1,IF(ABS((1+AS_Wage)/(1+Slot18_Rate)-1)&lt;0.000000000001,(Slot18_Age-D8)*(1+Slot18_Rate)^(Slot18_Age-D8),(1+Slot18_Rate)^(Slot18_Age-D8)*(1-((1+AS_Wage)/(1+Slot18_Rate))^(Slot18_Age-D8))/(1-(1+AS_Wage)/(1+Slot18_Rate))),1)</f>
        <v>1</v>
      </c>
      <c r="NL8" s="1" t="n">
        <f aca="false">IF(AND(HT8=1,ID8&gt;0,Slot18_IsWG=1,GK8=1),MAX(0,(Slot18_Cost-GL8*(1+Slot18_Rate)^(Slot18_Age-D8))/NK8),0)</f>
        <v>0</v>
      </c>
      <c r="NM8" s="1" t="n">
        <f aca="false">IF(AND(HT8=1,ID8&gt;0,Slot18_IsWG=1,GK8=1),MIN(ID8,NL8),0)</f>
        <v>0</v>
      </c>
      <c r="NN8" s="1" t="n">
        <f aca="false">GL8+NM8</f>
        <v>0</v>
      </c>
      <c r="NO8" s="1" t="n">
        <f aca="false">IF(GK8=1,MAX(0,(Slot18_Cost-NN8*(1+Slot18_Rate)^(Slot18_Age-D8))/NK8),0)</f>
        <v>0</v>
      </c>
      <c r="NP8" s="1" t="n">
        <f aca="false">IF(GK8=1,MAX(0,(Slot18_Cost-GL8*(1+Slot18_Rate)^(Slot18_Age-D8))/NK8),0)</f>
        <v>0</v>
      </c>
      <c r="NQ8" s="1" t="n">
        <f aca="false">IF(AND(HT8=1,GK8=1),MIN(NJ8,NO8),0)</f>
        <v>0</v>
      </c>
      <c r="NR8" s="1" t="n">
        <f aca="false">NJ8-NQ8</f>
        <v>0</v>
      </c>
      <c r="NS8" s="1" t="n">
        <f aca="false">IF(GU8=1,IF(ABS((1+AS_Wage)/(1+Slot19_Rate)-1)&lt;0.000000000001,(Slot19_Age-D8)*(1+Slot19_Rate)^(Slot19_Age-D8),(1+Slot19_Rate)^(Slot19_Age-D8)*(1-((1+AS_Wage)/(1+Slot19_Rate))^(Slot19_Age-D8))/(1-(1+AS_Wage)/(1+Slot19_Rate))),1)</f>
        <v>1</v>
      </c>
      <c r="NT8" s="1" t="n">
        <f aca="false">IF(AND(HT8=1,ID8&gt;0,Slot19_IsWG=1,GU8=1),MAX(0,(Slot19_Cost-GV8*(1+Slot19_Rate)^(Slot19_Age-D8))/NS8),0)</f>
        <v>0</v>
      </c>
      <c r="NU8" s="1" t="n">
        <f aca="false">IF(AND(HT8=1,ID8&gt;0,Slot19_IsWG=1,GU8=1),MIN(ID8,NT8),0)</f>
        <v>0</v>
      </c>
      <c r="NV8" s="1" t="n">
        <f aca="false">GV8+NU8</f>
        <v>0</v>
      </c>
      <c r="NW8" s="1" t="n">
        <f aca="false">IF(GU8=1,MAX(0,(Slot19_Cost-NV8*(1+Slot19_Rate)^(Slot19_Age-D8))/NS8),0)</f>
        <v>0</v>
      </c>
      <c r="NX8" s="1" t="n">
        <f aca="false">IF(GU8=1,MAX(0,(Slot19_Cost-GV8*(1+Slot19_Rate)^(Slot19_Age-D8))/NS8),0)</f>
        <v>0</v>
      </c>
      <c r="NY8" s="1" t="n">
        <f aca="false">IF(AND(HT8=1,GU8=1),MIN(NR8,NW8),0)</f>
        <v>0</v>
      </c>
      <c r="NZ8" s="1" t="n">
        <f aca="false">NR8-NY8</f>
        <v>0</v>
      </c>
      <c r="OA8" s="1" t="n">
        <f aca="false">IF(HE8=1,IF(ABS((1+AS_Wage)/(1+Slot20_Rate)-1)&lt;0.000000000001,(Slot20_Age-D8)*(1+Slot20_Rate)^(Slot20_Age-D8),(1+Slot20_Rate)^(Slot20_Age-D8)*(1-((1+AS_Wage)/(1+Slot20_Rate))^(Slot20_Age-D8))/(1-(1+AS_Wage)/(1+Slot20_Rate))),1)</f>
        <v>1</v>
      </c>
      <c r="OB8" s="1" t="n">
        <f aca="false">IF(AND(HT8=1,ID8&gt;0,Slot20_IsWG=1,HE8=1),MAX(0,(Slot20_Cost-HF8*(1+Slot20_Rate)^(Slot20_Age-D8))/OA8),0)</f>
        <v>0</v>
      </c>
      <c r="OC8" s="1" t="n">
        <f aca="false">IF(AND(HT8=1,ID8&gt;0,Slot20_IsWG=1,HE8=1),MIN(ID8,OB8),0)</f>
        <v>0</v>
      </c>
      <c r="OD8" s="1" t="n">
        <f aca="false">HF8+OC8</f>
        <v>0</v>
      </c>
      <c r="OE8" s="1" t="n">
        <f aca="false">IF(HE8=1,MAX(0,(Slot20_Cost-OD8*(1+Slot20_Rate)^(Slot20_Age-D8))/OA8),0)</f>
        <v>0</v>
      </c>
      <c r="OF8" s="1" t="n">
        <f aca="false">IF(HE8=1,MAX(0,(Slot20_Cost-HF8*(1+Slot20_Rate)^(Slot20_Age-D8))/OA8),0)</f>
        <v>0</v>
      </c>
      <c r="OG8" s="1" t="n">
        <f aca="false">IF(AND(HT8=1,HE8=1),MIN(NZ8,OE8),0)</f>
        <v>0</v>
      </c>
      <c r="OH8" s="1" t="n">
        <f aca="false">NZ8-OG8</f>
        <v>0</v>
      </c>
      <c r="OI8" s="1" t="n">
        <f aca="false">ID8-(IG8+IO8+IW8+JE8+JM8+JU8+KC8+KK8+KS8+LA8+LI8+LQ8+LY8+MG8+MO8+MW8+NE8+NM8+NU8+OC8)</f>
        <v>0</v>
      </c>
      <c r="OJ8" s="1" t="n">
        <f aca="false">IF(HT8=1,HR8-IC8-ID8,0)</f>
        <v>0</v>
      </c>
      <c r="OK8" s="1" t="n">
        <f aca="false">IF(HT8=0,-HR8,0)</f>
        <v>0</v>
      </c>
      <c r="OL8" s="1" t="n">
        <f aca="false">MIN(OK8,HJ8)</f>
        <v>0</v>
      </c>
      <c r="OM8" s="1" t="n">
        <f aca="false">OK8-OL8</f>
        <v>0</v>
      </c>
      <c r="ON8" s="1" t="n">
        <f aca="false">MIN(OM8,HK8)</f>
        <v>0</v>
      </c>
      <c r="OO8" s="1" t="n">
        <f aca="false">OM8-ON8</f>
        <v>0</v>
      </c>
      <c r="OP8" s="1" t="n">
        <f aca="false">IF(AND(HT8=0,HE8=1,OO8&gt;0),MIN(OO8,HF8),0)</f>
        <v>0</v>
      </c>
      <c r="OQ8" s="1" t="n">
        <f aca="false">OO8-OP8</f>
        <v>0</v>
      </c>
      <c r="OR8" s="1" t="n">
        <f aca="false">IF(AND(HT8=0,GU8=1,OQ8&gt;0),MIN(OQ8,GV8),0)</f>
        <v>0</v>
      </c>
      <c r="OS8" s="1" t="n">
        <f aca="false">OQ8-OR8</f>
        <v>0</v>
      </c>
      <c r="OT8" s="1" t="n">
        <f aca="false">IF(AND(HT8=0,GK8=1,OS8&gt;0),MIN(OS8,GL8),0)</f>
        <v>0</v>
      </c>
      <c r="OU8" s="1" t="n">
        <f aca="false">OS8-OT8</f>
        <v>0</v>
      </c>
      <c r="OV8" s="1" t="n">
        <f aca="false">IF(AND(HT8=0,GA8=1,OU8&gt;0),MIN(OU8,GB8),0)</f>
        <v>0</v>
      </c>
      <c r="OW8" s="1" t="n">
        <f aca="false">OU8-OV8</f>
        <v>0</v>
      </c>
      <c r="OX8" s="1" t="n">
        <f aca="false">IF(AND(HT8=0,FQ8=1,OW8&gt;0),MIN(OW8,FR8),0)</f>
        <v>0</v>
      </c>
      <c r="OY8" s="1" t="n">
        <f aca="false">OW8-OX8</f>
        <v>0</v>
      </c>
      <c r="OZ8" s="1" t="n">
        <f aca="false">IF(AND(HT8=0,FG8=1,OY8&gt;0),MIN(OY8,FH8),0)</f>
        <v>0</v>
      </c>
      <c r="PA8" s="1" t="n">
        <f aca="false">OY8-OZ8</f>
        <v>0</v>
      </c>
      <c r="PB8" s="1" t="n">
        <f aca="false">IF(AND(HT8=0,EW8=1,PA8&gt;0),MIN(PA8,EX8),0)</f>
        <v>0</v>
      </c>
      <c r="PC8" s="1" t="n">
        <f aca="false">PA8-PB8</f>
        <v>0</v>
      </c>
      <c r="PD8" s="1" t="n">
        <f aca="false">IF(AND(HT8=0,EM8=1,PC8&gt;0),MIN(PC8,EN8),0)</f>
        <v>0</v>
      </c>
      <c r="PE8" s="1" t="n">
        <f aca="false">PC8-PD8</f>
        <v>0</v>
      </c>
      <c r="PF8" s="1" t="n">
        <f aca="false">IF(AND(HT8=0,EC8=1,PE8&gt;0),MIN(PE8,ED8),0)</f>
        <v>0</v>
      </c>
      <c r="PG8" s="1" t="n">
        <f aca="false">PE8-PF8</f>
        <v>0</v>
      </c>
      <c r="PH8" s="1" t="n">
        <f aca="false">IF(AND(HT8=0,DS8=1,PG8&gt;0),MIN(PG8,DT8),0)</f>
        <v>0</v>
      </c>
      <c r="PI8" s="1" t="n">
        <f aca="false">PG8-PH8</f>
        <v>0</v>
      </c>
      <c r="PJ8" s="1" t="n">
        <f aca="false">IF(AND(HT8=0,DI8=1,PI8&gt;0),MIN(PI8,DJ8),0)</f>
        <v>0</v>
      </c>
      <c r="PK8" s="1" t="n">
        <f aca="false">PI8-PJ8</f>
        <v>0</v>
      </c>
      <c r="PL8" s="1" t="n">
        <f aca="false">IF(AND(HT8=0,CY8=1,PK8&gt;0),MIN(PK8,CZ8),0)</f>
        <v>0</v>
      </c>
      <c r="PM8" s="1" t="n">
        <f aca="false">PK8-PL8</f>
        <v>0</v>
      </c>
      <c r="PN8" s="1" t="n">
        <f aca="false">IF(AND(HT8=0,CO8=1,PM8&gt;0),MIN(PM8,CP8),0)</f>
        <v>0</v>
      </c>
      <c r="PO8" s="1" t="n">
        <f aca="false">PM8-PN8</f>
        <v>0</v>
      </c>
      <c r="PP8" s="1" t="n">
        <f aca="false">IF(AND(HT8=0,CE8=1,PO8&gt;0),MIN(PO8,CF8),0)</f>
        <v>0</v>
      </c>
      <c r="PQ8" s="1" t="n">
        <f aca="false">PO8-PP8</f>
        <v>0</v>
      </c>
      <c r="PR8" s="1" t="n">
        <f aca="false">IF(AND(HT8=0,BU8=1,PQ8&gt;0),MIN(PQ8,BV8),0)</f>
        <v>0</v>
      </c>
      <c r="PS8" s="1" t="n">
        <f aca="false">PQ8-PR8</f>
        <v>0</v>
      </c>
      <c r="PT8" s="1" t="n">
        <f aca="false">IF(AND(HT8=0,BK8=1,PS8&gt;0),MIN(PS8,BL8),0)</f>
        <v>0</v>
      </c>
      <c r="PU8" s="1" t="n">
        <f aca="false">PS8-PT8</f>
        <v>0</v>
      </c>
      <c r="PV8" s="1" t="n">
        <f aca="false">IF(AND(HT8=0,BA8=1,PU8&gt;0),MIN(PU8,BB8),0)</f>
        <v>0</v>
      </c>
      <c r="PW8" s="1" t="n">
        <f aca="false">PU8-PV8</f>
        <v>0</v>
      </c>
      <c r="PX8" s="1" t="n">
        <f aca="false">IF(AND(HT8=0,AQ8=1,PW8&gt;0),MIN(PW8,AR8),0)</f>
        <v>0</v>
      </c>
      <c r="PY8" s="1" t="n">
        <f aca="false">PW8-PX8</f>
        <v>0</v>
      </c>
      <c r="PZ8" s="1" t="n">
        <f aca="false">IF(AND(HT8=0,AG8=1,PY8&gt;0),MIN(PY8,AH8),0)</f>
        <v>0</v>
      </c>
      <c r="QA8" s="1" t="n">
        <f aca="false">PY8-PZ8</f>
        <v>0</v>
      </c>
      <c r="QB8" s="1" t="n">
        <f aca="false">IF(AND(HT8=0,V8=1,QA8&gt;0),MIN(QA8,W8),0)</f>
        <v>0</v>
      </c>
      <c r="QC8" s="1" t="n">
        <f aca="false">QA8-QB8</f>
        <v>0</v>
      </c>
      <c r="QD8" s="1" t="n">
        <f aca="false">IF(HT8=0,QC8,0)</f>
        <v>0</v>
      </c>
      <c r="QE8" s="1" t="n">
        <f aca="false">OL8+ON8+QB8+PZ8+PX8+PV8+PT8+PR8+PP8+PN8+PL8+PJ8+PH8+PF8+PD8+PB8+OZ8+OX8+OV8+OT8+OR8+OP8</f>
        <v>0</v>
      </c>
      <c r="QF8" s="1" t="n">
        <f aca="false">IF(HT8=1,HJ8+OI8+OH8+IF(F8=1,0,OJ8),HJ8-OL8)</f>
        <v>0</v>
      </c>
      <c r="QG8" s="1" t="n">
        <f aca="false">HK8-ON8</f>
        <v>0</v>
      </c>
      <c r="QH8" s="1" t="n">
        <f aca="false">IF(HT8=1,IF(F8=1,IC8+ID8,HR8),0)</f>
        <v>0</v>
      </c>
      <c r="QI8" s="1" t="n">
        <f aca="false">IF(HT8=1,IF(F8=1,HR8-IC8-ID8,0),0)</f>
        <v>0</v>
      </c>
      <c r="QJ8" s="1" t="n">
        <f aca="false">QF8*(1+GR)</f>
        <v>0</v>
      </c>
      <c r="QK8" s="1" t="n">
        <f aca="false">QG8*(1+AS_Cash)</f>
        <v>0</v>
      </c>
      <c r="QL8" s="1" t="n">
        <f aca="false">IF(V8=1,IF(HT8=1,IH8+IK8,W8-QB8)*(1+Slot1_Rate),0)</f>
        <v>0</v>
      </c>
      <c r="QM8" s="1" t="n">
        <f aca="false">IF(AND(HT8=1,V8=1),(IG8+IK8)/E8,0)</f>
        <v>0</v>
      </c>
      <c r="QN8" s="1" t="n">
        <f aca="false">IF(B8=0,IG8+IK8,0)</f>
        <v>0</v>
      </c>
      <c r="QO8" s="1" t="n">
        <f aca="false">IF(B8=0,IF(HT8=1,II8,IJ8),0)</f>
        <v>0</v>
      </c>
      <c r="QP8" s="1" t="n">
        <f aca="false">IF(AG8=1,IF(HT8=1,IP8+IS8,AH8-PZ8)*(1+Slot2_Rate),0)</f>
        <v>0</v>
      </c>
      <c r="QQ8" s="1" t="n">
        <f aca="false">IF(AND(HT8=1,AG8=1),(IO8+IS8)/E8,0)</f>
        <v>0</v>
      </c>
      <c r="QR8" s="1" t="n">
        <f aca="false">IF(B8=0,IO8+IS8,0)</f>
        <v>0</v>
      </c>
      <c r="QS8" s="1" t="n">
        <f aca="false">IF(B8=0,IF(HT8=1,IQ8,IR8),0)</f>
        <v>0</v>
      </c>
      <c r="QT8" s="1" t="n">
        <f aca="false">IF(AQ8=1,IF(HT8=1,IX8+JA8,AR8-PX8)*(1+Slot3_Rate),0)</f>
        <v>0</v>
      </c>
      <c r="QU8" s="1" t="n">
        <f aca="false">IF(AND(HT8=1,AQ8=1),(IW8+JA8)/E8,0)</f>
        <v>0</v>
      </c>
      <c r="QV8" s="1" t="n">
        <f aca="false">IF(B8=0,IW8+JA8,0)</f>
        <v>0</v>
      </c>
      <c r="QW8" s="1" t="n">
        <f aca="false">IF(B8=0,IF(HT8=1,IY8,IZ8),0)</f>
        <v>0</v>
      </c>
      <c r="QX8" s="1" t="n">
        <f aca="false">IF(BA8=1,IF(HT8=1,JF8+JI8,BB8-PV8)*(1+Slot4_Rate),0)</f>
        <v>0</v>
      </c>
      <c r="QY8" s="1" t="n">
        <f aca="false">IF(AND(HT8=1,BA8=1),(JE8+JI8)/E8,0)</f>
        <v>0</v>
      </c>
      <c r="QZ8" s="1" t="n">
        <f aca="false">IF(B8=0,JE8+JI8,0)</f>
        <v>0</v>
      </c>
      <c r="RA8" s="1" t="n">
        <f aca="false">IF(B8=0,IF(HT8=1,JG8,JH8),0)</f>
        <v>0</v>
      </c>
      <c r="RB8" s="1" t="n">
        <f aca="false">IF(BK8=1,IF(HT8=1,JN8+JQ8,BL8-PT8)*(1+Slot5_Rate),0)</f>
        <v>0</v>
      </c>
      <c r="RC8" s="1" t="n">
        <f aca="false">IF(AND(HT8=1,BK8=1),(JM8+JQ8)/E8,0)</f>
        <v>0</v>
      </c>
      <c r="RD8" s="1" t="n">
        <f aca="false">IF(B8=0,JM8+JQ8,0)</f>
        <v>0</v>
      </c>
      <c r="RE8" s="1" t="n">
        <f aca="false">IF(B8=0,IF(HT8=1,JO8,JP8),0)</f>
        <v>0</v>
      </c>
      <c r="RF8" s="1" t="n">
        <f aca="false">IF(BU8=1,IF(HT8=1,JV8+JY8,BV8-PR8)*(1+Slot6_Rate),0)</f>
        <v>0</v>
      </c>
      <c r="RG8" s="1" t="n">
        <f aca="false">IF(AND(HT8=1,BU8=1),(JU8+JY8)/E8,0)</f>
        <v>0</v>
      </c>
      <c r="RH8" s="1" t="n">
        <f aca="false">IF(B8=0,JU8+JY8,0)</f>
        <v>0</v>
      </c>
      <c r="RI8" s="1" t="n">
        <f aca="false">IF(B8=0,IF(HT8=1,JW8,JX8),0)</f>
        <v>0</v>
      </c>
      <c r="RJ8" s="1" t="n">
        <f aca="false">IF(CE8=1,IF(HT8=1,KD8+KG8,CF8-PP8)*(1+Slot7_Rate),0)</f>
        <v>0</v>
      </c>
      <c r="RK8" s="1" t="n">
        <f aca="false">IF(AND(HT8=1,CE8=1),(KC8+KG8)/E8,0)</f>
        <v>0</v>
      </c>
      <c r="RL8" s="1" t="n">
        <f aca="false">IF(B8=0,KC8+KG8,0)</f>
        <v>0</v>
      </c>
      <c r="RM8" s="1" t="n">
        <f aca="false">IF(B8=0,IF(HT8=1,KE8,KF8),0)</f>
        <v>0</v>
      </c>
      <c r="RN8" s="1" t="n">
        <f aca="false">IF(CO8=1,IF(HT8=1,KL8+KO8,CP8-PN8)*(1+Slot8_Rate),0)</f>
        <v>0</v>
      </c>
      <c r="RO8" s="1" t="n">
        <f aca="false">IF(AND(HT8=1,CO8=1),(KK8+KO8)/E8,0)</f>
        <v>0</v>
      </c>
      <c r="RP8" s="1" t="n">
        <f aca="false">IF(B8=0,KK8+KO8,0)</f>
        <v>0</v>
      </c>
      <c r="RQ8" s="1" t="n">
        <f aca="false">IF(B8=0,IF(HT8=1,KM8,KN8),0)</f>
        <v>0</v>
      </c>
      <c r="RR8" s="1" t="n">
        <f aca="false">IF(CY8=1,IF(HT8=1,KT8+KW8,CZ8-PL8)*(1+Slot9_Rate),0)</f>
        <v>0</v>
      </c>
      <c r="RS8" s="1" t="n">
        <f aca="false">IF(AND(HT8=1,CY8=1),(KS8+KW8)/E8,0)</f>
        <v>0</v>
      </c>
      <c r="RT8" s="1" t="n">
        <f aca="false">IF(B8=0,KS8+KW8,0)</f>
        <v>0</v>
      </c>
      <c r="RU8" s="1" t="n">
        <f aca="false">IF(B8=0,IF(HT8=1,KU8,KV8),0)</f>
        <v>0</v>
      </c>
      <c r="RV8" s="1" t="n">
        <f aca="false">IF(DI8=1,IF(HT8=1,LB8+LE8,DJ8-PJ8)*(1+Slot10_Rate),0)</f>
        <v>0</v>
      </c>
      <c r="RW8" s="1" t="n">
        <f aca="false">IF(AND(HT8=1,DI8=1),(LA8+LE8)/E8,0)</f>
        <v>0</v>
      </c>
      <c r="RX8" s="1" t="n">
        <f aca="false">IF(B8=0,LA8+LE8,0)</f>
        <v>0</v>
      </c>
      <c r="RY8" s="1" t="n">
        <f aca="false">IF(B8=0,IF(HT8=1,LC8,LD8),0)</f>
        <v>0</v>
      </c>
      <c r="RZ8" s="1" t="n">
        <f aca="false">IF(DS8=1,IF(HT8=1,LJ8+LM8,DT8-PH8)*(1+Slot11_Rate),0)</f>
        <v>0</v>
      </c>
      <c r="SA8" s="1" t="n">
        <f aca="false">IF(AND(HT8=1,DS8=1),(LI8+LM8)/E8,0)</f>
        <v>0</v>
      </c>
      <c r="SB8" s="1" t="n">
        <f aca="false">IF(B8=0,LI8+LM8,0)</f>
        <v>0</v>
      </c>
      <c r="SC8" s="1" t="n">
        <f aca="false">IF(B8=0,IF(HT8=1,LK8,LL8),0)</f>
        <v>0</v>
      </c>
      <c r="SD8" s="1" t="n">
        <f aca="false">IF(EC8=1,IF(HT8=1,LR8+LU8,ED8-PF8)*(1+Slot12_Rate),0)</f>
        <v>0</v>
      </c>
      <c r="SE8" s="1" t="n">
        <f aca="false">IF(AND(HT8=1,EC8=1),(LQ8+LU8)/E8,0)</f>
        <v>0</v>
      </c>
      <c r="SF8" s="1" t="n">
        <f aca="false">IF(B8=0,LQ8+LU8,0)</f>
        <v>0</v>
      </c>
      <c r="SG8" s="1" t="n">
        <f aca="false">IF(B8=0,IF(HT8=1,LS8,LT8),0)</f>
        <v>0</v>
      </c>
      <c r="SH8" s="1" t="n">
        <f aca="false">IF(EM8=1,IF(HT8=1,LZ8+MC8,EN8-PD8)*(1+Slot13_Rate),0)</f>
        <v>0</v>
      </c>
      <c r="SI8" s="1" t="n">
        <f aca="false">IF(AND(HT8=1,EM8=1),(LY8+MC8)/E8,0)</f>
        <v>0</v>
      </c>
      <c r="SJ8" s="1" t="n">
        <f aca="false">IF(B8=0,LY8+MC8,0)</f>
        <v>0</v>
      </c>
      <c r="SK8" s="1" t="n">
        <f aca="false">IF(B8=0,IF(HT8=1,MA8,MB8),0)</f>
        <v>0</v>
      </c>
      <c r="SL8" s="1" t="n">
        <f aca="false">IF(EW8=1,IF(HT8=1,MH8+MK8,EX8-PB8)*(1+Slot14_Rate),0)</f>
        <v>0</v>
      </c>
      <c r="SM8" s="1" t="n">
        <f aca="false">IF(AND(HT8=1,EW8=1),(MG8+MK8)/E8,0)</f>
        <v>0</v>
      </c>
      <c r="SN8" s="1" t="n">
        <f aca="false">IF(B8=0,MG8+MK8,0)</f>
        <v>0</v>
      </c>
      <c r="SO8" s="1" t="n">
        <f aca="false">IF(B8=0,IF(HT8=1,MI8,MJ8),0)</f>
        <v>0</v>
      </c>
      <c r="SP8" s="1" t="n">
        <f aca="false">IF(FG8=1,IF(HT8=1,MP8+MS8,FH8-OZ8)*(1+Slot15_Rate),0)</f>
        <v>0</v>
      </c>
      <c r="SQ8" s="1" t="n">
        <f aca="false">IF(AND(HT8=1,FG8=1),(MO8+MS8)/E8,0)</f>
        <v>0</v>
      </c>
      <c r="SR8" s="1" t="n">
        <f aca="false">IF(B8=0,MO8+MS8,0)</f>
        <v>0</v>
      </c>
      <c r="SS8" s="1" t="n">
        <f aca="false">IF(B8=0,IF(HT8=1,MQ8,MR8),0)</f>
        <v>0</v>
      </c>
      <c r="ST8" s="1" t="n">
        <f aca="false">IF(FQ8=1,IF(HT8=1,MX8+NA8,FR8-OX8)*(1+Slot16_Rate),0)</f>
        <v>0</v>
      </c>
      <c r="SU8" s="1" t="n">
        <f aca="false">IF(AND(HT8=1,FQ8=1),(MW8+NA8)/E8,0)</f>
        <v>0</v>
      </c>
      <c r="SV8" s="1" t="n">
        <f aca="false">IF(B8=0,MW8+NA8,0)</f>
        <v>0</v>
      </c>
      <c r="SW8" s="1" t="n">
        <f aca="false">IF(B8=0,IF(HT8=1,MY8,MZ8),0)</f>
        <v>0</v>
      </c>
      <c r="SX8" s="1" t="n">
        <f aca="false">IF(GA8=1,IF(HT8=1,NF8+NI8,GB8-OV8)*(1+Slot17_Rate),0)</f>
        <v>0</v>
      </c>
      <c r="SY8" s="1" t="n">
        <f aca="false">IF(AND(HT8=1,GA8=1),(NE8+NI8)/E8,0)</f>
        <v>0</v>
      </c>
      <c r="SZ8" s="1" t="n">
        <f aca="false">IF(B8=0,NE8+NI8,0)</f>
        <v>0</v>
      </c>
      <c r="TA8" s="1" t="n">
        <f aca="false">IF(B8=0,IF(HT8=1,NG8,NH8),0)</f>
        <v>0</v>
      </c>
      <c r="TB8" s="1" t="n">
        <f aca="false">IF(GK8=1,IF(HT8=1,NN8+NQ8,GL8-OT8)*(1+Slot18_Rate),0)</f>
        <v>0</v>
      </c>
      <c r="TC8" s="1" t="n">
        <f aca="false">IF(AND(HT8=1,GK8=1),(NM8+NQ8)/E8,0)</f>
        <v>0</v>
      </c>
      <c r="TD8" s="1" t="n">
        <f aca="false">IF(B8=0,NM8+NQ8,0)</f>
        <v>0</v>
      </c>
      <c r="TE8" s="1" t="n">
        <f aca="false">IF(B8=0,IF(HT8=1,NO8,NP8),0)</f>
        <v>0</v>
      </c>
      <c r="TF8" s="1" t="n">
        <f aca="false">IF(GU8=1,IF(HT8=1,NV8+NY8,GV8-OR8)*(1+Slot19_Rate),0)</f>
        <v>0</v>
      </c>
      <c r="TG8" s="1" t="n">
        <f aca="false">IF(AND(HT8=1,GU8=1),(NU8+NY8)/E8,0)</f>
        <v>0</v>
      </c>
      <c r="TH8" s="1" t="n">
        <f aca="false">IF(B8=0,NU8+NY8,0)</f>
        <v>0</v>
      </c>
      <c r="TI8" s="1" t="n">
        <f aca="false">IF(B8=0,IF(HT8=1,NW8,NX8),0)</f>
        <v>0</v>
      </c>
      <c r="TJ8" s="1" t="n">
        <f aca="false">IF(HE8=1,IF(HT8=1,OD8+OG8,HF8-OP8)*(1+Slot20_Rate),0)</f>
        <v>0</v>
      </c>
      <c r="TK8" s="1" t="n">
        <f aca="false">IF(AND(HT8=1,HE8=1),(OC8+OG8)/E8,0)</f>
        <v>0</v>
      </c>
      <c r="TL8" s="1" t="n">
        <f aca="false">IF(B8=0,OC8+OG8,0)</f>
        <v>0</v>
      </c>
      <c r="TM8" s="1" t="n">
        <f aca="false">IF(B8=0,IF(HT8=1,OE8,OF8),0)</f>
        <v>0</v>
      </c>
      <c r="TN8" s="1" t="n">
        <f aca="false">QJ8+QK8+QL8+QP8+QT8+QX8+RB8+RF8+RJ8+RN8+RR8+RV8+RZ8+SD8+SH8+SL8+SP8+ST8+SX8+TB8+TF8+TJ8</f>
        <v>0</v>
      </c>
      <c r="TO8" s="1" t="n">
        <f aca="false">QD8+HO8</f>
        <v>0</v>
      </c>
      <c r="TP8" s="1" t="n">
        <f aca="false">H8+R8</f>
        <v>0</v>
      </c>
      <c r="TQ8" s="1" t="n">
        <f aca="false">1-F8</f>
        <v>0</v>
      </c>
      <c r="TR8" s="1" t="n">
        <f aca="false">IF(AND(RG_Exists=1,F8=0,C8=1),H8,0)</f>
        <v>0</v>
      </c>
      <c r="TS8" s="1" t="n">
        <f aca="false">IF(AND(RG_Exists=1,F8=0,C8=1),H8-MIN(QD8,H8),0)</f>
        <v>0</v>
      </c>
      <c r="TT8" s="1" t="n">
        <f aca="false">'Plan pay &amp; tax'!AD234</f>
        <v>0</v>
      </c>
      <c r="TU8" s="1" t="n">
        <f aca="false">IF(AND(C8=1,QD8&gt;MAX(PR_Short1,TP8*PR_Short2)),1,0)</f>
        <v>0</v>
      </c>
      <c r="TV8" s="1" t="n">
        <f aca="false">MIN(G8,H8+R8)</f>
        <v>0</v>
      </c>
      <c r="TW8" s="1" t="n">
        <f aca="false">QE8+MAX(0,HP8-HO8)</f>
        <v>0</v>
      </c>
      <c r="TX8" s="1" t="n">
        <f aca="false">QD8+HO8</f>
        <v>0</v>
      </c>
      <c r="TY8" s="1" t="n">
        <f aca="false">IF(AND(C8=1,TX8&gt;PR_MinShort),1,0)</f>
        <v>0</v>
      </c>
      <c r="TZ8" s="1" t="n">
        <f aca="false">IF(AND(C8=1,TY8=0,TW8&gt;PR_MinShort),1,0)</f>
        <v>0</v>
      </c>
      <c r="UA8" s="1" t="n">
        <f aca="false">IF(AND(C8=1,QD8&gt;PR_MinShort),1,0)</f>
        <v>0</v>
      </c>
      <c r="UB8" s="1" t="n">
        <f aca="false">IF(AND(C8=1,QE8&gt;1,UI8=0),1,0)</f>
        <v>0</v>
      </c>
      <c r="UC8" s="1" t="str">
        <f aca="false">IF(C8=0,"",IF(UI8=1,"Gap to plan for: short "&amp;"€"&amp;TEXT(ROUND(TO8,0),"#,##0"),IF(QE8&gt;1,"Using savings","Comfortable")))</f>
        <v>Comfortable</v>
      </c>
      <c r="UD8" s="1" t="n">
        <f aca="false">IF(AND(INT(D8/10)*10=90,B8&gt;0),80,INT(D8/10)*10)</f>
        <v>0</v>
      </c>
      <c r="UE8" s="1" t="n">
        <f aca="false">IF(B8=0,1,IF(UD8&lt;&gt;UD7,UE7+1,UE7))</f>
        <v>1</v>
      </c>
      <c r="UF8" s="1" t="n">
        <f aca="false">IF(AND(C8=1,F8=1,QD8&gt;MAX(PR_Short1,TP8*PR_Short2)),1,0)</f>
        <v>0</v>
      </c>
      <c r="UG8" s="1" t="n">
        <f aca="false">TQ8*TU8</f>
        <v>0</v>
      </c>
      <c r="UH8" s="1" t="n">
        <f aca="false">IF(AND(U8=1,Slot1_PctLow=1),1,0)+IF(AND(AF8=1,Slot2_PctLow=1),1,0)+IF(AND(AP8=1,Slot3_PctLow=1),1,0)+IF(AND(AZ8=1,Slot4_PctLow=1),1,0)+IF(AND(BJ8=1,Slot5_PctLow=1),1,0)+IF(AND(BT8=1,Slot6_PctLow=1),1,0)+IF(AND(CD8=1,Slot7_PctLow=1),1,0)+IF(AND(CN8=1,Slot8_PctLow=1),1,0)+IF(AND(CX8=1,Slot9_PctLow=1),1,0)+IF(AND(DH8=1,Slot10_PctLow=1),1,0)+IF(AND(DR8=1,Slot11_PctLow=1),1,0)+IF(AND(EB8=1,Slot12_PctLow=1),1,0)+IF(AND(EL8=1,Slot13_PctLow=1),1,0)+IF(AND(EV8=1,Slot14_PctLow=1),1,0)+IF(AND(FF8=1,Slot15_PctLow=1),1,0)+IF(AND(FP8=1,Slot16_PctLow=1),1,0)+IF(AND(FZ8=1,Slot17_PctLow=1),1,0)+IF(AND(GJ8=1,Slot18_PctLow=1),1,0)+IF(AND(GT8=1,Slot19_PctLow=1),1,0)+IF(AND(HD8=1,Slot20_PctLow=1),1,0)</f>
        <v>0</v>
      </c>
      <c r="UI8" s="1" t="n">
        <f aca="false">IF(C8=1,IF(OR(TU8=1,UH8&gt;0),1,0),0)</f>
        <v>0</v>
      </c>
    </row>
    <row r="9" customFormat="false" ht="15" hidden="false" customHeight="true" outlineLevel="0" collapsed="false">
      <c r="B9" s="1" t="n">
        <v>1</v>
      </c>
      <c r="C9" s="1" t="n">
        <f aca="false">IF(B9&lt;=F_N,1,0)</f>
        <v>1</v>
      </c>
      <c r="D9" s="1" t="n">
        <f aca="false">'Plan pay &amp; tax'!C235</f>
        <v>1</v>
      </c>
      <c r="E9" s="111" t="n">
        <f aca="false">'Plan pay &amp; tax'!E235</f>
        <v>1.02</v>
      </c>
      <c r="F9" s="1" t="n">
        <f aca="false">'Plan pay &amp; tax'!G235</f>
        <v>1</v>
      </c>
      <c r="G9" s="1" t="n">
        <f aca="false">'Plan pay &amp; tax'!BT235-'Plan pay &amp; tax'!BS235-'Plan pay &amp; tax'!R235</f>
        <v>0</v>
      </c>
      <c r="H9" s="1" t="n">
        <f aca="false">IF(F9=1,F_CostsM*12,IF(RG_Exists=1,RG_Amount,F_CostsM*12*AS_RetireSpend))*E9+F_OneOffY*E9</f>
        <v>0</v>
      </c>
      <c r="I9" s="1" t="n">
        <f aca="false">HQ8</f>
        <v>0</v>
      </c>
      <c r="J9" s="1" t="n">
        <f aca="false">IF(I9&gt;1,'Plan debt months'!AC9,0)</f>
        <v>0</v>
      </c>
      <c r="K9" s="1" t="n">
        <f aca="false">IF(I9&gt;1,'Plan debt months'!AB9,I9)</f>
        <v>0</v>
      </c>
      <c r="L9" s="1" t="n">
        <f aca="false">N8</f>
        <v>0</v>
      </c>
      <c r="M9" s="1" t="n">
        <f aca="false">IF(L9&gt;1,'Plan debt months'!BD9,0)</f>
        <v>0</v>
      </c>
      <c r="N9" s="1" t="n">
        <f aca="false">IF(L9&gt;1,'Plan debt months'!BC9,L9)</f>
        <v>0</v>
      </c>
      <c r="O9" s="1" t="n">
        <f aca="false">Q8</f>
        <v>0</v>
      </c>
      <c r="P9" s="1" t="n">
        <f aca="false">IF(O9&gt;1,'Plan debt months'!CE9,0)</f>
        <v>0</v>
      </c>
      <c r="Q9" s="1" t="n">
        <f aca="false">IF(O9&gt;1,'Plan debt months'!CD9,O9)</f>
        <v>0</v>
      </c>
      <c r="R9" s="1" t="n">
        <f aca="false">J9+M9+P9</f>
        <v>0</v>
      </c>
      <c r="S9" s="1" t="n">
        <f aca="false">QJ8+'Plan pay &amp; tax'!Y235</f>
        <v>0</v>
      </c>
      <c r="T9" s="1" t="n">
        <f aca="false">QJ8</f>
        <v>0</v>
      </c>
      <c r="U9" s="1" t="n">
        <f aca="false">IF(AND(Slot1_On=1,D9=Slot1_Age),1,0)</f>
        <v>0</v>
      </c>
      <c r="V9" s="1" t="n">
        <f aca="false">IF(AND(Slot1_On=1,Slot1_Age&gt;D9),1,0)</f>
        <v>0</v>
      </c>
      <c r="W9" s="1" t="n">
        <f aca="false">QL8</f>
        <v>0</v>
      </c>
      <c r="X9" s="1" t="n">
        <f aca="false">U9*MIN(Slot1_Cost,W9)</f>
        <v>0</v>
      </c>
      <c r="Y9" s="1" t="n">
        <f aca="false">U9*Slot1_SpendLike*MIN(Slot1_Cost-X9,S9)</f>
        <v>0</v>
      </c>
      <c r="Z9" s="1" t="n">
        <f aca="false">X9+Y9</f>
        <v>0</v>
      </c>
      <c r="AA9" s="1" t="n">
        <f aca="false">S9-Y9+U9*IF(Slot1_SpendLike=1,W9-X9,IF(Slot1_PotFree=1,W9,0))</f>
        <v>0</v>
      </c>
      <c r="AB9" s="1" t="n">
        <f aca="false">AE9+U9*Slot1_BufPot*W9</f>
        <v>0</v>
      </c>
      <c r="AC9" s="1" t="n">
        <f aca="false">IF(AND(U9=1,Slot1_IsMfree=1),IF(Z9&gt;=Slot1_Cost-1,0,MAX(0,K9-Z9)),K9)</f>
        <v>0</v>
      </c>
      <c r="AD9" s="1" t="n">
        <f aca="false">U9*(Slot1_Cost-Z9)</f>
        <v>0</v>
      </c>
      <c r="AE9" s="1" t="n">
        <f aca="false">QK8</f>
        <v>0</v>
      </c>
      <c r="AF9" s="1" t="n">
        <f aca="false">IF(AND(Slot2_On=1,D9=Slot2_Age),1,0)</f>
        <v>0</v>
      </c>
      <c r="AG9" s="1" t="n">
        <f aca="false">IF(AND(Slot2_On=1,Slot2_Age&gt;D9),1,0)</f>
        <v>0</v>
      </c>
      <c r="AH9" s="1" t="n">
        <f aca="false">QP8</f>
        <v>0</v>
      </c>
      <c r="AI9" s="1" t="n">
        <f aca="false">AF9*MIN(Slot2_Cost,AH9)</f>
        <v>0</v>
      </c>
      <c r="AJ9" s="1" t="n">
        <f aca="false">AF9*Slot2_SpendLike*MIN(Slot2_Cost-AI9,AA9)</f>
        <v>0</v>
      </c>
      <c r="AK9" s="1" t="n">
        <f aca="false">AI9+AJ9</f>
        <v>0</v>
      </c>
      <c r="AL9" s="1" t="n">
        <f aca="false">AA9-AJ9+AF9*IF(Slot2_SpendLike=1,AH9-AI9,IF(Slot2_PotFree=1,AH9,0))</f>
        <v>0</v>
      </c>
      <c r="AM9" s="1" t="n">
        <f aca="false">AB9+AF9*Slot2_BufPot*AH9</f>
        <v>0</v>
      </c>
      <c r="AN9" s="1" t="n">
        <f aca="false">IF(AND(AF9=1,Slot2_IsMfree=1),IF(AK9&gt;=Slot2_Cost-1,0,MAX(0,AC9-AK9)),AC9)</f>
        <v>0</v>
      </c>
      <c r="AO9" s="1" t="n">
        <f aca="false">AF9*(Slot2_Cost-AK9)</f>
        <v>0</v>
      </c>
      <c r="AP9" s="1" t="n">
        <f aca="false">IF(AND(Slot3_On=1,D9=Slot3_Age),1,0)</f>
        <v>0</v>
      </c>
      <c r="AQ9" s="1" t="n">
        <f aca="false">IF(AND(Slot3_On=1,Slot3_Age&gt;D9),1,0)</f>
        <v>0</v>
      </c>
      <c r="AR9" s="1" t="n">
        <f aca="false">QT8</f>
        <v>0</v>
      </c>
      <c r="AS9" s="1" t="n">
        <f aca="false">AP9*MIN(Slot3_Cost,AR9)</f>
        <v>0</v>
      </c>
      <c r="AT9" s="1" t="n">
        <f aca="false">AP9*Slot3_SpendLike*MIN(Slot3_Cost-AS9,AL9)</f>
        <v>0</v>
      </c>
      <c r="AU9" s="1" t="n">
        <f aca="false">AS9+AT9</f>
        <v>0</v>
      </c>
      <c r="AV9" s="1" t="n">
        <f aca="false">AL9-AT9+AP9*IF(Slot3_SpendLike=1,AR9-AS9,IF(Slot3_PotFree=1,AR9,0))</f>
        <v>0</v>
      </c>
      <c r="AW9" s="1" t="n">
        <f aca="false">AM9+AP9*Slot3_BufPot*AR9</f>
        <v>0</v>
      </c>
      <c r="AX9" s="1" t="n">
        <f aca="false">IF(AND(AP9=1,Slot3_IsMfree=1),IF(AU9&gt;=Slot3_Cost-1,0,MAX(0,AN9-AU9)),AN9)</f>
        <v>0</v>
      </c>
      <c r="AY9" s="1" t="n">
        <f aca="false">AP9*(Slot3_Cost-AU9)</f>
        <v>0</v>
      </c>
      <c r="AZ9" s="1" t="n">
        <f aca="false">IF(AND(Slot4_On=1,D9=Slot4_Age),1,0)</f>
        <v>0</v>
      </c>
      <c r="BA9" s="1" t="n">
        <f aca="false">IF(AND(Slot4_On=1,Slot4_Age&gt;D9),1,0)</f>
        <v>0</v>
      </c>
      <c r="BB9" s="1" t="n">
        <f aca="false">QX8</f>
        <v>0</v>
      </c>
      <c r="BC9" s="1" t="n">
        <f aca="false">AZ9*MIN(Slot4_Cost,BB9)</f>
        <v>0</v>
      </c>
      <c r="BD9" s="1" t="n">
        <f aca="false">AZ9*Slot4_SpendLike*MIN(Slot4_Cost-BC9,AV9)</f>
        <v>0</v>
      </c>
      <c r="BE9" s="1" t="n">
        <f aca="false">BC9+BD9</f>
        <v>0</v>
      </c>
      <c r="BF9" s="1" t="n">
        <f aca="false">AV9-BD9+AZ9*IF(Slot4_SpendLike=1,BB9-BC9,IF(Slot4_PotFree=1,BB9,0))</f>
        <v>0</v>
      </c>
      <c r="BG9" s="1" t="n">
        <f aca="false">AW9+AZ9*Slot4_BufPot*BB9</f>
        <v>0</v>
      </c>
      <c r="BH9" s="1" t="n">
        <f aca="false">IF(AND(AZ9=1,Slot4_IsMfree=1),IF(BE9&gt;=Slot4_Cost-1,0,MAX(0,AX9-BE9)),AX9)</f>
        <v>0</v>
      </c>
      <c r="BI9" s="1" t="n">
        <f aca="false">AZ9*(Slot4_Cost-BE9)</f>
        <v>0</v>
      </c>
      <c r="BJ9" s="1" t="n">
        <f aca="false">IF(AND(Slot5_On=1,D9=Slot5_Age),1,0)</f>
        <v>0</v>
      </c>
      <c r="BK9" s="1" t="n">
        <f aca="false">IF(AND(Slot5_On=1,Slot5_Age&gt;D9),1,0)</f>
        <v>0</v>
      </c>
      <c r="BL9" s="1" t="n">
        <f aca="false">RB8</f>
        <v>0</v>
      </c>
      <c r="BM9" s="1" t="n">
        <f aca="false">BJ9*MIN(Slot5_Cost,BL9)</f>
        <v>0</v>
      </c>
      <c r="BN9" s="1" t="n">
        <f aca="false">BJ9*Slot5_SpendLike*MIN(Slot5_Cost-BM9,BF9)</f>
        <v>0</v>
      </c>
      <c r="BO9" s="1" t="n">
        <f aca="false">BM9+BN9</f>
        <v>0</v>
      </c>
      <c r="BP9" s="1" t="n">
        <f aca="false">BF9-BN9+BJ9*IF(Slot5_SpendLike=1,BL9-BM9,IF(Slot5_PotFree=1,BL9,0))</f>
        <v>0</v>
      </c>
      <c r="BQ9" s="1" t="n">
        <f aca="false">BG9+BJ9*Slot5_BufPot*BL9</f>
        <v>0</v>
      </c>
      <c r="BR9" s="1" t="n">
        <f aca="false">IF(AND(BJ9=1,Slot5_IsMfree=1),IF(BO9&gt;=Slot5_Cost-1,0,MAX(0,BH9-BO9)),BH9)</f>
        <v>0</v>
      </c>
      <c r="BS9" s="1" t="n">
        <f aca="false">BJ9*(Slot5_Cost-BO9)</f>
        <v>0</v>
      </c>
      <c r="BT9" s="1" t="n">
        <f aca="false">IF(AND(Slot6_On=1,D9=Slot6_Age),1,0)</f>
        <v>0</v>
      </c>
      <c r="BU9" s="1" t="n">
        <f aca="false">IF(AND(Slot6_On=1,Slot6_Age&gt;D9),1,0)</f>
        <v>0</v>
      </c>
      <c r="BV9" s="1" t="n">
        <f aca="false">RF8</f>
        <v>0</v>
      </c>
      <c r="BW9" s="1" t="n">
        <f aca="false">BT9*MIN(Slot6_Cost,BV9)</f>
        <v>0</v>
      </c>
      <c r="BX9" s="1" t="n">
        <f aca="false">BT9*Slot6_SpendLike*MIN(Slot6_Cost-BW9,BP9)</f>
        <v>0</v>
      </c>
      <c r="BY9" s="1" t="n">
        <f aca="false">BW9+BX9</f>
        <v>0</v>
      </c>
      <c r="BZ9" s="1" t="n">
        <f aca="false">BP9-BX9+BT9*IF(Slot6_SpendLike=1,BV9-BW9,IF(Slot6_PotFree=1,BV9,0))</f>
        <v>0</v>
      </c>
      <c r="CA9" s="1" t="n">
        <f aca="false">BQ9+BT9*Slot6_BufPot*BV9</f>
        <v>0</v>
      </c>
      <c r="CB9" s="1" t="n">
        <f aca="false">IF(AND(BT9=1,Slot6_IsMfree=1),IF(BY9&gt;=Slot6_Cost-1,0,MAX(0,BR9-BY9)),BR9)</f>
        <v>0</v>
      </c>
      <c r="CC9" s="1" t="n">
        <f aca="false">BT9*(Slot6_Cost-BY9)</f>
        <v>0</v>
      </c>
      <c r="CD9" s="1" t="n">
        <f aca="false">IF(AND(Slot7_On=1,D9=Slot7_Age),1,0)</f>
        <v>0</v>
      </c>
      <c r="CE9" s="1" t="n">
        <f aca="false">IF(AND(Slot7_On=1,Slot7_Age&gt;D9),1,0)</f>
        <v>0</v>
      </c>
      <c r="CF9" s="1" t="n">
        <f aca="false">RJ8</f>
        <v>0</v>
      </c>
      <c r="CG9" s="1" t="n">
        <f aca="false">CD9*MIN(Slot7_Cost,CF9)</f>
        <v>0</v>
      </c>
      <c r="CH9" s="1" t="n">
        <f aca="false">CD9*Slot7_SpendLike*MIN(Slot7_Cost-CG9,BZ9)</f>
        <v>0</v>
      </c>
      <c r="CI9" s="1" t="n">
        <f aca="false">CG9+CH9</f>
        <v>0</v>
      </c>
      <c r="CJ9" s="1" t="n">
        <f aca="false">BZ9-CH9+CD9*IF(Slot7_SpendLike=1,CF9-CG9,IF(Slot7_PotFree=1,CF9,0))</f>
        <v>0</v>
      </c>
      <c r="CK9" s="1" t="n">
        <f aca="false">CA9+CD9*Slot7_BufPot*CF9</f>
        <v>0</v>
      </c>
      <c r="CL9" s="1" t="n">
        <f aca="false">IF(AND(CD9=1,Slot7_IsMfree=1),IF(CI9&gt;=Slot7_Cost-1,0,MAX(0,CB9-CI9)),CB9)</f>
        <v>0</v>
      </c>
      <c r="CM9" s="1" t="n">
        <f aca="false">CD9*(Slot7_Cost-CI9)</f>
        <v>0</v>
      </c>
      <c r="CN9" s="1" t="n">
        <f aca="false">IF(AND(Slot8_On=1,D9=Slot8_Age),1,0)</f>
        <v>0</v>
      </c>
      <c r="CO9" s="1" t="n">
        <f aca="false">IF(AND(Slot8_On=1,Slot8_Age&gt;D9),1,0)</f>
        <v>0</v>
      </c>
      <c r="CP9" s="1" t="n">
        <f aca="false">RN8</f>
        <v>0</v>
      </c>
      <c r="CQ9" s="1" t="n">
        <f aca="false">CN9*MIN(Slot8_Cost,CP9)</f>
        <v>0</v>
      </c>
      <c r="CR9" s="1" t="n">
        <f aca="false">CN9*Slot8_SpendLike*MIN(Slot8_Cost-CQ9,CJ9)</f>
        <v>0</v>
      </c>
      <c r="CS9" s="1" t="n">
        <f aca="false">CQ9+CR9</f>
        <v>0</v>
      </c>
      <c r="CT9" s="1" t="n">
        <f aca="false">CJ9-CR9+CN9*IF(Slot8_SpendLike=1,CP9-CQ9,IF(Slot8_PotFree=1,CP9,0))</f>
        <v>0</v>
      </c>
      <c r="CU9" s="1" t="n">
        <f aca="false">CK9+CN9*Slot8_BufPot*CP9</f>
        <v>0</v>
      </c>
      <c r="CV9" s="1" t="n">
        <f aca="false">IF(AND(CN9=1,Slot8_IsMfree=1),IF(CS9&gt;=Slot8_Cost-1,0,MAX(0,CL9-CS9)),CL9)</f>
        <v>0</v>
      </c>
      <c r="CW9" s="1" t="n">
        <f aca="false">CN9*(Slot8_Cost-CS9)</f>
        <v>0</v>
      </c>
      <c r="CX9" s="1" t="n">
        <f aca="false">IF(AND(Slot9_On=1,D9=Slot9_Age),1,0)</f>
        <v>0</v>
      </c>
      <c r="CY9" s="1" t="n">
        <f aca="false">IF(AND(Slot9_On=1,Slot9_Age&gt;D9),1,0)</f>
        <v>0</v>
      </c>
      <c r="CZ9" s="1" t="n">
        <f aca="false">RR8</f>
        <v>0</v>
      </c>
      <c r="DA9" s="1" t="n">
        <f aca="false">CX9*MIN(Slot9_Cost,CZ9)</f>
        <v>0</v>
      </c>
      <c r="DB9" s="1" t="n">
        <f aca="false">CX9*Slot9_SpendLike*MIN(Slot9_Cost-DA9,CT9)</f>
        <v>0</v>
      </c>
      <c r="DC9" s="1" t="n">
        <f aca="false">DA9+DB9</f>
        <v>0</v>
      </c>
      <c r="DD9" s="1" t="n">
        <f aca="false">CT9-DB9+CX9*IF(Slot9_SpendLike=1,CZ9-DA9,IF(Slot9_PotFree=1,CZ9,0))</f>
        <v>0</v>
      </c>
      <c r="DE9" s="1" t="n">
        <f aca="false">CU9+CX9*Slot9_BufPot*CZ9</f>
        <v>0</v>
      </c>
      <c r="DF9" s="1" t="n">
        <f aca="false">IF(AND(CX9=1,Slot9_IsMfree=1),IF(DC9&gt;=Slot9_Cost-1,0,MAX(0,CV9-DC9)),CV9)</f>
        <v>0</v>
      </c>
      <c r="DG9" s="1" t="n">
        <f aca="false">CX9*(Slot9_Cost-DC9)</f>
        <v>0</v>
      </c>
      <c r="DH9" s="1" t="n">
        <f aca="false">IF(AND(Slot10_On=1,D9=Slot10_Age),1,0)</f>
        <v>0</v>
      </c>
      <c r="DI9" s="1" t="n">
        <f aca="false">IF(AND(Slot10_On=1,Slot10_Age&gt;D9),1,0)</f>
        <v>0</v>
      </c>
      <c r="DJ9" s="1" t="n">
        <f aca="false">RV8</f>
        <v>0</v>
      </c>
      <c r="DK9" s="1" t="n">
        <f aca="false">DH9*MIN(Slot10_Cost,DJ9)</f>
        <v>0</v>
      </c>
      <c r="DL9" s="1" t="n">
        <f aca="false">DH9*Slot10_SpendLike*MIN(Slot10_Cost-DK9,DD9)</f>
        <v>0</v>
      </c>
      <c r="DM9" s="1" t="n">
        <f aca="false">DK9+DL9</f>
        <v>0</v>
      </c>
      <c r="DN9" s="1" t="n">
        <f aca="false">DD9-DL9+DH9*IF(Slot10_SpendLike=1,DJ9-DK9,IF(Slot10_PotFree=1,DJ9,0))</f>
        <v>0</v>
      </c>
      <c r="DO9" s="1" t="n">
        <f aca="false">DE9+DH9*Slot10_BufPot*DJ9</f>
        <v>0</v>
      </c>
      <c r="DP9" s="1" t="n">
        <f aca="false">IF(AND(DH9=1,Slot10_IsMfree=1),IF(DM9&gt;=Slot10_Cost-1,0,MAX(0,DF9-DM9)),DF9)</f>
        <v>0</v>
      </c>
      <c r="DQ9" s="1" t="n">
        <f aca="false">DH9*(Slot10_Cost-DM9)</f>
        <v>0</v>
      </c>
      <c r="DR9" s="1" t="n">
        <f aca="false">IF(AND(Slot11_On=1,D9=Slot11_Age),1,0)</f>
        <v>0</v>
      </c>
      <c r="DS9" s="1" t="n">
        <f aca="false">IF(AND(Slot11_On=1,Slot11_Age&gt;D9),1,0)</f>
        <v>0</v>
      </c>
      <c r="DT9" s="1" t="n">
        <f aca="false">RZ8</f>
        <v>0</v>
      </c>
      <c r="DU9" s="1" t="n">
        <f aca="false">DR9*MIN(Slot11_Cost,DT9)</f>
        <v>0</v>
      </c>
      <c r="DV9" s="1" t="n">
        <f aca="false">DR9*Slot11_SpendLike*MIN(Slot11_Cost-DU9,DN9)</f>
        <v>0</v>
      </c>
      <c r="DW9" s="1" t="n">
        <f aca="false">DU9+DV9</f>
        <v>0</v>
      </c>
      <c r="DX9" s="1" t="n">
        <f aca="false">DN9-DV9+DR9*IF(Slot11_SpendLike=1,DT9-DU9,IF(Slot11_PotFree=1,DT9,0))</f>
        <v>0</v>
      </c>
      <c r="DY9" s="1" t="n">
        <f aca="false">DO9+DR9*Slot11_BufPot*DT9</f>
        <v>0</v>
      </c>
      <c r="DZ9" s="1" t="n">
        <f aca="false">IF(AND(DR9=1,Slot11_IsMfree=1),IF(DW9&gt;=Slot11_Cost-1,0,MAX(0,DP9-DW9)),DP9)</f>
        <v>0</v>
      </c>
      <c r="EA9" s="1" t="n">
        <f aca="false">DR9*(Slot11_Cost-DW9)</f>
        <v>0</v>
      </c>
      <c r="EB9" s="1" t="n">
        <f aca="false">IF(AND(Slot12_On=1,D9=Slot12_Age),1,0)</f>
        <v>0</v>
      </c>
      <c r="EC9" s="1" t="n">
        <f aca="false">IF(AND(Slot12_On=1,Slot12_Age&gt;D9),1,0)</f>
        <v>0</v>
      </c>
      <c r="ED9" s="1" t="n">
        <f aca="false">SD8</f>
        <v>0</v>
      </c>
      <c r="EE9" s="1" t="n">
        <f aca="false">EB9*MIN(Slot12_Cost,ED9)</f>
        <v>0</v>
      </c>
      <c r="EF9" s="1" t="n">
        <f aca="false">EB9*Slot12_SpendLike*MIN(Slot12_Cost-EE9,DX9)</f>
        <v>0</v>
      </c>
      <c r="EG9" s="1" t="n">
        <f aca="false">EE9+EF9</f>
        <v>0</v>
      </c>
      <c r="EH9" s="1" t="n">
        <f aca="false">DX9-EF9+EB9*IF(Slot12_SpendLike=1,ED9-EE9,IF(Slot12_PotFree=1,ED9,0))</f>
        <v>0</v>
      </c>
      <c r="EI9" s="1" t="n">
        <f aca="false">DY9+EB9*Slot12_BufPot*ED9</f>
        <v>0</v>
      </c>
      <c r="EJ9" s="1" t="n">
        <f aca="false">IF(AND(EB9=1,Slot12_IsMfree=1),IF(EG9&gt;=Slot12_Cost-1,0,MAX(0,DZ9-EG9)),DZ9)</f>
        <v>0</v>
      </c>
      <c r="EK9" s="1" t="n">
        <f aca="false">EB9*(Slot12_Cost-EG9)</f>
        <v>0</v>
      </c>
      <c r="EL9" s="1" t="n">
        <f aca="false">IF(AND(Slot13_On=1,D9=Slot13_Age),1,0)</f>
        <v>0</v>
      </c>
      <c r="EM9" s="1" t="n">
        <f aca="false">IF(AND(Slot13_On=1,Slot13_Age&gt;D9),1,0)</f>
        <v>0</v>
      </c>
      <c r="EN9" s="1" t="n">
        <f aca="false">SH8</f>
        <v>0</v>
      </c>
      <c r="EO9" s="1" t="n">
        <f aca="false">EL9*MIN(Slot13_Cost,EN9)</f>
        <v>0</v>
      </c>
      <c r="EP9" s="1" t="n">
        <f aca="false">EL9*Slot13_SpendLike*MIN(Slot13_Cost-EO9,EH9)</f>
        <v>0</v>
      </c>
      <c r="EQ9" s="1" t="n">
        <f aca="false">EO9+EP9</f>
        <v>0</v>
      </c>
      <c r="ER9" s="1" t="n">
        <f aca="false">EH9-EP9+EL9*IF(Slot13_SpendLike=1,EN9-EO9,IF(Slot13_PotFree=1,EN9,0))</f>
        <v>0</v>
      </c>
      <c r="ES9" s="1" t="n">
        <f aca="false">EI9+EL9*Slot13_BufPot*EN9</f>
        <v>0</v>
      </c>
      <c r="ET9" s="1" t="n">
        <f aca="false">IF(AND(EL9=1,Slot13_IsMfree=1),IF(EQ9&gt;=Slot13_Cost-1,0,MAX(0,EJ9-EQ9)),EJ9)</f>
        <v>0</v>
      </c>
      <c r="EU9" s="1" t="n">
        <f aca="false">EL9*(Slot13_Cost-EQ9)</f>
        <v>0</v>
      </c>
      <c r="EV9" s="1" t="n">
        <f aca="false">IF(AND(Slot14_On=1,D9=Slot14_Age),1,0)</f>
        <v>0</v>
      </c>
      <c r="EW9" s="1" t="n">
        <f aca="false">IF(AND(Slot14_On=1,Slot14_Age&gt;D9),1,0)</f>
        <v>0</v>
      </c>
      <c r="EX9" s="1" t="n">
        <f aca="false">SL8</f>
        <v>0</v>
      </c>
      <c r="EY9" s="1" t="n">
        <f aca="false">EV9*MIN(Slot14_Cost,EX9)</f>
        <v>0</v>
      </c>
      <c r="EZ9" s="1" t="n">
        <f aca="false">EV9*Slot14_SpendLike*MIN(Slot14_Cost-EY9,ER9)</f>
        <v>0</v>
      </c>
      <c r="FA9" s="1" t="n">
        <f aca="false">EY9+EZ9</f>
        <v>0</v>
      </c>
      <c r="FB9" s="1" t="n">
        <f aca="false">ER9-EZ9+EV9*IF(Slot14_SpendLike=1,EX9-EY9,IF(Slot14_PotFree=1,EX9,0))</f>
        <v>0</v>
      </c>
      <c r="FC9" s="1" t="n">
        <f aca="false">ES9+EV9*Slot14_BufPot*EX9</f>
        <v>0</v>
      </c>
      <c r="FD9" s="1" t="n">
        <f aca="false">IF(AND(EV9=1,Slot14_IsMfree=1),IF(FA9&gt;=Slot14_Cost-1,0,MAX(0,ET9-FA9)),ET9)</f>
        <v>0</v>
      </c>
      <c r="FE9" s="1" t="n">
        <f aca="false">EV9*(Slot14_Cost-FA9)</f>
        <v>0</v>
      </c>
      <c r="FF9" s="1" t="n">
        <f aca="false">IF(AND(Slot15_On=1,D9=Slot15_Age),1,0)</f>
        <v>0</v>
      </c>
      <c r="FG9" s="1" t="n">
        <f aca="false">IF(AND(Slot15_On=1,Slot15_Age&gt;D9),1,0)</f>
        <v>0</v>
      </c>
      <c r="FH9" s="1" t="n">
        <f aca="false">SP8</f>
        <v>0</v>
      </c>
      <c r="FI9" s="1" t="n">
        <f aca="false">FF9*MIN(Slot15_Cost,FH9)</f>
        <v>0</v>
      </c>
      <c r="FJ9" s="1" t="n">
        <f aca="false">FF9*Slot15_SpendLike*MIN(Slot15_Cost-FI9,FB9)</f>
        <v>0</v>
      </c>
      <c r="FK9" s="1" t="n">
        <f aca="false">FI9+FJ9</f>
        <v>0</v>
      </c>
      <c r="FL9" s="1" t="n">
        <f aca="false">FB9-FJ9+FF9*IF(Slot15_SpendLike=1,FH9-FI9,IF(Slot15_PotFree=1,FH9,0))</f>
        <v>0</v>
      </c>
      <c r="FM9" s="1" t="n">
        <f aca="false">FC9+FF9*Slot15_BufPot*FH9</f>
        <v>0</v>
      </c>
      <c r="FN9" s="1" t="n">
        <f aca="false">IF(AND(FF9=1,Slot15_IsMfree=1),IF(FK9&gt;=Slot15_Cost-1,0,MAX(0,FD9-FK9)),FD9)</f>
        <v>0</v>
      </c>
      <c r="FO9" s="1" t="n">
        <f aca="false">FF9*(Slot15_Cost-FK9)</f>
        <v>0</v>
      </c>
      <c r="FP9" s="1" t="n">
        <f aca="false">IF(AND(Slot16_On=1,D9=Slot16_Age),1,0)</f>
        <v>0</v>
      </c>
      <c r="FQ9" s="1" t="n">
        <f aca="false">IF(AND(Slot16_On=1,Slot16_Age&gt;D9),1,0)</f>
        <v>0</v>
      </c>
      <c r="FR9" s="1" t="n">
        <f aca="false">ST8</f>
        <v>0</v>
      </c>
      <c r="FS9" s="1" t="n">
        <f aca="false">FP9*MIN(Slot16_Cost,FR9)</f>
        <v>0</v>
      </c>
      <c r="FT9" s="1" t="n">
        <f aca="false">FP9*Slot16_SpendLike*MIN(Slot16_Cost-FS9,FL9)</f>
        <v>0</v>
      </c>
      <c r="FU9" s="1" t="n">
        <f aca="false">FS9+FT9</f>
        <v>0</v>
      </c>
      <c r="FV9" s="1" t="n">
        <f aca="false">FL9-FT9+FP9*IF(Slot16_SpendLike=1,FR9-FS9,IF(Slot16_PotFree=1,FR9,0))</f>
        <v>0</v>
      </c>
      <c r="FW9" s="1" t="n">
        <f aca="false">FM9+FP9*Slot16_BufPot*FR9</f>
        <v>0</v>
      </c>
      <c r="FX9" s="1" t="n">
        <f aca="false">IF(AND(FP9=1,Slot16_IsMfree=1),IF(FU9&gt;=Slot16_Cost-1,0,MAX(0,FN9-FU9)),FN9)</f>
        <v>0</v>
      </c>
      <c r="FY9" s="1" t="n">
        <f aca="false">FP9*(Slot16_Cost-FU9)</f>
        <v>0</v>
      </c>
      <c r="FZ9" s="1" t="n">
        <f aca="false">IF(AND(Slot17_On=1,D9=Slot17_Age),1,0)</f>
        <v>0</v>
      </c>
      <c r="GA9" s="1" t="n">
        <f aca="false">IF(AND(Slot17_On=1,Slot17_Age&gt;D9),1,0)</f>
        <v>0</v>
      </c>
      <c r="GB9" s="1" t="n">
        <f aca="false">SX8</f>
        <v>0</v>
      </c>
      <c r="GC9" s="1" t="n">
        <f aca="false">FZ9*MIN(Slot17_Cost,GB9)</f>
        <v>0</v>
      </c>
      <c r="GD9" s="1" t="n">
        <f aca="false">FZ9*Slot17_SpendLike*MIN(Slot17_Cost-GC9,FV9)</f>
        <v>0</v>
      </c>
      <c r="GE9" s="1" t="n">
        <f aca="false">GC9+GD9</f>
        <v>0</v>
      </c>
      <c r="GF9" s="1" t="n">
        <f aca="false">FV9-GD9+FZ9*IF(Slot17_SpendLike=1,GB9-GC9,IF(Slot17_PotFree=1,GB9,0))</f>
        <v>0</v>
      </c>
      <c r="GG9" s="1" t="n">
        <f aca="false">FW9+FZ9*Slot17_BufPot*GB9</f>
        <v>0</v>
      </c>
      <c r="GH9" s="1" t="n">
        <f aca="false">IF(AND(FZ9=1,Slot17_IsMfree=1),IF(GE9&gt;=Slot17_Cost-1,0,MAX(0,FX9-GE9)),FX9)</f>
        <v>0</v>
      </c>
      <c r="GI9" s="1" t="n">
        <f aca="false">FZ9*(Slot17_Cost-GE9)</f>
        <v>0</v>
      </c>
      <c r="GJ9" s="1" t="n">
        <f aca="false">IF(AND(Slot18_On=1,D9=Slot18_Age),1,0)</f>
        <v>0</v>
      </c>
      <c r="GK9" s="1" t="n">
        <f aca="false">IF(AND(Slot18_On=1,Slot18_Age&gt;D9),1,0)</f>
        <v>0</v>
      </c>
      <c r="GL9" s="1" t="n">
        <f aca="false">TB8</f>
        <v>0</v>
      </c>
      <c r="GM9" s="1" t="n">
        <f aca="false">GJ9*MIN(Slot18_Cost,GL9)</f>
        <v>0</v>
      </c>
      <c r="GN9" s="1" t="n">
        <f aca="false">GJ9*Slot18_SpendLike*MIN(Slot18_Cost-GM9,GF9)</f>
        <v>0</v>
      </c>
      <c r="GO9" s="1" t="n">
        <f aca="false">GM9+GN9</f>
        <v>0</v>
      </c>
      <c r="GP9" s="1" t="n">
        <f aca="false">GF9-GN9+GJ9*IF(Slot18_SpendLike=1,GL9-GM9,IF(Slot18_PotFree=1,GL9,0))</f>
        <v>0</v>
      </c>
      <c r="GQ9" s="1" t="n">
        <f aca="false">GG9+GJ9*Slot18_BufPot*GL9</f>
        <v>0</v>
      </c>
      <c r="GR9" s="1" t="n">
        <f aca="false">IF(AND(GJ9=1,Slot18_IsMfree=1),IF(GO9&gt;=Slot18_Cost-1,0,MAX(0,GH9-GO9)),GH9)</f>
        <v>0</v>
      </c>
      <c r="GS9" s="1" t="n">
        <f aca="false">GJ9*(Slot18_Cost-GO9)</f>
        <v>0</v>
      </c>
      <c r="GT9" s="1" t="n">
        <f aca="false">IF(AND(Slot19_On=1,D9=Slot19_Age),1,0)</f>
        <v>0</v>
      </c>
      <c r="GU9" s="1" t="n">
        <f aca="false">IF(AND(Slot19_On=1,Slot19_Age&gt;D9),1,0)</f>
        <v>0</v>
      </c>
      <c r="GV9" s="1" t="n">
        <f aca="false">TF8</f>
        <v>0</v>
      </c>
      <c r="GW9" s="1" t="n">
        <f aca="false">GT9*MIN(Slot19_Cost,GV9)</f>
        <v>0</v>
      </c>
      <c r="GX9" s="1" t="n">
        <f aca="false">GT9*Slot19_SpendLike*MIN(Slot19_Cost-GW9,GP9)</f>
        <v>0</v>
      </c>
      <c r="GY9" s="1" t="n">
        <f aca="false">GW9+GX9</f>
        <v>0</v>
      </c>
      <c r="GZ9" s="1" t="n">
        <f aca="false">GP9-GX9+GT9*IF(Slot19_SpendLike=1,GV9-GW9,IF(Slot19_PotFree=1,GV9,0))</f>
        <v>0</v>
      </c>
      <c r="HA9" s="1" t="n">
        <f aca="false">GQ9+GT9*Slot19_BufPot*GV9</f>
        <v>0</v>
      </c>
      <c r="HB9" s="1" t="n">
        <f aca="false">IF(AND(GT9=1,Slot19_IsMfree=1),IF(GY9&gt;=Slot19_Cost-1,0,MAX(0,GR9-GY9)),GR9)</f>
        <v>0</v>
      </c>
      <c r="HC9" s="1" t="n">
        <f aca="false">GT9*(Slot19_Cost-GY9)</f>
        <v>0</v>
      </c>
      <c r="HD9" s="1" t="n">
        <f aca="false">IF(AND(Slot20_On=1,D9=Slot20_Age),1,0)</f>
        <v>0</v>
      </c>
      <c r="HE9" s="1" t="n">
        <f aca="false">IF(AND(Slot20_On=1,Slot20_Age&gt;D9),1,0)</f>
        <v>0</v>
      </c>
      <c r="HF9" s="1" t="n">
        <f aca="false">TJ8</f>
        <v>0</v>
      </c>
      <c r="HG9" s="1" t="n">
        <f aca="false">HD9*MIN(Slot20_Cost,HF9)</f>
        <v>0</v>
      </c>
      <c r="HH9" s="1" t="n">
        <f aca="false">HD9*Slot20_SpendLike*MIN(Slot20_Cost-HG9,GZ9)</f>
        <v>0</v>
      </c>
      <c r="HI9" s="1" t="n">
        <f aca="false">HG9+HH9</f>
        <v>0</v>
      </c>
      <c r="HJ9" s="1" t="n">
        <f aca="false">GZ9-HH9+HD9*IF(Slot20_SpendLike=1,HF9-HG9,IF(Slot20_PotFree=1,HF9,0))</f>
        <v>0</v>
      </c>
      <c r="HK9" s="1" t="n">
        <f aca="false">HA9+HD9*Slot20_BufPot*HF9</f>
        <v>0</v>
      </c>
      <c r="HL9" s="1" t="n">
        <f aca="false">IF(AND(HD9=1,Slot20_IsMfree=1),IF(HI9&gt;=Slot20_Cost-1,0,MAX(0,HB9-HI9)),HB9)</f>
        <v>0</v>
      </c>
      <c r="HM9" s="1" t="n">
        <f aca="false">HD9*(Slot20_Cost-HI9)</f>
        <v>0</v>
      </c>
      <c r="HN9" s="1" t="n">
        <f aca="false">U9*Slot1_SpendLike*Z9+AF9*Slot2_SpendLike*AK9+AP9*Slot3_SpendLike*AU9+AZ9*Slot4_SpendLike*BE9+BJ9*Slot5_SpendLike*BO9+BT9*Slot6_SpendLike*BY9+CD9*Slot7_SpendLike*CI9+CN9*Slot8_SpendLike*CS9+CX9*Slot9_SpendLike*DC9+DH9*Slot10_SpendLike*DM9+DR9*Slot11_SpendLike*DW9+EB9*Slot12_SpendLike*EG9+EL9*Slot13_SpendLike*EQ9+EV9*Slot14_SpendLike*FA9+FF9*Slot15_SpendLike*FK9+FP9*Slot16_SpendLike*FU9+FZ9*Slot17_SpendLike*GE9+GJ9*Slot18_SpendLike*GO9+GT9*Slot19_SpendLike*GY9+HD9*Slot20_SpendLike*HI9</f>
        <v>0</v>
      </c>
      <c r="HO9" s="1" t="n">
        <f aca="false">AD9+AO9+AY9+BI9+BS9+CC9+CM9+CW9+DG9+DQ9+EA9+EK9+EU9+FE9+FO9+FY9+GI9+GS9+HC9+HM9</f>
        <v>0</v>
      </c>
      <c r="HP9" s="1" t="n">
        <f aca="false">U9*Slot1_Cost+AF9*Slot2_Cost+AP9*Slot3_Cost+AZ9*Slot4_Cost+BJ9*Slot5_Cost+BT9*Slot6_Cost+CD9*Slot7_Cost+CN9*Slot8_Cost+CX9*Slot9_Cost+DH9*Slot10_Cost+DR9*Slot11_Cost+EB9*Slot12_Cost+EL9*Slot13_Cost+EV9*Slot14_Cost+FF9*Slot15_Cost+FP9*Slot16_Cost+FZ9*Slot17_Cost+GJ9*Slot18_Cost+GT9*Slot19_Cost+HD9*Slot20_Cost</f>
        <v>0</v>
      </c>
      <c r="HQ9" s="1" t="n">
        <f aca="false">HL9</f>
        <v>0</v>
      </c>
      <c r="HR9" s="1" t="n">
        <f aca="false">G9-H9-R9</f>
        <v>0</v>
      </c>
      <c r="HS9" s="1" t="n">
        <f aca="false">IF(B9=0,IF(AND(Has_q6=1,In_q6=4),PR_ShareVaries*(MAX(0,HR9)/12),MIN(IF(Has_q6=1,CHOOSE(In_q6+1,PR_SaveB1,PR_SaveB2,PR_SaveB3,PR_SaveB4,0),AS_NoAnswer),AS_SaveShare*(MAX(0,HR9)/12))),HS8)</f>
        <v>0</v>
      </c>
      <c r="HT9" s="1" t="n">
        <f aca="false">IF(HR9&gt;=0,1,0)</f>
        <v>1</v>
      </c>
      <c r="HU9" s="1" t="n">
        <f aca="false">MAX(0,HR9/12/E9)</f>
        <v>0</v>
      </c>
      <c r="HV9" s="1" t="n">
        <f aca="false">IF(AND(Has_q6=1,In_q6=4),PR_ShareVaries*(HU9),MIN(IF(Has_q6=1,CHOOSE(In_q6+1,PR_SaveB1,PR_SaveB2,PR_SaveB3,PR_SaveB4,0),AS_NoAnswer),AS_SaveShare*(HU9)))</f>
        <v>0</v>
      </c>
      <c r="HW9" s="1" t="n">
        <f aca="false">IF(Has_saveM=1,IF(In_saveUp="Yes",1,IF(In_saveUp="No",0,IF(In_saveM&gt;=HS9-0.5,1,0))),0)</f>
        <v>0</v>
      </c>
      <c r="HX9" s="1" t="n">
        <f aca="false">IF(Has_saveM=1,MIN(HU9,IF(HW9=1,MAX(In_saveM,HV9),MIN(In_saveM,HV9))),HV9)</f>
        <v>0</v>
      </c>
      <c r="HY9" s="1" t="n">
        <f aca="false">IF(F9=1,HX9*12*E9,0)</f>
        <v>0</v>
      </c>
      <c r="HZ9" s="1" t="n">
        <f aca="false">MAX(0,HY9+IF(AND(WI_Retire=0,WI_M&lt;0,F9=1),WI_M*12*E9,0))</f>
        <v>0</v>
      </c>
      <c r="IA9" s="1" t="n">
        <f aca="false">Slot1_IsWG*V9+Slot2_IsWG*AG9+Slot3_IsWG*AQ9+Slot4_IsWG*BA9+Slot5_IsWG*BK9+Slot6_IsWG*BU9+Slot7_IsWG*CE9+Slot8_IsWG*CO9+Slot9_IsWG*CY9+Slot10_IsWG*DI9+Slot11_IsWG*DS9+Slot12_IsWG*EC9+Slot13_IsWG*EM9+Slot14_IsWG*EW9+Slot15_IsWG*FG9+Slot16_IsWG*FQ9+Slot17_IsWG*GA9+Slot18_IsWG*GK9+Slot19_IsWG*GU9+Slot20_IsWG*HE9</f>
        <v>0</v>
      </c>
      <c r="IB9" s="1" t="n">
        <f aca="false">IF(AND(WI_Retire=0,WI_M&gt;0,F9=1,IA9&gt;=1),WI_M*12*E9,0)</f>
        <v>0</v>
      </c>
      <c r="IC9" s="1" t="n">
        <f aca="false">IF(HT9=1,MIN(HZ9,HR9),0)</f>
        <v>0</v>
      </c>
      <c r="ID9" s="1" t="n">
        <f aca="false">IF(HT9=1,MIN(IB9,HR9-IC9),0)</f>
        <v>0</v>
      </c>
      <c r="IE9" s="1" t="n">
        <f aca="false">IF(V9=1,IF(ABS((1+AS_Wage)/(1+Slot1_Rate)-1)&lt;0.000000000001,(Slot1_Age-D9)*(1+Slot1_Rate)^(Slot1_Age-D9),(1+Slot1_Rate)^(Slot1_Age-D9)*(1-((1+AS_Wage)/(1+Slot1_Rate))^(Slot1_Age-D9))/(1-(1+AS_Wage)/(1+Slot1_Rate))),1)</f>
        <v>1</v>
      </c>
      <c r="IF9" s="1" t="n">
        <f aca="false">IF(AND(HT9=1,ID9&gt;0,Slot1_IsWG=1,V9=1),MAX(0,(Slot1_Cost-W9*(1+Slot1_Rate)^(Slot1_Age-D9))/IE9),0)</f>
        <v>0</v>
      </c>
      <c r="IG9" s="1" t="n">
        <f aca="false">IF(AND(HT9=1,ID9&gt;0,Slot1_IsWG=1,V9=1),MIN(ID9,IF9),0)</f>
        <v>0</v>
      </c>
      <c r="IH9" s="1" t="n">
        <f aca="false">W9+IG9</f>
        <v>0</v>
      </c>
      <c r="II9" s="1" t="n">
        <f aca="false">IF(V9=1,MAX(0,(Slot1_Cost-IH9*(1+Slot1_Rate)^(Slot1_Age-D9))/IE9),0)</f>
        <v>0</v>
      </c>
      <c r="IJ9" s="1" t="n">
        <f aca="false">IF(V9=1,MAX(0,(Slot1_Cost-W9*(1+Slot1_Rate)^(Slot1_Age-D9))/IE9),0)</f>
        <v>0</v>
      </c>
      <c r="IK9" s="1" t="n">
        <f aca="false">IF(AND(HT9=1,V9=1),MIN(IC9,II9),0)</f>
        <v>0</v>
      </c>
      <c r="IL9" s="1" t="n">
        <f aca="false">IC9-IK9</f>
        <v>0</v>
      </c>
      <c r="IM9" s="1" t="n">
        <f aca="false">IF(AG9=1,IF(ABS((1+AS_Wage)/(1+Slot2_Rate)-1)&lt;0.000000000001,(Slot2_Age-D9)*(1+Slot2_Rate)^(Slot2_Age-D9),(1+Slot2_Rate)^(Slot2_Age-D9)*(1-((1+AS_Wage)/(1+Slot2_Rate))^(Slot2_Age-D9))/(1-(1+AS_Wage)/(1+Slot2_Rate))),1)</f>
        <v>1</v>
      </c>
      <c r="IN9" s="1" t="n">
        <f aca="false">IF(AND(HT9=1,ID9&gt;0,Slot2_IsWG=1,AG9=1),MAX(0,(Slot2_Cost-AH9*(1+Slot2_Rate)^(Slot2_Age-D9))/IM9),0)</f>
        <v>0</v>
      </c>
      <c r="IO9" s="1" t="n">
        <f aca="false">IF(AND(HT9=1,ID9&gt;0,Slot2_IsWG=1,AG9=1),MIN(ID9,IN9),0)</f>
        <v>0</v>
      </c>
      <c r="IP9" s="1" t="n">
        <f aca="false">AH9+IO9</f>
        <v>0</v>
      </c>
      <c r="IQ9" s="1" t="n">
        <f aca="false">IF(AG9=1,MAX(0,(Slot2_Cost-IP9*(1+Slot2_Rate)^(Slot2_Age-D9))/IM9),0)</f>
        <v>0</v>
      </c>
      <c r="IR9" s="1" t="n">
        <f aca="false">IF(AG9=1,MAX(0,(Slot2_Cost-AH9*(1+Slot2_Rate)^(Slot2_Age-D9))/IM9),0)</f>
        <v>0</v>
      </c>
      <c r="IS9" s="1" t="n">
        <f aca="false">IF(AND(HT9=1,AG9=1),MIN(IL9,IQ9),0)</f>
        <v>0</v>
      </c>
      <c r="IT9" s="1" t="n">
        <f aca="false">IL9-IS9</f>
        <v>0</v>
      </c>
      <c r="IU9" s="1" t="n">
        <f aca="false">IF(AQ9=1,IF(ABS((1+AS_Wage)/(1+Slot3_Rate)-1)&lt;0.000000000001,(Slot3_Age-D9)*(1+Slot3_Rate)^(Slot3_Age-D9),(1+Slot3_Rate)^(Slot3_Age-D9)*(1-((1+AS_Wage)/(1+Slot3_Rate))^(Slot3_Age-D9))/(1-(1+AS_Wage)/(1+Slot3_Rate))),1)</f>
        <v>1</v>
      </c>
      <c r="IV9" s="1" t="n">
        <f aca="false">IF(AND(HT9=1,ID9&gt;0,Slot3_IsWG=1,AQ9=1),MAX(0,(Slot3_Cost-AR9*(1+Slot3_Rate)^(Slot3_Age-D9))/IU9),0)</f>
        <v>0</v>
      </c>
      <c r="IW9" s="1" t="n">
        <f aca="false">IF(AND(HT9=1,ID9&gt;0,Slot3_IsWG=1,AQ9=1),MIN(ID9,IV9),0)</f>
        <v>0</v>
      </c>
      <c r="IX9" s="1" t="n">
        <f aca="false">AR9+IW9</f>
        <v>0</v>
      </c>
      <c r="IY9" s="1" t="n">
        <f aca="false">IF(AQ9=1,MAX(0,(Slot3_Cost-IX9*(1+Slot3_Rate)^(Slot3_Age-D9))/IU9),0)</f>
        <v>0</v>
      </c>
      <c r="IZ9" s="1" t="n">
        <f aca="false">IF(AQ9=1,MAX(0,(Slot3_Cost-AR9*(1+Slot3_Rate)^(Slot3_Age-D9))/IU9),0)</f>
        <v>0</v>
      </c>
      <c r="JA9" s="1" t="n">
        <f aca="false">IF(AND(HT9=1,AQ9=1),MIN(IT9,IY9),0)</f>
        <v>0</v>
      </c>
      <c r="JB9" s="1" t="n">
        <f aca="false">IT9-JA9</f>
        <v>0</v>
      </c>
      <c r="JC9" s="1" t="n">
        <f aca="false">IF(BA9=1,IF(ABS((1+AS_Wage)/(1+Slot4_Rate)-1)&lt;0.000000000001,(Slot4_Age-D9)*(1+Slot4_Rate)^(Slot4_Age-D9),(1+Slot4_Rate)^(Slot4_Age-D9)*(1-((1+AS_Wage)/(1+Slot4_Rate))^(Slot4_Age-D9))/(1-(1+AS_Wage)/(1+Slot4_Rate))),1)</f>
        <v>1</v>
      </c>
      <c r="JD9" s="1" t="n">
        <f aca="false">IF(AND(HT9=1,ID9&gt;0,Slot4_IsWG=1,BA9=1),MAX(0,(Slot4_Cost-BB9*(1+Slot4_Rate)^(Slot4_Age-D9))/JC9),0)</f>
        <v>0</v>
      </c>
      <c r="JE9" s="1" t="n">
        <f aca="false">IF(AND(HT9=1,ID9&gt;0,Slot4_IsWG=1,BA9=1),MIN(ID9,JD9),0)</f>
        <v>0</v>
      </c>
      <c r="JF9" s="1" t="n">
        <f aca="false">BB9+JE9</f>
        <v>0</v>
      </c>
      <c r="JG9" s="1" t="n">
        <f aca="false">IF(BA9=1,MAX(0,(Slot4_Cost-JF9*(1+Slot4_Rate)^(Slot4_Age-D9))/JC9),0)</f>
        <v>0</v>
      </c>
      <c r="JH9" s="1" t="n">
        <f aca="false">IF(BA9=1,MAX(0,(Slot4_Cost-BB9*(1+Slot4_Rate)^(Slot4_Age-D9))/JC9),0)</f>
        <v>0</v>
      </c>
      <c r="JI9" s="1" t="n">
        <f aca="false">IF(AND(HT9=1,BA9=1),MIN(JB9,JG9),0)</f>
        <v>0</v>
      </c>
      <c r="JJ9" s="1" t="n">
        <f aca="false">JB9-JI9</f>
        <v>0</v>
      </c>
      <c r="JK9" s="1" t="n">
        <f aca="false">IF(BK9=1,IF(ABS((1+AS_Wage)/(1+Slot5_Rate)-1)&lt;0.000000000001,(Slot5_Age-D9)*(1+Slot5_Rate)^(Slot5_Age-D9),(1+Slot5_Rate)^(Slot5_Age-D9)*(1-((1+AS_Wage)/(1+Slot5_Rate))^(Slot5_Age-D9))/(1-(1+AS_Wage)/(1+Slot5_Rate))),1)</f>
        <v>1</v>
      </c>
      <c r="JL9" s="1" t="n">
        <f aca="false">IF(AND(HT9=1,ID9&gt;0,Slot5_IsWG=1,BK9=1),MAX(0,(Slot5_Cost-BL9*(1+Slot5_Rate)^(Slot5_Age-D9))/JK9),0)</f>
        <v>0</v>
      </c>
      <c r="JM9" s="1" t="n">
        <f aca="false">IF(AND(HT9=1,ID9&gt;0,Slot5_IsWG=1,BK9=1),MIN(ID9,JL9),0)</f>
        <v>0</v>
      </c>
      <c r="JN9" s="1" t="n">
        <f aca="false">BL9+JM9</f>
        <v>0</v>
      </c>
      <c r="JO9" s="1" t="n">
        <f aca="false">IF(BK9=1,MAX(0,(Slot5_Cost-JN9*(1+Slot5_Rate)^(Slot5_Age-D9))/JK9),0)</f>
        <v>0</v>
      </c>
      <c r="JP9" s="1" t="n">
        <f aca="false">IF(BK9=1,MAX(0,(Slot5_Cost-BL9*(1+Slot5_Rate)^(Slot5_Age-D9))/JK9),0)</f>
        <v>0</v>
      </c>
      <c r="JQ9" s="1" t="n">
        <f aca="false">IF(AND(HT9=1,BK9=1),MIN(JJ9,JO9),0)</f>
        <v>0</v>
      </c>
      <c r="JR9" s="1" t="n">
        <f aca="false">JJ9-JQ9</f>
        <v>0</v>
      </c>
      <c r="JS9" s="1" t="n">
        <f aca="false">IF(BU9=1,IF(ABS((1+AS_Wage)/(1+Slot6_Rate)-1)&lt;0.000000000001,(Slot6_Age-D9)*(1+Slot6_Rate)^(Slot6_Age-D9),(1+Slot6_Rate)^(Slot6_Age-D9)*(1-((1+AS_Wage)/(1+Slot6_Rate))^(Slot6_Age-D9))/(1-(1+AS_Wage)/(1+Slot6_Rate))),1)</f>
        <v>1</v>
      </c>
      <c r="JT9" s="1" t="n">
        <f aca="false">IF(AND(HT9=1,ID9&gt;0,Slot6_IsWG=1,BU9=1),MAX(0,(Slot6_Cost-BV9*(1+Slot6_Rate)^(Slot6_Age-D9))/JS9),0)</f>
        <v>0</v>
      </c>
      <c r="JU9" s="1" t="n">
        <f aca="false">IF(AND(HT9=1,ID9&gt;0,Slot6_IsWG=1,BU9=1),MIN(ID9,JT9),0)</f>
        <v>0</v>
      </c>
      <c r="JV9" s="1" t="n">
        <f aca="false">BV9+JU9</f>
        <v>0</v>
      </c>
      <c r="JW9" s="1" t="n">
        <f aca="false">IF(BU9=1,MAX(0,(Slot6_Cost-JV9*(1+Slot6_Rate)^(Slot6_Age-D9))/JS9),0)</f>
        <v>0</v>
      </c>
      <c r="JX9" s="1" t="n">
        <f aca="false">IF(BU9=1,MAX(0,(Slot6_Cost-BV9*(1+Slot6_Rate)^(Slot6_Age-D9))/JS9),0)</f>
        <v>0</v>
      </c>
      <c r="JY9" s="1" t="n">
        <f aca="false">IF(AND(HT9=1,BU9=1),MIN(JR9,JW9),0)</f>
        <v>0</v>
      </c>
      <c r="JZ9" s="1" t="n">
        <f aca="false">JR9-JY9</f>
        <v>0</v>
      </c>
      <c r="KA9" s="1" t="n">
        <f aca="false">IF(CE9=1,IF(ABS((1+AS_Wage)/(1+Slot7_Rate)-1)&lt;0.000000000001,(Slot7_Age-D9)*(1+Slot7_Rate)^(Slot7_Age-D9),(1+Slot7_Rate)^(Slot7_Age-D9)*(1-((1+AS_Wage)/(1+Slot7_Rate))^(Slot7_Age-D9))/(1-(1+AS_Wage)/(1+Slot7_Rate))),1)</f>
        <v>1</v>
      </c>
      <c r="KB9" s="1" t="n">
        <f aca="false">IF(AND(HT9=1,ID9&gt;0,Slot7_IsWG=1,CE9=1),MAX(0,(Slot7_Cost-CF9*(1+Slot7_Rate)^(Slot7_Age-D9))/KA9),0)</f>
        <v>0</v>
      </c>
      <c r="KC9" s="1" t="n">
        <f aca="false">IF(AND(HT9=1,ID9&gt;0,Slot7_IsWG=1,CE9=1),MIN(ID9,KB9),0)</f>
        <v>0</v>
      </c>
      <c r="KD9" s="1" t="n">
        <f aca="false">CF9+KC9</f>
        <v>0</v>
      </c>
      <c r="KE9" s="1" t="n">
        <f aca="false">IF(CE9=1,MAX(0,(Slot7_Cost-KD9*(1+Slot7_Rate)^(Slot7_Age-D9))/KA9),0)</f>
        <v>0</v>
      </c>
      <c r="KF9" s="1" t="n">
        <f aca="false">IF(CE9=1,MAX(0,(Slot7_Cost-CF9*(1+Slot7_Rate)^(Slot7_Age-D9))/KA9),0)</f>
        <v>0</v>
      </c>
      <c r="KG9" s="1" t="n">
        <f aca="false">IF(AND(HT9=1,CE9=1),MIN(JZ9,KE9),0)</f>
        <v>0</v>
      </c>
      <c r="KH9" s="1" t="n">
        <f aca="false">JZ9-KG9</f>
        <v>0</v>
      </c>
      <c r="KI9" s="1" t="n">
        <f aca="false">IF(CO9=1,IF(ABS((1+AS_Wage)/(1+Slot8_Rate)-1)&lt;0.000000000001,(Slot8_Age-D9)*(1+Slot8_Rate)^(Slot8_Age-D9),(1+Slot8_Rate)^(Slot8_Age-D9)*(1-((1+AS_Wage)/(1+Slot8_Rate))^(Slot8_Age-D9))/(1-(1+AS_Wage)/(1+Slot8_Rate))),1)</f>
        <v>1</v>
      </c>
      <c r="KJ9" s="1" t="n">
        <f aca="false">IF(AND(HT9=1,ID9&gt;0,Slot8_IsWG=1,CO9=1),MAX(0,(Slot8_Cost-CP9*(1+Slot8_Rate)^(Slot8_Age-D9))/KI9),0)</f>
        <v>0</v>
      </c>
      <c r="KK9" s="1" t="n">
        <f aca="false">IF(AND(HT9=1,ID9&gt;0,Slot8_IsWG=1,CO9=1),MIN(ID9,KJ9),0)</f>
        <v>0</v>
      </c>
      <c r="KL9" s="1" t="n">
        <f aca="false">CP9+KK9</f>
        <v>0</v>
      </c>
      <c r="KM9" s="1" t="n">
        <f aca="false">IF(CO9=1,MAX(0,(Slot8_Cost-KL9*(1+Slot8_Rate)^(Slot8_Age-D9))/KI9),0)</f>
        <v>0</v>
      </c>
      <c r="KN9" s="1" t="n">
        <f aca="false">IF(CO9=1,MAX(0,(Slot8_Cost-CP9*(1+Slot8_Rate)^(Slot8_Age-D9))/KI9),0)</f>
        <v>0</v>
      </c>
      <c r="KO9" s="1" t="n">
        <f aca="false">IF(AND(HT9=1,CO9=1),MIN(KH9,KM9),0)</f>
        <v>0</v>
      </c>
      <c r="KP9" s="1" t="n">
        <f aca="false">KH9-KO9</f>
        <v>0</v>
      </c>
      <c r="KQ9" s="1" t="n">
        <f aca="false">IF(CY9=1,IF(ABS((1+AS_Wage)/(1+Slot9_Rate)-1)&lt;0.000000000001,(Slot9_Age-D9)*(1+Slot9_Rate)^(Slot9_Age-D9),(1+Slot9_Rate)^(Slot9_Age-D9)*(1-((1+AS_Wage)/(1+Slot9_Rate))^(Slot9_Age-D9))/(1-(1+AS_Wage)/(1+Slot9_Rate))),1)</f>
        <v>1</v>
      </c>
      <c r="KR9" s="1" t="n">
        <f aca="false">IF(AND(HT9=1,ID9&gt;0,Slot9_IsWG=1,CY9=1),MAX(0,(Slot9_Cost-CZ9*(1+Slot9_Rate)^(Slot9_Age-D9))/KQ9),0)</f>
        <v>0</v>
      </c>
      <c r="KS9" s="1" t="n">
        <f aca="false">IF(AND(HT9=1,ID9&gt;0,Slot9_IsWG=1,CY9=1),MIN(ID9,KR9),0)</f>
        <v>0</v>
      </c>
      <c r="KT9" s="1" t="n">
        <f aca="false">CZ9+KS9</f>
        <v>0</v>
      </c>
      <c r="KU9" s="1" t="n">
        <f aca="false">IF(CY9=1,MAX(0,(Slot9_Cost-KT9*(1+Slot9_Rate)^(Slot9_Age-D9))/KQ9),0)</f>
        <v>0</v>
      </c>
      <c r="KV9" s="1" t="n">
        <f aca="false">IF(CY9=1,MAX(0,(Slot9_Cost-CZ9*(1+Slot9_Rate)^(Slot9_Age-D9))/KQ9),0)</f>
        <v>0</v>
      </c>
      <c r="KW9" s="1" t="n">
        <f aca="false">IF(AND(HT9=1,CY9=1),MIN(KP9,KU9),0)</f>
        <v>0</v>
      </c>
      <c r="KX9" s="1" t="n">
        <f aca="false">KP9-KW9</f>
        <v>0</v>
      </c>
      <c r="KY9" s="1" t="n">
        <f aca="false">IF(DI9=1,IF(ABS((1+AS_Wage)/(1+Slot10_Rate)-1)&lt;0.000000000001,(Slot10_Age-D9)*(1+Slot10_Rate)^(Slot10_Age-D9),(1+Slot10_Rate)^(Slot10_Age-D9)*(1-((1+AS_Wage)/(1+Slot10_Rate))^(Slot10_Age-D9))/(1-(1+AS_Wage)/(1+Slot10_Rate))),1)</f>
        <v>1</v>
      </c>
      <c r="KZ9" s="1" t="n">
        <f aca="false">IF(AND(HT9=1,ID9&gt;0,Slot10_IsWG=1,DI9=1),MAX(0,(Slot10_Cost-DJ9*(1+Slot10_Rate)^(Slot10_Age-D9))/KY9),0)</f>
        <v>0</v>
      </c>
      <c r="LA9" s="1" t="n">
        <f aca="false">IF(AND(HT9=1,ID9&gt;0,Slot10_IsWG=1,DI9=1),MIN(ID9,KZ9),0)</f>
        <v>0</v>
      </c>
      <c r="LB9" s="1" t="n">
        <f aca="false">DJ9+LA9</f>
        <v>0</v>
      </c>
      <c r="LC9" s="1" t="n">
        <f aca="false">IF(DI9=1,MAX(0,(Slot10_Cost-LB9*(1+Slot10_Rate)^(Slot10_Age-D9))/KY9),0)</f>
        <v>0</v>
      </c>
      <c r="LD9" s="1" t="n">
        <f aca="false">IF(DI9=1,MAX(0,(Slot10_Cost-DJ9*(1+Slot10_Rate)^(Slot10_Age-D9))/KY9),0)</f>
        <v>0</v>
      </c>
      <c r="LE9" s="1" t="n">
        <f aca="false">IF(AND(HT9=1,DI9=1),MIN(KX9,LC9),0)</f>
        <v>0</v>
      </c>
      <c r="LF9" s="1" t="n">
        <f aca="false">KX9-LE9</f>
        <v>0</v>
      </c>
      <c r="LG9" s="1" t="n">
        <f aca="false">IF(DS9=1,IF(ABS((1+AS_Wage)/(1+Slot11_Rate)-1)&lt;0.000000000001,(Slot11_Age-D9)*(1+Slot11_Rate)^(Slot11_Age-D9),(1+Slot11_Rate)^(Slot11_Age-D9)*(1-((1+AS_Wage)/(1+Slot11_Rate))^(Slot11_Age-D9))/(1-(1+AS_Wage)/(1+Slot11_Rate))),1)</f>
        <v>1</v>
      </c>
      <c r="LH9" s="1" t="n">
        <f aca="false">IF(AND(HT9=1,ID9&gt;0,Slot11_IsWG=1,DS9=1),MAX(0,(Slot11_Cost-DT9*(1+Slot11_Rate)^(Slot11_Age-D9))/LG9),0)</f>
        <v>0</v>
      </c>
      <c r="LI9" s="1" t="n">
        <f aca="false">IF(AND(HT9=1,ID9&gt;0,Slot11_IsWG=1,DS9=1),MIN(ID9,LH9),0)</f>
        <v>0</v>
      </c>
      <c r="LJ9" s="1" t="n">
        <f aca="false">DT9+LI9</f>
        <v>0</v>
      </c>
      <c r="LK9" s="1" t="n">
        <f aca="false">IF(DS9=1,MAX(0,(Slot11_Cost-LJ9*(1+Slot11_Rate)^(Slot11_Age-D9))/LG9),0)</f>
        <v>0</v>
      </c>
      <c r="LL9" s="1" t="n">
        <f aca="false">IF(DS9=1,MAX(0,(Slot11_Cost-DT9*(1+Slot11_Rate)^(Slot11_Age-D9))/LG9),0)</f>
        <v>0</v>
      </c>
      <c r="LM9" s="1" t="n">
        <f aca="false">IF(AND(HT9=1,DS9=1),MIN(LF9,LK9),0)</f>
        <v>0</v>
      </c>
      <c r="LN9" s="1" t="n">
        <f aca="false">LF9-LM9</f>
        <v>0</v>
      </c>
      <c r="LO9" s="1" t="n">
        <f aca="false">IF(EC9=1,IF(ABS((1+AS_Wage)/(1+Slot12_Rate)-1)&lt;0.000000000001,(Slot12_Age-D9)*(1+Slot12_Rate)^(Slot12_Age-D9),(1+Slot12_Rate)^(Slot12_Age-D9)*(1-((1+AS_Wage)/(1+Slot12_Rate))^(Slot12_Age-D9))/(1-(1+AS_Wage)/(1+Slot12_Rate))),1)</f>
        <v>1</v>
      </c>
      <c r="LP9" s="1" t="n">
        <f aca="false">IF(AND(HT9=1,ID9&gt;0,Slot12_IsWG=1,EC9=1),MAX(0,(Slot12_Cost-ED9*(1+Slot12_Rate)^(Slot12_Age-D9))/LO9),0)</f>
        <v>0</v>
      </c>
      <c r="LQ9" s="1" t="n">
        <f aca="false">IF(AND(HT9=1,ID9&gt;0,Slot12_IsWG=1,EC9=1),MIN(ID9,LP9),0)</f>
        <v>0</v>
      </c>
      <c r="LR9" s="1" t="n">
        <f aca="false">ED9+LQ9</f>
        <v>0</v>
      </c>
      <c r="LS9" s="1" t="n">
        <f aca="false">IF(EC9=1,MAX(0,(Slot12_Cost-LR9*(1+Slot12_Rate)^(Slot12_Age-D9))/LO9),0)</f>
        <v>0</v>
      </c>
      <c r="LT9" s="1" t="n">
        <f aca="false">IF(EC9=1,MAX(0,(Slot12_Cost-ED9*(1+Slot12_Rate)^(Slot12_Age-D9))/LO9),0)</f>
        <v>0</v>
      </c>
      <c r="LU9" s="1" t="n">
        <f aca="false">IF(AND(HT9=1,EC9=1),MIN(LN9,LS9),0)</f>
        <v>0</v>
      </c>
      <c r="LV9" s="1" t="n">
        <f aca="false">LN9-LU9</f>
        <v>0</v>
      </c>
      <c r="LW9" s="1" t="n">
        <f aca="false">IF(EM9=1,IF(ABS((1+AS_Wage)/(1+Slot13_Rate)-1)&lt;0.000000000001,(Slot13_Age-D9)*(1+Slot13_Rate)^(Slot13_Age-D9),(1+Slot13_Rate)^(Slot13_Age-D9)*(1-((1+AS_Wage)/(1+Slot13_Rate))^(Slot13_Age-D9))/(1-(1+AS_Wage)/(1+Slot13_Rate))),1)</f>
        <v>1</v>
      </c>
      <c r="LX9" s="1" t="n">
        <f aca="false">IF(AND(HT9=1,ID9&gt;0,Slot13_IsWG=1,EM9=1),MAX(0,(Slot13_Cost-EN9*(1+Slot13_Rate)^(Slot13_Age-D9))/LW9),0)</f>
        <v>0</v>
      </c>
      <c r="LY9" s="1" t="n">
        <f aca="false">IF(AND(HT9=1,ID9&gt;0,Slot13_IsWG=1,EM9=1),MIN(ID9,LX9),0)</f>
        <v>0</v>
      </c>
      <c r="LZ9" s="1" t="n">
        <f aca="false">EN9+LY9</f>
        <v>0</v>
      </c>
      <c r="MA9" s="1" t="n">
        <f aca="false">IF(EM9=1,MAX(0,(Slot13_Cost-LZ9*(1+Slot13_Rate)^(Slot13_Age-D9))/LW9),0)</f>
        <v>0</v>
      </c>
      <c r="MB9" s="1" t="n">
        <f aca="false">IF(EM9=1,MAX(0,(Slot13_Cost-EN9*(1+Slot13_Rate)^(Slot13_Age-D9))/LW9),0)</f>
        <v>0</v>
      </c>
      <c r="MC9" s="1" t="n">
        <f aca="false">IF(AND(HT9=1,EM9=1),MIN(LV9,MA9),0)</f>
        <v>0</v>
      </c>
      <c r="MD9" s="1" t="n">
        <f aca="false">LV9-MC9</f>
        <v>0</v>
      </c>
      <c r="ME9" s="1" t="n">
        <f aca="false">IF(EW9=1,IF(ABS((1+AS_Wage)/(1+Slot14_Rate)-1)&lt;0.000000000001,(Slot14_Age-D9)*(1+Slot14_Rate)^(Slot14_Age-D9),(1+Slot14_Rate)^(Slot14_Age-D9)*(1-((1+AS_Wage)/(1+Slot14_Rate))^(Slot14_Age-D9))/(1-(1+AS_Wage)/(1+Slot14_Rate))),1)</f>
        <v>1</v>
      </c>
      <c r="MF9" s="1" t="n">
        <f aca="false">IF(AND(HT9=1,ID9&gt;0,Slot14_IsWG=1,EW9=1),MAX(0,(Slot14_Cost-EX9*(1+Slot14_Rate)^(Slot14_Age-D9))/ME9),0)</f>
        <v>0</v>
      </c>
      <c r="MG9" s="1" t="n">
        <f aca="false">IF(AND(HT9=1,ID9&gt;0,Slot14_IsWG=1,EW9=1),MIN(ID9,MF9),0)</f>
        <v>0</v>
      </c>
      <c r="MH9" s="1" t="n">
        <f aca="false">EX9+MG9</f>
        <v>0</v>
      </c>
      <c r="MI9" s="1" t="n">
        <f aca="false">IF(EW9=1,MAX(0,(Slot14_Cost-MH9*(1+Slot14_Rate)^(Slot14_Age-D9))/ME9),0)</f>
        <v>0</v>
      </c>
      <c r="MJ9" s="1" t="n">
        <f aca="false">IF(EW9=1,MAX(0,(Slot14_Cost-EX9*(1+Slot14_Rate)^(Slot14_Age-D9))/ME9),0)</f>
        <v>0</v>
      </c>
      <c r="MK9" s="1" t="n">
        <f aca="false">IF(AND(HT9=1,EW9=1),MIN(MD9,MI9),0)</f>
        <v>0</v>
      </c>
      <c r="ML9" s="1" t="n">
        <f aca="false">MD9-MK9</f>
        <v>0</v>
      </c>
      <c r="MM9" s="1" t="n">
        <f aca="false">IF(FG9=1,IF(ABS((1+AS_Wage)/(1+Slot15_Rate)-1)&lt;0.000000000001,(Slot15_Age-D9)*(1+Slot15_Rate)^(Slot15_Age-D9),(1+Slot15_Rate)^(Slot15_Age-D9)*(1-((1+AS_Wage)/(1+Slot15_Rate))^(Slot15_Age-D9))/(1-(1+AS_Wage)/(1+Slot15_Rate))),1)</f>
        <v>1</v>
      </c>
      <c r="MN9" s="1" t="n">
        <f aca="false">IF(AND(HT9=1,ID9&gt;0,Slot15_IsWG=1,FG9=1),MAX(0,(Slot15_Cost-FH9*(1+Slot15_Rate)^(Slot15_Age-D9))/MM9),0)</f>
        <v>0</v>
      </c>
      <c r="MO9" s="1" t="n">
        <f aca="false">IF(AND(HT9=1,ID9&gt;0,Slot15_IsWG=1,FG9=1),MIN(ID9,MN9),0)</f>
        <v>0</v>
      </c>
      <c r="MP9" s="1" t="n">
        <f aca="false">FH9+MO9</f>
        <v>0</v>
      </c>
      <c r="MQ9" s="1" t="n">
        <f aca="false">IF(FG9=1,MAX(0,(Slot15_Cost-MP9*(1+Slot15_Rate)^(Slot15_Age-D9))/MM9),0)</f>
        <v>0</v>
      </c>
      <c r="MR9" s="1" t="n">
        <f aca="false">IF(FG9=1,MAX(0,(Slot15_Cost-FH9*(1+Slot15_Rate)^(Slot15_Age-D9))/MM9),0)</f>
        <v>0</v>
      </c>
      <c r="MS9" s="1" t="n">
        <f aca="false">IF(AND(HT9=1,FG9=1),MIN(ML9,MQ9),0)</f>
        <v>0</v>
      </c>
      <c r="MT9" s="1" t="n">
        <f aca="false">ML9-MS9</f>
        <v>0</v>
      </c>
      <c r="MU9" s="1" t="n">
        <f aca="false">IF(FQ9=1,IF(ABS((1+AS_Wage)/(1+Slot16_Rate)-1)&lt;0.000000000001,(Slot16_Age-D9)*(1+Slot16_Rate)^(Slot16_Age-D9),(1+Slot16_Rate)^(Slot16_Age-D9)*(1-((1+AS_Wage)/(1+Slot16_Rate))^(Slot16_Age-D9))/(1-(1+AS_Wage)/(1+Slot16_Rate))),1)</f>
        <v>1</v>
      </c>
      <c r="MV9" s="1" t="n">
        <f aca="false">IF(AND(HT9=1,ID9&gt;0,Slot16_IsWG=1,FQ9=1),MAX(0,(Slot16_Cost-FR9*(1+Slot16_Rate)^(Slot16_Age-D9))/MU9),0)</f>
        <v>0</v>
      </c>
      <c r="MW9" s="1" t="n">
        <f aca="false">IF(AND(HT9=1,ID9&gt;0,Slot16_IsWG=1,FQ9=1),MIN(ID9,MV9),0)</f>
        <v>0</v>
      </c>
      <c r="MX9" s="1" t="n">
        <f aca="false">FR9+MW9</f>
        <v>0</v>
      </c>
      <c r="MY9" s="1" t="n">
        <f aca="false">IF(FQ9=1,MAX(0,(Slot16_Cost-MX9*(1+Slot16_Rate)^(Slot16_Age-D9))/MU9),0)</f>
        <v>0</v>
      </c>
      <c r="MZ9" s="1" t="n">
        <f aca="false">IF(FQ9=1,MAX(0,(Slot16_Cost-FR9*(1+Slot16_Rate)^(Slot16_Age-D9))/MU9),0)</f>
        <v>0</v>
      </c>
      <c r="NA9" s="1" t="n">
        <f aca="false">IF(AND(HT9=1,FQ9=1),MIN(MT9,MY9),0)</f>
        <v>0</v>
      </c>
      <c r="NB9" s="1" t="n">
        <f aca="false">MT9-NA9</f>
        <v>0</v>
      </c>
      <c r="NC9" s="1" t="n">
        <f aca="false">IF(GA9=1,IF(ABS((1+AS_Wage)/(1+Slot17_Rate)-1)&lt;0.000000000001,(Slot17_Age-D9)*(1+Slot17_Rate)^(Slot17_Age-D9),(1+Slot17_Rate)^(Slot17_Age-D9)*(1-((1+AS_Wage)/(1+Slot17_Rate))^(Slot17_Age-D9))/(1-(1+AS_Wage)/(1+Slot17_Rate))),1)</f>
        <v>1</v>
      </c>
      <c r="ND9" s="1" t="n">
        <f aca="false">IF(AND(HT9=1,ID9&gt;0,Slot17_IsWG=1,GA9=1),MAX(0,(Slot17_Cost-GB9*(1+Slot17_Rate)^(Slot17_Age-D9))/NC9),0)</f>
        <v>0</v>
      </c>
      <c r="NE9" s="1" t="n">
        <f aca="false">IF(AND(HT9=1,ID9&gt;0,Slot17_IsWG=1,GA9=1),MIN(ID9,ND9),0)</f>
        <v>0</v>
      </c>
      <c r="NF9" s="1" t="n">
        <f aca="false">GB9+NE9</f>
        <v>0</v>
      </c>
      <c r="NG9" s="1" t="n">
        <f aca="false">IF(GA9=1,MAX(0,(Slot17_Cost-NF9*(1+Slot17_Rate)^(Slot17_Age-D9))/NC9),0)</f>
        <v>0</v>
      </c>
      <c r="NH9" s="1" t="n">
        <f aca="false">IF(GA9=1,MAX(0,(Slot17_Cost-GB9*(1+Slot17_Rate)^(Slot17_Age-D9))/NC9),0)</f>
        <v>0</v>
      </c>
      <c r="NI9" s="1" t="n">
        <f aca="false">IF(AND(HT9=1,GA9=1),MIN(NB9,NG9),0)</f>
        <v>0</v>
      </c>
      <c r="NJ9" s="1" t="n">
        <f aca="false">NB9-NI9</f>
        <v>0</v>
      </c>
      <c r="NK9" s="1" t="n">
        <f aca="false">IF(GK9=1,IF(ABS((1+AS_Wage)/(1+Slot18_Rate)-1)&lt;0.000000000001,(Slot18_Age-D9)*(1+Slot18_Rate)^(Slot18_Age-D9),(1+Slot18_Rate)^(Slot18_Age-D9)*(1-((1+AS_Wage)/(1+Slot18_Rate))^(Slot18_Age-D9))/(1-(1+AS_Wage)/(1+Slot18_Rate))),1)</f>
        <v>1</v>
      </c>
      <c r="NL9" s="1" t="n">
        <f aca="false">IF(AND(HT9=1,ID9&gt;0,Slot18_IsWG=1,GK9=1),MAX(0,(Slot18_Cost-GL9*(1+Slot18_Rate)^(Slot18_Age-D9))/NK9),0)</f>
        <v>0</v>
      </c>
      <c r="NM9" s="1" t="n">
        <f aca="false">IF(AND(HT9=1,ID9&gt;0,Slot18_IsWG=1,GK9=1),MIN(ID9,NL9),0)</f>
        <v>0</v>
      </c>
      <c r="NN9" s="1" t="n">
        <f aca="false">GL9+NM9</f>
        <v>0</v>
      </c>
      <c r="NO9" s="1" t="n">
        <f aca="false">IF(GK9=1,MAX(0,(Slot18_Cost-NN9*(1+Slot18_Rate)^(Slot18_Age-D9))/NK9),0)</f>
        <v>0</v>
      </c>
      <c r="NP9" s="1" t="n">
        <f aca="false">IF(GK9=1,MAX(0,(Slot18_Cost-GL9*(1+Slot18_Rate)^(Slot18_Age-D9))/NK9),0)</f>
        <v>0</v>
      </c>
      <c r="NQ9" s="1" t="n">
        <f aca="false">IF(AND(HT9=1,GK9=1),MIN(NJ9,NO9),0)</f>
        <v>0</v>
      </c>
      <c r="NR9" s="1" t="n">
        <f aca="false">NJ9-NQ9</f>
        <v>0</v>
      </c>
      <c r="NS9" s="1" t="n">
        <f aca="false">IF(GU9=1,IF(ABS((1+AS_Wage)/(1+Slot19_Rate)-1)&lt;0.000000000001,(Slot19_Age-D9)*(1+Slot19_Rate)^(Slot19_Age-D9),(1+Slot19_Rate)^(Slot19_Age-D9)*(1-((1+AS_Wage)/(1+Slot19_Rate))^(Slot19_Age-D9))/(1-(1+AS_Wage)/(1+Slot19_Rate))),1)</f>
        <v>1</v>
      </c>
      <c r="NT9" s="1" t="n">
        <f aca="false">IF(AND(HT9=1,ID9&gt;0,Slot19_IsWG=1,GU9=1),MAX(0,(Slot19_Cost-GV9*(1+Slot19_Rate)^(Slot19_Age-D9))/NS9),0)</f>
        <v>0</v>
      </c>
      <c r="NU9" s="1" t="n">
        <f aca="false">IF(AND(HT9=1,ID9&gt;0,Slot19_IsWG=1,GU9=1),MIN(ID9,NT9),0)</f>
        <v>0</v>
      </c>
      <c r="NV9" s="1" t="n">
        <f aca="false">GV9+NU9</f>
        <v>0</v>
      </c>
      <c r="NW9" s="1" t="n">
        <f aca="false">IF(GU9=1,MAX(0,(Slot19_Cost-NV9*(1+Slot19_Rate)^(Slot19_Age-D9))/NS9),0)</f>
        <v>0</v>
      </c>
      <c r="NX9" s="1" t="n">
        <f aca="false">IF(GU9=1,MAX(0,(Slot19_Cost-GV9*(1+Slot19_Rate)^(Slot19_Age-D9))/NS9),0)</f>
        <v>0</v>
      </c>
      <c r="NY9" s="1" t="n">
        <f aca="false">IF(AND(HT9=1,GU9=1),MIN(NR9,NW9),0)</f>
        <v>0</v>
      </c>
      <c r="NZ9" s="1" t="n">
        <f aca="false">NR9-NY9</f>
        <v>0</v>
      </c>
      <c r="OA9" s="1" t="n">
        <f aca="false">IF(HE9=1,IF(ABS((1+AS_Wage)/(1+Slot20_Rate)-1)&lt;0.000000000001,(Slot20_Age-D9)*(1+Slot20_Rate)^(Slot20_Age-D9),(1+Slot20_Rate)^(Slot20_Age-D9)*(1-((1+AS_Wage)/(1+Slot20_Rate))^(Slot20_Age-D9))/(1-(1+AS_Wage)/(1+Slot20_Rate))),1)</f>
        <v>1</v>
      </c>
      <c r="OB9" s="1" t="n">
        <f aca="false">IF(AND(HT9=1,ID9&gt;0,Slot20_IsWG=1,HE9=1),MAX(0,(Slot20_Cost-HF9*(1+Slot20_Rate)^(Slot20_Age-D9))/OA9),0)</f>
        <v>0</v>
      </c>
      <c r="OC9" s="1" t="n">
        <f aca="false">IF(AND(HT9=1,ID9&gt;0,Slot20_IsWG=1,HE9=1),MIN(ID9,OB9),0)</f>
        <v>0</v>
      </c>
      <c r="OD9" s="1" t="n">
        <f aca="false">HF9+OC9</f>
        <v>0</v>
      </c>
      <c r="OE9" s="1" t="n">
        <f aca="false">IF(HE9=1,MAX(0,(Slot20_Cost-OD9*(1+Slot20_Rate)^(Slot20_Age-D9))/OA9),0)</f>
        <v>0</v>
      </c>
      <c r="OF9" s="1" t="n">
        <f aca="false">IF(HE9=1,MAX(0,(Slot20_Cost-HF9*(1+Slot20_Rate)^(Slot20_Age-D9))/OA9),0)</f>
        <v>0</v>
      </c>
      <c r="OG9" s="1" t="n">
        <f aca="false">IF(AND(HT9=1,HE9=1),MIN(NZ9,OE9),0)</f>
        <v>0</v>
      </c>
      <c r="OH9" s="1" t="n">
        <f aca="false">NZ9-OG9</f>
        <v>0</v>
      </c>
      <c r="OI9" s="1" t="n">
        <f aca="false">ID9-(IG9+IO9+IW9+JE9+JM9+JU9+KC9+KK9+KS9+LA9+LI9+LQ9+LY9+MG9+MO9+MW9+NE9+NM9+NU9+OC9)</f>
        <v>0</v>
      </c>
      <c r="OJ9" s="1" t="n">
        <f aca="false">IF(HT9=1,HR9-IC9-ID9,0)</f>
        <v>0</v>
      </c>
      <c r="OK9" s="1" t="n">
        <f aca="false">IF(HT9=0,-HR9,0)</f>
        <v>0</v>
      </c>
      <c r="OL9" s="1" t="n">
        <f aca="false">MIN(OK9,HJ9)</f>
        <v>0</v>
      </c>
      <c r="OM9" s="1" t="n">
        <f aca="false">OK9-OL9</f>
        <v>0</v>
      </c>
      <c r="ON9" s="1" t="n">
        <f aca="false">MIN(OM9,HK9)</f>
        <v>0</v>
      </c>
      <c r="OO9" s="1" t="n">
        <f aca="false">OM9-ON9</f>
        <v>0</v>
      </c>
      <c r="OP9" s="1" t="n">
        <f aca="false">IF(AND(HT9=0,HE9=1,OO9&gt;0),MIN(OO9,HF9),0)</f>
        <v>0</v>
      </c>
      <c r="OQ9" s="1" t="n">
        <f aca="false">OO9-OP9</f>
        <v>0</v>
      </c>
      <c r="OR9" s="1" t="n">
        <f aca="false">IF(AND(HT9=0,GU9=1,OQ9&gt;0),MIN(OQ9,GV9),0)</f>
        <v>0</v>
      </c>
      <c r="OS9" s="1" t="n">
        <f aca="false">OQ9-OR9</f>
        <v>0</v>
      </c>
      <c r="OT9" s="1" t="n">
        <f aca="false">IF(AND(HT9=0,GK9=1,OS9&gt;0),MIN(OS9,GL9),0)</f>
        <v>0</v>
      </c>
      <c r="OU9" s="1" t="n">
        <f aca="false">OS9-OT9</f>
        <v>0</v>
      </c>
      <c r="OV9" s="1" t="n">
        <f aca="false">IF(AND(HT9=0,GA9=1,OU9&gt;0),MIN(OU9,GB9),0)</f>
        <v>0</v>
      </c>
      <c r="OW9" s="1" t="n">
        <f aca="false">OU9-OV9</f>
        <v>0</v>
      </c>
      <c r="OX9" s="1" t="n">
        <f aca="false">IF(AND(HT9=0,FQ9=1,OW9&gt;0),MIN(OW9,FR9),0)</f>
        <v>0</v>
      </c>
      <c r="OY9" s="1" t="n">
        <f aca="false">OW9-OX9</f>
        <v>0</v>
      </c>
      <c r="OZ9" s="1" t="n">
        <f aca="false">IF(AND(HT9=0,FG9=1,OY9&gt;0),MIN(OY9,FH9),0)</f>
        <v>0</v>
      </c>
      <c r="PA9" s="1" t="n">
        <f aca="false">OY9-OZ9</f>
        <v>0</v>
      </c>
      <c r="PB9" s="1" t="n">
        <f aca="false">IF(AND(HT9=0,EW9=1,PA9&gt;0),MIN(PA9,EX9),0)</f>
        <v>0</v>
      </c>
      <c r="PC9" s="1" t="n">
        <f aca="false">PA9-PB9</f>
        <v>0</v>
      </c>
      <c r="PD9" s="1" t="n">
        <f aca="false">IF(AND(HT9=0,EM9=1,PC9&gt;0),MIN(PC9,EN9),0)</f>
        <v>0</v>
      </c>
      <c r="PE9" s="1" t="n">
        <f aca="false">PC9-PD9</f>
        <v>0</v>
      </c>
      <c r="PF9" s="1" t="n">
        <f aca="false">IF(AND(HT9=0,EC9=1,PE9&gt;0),MIN(PE9,ED9),0)</f>
        <v>0</v>
      </c>
      <c r="PG9" s="1" t="n">
        <f aca="false">PE9-PF9</f>
        <v>0</v>
      </c>
      <c r="PH9" s="1" t="n">
        <f aca="false">IF(AND(HT9=0,DS9=1,PG9&gt;0),MIN(PG9,DT9),0)</f>
        <v>0</v>
      </c>
      <c r="PI9" s="1" t="n">
        <f aca="false">PG9-PH9</f>
        <v>0</v>
      </c>
      <c r="PJ9" s="1" t="n">
        <f aca="false">IF(AND(HT9=0,DI9=1,PI9&gt;0),MIN(PI9,DJ9),0)</f>
        <v>0</v>
      </c>
      <c r="PK9" s="1" t="n">
        <f aca="false">PI9-PJ9</f>
        <v>0</v>
      </c>
      <c r="PL9" s="1" t="n">
        <f aca="false">IF(AND(HT9=0,CY9=1,PK9&gt;0),MIN(PK9,CZ9),0)</f>
        <v>0</v>
      </c>
      <c r="PM9" s="1" t="n">
        <f aca="false">PK9-PL9</f>
        <v>0</v>
      </c>
      <c r="PN9" s="1" t="n">
        <f aca="false">IF(AND(HT9=0,CO9=1,PM9&gt;0),MIN(PM9,CP9),0)</f>
        <v>0</v>
      </c>
      <c r="PO9" s="1" t="n">
        <f aca="false">PM9-PN9</f>
        <v>0</v>
      </c>
      <c r="PP9" s="1" t="n">
        <f aca="false">IF(AND(HT9=0,CE9=1,PO9&gt;0),MIN(PO9,CF9),0)</f>
        <v>0</v>
      </c>
      <c r="PQ9" s="1" t="n">
        <f aca="false">PO9-PP9</f>
        <v>0</v>
      </c>
      <c r="PR9" s="1" t="n">
        <f aca="false">IF(AND(HT9=0,BU9=1,PQ9&gt;0),MIN(PQ9,BV9),0)</f>
        <v>0</v>
      </c>
      <c r="PS9" s="1" t="n">
        <f aca="false">PQ9-PR9</f>
        <v>0</v>
      </c>
      <c r="PT9" s="1" t="n">
        <f aca="false">IF(AND(HT9=0,BK9=1,PS9&gt;0),MIN(PS9,BL9),0)</f>
        <v>0</v>
      </c>
      <c r="PU9" s="1" t="n">
        <f aca="false">PS9-PT9</f>
        <v>0</v>
      </c>
      <c r="PV9" s="1" t="n">
        <f aca="false">IF(AND(HT9=0,BA9=1,PU9&gt;0),MIN(PU9,BB9),0)</f>
        <v>0</v>
      </c>
      <c r="PW9" s="1" t="n">
        <f aca="false">PU9-PV9</f>
        <v>0</v>
      </c>
      <c r="PX9" s="1" t="n">
        <f aca="false">IF(AND(HT9=0,AQ9=1,PW9&gt;0),MIN(PW9,AR9),0)</f>
        <v>0</v>
      </c>
      <c r="PY9" s="1" t="n">
        <f aca="false">PW9-PX9</f>
        <v>0</v>
      </c>
      <c r="PZ9" s="1" t="n">
        <f aca="false">IF(AND(HT9=0,AG9=1,PY9&gt;0),MIN(PY9,AH9),0)</f>
        <v>0</v>
      </c>
      <c r="QA9" s="1" t="n">
        <f aca="false">PY9-PZ9</f>
        <v>0</v>
      </c>
      <c r="QB9" s="1" t="n">
        <f aca="false">IF(AND(HT9=0,V9=1,QA9&gt;0),MIN(QA9,W9),0)</f>
        <v>0</v>
      </c>
      <c r="QC9" s="1" t="n">
        <f aca="false">QA9-QB9</f>
        <v>0</v>
      </c>
      <c r="QD9" s="1" t="n">
        <f aca="false">IF(HT9=0,QC9,0)</f>
        <v>0</v>
      </c>
      <c r="QE9" s="1" t="n">
        <f aca="false">OL9+ON9+QB9+PZ9+PX9+PV9+PT9+PR9+PP9+PN9+PL9+PJ9+PH9+PF9+PD9+PB9+OZ9+OX9+OV9+OT9+OR9+OP9</f>
        <v>0</v>
      </c>
      <c r="QF9" s="1" t="n">
        <f aca="false">IF(HT9=1,HJ9+OI9+OH9+IF(F9=1,0,OJ9),HJ9-OL9)</f>
        <v>0</v>
      </c>
      <c r="QG9" s="1" t="n">
        <f aca="false">HK9-ON9</f>
        <v>0</v>
      </c>
      <c r="QH9" s="1" t="n">
        <f aca="false">IF(HT9=1,IF(F9=1,IC9+ID9,HR9),0)</f>
        <v>0</v>
      </c>
      <c r="QI9" s="1" t="n">
        <f aca="false">IF(HT9=1,IF(F9=1,HR9-IC9-ID9,0),0)</f>
        <v>0</v>
      </c>
      <c r="QJ9" s="1" t="n">
        <f aca="false">QF9*(1+GR)</f>
        <v>0</v>
      </c>
      <c r="QK9" s="1" t="n">
        <f aca="false">QG9*(1+AS_Cash)</f>
        <v>0</v>
      </c>
      <c r="QL9" s="1" t="n">
        <f aca="false">IF(V9=1,IF(HT9=1,IH9+IK9,W9-QB9)*(1+Slot1_Rate),0)</f>
        <v>0</v>
      </c>
      <c r="QM9" s="1" t="n">
        <f aca="false">IF(AND(HT9=1,V9=1),(IG9+IK9)/E9,0)</f>
        <v>0</v>
      </c>
      <c r="QN9" s="1" t="n">
        <f aca="false">IF(B9=0,IG9+IK9,0)</f>
        <v>0</v>
      </c>
      <c r="QO9" s="1" t="n">
        <f aca="false">IF(B9=0,IF(HT9=1,II9,IJ9),0)</f>
        <v>0</v>
      </c>
      <c r="QP9" s="1" t="n">
        <f aca="false">IF(AG9=1,IF(HT9=1,IP9+IS9,AH9-PZ9)*(1+Slot2_Rate),0)</f>
        <v>0</v>
      </c>
      <c r="QQ9" s="1" t="n">
        <f aca="false">IF(AND(HT9=1,AG9=1),(IO9+IS9)/E9,0)</f>
        <v>0</v>
      </c>
      <c r="QR9" s="1" t="n">
        <f aca="false">IF(B9=0,IO9+IS9,0)</f>
        <v>0</v>
      </c>
      <c r="QS9" s="1" t="n">
        <f aca="false">IF(B9=0,IF(HT9=1,IQ9,IR9),0)</f>
        <v>0</v>
      </c>
      <c r="QT9" s="1" t="n">
        <f aca="false">IF(AQ9=1,IF(HT9=1,IX9+JA9,AR9-PX9)*(1+Slot3_Rate),0)</f>
        <v>0</v>
      </c>
      <c r="QU9" s="1" t="n">
        <f aca="false">IF(AND(HT9=1,AQ9=1),(IW9+JA9)/E9,0)</f>
        <v>0</v>
      </c>
      <c r="QV9" s="1" t="n">
        <f aca="false">IF(B9=0,IW9+JA9,0)</f>
        <v>0</v>
      </c>
      <c r="QW9" s="1" t="n">
        <f aca="false">IF(B9=0,IF(HT9=1,IY9,IZ9),0)</f>
        <v>0</v>
      </c>
      <c r="QX9" s="1" t="n">
        <f aca="false">IF(BA9=1,IF(HT9=1,JF9+JI9,BB9-PV9)*(1+Slot4_Rate),0)</f>
        <v>0</v>
      </c>
      <c r="QY9" s="1" t="n">
        <f aca="false">IF(AND(HT9=1,BA9=1),(JE9+JI9)/E9,0)</f>
        <v>0</v>
      </c>
      <c r="QZ9" s="1" t="n">
        <f aca="false">IF(B9=0,JE9+JI9,0)</f>
        <v>0</v>
      </c>
      <c r="RA9" s="1" t="n">
        <f aca="false">IF(B9=0,IF(HT9=1,JG9,JH9),0)</f>
        <v>0</v>
      </c>
      <c r="RB9" s="1" t="n">
        <f aca="false">IF(BK9=1,IF(HT9=1,JN9+JQ9,BL9-PT9)*(1+Slot5_Rate),0)</f>
        <v>0</v>
      </c>
      <c r="RC9" s="1" t="n">
        <f aca="false">IF(AND(HT9=1,BK9=1),(JM9+JQ9)/E9,0)</f>
        <v>0</v>
      </c>
      <c r="RD9" s="1" t="n">
        <f aca="false">IF(B9=0,JM9+JQ9,0)</f>
        <v>0</v>
      </c>
      <c r="RE9" s="1" t="n">
        <f aca="false">IF(B9=0,IF(HT9=1,JO9,JP9),0)</f>
        <v>0</v>
      </c>
      <c r="RF9" s="1" t="n">
        <f aca="false">IF(BU9=1,IF(HT9=1,JV9+JY9,BV9-PR9)*(1+Slot6_Rate),0)</f>
        <v>0</v>
      </c>
      <c r="RG9" s="1" t="n">
        <f aca="false">IF(AND(HT9=1,BU9=1),(JU9+JY9)/E9,0)</f>
        <v>0</v>
      </c>
      <c r="RH9" s="1" t="n">
        <f aca="false">IF(B9=0,JU9+JY9,0)</f>
        <v>0</v>
      </c>
      <c r="RI9" s="1" t="n">
        <f aca="false">IF(B9=0,IF(HT9=1,JW9,JX9),0)</f>
        <v>0</v>
      </c>
      <c r="RJ9" s="1" t="n">
        <f aca="false">IF(CE9=1,IF(HT9=1,KD9+KG9,CF9-PP9)*(1+Slot7_Rate),0)</f>
        <v>0</v>
      </c>
      <c r="RK9" s="1" t="n">
        <f aca="false">IF(AND(HT9=1,CE9=1),(KC9+KG9)/E9,0)</f>
        <v>0</v>
      </c>
      <c r="RL9" s="1" t="n">
        <f aca="false">IF(B9=0,KC9+KG9,0)</f>
        <v>0</v>
      </c>
      <c r="RM9" s="1" t="n">
        <f aca="false">IF(B9=0,IF(HT9=1,KE9,KF9),0)</f>
        <v>0</v>
      </c>
      <c r="RN9" s="1" t="n">
        <f aca="false">IF(CO9=1,IF(HT9=1,KL9+KO9,CP9-PN9)*(1+Slot8_Rate),0)</f>
        <v>0</v>
      </c>
      <c r="RO9" s="1" t="n">
        <f aca="false">IF(AND(HT9=1,CO9=1),(KK9+KO9)/E9,0)</f>
        <v>0</v>
      </c>
      <c r="RP9" s="1" t="n">
        <f aca="false">IF(B9=0,KK9+KO9,0)</f>
        <v>0</v>
      </c>
      <c r="RQ9" s="1" t="n">
        <f aca="false">IF(B9=0,IF(HT9=1,KM9,KN9),0)</f>
        <v>0</v>
      </c>
      <c r="RR9" s="1" t="n">
        <f aca="false">IF(CY9=1,IF(HT9=1,KT9+KW9,CZ9-PL9)*(1+Slot9_Rate),0)</f>
        <v>0</v>
      </c>
      <c r="RS9" s="1" t="n">
        <f aca="false">IF(AND(HT9=1,CY9=1),(KS9+KW9)/E9,0)</f>
        <v>0</v>
      </c>
      <c r="RT9" s="1" t="n">
        <f aca="false">IF(B9=0,KS9+KW9,0)</f>
        <v>0</v>
      </c>
      <c r="RU9" s="1" t="n">
        <f aca="false">IF(B9=0,IF(HT9=1,KU9,KV9),0)</f>
        <v>0</v>
      </c>
      <c r="RV9" s="1" t="n">
        <f aca="false">IF(DI9=1,IF(HT9=1,LB9+LE9,DJ9-PJ9)*(1+Slot10_Rate),0)</f>
        <v>0</v>
      </c>
      <c r="RW9" s="1" t="n">
        <f aca="false">IF(AND(HT9=1,DI9=1),(LA9+LE9)/E9,0)</f>
        <v>0</v>
      </c>
      <c r="RX9" s="1" t="n">
        <f aca="false">IF(B9=0,LA9+LE9,0)</f>
        <v>0</v>
      </c>
      <c r="RY9" s="1" t="n">
        <f aca="false">IF(B9=0,IF(HT9=1,LC9,LD9),0)</f>
        <v>0</v>
      </c>
      <c r="RZ9" s="1" t="n">
        <f aca="false">IF(DS9=1,IF(HT9=1,LJ9+LM9,DT9-PH9)*(1+Slot11_Rate),0)</f>
        <v>0</v>
      </c>
      <c r="SA9" s="1" t="n">
        <f aca="false">IF(AND(HT9=1,DS9=1),(LI9+LM9)/E9,0)</f>
        <v>0</v>
      </c>
      <c r="SB9" s="1" t="n">
        <f aca="false">IF(B9=0,LI9+LM9,0)</f>
        <v>0</v>
      </c>
      <c r="SC9" s="1" t="n">
        <f aca="false">IF(B9=0,IF(HT9=1,LK9,LL9),0)</f>
        <v>0</v>
      </c>
      <c r="SD9" s="1" t="n">
        <f aca="false">IF(EC9=1,IF(HT9=1,LR9+LU9,ED9-PF9)*(1+Slot12_Rate),0)</f>
        <v>0</v>
      </c>
      <c r="SE9" s="1" t="n">
        <f aca="false">IF(AND(HT9=1,EC9=1),(LQ9+LU9)/E9,0)</f>
        <v>0</v>
      </c>
      <c r="SF9" s="1" t="n">
        <f aca="false">IF(B9=0,LQ9+LU9,0)</f>
        <v>0</v>
      </c>
      <c r="SG9" s="1" t="n">
        <f aca="false">IF(B9=0,IF(HT9=1,LS9,LT9),0)</f>
        <v>0</v>
      </c>
      <c r="SH9" s="1" t="n">
        <f aca="false">IF(EM9=1,IF(HT9=1,LZ9+MC9,EN9-PD9)*(1+Slot13_Rate),0)</f>
        <v>0</v>
      </c>
      <c r="SI9" s="1" t="n">
        <f aca="false">IF(AND(HT9=1,EM9=1),(LY9+MC9)/E9,0)</f>
        <v>0</v>
      </c>
      <c r="SJ9" s="1" t="n">
        <f aca="false">IF(B9=0,LY9+MC9,0)</f>
        <v>0</v>
      </c>
      <c r="SK9" s="1" t="n">
        <f aca="false">IF(B9=0,IF(HT9=1,MA9,MB9),0)</f>
        <v>0</v>
      </c>
      <c r="SL9" s="1" t="n">
        <f aca="false">IF(EW9=1,IF(HT9=1,MH9+MK9,EX9-PB9)*(1+Slot14_Rate),0)</f>
        <v>0</v>
      </c>
      <c r="SM9" s="1" t="n">
        <f aca="false">IF(AND(HT9=1,EW9=1),(MG9+MK9)/E9,0)</f>
        <v>0</v>
      </c>
      <c r="SN9" s="1" t="n">
        <f aca="false">IF(B9=0,MG9+MK9,0)</f>
        <v>0</v>
      </c>
      <c r="SO9" s="1" t="n">
        <f aca="false">IF(B9=0,IF(HT9=1,MI9,MJ9),0)</f>
        <v>0</v>
      </c>
      <c r="SP9" s="1" t="n">
        <f aca="false">IF(FG9=1,IF(HT9=1,MP9+MS9,FH9-OZ9)*(1+Slot15_Rate),0)</f>
        <v>0</v>
      </c>
      <c r="SQ9" s="1" t="n">
        <f aca="false">IF(AND(HT9=1,FG9=1),(MO9+MS9)/E9,0)</f>
        <v>0</v>
      </c>
      <c r="SR9" s="1" t="n">
        <f aca="false">IF(B9=0,MO9+MS9,0)</f>
        <v>0</v>
      </c>
      <c r="SS9" s="1" t="n">
        <f aca="false">IF(B9=0,IF(HT9=1,MQ9,MR9),0)</f>
        <v>0</v>
      </c>
      <c r="ST9" s="1" t="n">
        <f aca="false">IF(FQ9=1,IF(HT9=1,MX9+NA9,FR9-OX9)*(1+Slot16_Rate),0)</f>
        <v>0</v>
      </c>
      <c r="SU9" s="1" t="n">
        <f aca="false">IF(AND(HT9=1,FQ9=1),(MW9+NA9)/E9,0)</f>
        <v>0</v>
      </c>
      <c r="SV9" s="1" t="n">
        <f aca="false">IF(B9=0,MW9+NA9,0)</f>
        <v>0</v>
      </c>
      <c r="SW9" s="1" t="n">
        <f aca="false">IF(B9=0,IF(HT9=1,MY9,MZ9),0)</f>
        <v>0</v>
      </c>
      <c r="SX9" s="1" t="n">
        <f aca="false">IF(GA9=1,IF(HT9=1,NF9+NI9,GB9-OV9)*(1+Slot17_Rate),0)</f>
        <v>0</v>
      </c>
      <c r="SY9" s="1" t="n">
        <f aca="false">IF(AND(HT9=1,GA9=1),(NE9+NI9)/E9,0)</f>
        <v>0</v>
      </c>
      <c r="SZ9" s="1" t="n">
        <f aca="false">IF(B9=0,NE9+NI9,0)</f>
        <v>0</v>
      </c>
      <c r="TA9" s="1" t="n">
        <f aca="false">IF(B9=0,IF(HT9=1,NG9,NH9),0)</f>
        <v>0</v>
      </c>
      <c r="TB9" s="1" t="n">
        <f aca="false">IF(GK9=1,IF(HT9=1,NN9+NQ9,GL9-OT9)*(1+Slot18_Rate),0)</f>
        <v>0</v>
      </c>
      <c r="TC9" s="1" t="n">
        <f aca="false">IF(AND(HT9=1,GK9=1),(NM9+NQ9)/E9,0)</f>
        <v>0</v>
      </c>
      <c r="TD9" s="1" t="n">
        <f aca="false">IF(B9=0,NM9+NQ9,0)</f>
        <v>0</v>
      </c>
      <c r="TE9" s="1" t="n">
        <f aca="false">IF(B9=0,IF(HT9=1,NO9,NP9),0)</f>
        <v>0</v>
      </c>
      <c r="TF9" s="1" t="n">
        <f aca="false">IF(GU9=1,IF(HT9=1,NV9+NY9,GV9-OR9)*(1+Slot19_Rate),0)</f>
        <v>0</v>
      </c>
      <c r="TG9" s="1" t="n">
        <f aca="false">IF(AND(HT9=1,GU9=1),(NU9+NY9)/E9,0)</f>
        <v>0</v>
      </c>
      <c r="TH9" s="1" t="n">
        <f aca="false">IF(B9=0,NU9+NY9,0)</f>
        <v>0</v>
      </c>
      <c r="TI9" s="1" t="n">
        <f aca="false">IF(B9=0,IF(HT9=1,NW9,NX9),0)</f>
        <v>0</v>
      </c>
      <c r="TJ9" s="1" t="n">
        <f aca="false">IF(HE9=1,IF(HT9=1,OD9+OG9,HF9-OP9)*(1+Slot20_Rate),0)</f>
        <v>0</v>
      </c>
      <c r="TK9" s="1" t="n">
        <f aca="false">IF(AND(HT9=1,HE9=1),(OC9+OG9)/E9,0)</f>
        <v>0</v>
      </c>
      <c r="TL9" s="1" t="n">
        <f aca="false">IF(B9=0,OC9+OG9,0)</f>
        <v>0</v>
      </c>
      <c r="TM9" s="1" t="n">
        <f aca="false">IF(B9=0,IF(HT9=1,OE9,OF9),0)</f>
        <v>0</v>
      </c>
      <c r="TN9" s="1" t="n">
        <f aca="false">QJ9+QK9+QL9+QP9+QT9+QX9+RB9+RF9+RJ9+RN9+RR9+RV9+RZ9+SD9+SH9+SL9+SP9+ST9+SX9+TB9+TF9+TJ9</f>
        <v>0</v>
      </c>
      <c r="TO9" s="1" t="n">
        <f aca="false">QD9+HO9</f>
        <v>0</v>
      </c>
      <c r="TP9" s="1" t="n">
        <f aca="false">H9+R9</f>
        <v>0</v>
      </c>
      <c r="TQ9" s="1" t="n">
        <f aca="false">1-F9</f>
        <v>0</v>
      </c>
      <c r="TR9" s="1" t="n">
        <f aca="false">IF(AND(RG_Exists=1,F9=0,C9=1),H9,0)</f>
        <v>0</v>
      </c>
      <c r="TS9" s="1" t="n">
        <f aca="false">IF(AND(RG_Exists=1,F9=0,C9=1),H9-MIN(QD9,H9),0)</f>
        <v>0</v>
      </c>
      <c r="TT9" s="1" t="n">
        <f aca="false">'Plan pay &amp; tax'!AD235</f>
        <v>0</v>
      </c>
      <c r="TU9" s="1" t="n">
        <f aca="false">IF(AND(C9=1,QD9&gt;MAX(PR_Short1,TP9*PR_Short2)),1,0)</f>
        <v>0</v>
      </c>
      <c r="TV9" s="1" t="n">
        <f aca="false">MIN(G9,H9+R9)</f>
        <v>0</v>
      </c>
      <c r="TW9" s="1" t="n">
        <f aca="false">QE9+MAX(0,HP9-HO9)</f>
        <v>0</v>
      </c>
      <c r="TX9" s="1" t="n">
        <f aca="false">QD9+HO9</f>
        <v>0</v>
      </c>
      <c r="TY9" s="1" t="n">
        <f aca="false">IF(AND(C9=1,TX9&gt;PR_MinShort),1,0)</f>
        <v>0</v>
      </c>
      <c r="TZ9" s="1" t="n">
        <f aca="false">IF(AND(C9=1,TY9=0,TW9&gt;PR_MinShort),1,0)</f>
        <v>0</v>
      </c>
      <c r="UA9" s="1" t="n">
        <f aca="false">IF(AND(C9=1,QD9&gt;PR_MinShort),1,0)</f>
        <v>0</v>
      </c>
      <c r="UB9" s="1" t="n">
        <f aca="false">IF(AND(C9=1,QE9&gt;1,UI9=0),1,0)</f>
        <v>0</v>
      </c>
      <c r="UC9" s="1" t="str">
        <f aca="false">IF(C9=0,"",IF(UI9=1,"Gap to plan for: short "&amp;"€"&amp;TEXT(ROUND(TO9,0),"#,##0"),IF(QE9&gt;1,"Using savings","Comfortable")))</f>
        <v>Comfortable</v>
      </c>
      <c r="UD9" s="1" t="n">
        <f aca="false">IF(AND(INT(D9/10)*10=90,B9&gt;0),80,INT(D9/10)*10)</f>
        <v>0</v>
      </c>
      <c r="UE9" s="1" t="n">
        <f aca="false">IF(B9=0,1,IF(UD9&lt;&gt;UD8,UE8+1,UE8))</f>
        <v>1</v>
      </c>
      <c r="UF9" s="1" t="n">
        <f aca="false">IF(AND(C9=1,F9=1,QD9&gt;MAX(PR_Short1,TP9*PR_Short2)),1,0)</f>
        <v>0</v>
      </c>
      <c r="UG9" s="1" t="n">
        <f aca="false">TQ9*TU9</f>
        <v>0</v>
      </c>
      <c r="UH9" s="1" t="n">
        <f aca="false">IF(AND(U9=1,Slot1_PctLow=1),1,0)+IF(AND(AF9=1,Slot2_PctLow=1),1,0)+IF(AND(AP9=1,Slot3_PctLow=1),1,0)+IF(AND(AZ9=1,Slot4_PctLow=1),1,0)+IF(AND(BJ9=1,Slot5_PctLow=1),1,0)+IF(AND(BT9=1,Slot6_PctLow=1),1,0)+IF(AND(CD9=1,Slot7_PctLow=1),1,0)+IF(AND(CN9=1,Slot8_PctLow=1),1,0)+IF(AND(CX9=1,Slot9_PctLow=1),1,0)+IF(AND(DH9=1,Slot10_PctLow=1),1,0)+IF(AND(DR9=1,Slot11_PctLow=1),1,0)+IF(AND(EB9=1,Slot12_PctLow=1),1,0)+IF(AND(EL9=1,Slot13_PctLow=1),1,0)+IF(AND(EV9=1,Slot14_PctLow=1),1,0)+IF(AND(FF9=1,Slot15_PctLow=1),1,0)+IF(AND(FP9=1,Slot16_PctLow=1),1,0)+IF(AND(FZ9=1,Slot17_PctLow=1),1,0)+IF(AND(GJ9=1,Slot18_PctLow=1),1,0)+IF(AND(GT9=1,Slot19_PctLow=1),1,0)+IF(AND(HD9=1,Slot20_PctLow=1),1,0)</f>
        <v>0</v>
      </c>
      <c r="UI9" s="1" t="n">
        <f aca="false">IF(C9=1,IF(OR(TU9=1,UH9&gt;0),1,0),0)</f>
        <v>0</v>
      </c>
    </row>
    <row r="10" customFormat="false" ht="15" hidden="false" customHeight="true" outlineLevel="0" collapsed="false">
      <c r="B10" s="1" t="n">
        <v>2</v>
      </c>
      <c r="C10" s="1" t="n">
        <f aca="false">IF(B10&lt;=F_N,1,0)</f>
        <v>1</v>
      </c>
      <c r="D10" s="1" t="n">
        <f aca="false">'Plan pay &amp; tax'!C236</f>
        <v>2</v>
      </c>
      <c r="E10" s="111" t="n">
        <f aca="false">'Plan pay &amp; tax'!E236</f>
        <v>1.0404</v>
      </c>
      <c r="F10" s="1" t="n">
        <f aca="false">'Plan pay &amp; tax'!G236</f>
        <v>1</v>
      </c>
      <c r="G10" s="1" t="n">
        <f aca="false">'Plan pay &amp; tax'!BT236-'Plan pay &amp; tax'!BS236-'Plan pay &amp; tax'!R236</f>
        <v>0</v>
      </c>
      <c r="H10" s="1" t="n">
        <f aca="false">IF(F10=1,F_CostsM*12,IF(RG_Exists=1,RG_Amount,F_CostsM*12*AS_RetireSpend))*E10+F_OneOffY*E10</f>
        <v>0</v>
      </c>
      <c r="I10" s="1" t="n">
        <f aca="false">HQ9</f>
        <v>0</v>
      </c>
      <c r="J10" s="1" t="n">
        <f aca="false">IF(I10&gt;1,'Plan debt months'!AC10,0)</f>
        <v>0</v>
      </c>
      <c r="K10" s="1" t="n">
        <f aca="false">IF(I10&gt;1,'Plan debt months'!AB10,I10)</f>
        <v>0</v>
      </c>
      <c r="L10" s="1" t="n">
        <f aca="false">N9</f>
        <v>0</v>
      </c>
      <c r="M10" s="1" t="n">
        <f aca="false">IF(L10&gt;1,'Plan debt months'!BD10,0)</f>
        <v>0</v>
      </c>
      <c r="N10" s="1" t="n">
        <f aca="false">IF(L10&gt;1,'Plan debt months'!BC10,L10)</f>
        <v>0</v>
      </c>
      <c r="O10" s="1" t="n">
        <f aca="false">Q9</f>
        <v>0</v>
      </c>
      <c r="P10" s="1" t="n">
        <f aca="false">IF(O10&gt;1,'Plan debt months'!CE10,0)</f>
        <v>0</v>
      </c>
      <c r="Q10" s="1" t="n">
        <f aca="false">IF(O10&gt;1,'Plan debt months'!CD10,O10)</f>
        <v>0</v>
      </c>
      <c r="R10" s="1" t="n">
        <f aca="false">J10+M10+P10</f>
        <v>0</v>
      </c>
      <c r="S10" s="1" t="n">
        <f aca="false">QJ9+'Plan pay &amp; tax'!Y236</f>
        <v>0</v>
      </c>
      <c r="T10" s="1" t="n">
        <f aca="false">QJ9</f>
        <v>0</v>
      </c>
      <c r="U10" s="1" t="n">
        <f aca="false">IF(AND(Slot1_On=1,D10=Slot1_Age),1,0)</f>
        <v>0</v>
      </c>
      <c r="V10" s="1" t="n">
        <f aca="false">IF(AND(Slot1_On=1,Slot1_Age&gt;D10),1,0)</f>
        <v>0</v>
      </c>
      <c r="W10" s="1" t="n">
        <f aca="false">QL9</f>
        <v>0</v>
      </c>
      <c r="X10" s="1" t="n">
        <f aca="false">U10*MIN(Slot1_Cost,W10)</f>
        <v>0</v>
      </c>
      <c r="Y10" s="1" t="n">
        <f aca="false">U10*Slot1_SpendLike*MIN(Slot1_Cost-X10,S10)</f>
        <v>0</v>
      </c>
      <c r="Z10" s="1" t="n">
        <f aca="false">X10+Y10</f>
        <v>0</v>
      </c>
      <c r="AA10" s="1" t="n">
        <f aca="false">S10-Y10+U10*IF(Slot1_SpendLike=1,W10-X10,IF(Slot1_PotFree=1,W10,0))</f>
        <v>0</v>
      </c>
      <c r="AB10" s="1" t="n">
        <f aca="false">AE10+U10*Slot1_BufPot*W10</f>
        <v>0</v>
      </c>
      <c r="AC10" s="1" t="n">
        <f aca="false">IF(AND(U10=1,Slot1_IsMfree=1),IF(Z10&gt;=Slot1_Cost-1,0,MAX(0,K10-Z10)),K10)</f>
        <v>0</v>
      </c>
      <c r="AD10" s="1" t="n">
        <f aca="false">U10*(Slot1_Cost-Z10)</f>
        <v>0</v>
      </c>
      <c r="AE10" s="1" t="n">
        <f aca="false">QK9</f>
        <v>0</v>
      </c>
      <c r="AF10" s="1" t="n">
        <f aca="false">IF(AND(Slot2_On=1,D10=Slot2_Age),1,0)</f>
        <v>0</v>
      </c>
      <c r="AG10" s="1" t="n">
        <f aca="false">IF(AND(Slot2_On=1,Slot2_Age&gt;D10),1,0)</f>
        <v>0</v>
      </c>
      <c r="AH10" s="1" t="n">
        <f aca="false">QP9</f>
        <v>0</v>
      </c>
      <c r="AI10" s="1" t="n">
        <f aca="false">AF10*MIN(Slot2_Cost,AH10)</f>
        <v>0</v>
      </c>
      <c r="AJ10" s="1" t="n">
        <f aca="false">AF10*Slot2_SpendLike*MIN(Slot2_Cost-AI10,AA10)</f>
        <v>0</v>
      </c>
      <c r="AK10" s="1" t="n">
        <f aca="false">AI10+AJ10</f>
        <v>0</v>
      </c>
      <c r="AL10" s="1" t="n">
        <f aca="false">AA10-AJ10+AF10*IF(Slot2_SpendLike=1,AH10-AI10,IF(Slot2_PotFree=1,AH10,0))</f>
        <v>0</v>
      </c>
      <c r="AM10" s="1" t="n">
        <f aca="false">AB10+AF10*Slot2_BufPot*AH10</f>
        <v>0</v>
      </c>
      <c r="AN10" s="1" t="n">
        <f aca="false">IF(AND(AF10=1,Slot2_IsMfree=1),IF(AK10&gt;=Slot2_Cost-1,0,MAX(0,AC10-AK10)),AC10)</f>
        <v>0</v>
      </c>
      <c r="AO10" s="1" t="n">
        <f aca="false">AF10*(Slot2_Cost-AK10)</f>
        <v>0</v>
      </c>
      <c r="AP10" s="1" t="n">
        <f aca="false">IF(AND(Slot3_On=1,D10=Slot3_Age),1,0)</f>
        <v>0</v>
      </c>
      <c r="AQ10" s="1" t="n">
        <f aca="false">IF(AND(Slot3_On=1,Slot3_Age&gt;D10),1,0)</f>
        <v>0</v>
      </c>
      <c r="AR10" s="1" t="n">
        <f aca="false">QT9</f>
        <v>0</v>
      </c>
      <c r="AS10" s="1" t="n">
        <f aca="false">AP10*MIN(Slot3_Cost,AR10)</f>
        <v>0</v>
      </c>
      <c r="AT10" s="1" t="n">
        <f aca="false">AP10*Slot3_SpendLike*MIN(Slot3_Cost-AS10,AL10)</f>
        <v>0</v>
      </c>
      <c r="AU10" s="1" t="n">
        <f aca="false">AS10+AT10</f>
        <v>0</v>
      </c>
      <c r="AV10" s="1" t="n">
        <f aca="false">AL10-AT10+AP10*IF(Slot3_SpendLike=1,AR10-AS10,IF(Slot3_PotFree=1,AR10,0))</f>
        <v>0</v>
      </c>
      <c r="AW10" s="1" t="n">
        <f aca="false">AM10+AP10*Slot3_BufPot*AR10</f>
        <v>0</v>
      </c>
      <c r="AX10" s="1" t="n">
        <f aca="false">IF(AND(AP10=1,Slot3_IsMfree=1),IF(AU10&gt;=Slot3_Cost-1,0,MAX(0,AN10-AU10)),AN10)</f>
        <v>0</v>
      </c>
      <c r="AY10" s="1" t="n">
        <f aca="false">AP10*(Slot3_Cost-AU10)</f>
        <v>0</v>
      </c>
      <c r="AZ10" s="1" t="n">
        <f aca="false">IF(AND(Slot4_On=1,D10=Slot4_Age),1,0)</f>
        <v>0</v>
      </c>
      <c r="BA10" s="1" t="n">
        <f aca="false">IF(AND(Slot4_On=1,Slot4_Age&gt;D10),1,0)</f>
        <v>0</v>
      </c>
      <c r="BB10" s="1" t="n">
        <f aca="false">QX9</f>
        <v>0</v>
      </c>
      <c r="BC10" s="1" t="n">
        <f aca="false">AZ10*MIN(Slot4_Cost,BB10)</f>
        <v>0</v>
      </c>
      <c r="BD10" s="1" t="n">
        <f aca="false">AZ10*Slot4_SpendLike*MIN(Slot4_Cost-BC10,AV10)</f>
        <v>0</v>
      </c>
      <c r="BE10" s="1" t="n">
        <f aca="false">BC10+BD10</f>
        <v>0</v>
      </c>
      <c r="BF10" s="1" t="n">
        <f aca="false">AV10-BD10+AZ10*IF(Slot4_SpendLike=1,BB10-BC10,IF(Slot4_PotFree=1,BB10,0))</f>
        <v>0</v>
      </c>
      <c r="BG10" s="1" t="n">
        <f aca="false">AW10+AZ10*Slot4_BufPot*BB10</f>
        <v>0</v>
      </c>
      <c r="BH10" s="1" t="n">
        <f aca="false">IF(AND(AZ10=1,Slot4_IsMfree=1),IF(BE10&gt;=Slot4_Cost-1,0,MAX(0,AX10-BE10)),AX10)</f>
        <v>0</v>
      </c>
      <c r="BI10" s="1" t="n">
        <f aca="false">AZ10*(Slot4_Cost-BE10)</f>
        <v>0</v>
      </c>
      <c r="BJ10" s="1" t="n">
        <f aca="false">IF(AND(Slot5_On=1,D10=Slot5_Age),1,0)</f>
        <v>0</v>
      </c>
      <c r="BK10" s="1" t="n">
        <f aca="false">IF(AND(Slot5_On=1,Slot5_Age&gt;D10),1,0)</f>
        <v>0</v>
      </c>
      <c r="BL10" s="1" t="n">
        <f aca="false">RB9</f>
        <v>0</v>
      </c>
      <c r="BM10" s="1" t="n">
        <f aca="false">BJ10*MIN(Slot5_Cost,BL10)</f>
        <v>0</v>
      </c>
      <c r="BN10" s="1" t="n">
        <f aca="false">BJ10*Slot5_SpendLike*MIN(Slot5_Cost-BM10,BF10)</f>
        <v>0</v>
      </c>
      <c r="BO10" s="1" t="n">
        <f aca="false">BM10+BN10</f>
        <v>0</v>
      </c>
      <c r="BP10" s="1" t="n">
        <f aca="false">BF10-BN10+BJ10*IF(Slot5_SpendLike=1,BL10-BM10,IF(Slot5_PotFree=1,BL10,0))</f>
        <v>0</v>
      </c>
      <c r="BQ10" s="1" t="n">
        <f aca="false">BG10+BJ10*Slot5_BufPot*BL10</f>
        <v>0</v>
      </c>
      <c r="BR10" s="1" t="n">
        <f aca="false">IF(AND(BJ10=1,Slot5_IsMfree=1),IF(BO10&gt;=Slot5_Cost-1,0,MAX(0,BH10-BO10)),BH10)</f>
        <v>0</v>
      </c>
      <c r="BS10" s="1" t="n">
        <f aca="false">BJ10*(Slot5_Cost-BO10)</f>
        <v>0</v>
      </c>
      <c r="BT10" s="1" t="n">
        <f aca="false">IF(AND(Slot6_On=1,D10=Slot6_Age),1,0)</f>
        <v>0</v>
      </c>
      <c r="BU10" s="1" t="n">
        <f aca="false">IF(AND(Slot6_On=1,Slot6_Age&gt;D10),1,0)</f>
        <v>0</v>
      </c>
      <c r="BV10" s="1" t="n">
        <f aca="false">RF9</f>
        <v>0</v>
      </c>
      <c r="BW10" s="1" t="n">
        <f aca="false">BT10*MIN(Slot6_Cost,BV10)</f>
        <v>0</v>
      </c>
      <c r="BX10" s="1" t="n">
        <f aca="false">BT10*Slot6_SpendLike*MIN(Slot6_Cost-BW10,BP10)</f>
        <v>0</v>
      </c>
      <c r="BY10" s="1" t="n">
        <f aca="false">BW10+BX10</f>
        <v>0</v>
      </c>
      <c r="BZ10" s="1" t="n">
        <f aca="false">BP10-BX10+BT10*IF(Slot6_SpendLike=1,BV10-BW10,IF(Slot6_PotFree=1,BV10,0))</f>
        <v>0</v>
      </c>
      <c r="CA10" s="1" t="n">
        <f aca="false">BQ10+BT10*Slot6_BufPot*BV10</f>
        <v>0</v>
      </c>
      <c r="CB10" s="1" t="n">
        <f aca="false">IF(AND(BT10=1,Slot6_IsMfree=1),IF(BY10&gt;=Slot6_Cost-1,0,MAX(0,BR10-BY10)),BR10)</f>
        <v>0</v>
      </c>
      <c r="CC10" s="1" t="n">
        <f aca="false">BT10*(Slot6_Cost-BY10)</f>
        <v>0</v>
      </c>
      <c r="CD10" s="1" t="n">
        <f aca="false">IF(AND(Slot7_On=1,D10=Slot7_Age),1,0)</f>
        <v>0</v>
      </c>
      <c r="CE10" s="1" t="n">
        <f aca="false">IF(AND(Slot7_On=1,Slot7_Age&gt;D10),1,0)</f>
        <v>0</v>
      </c>
      <c r="CF10" s="1" t="n">
        <f aca="false">RJ9</f>
        <v>0</v>
      </c>
      <c r="CG10" s="1" t="n">
        <f aca="false">CD10*MIN(Slot7_Cost,CF10)</f>
        <v>0</v>
      </c>
      <c r="CH10" s="1" t="n">
        <f aca="false">CD10*Slot7_SpendLike*MIN(Slot7_Cost-CG10,BZ10)</f>
        <v>0</v>
      </c>
      <c r="CI10" s="1" t="n">
        <f aca="false">CG10+CH10</f>
        <v>0</v>
      </c>
      <c r="CJ10" s="1" t="n">
        <f aca="false">BZ10-CH10+CD10*IF(Slot7_SpendLike=1,CF10-CG10,IF(Slot7_PotFree=1,CF10,0))</f>
        <v>0</v>
      </c>
      <c r="CK10" s="1" t="n">
        <f aca="false">CA10+CD10*Slot7_BufPot*CF10</f>
        <v>0</v>
      </c>
      <c r="CL10" s="1" t="n">
        <f aca="false">IF(AND(CD10=1,Slot7_IsMfree=1),IF(CI10&gt;=Slot7_Cost-1,0,MAX(0,CB10-CI10)),CB10)</f>
        <v>0</v>
      </c>
      <c r="CM10" s="1" t="n">
        <f aca="false">CD10*(Slot7_Cost-CI10)</f>
        <v>0</v>
      </c>
      <c r="CN10" s="1" t="n">
        <f aca="false">IF(AND(Slot8_On=1,D10=Slot8_Age),1,0)</f>
        <v>0</v>
      </c>
      <c r="CO10" s="1" t="n">
        <f aca="false">IF(AND(Slot8_On=1,Slot8_Age&gt;D10),1,0)</f>
        <v>0</v>
      </c>
      <c r="CP10" s="1" t="n">
        <f aca="false">RN9</f>
        <v>0</v>
      </c>
      <c r="CQ10" s="1" t="n">
        <f aca="false">CN10*MIN(Slot8_Cost,CP10)</f>
        <v>0</v>
      </c>
      <c r="CR10" s="1" t="n">
        <f aca="false">CN10*Slot8_SpendLike*MIN(Slot8_Cost-CQ10,CJ10)</f>
        <v>0</v>
      </c>
      <c r="CS10" s="1" t="n">
        <f aca="false">CQ10+CR10</f>
        <v>0</v>
      </c>
      <c r="CT10" s="1" t="n">
        <f aca="false">CJ10-CR10+CN10*IF(Slot8_SpendLike=1,CP10-CQ10,IF(Slot8_PotFree=1,CP10,0))</f>
        <v>0</v>
      </c>
      <c r="CU10" s="1" t="n">
        <f aca="false">CK10+CN10*Slot8_BufPot*CP10</f>
        <v>0</v>
      </c>
      <c r="CV10" s="1" t="n">
        <f aca="false">IF(AND(CN10=1,Slot8_IsMfree=1),IF(CS10&gt;=Slot8_Cost-1,0,MAX(0,CL10-CS10)),CL10)</f>
        <v>0</v>
      </c>
      <c r="CW10" s="1" t="n">
        <f aca="false">CN10*(Slot8_Cost-CS10)</f>
        <v>0</v>
      </c>
      <c r="CX10" s="1" t="n">
        <f aca="false">IF(AND(Slot9_On=1,D10=Slot9_Age),1,0)</f>
        <v>0</v>
      </c>
      <c r="CY10" s="1" t="n">
        <f aca="false">IF(AND(Slot9_On=1,Slot9_Age&gt;D10),1,0)</f>
        <v>0</v>
      </c>
      <c r="CZ10" s="1" t="n">
        <f aca="false">RR9</f>
        <v>0</v>
      </c>
      <c r="DA10" s="1" t="n">
        <f aca="false">CX10*MIN(Slot9_Cost,CZ10)</f>
        <v>0</v>
      </c>
      <c r="DB10" s="1" t="n">
        <f aca="false">CX10*Slot9_SpendLike*MIN(Slot9_Cost-DA10,CT10)</f>
        <v>0</v>
      </c>
      <c r="DC10" s="1" t="n">
        <f aca="false">DA10+DB10</f>
        <v>0</v>
      </c>
      <c r="DD10" s="1" t="n">
        <f aca="false">CT10-DB10+CX10*IF(Slot9_SpendLike=1,CZ10-DA10,IF(Slot9_PotFree=1,CZ10,0))</f>
        <v>0</v>
      </c>
      <c r="DE10" s="1" t="n">
        <f aca="false">CU10+CX10*Slot9_BufPot*CZ10</f>
        <v>0</v>
      </c>
      <c r="DF10" s="1" t="n">
        <f aca="false">IF(AND(CX10=1,Slot9_IsMfree=1),IF(DC10&gt;=Slot9_Cost-1,0,MAX(0,CV10-DC10)),CV10)</f>
        <v>0</v>
      </c>
      <c r="DG10" s="1" t="n">
        <f aca="false">CX10*(Slot9_Cost-DC10)</f>
        <v>0</v>
      </c>
      <c r="DH10" s="1" t="n">
        <f aca="false">IF(AND(Slot10_On=1,D10=Slot10_Age),1,0)</f>
        <v>0</v>
      </c>
      <c r="DI10" s="1" t="n">
        <f aca="false">IF(AND(Slot10_On=1,Slot10_Age&gt;D10),1,0)</f>
        <v>0</v>
      </c>
      <c r="DJ10" s="1" t="n">
        <f aca="false">RV9</f>
        <v>0</v>
      </c>
      <c r="DK10" s="1" t="n">
        <f aca="false">DH10*MIN(Slot10_Cost,DJ10)</f>
        <v>0</v>
      </c>
      <c r="DL10" s="1" t="n">
        <f aca="false">DH10*Slot10_SpendLike*MIN(Slot10_Cost-DK10,DD10)</f>
        <v>0</v>
      </c>
      <c r="DM10" s="1" t="n">
        <f aca="false">DK10+DL10</f>
        <v>0</v>
      </c>
      <c r="DN10" s="1" t="n">
        <f aca="false">DD10-DL10+DH10*IF(Slot10_SpendLike=1,DJ10-DK10,IF(Slot10_PotFree=1,DJ10,0))</f>
        <v>0</v>
      </c>
      <c r="DO10" s="1" t="n">
        <f aca="false">DE10+DH10*Slot10_BufPot*DJ10</f>
        <v>0</v>
      </c>
      <c r="DP10" s="1" t="n">
        <f aca="false">IF(AND(DH10=1,Slot10_IsMfree=1),IF(DM10&gt;=Slot10_Cost-1,0,MAX(0,DF10-DM10)),DF10)</f>
        <v>0</v>
      </c>
      <c r="DQ10" s="1" t="n">
        <f aca="false">DH10*(Slot10_Cost-DM10)</f>
        <v>0</v>
      </c>
      <c r="DR10" s="1" t="n">
        <f aca="false">IF(AND(Slot11_On=1,D10=Slot11_Age),1,0)</f>
        <v>0</v>
      </c>
      <c r="DS10" s="1" t="n">
        <f aca="false">IF(AND(Slot11_On=1,Slot11_Age&gt;D10),1,0)</f>
        <v>0</v>
      </c>
      <c r="DT10" s="1" t="n">
        <f aca="false">RZ9</f>
        <v>0</v>
      </c>
      <c r="DU10" s="1" t="n">
        <f aca="false">DR10*MIN(Slot11_Cost,DT10)</f>
        <v>0</v>
      </c>
      <c r="DV10" s="1" t="n">
        <f aca="false">DR10*Slot11_SpendLike*MIN(Slot11_Cost-DU10,DN10)</f>
        <v>0</v>
      </c>
      <c r="DW10" s="1" t="n">
        <f aca="false">DU10+DV10</f>
        <v>0</v>
      </c>
      <c r="DX10" s="1" t="n">
        <f aca="false">DN10-DV10+DR10*IF(Slot11_SpendLike=1,DT10-DU10,IF(Slot11_PotFree=1,DT10,0))</f>
        <v>0</v>
      </c>
      <c r="DY10" s="1" t="n">
        <f aca="false">DO10+DR10*Slot11_BufPot*DT10</f>
        <v>0</v>
      </c>
      <c r="DZ10" s="1" t="n">
        <f aca="false">IF(AND(DR10=1,Slot11_IsMfree=1),IF(DW10&gt;=Slot11_Cost-1,0,MAX(0,DP10-DW10)),DP10)</f>
        <v>0</v>
      </c>
      <c r="EA10" s="1" t="n">
        <f aca="false">DR10*(Slot11_Cost-DW10)</f>
        <v>0</v>
      </c>
      <c r="EB10" s="1" t="n">
        <f aca="false">IF(AND(Slot12_On=1,D10=Slot12_Age),1,0)</f>
        <v>0</v>
      </c>
      <c r="EC10" s="1" t="n">
        <f aca="false">IF(AND(Slot12_On=1,Slot12_Age&gt;D10),1,0)</f>
        <v>0</v>
      </c>
      <c r="ED10" s="1" t="n">
        <f aca="false">SD9</f>
        <v>0</v>
      </c>
      <c r="EE10" s="1" t="n">
        <f aca="false">EB10*MIN(Slot12_Cost,ED10)</f>
        <v>0</v>
      </c>
      <c r="EF10" s="1" t="n">
        <f aca="false">EB10*Slot12_SpendLike*MIN(Slot12_Cost-EE10,DX10)</f>
        <v>0</v>
      </c>
      <c r="EG10" s="1" t="n">
        <f aca="false">EE10+EF10</f>
        <v>0</v>
      </c>
      <c r="EH10" s="1" t="n">
        <f aca="false">DX10-EF10+EB10*IF(Slot12_SpendLike=1,ED10-EE10,IF(Slot12_PotFree=1,ED10,0))</f>
        <v>0</v>
      </c>
      <c r="EI10" s="1" t="n">
        <f aca="false">DY10+EB10*Slot12_BufPot*ED10</f>
        <v>0</v>
      </c>
      <c r="EJ10" s="1" t="n">
        <f aca="false">IF(AND(EB10=1,Slot12_IsMfree=1),IF(EG10&gt;=Slot12_Cost-1,0,MAX(0,DZ10-EG10)),DZ10)</f>
        <v>0</v>
      </c>
      <c r="EK10" s="1" t="n">
        <f aca="false">EB10*(Slot12_Cost-EG10)</f>
        <v>0</v>
      </c>
      <c r="EL10" s="1" t="n">
        <f aca="false">IF(AND(Slot13_On=1,D10=Slot13_Age),1,0)</f>
        <v>0</v>
      </c>
      <c r="EM10" s="1" t="n">
        <f aca="false">IF(AND(Slot13_On=1,Slot13_Age&gt;D10),1,0)</f>
        <v>0</v>
      </c>
      <c r="EN10" s="1" t="n">
        <f aca="false">SH9</f>
        <v>0</v>
      </c>
      <c r="EO10" s="1" t="n">
        <f aca="false">EL10*MIN(Slot13_Cost,EN10)</f>
        <v>0</v>
      </c>
      <c r="EP10" s="1" t="n">
        <f aca="false">EL10*Slot13_SpendLike*MIN(Slot13_Cost-EO10,EH10)</f>
        <v>0</v>
      </c>
      <c r="EQ10" s="1" t="n">
        <f aca="false">EO10+EP10</f>
        <v>0</v>
      </c>
      <c r="ER10" s="1" t="n">
        <f aca="false">EH10-EP10+EL10*IF(Slot13_SpendLike=1,EN10-EO10,IF(Slot13_PotFree=1,EN10,0))</f>
        <v>0</v>
      </c>
      <c r="ES10" s="1" t="n">
        <f aca="false">EI10+EL10*Slot13_BufPot*EN10</f>
        <v>0</v>
      </c>
      <c r="ET10" s="1" t="n">
        <f aca="false">IF(AND(EL10=1,Slot13_IsMfree=1),IF(EQ10&gt;=Slot13_Cost-1,0,MAX(0,EJ10-EQ10)),EJ10)</f>
        <v>0</v>
      </c>
      <c r="EU10" s="1" t="n">
        <f aca="false">EL10*(Slot13_Cost-EQ10)</f>
        <v>0</v>
      </c>
      <c r="EV10" s="1" t="n">
        <f aca="false">IF(AND(Slot14_On=1,D10=Slot14_Age),1,0)</f>
        <v>0</v>
      </c>
      <c r="EW10" s="1" t="n">
        <f aca="false">IF(AND(Slot14_On=1,Slot14_Age&gt;D10),1,0)</f>
        <v>0</v>
      </c>
      <c r="EX10" s="1" t="n">
        <f aca="false">SL9</f>
        <v>0</v>
      </c>
      <c r="EY10" s="1" t="n">
        <f aca="false">EV10*MIN(Slot14_Cost,EX10)</f>
        <v>0</v>
      </c>
      <c r="EZ10" s="1" t="n">
        <f aca="false">EV10*Slot14_SpendLike*MIN(Slot14_Cost-EY10,ER10)</f>
        <v>0</v>
      </c>
      <c r="FA10" s="1" t="n">
        <f aca="false">EY10+EZ10</f>
        <v>0</v>
      </c>
      <c r="FB10" s="1" t="n">
        <f aca="false">ER10-EZ10+EV10*IF(Slot14_SpendLike=1,EX10-EY10,IF(Slot14_PotFree=1,EX10,0))</f>
        <v>0</v>
      </c>
      <c r="FC10" s="1" t="n">
        <f aca="false">ES10+EV10*Slot14_BufPot*EX10</f>
        <v>0</v>
      </c>
      <c r="FD10" s="1" t="n">
        <f aca="false">IF(AND(EV10=1,Slot14_IsMfree=1),IF(FA10&gt;=Slot14_Cost-1,0,MAX(0,ET10-FA10)),ET10)</f>
        <v>0</v>
      </c>
      <c r="FE10" s="1" t="n">
        <f aca="false">EV10*(Slot14_Cost-FA10)</f>
        <v>0</v>
      </c>
      <c r="FF10" s="1" t="n">
        <f aca="false">IF(AND(Slot15_On=1,D10=Slot15_Age),1,0)</f>
        <v>0</v>
      </c>
      <c r="FG10" s="1" t="n">
        <f aca="false">IF(AND(Slot15_On=1,Slot15_Age&gt;D10),1,0)</f>
        <v>0</v>
      </c>
      <c r="FH10" s="1" t="n">
        <f aca="false">SP9</f>
        <v>0</v>
      </c>
      <c r="FI10" s="1" t="n">
        <f aca="false">FF10*MIN(Slot15_Cost,FH10)</f>
        <v>0</v>
      </c>
      <c r="FJ10" s="1" t="n">
        <f aca="false">FF10*Slot15_SpendLike*MIN(Slot15_Cost-FI10,FB10)</f>
        <v>0</v>
      </c>
      <c r="FK10" s="1" t="n">
        <f aca="false">FI10+FJ10</f>
        <v>0</v>
      </c>
      <c r="FL10" s="1" t="n">
        <f aca="false">FB10-FJ10+FF10*IF(Slot15_SpendLike=1,FH10-FI10,IF(Slot15_PotFree=1,FH10,0))</f>
        <v>0</v>
      </c>
      <c r="FM10" s="1" t="n">
        <f aca="false">FC10+FF10*Slot15_BufPot*FH10</f>
        <v>0</v>
      </c>
      <c r="FN10" s="1" t="n">
        <f aca="false">IF(AND(FF10=1,Slot15_IsMfree=1),IF(FK10&gt;=Slot15_Cost-1,0,MAX(0,FD10-FK10)),FD10)</f>
        <v>0</v>
      </c>
      <c r="FO10" s="1" t="n">
        <f aca="false">FF10*(Slot15_Cost-FK10)</f>
        <v>0</v>
      </c>
      <c r="FP10" s="1" t="n">
        <f aca="false">IF(AND(Slot16_On=1,D10=Slot16_Age),1,0)</f>
        <v>0</v>
      </c>
      <c r="FQ10" s="1" t="n">
        <f aca="false">IF(AND(Slot16_On=1,Slot16_Age&gt;D10),1,0)</f>
        <v>0</v>
      </c>
      <c r="FR10" s="1" t="n">
        <f aca="false">ST9</f>
        <v>0</v>
      </c>
      <c r="FS10" s="1" t="n">
        <f aca="false">FP10*MIN(Slot16_Cost,FR10)</f>
        <v>0</v>
      </c>
      <c r="FT10" s="1" t="n">
        <f aca="false">FP10*Slot16_SpendLike*MIN(Slot16_Cost-FS10,FL10)</f>
        <v>0</v>
      </c>
      <c r="FU10" s="1" t="n">
        <f aca="false">FS10+FT10</f>
        <v>0</v>
      </c>
      <c r="FV10" s="1" t="n">
        <f aca="false">FL10-FT10+FP10*IF(Slot16_SpendLike=1,FR10-FS10,IF(Slot16_PotFree=1,FR10,0))</f>
        <v>0</v>
      </c>
      <c r="FW10" s="1" t="n">
        <f aca="false">FM10+FP10*Slot16_BufPot*FR10</f>
        <v>0</v>
      </c>
      <c r="FX10" s="1" t="n">
        <f aca="false">IF(AND(FP10=1,Slot16_IsMfree=1),IF(FU10&gt;=Slot16_Cost-1,0,MAX(0,FN10-FU10)),FN10)</f>
        <v>0</v>
      </c>
      <c r="FY10" s="1" t="n">
        <f aca="false">FP10*(Slot16_Cost-FU10)</f>
        <v>0</v>
      </c>
      <c r="FZ10" s="1" t="n">
        <f aca="false">IF(AND(Slot17_On=1,D10=Slot17_Age),1,0)</f>
        <v>0</v>
      </c>
      <c r="GA10" s="1" t="n">
        <f aca="false">IF(AND(Slot17_On=1,Slot17_Age&gt;D10),1,0)</f>
        <v>0</v>
      </c>
      <c r="GB10" s="1" t="n">
        <f aca="false">SX9</f>
        <v>0</v>
      </c>
      <c r="GC10" s="1" t="n">
        <f aca="false">FZ10*MIN(Slot17_Cost,GB10)</f>
        <v>0</v>
      </c>
      <c r="GD10" s="1" t="n">
        <f aca="false">FZ10*Slot17_SpendLike*MIN(Slot17_Cost-GC10,FV10)</f>
        <v>0</v>
      </c>
      <c r="GE10" s="1" t="n">
        <f aca="false">GC10+GD10</f>
        <v>0</v>
      </c>
      <c r="GF10" s="1" t="n">
        <f aca="false">FV10-GD10+FZ10*IF(Slot17_SpendLike=1,GB10-GC10,IF(Slot17_PotFree=1,GB10,0))</f>
        <v>0</v>
      </c>
      <c r="GG10" s="1" t="n">
        <f aca="false">FW10+FZ10*Slot17_BufPot*GB10</f>
        <v>0</v>
      </c>
      <c r="GH10" s="1" t="n">
        <f aca="false">IF(AND(FZ10=1,Slot17_IsMfree=1),IF(GE10&gt;=Slot17_Cost-1,0,MAX(0,FX10-GE10)),FX10)</f>
        <v>0</v>
      </c>
      <c r="GI10" s="1" t="n">
        <f aca="false">FZ10*(Slot17_Cost-GE10)</f>
        <v>0</v>
      </c>
      <c r="GJ10" s="1" t="n">
        <f aca="false">IF(AND(Slot18_On=1,D10=Slot18_Age),1,0)</f>
        <v>0</v>
      </c>
      <c r="GK10" s="1" t="n">
        <f aca="false">IF(AND(Slot18_On=1,Slot18_Age&gt;D10),1,0)</f>
        <v>0</v>
      </c>
      <c r="GL10" s="1" t="n">
        <f aca="false">TB9</f>
        <v>0</v>
      </c>
      <c r="GM10" s="1" t="n">
        <f aca="false">GJ10*MIN(Slot18_Cost,GL10)</f>
        <v>0</v>
      </c>
      <c r="GN10" s="1" t="n">
        <f aca="false">GJ10*Slot18_SpendLike*MIN(Slot18_Cost-GM10,GF10)</f>
        <v>0</v>
      </c>
      <c r="GO10" s="1" t="n">
        <f aca="false">GM10+GN10</f>
        <v>0</v>
      </c>
      <c r="GP10" s="1" t="n">
        <f aca="false">GF10-GN10+GJ10*IF(Slot18_SpendLike=1,GL10-GM10,IF(Slot18_PotFree=1,GL10,0))</f>
        <v>0</v>
      </c>
      <c r="GQ10" s="1" t="n">
        <f aca="false">GG10+GJ10*Slot18_BufPot*GL10</f>
        <v>0</v>
      </c>
      <c r="GR10" s="1" t="n">
        <f aca="false">IF(AND(GJ10=1,Slot18_IsMfree=1),IF(GO10&gt;=Slot18_Cost-1,0,MAX(0,GH10-GO10)),GH10)</f>
        <v>0</v>
      </c>
      <c r="GS10" s="1" t="n">
        <f aca="false">GJ10*(Slot18_Cost-GO10)</f>
        <v>0</v>
      </c>
      <c r="GT10" s="1" t="n">
        <f aca="false">IF(AND(Slot19_On=1,D10=Slot19_Age),1,0)</f>
        <v>0</v>
      </c>
      <c r="GU10" s="1" t="n">
        <f aca="false">IF(AND(Slot19_On=1,Slot19_Age&gt;D10),1,0)</f>
        <v>0</v>
      </c>
      <c r="GV10" s="1" t="n">
        <f aca="false">TF9</f>
        <v>0</v>
      </c>
      <c r="GW10" s="1" t="n">
        <f aca="false">GT10*MIN(Slot19_Cost,GV10)</f>
        <v>0</v>
      </c>
      <c r="GX10" s="1" t="n">
        <f aca="false">GT10*Slot19_SpendLike*MIN(Slot19_Cost-GW10,GP10)</f>
        <v>0</v>
      </c>
      <c r="GY10" s="1" t="n">
        <f aca="false">GW10+GX10</f>
        <v>0</v>
      </c>
      <c r="GZ10" s="1" t="n">
        <f aca="false">GP10-GX10+GT10*IF(Slot19_SpendLike=1,GV10-GW10,IF(Slot19_PotFree=1,GV10,0))</f>
        <v>0</v>
      </c>
      <c r="HA10" s="1" t="n">
        <f aca="false">GQ10+GT10*Slot19_BufPot*GV10</f>
        <v>0</v>
      </c>
      <c r="HB10" s="1" t="n">
        <f aca="false">IF(AND(GT10=1,Slot19_IsMfree=1),IF(GY10&gt;=Slot19_Cost-1,0,MAX(0,GR10-GY10)),GR10)</f>
        <v>0</v>
      </c>
      <c r="HC10" s="1" t="n">
        <f aca="false">GT10*(Slot19_Cost-GY10)</f>
        <v>0</v>
      </c>
      <c r="HD10" s="1" t="n">
        <f aca="false">IF(AND(Slot20_On=1,D10=Slot20_Age),1,0)</f>
        <v>0</v>
      </c>
      <c r="HE10" s="1" t="n">
        <f aca="false">IF(AND(Slot20_On=1,Slot20_Age&gt;D10),1,0)</f>
        <v>0</v>
      </c>
      <c r="HF10" s="1" t="n">
        <f aca="false">TJ9</f>
        <v>0</v>
      </c>
      <c r="HG10" s="1" t="n">
        <f aca="false">HD10*MIN(Slot20_Cost,HF10)</f>
        <v>0</v>
      </c>
      <c r="HH10" s="1" t="n">
        <f aca="false">HD10*Slot20_SpendLike*MIN(Slot20_Cost-HG10,GZ10)</f>
        <v>0</v>
      </c>
      <c r="HI10" s="1" t="n">
        <f aca="false">HG10+HH10</f>
        <v>0</v>
      </c>
      <c r="HJ10" s="1" t="n">
        <f aca="false">GZ10-HH10+HD10*IF(Slot20_SpendLike=1,HF10-HG10,IF(Slot20_PotFree=1,HF10,0))</f>
        <v>0</v>
      </c>
      <c r="HK10" s="1" t="n">
        <f aca="false">HA10+HD10*Slot20_BufPot*HF10</f>
        <v>0</v>
      </c>
      <c r="HL10" s="1" t="n">
        <f aca="false">IF(AND(HD10=1,Slot20_IsMfree=1),IF(HI10&gt;=Slot20_Cost-1,0,MAX(0,HB10-HI10)),HB10)</f>
        <v>0</v>
      </c>
      <c r="HM10" s="1" t="n">
        <f aca="false">HD10*(Slot20_Cost-HI10)</f>
        <v>0</v>
      </c>
      <c r="HN10" s="1" t="n">
        <f aca="false">U10*Slot1_SpendLike*Z10+AF10*Slot2_SpendLike*AK10+AP10*Slot3_SpendLike*AU10+AZ10*Slot4_SpendLike*BE10+BJ10*Slot5_SpendLike*BO10+BT10*Slot6_SpendLike*BY10+CD10*Slot7_SpendLike*CI10+CN10*Slot8_SpendLike*CS10+CX10*Slot9_SpendLike*DC10+DH10*Slot10_SpendLike*DM10+DR10*Slot11_SpendLike*DW10+EB10*Slot12_SpendLike*EG10+EL10*Slot13_SpendLike*EQ10+EV10*Slot14_SpendLike*FA10+FF10*Slot15_SpendLike*FK10+FP10*Slot16_SpendLike*FU10+FZ10*Slot17_SpendLike*GE10+GJ10*Slot18_SpendLike*GO10+GT10*Slot19_SpendLike*GY10+HD10*Slot20_SpendLike*HI10</f>
        <v>0</v>
      </c>
      <c r="HO10" s="1" t="n">
        <f aca="false">AD10+AO10+AY10+BI10+BS10+CC10+CM10+CW10+DG10+DQ10+EA10+EK10+EU10+FE10+FO10+FY10+GI10+GS10+HC10+HM10</f>
        <v>0</v>
      </c>
      <c r="HP10" s="1" t="n">
        <f aca="false">U10*Slot1_Cost+AF10*Slot2_Cost+AP10*Slot3_Cost+AZ10*Slot4_Cost+BJ10*Slot5_Cost+BT10*Slot6_Cost+CD10*Slot7_Cost+CN10*Slot8_Cost+CX10*Slot9_Cost+DH10*Slot10_Cost+DR10*Slot11_Cost+EB10*Slot12_Cost+EL10*Slot13_Cost+EV10*Slot14_Cost+FF10*Slot15_Cost+FP10*Slot16_Cost+FZ10*Slot17_Cost+GJ10*Slot18_Cost+GT10*Slot19_Cost+HD10*Slot20_Cost</f>
        <v>0</v>
      </c>
      <c r="HQ10" s="1" t="n">
        <f aca="false">HL10</f>
        <v>0</v>
      </c>
      <c r="HR10" s="1" t="n">
        <f aca="false">G10-H10-R10</f>
        <v>0</v>
      </c>
      <c r="HS10" s="1" t="n">
        <f aca="false">IF(B10=0,IF(AND(Has_q6=1,In_q6=4),PR_ShareVaries*(MAX(0,HR10)/12),MIN(IF(Has_q6=1,CHOOSE(In_q6+1,PR_SaveB1,PR_SaveB2,PR_SaveB3,PR_SaveB4,0),AS_NoAnswer),AS_SaveShare*(MAX(0,HR10)/12))),HS9)</f>
        <v>0</v>
      </c>
      <c r="HT10" s="1" t="n">
        <f aca="false">IF(HR10&gt;=0,1,0)</f>
        <v>1</v>
      </c>
      <c r="HU10" s="1" t="n">
        <f aca="false">MAX(0,HR10/12/E10)</f>
        <v>0</v>
      </c>
      <c r="HV10" s="1" t="n">
        <f aca="false">IF(AND(Has_q6=1,In_q6=4),PR_ShareVaries*(HU10),MIN(IF(Has_q6=1,CHOOSE(In_q6+1,PR_SaveB1,PR_SaveB2,PR_SaveB3,PR_SaveB4,0),AS_NoAnswer),AS_SaveShare*(HU10)))</f>
        <v>0</v>
      </c>
      <c r="HW10" s="1" t="n">
        <f aca="false">IF(Has_saveM=1,IF(In_saveUp="Yes",1,IF(In_saveUp="No",0,IF(In_saveM&gt;=HS10-0.5,1,0))),0)</f>
        <v>0</v>
      </c>
      <c r="HX10" s="1" t="n">
        <f aca="false">IF(Has_saveM=1,MIN(HU10,IF(HW10=1,MAX(In_saveM,HV10),MIN(In_saveM,HV10))),HV10)</f>
        <v>0</v>
      </c>
      <c r="HY10" s="1" t="n">
        <f aca="false">IF(F10=1,HX10*12*E10,0)</f>
        <v>0</v>
      </c>
      <c r="HZ10" s="1" t="n">
        <f aca="false">MAX(0,HY10+IF(AND(WI_Retire=0,WI_M&lt;0,F10=1),WI_M*12*E10,0))</f>
        <v>0</v>
      </c>
      <c r="IA10" s="1" t="n">
        <f aca="false">Slot1_IsWG*V10+Slot2_IsWG*AG10+Slot3_IsWG*AQ10+Slot4_IsWG*BA10+Slot5_IsWG*BK10+Slot6_IsWG*BU10+Slot7_IsWG*CE10+Slot8_IsWG*CO10+Slot9_IsWG*CY10+Slot10_IsWG*DI10+Slot11_IsWG*DS10+Slot12_IsWG*EC10+Slot13_IsWG*EM10+Slot14_IsWG*EW10+Slot15_IsWG*FG10+Slot16_IsWG*FQ10+Slot17_IsWG*GA10+Slot18_IsWG*GK10+Slot19_IsWG*GU10+Slot20_IsWG*HE10</f>
        <v>0</v>
      </c>
      <c r="IB10" s="1" t="n">
        <f aca="false">IF(AND(WI_Retire=0,WI_M&gt;0,F10=1,IA10&gt;=1),WI_M*12*E10,0)</f>
        <v>0</v>
      </c>
      <c r="IC10" s="1" t="n">
        <f aca="false">IF(HT10=1,MIN(HZ10,HR10),0)</f>
        <v>0</v>
      </c>
      <c r="ID10" s="1" t="n">
        <f aca="false">IF(HT10=1,MIN(IB10,HR10-IC10),0)</f>
        <v>0</v>
      </c>
      <c r="IE10" s="1" t="n">
        <f aca="false">IF(V10=1,IF(ABS((1+AS_Wage)/(1+Slot1_Rate)-1)&lt;0.000000000001,(Slot1_Age-D10)*(1+Slot1_Rate)^(Slot1_Age-D10),(1+Slot1_Rate)^(Slot1_Age-D10)*(1-((1+AS_Wage)/(1+Slot1_Rate))^(Slot1_Age-D10))/(1-(1+AS_Wage)/(1+Slot1_Rate))),1)</f>
        <v>1</v>
      </c>
      <c r="IF10" s="1" t="n">
        <f aca="false">IF(AND(HT10=1,ID10&gt;0,Slot1_IsWG=1,V10=1),MAX(0,(Slot1_Cost-W10*(1+Slot1_Rate)^(Slot1_Age-D10))/IE10),0)</f>
        <v>0</v>
      </c>
      <c r="IG10" s="1" t="n">
        <f aca="false">IF(AND(HT10=1,ID10&gt;0,Slot1_IsWG=1,V10=1),MIN(ID10,IF10),0)</f>
        <v>0</v>
      </c>
      <c r="IH10" s="1" t="n">
        <f aca="false">W10+IG10</f>
        <v>0</v>
      </c>
      <c r="II10" s="1" t="n">
        <f aca="false">IF(V10=1,MAX(0,(Slot1_Cost-IH10*(1+Slot1_Rate)^(Slot1_Age-D10))/IE10),0)</f>
        <v>0</v>
      </c>
      <c r="IJ10" s="1" t="n">
        <f aca="false">IF(V10=1,MAX(0,(Slot1_Cost-W10*(1+Slot1_Rate)^(Slot1_Age-D10))/IE10),0)</f>
        <v>0</v>
      </c>
      <c r="IK10" s="1" t="n">
        <f aca="false">IF(AND(HT10=1,V10=1),MIN(IC10,II10),0)</f>
        <v>0</v>
      </c>
      <c r="IL10" s="1" t="n">
        <f aca="false">IC10-IK10</f>
        <v>0</v>
      </c>
      <c r="IM10" s="1" t="n">
        <f aca="false">IF(AG10=1,IF(ABS((1+AS_Wage)/(1+Slot2_Rate)-1)&lt;0.000000000001,(Slot2_Age-D10)*(1+Slot2_Rate)^(Slot2_Age-D10),(1+Slot2_Rate)^(Slot2_Age-D10)*(1-((1+AS_Wage)/(1+Slot2_Rate))^(Slot2_Age-D10))/(1-(1+AS_Wage)/(1+Slot2_Rate))),1)</f>
        <v>1</v>
      </c>
      <c r="IN10" s="1" t="n">
        <f aca="false">IF(AND(HT10=1,ID10&gt;0,Slot2_IsWG=1,AG10=1),MAX(0,(Slot2_Cost-AH10*(1+Slot2_Rate)^(Slot2_Age-D10))/IM10),0)</f>
        <v>0</v>
      </c>
      <c r="IO10" s="1" t="n">
        <f aca="false">IF(AND(HT10=1,ID10&gt;0,Slot2_IsWG=1,AG10=1),MIN(ID10,IN10),0)</f>
        <v>0</v>
      </c>
      <c r="IP10" s="1" t="n">
        <f aca="false">AH10+IO10</f>
        <v>0</v>
      </c>
      <c r="IQ10" s="1" t="n">
        <f aca="false">IF(AG10=1,MAX(0,(Slot2_Cost-IP10*(1+Slot2_Rate)^(Slot2_Age-D10))/IM10),0)</f>
        <v>0</v>
      </c>
      <c r="IR10" s="1" t="n">
        <f aca="false">IF(AG10=1,MAX(0,(Slot2_Cost-AH10*(1+Slot2_Rate)^(Slot2_Age-D10))/IM10),0)</f>
        <v>0</v>
      </c>
      <c r="IS10" s="1" t="n">
        <f aca="false">IF(AND(HT10=1,AG10=1),MIN(IL10,IQ10),0)</f>
        <v>0</v>
      </c>
      <c r="IT10" s="1" t="n">
        <f aca="false">IL10-IS10</f>
        <v>0</v>
      </c>
      <c r="IU10" s="1" t="n">
        <f aca="false">IF(AQ10=1,IF(ABS((1+AS_Wage)/(1+Slot3_Rate)-1)&lt;0.000000000001,(Slot3_Age-D10)*(1+Slot3_Rate)^(Slot3_Age-D10),(1+Slot3_Rate)^(Slot3_Age-D10)*(1-((1+AS_Wage)/(1+Slot3_Rate))^(Slot3_Age-D10))/(1-(1+AS_Wage)/(1+Slot3_Rate))),1)</f>
        <v>1</v>
      </c>
      <c r="IV10" s="1" t="n">
        <f aca="false">IF(AND(HT10=1,ID10&gt;0,Slot3_IsWG=1,AQ10=1),MAX(0,(Slot3_Cost-AR10*(1+Slot3_Rate)^(Slot3_Age-D10))/IU10),0)</f>
        <v>0</v>
      </c>
      <c r="IW10" s="1" t="n">
        <f aca="false">IF(AND(HT10=1,ID10&gt;0,Slot3_IsWG=1,AQ10=1),MIN(ID10,IV10),0)</f>
        <v>0</v>
      </c>
      <c r="IX10" s="1" t="n">
        <f aca="false">AR10+IW10</f>
        <v>0</v>
      </c>
      <c r="IY10" s="1" t="n">
        <f aca="false">IF(AQ10=1,MAX(0,(Slot3_Cost-IX10*(1+Slot3_Rate)^(Slot3_Age-D10))/IU10),0)</f>
        <v>0</v>
      </c>
      <c r="IZ10" s="1" t="n">
        <f aca="false">IF(AQ10=1,MAX(0,(Slot3_Cost-AR10*(1+Slot3_Rate)^(Slot3_Age-D10))/IU10),0)</f>
        <v>0</v>
      </c>
      <c r="JA10" s="1" t="n">
        <f aca="false">IF(AND(HT10=1,AQ10=1),MIN(IT10,IY10),0)</f>
        <v>0</v>
      </c>
      <c r="JB10" s="1" t="n">
        <f aca="false">IT10-JA10</f>
        <v>0</v>
      </c>
      <c r="JC10" s="1" t="n">
        <f aca="false">IF(BA10=1,IF(ABS((1+AS_Wage)/(1+Slot4_Rate)-1)&lt;0.000000000001,(Slot4_Age-D10)*(1+Slot4_Rate)^(Slot4_Age-D10),(1+Slot4_Rate)^(Slot4_Age-D10)*(1-((1+AS_Wage)/(1+Slot4_Rate))^(Slot4_Age-D10))/(1-(1+AS_Wage)/(1+Slot4_Rate))),1)</f>
        <v>1</v>
      </c>
      <c r="JD10" s="1" t="n">
        <f aca="false">IF(AND(HT10=1,ID10&gt;0,Slot4_IsWG=1,BA10=1),MAX(0,(Slot4_Cost-BB10*(1+Slot4_Rate)^(Slot4_Age-D10))/JC10),0)</f>
        <v>0</v>
      </c>
      <c r="JE10" s="1" t="n">
        <f aca="false">IF(AND(HT10=1,ID10&gt;0,Slot4_IsWG=1,BA10=1),MIN(ID10,JD10),0)</f>
        <v>0</v>
      </c>
      <c r="JF10" s="1" t="n">
        <f aca="false">BB10+JE10</f>
        <v>0</v>
      </c>
      <c r="JG10" s="1" t="n">
        <f aca="false">IF(BA10=1,MAX(0,(Slot4_Cost-JF10*(1+Slot4_Rate)^(Slot4_Age-D10))/JC10),0)</f>
        <v>0</v>
      </c>
      <c r="JH10" s="1" t="n">
        <f aca="false">IF(BA10=1,MAX(0,(Slot4_Cost-BB10*(1+Slot4_Rate)^(Slot4_Age-D10))/JC10),0)</f>
        <v>0</v>
      </c>
      <c r="JI10" s="1" t="n">
        <f aca="false">IF(AND(HT10=1,BA10=1),MIN(JB10,JG10),0)</f>
        <v>0</v>
      </c>
      <c r="JJ10" s="1" t="n">
        <f aca="false">JB10-JI10</f>
        <v>0</v>
      </c>
      <c r="JK10" s="1" t="n">
        <f aca="false">IF(BK10=1,IF(ABS((1+AS_Wage)/(1+Slot5_Rate)-1)&lt;0.000000000001,(Slot5_Age-D10)*(1+Slot5_Rate)^(Slot5_Age-D10),(1+Slot5_Rate)^(Slot5_Age-D10)*(1-((1+AS_Wage)/(1+Slot5_Rate))^(Slot5_Age-D10))/(1-(1+AS_Wage)/(1+Slot5_Rate))),1)</f>
        <v>1</v>
      </c>
      <c r="JL10" s="1" t="n">
        <f aca="false">IF(AND(HT10=1,ID10&gt;0,Slot5_IsWG=1,BK10=1),MAX(0,(Slot5_Cost-BL10*(1+Slot5_Rate)^(Slot5_Age-D10))/JK10),0)</f>
        <v>0</v>
      </c>
      <c r="JM10" s="1" t="n">
        <f aca="false">IF(AND(HT10=1,ID10&gt;0,Slot5_IsWG=1,BK10=1),MIN(ID10,JL10),0)</f>
        <v>0</v>
      </c>
      <c r="JN10" s="1" t="n">
        <f aca="false">BL10+JM10</f>
        <v>0</v>
      </c>
      <c r="JO10" s="1" t="n">
        <f aca="false">IF(BK10=1,MAX(0,(Slot5_Cost-JN10*(1+Slot5_Rate)^(Slot5_Age-D10))/JK10),0)</f>
        <v>0</v>
      </c>
      <c r="JP10" s="1" t="n">
        <f aca="false">IF(BK10=1,MAX(0,(Slot5_Cost-BL10*(1+Slot5_Rate)^(Slot5_Age-D10))/JK10),0)</f>
        <v>0</v>
      </c>
      <c r="JQ10" s="1" t="n">
        <f aca="false">IF(AND(HT10=1,BK10=1),MIN(JJ10,JO10),0)</f>
        <v>0</v>
      </c>
      <c r="JR10" s="1" t="n">
        <f aca="false">JJ10-JQ10</f>
        <v>0</v>
      </c>
      <c r="JS10" s="1" t="n">
        <f aca="false">IF(BU10=1,IF(ABS((1+AS_Wage)/(1+Slot6_Rate)-1)&lt;0.000000000001,(Slot6_Age-D10)*(1+Slot6_Rate)^(Slot6_Age-D10),(1+Slot6_Rate)^(Slot6_Age-D10)*(1-((1+AS_Wage)/(1+Slot6_Rate))^(Slot6_Age-D10))/(1-(1+AS_Wage)/(1+Slot6_Rate))),1)</f>
        <v>1</v>
      </c>
      <c r="JT10" s="1" t="n">
        <f aca="false">IF(AND(HT10=1,ID10&gt;0,Slot6_IsWG=1,BU10=1),MAX(0,(Slot6_Cost-BV10*(1+Slot6_Rate)^(Slot6_Age-D10))/JS10),0)</f>
        <v>0</v>
      </c>
      <c r="JU10" s="1" t="n">
        <f aca="false">IF(AND(HT10=1,ID10&gt;0,Slot6_IsWG=1,BU10=1),MIN(ID10,JT10),0)</f>
        <v>0</v>
      </c>
      <c r="JV10" s="1" t="n">
        <f aca="false">BV10+JU10</f>
        <v>0</v>
      </c>
      <c r="JW10" s="1" t="n">
        <f aca="false">IF(BU10=1,MAX(0,(Slot6_Cost-JV10*(1+Slot6_Rate)^(Slot6_Age-D10))/JS10),0)</f>
        <v>0</v>
      </c>
      <c r="JX10" s="1" t="n">
        <f aca="false">IF(BU10=1,MAX(0,(Slot6_Cost-BV10*(1+Slot6_Rate)^(Slot6_Age-D10))/JS10),0)</f>
        <v>0</v>
      </c>
      <c r="JY10" s="1" t="n">
        <f aca="false">IF(AND(HT10=1,BU10=1),MIN(JR10,JW10),0)</f>
        <v>0</v>
      </c>
      <c r="JZ10" s="1" t="n">
        <f aca="false">JR10-JY10</f>
        <v>0</v>
      </c>
      <c r="KA10" s="1" t="n">
        <f aca="false">IF(CE10=1,IF(ABS((1+AS_Wage)/(1+Slot7_Rate)-1)&lt;0.000000000001,(Slot7_Age-D10)*(1+Slot7_Rate)^(Slot7_Age-D10),(1+Slot7_Rate)^(Slot7_Age-D10)*(1-((1+AS_Wage)/(1+Slot7_Rate))^(Slot7_Age-D10))/(1-(1+AS_Wage)/(1+Slot7_Rate))),1)</f>
        <v>1</v>
      </c>
      <c r="KB10" s="1" t="n">
        <f aca="false">IF(AND(HT10=1,ID10&gt;0,Slot7_IsWG=1,CE10=1),MAX(0,(Slot7_Cost-CF10*(1+Slot7_Rate)^(Slot7_Age-D10))/KA10),0)</f>
        <v>0</v>
      </c>
      <c r="KC10" s="1" t="n">
        <f aca="false">IF(AND(HT10=1,ID10&gt;0,Slot7_IsWG=1,CE10=1),MIN(ID10,KB10),0)</f>
        <v>0</v>
      </c>
      <c r="KD10" s="1" t="n">
        <f aca="false">CF10+KC10</f>
        <v>0</v>
      </c>
      <c r="KE10" s="1" t="n">
        <f aca="false">IF(CE10=1,MAX(0,(Slot7_Cost-KD10*(1+Slot7_Rate)^(Slot7_Age-D10))/KA10),0)</f>
        <v>0</v>
      </c>
      <c r="KF10" s="1" t="n">
        <f aca="false">IF(CE10=1,MAX(0,(Slot7_Cost-CF10*(1+Slot7_Rate)^(Slot7_Age-D10))/KA10),0)</f>
        <v>0</v>
      </c>
      <c r="KG10" s="1" t="n">
        <f aca="false">IF(AND(HT10=1,CE10=1),MIN(JZ10,KE10),0)</f>
        <v>0</v>
      </c>
      <c r="KH10" s="1" t="n">
        <f aca="false">JZ10-KG10</f>
        <v>0</v>
      </c>
      <c r="KI10" s="1" t="n">
        <f aca="false">IF(CO10=1,IF(ABS((1+AS_Wage)/(1+Slot8_Rate)-1)&lt;0.000000000001,(Slot8_Age-D10)*(1+Slot8_Rate)^(Slot8_Age-D10),(1+Slot8_Rate)^(Slot8_Age-D10)*(1-((1+AS_Wage)/(1+Slot8_Rate))^(Slot8_Age-D10))/(1-(1+AS_Wage)/(1+Slot8_Rate))),1)</f>
        <v>1</v>
      </c>
      <c r="KJ10" s="1" t="n">
        <f aca="false">IF(AND(HT10=1,ID10&gt;0,Slot8_IsWG=1,CO10=1),MAX(0,(Slot8_Cost-CP10*(1+Slot8_Rate)^(Slot8_Age-D10))/KI10),0)</f>
        <v>0</v>
      </c>
      <c r="KK10" s="1" t="n">
        <f aca="false">IF(AND(HT10=1,ID10&gt;0,Slot8_IsWG=1,CO10=1),MIN(ID10,KJ10),0)</f>
        <v>0</v>
      </c>
      <c r="KL10" s="1" t="n">
        <f aca="false">CP10+KK10</f>
        <v>0</v>
      </c>
      <c r="KM10" s="1" t="n">
        <f aca="false">IF(CO10=1,MAX(0,(Slot8_Cost-KL10*(1+Slot8_Rate)^(Slot8_Age-D10))/KI10),0)</f>
        <v>0</v>
      </c>
      <c r="KN10" s="1" t="n">
        <f aca="false">IF(CO10=1,MAX(0,(Slot8_Cost-CP10*(1+Slot8_Rate)^(Slot8_Age-D10))/KI10),0)</f>
        <v>0</v>
      </c>
      <c r="KO10" s="1" t="n">
        <f aca="false">IF(AND(HT10=1,CO10=1),MIN(KH10,KM10),0)</f>
        <v>0</v>
      </c>
      <c r="KP10" s="1" t="n">
        <f aca="false">KH10-KO10</f>
        <v>0</v>
      </c>
      <c r="KQ10" s="1" t="n">
        <f aca="false">IF(CY10=1,IF(ABS((1+AS_Wage)/(1+Slot9_Rate)-1)&lt;0.000000000001,(Slot9_Age-D10)*(1+Slot9_Rate)^(Slot9_Age-D10),(1+Slot9_Rate)^(Slot9_Age-D10)*(1-((1+AS_Wage)/(1+Slot9_Rate))^(Slot9_Age-D10))/(1-(1+AS_Wage)/(1+Slot9_Rate))),1)</f>
        <v>1</v>
      </c>
      <c r="KR10" s="1" t="n">
        <f aca="false">IF(AND(HT10=1,ID10&gt;0,Slot9_IsWG=1,CY10=1),MAX(0,(Slot9_Cost-CZ10*(1+Slot9_Rate)^(Slot9_Age-D10))/KQ10),0)</f>
        <v>0</v>
      </c>
      <c r="KS10" s="1" t="n">
        <f aca="false">IF(AND(HT10=1,ID10&gt;0,Slot9_IsWG=1,CY10=1),MIN(ID10,KR10),0)</f>
        <v>0</v>
      </c>
      <c r="KT10" s="1" t="n">
        <f aca="false">CZ10+KS10</f>
        <v>0</v>
      </c>
      <c r="KU10" s="1" t="n">
        <f aca="false">IF(CY10=1,MAX(0,(Slot9_Cost-KT10*(1+Slot9_Rate)^(Slot9_Age-D10))/KQ10),0)</f>
        <v>0</v>
      </c>
      <c r="KV10" s="1" t="n">
        <f aca="false">IF(CY10=1,MAX(0,(Slot9_Cost-CZ10*(1+Slot9_Rate)^(Slot9_Age-D10))/KQ10),0)</f>
        <v>0</v>
      </c>
      <c r="KW10" s="1" t="n">
        <f aca="false">IF(AND(HT10=1,CY10=1),MIN(KP10,KU10),0)</f>
        <v>0</v>
      </c>
      <c r="KX10" s="1" t="n">
        <f aca="false">KP10-KW10</f>
        <v>0</v>
      </c>
      <c r="KY10" s="1" t="n">
        <f aca="false">IF(DI10=1,IF(ABS((1+AS_Wage)/(1+Slot10_Rate)-1)&lt;0.000000000001,(Slot10_Age-D10)*(1+Slot10_Rate)^(Slot10_Age-D10),(1+Slot10_Rate)^(Slot10_Age-D10)*(1-((1+AS_Wage)/(1+Slot10_Rate))^(Slot10_Age-D10))/(1-(1+AS_Wage)/(1+Slot10_Rate))),1)</f>
        <v>1</v>
      </c>
      <c r="KZ10" s="1" t="n">
        <f aca="false">IF(AND(HT10=1,ID10&gt;0,Slot10_IsWG=1,DI10=1),MAX(0,(Slot10_Cost-DJ10*(1+Slot10_Rate)^(Slot10_Age-D10))/KY10),0)</f>
        <v>0</v>
      </c>
      <c r="LA10" s="1" t="n">
        <f aca="false">IF(AND(HT10=1,ID10&gt;0,Slot10_IsWG=1,DI10=1),MIN(ID10,KZ10),0)</f>
        <v>0</v>
      </c>
      <c r="LB10" s="1" t="n">
        <f aca="false">DJ10+LA10</f>
        <v>0</v>
      </c>
      <c r="LC10" s="1" t="n">
        <f aca="false">IF(DI10=1,MAX(0,(Slot10_Cost-LB10*(1+Slot10_Rate)^(Slot10_Age-D10))/KY10),0)</f>
        <v>0</v>
      </c>
      <c r="LD10" s="1" t="n">
        <f aca="false">IF(DI10=1,MAX(0,(Slot10_Cost-DJ10*(1+Slot10_Rate)^(Slot10_Age-D10))/KY10),0)</f>
        <v>0</v>
      </c>
      <c r="LE10" s="1" t="n">
        <f aca="false">IF(AND(HT10=1,DI10=1),MIN(KX10,LC10),0)</f>
        <v>0</v>
      </c>
      <c r="LF10" s="1" t="n">
        <f aca="false">KX10-LE10</f>
        <v>0</v>
      </c>
      <c r="LG10" s="1" t="n">
        <f aca="false">IF(DS10=1,IF(ABS((1+AS_Wage)/(1+Slot11_Rate)-1)&lt;0.000000000001,(Slot11_Age-D10)*(1+Slot11_Rate)^(Slot11_Age-D10),(1+Slot11_Rate)^(Slot11_Age-D10)*(1-((1+AS_Wage)/(1+Slot11_Rate))^(Slot11_Age-D10))/(1-(1+AS_Wage)/(1+Slot11_Rate))),1)</f>
        <v>1</v>
      </c>
      <c r="LH10" s="1" t="n">
        <f aca="false">IF(AND(HT10=1,ID10&gt;0,Slot11_IsWG=1,DS10=1),MAX(0,(Slot11_Cost-DT10*(1+Slot11_Rate)^(Slot11_Age-D10))/LG10),0)</f>
        <v>0</v>
      </c>
      <c r="LI10" s="1" t="n">
        <f aca="false">IF(AND(HT10=1,ID10&gt;0,Slot11_IsWG=1,DS10=1),MIN(ID10,LH10),0)</f>
        <v>0</v>
      </c>
      <c r="LJ10" s="1" t="n">
        <f aca="false">DT10+LI10</f>
        <v>0</v>
      </c>
      <c r="LK10" s="1" t="n">
        <f aca="false">IF(DS10=1,MAX(0,(Slot11_Cost-LJ10*(1+Slot11_Rate)^(Slot11_Age-D10))/LG10),0)</f>
        <v>0</v>
      </c>
      <c r="LL10" s="1" t="n">
        <f aca="false">IF(DS10=1,MAX(0,(Slot11_Cost-DT10*(1+Slot11_Rate)^(Slot11_Age-D10))/LG10),0)</f>
        <v>0</v>
      </c>
      <c r="LM10" s="1" t="n">
        <f aca="false">IF(AND(HT10=1,DS10=1),MIN(LF10,LK10),0)</f>
        <v>0</v>
      </c>
      <c r="LN10" s="1" t="n">
        <f aca="false">LF10-LM10</f>
        <v>0</v>
      </c>
      <c r="LO10" s="1" t="n">
        <f aca="false">IF(EC10=1,IF(ABS((1+AS_Wage)/(1+Slot12_Rate)-1)&lt;0.000000000001,(Slot12_Age-D10)*(1+Slot12_Rate)^(Slot12_Age-D10),(1+Slot12_Rate)^(Slot12_Age-D10)*(1-((1+AS_Wage)/(1+Slot12_Rate))^(Slot12_Age-D10))/(1-(1+AS_Wage)/(1+Slot12_Rate))),1)</f>
        <v>1</v>
      </c>
      <c r="LP10" s="1" t="n">
        <f aca="false">IF(AND(HT10=1,ID10&gt;0,Slot12_IsWG=1,EC10=1),MAX(0,(Slot12_Cost-ED10*(1+Slot12_Rate)^(Slot12_Age-D10))/LO10),0)</f>
        <v>0</v>
      </c>
      <c r="LQ10" s="1" t="n">
        <f aca="false">IF(AND(HT10=1,ID10&gt;0,Slot12_IsWG=1,EC10=1),MIN(ID10,LP10),0)</f>
        <v>0</v>
      </c>
      <c r="LR10" s="1" t="n">
        <f aca="false">ED10+LQ10</f>
        <v>0</v>
      </c>
      <c r="LS10" s="1" t="n">
        <f aca="false">IF(EC10=1,MAX(0,(Slot12_Cost-LR10*(1+Slot12_Rate)^(Slot12_Age-D10))/LO10),0)</f>
        <v>0</v>
      </c>
      <c r="LT10" s="1" t="n">
        <f aca="false">IF(EC10=1,MAX(0,(Slot12_Cost-ED10*(1+Slot12_Rate)^(Slot12_Age-D10))/LO10),0)</f>
        <v>0</v>
      </c>
      <c r="LU10" s="1" t="n">
        <f aca="false">IF(AND(HT10=1,EC10=1),MIN(LN10,LS10),0)</f>
        <v>0</v>
      </c>
      <c r="LV10" s="1" t="n">
        <f aca="false">LN10-LU10</f>
        <v>0</v>
      </c>
      <c r="LW10" s="1" t="n">
        <f aca="false">IF(EM10=1,IF(ABS((1+AS_Wage)/(1+Slot13_Rate)-1)&lt;0.000000000001,(Slot13_Age-D10)*(1+Slot13_Rate)^(Slot13_Age-D10),(1+Slot13_Rate)^(Slot13_Age-D10)*(1-((1+AS_Wage)/(1+Slot13_Rate))^(Slot13_Age-D10))/(1-(1+AS_Wage)/(1+Slot13_Rate))),1)</f>
        <v>1</v>
      </c>
      <c r="LX10" s="1" t="n">
        <f aca="false">IF(AND(HT10=1,ID10&gt;0,Slot13_IsWG=1,EM10=1),MAX(0,(Slot13_Cost-EN10*(1+Slot13_Rate)^(Slot13_Age-D10))/LW10),0)</f>
        <v>0</v>
      </c>
      <c r="LY10" s="1" t="n">
        <f aca="false">IF(AND(HT10=1,ID10&gt;0,Slot13_IsWG=1,EM10=1),MIN(ID10,LX10),0)</f>
        <v>0</v>
      </c>
      <c r="LZ10" s="1" t="n">
        <f aca="false">EN10+LY10</f>
        <v>0</v>
      </c>
      <c r="MA10" s="1" t="n">
        <f aca="false">IF(EM10=1,MAX(0,(Slot13_Cost-LZ10*(1+Slot13_Rate)^(Slot13_Age-D10))/LW10),0)</f>
        <v>0</v>
      </c>
      <c r="MB10" s="1" t="n">
        <f aca="false">IF(EM10=1,MAX(0,(Slot13_Cost-EN10*(1+Slot13_Rate)^(Slot13_Age-D10))/LW10),0)</f>
        <v>0</v>
      </c>
      <c r="MC10" s="1" t="n">
        <f aca="false">IF(AND(HT10=1,EM10=1),MIN(LV10,MA10),0)</f>
        <v>0</v>
      </c>
      <c r="MD10" s="1" t="n">
        <f aca="false">LV10-MC10</f>
        <v>0</v>
      </c>
      <c r="ME10" s="1" t="n">
        <f aca="false">IF(EW10=1,IF(ABS((1+AS_Wage)/(1+Slot14_Rate)-1)&lt;0.000000000001,(Slot14_Age-D10)*(1+Slot14_Rate)^(Slot14_Age-D10),(1+Slot14_Rate)^(Slot14_Age-D10)*(1-((1+AS_Wage)/(1+Slot14_Rate))^(Slot14_Age-D10))/(1-(1+AS_Wage)/(1+Slot14_Rate))),1)</f>
        <v>1</v>
      </c>
      <c r="MF10" s="1" t="n">
        <f aca="false">IF(AND(HT10=1,ID10&gt;0,Slot14_IsWG=1,EW10=1),MAX(0,(Slot14_Cost-EX10*(1+Slot14_Rate)^(Slot14_Age-D10))/ME10),0)</f>
        <v>0</v>
      </c>
      <c r="MG10" s="1" t="n">
        <f aca="false">IF(AND(HT10=1,ID10&gt;0,Slot14_IsWG=1,EW10=1),MIN(ID10,MF10),0)</f>
        <v>0</v>
      </c>
      <c r="MH10" s="1" t="n">
        <f aca="false">EX10+MG10</f>
        <v>0</v>
      </c>
      <c r="MI10" s="1" t="n">
        <f aca="false">IF(EW10=1,MAX(0,(Slot14_Cost-MH10*(1+Slot14_Rate)^(Slot14_Age-D10))/ME10),0)</f>
        <v>0</v>
      </c>
      <c r="MJ10" s="1" t="n">
        <f aca="false">IF(EW10=1,MAX(0,(Slot14_Cost-EX10*(1+Slot14_Rate)^(Slot14_Age-D10))/ME10),0)</f>
        <v>0</v>
      </c>
      <c r="MK10" s="1" t="n">
        <f aca="false">IF(AND(HT10=1,EW10=1),MIN(MD10,MI10),0)</f>
        <v>0</v>
      </c>
      <c r="ML10" s="1" t="n">
        <f aca="false">MD10-MK10</f>
        <v>0</v>
      </c>
      <c r="MM10" s="1" t="n">
        <f aca="false">IF(FG10=1,IF(ABS((1+AS_Wage)/(1+Slot15_Rate)-1)&lt;0.000000000001,(Slot15_Age-D10)*(1+Slot15_Rate)^(Slot15_Age-D10),(1+Slot15_Rate)^(Slot15_Age-D10)*(1-((1+AS_Wage)/(1+Slot15_Rate))^(Slot15_Age-D10))/(1-(1+AS_Wage)/(1+Slot15_Rate))),1)</f>
        <v>1</v>
      </c>
      <c r="MN10" s="1" t="n">
        <f aca="false">IF(AND(HT10=1,ID10&gt;0,Slot15_IsWG=1,FG10=1),MAX(0,(Slot15_Cost-FH10*(1+Slot15_Rate)^(Slot15_Age-D10))/MM10),0)</f>
        <v>0</v>
      </c>
      <c r="MO10" s="1" t="n">
        <f aca="false">IF(AND(HT10=1,ID10&gt;0,Slot15_IsWG=1,FG10=1),MIN(ID10,MN10),0)</f>
        <v>0</v>
      </c>
      <c r="MP10" s="1" t="n">
        <f aca="false">FH10+MO10</f>
        <v>0</v>
      </c>
      <c r="MQ10" s="1" t="n">
        <f aca="false">IF(FG10=1,MAX(0,(Slot15_Cost-MP10*(1+Slot15_Rate)^(Slot15_Age-D10))/MM10),0)</f>
        <v>0</v>
      </c>
      <c r="MR10" s="1" t="n">
        <f aca="false">IF(FG10=1,MAX(0,(Slot15_Cost-FH10*(1+Slot15_Rate)^(Slot15_Age-D10))/MM10),0)</f>
        <v>0</v>
      </c>
      <c r="MS10" s="1" t="n">
        <f aca="false">IF(AND(HT10=1,FG10=1),MIN(ML10,MQ10),0)</f>
        <v>0</v>
      </c>
      <c r="MT10" s="1" t="n">
        <f aca="false">ML10-MS10</f>
        <v>0</v>
      </c>
      <c r="MU10" s="1" t="n">
        <f aca="false">IF(FQ10=1,IF(ABS((1+AS_Wage)/(1+Slot16_Rate)-1)&lt;0.000000000001,(Slot16_Age-D10)*(1+Slot16_Rate)^(Slot16_Age-D10),(1+Slot16_Rate)^(Slot16_Age-D10)*(1-((1+AS_Wage)/(1+Slot16_Rate))^(Slot16_Age-D10))/(1-(1+AS_Wage)/(1+Slot16_Rate))),1)</f>
        <v>1</v>
      </c>
      <c r="MV10" s="1" t="n">
        <f aca="false">IF(AND(HT10=1,ID10&gt;0,Slot16_IsWG=1,FQ10=1),MAX(0,(Slot16_Cost-FR10*(1+Slot16_Rate)^(Slot16_Age-D10))/MU10),0)</f>
        <v>0</v>
      </c>
      <c r="MW10" s="1" t="n">
        <f aca="false">IF(AND(HT10=1,ID10&gt;0,Slot16_IsWG=1,FQ10=1),MIN(ID10,MV10),0)</f>
        <v>0</v>
      </c>
      <c r="MX10" s="1" t="n">
        <f aca="false">FR10+MW10</f>
        <v>0</v>
      </c>
      <c r="MY10" s="1" t="n">
        <f aca="false">IF(FQ10=1,MAX(0,(Slot16_Cost-MX10*(1+Slot16_Rate)^(Slot16_Age-D10))/MU10),0)</f>
        <v>0</v>
      </c>
      <c r="MZ10" s="1" t="n">
        <f aca="false">IF(FQ10=1,MAX(0,(Slot16_Cost-FR10*(1+Slot16_Rate)^(Slot16_Age-D10))/MU10),0)</f>
        <v>0</v>
      </c>
      <c r="NA10" s="1" t="n">
        <f aca="false">IF(AND(HT10=1,FQ10=1),MIN(MT10,MY10),0)</f>
        <v>0</v>
      </c>
      <c r="NB10" s="1" t="n">
        <f aca="false">MT10-NA10</f>
        <v>0</v>
      </c>
      <c r="NC10" s="1" t="n">
        <f aca="false">IF(GA10=1,IF(ABS((1+AS_Wage)/(1+Slot17_Rate)-1)&lt;0.000000000001,(Slot17_Age-D10)*(1+Slot17_Rate)^(Slot17_Age-D10),(1+Slot17_Rate)^(Slot17_Age-D10)*(1-((1+AS_Wage)/(1+Slot17_Rate))^(Slot17_Age-D10))/(1-(1+AS_Wage)/(1+Slot17_Rate))),1)</f>
        <v>1</v>
      </c>
      <c r="ND10" s="1" t="n">
        <f aca="false">IF(AND(HT10=1,ID10&gt;0,Slot17_IsWG=1,GA10=1),MAX(0,(Slot17_Cost-GB10*(1+Slot17_Rate)^(Slot17_Age-D10))/NC10),0)</f>
        <v>0</v>
      </c>
      <c r="NE10" s="1" t="n">
        <f aca="false">IF(AND(HT10=1,ID10&gt;0,Slot17_IsWG=1,GA10=1),MIN(ID10,ND10),0)</f>
        <v>0</v>
      </c>
      <c r="NF10" s="1" t="n">
        <f aca="false">GB10+NE10</f>
        <v>0</v>
      </c>
      <c r="NG10" s="1" t="n">
        <f aca="false">IF(GA10=1,MAX(0,(Slot17_Cost-NF10*(1+Slot17_Rate)^(Slot17_Age-D10))/NC10),0)</f>
        <v>0</v>
      </c>
      <c r="NH10" s="1" t="n">
        <f aca="false">IF(GA10=1,MAX(0,(Slot17_Cost-GB10*(1+Slot17_Rate)^(Slot17_Age-D10))/NC10),0)</f>
        <v>0</v>
      </c>
      <c r="NI10" s="1" t="n">
        <f aca="false">IF(AND(HT10=1,GA10=1),MIN(NB10,NG10),0)</f>
        <v>0</v>
      </c>
      <c r="NJ10" s="1" t="n">
        <f aca="false">NB10-NI10</f>
        <v>0</v>
      </c>
      <c r="NK10" s="1" t="n">
        <f aca="false">IF(GK10=1,IF(ABS((1+AS_Wage)/(1+Slot18_Rate)-1)&lt;0.000000000001,(Slot18_Age-D10)*(1+Slot18_Rate)^(Slot18_Age-D10),(1+Slot18_Rate)^(Slot18_Age-D10)*(1-((1+AS_Wage)/(1+Slot18_Rate))^(Slot18_Age-D10))/(1-(1+AS_Wage)/(1+Slot18_Rate))),1)</f>
        <v>1</v>
      </c>
      <c r="NL10" s="1" t="n">
        <f aca="false">IF(AND(HT10=1,ID10&gt;0,Slot18_IsWG=1,GK10=1),MAX(0,(Slot18_Cost-GL10*(1+Slot18_Rate)^(Slot18_Age-D10))/NK10),0)</f>
        <v>0</v>
      </c>
      <c r="NM10" s="1" t="n">
        <f aca="false">IF(AND(HT10=1,ID10&gt;0,Slot18_IsWG=1,GK10=1),MIN(ID10,NL10),0)</f>
        <v>0</v>
      </c>
      <c r="NN10" s="1" t="n">
        <f aca="false">GL10+NM10</f>
        <v>0</v>
      </c>
      <c r="NO10" s="1" t="n">
        <f aca="false">IF(GK10=1,MAX(0,(Slot18_Cost-NN10*(1+Slot18_Rate)^(Slot18_Age-D10))/NK10),0)</f>
        <v>0</v>
      </c>
      <c r="NP10" s="1" t="n">
        <f aca="false">IF(GK10=1,MAX(0,(Slot18_Cost-GL10*(1+Slot18_Rate)^(Slot18_Age-D10))/NK10),0)</f>
        <v>0</v>
      </c>
      <c r="NQ10" s="1" t="n">
        <f aca="false">IF(AND(HT10=1,GK10=1),MIN(NJ10,NO10),0)</f>
        <v>0</v>
      </c>
      <c r="NR10" s="1" t="n">
        <f aca="false">NJ10-NQ10</f>
        <v>0</v>
      </c>
      <c r="NS10" s="1" t="n">
        <f aca="false">IF(GU10=1,IF(ABS((1+AS_Wage)/(1+Slot19_Rate)-1)&lt;0.000000000001,(Slot19_Age-D10)*(1+Slot19_Rate)^(Slot19_Age-D10),(1+Slot19_Rate)^(Slot19_Age-D10)*(1-((1+AS_Wage)/(1+Slot19_Rate))^(Slot19_Age-D10))/(1-(1+AS_Wage)/(1+Slot19_Rate))),1)</f>
        <v>1</v>
      </c>
      <c r="NT10" s="1" t="n">
        <f aca="false">IF(AND(HT10=1,ID10&gt;0,Slot19_IsWG=1,GU10=1),MAX(0,(Slot19_Cost-GV10*(1+Slot19_Rate)^(Slot19_Age-D10))/NS10),0)</f>
        <v>0</v>
      </c>
      <c r="NU10" s="1" t="n">
        <f aca="false">IF(AND(HT10=1,ID10&gt;0,Slot19_IsWG=1,GU10=1),MIN(ID10,NT10),0)</f>
        <v>0</v>
      </c>
      <c r="NV10" s="1" t="n">
        <f aca="false">GV10+NU10</f>
        <v>0</v>
      </c>
      <c r="NW10" s="1" t="n">
        <f aca="false">IF(GU10=1,MAX(0,(Slot19_Cost-NV10*(1+Slot19_Rate)^(Slot19_Age-D10))/NS10),0)</f>
        <v>0</v>
      </c>
      <c r="NX10" s="1" t="n">
        <f aca="false">IF(GU10=1,MAX(0,(Slot19_Cost-GV10*(1+Slot19_Rate)^(Slot19_Age-D10))/NS10),0)</f>
        <v>0</v>
      </c>
      <c r="NY10" s="1" t="n">
        <f aca="false">IF(AND(HT10=1,GU10=1),MIN(NR10,NW10),0)</f>
        <v>0</v>
      </c>
      <c r="NZ10" s="1" t="n">
        <f aca="false">NR10-NY10</f>
        <v>0</v>
      </c>
      <c r="OA10" s="1" t="n">
        <f aca="false">IF(HE10=1,IF(ABS((1+AS_Wage)/(1+Slot20_Rate)-1)&lt;0.000000000001,(Slot20_Age-D10)*(1+Slot20_Rate)^(Slot20_Age-D10),(1+Slot20_Rate)^(Slot20_Age-D10)*(1-((1+AS_Wage)/(1+Slot20_Rate))^(Slot20_Age-D10))/(1-(1+AS_Wage)/(1+Slot20_Rate))),1)</f>
        <v>1</v>
      </c>
      <c r="OB10" s="1" t="n">
        <f aca="false">IF(AND(HT10=1,ID10&gt;0,Slot20_IsWG=1,HE10=1),MAX(0,(Slot20_Cost-HF10*(1+Slot20_Rate)^(Slot20_Age-D10))/OA10),0)</f>
        <v>0</v>
      </c>
      <c r="OC10" s="1" t="n">
        <f aca="false">IF(AND(HT10=1,ID10&gt;0,Slot20_IsWG=1,HE10=1),MIN(ID10,OB10),0)</f>
        <v>0</v>
      </c>
      <c r="OD10" s="1" t="n">
        <f aca="false">HF10+OC10</f>
        <v>0</v>
      </c>
      <c r="OE10" s="1" t="n">
        <f aca="false">IF(HE10=1,MAX(0,(Slot20_Cost-OD10*(1+Slot20_Rate)^(Slot20_Age-D10))/OA10),0)</f>
        <v>0</v>
      </c>
      <c r="OF10" s="1" t="n">
        <f aca="false">IF(HE10=1,MAX(0,(Slot20_Cost-HF10*(1+Slot20_Rate)^(Slot20_Age-D10))/OA10),0)</f>
        <v>0</v>
      </c>
      <c r="OG10" s="1" t="n">
        <f aca="false">IF(AND(HT10=1,HE10=1),MIN(NZ10,OE10),0)</f>
        <v>0</v>
      </c>
      <c r="OH10" s="1" t="n">
        <f aca="false">NZ10-OG10</f>
        <v>0</v>
      </c>
      <c r="OI10" s="1" t="n">
        <f aca="false">ID10-(IG10+IO10+IW10+JE10+JM10+JU10+KC10+KK10+KS10+LA10+LI10+LQ10+LY10+MG10+MO10+MW10+NE10+NM10+NU10+OC10)</f>
        <v>0</v>
      </c>
      <c r="OJ10" s="1" t="n">
        <f aca="false">IF(HT10=1,HR10-IC10-ID10,0)</f>
        <v>0</v>
      </c>
      <c r="OK10" s="1" t="n">
        <f aca="false">IF(HT10=0,-HR10,0)</f>
        <v>0</v>
      </c>
      <c r="OL10" s="1" t="n">
        <f aca="false">MIN(OK10,HJ10)</f>
        <v>0</v>
      </c>
      <c r="OM10" s="1" t="n">
        <f aca="false">OK10-OL10</f>
        <v>0</v>
      </c>
      <c r="ON10" s="1" t="n">
        <f aca="false">MIN(OM10,HK10)</f>
        <v>0</v>
      </c>
      <c r="OO10" s="1" t="n">
        <f aca="false">OM10-ON10</f>
        <v>0</v>
      </c>
      <c r="OP10" s="1" t="n">
        <f aca="false">IF(AND(HT10=0,HE10=1,OO10&gt;0),MIN(OO10,HF10),0)</f>
        <v>0</v>
      </c>
      <c r="OQ10" s="1" t="n">
        <f aca="false">OO10-OP10</f>
        <v>0</v>
      </c>
      <c r="OR10" s="1" t="n">
        <f aca="false">IF(AND(HT10=0,GU10=1,OQ10&gt;0),MIN(OQ10,GV10),0)</f>
        <v>0</v>
      </c>
      <c r="OS10" s="1" t="n">
        <f aca="false">OQ10-OR10</f>
        <v>0</v>
      </c>
      <c r="OT10" s="1" t="n">
        <f aca="false">IF(AND(HT10=0,GK10=1,OS10&gt;0),MIN(OS10,GL10),0)</f>
        <v>0</v>
      </c>
      <c r="OU10" s="1" t="n">
        <f aca="false">OS10-OT10</f>
        <v>0</v>
      </c>
      <c r="OV10" s="1" t="n">
        <f aca="false">IF(AND(HT10=0,GA10=1,OU10&gt;0),MIN(OU10,GB10),0)</f>
        <v>0</v>
      </c>
      <c r="OW10" s="1" t="n">
        <f aca="false">OU10-OV10</f>
        <v>0</v>
      </c>
      <c r="OX10" s="1" t="n">
        <f aca="false">IF(AND(HT10=0,FQ10=1,OW10&gt;0),MIN(OW10,FR10),0)</f>
        <v>0</v>
      </c>
      <c r="OY10" s="1" t="n">
        <f aca="false">OW10-OX10</f>
        <v>0</v>
      </c>
      <c r="OZ10" s="1" t="n">
        <f aca="false">IF(AND(HT10=0,FG10=1,OY10&gt;0),MIN(OY10,FH10),0)</f>
        <v>0</v>
      </c>
      <c r="PA10" s="1" t="n">
        <f aca="false">OY10-OZ10</f>
        <v>0</v>
      </c>
      <c r="PB10" s="1" t="n">
        <f aca="false">IF(AND(HT10=0,EW10=1,PA10&gt;0),MIN(PA10,EX10),0)</f>
        <v>0</v>
      </c>
      <c r="PC10" s="1" t="n">
        <f aca="false">PA10-PB10</f>
        <v>0</v>
      </c>
      <c r="PD10" s="1" t="n">
        <f aca="false">IF(AND(HT10=0,EM10=1,PC10&gt;0),MIN(PC10,EN10),0)</f>
        <v>0</v>
      </c>
      <c r="PE10" s="1" t="n">
        <f aca="false">PC10-PD10</f>
        <v>0</v>
      </c>
      <c r="PF10" s="1" t="n">
        <f aca="false">IF(AND(HT10=0,EC10=1,PE10&gt;0),MIN(PE10,ED10),0)</f>
        <v>0</v>
      </c>
      <c r="PG10" s="1" t="n">
        <f aca="false">PE10-PF10</f>
        <v>0</v>
      </c>
      <c r="PH10" s="1" t="n">
        <f aca="false">IF(AND(HT10=0,DS10=1,PG10&gt;0),MIN(PG10,DT10),0)</f>
        <v>0</v>
      </c>
      <c r="PI10" s="1" t="n">
        <f aca="false">PG10-PH10</f>
        <v>0</v>
      </c>
      <c r="PJ10" s="1" t="n">
        <f aca="false">IF(AND(HT10=0,DI10=1,PI10&gt;0),MIN(PI10,DJ10),0)</f>
        <v>0</v>
      </c>
      <c r="PK10" s="1" t="n">
        <f aca="false">PI10-PJ10</f>
        <v>0</v>
      </c>
      <c r="PL10" s="1" t="n">
        <f aca="false">IF(AND(HT10=0,CY10=1,PK10&gt;0),MIN(PK10,CZ10),0)</f>
        <v>0</v>
      </c>
      <c r="PM10" s="1" t="n">
        <f aca="false">PK10-PL10</f>
        <v>0</v>
      </c>
      <c r="PN10" s="1" t="n">
        <f aca="false">IF(AND(HT10=0,CO10=1,PM10&gt;0),MIN(PM10,CP10),0)</f>
        <v>0</v>
      </c>
      <c r="PO10" s="1" t="n">
        <f aca="false">PM10-PN10</f>
        <v>0</v>
      </c>
      <c r="PP10" s="1" t="n">
        <f aca="false">IF(AND(HT10=0,CE10=1,PO10&gt;0),MIN(PO10,CF10),0)</f>
        <v>0</v>
      </c>
      <c r="PQ10" s="1" t="n">
        <f aca="false">PO10-PP10</f>
        <v>0</v>
      </c>
      <c r="PR10" s="1" t="n">
        <f aca="false">IF(AND(HT10=0,BU10=1,PQ10&gt;0),MIN(PQ10,BV10),0)</f>
        <v>0</v>
      </c>
      <c r="PS10" s="1" t="n">
        <f aca="false">PQ10-PR10</f>
        <v>0</v>
      </c>
      <c r="PT10" s="1" t="n">
        <f aca="false">IF(AND(HT10=0,BK10=1,PS10&gt;0),MIN(PS10,BL10),0)</f>
        <v>0</v>
      </c>
      <c r="PU10" s="1" t="n">
        <f aca="false">PS10-PT10</f>
        <v>0</v>
      </c>
      <c r="PV10" s="1" t="n">
        <f aca="false">IF(AND(HT10=0,BA10=1,PU10&gt;0),MIN(PU10,BB10),0)</f>
        <v>0</v>
      </c>
      <c r="PW10" s="1" t="n">
        <f aca="false">PU10-PV10</f>
        <v>0</v>
      </c>
      <c r="PX10" s="1" t="n">
        <f aca="false">IF(AND(HT10=0,AQ10=1,PW10&gt;0),MIN(PW10,AR10),0)</f>
        <v>0</v>
      </c>
      <c r="PY10" s="1" t="n">
        <f aca="false">PW10-PX10</f>
        <v>0</v>
      </c>
      <c r="PZ10" s="1" t="n">
        <f aca="false">IF(AND(HT10=0,AG10=1,PY10&gt;0),MIN(PY10,AH10),0)</f>
        <v>0</v>
      </c>
      <c r="QA10" s="1" t="n">
        <f aca="false">PY10-PZ10</f>
        <v>0</v>
      </c>
      <c r="QB10" s="1" t="n">
        <f aca="false">IF(AND(HT10=0,V10=1,QA10&gt;0),MIN(QA10,W10),0)</f>
        <v>0</v>
      </c>
      <c r="QC10" s="1" t="n">
        <f aca="false">QA10-QB10</f>
        <v>0</v>
      </c>
      <c r="QD10" s="1" t="n">
        <f aca="false">IF(HT10=0,QC10,0)</f>
        <v>0</v>
      </c>
      <c r="QE10" s="1" t="n">
        <f aca="false">OL10+ON10+QB10+PZ10+PX10+PV10+PT10+PR10+PP10+PN10+PL10+PJ10+PH10+PF10+PD10+PB10+OZ10+OX10+OV10+OT10+OR10+OP10</f>
        <v>0</v>
      </c>
      <c r="QF10" s="1" t="n">
        <f aca="false">IF(HT10=1,HJ10+OI10+OH10+IF(F10=1,0,OJ10),HJ10-OL10)</f>
        <v>0</v>
      </c>
      <c r="QG10" s="1" t="n">
        <f aca="false">HK10-ON10</f>
        <v>0</v>
      </c>
      <c r="QH10" s="1" t="n">
        <f aca="false">IF(HT10=1,IF(F10=1,IC10+ID10,HR10),0)</f>
        <v>0</v>
      </c>
      <c r="QI10" s="1" t="n">
        <f aca="false">IF(HT10=1,IF(F10=1,HR10-IC10-ID10,0),0)</f>
        <v>0</v>
      </c>
      <c r="QJ10" s="1" t="n">
        <f aca="false">QF10*(1+GR)</f>
        <v>0</v>
      </c>
      <c r="QK10" s="1" t="n">
        <f aca="false">QG10*(1+AS_Cash)</f>
        <v>0</v>
      </c>
      <c r="QL10" s="1" t="n">
        <f aca="false">IF(V10=1,IF(HT10=1,IH10+IK10,W10-QB10)*(1+Slot1_Rate),0)</f>
        <v>0</v>
      </c>
      <c r="QM10" s="1" t="n">
        <f aca="false">IF(AND(HT10=1,V10=1),(IG10+IK10)/E10,0)</f>
        <v>0</v>
      </c>
      <c r="QN10" s="1" t="n">
        <f aca="false">IF(B10=0,IG10+IK10,0)</f>
        <v>0</v>
      </c>
      <c r="QO10" s="1" t="n">
        <f aca="false">IF(B10=0,IF(HT10=1,II10,IJ10),0)</f>
        <v>0</v>
      </c>
      <c r="QP10" s="1" t="n">
        <f aca="false">IF(AG10=1,IF(HT10=1,IP10+IS10,AH10-PZ10)*(1+Slot2_Rate),0)</f>
        <v>0</v>
      </c>
      <c r="QQ10" s="1" t="n">
        <f aca="false">IF(AND(HT10=1,AG10=1),(IO10+IS10)/E10,0)</f>
        <v>0</v>
      </c>
      <c r="QR10" s="1" t="n">
        <f aca="false">IF(B10=0,IO10+IS10,0)</f>
        <v>0</v>
      </c>
      <c r="QS10" s="1" t="n">
        <f aca="false">IF(B10=0,IF(HT10=1,IQ10,IR10),0)</f>
        <v>0</v>
      </c>
      <c r="QT10" s="1" t="n">
        <f aca="false">IF(AQ10=1,IF(HT10=1,IX10+JA10,AR10-PX10)*(1+Slot3_Rate),0)</f>
        <v>0</v>
      </c>
      <c r="QU10" s="1" t="n">
        <f aca="false">IF(AND(HT10=1,AQ10=1),(IW10+JA10)/E10,0)</f>
        <v>0</v>
      </c>
      <c r="QV10" s="1" t="n">
        <f aca="false">IF(B10=0,IW10+JA10,0)</f>
        <v>0</v>
      </c>
      <c r="QW10" s="1" t="n">
        <f aca="false">IF(B10=0,IF(HT10=1,IY10,IZ10),0)</f>
        <v>0</v>
      </c>
      <c r="QX10" s="1" t="n">
        <f aca="false">IF(BA10=1,IF(HT10=1,JF10+JI10,BB10-PV10)*(1+Slot4_Rate),0)</f>
        <v>0</v>
      </c>
      <c r="QY10" s="1" t="n">
        <f aca="false">IF(AND(HT10=1,BA10=1),(JE10+JI10)/E10,0)</f>
        <v>0</v>
      </c>
      <c r="QZ10" s="1" t="n">
        <f aca="false">IF(B10=0,JE10+JI10,0)</f>
        <v>0</v>
      </c>
      <c r="RA10" s="1" t="n">
        <f aca="false">IF(B10=0,IF(HT10=1,JG10,JH10),0)</f>
        <v>0</v>
      </c>
      <c r="RB10" s="1" t="n">
        <f aca="false">IF(BK10=1,IF(HT10=1,JN10+JQ10,BL10-PT10)*(1+Slot5_Rate),0)</f>
        <v>0</v>
      </c>
      <c r="RC10" s="1" t="n">
        <f aca="false">IF(AND(HT10=1,BK10=1),(JM10+JQ10)/E10,0)</f>
        <v>0</v>
      </c>
      <c r="RD10" s="1" t="n">
        <f aca="false">IF(B10=0,JM10+JQ10,0)</f>
        <v>0</v>
      </c>
      <c r="RE10" s="1" t="n">
        <f aca="false">IF(B10=0,IF(HT10=1,JO10,JP10),0)</f>
        <v>0</v>
      </c>
      <c r="RF10" s="1" t="n">
        <f aca="false">IF(BU10=1,IF(HT10=1,JV10+JY10,BV10-PR10)*(1+Slot6_Rate),0)</f>
        <v>0</v>
      </c>
      <c r="RG10" s="1" t="n">
        <f aca="false">IF(AND(HT10=1,BU10=1),(JU10+JY10)/E10,0)</f>
        <v>0</v>
      </c>
      <c r="RH10" s="1" t="n">
        <f aca="false">IF(B10=0,JU10+JY10,0)</f>
        <v>0</v>
      </c>
      <c r="RI10" s="1" t="n">
        <f aca="false">IF(B10=0,IF(HT10=1,JW10,JX10),0)</f>
        <v>0</v>
      </c>
      <c r="RJ10" s="1" t="n">
        <f aca="false">IF(CE10=1,IF(HT10=1,KD10+KG10,CF10-PP10)*(1+Slot7_Rate),0)</f>
        <v>0</v>
      </c>
      <c r="RK10" s="1" t="n">
        <f aca="false">IF(AND(HT10=1,CE10=1),(KC10+KG10)/E10,0)</f>
        <v>0</v>
      </c>
      <c r="RL10" s="1" t="n">
        <f aca="false">IF(B10=0,KC10+KG10,0)</f>
        <v>0</v>
      </c>
      <c r="RM10" s="1" t="n">
        <f aca="false">IF(B10=0,IF(HT10=1,KE10,KF10),0)</f>
        <v>0</v>
      </c>
      <c r="RN10" s="1" t="n">
        <f aca="false">IF(CO10=1,IF(HT10=1,KL10+KO10,CP10-PN10)*(1+Slot8_Rate),0)</f>
        <v>0</v>
      </c>
      <c r="RO10" s="1" t="n">
        <f aca="false">IF(AND(HT10=1,CO10=1),(KK10+KO10)/E10,0)</f>
        <v>0</v>
      </c>
      <c r="RP10" s="1" t="n">
        <f aca="false">IF(B10=0,KK10+KO10,0)</f>
        <v>0</v>
      </c>
      <c r="RQ10" s="1" t="n">
        <f aca="false">IF(B10=0,IF(HT10=1,KM10,KN10),0)</f>
        <v>0</v>
      </c>
      <c r="RR10" s="1" t="n">
        <f aca="false">IF(CY10=1,IF(HT10=1,KT10+KW10,CZ10-PL10)*(1+Slot9_Rate),0)</f>
        <v>0</v>
      </c>
      <c r="RS10" s="1" t="n">
        <f aca="false">IF(AND(HT10=1,CY10=1),(KS10+KW10)/E10,0)</f>
        <v>0</v>
      </c>
      <c r="RT10" s="1" t="n">
        <f aca="false">IF(B10=0,KS10+KW10,0)</f>
        <v>0</v>
      </c>
      <c r="RU10" s="1" t="n">
        <f aca="false">IF(B10=0,IF(HT10=1,KU10,KV10),0)</f>
        <v>0</v>
      </c>
      <c r="RV10" s="1" t="n">
        <f aca="false">IF(DI10=1,IF(HT10=1,LB10+LE10,DJ10-PJ10)*(1+Slot10_Rate),0)</f>
        <v>0</v>
      </c>
      <c r="RW10" s="1" t="n">
        <f aca="false">IF(AND(HT10=1,DI10=1),(LA10+LE10)/E10,0)</f>
        <v>0</v>
      </c>
      <c r="RX10" s="1" t="n">
        <f aca="false">IF(B10=0,LA10+LE10,0)</f>
        <v>0</v>
      </c>
      <c r="RY10" s="1" t="n">
        <f aca="false">IF(B10=0,IF(HT10=1,LC10,LD10),0)</f>
        <v>0</v>
      </c>
      <c r="RZ10" s="1" t="n">
        <f aca="false">IF(DS10=1,IF(HT10=1,LJ10+LM10,DT10-PH10)*(1+Slot11_Rate),0)</f>
        <v>0</v>
      </c>
      <c r="SA10" s="1" t="n">
        <f aca="false">IF(AND(HT10=1,DS10=1),(LI10+LM10)/E10,0)</f>
        <v>0</v>
      </c>
      <c r="SB10" s="1" t="n">
        <f aca="false">IF(B10=0,LI10+LM10,0)</f>
        <v>0</v>
      </c>
      <c r="SC10" s="1" t="n">
        <f aca="false">IF(B10=0,IF(HT10=1,LK10,LL10),0)</f>
        <v>0</v>
      </c>
      <c r="SD10" s="1" t="n">
        <f aca="false">IF(EC10=1,IF(HT10=1,LR10+LU10,ED10-PF10)*(1+Slot12_Rate),0)</f>
        <v>0</v>
      </c>
      <c r="SE10" s="1" t="n">
        <f aca="false">IF(AND(HT10=1,EC10=1),(LQ10+LU10)/E10,0)</f>
        <v>0</v>
      </c>
      <c r="SF10" s="1" t="n">
        <f aca="false">IF(B10=0,LQ10+LU10,0)</f>
        <v>0</v>
      </c>
      <c r="SG10" s="1" t="n">
        <f aca="false">IF(B10=0,IF(HT10=1,LS10,LT10),0)</f>
        <v>0</v>
      </c>
      <c r="SH10" s="1" t="n">
        <f aca="false">IF(EM10=1,IF(HT10=1,LZ10+MC10,EN10-PD10)*(1+Slot13_Rate),0)</f>
        <v>0</v>
      </c>
      <c r="SI10" s="1" t="n">
        <f aca="false">IF(AND(HT10=1,EM10=1),(LY10+MC10)/E10,0)</f>
        <v>0</v>
      </c>
      <c r="SJ10" s="1" t="n">
        <f aca="false">IF(B10=0,LY10+MC10,0)</f>
        <v>0</v>
      </c>
      <c r="SK10" s="1" t="n">
        <f aca="false">IF(B10=0,IF(HT10=1,MA10,MB10),0)</f>
        <v>0</v>
      </c>
      <c r="SL10" s="1" t="n">
        <f aca="false">IF(EW10=1,IF(HT10=1,MH10+MK10,EX10-PB10)*(1+Slot14_Rate),0)</f>
        <v>0</v>
      </c>
      <c r="SM10" s="1" t="n">
        <f aca="false">IF(AND(HT10=1,EW10=1),(MG10+MK10)/E10,0)</f>
        <v>0</v>
      </c>
      <c r="SN10" s="1" t="n">
        <f aca="false">IF(B10=0,MG10+MK10,0)</f>
        <v>0</v>
      </c>
      <c r="SO10" s="1" t="n">
        <f aca="false">IF(B10=0,IF(HT10=1,MI10,MJ10),0)</f>
        <v>0</v>
      </c>
      <c r="SP10" s="1" t="n">
        <f aca="false">IF(FG10=1,IF(HT10=1,MP10+MS10,FH10-OZ10)*(1+Slot15_Rate),0)</f>
        <v>0</v>
      </c>
      <c r="SQ10" s="1" t="n">
        <f aca="false">IF(AND(HT10=1,FG10=1),(MO10+MS10)/E10,0)</f>
        <v>0</v>
      </c>
      <c r="SR10" s="1" t="n">
        <f aca="false">IF(B10=0,MO10+MS10,0)</f>
        <v>0</v>
      </c>
      <c r="SS10" s="1" t="n">
        <f aca="false">IF(B10=0,IF(HT10=1,MQ10,MR10),0)</f>
        <v>0</v>
      </c>
      <c r="ST10" s="1" t="n">
        <f aca="false">IF(FQ10=1,IF(HT10=1,MX10+NA10,FR10-OX10)*(1+Slot16_Rate),0)</f>
        <v>0</v>
      </c>
      <c r="SU10" s="1" t="n">
        <f aca="false">IF(AND(HT10=1,FQ10=1),(MW10+NA10)/E10,0)</f>
        <v>0</v>
      </c>
      <c r="SV10" s="1" t="n">
        <f aca="false">IF(B10=0,MW10+NA10,0)</f>
        <v>0</v>
      </c>
      <c r="SW10" s="1" t="n">
        <f aca="false">IF(B10=0,IF(HT10=1,MY10,MZ10),0)</f>
        <v>0</v>
      </c>
      <c r="SX10" s="1" t="n">
        <f aca="false">IF(GA10=1,IF(HT10=1,NF10+NI10,GB10-OV10)*(1+Slot17_Rate),0)</f>
        <v>0</v>
      </c>
      <c r="SY10" s="1" t="n">
        <f aca="false">IF(AND(HT10=1,GA10=1),(NE10+NI10)/E10,0)</f>
        <v>0</v>
      </c>
      <c r="SZ10" s="1" t="n">
        <f aca="false">IF(B10=0,NE10+NI10,0)</f>
        <v>0</v>
      </c>
      <c r="TA10" s="1" t="n">
        <f aca="false">IF(B10=0,IF(HT10=1,NG10,NH10),0)</f>
        <v>0</v>
      </c>
      <c r="TB10" s="1" t="n">
        <f aca="false">IF(GK10=1,IF(HT10=1,NN10+NQ10,GL10-OT10)*(1+Slot18_Rate),0)</f>
        <v>0</v>
      </c>
      <c r="TC10" s="1" t="n">
        <f aca="false">IF(AND(HT10=1,GK10=1),(NM10+NQ10)/E10,0)</f>
        <v>0</v>
      </c>
      <c r="TD10" s="1" t="n">
        <f aca="false">IF(B10=0,NM10+NQ10,0)</f>
        <v>0</v>
      </c>
      <c r="TE10" s="1" t="n">
        <f aca="false">IF(B10=0,IF(HT10=1,NO10,NP10),0)</f>
        <v>0</v>
      </c>
      <c r="TF10" s="1" t="n">
        <f aca="false">IF(GU10=1,IF(HT10=1,NV10+NY10,GV10-OR10)*(1+Slot19_Rate),0)</f>
        <v>0</v>
      </c>
      <c r="TG10" s="1" t="n">
        <f aca="false">IF(AND(HT10=1,GU10=1),(NU10+NY10)/E10,0)</f>
        <v>0</v>
      </c>
      <c r="TH10" s="1" t="n">
        <f aca="false">IF(B10=0,NU10+NY10,0)</f>
        <v>0</v>
      </c>
      <c r="TI10" s="1" t="n">
        <f aca="false">IF(B10=0,IF(HT10=1,NW10,NX10),0)</f>
        <v>0</v>
      </c>
      <c r="TJ10" s="1" t="n">
        <f aca="false">IF(HE10=1,IF(HT10=1,OD10+OG10,HF10-OP10)*(1+Slot20_Rate),0)</f>
        <v>0</v>
      </c>
      <c r="TK10" s="1" t="n">
        <f aca="false">IF(AND(HT10=1,HE10=1),(OC10+OG10)/E10,0)</f>
        <v>0</v>
      </c>
      <c r="TL10" s="1" t="n">
        <f aca="false">IF(B10=0,OC10+OG10,0)</f>
        <v>0</v>
      </c>
      <c r="TM10" s="1" t="n">
        <f aca="false">IF(B10=0,IF(HT10=1,OE10,OF10),0)</f>
        <v>0</v>
      </c>
      <c r="TN10" s="1" t="n">
        <f aca="false">QJ10+QK10+QL10+QP10+QT10+QX10+RB10+RF10+RJ10+RN10+RR10+RV10+RZ10+SD10+SH10+SL10+SP10+ST10+SX10+TB10+TF10+TJ10</f>
        <v>0</v>
      </c>
      <c r="TO10" s="1" t="n">
        <f aca="false">QD10+HO10</f>
        <v>0</v>
      </c>
      <c r="TP10" s="1" t="n">
        <f aca="false">H10+R10</f>
        <v>0</v>
      </c>
      <c r="TQ10" s="1" t="n">
        <f aca="false">1-F10</f>
        <v>0</v>
      </c>
      <c r="TR10" s="1" t="n">
        <f aca="false">IF(AND(RG_Exists=1,F10=0,C10=1),H10,0)</f>
        <v>0</v>
      </c>
      <c r="TS10" s="1" t="n">
        <f aca="false">IF(AND(RG_Exists=1,F10=0,C10=1),H10-MIN(QD10,H10),0)</f>
        <v>0</v>
      </c>
      <c r="TT10" s="1" t="n">
        <f aca="false">'Plan pay &amp; tax'!AD236</f>
        <v>0</v>
      </c>
      <c r="TU10" s="1" t="n">
        <f aca="false">IF(AND(C10=1,QD10&gt;MAX(PR_Short1,TP10*PR_Short2)),1,0)</f>
        <v>0</v>
      </c>
      <c r="TV10" s="1" t="n">
        <f aca="false">MIN(G10,H10+R10)</f>
        <v>0</v>
      </c>
      <c r="TW10" s="1" t="n">
        <f aca="false">QE10+MAX(0,HP10-HO10)</f>
        <v>0</v>
      </c>
      <c r="TX10" s="1" t="n">
        <f aca="false">QD10+HO10</f>
        <v>0</v>
      </c>
      <c r="TY10" s="1" t="n">
        <f aca="false">IF(AND(C10=1,TX10&gt;PR_MinShort),1,0)</f>
        <v>0</v>
      </c>
      <c r="TZ10" s="1" t="n">
        <f aca="false">IF(AND(C10=1,TY10=0,TW10&gt;PR_MinShort),1,0)</f>
        <v>0</v>
      </c>
      <c r="UA10" s="1" t="n">
        <f aca="false">IF(AND(C10=1,QD10&gt;PR_MinShort),1,0)</f>
        <v>0</v>
      </c>
      <c r="UB10" s="1" t="n">
        <f aca="false">IF(AND(C10=1,QE10&gt;1,UI10=0),1,0)</f>
        <v>0</v>
      </c>
      <c r="UC10" s="1" t="str">
        <f aca="false">IF(C10=0,"",IF(UI10=1,"Gap to plan for: short "&amp;"€"&amp;TEXT(ROUND(TO10,0),"#,##0"),IF(QE10&gt;1,"Using savings","Comfortable")))</f>
        <v>Comfortable</v>
      </c>
      <c r="UD10" s="1" t="n">
        <f aca="false">IF(AND(INT(D10/10)*10=90,B10&gt;0),80,INT(D10/10)*10)</f>
        <v>0</v>
      </c>
      <c r="UE10" s="1" t="n">
        <f aca="false">IF(B10=0,1,IF(UD10&lt;&gt;UD9,UE9+1,UE9))</f>
        <v>1</v>
      </c>
      <c r="UF10" s="1" t="n">
        <f aca="false">IF(AND(C10=1,F10=1,QD10&gt;MAX(PR_Short1,TP10*PR_Short2)),1,0)</f>
        <v>0</v>
      </c>
      <c r="UG10" s="1" t="n">
        <f aca="false">TQ10*TU10</f>
        <v>0</v>
      </c>
      <c r="UH10" s="1" t="n">
        <f aca="false">IF(AND(U10=1,Slot1_PctLow=1),1,0)+IF(AND(AF10=1,Slot2_PctLow=1),1,0)+IF(AND(AP10=1,Slot3_PctLow=1),1,0)+IF(AND(AZ10=1,Slot4_PctLow=1),1,0)+IF(AND(BJ10=1,Slot5_PctLow=1),1,0)+IF(AND(BT10=1,Slot6_PctLow=1),1,0)+IF(AND(CD10=1,Slot7_PctLow=1),1,0)+IF(AND(CN10=1,Slot8_PctLow=1),1,0)+IF(AND(CX10=1,Slot9_PctLow=1),1,0)+IF(AND(DH10=1,Slot10_PctLow=1),1,0)+IF(AND(DR10=1,Slot11_PctLow=1),1,0)+IF(AND(EB10=1,Slot12_PctLow=1),1,0)+IF(AND(EL10=1,Slot13_PctLow=1),1,0)+IF(AND(EV10=1,Slot14_PctLow=1),1,0)+IF(AND(FF10=1,Slot15_PctLow=1),1,0)+IF(AND(FP10=1,Slot16_PctLow=1),1,0)+IF(AND(FZ10=1,Slot17_PctLow=1),1,0)+IF(AND(GJ10=1,Slot18_PctLow=1),1,0)+IF(AND(GT10=1,Slot19_PctLow=1),1,0)+IF(AND(HD10=1,Slot20_PctLow=1),1,0)</f>
        <v>0</v>
      </c>
      <c r="UI10" s="1" t="n">
        <f aca="false">IF(C10=1,IF(OR(TU10=1,UH10&gt;0),1,0),0)</f>
        <v>0</v>
      </c>
    </row>
    <row r="11" customFormat="false" ht="15" hidden="false" customHeight="true" outlineLevel="0" collapsed="false">
      <c r="B11" s="1" t="n">
        <v>3</v>
      </c>
      <c r="C11" s="1" t="n">
        <f aca="false">IF(B11&lt;=F_N,1,0)</f>
        <v>1</v>
      </c>
      <c r="D11" s="1" t="n">
        <f aca="false">'Plan pay &amp; tax'!C237</f>
        <v>3</v>
      </c>
      <c r="E11" s="111" t="n">
        <f aca="false">'Plan pay &amp; tax'!E237</f>
        <v>1.061208</v>
      </c>
      <c r="F11" s="1" t="n">
        <f aca="false">'Plan pay &amp; tax'!G237</f>
        <v>1</v>
      </c>
      <c r="G11" s="1" t="n">
        <f aca="false">'Plan pay &amp; tax'!BT237-'Plan pay &amp; tax'!BS237-'Plan pay &amp; tax'!R237</f>
        <v>0</v>
      </c>
      <c r="H11" s="1" t="n">
        <f aca="false">IF(F11=1,F_CostsM*12,IF(RG_Exists=1,RG_Amount,F_CostsM*12*AS_RetireSpend))*E11+F_OneOffY*E11</f>
        <v>0</v>
      </c>
      <c r="I11" s="1" t="n">
        <f aca="false">HQ10</f>
        <v>0</v>
      </c>
      <c r="J11" s="1" t="n">
        <f aca="false">IF(I11&gt;1,'Plan debt months'!AC11,0)</f>
        <v>0</v>
      </c>
      <c r="K11" s="1" t="n">
        <f aca="false">IF(I11&gt;1,'Plan debt months'!AB11,I11)</f>
        <v>0</v>
      </c>
      <c r="L11" s="1" t="n">
        <f aca="false">N10</f>
        <v>0</v>
      </c>
      <c r="M11" s="1" t="n">
        <f aca="false">IF(L11&gt;1,'Plan debt months'!BD11,0)</f>
        <v>0</v>
      </c>
      <c r="N11" s="1" t="n">
        <f aca="false">IF(L11&gt;1,'Plan debt months'!BC11,L11)</f>
        <v>0</v>
      </c>
      <c r="O11" s="1" t="n">
        <f aca="false">Q10</f>
        <v>0</v>
      </c>
      <c r="P11" s="1" t="n">
        <f aca="false">IF(O11&gt;1,'Plan debt months'!CE11,0)</f>
        <v>0</v>
      </c>
      <c r="Q11" s="1" t="n">
        <f aca="false">IF(O11&gt;1,'Plan debt months'!CD11,O11)</f>
        <v>0</v>
      </c>
      <c r="R11" s="1" t="n">
        <f aca="false">J11+M11+P11</f>
        <v>0</v>
      </c>
      <c r="S11" s="1" t="n">
        <f aca="false">QJ10+'Plan pay &amp; tax'!Y237</f>
        <v>0</v>
      </c>
      <c r="T11" s="1" t="n">
        <f aca="false">QJ10</f>
        <v>0</v>
      </c>
      <c r="U11" s="1" t="n">
        <f aca="false">IF(AND(Slot1_On=1,D11=Slot1_Age),1,0)</f>
        <v>0</v>
      </c>
      <c r="V11" s="1" t="n">
        <f aca="false">IF(AND(Slot1_On=1,Slot1_Age&gt;D11),1,0)</f>
        <v>0</v>
      </c>
      <c r="W11" s="1" t="n">
        <f aca="false">QL10</f>
        <v>0</v>
      </c>
      <c r="X11" s="1" t="n">
        <f aca="false">U11*MIN(Slot1_Cost,W11)</f>
        <v>0</v>
      </c>
      <c r="Y11" s="1" t="n">
        <f aca="false">U11*Slot1_SpendLike*MIN(Slot1_Cost-X11,S11)</f>
        <v>0</v>
      </c>
      <c r="Z11" s="1" t="n">
        <f aca="false">X11+Y11</f>
        <v>0</v>
      </c>
      <c r="AA11" s="1" t="n">
        <f aca="false">S11-Y11+U11*IF(Slot1_SpendLike=1,W11-X11,IF(Slot1_PotFree=1,W11,0))</f>
        <v>0</v>
      </c>
      <c r="AB11" s="1" t="n">
        <f aca="false">AE11+U11*Slot1_BufPot*W11</f>
        <v>0</v>
      </c>
      <c r="AC11" s="1" t="n">
        <f aca="false">IF(AND(U11=1,Slot1_IsMfree=1),IF(Z11&gt;=Slot1_Cost-1,0,MAX(0,K11-Z11)),K11)</f>
        <v>0</v>
      </c>
      <c r="AD11" s="1" t="n">
        <f aca="false">U11*(Slot1_Cost-Z11)</f>
        <v>0</v>
      </c>
      <c r="AE11" s="1" t="n">
        <f aca="false">QK10</f>
        <v>0</v>
      </c>
      <c r="AF11" s="1" t="n">
        <f aca="false">IF(AND(Slot2_On=1,D11=Slot2_Age),1,0)</f>
        <v>0</v>
      </c>
      <c r="AG11" s="1" t="n">
        <f aca="false">IF(AND(Slot2_On=1,Slot2_Age&gt;D11),1,0)</f>
        <v>0</v>
      </c>
      <c r="AH11" s="1" t="n">
        <f aca="false">QP10</f>
        <v>0</v>
      </c>
      <c r="AI11" s="1" t="n">
        <f aca="false">AF11*MIN(Slot2_Cost,AH11)</f>
        <v>0</v>
      </c>
      <c r="AJ11" s="1" t="n">
        <f aca="false">AF11*Slot2_SpendLike*MIN(Slot2_Cost-AI11,AA11)</f>
        <v>0</v>
      </c>
      <c r="AK11" s="1" t="n">
        <f aca="false">AI11+AJ11</f>
        <v>0</v>
      </c>
      <c r="AL11" s="1" t="n">
        <f aca="false">AA11-AJ11+AF11*IF(Slot2_SpendLike=1,AH11-AI11,IF(Slot2_PotFree=1,AH11,0))</f>
        <v>0</v>
      </c>
      <c r="AM11" s="1" t="n">
        <f aca="false">AB11+AF11*Slot2_BufPot*AH11</f>
        <v>0</v>
      </c>
      <c r="AN11" s="1" t="n">
        <f aca="false">IF(AND(AF11=1,Slot2_IsMfree=1),IF(AK11&gt;=Slot2_Cost-1,0,MAX(0,AC11-AK11)),AC11)</f>
        <v>0</v>
      </c>
      <c r="AO11" s="1" t="n">
        <f aca="false">AF11*(Slot2_Cost-AK11)</f>
        <v>0</v>
      </c>
      <c r="AP11" s="1" t="n">
        <f aca="false">IF(AND(Slot3_On=1,D11=Slot3_Age),1,0)</f>
        <v>0</v>
      </c>
      <c r="AQ11" s="1" t="n">
        <f aca="false">IF(AND(Slot3_On=1,Slot3_Age&gt;D11),1,0)</f>
        <v>0</v>
      </c>
      <c r="AR11" s="1" t="n">
        <f aca="false">QT10</f>
        <v>0</v>
      </c>
      <c r="AS11" s="1" t="n">
        <f aca="false">AP11*MIN(Slot3_Cost,AR11)</f>
        <v>0</v>
      </c>
      <c r="AT11" s="1" t="n">
        <f aca="false">AP11*Slot3_SpendLike*MIN(Slot3_Cost-AS11,AL11)</f>
        <v>0</v>
      </c>
      <c r="AU11" s="1" t="n">
        <f aca="false">AS11+AT11</f>
        <v>0</v>
      </c>
      <c r="AV11" s="1" t="n">
        <f aca="false">AL11-AT11+AP11*IF(Slot3_SpendLike=1,AR11-AS11,IF(Slot3_PotFree=1,AR11,0))</f>
        <v>0</v>
      </c>
      <c r="AW11" s="1" t="n">
        <f aca="false">AM11+AP11*Slot3_BufPot*AR11</f>
        <v>0</v>
      </c>
      <c r="AX11" s="1" t="n">
        <f aca="false">IF(AND(AP11=1,Slot3_IsMfree=1),IF(AU11&gt;=Slot3_Cost-1,0,MAX(0,AN11-AU11)),AN11)</f>
        <v>0</v>
      </c>
      <c r="AY11" s="1" t="n">
        <f aca="false">AP11*(Slot3_Cost-AU11)</f>
        <v>0</v>
      </c>
      <c r="AZ11" s="1" t="n">
        <f aca="false">IF(AND(Slot4_On=1,D11=Slot4_Age),1,0)</f>
        <v>0</v>
      </c>
      <c r="BA11" s="1" t="n">
        <f aca="false">IF(AND(Slot4_On=1,Slot4_Age&gt;D11),1,0)</f>
        <v>0</v>
      </c>
      <c r="BB11" s="1" t="n">
        <f aca="false">QX10</f>
        <v>0</v>
      </c>
      <c r="BC11" s="1" t="n">
        <f aca="false">AZ11*MIN(Slot4_Cost,BB11)</f>
        <v>0</v>
      </c>
      <c r="BD11" s="1" t="n">
        <f aca="false">AZ11*Slot4_SpendLike*MIN(Slot4_Cost-BC11,AV11)</f>
        <v>0</v>
      </c>
      <c r="BE11" s="1" t="n">
        <f aca="false">BC11+BD11</f>
        <v>0</v>
      </c>
      <c r="BF11" s="1" t="n">
        <f aca="false">AV11-BD11+AZ11*IF(Slot4_SpendLike=1,BB11-BC11,IF(Slot4_PotFree=1,BB11,0))</f>
        <v>0</v>
      </c>
      <c r="BG11" s="1" t="n">
        <f aca="false">AW11+AZ11*Slot4_BufPot*BB11</f>
        <v>0</v>
      </c>
      <c r="BH11" s="1" t="n">
        <f aca="false">IF(AND(AZ11=1,Slot4_IsMfree=1),IF(BE11&gt;=Slot4_Cost-1,0,MAX(0,AX11-BE11)),AX11)</f>
        <v>0</v>
      </c>
      <c r="BI11" s="1" t="n">
        <f aca="false">AZ11*(Slot4_Cost-BE11)</f>
        <v>0</v>
      </c>
      <c r="BJ11" s="1" t="n">
        <f aca="false">IF(AND(Slot5_On=1,D11=Slot5_Age),1,0)</f>
        <v>0</v>
      </c>
      <c r="BK11" s="1" t="n">
        <f aca="false">IF(AND(Slot5_On=1,Slot5_Age&gt;D11),1,0)</f>
        <v>0</v>
      </c>
      <c r="BL11" s="1" t="n">
        <f aca="false">RB10</f>
        <v>0</v>
      </c>
      <c r="BM11" s="1" t="n">
        <f aca="false">BJ11*MIN(Slot5_Cost,BL11)</f>
        <v>0</v>
      </c>
      <c r="BN11" s="1" t="n">
        <f aca="false">BJ11*Slot5_SpendLike*MIN(Slot5_Cost-BM11,BF11)</f>
        <v>0</v>
      </c>
      <c r="BO11" s="1" t="n">
        <f aca="false">BM11+BN11</f>
        <v>0</v>
      </c>
      <c r="BP11" s="1" t="n">
        <f aca="false">BF11-BN11+BJ11*IF(Slot5_SpendLike=1,BL11-BM11,IF(Slot5_PotFree=1,BL11,0))</f>
        <v>0</v>
      </c>
      <c r="BQ11" s="1" t="n">
        <f aca="false">BG11+BJ11*Slot5_BufPot*BL11</f>
        <v>0</v>
      </c>
      <c r="BR11" s="1" t="n">
        <f aca="false">IF(AND(BJ11=1,Slot5_IsMfree=1),IF(BO11&gt;=Slot5_Cost-1,0,MAX(0,BH11-BO11)),BH11)</f>
        <v>0</v>
      </c>
      <c r="BS11" s="1" t="n">
        <f aca="false">BJ11*(Slot5_Cost-BO11)</f>
        <v>0</v>
      </c>
      <c r="BT11" s="1" t="n">
        <f aca="false">IF(AND(Slot6_On=1,D11=Slot6_Age),1,0)</f>
        <v>0</v>
      </c>
      <c r="BU11" s="1" t="n">
        <f aca="false">IF(AND(Slot6_On=1,Slot6_Age&gt;D11),1,0)</f>
        <v>0</v>
      </c>
      <c r="BV11" s="1" t="n">
        <f aca="false">RF10</f>
        <v>0</v>
      </c>
      <c r="BW11" s="1" t="n">
        <f aca="false">BT11*MIN(Slot6_Cost,BV11)</f>
        <v>0</v>
      </c>
      <c r="BX11" s="1" t="n">
        <f aca="false">BT11*Slot6_SpendLike*MIN(Slot6_Cost-BW11,BP11)</f>
        <v>0</v>
      </c>
      <c r="BY11" s="1" t="n">
        <f aca="false">BW11+BX11</f>
        <v>0</v>
      </c>
      <c r="BZ11" s="1" t="n">
        <f aca="false">BP11-BX11+BT11*IF(Slot6_SpendLike=1,BV11-BW11,IF(Slot6_PotFree=1,BV11,0))</f>
        <v>0</v>
      </c>
      <c r="CA11" s="1" t="n">
        <f aca="false">BQ11+BT11*Slot6_BufPot*BV11</f>
        <v>0</v>
      </c>
      <c r="CB11" s="1" t="n">
        <f aca="false">IF(AND(BT11=1,Slot6_IsMfree=1),IF(BY11&gt;=Slot6_Cost-1,0,MAX(0,BR11-BY11)),BR11)</f>
        <v>0</v>
      </c>
      <c r="CC11" s="1" t="n">
        <f aca="false">BT11*(Slot6_Cost-BY11)</f>
        <v>0</v>
      </c>
      <c r="CD11" s="1" t="n">
        <f aca="false">IF(AND(Slot7_On=1,D11=Slot7_Age),1,0)</f>
        <v>0</v>
      </c>
      <c r="CE11" s="1" t="n">
        <f aca="false">IF(AND(Slot7_On=1,Slot7_Age&gt;D11),1,0)</f>
        <v>0</v>
      </c>
      <c r="CF11" s="1" t="n">
        <f aca="false">RJ10</f>
        <v>0</v>
      </c>
      <c r="CG11" s="1" t="n">
        <f aca="false">CD11*MIN(Slot7_Cost,CF11)</f>
        <v>0</v>
      </c>
      <c r="CH11" s="1" t="n">
        <f aca="false">CD11*Slot7_SpendLike*MIN(Slot7_Cost-CG11,BZ11)</f>
        <v>0</v>
      </c>
      <c r="CI11" s="1" t="n">
        <f aca="false">CG11+CH11</f>
        <v>0</v>
      </c>
      <c r="CJ11" s="1" t="n">
        <f aca="false">BZ11-CH11+CD11*IF(Slot7_SpendLike=1,CF11-CG11,IF(Slot7_PotFree=1,CF11,0))</f>
        <v>0</v>
      </c>
      <c r="CK11" s="1" t="n">
        <f aca="false">CA11+CD11*Slot7_BufPot*CF11</f>
        <v>0</v>
      </c>
      <c r="CL11" s="1" t="n">
        <f aca="false">IF(AND(CD11=1,Slot7_IsMfree=1),IF(CI11&gt;=Slot7_Cost-1,0,MAX(0,CB11-CI11)),CB11)</f>
        <v>0</v>
      </c>
      <c r="CM11" s="1" t="n">
        <f aca="false">CD11*(Slot7_Cost-CI11)</f>
        <v>0</v>
      </c>
      <c r="CN11" s="1" t="n">
        <f aca="false">IF(AND(Slot8_On=1,D11=Slot8_Age),1,0)</f>
        <v>0</v>
      </c>
      <c r="CO11" s="1" t="n">
        <f aca="false">IF(AND(Slot8_On=1,Slot8_Age&gt;D11),1,0)</f>
        <v>0</v>
      </c>
      <c r="CP11" s="1" t="n">
        <f aca="false">RN10</f>
        <v>0</v>
      </c>
      <c r="CQ11" s="1" t="n">
        <f aca="false">CN11*MIN(Slot8_Cost,CP11)</f>
        <v>0</v>
      </c>
      <c r="CR11" s="1" t="n">
        <f aca="false">CN11*Slot8_SpendLike*MIN(Slot8_Cost-CQ11,CJ11)</f>
        <v>0</v>
      </c>
      <c r="CS11" s="1" t="n">
        <f aca="false">CQ11+CR11</f>
        <v>0</v>
      </c>
      <c r="CT11" s="1" t="n">
        <f aca="false">CJ11-CR11+CN11*IF(Slot8_SpendLike=1,CP11-CQ11,IF(Slot8_PotFree=1,CP11,0))</f>
        <v>0</v>
      </c>
      <c r="CU11" s="1" t="n">
        <f aca="false">CK11+CN11*Slot8_BufPot*CP11</f>
        <v>0</v>
      </c>
      <c r="CV11" s="1" t="n">
        <f aca="false">IF(AND(CN11=1,Slot8_IsMfree=1),IF(CS11&gt;=Slot8_Cost-1,0,MAX(0,CL11-CS11)),CL11)</f>
        <v>0</v>
      </c>
      <c r="CW11" s="1" t="n">
        <f aca="false">CN11*(Slot8_Cost-CS11)</f>
        <v>0</v>
      </c>
      <c r="CX11" s="1" t="n">
        <f aca="false">IF(AND(Slot9_On=1,D11=Slot9_Age),1,0)</f>
        <v>0</v>
      </c>
      <c r="CY11" s="1" t="n">
        <f aca="false">IF(AND(Slot9_On=1,Slot9_Age&gt;D11),1,0)</f>
        <v>0</v>
      </c>
      <c r="CZ11" s="1" t="n">
        <f aca="false">RR10</f>
        <v>0</v>
      </c>
      <c r="DA11" s="1" t="n">
        <f aca="false">CX11*MIN(Slot9_Cost,CZ11)</f>
        <v>0</v>
      </c>
      <c r="DB11" s="1" t="n">
        <f aca="false">CX11*Slot9_SpendLike*MIN(Slot9_Cost-DA11,CT11)</f>
        <v>0</v>
      </c>
      <c r="DC11" s="1" t="n">
        <f aca="false">DA11+DB11</f>
        <v>0</v>
      </c>
      <c r="DD11" s="1" t="n">
        <f aca="false">CT11-DB11+CX11*IF(Slot9_SpendLike=1,CZ11-DA11,IF(Slot9_PotFree=1,CZ11,0))</f>
        <v>0</v>
      </c>
      <c r="DE11" s="1" t="n">
        <f aca="false">CU11+CX11*Slot9_BufPot*CZ11</f>
        <v>0</v>
      </c>
      <c r="DF11" s="1" t="n">
        <f aca="false">IF(AND(CX11=1,Slot9_IsMfree=1),IF(DC11&gt;=Slot9_Cost-1,0,MAX(0,CV11-DC11)),CV11)</f>
        <v>0</v>
      </c>
      <c r="DG11" s="1" t="n">
        <f aca="false">CX11*(Slot9_Cost-DC11)</f>
        <v>0</v>
      </c>
      <c r="DH11" s="1" t="n">
        <f aca="false">IF(AND(Slot10_On=1,D11=Slot10_Age),1,0)</f>
        <v>0</v>
      </c>
      <c r="DI11" s="1" t="n">
        <f aca="false">IF(AND(Slot10_On=1,Slot10_Age&gt;D11),1,0)</f>
        <v>0</v>
      </c>
      <c r="DJ11" s="1" t="n">
        <f aca="false">RV10</f>
        <v>0</v>
      </c>
      <c r="DK11" s="1" t="n">
        <f aca="false">DH11*MIN(Slot10_Cost,DJ11)</f>
        <v>0</v>
      </c>
      <c r="DL11" s="1" t="n">
        <f aca="false">DH11*Slot10_SpendLike*MIN(Slot10_Cost-DK11,DD11)</f>
        <v>0</v>
      </c>
      <c r="DM11" s="1" t="n">
        <f aca="false">DK11+DL11</f>
        <v>0</v>
      </c>
      <c r="DN11" s="1" t="n">
        <f aca="false">DD11-DL11+DH11*IF(Slot10_SpendLike=1,DJ11-DK11,IF(Slot10_PotFree=1,DJ11,0))</f>
        <v>0</v>
      </c>
      <c r="DO11" s="1" t="n">
        <f aca="false">DE11+DH11*Slot10_BufPot*DJ11</f>
        <v>0</v>
      </c>
      <c r="DP11" s="1" t="n">
        <f aca="false">IF(AND(DH11=1,Slot10_IsMfree=1),IF(DM11&gt;=Slot10_Cost-1,0,MAX(0,DF11-DM11)),DF11)</f>
        <v>0</v>
      </c>
      <c r="DQ11" s="1" t="n">
        <f aca="false">DH11*(Slot10_Cost-DM11)</f>
        <v>0</v>
      </c>
      <c r="DR11" s="1" t="n">
        <f aca="false">IF(AND(Slot11_On=1,D11=Slot11_Age),1,0)</f>
        <v>0</v>
      </c>
      <c r="DS11" s="1" t="n">
        <f aca="false">IF(AND(Slot11_On=1,Slot11_Age&gt;D11),1,0)</f>
        <v>0</v>
      </c>
      <c r="DT11" s="1" t="n">
        <f aca="false">RZ10</f>
        <v>0</v>
      </c>
      <c r="DU11" s="1" t="n">
        <f aca="false">DR11*MIN(Slot11_Cost,DT11)</f>
        <v>0</v>
      </c>
      <c r="DV11" s="1" t="n">
        <f aca="false">DR11*Slot11_SpendLike*MIN(Slot11_Cost-DU11,DN11)</f>
        <v>0</v>
      </c>
      <c r="DW11" s="1" t="n">
        <f aca="false">DU11+DV11</f>
        <v>0</v>
      </c>
      <c r="DX11" s="1" t="n">
        <f aca="false">DN11-DV11+DR11*IF(Slot11_SpendLike=1,DT11-DU11,IF(Slot11_PotFree=1,DT11,0))</f>
        <v>0</v>
      </c>
      <c r="DY11" s="1" t="n">
        <f aca="false">DO11+DR11*Slot11_BufPot*DT11</f>
        <v>0</v>
      </c>
      <c r="DZ11" s="1" t="n">
        <f aca="false">IF(AND(DR11=1,Slot11_IsMfree=1),IF(DW11&gt;=Slot11_Cost-1,0,MAX(0,DP11-DW11)),DP11)</f>
        <v>0</v>
      </c>
      <c r="EA11" s="1" t="n">
        <f aca="false">DR11*(Slot11_Cost-DW11)</f>
        <v>0</v>
      </c>
      <c r="EB11" s="1" t="n">
        <f aca="false">IF(AND(Slot12_On=1,D11=Slot12_Age),1,0)</f>
        <v>0</v>
      </c>
      <c r="EC11" s="1" t="n">
        <f aca="false">IF(AND(Slot12_On=1,Slot12_Age&gt;D11),1,0)</f>
        <v>0</v>
      </c>
      <c r="ED11" s="1" t="n">
        <f aca="false">SD10</f>
        <v>0</v>
      </c>
      <c r="EE11" s="1" t="n">
        <f aca="false">EB11*MIN(Slot12_Cost,ED11)</f>
        <v>0</v>
      </c>
      <c r="EF11" s="1" t="n">
        <f aca="false">EB11*Slot12_SpendLike*MIN(Slot12_Cost-EE11,DX11)</f>
        <v>0</v>
      </c>
      <c r="EG11" s="1" t="n">
        <f aca="false">EE11+EF11</f>
        <v>0</v>
      </c>
      <c r="EH11" s="1" t="n">
        <f aca="false">DX11-EF11+EB11*IF(Slot12_SpendLike=1,ED11-EE11,IF(Slot12_PotFree=1,ED11,0))</f>
        <v>0</v>
      </c>
      <c r="EI11" s="1" t="n">
        <f aca="false">DY11+EB11*Slot12_BufPot*ED11</f>
        <v>0</v>
      </c>
      <c r="EJ11" s="1" t="n">
        <f aca="false">IF(AND(EB11=1,Slot12_IsMfree=1),IF(EG11&gt;=Slot12_Cost-1,0,MAX(0,DZ11-EG11)),DZ11)</f>
        <v>0</v>
      </c>
      <c r="EK11" s="1" t="n">
        <f aca="false">EB11*(Slot12_Cost-EG11)</f>
        <v>0</v>
      </c>
      <c r="EL11" s="1" t="n">
        <f aca="false">IF(AND(Slot13_On=1,D11=Slot13_Age),1,0)</f>
        <v>0</v>
      </c>
      <c r="EM11" s="1" t="n">
        <f aca="false">IF(AND(Slot13_On=1,Slot13_Age&gt;D11),1,0)</f>
        <v>0</v>
      </c>
      <c r="EN11" s="1" t="n">
        <f aca="false">SH10</f>
        <v>0</v>
      </c>
      <c r="EO11" s="1" t="n">
        <f aca="false">EL11*MIN(Slot13_Cost,EN11)</f>
        <v>0</v>
      </c>
      <c r="EP11" s="1" t="n">
        <f aca="false">EL11*Slot13_SpendLike*MIN(Slot13_Cost-EO11,EH11)</f>
        <v>0</v>
      </c>
      <c r="EQ11" s="1" t="n">
        <f aca="false">EO11+EP11</f>
        <v>0</v>
      </c>
      <c r="ER11" s="1" t="n">
        <f aca="false">EH11-EP11+EL11*IF(Slot13_SpendLike=1,EN11-EO11,IF(Slot13_PotFree=1,EN11,0))</f>
        <v>0</v>
      </c>
      <c r="ES11" s="1" t="n">
        <f aca="false">EI11+EL11*Slot13_BufPot*EN11</f>
        <v>0</v>
      </c>
      <c r="ET11" s="1" t="n">
        <f aca="false">IF(AND(EL11=1,Slot13_IsMfree=1),IF(EQ11&gt;=Slot13_Cost-1,0,MAX(0,EJ11-EQ11)),EJ11)</f>
        <v>0</v>
      </c>
      <c r="EU11" s="1" t="n">
        <f aca="false">EL11*(Slot13_Cost-EQ11)</f>
        <v>0</v>
      </c>
      <c r="EV11" s="1" t="n">
        <f aca="false">IF(AND(Slot14_On=1,D11=Slot14_Age),1,0)</f>
        <v>0</v>
      </c>
      <c r="EW11" s="1" t="n">
        <f aca="false">IF(AND(Slot14_On=1,Slot14_Age&gt;D11),1,0)</f>
        <v>0</v>
      </c>
      <c r="EX11" s="1" t="n">
        <f aca="false">SL10</f>
        <v>0</v>
      </c>
      <c r="EY11" s="1" t="n">
        <f aca="false">EV11*MIN(Slot14_Cost,EX11)</f>
        <v>0</v>
      </c>
      <c r="EZ11" s="1" t="n">
        <f aca="false">EV11*Slot14_SpendLike*MIN(Slot14_Cost-EY11,ER11)</f>
        <v>0</v>
      </c>
      <c r="FA11" s="1" t="n">
        <f aca="false">EY11+EZ11</f>
        <v>0</v>
      </c>
      <c r="FB11" s="1" t="n">
        <f aca="false">ER11-EZ11+EV11*IF(Slot14_SpendLike=1,EX11-EY11,IF(Slot14_PotFree=1,EX11,0))</f>
        <v>0</v>
      </c>
      <c r="FC11" s="1" t="n">
        <f aca="false">ES11+EV11*Slot14_BufPot*EX11</f>
        <v>0</v>
      </c>
      <c r="FD11" s="1" t="n">
        <f aca="false">IF(AND(EV11=1,Slot14_IsMfree=1),IF(FA11&gt;=Slot14_Cost-1,0,MAX(0,ET11-FA11)),ET11)</f>
        <v>0</v>
      </c>
      <c r="FE11" s="1" t="n">
        <f aca="false">EV11*(Slot14_Cost-FA11)</f>
        <v>0</v>
      </c>
      <c r="FF11" s="1" t="n">
        <f aca="false">IF(AND(Slot15_On=1,D11=Slot15_Age),1,0)</f>
        <v>0</v>
      </c>
      <c r="FG11" s="1" t="n">
        <f aca="false">IF(AND(Slot15_On=1,Slot15_Age&gt;D11),1,0)</f>
        <v>0</v>
      </c>
      <c r="FH11" s="1" t="n">
        <f aca="false">SP10</f>
        <v>0</v>
      </c>
      <c r="FI11" s="1" t="n">
        <f aca="false">FF11*MIN(Slot15_Cost,FH11)</f>
        <v>0</v>
      </c>
      <c r="FJ11" s="1" t="n">
        <f aca="false">FF11*Slot15_SpendLike*MIN(Slot15_Cost-FI11,FB11)</f>
        <v>0</v>
      </c>
      <c r="FK11" s="1" t="n">
        <f aca="false">FI11+FJ11</f>
        <v>0</v>
      </c>
      <c r="FL11" s="1" t="n">
        <f aca="false">FB11-FJ11+FF11*IF(Slot15_SpendLike=1,FH11-FI11,IF(Slot15_PotFree=1,FH11,0))</f>
        <v>0</v>
      </c>
      <c r="FM11" s="1" t="n">
        <f aca="false">FC11+FF11*Slot15_BufPot*FH11</f>
        <v>0</v>
      </c>
      <c r="FN11" s="1" t="n">
        <f aca="false">IF(AND(FF11=1,Slot15_IsMfree=1),IF(FK11&gt;=Slot15_Cost-1,0,MAX(0,FD11-FK11)),FD11)</f>
        <v>0</v>
      </c>
      <c r="FO11" s="1" t="n">
        <f aca="false">FF11*(Slot15_Cost-FK11)</f>
        <v>0</v>
      </c>
      <c r="FP11" s="1" t="n">
        <f aca="false">IF(AND(Slot16_On=1,D11=Slot16_Age),1,0)</f>
        <v>0</v>
      </c>
      <c r="FQ11" s="1" t="n">
        <f aca="false">IF(AND(Slot16_On=1,Slot16_Age&gt;D11),1,0)</f>
        <v>0</v>
      </c>
      <c r="FR11" s="1" t="n">
        <f aca="false">ST10</f>
        <v>0</v>
      </c>
      <c r="FS11" s="1" t="n">
        <f aca="false">FP11*MIN(Slot16_Cost,FR11)</f>
        <v>0</v>
      </c>
      <c r="FT11" s="1" t="n">
        <f aca="false">FP11*Slot16_SpendLike*MIN(Slot16_Cost-FS11,FL11)</f>
        <v>0</v>
      </c>
      <c r="FU11" s="1" t="n">
        <f aca="false">FS11+FT11</f>
        <v>0</v>
      </c>
      <c r="FV11" s="1" t="n">
        <f aca="false">FL11-FT11+FP11*IF(Slot16_SpendLike=1,FR11-FS11,IF(Slot16_PotFree=1,FR11,0))</f>
        <v>0</v>
      </c>
      <c r="FW11" s="1" t="n">
        <f aca="false">FM11+FP11*Slot16_BufPot*FR11</f>
        <v>0</v>
      </c>
      <c r="FX11" s="1" t="n">
        <f aca="false">IF(AND(FP11=1,Slot16_IsMfree=1),IF(FU11&gt;=Slot16_Cost-1,0,MAX(0,FN11-FU11)),FN11)</f>
        <v>0</v>
      </c>
      <c r="FY11" s="1" t="n">
        <f aca="false">FP11*(Slot16_Cost-FU11)</f>
        <v>0</v>
      </c>
      <c r="FZ11" s="1" t="n">
        <f aca="false">IF(AND(Slot17_On=1,D11=Slot17_Age),1,0)</f>
        <v>0</v>
      </c>
      <c r="GA11" s="1" t="n">
        <f aca="false">IF(AND(Slot17_On=1,Slot17_Age&gt;D11),1,0)</f>
        <v>0</v>
      </c>
      <c r="GB11" s="1" t="n">
        <f aca="false">SX10</f>
        <v>0</v>
      </c>
      <c r="GC11" s="1" t="n">
        <f aca="false">FZ11*MIN(Slot17_Cost,GB11)</f>
        <v>0</v>
      </c>
      <c r="GD11" s="1" t="n">
        <f aca="false">FZ11*Slot17_SpendLike*MIN(Slot17_Cost-GC11,FV11)</f>
        <v>0</v>
      </c>
      <c r="GE11" s="1" t="n">
        <f aca="false">GC11+GD11</f>
        <v>0</v>
      </c>
      <c r="GF11" s="1" t="n">
        <f aca="false">FV11-GD11+FZ11*IF(Slot17_SpendLike=1,GB11-GC11,IF(Slot17_PotFree=1,GB11,0))</f>
        <v>0</v>
      </c>
      <c r="GG11" s="1" t="n">
        <f aca="false">FW11+FZ11*Slot17_BufPot*GB11</f>
        <v>0</v>
      </c>
      <c r="GH11" s="1" t="n">
        <f aca="false">IF(AND(FZ11=1,Slot17_IsMfree=1),IF(GE11&gt;=Slot17_Cost-1,0,MAX(0,FX11-GE11)),FX11)</f>
        <v>0</v>
      </c>
      <c r="GI11" s="1" t="n">
        <f aca="false">FZ11*(Slot17_Cost-GE11)</f>
        <v>0</v>
      </c>
      <c r="GJ11" s="1" t="n">
        <f aca="false">IF(AND(Slot18_On=1,D11=Slot18_Age),1,0)</f>
        <v>0</v>
      </c>
      <c r="GK11" s="1" t="n">
        <f aca="false">IF(AND(Slot18_On=1,Slot18_Age&gt;D11),1,0)</f>
        <v>0</v>
      </c>
      <c r="GL11" s="1" t="n">
        <f aca="false">TB10</f>
        <v>0</v>
      </c>
      <c r="GM11" s="1" t="n">
        <f aca="false">GJ11*MIN(Slot18_Cost,GL11)</f>
        <v>0</v>
      </c>
      <c r="GN11" s="1" t="n">
        <f aca="false">GJ11*Slot18_SpendLike*MIN(Slot18_Cost-GM11,GF11)</f>
        <v>0</v>
      </c>
      <c r="GO11" s="1" t="n">
        <f aca="false">GM11+GN11</f>
        <v>0</v>
      </c>
      <c r="GP11" s="1" t="n">
        <f aca="false">GF11-GN11+GJ11*IF(Slot18_SpendLike=1,GL11-GM11,IF(Slot18_PotFree=1,GL11,0))</f>
        <v>0</v>
      </c>
      <c r="GQ11" s="1" t="n">
        <f aca="false">GG11+GJ11*Slot18_BufPot*GL11</f>
        <v>0</v>
      </c>
      <c r="GR11" s="1" t="n">
        <f aca="false">IF(AND(GJ11=1,Slot18_IsMfree=1),IF(GO11&gt;=Slot18_Cost-1,0,MAX(0,GH11-GO11)),GH11)</f>
        <v>0</v>
      </c>
      <c r="GS11" s="1" t="n">
        <f aca="false">GJ11*(Slot18_Cost-GO11)</f>
        <v>0</v>
      </c>
      <c r="GT11" s="1" t="n">
        <f aca="false">IF(AND(Slot19_On=1,D11=Slot19_Age),1,0)</f>
        <v>0</v>
      </c>
      <c r="GU11" s="1" t="n">
        <f aca="false">IF(AND(Slot19_On=1,Slot19_Age&gt;D11),1,0)</f>
        <v>0</v>
      </c>
      <c r="GV11" s="1" t="n">
        <f aca="false">TF10</f>
        <v>0</v>
      </c>
      <c r="GW11" s="1" t="n">
        <f aca="false">GT11*MIN(Slot19_Cost,GV11)</f>
        <v>0</v>
      </c>
      <c r="GX11" s="1" t="n">
        <f aca="false">GT11*Slot19_SpendLike*MIN(Slot19_Cost-GW11,GP11)</f>
        <v>0</v>
      </c>
      <c r="GY11" s="1" t="n">
        <f aca="false">GW11+GX11</f>
        <v>0</v>
      </c>
      <c r="GZ11" s="1" t="n">
        <f aca="false">GP11-GX11+GT11*IF(Slot19_SpendLike=1,GV11-GW11,IF(Slot19_PotFree=1,GV11,0))</f>
        <v>0</v>
      </c>
      <c r="HA11" s="1" t="n">
        <f aca="false">GQ11+GT11*Slot19_BufPot*GV11</f>
        <v>0</v>
      </c>
      <c r="HB11" s="1" t="n">
        <f aca="false">IF(AND(GT11=1,Slot19_IsMfree=1),IF(GY11&gt;=Slot19_Cost-1,0,MAX(0,GR11-GY11)),GR11)</f>
        <v>0</v>
      </c>
      <c r="HC11" s="1" t="n">
        <f aca="false">GT11*(Slot19_Cost-GY11)</f>
        <v>0</v>
      </c>
      <c r="HD11" s="1" t="n">
        <f aca="false">IF(AND(Slot20_On=1,D11=Slot20_Age),1,0)</f>
        <v>0</v>
      </c>
      <c r="HE11" s="1" t="n">
        <f aca="false">IF(AND(Slot20_On=1,Slot20_Age&gt;D11),1,0)</f>
        <v>0</v>
      </c>
      <c r="HF11" s="1" t="n">
        <f aca="false">TJ10</f>
        <v>0</v>
      </c>
      <c r="HG11" s="1" t="n">
        <f aca="false">HD11*MIN(Slot20_Cost,HF11)</f>
        <v>0</v>
      </c>
      <c r="HH11" s="1" t="n">
        <f aca="false">HD11*Slot20_SpendLike*MIN(Slot20_Cost-HG11,GZ11)</f>
        <v>0</v>
      </c>
      <c r="HI11" s="1" t="n">
        <f aca="false">HG11+HH11</f>
        <v>0</v>
      </c>
      <c r="HJ11" s="1" t="n">
        <f aca="false">GZ11-HH11+HD11*IF(Slot20_SpendLike=1,HF11-HG11,IF(Slot20_PotFree=1,HF11,0))</f>
        <v>0</v>
      </c>
      <c r="HK11" s="1" t="n">
        <f aca="false">HA11+HD11*Slot20_BufPot*HF11</f>
        <v>0</v>
      </c>
      <c r="HL11" s="1" t="n">
        <f aca="false">IF(AND(HD11=1,Slot20_IsMfree=1),IF(HI11&gt;=Slot20_Cost-1,0,MAX(0,HB11-HI11)),HB11)</f>
        <v>0</v>
      </c>
      <c r="HM11" s="1" t="n">
        <f aca="false">HD11*(Slot20_Cost-HI11)</f>
        <v>0</v>
      </c>
      <c r="HN11" s="1" t="n">
        <f aca="false">U11*Slot1_SpendLike*Z11+AF11*Slot2_SpendLike*AK11+AP11*Slot3_SpendLike*AU11+AZ11*Slot4_SpendLike*BE11+BJ11*Slot5_SpendLike*BO11+BT11*Slot6_SpendLike*BY11+CD11*Slot7_SpendLike*CI11+CN11*Slot8_SpendLike*CS11+CX11*Slot9_SpendLike*DC11+DH11*Slot10_SpendLike*DM11+DR11*Slot11_SpendLike*DW11+EB11*Slot12_SpendLike*EG11+EL11*Slot13_SpendLike*EQ11+EV11*Slot14_SpendLike*FA11+FF11*Slot15_SpendLike*FK11+FP11*Slot16_SpendLike*FU11+FZ11*Slot17_SpendLike*GE11+GJ11*Slot18_SpendLike*GO11+GT11*Slot19_SpendLike*GY11+HD11*Slot20_SpendLike*HI11</f>
        <v>0</v>
      </c>
      <c r="HO11" s="1" t="n">
        <f aca="false">AD11+AO11+AY11+BI11+BS11+CC11+CM11+CW11+DG11+DQ11+EA11+EK11+EU11+FE11+FO11+FY11+GI11+GS11+HC11+HM11</f>
        <v>0</v>
      </c>
      <c r="HP11" s="1" t="n">
        <f aca="false">U11*Slot1_Cost+AF11*Slot2_Cost+AP11*Slot3_Cost+AZ11*Slot4_Cost+BJ11*Slot5_Cost+BT11*Slot6_Cost+CD11*Slot7_Cost+CN11*Slot8_Cost+CX11*Slot9_Cost+DH11*Slot10_Cost+DR11*Slot11_Cost+EB11*Slot12_Cost+EL11*Slot13_Cost+EV11*Slot14_Cost+FF11*Slot15_Cost+FP11*Slot16_Cost+FZ11*Slot17_Cost+GJ11*Slot18_Cost+GT11*Slot19_Cost+HD11*Slot20_Cost</f>
        <v>0</v>
      </c>
      <c r="HQ11" s="1" t="n">
        <f aca="false">HL11</f>
        <v>0</v>
      </c>
      <c r="HR11" s="1" t="n">
        <f aca="false">G11-H11-R11</f>
        <v>0</v>
      </c>
      <c r="HS11" s="1" t="n">
        <f aca="false">IF(B11=0,IF(AND(Has_q6=1,In_q6=4),PR_ShareVaries*(MAX(0,HR11)/12),MIN(IF(Has_q6=1,CHOOSE(In_q6+1,PR_SaveB1,PR_SaveB2,PR_SaveB3,PR_SaveB4,0),AS_NoAnswer),AS_SaveShare*(MAX(0,HR11)/12))),HS10)</f>
        <v>0</v>
      </c>
      <c r="HT11" s="1" t="n">
        <f aca="false">IF(HR11&gt;=0,1,0)</f>
        <v>1</v>
      </c>
      <c r="HU11" s="1" t="n">
        <f aca="false">MAX(0,HR11/12/E11)</f>
        <v>0</v>
      </c>
      <c r="HV11" s="1" t="n">
        <f aca="false">IF(AND(Has_q6=1,In_q6=4),PR_ShareVaries*(HU11),MIN(IF(Has_q6=1,CHOOSE(In_q6+1,PR_SaveB1,PR_SaveB2,PR_SaveB3,PR_SaveB4,0),AS_NoAnswer),AS_SaveShare*(HU11)))</f>
        <v>0</v>
      </c>
      <c r="HW11" s="1" t="n">
        <f aca="false">IF(Has_saveM=1,IF(In_saveUp="Yes",1,IF(In_saveUp="No",0,IF(In_saveM&gt;=HS11-0.5,1,0))),0)</f>
        <v>0</v>
      </c>
      <c r="HX11" s="1" t="n">
        <f aca="false">IF(Has_saveM=1,MIN(HU11,IF(HW11=1,MAX(In_saveM,HV11),MIN(In_saveM,HV11))),HV11)</f>
        <v>0</v>
      </c>
      <c r="HY11" s="1" t="n">
        <f aca="false">IF(F11=1,HX11*12*E11,0)</f>
        <v>0</v>
      </c>
      <c r="HZ11" s="1" t="n">
        <f aca="false">MAX(0,HY11+IF(AND(WI_Retire=0,WI_M&lt;0,F11=1),WI_M*12*E11,0))</f>
        <v>0</v>
      </c>
      <c r="IA11" s="1" t="n">
        <f aca="false">Slot1_IsWG*V11+Slot2_IsWG*AG11+Slot3_IsWG*AQ11+Slot4_IsWG*BA11+Slot5_IsWG*BK11+Slot6_IsWG*BU11+Slot7_IsWG*CE11+Slot8_IsWG*CO11+Slot9_IsWG*CY11+Slot10_IsWG*DI11+Slot11_IsWG*DS11+Slot12_IsWG*EC11+Slot13_IsWG*EM11+Slot14_IsWG*EW11+Slot15_IsWG*FG11+Slot16_IsWG*FQ11+Slot17_IsWG*GA11+Slot18_IsWG*GK11+Slot19_IsWG*GU11+Slot20_IsWG*HE11</f>
        <v>0</v>
      </c>
      <c r="IB11" s="1" t="n">
        <f aca="false">IF(AND(WI_Retire=0,WI_M&gt;0,F11=1,IA11&gt;=1),WI_M*12*E11,0)</f>
        <v>0</v>
      </c>
      <c r="IC11" s="1" t="n">
        <f aca="false">IF(HT11=1,MIN(HZ11,HR11),0)</f>
        <v>0</v>
      </c>
      <c r="ID11" s="1" t="n">
        <f aca="false">IF(HT11=1,MIN(IB11,HR11-IC11),0)</f>
        <v>0</v>
      </c>
      <c r="IE11" s="1" t="n">
        <f aca="false">IF(V11=1,IF(ABS((1+AS_Wage)/(1+Slot1_Rate)-1)&lt;0.000000000001,(Slot1_Age-D11)*(1+Slot1_Rate)^(Slot1_Age-D11),(1+Slot1_Rate)^(Slot1_Age-D11)*(1-((1+AS_Wage)/(1+Slot1_Rate))^(Slot1_Age-D11))/(1-(1+AS_Wage)/(1+Slot1_Rate))),1)</f>
        <v>1</v>
      </c>
      <c r="IF11" s="1" t="n">
        <f aca="false">IF(AND(HT11=1,ID11&gt;0,Slot1_IsWG=1,V11=1),MAX(0,(Slot1_Cost-W11*(1+Slot1_Rate)^(Slot1_Age-D11))/IE11),0)</f>
        <v>0</v>
      </c>
      <c r="IG11" s="1" t="n">
        <f aca="false">IF(AND(HT11=1,ID11&gt;0,Slot1_IsWG=1,V11=1),MIN(ID11,IF11),0)</f>
        <v>0</v>
      </c>
      <c r="IH11" s="1" t="n">
        <f aca="false">W11+IG11</f>
        <v>0</v>
      </c>
      <c r="II11" s="1" t="n">
        <f aca="false">IF(V11=1,MAX(0,(Slot1_Cost-IH11*(1+Slot1_Rate)^(Slot1_Age-D11))/IE11),0)</f>
        <v>0</v>
      </c>
      <c r="IJ11" s="1" t="n">
        <f aca="false">IF(V11=1,MAX(0,(Slot1_Cost-W11*(1+Slot1_Rate)^(Slot1_Age-D11))/IE11),0)</f>
        <v>0</v>
      </c>
      <c r="IK11" s="1" t="n">
        <f aca="false">IF(AND(HT11=1,V11=1),MIN(IC11,II11),0)</f>
        <v>0</v>
      </c>
      <c r="IL11" s="1" t="n">
        <f aca="false">IC11-IK11</f>
        <v>0</v>
      </c>
      <c r="IM11" s="1" t="n">
        <f aca="false">IF(AG11=1,IF(ABS((1+AS_Wage)/(1+Slot2_Rate)-1)&lt;0.000000000001,(Slot2_Age-D11)*(1+Slot2_Rate)^(Slot2_Age-D11),(1+Slot2_Rate)^(Slot2_Age-D11)*(1-((1+AS_Wage)/(1+Slot2_Rate))^(Slot2_Age-D11))/(1-(1+AS_Wage)/(1+Slot2_Rate))),1)</f>
        <v>1</v>
      </c>
      <c r="IN11" s="1" t="n">
        <f aca="false">IF(AND(HT11=1,ID11&gt;0,Slot2_IsWG=1,AG11=1),MAX(0,(Slot2_Cost-AH11*(1+Slot2_Rate)^(Slot2_Age-D11))/IM11),0)</f>
        <v>0</v>
      </c>
      <c r="IO11" s="1" t="n">
        <f aca="false">IF(AND(HT11=1,ID11&gt;0,Slot2_IsWG=1,AG11=1),MIN(ID11,IN11),0)</f>
        <v>0</v>
      </c>
      <c r="IP11" s="1" t="n">
        <f aca="false">AH11+IO11</f>
        <v>0</v>
      </c>
      <c r="IQ11" s="1" t="n">
        <f aca="false">IF(AG11=1,MAX(0,(Slot2_Cost-IP11*(1+Slot2_Rate)^(Slot2_Age-D11))/IM11),0)</f>
        <v>0</v>
      </c>
      <c r="IR11" s="1" t="n">
        <f aca="false">IF(AG11=1,MAX(0,(Slot2_Cost-AH11*(1+Slot2_Rate)^(Slot2_Age-D11))/IM11),0)</f>
        <v>0</v>
      </c>
      <c r="IS11" s="1" t="n">
        <f aca="false">IF(AND(HT11=1,AG11=1),MIN(IL11,IQ11),0)</f>
        <v>0</v>
      </c>
      <c r="IT11" s="1" t="n">
        <f aca="false">IL11-IS11</f>
        <v>0</v>
      </c>
      <c r="IU11" s="1" t="n">
        <f aca="false">IF(AQ11=1,IF(ABS((1+AS_Wage)/(1+Slot3_Rate)-1)&lt;0.000000000001,(Slot3_Age-D11)*(1+Slot3_Rate)^(Slot3_Age-D11),(1+Slot3_Rate)^(Slot3_Age-D11)*(1-((1+AS_Wage)/(1+Slot3_Rate))^(Slot3_Age-D11))/(1-(1+AS_Wage)/(1+Slot3_Rate))),1)</f>
        <v>1</v>
      </c>
      <c r="IV11" s="1" t="n">
        <f aca="false">IF(AND(HT11=1,ID11&gt;0,Slot3_IsWG=1,AQ11=1),MAX(0,(Slot3_Cost-AR11*(1+Slot3_Rate)^(Slot3_Age-D11))/IU11),0)</f>
        <v>0</v>
      </c>
      <c r="IW11" s="1" t="n">
        <f aca="false">IF(AND(HT11=1,ID11&gt;0,Slot3_IsWG=1,AQ11=1),MIN(ID11,IV11),0)</f>
        <v>0</v>
      </c>
      <c r="IX11" s="1" t="n">
        <f aca="false">AR11+IW11</f>
        <v>0</v>
      </c>
      <c r="IY11" s="1" t="n">
        <f aca="false">IF(AQ11=1,MAX(0,(Slot3_Cost-IX11*(1+Slot3_Rate)^(Slot3_Age-D11))/IU11),0)</f>
        <v>0</v>
      </c>
      <c r="IZ11" s="1" t="n">
        <f aca="false">IF(AQ11=1,MAX(0,(Slot3_Cost-AR11*(1+Slot3_Rate)^(Slot3_Age-D11))/IU11),0)</f>
        <v>0</v>
      </c>
      <c r="JA11" s="1" t="n">
        <f aca="false">IF(AND(HT11=1,AQ11=1),MIN(IT11,IY11),0)</f>
        <v>0</v>
      </c>
      <c r="JB11" s="1" t="n">
        <f aca="false">IT11-JA11</f>
        <v>0</v>
      </c>
      <c r="JC11" s="1" t="n">
        <f aca="false">IF(BA11=1,IF(ABS((1+AS_Wage)/(1+Slot4_Rate)-1)&lt;0.000000000001,(Slot4_Age-D11)*(1+Slot4_Rate)^(Slot4_Age-D11),(1+Slot4_Rate)^(Slot4_Age-D11)*(1-((1+AS_Wage)/(1+Slot4_Rate))^(Slot4_Age-D11))/(1-(1+AS_Wage)/(1+Slot4_Rate))),1)</f>
        <v>1</v>
      </c>
      <c r="JD11" s="1" t="n">
        <f aca="false">IF(AND(HT11=1,ID11&gt;0,Slot4_IsWG=1,BA11=1),MAX(0,(Slot4_Cost-BB11*(1+Slot4_Rate)^(Slot4_Age-D11))/JC11),0)</f>
        <v>0</v>
      </c>
      <c r="JE11" s="1" t="n">
        <f aca="false">IF(AND(HT11=1,ID11&gt;0,Slot4_IsWG=1,BA11=1),MIN(ID11,JD11),0)</f>
        <v>0</v>
      </c>
      <c r="JF11" s="1" t="n">
        <f aca="false">BB11+JE11</f>
        <v>0</v>
      </c>
      <c r="JG11" s="1" t="n">
        <f aca="false">IF(BA11=1,MAX(0,(Slot4_Cost-JF11*(1+Slot4_Rate)^(Slot4_Age-D11))/JC11),0)</f>
        <v>0</v>
      </c>
      <c r="JH11" s="1" t="n">
        <f aca="false">IF(BA11=1,MAX(0,(Slot4_Cost-BB11*(1+Slot4_Rate)^(Slot4_Age-D11))/JC11),0)</f>
        <v>0</v>
      </c>
      <c r="JI11" s="1" t="n">
        <f aca="false">IF(AND(HT11=1,BA11=1),MIN(JB11,JG11),0)</f>
        <v>0</v>
      </c>
      <c r="JJ11" s="1" t="n">
        <f aca="false">JB11-JI11</f>
        <v>0</v>
      </c>
      <c r="JK11" s="1" t="n">
        <f aca="false">IF(BK11=1,IF(ABS((1+AS_Wage)/(1+Slot5_Rate)-1)&lt;0.000000000001,(Slot5_Age-D11)*(1+Slot5_Rate)^(Slot5_Age-D11),(1+Slot5_Rate)^(Slot5_Age-D11)*(1-((1+AS_Wage)/(1+Slot5_Rate))^(Slot5_Age-D11))/(1-(1+AS_Wage)/(1+Slot5_Rate))),1)</f>
        <v>1</v>
      </c>
      <c r="JL11" s="1" t="n">
        <f aca="false">IF(AND(HT11=1,ID11&gt;0,Slot5_IsWG=1,BK11=1),MAX(0,(Slot5_Cost-BL11*(1+Slot5_Rate)^(Slot5_Age-D11))/JK11),0)</f>
        <v>0</v>
      </c>
      <c r="JM11" s="1" t="n">
        <f aca="false">IF(AND(HT11=1,ID11&gt;0,Slot5_IsWG=1,BK11=1),MIN(ID11,JL11),0)</f>
        <v>0</v>
      </c>
      <c r="JN11" s="1" t="n">
        <f aca="false">BL11+JM11</f>
        <v>0</v>
      </c>
      <c r="JO11" s="1" t="n">
        <f aca="false">IF(BK11=1,MAX(0,(Slot5_Cost-JN11*(1+Slot5_Rate)^(Slot5_Age-D11))/JK11),0)</f>
        <v>0</v>
      </c>
      <c r="JP11" s="1" t="n">
        <f aca="false">IF(BK11=1,MAX(0,(Slot5_Cost-BL11*(1+Slot5_Rate)^(Slot5_Age-D11))/JK11),0)</f>
        <v>0</v>
      </c>
      <c r="JQ11" s="1" t="n">
        <f aca="false">IF(AND(HT11=1,BK11=1),MIN(JJ11,JO11),0)</f>
        <v>0</v>
      </c>
      <c r="JR11" s="1" t="n">
        <f aca="false">JJ11-JQ11</f>
        <v>0</v>
      </c>
      <c r="JS11" s="1" t="n">
        <f aca="false">IF(BU11=1,IF(ABS((1+AS_Wage)/(1+Slot6_Rate)-1)&lt;0.000000000001,(Slot6_Age-D11)*(1+Slot6_Rate)^(Slot6_Age-D11),(1+Slot6_Rate)^(Slot6_Age-D11)*(1-((1+AS_Wage)/(1+Slot6_Rate))^(Slot6_Age-D11))/(1-(1+AS_Wage)/(1+Slot6_Rate))),1)</f>
        <v>1</v>
      </c>
      <c r="JT11" s="1" t="n">
        <f aca="false">IF(AND(HT11=1,ID11&gt;0,Slot6_IsWG=1,BU11=1),MAX(0,(Slot6_Cost-BV11*(1+Slot6_Rate)^(Slot6_Age-D11))/JS11),0)</f>
        <v>0</v>
      </c>
      <c r="JU11" s="1" t="n">
        <f aca="false">IF(AND(HT11=1,ID11&gt;0,Slot6_IsWG=1,BU11=1),MIN(ID11,JT11),0)</f>
        <v>0</v>
      </c>
      <c r="JV11" s="1" t="n">
        <f aca="false">BV11+JU11</f>
        <v>0</v>
      </c>
      <c r="JW11" s="1" t="n">
        <f aca="false">IF(BU11=1,MAX(0,(Slot6_Cost-JV11*(1+Slot6_Rate)^(Slot6_Age-D11))/JS11),0)</f>
        <v>0</v>
      </c>
      <c r="JX11" s="1" t="n">
        <f aca="false">IF(BU11=1,MAX(0,(Slot6_Cost-BV11*(1+Slot6_Rate)^(Slot6_Age-D11))/JS11),0)</f>
        <v>0</v>
      </c>
      <c r="JY11" s="1" t="n">
        <f aca="false">IF(AND(HT11=1,BU11=1),MIN(JR11,JW11),0)</f>
        <v>0</v>
      </c>
      <c r="JZ11" s="1" t="n">
        <f aca="false">JR11-JY11</f>
        <v>0</v>
      </c>
      <c r="KA11" s="1" t="n">
        <f aca="false">IF(CE11=1,IF(ABS((1+AS_Wage)/(1+Slot7_Rate)-1)&lt;0.000000000001,(Slot7_Age-D11)*(1+Slot7_Rate)^(Slot7_Age-D11),(1+Slot7_Rate)^(Slot7_Age-D11)*(1-((1+AS_Wage)/(1+Slot7_Rate))^(Slot7_Age-D11))/(1-(1+AS_Wage)/(1+Slot7_Rate))),1)</f>
        <v>1</v>
      </c>
      <c r="KB11" s="1" t="n">
        <f aca="false">IF(AND(HT11=1,ID11&gt;0,Slot7_IsWG=1,CE11=1),MAX(0,(Slot7_Cost-CF11*(1+Slot7_Rate)^(Slot7_Age-D11))/KA11),0)</f>
        <v>0</v>
      </c>
      <c r="KC11" s="1" t="n">
        <f aca="false">IF(AND(HT11=1,ID11&gt;0,Slot7_IsWG=1,CE11=1),MIN(ID11,KB11),0)</f>
        <v>0</v>
      </c>
      <c r="KD11" s="1" t="n">
        <f aca="false">CF11+KC11</f>
        <v>0</v>
      </c>
      <c r="KE11" s="1" t="n">
        <f aca="false">IF(CE11=1,MAX(0,(Slot7_Cost-KD11*(1+Slot7_Rate)^(Slot7_Age-D11))/KA11),0)</f>
        <v>0</v>
      </c>
      <c r="KF11" s="1" t="n">
        <f aca="false">IF(CE11=1,MAX(0,(Slot7_Cost-CF11*(1+Slot7_Rate)^(Slot7_Age-D11))/KA11),0)</f>
        <v>0</v>
      </c>
      <c r="KG11" s="1" t="n">
        <f aca="false">IF(AND(HT11=1,CE11=1),MIN(JZ11,KE11),0)</f>
        <v>0</v>
      </c>
      <c r="KH11" s="1" t="n">
        <f aca="false">JZ11-KG11</f>
        <v>0</v>
      </c>
      <c r="KI11" s="1" t="n">
        <f aca="false">IF(CO11=1,IF(ABS((1+AS_Wage)/(1+Slot8_Rate)-1)&lt;0.000000000001,(Slot8_Age-D11)*(1+Slot8_Rate)^(Slot8_Age-D11),(1+Slot8_Rate)^(Slot8_Age-D11)*(1-((1+AS_Wage)/(1+Slot8_Rate))^(Slot8_Age-D11))/(1-(1+AS_Wage)/(1+Slot8_Rate))),1)</f>
        <v>1</v>
      </c>
      <c r="KJ11" s="1" t="n">
        <f aca="false">IF(AND(HT11=1,ID11&gt;0,Slot8_IsWG=1,CO11=1),MAX(0,(Slot8_Cost-CP11*(1+Slot8_Rate)^(Slot8_Age-D11))/KI11),0)</f>
        <v>0</v>
      </c>
      <c r="KK11" s="1" t="n">
        <f aca="false">IF(AND(HT11=1,ID11&gt;0,Slot8_IsWG=1,CO11=1),MIN(ID11,KJ11),0)</f>
        <v>0</v>
      </c>
      <c r="KL11" s="1" t="n">
        <f aca="false">CP11+KK11</f>
        <v>0</v>
      </c>
      <c r="KM11" s="1" t="n">
        <f aca="false">IF(CO11=1,MAX(0,(Slot8_Cost-KL11*(1+Slot8_Rate)^(Slot8_Age-D11))/KI11),0)</f>
        <v>0</v>
      </c>
      <c r="KN11" s="1" t="n">
        <f aca="false">IF(CO11=1,MAX(0,(Slot8_Cost-CP11*(1+Slot8_Rate)^(Slot8_Age-D11))/KI11),0)</f>
        <v>0</v>
      </c>
      <c r="KO11" s="1" t="n">
        <f aca="false">IF(AND(HT11=1,CO11=1),MIN(KH11,KM11),0)</f>
        <v>0</v>
      </c>
      <c r="KP11" s="1" t="n">
        <f aca="false">KH11-KO11</f>
        <v>0</v>
      </c>
      <c r="KQ11" s="1" t="n">
        <f aca="false">IF(CY11=1,IF(ABS((1+AS_Wage)/(1+Slot9_Rate)-1)&lt;0.000000000001,(Slot9_Age-D11)*(1+Slot9_Rate)^(Slot9_Age-D11),(1+Slot9_Rate)^(Slot9_Age-D11)*(1-((1+AS_Wage)/(1+Slot9_Rate))^(Slot9_Age-D11))/(1-(1+AS_Wage)/(1+Slot9_Rate))),1)</f>
        <v>1</v>
      </c>
      <c r="KR11" s="1" t="n">
        <f aca="false">IF(AND(HT11=1,ID11&gt;0,Slot9_IsWG=1,CY11=1),MAX(0,(Slot9_Cost-CZ11*(1+Slot9_Rate)^(Slot9_Age-D11))/KQ11),0)</f>
        <v>0</v>
      </c>
      <c r="KS11" s="1" t="n">
        <f aca="false">IF(AND(HT11=1,ID11&gt;0,Slot9_IsWG=1,CY11=1),MIN(ID11,KR11),0)</f>
        <v>0</v>
      </c>
      <c r="KT11" s="1" t="n">
        <f aca="false">CZ11+KS11</f>
        <v>0</v>
      </c>
      <c r="KU11" s="1" t="n">
        <f aca="false">IF(CY11=1,MAX(0,(Slot9_Cost-KT11*(1+Slot9_Rate)^(Slot9_Age-D11))/KQ11),0)</f>
        <v>0</v>
      </c>
      <c r="KV11" s="1" t="n">
        <f aca="false">IF(CY11=1,MAX(0,(Slot9_Cost-CZ11*(1+Slot9_Rate)^(Slot9_Age-D11))/KQ11),0)</f>
        <v>0</v>
      </c>
      <c r="KW11" s="1" t="n">
        <f aca="false">IF(AND(HT11=1,CY11=1),MIN(KP11,KU11),0)</f>
        <v>0</v>
      </c>
      <c r="KX11" s="1" t="n">
        <f aca="false">KP11-KW11</f>
        <v>0</v>
      </c>
      <c r="KY11" s="1" t="n">
        <f aca="false">IF(DI11=1,IF(ABS((1+AS_Wage)/(1+Slot10_Rate)-1)&lt;0.000000000001,(Slot10_Age-D11)*(1+Slot10_Rate)^(Slot10_Age-D11),(1+Slot10_Rate)^(Slot10_Age-D11)*(1-((1+AS_Wage)/(1+Slot10_Rate))^(Slot10_Age-D11))/(1-(1+AS_Wage)/(1+Slot10_Rate))),1)</f>
        <v>1</v>
      </c>
      <c r="KZ11" s="1" t="n">
        <f aca="false">IF(AND(HT11=1,ID11&gt;0,Slot10_IsWG=1,DI11=1),MAX(0,(Slot10_Cost-DJ11*(1+Slot10_Rate)^(Slot10_Age-D11))/KY11),0)</f>
        <v>0</v>
      </c>
      <c r="LA11" s="1" t="n">
        <f aca="false">IF(AND(HT11=1,ID11&gt;0,Slot10_IsWG=1,DI11=1),MIN(ID11,KZ11),0)</f>
        <v>0</v>
      </c>
      <c r="LB11" s="1" t="n">
        <f aca="false">DJ11+LA11</f>
        <v>0</v>
      </c>
      <c r="LC11" s="1" t="n">
        <f aca="false">IF(DI11=1,MAX(0,(Slot10_Cost-LB11*(1+Slot10_Rate)^(Slot10_Age-D11))/KY11),0)</f>
        <v>0</v>
      </c>
      <c r="LD11" s="1" t="n">
        <f aca="false">IF(DI11=1,MAX(0,(Slot10_Cost-DJ11*(1+Slot10_Rate)^(Slot10_Age-D11))/KY11),0)</f>
        <v>0</v>
      </c>
      <c r="LE11" s="1" t="n">
        <f aca="false">IF(AND(HT11=1,DI11=1),MIN(KX11,LC11),0)</f>
        <v>0</v>
      </c>
      <c r="LF11" s="1" t="n">
        <f aca="false">KX11-LE11</f>
        <v>0</v>
      </c>
      <c r="LG11" s="1" t="n">
        <f aca="false">IF(DS11=1,IF(ABS((1+AS_Wage)/(1+Slot11_Rate)-1)&lt;0.000000000001,(Slot11_Age-D11)*(1+Slot11_Rate)^(Slot11_Age-D11),(1+Slot11_Rate)^(Slot11_Age-D11)*(1-((1+AS_Wage)/(1+Slot11_Rate))^(Slot11_Age-D11))/(1-(1+AS_Wage)/(1+Slot11_Rate))),1)</f>
        <v>1</v>
      </c>
      <c r="LH11" s="1" t="n">
        <f aca="false">IF(AND(HT11=1,ID11&gt;0,Slot11_IsWG=1,DS11=1),MAX(0,(Slot11_Cost-DT11*(1+Slot11_Rate)^(Slot11_Age-D11))/LG11),0)</f>
        <v>0</v>
      </c>
      <c r="LI11" s="1" t="n">
        <f aca="false">IF(AND(HT11=1,ID11&gt;0,Slot11_IsWG=1,DS11=1),MIN(ID11,LH11),0)</f>
        <v>0</v>
      </c>
      <c r="LJ11" s="1" t="n">
        <f aca="false">DT11+LI11</f>
        <v>0</v>
      </c>
      <c r="LK11" s="1" t="n">
        <f aca="false">IF(DS11=1,MAX(0,(Slot11_Cost-LJ11*(1+Slot11_Rate)^(Slot11_Age-D11))/LG11),0)</f>
        <v>0</v>
      </c>
      <c r="LL11" s="1" t="n">
        <f aca="false">IF(DS11=1,MAX(0,(Slot11_Cost-DT11*(1+Slot11_Rate)^(Slot11_Age-D11))/LG11),0)</f>
        <v>0</v>
      </c>
      <c r="LM11" s="1" t="n">
        <f aca="false">IF(AND(HT11=1,DS11=1),MIN(LF11,LK11),0)</f>
        <v>0</v>
      </c>
      <c r="LN11" s="1" t="n">
        <f aca="false">LF11-LM11</f>
        <v>0</v>
      </c>
      <c r="LO11" s="1" t="n">
        <f aca="false">IF(EC11=1,IF(ABS((1+AS_Wage)/(1+Slot12_Rate)-1)&lt;0.000000000001,(Slot12_Age-D11)*(1+Slot12_Rate)^(Slot12_Age-D11),(1+Slot12_Rate)^(Slot12_Age-D11)*(1-((1+AS_Wage)/(1+Slot12_Rate))^(Slot12_Age-D11))/(1-(1+AS_Wage)/(1+Slot12_Rate))),1)</f>
        <v>1</v>
      </c>
      <c r="LP11" s="1" t="n">
        <f aca="false">IF(AND(HT11=1,ID11&gt;0,Slot12_IsWG=1,EC11=1),MAX(0,(Slot12_Cost-ED11*(1+Slot12_Rate)^(Slot12_Age-D11))/LO11),0)</f>
        <v>0</v>
      </c>
      <c r="LQ11" s="1" t="n">
        <f aca="false">IF(AND(HT11=1,ID11&gt;0,Slot12_IsWG=1,EC11=1),MIN(ID11,LP11),0)</f>
        <v>0</v>
      </c>
      <c r="LR11" s="1" t="n">
        <f aca="false">ED11+LQ11</f>
        <v>0</v>
      </c>
      <c r="LS11" s="1" t="n">
        <f aca="false">IF(EC11=1,MAX(0,(Slot12_Cost-LR11*(1+Slot12_Rate)^(Slot12_Age-D11))/LO11),0)</f>
        <v>0</v>
      </c>
      <c r="LT11" s="1" t="n">
        <f aca="false">IF(EC11=1,MAX(0,(Slot12_Cost-ED11*(1+Slot12_Rate)^(Slot12_Age-D11))/LO11),0)</f>
        <v>0</v>
      </c>
      <c r="LU11" s="1" t="n">
        <f aca="false">IF(AND(HT11=1,EC11=1),MIN(LN11,LS11),0)</f>
        <v>0</v>
      </c>
      <c r="LV11" s="1" t="n">
        <f aca="false">LN11-LU11</f>
        <v>0</v>
      </c>
      <c r="LW11" s="1" t="n">
        <f aca="false">IF(EM11=1,IF(ABS((1+AS_Wage)/(1+Slot13_Rate)-1)&lt;0.000000000001,(Slot13_Age-D11)*(1+Slot13_Rate)^(Slot13_Age-D11),(1+Slot13_Rate)^(Slot13_Age-D11)*(1-((1+AS_Wage)/(1+Slot13_Rate))^(Slot13_Age-D11))/(1-(1+AS_Wage)/(1+Slot13_Rate))),1)</f>
        <v>1</v>
      </c>
      <c r="LX11" s="1" t="n">
        <f aca="false">IF(AND(HT11=1,ID11&gt;0,Slot13_IsWG=1,EM11=1),MAX(0,(Slot13_Cost-EN11*(1+Slot13_Rate)^(Slot13_Age-D11))/LW11),0)</f>
        <v>0</v>
      </c>
      <c r="LY11" s="1" t="n">
        <f aca="false">IF(AND(HT11=1,ID11&gt;0,Slot13_IsWG=1,EM11=1),MIN(ID11,LX11),0)</f>
        <v>0</v>
      </c>
      <c r="LZ11" s="1" t="n">
        <f aca="false">EN11+LY11</f>
        <v>0</v>
      </c>
      <c r="MA11" s="1" t="n">
        <f aca="false">IF(EM11=1,MAX(0,(Slot13_Cost-LZ11*(1+Slot13_Rate)^(Slot13_Age-D11))/LW11),0)</f>
        <v>0</v>
      </c>
      <c r="MB11" s="1" t="n">
        <f aca="false">IF(EM11=1,MAX(0,(Slot13_Cost-EN11*(1+Slot13_Rate)^(Slot13_Age-D11))/LW11),0)</f>
        <v>0</v>
      </c>
      <c r="MC11" s="1" t="n">
        <f aca="false">IF(AND(HT11=1,EM11=1),MIN(LV11,MA11),0)</f>
        <v>0</v>
      </c>
      <c r="MD11" s="1" t="n">
        <f aca="false">LV11-MC11</f>
        <v>0</v>
      </c>
      <c r="ME11" s="1" t="n">
        <f aca="false">IF(EW11=1,IF(ABS((1+AS_Wage)/(1+Slot14_Rate)-1)&lt;0.000000000001,(Slot14_Age-D11)*(1+Slot14_Rate)^(Slot14_Age-D11),(1+Slot14_Rate)^(Slot14_Age-D11)*(1-((1+AS_Wage)/(1+Slot14_Rate))^(Slot14_Age-D11))/(1-(1+AS_Wage)/(1+Slot14_Rate))),1)</f>
        <v>1</v>
      </c>
      <c r="MF11" s="1" t="n">
        <f aca="false">IF(AND(HT11=1,ID11&gt;0,Slot14_IsWG=1,EW11=1),MAX(0,(Slot14_Cost-EX11*(1+Slot14_Rate)^(Slot14_Age-D11))/ME11),0)</f>
        <v>0</v>
      </c>
      <c r="MG11" s="1" t="n">
        <f aca="false">IF(AND(HT11=1,ID11&gt;0,Slot14_IsWG=1,EW11=1),MIN(ID11,MF11),0)</f>
        <v>0</v>
      </c>
      <c r="MH11" s="1" t="n">
        <f aca="false">EX11+MG11</f>
        <v>0</v>
      </c>
      <c r="MI11" s="1" t="n">
        <f aca="false">IF(EW11=1,MAX(0,(Slot14_Cost-MH11*(1+Slot14_Rate)^(Slot14_Age-D11))/ME11),0)</f>
        <v>0</v>
      </c>
      <c r="MJ11" s="1" t="n">
        <f aca="false">IF(EW11=1,MAX(0,(Slot14_Cost-EX11*(1+Slot14_Rate)^(Slot14_Age-D11))/ME11),0)</f>
        <v>0</v>
      </c>
      <c r="MK11" s="1" t="n">
        <f aca="false">IF(AND(HT11=1,EW11=1),MIN(MD11,MI11),0)</f>
        <v>0</v>
      </c>
      <c r="ML11" s="1" t="n">
        <f aca="false">MD11-MK11</f>
        <v>0</v>
      </c>
      <c r="MM11" s="1" t="n">
        <f aca="false">IF(FG11=1,IF(ABS((1+AS_Wage)/(1+Slot15_Rate)-1)&lt;0.000000000001,(Slot15_Age-D11)*(1+Slot15_Rate)^(Slot15_Age-D11),(1+Slot15_Rate)^(Slot15_Age-D11)*(1-((1+AS_Wage)/(1+Slot15_Rate))^(Slot15_Age-D11))/(1-(1+AS_Wage)/(1+Slot15_Rate))),1)</f>
        <v>1</v>
      </c>
      <c r="MN11" s="1" t="n">
        <f aca="false">IF(AND(HT11=1,ID11&gt;0,Slot15_IsWG=1,FG11=1),MAX(0,(Slot15_Cost-FH11*(1+Slot15_Rate)^(Slot15_Age-D11))/MM11),0)</f>
        <v>0</v>
      </c>
      <c r="MO11" s="1" t="n">
        <f aca="false">IF(AND(HT11=1,ID11&gt;0,Slot15_IsWG=1,FG11=1),MIN(ID11,MN11),0)</f>
        <v>0</v>
      </c>
      <c r="MP11" s="1" t="n">
        <f aca="false">FH11+MO11</f>
        <v>0</v>
      </c>
      <c r="MQ11" s="1" t="n">
        <f aca="false">IF(FG11=1,MAX(0,(Slot15_Cost-MP11*(1+Slot15_Rate)^(Slot15_Age-D11))/MM11),0)</f>
        <v>0</v>
      </c>
      <c r="MR11" s="1" t="n">
        <f aca="false">IF(FG11=1,MAX(0,(Slot15_Cost-FH11*(1+Slot15_Rate)^(Slot15_Age-D11))/MM11),0)</f>
        <v>0</v>
      </c>
      <c r="MS11" s="1" t="n">
        <f aca="false">IF(AND(HT11=1,FG11=1),MIN(ML11,MQ11),0)</f>
        <v>0</v>
      </c>
      <c r="MT11" s="1" t="n">
        <f aca="false">ML11-MS11</f>
        <v>0</v>
      </c>
      <c r="MU11" s="1" t="n">
        <f aca="false">IF(FQ11=1,IF(ABS((1+AS_Wage)/(1+Slot16_Rate)-1)&lt;0.000000000001,(Slot16_Age-D11)*(1+Slot16_Rate)^(Slot16_Age-D11),(1+Slot16_Rate)^(Slot16_Age-D11)*(1-((1+AS_Wage)/(1+Slot16_Rate))^(Slot16_Age-D11))/(1-(1+AS_Wage)/(1+Slot16_Rate))),1)</f>
        <v>1</v>
      </c>
      <c r="MV11" s="1" t="n">
        <f aca="false">IF(AND(HT11=1,ID11&gt;0,Slot16_IsWG=1,FQ11=1),MAX(0,(Slot16_Cost-FR11*(1+Slot16_Rate)^(Slot16_Age-D11))/MU11),0)</f>
        <v>0</v>
      </c>
      <c r="MW11" s="1" t="n">
        <f aca="false">IF(AND(HT11=1,ID11&gt;0,Slot16_IsWG=1,FQ11=1),MIN(ID11,MV11),0)</f>
        <v>0</v>
      </c>
      <c r="MX11" s="1" t="n">
        <f aca="false">FR11+MW11</f>
        <v>0</v>
      </c>
      <c r="MY11" s="1" t="n">
        <f aca="false">IF(FQ11=1,MAX(0,(Slot16_Cost-MX11*(1+Slot16_Rate)^(Slot16_Age-D11))/MU11),0)</f>
        <v>0</v>
      </c>
      <c r="MZ11" s="1" t="n">
        <f aca="false">IF(FQ11=1,MAX(0,(Slot16_Cost-FR11*(1+Slot16_Rate)^(Slot16_Age-D11))/MU11),0)</f>
        <v>0</v>
      </c>
      <c r="NA11" s="1" t="n">
        <f aca="false">IF(AND(HT11=1,FQ11=1),MIN(MT11,MY11),0)</f>
        <v>0</v>
      </c>
      <c r="NB11" s="1" t="n">
        <f aca="false">MT11-NA11</f>
        <v>0</v>
      </c>
      <c r="NC11" s="1" t="n">
        <f aca="false">IF(GA11=1,IF(ABS((1+AS_Wage)/(1+Slot17_Rate)-1)&lt;0.000000000001,(Slot17_Age-D11)*(1+Slot17_Rate)^(Slot17_Age-D11),(1+Slot17_Rate)^(Slot17_Age-D11)*(1-((1+AS_Wage)/(1+Slot17_Rate))^(Slot17_Age-D11))/(1-(1+AS_Wage)/(1+Slot17_Rate))),1)</f>
        <v>1</v>
      </c>
      <c r="ND11" s="1" t="n">
        <f aca="false">IF(AND(HT11=1,ID11&gt;0,Slot17_IsWG=1,GA11=1),MAX(0,(Slot17_Cost-GB11*(1+Slot17_Rate)^(Slot17_Age-D11))/NC11),0)</f>
        <v>0</v>
      </c>
      <c r="NE11" s="1" t="n">
        <f aca="false">IF(AND(HT11=1,ID11&gt;0,Slot17_IsWG=1,GA11=1),MIN(ID11,ND11),0)</f>
        <v>0</v>
      </c>
      <c r="NF11" s="1" t="n">
        <f aca="false">GB11+NE11</f>
        <v>0</v>
      </c>
      <c r="NG11" s="1" t="n">
        <f aca="false">IF(GA11=1,MAX(0,(Slot17_Cost-NF11*(1+Slot17_Rate)^(Slot17_Age-D11))/NC11),0)</f>
        <v>0</v>
      </c>
      <c r="NH11" s="1" t="n">
        <f aca="false">IF(GA11=1,MAX(0,(Slot17_Cost-GB11*(1+Slot17_Rate)^(Slot17_Age-D11))/NC11),0)</f>
        <v>0</v>
      </c>
      <c r="NI11" s="1" t="n">
        <f aca="false">IF(AND(HT11=1,GA11=1),MIN(NB11,NG11),0)</f>
        <v>0</v>
      </c>
      <c r="NJ11" s="1" t="n">
        <f aca="false">NB11-NI11</f>
        <v>0</v>
      </c>
      <c r="NK11" s="1" t="n">
        <f aca="false">IF(GK11=1,IF(ABS((1+AS_Wage)/(1+Slot18_Rate)-1)&lt;0.000000000001,(Slot18_Age-D11)*(1+Slot18_Rate)^(Slot18_Age-D11),(1+Slot18_Rate)^(Slot18_Age-D11)*(1-((1+AS_Wage)/(1+Slot18_Rate))^(Slot18_Age-D11))/(1-(1+AS_Wage)/(1+Slot18_Rate))),1)</f>
        <v>1</v>
      </c>
      <c r="NL11" s="1" t="n">
        <f aca="false">IF(AND(HT11=1,ID11&gt;0,Slot18_IsWG=1,GK11=1),MAX(0,(Slot18_Cost-GL11*(1+Slot18_Rate)^(Slot18_Age-D11))/NK11),0)</f>
        <v>0</v>
      </c>
      <c r="NM11" s="1" t="n">
        <f aca="false">IF(AND(HT11=1,ID11&gt;0,Slot18_IsWG=1,GK11=1),MIN(ID11,NL11),0)</f>
        <v>0</v>
      </c>
      <c r="NN11" s="1" t="n">
        <f aca="false">GL11+NM11</f>
        <v>0</v>
      </c>
      <c r="NO11" s="1" t="n">
        <f aca="false">IF(GK11=1,MAX(0,(Slot18_Cost-NN11*(1+Slot18_Rate)^(Slot18_Age-D11))/NK11),0)</f>
        <v>0</v>
      </c>
      <c r="NP11" s="1" t="n">
        <f aca="false">IF(GK11=1,MAX(0,(Slot18_Cost-GL11*(1+Slot18_Rate)^(Slot18_Age-D11))/NK11),0)</f>
        <v>0</v>
      </c>
      <c r="NQ11" s="1" t="n">
        <f aca="false">IF(AND(HT11=1,GK11=1),MIN(NJ11,NO11),0)</f>
        <v>0</v>
      </c>
      <c r="NR11" s="1" t="n">
        <f aca="false">NJ11-NQ11</f>
        <v>0</v>
      </c>
      <c r="NS11" s="1" t="n">
        <f aca="false">IF(GU11=1,IF(ABS((1+AS_Wage)/(1+Slot19_Rate)-1)&lt;0.000000000001,(Slot19_Age-D11)*(1+Slot19_Rate)^(Slot19_Age-D11),(1+Slot19_Rate)^(Slot19_Age-D11)*(1-((1+AS_Wage)/(1+Slot19_Rate))^(Slot19_Age-D11))/(1-(1+AS_Wage)/(1+Slot19_Rate))),1)</f>
        <v>1</v>
      </c>
      <c r="NT11" s="1" t="n">
        <f aca="false">IF(AND(HT11=1,ID11&gt;0,Slot19_IsWG=1,GU11=1),MAX(0,(Slot19_Cost-GV11*(1+Slot19_Rate)^(Slot19_Age-D11))/NS11),0)</f>
        <v>0</v>
      </c>
      <c r="NU11" s="1" t="n">
        <f aca="false">IF(AND(HT11=1,ID11&gt;0,Slot19_IsWG=1,GU11=1),MIN(ID11,NT11),0)</f>
        <v>0</v>
      </c>
      <c r="NV11" s="1" t="n">
        <f aca="false">GV11+NU11</f>
        <v>0</v>
      </c>
      <c r="NW11" s="1" t="n">
        <f aca="false">IF(GU11=1,MAX(0,(Slot19_Cost-NV11*(1+Slot19_Rate)^(Slot19_Age-D11))/NS11),0)</f>
        <v>0</v>
      </c>
      <c r="NX11" s="1" t="n">
        <f aca="false">IF(GU11=1,MAX(0,(Slot19_Cost-GV11*(1+Slot19_Rate)^(Slot19_Age-D11))/NS11),0)</f>
        <v>0</v>
      </c>
      <c r="NY11" s="1" t="n">
        <f aca="false">IF(AND(HT11=1,GU11=1),MIN(NR11,NW11),0)</f>
        <v>0</v>
      </c>
      <c r="NZ11" s="1" t="n">
        <f aca="false">NR11-NY11</f>
        <v>0</v>
      </c>
      <c r="OA11" s="1" t="n">
        <f aca="false">IF(HE11=1,IF(ABS((1+AS_Wage)/(1+Slot20_Rate)-1)&lt;0.000000000001,(Slot20_Age-D11)*(1+Slot20_Rate)^(Slot20_Age-D11),(1+Slot20_Rate)^(Slot20_Age-D11)*(1-((1+AS_Wage)/(1+Slot20_Rate))^(Slot20_Age-D11))/(1-(1+AS_Wage)/(1+Slot20_Rate))),1)</f>
        <v>1</v>
      </c>
      <c r="OB11" s="1" t="n">
        <f aca="false">IF(AND(HT11=1,ID11&gt;0,Slot20_IsWG=1,HE11=1),MAX(0,(Slot20_Cost-HF11*(1+Slot20_Rate)^(Slot20_Age-D11))/OA11),0)</f>
        <v>0</v>
      </c>
      <c r="OC11" s="1" t="n">
        <f aca="false">IF(AND(HT11=1,ID11&gt;0,Slot20_IsWG=1,HE11=1),MIN(ID11,OB11),0)</f>
        <v>0</v>
      </c>
      <c r="OD11" s="1" t="n">
        <f aca="false">HF11+OC11</f>
        <v>0</v>
      </c>
      <c r="OE11" s="1" t="n">
        <f aca="false">IF(HE11=1,MAX(0,(Slot20_Cost-OD11*(1+Slot20_Rate)^(Slot20_Age-D11))/OA11),0)</f>
        <v>0</v>
      </c>
      <c r="OF11" s="1" t="n">
        <f aca="false">IF(HE11=1,MAX(0,(Slot20_Cost-HF11*(1+Slot20_Rate)^(Slot20_Age-D11))/OA11),0)</f>
        <v>0</v>
      </c>
      <c r="OG11" s="1" t="n">
        <f aca="false">IF(AND(HT11=1,HE11=1),MIN(NZ11,OE11),0)</f>
        <v>0</v>
      </c>
      <c r="OH11" s="1" t="n">
        <f aca="false">NZ11-OG11</f>
        <v>0</v>
      </c>
      <c r="OI11" s="1" t="n">
        <f aca="false">ID11-(IG11+IO11+IW11+JE11+JM11+JU11+KC11+KK11+KS11+LA11+LI11+LQ11+LY11+MG11+MO11+MW11+NE11+NM11+NU11+OC11)</f>
        <v>0</v>
      </c>
      <c r="OJ11" s="1" t="n">
        <f aca="false">IF(HT11=1,HR11-IC11-ID11,0)</f>
        <v>0</v>
      </c>
      <c r="OK11" s="1" t="n">
        <f aca="false">IF(HT11=0,-HR11,0)</f>
        <v>0</v>
      </c>
      <c r="OL11" s="1" t="n">
        <f aca="false">MIN(OK11,HJ11)</f>
        <v>0</v>
      </c>
      <c r="OM11" s="1" t="n">
        <f aca="false">OK11-OL11</f>
        <v>0</v>
      </c>
      <c r="ON11" s="1" t="n">
        <f aca="false">MIN(OM11,HK11)</f>
        <v>0</v>
      </c>
      <c r="OO11" s="1" t="n">
        <f aca="false">OM11-ON11</f>
        <v>0</v>
      </c>
      <c r="OP11" s="1" t="n">
        <f aca="false">IF(AND(HT11=0,HE11=1,OO11&gt;0),MIN(OO11,HF11),0)</f>
        <v>0</v>
      </c>
      <c r="OQ11" s="1" t="n">
        <f aca="false">OO11-OP11</f>
        <v>0</v>
      </c>
      <c r="OR11" s="1" t="n">
        <f aca="false">IF(AND(HT11=0,GU11=1,OQ11&gt;0),MIN(OQ11,GV11),0)</f>
        <v>0</v>
      </c>
      <c r="OS11" s="1" t="n">
        <f aca="false">OQ11-OR11</f>
        <v>0</v>
      </c>
      <c r="OT11" s="1" t="n">
        <f aca="false">IF(AND(HT11=0,GK11=1,OS11&gt;0),MIN(OS11,GL11),0)</f>
        <v>0</v>
      </c>
      <c r="OU11" s="1" t="n">
        <f aca="false">OS11-OT11</f>
        <v>0</v>
      </c>
      <c r="OV11" s="1" t="n">
        <f aca="false">IF(AND(HT11=0,GA11=1,OU11&gt;0),MIN(OU11,GB11),0)</f>
        <v>0</v>
      </c>
      <c r="OW11" s="1" t="n">
        <f aca="false">OU11-OV11</f>
        <v>0</v>
      </c>
      <c r="OX11" s="1" t="n">
        <f aca="false">IF(AND(HT11=0,FQ11=1,OW11&gt;0),MIN(OW11,FR11),0)</f>
        <v>0</v>
      </c>
      <c r="OY11" s="1" t="n">
        <f aca="false">OW11-OX11</f>
        <v>0</v>
      </c>
      <c r="OZ11" s="1" t="n">
        <f aca="false">IF(AND(HT11=0,FG11=1,OY11&gt;0),MIN(OY11,FH11),0)</f>
        <v>0</v>
      </c>
      <c r="PA11" s="1" t="n">
        <f aca="false">OY11-OZ11</f>
        <v>0</v>
      </c>
      <c r="PB11" s="1" t="n">
        <f aca="false">IF(AND(HT11=0,EW11=1,PA11&gt;0),MIN(PA11,EX11),0)</f>
        <v>0</v>
      </c>
      <c r="PC11" s="1" t="n">
        <f aca="false">PA11-PB11</f>
        <v>0</v>
      </c>
      <c r="PD11" s="1" t="n">
        <f aca="false">IF(AND(HT11=0,EM11=1,PC11&gt;0),MIN(PC11,EN11),0)</f>
        <v>0</v>
      </c>
      <c r="PE11" s="1" t="n">
        <f aca="false">PC11-PD11</f>
        <v>0</v>
      </c>
      <c r="PF11" s="1" t="n">
        <f aca="false">IF(AND(HT11=0,EC11=1,PE11&gt;0),MIN(PE11,ED11),0)</f>
        <v>0</v>
      </c>
      <c r="PG11" s="1" t="n">
        <f aca="false">PE11-PF11</f>
        <v>0</v>
      </c>
      <c r="PH11" s="1" t="n">
        <f aca="false">IF(AND(HT11=0,DS11=1,PG11&gt;0),MIN(PG11,DT11),0)</f>
        <v>0</v>
      </c>
      <c r="PI11" s="1" t="n">
        <f aca="false">PG11-PH11</f>
        <v>0</v>
      </c>
      <c r="PJ11" s="1" t="n">
        <f aca="false">IF(AND(HT11=0,DI11=1,PI11&gt;0),MIN(PI11,DJ11),0)</f>
        <v>0</v>
      </c>
      <c r="PK11" s="1" t="n">
        <f aca="false">PI11-PJ11</f>
        <v>0</v>
      </c>
      <c r="PL11" s="1" t="n">
        <f aca="false">IF(AND(HT11=0,CY11=1,PK11&gt;0),MIN(PK11,CZ11),0)</f>
        <v>0</v>
      </c>
      <c r="PM11" s="1" t="n">
        <f aca="false">PK11-PL11</f>
        <v>0</v>
      </c>
      <c r="PN11" s="1" t="n">
        <f aca="false">IF(AND(HT11=0,CO11=1,PM11&gt;0),MIN(PM11,CP11),0)</f>
        <v>0</v>
      </c>
      <c r="PO11" s="1" t="n">
        <f aca="false">PM11-PN11</f>
        <v>0</v>
      </c>
      <c r="PP11" s="1" t="n">
        <f aca="false">IF(AND(HT11=0,CE11=1,PO11&gt;0),MIN(PO11,CF11),0)</f>
        <v>0</v>
      </c>
      <c r="PQ11" s="1" t="n">
        <f aca="false">PO11-PP11</f>
        <v>0</v>
      </c>
      <c r="PR11" s="1" t="n">
        <f aca="false">IF(AND(HT11=0,BU11=1,PQ11&gt;0),MIN(PQ11,BV11),0)</f>
        <v>0</v>
      </c>
      <c r="PS11" s="1" t="n">
        <f aca="false">PQ11-PR11</f>
        <v>0</v>
      </c>
      <c r="PT11" s="1" t="n">
        <f aca="false">IF(AND(HT11=0,BK11=1,PS11&gt;0),MIN(PS11,BL11),0)</f>
        <v>0</v>
      </c>
      <c r="PU11" s="1" t="n">
        <f aca="false">PS11-PT11</f>
        <v>0</v>
      </c>
      <c r="PV11" s="1" t="n">
        <f aca="false">IF(AND(HT11=0,BA11=1,PU11&gt;0),MIN(PU11,BB11),0)</f>
        <v>0</v>
      </c>
      <c r="PW11" s="1" t="n">
        <f aca="false">PU11-PV11</f>
        <v>0</v>
      </c>
      <c r="PX11" s="1" t="n">
        <f aca="false">IF(AND(HT11=0,AQ11=1,PW11&gt;0),MIN(PW11,AR11),0)</f>
        <v>0</v>
      </c>
      <c r="PY11" s="1" t="n">
        <f aca="false">PW11-PX11</f>
        <v>0</v>
      </c>
      <c r="PZ11" s="1" t="n">
        <f aca="false">IF(AND(HT11=0,AG11=1,PY11&gt;0),MIN(PY11,AH11),0)</f>
        <v>0</v>
      </c>
      <c r="QA11" s="1" t="n">
        <f aca="false">PY11-PZ11</f>
        <v>0</v>
      </c>
      <c r="QB11" s="1" t="n">
        <f aca="false">IF(AND(HT11=0,V11=1,QA11&gt;0),MIN(QA11,W11),0)</f>
        <v>0</v>
      </c>
      <c r="QC11" s="1" t="n">
        <f aca="false">QA11-QB11</f>
        <v>0</v>
      </c>
      <c r="QD11" s="1" t="n">
        <f aca="false">IF(HT11=0,QC11,0)</f>
        <v>0</v>
      </c>
      <c r="QE11" s="1" t="n">
        <f aca="false">OL11+ON11+QB11+PZ11+PX11+PV11+PT11+PR11+PP11+PN11+PL11+PJ11+PH11+PF11+PD11+PB11+OZ11+OX11+OV11+OT11+OR11+OP11</f>
        <v>0</v>
      </c>
      <c r="QF11" s="1" t="n">
        <f aca="false">IF(HT11=1,HJ11+OI11+OH11+IF(F11=1,0,OJ11),HJ11-OL11)</f>
        <v>0</v>
      </c>
      <c r="QG11" s="1" t="n">
        <f aca="false">HK11-ON11</f>
        <v>0</v>
      </c>
      <c r="QH11" s="1" t="n">
        <f aca="false">IF(HT11=1,IF(F11=1,IC11+ID11,HR11),0)</f>
        <v>0</v>
      </c>
      <c r="QI11" s="1" t="n">
        <f aca="false">IF(HT11=1,IF(F11=1,HR11-IC11-ID11,0),0)</f>
        <v>0</v>
      </c>
      <c r="QJ11" s="1" t="n">
        <f aca="false">QF11*(1+GR)</f>
        <v>0</v>
      </c>
      <c r="QK11" s="1" t="n">
        <f aca="false">QG11*(1+AS_Cash)</f>
        <v>0</v>
      </c>
      <c r="QL11" s="1" t="n">
        <f aca="false">IF(V11=1,IF(HT11=1,IH11+IK11,W11-QB11)*(1+Slot1_Rate),0)</f>
        <v>0</v>
      </c>
      <c r="QM11" s="1" t="n">
        <f aca="false">IF(AND(HT11=1,V11=1),(IG11+IK11)/E11,0)</f>
        <v>0</v>
      </c>
      <c r="QN11" s="1" t="n">
        <f aca="false">IF(B11=0,IG11+IK11,0)</f>
        <v>0</v>
      </c>
      <c r="QO11" s="1" t="n">
        <f aca="false">IF(B11=0,IF(HT11=1,II11,IJ11),0)</f>
        <v>0</v>
      </c>
      <c r="QP11" s="1" t="n">
        <f aca="false">IF(AG11=1,IF(HT11=1,IP11+IS11,AH11-PZ11)*(1+Slot2_Rate),0)</f>
        <v>0</v>
      </c>
      <c r="QQ11" s="1" t="n">
        <f aca="false">IF(AND(HT11=1,AG11=1),(IO11+IS11)/E11,0)</f>
        <v>0</v>
      </c>
      <c r="QR11" s="1" t="n">
        <f aca="false">IF(B11=0,IO11+IS11,0)</f>
        <v>0</v>
      </c>
      <c r="QS11" s="1" t="n">
        <f aca="false">IF(B11=0,IF(HT11=1,IQ11,IR11),0)</f>
        <v>0</v>
      </c>
      <c r="QT11" s="1" t="n">
        <f aca="false">IF(AQ11=1,IF(HT11=1,IX11+JA11,AR11-PX11)*(1+Slot3_Rate),0)</f>
        <v>0</v>
      </c>
      <c r="QU11" s="1" t="n">
        <f aca="false">IF(AND(HT11=1,AQ11=1),(IW11+JA11)/E11,0)</f>
        <v>0</v>
      </c>
      <c r="QV11" s="1" t="n">
        <f aca="false">IF(B11=0,IW11+JA11,0)</f>
        <v>0</v>
      </c>
      <c r="QW11" s="1" t="n">
        <f aca="false">IF(B11=0,IF(HT11=1,IY11,IZ11),0)</f>
        <v>0</v>
      </c>
      <c r="QX11" s="1" t="n">
        <f aca="false">IF(BA11=1,IF(HT11=1,JF11+JI11,BB11-PV11)*(1+Slot4_Rate),0)</f>
        <v>0</v>
      </c>
      <c r="QY11" s="1" t="n">
        <f aca="false">IF(AND(HT11=1,BA11=1),(JE11+JI11)/E11,0)</f>
        <v>0</v>
      </c>
      <c r="QZ11" s="1" t="n">
        <f aca="false">IF(B11=0,JE11+JI11,0)</f>
        <v>0</v>
      </c>
      <c r="RA11" s="1" t="n">
        <f aca="false">IF(B11=0,IF(HT11=1,JG11,JH11),0)</f>
        <v>0</v>
      </c>
      <c r="RB11" s="1" t="n">
        <f aca="false">IF(BK11=1,IF(HT11=1,JN11+JQ11,BL11-PT11)*(1+Slot5_Rate),0)</f>
        <v>0</v>
      </c>
      <c r="RC11" s="1" t="n">
        <f aca="false">IF(AND(HT11=1,BK11=1),(JM11+JQ11)/E11,0)</f>
        <v>0</v>
      </c>
      <c r="RD11" s="1" t="n">
        <f aca="false">IF(B11=0,JM11+JQ11,0)</f>
        <v>0</v>
      </c>
      <c r="RE11" s="1" t="n">
        <f aca="false">IF(B11=0,IF(HT11=1,JO11,JP11),0)</f>
        <v>0</v>
      </c>
      <c r="RF11" s="1" t="n">
        <f aca="false">IF(BU11=1,IF(HT11=1,JV11+JY11,BV11-PR11)*(1+Slot6_Rate),0)</f>
        <v>0</v>
      </c>
      <c r="RG11" s="1" t="n">
        <f aca="false">IF(AND(HT11=1,BU11=1),(JU11+JY11)/E11,0)</f>
        <v>0</v>
      </c>
      <c r="RH11" s="1" t="n">
        <f aca="false">IF(B11=0,JU11+JY11,0)</f>
        <v>0</v>
      </c>
      <c r="RI11" s="1" t="n">
        <f aca="false">IF(B11=0,IF(HT11=1,JW11,JX11),0)</f>
        <v>0</v>
      </c>
      <c r="RJ11" s="1" t="n">
        <f aca="false">IF(CE11=1,IF(HT11=1,KD11+KG11,CF11-PP11)*(1+Slot7_Rate),0)</f>
        <v>0</v>
      </c>
      <c r="RK11" s="1" t="n">
        <f aca="false">IF(AND(HT11=1,CE11=1),(KC11+KG11)/E11,0)</f>
        <v>0</v>
      </c>
      <c r="RL11" s="1" t="n">
        <f aca="false">IF(B11=0,KC11+KG11,0)</f>
        <v>0</v>
      </c>
      <c r="RM11" s="1" t="n">
        <f aca="false">IF(B11=0,IF(HT11=1,KE11,KF11),0)</f>
        <v>0</v>
      </c>
      <c r="RN11" s="1" t="n">
        <f aca="false">IF(CO11=1,IF(HT11=1,KL11+KO11,CP11-PN11)*(1+Slot8_Rate),0)</f>
        <v>0</v>
      </c>
      <c r="RO11" s="1" t="n">
        <f aca="false">IF(AND(HT11=1,CO11=1),(KK11+KO11)/E11,0)</f>
        <v>0</v>
      </c>
      <c r="RP11" s="1" t="n">
        <f aca="false">IF(B11=0,KK11+KO11,0)</f>
        <v>0</v>
      </c>
      <c r="RQ11" s="1" t="n">
        <f aca="false">IF(B11=0,IF(HT11=1,KM11,KN11),0)</f>
        <v>0</v>
      </c>
      <c r="RR11" s="1" t="n">
        <f aca="false">IF(CY11=1,IF(HT11=1,KT11+KW11,CZ11-PL11)*(1+Slot9_Rate),0)</f>
        <v>0</v>
      </c>
      <c r="RS11" s="1" t="n">
        <f aca="false">IF(AND(HT11=1,CY11=1),(KS11+KW11)/E11,0)</f>
        <v>0</v>
      </c>
      <c r="RT11" s="1" t="n">
        <f aca="false">IF(B11=0,KS11+KW11,0)</f>
        <v>0</v>
      </c>
      <c r="RU11" s="1" t="n">
        <f aca="false">IF(B11=0,IF(HT11=1,KU11,KV11),0)</f>
        <v>0</v>
      </c>
      <c r="RV11" s="1" t="n">
        <f aca="false">IF(DI11=1,IF(HT11=1,LB11+LE11,DJ11-PJ11)*(1+Slot10_Rate),0)</f>
        <v>0</v>
      </c>
      <c r="RW11" s="1" t="n">
        <f aca="false">IF(AND(HT11=1,DI11=1),(LA11+LE11)/E11,0)</f>
        <v>0</v>
      </c>
      <c r="RX11" s="1" t="n">
        <f aca="false">IF(B11=0,LA11+LE11,0)</f>
        <v>0</v>
      </c>
      <c r="RY11" s="1" t="n">
        <f aca="false">IF(B11=0,IF(HT11=1,LC11,LD11),0)</f>
        <v>0</v>
      </c>
      <c r="RZ11" s="1" t="n">
        <f aca="false">IF(DS11=1,IF(HT11=1,LJ11+LM11,DT11-PH11)*(1+Slot11_Rate),0)</f>
        <v>0</v>
      </c>
      <c r="SA11" s="1" t="n">
        <f aca="false">IF(AND(HT11=1,DS11=1),(LI11+LM11)/E11,0)</f>
        <v>0</v>
      </c>
      <c r="SB11" s="1" t="n">
        <f aca="false">IF(B11=0,LI11+LM11,0)</f>
        <v>0</v>
      </c>
      <c r="SC11" s="1" t="n">
        <f aca="false">IF(B11=0,IF(HT11=1,LK11,LL11),0)</f>
        <v>0</v>
      </c>
      <c r="SD11" s="1" t="n">
        <f aca="false">IF(EC11=1,IF(HT11=1,LR11+LU11,ED11-PF11)*(1+Slot12_Rate),0)</f>
        <v>0</v>
      </c>
      <c r="SE11" s="1" t="n">
        <f aca="false">IF(AND(HT11=1,EC11=1),(LQ11+LU11)/E11,0)</f>
        <v>0</v>
      </c>
      <c r="SF11" s="1" t="n">
        <f aca="false">IF(B11=0,LQ11+LU11,0)</f>
        <v>0</v>
      </c>
      <c r="SG11" s="1" t="n">
        <f aca="false">IF(B11=0,IF(HT11=1,LS11,LT11),0)</f>
        <v>0</v>
      </c>
      <c r="SH11" s="1" t="n">
        <f aca="false">IF(EM11=1,IF(HT11=1,LZ11+MC11,EN11-PD11)*(1+Slot13_Rate),0)</f>
        <v>0</v>
      </c>
      <c r="SI11" s="1" t="n">
        <f aca="false">IF(AND(HT11=1,EM11=1),(LY11+MC11)/E11,0)</f>
        <v>0</v>
      </c>
      <c r="SJ11" s="1" t="n">
        <f aca="false">IF(B11=0,LY11+MC11,0)</f>
        <v>0</v>
      </c>
      <c r="SK11" s="1" t="n">
        <f aca="false">IF(B11=0,IF(HT11=1,MA11,MB11),0)</f>
        <v>0</v>
      </c>
      <c r="SL11" s="1" t="n">
        <f aca="false">IF(EW11=1,IF(HT11=1,MH11+MK11,EX11-PB11)*(1+Slot14_Rate),0)</f>
        <v>0</v>
      </c>
      <c r="SM11" s="1" t="n">
        <f aca="false">IF(AND(HT11=1,EW11=1),(MG11+MK11)/E11,0)</f>
        <v>0</v>
      </c>
      <c r="SN11" s="1" t="n">
        <f aca="false">IF(B11=0,MG11+MK11,0)</f>
        <v>0</v>
      </c>
      <c r="SO11" s="1" t="n">
        <f aca="false">IF(B11=0,IF(HT11=1,MI11,MJ11),0)</f>
        <v>0</v>
      </c>
      <c r="SP11" s="1" t="n">
        <f aca="false">IF(FG11=1,IF(HT11=1,MP11+MS11,FH11-OZ11)*(1+Slot15_Rate),0)</f>
        <v>0</v>
      </c>
      <c r="SQ11" s="1" t="n">
        <f aca="false">IF(AND(HT11=1,FG11=1),(MO11+MS11)/E11,0)</f>
        <v>0</v>
      </c>
      <c r="SR11" s="1" t="n">
        <f aca="false">IF(B11=0,MO11+MS11,0)</f>
        <v>0</v>
      </c>
      <c r="SS11" s="1" t="n">
        <f aca="false">IF(B11=0,IF(HT11=1,MQ11,MR11),0)</f>
        <v>0</v>
      </c>
      <c r="ST11" s="1" t="n">
        <f aca="false">IF(FQ11=1,IF(HT11=1,MX11+NA11,FR11-OX11)*(1+Slot16_Rate),0)</f>
        <v>0</v>
      </c>
      <c r="SU11" s="1" t="n">
        <f aca="false">IF(AND(HT11=1,FQ11=1),(MW11+NA11)/E11,0)</f>
        <v>0</v>
      </c>
      <c r="SV11" s="1" t="n">
        <f aca="false">IF(B11=0,MW11+NA11,0)</f>
        <v>0</v>
      </c>
      <c r="SW11" s="1" t="n">
        <f aca="false">IF(B11=0,IF(HT11=1,MY11,MZ11),0)</f>
        <v>0</v>
      </c>
      <c r="SX11" s="1" t="n">
        <f aca="false">IF(GA11=1,IF(HT11=1,NF11+NI11,GB11-OV11)*(1+Slot17_Rate),0)</f>
        <v>0</v>
      </c>
      <c r="SY11" s="1" t="n">
        <f aca="false">IF(AND(HT11=1,GA11=1),(NE11+NI11)/E11,0)</f>
        <v>0</v>
      </c>
      <c r="SZ11" s="1" t="n">
        <f aca="false">IF(B11=0,NE11+NI11,0)</f>
        <v>0</v>
      </c>
      <c r="TA11" s="1" t="n">
        <f aca="false">IF(B11=0,IF(HT11=1,NG11,NH11),0)</f>
        <v>0</v>
      </c>
      <c r="TB11" s="1" t="n">
        <f aca="false">IF(GK11=1,IF(HT11=1,NN11+NQ11,GL11-OT11)*(1+Slot18_Rate),0)</f>
        <v>0</v>
      </c>
      <c r="TC11" s="1" t="n">
        <f aca="false">IF(AND(HT11=1,GK11=1),(NM11+NQ11)/E11,0)</f>
        <v>0</v>
      </c>
      <c r="TD11" s="1" t="n">
        <f aca="false">IF(B11=0,NM11+NQ11,0)</f>
        <v>0</v>
      </c>
      <c r="TE11" s="1" t="n">
        <f aca="false">IF(B11=0,IF(HT11=1,NO11,NP11),0)</f>
        <v>0</v>
      </c>
      <c r="TF11" s="1" t="n">
        <f aca="false">IF(GU11=1,IF(HT11=1,NV11+NY11,GV11-OR11)*(1+Slot19_Rate),0)</f>
        <v>0</v>
      </c>
      <c r="TG11" s="1" t="n">
        <f aca="false">IF(AND(HT11=1,GU11=1),(NU11+NY11)/E11,0)</f>
        <v>0</v>
      </c>
      <c r="TH11" s="1" t="n">
        <f aca="false">IF(B11=0,NU11+NY11,0)</f>
        <v>0</v>
      </c>
      <c r="TI11" s="1" t="n">
        <f aca="false">IF(B11=0,IF(HT11=1,NW11,NX11),0)</f>
        <v>0</v>
      </c>
      <c r="TJ11" s="1" t="n">
        <f aca="false">IF(HE11=1,IF(HT11=1,OD11+OG11,HF11-OP11)*(1+Slot20_Rate),0)</f>
        <v>0</v>
      </c>
      <c r="TK11" s="1" t="n">
        <f aca="false">IF(AND(HT11=1,HE11=1),(OC11+OG11)/E11,0)</f>
        <v>0</v>
      </c>
      <c r="TL11" s="1" t="n">
        <f aca="false">IF(B11=0,OC11+OG11,0)</f>
        <v>0</v>
      </c>
      <c r="TM11" s="1" t="n">
        <f aca="false">IF(B11=0,IF(HT11=1,OE11,OF11),0)</f>
        <v>0</v>
      </c>
      <c r="TN11" s="1" t="n">
        <f aca="false">QJ11+QK11+QL11+QP11+QT11+QX11+RB11+RF11+RJ11+RN11+RR11+RV11+RZ11+SD11+SH11+SL11+SP11+ST11+SX11+TB11+TF11+TJ11</f>
        <v>0</v>
      </c>
      <c r="TO11" s="1" t="n">
        <f aca="false">QD11+HO11</f>
        <v>0</v>
      </c>
      <c r="TP11" s="1" t="n">
        <f aca="false">H11+R11</f>
        <v>0</v>
      </c>
      <c r="TQ11" s="1" t="n">
        <f aca="false">1-F11</f>
        <v>0</v>
      </c>
      <c r="TR11" s="1" t="n">
        <f aca="false">IF(AND(RG_Exists=1,F11=0,C11=1),H11,0)</f>
        <v>0</v>
      </c>
      <c r="TS11" s="1" t="n">
        <f aca="false">IF(AND(RG_Exists=1,F11=0,C11=1),H11-MIN(QD11,H11),0)</f>
        <v>0</v>
      </c>
      <c r="TT11" s="1" t="n">
        <f aca="false">'Plan pay &amp; tax'!AD237</f>
        <v>0</v>
      </c>
      <c r="TU11" s="1" t="n">
        <f aca="false">IF(AND(C11=1,QD11&gt;MAX(PR_Short1,TP11*PR_Short2)),1,0)</f>
        <v>0</v>
      </c>
      <c r="TV11" s="1" t="n">
        <f aca="false">MIN(G11,H11+R11)</f>
        <v>0</v>
      </c>
      <c r="TW11" s="1" t="n">
        <f aca="false">QE11+MAX(0,HP11-HO11)</f>
        <v>0</v>
      </c>
      <c r="TX11" s="1" t="n">
        <f aca="false">QD11+HO11</f>
        <v>0</v>
      </c>
      <c r="TY11" s="1" t="n">
        <f aca="false">IF(AND(C11=1,TX11&gt;PR_MinShort),1,0)</f>
        <v>0</v>
      </c>
      <c r="TZ11" s="1" t="n">
        <f aca="false">IF(AND(C11=1,TY11=0,TW11&gt;PR_MinShort),1,0)</f>
        <v>0</v>
      </c>
      <c r="UA11" s="1" t="n">
        <f aca="false">IF(AND(C11=1,QD11&gt;PR_MinShort),1,0)</f>
        <v>0</v>
      </c>
      <c r="UB11" s="1" t="n">
        <f aca="false">IF(AND(C11=1,QE11&gt;1,UI11=0),1,0)</f>
        <v>0</v>
      </c>
      <c r="UC11" s="1" t="str">
        <f aca="false">IF(C11=0,"",IF(UI11=1,"Gap to plan for: short "&amp;"€"&amp;TEXT(ROUND(TO11,0),"#,##0"),IF(QE11&gt;1,"Using savings","Comfortable")))</f>
        <v>Comfortable</v>
      </c>
      <c r="UD11" s="1" t="n">
        <f aca="false">IF(AND(INT(D11/10)*10=90,B11&gt;0),80,INT(D11/10)*10)</f>
        <v>0</v>
      </c>
      <c r="UE11" s="1" t="n">
        <f aca="false">IF(B11=0,1,IF(UD11&lt;&gt;UD10,UE10+1,UE10))</f>
        <v>1</v>
      </c>
      <c r="UF11" s="1" t="n">
        <f aca="false">IF(AND(C11=1,F11=1,QD11&gt;MAX(PR_Short1,TP11*PR_Short2)),1,0)</f>
        <v>0</v>
      </c>
      <c r="UG11" s="1" t="n">
        <f aca="false">TQ11*TU11</f>
        <v>0</v>
      </c>
      <c r="UH11" s="1" t="n">
        <f aca="false">IF(AND(U11=1,Slot1_PctLow=1),1,0)+IF(AND(AF11=1,Slot2_PctLow=1),1,0)+IF(AND(AP11=1,Slot3_PctLow=1),1,0)+IF(AND(AZ11=1,Slot4_PctLow=1),1,0)+IF(AND(BJ11=1,Slot5_PctLow=1),1,0)+IF(AND(BT11=1,Slot6_PctLow=1),1,0)+IF(AND(CD11=1,Slot7_PctLow=1),1,0)+IF(AND(CN11=1,Slot8_PctLow=1),1,0)+IF(AND(CX11=1,Slot9_PctLow=1),1,0)+IF(AND(DH11=1,Slot10_PctLow=1),1,0)+IF(AND(DR11=1,Slot11_PctLow=1),1,0)+IF(AND(EB11=1,Slot12_PctLow=1),1,0)+IF(AND(EL11=1,Slot13_PctLow=1),1,0)+IF(AND(EV11=1,Slot14_PctLow=1),1,0)+IF(AND(FF11=1,Slot15_PctLow=1),1,0)+IF(AND(FP11=1,Slot16_PctLow=1),1,0)+IF(AND(FZ11=1,Slot17_PctLow=1),1,0)+IF(AND(GJ11=1,Slot18_PctLow=1),1,0)+IF(AND(GT11=1,Slot19_PctLow=1),1,0)+IF(AND(HD11=1,Slot20_PctLow=1),1,0)</f>
        <v>0</v>
      </c>
      <c r="UI11" s="1" t="n">
        <f aca="false">IF(C11=1,IF(OR(TU11=1,UH11&gt;0),1,0),0)</f>
        <v>0</v>
      </c>
    </row>
    <row r="12" customFormat="false" ht="15" hidden="false" customHeight="true" outlineLevel="0" collapsed="false">
      <c r="B12" s="1" t="n">
        <v>4</v>
      </c>
      <c r="C12" s="1" t="n">
        <f aca="false">IF(B12&lt;=F_N,1,0)</f>
        <v>1</v>
      </c>
      <c r="D12" s="1" t="n">
        <f aca="false">'Plan pay &amp; tax'!C238</f>
        <v>4</v>
      </c>
      <c r="E12" s="111" t="n">
        <f aca="false">'Plan pay &amp; tax'!E238</f>
        <v>1.08243216</v>
      </c>
      <c r="F12" s="1" t="n">
        <f aca="false">'Plan pay &amp; tax'!G238</f>
        <v>1</v>
      </c>
      <c r="G12" s="1" t="n">
        <f aca="false">'Plan pay &amp; tax'!BT238-'Plan pay &amp; tax'!BS238-'Plan pay &amp; tax'!R238</f>
        <v>0</v>
      </c>
      <c r="H12" s="1" t="n">
        <f aca="false">IF(F12=1,F_CostsM*12,IF(RG_Exists=1,RG_Amount,F_CostsM*12*AS_RetireSpend))*E12+F_OneOffY*E12</f>
        <v>0</v>
      </c>
      <c r="I12" s="1" t="n">
        <f aca="false">HQ11</f>
        <v>0</v>
      </c>
      <c r="J12" s="1" t="n">
        <f aca="false">IF(I12&gt;1,'Plan debt months'!AC12,0)</f>
        <v>0</v>
      </c>
      <c r="K12" s="1" t="n">
        <f aca="false">IF(I12&gt;1,'Plan debt months'!AB12,I12)</f>
        <v>0</v>
      </c>
      <c r="L12" s="1" t="n">
        <f aca="false">N11</f>
        <v>0</v>
      </c>
      <c r="M12" s="1" t="n">
        <f aca="false">IF(L12&gt;1,'Plan debt months'!BD12,0)</f>
        <v>0</v>
      </c>
      <c r="N12" s="1" t="n">
        <f aca="false">IF(L12&gt;1,'Plan debt months'!BC12,L12)</f>
        <v>0</v>
      </c>
      <c r="O12" s="1" t="n">
        <f aca="false">Q11</f>
        <v>0</v>
      </c>
      <c r="P12" s="1" t="n">
        <f aca="false">IF(O12&gt;1,'Plan debt months'!CE12,0)</f>
        <v>0</v>
      </c>
      <c r="Q12" s="1" t="n">
        <f aca="false">IF(O12&gt;1,'Plan debt months'!CD12,O12)</f>
        <v>0</v>
      </c>
      <c r="R12" s="1" t="n">
        <f aca="false">J12+M12+P12</f>
        <v>0</v>
      </c>
      <c r="S12" s="1" t="n">
        <f aca="false">QJ11+'Plan pay &amp; tax'!Y238</f>
        <v>0</v>
      </c>
      <c r="T12" s="1" t="n">
        <f aca="false">QJ11</f>
        <v>0</v>
      </c>
      <c r="U12" s="1" t="n">
        <f aca="false">IF(AND(Slot1_On=1,D12=Slot1_Age),1,0)</f>
        <v>0</v>
      </c>
      <c r="V12" s="1" t="n">
        <f aca="false">IF(AND(Slot1_On=1,Slot1_Age&gt;D12),1,0)</f>
        <v>0</v>
      </c>
      <c r="W12" s="1" t="n">
        <f aca="false">QL11</f>
        <v>0</v>
      </c>
      <c r="X12" s="1" t="n">
        <f aca="false">U12*MIN(Slot1_Cost,W12)</f>
        <v>0</v>
      </c>
      <c r="Y12" s="1" t="n">
        <f aca="false">U12*Slot1_SpendLike*MIN(Slot1_Cost-X12,S12)</f>
        <v>0</v>
      </c>
      <c r="Z12" s="1" t="n">
        <f aca="false">X12+Y12</f>
        <v>0</v>
      </c>
      <c r="AA12" s="1" t="n">
        <f aca="false">S12-Y12+U12*IF(Slot1_SpendLike=1,W12-X12,IF(Slot1_PotFree=1,W12,0))</f>
        <v>0</v>
      </c>
      <c r="AB12" s="1" t="n">
        <f aca="false">AE12+U12*Slot1_BufPot*W12</f>
        <v>0</v>
      </c>
      <c r="AC12" s="1" t="n">
        <f aca="false">IF(AND(U12=1,Slot1_IsMfree=1),IF(Z12&gt;=Slot1_Cost-1,0,MAX(0,K12-Z12)),K12)</f>
        <v>0</v>
      </c>
      <c r="AD12" s="1" t="n">
        <f aca="false">U12*(Slot1_Cost-Z12)</f>
        <v>0</v>
      </c>
      <c r="AE12" s="1" t="n">
        <f aca="false">QK11</f>
        <v>0</v>
      </c>
      <c r="AF12" s="1" t="n">
        <f aca="false">IF(AND(Slot2_On=1,D12=Slot2_Age),1,0)</f>
        <v>0</v>
      </c>
      <c r="AG12" s="1" t="n">
        <f aca="false">IF(AND(Slot2_On=1,Slot2_Age&gt;D12),1,0)</f>
        <v>0</v>
      </c>
      <c r="AH12" s="1" t="n">
        <f aca="false">QP11</f>
        <v>0</v>
      </c>
      <c r="AI12" s="1" t="n">
        <f aca="false">AF12*MIN(Slot2_Cost,AH12)</f>
        <v>0</v>
      </c>
      <c r="AJ12" s="1" t="n">
        <f aca="false">AF12*Slot2_SpendLike*MIN(Slot2_Cost-AI12,AA12)</f>
        <v>0</v>
      </c>
      <c r="AK12" s="1" t="n">
        <f aca="false">AI12+AJ12</f>
        <v>0</v>
      </c>
      <c r="AL12" s="1" t="n">
        <f aca="false">AA12-AJ12+AF12*IF(Slot2_SpendLike=1,AH12-AI12,IF(Slot2_PotFree=1,AH12,0))</f>
        <v>0</v>
      </c>
      <c r="AM12" s="1" t="n">
        <f aca="false">AB12+AF12*Slot2_BufPot*AH12</f>
        <v>0</v>
      </c>
      <c r="AN12" s="1" t="n">
        <f aca="false">IF(AND(AF12=1,Slot2_IsMfree=1),IF(AK12&gt;=Slot2_Cost-1,0,MAX(0,AC12-AK12)),AC12)</f>
        <v>0</v>
      </c>
      <c r="AO12" s="1" t="n">
        <f aca="false">AF12*(Slot2_Cost-AK12)</f>
        <v>0</v>
      </c>
      <c r="AP12" s="1" t="n">
        <f aca="false">IF(AND(Slot3_On=1,D12=Slot3_Age),1,0)</f>
        <v>0</v>
      </c>
      <c r="AQ12" s="1" t="n">
        <f aca="false">IF(AND(Slot3_On=1,Slot3_Age&gt;D12),1,0)</f>
        <v>0</v>
      </c>
      <c r="AR12" s="1" t="n">
        <f aca="false">QT11</f>
        <v>0</v>
      </c>
      <c r="AS12" s="1" t="n">
        <f aca="false">AP12*MIN(Slot3_Cost,AR12)</f>
        <v>0</v>
      </c>
      <c r="AT12" s="1" t="n">
        <f aca="false">AP12*Slot3_SpendLike*MIN(Slot3_Cost-AS12,AL12)</f>
        <v>0</v>
      </c>
      <c r="AU12" s="1" t="n">
        <f aca="false">AS12+AT12</f>
        <v>0</v>
      </c>
      <c r="AV12" s="1" t="n">
        <f aca="false">AL12-AT12+AP12*IF(Slot3_SpendLike=1,AR12-AS12,IF(Slot3_PotFree=1,AR12,0))</f>
        <v>0</v>
      </c>
      <c r="AW12" s="1" t="n">
        <f aca="false">AM12+AP12*Slot3_BufPot*AR12</f>
        <v>0</v>
      </c>
      <c r="AX12" s="1" t="n">
        <f aca="false">IF(AND(AP12=1,Slot3_IsMfree=1),IF(AU12&gt;=Slot3_Cost-1,0,MAX(0,AN12-AU12)),AN12)</f>
        <v>0</v>
      </c>
      <c r="AY12" s="1" t="n">
        <f aca="false">AP12*(Slot3_Cost-AU12)</f>
        <v>0</v>
      </c>
      <c r="AZ12" s="1" t="n">
        <f aca="false">IF(AND(Slot4_On=1,D12=Slot4_Age),1,0)</f>
        <v>0</v>
      </c>
      <c r="BA12" s="1" t="n">
        <f aca="false">IF(AND(Slot4_On=1,Slot4_Age&gt;D12),1,0)</f>
        <v>0</v>
      </c>
      <c r="BB12" s="1" t="n">
        <f aca="false">QX11</f>
        <v>0</v>
      </c>
      <c r="BC12" s="1" t="n">
        <f aca="false">AZ12*MIN(Slot4_Cost,BB12)</f>
        <v>0</v>
      </c>
      <c r="BD12" s="1" t="n">
        <f aca="false">AZ12*Slot4_SpendLike*MIN(Slot4_Cost-BC12,AV12)</f>
        <v>0</v>
      </c>
      <c r="BE12" s="1" t="n">
        <f aca="false">BC12+BD12</f>
        <v>0</v>
      </c>
      <c r="BF12" s="1" t="n">
        <f aca="false">AV12-BD12+AZ12*IF(Slot4_SpendLike=1,BB12-BC12,IF(Slot4_PotFree=1,BB12,0))</f>
        <v>0</v>
      </c>
      <c r="BG12" s="1" t="n">
        <f aca="false">AW12+AZ12*Slot4_BufPot*BB12</f>
        <v>0</v>
      </c>
      <c r="BH12" s="1" t="n">
        <f aca="false">IF(AND(AZ12=1,Slot4_IsMfree=1),IF(BE12&gt;=Slot4_Cost-1,0,MAX(0,AX12-BE12)),AX12)</f>
        <v>0</v>
      </c>
      <c r="BI12" s="1" t="n">
        <f aca="false">AZ12*(Slot4_Cost-BE12)</f>
        <v>0</v>
      </c>
      <c r="BJ12" s="1" t="n">
        <f aca="false">IF(AND(Slot5_On=1,D12=Slot5_Age),1,0)</f>
        <v>0</v>
      </c>
      <c r="BK12" s="1" t="n">
        <f aca="false">IF(AND(Slot5_On=1,Slot5_Age&gt;D12),1,0)</f>
        <v>0</v>
      </c>
      <c r="BL12" s="1" t="n">
        <f aca="false">RB11</f>
        <v>0</v>
      </c>
      <c r="BM12" s="1" t="n">
        <f aca="false">BJ12*MIN(Slot5_Cost,BL12)</f>
        <v>0</v>
      </c>
      <c r="BN12" s="1" t="n">
        <f aca="false">BJ12*Slot5_SpendLike*MIN(Slot5_Cost-BM12,BF12)</f>
        <v>0</v>
      </c>
      <c r="BO12" s="1" t="n">
        <f aca="false">BM12+BN12</f>
        <v>0</v>
      </c>
      <c r="BP12" s="1" t="n">
        <f aca="false">BF12-BN12+BJ12*IF(Slot5_SpendLike=1,BL12-BM12,IF(Slot5_PotFree=1,BL12,0))</f>
        <v>0</v>
      </c>
      <c r="BQ12" s="1" t="n">
        <f aca="false">BG12+BJ12*Slot5_BufPot*BL12</f>
        <v>0</v>
      </c>
      <c r="BR12" s="1" t="n">
        <f aca="false">IF(AND(BJ12=1,Slot5_IsMfree=1),IF(BO12&gt;=Slot5_Cost-1,0,MAX(0,BH12-BO12)),BH12)</f>
        <v>0</v>
      </c>
      <c r="BS12" s="1" t="n">
        <f aca="false">BJ12*(Slot5_Cost-BO12)</f>
        <v>0</v>
      </c>
      <c r="BT12" s="1" t="n">
        <f aca="false">IF(AND(Slot6_On=1,D12=Slot6_Age),1,0)</f>
        <v>0</v>
      </c>
      <c r="BU12" s="1" t="n">
        <f aca="false">IF(AND(Slot6_On=1,Slot6_Age&gt;D12),1,0)</f>
        <v>0</v>
      </c>
      <c r="BV12" s="1" t="n">
        <f aca="false">RF11</f>
        <v>0</v>
      </c>
      <c r="BW12" s="1" t="n">
        <f aca="false">BT12*MIN(Slot6_Cost,BV12)</f>
        <v>0</v>
      </c>
      <c r="BX12" s="1" t="n">
        <f aca="false">BT12*Slot6_SpendLike*MIN(Slot6_Cost-BW12,BP12)</f>
        <v>0</v>
      </c>
      <c r="BY12" s="1" t="n">
        <f aca="false">BW12+BX12</f>
        <v>0</v>
      </c>
      <c r="BZ12" s="1" t="n">
        <f aca="false">BP12-BX12+BT12*IF(Slot6_SpendLike=1,BV12-BW12,IF(Slot6_PotFree=1,BV12,0))</f>
        <v>0</v>
      </c>
      <c r="CA12" s="1" t="n">
        <f aca="false">BQ12+BT12*Slot6_BufPot*BV12</f>
        <v>0</v>
      </c>
      <c r="CB12" s="1" t="n">
        <f aca="false">IF(AND(BT12=1,Slot6_IsMfree=1),IF(BY12&gt;=Slot6_Cost-1,0,MAX(0,BR12-BY12)),BR12)</f>
        <v>0</v>
      </c>
      <c r="CC12" s="1" t="n">
        <f aca="false">BT12*(Slot6_Cost-BY12)</f>
        <v>0</v>
      </c>
      <c r="CD12" s="1" t="n">
        <f aca="false">IF(AND(Slot7_On=1,D12=Slot7_Age),1,0)</f>
        <v>0</v>
      </c>
      <c r="CE12" s="1" t="n">
        <f aca="false">IF(AND(Slot7_On=1,Slot7_Age&gt;D12),1,0)</f>
        <v>0</v>
      </c>
      <c r="CF12" s="1" t="n">
        <f aca="false">RJ11</f>
        <v>0</v>
      </c>
      <c r="CG12" s="1" t="n">
        <f aca="false">CD12*MIN(Slot7_Cost,CF12)</f>
        <v>0</v>
      </c>
      <c r="CH12" s="1" t="n">
        <f aca="false">CD12*Slot7_SpendLike*MIN(Slot7_Cost-CG12,BZ12)</f>
        <v>0</v>
      </c>
      <c r="CI12" s="1" t="n">
        <f aca="false">CG12+CH12</f>
        <v>0</v>
      </c>
      <c r="CJ12" s="1" t="n">
        <f aca="false">BZ12-CH12+CD12*IF(Slot7_SpendLike=1,CF12-CG12,IF(Slot7_PotFree=1,CF12,0))</f>
        <v>0</v>
      </c>
      <c r="CK12" s="1" t="n">
        <f aca="false">CA12+CD12*Slot7_BufPot*CF12</f>
        <v>0</v>
      </c>
      <c r="CL12" s="1" t="n">
        <f aca="false">IF(AND(CD12=1,Slot7_IsMfree=1),IF(CI12&gt;=Slot7_Cost-1,0,MAX(0,CB12-CI12)),CB12)</f>
        <v>0</v>
      </c>
      <c r="CM12" s="1" t="n">
        <f aca="false">CD12*(Slot7_Cost-CI12)</f>
        <v>0</v>
      </c>
      <c r="CN12" s="1" t="n">
        <f aca="false">IF(AND(Slot8_On=1,D12=Slot8_Age),1,0)</f>
        <v>0</v>
      </c>
      <c r="CO12" s="1" t="n">
        <f aca="false">IF(AND(Slot8_On=1,Slot8_Age&gt;D12),1,0)</f>
        <v>0</v>
      </c>
      <c r="CP12" s="1" t="n">
        <f aca="false">RN11</f>
        <v>0</v>
      </c>
      <c r="CQ12" s="1" t="n">
        <f aca="false">CN12*MIN(Slot8_Cost,CP12)</f>
        <v>0</v>
      </c>
      <c r="CR12" s="1" t="n">
        <f aca="false">CN12*Slot8_SpendLike*MIN(Slot8_Cost-CQ12,CJ12)</f>
        <v>0</v>
      </c>
      <c r="CS12" s="1" t="n">
        <f aca="false">CQ12+CR12</f>
        <v>0</v>
      </c>
      <c r="CT12" s="1" t="n">
        <f aca="false">CJ12-CR12+CN12*IF(Slot8_SpendLike=1,CP12-CQ12,IF(Slot8_PotFree=1,CP12,0))</f>
        <v>0</v>
      </c>
      <c r="CU12" s="1" t="n">
        <f aca="false">CK12+CN12*Slot8_BufPot*CP12</f>
        <v>0</v>
      </c>
      <c r="CV12" s="1" t="n">
        <f aca="false">IF(AND(CN12=1,Slot8_IsMfree=1),IF(CS12&gt;=Slot8_Cost-1,0,MAX(0,CL12-CS12)),CL12)</f>
        <v>0</v>
      </c>
      <c r="CW12" s="1" t="n">
        <f aca="false">CN12*(Slot8_Cost-CS12)</f>
        <v>0</v>
      </c>
      <c r="CX12" s="1" t="n">
        <f aca="false">IF(AND(Slot9_On=1,D12=Slot9_Age),1,0)</f>
        <v>0</v>
      </c>
      <c r="CY12" s="1" t="n">
        <f aca="false">IF(AND(Slot9_On=1,Slot9_Age&gt;D12),1,0)</f>
        <v>0</v>
      </c>
      <c r="CZ12" s="1" t="n">
        <f aca="false">RR11</f>
        <v>0</v>
      </c>
      <c r="DA12" s="1" t="n">
        <f aca="false">CX12*MIN(Slot9_Cost,CZ12)</f>
        <v>0</v>
      </c>
      <c r="DB12" s="1" t="n">
        <f aca="false">CX12*Slot9_SpendLike*MIN(Slot9_Cost-DA12,CT12)</f>
        <v>0</v>
      </c>
      <c r="DC12" s="1" t="n">
        <f aca="false">DA12+DB12</f>
        <v>0</v>
      </c>
      <c r="DD12" s="1" t="n">
        <f aca="false">CT12-DB12+CX12*IF(Slot9_SpendLike=1,CZ12-DA12,IF(Slot9_PotFree=1,CZ12,0))</f>
        <v>0</v>
      </c>
      <c r="DE12" s="1" t="n">
        <f aca="false">CU12+CX12*Slot9_BufPot*CZ12</f>
        <v>0</v>
      </c>
      <c r="DF12" s="1" t="n">
        <f aca="false">IF(AND(CX12=1,Slot9_IsMfree=1),IF(DC12&gt;=Slot9_Cost-1,0,MAX(0,CV12-DC12)),CV12)</f>
        <v>0</v>
      </c>
      <c r="DG12" s="1" t="n">
        <f aca="false">CX12*(Slot9_Cost-DC12)</f>
        <v>0</v>
      </c>
      <c r="DH12" s="1" t="n">
        <f aca="false">IF(AND(Slot10_On=1,D12=Slot10_Age),1,0)</f>
        <v>0</v>
      </c>
      <c r="DI12" s="1" t="n">
        <f aca="false">IF(AND(Slot10_On=1,Slot10_Age&gt;D12),1,0)</f>
        <v>0</v>
      </c>
      <c r="DJ12" s="1" t="n">
        <f aca="false">RV11</f>
        <v>0</v>
      </c>
      <c r="DK12" s="1" t="n">
        <f aca="false">DH12*MIN(Slot10_Cost,DJ12)</f>
        <v>0</v>
      </c>
      <c r="DL12" s="1" t="n">
        <f aca="false">DH12*Slot10_SpendLike*MIN(Slot10_Cost-DK12,DD12)</f>
        <v>0</v>
      </c>
      <c r="DM12" s="1" t="n">
        <f aca="false">DK12+DL12</f>
        <v>0</v>
      </c>
      <c r="DN12" s="1" t="n">
        <f aca="false">DD12-DL12+DH12*IF(Slot10_SpendLike=1,DJ12-DK12,IF(Slot10_PotFree=1,DJ12,0))</f>
        <v>0</v>
      </c>
      <c r="DO12" s="1" t="n">
        <f aca="false">DE12+DH12*Slot10_BufPot*DJ12</f>
        <v>0</v>
      </c>
      <c r="DP12" s="1" t="n">
        <f aca="false">IF(AND(DH12=1,Slot10_IsMfree=1),IF(DM12&gt;=Slot10_Cost-1,0,MAX(0,DF12-DM12)),DF12)</f>
        <v>0</v>
      </c>
      <c r="DQ12" s="1" t="n">
        <f aca="false">DH12*(Slot10_Cost-DM12)</f>
        <v>0</v>
      </c>
      <c r="DR12" s="1" t="n">
        <f aca="false">IF(AND(Slot11_On=1,D12=Slot11_Age),1,0)</f>
        <v>0</v>
      </c>
      <c r="DS12" s="1" t="n">
        <f aca="false">IF(AND(Slot11_On=1,Slot11_Age&gt;D12),1,0)</f>
        <v>0</v>
      </c>
      <c r="DT12" s="1" t="n">
        <f aca="false">RZ11</f>
        <v>0</v>
      </c>
      <c r="DU12" s="1" t="n">
        <f aca="false">DR12*MIN(Slot11_Cost,DT12)</f>
        <v>0</v>
      </c>
      <c r="DV12" s="1" t="n">
        <f aca="false">DR12*Slot11_SpendLike*MIN(Slot11_Cost-DU12,DN12)</f>
        <v>0</v>
      </c>
      <c r="DW12" s="1" t="n">
        <f aca="false">DU12+DV12</f>
        <v>0</v>
      </c>
      <c r="DX12" s="1" t="n">
        <f aca="false">DN12-DV12+DR12*IF(Slot11_SpendLike=1,DT12-DU12,IF(Slot11_PotFree=1,DT12,0))</f>
        <v>0</v>
      </c>
      <c r="DY12" s="1" t="n">
        <f aca="false">DO12+DR12*Slot11_BufPot*DT12</f>
        <v>0</v>
      </c>
      <c r="DZ12" s="1" t="n">
        <f aca="false">IF(AND(DR12=1,Slot11_IsMfree=1),IF(DW12&gt;=Slot11_Cost-1,0,MAX(0,DP12-DW12)),DP12)</f>
        <v>0</v>
      </c>
      <c r="EA12" s="1" t="n">
        <f aca="false">DR12*(Slot11_Cost-DW12)</f>
        <v>0</v>
      </c>
      <c r="EB12" s="1" t="n">
        <f aca="false">IF(AND(Slot12_On=1,D12=Slot12_Age),1,0)</f>
        <v>0</v>
      </c>
      <c r="EC12" s="1" t="n">
        <f aca="false">IF(AND(Slot12_On=1,Slot12_Age&gt;D12),1,0)</f>
        <v>0</v>
      </c>
      <c r="ED12" s="1" t="n">
        <f aca="false">SD11</f>
        <v>0</v>
      </c>
      <c r="EE12" s="1" t="n">
        <f aca="false">EB12*MIN(Slot12_Cost,ED12)</f>
        <v>0</v>
      </c>
      <c r="EF12" s="1" t="n">
        <f aca="false">EB12*Slot12_SpendLike*MIN(Slot12_Cost-EE12,DX12)</f>
        <v>0</v>
      </c>
      <c r="EG12" s="1" t="n">
        <f aca="false">EE12+EF12</f>
        <v>0</v>
      </c>
      <c r="EH12" s="1" t="n">
        <f aca="false">DX12-EF12+EB12*IF(Slot12_SpendLike=1,ED12-EE12,IF(Slot12_PotFree=1,ED12,0))</f>
        <v>0</v>
      </c>
      <c r="EI12" s="1" t="n">
        <f aca="false">DY12+EB12*Slot12_BufPot*ED12</f>
        <v>0</v>
      </c>
      <c r="EJ12" s="1" t="n">
        <f aca="false">IF(AND(EB12=1,Slot12_IsMfree=1),IF(EG12&gt;=Slot12_Cost-1,0,MAX(0,DZ12-EG12)),DZ12)</f>
        <v>0</v>
      </c>
      <c r="EK12" s="1" t="n">
        <f aca="false">EB12*(Slot12_Cost-EG12)</f>
        <v>0</v>
      </c>
      <c r="EL12" s="1" t="n">
        <f aca="false">IF(AND(Slot13_On=1,D12=Slot13_Age),1,0)</f>
        <v>0</v>
      </c>
      <c r="EM12" s="1" t="n">
        <f aca="false">IF(AND(Slot13_On=1,Slot13_Age&gt;D12),1,0)</f>
        <v>0</v>
      </c>
      <c r="EN12" s="1" t="n">
        <f aca="false">SH11</f>
        <v>0</v>
      </c>
      <c r="EO12" s="1" t="n">
        <f aca="false">EL12*MIN(Slot13_Cost,EN12)</f>
        <v>0</v>
      </c>
      <c r="EP12" s="1" t="n">
        <f aca="false">EL12*Slot13_SpendLike*MIN(Slot13_Cost-EO12,EH12)</f>
        <v>0</v>
      </c>
      <c r="EQ12" s="1" t="n">
        <f aca="false">EO12+EP12</f>
        <v>0</v>
      </c>
      <c r="ER12" s="1" t="n">
        <f aca="false">EH12-EP12+EL12*IF(Slot13_SpendLike=1,EN12-EO12,IF(Slot13_PotFree=1,EN12,0))</f>
        <v>0</v>
      </c>
      <c r="ES12" s="1" t="n">
        <f aca="false">EI12+EL12*Slot13_BufPot*EN12</f>
        <v>0</v>
      </c>
      <c r="ET12" s="1" t="n">
        <f aca="false">IF(AND(EL12=1,Slot13_IsMfree=1),IF(EQ12&gt;=Slot13_Cost-1,0,MAX(0,EJ12-EQ12)),EJ12)</f>
        <v>0</v>
      </c>
      <c r="EU12" s="1" t="n">
        <f aca="false">EL12*(Slot13_Cost-EQ12)</f>
        <v>0</v>
      </c>
      <c r="EV12" s="1" t="n">
        <f aca="false">IF(AND(Slot14_On=1,D12=Slot14_Age),1,0)</f>
        <v>0</v>
      </c>
      <c r="EW12" s="1" t="n">
        <f aca="false">IF(AND(Slot14_On=1,Slot14_Age&gt;D12),1,0)</f>
        <v>0</v>
      </c>
      <c r="EX12" s="1" t="n">
        <f aca="false">SL11</f>
        <v>0</v>
      </c>
      <c r="EY12" s="1" t="n">
        <f aca="false">EV12*MIN(Slot14_Cost,EX12)</f>
        <v>0</v>
      </c>
      <c r="EZ12" s="1" t="n">
        <f aca="false">EV12*Slot14_SpendLike*MIN(Slot14_Cost-EY12,ER12)</f>
        <v>0</v>
      </c>
      <c r="FA12" s="1" t="n">
        <f aca="false">EY12+EZ12</f>
        <v>0</v>
      </c>
      <c r="FB12" s="1" t="n">
        <f aca="false">ER12-EZ12+EV12*IF(Slot14_SpendLike=1,EX12-EY12,IF(Slot14_PotFree=1,EX12,0))</f>
        <v>0</v>
      </c>
      <c r="FC12" s="1" t="n">
        <f aca="false">ES12+EV12*Slot14_BufPot*EX12</f>
        <v>0</v>
      </c>
      <c r="FD12" s="1" t="n">
        <f aca="false">IF(AND(EV12=1,Slot14_IsMfree=1),IF(FA12&gt;=Slot14_Cost-1,0,MAX(0,ET12-FA12)),ET12)</f>
        <v>0</v>
      </c>
      <c r="FE12" s="1" t="n">
        <f aca="false">EV12*(Slot14_Cost-FA12)</f>
        <v>0</v>
      </c>
      <c r="FF12" s="1" t="n">
        <f aca="false">IF(AND(Slot15_On=1,D12=Slot15_Age),1,0)</f>
        <v>0</v>
      </c>
      <c r="FG12" s="1" t="n">
        <f aca="false">IF(AND(Slot15_On=1,Slot15_Age&gt;D12),1,0)</f>
        <v>0</v>
      </c>
      <c r="FH12" s="1" t="n">
        <f aca="false">SP11</f>
        <v>0</v>
      </c>
      <c r="FI12" s="1" t="n">
        <f aca="false">FF12*MIN(Slot15_Cost,FH12)</f>
        <v>0</v>
      </c>
      <c r="FJ12" s="1" t="n">
        <f aca="false">FF12*Slot15_SpendLike*MIN(Slot15_Cost-FI12,FB12)</f>
        <v>0</v>
      </c>
      <c r="FK12" s="1" t="n">
        <f aca="false">FI12+FJ12</f>
        <v>0</v>
      </c>
      <c r="FL12" s="1" t="n">
        <f aca="false">FB12-FJ12+FF12*IF(Slot15_SpendLike=1,FH12-FI12,IF(Slot15_PotFree=1,FH12,0))</f>
        <v>0</v>
      </c>
      <c r="FM12" s="1" t="n">
        <f aca="false">FC12+FF12*Slot15_BufPot*FH12</f>
        <v>0</v>
      </c>
      <c r="FN12" s="1" t="n">
        <f aca="false">IF(AND(FF12=1,Slot15_IsMfree=1),IF(FK12&gt;=Slot15_Cost-1,0,MAX(0,FD12-FK12)),FD12)</f>
        <v>0</v>
      </c>
      <c r="FO12" s="1" t="n">
        <f aca="false">FF12*(Slot15_Cost-FK12)</f>
        <v>0</v>
      </c>
      <c r="FP12" s="1" t="n">
        <f aca="false">IF(AND(Slot16_On=1,D12=Slot16_Age),1,0)</f>
        <v>0</v>
      </c>
      <c r="FQ12" s="1" t="n">
        <f aca="false">IF(AND(Slot16_On=1,Slot16_Age&gt;D12),1,0)</f>
        <v>0</v>
      </c>
      <c r="FR12" s="1" t="n">
        <f aca="false">ST11</f>
        <v>0</v>
      </c>
      <c r="FS12" s="1" t="n">
        <f aca="false">FP12*MIN(Slot16_Cost,FR12)</f>
        <v>0</v>
      </c>
      <c r="FT12" s="1" t="n">
        <f aca="false">FP12*Slot16_SpendLike*MIN(Slot16_Cost-FS12,FL12)</f>
        <v>0</v>
      </c>
      <c r="FU12" s="1" t="n">
        <f aca="false">FS12+FT12</f>
        <v>0</v>
      </c>
      <c r="FV12" s="1" t="n">
        <f aca="false">FL12-FT12+FP12*IF(Slot16_SpendLike=1,FR12-FS12,IF(Slot16_PotFree=1,FR12,0))</f>
        <v>0</v>
      </c>
      <c r="FW12" s="1" t="n">
        <f aca="false">FM12+FP12*Slot16_BufPot*FR12</f>
        <v>0</v>
      </c>
      <c r="FX12" s="1" t="n">
        <f aca="false">IF(AND(FP12=1,Slot16_IsMfree=1),IF(FU12&gt;=Slot16_Cost-1,0,MAX(0,FN12-FU12)),FN12)</f>
        <v>0</v>
      </c>
      <c r="FY12" s="1" t="n">
        <f aca="false">FP12*(Slot16_Cost-FU12)</f>
        <v>0</v>
      </c>
      <c r="FZ12" s="1" t="n">
        <f aca="false">IF(AND(Slot17_On=1,D12=Slot17_Age),1,0)</f>
        <v>0</v>
      </c>
      <c r="GA12" s="1" t="n">
        <f aca="false">IF(AND(Slot17_On=1,Slot17_Age&gt;D12),1,0)</f>
        <v>0</v>
      </c>
      <c r="GB12" s="1" t="n">
        <f aca="false">SX11</f>
        <v>0</v>
      </c>
      <c r="GC12" s="1" t="n">
        <f aca="false">FZ12*MIN(Slot17_Cost,GB12)</f>
        <v>0</v>
      </c>
      <c r="GD12" s="1" t="n">
        <f aca="false">FZ12*Slot17_SpendLike*MIN(Slot17_Cost-GC12,FV12)</f>
        <v>0</v>
      </c>
      <c r="GE12" s="1" t="n">
        <f aca="false">GC12+GD12</f>
        <v>0</v>
      </c>
      <c r="GF12" s="1" t="n">
        <f aca="false">FV12-GD12+FZ12*IF(Slot17_SpendLike=1,GB12-GC12,IF(Slot17_PotFree=1,GB12,0))</f>
        <v>0</v>
      </c>
      <c r="GG12" s="1" t="n">
        <f aca="false">FW12+FZ12*Slot17_BufPot*GB12</f>
        <v>0</v>
      </c>
      <c r="GH12" s="1" t="n">
        <f aca="false">IF(AND(FZ12=1,Slot17_IsMfree=1),IF(GE12&gt;=Slot17_Cost-1,0,MAX(0,FX12-GE12)),FX12)</f>
        <v>0</v>
      </c>
      <c r="GI12" s="1" t="n">
        <f aca="false">FZ12*(Slot17_Cost-GE12)</f>
        <v>0</v>
      </c>
      <c r="GJ12" s="1" t="n">
        <f aca="false">IF(AND(Slot18_On=1,D12=Slot18_Age),1,0)</f>
        <v>0</v>
      </c>
      <c r="GK12" s="1" t="n">
        <f aca="false">IF(AND(Slot18_On=1,Slot18_Age&gt;D12),1,0)</f>
        <v>0</v>
      </c>
      <c r="GL12" s="1" t="n">
        <f aca="false">TB11</f>
        <v>0</v>
      </c>
      <c r="GM12" s="1" t="n">
        <f aca="false">GJ12*MIN(Slot18_Cost,GL12)</f>
        <v>0</v>
      </c>
      <c r="GN12" s="1" t="n">
        <f aca="false">GJ12*Slot18_SpendLike*MIN(Slot18_Cost-GM12,GF12)</f>
        <v>0</v>
      </c>
      <c r="GO12" s="1" t="n">
        <f aca="false">GM12+GN12</f>
        <v>0</v>
      </c>
      <c r="GP12" s="1" t="n">
        <f aca="false">GF12-GN12+GJ12*IF(Slot18_SpendLike=1,GL12-GM12,IF(Slot18_PotFree=1,GL12,0))</f>
        <v>0</v>
      </c>
      <c r="GQ12" s="1" t="n">
        <f aca="false">GG12+GJ12*Slot18_BufPot*GL12</f>
        <v>0</v>
      </c>
      <c r="GR12" s="1" t="n">
        <f aca="false">IF(AND(GJ12=1,Slot18_IsMfree=1),IF(GO12&gt;=Slot18_Cost-1,0,MAX(0,GH12-GO12)),GH12)</f>
        <v>0</v>
      </c>
      <c r="GS12" s="1" t="n">
        <f aca="false">GJ12*(Slot18_Cost-GO12)</f>
        <v>0</v>
      </c>
      <c r="GT12" s="1" t="n">
        <f aca="false">IF(AND(Slot19_On=1,D12=Slot19_Age),1,0)</f>
        <v>0</v>
      </c>
      <c r="GU12" s="1" t="n">
        <f aca="false">IF(AND(Slot19_On=1,Slot19_Age&gt;D12),1,0)</f>
        <v>0</v>
      </c>
      <c r="GV12" s="1" t="n">
        <f aca="false">TF11</f>
        <v>0</v>
      </c>
      <c r="GW12" s="1" t="n">
        <f aca="false">GT12*MIN(Slot19_Cost,GV12)</f>
        <v>0</v>
      </c>
      <c r="GX12" s="1" t="n">
        <f aca="false">GT12*Slot19_SpendLike*MIN(Slot19_Cost-GW12,GP12)</f>
        <v>0</v>
      </c>
      <c r="GY12" s="1" t="n">
        <f aca="false">GW12+GX12</f>
        <v>0</v>
      </c>
      <c r="GZ12" s="1" t="n">
        <f aca="false">GP12-GX12+GT12*IF(Slot19_SpendLike=1,GV12-GW12,IF(Slot19_PotFree=1,GV12,0))</f>
        <v>0</v>
      </c>
      <c r="HA12" s="1" t="n">
        <f aca="false">GQ12+GT12*Slot19_BufPot*GV12</f>
        <v>0</v>
      </c>
      <c r="HB12" s="1" t="n">
        <f aca="false">IF(AND(GT12=1,Slot19_IsMfree=1),IF(GY12&gt;=Slot19_Cost-1,0,MAX(0,GR12-GY12)),GR12)</f>
        <v>0</v>
      </c>
      <c r="HC12" s="1" t="n">
        <f aca="false">GT12*(Slot19_Cost-GY12)</f>
        <v>0</v>
      </c>
      <c r="HD12" s="1" t="n">
        <f aca="false">IF(AND(Slot20_On=1,D12=Slot20_Age),1,0)</f>
        <v>0</v>
      </c>
      <c r="HE12" s="1" t="n">
        <f aca="false">IF(AND(Slot20_On=1,Slot20_Age&gt;D12),1,0)</f>
        <v>0</v>
      </c>
      <c r="HF12" s="1" t="n">
        <f aca="false">TJ11</f>
        <v>0</v>
      </c>
      <c r="HG12" s="1" t="n">
        <f aca="false">HD12*MIN(Slot20_Cost,HF12)</f>
        <v>0</v>
      </c>
      <c r="HH12" s="1" t="n">
        <f aca="false">HD12*Slot20_SpendLike*MIN(Slot20_Cost-HG12,GZ12)</f>
        <v>0</v>
      </c>
      <c r="HI12" s="1" t="n">
        <f aca="false">HG12+HH12</f>
        <v>0</v>
      </c>
      <c r="HJ12" s="1" t="n">
        <f aca="false">GZ12-HH12+HD12*IF(Slot20_SpendLike=1,HF12-HG12,IF(Slot20_PotFree=1,HF12,0))</f>
        <v>0</v>
      </c>
      <c r="HK12" s="1" t="n">
        <f aca="false">HA12+HD12*Slot20_BufPot*HF12</f>
        <v>0</v>
      </c>
      <c r="HL12" s="1" t="n">
        <f aca="false">IF(AND(HD12=1,Slot20_IsMfree=1),IF(HI12&gt;=Slot20_Cost-1,0,MAX(0,HB12-HI12)),HB12)</f>
        <v>0</v>
      </c>
      <c r="HM12" s="1" t="n">
        <f aca="false">HD12*(Slot20_Cost-HI12)</f>
        <v>0</v>
      </c>
      <c r="HN12" s="1" t="n">
        <f aca="false">U12*Slot1_SpendLike*Z12+AF12*Slot2_SpendLike*AK12+AP12*Slot3_SpendLike*AU12+AZ12*Slot4_SpendLike*BE12+BJ12*Slot5_SpendLike*BO12+BT12*Slot6_SpendLike*BY12+CD12*Slot7_SpendLike*CI12+CN12*Slot8_SpendLike*CS12+CX12*Slot9_SpendLike*DC12+DH12*Slot10_SpendLike*DM12+DR12*Slot11_SpendLike*DW12+EB12*Slot12_SpendLike*EG12+EL12*Slot13_SpendLike*EQ12+EV12*Slot14_SpendLike*FA12+FF12*Slot15_SpendLike*FK12+FP12*Slot16_SpendLike*FU12+FZ12*Slot17_SpendLike*GE12+GJ12*Slot18_SpendLike*GO12+GT12*Slot19_SpendLike*GY12+HD12*Slot20_SpendLike*HI12</f>
        <v>0</v>
      </c>
      <c r="HO12" s="1" t="n">
        <f aca="false">AD12+AO12+AY12+BI12+BS12+CC12+CM12+CW12+DG12+DQ12+EA12+EK12+EU12+FE12+FO12+FY12+GI12+GS12+HC12+HM12</f>
        <v>0</v>
      </c>
      <c r="HP12" s="1" t="n">
        <f aca="false">U12*Slot1_Cost+AF12*Slot2_Cost+AP12*Slot3_Cost+AZ12*Slot4_Cost+BJ12*Slot5_Cost+BT12*Slot6_Cost+CD12*Slot7_Cost+CN12*Slot8_Cost+CX12*Slot9_Cost+DH12*Slot10_Cost+DR12*Slot11_Cost+EB12*Slot12_Cost+EL12*Slot13_Cost+EV12*Slot14_Cost+FF12*Slot15_Cost+FP12*Slot16_Cost+FZ12*Slot17_Cost+GJ12*Slot18_Cost+GT12*Slot19_Cost+HD12*Slot20_Cost</f>
        <v>0</v>
      </c>
      <c r="HQ12" s="1" t="n">
        <f aca="false">HL12</f>
        <v>0</v>
      </c>
      <c r="HR12" s="1" t="n">
        <f aca="false">G12-H12-R12</f>
        <v>0</v>
      </c>
      <c r="HS12" s="1" t="n">
        <f aca="false">IF(B12=0,IF(AND(Has_q6=1,In_q6=4),PR_ShareVaries*(MAX(0,HR12)/12),MIN(IF(Has_q6=1,CHOOSE(In_q6+1,PR_SaveB1,PR_SaveB2,PR_SaveB3,PR_SaveB4,0),AS_NoAnswer),AS_SaveShare*(MAX(0,HR12)/12))),HS11)</f>
        <v>0</v>
      </c>
      <c r="HT12" s="1" t="n">
        <f aca="false">IF(HR12&gt;=0,1,0)</f>
        <v>1</v>
      </c>
      <c r="HU12" s="1" t="n">
        <f aca="false">MAX(0,HR12/12/E12)</f>
        <v>0</v>
      </c>
      <c r="HV12" s="1" t="n">
        <f aca="false">IF(AND(Has_q6=1,In_q6=4),PR_ShareVaries*(HU12),MIN(IF(Has_q6=1,CHOOSE(In_q6+1,PR_SaveB1,PR_SaveB2,PR_SaveB3,PR_SaveB4,0),AS_NoAnswer),AS_SaveShare*(HU12)))</f>
        <v>0</v>
      </c>
      <c r="HW12" s="1" t="n">
        <f aca="false">IF(Has_saveM=1,IF(In_saveUp="Yes",1,IF(In_saveUp="No",0,IF(In_saveM&gt;=HS12-0.5,1,0))),0)</f>
        <v>0</v>
      </c>
      <c r="HX12" s="1" t="n">
        <f aca="false">IF(Has_saveM=1,MIN(HU12,IF(HW12=1,MAX(In_saveM,HV12),MIN(In_saveM,HV12))),HV12)</f>
        <v>0</v>
      </c>
      <c r="HY12" s="1" t="n">
        <f aca="false">IF(F12=1,HX12*12*E12,0)</f>
        <v>0</v>
      </c>
      <c r="HZ12" s="1" t="n">
        <f aca="false">MAX(0,HY12+IF(AND(WI_Retire=0,WI_M&lt;0,F12=1),WI_M*12*E12,0))</f>
        <v>0</v>
      </c>
      <c r="IA12" s="1" t="n">
        <f aca="false">Slot1_IsWG*V12+Slot2_IsWG*AG12+Slot3_IsWG*AQ12+Slot4_IsWG*BA12+Slot5_IsWG*BK12+Slot6_IsWG*BU12+Slot7_IsWG*CE12+Slot8_IsWG*CO12+Slot9_IsWG*CY12+Slot10_IsWG*DI12+Slot11_IsWG*DS12+Slot12_IsWG*EC12+Slot13_IsWG*EM12+Slot14_IsWG*EW12+Slot15_IsWG*FG12+Slot16_IsWG*FQ12+Slot17_IsWG*GA12+Slot18_IsWG*GK12+Slot19_IsWG*GU12+Slot20_IsWG*HE12</f>
        <v>0</v>
      </c>
      <c r="IB12" s="1" t="n">
        <f aca="false">IF(AND(WI_Retire=0,WI_M&gt;0,F12=1,IA12&gt;=1),WI_M*12*E12,0)</f>
        <v>0</v>
      </c>
      <c r="IC12" s="1" t="n">
        <f aca="false">IF(HT12=1,MIN(HZ12,HR12),0)</f>
        <v>0</v>
      </c>
      <c r="ID12" s="1" t="n">
        <f aca="false">IF(HT12=1,MIN(IB12,HR12-IC12),0)</f>
        <v>0</v>
      </c>
      <c r="IE12" s="1" t="n">
        <f aca="false">IF(V12=1,IF(ABS((1+AS_Wage)/(1+Slot1_Rate)-1)&lt;0.000000000001,(Slot1_Age-D12)*(1+Slot1_Rate)^(Slot1_Age-D12),(1+Slot1_Rate)^(Slot1_Age-D12)*(1-((1+AS_Wage)/(1+Slot1_Rate))^(Slot1_Age-D12))/(1-(1+AS_Wage)/(1+Slot1_Rate))),1)</f>
        <v>1</v>
      </c>
      <c r="IF12" s="1" t="n">
        <f aca="false">IF(AND(HT12=1,ID12&gt;0,Slot1_IsWG=1,V12=1),MAX(0,(Slot1_Cost-W12*(1+Slot1_Rate)^(Slot1_Age-D12))/IE12),0)</f>
        <v>0</v>
      </c>
      <c r="IG12" s="1" t="n">
        <f aca="false">IF(AND(HT12=1,ID12&gt;0,Slot1_IsWG=1,V12=1),MIN(ID12,IF12),0)</f>
        <v>0</v>
      </c>
      <c r="IH12" s="1" t="n">
        <f aca="false">W12+IG12</f>
        <v>0</v>
      </c>
      <c r="II12" s="1" t="n">
        <f aca="false">IF(V12=1,MAX(0,(Slot1_Cost-IH12*(1+Slot1_Rate)^(Slot1_Age-D12))/IE12),0)</f>
        <v>0</v>
      </c>
      <c r="IJ12" s="1" t="n">
        <f aca="false">IF(V12=1,MAX(0,(Slot1_Cost-W12*(1+Slot1_Rate)^(Slot1_Age-D12))/IE12),0)</f>
        <v>0</v>
      </c>
      <c r="IK12" s="1" t="n">
        <f aca="false">IF(AND(HT12=1,V12=1),MIN(IC12,II12),0)</f>
        <v>0</v>
      </c>
      <c r="IL12" s="1" t="n">
        <f aca="false">IC12-IK12</f>
        <v>0</v>
      </c>
      <c r="IM12" s="1" t="n">
        <f aca="false">IF(AG12=1,IF(ABS((1+AS_Wage)/(1+Slot2_Rate)-1)&lt;0.000000000001,(Slot2_Age-D12)*(1+Slot2_Rate)^(Slot2_Age-D12),(1+Slot2_Rate)^(Slot2_Age-D12)*(1-((1+AS_Wage)/(1+Slot2_Rate))^(Slot2_Age-D12))/(1-(1+AS_Wage)/(1+Slot2_Rate))),1)</f>
        <v>1</v>
      </c>
      <c r="IN12" s="1" t="n">
        <f aca="false">IF(AND(HT12=1,ID12&gt;0,Slot2_IsWG=1,AG12=1),MAX(0,(Slot2_Cost-AH12*(1+Slot2_Rate)^(Slot2_Age-D12))/IM12),0)</f>
        <v>0</v>
      </c>
      <c r="IO12" s="1" t="n">
        <f aca="false">IF(AND(HT12=1,ID12&gt;0,Slot2_IsWG=1,AG12=1),MIN(ID12,IN12),0)</f>
        <v>0</v>
      </c>
      <c r="IP12" s="1" t="n">
        <f aca="false">AH12+IO12</f>
        <v>0</v>
      </c>
      <c r="IQ12" s="1" t="n">
        <f aca="false">IF(AG12=1,MAX(0,(Slot2_Cost-IP12*(1+Slot2_Rate)^(Slot2_Age-D12))/IM12),0)</f>
        <v>0</v>
      </c>
      <c r="IR12" s="1" t="n">
        <f aca="false">IF(AG12=1,MAX(0,(Slot2_Cost-AH12*(1+Slot2_Rate)^(Slot2_Age-D12))/IM12),0)</f>
        <v>0</v>
      </c>
      <c r="IS12" s="1" t="n">
        <f aca="false">IF(AND(HT12=1,AG12=1),MIN(IL12,IQ12),0)</f>
        <v>0</v>
      </c>
      <c r="IT12" s="1" t="n">
        <f aca="false">IL12-IS12</f>
        <v>0</v>
      </c>
      <c r="IU12" s="1" t="n">
        <f aca="false">IF(AQ12=1,IF(ABS((1+AS_Wage)/(1+Slot3_Rate)-1)&lt;0.000000000001,(Slot3_Age-D12)*(1+Slot3_Rate)^(Slot3_Age-D12),(1+Slot3_Rate)^(Slot3_Age-D12)*(1-((1+AS_Wage)/(1+Slot3_Rate))^(Slot3_Age-D12))/(1-(1+AS_Wage)/(1+Slot3_Rate))),1)</f>
        <v>1</v>
      </c>
      <c r="IV12" s="1" t="n">
        <f aca="false">IF(AND(HT12=1,ID12&gt;0,Slot3_IsWG=1,AQ12=1),MAX(0,(Slot3_Cost-AR12*(1+Slot3_Rate)^(Slot3_Age-D12))/IU12),0)</f>
        <v>0</v>
      </c>
      <c r="IW12" s="1" t="n">
        <f aca="false">IF(AND(HT12=1,ID12&gt;0,Slot3_IsWG=1,AQ12=1),MIN(ID12,IV12),0)</f>
        <v>0</v>
      </c>
      <c r="IX12" s="1" t="n">
        <f aca="false">AR12+IW12</f>
        <v>0</v>
      </c>
      <c r="IY12" s="1" t="n">
        <f aca="false">IF(AQ12=1,MAX(0,(Slot3_Cost-IX12*(1+Slot3_Rate)^(Slot3_Age-D12))/IU12),0)</f>
        <v>0</v>
      </c>
      <c r="IZ12" s="1" t="n">
        <f aca="false">IF(AQ12=1,MAX(0,(Slot3_Cost-AR12*(1+Slot3_Rate)^(Slot3_Age-D12))/IU12),0)</f>
        <v>0</v>
      </c>
      <c r="JA12" s="1" t="n">
        <f aca="false">IF(AND(HT12=1,AQ12=1),MIN(IT12,IY12),0)</f>
        <v>0</v>
      </c>
      <c r="JB12" s="1" t="n">
        <f aca="false">IT12-JA12</f>
        <v>0</v>
      </c>
      <c r="JC12" s="1" t="n">
        <f aca="false">IF(BA12=1,IF(ABS((1+AS_Wage)/(1+Slot4_Rate)-1)&lt;0.000000000001,(Slot4_Age-D12)*(1+Slot4_Rate)^(Slot4_Age-D12),(1+Slot4_Rate)^(Slot4_Age-D12)*(1-((1+AS_Wage)/(1+Slot4_Rate))^(Slot4_Age-D12))/(1-(1+AS_Wage)/(1+Slot4_Rate))),1)</f>
        <v>1</v>
      </c>
      <c r="JD12" s="1" t="n">
        <f aca="false">IF(AND(HT12=1,ID12&gt;0,Slot4_IsWG=1,BA12=1),MAX(0,(Slot4_Cost-BB12*(1+Slot4_Rate)^(Slot4_Age-D12))/JC12),0)</f>
        <v>0</v>
      </c>
      <c r="JE12" s="1" t="n">
        <f aca="false">IF(AND(HT12=1,ID12&gt;0,Slot4_IsWG=1,BA12=1),MIN(ID12,JD12),0)</f>
        <v>0</v>
      </c>
      <c r="JF12" s="1" t="n">
        <f aca="false">BB12+JE12</f>
        <v>0</v>
      </c>
      <c r="JG12" s="1" t="n">
        <f aca="false">IF(BA12=1,MAX(0,(Slot4_Cost-JF12*(1+Slot4_Rate)^(Slot4_Age-D12))/JC12),0)</f>
        <v>0</v>
      </c>
      <c r="JH12" s="1" t="n">
        <f aca="false">IF(BA12=1,MAX(0,(Slot4_Cost-BB12*(1+Slot4_Rate)^(Slot4_Age-D12))/JC12),0)</f>
        <v>0</v>
      </c>
      <c r="JI12" s="1" t="n">
        <f aca="false">IF(AND(HT12=1,BA12=1),MIN(JB12,JG12),0)</f>
        <v>0</v>
      </c>
      <c r="JJ12" s="1" t="n">
        <f aca="false">JB12-JI12</f>
        <v>0</v>
      </c>
      <c r="JK12" s="1" t="n">
        <f aca="false">IF(BK12=1,IF(ABS((1+AS_Wage)/(1+Slot5_Rate)-1)&lt;0.000000000001,(Slot5_Age-D12)*(1+Slot5_Rate)^(Slot5_Age-D12),(1+Slot5_Rate)^(Slot5_Age-D12)*(1-((1+AS_Wage)/(1+Slot5_Rate))^(Slot5_Age-D12))/(1-(1+AS_Wage)/(1+Slot5_Rate))),1)</f>
        <v>1</v>
      </c>
      <c r="JL12" s="1" t="n">
        <f aca="false">IF(AND(HT12=1,ID12&gt;0,Slot5_IsWG=1,BK12=1),MAX(0,(Slot5_Cost-BL12*(1+Slot5_Rate)^(Slot5_Age-D12))/JK12),0)</f>
        <v>0</v>
      </c>
      <c r="JM12" s="1" t="n">
        <f aca="false">IF(AND(HT12=1,ID12&gt;0,Slot5_IsWG=1,BK12=1),MIN(ID12,JL12),0)</f>
        <v>0</v>
      </c>
      <c r="JN12" s="1" t="n">
        <f aca="false">BL12+JM12</f>
        <v>0</v>
      </c>
      <c r="JO12" s="1" t="n">
        <f aca="false">IF(BK12=1,MAX(0,(Slot5_Cost-JN12*(1+Slot5_Rate)^(Slot5_Age-D12))/JK12),0)</f>
        <v>0</v>
      </c>
      <c r="JP12" s="1" t="n">
        <f aca="false">IF(BK12=1,MAX(0,(Slot5_Cost-BL12*(1+Slot5_Rate)^(Slot5_Age-D12))/JK12),0)</f>
        <v>0</v>
      </c>
      <c r="JQ12" s="1" t="n">
        <f aca="false">IF(AND(HT12=1,BK12=1),MIN(JJ12,JO12),0)</f>
        <v>0</v>
      </c>
      <c r="JR12" s="1" t="n">
        <f aca="false">JJ12-JQ12</f>
        <v>0</v>
      </c>
      <c r="JS12" s="1" t="n">
        <f aca="false">IF(BU12=1,IF(ABS((1+AS_Wage)/(1+Slot6_Rate)-1)&lt;0.000000000001,(Slot6_Age-D12)*(1+Slot6_Rate)^(Slot6_Age-D12),(1+Slot6_Rate)^(Slot6_Age-D12)*(1-((1+AS_Wage)/(1+Slot6_Rate))^(Slot6_Age-D12))/(1-(1+AS_Wage)/(1+Slot6_Rate))),1)</f>
        <v>1</v>
      </c>
      <c r="JT12" s="1" t="n">
        <f aca="false">IF(AND(HT12=1,ID12&gt;0,Slot6_IsWG=1,BU12=1),MAX(0,(Slot6_Cost-BV12*(1+Slot6_Rate)^(Slot6_Age-D12))/JS12),0)</f>
        <v>0</v>
      </c>
      <c r="JU12" s="1" t="n">
        <f aca="false">IF(AND(HT12=1,ID12&gt;0,Slot6_IsWG=1,BU12=1),MIN(ID12,JT12),0)</f>
        <v>0</v>
      </c>
      <c r="JV12" s="1" t="n">
        <f aca="false">BV12+JU12</f>
        <v>0</v>
      </c>
      <c r="JW12" s="1" t="n">
        <f aca="false">IF(BU12=1,MAX(0,(Slot6_Cost-JV12*(1+Slot6_Rate)^(Slot6_Age-D12))/JS12),0)</f>
        <v>0</v>
      </c>
      <c r="JX12" s="1" t="n">
        <f aca="false">IF(BU12=1,MAX(0,(Slot6_Cost-BV12*(1+Slot6_Rate)^(Slot6_Age-D12))/JS12),0)</f>
        <v>0</v>
      </c>
      <c r="JY12" s="1" t="n">
        <f aca="false">IF(AND(HT12=1,BU12=1),MIN(JR12,JW12),0)</f>
        <v>0</v>
      </c>
      <c r="JZ12" s="1" t="n">
        <f aca="false">JR12-JY12</f>
        <v>0</v>
      </c>
      <c r="KA12" s="1" t="n">
        <f aca="false">IF(CE12=1,IF(ABS((1+AS_Wage)/(1+Slot7_Rate)-1)&lt;0.000000000001,(Slot7_Age-D12)*(1+Slot7_Rate)^(Slot7_Age-D12),(1+Slot7_Rate)^(Slot7_Age-D12)*(1-((1+AS_Wage)/(1+Slot7_Rate))^(Slot7_Age-D12))/(1-(1+AS_Wage)/(1+Slot7_Rate))),1)</f>
        <v>1</v>
      </c>
      <c r="KB12" s="1" t="n">
        <f aca="false">IF(AND(HT12=1,ID12&gt;0,Slot7_IsWG=1,CE12=1),MAX(0,(Slot7_Cost-CF12*(1+Slot7_Rate)^(Slot7_Age-D12))/KA12),0)</f>
        <v>0</v>
      </c>
      <c r="KC12" s="1" t="n">
        <f aca="false">IF(AND(HT12=1,ID12&gt;0,Slot7_IsWG=1,CE12=1),MIN(ID12,KB12),0)</f>
        <v>0</v>
      </c>
      <c r="KD12" s="1" t="n">
        <f aca="false">CF12+KC12</f>
        <v>0</v>
      </c>
      <c r="KE12" s="1" t="n">
        <f aca="false">IF(CE12=1,MAX(0,(Slot7_Cost-KD12*(1+Slot7_Rate)^(Slot7_Age-D12))/KA12),0)</f>
        <v>0</v>
      </c>
      <c r="KF12" s="1" t="n">
        <f aca="false">IF(CE12=1,MAX(0,(Slot7_Cost-CF12*(1+Slot7_Rate)^(Slot7_Age-D12))/KA12),0)</f>
        <v>0</v>
      </c>
      <c r="KG12" s="1" t="n">
        <f aca="false">IF(AND(HT12=1,CE12=1),MIN(JZ12,KE12),0)</f>
        <v>0</v>
      </c>
      <c r="KH12" s="1" t="n">
        <f aca="false">JZ12-KG12</f>
        <v>0</v>
      </c>
      <c r="KI12" s="1" t="n">
        <f aca="false">IF(CO12=1,IF(ABS((1+AS_Wage)/(1+Slot8_Rate)-1)&lt;0.000000000001,(Slot8_Age-D12)*(1+Slot8_Rate)^(Slot8_Age-D12),(1+Slot8_Rate)^(Slot8_Age-D12)*(1-((1+AS_Wage)/(1+Slot8_Rate))^(Slot8_Age-D12))/(1-(1+AS_Wage)/(1+Slot8_Rate))),1)</f>
        <v>1</v>
      </c>
      <c r="KJ12" s="1" t="n">
        <f aca="false">IF(AND(HT12=1,ID12&gt;0,Slot8_IsWG=1,CO12=1),MAX(0,(Slot8_Cost-CP12*(1+Slot8_Rate)^(Slot8_Age-D12))/KI12),0)</f>
        <v>0</v>
      </c>
      <c r="KK12" s="1" t="n">
        <f aca="false">IF(AND(HT12=1,ID12&gt;0,Slot8_IsWG=1,CO12=1),MIN(ID12,KJ12),0)</f>
        <v>0</v>
      </c>
      <c r="KL12" s="1" t="n">
        <f aca="false">CP12+KK12</f>
        <v>0</v>
      </c>
      <c r="KM12" s="1" t="n">
        <f aca="false">IF(CO12=1,MAX(0,(Slot8_Cost-KL12*(1+Slot8_Rate)^(Slot8_Age-D12))/KI12),0)</f>
        <v>0</v>
      </c>
      <c r="KN12" s="1" t="n">
        <f aca="false">IF(CO12=1,MAX(0,(Slot8_Cost-CP12*(1+Slot8_Rate)^(Slot8_Age-D12))/KI12),0)</f>
        <v>0</v>
      </c>
      <c r="KO12" s="1" t="n">
        <f aca="false">IF(AND(HT12=1,CO12=1),MIN(KH12,KM12),0)</f>
        <v>0</v>
      </c>
      <c r="KP12" s="1" t="n">
        <f aca="false">KH12-KO12</f>
        <v>0</v>
      </c>
      <c r="KQ12" s="1" t="n">
        <f aca="false">IF(CY12=1,IF(ABS((1+AS_Wage)/(1+Slot9_Rate)-1)&lt;0.000000000001,(Slot9_Age-D12)*(1+Slot9_Rate)^(Slot9_Age-D12),(1+Slot9_Rate)^(Slot9_Age-D12)*(1-((1+AS_Wage)/(1+Slot9_Rate))^(Slot9_Age-D12))/(1-(1+AS_Wage)/(1+Slot9_Rate))),1)</f>
        <v>1</v>
      </c>
      <c r="KR12" s="1" t="n">
        <f aca="false">IF(AND(HT12=1,ID12&gt;0,Slot9_IsWG=1,CY12=1),MAX(0,(Slot9_Cost-CZ12*(1+Slot9_Rate)^(Slot9_Age-D12))/KQ12),0)</f>
        <v>0</v>
      </c>
      <c r="KS12" s="1" t="n">
        <f aca="false">IF(AND(HT12=1,ID12&gt;0,Slot9_IsWG=1,CY12=1),MIN(ID12,KR12),0)</f>
        <v>0</v>
      </c>
      <c r="KT12" s="1" t="n">
        <f aca="false">CZ12+KS12</f>
        <v>0</v>
      </c>
      <c r="KU12" s="1" t="n">
        <f aca="false">IF(CY12=1,MAX(0,(Slot9_Cost-KT12*(1+Slot9_Rate)^(Slot9_Age-D12))/KQ12),0)</f>
        <v>0</v>
      </c>
      <c r="KV12" s="1" t="n">
        <f aca="false">IF(CY12=1,MAX(0,(Slot9_Cost-CZ12*(1+Slot9_Rate)^(Slot9_Age-D12))/KQ12),0)</f>
        <v>0</v>
      </c>
      <c r="KW12" s="1" t="n">
        <f aca="false">IF(AND(HT12=1,CY12=1),MIN(KP12,KU12),0)</f>
        <v>0</v>
      </c>
      <c r="KX12" s="1" t="n">
        <f aca="false">KP12-KW12</f>
        <v>0</v>
      </c>
      <c r="KY12" s="1" t="n">
        <f aca="false">IF(DI12=1,IF(ABS((1+AS_Wage)/(1+Slot10_Rate)-1)&lt;0.000000000001,(Slot10_Age-D12)*(1+Slot10_Rate)^(Slot10_Age-D12),(1+Slot10_Rate)^(Slot10_Age-D12)*(1-((1+AS_Wage)/(1+Slot10_Rate))^(Slot10_Age-D12))/(1-(1+AS_Wage)/(1+Slot10_Rate))),1)</f>
        <v>1</v>
      </c>
      <c r="KZ12" s="1" t="n">
        <f aca="false">IF(AND(HT12=1,ID12&gt;0,Slot10_IsWG=1,DI12=1),MAX(0,(Slot10_Cost-DJ12*(1+Slot10_Rate)^(Slot10_Age-D12))/KY12),0)</f>
        <v>0</v>
      </c>
      <c r="LA12" s="1" t="n">
        <f aca="false">IF(AND(HT12=1,ID12&gt;0,Slot10_IsWG=1,DI12=1),MIN(ID12,KZ12),0)</f>
        <v>0</v>
      </c>
      <c r="LB12" s="1" t="n">
        <f aca="false">DJ12+LA12</f>
        <v>0</v>
      </c>
      <c r="LC12" s="1" t="n">
        <f aca="false">IF(DI12=1,MAX(0,(Slot10_Cost-LB12*(1+Slot10_Rate)^(Slot10_Age-D12))/KY12),0)</f>
        <v>0</v>
      </c>
      <c r="LD12" s="1" t="n">
        <f aca="false">IF(DI12=1,MAX(0,(Slot10_Cost-DJ12*(1+Slot10_Rate)^(Slot10_Age-D12))/KY12),0)</f>
        <v>0</v>
      </c>
      <c r="LE12" s="1" t="n">
        <f aca="false">IF(AND(HT12=1,DI12=1),MIN(KX12,LC12),0)</f>
        <v>0</v>
      </c>
      <c r="LF12" s="1" t="n">
        <f aca="false">KX12-LE12</f>
        <v>0</v>
      </c>
      <c r="LG12" s="1" t="n">
        <f aca="false">IF(DS12=1,IF(ABS((1+AS_Wage)/(1+Slot11_Rate)-1)&lt;0.000000000001,(Slot11_Age-D12)*(1+Slot11_Rate)^(Slot11_Age-D12),(1+Slot11_Rate)^(Slot11_Age-D12)*(1-((1+AS_Wage)/(1+Slot11_Rate))^(Slot11_Age-D12))/(1-(1+AS_Wage)/(1+Slot11_Rate))),1)</f>
        <v>1</v>
      </c>
      <c r="LH12" s="1" t="n">
        <f aca="false">IF(AND(HT12=1,ID12&gt;0,Slot11_IsWG=1,DS12=1),MAX(0,(Slot11_Cost-DT12*(1+Slot11_Rate)^(Slot11_Age-D12))/LG12),0)</f>
        <v>0</v>
      </c>
      <c r="LI12" s="1" t="n">
        <f aca="false">IF(AND(HT12=1,ID12&gt;0,Slot11_IsWG=1,DS12=1),MIN(ID12,LH12),0)</f>
        <v>0</v>
      </c>
      <c r="LJ12" s="1" t="n">
        <f aca="false">DT12+LI12</f>
        <v>0</v>
      </c>
      <c r="LK12" s="1" t="n">
        <f aca="false">IF(DS12=1,MAX(0,(Slot11_Cost-LJ12*(1+Slot11_Rate)^(Slot11_Age-D12))/LG12),0)</f>
        <v>0</v>
      </c>
      <c r="LL12" s="1" t="n">
        <f aca="false">IF(DS12=1,MAX(0,(Slot11_Cost-DT12*(1+Slot11_Rate)^(Slot11_Age-D12))/LG12),0)</f>
        <v>0</v>
      </c>
      <c r="LM12" s="1" t="n">
        <f aca="false">IF(AND(HT12=1,DS12=1),MIN(LF12,LK12),0)</f>
        <v>0</v>
      </c>
      <c r="LN12" s="1" t="n">
        <f aca="false">LF12-LM12</f>
        <v>0</v>
      </c>
      <c r="LO12" s="1" t="n">
        <f aca="false">IF(EC12=1,IF(ABS((1+AS_Wage)/(1+Slot12_Rate)-1)&lt;0.000000000001,(Slot12_Age-D12)*(1+Slot12_Rate)^(Slot12_Age-D12),(1+Slot12_Rate)^(Slot12_Age-D12)*(1-((1+AS_Wage)/(1+Slot12_Rate))^(Slot12_Age-D12))/(1-(1+AS_Wage)/(1+Slot12_Rate))),1)</f>
        <v>1</v>
      </c>
      <c r="LP12" s="1" t="n">
        <f aca="false">IF(AND(HT12=1,ID12&gt;0,Slot12_IsWG=1,EC12=1),MAX(0,(Slot12_Cost-ED12*(1+Slot12_Rate)^(Slot12_Age-D12))/LO12),0)</f>
        <v>0</v>
      </c>
      <c r="LQ12" s="1" t="n">
        <f aca="false">IF(AND(HT12=1,ID12&gt;0,Slot12_IsWG=1,EC12=1),MIN(ID12,LP12),0)</f>
        <v>0</v>
      </c>
      <c r="LR12" s="1" t="n">
        <f aca="false">ED12+LQ12</f>
        <v>0</v>
      </c>
      <c r="LS12" s="1" t="n">
        <f aca="false">IF(EC12=1,MAX(0,(Slot12_Cost-LR12*(1+Slot12_Rate)^(Slot12_Age-D12))/LO12),0)</f>
        <v>0</v>
      </c>
      <c r="LT12" s="1" t="n">
        <f aca="false">IF(EC12=1,MAX(0,(Slot12_Cost-ED12*(1+Slot12_Rate)^(Slot12_Age-D12))/LO12),0)</f>
        <v>0</v>
      </c>
      <c r="LU12" s="1" t="n">
        <f aca="false">IF(AND(HT12=1,EC12=1),MIN(LN12,LS12),0)</f>
        <v>0</v>
      </c>
      <c r="LV12" s="1" t="n">
        <f aca="false">LN12-LU12</f>
        <v>0</v>
      </c>
      <c r="LW12" s="1" t="n">
        <f aca="false">IF(EM12=1,IF(ABS((1+AS_Wage)/(1+Slot13_Rate)-1)&lt;0.000000000001,(Slot13_Age-D12)*(1+Slot13_Rate)^(Slot13_Age-D12),(1+Slot13_Rate)^(Slot13_Age-D12)*(1-((1+AS_Wage)/(1+Slot13_Rate))^(Slot13_Age-D12))/(1-(1+AS_Wage)/(1+Slot13_Rate))),1)</f>
        <v>1</v>
      </c>
      <c r="LX12" s="1" t="n">
        <f aca="false">IF(AND(HT12=1,ID12&gt;0,Slot13_IsWG=1,EM12=1),MAX(0,(Slot13_Cost-EN12*(1+Slot13_Rate)^(Slot13_Age-D12))/LW12),0)</f>
        <v>0</v>
      </c>
      <c r="LY12" s="1" t="n">
        <f aca="false">IF(AND(HT12=1,ID12&gt;0,Slot13_IsWG=1,EM12=1),MIN(ID12,LX12),0)</f>
        <v>0</v>
      </c>
      <c r="LZ12" s="1" t="n">
        <f aca="false">EN12+LY12</f>
        <v>0</v>
      </c>
      <c r="MA12" s="1" t="n">
        <f aca="false">IF(EM12=1,MAX(0,(Slot13_Cost-LZ12*(1+Slot13_Rate)^(Slot13_Age-D12))/LW12),0)</f>
        <v>0</v>
      </c>
      <c r="MB12" s="1" t="n">
        <f aca="false">IF(EM12=1,MAX(0,(Slot13_Cost-EN12*(1+Slot13_Rate)^(Slot13_Age-D12))/LW12),0)</f>
        <v>0</v>
      </c>
      <c r="MC12" s="1" t="n">
        <f aca="false">IF(AND(HT12=1,EM12=1),MIN(LV12,MA12),0)</f>
        <v>0</v>
      </c>
      <c r="MD12" s="1" t="n">
        <f aca="false">LV12-MC12</f>
        <v>0</v>
      </c>
      <c r="ME12" s="1" t="n">
        <f aca="false">IF(EW12=1,IF(ABS((1+AS_Wage)/(1+Slot14_Rate)-1)&lt;0.000000000001,(Slot14_Age-D12)*(1+Slot14_Rate)^(Slot14_Age-D12),(1+Slot14_Rate)^(Slot14_Age-D12)*(1-((1+AS_Wage)/(1+Slot14_Rate))^(Slot14_Age-D12))/(1-(1+AS_Wage)/(1+Slot14_Rate))),1)</f>
        <v>1</v>
      </c>
      <c r="MF12" s="1" t="n">
        <f aca="false">IF(AND(HT12=1,ID12&gt;0,Slot14_IsWG=1,EW12=1),MAX(0,(Slot14_Cost-EX12*(1+Slot14_Rate)^(Slot14_Age-D12))/ME12),0)</f>
        <v>0</v>
      </c>
      <c r="MG12" s="1" t="n">
        <f aca="false">IF(AND(HT12=1,ID12&gt;0,Slot14_IsWG=1,EW12=1),MIN(ID12,MF12),0)</f>
        <v>0</v>
      </c>
      <c r="MH12" s="1" t="n">
        <f aca="false">EX12+MG12</f>
        <v>0</v>
      </c>
      <c r="MI12" s="1" t="n">
        <f aca="false">IF(EW12=1,MAX(0,(Slot14_Cost-MH12*(1+Slot14_Rate)^(Slot14_Age-D12))/ME12),0)</f>
        <v>0</v>
      </c>
      <c r="MJ12" s="1" t="n">
        <f aca="false">IF(EW12=1,MAX(0,(Slot14_Cost-EX12*(1+Slot14_Rate)^(Slot14_Age-D12))/ME12),0)</f>
        <v>0</v>
      </c>
      <c r="MK12" s="1" t="n">
        <f aca="false">IF(AND(HT12=1,EW12=1),MIN(MD12,MI12),0)</f>
        <v>0</v>
      </c>
      <c r="ML12" s="1" t="n">
        <f aca="false">MD12-MK12</f>
        <v>0</v>
      </c>
      <c r="MM12" s="1" t="n">
        <f aca="false">IF(FG12=1,IF(ABS((1+AS_Wage)/(1+Slot15_Rate)-1)&lt;0.000000000001,(Slot15_Age-D12)*(1+Slot15_Rate)^(Slot15_Age-D12),(1+Slot15_Rate)^(Slot15_Age-D12)*(1-((1+AS_Wage)/(1+Slot15_Rate))^(Slot15_Age-D12))/(1-(1+AS_Wage)/(1+Slot15_Rate))),1)</f>
        <v>1</v>
      </c>
      <c r="MN12" s="1" t="n">
        <f aca="false">IF(AND(HT12=1,ID12&gt;0,Slot15_IsWG=1,FG12=1),MAX(0,(Slot15_Cost-FH12*(1+Slot15_Rate)^(Slot15_Age-D12))/MM12),0)</f>
        <v>0</v>
      </c>
      <c r="MO12" s="1" t="n">
        <f aca="false">IF(AND(HT12=1,ID12&gt;0,Slot15_IsWG=1,FG12=1),MIN(ID12,MN12),0)</f>
        <v>0</v>
      </c>
      <c r="MP12" s="1" t="n">
        <f aca="false">FH12+MO12</f>
        <v>0</v>
      </c>
      <c r="MQ12" s="1" t="n">
        <f aca="false">IF(FG12=1,MAX(0,(Slot15_Cost-MP12*(1+Slot15_Rate)^(Slot15_Age-D12))/MM12),0)</f>
        <v>0</v>
      </c>
      <c r="MR12" s="1" t="n">
        <f aca="false">IF(FG12=1,MAX(0,(Slot15_Cost-FH12*(1+Slot15_Rate)^(Slot15_Age-D12))/MM12),0)</f>
        <v>0</v>
      </c>
      <c r="MS12" s="1" t="n">
        <f aca="false">IF(AND(HT12=1,FG12=1),MIN(ML12,MQ12),0)</f>
        <v>0</v>
      </c>
      <c r="MT12" s="1" t="n">
        <f aca="false">ML12-MS12</f>
        <v>0</v>
      </c>
      <c r="MU12" s="1" t="n">
        <f aca="false">IF(FQ12=1,IF(ABS((1+AS_Wage)/(1+Slot16_Rate)-1)&lt;0.000000000001,(Slot16_Age-D12)*(1+Slot16_Rate)^(Slot16_Age-D12),(1+Slot16_Rate)^(Slot16_Age-D12)*(1-((1+AS_Wage)/(1+Slot16_Rate))^(Slot16_Age-D12))/(1-(1+AS_Wage)/(1+Slot16_Rate))),1)</f>
        <v>1</v>
      </c>
      <c r="MV12" s="1" t="n">
        <f aca="false">IF(AND(HT12=1,ID12&gt;0,Slot16_IsWG=1,FQ12=1),MAX(0,(Slot16_Cost-FR12*(1+Slot16_Rate)^(Slot16_Age-D12))/MU12),0)</f>
        <v>0</v>
      </c>
      <c r="MW12" s="1" t="n">
        <f aca="false">IF(AND(HT12=1,ID12&gt;0,Slot16_IsWG=1,FQ12=1),MIN(ID12,MV12),0)</f>
        <v>0</v>
      </c>
      <c r="MX12" s="1" t="n">
        <f aca="false">FR12+MW12</f>
        <v>0</v>
      </c>
      <c r="MY12" s="1" t="n">
        <f aca="false">IF(FQ12=1,MAX(0,(Slot16_Cost-MX12*(1+Slot16_Rate)^(Slot16_Age-D12))/MU12),0)</f>
        <v>0</v>
      </c>
      <c r="MZ12" s="1" t="n">
        <f aca="false">IF(FQ12=1,MAX(0,(Slot16_Cost-FR12*(1+Slot16_Rate)^(Slot16_Age-D12))/MU12),0)</f>
        <v>0</v>
      </c>
      <c r="NA12" s="1" t="n">
        <f aca="false">IF(AND(HT12=1,FQ12=1),MIN(MT12,MY12),0)</f>
        <v>0</v>
      </c>
      <c r="NB12" s="1" t="n">
        <f aca="false">MT12-NA12</f>
        <v>0</v>
      </c>
      <c r="NC12" s="1" t="n">
        <f aca="false">IF(GA12=1,IF(ABS((1+AS_Wage)/(1+Slot17_Rate)-1)&lt;0.000000000001,(Slot17_Age-D12)*(1+Slot17_Rate)^(Slot17_Age-D12),(1+Slot17_Rate)^(Slot17_Age-D12)*(1-((1+AS_Wage)/(1+Slot17_Rate))^(Slot17_Age-D12))/(1-(1+AS_Wage)/(1+Slot17_Rate))),1)</f>
        <v>1</v>
      </c>
      <c r="ND12" s="1" t="n">
        <f aca="false">IF(AND(HT12=1,ID12&gt;0,Slot17_IsWG=1,GA12=1),MAX(0,(Slot17_Cost-GB12*(1+Slot17_Rate)^(Slot17_Age-D12))/NC12),0)</f>
        <v>0</v>
      </c>
      <c r="NE12" s="1" t="n">
        <f aca="false">IF(AND(HT12=1,ID12&gt;0,Slot17_IsWG=1,GA12=1),MIN(ID12,ND12),0)</f>
        <v>0</v>
      </c>
      <c r="NF12" s="1" t="n">
        <f aca="false">GB12+NE12</f>
        <v>0</v>
      </c>
      <c r="NG12" s="1" t="n">
        <f aca="false">IF(GA12=1,MAX(0,(Slot17_Cost-NF12*(1+Slot17_Rate)^(Slot17_Age-D12))/NC12),0)</f>
        <v>0</v>
      </c>
      <c r="NH12" s="1" t="n">
        <f aca="false">IF(GA12=1,MAX(0,(Slot17_Cost-GB12*(1+Slot17_Rate)^(Slot17_Age-D12))/NC12),0)</f>
        <v>0</v>
      </c>
      <c r="NI12" s="1" t="n">
        <f aca="false">IF(AND(HT12=1,GA12=1),MIN(NB12,NG12),0)</f>
        <v>0</v>
      </c>
      <c r="NJ12" s="1" t="n">
        <f aca="false">NB12-NI12</f>
        <v>0</v>
      </c>
      <c r="NK12" s="1" t="n">
        <f aca="false">IF(GK12=1,IF(ABS((1+AS_Wage)/(1+Slot18_Rate)-1)&lt;0.000000000001,(Slot18_Age-D12)*(1+Slot18_Rate)^(Slot18_Age-D12),(1+Slot18_Rate)^(Slot18_Age-D12)*(1-((1+AS_Wage)/(1+Slot18_Rate))^(Slot18_Age-D12))/(1-(1+AS_Wage)/(1+Slot18_Rate))),1)</f>
        <v>1</v>
      </c>
      <c r="NL12" s="1" t="n">
        <f aca="false">IF(AND(HT12=1,ID12&gt;0,Slot18_IsWG=1,GK12=1),MAX(0,(Slot18_Cost-GL12*(1+Slot18_Rate)^(Slot18_Age-D12))/NK12),0)</f>
        <v>0</v>
      </c>
      <c r="NM12" s="1" t="n">
        <f aca="false">IF(AND(HT12=1,ID12&gt;0,Slot18_IsWG=1,GK12=1),MIN(ID12,NL12),0)</f>
        <v>0</v>
      </c>
      <c r="NN12" s="1" t="n">
        <f aca="false">GL12+NM12</f>
        <v>0</v>
      </c>
      <c r="NO12" s="1" t="n">
        <f aca="false">IF(GK12=1,MAX(0,(Slot18_Cost-NN12*(1+Slot18_Rate)^(Slot18_Age-D12))/NK12),0)</f>
        <v>0</v>
      </c>
      <c r="NP12" s="1" t="n">
        <f aca="false">IF(GK12=1,MAX(0,(Slot18_Cost-GL12*(1+Slot18_Rate)^(Slot18_Age-D12))/NK12),0)</f>
        <v>0</v>
      </c>
      <c r="NQ12" s="1" t="n">
        <f aca="false">IF(AND(HT12=1,GK12=1),MIN(NJ12,NO12),0)</f>
        <v>0</v>
      </c>
      <c r="NR12" s="1" t="n">
        <f aca="false">NJ12-NQ12</f>
        <v>0</v>
      </c>
      <c r="NS12" s="1" t="n">
        <f aca="false">IF(GU12=1,IF(ABS((1+AS_Wage)/(1+Slot19_Rate)-1)&lt;0.000000000001,(Slot19_Age-D12)*(1+Slot19_Rate)^(Slot19_Age-D12),(1+Slot19_Rate)^(Slot19_Age-D12)*(1-((1+AS_Wage)/(1+Slot19_Rate))^(Slot19_Age-D12))/(1-(1+AS_Wage)/(1+Slot19_Rate))),1)</f>
        <v>1</v>
      </c>
      <c r="NT12" s="1" t="n">
        <f aca="false">IF(AND(HT12=1,ID12&gt;0,Slot19_IsWG=1,GU12=1),MAX(0,(Slot19_Cost-GV12*(1+Slot19_Rate)^(Slot19_Age-D12))/NS12),0)</f>
        <v>0</v>
      </c>
      <c r="NU12" s="1" t="n">
        <f aca="false">IF(AND(HT12=1,ID12&gt;0,Slot19_IsWG=1,GU12=1),MIN(ID12,NT12),0)</f>
        <v>0</v>
      </c>
      <c r="NV12" s="1" t="n">
        <f aca="false">GV12+NU12</f>
        <v>0</v>
      </c>
      <c r="NW12" s="1" t="n">
        <f aca="false">IF(GU12=1,MAX(0,(Slot19_Cost-NV12*(1+Slot19_Rate)^(Slot19_Age-D12))/NS12),0)</f>
        <v>0</v>
      </c>
      <c r="NX12" s="1" t="n">
        <f aca="false">IF(GU12=1,MAX(0,(Slot19_Cost-GV12*(1+Slot19_Rate)^(Slot19_Age-D12))/NS12),0)</f>
        <v>0</v>
      </c>
      <c r="NY12" s="1" t="n">
        <f aca="false">IF(AND(HT12=1,GU12=1),MIN(NR12,NW12),0)</f>
        <v>0</v>
      </c>
      <c r="NZ12" s="1" t="n">
        <f aca="false">NR12-NY12</f>
        <v>0</v>
      </c>
      <c r="OA12" s="1" t="n">
        <f aca="false">IF(HE12=1,IF(ABS((1+AS_Wage)/(1+Slot20_Rate)-1)&lt;0.000000000001,(Slot20_Age-D12)*(1+Slot20_Rate)^(Slot20_Age-D12),(1+Slot20_Rate)^(Slot20_Age-D12)*(1-((1+AS_Wage)/(1+Slot20_Rate))^(Slot20_Age-D12))/(1-(1+AS_Wage)/(1+Slot20_Rate))),1)</f>
        <v>1</v>
      </c>
      <c r="OB12" s="1" t="n">
        <f aca="false">IF(AND(HT12=1,ID12&gt;0,Slot20_IsWG=1,HE12=1),MAX(0,(Slot20_Cost-HF12*(1+Slot20_Rate)^(Slot20_Age-D12))/OA12),0)</f>
        <v>0</v>
      </c>
      <c r="OC12" s="1" t="n">
        <f aca="false">IF(AND(HT12=1,ID12&gt;0,Slot20_IsWG=1,HE12=1),MIN(ID12,OB12),0)</f>
        <v>0</v>
      </c>
      <c r="OD12" s="1" t="n">
        <f aca="false">HF12+OC12</f>
        <v>0</v>
      </c>
      <c r="OE12" s="1" t="n">
        <f aca="false">IF(HE12=1,MAX(0,(Slot20_Cost-OD12*(1+Slot20_Rate)^(Slot20_Age-D12))/OA12),0)</f>
        <v>0</v>
      </c>
      <c r="OF12" s="1" t="n">
        <f aca="false">IF(HE12=1,MAX(0,(Slot20_Cost-HF12*(1+Slot20_Rate)^(Slot20_Age-D12))/OA12),0)</f>
        <v>0</v>
      </c>
      <c r="OG12" s="1" t="n">
        <f aca="false">IF(AND(HT12=1,HE12=1),MIN(NZ12,OE12),0)</f>
        <v>0</v>
      </c>
      <c r="OH12" s="1" t="n">
        <f aca="false">NZ12-OG12</f>
        <v>0</v>
      </c>
      <c r="OI12" s="1" t="n">
        <f aca="false">ID12-(IG12+IO12+IW12+JE12+JM12+JU12+KC12+KK12+KS12+LA12+LI12+LQ12+LY12+MG12+MO12+MW12+NE12+NM12+NU12+OC12)</f>
        <v>0</v>
      </c>
      <c r="OJ12" s="1" t="n">
        <f aca="false">IF(HT12=1,HR12-IC12-ID12,0)</f>
        <v>0</v>
      </c>
      <c r="OK12" s="1" t="n">
        <f aca="false">IF(HT12=0,-HR12,0)</f>
        <v>0</v>
      </c>
      <c r="OL12" s="1" t="n">
        <f aca="false">MIN(OK12,HJ12)</f>
        <v>0</v>
      </c>
      <c r="OM12" s="1" t="n">
        <f aca="false">OK12-OL12</f>
        <v>0</v>
      </c>
      <c r="ON12" s="1" t="n">
        <f aca="false">MIN(OM12,HK12)</f>
        <v>0</v>
      </c>
      <c r="OO12" s="1" t="n">
        <f aca="false">OM12-ON12</f>
        <v>0</v>
      </c>
      <c r="OP12" s="1" t="n">
        <f aca="false">IF(AND(HT12=0,HE12=1,OO12&gt;0),MIN(OO12,HF12),0)</f>
        <v>0</v>
      </c>
      <c r="OQ12" s="1" t="n">
        <f aca="false">OO12-OP12</f>
        <v>0</v>
      </c>
      <c r="OR12" s="1" t="n">
        <f aca="false">IF(AND(HT12=0,GU12=1,OQ12&gt;0),MIN(OQ12,GV12),0)</f>
        <v>0</v>
      </c>
      <c r="OS12" s="1" t="n">
        <f aca="false">OQ12-OR12</f>
        <v>0</v>
      </c>
      <c r="OT12" s="1" t="n">
        <f aca="false">IF(AND(HT12=0,GK12=1,OS12&gt;0),MIN(OS12,GL12),0)</f>
        <v>0</v>
      </c>
      <c r="OU12" s="1" t="n">
        <f aca="false">OS12-OT12</f>
        <v>0</v>
      </c>
      <c r="OV12" s="1" t="n">
        <f aca="false">IF(AND(HT12=0,GA12=1,OU12&gt;0),MIN(OU12,GB12),0)</f>
        <v>0</v>
      </c>
      <c r="OW12" s="1" t="n">
        <f aca="false">OU12-OV12</f>
        <v>0</v>
      </c>
      <c r="OX12" s="1" t="n">
        <f aca="false">IF(AND(HT12=0,FQ12=1,OW12&gt;0),MIN(OW12,FR12),0)</f>
        <v>0</v>
      </c>
      <c r="OY12" s="1" t="n">
        <f aca="false">OW12-OX12</f>
        <v>0</v>
      </c>
      <c r="OZ12" s="1" t="n">
        <f aca="false">IF(AND(HT12=0,FG12=1,OY12&gt;0),MIN(OY12,FH12),0)</f>
        <v>0</v>
      </c>
      <c r="PA12" s="1" t="n">
        <f aca="false">OY12-OZ12</f>
        <v>0</v>
      </c>
      <c r="PB12" s="1" t="n">
        <f aca="false">IF(AND(HT12=0,EW12=1,PA12&gt;0),MIN(PA12,EX12),0)</f>
        <v>0</v>
      </c>
      <c r="PC12" s="1" t="n">
        <f aca="false">PA12-PB12</f>
        <v>0</v>
      </c>
      <c r="PD12" s="1" t="n">
        <f aca="false">IF(AND(HT12=0,EM12=1,PC12&gt;0),MIN(PC12,EN12),0)</f>
        <v>0</v>
      </c>
      <c r="PE12" s="1" t="n">
        <f aca="false">PC12-PD12</f>
        <v>0</v>
      </c>
      <c r="PF12" s="1" t="n">
        <f aca="false">IF(AND(HT12=0,EC12=1,PE12&gt;0),MIN(PE12,ED12),0)</f>
        <v>0</v>
      </c>
      <c r="PG12" s="1" t="n">
        <f aca="false">PE12-PF12</f>
        <v>0</v>
      </c>
      <c r="PH12" s="1" t="n">
        <f aca="false">IF(AND(HT12=0,DS12=1,PG12&gt;0),MIN(PG12,DT12),0)</f>
        <v>0</v>
      </c>
      <c r="PI12" s="1" t="n">
        <f aca="false">PG12-PH12</f>
        <v>0</v>
      </c>
      <c r="PJ12" s="1" t="n">
        <f aca="false">IF(AND(HT12=0,DI12=1,PI12&gt;0),MIN(PI12,DJ12),0)</f>
        <v>0</v>
      </c>
      <c r="PK12" s="1" t="n">
        <f aca="false">PI12-PJ12</f>
        <v>0</v>
      </c>
      <c r="PL12" s="1" t="n">
        <f aca="false">IF(AND(HT12=0,CY12=1,PK12&gt;0),MIN(PK12,CZ12),0)</f>
        <v>0</v>
      </c>
      <c r="PM12" s="1" t="n">
        <f aca="false">PK12-PL12</f>
        <v>0</v>
      </c>
      <c r="PN12" s="1" t="n">
        <f aca="false">IF(AND(HT12=0,CO12=1,PM12&gt;0),MIN(PM12,CP12),0)</f>
        <v>0</v>
      </c>
      <c r="PO12" s="1" t="n">
        <f aca="false">PM12-PN12</f>
        <v>0</v>
      </c>
      <c r="PP12" s="1" t="n">
        <f aca="false">IF(AND(HT12=0,CE12=1,PO12&gt;0),MIN(PO12,CF12),0)</f>
        <v>0</v>
      </c>
      <c r="PQ12" s="1" t="n">
        <f aca="false">PO12-PP12</f>
        <v>0</v>
      </c>
      <c r="PR12" s="1" t="n">
        <f aca="false">IF(AND(HT12=0,BU12=1,PQ12&gt;0),MIN(PQ12,BV12),0)</f>
        <v>0</v>
      </c>
      <c r="PS12" s="1" t="n">
        <f aca="false">PQ12-PR12</f>
        <v>0</v>
      </c>
      <c r="PT12" s="1" t="n">
        <f aca="false">IF(AND(HT12=0,BK12=1,PS12&gt;0),MIN(PS12,BL12),0)</f>
        <v>0</v>
      </c>
      <c r="PU12" s="1" t="n">
        <f aca="false">PS12-PT12</f>
        <v>0</v>
      </c>
      <c r="PV12" s="1" t="n">
        <f aca="false">IF(AND(HT12=0,BA12=1,PU12&gt;0),MIN(PU12,BB12),0)</f>
        <v>0</v>
      </c>
      <c r="PW12" s="1" t="n">
        <f aca="false">PU12-PV12</f>
        <v>0</v>
      </c>
      <c r="PX12" s="1" t="n">
        <f aca="false">IF(AND(HT12=0,AQ12=1,PW12&gt;0),MIN(PW12,AR12),0)</f>
        <v>0</v>
      </c>
      <c r="PY12" s="1" t="n">
        <f aca="false">PW12-PX12</f>
        <v>0</v>
      </c>
      <c r="PZ12" s="1" t="n">
        <f aca="false">IF(AND(HT12=0,AG12=1,PY12&gt;0),MIN(PY12,AH12),0)</f>
        <v>0</v>
      </c>
      <c r="QA12" s="1" t="n">
        <f aca="false">PY12-PZ12</f>
        <v>0</v>
      </c>
      <c r="QB12" s="1" t="n">
        <f aca="false">IF(AND(HT12=0,V12=1,QA12&gt;0),MIN(QA12,W12),0)</f>
        <v>0</v>
      </c>
      <c r="QC12" s="1" t="n">
        <f aca="false">QA12-QB12</f>
        <v>0</v>
      </c>
      <c r="QD12" s="1" t="n">
        <f aca="false">IF(HT12=0,QC12,0)</f>
        <v>0</v>
      </c>
      <c r="QE12" s="1" t="n">
        <f aca="false">OL12+ON12+QB12+PZ12+PX12+PV12+PT12+PR12+PP12+PN12+PL12+PJ12+PH12+PF12+PD12+PB12+OZ12+OX12+OV12+OT12+OR12+OP12</f>
        <v>0</v>
      </c>
      <c r="QF12" s="1" t="n">
        <f aca="false">IF(HT12=1,HJ12+OI12+OH12+IF(F12=1,0,OJ12),HJ12-OL12)</f>
        <v>0</v>
      </c>
      <c r="QG12" s="1" t="n">
        <f aca="false">HK12-ON12</f>
        <v>0</v>
      </c>
      <c r="QH12" s="1" t="n">
        <f aca="false">IF(HT12=1,IF(F12=1,IC12+ID12,HR12),0)</f>
        <v>0</v>
      </c>
      <c r="QI12" s="1" t="n">
        <f aca="false">IF(HT12=1,IF(F12=1,HR12-IC12-ID12,0),0)</f>
        <v>0</v>
      </c>
      <c r="QJ12" s="1" t="n">
        <f aca="false">QF12*(1+GR)</f>
        <v>0</v>
      </c>
      <c r="QK12" s="1" t="n">
        <f aca="false">QG12*(1+AS_Cash)</f>
        <v>0</v>
      </c>
      <c r="QL12" s="1" t="n">
        <f aca="false">IF(V12=1,IF(HT12=1,IH12+IK12,W12-QB12)*(1+Slot1_Rate),0)</f>
        <v>0</v>
      </c>
      <c r="QM12" s="1" t="n">
        <f aca="false">IF(AND(HT12=1,V12=1),(IG12+IK12)/E12,0)</f>
        <v>0</v>
      </c>
      <c r="QN12" s="1" t="n">
        <f aca="false">IF(B12=0,IG12+IK12,0)</f>
        <v>0</v>
      </c>
      <c r="QO12" s="1" t="n">
        <f aca="false">IF(B12=0,IF(HT12=1,II12,IJ12),0)</f>
        <v>0</v>
      </c>
      <c r="QP12" s="1" t="n">
        <f aca="false">IF(AG12=1,IF(HT12=1,IP12+IS12,AH12-PZ12)*(1+Slot2_Rate),0)</f>
        <v>0</v>
      </c>
      <c r="QQ12" s="1" t="n">
        <f aca="false">IF(AND(HT12=1,AG12=1),(IO12+IS12)/E12,0)</f>
        <v>0</v>
      </c>
      <c r="QR12" s="1" t="n">
        <f aca="false">IF(B12=0,IO12+IS12,0)</f>
        <v>0</v>
      </c>
      <c r="QS12" s="1" t="n">
        <f aca="false">IF(B12=0,IF(HT12=1,IQ12,IR12),0)</f>
        <v>0</v>
      </c>
      <c r="QT12" s="1" t="n">
        <f aca="false">IF(AQ12=1,IF(HT12=1,IX12+JA12,AR12-PX12)*(1+Slot3_Rate),0)</f>
        <v>0</v>
      </c>
      <c r="QU12" s="1" t="n">
        <f aca="false">IF(AND(HT12=1,AQ12=1),(IW12+JA12)/E12,0)</f>
        <v>0</v>
      </c>
      <c r="QV12" s="1" t="n">
        <f aca="false">IF(B12=0,IW12+JA12,0)</f>
        <v>0</v>
      </c>
      <c r="QW12" s="1" t="n">
        <f aca="false">IF(B12=0,IF(HT12=1,IY12,IZ12),0)</f>
        <v>0</v>
      </c>
      <c r="QX12" s="1" t="n">
        <f aca="false">IF(BA12=1,IF(HT12=1,JF12+JI12,BB12-PV12)*(1+Slot4_Rate),0)</f>
        <v>0</v>
      </c>
      <c r="QY12" s="1" t="n">
        <f aca="false">IF(AND(HT12=1,BA12=1),(JE12+JI12)/E12,0)</f>
        <v>0</v>
      </c>
      <c r="QZ12" s="1" t="n">
        <f aca="false">IF(B12=0,JE12+JI12,0)</f>
        <v>0</v>
      </c>
      <c r="RA12" s="1" t="n">
        <f aca="false">IF(B12=0,IF(HT12=1,JG12,JH12),0)</f>
        <v>0</v>
      </c>
      <c r="RB12" s="1" t="n">
        <f aca="false">IF(BK12=1,IF(HT12=1,JN12+JQ12,BL12-PT12)*(1+Slot5_Rate),0)</f>
        <v>0</v>
      </c>
      <c r="RC12" s="1" t="n">
        <f aca="false">IF(AND(HT12=1,BK12=1),(JM12+JQ12)/E12,0)</f>
        <v>0</v>
      </c>
      <c r="RD12" s="1" t="n">
        <f aca="false">IF(B12=0,JM12+JQ12,0)</f>
        <v>0</v>
      </c>
      <c r="RE12" s="1" t="n">
        <f aca="false">IF(B12=0,IF(HT12=1,JO12,JP12),0)</f>
        <v>0</v>
      </c>
      <c r="RF12" s="1" t="n">
        <f aca="false">IF(BU12=1,IF(HT12=1,JV12+JY12,BV12-PR12)*(1+Slot6_Rate),0)</f>
        <v>0</v>
      </c>
      <c r="RG12" s="1" t="n">
        <f aca="false">IF(AND(HT12=1,BU12=1),(JU12+JY12)/E12,0)</f>
        <v>0</v>
      </c>
      <c r="RH12" s="1" t="n">
        <f aca="false">IF(B12=0,JU12+JY12,0)</f>
        <v>0</v>
      </c>
      <c r="RI12" s="1" t="n">
        <f aca="false">IF(B12=0,IF(HT12=1,JW12,JX12),0)</f>
        <v>0</v>
      </c>
      <c r="RJ12" s="1" t="n">
        <f aca="false">IF(CE12=1,IF(HT12=1,KD12+KG12,CF12-PP12)*(1+Slot7_Rate),0)</f>
        <v>0</v>
      </c>
      <c r="RK12" s="1" t="n">
        <f aca="false">IF(AND(HT12=1,CE12=1),(KC12+KG12)/E12,0)</f>
        <v>0</v>
      </c>
      <c r="RL12" s="1" t="n">
        <f aca="false">IF(B12=0,KC12+KG12,0)</f>
        <v>0</v>
      </c>
      <c r="RM12" s="1" t="n">
        <f aca="false">IF(B12=0,IF(HT12=1,KE12,KF12),0)</f>
        <v>0</v>
      </c>
      <c r="RN12" s="1" t="n">
        <f aca="false">IF(CO12=1,IF(HT12=1,KL12+KO12,CP12-PN12)*(1+Slot8_Rate),0)</f>
        <v>0</v>
      </c>
      <c r="RO12" s="1" t="n">
        <f aca="false">IF(AND(HT12=1,CO12=1),(KK12+KO12)/E12,0)</f>
        <v>0</v>
      </c>
      <c r="RP12" s="1" t="n">
        <f aca="false">IF(B12=0,KK12+KO12,0)</f>
        <v>0</v>
      </c>
      <c r="RQ12" s="1" t="n">
        <f aca="false">IF(B12=0,IF(HT12=1,KM12,KN12),0)</f>
        <v>0</v>
      </c>
      <c r="RR12" s="1" t="n">
        <f aca="false">IF(CY12=1,IF(HT12=1,KT12+KW12,CZ12-PL12)*(1+Slot9_Rate),0)</f>
        <v>0</v>
      </c>
      <c r="RS12" s="1" t="n">
        <f aca="false">IF(AND(HT12=1,CY12=1),(KS12+KW12)/E12,0)</f>
        <v>0</v>
      </c>
      <c r="RT12" s="1" t="n">
        <f aca="false">IF(B12=0,KS12+KW12,0)</f>
        <v>0</v>
      </c>
      <c r="RU12" s="1" t="n">
        <f aca="false">IF(B12=0,IF(HT12=1,KU12,KV12),0)</f>
        <v>0</v>
      </c>
      <c r="RV12" s="1" t="n">
        <f aca="false">IF(DI12=1,IF(HT12=1,LB12+LE12,DJ12-PJ12)*(1+Slot10_Rate),0)</f>
        <v>0</v>
      </c>
      <c r="RW12" s="1" t="n">
        <f aca="false">IF(AND(HT12=1,DI12=1),(LA12+LE12)/E12,0)</f>
        <v>0</v>
      </c>
      <c r="RX12" s="1" t="n">
        <f aca="false">IF(B12=0,LA12+LE12,0)</f>
        <v>0</v>
      </c>
      <c r="RY12" s="1" t="n">
        <f aca="false">IF(B12=0,IF(HT12=1,LC12,LD12),0)</f>
        <v>0</v>
      </c>
      <c r="RZ12" s="1" t="n">
        <f aca="false">IF(DS12=1,IF(HT12=1,LJ12+LM12,DT12-PH12)*(1+Slot11_Rate),0)</f>
        <v>0</v>
      </c>
      <c r="SA12" s="1" t="n">
        <f aca="false">IF(AND(HT12=1,DS12=1),(LI12+LM12)/E12,0)</f>
        <v>0</v>
      </c>
      <c r="SB12" s="1" t="n">
        <f aca="false">IF(B12=0,LI12+LM12,0)</f>
        <v>0</v>
      </c>
      <c r="SC12" s="1" t="n">
        <f aca="false">IF(B12=0,IF(HT12=1,LK12,LL12),0)</f>
        <v>0</v>
      </c>
      <c r="SD12" s="1" t="n">
        <f aca="false">IF(EC12=1,IF(HT12=1,LR12+LU12,ED12-PF12)*(1+Slot12_Rate),0)</f>
        <v>0</v>
      </c>
      <c r="SE12" s="1" t="n">
        <f aca="false">IF(AND(HT12=1,EC12=1),(LQ12+LU12)/E12,0)</f>
        <v>0</v>
      </c>
      <c r="SF12" s="1" t="n">
        <f aca="false">IF(B12=0,LQ12+LU12,0)</f>
        <v>0</v>
      </c>
      <c r="SG12" s="1" t="n">
        <f aca="false">IF(B12=0,IF(HT12=1,LS12,LT12),0)</f>
        <v>0</v>
      </c>
      <c r="SH12" s="1" t="n">
        <f aca="false">IF(EM12=1,IF(HT12=1,LZ12+MC12,EN12-PD12)*(1+Slot13_Rate),0)</f>
        <v>0</v>
      </c>
      <c r="SI12" s="1" t="n">
        <f aca="false">IF(AND(HT12=1,EM12=1),(LY12+MC12)/E12,0)</f>
        <v>0</v>
      </c>
      <c r="SJ12" s="1" t="n">
        <f aca="false">IF(B12=0,LY12+MC12,0)</f>
        <v>0</v>
      </c>
      <c r="SK12" s="1" t="n">
        <f aca="false">IF(B12=0,IF(HT12=1,MA12,MB12),0)</f>
        <v>0</v>
      </c>
      <c r="SL12" s="1" t="n">
        <f aca="false">IF(EW12=1,IF(HT12=1,MH12+MK12,EX12-PB12)*(1+Slot14_Rate),0)</f>
        <v>0</v>
      </c>
      <c r="SM12" s="1" t="n">
        <f aca="false">IF(AND(HT12=1,EW12=1),(MG12+MK12)/E12,0)</f>
        <v>0</v>
      </c>
      <c r="SN12" s="1" t="n">
        <f aca="false">IF(B12=0,MG12+MK12,0)</f>
        <v>0</v>
      </c>
      <c r="SO12" s="1" t="n">
        <f aca="false">IF(B12=0,IF(HT12=1,MI12,MJ12),0)</f>
        <v>0</v>
      </c>
      <c r="SP12" s="1" t="n">
        <f aca="false">IF(FG12=1,IF(HT12=1,MP12+MS12,FH12-OZ12)*(1+Slot15_Rate),0)</f>
        <v>0</v>
      </c>
      <c r="SQ12" s="1" t="n">
        <f aca="false">IF(AND(HT12=1,FG12=1),(MO12+MS12)/E12,0)</f>
        <v>0</v>
      </c>
      <c r="SR12" s="1" t="n">
        <f aca="false">IF(B12=0,MO12+MS12,0)</f>
        <v>0</v>
      </c>
      <c r="SS12" s="1" t="n">
        <f aca="false">IF(B12=0,IF(HT12=1,MQ12,MR12),0)</f>
        <v>0</v>
      </c>
      <c r="ST12" s="1" t="n">
        <f aca="false">IF(FQ12=1,IF(HT12=1,MX12+NA12,FR12-OX12)*(1+Slot16_Rate),0)</f>
        <v>0</v>
      </c>
      <c r="SU12" s="1" t="n">
        <f aca="false">IF(AND(HT12=1,FQ12=1),(MW12+NA12)/E12,0)</f>
        <v>0</v>
      </c>
      <c r="SV12" s="1" t="n">
        <f aca="false">IF(B12=0,MW12+NA12,0)</f>
        <v>0</v>
      </c>
      <c r="SW12" s="1" t="n">
        <f aca="false">IF(B12=0,IF(HT12=1,MY12,MZ12),0)</f>
        <v>0</v>
      </c>
      <c r="SX12" s="1" t="n">
        <f aca="false">IF(GA12=1,IF(HT12=1,NF12+NI12,GB12-OV12)*(1+Slot17_Rate),0)</f>
        <v>0</v>
      </c>
      <c r="SY12" s="1" t="n">
        <f aca="false">IF(AND(HT12=1,GA12=1),(NE12+NI12)/E12,0)</f>
        <v>0</v>
      </c>
      <c r="SZ12" s="1" t="n">
        <f aca="false">IF(B12=0,NE12+NI12,0)</f>
        <v>0</v>
      </c>
      <c r="TA12" s="1" t="n">
        <f aca="false">IF(B12=0,IF(HT12=1,NG12,NH12),0)</f>
        <v>0</v>
      </c>
      <c r="TB12" s="1" t="n">
        <f aca="false">IF(GK12=1,IF(HT12=1,NN12+NQ12,GL12-OT12)*(1+Slot18_Rate),0)</f>
        <v>0</v>
      </c>
      <c r="TC12" s="1" t="n">
        <f aca="false">IF(AND(HT12=1,GK12=1),(NM12+NQ12)/E12,0)</f>
        <v>0</v>
      </c>
      <c r="TD12" s="1" t="n">
        <f aca="false">IF(B12=0,NM12+NQ12,0)</f>
        <v>0</v>
      </c>
      <c r="TE12" s="1" t="n">
        <f aca="false">IF(B12=0,IF(HT12=1,NO12,NP12),0)</f>
        <v>0</v>
      </c>
      <c r="TF12" s="1" t="n">
        <f aca="false">IF(GU12=1,IF(HT12=1,NV12+NY12,GV12-OR12)*(1+Slot19_Rate),0)</f>
        <v>0</v>
      </c>
      <c r="TG12" s="1" t="n">
        <f aca="false">IF(AND(HT12=1,GU12=1),(NU12+NY12)/E12,0)</f>
        <v>0</v>
      </c>
      <c r="TH12" s="1" t="n">
        <f aca="false">IF(B12=0,NU12+NY12,0)</f>
        <v>0</v>
      </c>
      <c r="TI12" s="1" t="n">
        <f aca="false">IF(B12=0,IF(HT12=1,NW12,NX12),0)</f>
        <v>0</v>
      </c>
      <c r="TJ12" s="1" t="n">
        <f aca="false">IF(HE12=1,IF(HT12=1,OD12+OG12,HF12-OP12)*(1+Slot20_Rate),0)</f>
        <v>0</v>
      </c>
      <c r="TK12" s="1" t="n">
        <f aca="false">IF(AND(HT12=1,HE12=1),(OC12+OG12)/E12,0)</f>
        <v>0</v>
      </c>
      <c r="TL12" s="1" t="n">
        <f aca="false">IF(B12=0,OC12+OG12,0)</f>
        <v>0</v>
      </c>
      <c r="TM12" s="1" t="n">
        <f aca="false">IF(B12=0,IF(HT12=1,OE12,OF12),0)</f>
        <v>0</v>
      </c>
      <c r="TN12" s="1" t="n">
        <f aca="false">QJ12+QK12+QL12+QP12+QT12+QX12+RB12+RF12+RJ12+RN12+RR12+RV12+RZ12+SD12+SH12+SL12+SP12+ST12+SX12+TB12+TF12+TJ12</f>
        <v>0</v>
      </c>
      <c r="TO12" s="1" t="n">
        <f aca="false">QD12+HO12</f>
        <v>0</v>
      </c>
      <c r="TP12" s="1" t="n">
        <f aca="false">H12+R12</f>
        <v>0</v>
      </c>
      <c r="TQ12" s="1" t="n">
        <f aca="false">1-F12</f>
        <v>0</v>
      </c>
      <c r="TR12" s="1" t="n">
        <f aca="false">IF(AND(RG_Exists=1,F12=0,C12=1),H12,0)</f>
        <v>0</v>
      </c>
      <c r="TS12" s="1" t="n">
        <f aca="false">IF(AND(RG_Exists=1,F12=0,C12=1),H12-MIN(QD12,H12),0)</f>
        <v>0</v>
      </c>
      <c r="TT12" s="1" t="n">
        <f aca="false">'Plan pay &amp; tax'!AD238</f>
        <v>0</v>
      </c>
      <c r="TU12" s="1" t="n">
        <f aca="false">IF(AND(C12=1,QD12&gt;MAX(PR_Short1,TP12*PR_Short2)),1,0)</f>
        <v>0</v>
      </c>
      <c r="TV12" s="1" t="n">
        <f aca="false">MIN(G12,H12+R12)</f>
        <v>0</v>
      </c>
      <c r="TW12" s="1" t="n">
        <f aca="false">QE12+MAX(0,HP12-HO12)</f>
        <v>0</v>
      </c>
      <c r="TX12" s="1" t="n">
        <f aca="false">QD12+HO12</f>
        <v>0</v>
      </c>
      <c r="TY12" s="1" t="n">
        <f aca="false">IF(AND(C12=1,TX12&gt;PR_MinShort),1,0)</f>
        <v>0</v>
      </c>
      <c r="TZ12" s="1" t="n">
        <f aca="false">IF(AND(C12=1,TY12=0,TW12&gt;PR_MinShort),1,0)</f>
        <v>0</v>
      </c>
      <c r="UA12" s="1" t="n">
        <f aca="false">IF(AND(C12=1,QD12&gt;PR_MinShort),1,0)</f>
        <v>0</v>
      </c>
      <c r="UB12" s="1" t="n">
        <f aca="false">IF(AND(C12=1,QE12&gt;1,UI12=0),1,0)</f>
        <v>0</v>
      </c>
      <c r="UC12" s="1" t="str">
        <f aca="false">IF(C12=0,"",IF(UI12=1,"Gap to plan for: short "&amp;"€"&amp;TEXT(ROUND(TO12,0),"#,##0"),IF(QE12&gt;1,"Using savings","Comfortable")))</f>
        <v>Comfortable</v>
      </c>
      <c r="UD12" s="1" t="n">
        <f aca="false">IF(AND(INT(D12/10)*10=90,B12&gt;0),80,INT(D12/10)*10)</f>
        <v>0</v>
      </c>
      <c r="UE12" s="1" t="n">
        <f aca="false">IF(B12=0,1,IF(UD12&lt;&gt;UD11,UE11+1,UE11))</f>
        <v>1</v>
      </c>
      <c r="UF12" s="1" t="n">
        <f aca="false">IF(AND(C12=1,F12=1,QD12&gt;MAX(PR_Short1,TP12*PR_Short2)),1,0)</f>
        <v>0</v>
      </c>
      <c r="UG12" s="1" t="n">
        <f aca="false">TQ12*TU12</f>
        <v>0</v>
      </c>
      <c r="UH12" s="1" t="n">
        <f aca="false">IF(AND(U12=1,Slot1_PctLow=1),1,0)+IF(AND(AF12=1,Slot2_PctLow=1),1,0)+IF(AND(AP12=1,Slot3_PctLow=1),1,0)+IF(AND(AZ12=1,Slot4_PctLow=1),1,0)+IF(AND(BJ12=1,Slot5_PctLow=1),1,0)+IF(AND(BT12=1,Slot6_PctLow=1),1,0)+IF(AND(CD12=1,Slot7_PctLow=1),1,0)+IF(AND(CN12=1,Slot8_PctLow=1),1,0)+IF(AND(CX12=1,Slot9_PctLow=1),1,0)+IF(AND(DH12=1,Slot10_PctLow=1),1,0)+IF(AND(DR12=1,Slot11_PctLow=1),1,0)+IF(AND(EB12=1,Slot12_PctLow=1),1,0)+IF(AND(EL12=1,Slot13_PctLow=1),1,0)+IF(AND(EV12=1,Slot14_PctLow=1),1,0)+IF(AND(FF12=1,Slot15_PctLow=1),1,0)+IF(AND(FP12=1,Slot16_PctLow=1),1,0)+IF(AND(FZ12=1,Slot17_PctLow=1),1,0)+IF(AND(GJ12=1,Slot18_PctLow=1),1,0)+IF(AND(GT12=1,Slot19_PctLow=1),1,0)+IF(AND(HD12=1,Slot20_PctLow=1),1,0)</f>
        <v>0</v>
      </c>
      <c r="UI12" s="1" t="n">
        <f aca="false">IF(C12=1,IF(OR(TU12=1,UH12&gt;0),1,0),0)</f>
        <v>0</v>
      </c>
    </row>
    <row r="13" customFormat="false" ht="15" hidden="false" customHeight="true" outlineLevel="0" collapsed="false">
      <c r="B13" s="1" t="n">
        <v>5</v>
      </c>
      <c r="C13" s="1" t="n">
        <f aca="false">IF(B13&lt;=F_N,1,0)</f>
        <v>1</v>
      </c>
      <c r="D13" s="1" t="n">
        <f aca="false">'Plan pay &amp; tax'!C239</f>
        <v>5</v>
      </c>
      <c r="E13" s="111" t="n">
        <f aca="false">'Plan pay &amp; tax'!E239</f>
        <v>1.1040808032</v>
      </c>
      <c r="F13" s="1" t="n">
        <f aca="false">'Plan pay &amp; tax'!G239</f>
        <v>1</v>
      </c>
      <c r="G13" s="1" t="n">
        <f aca="false">'Plan pay &amp; tax'!BT239-'Plan pay &amp; tax'!BS239-'Plan pay &amp; tax'!R239</f>
        <v>0</v>
      </c>
      <c r="H13" s="1" t="n">
        <f aca="false">IF(F13=1,F_CostsM*12,IF(RG_Exists=1,RG_Amount,F_CostsM*12*AS_RetireSpend))*E13+F_OneOffY*E13</f>
        <v>0</v>
      </c>
      <c r="I13" s="1" t="n">
        <f aca="false">HQ12</f>
        <v>0</v>
      </c>
      <c r="J13" s="1" t="n">
        <f aca="false">IF(I13&gt;1,'Plan debt months'!AC13,0)</f>
        <v>0</v>
      </c>
      <c r="K13" s="1" t="n">
        <f aca="false">IF(I13&gt;1,'Plan debt months'!AB13,I13)</f>
        <v>0</v>
      </c>
      <c r="L13" s="1" t="n">
        <f aca="false">N12</f>
        <v>0</v>
      </c>
      <c r="M13" s="1" t="n">
        <f aca="false">IF(L13&gt;1,'Plan debt months'!BD13,0)</f>
        <v>0</v>
      </c>
      <c r="N13" s="1" t="n">
        <f aca="false">IF(L13&gt;1,'Plan debt months'!BC13,L13)</f>
        <v>0</v>
      </c>
      <c r="O13" s="1" t="n">
        <f aca="false">Q12</f>
        <v>0</v>
      </c>
      <c r="P13" s="1" t="n">
        <f aca="false">IF(O13&gt;1,'Plan debt months'!CE13,0)</f>
        <v>0</v>
      </c>
      <c r="Q13" s="1" t="n">
        <f aca="false">IF(O13&gt;1,'Plan debt months'!CD13,O13)</f>
        <v>0</v>
      </c>
      <c r="R13" s="1" t="n">
        <f aca="false">J13+M13+P13</f>
        <v>0</v>
      </c>
      <c r="S13" s="1" t="n">
        <f aca="false">QJ12+'Plan pay &amp; tax'!Y239</f>
        <v>0</v>
      </c>
      <c r="T13" s="1" t="n">
        <f aca="false">QJ12</f>
        <v>0</v>
      </c>
      <c r="U13" s="1" t="n">
        <f aca="false">IF(AND(Slot1_On=1,D13=Slot1_Age),1,0)</f>
        <v>0</v>
      </c>
      <c r="V13" s="1" t="n">
        <f aca="false">IF(AND(Slot1_On=1,Slot1_Age&gt;D13),1,0)</f>
        <v>0</v>
      </c>
      <c r="W13" s="1" t="n">
        <f aca="false">QL12</f>
        <v>0</v>
      </c>
      <c r="X13" s="1" t="n">
        <f aca="false">U13*MIN(Slot1_Cost,W13)</f>
        <v>0</v>
      </c>
      <c r="Y13" s="1" t="n">
        <f aca="false">U13*Slot1_SpendLike*MIN(Slot1_Cost-X13,S13)</f>
        <v>0</v>
      </c>
      <c r="Z13" s="1" t="n">
        <f aca="false">X13+Y13</f>
        <v>0</v>
      </c>
      <c r="AA13" s="1" t="n">
        <f aca="false">S13-Y13+U13*IF(Slot1_SpendLike=1,W13-X13,IF(Slot1_PotFree=1,W13,0))</f>
        <v>0</v>
      </c>
      <c r="AB13" s="1" t="n">
        <f aca="false">AE13+U13*Slot1_BufPot*W13</f>
        <v>0</v>
      </c>
      <c r="AC13" s="1" t="n">
        <f aca="false">IF(AND(U13=1,Slot1_IsMfree=1),IF(Z13&gt;=Slot1_Cost-1,0,MAX(0,K13-Z13)),K13)</f>
        <v>0</v>
      </c>
      <c r="AD13" s="1" t="n">
        <f aca="false">U13*(Slot1_Cost-Z13)</f>
        <v>0</v>
      </c>
      <c r="AE13" s="1" t="n">
        <f aca="false">QK12</f>
        <v>0</v>
      </c>
      <c r="AF13" s="1" t="n">
        <f aca="false">IF(AND(Slot2_On=1,D13=Slot2_Age),1,0)</f>
        <v>0</v>
      </c>
      <c r="AG13" s="1" t="n">
        <f aca="false">IF(AND(Slot2_On=1,Slot2_Age&gt;D13),1,0)</f>
        <v>0</v>
      </c>
      <c r="AH13" s="1" t="n">
        <f aca="false">QP12</f>
        <v>0</v>
      </c>
      <c r="AI13" s="1" t="n">
        <f aca="false">AF13*MIN(Slot2_Cost,AH13)</f>
        <v>0</v>
      </c>
      <c r="AJ13" s="1" t="n">
        <f aca="false">AF13*Slot2_SpendLike*MIN(Slot2_Cost-AI13,AA13)</f>
        <v>0</v>
      </c>
      <c r="AK13" s="1" t="n">
        <f aca="false">AI13+AJ13</f>
        <v>0</v>
      </c>
      <c r="AL13" s="1" t="n">
        <f aca="false">AA13-AJ13+AF13*IF(Slot2_SpendLike=1,AH13-AI13,IF(Slot2_PotFree=1,AH13,0))</f>
        <v>0</v>
      </c>
      <c r="AM13" s="1" t="n">
        <f aca="false">AB13+AF13*Slot2_BufPot*AH13</f>
        <v>0</v>
      </c>
      <c r="AN13" s="1" t="n">
        <f aca="false">IF(AND(AF13=1,Slot2_IsMfree=1),IF(AK13&gt;=Slot2_Cost-1,0,MAX(0,AC13-AK13)),AC13)</f>
        <v>0</v>
      </c>
      <c r="AO13" s="1" t="n">
        <f aca="false">AF13*(Slot2_Cost-AK13)</f>
        <v>0</v>
      </c>
      <c r="AP13" s="1" t="n">
        <f aca="false">IF(AND(Slot3_On=1,D13=Slot3_Age),1,0)</f>
        <v>0</v>
      </c>
      <c r="AQ13" s="1" t="n">
        <f aca="false">IF(AND(Slot3_On=1,Slot3_Age&gt;D13),1,0)</f>
        <v>0</v>
      </c>
      <c r="AR13" s="1" t="n">
        <f aca="false">QT12</f>
        <v>0</v>
      </c>
      <c r="AS13" s="1" t="n">
        <f aca="false">AP13*MIN(Slot3_Cost,AR13)</f>
        <v>0</v>
      </c>
      <c r="AT13" s="1" t="n">
        <f aca="false">AP13*Slot3_SpendLike*MIN(Slot3_Cost-AS13,AL13)</f>
        <v>0</v>
      </c>
      <c r="AU13" s="1" t="n">
        <f aca="false">AS13+AT13</f>
        <v>0</v>
      </c>
      <c r="AV13" s="1" t="n">
        <f aca="false">AL13-AT13+AP13*IF(Slot3_SpendLike=1,AR13-AS13,IF(Slot3_PotFree=1,AR13,0))</f>
        <v>0</v>
      </c>
      <c r="AW13" s="1" t="n">
        <f aca="false">AM13+AP13*Slot3_BufPot*AR13</f>
        <v>0</v>
      </c>
      <c r="AX13" s="1" t="n">
        <f aca="false">IF(AND(AP13=1,Slot3_IsMfree=1),IF(AU13&gt;=Slot3_Cost-1,0,MAX(0,AN13-AU13)),AN13)</f>
        <v>0</v>
      </c>
      <c r="AY13" s="1" t="n">
        <f aca="false">AP13*(Slot3_Cost-AU13)</f>
        <v>0</v>
      </c>
      <c r="AZ13" s="1" t="n">
        <f aca="false">IF(AND(Slot4_On=1,D13=Slot4_Age),1,0)</f>
        <v>0</v>
      </c>
      <c r="BA13" s="1" t="n">
        <f aca="false">IF(AND(Slot4_On=1,Slot4_Age&gt;D13),1,0)</f>
        <v>0</v>
      </c>
      <c r="BB13" s="1" t="n">
        <f aca="false">QX12</f>
        <v>0</v>
      </c>
      <c r="BC13" s="1" t="n">
        <f aca="false">AZ13*MIN(Slot4_Cost,BB13)</f>
        <v>0</v>
      </c>
      <c r="BD13" s="1" t="n">
        <f aca="false">AZ13*Slot4_SpendLike*MIN(Slot4_Cost-BC13,AV13)</f>
        <v>0</v>
      </c>
      <c r="BE13" s="1" t="n">
        <f aca="false">BC13+BD13</f>
        <v>0</v>
      </c>
      <c r="BF13" s="1" t="n">
        <f aca="false">AV13-BD13+AZ13*IF(Slot4_SpendLike=1,BB13-BC13,IF(Slot4_PotFree=1,BB13,0))</f>
        <v>0</v>
      </c>
      <c r="BG13" s="1" t="n">
        <f aca="false">AW13+AZ13*Slot4_BufPot*BB13</f>
        <v>0</v>
      </c>
      <c r="BH13" s="1" t="n">
        <f aca="false">IF(AND(AZ13=1,Slot4_IsMfree=1),IF(BE13&gt;=Slot4_Cost-1,0,MAX(0,AX13-BE13)),AX13)</f>
        <v>0</v>
      </c>
      <c r="BI13" s="1" t="n">
        <f aca="false">AZ13*(Slot4_Cost-BE13)</f>
        <v>0</v>
      </c>
      <c r="BJ13" s="1" t="n">
        <f aca="false">IF(AND(Slot5_On=1,D13=Slot5_Age),1,0)</f>
        <v>0</v>
      </c>
      <c r="BK13" s="1" t="n">
        <f aca="false">IF(AND(Slot5_On=1,Slot5_Age&gt;D13),1,0)</f>
        <v>0</v>
      </c>
      <c r="BL13" s="1" t="n">
        <f aca="false">RB12</f>
        <v>0</v>
      </c>
      <c r="BM13" s="1" t="n">
        <f aca="false">BJ13*MIN(Slot5_Cost,BL13)</f>
        <v>0</v>
      </c>
      <c r="BN13" s="1" t="n">
        <f aca="false">BJ13*Slot5_SpendLike*MIN(Slot5_Cost-BM13,BF13)</f>
        <v>0</v>
      </c>
      <c r="BO13" s="1" t="n">
        <f aca="false">BM13+BN13</f>
        <v>0</v>
      </c>
      <c r="BP13" s="1" t="n">
        <f aca="false">BF13-BN13+BJ13*IF(Slot5_SpendLike=1,BL13-BM13,IF(Slot5_PotFree=1,BL13,0))</f>
        <v>0</v>
      </c>
      <c r="BQ13" s="1" t="n">
        <f aca="false">BG13+BJ13*Slot5_BufPot*BL13</f>
        <v>0</v>
      </c>
      <c r="BR13" s="1" t="n">
        <f aca="false">IF(AND(BJ13=1,Slot5_IsMfree=1),IF(BO13&gt;=Slot5_Cost-1,0,MAX(0,BH13-BO13)),BH13)</f>
        <v>0</v>
      </c>
      <c r="BS13" s="1" t="n">
        <f aca="false">BJ13*(Slot5_Cost-BO13)</f>
        <v>0</v>
      </c>
      <c r="BT13" s="1" t="n">
        <f aca="false">IF(AND(Slot6_On=1,D13=Slot6_Age),1,0)</f>
        <v>0</v>
      </c>
      <c r="BU13" s="1" t="n">
        <f aca="false">IF(AND(Slot6_On=1,Slot6_Age&gt;D13),1,0)</f>
        <v>0</v>
      </c>
      <c r="BV13" s="1" t="n">
        <f aca="false">RF12</f>
        <v>0</v>
      </c>
      <c r="BW13" s="1" t="n">
        <f aca="false">BT13*MIN(Slot6_Cost,BV13)</f>
        <v>0</v>
      </c>
      <c r="BX13" s="1" t="n">
        <f aca="false">BT13*Slot6_SpendLike*MIN(Slot6_Cost-BW13,BP13)</f>
        <v>0</v>
      </c>
      <c r="BY13" s="1" t="n">
        <f aca="false">BW13+BX13</f>
        <v>0</v>
      </c>
      <c r="BZ13" s="1" t="n">
        <f aca="false">BP13-BX13+BT13*IF(Slot6_SpendLike=1,BV13-BW13,IF(Slot6_PotFree=1,BV13,0))</f>
        <v>0</v>
      </c>
      <c r="CA13" s="1" t="n">
        <f aca="false">BQ13+BT13*Slot6_BufPot*BV13</f>
        <v>0</v>
      </c>
      <c r="CB13" s="1" t="n">
        <f aca="false">IF(AND(BT13=1,Slot6_IsMfree=1),IF(BY13&gt;=Slot6_Cost-1,0,MAX(0,BR13-BY13)),BR13)</f>
        <v>0</v>
      </c>
      <c r="CC13" s="1" t="n">
        <f aca="false">BT13*(Slot6_Cost-BY13)</f>
        <v>0</v>
      </c>
      <c r="CD13" s="1" t="n">
        <f aca="false">IF(AND(Slot7_On=1,D13=Slot7_Age),1,0)</f>
        <v>0</v>
      </c>
      <c r="CE13" s="1" t="n">
        <f aca="false">IF(AND(Slot7_On=1,Slot7_Age&gt;D13),1,0)</f>
        <v>0</v>
      </c>
      <c r="CF13" s="1" t="n">
        <f aca="false">RJ12</f>
        <v>0</v>
      </c>
      <c r="CG13" s="1" t="n">
        <f aca="false">CD13*MIN(Slot7_Cost,CF13)</f>
        <v>0</v>
      </c>
      <c r="CH13" s="1" t="n">
        <f aca="false">CD13*Slot7_SpendLike*MIN(Slot7_Cost-CG13,BZ13)</f>
        <v>0</v>
      </c>
      <c r="CI13" s="1" t="n">
        <f aca="false">CG13+CH13</f>
        <v>0</v>
      </c>
      <c r="CJ13" s="1" t="n">
        <f aca="false">BZ13-CH13+CD13*IF(Slot7_SpendLike=1,CF13-CG13,IF(Slot7_PotFree=1,CF13,0))</f>
        <v>0</v>
      </c>
      <c r="CK13" s="1" t="n">
        <f aca="false">CA13+CD13*Slot7_BufPot*CF13</f>
        <v>0</v>
      </c>
      <c r="CL13" s="1" t="n">
        <f aca="false">IF(AND(CD13=1,Slot7_IsMfree=1),IF(CI13&gt;=Slot7_Cost-1,0,MAX(0,CB13-CI13)),CB13)</f>
        <v>0</v>
      </c>
      <c r="CM13" s="1" t="n">
        <f aca="false">CD13*(Slot7_Cost-CI13)</f>
        <v>0</v>
      </c>
      <c r="CN13" s="1" t="n">
        <f aca="false">IF(AND(Slot8_On=1,D13=Slot8_Age),1,0)</f>
        <v>0</v>
      </c>
      <c r="CO13" s="1" t="n">
        <f aca="false">IF(AND(Slot8_On=1,Slot8_Age&gt;D13),1,0)</f>
        <v>0</v>
      </c>
      <c r="CP13" s="1" t="n">
        <f aca="false">RN12</f>
        <v>0</v>
      </c>
      <c r="CQ13" s="1" t="n">
        <f aca="false">CN13*MIN(Slot8_Cost,CP13)</f>
        <v>0</v>
      </c>
      <c r="CR13" s="1" t="n">
        <f aca="false">CN13*Slot8_SpendLike*MIN(Slot8_Cost-CQ13,CJ13)</f>
        <v>0</v>
      </c>
      <c r="CS13" s="1" t="n">
        <f aca="false">CQ13+CR13</f>
        <v>0</v>
      </c>
      <c r="CT13" s="1" t="n">
        <f aca="false">CJ13-CR13+CN13*IF(Slot8_SpendLike=1,CP13-CQ13,IF(Slot8_PotFree=1,CP13,0))</f>
        <v>0</v>
      </c>
      <c r="CU13" s="1" t="n">
        <f aca="false">CK13+CN13*Slot8_BufPot*CP13</f>
        <v>0</v>
      </c>
      <c r="CV13" s="1" t="n">
        <f aca="false">IF(AND(CN13=1,Slot8_IsMfree=1),IF(CS13&gt;=Slot8_Cost-1,0,MAX(0,CL13-CS13)),CL13)</f>
        <v>0</v>
      </c>
      <c r="CW13" s="1" t="n">
        <f aca="false">CN13*(Slot8_Cost-CS13)</f>
        <v>0</v>
      </c>
      <c r="CX13" s="1" t="n">
        <f aca="false">IF(AND(Slot9_On=1,D13=Slot9_Age),1,0)</f>
        <v>0</v>
      </c>
      <c r="CY13" s="1" t="n">
        <f aca="false">IF(AND(Slot9_On=1,Slot9_Age&gt;D13),1,0)</f>
        <v>0</v>
      </c>
      <c r="CZ13" s="1" t="n">
        <f aca="false">RR12</f>
        <v>0</v>
      </c>
      <c r="DA13" s="1" t="n">
        <f aca="false">CX13*MIN(Slot9_Cost,CZ13)</f>
        <v>0</v>
      </c>
      <c r="DB13" s="1" t="n">
        <f aca="false">CX13*Slot9_SpendLike*MIN(Slot9_Cost-DA13,CT13)</f>
        <v>0</v>
      </c>
      <c r="DC13" s="1" t="n">
        <f aca="false">DA13+DB13</f>
        <v>0</v>
      </c>
      <c r="DD13" s="1" t="n">
        <f aca="false">CT13-DB13+CX13*IF(Slot9_SpendLike=1,CZ13-DA13,IF(Slot9_PotFree=1,CZ13,0))</f>
        <v>0</v>
      </c>
      <c r="DE13" s="1" t="n">
        <f aca="false">CU13+CX13*Slot9_BufPot*CZ13</f>
        <v>0</v>
      </c>
      <c r="DF13" s="1" t="n">
        <f aca="false">IF(AND(CX13=1,Slot9_IsMfree=1),IF(DC13&gt;=Slot9_Cost-1,0,MAX(0,CV13-DC13)),CV13)</f>
        <v>0</v>
      </c>
      <c r="DG13" s="1" t="n">
        <f aca="false">CX13*(Slot9_Cost-DC13)</f>
        <v>0</v>
      </c>
      <c r="DH13" s="1" t="n">
        <f aca="false">IF(AND(Slot10_On=1,D13=Slot10_Age),1,0)</f>
        <v>0</v>
      </c>
      <c r="DI13" s="1" t="n">
        <f aca="false">IF(AND(Slot10_On=1,Slot10_Age&gt;D13),1,0)</f>
        <v>0</v>
      </c>
      <c r="DJ13" s="1" t="n">
        <f aca="false">RV12</f>
        <v>0</v>
      </c>
      <c r="DK13" s="1" t="n">
        <f aca="false">DH13*MIN(Slot10_Cost,DJ13)</f>
        <v>0</v>
      </c>
      <c r="DL13" s="1" t="n">
        <f aca="false">DH13*Slot10_SpendLike*MIN(Slot10_Cost-DK13,DD13)</f>
        <v>0</v>
      </c>
      <c r="DM13" s="1" t="n">
        <f aca="false">DK13+DL13</f>
        <v>0</v>
      </c>
      <c r="DN13" s="1" t="n">
        <f aca="false">DD13-DL13+DH13*IF(Slot10_SpendLike=1,DJ13-DK13,IF(Slot10_PotFree=1,DJ13,0))</f>
        <v>0</v>
      </c>
      <c r="DO13" s="1" t="n">
        <f aca="false">DE13+DH13*Slot10_BufPot*DJ13</f>
        <v>0</v>
      </c>
      <c r="DP13" s="1" t="n">
        <f aca="false">IF(AND(DH13=1,Slot10_IsMfree=1),IF(DM13&gt;=Slot10_Cost-1,0,MAX(0,DF13-DM13)),DF13)</f>
        <v>0</v>
      </c>
      <c r="DQ13" s="1" t="n">
        <f aca="false">DH13*(Slot10_Cost-DM13)</f>
        <v>0</v>
      </c>
      <c r="DR13" s="1" t="n">
        <f aca="false">IF(AND(Slot11_On=1,D13=Slot11_Age),1,0)</f>
        <v>0</v>
      </c>
      <c r="DS13" s="1" t="n">
        <f aca="false">IF(AND(Slot11_On=1,Slot11_Age&gt;D13),1,0)</f>
        <v>0</v>
      </c>
      <c r="DT13" s="1" t="n">
        <f aca="false">RZ12</f>
        <v>0</v>
      </c>
      <c r="DU13" s="1" t="n">
        <f aca="false">DR13*MIN(Slot11_Cost,DT13)</f>
        <v>0</v>
      </c>
      <c r="DV13" s="1" t="n">
        <f aca="false">DR13*Slot11_SpendLike*MIN(Slot11_Cost-DU13,DN13)</f>
        <v>0</v>
      </c>
      <c r="DW13" s="1" t="n">
        <f aca="false">DU13+DV13</f>
        <v>0</v>
      </c>
      <c r="DX13" s="1" t="n">
        <f aca="false">DN13-DV13+DR13*IF(Slot11_SpendLike=1,DT13-DU13,IF(Slot11_PotFree=1,DT13,0))</f>
        <v>0</v>
      </c>
      <c r="DY13" s="1" t="n">
        <f aca="false">DO13+DR13*Slot11_BufPot*DT13</f>
        <v>0</v>
      </c>
      <c r="DZ13" s="1" t="n">
        <f aca="false">IF(AND(DR13=1,Slot11_IsMfree=1),IF(DW13&gt;=Slot11_Cost-1,0,MAX(0,DP13-DW13)),DP13)</f>
        <v>0</v>
      </c>
      <c r="EA13" s="1" t="n">
        <f aca="false">DR13*(Slot11_Cost-DW13)</f>
        <v>0</v>
      </c>
      <c r="EB13" s="1" t="n">
        <f aca="false">IF(AND(Slot12_On=1,D13=Slot12_Age),1,0)</f>
        <v>0</v>
      </c>
      <c r="EC13" s="1" t="n">
        <f aca="false">IF(AND(Slot12_On=1,Slot12_Age&gt;D13),1,0)</f>
        <v>0</v>
      </c>
      <c r="ED13" s="1" t="n">
        <f aca="false">SD12</f>
        <v>0</v>
      </c>
      <c r="EE13" s="1" t="n">
        <f aca="false">EB13*MIN(Slot12_Cost,ED13)</f>
        <v>0</v>
      </c>
      <c r="EF13" s="1" t="n">
        <f aca="false">EB13*Slot12_SpendLike*MIN(Slot12_Cost-EE13,DX13)</f>
        <v>0</v>
      </c>
      <c r="EG13" s="1" t="n">
        <f aca="false">EE13+EF13</f>
        <v>0</v>
      </c>
      <c r="EH13" s="1" t="n">
        <f aca="false">DX13-EF13+EB13*IF(Slot12_SpendLike=1,ED13-EE13,IF(Slot12_PotFree=1,ED13,0))</f>
        <v>0</v>
      </c>
      <c r="EI13" s="1" t="n">
        <f aca="false">DY13+EB13*Slot12_BufPot*ED13</f>
        <v>0</v>
      </c>
      <c r="EJ13" s="1" t="n">
        <f aca="false">IF(AND(EB13=1,Slot12_IsMfree=1),IF(EG13&gt;=Slot12_Cost-1,0,MAX(0,DZ13-EG13)),DZ13)</f>
        <v>0</v>
      </c>
      <c r="EK13" s="1" t="n">
        <f aca="false">EB13*(Slot12_Cost-EG13)</f>
        <v>0</v>
      </c>
      <c r="EL13" s="1" t="n">
        <f aca="false">IF(AND(Slot13_On=1,D13=Slot13_Age),1,0)</f>
        <v>0</v>
      </c>
      <c r="EM13" s="1" t="n">
        <f aca="false">IF(AND(Slot13_On=1,Slot13_Age&gt;D13),1,0)</f>
        <v>0</v>
      </c>
      <c r="EN13" s="1" t="n">
        <f aca="false">SH12</f>
        <v>0</v>
      </c>
      <c r="EO13" s="1" t="n">
        <f aca="false">EL13*MIN(Slot13_Cost,EN13)</f>
        <v>0</v>
      </c>
      <c r="EP13" s="1" t="n">
        <f aca="false">EL13*Slot13_SpendLike*MIN(Slot13_Cost-EO13,EH13)</f>
        <v>0</v>
      </c>
      <c r="EQ13" s="1" t="n">
        <f aca="false">EO13+EP13</f>
        <v>0</v>
      </c>
      <c r="ER13" s="1" t="n">
        <f aca="false">EH13-EP13+EL13*IF(Slot13_SpendLike=1,EN13-EO13,IF(Slot13_PotFree=1,EN13,0))</f>
        <v>0</v>
      </c>
      <c r="ES13" s="1" t="n">
        <f aca="false">EI13+EL13*Slot13_BufPot*EN13</f>
        <v>0</v>
      </c>
      <c r="ET13" s="1" t="n">
        <f aca="false">IF(AND(EL13=1,Slot13_IsMfree=1),IF(EQ13&gt;=Slot13_Cost-1,0,MAX(0,EJ13-EQ13)),EJ13)</f>
        <v>0</v>
      </c>
      <c r="EU13" s="1" t="n">
        <f aca="false">EL13*(Slot13_Cost-EQ13)</f>
        <v>0</v>
      </c>
      <c r="EV13" s="1" t="n">
        <f aca="false">IF(AND(Slot14_On=1,D13=Slot14_Age),1,0)</f>
        <v>0</v>
      </c>
      <c r="EW13" s="1" t="n">
        <f aca="false">IF(AND(Slot14_On=1,Slot14_Age&gt;D13),1,0)</f>
        <v>0</v>
      </c>
      <c r="EX13" s="1" t="n">
        <f aca="false">SL12</f>
        <v>0</v>
      </c>
      <c r="EY13" s="1" t="n">
        <f aca="false">EV13*MIN(Slot14_Cost,EX13)</f>
        <v>0</v>
      </c>
      <c r="EZ13" s="1" t="n">
        <f aca="false">EV13*Slot14_SpendLike*MIN(Slot14_Cost-EY13,ER13)</f>
        <v>0</v>
      </c>
      <c r="FA13" s="1" t="n">
        <f aca="false">EY13+EZ13</f>
        <v>0</v>
      </c>
      <c r="FB13" s="1" t="n">
        <f aca="false">ER13-EZ13+EV13*IF(Slot14_SpendLike=1,EX13-EY13,IF(Slot14_PotFree=1,EX13,0))</f>
        <v>0</v>
      </c>
      <c r="FC13" s="1" t="n">
        <f aca="false">ES13+EV13*Slot14_BufPot*EX13</f>
        <v>0</v>
      </c>
      <c r="FD13" s="1" t="n">
        <f aca="false">IF(AND(EV13=1,Slot14_IsMfree=1),IF(FA13&gt;=Slot14_Cost-1,0,MAX(0,ET13-FA13)),ET13)</f>
        <v>0</v>
      </c>
      <c r="FE13" s="1" t="n">
        <f aca="false">EV13*(Slot14_Cost-FA13)</f>
        <v>0</v>
      </c>
      <c r="FF13" s="1" t="n">
        <f aca="false">IF(AND(Slot15_On=1,D13=Slot15_Age),1,0)</f>
        <v>0</v>
      </c>
      <c r="FG13" s="1" t="n">
        <f aca="false">IF(AND(Slot15_On=1,Slot15_Age&gt;D13),1,0)</f>
        <v>0</v>
      </c>
      <c r="FH13" s="1" t="n">
        <f aca="false">SP12</f>
        <v>0</v>
      </c>
      <c r="FI13" s="1" t="n">
        <f aca="false">FF13*MIN(Slot15_Cost,FH13)</f>
        <v>0</v>
      </c>
      <c r="FJ13" s="1" t="n">
        <f aca="false">FF13*Slot15_SpendLike*MIN(Slot15_Cost-FI13,FB13)</f>
        <v>0</v>
      </c>
      <c r="FK13" s="1" t="n">
        <f aca="false">FI13+FJ13</f>
        <v>0</v>
      </c>
      <c r="FL13" s="1" t="n">
        <f aca="false">FB13-FJ13+FF13*IF(Slot15_SpendLike=1,FH13-FI13,IF(Slot15_PotFree=1,FH13,0))</f>
        <v>0</v>
      </c>
      <c r="FM13" s="1" t="n">
        <f aca="false">FC13+FF13*Slot15_BufPot*FH13</f>
        <v>0</v>
      </c>
      <c r="FN13" s="1" t="n">
        <f aca="false">IF(AND(FF13=1,Slot15_IsMfree=1),IF(FK13&gt;=Slot15_Cost-1,0,MAX(0,FD13-FK13)),FD13)</f>
        <v>0</v>
      </c>
      <c r="FO13" s="1" t="n">
        <f aca="false">FF13*(Slot15_Cost-FK13)</f>
        <v>0</v>
      </c>
      <c r="FP13" s="1" t="n">
        <f aca="false">IF(AND(Slot16_On=1,D13=Slot16_Age),1,0)</f>
        <v>0</v>
      </c>
      <c r="FQ13" s="1" t="n">
        <f aca="false">IF(AND(Slot16_On=1,Slot16_Age&gt;D13),1,0)</f>
        <v>0</v>
      </c>
      <c r="FR13" s="1" t="n">
        <f aca="false">ST12</f>
        <v>0</v>
      </c>
      <c r="FS13" s="1" t="n">
        <f aca="false">FP13*MIN(Slot16_Cost,FR13)</f>
        <v>0</v>
      </c>
      <c r="FT13" s="1" t="n">
        <f aca="false">FP13*Slot16_SpendLike*MIN(Slot16_Cost-FS13,FL13)</f>
        <v>0</v>
      </c>
      <c r="FU13" s="1" t="n">
        <f aca="false">FS13+FT13</f>
        <v>0</v>
      </c>
      <c r="FV13" s="1" t="n">
        <f aca="false">FL13-FT13+FP13*IF(Slot16_SpendLike=1,FR13-FS13,IF(Slot16_PotFree=1,FR13,0))</f>
        <v>0</v>
      </c>
      <c r="FW13" s="1" t="n">
        <f aca="false">FM13+FP13*Slot16_BufPot*FR13</f>
        <v>0</v>
      </c>
      <c r="FX13" s="1" t="n">
        <f aca="false">IF(AND(FP13=1,Slot16_IsMfree=1),IF(FU13&gt;=Slot16_Cost-1,0,MAX(0,FN13-FU13)),FN13)</f>
        <v>0</v>
      </c>
      <c r="FY13" s="1" t="n">
        <f aca="false">FP13*(Slot16_Cost-FU13)</f>
        <v>0</v>
      </c>
      <c r="FZ13" s="1" t="n">
        <f aca="false">IF(AND(Slot17_On=1,D13=Slot17_Age),1,0)</f>
        <v>0</v>
      </c>
      <c r="GA13" s="1" t="n">
        <f aca="false">IF(AND(Slot17_On=1,Slot17_Age&gt;D13),1,0)</f>
        <v>0</v>
      </c>
      <c r="GB13" s="1" t="n">
        <f aca="false">SX12</f>
        <v>0</v>
      </c>
      <c r="GC13" s="1" t="n">
        <f aca="false">FZ13*MIN(Slot17_Cost,GB13)</f>
        <v>0</v>
      </c>
      <c r="GD13" s="1" t="n">
        <f aca="false">FZ13*Slot17_SpendLike*MIN(Slot17_Cost-GC13,FV13)</f>
        <v>0</v>
      </c>
      <c r="GE13" s="1" t="n">
        <f aca="false">GC13+GD13</f>
        <v>0</v>
      </c>
      <c r="GF13" s="1" t="n">
        <f aca="false">FV13-GD13+FZ13*IF(Slot17_SpendLike=1,GB13-GC13,IF(Slot17_PotFree=1,GB13,0))</f>
        <v>0</v>
      </c>
      <c r="GG13" s="1" t="n">
        <f aca="false">FW13+FZ13*Slot17_BufPot*GB13</f>
        <v>0</v>
      </c>
      <c r="GH13" s="1" t="n">
        <f aca="false">IF(AND(FZ13=1,Slot17_IsMfree=1),IF(GE13&gt;=Slot17_Cost-1,0,MAX(0,FX13-GE13)),FX13)</f>
        <v>0</v>
      </c>
      <c r="GI13" s="1" t="n">
        <f aca="false">FZ13*(Slot17_Cost-GE13)</f>
        <v>0</v>
      </c>
      <c r="GJ13" s="1" t="n">
        <f aca="false">IF(AND(Slot18_On=1,D13=Slot18_Age),1,0)</f>
        <v>0</v>
      </c>
      <c r="GK13" s="1" t="n">
        <f aca="false">IF(AND(Slot18_On=1,Slot18_Age&gt;D13),1,0)</f>
        <v>0</v>
      </c>
      <c r="GL13" s="1" t="n">
        <f aca="false">TB12</f>
        <v>0</v>
      </c>
      <c r="GM13" s="1" t="n">
        <f aca="false">GJ13*MIN(Slot18_Cost,GL13)</f>
        <v>0</v>
      </c>
      <c r="GN13" s="1" t="n">
        <f aca="false">GJ13*Slot18_SpendLike*MIN(Slot18_Cost-GM13,GF13)</f>
        <v>0</v>
      </c>
      <c r="GO13" s="1" t="n">
        <f aca="false">GM13+GN13</f>
        <v>0</v>
      </c>
      <c r="GP13" s="1" t="n">
        <f aca="false">GF13-GN13+GJ13*IF(Slot18_SpendLike=1,GL13-GM13,IF(Slot18_PotFree=1,GL13,0))</f>
        <v>0</v>
      </c>
      <c r="GQ13" s="1" t="n">
        <f aca="false">GG13+GJ13*Slot18_BufPot*GL13</f>
        <v>0</v>
      </c>
      <c r="GR13" s="1" t="n">
        <f aca="false">IF(AND(GJ13=1,Slot18_IsMfree=1),IF(GO13&gt;=Slot18_Cost-1,0,MAX(0,GH13-GO13)),GH13)</f>
        <v>0</v>
      </c>
      <c r="GS13" s="1" t="n">
        <f aca="false">GJ13*(Slot18_Cost-GO13)</f>
        <v>0</v>
      </c>
      <c r="GT13" s="1" t="n">
        <f aca="false">IF(AND(Slot19_On=1,D13=Slot19_Age),1,0)</f>
        <v>0</v>
      </c>
      <c r="GU13" s="1" t="n">
        <f aca="false">IF(AND(Slot19_On=1,Slot19_Age&gt;D13),1,0)</f>
        <v>0</v>
      </c>
      <c r="GV13" s="1" t="n">
        <f aca="false">TF12</f>
        <v>0</v>
      </c>
      <c r="GW13" s="1" t="n">
        <f aca="false">GT13*MIN(Slot19_Cost,GV13)</f>
        <v>0</v>
      </c>
      <c r="GX13" s="1" t="n">
        <f aca="false">GT13*Slot19_SpendLike*MIN(Slot19_Cost-GW13,GP13)</f>
        <v>0</v>
      </c>
      <c r="GY13" s="1" t="n">
        <f aca="false">GW13+GX13</f>
        <v>0</v>
      </c>
      <c r="GZ13" s="1" t="n">
        <f aca="false">GP13-GX13+GT13*IF(Slot19_SpendLike=1,GV13-GW13,IF(Slot19_PotFree=1,GV13,0))</f>
        <v>0</v>
      </c>
      <c r="HA13" s="1" t="n">
        <f aca="false">GQ13+GT13*Slot19_BufPot*GV13</f>
        <v>0</v>
      </c>
      <c r="HB13" s="1" t="n">
        <f aca="false">IF(AND(GT13=1,Slot19_IsMfree=1),IF(GY13&gt;=Slot19_Cost-1,0,MAX(0,GR13-GY13)),GR13)</f>
        <v>0</v>
      </c>
      <c r="HC13" s="1" t="n">
        <f aca="false">GT13*(Slot19_Cost-GY13)</f>
        <v>0</v>
      </c>
      <c r="HD13" s="1" t="n">
        <f aca="false">IF(AND(Slot20_On=1,D13=Slot20_Age),1,0)</f>
        <v>0</v>
      </c>
      <c r="HE13" s="1" t="n">
        <f aca="false">IF(AND(Slot20_On=1,Slot20_Age&gt;D13),1,0)</f>
        <v>0</v>
      </c>
      <c r="HF13" s="1" t="n">
        <f aca="false">TJ12</f>
        <v>0</v>
      </c>
      <c r="HG13" s="1" t="n">
        <f aca="false">HD13*MIN(Slot20_Cost,HF13)</f>
        <v>0</v>
      </c>
      <c r="HH13" s="1" t="n">
        <f aca="false">HD13*Slot20_SpendLike*MIN(Slot20_Cost-HG13,GZ13)</f>
        <v>0</v>
      </c>
      <c r="HI13" s="1" t="n">
        <f aca="false">HG13+HH13</f>
        <v>0</v>
      </c>
      <c r="HJ13" s="1" t="n">
        <f aca="false">GZ13-HH13+HD13*IF(Slot20_SpendLike=1,HF13-HG13,IF(Slot20_PotFree=1,HF13,0))</f>
        <v>0</v>
      </c>
      <c r="HK13" s="1" t="n">
        <f aca="false">HA13+HD13*Slot20_BufPot*HF13</f>
        <v>0</v>
      </c>
      <c r="HL13" s="1" t="n">
        <f aca="false">IF(AND(HD13=1,Slot20_IsMfree=1),IF(HI13&gt;=Slot20_Cost-1,0,MAX(0,HB13-HI13)),HB13)</f>
        <v>0</v>
      </c>
      <c r="HM13" s="1" t="n">
        <f aca="false">HD13*(Slot20_Cost-HI13)</f>
        <v>0</v>
      </c>
      <c r="HN13" s="1" t="n">
        <f aca="false">U13*Slot1_SpendLike*Z13+AF13*Slot2_SpendLike*AK13+AP13*Slot3_SpendLike*AU13+AZ13*Slot4_SpendLike*BE13+BJ13*Slot5_SpendLike*BO13+BT13*Slot6_SpendLike*BY13+CD13*Slot7_SpendLike*CI13+CN13*Slot8_SpendLike*CS13+CX13*Slot9_SpendLike*DC13+DH13*Slot10_SpendLike*DM13+DR13*Slot11_SpendLike*DW13+EB13*Slot12_SpendLike*EG13+EL13*Slot13_SpendLike*EQ13+EV13*Slot14_SpendLike*FA13+FF13*Slot15_SpendLike*FK13+FP13*Slot16_SpendLike*FU13+FZ13*Slot17_SpendLike*GE13+GJ13*Slot18_SpendLike*GO13+GT13*Slot19_SpendLike*GY13+HD13*Slot20_SpendLike*HI13</f>
        <v>0</v>
      </c>
      <c r="HO13" s="1" t="n">
        <f aca="false">AD13+AO13+AY13+BI13+BS13+CC13+CM13+CW13+DG13+DQ13+EA13+EK13+EU13+FE13+FO13+FY13+GI13+GS13+HC13+HM13</f>
        <v>0</v>
      </c>
      <c r="HP13" s="1" t="n">
        <f aca="false">U13*Slot1_Cost+AF13*Slot2_Cost+AP13*Slot3_Cost+AZ13*Slot4_Cost+BJ13*Slot5_Cost+BT13*Slot6_Cost+CD13*Slot7_Cost+CN13*Slot8_Cost+CX13*Slot9_Cost+DH13*Slot10_Cost+DR13*Slot11_Cost+EB13*Slot12_Cost+EL13*Slot13_Cost+EV13*Slot14_Cost+FF13*Slot15_Cost+FP13*Slot16_Cost+FZ13*Slot17_Cost+GJ13*Slot18_Cost+GT13*Slot19_Cost+HD13*Slot20_Cost</f>
        <v>0</v>
      </c>
      <c r="HQ13" s="1" t="n">
        <f aca="false">HL13</f>
        <v>0</v>
      </c>
      <c r="HR13" s="1" t="n">
        <f aca="false">G13-H13-R13</f>
        <v>0</v>
      </c>
      <c r="HS13" s="1" t="n">
        <f aca="false">IF(B13=0,IF(AND(Has_q6=1,In_q6=4),PR_ShareVaries*(MAX(0,HR13)/12),MIN(IF(Has_q6=1,CHOOSE(In_q6+1,PR_SaveB1,PR_SaveB2,PR_SaveB3,PR_SaveB4,0),AS_NoAnswer),AS_SaveShare*(MAX(0,HR13)/12))),HS12)</f>
        <v>0</v>
      </c>
      <c r="HT13" s="1" t="n">
        <f aca="false">IF(HR13&gt;=0,1,0)</f>
        <v>1</v>
      </c>
      <c r="HU13" s="1" t="n">
        <f aca="false">MAX(0,HR13/12/E13)</f>
        <v>0</v>
      </c>
      <c r="HV13" s="1" t="n">
        <f aca="false">IF(AND(Has_q6=1,In_q6=4),PR_ShareVaries*(HU13),MIN(IF(Has_q6=1,CHOOSE(In_q6+1,PR_SaveB1,PR_SaveB2,PR_SaveB3,PR_SaveB4,0),AS_NoAnswer),AS_SaveShare*(HU13)))</f>
        <v>0</v>
      </c>
      <c r="HW13" s="1" t="n">
        <f aca="false">IF(Has_saveM=1,IF(In_saveUp="Yes",1,IF(In_saveUp="No",0,IF(In_saveM&gt;=HS13-0.5,1,0))),0)</f>
        <v>0</v>
      </c>
      <c r="HX13" s="1" t="n">
        <f aca="false">IF(Has_saveM=1,MIN(HU13,IF(HW13=1,MAX(In_saveM,HV13),MIN(In_saveM,HV13))),HV13)</f>
        <v>0</v>
      </c>
      <c r="HY13" s="1" t="n">
        <f aca="false">IF(F13=1,HX13*12*E13,0)</f>
        <v>0</v>
      </c>
      <c r="HZ13" s="1" t="n">
        <f aca="false">MAX(0,HY13+IF(AND(WI_Retire=0,WI_M&lt;0,F13=1),WI_M*12*E13,0))</f>
        <v>0</v>
      </c>
      <c r="IA13" s="1" t="n">
        <f aca="false">Slot1_IsWG*V13+Slot2_IsWG*AG13+Slot3_IsWG*AQ13+Slot4_IsWG*BA13+Slot5_IsWG*BK13+Slot6_IsWG*BU13+Slot7_IsWG*CE13+Slot8_IsWG*CO13+Slot9_IsWG*CY13+Slot10_IsWG*DI13+Slot11_IsWG*DS13+Slot12_IsWG*EC13+Slot13_IsWG*EM13+Slot14_IsWG*EW13+Slot15_IsWG*FG13+Slot16_IsWG*FQ13+Slot17_IsWG*GA13+Slot18_IsWG*GK13+Slot19_IsWG*GU13+Slot20_IsWG*HE13</f>
        <v>0</v>
      </c>
      <c r="IB13" s="1" t="n">
        <f aca="false">IF(AND(WI_Retire=0,WI_M&gt;0,F13=1,IA13&gt;=1),WI_M*12*E13,0)</f>
        <v>0</v>
      </c>
      <c r="IC13" s="1" t="n">
        <f aca="false">IF(HT13=1,MIN(HZ13,HR13),0)</f>
        <v>0</v>
      </c>
      <c r="ID13" s="1" t="n">
        <f aca="false">IF(HT13=1,MIN(IB13,HR13-IC13),0)</f>
        <v>0</v>
      </c>
      <c r="IE13" s="1" t="n">
        <f aca="false">IF(V13=1,IF(ABS((1+AS_Wage)/(1+Slot1_Rate)-1)&lt;0.000000000001,(Slot1_Age-D13)*(1+Slot1_Rate)^(Slot1_Age-D13),(1+Slot1_Rate)^(Slot1_Age-D13)*(1-((1+AS_Wage)/(1+Slot1_Rate))^(Slot1_Age-D13))/(1-(1+AS_Wage)/(1+Slot1_Rate))),1)</f>
        <v>1</v>
      </c>
      <c r="IF13" s="1" t="n">
        <f aca="false">IF(AND(HT13=1,ID13&gt;0,Slot1_IsWG=1,V13=1),MAX(0,(Slot1_Cost-W13*(1+Slot1_Rate)^(Slot1_Age-D13))/IE13),0)</f>
        <v>0</v>
      </c>
      <c r="IG13" s="1" t="n">
        <f aca="false">IF(AND(HT13=1,ID13&gt;0,Slot1_IsWG=1,V13=1),MIN(ID13,IF13),0)</f>
        <v>0</v>
      </c>
      <c r="IH13" s="1" t="n">
        <f aca="false">W13+IG13</f>
        <v>0</v>
      </c>
      <c r="II13" s="1" t="n">
        <f aca="false">IF(V13=1,MAX(0,(Slot1_Cost-IH13*(1+Slot1_Rate)^(Slot1_Age-D13))/IE13),0)</f>
        <v>0</v>
      </c>
      <c r="IJ13" s="1" t="n">
        <f aca="false">IF(V13=1,MAX(0,(Slot1_Cost-W13*(1+Slot1_Rate)^(Slot1_Age-D13))/IE13),0)</f>
        <v>0</v>
      </c>
      <c r="IK13" s="1" t="n">
        <f aca="false">IF(AND(HT13=1,V13=1),MIN(IC13,II13),0)</f>
        <v>0</v>
      </c>
      <c r="IL13" s="1" t="n">
        <f aca="false">IC13-IK13</f>
        <v>0</v>
      </c>
      <c r="IM13" s="1" t="n">
        <f aca="false">IF(AG13=1,IF(ABS((1+AS_Wage)/(1+Slot2_Rate)-1)&lt;0.000000000001,(Slot2_Age-D13)*(1+Slot2_Rate)^(Slot2_Age-D13),(1+Slot2_Rate)^(Slot2_Age-D13)*(1-((1+AS_Wage)/(1+Slot2_Rate))^(Slot2_Age-D13))/(1-(1+AS_Wage)/(1+Slot2_Rate))),1)</f>
        <v>1</v>
      </c>
      <c r="IN13" s="1" t="n">
        <f aca="false">IF(AND(HT13=1,ID13&gt;0,Slot2_IsWG=1,AG13=1),MAX(0,(Slot2_Cost-AH13*(1+Slot2_Rate)^(Slot2_Age-D13))/IM13),0)</f>
        <v>0</v>
      </c>
      <c r="IO13" s="1" t="n">
        <f aca="false">IF(AND(HT13=1,ID13&gt;0,Slot2_IsWG=1,AG13=1),MIN(ID13,IN13),0)</f>
        <v>0</v>
      </c>
      <c r="IP13" s="1" t="n">
        <f aca="false">AH13+IO13</f>
        <v>0</v>
      </c>
      <c r="IQ13" s="1" t="n">
        <f aca="false">IF(AG13=1,MAX(0,(Slot2_Cost-IP13*(1+Slot2_Rate)^(Slot2_Age-D13))/IM13),0)</f>
        <v>0</v>
      </c>
      <c r="IR13" s="1" t="n">
        <f aca="false">IF(AG13=1,MAX(0,(Slot2_Cost-AH13*(1+Slot2_Rate)^(Slot2_Age-D13))/IM13),0)</f>
        <v>0</v>
      </c>
      <c r="IS13" s="1" t="n">
        <f aca="false">IF(AND(HT13=1,AG13=1),MIN(IL13,IQ13),0)</f>
        <v>0</v>
      </c>
      <c r="IT13" s="1" t="n">
        <f aca="false">IL13-IS13</f>
        <v>0</v>
      </c>
      <c r="IU13" s="1" t="n">
        <f aca="false">IF(AQ13=1,IF(ABS((1+AS_Wage)/(1+Slot3_Rate)-1)&lt;0.000000000001,(Slot3_Age-D13)*(1+Slot3_Rate)^(Slot3_Age-D13),(1+Slot3_Rate)^(Slot3_Age-D13)*(1-((1+AS_Wage)/(1+Slot3_Rate))^(Slot3_Age-D13))/(1-(1+AS_Wage)/(1+Slot3_Rate))),1)</f>
        <v>1</v>
      </c>
      <c r="IV13" s="1" t="n">
        <f aca="false">IF(AND(HT13=1,ID13&gt;0,Slot3_IsWG=1,AQ13=1),MAX(0,(Slot3_Cost-AR13*(1+Slot3_Rate)^(Slot3_Age-D13))/IU13),0)</f>
        <v>0</v>
      </c>
      <c r="IW13" s="1" t="n">
        <f aca="false">IF(AND(HT13=1,ID13&gt;0,Slot3_IsWG=1,AQ13=1),MIN(ID13,IV13),0)</f>
        <v>0</v>
      </c>
      <c r="IX13" s="1" t="n">
        <f aca="false">AR13+IW13</f>
        <v>0</v>
      </c>
      <c r="IY13" s="1" t="n">
        <f aca="false">IF(AQ13=1,MAX(0,(Slot3_Cost-IX13*(1+Slot3_Rate)^(Slot3_Age-D13))/IU13),0)</f>
        <v>0</v>
      </c>
      <c r="IZ13" s="1" t="n">
        <f aca="false">IF(AQ13=1,MAX(0,(Slot3_Cost-AR13*(1+Slot3_Rate)^(Slot3_Age-D13))/IU13),0)</f>
        <v>0</v>
      </c>
      <c r="JA13" s="1" t="n">
        <f aca="false">IF(AND(HT13=1,AQ13=1),MIN(IT13,IY13),0)</f>
        <v>0</v>
      </c>
      <c r="JB13" s="1" t="n">
        <f aca="false">IT13-JA13</f>
        <v>0</v>
      </c>
      <c r="JC13" s="1" t="n">
        <f aca="false">IF(BA13=1,IF(ABS((1+AS_Wage)/(1+Slot4_Rate)-1)&lt;0.000000000001,(Slot4_Age-D13)*(1+Slot4_Rate)^(Slot4_Age-D13),(1+Slot4_Rate)^(Slot4_Age-D13)*(1-((1+AS_Wage)/(1+Slot4_Rate))^(Slot4_Age-D13))/(1-(1+AS_Wage)/(1+Slot4_Rate))),1)</f>
        <v>1</v>
      </c>
      <c r="JD13" s="1" t="n">
        <f aca="false">IF(AND(HT13=1,ID13&gt;0,Slot4_IsWG=1,BA13=1),MAX(0,(Slot4_Cost-BB13*(1+Slot4_Rate)^(Slot4_Age-D13))/JC13),0)</f>
        <v>0</v>
      </c>
      <c r="JE13" s="1" t="n">
        <f aca="false">IF(AND(HT13=1,ID13&gt;0,Slot4_IsWG=1,BA13=1),MIN(ID13,JD13),0)</f>
        <v>0</v>
      </c>
      <c r="JF13" s="1" t="n">
        <f aca="false">BB13+JE13</f>
        <v>0</v>
      </c>
      <c r="JG13" s="1" t="n">
        <f aca="false">IF(BA13=1,MAX(0,(Slot4_Cost-JF13*(1+Slot4_Rate)^(Slot4_Age-D13))/JC13),0)</f>
        <v>0</v>
      </c>
      <c r="JH13" s="1" t="n">
        <f aca="false">IF(BA13=1,MAX(0,(Slot4_Cost-BB13*(1+Slot4_Rate)^(Slot4_Age-D13))/JC13),0)</f>
        <v>0</v>
      </c>
      <c r="JI13" s="1" t="n">
        <f aca="false">IF(AND(HT13=1,BA13=1),MIN(JB13,JG13),0)</f>
        <v>0</v>
      </c>
      <c r="JJ13" s="1" t="n">
        <f aca="false">JB13-JI13</f>
        <v>0</v>
      </c>
      <c r="JK13" s="1" t="n">
        <f aca="false">IF(BK13=1,IF(ABS((1+AS_Wage)/(1+Slot5_Rate)-1)&lt;0.000000000001,(Slot5_Age-D13)*(1+Slot5_Rate)^(Slot5_Age-D13),(1+Slot5_Rate)^(Slot5_Age-D13)*(1-((1+AS_Wage)/(1+Slot5_Rate))^(Slot5_Age-D13))/(1-(1+AS_Wage)/(1+Slot5_Rate))),1)</f>
        <v>1</v>
      </c>
      <c r="JL13" s="1" t="n">
        <f aca="false">IF(AND(HT13=1,ID13&gt;0,Slot5_IsWG=1,BK13=1),MAX(0,(Slot5_Cost-BL13*(1+Slot5_Rate)^(Slot5_Age-D13))/JK13),0)</f>
        <v>0</v>
      </c>
      <c r="JM13" s="1" t="n">
        <f aca="false">IF(AND(HT13=1,ID13&gt;0,Slot5_IsWG=1,BK13=1),MIN(ID13,JL13),0)</f>
        <v>0</v>
      </c>
      <c r="JN13" s="1" t="n">
        <f aca="false">BL13+JM13</f>
        <v>0</v>
      </c>
      <c r="JO13" s="1" t="n">
        <f aca="false">IF(BK13=1,MAX(0,(Slot5_Cost-JN13*(1+Slot5_Rate)^(Slot5_Age-D13))/JK13),0)</f>
        <v>0</v>
      </c>
      <c r="JP13" s="1" t="n">
        <f aca="false">IF(BK13=1,MAX(0,(Slot5_Cost-BL13*(1+Slot5_Rate)^(Slot5_Age-D13))/JK13),0)</f>
        <v>0</v>
      </c>
      <c r="JQ13" s="1" t="n">
        <f aca="false">IF(AND(HT13=1,BK13=1),MIN(JJ13,JO13),0)</f>
        <v>0</v>
      </c>
      <c r="JR13" s="1" t="n">
        <f aca="false">JJ13-JQ13</f>
        <v>0</v>
      </c>
      <c r="JS13" s="1" t="n">
        <f aca="false">IF(BU13=1,IF(ABS((1+AS_Wage)/(1+Slot6_Rate)-1)&lt;0.000000000001,(Slot6_Age-D13)*(1+Slot6_Rate)^(Slot6_Age-D13),(1+Slot6_Rate)^(Slot6_Age-D13)*(1-((1+AS_Wage)/(1+Slot6_Rate))^(Slot6_Age-D13))/(1-(1+AS_Wage)/(1+Slot6_Rate))),1)</f>
        <v>1</v>
      </c>
      <c r="JT13" s="1" t="n">
        <f aca="false">IF(AND(HT13=1,ID13&gt;0,Slot6_IsWG=1,BU13=1),MAX(0,(Slot6_Cost-BV13*(1+Slot6_Rate)^(Slot6_Age-D13))/JS13),0)</f>
        <v>0</v>
      </c>
      <c r="JU13" s="1" t="n">
        <f aca="false">IF(AND(HT13=1,ID13&gt;0,Slot6_IsWG=1,BU13=1),MIN(ID13,JT13),0)</f>
        <v>0</v>
      </c>
      <c r="JV13" s="1" t="n">
        <f aca="false">BV13+JU13</f>
        <v>0</v>
      </c>
      <c r="JW13" s="1" t="n">
        <f aca="false">IF(BU13=1,MAX(0,(Slot6_Cost-JV13*(1+Slot6_Rate)^(Slot6_Age-D13))/JS13),0)</f>
        <v>0</v>
      </c>
      <c r="JX13" s="1" t="n">
        <f aca="false">IF(BU13=1,MAX(0,(Slot6_Cost-BV13*(1+Slot6_Rate)^(Slot6_Age-D13))/JS13),0)</f>
        <v>0</v>
      </c>
      <c r="JY13" s="1" t="n">
        <f aca="false">IF(AND(HT13=1,BU13=1),MIN(JR13,JW13),0)</f>
        <v>0</v>
      </c>
      <c r="JZ13" s="1" t="n">
        <f aca="false">JR13-JY13</f>
        <v>0</v>
      </c>
      <c r="KA13" s="1" t="n">
        <f aca="false">IF(CE13=1,IF(ABS((1+AS_Wage)/(1+Slot7_Rate)-1)&lt;0.000000000001,(Slot7_Age-D13)*(1+Slot7_Rate)^(Slot7_Age-D13),(1+Slot7_Rate)^(Slot7_Age-D13)*(1-((1+AS_Wage)/(1+Slot7_Rate))^(Slot7_Age-D13))/(1-(1+AS_Wage)/(1+Slot7_Rate))),1)</f>
        <v>1</v>
      </c>
      <c r="KB13" s="1" t="n">
        <f aca="false">IF(AND(HT13=1,ID13&gt;0,Slot7_IsWG=1,CE13=1),MAX(0,(Slot7_Cost-CF13*(1+Slot7_Rate)^(Slot7_Age-D13))/KA13),0)</f>
        <v>0</v>
      </c>
      <c r="KC13" s="1" t="n">
        <f aca="false">IF(AND(HT13=1,ID13&gt;0,Slot7_IsWG=1,CE13=1),MIN(ID13,KB13),0)</f>
        <v>0</v>
      </c>
      <c r="KD13" s="1" t="n">
        <f aca="false">CF13+KC13</f>
        <v>0</v>
      </c>
      <c r="KE13" s="1" t="n">
        <f aca="false">IF(CE13=1,MAX(0,(Slot7_Cost-KD13*(1+Slot7_Rate)^(Slot7_Age-D13))/KA13),0)</f>
        <v>0</v>
      </c>
      <c r="KF13" s="1" t="n">
        <f aca="false">IF(CE13=1,MAX(0,(Slot7_Cost-CF13*(1+Slot7_Rate)^(Slot7_Age-D13))/KA13),0)</f>
        <v>0</v>
      </c>
      <c r="KG13" s="1" t="n">
        <f aca="false">IF(AND(HT13=1,CE13=1),MIN(JZ13,KE13),0)</f>
        <v>0</v>
      </c>
      <c r="KH13" s="1" t="n">
        <f aca="false">JZ13-KG13</f>
        <v>0</v>
      </c>
      <c r="KI13" s="1" t="n">
        <f aca="false">IF(CO13=1,IF(ABS((1+AS_Wage)/(1+Slot8_Rate)-1)&lt;0.000000000001,(Slot8_Age-D13)*(1+Slot8_Rate)^(Slot8_Age-D13),(1+Slot8_Rate)^(Slot8_Age-D13)*(1-((1+AS_Wage)/(1+Slot8_Rate))^(Slot8_Age-D13))/(1-(1+AS_Wage)/(1+Slot8_Rate))),1)</f>
        <v>1</v>
      </c>
      <c r="KJ13" s="1" t="n">
        <f aca="false">IF(AND(HT13=1,ID13&gt;0,Slot8_IsWG=1,CO13=1),MAX(0,(Slot8_Cost-CP13*(1+Slot8_Rate)^(Slot8_Age-D13))/KI13),0)</f>
        <v>0</v>
      </c>
      <c r="KK13" s="1" t="n">
        <f aca="false">IF(AND(HT13=1,ID13&gt;0,Slot8_IsWG=1,CO13=1),MIN(ID13,KJ13),0)</f>
        <v>0</v>
      </c>
      <c r="KL13" s="1" t="n">
        <f aca="false">CP13+KK13</f>
        <v>0</v>
      </c>
      <c r="KM13" s="1" t="n">
        <f aca="false">IF(CO13=1,MAX(0,(Slot8_Cost-KL13*(1+Slot8_Rate)^(Slot8_Age-D13))/KI13),0)</f>
        <v>0</v>
      </c>
      <c r="KN13" s="1" t="n">
        <f aca="false">IF(CO13=1,MAX(0,(Slot8_Cost-CP13*(1+Slot8_Rate)^(Slot8_Age-D13))/KI13),0)</f>
        <v>0</v>
      </c>
      <c r="KO13" s="1" t="n">
        <f aca="false">IF(AND(HT13=1,CO13=1),MIN(KH13,KM13),0)</f>
        <v>0</v>
      </c>
      <c r="KP13" s="1" t="n">
        <f aca="false">KH13-KO13</f>
        <v>0</v>
      </c>
      <c r="KQ13" s="1" t="n">
        <f aca="false">IF(CY13=1,IF(ABS((1+AS_Wage)/(1+Slot9_Rate)-1)&lt;0.000000000001,(Slot9_Age-D13)*(1+Slot9_Rate)^(Slot9_Age-D13),(1+Slot9_Rate)^(Slot9_Age-D13)*(1-((1+AS_Wage)/(1+Slot9_Rate))^(Slot9_Age-D13))/(1-(1+AS_Wage)/(1+Slot9_Rate))),1)</f>
        <v>1</v>
      </c>
      <c r="KR13" s="1" t="n">
        <f aca="false">IF(AND(HT13=1,ID13&gt;0,Slot9_IsWG=1,CY13=1),MAX(0,(Slot9_Cost-CZ13*(1+Slot9_Rate)^(Slot9_Age-D13))/KQ13),0)</f>
        <v>0</v>
      </c>
      <c r="KS13" s="1" t="n">
        <f aca="false">IF(AND(HT13=1,ID13&gt;0,Slot9_IsWG=1,CY13=1),MIN(ID13,KR13),0)</f>
        <v>0</v>
      </c>
      <c r="KT13" s="1" t="n">
        <f aca="false">CZ13+KS13</f>
        <v>0</v>
      </c>
      <c r="KU13" s="1" t="n">
        <f aca="false">IF(CY13=1,MAX(0,(Slot9_Cost-KT13*(1+Slot9_Rate)^(Slot9_Age-D13))/KQ13),0)</f>
        <v>0</v>
      </c>
      <c r="KV13" s="1" t="n">
        <f aca="false">IF(CY13=1,MAX(0,(Slot9_Cost-CZ13*(1+Slot9_Rate)^(Slot9_Age-D13))/KQ13),0)</f>
        <v>0</v>
      </c>
      <c r="KW13" s="1" t="n">
        <f aca="false">IF(AND(HT13=1,CY13=1),MIN(KP13,KU13),0)</f>
        <v>0</v>
      </c>
      <c r="KX13" s="1" t="n">
        <f aca="false">KP13-KW13</f>
        <v>0</v>
      </c>
      <c r="KY13" s="1" t="n">
        <f aca="false">IF(DI13=1,IF(ABS((1+AS_Wage)/(1+Slot10_Rate)-1)&lt;0.000000000001,(Slot10_Age-D13)*(1+Slot10_Rate)^(Slot10_Age-D13),(1+Slot10_Rate)^(Slot10_Age-D13)*(1-((1+AS_Wage)/(1+Slot10_Rate))^(Slot10_Age-D13))/(1-(1+AS_Wage)/(1+Slot10_Rate))),1)</f>
        <v>1</v>
      </c>
      <c r="KZ13" s="1" t="n">
        <f aca="false">IF(AND(HT13=1,ID13&gt;0,Slot10_IsWG=1,DI13=1),MAX(0,(Slot10_Cost-DJ13*(1+Slot10_Rate)^(Slot10_Age-D13))/KY13),0)</f>
        <v>0</v>
      </c>
      <c r="LA13" s="1" t="n">
        <f aca="false">IF(AND(HT13=1,ID13&gt;0,Slot10_IsWG=1,DI13=1),MIN(ID13,KZ13),0)</f>
        <v>0</v>
      </c>
      <c r="LB13" s="1" t="n">
        <f aca="false">DJ13+LA13</f>
        <v>0</v>
      </c>
      <c r="LC13" s="1" t="n">
        <f aca="false">IF(DI13=1,MAX(0,(Slot10_Cost-LB13*(1+Slot10_Rate)^(Slot10_Age-D13))/KY13),0)</f>
        <v>0</v>
      </c>
      <c r="LD13" s="1" t="n">
        <f aca="false">IF(DI13=1,MAX(0,(Slot10_Cost-DJ13*(1+Slot10_Rate)^(Slot10_Age-D13))/KY13),0)</f>
        <v>0</v>
      </c>
      <c r="LE13" s="1" t="n">
        <f aca="false">IF(AND(HT13=1,DI13=1),MIN(KX13,LC13),0)</f>
        <v>0</v>
      </c>
      <c r="LF13" s="1" t="n">
        <f aca="false">KX13-LE13</f>
        <v>0</v>
      </c>
      <c r="LG13" s="1" t="n">
        <f aca="false">IF(DS13=1,IF(ABS((1+AS_Wage)/(1+Slot11_Rate)-1)&lt;0.000000000001,(Slot11_Age-D13)*(1+Slot11_Rate)^(Slot11_Age-D13),(1+Slot11_Rate)^(Slot11_Age-D13)*(1-((1+AS_Wage)/(1+Slot11_Rate))^(Slot11_Age-D13))/(1-(1+AS_Wage)/(1+Slot11_Rate))),1)</f>
        <v>1</v>
      </c>
      <c r="LH13" s="1" t="n">
        <f aca="false">IF(AND(HT13=1,ID13&gt;0,Slot11_IsWG=1,DS13=1),MAX(0,(Slot11_Cost-DT13*(1+Slot11_Rate)^(Slot11_Age-D13))/LG13),0)</f>
        <v>0</v>
      </c>
      <c r="LI13" s="1" t="n">
        <f aca="false">IF(AND(HT13=1,ID13&gt;0,Slot11_IsWG=1,DS13=1),MIN(ID13,LH13),0)</f>
        <v>0</v>
      </c>
      <c r="LJ13" s="1" t="n">
        <f aca="false">DT13+LI13</f>
        <v>0</v>
      </c>
      <c r="LK13" s="1" t="n">
        <f aca="false">IF(DS13=1,MAX(0,(Slot11_Cost-LJ13*(1+Slot11_Rate)^(Slot11_Age-D13))/LG13),0)</f>
        <v>0</v>
      </c>
      <c r="LL13" s="1" t="n">
        <f aca="false">IF(DS13=1,MAX(0,(Slot11_Cost-DT13*(1+Slot11_Rate)^(Slot11_Age-D13))/LG13),0)</f>
        <v>0</v>
      </c>
      <c r="LM13" s="1" t="n">
        <f aca="false">IF(AND(HT13=1,DS13=1),MIN(LF13,LK13),0)</f>
        <v>0</v>
      </c>
      <c r="LN13" s="1" t="n">
        <f aca="false">LF13-LM13</f>
        <v>0</v>
      </c>
      <c r="LO13" s="1" t="n">
        <f aca="false">IF(EC13=1,IF(ABS((1+AS_Wage)/(1+Slot12_Rate)-1)&lt;0.000000000001,(Slot12_Age-D13)*(1+Slot12_Rate)^(Slot12_Age-D13),(1+Slot12_Rate)^(Slot12_Age-D13)*(1-((1+AS_Wage)/(1+Slot12_Rate))^(Slot12_Age-D13))/(1-(1+AS_Wage)/(1+Slot12_Rate))),1)</f>
        <v>1</v>
      </c>
      <c r="LP13" s="1" t="n">
        <f aca="false">IF(AND(HT13=1,ID13&gt;0,Slot12_IsWG=1,EC13=1),MAX(0,(Slot12_Cost-ED13*(1+Slot12_Rate)^(Slot12_Age-D13))/LO13),0)</f>
        <v>0</v>
      </c>
      <c r="LQ13" s="1" t="n">
        <f aca="false">IF(AND(HT13=1,ID13&gt;0,Slot12_IsWG=1,EC13=1),MIN(ID13,LP13),0)</f>
        <v>0</v>
      </c>
      <c r="LR13" s="1" t="n">
        <f aca="false">ED13+LQ13</f>
        <v>0</v>
      </c>
      <c r="LS13" s="1" t="n">
        <f aca="false">IF(EC13=1,MAX(0,(Slot12_Cost-LR13*(1+Slot12_Rate)^(Slot12_Age-D13))/LO13),0)</f>
        <v>0</v>
      </c>
      <c r="LT13" s="1" t="n">
        <f aca="false">IF(EC13=1,MAX(0,(Slot12_Cost-ED13*(1+Slot12_Rate)^(Slot12_Age-D13))/LO13),0)</f>
        <v>0</v>
      </c>
      <c r="LU13" s="1" t="n">
        <f aca="false">IF(AND(HT13=1,EC13=1),MIN(LN13,LS13),0)</f>
        <v>0</v>
      </c>
      <c r="LV13" s="1" t="n">
        <f aca="false">LN13-LU13</f>
        <v>0</v>
      </c>
      <c r="LW13" s="1" t="n">
        <f aca="false">IF(EM13=1,IF(ABS((1+AS_Wage)/(1+Slot13_Rate)-1)&lt;0.000000000001,(Slot13_Age-D13)*(1+Slot13_Rate)^(Slot13_Age-D13),(1+Slot13_Rate)^(Slot13_Age-D13)*(1-((1+AS_Wage)/(1+Slot13_Rate))^(Slot13_Age-D13))/(1-(1+AS_Wage)/(1+Slot13_Rate))),1)</f>
        <v>1</v>
      </c>
      <c r="LX13" s="1" t="n">
        <f aca="false">IF(AND(HT13=1,ID13&gt;0,Slot13_IsWG=1,EM13=1),MAX(0,(Slot13_Cost-EN13*(1+Slot13_Rate)^(Slot13_Age-D13))/LW13),0)</f>
        <v>0</v>
      </c>
      <c r="LY13" s="1" t="n">
        <f aca="false">IF(AND(HT13=1,ID13&gt;0,Slot13_IsWG=1,EM13=1),MIN(ID13,LX13),0)</f>
        <v>0</v>
      </c>
      <c r="LZ13" s="1" t="n">
        <f aca="false">EN13+LY13</f>
        <v>0</v>
      </c>
      <c r="MA13" s="1" t="n">
        <f aca="false">IF(EM13=1,MAX(0,(Slot13_Cost-LZ13*(1+Slot13_Rate)^(Slot13_Age-D13))/LW13),0)</f>
        <v>0</v>
      </c>
      <c r="MB13" s="1" t="n">
        <f aca="false">IF(EM13=1,MAX(0,(Slot13_Cost-EN13*(1+Slot13_Rate)^(Slot13_Age-D13))/LW13),0)</f>
        <v>0</v>
      </c>
      <c r="MC13" s="1" t="n">
        <f aca="false">IF(AND(HT13=1,EM13=1),MIN(LV13,MA13),0)</f>
        <v>0</v>
      </c>
      <c r="MD13" s="1" t="n">
        <f aca="false">LV13-MC13</f>
        <v>0</v>
      </c>
      <c r="ME13" s="1" t="n">
        <f aca="false">IF(EW13=1,IF(ABS((1+AS_Wage)/(1+Slot14_Rate)-1)&lt;0.000000000001,(Slot14_Age-D13)*(1+Slot14_Rate)^(Slot14_Age-D13),(1+Slot14_Rate)^(Slot14_Age-D13)*(1-((1+AS_Wage)/(1+Slot14_Rate))^(Slot14_Age-D13))/(1-(1+AS_Wage)/(1+Slot14_Rate))),1)</f>
        <v>1</v>
      </c>
      <c r="MF13" s="1" t="n">
        <f aca="false">IF(AND(HT13=1,ID13&gt;0,Slot14_IsWG=1,EW13=1),MAX(0,(Slot14_Cost-EX13*(1+Slot14_Rate)^(Slot14_Age-D13))/ME13),0)</f>
        <v>0</v>
      </c>
      <c r="MG13" s="1" t="n">
        <f aca="false">IF(AND(HT13=1,ID13&gt;0,Slot14_IsWG=1,EW13=1),MIN(ID13,MF13),0)</f>
        <v>0</v>
      </c>
      <c r="MH13" s="1" t="n">
        <f aca="false">EX13+MG13</f>
        <v>0</v>
      </c>
      <c r="MI13" s="1" t="n">
        <f aca="false">IF(EW13=1,MAX(0,(Slot14_Cost-MH13*(1+Slot14_Rate)^(Slot14_Age-D13))/ME13),0)</f>
        <v>0</v>
      </c>
      <c r="MJ13" s="1" t="n">
        <f aca="false">IF(EW13=1,MAX(0,(Slot14_Cost-EX13*(1+Slot14_Rate)^(Slot14_Age-D13))/ME13),0)</f>
        <v>0</v>
      </c>
      <c r="MK13" s="1" t="n">
        <f aca="false">IF(AND(HT13=1,EW13=1),MIN(MD13,MI13),0)</f>
        <v>0</v>
      </c>
      <c r="ML13" s="1" t="n">
        <f aca="false">MD13-MK13</f>
        <v>0</v>
      </c>
      <c r="MM13" s="1" t="n">
        <f aca="false">IF(FG13=1,IF(ABS((1+AS_Wage)/(1+Slot15_Rate)-1)&lt;0.000000000001,(Slot15_Age-D13)*(1+Slot15_Rate)^(Slot15_Age-D13),(1+Slot15_Rate)^(Slot15_Age-D13)*(1-((1+AS_Wage)/(1+Slot15_Rate))^(Slot15_Age-D13))/(1-(1+AS_Wage)/(1+Slot15_Rate))),1)</f>
        <v>1</v>
      </c>
      <c r="MN13" s="1" t="n">
        <f aca="false">IF(AND(HT13=1,ID13&gt;0,Slot15_IsWG=1,FG13=1),MAX(0,(Slot15_Cost-FH13*(1+Slot15_Rate)^(Slot15_Age-D13))/MM13),0)</f>
        <v>0</v>
      </c>
      <c r="MO13" s="1" t="n">
        <f aca="false">IF(AND(HT13=1,ID13&gt;0,Slot15_IsWG=1,FG13=1),MIN(ID13,MN13),0)</f>
        <v>0</v>
      </c>
      <c r="MP13" s="1" t="n">
        <f aca="false">FH13+MO13</f>
        <v>0</v>
      </c>
      <c r="MQ13" s="1" t="n">
        <f aca="false">IF(FG13=1,MAX(0,(Slot15_Cost-MP13*(1+Slot15_Rate)^(Slot15_Age-D13))/MM13),0)</f>
        <v>0</v>
      </c>
      <c r="MR13" s="1" t="n">
        <f aca="false">IF(FG13=1,MAX(0,(Slot15_Cost-FH13*(1+Slot15_Rate)^(Slot15_Age-D13))/MM13),0)</f>
        <v>0</v>
      </c>
      <c r="MS13" s="1" t="n">
        <f aca="false">IF(AND(HT13=1,FG13=1),MIN(ML13,MQ13),0)</f>
        <v>0</v>
      </c>
      <c r="MT13" s="1" t="n">
        <f aca="false">ML13-MS13</f>
        <v>0</v>
      </c>
      <c r="MU13" s="1" t="n">
        <f aca="false">IF(FQ13=1,IF(ABS((1+AS_Wage)/(1+Slot16_Rate)-1)&lt;0.000000000001,(Slot16_Age-D13)*(1+Slot16_Rate)^(Slot16_Age-D13),(1+Slot16_Rate)^(Slot16_Age-D13)*(1-((1+AS_Wage)/(1+Slot16_Rate))^(Slot16_Age-D13))/(1-(1+AS_Wage)/(1+Slot16_Rate))),1)</f>
        <v>1</v>
      </c>
      <c r="MV13" s="1" t="n">
        <f aca="false">IF(AND(HT13=1,ID13&gt;0,Slot16_IsWG=1,FQ13=1),MAX(0,(Slot16_Cost-FR13*(1+Slot16_Rate)^(Slot16_Age-D13))/MU13),0)</f>
        <v>0</v>
      </c>
      <c r="MW13" s="1" t="n">
        <f aca="false">IF(AND(HT13=1,ID13&gt;0,Slot16_IsWG=1,FQ13=1),MIN(ID13,MV13),0)</f>
        <v>0</v>
      </c>
      <c r="MX13" s="1" t="n">
        <f aca="false">FR13+MW13</f>
        <v>0</v>
      </c>
      <c r="MY13" s="1" t="n">
        <f aca="false">IF(FQ13=1,MAX(0,(Slot16_Cost-MX13*(1+Slot16_Rate)^(Slot16_Age-D13))/MU13),0)</f>
        <v>0</v>
      </c>
      <c r="MZ13" s="1" t="n">
        <f aca="false">IF(FQ13=1,MAX(0,(Slot16_Cost-FR13*(1+Slot16_Rate)^(Slot16_Age-D13))/MU13),0)</f>
        <v>0</v>
      </c>
      <c r="NA13" s="1" t="n">
        <f aca="false">IF(AND(HT13=1,FQ13=1),MIN(MT13,MY13),0)</f>
        <v>0</v>
      </c>
      <c r="NB13" s="1" t="n">
        <f aca="false">MT13-NA13</f>
        <v>0</v>
      </c>
      <c r="NC13" s="1" t="n">
        <f aca="false">IF(GA13=1,IF(ABS((1+AS_Wage)/(1+Slot17_Rate)-1)&lt;0.000000000001,(Slot17_Age-D13)*(1+Slot17_Rate)^(Slot17_Age-D13),(1+Slot17_Rate)^(Slot17_Age-D13)*(1-((1+AS_Wage)/(1+Slot17_Rate))^(Slot17_Age-D13))/(1-(1+AS_Wage)/(1+Slot17_Rate))),1)</f>
        <v>1</v>
      </c>
      <c r="ND13" s="1" t="n">
        <f aca="false">IF(AND(HT13=1,ID13&gt;0,Slot17_IsWG=1,GA13=1),MAX(0,(Slot17_Cost-GB13*(1+Slot17_Rate)^(Slot17_Age-D13))/NC13),0)</f>
        <v>0</v>
      </c>
      <c r="NE13" s="1" t="n">
        <f aca="false">IF(AND(HT13=1,ID13&gt;0,Slot17_IsWG=1,GA13=1),MIN(ID13,ND13),0)</f>
        <v>0</v>
      </c>
      <c r="NF13" s="1" t="n">
        <f aca="false">GB13+NE13</f>
        <v>0</v>
      </c>
      <c r="NG13" s="1" t="n">
        <f aca="false">IF(GA13=1,MAX(0,(Slot17_Cost-NF13*(1+Slot17_Rate)^(Slot17_Age-D13))/NC13),0)</f>
        <v>0</v>
      </c>
      <c r="NH13" s="1" t="n">
        <f aca="false">IF(GA13=1,MAX(0,(Slot17_Cost-GB13*(1+Slot17_Rate)^(Slot17_Age-D13))/NC13),0)</f>
        <v>0</v>
      </c>
      <c r="NI13" s="1" t="n">
        <f aca="false">IF(AND(HT13=1,GA13=1),MIN(NB13,NG13),0)</f>
        <v>0</v>
      </c>
      <c r="NJ13" s="1" t="n">
        <f aca="false">NB13-NI13</f>
        <v>0</v>
      </c>
      <c r="NK13" s="1" t="n">
        <f aca="false">IF(GK13=1,IF(ABS((1+AS_Wage)/(1+Slot18_Rate)-1)&lt;0.000000000001,(Slot18_Age-D13)*(1+Slot18_Rate)^(Slot18_Age-D13),(1+Slot18_Rate)^(Slot18_Age-D13)*(1-((1+AS_Wage)/(1+Slot18_Rate))^(Slot18_Age-D13))/(1-(1+AS_Wage)/(1+Slot18_Rate))),1)</f>
        <v>1</v>
      </c>
      <c r="NL13" s="1" t="n">
        <f aca="false">IF(AND(HT13=1,ID13&gt;0,Slot18_IsWG=1,GK13=1),MAX(0,(Slot18_Cost-GL13*(1+Slot18_Rate)^(Slot18_Age-D13))/NK13),0)</f>
        <v>0</v>
      </c>
      <c r="NM13" s="1" t="n">
        <f aca="false">IF(AND(HT13=1,ID13&gt;0,Slot18_IsWG=1,GK13=1),MIN(ID13,NL13),0)</f>
        <v>0</v>
      </c>
      <c r="NN13" s="1" t="n">
        <f aca="false">GL13+NM13</f>
        <v>0</v>
      </c>
      <c r="NO13" s="1" t="n">
        <f aca="false">IF(GK13=1,MAX(0,(Slot18_Cost-NN13*(1+Slot18_Rate)^(Slot18_Age-D13))/NK13),0)</f>
        <v>0</v>
      </c>
      <c r="NP13" s="1" t="n">
        <f aca="false">IF(GK13=1,MAX(0,(Slot18_Cost-GL13*(1+Slot18_Rate)^(Slot18_Age-D13))/NK13),0)</f>
        <v>0</v>
      </c>
      <c r="NQ13" s="1" t="n">
        <f aca="false">IF(AND(HT13=1,GK13=1),MIN(NJ13,NO13),0)</f>
        <v>0</v>
      </c>
      <c r="NR13" s="1" t="n">
        <f aca="false">NJ13-NQ13</f>
        <v>0</v>
      </c>
      <c r="NS13" s="1" t="n">
        <f aca="false">IF(GU13=1,IF(ABS((1+AS_Wage)/(1+Slot19_Rate)-1)&lt;0.000000000001,(Slot19_Age-D13)*(1+Slot19_Rate)^(Slot19_Age-D13),(1+Slot19_Rate)^(Slot19_Age-D13)*(1-((1+AS_Wage)/(1+Slot19_Rate))^(Slot19_Age-D13))/(1-(1+AS_Wage)/(1+Slot19_Rate))),1)</f>
        <v>1</v>
      </c>
      <c r="NT13" s="1" t="n">
        <f aca="false">IF(AND(HT13=1,ID13&gt;0,Slot19_IsWG=1,GU13=1),MAX(0,(Slot19_Cost-GV13*(1+Slot19_Rate)^(Slot19_Age-D13))/NS13),0)</f>
        <v>0</v>
      </c>
      <c r="NU13" s="1" t="n">
        <f aca="false">IF(AND(HT13=1,ID13&gt;0,Slot19_IsWG=1,GU13=1),MIN(ID13,NT13),0)</f>
        <v>0</v>
      </c>
      <c r="NV13" s="1" t="n">
        <f aca="false">GV13+NU13</f>
        <v>0</v>
      </c>
      <c r="NW13" s="1" t="n">
        <f aca="false">IF(GU13=1,MAX(0,(Slot19_Cost-NV13*(1+Slot19_Rate)^(Slot19_Age-D13))/NS13),0)</f>
        <v>0</v>
      </c>
      <c r="NX13" s="1" t="n">
        <f aca="false">IF(GU13=1,MAX(0,(Slot19_Cost-GV13*(1+Slot19_Rate)^(Slot19_Age-D13))/NS13),0)</f>
        <v>0</v>
      </c>
      <c r="NY13" s="1" t="n">
        <f aca="false">IF(AND(HT13=1,GU13=1),MIN(NR13,NW13),0)</f>
        <v>0</v>
      </c>
      <c r="NZ13" s="1" t="n">
        <f aca="false">NR13-NY13</f>
        <v>0</v>
      </c>
      <c r="OA13" s="1" t="n">
        <f aca="false">IF(HE13=1,IF(ABS((1+AS_Wage)/(1+Slot20_Rate)-1)&lt;0.000000000001,(Slot20_Age-D13)*(1+Slot20_Rate)^(Slot20_Age-D13),(1+Slot20_Rate)^(Slot20_Age-D13)*(1-((1+AS_Wage)/(1+Slot20_Rate))^(Slot20_Age-D13))/(1-(1+AS_Wage)/(1+Slot20_Rate))),1)</f>
        <v>1</v>
      </c>
      <c r="OB13" s="1" t="n">
        <f aca="false">IF(AND(HT13=1,ID13&gt;0,Slot20_IsWG=1,HE13=1),MAX(0,(Slot20_Cost-HF13*(1+Slot20_Rate)^(Slot20_Age-D13))/OA13),0)</f>
        <v>0</v>
      </c>
      <c r="OC13" s="1" t="n">
        <f aca="false">IF(AND(HT13=1,ID13&gt;0,Slot20_IsWG=1,HE13=1),MIN(ID13,OB13),0)</f>
        <v>0</v>
      </c>
      <c r="OD13" s="1" t="n">
        <f aca="false">HF13+OC13</f>
        <v>0</v>
      </c>
      <c r="OE13" s="1" t="n">
        <f aca="false">IF(HE13=1,MAX(0,(Slot20_Cost-OD13*(1+Slot20_Rate)^(Slot20_Age-D13))/OA13),0)</f>
        <v>0</v>
      </c>
      <c r="OF13" s="1" t="n">
        <f aca="false">IF(HE13=1,MAX(0,(Slot20_Cost-HF13*(1+Slot20_Rate)^(Slot20_Age-D13))/OA13),0)</f>
        <v>0</v>
      </c>
      <c r="OG13" s="1" t="n">
        <f aca="false">IF(AND(HT13=1,HE13=1),MIN(NZ13,OE13),0)</f>
        <v>0</v>
      </c>
      <c r="OH13" s="1" t="n">
        <f aca="false">NZ13-OG13</f>
        <v>0</v>
      </c>
      <c r="OI13" s="1" t="n">
        <f aca="false">ID13-(IG13+IO13+IW13+JE13+JM13+JU13+KC13+KK13+KS13+LA13+LI13+LQ13+LY13+MG13+MO13+MW13+NE13+NM13+NU13+OC13)</f>
        <v>0</v>
      </c>
      <c r="OJ13" s="1" t="n">
        <f aca="false">IF(HT13=1,HR13-IC13-ID13,0)</f>
        <v>0</v>
      </c>
      <c r="OK13" s="1" t="n">
        <f aca="false">IF(HT13=0,-HR13,0)</f>
        <v>0</v>
      </c>
      <c r="OL13" s="1" t="n">
        <f aca="false">MIN(OK13,HJ13)</f>
        <v>0</v>
      </c>
      <c r="OM13" s="1" t="n">
        <f aca="false">OK13-OL13</f>
        <v>0</v>
      </c>
      <c r="ON13" s="1" t="n">
        <f aca="false">MIN(OM13,HK13)</f>
        <v>0</v>
      </c>
      <c r="OO13" s="1" t="n">
        <f aca="false">OM13-ON13</f>
        <v>0</v>
      </c>
      <c r="OP13" s="1" t="n">
        <f aca="false">IF(AND(HT13=0,HE13=1,OO13&gt;0),MIN(OO13,HF13),0)</f>
        <v>0</v>
      </c>
      <c r="OQ13" s="1" t="n">
        <f aca="false">OO13-OP13</f>
        <v>0</v>
      </c>
      <c r="OR13" s="1" t="n">
        <f aca="false">IF(AND(HT13=0,GU13=1,OQ13&gt;0),MIN(OQ13,GV13),0)</f>
        <v>0</v>
      </c>
      <c r="OS13" s="1" t="n">
        <f aca="false">OQ13-OR13</f>
        <v>0</v>
      </c>
      <c r="OT13" s="1" t="n">
        <f aca="false">IF(AND(HT13=0,GK13=1,OS13&gt;0),MIN(OS13,GL13),0)</f>
        <v>0</v>
      </c>
      <c r="OU13" s="1" t="n">
        <f aca="false">OS13-OT13</f>
        <v>0</v>
      </c>
      <c r="OV13" s="1" t="n">
        <f aca="false">IF(AND(HT13=0,GA13=1,OU13&gt;0),MIN(OU13,GB13),0)</f>
        <v>0</v>
      </c>
      <c r="OW13" s="1" t="n">
        <f aca="false">OU13-OV13</f>
        <v>0</v>
      </c>
      <c r="OX13" s="1" t="n">
        <f aca="false">IF(AND(HT13=0,FQ13=1,OW13&gt;0),MIN(OW13,FR13),0)</f>
        <v>0</v>
      </c>
      <c r="OY13" s="1" t="n">
        <f aca="false">OW13-OX13</f>
        <v>0</v>
      </c>
      <c r="OZ13" s="1" t="n">
        <f aca="false">IF(AND(HT13=0,FG13=1,OY13&gt;0),MIN(OY13,FH13),0)</f>
        <v>0</v>
      </c>
      <c r="PA13" s="1" t="n">
        <f aca="false">OY13-OZ13</f>
        <v>0</v>
      </c>
      <c r="PB13" s="1" t="n">
        <f aca="false">IF(AND(HT13=0,EW13=1,PA13&gt;0),MIN(PA13,EX13),0)</f>
        <v>0</v>
      </c>
      <c r="PC13" s="1" t="n">
        <f aca="false">PA13-PB13</f>
        <v>0</v>
      </c>
      <c r="PD13" s="1" t="n">
        <f aca="false">IF(AND(HT13=0,EM13=1,PC13&gt;0),MIN(PC13,EN13),0)</f>
        <v>0</v>
      </c>
      <c r="PE13" s="1" t="n">
        <f aca="false">PC13-PD13</f>
        <v>0</v>
      </c>
      <c r="PF13" s="1" t="n">
        <f aca="false">IF(AND(HT13=0,EC13=1,PE13&gt;0),MIN(PE13,ED13),0)</f>
        <v>0</v>
      </c>
      <c r="PG13" s="1" t="n">
        <f aca="false">PE13-PF13</f>
        <v>0</v>
      </c>
      <c r="PH13" s="1" t="n">
        <f aca="false">IF(AND(HT13=0,DS13=1,PG13&gt;0),MIN(PG13,DT13),0)</f>
        <v>0</v>
      </c>
      <c r="PI13" s="1" t="n">
        <f aca="false">PG13-PH13</f>
        <v>0</v>
      </c>
      <c r="PJ13" s="1" t="n">
        <f aca="false">IF(AND(HT13=0,DI13=1,PI13&gt;0),MIN(PI13,DJ13),0)</f>
        <v>0</v>
      </c>
      <c r="PK13" s="1" t="n">
        <f aca="false">PI13-PJ13</f>
        <v>0</v>
      </c>
      <c r="PL13" s="1" t="n">
        <f aca="false">IF(AND(HT13=0,CY13=1,PK13&gt;0),MIN(PK13,CZ13),0)</f>
        <v>0</v>
      </c>
      <c r="PM13" s="1" t="n">
        <f aca="false">PK13-PL13</f>
        <v>0</v>
      </c>
      <c r="PN13" s="1" t="n">
        <f aca="false">IF(AND(HT13=0,CO13=1,PM13&gt;0),MIN(PM13,CP13),0)</f>
        <v>0</v>
      </c>
      <c r="PO13" s="1" t="n">
        <f aca="false">PM13-PN13</f>
        <v>0</v>
      </c>
      <c r="PP13" s="1" t="n">
        <f aca="false">IF(AND(HT13=0,CE13=1,PO13&gt;0),MIN(PO13,CF13),0)</f>
        <v>0</v>
      </c>
      <c r="PQ13" s="1" t="n">
        <f aca="false">PO13-PP13</f>
        <v>0</v>
      </c>
      <c r="PR13" s="1" t="n">
        <f aca="false">IF(AND(HT13=0,BU13=1,PQ13&gt;0),MIN(PQ13,BV13),0)</f>
        <v>0</v>
      </c>
      <c r="PS13" s="1" t="n">
        <f aca="false">PQ13-PR13</f>
        <v>0</v>
      </c>
      <c r="PT13" s="1" t="n">
        <f aca="false">IF(AND(HT13=0,BK13=1,PS13&gt;0),MIN(PS13,BL13),0)</f>
        <v>0</v>
      </c>
      <c r="PU13" s="1" t="n">
        <f aca="false">PS13-PT13</f>
        <v>0</v>
      </c>
      <c r="PV13" s="1" t="n">
        <f aca="false">IF(AND(HT13=0,BA13=1,PU13&gt;0),MIN(PU13,BB13),0)</f>
        <v>0</v>
      </c>
      <c r="PW13" s="1" t="n">
        <f aca="false">PU13-PV13</f>
        <v>0</v>
      </c>
      <c r="PX13" s="1" t="n">
        <f aca="false">IF(AND(HT13=0,AQ13=1,PW13&gt;0),MIN(PW13,AR13),0)</f>
        <v>0</v>
      </c>
      <c r="PY13" s="1" t="n">
        <f aca="false">PW13-PX13</f>
        <v>0</v>
      </c>
      <c r="PZ13" s="1" t="n">
        <f aca="false">IF(AND(HT13=0,AG13=1,PY13&gt;0),MIN(PY13,AH13),0)</f>
        <v>0</v>
      </c>
      <c r="QA13" s="1" t="n">
        <f aca="false">PY13-PZ13</f>
        <v>0</v>
      </c>
      <c r="QB13" s="1" t="n">
        <f aca="false">IF(AND(HT13=0,V13=1,QA13&gt;0),MIN(QA13,W13),0)</f>
        <v>0</v>
      </c>
      <c r="QC13" s="1" t="n">
        <f aca="false">QA13-QB13</f>
        <v>0</v>
      </c>
      <c r="QD13" s="1" t="n">
        <f aca="false">IF(HT13=0,QC13,0)</f>
        <v>0</v>
      </c>
      <c r="QE13" s="1" t="n">
        <f aca="false">OL13+ON13+QB13+PZ13+PX13+PV13+PT13+PR13+PP13+PN13+PL13+PJ13+PH13+PF13+PD13+PB13+OZ13+OX13+OV13+OT13+OR13+OP13</f>
        <v>0</v>
      </c>
      <c r="QF13" s="1" t="n">
        <f aca="false">IF(HT13=1,HJ13+OI13+OH13+IF(F13=1,0,OJ13),HJ13-OL13)</f>
        <v>0</v>
      </c>
      <c r="QG13" s="1" t="n">
        <f aca="false">HK13-ON13</f>
        <v>0</v>
      </c>
      <c r="QH13" s="1" t="n">
        <f aca="false">IF(HT13=1,IF(F13=1,IC13+ID13,HR13),0)</f>
        <v>0</v>
      </c>
      <c r="QI13" s="1" t="n">
        <f aca="false">IF(HT13=1,IF(F13=1,HR13-IC13-ID13,0),0)</f>
        <v>0</v>
      </c>
      <c r="QJ13" s="1" t="n">
        <f aca="false">QF13*(1+GR)</f>
        <v>0</v>
      </c>
      <c r="QK13" s="1" t="n">
        <f aca="false">QG13*(1+AS_Cash)</f>
        <v>0</v>
      </c>
      <c r="QL13" s="1" t="n">
        <f aca="false">IF(V13=1,IF(HT13=1,IH13+IK13,W13-QB13)*(1+Slot1_Rate),0)</f>
        <v>0</v>
      </c>
      <c r="QM13" s="1" t="n">
        <f aca="false">IF(AND(HT13=1,V13=1),(IG13+IK13)/E13,0)</f>
        <v>0</v>
      </c>
      <c r="QN13" s="1" t="n">
        <f aca="false">IF(B13=0,IG13+IK13,0)</f>
        <v>0</v>
      </c>
      <c r="QO13" s="1" t="n">
        <f aca="false">IF(B13=0,IF(HT13=1,II13,IJ13),0)</f>
        <v>0</v>
      </c>
      <c r="QP13" s="1" t="n">
        <f aca="false">IF(AG13=1,IF(HT13=1,IP13+IS13,AH13-PZ13)*(1+Slot2_Rate),0)</f>
        <v>0</v>
      </c>
      <c r="QQ13" s="1" t="n">
        <f aca="false">IF(AND(HT13=1,AG13=1),(IO13+IS13)/E13,0)</f>
        <v>0</v>
      </c>
      <c r="QR13" s="1" t="n">
        <f aca="false">IF(B13=0,IO13+IS13,0)</f>
        <v>0</v>
      </c>
      <c r="QS13" s="1" t="n">
        <f aca="false">IF(B13=0,IF(HT13=1,IQ13,IR13),0)</f>
        <v>0</v>
      </c>
      <c r="QT13" s="1" t="n">
        <f aca="false">IF(AQ13=1,IF(HT13=1,IX13+JA13,AR13-PX13)*(1+Slot3_Rate),0)</f>
        <v>0</v>
      </c>
      <c r="QU13" s="1" t="n">
        <f aca="false">IF(AND(HT13=1,AQ13=1),(IW13+JA13)/E13,0)</f>
        <v>0</v>
      </c>
      <c r="QV13" s="1" t="n">
        <f aca="false">IF(B13=0,IW13+JA13,0)</f>
        <v>0</v>
      </c>
      <c r="QW13" s="1" t="n">
        <f aca="false">IF(B13=0,IF(HT13=1,IY13,IZ13),0)</f>
        <v>0</v>
      </c>
      <c r="QX13" s="1" t="n">
        <f aca="false">IF(BA13=1,IF(HT13=1,JF13+JI13,BB13-PV13)*(1+Slot4_Rate),0)</f>
        <v>0</v>
      </c>
      <c r="QY13" s="1" t="n">
        <f aca="false">IF(AND(HT13=1,BA13=1),(JE13+JI13)/E13,0)</f>
        <v>0</v>
      </c>
      <c r="QZ13" s="1" t="n">
        <f aca="false">IF(B13=0,JE13+JI13,0)</f>
        <v>0</v>
      </c>
      <c r="RA13" s="1" t="n">
        <f aca="false">IF(B13=0,IF(HT13=1,JG13,JH13),0)</f>
        <v>0</v>
      </c>
      <c r="RB13" s="1" t="n">
        <f aca="false">IF(BK13=1,IF(HT13=1,JN13+JQ13,BL13-PT13)*(1+Slot5_Rate),0)</f>
        <v>0</v>
      </c>
      <c r="RC13" s="1" t="n">
        <f aca="false">IF(AND(HT13=1,BK13=1),(JM13+JQ13)/E13,0)</f>
        <v>0</v>
      </c>
      <c r="RD13" s="1" t="n">
        <f aca="false">IF(B13=0,JM13+JQ13,0)</f>
        <v>0</v>
      </c>
      <c r="RE13" s="1" t="n">
        <f aca="false">IF(B13=0,IF(HT13=1,JO13,JP13),0)</f>
        <v>0</v>
      </c>
      <c r="RF13" s="1" t="n">
        <f aca="false">IF(BU13=1,IF(HT13=1,JV13+JY13,BV13-PR13)*(1+Slot6_Rate),0)</f>
        <v>0</v>
      </c>
      <c r="RG13" s="1" t="n">
        <f aca="false">IF(AND(HT13=1,BU13=1),(JU13+JY13)/E13,0)</f>
        <v>0</v>
      </c>
      <c r="RH13" s="1" t="n">
        <f aca="false">IF(B13=0,JU13+JY13,0)</f>
        <v>0</v>
      </c>
      <c r="RI13" s="1" t="n">
        <f aca="false">IF(B13=0,IF(HT13=1,JW13,JX13),0)</f>
        <v>0</v>
      </c>
      <c r="RJ13" s="1" t="n">
        <f aca="false">IF(CE13=1,IF(HT13=1,KD13+KG13,CF13-PP13)*(1+Slot7_Rate),0)</f>
        <v>0</v>
      </c>
      <c r="RK13" s="1" t="n">
        <f aca="false">IF(AND(HT13=1,CE13=1),(KC13+KG13)/E13,0)</f>
        <v>0</v>
      </c>
      <c r="RL13" s="1" t="n">
        <f aca="false">IF(B13=0,KC13+KG13,0)</f>
        <v>0</v>
      </c>
      <c r="RM13" s="1" t="n">
        <f aca="false">IF(B13=0,IF(HT13=1,KE13,KF13),0)</f>
        <v>0</v>
      </c>
      <c r="RN13" s="1" t="n">
        <f aca="false">IF(CO13=1,IF(HT13=1,KL13+KO13,CP13-PN13)*(1+Slot8_Rate),0)</f>
        <v>0</v>
      </c>
      <c r="RO13" s="1" t="n">
        <f aca="false">IF(AND(HT13=1,CO13=1),(KK13+KO13)/E13,0)</f>
        <v>0</v>
      </c>
      <c r="RP13" s="1" t="n">
        <f aca="false">IF(B13=0,KK13+KO13,0)</f>
        <v>0</v>
      </c>
      <c r="RQ13" s="1" t="n">
        <f aca="false">IF(B13=0,IF(HT13=1,KM13,KN13),0)</f>
        <v>0</v>
      </c>
      <c r="RR13" s="1" t="n">
        <f aca="false">IF(CY13=1,IF(HT13=1,KT13+KW13,CZ13-PL13)*(1+Slot9_Rate),0)</f>
        <v>0</v>
      </c>
      <c r="RS13" s="1" t="n">
        <f aca="false">IF(AND(HT13=1,CY13=1),(KS13+KW13)/E13,0)</f>
        <v>0</v>
      </c>
      <c r="RT13" s="1" t="n">
        <f aca="false">IF(B13=0,KS13+KW13,0)</f>
        <v>0</v>
      </c>
      <c r="RU13" s="1" t="n">
        <f aca="false">IF(B13=0,IF(HT13=1,KU13,KV13),0)</f>
        <v>0</v>
      </c>
      <c r="RV13" s="1" t="n">
        <f aca="false">IF(DI13=1,IF(HT13=1,LB13+LE13,DJ13-PJ13)*(1+Slot10_Rate),0)</f>
        <v>0</v>
      </c>
      <c r="RW13" s="1" t="n">
        <f aca="false">IF(AND(HT13=1,DI13=1),(LA13+LE13)/E13,0)</f>
        <v>0</v>
      </c>
      <c r="RX13" s="1" t="n">
        <f aca="false">IF(B13=0,LA13+LE13,0)</f>
        <v>0</v>
      </c>
      <c r="RY13" s="1" t="n">
        <f aca="false">IF(B13=0,IF(HT13=1,LC13,LD13),0)</f>
        <v>0</v>
      </c>
      <c r="RZ13" s="1" t="n">
        <f aca="false">IF(DS13=1,IF(HT13=1,LJ13+LM13,DT13-PH13)*(1+Slot11_Rate),0)</f>
        <v>0</v>
      </c>
      <c r="SA13" s="1" t="n">
        <f aca="false">IF(AND(HT13=1,DS13=1),(LI13+LM13)/E13,0)</f>
        <v>0</v>
      </c>
      <c r="SB13" s="1" t="n">
        <f aca="false">IF(B13=0,LI13+LM13,0)</f>
        <v>0</v>
      </c>
      <c r="SC13" s="1" t="n">
        <f aca="false">IF(B13=0,IF(HT13=1,LK13,LL13),0)</f>
        <v>0</v>
      </c>
      <c r="SD13" s="1" t="n">
        <f aca="false">IF(EC13=1,IF(HT13=1,LR13+LU13,ED13-PF13)*(1+Slot12_Rate),0)</f>
        <v>0</v>
      </c>
      <c r="SE13" s="1" t="n">
        <f aca="false">IF(AND(HT13=1,EC13=1),(LQ13+LU13)/E13,0)</f>
        <v>0</v>
      </c>
      <c r="SF13" s="1" t="n">
        <f aca="false">IF(B13=0,LQ13+LU13,0)</f>
        <v>0</v>
      </c>
      <c r="SG13" s="1" t="n">
        <f aca="false">IF(B13=0,IF(HT13=1,LS13,LT13),0)</f>
        <v>0</v>
      </c>
      <c r="SH13" s="1" t="n">
        <f aca="false">IF(EM13=1,IF(HT13=1,LZ13+MC13,EN13-PD13)*(1+Slot13_Rate),0)</f>
        <v>0</v>
      </c>
      <c r="SI13" s="1" t="n">
        <f aca="false">IF(AND(HT13=1,EM13=1),(LY13+MC13)/E13,0)</f>
        <v>0</v>
      </c>
      <c r="SJ13" s="1" t="n">
        <f aca="false">IF(B13=0,LY13+MC13,0)</f>
        <v>0</v>
      </c>
      <c r="SK13" s="1" t="n">
        <f aca="false">IF(B13=0,IF(HT13=1,MA13,MB13),0)</f>
        <v>0</v>
      </c>
      <c r="SL13" s="1" t="n">
        <f aca="false">IF(EW13=1,IF(HT13=1,MH13+MK13,EX13-PB13)*(1+Slot14_Rate),0)</f>
        <v>0</v>
      </c>
      <c r="SM13" s="1" t="n">
        <f aca="false">IF(AND(HT13=1,EW13=1),(MG13+MK13)/E13,0)</f>
        <v>0</v>
      </c>
      <c r="SN13" s="1" t="n">
        <f aca="false">IF(B13=0,MG13+MK13,0)</f>
        <v>0</v>
      </c>
      <c r="SO13" s="1" t="n">
        <f aca="false">IF(B13=0,IF(HT13=1,MI13,MJ13),0)</f>
        <v>0</v>
      </c>
      <c r="SP13" s="1" t="n">
        <f aca="false">IF(FG13=1,IF(HT13=1,MP13+MS13,FH13-OZ13)*(1+Slot15_Rate),0)</f>
        <v>0</v>
      </c>
      <c r="SQ13" s="1" t="n">
        <f aca="false">IF(AND(HT13=1,FG13=1),(MO13+MS13)/E13,0)</f>
        <v>0</v>
      </c>
      <c r="SR13" s="1" t="n">
        <f aca="false">IF(B13=0,MO13+MS13,0)</f>
        <v>0</v>
      </c>
      <c r="SS13" s="1" t="n">
        <f aca="false">IF(B13=0,IF(HT13=1,MQ13,MR13),0)</f>
        <v>0</v>
      </c>
      <c r="ST13" s="1" t="n">
        <f aca="false">IF(FQ13=1,IF(HT13=1,MX13+NA13,FR13-OX13)*(1+Slot16_Rate),0)</f>
        <v>0</v>
      </c>
      <c r="SU13" s="1" t="n">
        <f aca="false">IF(AND(HT13=1,FQ13=1),(MW13+NA13)/E13,0)</f>
        <v>0</v>
      </c>
      <c r="SV13" s="1" t="n">
        <f aca="false">IF(B13=0,MW13+NA13,0)</f>
        <v>0</v>
      </c>
      <c r="SW13" s="1" t="n">
        <f aca="false">IF(B13=0,IF(HT13=1,MY13,MZ13),0)</f>
        <v>0</v>
      </c>
      <c r="SX13" s="1" t="n">
        <f aca="false">IF(GA13=1,IF(HT13=1,NF13+NI13,GB13-OV13)*(1+Slot17_Rate),0)</f>
        <v>0</v>
      </c>
      <c r="SY13" s="1" t="n">
        <f aca="false">IF(AND(HT13=1,GA13=1),(NE13+NI13)/E13,0)</f>
        <v>0</v>
      </c>
      <c r="SZ13" s="1" t="n">
        <f aca="false">IF(B13=0,NE13+NI13,0)</f>
        <v>0</v>
      </c>
      <c r="TA13" s="1" t="n">
        <f aca="false">IF(B13=0,IF(HT13=1,NG13,NH13),0)</f>
        <v>0</v>
      </c>
      <c r="TB13" s="1" t="n">
        <f aca="false">IF(GK13=1,IF(HT13=1,NN13+NQ13,GL13-OT13)*(1+Slot18_Rate),0)</f>
        <v>0</v>
      </c>
      <c r="TC13" s="1" t="n">
        <f aca="false">IF(AND(HT13=1,GK13=1),(NM13+NQ13)/E13,0)</f>
        <v>0</v>
      </c>
      <c r="TD13" s="1" t="n">
        <f aca="false">IF(B13=0,NM13+NQ13,0)</f>
        <v>0</v>
      </c>
      <c r="TE13" s="1" t="n">
        <f aca="false">IF(B13=0,IF(HT13=1,NO13,NP13),0)</f>
        <v>0</v>
      </c>
      <c r="TF13" s="1" t="n">
        <f aca="false">IF(GU13=1,IF(HT13=1,NV13+NY13,GV13-OR13)*(1+Slot19_Rate),0)</f>
        <v>0</v>
      </c>
      <c r="TG13" s="1" t="n">
        <f aca="false">IF(AND(HT13=1,GU13=1),(NU13+NY13)/E13,0)</f>
        <v>0</v>
      </c>
      <c r="TH13" s="1" t="n">
        <f aca="false">IF(B13=0,NU13+NY13,0)</f>
        <v>0</v>
      </c>
      <c r="TI13" s="1" t="n">
        <f aca="false">IF(B13=0,IF(HT13=1,NW13,NX13),0)</f>
        <v>0</v>
      </c>
      <c r="TJ13" s="1" t="n">
        <f aca="false">IF(HE13=1,IF(HT13=1,OD13+OG13,HF13-OP13)*(1+Slot20_Rate),0)</f>
        <v>0</v>
      </c>
      <c r="TK13" s="1" t="n">
        <f aca="false">IF(AND(HT13=1,HE13=1),(OC13+OG13)/E13,0)</f>
        <v>0</v>
      </c>
      <c r="TL13" s="1" t="n">
        <f aca="false">IF(B13=0,OC13+OG13,0)</f>
        <v>0</v>
      </c>
      <c r="TM13" s="1" t="n">
        <f aca="false">IF(B13=0,IF(HT13=1,OE13,OF13),0)</f>
        <v>0</v>
      </c>
      <c r="TN13" s="1" t="n">
        <f aca="false">QJ13+QK13+QL13+QP13+QT13+QX13+RB13+RF13+RJ13+RN13+RR13+RV13+RZ13+SD13+SH13+SL13+SP13+ST13+SX13+TB13+TF13+TJ13</f>
        <v>0</v>
      </c>
      <c r="TO13" s="1" t="n">
        <f aca="false">QD13+HO13</f>
        <v>0</v>
      </c>
      <c r="TP13" s="1" t="n">
        <f aca="false">H13+R13</f>
        <v>0</v>
      </c>
      <c r="TQ13" s="1" t="n">
        <f aca="false">1-F13</f>
        <v>0</v>
      </c>
      <c r="TR13" s="1" t="n">
        <f aca="false">IF(AND(RG_Exists=1,F13=0,C13=1),H13,0)</f>
        <v>0</v>
      </c>
      <c r="TS13" s="1" t="n">
        <f aca="false">IF(AND(RG_Exists=1,F13=0,C13=1),H13-MIN(QD13,H13),0)</f>
        <v>0</v>
      </c>
      <c r="TT13" s="1" t="n">
        <f aca="false">'Plan pay &amp; tax'!AD239</f>
        <v>0</v>
      </c>
      <c r="TU13" s="1" t="n">
        <f aca="false">IF(AND(C13=1,QD13&gt;MAX(PR_Short1,TP13*PR_Short2)),1,0)</f>
        <v>0</v>
      </c>
      <c r="TV13" s="1" t="n">
        <f aca="false">MIN(G13,H13+R13)</f>
        <v>0</v>
      </c>
      <c r="TW13" s="1" t="n">
        <f aca="false">QE13+MAX(0,HP13-HO13)</f>
        <v>0</v>
      </c>
      <c r="TX13" s="1" t="n">
        <f aca="false">QD13+HO13</f>
        <v>0</v>
      </c>
      <c r="TY13" s="1" t="n">
        <f aca="false">IF(AND(C13=1,TX13&gt;PR_MinShort),1,0)</f>
        <v>0</v>
      </c>
      <c r="TZ13" s="1" t="n">
        <f aca="false">IF(AND(C13=1,TY13=0,TW13&gt;PR_MinShort),1,0)</f>
        <v>0</v>
      </c>
      <c r="UA13" s="1" t="n">
        <f aca="false">IF(AND(C13=1,QD13&gt;PR_MinShort),1,0)</f>
        <v>0</v>
      </c>
      <c r="UB13" s="1" t="n">
        <f aca="false">IF(AND(C13=1,QE13&gt;1,UI13=0),1,0)</f>
        <v>0</v>
      </c>
      <c r="UC13" s="1" t="str">
        <f aca="false">IF(C13=0,"",IF(UI13=1,"Gap to plan for: short "&amp;"€"&amp;TEXT(ROUND(TO13,0),"#,##0"),IF(QE13&gt;1,"Using savings","Comfortable")))</f>
        <v>Comfortable</v>
      </c>
      <c r="UD13" s="1" t="n">
        <f aca="false">IF(AND(INT(D13/10)*10=90,B13&gt;0),80,INT(D13/10)*10)</f>
        <v>0</v>
      </c>
      <c r="UE13" s="1" t="n">
        <f aca="false">IF(B13=0,1,IF(UD13&lt;&gt;UD12,UE12+1,UE12))</f>
        <v>1</v>
      </c>
      <c r="UF13" s="1" t="n">
        <f aca="false">IF(AND(C13=1,F13=1,QD13&gt;MAX(PR_Short1,TP13*PR_Short2)),1,0)</f>
        <v>0</v>
      </c>
      <c r="UG13" s="1" t="n">
        <f aca="false">TQ13*TU13</f>
        <v>0</v>
      </c>
      <c r="UH13" s="1" t="n">
        <f aca="false">IF(AND(U13=1,Slot1_PctLow=1),1,0)+IF(AND(AF13=1,Slot2_PctLow=1),1,0)+IF(AND(AP13=1,Slot3_PctLow=1),1,0)+IF(AND(AZ13=1,Slot4_PctLow=1),1,0)+IF(AND(BJ13=1,Slot5_PctLow=1),1,0)+IF(AND(BT13=1,Slot6_PctLow=1),1,0)+IF(AND(CD13=1,Slot7_PctLow=1),1,0)+IF(AND(CN13=1,Slot8_PctLow=1),1,0)+IF(AND(CX13=1,Slot9_PctLow=1),1,0)+IF(AND(DH13=1,Slot10_PctLow=1),1,0)+IF(AND(DR13=1,Slot11_PctLow=1),1,0)+IF(AND(EB13=1,Slot12_PctLow=1),1,0)+IF(AND(EL13=1,Slot13_PctLow=1),1,0)+IF(AND(EV13=1,Slot14_PctLow=1),1,0)+IF(AND(FF13=1,Slot15_PctLow=1),1,0)+IF(AND(FP13=1,Slot16_PctLow=1),1,0)+IF(AND(FZ13=1,Slot17_PctLow=1),1,0)+IF(AND(GJ13=1,Slot18_PctLow=1),1,0)+IF(AND(GT13=1,Slot19_PctLow=1),1,0)+IF(AND(HD13=1,Slot20_PctLow=1),1,0)</f>
        <v>0</v>
      </c>
      <c r="UI13" s="1" t="n">
        <f aca="false">IF(C13=1,IF(OR(TU13=1,UH13&gt;0),1,0),0)</f>
        <v>0</v>
      </c>
    </row>
    <row r="14" customFormat="false" ht="15" hidden="false" customHeight="true" outlineLevel="0" collapsed="false">
      <c r="B14" s="1" t="n">
        <v>6</v>
      </c>
      <c r="C14" s="1" t="n">
        <f aca="false">IF(B14&lt;=F_N,1,0)</f>
        <v>1</v>
      </c>
      <c r="D14" s="1" t="n">
        <f aca="false">'Plan pay &amp; tax'!C240</f>
        <v>6</v>
      </c>
      <c r="E14" s="111" t="n">
        <f aca="false">'Plan pay &amp; tax'!E240</f>
        <v>1.126162419264</v>
      </c>
      <c r="F14" s="1" t="n">
        <f aca="false">'Plan pay &amp; tax'!G240</f>
        <v>1</v>
      </c>
      <c r="G14" s="1" t="n">
        <f aca="false">'Plan pay &amp; tax'!BT240-'Plan pay &amp; tax'!BS240-'Plan pay &amp; tax'!R240</f>
        <v>0</v>
      </c>
      <c r="H14" s="1" t="n">
        <f aca="false">IF(F14=1,F_CostsM*12,IF(RG_Exists=1,RG_Amount,F_CostsM*12*AS_RetireSpend))*E14+F_OneOffY*E14</f>
        <v>0</v>
      </c>
      <c r="I14" s="1" t="n">
        <f aca="false">HQ13</f>
        <v>0</v>
      </c>
      <c r="J14" s="1" t="n">
        <f aca="false">IF(I14&gt;1,'Plan debt months'!AC14,0)</f>
        <v>0</v>
      </c>
      <c r="K14" s="1" t="n">
        <f aca="false">IF(I14&gt;1,'Plan debt months'!AB14,I14)</f>
        <v>0</v>
      </c>
      <c r="L14" s="1" t="n">
        <f aca="false">N13</f>
        <v>0</v>
      </c>
      <c r="M14" s="1" t="n">
        <f aca="false">IF(L14&gt;1,'Plan debt months'!BD14,0)</f>
        <v>0</v>
      </c>
      <c r="N14" s="1" t="n">
        <f aca="false">IF(L14&gt;1,'Plan debt months'!BC14,L14)</f>
        <v>0</v>
      </c>
      <c r="O14" s="1" t="n">
        <f aca="false">Q13</f>
        <v>0</v>
      </c>
      <c r="P14" s="1" t="n">
        <f aca="false">IF(O14&gt;1,'Plan debt months'!CE14,0)</f>
        <v>0</v>
      </c>
      <c r="Q14" s="1" t="n">
        <f aca="false">IF(O14&gt;1,'Plan debt months'!CD14,O14)</f>
        <v>0</v>
      </c>
      <c r="R14" s="1" t="n">
        <f aca="false">J14+M14+P14</f>
        <v>0</v>
      </c>
      <c r="S14" s="1" t="n">
        <f aca="false">QJ13+'Plan pay &amp; tax'!Y240</f>
        <v>0</v>
      </c>
      <c r="T14" s="1" t="n">
        <f aca="false">QJ13</f>
        <v>0</v>
      </c>
      <c r="U14" s="1" t="n">
        <f aca="false">IF(AND(Slot1_On=1,D14=Slot1_Age),1,0)</f>
        <v>0</v>
      </c>
      <c r="V14" s="1" t="n">
        <f aca="false">IF(AND(Slot1_On=1,Slot1_Age&gt;D14),1,0)</f>
        <v>0</v>
      </c>
      <c r="W14" s="1" t="n">
        <f aca="false">QL13</f>
        <v>0</v>
      </c>
      <c r="X14" s="1" t="n">
        <f aca="false">U14*MIN(Slot1_Cost,W14)</f>
        <v>0</v>
      </c>
      <c r="Y14" s="1" t="n">
        <f aca="false">U14*Slot1_SpendLike*MIN(Slot1_Cost-X14,S14)</f>
        <v>0</v>
      </c>
      <c r="Z14" s="1" t="n">
        <f aca="false">X14+Y14</f>
        <v>0</v>
      </c>
      <c r="AA14" s="1" t="n">
        <f aca="false">S14-Y14+U14*IF(Slot1_SpendLike=1,W14-X14,IF(Slot1_PotFree=1,W14,0))</f>
        <v>0</v>
      </c>
      <c r="AB14" s="1" t="n">
        <f aca="false">AE14+U14*Slot1_BufPot*W14</f>
        <v>0</v>
      </c>
      <c r="AC14" s="1" t="n">
        <f aca="false">IF(AND(U14=1,Slot1_IsMfree=1),IF(Z14&gt;=Slot1_Cost-1,0,MAX(0,K14-Z14)),K14)</f>
        <v>0</v>
      </c>
      <c r="AD14" s="1" t="n">
        <f aca="false">U14*(Slot1_Cost-Z14)</f>
        <v>0</v>
      </c>
      <c r="AE14" s="1" t="n">
        <f aca="false">QK13</f>
        <v>0</v>
      </c>
      <c r="AF14" s="1" t="n">
        <f aca="false">IF(AND(Slot2_On=1,D14=Slot2_Age),1,0)</f>
        <v>0</v>
      </c>
      <c r="AG14" s="1" t="n">
        <f aca="false">IF(AND(Slot2_On=1,Slot2_Age&gt;D14),1,0)</f>
        <v>0</v>
      </c>
      <c r="AH14" s="1" t="n">
        <f aca="false">QP13</f>
        <v>0</v>
      </c>
      <c r="AI14" s="1" t="n">
        <f aca="false">AF14*MIN(Slot2_Cost,AH14)</f>
        <v>0</v>
      </c>
      <c r="AJ14" s="1" t="n">
        <f aca="false">AF14*Slot2_SpendLike*MIN(Slot2_Cost-AI14,AA14)</f>
        <v>0</v>
      </c>
      <c r="AK14" s="1" t="n">
        <f aca="false">AI14+AJ14</f>
        <v>0</v>
      </c>
      <c r="AL14" s="1" t="n">
        <f aca="false">AA14-AJ14+AF14*IF(Slot2_SpendLike=1,AH14-AI14,IF(Slot2_PotFree=1,AH14,0))</f>
        <v>0</v>
      </c>
      <c r="AM14" s="1" t="n">
        <f aca="false">AB14+AF14*Slot2_BufPot*AH14</f>
        <v>0</v>
      </c>
      <c r="AN14" s="1" t="n">
        <f aca="false">IF(AND(AF14=1,Slot2_IsMfree=1),IF(AK14&gt;=Slot2_Cost-1,0,MAX(0,AC14-AK14)),AC14)</f>
        <v>0</v>
      </c>
      <c r="AO14" s="1" t="n">
        <f aca="false">AF14*(Slot2_Cost-AK14)</f>
        <v>0</v>
      </c>
      <c r="AP14" s="1" t="n">
        <f aca="false">IF(AND(Slot3_On=1,D14=Slot3_Age),1,0)</f>
        <v>0</v>
      </c>
      <c r="AQ14" s="1" t="n">
        <f aca="false">IF(AND(Slot3_On=1,Slot3_Age&gt;D14),1,0)</f>
        <v>0</v>
      </c>
      <c r="AR14" s="1" t="n">
        <f aca="false">QT13</f>
        <v>0</v>
      </c>
      <c r="AS14" s="1" t="n">
        <f aca="false">AP14*MIN(Slot3_Cost,AR14)</f>
        <v>0</v>
      </c>
      <c r="AT14" s="1" t="n">
        <f aca="false">AP14*Slot3_SpendLike*MIN(Slot3_Cost-AS14,AL14)</f>
        <v>0</v>
      </c>
      <c r="AU14" s="1" t="n">
        <f aca="false">AS14+AT14</f>
        <v>0</v>
      </c>
      <c r="AV14" s="1" t="n">
        <f aca="false">AL14-AT14+AP14*IF(Slot3_SpendLike=1,AR14-AS14,IF(Slot3_PotFree=1,AR14,0))</f>
        <v>0</v>
      </c>
      <c r="AW14" s="1" t="n">
        <f aca="false">AM14+AP14*Slot3_BufPot*AR14</f>
        <v>0</v>
      </c>
      <c r="AX14" s="1" t="n">
        <f aca="false">IF(AND(AP14=1,Slot3_IsMfree=1),IF(AU14&gt;=Slot3_Cost-1,0,MAX(0,AN14-AU14)),AN14)</f>
        <v>0</v>
      </c>
      <c r="AY14" s="1" t="n">
        <f aca="false">AP14*(Slot3_Cost-AU14)</f>
        <v>0</v>
      </c>
      <c r="AZ14" s="1" t="n">
        <f aca="false">IF(AND(Slot4_On=1,D14=Slot4_Age),1,0)</f>
        <v>0</v>
      </c>
      <c r="BA14" s="1" t="n">
        <f aca="false">IF(AND(Slot4_On=1,Slot4_Age&gt;D14),1,0)</f>
        <v>0</v>
      </c>
      <c r="BB14" s="1" t="n">
        <f aca="false">QX13</f>
        <v>0</v>
      </c>
      <c r="BC14" s="1" t="n">
        <f aca="false">AZ14*MIN(Slot4_Cost,BB14)</f>
        <v>0</v>
      </c>
      <c r="BD14" s="1" t="n">
        <f aca="false">AZ14*Slot4_SpendLike*MIN(Slot4_Cost-BC14,AV14)</f>
        <v>0</v>
      </c>
      <c r="BE14" s="1" t="n">
        <f aca="false">BC14+BD14</f>
        <v>0</v>
      </c>
      <c r="BF14" s="1" t="n">
        <f aca="false">AV14-BD14+AZ14*IF(Slot4_SpendLike=1,BB14-BC14,IF(Slot4_PotFree=1,BB14,0))</f>
        <v>0</v>
      </c>
      <c r="BG14" s="1" t="n">
        <f aca="false">AW14+AZ14*Slot4_BufPot*BB14</f>
        <v>0</v>
      </c>
      <c r="BH14" s="1" t="n">
        <f aca="false">IF(AND(AZ14=1,Slot4_IsMfree=1),IF(BE14&gt;=Slot4_Cost-1,0,MAX(0,AX14-BE14)),AX14)</f>
        <v>0</v>
      </c>
      <c r="BI14" s="1" t="n">
        <f aca="false">AZ14*(Slot4_Cost-BE14)</f>
        <v>0</v>
      </c>
      <c r="BJ14" s="1" t="n">
        <f aca="false">IF(AND(Slot5_On=1,D14=Slot5_Age),1,0)</f>
        <v>0</v>
      </c>
      <c r="BK14" s="1" t="n">
        <f aca="false">IF(AND(Slot5_On=1,Slot5_Age&gt;D14),1,0)</f>
        <v>0</v>
      </c>
      <c r="BL14" s="1" t="n">
        <f aca="false">RB13</f>
        <v>0</v>
      </c>
      <c r="BM14" s="1" t="n">
        <f aca="false">BJ14*MIN(Slot5_Cost,BL14)</f>
        <v>0</v>
      </c>
      <c r="BN14" s="1" t="n">
        <f aca="false">BJ14*Slot5_SpendLike*MIN(Slot5_Cost-BM14,BF14)</f>
        <v>0</v>
      </c>
      <c r="BO14" s="1" t="n">
        <f aca="false">BM14+BN14</f>
        <v>0</v>
      </c>
      <c r="BP14" s="1" t="n">
        <f aca="false">BF14-BN14+BJ14*IF(Slot5_SpendLike=1,BL14-BM14,IF(Slot5_PotFree=1,BL14,0))</f>
        <v>0</v>
      </c>
      <c r="BQ14" s="1" t="n">
        <f aca="false">BG14+BJ14*Slot5_BufPot*BL14</f>
        <v>0</v>
      </c>
      <c r="BR14" s="1" t="n">
        <f aca="false">IF(AND(BJ14=1,Slot5_IsMfree=1),IF(BO14&gt;=Slot5_Cost-1,0,MAX(0,BH14-BO14)),BH14)</f>
        <v>0</v>
      </c>
      <c r="BS14" s="1" t="n">
        <f aca="false">BJ14*(Slot5_Cost-BO14)</f>
        <v>0</v>
      </c>
      <c r="BT14" s="1" t="n">
        <f aca="false">IF(AND(Slot6_On=1,D14=Slot6_Age),1,0)</f>
        <v>0</v>
      </c>
      <c r="BU14" s="1" t="n">
        <f aca="false">IF(AND(Slot6_On=1,Slot6_Age&gt;D14),1,0)</f>
        <v>0</v>
      </c>
      <c r="BV14" s="1" t="n">
        <f aca="false">RF13</f>
        <v>0</v>
      </c>
      <c r="BW14" s="1" t="n">
        <f aca="false">BT14*MIN(Slot6_Cost,BV14)</f>
        <v>0</v>
      </c>
      <c r="BX14" s="1" t="n">
        <f aca="false">BT14*Slot6_SpendLike*MIN(Slot6_Cost-BW14,BP14)</f>
        <v>0</v>
      </c>
      <c r="BY14" s="1" t="n">
        <f aca="false">BW14+BX14</f>
        <v>0</v>
      </c>
      <c r="BZ14" s="1" t="n">
        <f aca="false">BP14-BX14+BT14*IF(Slot6_SpendLike=1,BV14-BW14,IF(Slot6_PotFree=1,BV14,0))</f>
        <v>0</v>
      </c>
      <c r="CA14" s="1" t="n">
        <f aca="false">BQ14+BT14*Slot6_BufPot*BV14</f>
        <v>0</v>
      </c>
      <c r="CB14" s="1" t="n">
        <f aca="false">IF(AND(BT14=1,Slot6_IsMfree=1),IF(BY14&gt;=Slot6_Cost-1,0,MAX(0,BR14-BY14)),BR14)</f>
        <v>0</v>
      </c>
      <c r="CC14" s="1" t="n">
        <f aca="false">BT14*(Slot6_Cost-BY14)</f>
        <v>0</v>
      </c>
      <c r="CD14" s="1" t="n">
        <f aca="false">IF(AND(Slot7_On=1,D14=Slot7_Age),1,0)</f>
        <v>0</v>
      </c>
      <c r="CE14" s="1" t="n">
        <f aca="false">IF(AND(Slot7_On=1,Slot7_Age&gt;D14),1,0)</f>
        <v>0</v>
      </c>
      <c r="CF14" s="1" t="n">
        <f aca="false">RJ13</f>
        <v>0</v>
      </c>
      <c r="CG14" s="1" t="n">
        <f aca="false">CD14*MIN(Slot7_Cost,CF14)</f>
        <v>0</v>
      </c>
      <c r="CH14" s="1" t="n">
        <f aca="false">CD14*Slot7_SpendLike*MIN(Slot7_Cost-CG14,BZ14)</f>
        <v>0</v>
      </c>
      <c r="CI14" s="1" t="n">
        <f aca="false">CG14+CH14</f>
        <v>0</v>
      </c>
      <c r="CJ14" s="1" t="n">
        <f aca="false">BZ14-CH14+CD14*IF(Slot7_SpendLike=1,CF14-CG14,IF(Slot7_PotFree=1,CF14,0))</f>
        <v>0</v>
      </c>
      <c r="CK14" s="1" t="n">
        <f aca="false">CA14+CD14*Slot7_BufPot*CF14</f>
        <v>0</v>
      </c>
      <c r="CL14" s="1" t="n">
        <f aca="false">IF(AND(CD14=1,Slot7_IsMfree=1),IF(CI14&gt;=Slot7_Cost-1,0,MAX(0,CB14-CI14)),CB14)</f>
        <v>0</v>
      </c>
      <c r="CM14" s="1" t="n">
        <f aca="false">CD14*(Slot7_Cost-CI14)</f>
        <v>0</v>
      </c>
      <c r="CN14" s="1" t="n">
        <f aca="false">IF(AND(Slot8_On=1,D14=Slot8_Age),1,0)</f>
        <v>0</v>
      </c>
      <c r="CO14" s="1" t="n">
        <f aca="false">IF(AND(Slot8_On=1,Slot8_Age&gt;D14),1,0)</f>
        <v>0</v>
      </c>
      <c r="CP14" s="1" t="n">
        <f aca="false">RN13</f>
        <v>0</v>
      </c>
      <c r="CQ14" s="1" t="n">
        <f aca="false">CN14*MIN(Slot8_Cost,CP14)</f>
        <v>0</v>
      </c>
      <c r="CR14" s="1" t="n">
        <f aca="false">CN14*Slot8_SpendLike*MIN(Slot8_Cost-CQ14,CJ14)</f>
        <v>0</v>
      </c>
      <c r="CS14" s="1" t="n">
        <f aca="false">CQ14+CR14</f>
        <v>0</v>
      </c>
      <c r="CT14" s="1" t="n">
        <f aca="false">CJ14-CR14+CN14*IF(Slot8_SpendLike=1,CP14-CQ14,IF(Slot8_PotFree=1,CP14,0))</f>
        <v>0</v>
      </c>
      <c r="CU14" s="1" t="n">
        <f aca="false">CK14+CN14*Slot8_BufPot*CP14</f>
        <v>0</v>
      </c>
      <c r="CV14" s="1" t="n">
        <f aca="false">IF(AND(CN14=1,Slot8_IsMfree=1),IF(CS14&gt;=Slot8_Cost-1,0,MAX(0,CL14-CS14)),CL14)</f>
        <v>0</v>
      </c>
      <c r="CW14" s="1" t="n">
        <f aca="false">CN14*(Slot8_Cost-CS14)</f>
        <v>0</v>
      </c>
      <c r="CX14" s="1" t="n">
        <f aca="false">IF(AND(Slot9_On=1,D14=Slot9_Age),1,0)</f>
        <v>0</v>
      </c>
      <c r="CY14" s="1" t="n">
        <f aca="false">IF(AND(Slot9_On=1,Slot9_Age&gt;D14),1,0)</f>
        <v>0</v>
      </c>
      <c r="CZ14" s="1" t="n">
        <f aca="false">RR13</f>
        <v>0</v>
      </c>
      <c r="DA14" s="1" t="n">
        <f aca="false">CX14*MIN(Slot9_Cost,CZ14)</f>
        <v>0</v>
      </c>
      <c r="DB14" s="1" t="n">
        <f aca="false">CX14*Slot9_SpendLike*MIN(Slot9_Cost-DA14,CT14)</f>
        <v>0</v>
      </c>
      <c r="DC14" s="1" t="n">
        <f aca="false">DA14+DB14</f>
        <v>0</v>
      </c>
      <c r="DD14" s="1" t="n">
        <f aca="false">CT14-DB14+CX14*IF(Slot9_SpendLike=1,CZ14-DA14,IF(Slot9_PotFree=1,CZ14,0))</f>
        <v>0</v>
      </c>
      <c r="DE14" s="1" t="n">
        <f aca="false">CU14+CX14*Slot9_BufPot*CZ14</f>
        <v>0</v>
      </c>
      <c r="DF14" s="1" t="n">
        <f aca="false">IF(AND(CX14=1,Slot9_IsMfree=1),IF(DC14&gt;=Slot9_Cost-1,0,MAX(0,CV14-DC14)),CV14)</f>
        <v>0</v>
      </c>
      <c r="DG14" s="1" t="n">
        <f aca="false">CX14*(Slot9_Cost-DC14)</f>
        <v>0</v>
      </c>
      <c r="DH14" s="1" t="n">
        <f aca="false">IF(AND(Slot10_On=1,D14=Slot10_Age),1,0)</f>
        <v>0</v>
      </c>
      <c r="DI14" s="1" t="n">
        <f aca="false">IF(AND(Slot10_On=1,Slot10_Age&gt;D14),1,0)</f>
        <v>0</v>
      </c>
      <c r="DJ14" s="1" t="n">
        <f aca="false">RV13</f>
        <v>0</v>
      </c>
      <c r="DK14" s="1" t="n">
        <f aca="false">DH14*MIN(Slot10_Cost,DJ14)</f>
        <v>0</v>
      </c>
      <c r="DL14" s="1" t="n">
        <f aca="false">DH14*Slot10_SpendLike*MIN(Slot10_Cost-DK14,DD14)</f>
        <v>0</v>
      </c>
      <c r="DM14" s="1" t="n">
        <f aca="false">DK14+DL14</f>
        <v>0</v>
      </c>
      <c r="DN14" s="1" t="n">
        <f aca="false">DD14-DL14+DH14*IF(Slot10_SpendLike=1,DJ14-DK14,IF(Slot10_PotFree=1,DJ14,0))</f>
        <v>0</v>
      </c>
      <c r="DO14" s="1" t="n">
        <f aca="false">DE14+DH14*Slot10_BufPot*DJ14</f>
        <v>0</v>
      </c>
      <c r="DP14" s="1" t="n">
        <f aca="false">IF(AND(DH14=1,Slot10_IsMfree=1),IF(DM14&gt;=Slot10_Cost-1,0,MAX(0,DF14-DM14)),DF14)</f>
        <v>0</v>
      </c>
      <c r="DQ14" s="1" t="n">
        <f aca="false">DH14*(Slot10_Cost-DM14)</f>
        <v>0</v>
      </c>
      <c r="DR14" s="1" t="n">
        <f aca="false">IF(AND(Slot11_On=1,D14=Slot11_Age),1,0)</f>
        <v>0</v>
      </c>
      <c r="DS14" s="1" t="n">
        <f aca="false">IF(AND(Slot11_On=1,Slot11_Age&gt;D14),1,0)</f>
        <v>0</v>
      </c>
      <c r="DT14" s="1" t="n">
        <f aca="false">RZ13</f>
        <v>0</v>
      </c>
      <c r="DU14" s="1" t="n">
        <f aca="false">DR14*MIN(Slot11_Cost,DT14)</f>
        <v>0</v>
      </c>
      <c r="DV14" s="1" t="n">
        <f aca="false">DR14*Slot11_SpendLike*MIN(Slot11_Cost-DU14,DN14)</f>
        <v>0</v>
      </c>
      <c r="DW14" s="1" t="n">
        <f aca="false">DU14+DV14</f>
        <v>0</v>
      </c>
      <c r="DX14" s="1" t="n">
        <f aca="false">DN14-DV14+DR14*IF(Slot11_SpendLike=1,DT14-DU14,IF(Slot11_PotFree=1,DT14,0))</f>
        <v>0</v>
      </c>
      <c r="DY14" s="1" t="n">
        <f aca="false">DO14+DR14*Slot11_BufPot*DT14</f>
        <v>0</v>
      </c>
      <c r="DZ14" s="1" t="n">
        <f aca="false">IF(AND(DR14=1,Slot11_IsMfree=1),IF(DW14&gt;=Slot11_Cost-1,0,MAX(0,DP14-DW14)),DP14)</f>
        <v>0</v>
      </c>
      <c r="EA14" s="1" t="n">
        <f aca="false">DR14*(Slot11_Cost-DW14)</f>
        <v>0</v>
      </c>
      <c r="EB14" s="1" t="n">
        <f aca="false">IF(AND(Slot12_On=1,D14=Slot12_Age),1,0)</f>
        <v>0</v>
      </c>
      <c r="EC14" s="1" t="n">
        <f aca="false">IF(AND(Slot12_On=1,Slot12_Age&gt;D14),1,0)</f>
        <v>0</v>
      </c>
      <c r="ED14" s="1" t="n">
        <f aca="false">SD13</f>
        <v>0</v>
      </c>
      <c r="EE14" s="1" t="n">
        <f aca="false">EB14*MIN(Slot12_Cost,ED14)</f>
        <v>0</v>
      </c>
      <c r="EF14" s="1" t="n">
        <f aca="false">EB14*Slot12_SpendLike*MIN(Slot12_Cost-EE14,DX14)</f>
        <v>0</v>
      </c>
      <c r="EG14" s="1" t="n">
        <f aca="false">EE14+EF14</f>
        <v>0</v>
      </c>
      <c r="EH14" s="1" t="n">
        <f aca="false">DX14-EF14+EB14*IF(Slot12_SpendLike=1,ED14-EE14,IF(Slot12_PotFree=1,ED14,0))</f>
        <v>0</v>
      </c>
      <c r="EI14" s="1" t="n">
        <f aca="false">DY14+EB14*Slot12_BufPot*ED14</f>
        <v>0</v>
      </c>
      <c r="EJ14" s="1" t="n">
        <f aca="false">IF(AND(EB14=1,Slot12_IsMfree=1),IF(EG14&gt;=Slot12_Cost-1,0,MAX(0,DZ14-EG14)),DZ14)</f>
        <v>0</v>
      </c>
      <c r="EK14" s="1" t="n">
        <f aca="false">EB14*(Slot12_Cost-EG14)</f>
        <v>0</v>
      </c>
      <c r="EL14" s="1" t="n">
        <f aca="false">IF(AND(Slot13_On=1,D14=Slot13_Age),1,0)</f>
        <v>0</v>
      </c>
      <c r="EM14" s="1" t="n">
        <f aca="false">IF(AND(Slot13_On=1,Slot13_Age&gt;D14),1,0)</f>
        <v>0</v>
      </c>
      <c r="EN14" s="1" t="n">
        <f aca="false">SH13</f>
        <v>0</v>
      </c>
      <c r="EO14" s="1" t="n">
        <f aca="false">EL14*MIN(Slot13_Cost,EN14)</f>
        <v>0</v>
      </c>
      <c r="EP14" s="1" t="n">
        <f aca="false">EL14*Slot13_SpendLike*MIN(Slot13_Cost-EO14,EH14)</f>
        <v>0</v>
      </c>
      <c r="EQ14" s="1" t="n">
        <f aca="false">EO14+EP14</f>
        <v>0</v>
      </c>
      <c r="ER14" s="1" t="n">
        <f aca="false">EH14-EP14+EL14*IF(Slot13_SpendLike=1,EN14-EO14,IF(Slot13_PotFree=1,EN14,0))</f>
        <v>0</v>
      </c>
      <c r="ES14" s="1" t="n">
        <f aca="false">EI14+EL14*Slot13_BufPot*EN14</f>
        <v>0</v>
      </c>
      <c r="ET14" s="1" t="n">
        <f aca="false">IF(AND(EL14=1,Slot13_IsMfree=1),IF(EQ14&gt;=Slot13_Cost-1,0,MAX(0,EJ14-EQ14)),EJ14)</f>
        <v>0</v>
      </c>
      <c r="EU14" s="1" t="n">
        <f aca="false">EL14*(Slot13_Cost-EQ14)</f>
        <v>0</v>
      </c>
      <c r="EV14" s="1" t="n">
        <f aca="false">IF(AND(Slot14_On=1,D14=Slot14_Age),1,0)</f>
        <v>0</v>
      </c>
      <c r="EW14" s="1" t="n">
        <f aca="false">IF(AND(Slot14_On=1,Slot14_Age&gt;D14),1,0)</f>
        <v>0</v>
      </c>
      <c r="EX14" s="1" t="n">
        <f aca="false">SL13</f>
        <v>0</v>
      </c>
      <c r="EY14" s="1" t="n">
        <f aca="false">EV14*MIN(Slot14_Cost,EX14)</f>
        <v>0</v>
      </c>
      <c r="EZ14" s="1" t="n">
        <f aca="false">EV14*Slot14_SpendLike*MIN(Slot14_Cost-EY14,ER14)</f>
        <v>0</v>
      </c>
      <c r="FA14" s="1" t="n">
        <f aca="false">EY14+EZ14</f>
        <v>0</v>
      </c>
      <c r="FB14" s="1" t="n">
        <f aca="false">ER14-EZ14+EV14*IF(Slot14_SpendLike=1,EX14-EY14,IF(Slot14_PotFree=1,EX14,0))</f>
        <v>0</v>
      </c>
      <c r="FC14" s="1" t="n">
        <f aca="false">ES14+EV14*Slot14_BufPot*EX14</f>
        <v>0</v>
      </c>
      <c r="FD14" s="1" t="n">
        <f aca="false">IF(AND(EV14=1,Slot14_IsMfree=1),IF(FA14&gt;=Slot14_Cost-1,0,MAX(0,ET14-FA14)),ET14)</f>
        <v>0</v>
      </c>
      <c r="FE14" s="1" t="n">
        <f aca="false">EV14*(Slot14_Cost-FA14)</f>
        <v>0</v>
      </c>
      <c r="FF14" s="1" t="n">
        <f aca="false">IF(AND(Slot15_On=1,D14=Slot15_Age),1,0)</f>
        <v>0</v>
      </c>
      <c r="FG14" s="1" t="n">
        <f aca="false">IF(AND(Slot15_On=1,Slot15_Age&gt;D14),1,0)</f>
        <v>0</v>
      </c>
      <c r="FH14" s="1" t="n">
        <f aca="false">SP13</f>
        <v>0</v>
      </c>
      <c r="FI14" s="1" t="n">
        <f aca="false">FF14*MIN(Slot15_Cost,FH14)</f>
        <v>0</v>
      </c>
      <c r="FJ14" s="1" t="n">
        <f aca="false">FF14*Slot15_SpendLike*MIN(Slot15_Cost-FI14,FB14)</f>
        <v>0</v>
      </c>
      <c r="FK14" s="1" t="n">
        <f aca="false">FI14+FJ14</f>
        <v>0</v>
      </c>
      <c r="FL14" s="1" t="n">
        <f aca="false">FB14-FJ14+FF14*IF(Slot15_SpendLike=1,FH14-FI14,IF(Slot15_PotFree=1,FH14,0))</f>
        <v>0</v>
      </c>
      <c r="FM14" s="1" t="n">
        <f aca="false">FC14+FF14*Slot15_BufPot*FH14</f>
        <v>0</v>
      </c>
      <c r="FN14" s="1" t="n">
        <f aca="false">IF(AND(FF14=1,Slot15_IsMfree=1),IF(FK14&gt;=Slot15_Cost-1,0,MAX(0,FD14-FK14)),FD14)</f>
        <v>0</v>
      </c>
      <c r="FO14" s="1" t="n">
        <f aca="false">FF14*(Slot15_Cost-FK14)</f>
        <v>0</v>
      </c>
      <c r="FP14" s="1" t="n">
        <f aca="false">IF(AND(Slot16_On=1,D14=Slot16_Age),1,0)</f>
        <v>0</v>
      </c>
      <c r="FQ14" s="1" t="n">
        <f aca="false">IF(AND(Slot16_On=1,Slot16_Age&gt;D14),1,0)</f>
        <v>0</v>
      </c>
      <c r="FR14" s="1" t="n">
        <f aca="false">ST13</f>
        <v>0</v>
      </c>
      <c r="FS14" s="1" t="n">
        <f aca="false">FP14*MIN(Slot16_Cost,FR14)</f>
        <v>0</v>
      </c>
      <c r="FT14" s="1" t="n">
        <f aca="false">FP14*Slot16_SpendLike*MIN(Slot16_Cost-FS14,FL14)</f>
        <v>0</v>
      </c>
      <c r="FU14" s="1" t="n">
        <f aca="false">FS14+FT14</f>
        <v>0</v>
      </c>
      <c r="FV14" s="1" t="n">
        <f aca="false">FL14-FT14+FP14*IF(Slot16_SpendLike=1,FR14-FS14,IF(Slot16_PotFree=1,FR14,0))</f>
        <v>0</v>
      </c>
      <c r="FW14" s="1" t="n">
        <f aca="false">FM14+FP14*Slot16_BufPot*FR14</f>
        <v>0</v>
      </c>
      <c r="FX14" s="1" t="n">
        <f aca="false">IF(AND(FP14=1,Slot16_IsMfree=1),IF(FU14&gt;=Slot16_Cost-1,0,MAX(0,FN14-FU14)),FN14)</f>
        <v>0</v>
      </c>
      <c r="FY14" s="1" t="n">
        <f aca="false">FP14*(Slot16_Cost-FU14)</f>
        <v>0</v>
      </c>
      <c r="FZ14" s="1" t="n">
        <f aca="false">IF(AND(Slot17_On=1,D14=Slot17_Age),1,0)</f>
        <v>0</v>
      </c>
      <c r="GA14" s="1" t="n">
        <f aca="false">IF(AND(Slot17_On=1,Slot17_Age&gt;D14),1,0)</f>
        <v>0</v>
      </c>
      <c r="GB14" s="1" t="n">
        <f aca="false">SX13</f>
        <v>0</v>
      </c>
      <c r="GC14" s="1" t="n">
        <f aca="false">FZ14*MIN(Slot17_Cost,GB14)</f>
        <v>0</v>
      </c>
      <c r="GD14" s="1" t="n">
        <f aca="false">FZ14*Slot17_SpendLike*MIN(Slot17_Cost-GC14,FV14)</f>
        <v>0</v>
      </c>
      <c r="GE14" s="1" t="n">
        <f aca="false">GC14+GD14</f>
        <v>0</v>
      </c>
      <c r="GF14" s="1" t="n">
        <f aca="false">FV14-GD14+FZ14*IF(Slot17_SpendLike=1,GB14-GC14,IF(Slot17_PotFree=1,GB14,0))</f>
        <v>0</v>
      </c>
      <c r="GG14" s="1" t="n">
        <f aca="false">FW14+FZ14*Slot17_BufPot*GB14</f>
        <v>0</v>
      </c>
      <c r="GH14" s="1" t="n">
        <f aca="false">IF(AND(FZ14=1,Slot17_IsMfree=1),IF(GE14&gt;=Slot17_Cost-1,0,MAX(0,FX14-GE14)),FX14)</f>
        <v>0</v>
      </c>
      <c r="GI14" s="1" t="n">
        <f aca="false">FZ14*(Slot17_Cost-GE14)</f>
        <v>0</v>
      </c>
      <c r="GJ14" s="1" t="n">
        <f aca="false">IF(AND(Slot18_On=1,D14=Slot18_Age),1,0)</f>
        <v>0</v>
      </c>
      <c r="GK14" s="1" t="n">
        <f aca="false">IF(AND(Slot18_On=1,Slot18_Age&gt;D14),1,0)</f>
        <v>0</v>
      </c>
      <c r="GL14" s="1" t="n">
        <f aca="false">TB13</f>
        <v>0</v>
      </c>
      <c r="GM14" s="1" t="n">
        <f aca="false">GJ14*MIN(Slot18_Cost,GL14)</f>
        <v>0</v>
      </c>
      <c r="GN14" s="1" t="n">
        <f aca="false">GJ14*Slot18_SpendLike*MIN(Slot18_Cost-GM14,GF14)</f>
        <v>0</v>
      </c>
      <c r="GO14" s="1" t="n">
        <f aca="false">GM14+GN14</f>
        <v>0</v>
      </c>
      <c r="GP14" s="1" t="n">
        <f aca="false">GF14-GN14+GJ14*IF(Slot18_SpendLike=1,GL14-GM14,IF(Slot18_PotFree=1,GL14,0))</f>
        <v>0</v>
      </c>
      <c r="GQ14" s="1" t="n">
        <f aca="false">GG14+GJ14*Slot18_BufPot*GL14</f>
        <v>0</v>
      </c>
      <c r="GR14" s="1" t="n">
        <f aca="false">IF(AND(GJ14=1,Slot18_IsMfree=1),IF(GO14&gt;=Slot18_Cost-1,0,MAX(0,GH14-GO14)),GH14)</f>
        <v>0</v>
      </c>
      <c r="GS14" s="1" t="n">
        <f aca="false">GJ14*(Slot18_Cost-GO14)</f>
        <v>0</v>
      </c>
      <c r="GT14" s="1" t="n">
        <f aca="false">IF(AND(Slot19_On=1,D14=Slot19_Age),1,0)</f>
        <v>0</v>
      </c>
      <c r="GU14" s="1" t="n">
        <f aca="false">IF(AND(Slot19_On=1,Slot19_Age&gt;D14),1,0)</f>
        <v>0</v>
      </c>
      <c r="GV14" s="1" t="n">
        <f aca="false">TF13</f>
        <v>0</v>
      </c>
      <c r="GW14" s="1" t="n">
        <f aca="false">GT14*MIN(Slot19_Cost,GV14)</f>
        <v>0</v>
      </c>
      <c r="GX14" s="1" t="n">
        <f aca="false">GT14*Slot19_SpendLike*MIN(Slot19_Cost-GW14,GP14)</f>
        <v>0</v>
      </c>
      <c r="GY14" s="1" t="n">
        <f aca="false">GW14+GX14</f>
        <v>0</v>
      </c>
      <c r="GZ14" s="1" t="n">
        <f aca="false">GP14-GX14+GT14*IF(Slot19_SpendLike=1,GV14-GW14,IF(Slot19_PotFree=1,GV14,0))</f>
        <v>0</v>
      </c>
      <c r="HA14" s="1" t="n">
        <f aca="false">GQ14+GT14*Slot19_BufPot*GV14</f>
        <v>0</v>
      </c>
      <c r="HB14" s="1" t="n">
        <f aca="false">IF(AND(GT14=1,Slot19_IsMfree=1),IF(GY14&gt;=Slot19_Cost-1,0,MAX(0,GR14-GY14)),GR14)</f>
        <v>0</v>
      </c>
      <c r="HC14" s="1" t="n">
        <f aca="false">GT14*(Slot19_Cost-GY14)</f>
        <v>0</v>
      </c>
      <c r="HD14" s="1" t="n">
        <f aca="false">IF(AND(Slot20_On=1,D14=Slot20_Age),1,0)</f>
        <v>0</v>
      </c>
      <c r="HE14" s="1" t="n">
        <f aca="false">IF(AND(Slot20_On=1,Slot20_Age&gt;D14),1,0)</f>
        <v>0</v>
      </c>
      <c r="HF14" s="1" t="n">
        <f aca="false">TJ13</f>
        <v>0</v>
      </c>
      <c r="HG14" s="1" t="n">
        <f aca="false">HD14*MIN(Slot20_Cost,HF14)</f>
        <v>0</v>
      </c>
      <c r="HH14" s="1" t="n">
        <f aca="false">HD14*Slot20_SpendLike*MIN(Slot20_Cost-HG14,GZ14)</f>
        <v>0</v>
      </c>
      <c r="HI14" s="1" t="n">
        <f aca="false">HG14+HH14</f>
        <v>0</v>
      </c>
      <c r="HJ14" s="1" t="n">
        <f aca="false">GZ14-HH14+HD14*IF(Slot20_SpendLike=1,HF14-HG14,IF(Slot20_PotFree=1,HF14,0))</f>
        <v>0</v>
      </c>
      <c r="HK14" s="1" t="n">
        <f aca="false">HA14+HD14*Slot20_BufPot*HF14</f>
        <v>0</v>
      </c>
      <c r="HL14" s="1" t="n">
        <f aca="false">IF(AND(HD14=1,Slot20_IsMfree=1),IF(HI14&gt;=Slot20_Cost-1,0,MAX(0,HB14-HI14)),HB14)</f>
        <v>0</v>
      </c>
      <c r="HM14" s="1" t="n">
        <f aca="false">HD14*(Slot20_Cost-HI14)</f>
        <v>0</v>
      </c>
      <c r="HN14" s="1" t="n">
        <f aca="false">U14*Slot1_SpendLike*Z14+AF14*Slot2_SpendLike*AK14+AP14*Slot3_SpendLike*AU14+AZ14*Slot4_SpendLike*BE14+BJ14*Slot5_SpendLike*BO14+BT14*Slot6_SpendLike*BY14+CD14*Slot7_SpendLike*CI14+CN14*Slot8_SpendLike*CS14+CX14*Slot9_SpendLike*DC14+DH14*Slot10_SpendLike*DM14+DR14*Slot11_SpendLike*DW14+EB14*Slot12_SpendLike*EG14+EL14*Slot13_SpendLike*EQ14+EV14*Slot14_SpendLike*FA14+FF14*Slot15_SpendLike*FK14+FP14*Slot16_SpendLike*FU14+FZ14*Slot17_SpendLike*GE14+GJ14*Slot18_SpendLike*GO14+GT14*Slot19_SpendLike*GY14+HD14*Slot20_SpendLike*HI14</f>
        <v>0</v>
      </c>
      <c r="HO14" s="1" t="n">
        <f aca="false">AD14+AO14+AY14+BI14+BS14+CC14+CM14+CW14+DG14+DQ14+EA14+EK14+EU14+FE14+FO14+FY14+GI14+GS14+HC14+HM14</f>
        <v>0</v>
      </c>
      <c r="HP14" s="1" t="n">
        <f aca="false">U14*Slot1_Cost+AF14*Slot2_Cost+AP14*Slot3_Cost+AZ14*Slot4_Cost+BJ14*Slot5_Cost+BT14*Slot6_Cost+CD14*Slot7_Cost+CN14*Slot8_Cost+CX14*Slot9_Cost+DH14*Slot10_Cost+DR14*Slot11_Cost+EB14*Slot12_Cost+EL14*Slot13_Cost+EV14*Slot14_Cost+FF14*Slot15_Cost+FP14*Slot16_Cost+FZ14*Slot17_Cost+GJ14*Slot18_Cost+GT14*Slot19_Cost+HD14*Slot20_Cost</f>
        <v>0</v>
      </c>
      <c r="HQ14" s="1" t="n">
        <f aca="false">HL14</f>
        <v>0</v>
      </c>
      <c r="HR14" s="1" t="n">
        <f aca="false">G14-H14-R14</f>
        <v>0</v>
      </c>
      <c r="HS14" s="1" t="n">
        <f aca="false">IF(B14=0,IF(AND(Has_q6=1,In_q6=4),PR_ShareVaries*(MAX(0,HR14)/12),MIN(IF(Has_q6=1,CHOOSE(In_q6+1,PR_SaveB1,PR_SaveB2,PR_SaveB3,PR_SaveB4,0),AS_NoAnswer),AS_SaveShare*(MAX(0,HR14)/12))),HS13)</f>
        <v>0</v>
      </c>
      <c r="HT14" s="1" t="n">
        <f aca="false">IF(HR14&gt;=0,1,0)</f>
        <v>1</v>
      </c>
      <c r="HU14" s="1" t="n">
        <f aca="false">MAX(0,HR14/12/E14)</f>
        <v>0</v>
      </c>
      <c r="HV14" s="1" t="n">
        <f aca="false">IF(AND(Has_q6=1,In_q6=4),PR_ShareVaries*(HU14),MIN(IF(Has_q6=1,CHOOSE(In_q6+1,PR_SaveB1,PR_SaveB2,PR_SaveB3,PR_SaveB4,0),AS_NoAnswer),AS_SaveShare*(HU14)))</f>
        <v>0</v>
      </c>
      <c r="HW14" s="1" t="n">
        <f aca="false">IF(Has_saveM=1,IF(In_saveUp="Yes",1,IF(In_saveUp="No",0,IF(In_saveM&gt;=HS14-0.5,1,0))),0)</f>
        <v>0</v>
      </c>
      <c r="HX14" s="1" t="n">
        <f aca="false">IF(Has_saveM=1,MIN(HU14,IF(HW14=1,MAX(In_saveM,HV14),MIN(In_saveM,HV14))),HV14)</f>
        <v>0</v>
      </c>
      <c r="HY14" s="1" t="n">
        <f aca="false">IF(F14=1,HX14*12*E14,0)</f>
        <v>0</v>
      </c>
      <c r="HZ14" s="1" t="n">
        <f aca="false">MAX(0,HY14+IF(AND(WI_Retire=0,WI_M&lt;0,F14=1),WI_M*12*E14,0))</f>
        <v>0</v>
      </c>
      <c r="IA14" s="1" t="n">
        <f aca="false">Slot1_IsWG*V14+Slot2_IsWG*AG14+Slot3_IsWG*AQ14+Slot4_IsWG*BA14+Slot5_IsWG*BK14+Slot6_IsWG*BU14+Slot7_IsWG*CE14+Slot8_IsWG*CO14+Slot9_IsWG*CY14+Slot10_IsWG*DI14+Slot11_IsWG*DS14+Slot12_IsWG*EC14+Slot13_IsWG*EM14+Slot14_IsWG*EW14+Slot15_IsWG*FG14+Slot16_IsWG*FQ14+Slot17_IsWG*GA14+Slot18_IsWG*GK14+Slot19_IsWG*GU14+Slot20_IsWG*HE14</f>
        <v>0</v>
      </c>
      <c r="IB14" s="1" t="n">
        <f aca="false">IF(AND(WI_Retire=0,WI_M&gt;0,F14=1,IA14&gt;=1),WI_M*12*E14,0)</f>
        <v>0</v>
      </c>
      <c r="IC14" s="1" t="n">
        <f aca="false">IF(HT14=1,MIN(HZ14,HR14),0)</f>
        <v>0</v>
      </c>
      <c r="ID14" s="1" t="n">
        <f aca="false">IF(HT14=1,MIN(IB14,HR14-IC14),0)</f>
        <v>0</v>
      </c>
      <c r="IE14" s="1" t="n">
        <f aca="false">IF(V14=1,IF(ABS((1+AS_Wage)/(1+Slot1_Rate)-1)&lt;0.000000000001,(Slot1_Age-D14)*(1+Slot1_Rate)^(Slot1_Age-D14),(1+Slot1_Rate)^(Slot1_Age-D14)*(1-((1+AS_Wage)/(1+Slot1_Rate))^(Slot1_Age-D14))/(1-(1+AS_Wage)/(1+Slot1_Rate))),1)</f>
        <v>1</v>
      </c>
      <c r="IF14" s="1" t="n">
        <f aca="false">IF(AND(HT14=1,ID14&gt;0,Slot1_IsWG=1,V14=1),MAX(0,(Slot1_Cost-W14*(1+Slot1_Rate)^(Slot1_Age-D14))/IE14),0)</f>
        <v>0</v>
      </c>
      <c r="IG14" s="1" t="n">
        <f aca="false">IF(AND(HT14=1,ID14&gt;0,Slot1_IsWG=1,V14=1),MIN(ID14,IF14),0)</f>
        <v>0</v>
      </c>
      <c r="IH14" s="1" t="n">
        <f aca="false">W14+IG14</f>
        <v>0</v>
      </c>
      <c r="II14" s="1" t="n">
        <f aca="false">IF(V14=1,MAX(0,(Slot1_Cost-IH14*(1+Slot1_Rate)^(Slot1_Age-D14))/IE14),0)</f>
        <v>0</v>
      </c>
      <c r="IJ14" s="1" t="n">
        <f aca="false">IF(V14=1,MAX(0,(Slot1_Cost-W14*(1+Slot1_Rate)^(Slot1_Age-D14))/IE14),0)</f>
        <v>0</v>
      </c>
      <c r="IK14" s="1" t="n">
        <f aca="false">IF(AND(HT14=1,V14=1),MIN(IC14,II14),0)</f>
        <v>0</v>
      </c>
      <c r="IL14" s="1" t="n">
        <f aca="false">IC14-IK14</f>
        <v>0</v>
      </c>
      <c r="IM14" s="1" t="n">
        <f aca="false">IF(AG14=1,IF(ABS((1+AS_Wage)/(1+Slot2_Rate)-1)&lt;0.000000000001,(Slot2_Age-D14)*(1+Slot2_Rate)^(Slot2_Age-D14),(1+Slot2_Rate)^(Slot2_Age-D14)*(1-((1+AS_Wage)/(1+Slot2_Rate))^(Slot2_Age-D14))/(1-(1+AS_Wage)/(1+Slot2_Rate))),1)</f>
        <v>1</v>
      </c>
      <c r="IN14" s="1" t="n">
        <f aca="false">IF(AND(HT14=1,ID14&gt;0,Slot2_IsWG=1,AG14=1),MAX(0,(Slot2_Cost-AH14*(1+Slot2_Rate)^(Slot2_Age-D14))/IM14),0)</f>
        <v>0</v>
      </c>
      <c r="IO14" s="1" t="n">
        <f aca="false">IF(AND(HT14=1,ID14&gt;0,Slot2_IsWG=1,AG14=1),MIN(ID14,IN14),0)</f>
        <v>0</v>
      </c>
      <c r="IP14" s="1" t="n">
        <f aca="false">AH14+IO14</f>
        <v>0</v>
      </c>
      <c r="IQ14" s="1" t="n">
        <f aca="false">IF(AG14=1,MAX(0,(Slot2_Cost-IP14*(1+Slot2_Rate)^(Slot2_Age-D14))/IM14),0)</f>
        <v>0</v>
      </c>
      <c r="IR14" s="1" t="n">
        <f aca="false">IF(AG14=1,MAX(0,(Slot2_Cost-AH14*(1+Slot2_Rate)^(Slot2_Age-D14))/IM14),0)</f>
        <v>0</v>
      </c>
      <c r="IS14" s="1" t="n">
        <f aca="false">IF(AND(HT14=1,AG14=1),MIN(IL14,IQ14),0)</f>
        <v>0</v>
      </c>
      <c r="IT14" s="1" t="n">
        <f aca="false">IL14-IS14</f>
        <v>0</v>
      </c>
      <c r="IU14" s="1" t="n">
        <f aca="false">IF(AQ14=1,IF(ABS((1+AS_Wage)/(1+Slot3_Rate)-1)&lt;0.000000000001,(Slot3_Age-D14)*(1+Slot3_Rate)^(Slot3_Age-D14),(1+Slot3_Rate)^(Slot3_Age-D14)*(1-((1+AS_Wage)/(1+Slot3_Rate))^(Slot3_Age-D14))/(1-(1+AS_Wage)/(1+Slot3_Rate))),1)</f>
        <v>1</v>
      </c>
      <c r="IV14" s="1" t="n">
        <f aca="false">IF(AND(HT14=1,ID14&gt;0,Slot3_IsWG=1,AQ14=1),MAX(0,(Slot3_Cost-AR14*(1+Slot3_Rate)^(Slot3_Age-D14))/IU14),0)</f>
        <v>0</v>
      </c>
      <c r="IW14" s="1" t="n">
        <f aca="false">IF(AND(HT14=1,ID14&gt;0,Slot3_IsWG=1,AQ14=1),MIN(ID14,IV14),0)</f>
        <v>0</v>
      </c>
      <c r="IX14" s="1" t="n">
        <f aca="false">AR14+IW14</f>
        <v>0</v>
      </c>
      <c r="IY14" s="1" t="n">
        <f aca="false">IF(AQ14=1,MAX(0,(Slot3_Cost-IX14*(1+Slot3_Rate)^(Slot3_Age-D14))/IU14),0)</f>
        <v>0</v>
      </c>
      <c r="IZ14" s="1" t="n">
        <f aca="false">IF(AQ14=1,MAX(0,(Slot3_Cost-AR14*(1+Slot3_Rate)^(Slot3_Age-D14))/IU14),0)</f>
        <v>0</v>
      </c>
      <c r="JA14" s="1" t="n">
        <f aca="false">IF(AND(HT14=1,AQ14=1),MIN(IT14,IY14),0)</f>
        <v>0</v>
      </c>
      <c r="JB14" s="1" t="n">
        <f aca="false">IT14-JA14</f>
        <v>0</v>
      </c>
      <c r="JC14" s="1" t="n">
        <f aca="false">IF(BA14=1,IF(ABS((1+AS_Wage)/(1+Slot4_Rate)-1)&lt;0.000000000001,(Slot4_Age-D14)*(1+Slot4_Rate)^(Slot4_Age-D14),(1+Slot4_Rate)^(Slot4_Age-D14)*(1-((1+AS_Wage)/(1+Slot4_Rate))^(Slot4_Age-D14))/(1-(1+AS_Wage)/(1+Slot4_Rate))),1)</f>
        <v>1</v>
      </c>
      <c r="JD14" s="1" t="n">
        <f aca="false">IF(AND(HT14=1,ID14&gt;0,Slot4_IsWG=1,BA14=1),MAX(0,(Slot4_Cost-BB14*(1+Slot4_Rate)^(Slot4_Age-D14))/JC14),0)</f>
        <v>0</v>
      </c>
      <c r="JE14" s="1" t="n">
        <f aca="false">IF(AND(HT14=1,ID14&gt;0,Slot4_IsWG=1,BA14=1),MIN(ID14,JD14),0)</f>
        <v>0</v>
      </c>
      <c r="JF14" s="1" t="n">
        <f aca="false">BB14+JE14</f>
        <v>0</v>
      </c>
      <c r="JG14" s="1" t="n">
        <f aca="false">IF(BA14=1,MAX(0,(Slot4_Cost-JF14*(1+Slot4_Rate)^(Slot4_Age-D14))/JC14),0)</f>
        <v>0</v>
      </c>
      <c r="JH14" s="1" t="n">
        <f aca="false">IF(BA14=1,MAX(0,(Slot4_Cost-BB14*(1+Slot4_Rate)^(Slot4_Age-D14))/JC14),0)</f>
        <v>0</v>
      </c>
      <c r="JI14" s="1" t="n">
        <f aca="false">IF(AND(HT14=1,BA14=1),MIN(JB14,JG14),0)</f>
        <v>0</v>
      </c>
      <c r="JJ14" s="1" t="n">
        <f aca="false">JB14-JI14</f>
        <v>0</v>
      </c>
      <c r="JK14" s="1" t="n">
        <f aca="false">IF(BK14=1,IF(ABS((1+AS_Wage)/(1+Slot5_Rate)-1)&lt;0.000000000001,(Slot5_Age-D14)*(1+Slot5_Rate)^(Slot5_Age-D14),(1+Slot5_Rate)^(Slot5_Age-D14)*(1-((1+AS_Wage)/(1+Slot5_Rate))^(Slot5_Age-D14))/(1-(1+AS_Wage)/(1+Slot5_Rate))),1)</f>
        <v>1</v>
      </c>
      <c r="JL14" s="1" t="n">
        <f aca="false">IF(AND(HT14=1,ID14&gt;0,Slot5_IsWG=1,BK14=1),MAX(0,(Slot5_Cost-BL14*(1+Slot5_Rate)^(Slot5_Age-D14))/JK14),0)</f>
        <v>0</v>
      </c>
      <c r="JM14" s="1" t="n">
        <f aca="false">IF(AND(HT14=1,ID14&gt;0,Slot5_IsWG=1,BK14=1),MIN(ID14,JL14),0)</f>
        <v>0</v>
      </c>
      <c r="JN14" s="1" t="n">
        <f aca="false">BL14+JM14</f>
        <v>0</v>
      </c>
      <c r="JO14" s="1" t="n">
        <f aca="false">IF(BK14=1,MAX(0,(Slot5_Cost-JN14*(1+Slot5_Rate)^(Slot5_Age-D14))/JK14),0)</f>
        <v>0</v>
      </c>
      <c r="JP14" s="1" t="n">
        <f aca="false">IF(BK14=1,MAX(0,(Slot5_Cost-BL14*(1+Slot5_Rate)^(Slot5_Age-D14))/JK14),0)</f>
        <v>0</v>
      </c>
      <c r="JQ14" s="1" t="n">
        <f aca="false">IF(AND(HT14=1,BK14=1),MIN(JJ14,JO14),0)</f>
        <v>0</v>
      </c>
      <c r="JR14" s="1" t="n">
        <f aca="false">JJ14-JQ14</f>
        <v>0</v>
      </c>
      <c r="JS14" s="1" t="n">
        <f aca="false">IF(BU14=1,IF(ABS((1+AS_Wage)/(1+Slot6_Rate)-1)&lt;0.000000000001,(Slot6_Age-D14)*(1+Slot6_Rate)^(Slot6_Age-D14),(1+Slot6_Rate)^(Slot6_Age-D14)*(1-((1+AS_Wage)/(1+Slot6_Rate))^(Slot6_Age-D14))/(1-(1+AS_Wage)/(1+Slot6_Rate))),1)</f>
        <v>1</v>
      </c>
      <c r="JT14" s="1" t="n">
        <f aca="false">IF(AND(HT14=1,ID14&gt;0,Slot6_IsWG=1,BU14=1),MAX(0,(Slot6_Cost-BV14*(1+Slot6_Rate)^(Slot6_Age-D14))/JS14),0)</f>
        <v>0</v>
      </c>
      <c r="JU14" s="1" t="n">
        <f aca="false">IF(AND(HT14=1,ID14&gt;0,Slot6_IsWG=1,BU14=1),MIN(ID14,JT14),0)</f>
        <v>0</v>
      </c>
      <c r="JV14" s="1" t="n">
        <f aca="false">BV14+JU14</f>
        <v>0</v>
      </c>
      <c r="JW14" s="1" t="n">
        <f aca="false">IF(BU14=1,MAX(0,(Slot6_Cost-JV14*(1+Slot6_Rate)^(Slot6_Age-D14))/JS14),0)</f>
        <v>0</v>
      </c>
      <c r="JX14" s="1" t="n">
        <f aca="false">IF(BU14=1,MAX(0,(Slot6_Cost-BV14*(1+Slot6_Rate)^(Slot6_Age-D14))/JS14),0)</f>
        <v>0</v>
      </c>
      <c r="JY14" s="1" t="n">
        <f aca="false">IF(AND(HT14=1,BU14=1),MIN(JR14,JW14),0)</f>
        <v>0</v>
      </c>
      <c r="JZ14" s="1" t="n">
        <f aca="false">JR14-JY14</f>
        <v>0</v>
      </c>
      <c r="KA14" s="1" t="n">
        <f aca="false">IF(CE14=1,IF(ABS((1+AS_Wage)/(1+Slot7_Rate)-1)&lt;0.000000000001,(Slot7_Age-D14)*(1+Slot7_Rate)^(Slot7_Age-D14),(1+Slot7_Rate)^(Slot7_Age-D14)*(1-((1+AS_Wage)/(1+Slot7_Rate))^(Slot7_Age-D14))/(1-(1+AS_Wage)/(1+Slot7_Rate))),1)</f>
        <v>1</v>
      </c>
      <c r="KB14" s="1" t="n">
        <f aca="false">IF(AND(HT14=1,ID14&gt;0,Slot7_IsWG=1,CE14=1),MAX(0,(Slot7_Cost-CF14*(1+Slot7_Rate)^(Slot7_Age-D14))/KA14),0)</f>
        <v>0</v>
      </c>
      <c r="KC14" s="1" t="n">
        <f aca="false">IF(AND(HT14=1,ID14&gt;0,Slot7_IsWG=1,CE14=1),MIN(ID14,KB14),0)</f>
        <v>0</v>
      </c>
      <c r="KD14" s="1" t="n">
        <f aca="false">CF14+KC14</f>
        <v>0</v>
      </c>
      <c r="KE14" s="1" t="n">
        <f aca="false">IF(CE14=1,MAX(0,(Slot7_Cost-KD14*(1+Slot7_Rate)^(Slot7_Age-D14))/KA14),0)</f>
        <v>0</v>
      </c>
      <c r="KF14" s="1" t="n">
        <f aca="false">IF(CE14=1,MAX(0,(Slot7_Cost-CF14*(1+Slot7_Rate)^(Slot7_Age-D14))/KA14),0)</f>
        <v>0</v>
      </c>
      <c r="KG14" s="1" t="n">
        <f aca="false">IF(AND(HT14=1,CE14=1),MIN(JZ14,KE14),0)</f>
        <v>0</v>
      </c>
      <c r="KH14" s="1" t="n">
        <f aca="false">JZ14-KG14</f>
        <v>0</v>
      </c>
      <c r="KI14" s="1" t="n">
        <f aca="false">IF(CO14=1,IF(ABS((1+AS_Wage)/(1+Slot8_Rate)-1)&lt;0.000000000001,(Slot8_Age-D14)*(1+Slot8_Rate)^(Slot8_Age-D14),(1+Slot8_Rate)^(Slot8_Age-D14)*(1-((1+AS_Wage)/(1+Slot8_Rate))^(Slot8_Age-D14))/(1-(1+AS_Wage)/(1+Slot8_Rate))),1)</f>
        <v>1</v>
      </c>
      <c r="KJ14" s="1" t="n">
        <f aca="false">IF(AND(HT14=1,ID14&gt;0,Slot8_IsWG=1,CO14=1),MAX(0,(Slot8_Cost-CP14*(1+Slot8_Rate)^(Slot8_Age-D14))/KI14),0)</f>
        <v>0</v>
      </c>
      <c r="KK14" s="1" t="n">
        <f aca="false">IF(AND(HT14=1,ID14&gt;0,Slot8_IsWG=1,CO14=1),MIN(ID14,KJ14),0)</f>
        <v>0</v>
      </c>
      <c r="KL14" s="1" t="n">
        <f aca="false">CP14+KK14</f>
        <v>0</v>
      </c>
      <c r="KM14" s="1" t="n">
        <f aca="false">IF(CO14=1,MAX(0,(Slot8_Cost-KL14*(1+Slot8_Rate)^(Slot8_Age-D14))/KI14),0)</f>
        <v>0</v>
      </c>
      <c r="KN14" s="1" t="n">
        <f aca="false">IF(CO14=1,MAX(0,(Slot8_Cost-CP14*(1+Slot8_Rate)^(Slot8_Age-D14))/KI14),0)</f>
        <v>0</v>
      </c>
      <c r="KO14" s="1" t="n">
        <f aca="false">IF(AND(HT14=1,CO14=1),MIN(KH14,KM14),0)</f>
        <v>0</v>
      </c>
      <c r="KP14" s="1" t="n">
        <f aca="false">KH14-KO14</f>
        <v>0</v>
      </c>
      <c r="KQ14" s="1" t="n">
        <f aca="false">IF(CY14=1,IF(ABS((1+AS_Wage)/(1+Slot9_Rate)-1)&lt;0.000000000001,(Slot9_Age-D14)*(1+Slot9_Rate)^(Slot9_Age-D14),(1+Slot9_Rate)^(Slot9_Age-D14)*(1-((1+AS_Wage)/(1+Slot9_Rate))^(Slot9_Age-D14))/(1-(1+AS_Wage)/(1+Slot9_Rate))),1)</f>
        <v>1</v>
      </c>
      <c r="KR14" s="1" t="n">
        <f aca="false">IF(AND(HT14=1,ID14&gt;0,Slot9_IsWG=1,CY14=1),MAX(0,(Slot9_Cost-CZ14*(1+Slot9_Rate)^(Slot9_Age-D14))/KQ14),0)</f>
        <v>0</v>
      </c>
      <c r="KS14" s="1" t="n">
        <f aca="false">IF(AND(HT14=1,ID14&gt;0,Slot9_IsWG=1,CY14=1),MIN(ID14,KR14),0)</f>
        <v>0</v>
      </c>
      <c r="KT14" s="1" t="n">
        <f aca="false">CZ14+KS14</f>
        <v>0</v>
      </c>
      <c r="KU14" s="1" t="n">
        <f aca="false">IF(CY14=1,MAX(0,(Slot9_Cost-KT14*(1+Slot9_Rate)^(Slot9_Age-D14))/KQ14),0)</f>
        <v>0</v>
      </c>
      <c r="KV14" s="1" t="n">
        <f aca="false">IF(CY14=1,MAX(0,(Slot9_Cost-CZ14*(1+Slot9_Rate)^(Slot9_Age-D14))/KQ14),0)</f>
        <v>0</v>
      </c>
      <c r="KW14" s="1" t="n">
        <f aca="false">IF(AND(HT14=1,CY14=1),MIN(KP14,KU14),0)</f>
        <v>0</v>
      </c>
      <c r="KX14" s="1" t="n">
        <f aca="false">KP14-KW14</f>
        <v>0</v>
      </c>
      <c r="KY14" s="1" t="n">
        <f aca="false">IF(DI14=1,IF(ABS((1+AS_Wage)/(1+Slot10_Rate)-1)&lt;0.000000000001,(Slot10_Age-D14)*(1+Slot10_Rate)^(Slot10_Age-D14),(1+Slot10_Rate)^(Slot10_Age-D14)*(1-((1+AS_Wage)/(1+Slot10_Rate))^(Slot10_Age-D14))/(1-(1+AS_Wage)/(1+Slot10_Rate))),1)</f>
        <v>1</v>
      </c>
      <c r="KZ14" s="1" t="n">
        <f aca="false">IF(AND(HT14=1,ID14&gt;0,Slot10_IsWG=1,DI14=1),MAX(0,(Slot10_Cost-DJ14*(1+Slot10_Rate)^(Slot10_Age-D14))/KY14),0)</f>
        <v>0</v>
      </c>
      <c r="LA14" s="1" t="n">
        <f aca="false">IF(AND(HT14=1,ID14&gt;0,Slot10_IsWG=1,DI14=1),MIN(ID14,KZ14),0)</f>
        <v>0</v>
      </c>
      <c r="LB14" s="1" t="n">
        <f aca="false">DJ14+LA14</f>
        <v>0</v>
      </c>
      <c r="LC14" s="1" t="n">
        <f aca="false">IF(DI14=1,MAX(0,(Slot10_Cost-LB14*(1+Slot10_Rate)^(Slot10_Age-D14))/KY14),0)</f>
        <v>0</v>
      </c>
      <c r="LD14" s="1" t="n">
        <f aca="false">IF(DI14=1,MAX(0,(Slot10_Cost-DJ14*(1+Slot10_Rate)^(Slot10_Age-D14))/KY14),0)</f>
        <v>0</v>
      </c>
      <c r="LE14" s="1" t="n">
        <f aca="false">IF(AND(HT14=1,DI14=1),MIN(KX14,LC14),0)</f>
        <v>0</v>
      </c>
      <c r="LF14" s="1" t="n">
        <f aca="false">KX14-LE14</f>
        <v>0</v>
      </c>
      <c r="LG14" s="1" t="n">
        <f aca="false">IF(DS14=1,IF(ABS((1+AS_Wage)/(1+Slot11_Rate)-1)&lt;0.000000000001,(Slot11_Age-D14)*(1+Slot11_Rate)^(Slot11_Age-D14),(1+Slot11_Rate)^(Slot11_Age-D14)*(1-((1+AS_Wage)/(1+Slot11_Rate))^(Slot11_Age-D14))/(1-(1+AS_Wage)/(1+Slot11_Rate))),1)</f>
        <v>1</v>
      </c>
      <c r="LH14" s="1" t="n">
        <f aca="false">IF(AND(HT14=1,ID14&gt;0,Slot11_IsWG=1,DS14=1),MAX(0,(Slot11_Cost-DT14*(1+Slot11_Rate)^(Slot11_Age-D14))/LG14),0)</f>
        <v>0</v>
      </c>
      <c r="LI14" s="1" t="n">
        <f aca="false">IF(AND(HT14=1,ID14&gt;0,Slot11_IsWG=1,DS14=1),MIN(ID14,LH14),0)</f>
        <v>0</v>
      </c>
      <c r="LJ14" s="1" t="n">
        <f aca="false">DT14+LI14</f>
        <v>0</v>
      </c>
      <c r="LK14" s="1" t="n">
        <f aca="false">IF(DS14=1,MAX(0,(Slot11_Cost-LJ14*(1+Slot11_Rate)^(Slot11_Age-D14))/LG14),0)</f>
        <v>0</v>
      </c>
      <c r="LL14" s="1" t="n">
        <f aca="false">IF(DS14=1,MAX(0,(Slot11_Cost-DT14*(1+Slot11_Rate)^(Slot11_Age-D14))/LG14),0)</f>
        <v>0</v>
      </c>
      <c r="LM14" s="1" t="n">
        <f aca="false">IF(AND(HT14=1,DS14=1),MIN(LF14,LK14),0)</f>
        <v>0</v>
      </c>
      <c r="LN14" s="1" t="n">
        <f aca="false">LF14-LM14</f>
        <v>0</v>
      </c>
      <c r="LO14" s="1" t="n">
        <f aca="false">IF(EC14=1,IF(ABS((1+AS_Wage)/(1+Slot12_Rate)-1)&lt;0.000000000001,(Slot12_Age-D14)*(1+Slot12_Rate)^(Slot12_Age-D14),(1+Slot12_Rate)^(Slot12_Age-D14)*(1-((1+AS_Wage)/(1+Slot12_Rate))^(Slot12_Age-D14))/(1-(1+AS_Wage)/(1+Slot12_Rate))),1)</f>
        <v>1</v>
      </c>
      <c r="LP14" s="1" t="n">
        <f aca="false">IF(AND(HT14=1,ID14&gt;0,Slot12_IsWG=1,EC14=1),MAX(0,(Slot12_Cost-ED14*(1+Slot12_Rate)^(Slot12_Age-D14))/LO14),0)</f>
        <v>0</v>
      </c>
      <c r="LQ14" s="1" t="n">
        <f aca="false">IF(AND(HT14=1,ID14&gt;0,Slot12_IsWG=1,EC14=1),MIN(ID14,LP14),0)</f>
        <v>0</v>
      </c>
      <c r="LR14" s="1" t="n">
        <f aca="false">ED14+LQ14</f>
        <v>0</v>
      </c>
      <c r="LS14" s="1" t="n">
        <f aca="false">IF(EC14=1,MAX(0,(Slot12_Cost-LR14*(1+Slot12_Rate)^(Slot12_Age-D14))/LO14),0)</f>
        <v>0</v>
      </c>
      <c r="LT14" s="1" t="n">
        <f aca="false">IF(EC14=1,MAX(0,(Slot12_Cost-ED14*(1+Slot12_Rate)^(Slot12_Age-D14))/LO14),0)</f>
        <v>0</v>
      </c>
      <c r="LU14" s="1" t="n">
        <f aca="false">IF(AND(HT14=1,EC14=1),MIN(LN14,LS14),0)</f>
        <v>0</v>
      </c>
      <c r="LV14" s="1" t="n">
        <f aca="false">LN14-LU14</f>
        <v>0</v>
      </c>
      <c r="LW14" s="1" t="n">
        <f aca="false">IF(EM14=1,IF(ABS((1+AS_Wage)/(1+Slot13_Rate)-1)&lt;0.000000000001,(Slot13_Age-D14)*(1+Slot13_Rate)^(Slot13_Age-D14),(1+Slot13_Rate)^(Slot13_Age-D14)*(1-((1+AS_Wage)/(1+Slot13_Rate))^(Slot13_Age-D14))/(1-(1+AS_Wage)/(1+Slot13_Rate))),1)</f>
        <v>1</v>
      </c>
      <c r="LX14" s="1" t="n">
        <f aca="false">IF(AND(HT14=1,ID14&gt;0,Slot13_IsWG=1,EM14=1),MAX(0,(Slot13_Cost-EN14*(1+Slot13_Rate)^(Slot13_Age-D14))/LW14),0)</f>
        <v>0</v>
      </c>
      <c r="LY14" s="1" t="n">
        <f aca="false">IF(AND(HT14=1,ID14&gt;0,Slot13_IsWG=1,EM14=1),MIN(ID14,LX14),0)</f>
        <v>0</v>
      </c>
      <c r="LZ14" s="1" t="n">
        <f aca="false">EN14+LY14</f>
        <v>0</v>
      </c>
      <c r="MA14" s="1" t="n">
        <f aca="false">IF(EM14=1,MAX(0,(Slot13_Cost-LZ14*(1+Slot13_Rate)^(Slot13_Age-D14))/LW14),0)</f>
        <v>0</v>
      </c>
      <c r="MB14" s="1" t="n">
        <f aca="false">IF(EM14=1,MAX(0,(Slot13_Cost-EN14*(1+Slot13_Rate)^(Slot13_Age-D14))/LW14),0)</f>
        <v>0</v>
      </c>
      <c r="MC14" s="1" t="n">
        <f aca="false">IF(AND(HT14=1,EM14=1),MIN(LV14,MA14),0)</f>
        <v>0</v>
      </c>
      <c r="MD14" s="1" t="n">
        <f aca="false">LV14-MC14</f>
        <v>0</v>
      </c>
      <c r="ME14" s="1" t="n">
        <f aca="false">IF(EW14=1,IF(ABS((1+AS_Wage)/(1+Slot14_Rate)-1)&lt;0.000000000001,(Slot14_Age-D14)*(1+Slot14_Rate)^(Slot14_Age-D14),(1+Slot14_Rate)^(Slot14_Age-D14)*(1-((1+AS_Wage)/(1+Slot14_Rate))^(Slot14_Age-D14))/(1-(1+AS_Wage)/(1+Slot14_Rate))),1)</f>
        <v>1</v>
      </c>
      <c r="MF14" s="1" t="n">
        <f aca="false">IF(AND(HT14=1,ID14&gt;0,Slot14_IsWG=1,EW14=1),MAX(0,(Slot14_Cost-EX14*(1+Slot14_Rate)^(Slot14_Age-D14))/ME14),0)</f>
        <v>0</v>
      </c>
      <c r="MG14" s="1" t="n">
        <f aca="false">IF(AND(HT14=1,ID14&gt;0,Slot14_IsWG=1,EW14=1),MIN(ID14,MF14),0)</f>
        <v>0</v>
      </c>
      <c r="MH14" s="1" t="n">
        <f aca="false">EX14+MG14</f>
        <v>0</v>
      </c>
      <c r="MI14" s="1" t="n">
        <f aca="false">IF(EW14=1,MAX(0,(Slot14_Cost-MH14*(1+Slot14_Rate)^(Slot14_Age-D14))/ME14),0)</f>
        <v>0</v>
      </c>
      <c r="MJ14" s="1" t="n">
        <f aca="false">IF(EW14=1,MAX(0,(Slot14_Cost-EX14*(1+Slot14_Rate)^(Slot14_Age-D14))/ME14),0)</f>
        <v>0</v>
      </c>
      <c r="MK14" s="1" t="n">
        <f aca="false">IF(AND(HT14=1,EW14=1),MIN(MD14,MI14),0)</f>
        <v>0</v>
      </c>
      <c r="ML14" s="1" t="n">
        <f aca="false">MD14-MK14</f>
        <v>0</v>
      </c>
      <c r="MM14" s="1" t="n">
        <f aca="false">IF(FG14=1,IF(ABS((1+AS_Wage)/(1+Slot15_Rate)-1)&lt;0.000000000001,(Slot15_Age-D14)*(1+Slot15_Rate)^(Slot15_Age-D14),(1+Slot15_Rate)^(Slot15_Age-D14)*(1-((1+AS_Wage)/(1+Slot15_Rate))^(Slot15_Age-D14))/(1-(1+AS_Wage)/(1+Slot15_Rate))),1)</f>
        <v>1</v>
      </c>
      <c r="MN14" s="1" t="n">
        <f aca="false">IF(AND(HT14=1,ID14&gt;0,Slot15_IsWG=1,FG14=1),MAX(0,(Slot15_Cost-FH14*(1+Slot15_Rate)^(Slot15_Age-D14))/MM14),0)</f>
        <v>0</v>
      </c>
      <c r="MO14" s="1" t="n">
        <f aca="false">IF(AND(HT14=1,ID14&gt;0,Slot15_IsWG=1,FG14=1),MIN(ID14,MN14),0)</f>
        <v>0</v>
      </c>
      <c r="MP14" s="1" t="n">
        <f aca="false">FH14+MO14</f>
        <v>0</v>
      </c>
      <c r="MQ14" s="1" t="n">
        <f aca="false">IF(FG14=1,MAX(0,(Slot15_Cost-MP14*(1+Slot15_Rate)^(Slot15_Age-D14))/MM14),0)</f>
        <v>0</v>
      </c>
      <c r="MR14" s="1" t="n">
        <f aca="false">IF(FG14=1,MAX(0,(Slot15_Cost-FH14*(1+Slot15_Rate)^(Slot15_Age-D14))/MM14),0)</f>
        <v>0</v>
      </c>
      <c r="MS14" s="1" t="n">
        <f aca="false">IF(AND(HT14=1,FG14=1),MIN(ML14,MQ14),0)</f>
        <v>0</v>
      </c>
      <c r="MT14" s="1" t="n">
        <f aca="false">ML14-MS14</f>
        <v>0</v>
      </c>
      <c r="MU14" s="1" t="n">
        <f aca="false">IF(FQ14=1,IF(ABS((1+AS_Wage)/(1+Slot16_Rate)-1)&lt;0.000000000001,(Slot16_Age-D14)*(1+Slot16_Rate)^(Slot16_Age-D14),(1+Slot16_Rate)^(Slot16_Age-D14)*(1-((1+AS_Wage)/(1+Slot16_Rate))^(Slot16_Age-D14))/(1-(1+AS_Wage)/(1+Slot16_Rate))),1)</f>
        <v>1</v>
      </c>
      <c r="MV14" s="1" t="n">
        <f aca="false">IF(AND(HT14=1,ID14&gt;0,Slot16_IsWG=1,FQ14=1),MAX(0,(Slot16_Cost-FR14*(1+Slot16_Rate)^(Slot16_Age-D14))/MU14),0)</f>
        <v>0</v>
      </c>
      <c r="MW14" s="1" t="n">
        <f aca="false">IF(AND(HT14=1,ID14&gt;0,Slot16_IsWG=1,FQ14=1),MIN(ID14,MV14),0)</f>
        <v>0</v>
      </c>
      <c r="MX14" s="1" t="n">
        <f aca="false">FR14+MW14</f>
        <v>0</v>
      </c>
      <c r="MY14" s="1" t="n">
        <f aca="false">IF(FQ14=1,MAX(0,(Slot16_Cost-MX14*(1+Slot16_Rate)^(Slot16_Age-D14))/MU14),0)</f>
        <v>0</v>
      </c>
      <c r="MZ14" s="1" t="n">
        <f aca="false">IF(FQ14=1,MAX(0,(Slot16_Cost-FR14*(1+Slot16_Rate)^(Slot16_Age-D14))/MU14),0)</f>
        <v>0</v>
      </c>
      <c r="NA14" s="1" t="n">
        <f aca="false">IF(AND(HT14=1,FQ14=1),MIN(MT14,MY14),0)</f>
        <v>0</v>
      </c>
      <c r="NB14" s="1" t="n">
        <f aca="false">MT14-NA14</f>
        <v>0</v>
      </c>
      <c r="NC14" s="1" t="n">
        <f aca="false">IF(GA14=1,IF(ABS((1+AS_Wage)/(1+Slot17_Rate)-1)&lt;0.000000000001,(Slot17_Age-D14)*(1+Slot17_Rate)^(Slot17_Age-D14),(1+Slot17_Rate)^(Slot17_Age-D14)*(1-((1+AS_Wage)/(1+Slot17_Rate))^(Slot17_Age-D14))/(1-(1+AS_Wage)/(1+Slot17_Rate))),1)</f>
        <v>1</v>
      </c>
      <c r="ND14" s="1" t="n">
        <f aca="false">IF(AND(HT14=1,ID14&gt;0,Slot17_IsWG=1,GA14=1),MAX(0,(Slot17_Cost-GB14*(1+Slot17_Rate)^(Slot17_Age-D14))/NC14),0)</f>
        <v>0</v>
      </c>
      <c r="NE14" s="1" t="n">
        <f aca="false">IF(AND(HT14=1,ID14&gt;0,Slot17_IsWG=1,GA14=1),MIN(ID14,ND14),0)</f>
        <v>0</v>
      </c>
      <c r="NF14" s="1" t="n">
        <f aca="false">GB14+NE14</f>
        <v>0</v>
      </c>
      <c r="NG14" s="1" t="n">
        <f aca="false">IF(GA14=1,MAX(0,(Slot17_Cost-NF14*(1+Slot17_Rate)^(Slot17_Age-D14))/NC14),0)</f>
        <v>0</v>
      </c>
      <c r="NH14" s="1" t="n">
        <f aca="false">IF(GA14=1,MAX(0,(Slot17_Cost-GB14*(1+Slot17_Rate)^(Slot17_Age-D14))/NC14),0)</f>
        <v>0</v>
      </c>
      <c r="NI14" s="1" t="n">
        <f aca="false">IF(AND(HT14=1,GA14=1),MIN(NB14,NG14),0)</f>
        <v>0</v>
      </c>
      <c r="NJ14" s="1" t="n">
        <f aca="false">NB14-NI14</f>
        <v>0</v>
      </c>
      <c r="NK14" s="1" t="n">
        <f aca="false">IF(GK14=1,IF(ABS((1+AS_Wage)/(1+Slot18_Rate)-1)&lt;0.000000000001,(Slot18_Age-D14)*(1+Slot18_Rate)^(Slot18_Age-D14),(1+Slot18_Rate)^(Slot18_Age-D14)*(1-((1+AS_Wage)/(1+Slot18_Rate))^(Slot18_Age-D14))/(1-(1+AS_Wage)/(1+Slot18_Rate))),1)</f>
        <v>1</v>
      </c>
      <c r="NL14" s="1" t="n">
        <f aca="false">IF(AND(HT14=1,ID14&gt;0,Slot18_IsWG=1,GK14=1),MAX(0,(Slot18_Cost-GL14*(1+Slot18_Rate)^(Slot18_Age-D14))/NK14),0)</f>
        <v>0</v>
      </c>
      <c r="NM14" s="1" t="n">
        <f aca="false">IF(AND(HT14=1,ID14&gt;0,Slot18_IsWG=1,GK14=1),MIN(ID14,NL14),0)</f>
        <v>0</v>
      </c>
      <c r="NN14" s="1" t="n">
        <f aca="false">GL14+NM14</f>
        <v>0</v>
      </c>
      <c r="NO14" s="1" t="n">
        <f aca="false">IF(GK14=1,MAX(0,(Slot18_Cost-NN14*(1+Slot18_Rate)^(Slot18_Age-D14))/NK14),0)</f>
        <v>0</v>
      </c>
      <c r="NP14" s="1" t="n">
        <f aca="false">IF(GK14=1,MAX(0,(Slot18_Cost-GL14*(1+Slot18_Rate)^(Slot18_Age-D14))/NK14),0)</f>
        <v>0</v>
      </c>
      <c r="NQ14" s="1" t="n">
        <f aca="false">IF(AND(HT14=1,GK14=1),MIN(NJ14,NO14),0)</f>
        <v>0</v>
      </c>
      <c r="NR14" s="1" t="n">
        <f aca="false">NJ14-NQ14</f>
        <v>0</v>
      </c>
      <c r="NS14" s="1" t="n">
        <f aca="false">IF(GU14=1,IF(ABS((1+AS_Wage)/(1+Slot19_Rate)-1)&lt;0.000000000001,(Slot19_Age-D14)*(1+Slot19_Rate)^(Slot19_Age-D14),(1+Slot19_Rate)^(Slot19_Age-D14)*(1-((1+AS_Wage)/(1+Slot19_Rate))^(Slot19_Age-D14))/(1-(1+AS_Wage)/(1+Slot19_Rate))),1)</f>
        <v>1</v>
      </c>
      <c r="NT14" s="1" t="n">
        <f aca="false">IF(AND(HT14=1,ID14&gt;0,Slot19_IsWG=1,GU14=1),MAX(0,(Slot19_Cost-GV14*(1+Slot19_Rate)^(Slot19_Age-D14))/NS14),0)</f>
        <v>0</v>
      </c>
      <c r="NU14" s="1" t="n">
        <f aca="false">IF(AND(HT14=1,ID14&gt;0,Slot19_IsWG=1,GU14=1),MIN(ID14,NT14),0)</f>
        <v>0</v>
      </c>
      <c r="NV14" s="1" t="n">
        <f aca="false">GV14+NU14</f>
        <v>0</v>
      </c>
      <c r="NW14" s="1" t="n">
        <f aca="false">IF(GU14=1,MAX(0,(Slot19_Cost-NV14*(1+Slot19_Rate)^(Slot19_Age-D14))/NS14),0)</f>
        <v>0</v>
      </c>
      <c r="NX14" s="1" t="n">
        <f aca="false">IF(GU14=1,MAX(0,(Slot19_Cost-GV14*(1+Slot19_Rate)^(Slot19_Age-D14))/NS14),0)</f>
        <v>0</v>
      </c>
      <c r="NY14" s="1" t="n">
        <f aca="false">IF(AND(HT14=1,GU14=1),MIN(NR14,NW14),0)</f>
        <v>0</v>
      </c>
      <c r="NZ14" s="1" t="n">
        <f aca="false">NR14-NY14</f>
        <v>0</v>
      </c>
      <c r="OA14" s="1" t="n">
        <f aca="false">IF(HE14=1,IF(ABS((1+AS_Wage)/(1+Slot20_Rate)-1)&lt;0.000000000001,(Slot20_Age-D14)*(1+Slot20_Rate)^(Slot20_Age-D14),(1+Slot20_Rate)^(Slot20_Age-D14)*(1-((1+AS_Wage)/(1+Slot20_Rate))^(Slot20_Age-D14))/(1-(1+AS_Wage)/(1+Slot20_Rate))),1)</f>
        <v>1</v>
      </c>
      <c r="OB14" s="1" t="n">
        <f aca="false">IF(AND(HT14=1,ID14&gt;0,Slot20_IsWG=1,HE14=1),MAX(0,(Slot20_Cost-HF14*(1+Slot20_Rate)^(Slot20_Age-D14))/OA14),0)</f>
        <v>0</v>
      </c>
      <c r="OC14" s="1" t="n">
        <f aca="false">IF(AND(HT14=1,ID14&gt;0,Slot20_IsWG=1,HE14=1),MIN(ID14,OB14),0)</f>
        <v>0</v>
      </c>
      <c r="OD14" s="1" t="n">
        <f aca="false">HF14+OC14</f>
        <v>0</v>
      </c>
      <c r="OE14" s="1" t="n">
        <f aca="false">IF(HE14=1,MAX(0,(Slot20_Cost-OD14*(1+Slot20_Rate)^(Slot20_Age-D14))/OA14),0)</f>
        <v>0</v>
      </c>
      <c r="OF14" s="1" t="n">
        <f aca="false">IF(HE14=1,MAX(0,(Slot20_Cost-HF14*(1+Slot20_Rate)^(Slot20_Age-D14))/OA14),0)</f>
        <v>0</v>
      </c>
      <c r="OG14" s="1" t="n">
        <f aca="false">IF(AND(HT14=1,HE14=1),MIN(NZ14,OE14),0)</f>
        <v>0</v>
      </c>
      <c r="OH14" s="1" t="n">
        <f aca="false">NZ14-OG14</f>
        <v>0</v>
      </c>
      <c r="OI14" s="1" t="n">
        <f aca="false">ID14-(IG14+IO14+IW14+JE14+JM14+JU14+KC14+KK14+KS14+LA14+LI14+LQ14+LY14+MG14+MO14+MW14+NE14+NM14+NU14+OC14)</f>
        <v>0</v>
      </c>
      <c r="OJ14" s="1" t="n">
        <f aca="false">IF(HT14=1,HR14-IC14-ID14,0)</f>
        <v>0</v>
      </c>
      <c r="OK14" s="1" t="n">
        <f aca="false">IF(HT14=0,-HR14,0)</f>
        <v>0</v>
      </c>
      <c r="OL14" s="1" t="n">
        <f aca="false">MIN(OK14,HJ14)</f>
        <v>0</v>
      </c>
      <c r="OM14" s="1" t="n">
        <f aca="false">OK14-OL14</f>
        <v>0</v>
      </c>
      <c r="ON14" s="1" t="n">
        <f aca="false">MIN(OM14,HK14)</f>
        <v>0</v>
      </c>
      <c r="OO14" s="1" t="n">
        <f aca="false">OM14-ON14</f>
        <v>0</v>
      </c>
      <c r="OP14" s="1" t="n">
        <f aca="false">IF(AND(HT14=0,HE14=1,OO14&gt;0),MIN(OO14,HF14),0)</f>
        <v>0</v>
      </c>
      <c r="OQ14" s="1" t="n">
        <f aca="false">OO14-OP14</f>
        <v>0</v>
      </c>
      <c r="OR14" s="1" t="n">
        <f aca="false">IF(AND(HT14=0,GU14=1,OQ14&gt;0),MIN(OQ14,GV14),0)</f>
        <v>0</v>
      </c>
      <c r="OS14" s="1" t="n">
        <f aca="false">OQ14-OR14</f>
        <v>0</v>
      </c>
      <c r="OT14" s="1" t="n">
        <f aca="false">IF(AND(HT14=0,GK14=1,OS14&gt;0),MIN(OS14,GL14),0)</f>
        <v>0</v>
      </c>
      <c r="OU14" s="1" t="n">
        <f aca="false">OS14-OT14</f>
        <v>0</v>
      </c>
      <c r="OV14" s="1" t="n">
        <f aca="false">IF(AND(HT14=0,GA14=1,OU14&gt;0),MIN(OU14,GB14),0)</f>
        <v>0</v>
      </c>
      <c r="OW14" s="1" t="n">
        <f aca="false">OU14-OV14</f>
        <v>0</v>
      </c>
      <c r="OX14" s="1" t="n">
        <f aca="false">IF(AND(HT14=0,FQ14=1,OW14&gt;0),MIN(OW14,FR14),0)</f>
        <v>0</v>
      </c>
      <c r="OY14" s="1" t="n">
        <f aca="false">OW14-OX14</f>
        <v>0</v>
      </c>
      <c r="OZ14" s="1" t="n">
        <f aca="false">IF(AND(HT14=0,FG14=1,OY14&gt;0),MIN(OY14,FH14),0)</f>
        <v>0</v>
      </c>
      <c r="PA14" s="1" t="n">
        <f aca="false">OY14-OZ14</f>
        <v>0</v>
      </c>
      <c r="PB14" s="1" t="n">
        <f aca="false">IF(AND(HT14=0,EW14=1,PA14&gt;0),MIN(PA14,EX14),0)</f>
        <v>0</v>
      </c>
      <c r="PC14" s="1" t="n">
        <f aca="false">PA14-PB14</f>
        <v>0</v>
      </c>
      <c r="PD14" s="1" t="n">
        <f aca="false">IF(AND(HT14=0,EM14=1,PC14&gt;0),MIN(PC14,EN14),0)</f>
        <v>0</v>
      </c>
      <c r="PE14" s="1" t="n">
        <f aca="false">PC14-PD14</f>
        <v>0</v>
      </c>
      <c r="PF14" s="1" t="n">
        <f aca="false">IF(AND(HT14=0,EC14=1,PE14&gt;0),MIN(PE14,ED14),0)</f>
        <v>0</v>
      </c>
      <c r="PG14" s="1" t="n">
        <f aca="false">PE14-PF14</f>
        <v>0</v>
      </c>
      <c r="PH14" s="1" t="n">
        <f aca="false">IF(AND(HT14=0,DS14=1,PG14&gt;0),MIN(PG14,DT14),0)</f>
        <v>0</v>
      </c>
      <c r="PI14" s="1" t="n">
        <f aca="false">PG14-PH14</f>
        <v>0</v>
      </c>
      <c r="PJ14" s="1" t="n">
        <f aca="false">IF(AND(HT14=0,DI14=1,PI14&gt;0),MIN(PI14,DJ14),0)</f>
        <v>0</v>
      </c>
      <c r="PK14" s="1" t="n">
        <f aca="false">PI14-PJ14</f>
        <v>0</v>
      </c>
      <c r="PL14" s="1" t="n">
        <f aca="false">IF(AND(HT14=0,CY14=1,PK14&gt;0),MIN(PK14,CZ14),0)</f>
        <v>0</v>
      </c>
      <c r="PM14" s="1" t="n">
        <f aca="false">PK14-PL14</f>
        <v>0</v>
      </c>
      <c r="PN14" s="1" t="n">
        <f aca="false">IF(AND(HT14=0,CO14=1,PM14&gt;0),MIN(PM14,CP14),0)</f>
        <v>0</v>
      </c>
      <c r="PO14" s="1" t="n">
        <f aca="false">PM14-PN14</f>
        <v>0</v>
      </c>
      <c r="PP14" s="1" t="n">
        <f aca="false">IF(AND(HT14=0,CE14=1,PO14&gt;0),MIN(PO14,CF14),0)</f>
        <v>0</v>
      </c>
      <c r="PQ14" s="1" t="n">
        <f aca="false">PO14-PP14</f>
        <v>0</v>
      </c>
      <c r="PR14" s="1" t="n">
        <f aca="false">IF(AND(HT14=0,BU14=1,PQ14&gt;0),MIN(PQ14,BV14),0)</f>
        <v>0</v>
      </c>
      <c r="PS14" s="1" t="n">
        <f aca="false">PQ14-PR14</f>
        <v>0</v>
      </c>
      <c r="PT14" s="1" t="n">
        <f aca="false">IF(AND(HT14=0,BK14=1,PS14&gt;0),MIN(PS14,BL14),0)</f>
        <v>0</v>
      </c>
      <c r="PU14" s="1" t="n">
        <f aca="false">PS14-PT14</f>
        <v>0</v>
      </c>
      <c r="PV14" s="1" t="n">
        <f aca="false">IF(AND(HT14=0,BA14=1,PU14&gt;0),MIN(PU14,BB14),0)</f>
        <v>0</v>
      </c>
      <c r="PW14" s="1" t="n">
        <f aca="false">PU14-PV14</f>
        <v>0</v>
      </c>
      <c r="PX14" s="1" t="n">
        <f aca="false">IF(AND(HT14=0,AQ14=1,PW14&gt;0),MIN(PW14,AR14),0)</f>
        <v>0</v>
      </c>
      <c r="PY14" s="1" t="n">
        <f aca="false">PW14-PX14</f>
        <v>0</v>
      </c>
      <c r="PZ14" s="1" t="n">
        <f aca="false">IF(AND(HT14=0,AG14=1,PY14&gt;0),MIN(PY14,AH14),0)</f>
        <v>0</v>
      </c>
      <c r="QA14" s="1" t="n">
        <f aca="false">PY14-PZ14</f>
        <v>0</v>
      </c>
      <c r="QB14" s="1" t="n">
        <f aca="false">IF(AND(HT14=0,V14=1,QA14&gt;0),MIN(QA14,W14),0)</f>
        <v>0</v>
      </c>
      <c r="QC14" s="1" t="n">
        <f aca="false">QA14-QB14</f>
        <v>0</v>
      </c>
      <c r="QD14" s="1" t="n">
        <f aca="false">IF(HT14=0,QC14,0)</f>
        <v>0</v>
      </c>
      <c r="QE14" s="1" t="n">
        <f aca="false">OL14+ON14+QB14+PZ14+PX14+PV14+PT14+PR14+PP14+PN14+PL14+PJ14+PH14+PF14+PD14+PB14+OZ14+OX14+OV14+OT14+OR14+OP14</f>
        <v>0</v>
      </c>
      <c r="QF14" s="1" t="n">
        <f aca="false">IF(HT14=1,HJ14+OI14+OH14+IF(F14=1,0,OJ14),HJ14-OL14)</f>
        <v>0</v>
      </c>
      <c r="QG14" s="1" t="n">
        <f aca="false">HK14-ON14</f>
        <v>0</v>
      </c>
      <c r="QH14" s="1" t="n">
        <f aca="false">IF(HT14=1,IF(F14=1,IC14+ID14,HR14),0)</f>
        <v>0</v>
      </c>
      <c r="QI14" s="1" t="n">
        <f aca="false">IF(HT14=1,IF(F14=1,HR14-IC14-ID14,0),0)</f>
        <v>0</v>
      </c>
      <c r="QJ14" s="1" t="n">
        <f aca="false">QF14*(1+GR)</f>
        <v>0</v>
      </c>
      <c r="QK14" s="1" t="n">
        <f aca="false">QG14*(1+AS_Cash)</f>
        <v>0</v>
      </c>
      <c r="QL14" s="1" t="n">
        <f aca="false">IF(V14=1,IF(HT14=1,IH14+IK14,W14-QB14)*(1+Slot1_Rate),0)</f>
        <v>0</v>
      </c>
      <c r="QM14" s="1" t="n">
        <f aca="false">IF(AND(HT14=1,V14=1),(IG14+IK14)/E14,0)</f>
        <v>0</v>
      </c>
      <c r="QN14" s="1" t="n">
        <f aca="false">IF(B14=0,IG14+IK14,0)</f>
        <v>0</v>
      </c>
      <c r="QO14" s="1" t="n">
        <f aca="false">IF(B14=0,IF(HT14=1,II14,IJ14),0)</f>
        <v>0</v>
      </c>
      <c r="QP14" s="1" t="n">
        <f aca="false">IF(AG14=1,IF(HT14=1,IP14+IS14,AH14-PZ14)*(1+Slot2_Rate),0)</f>
        <v>0</v>
      </c>
      <c r="QQ14" s="1" t="n">
        <f aca="false">IF(AND(HT14=1,AG14=1),(IO14+IS14)/E14,0)</f>
        <v>0</v>
      </c>
      <c r="QR14" s="1" t="n">
        <f aca="false">IF(B14=0,IO14+IS14,0)</f>
        <v>0</v>
      </c>
      <c r="QS14" s="1" t="n">
        <f aca="false">IF(B14=0,IF(HT14=1,IQ14,IR14),0)</f>
        <v>0</v>
      </c>
      <c r="QT14" s="1" t="n">
        <f aca="false">IF(AQ14=1,IF(HT14=1,IX14+JA14,AR14-PX14)*(1+Slot3_Rate),0)</f>
        <v>0</v>
      </c>
      <c r="QU14" s="1" t="n">
        <f aca="false">IF(AND(HT14=1,AQ14=1),(IW14+JA14)/E14,0)</f>
        <v>0</v>
      </c>
      <c r="QV14" s="1" t="n">
        <f aca="false">IF(B14=0,IW14+JA14,0)</f>
        <v>0</v>
      </c>
      <c r="QW14" s="1" t="n">
        <f aca="false">IF(B14=0,IF(HT14=1,IY14,IZ14),0)</f>
        <v>0</v>
      </c>
      <c r="QX14" s="1" t="n">
        <f aca="false">IF(BA14=1,IF(HT14=1,JF14+JI14,BB14-PV14)*(1+Slot4_Rate),0)</f>
        <v>0</v>
      </c>
      <c r="QY14" s="1" t="n">
        <f aca="false">IF(AND(HT14=1,BA14=1),(JE14+JI14)/E14,0)</f>
        <v>0</v>
      </c>
      <c r="QZ14" s="1" t="n">
        <f aca="false">IF(B14=0,JE14+JI14,0)</f>
        <v>0</v>
      </c>
      <c r="RA14" s="1" t="n">
        <f aca="false">IF(B14=0,IF(HT14=1,JG14,JH14),0)</f>
        <v>0</v>
      </c>
      <c r="RB14" s="1" t="n">
        <f aca="false">IF(BK14=1,IF(HT14=1,JN14+JQ14,BL14-PT14)*(1+Slot5_Rate),0)</f>
        <v>0</v>
      </c>
      <c r="RC14" s="1" t="n">
        <f aca="false">IF(AND(HT14=1,BK14=1),(JM14+JQ14)/E14,0)</f>
        <v>0</v>
      </c>
      <c r="RD14" s="1" t="n">
        <f aca="false">IF(B14=0,JM14+JQ14,0)</f>
        <v>0</v>
      </c>
      <c r="RE14" s="1" t="n">
        <f aca="false">IF(B14=0,IF(HT14=1,JO14,JP14),0)</f>
        <v>0</v>
      </c>
      <c r="RF14" s="1" t="n">
        <f aca="false">IF(BU14=1,IF(HT14=1,JV14+JY14,BV14-PR14)*(1+Slot6_Rate),0)</f>
        <v>0</v>
      </c>
      <c r="RG14" s="1" t="n">
        <f aca="false">IF(AND(HT14=1,BU14=1),(JU14+JY14)/E14,0)</f>
        <v>0</v>
      </c>
      <c r="RH14" s="1" t="n">
        <f aca="false">IF(B14=0,JU14+JY14,0)</f>
        <v>0</v>
      </c>
      <c r="RI14" s="1" t="n">
        <f aca="false">IF(B14=0,IF(HT14=1,JW14,JX14),0)</f>
        <v>0</v>
      </c>
      <c r="RJ14" s="1" t="n">
        <f aca="false">IF(CE14=1,IF(HT14=1,KD14+KG14,CF14-PP14)*(1+Slot7_Rate),0)</f>
        <v>0</v>
      </c>
      <c r="RK14" s="1" t="n">
        <f aca="false">IF(AND(HT14=1,CE14=1),(KC14+KG14)/E14,0)</f>
        <v>0</v>
      </c>
      <c r="RL14" s="1" t="n">
        <f aca="false">IF(B14=0,KC14+KG14,0)</f>
        <v>0</v>
      </c>
      <c r="RM14" s="1" t="n">
        <f aca="false">IF(B14=0,IF(HT14=1,KE14,KF14),0)</f>
        <v>0</v>
      </c>
      <c r="RN14" s="1" t="n">
        <f aca="false">IF(CO14=1,IF(HT14=1,KL14+KO14,CP14-PN14)*(1+Slot8_Rate),0)</f>
        <v>0</v>
      </c>
      <c r="RO14" s="1" t="n">
        <f aca="false">IF(AND(HT14=1,CO14=1),(KK14+KO14)/E14,0)</f>
        <v>0</v>
      </c>
      <c r="RP14" s="1" t="n">
        <f aca="false">IF(B14=0,KK14+KO14,0)</f>
        <v>0</v>
      </c>
      <c r="RQ14" s="1" t="n">
        <f aca="false">IF(B14=0,IF(HT14=1,KM14,KN14),0)</f>
        <v>0</v>
      </c>
      <c r="RR14" s="1" t="n">
        <f aca="false">IF(CY14=1,IF(HT14=1,KT14+KW14,CZ14-PL14)*(1+Slot9_Rate),0)</f>
        <v>0</v>
      </c>
      <c r="RS14" s="1" t="n">
        <f aca="false">IF(AND(HT14=1,CY14=1),(KS14+KW14)/E14,0)</f>
        <v>0</v>
      </c>
      <c r="RT14" s="1" t="n">
        <f aca="false">IF(B14=0,KS14+KW14,0)</f>
        <v>0</v>
      </c>
      <c r="RU14" s="1" t="n">
        <f aca="false">IF(B14=0,IF(HT14=1,KU14,KV14),0)</f>
        <v>0</v>
      </c>
      <c r="RV14" s="1" t="n">
        <f aca="false">IF(DI14=1,IF(HT14=1,LB14+LE14,DJ14-PJ14)*(1+Slot10_Rate),0)</f>
        <v>0</v>
      </c>
      <c r="RW14" s="1" t="n">
        <f aca="false">IF(AND(HT14=1,DI14=1),(LA14+LE14)/E14,0)</f>
        <v>0</v>
      </c>
      <c r="RX14" s="1" t="n">
        <f aca="false">IF(B14=0,LA14+LE14,0)</f>
        <v>0</v>
      </c>
      <c r="RY14" s="1" t="n">
        <f aca="false">IF(B14=0,IF(HT14=1,LC14,LD14),0)</f>
        <v>0</v>
      </c>
      <c r="RZ14" s="1" t="n">
        <f aca="false">IF(DS14=1,IF(HT14=1,LJ14+LM14,DT14-PH14)*(1+Slot11_Rate),0)</f>
        <v>0</v>
      </c>
      <c r="SA14" s="1" t="n">
        <f aca="false">IF(AND(HT14=1,DS14=1),(LI14+LM14)/E14,0)</f>
        <v>0</v>
      </c>
      <c r="SB14" s="1" t="n">
        <f aca="false">IF(B14=0,LI14+LM14,0)</f>
        <v>0</v>
      </c>
      <c r="SC14" s="1" t="n">
        <f aca="false">IF(B14=0,IF(HT14=1,LK14,LL14),0)</f>
        <v>0</v>
      </c>
      <c r="SD14" s="1" t="n">
        <f aca="false">IF(EC14=1,IF(HT14=1,LR14+LU14,ED14-PF14)*(1+Slot12_Rate),0)</f>
        <v>0</v>
      </c>
      <c r="SE14" s="1" t="n">
        <f aca="false">IF(AND(HT14=1,EC14=1),(LQ14+LU14)/E14,0)</f>
        <v>0</v>
      </c>
      <c r="SF14" s="1" t="n">
        <f aca="false">IF(B14=0,LQ14+LU14,0)</f>
        <v>0</v>
      </c>
      <c r="SG14" s="1" t="n">
        <f aca="false">IF(B14=0,IF(HT14=1,LS14,LT14),0)</f>
        <v>0</v>
      </c>
      <c r="SH14" s="1" t="n">
        <f aca="false">IF(EM14=1,IF(HT14=1,LZ14+MC14,EN14-PD14)*(1+Slot13_Rate),0)</f>
        <v>0</v>
      </c>
      <c r="SI14" s="1" t="n">
        <f aca="false">IF(AND(HT14=1,EM14=1),(LY14+MC14)/E14,0)</f>
        <v>0</v>
      </c>
      <c r="SJ14" s="1" t="n">
        <f aca="false">IF(B14=0,LY14+MC14,0)</f>
        <v>0</v>
      </c>
      <c r="SK14" s="1" t="n">
        <f aca="false">IF(B14=0,IF(HT14=1,MA14,MB14),0)</f>
        <v>0</v>
      </c>
      <c r="SL14" s="1" t="n">
        <f aca="false">IF(EW14=1,IF(HT14=1,MH14+MK14,EX14-PB14)*(1+Slot14_Rate),0)</f>
        <v>0</v>
      </c>
      <c r="SM14" s="1" t="n">
        <f aca="false">IF(AND(HT14=1,EW14=1),(MG14+MK14)/E14,0)</f>
        <v>0</v>
      </c>
      <c r="SN14" s="1" t="n">
        <f aca="false">IF(B14=0,MG14+MK14,0)</f>
        <v>0</v>
      </c>
      <c r="SO14" s="1" t="n">
        <f aca="false">IF(B14=0,IF(HT14=1,MI14,MJ14),0)</f>
        <v>0</v>
      </c>
      <c r="SP14" s="1" t="n">
        <f aca="false">IF(FG14=1,IF(HT14=1,MP14+MS14,FH14-OZ14)*(1+Slot15_Rate),0)</f>
        <v>0</v>
      </c>
      <c r="SQ14" s="1" t="n">
        <f aca="false">IF(AND(HT14=1,FG14=1),(MO14+MS14)/E14,0)</f>
        <v>0</v>
      </c>
      <c r="SR14" s="1" t="n">
        <f aca="false">IF(B14=0,MO14+MS14,0)</f>
        <v>0</v>
      </c>
      <c r="SS14" s="1" t="n">
        <f aca="false">IF(B14=0,IF(HT14=1,MQ14,MR14),0)</f>
        <v>0</v>
      </c>
      <c r="ST14" s="1" t="n">
        <f aca="false">IF(FQ14=1,IF(HT14=1,MX14+NA14,FR14-OX14)*(1+Slot16_Rate),0)</f>
        <v>0</v>
      </c>
      <c r="SU14" s="1" t="n">
        <f aca="false">IF(AND(HT14=1,FQ14=1),(MW14+NA14)/E14,0)</f>
        <v>0</v>
      </c>
      <c r="SV14" s="1" t="n">
        <f aca="false">IF(B14=0,MW14+NA14,0)</f>
        <v>0</v>
      </c>
      <c r="SW14" s="1" t="n">
        <f aca="false">IF(B14=0,IF(HT14=1,MY14,MZ14),0)</f>
        <v>0</v>
      </c>
      <c r="SX14" s="1" t="n">
        <f aca="false">IF(GA14=1,IF(HT14=1,NF14+NI14,GB14-OV14)*(1+Slot17_Rate),0)</f>
        <v>0</v>
      </c>
      <c r="SY14" s="1" t="n">
        <f aca="false">IF(AND(HT14=1,GA14=1),(NE14+NI14)/E14,0)</f>
        <v>0</v>
      </c>
      <c r="SZ14" s="1" t="n">
        <f aca="false">IF(B14=0,NE14+NI14,0)</f>
        <v>0</v>
      </c>
      <c r="TA14" s="1" t="n">
        <f aca="false">IF(B14=0,IF(HT14=1,NG14,NH14),0)</f>
        <v>0</v>
      </c>
      <c r="TB14" s="1" t="n">
        <f aca="false">IF(GK14=1,IF(HT14=1,NN14+NQ14,GL14-OT14)*(1+Slot18_Rate),0)</f>
        <v>0</v>
      </c>
      <c r="TC14" s="1" t="n">
        <f aca="false">IF(AND(HT14=1,GK14=1),(NM14+NQ14)/E14,0)</f>
        <v>0</v>
      </c>
      <c r="TD14" s="1" t="n">
        <f aca="false">IF(B14=0,NM14+NQ14,0)</f>
        <v>0</v>
      </c>
      <c r="TE14" s="1" t="n">
        <f aca="false">IF(B14=0,IF(HT14=1,NO14,NP14),0)</f>
        <v>0</v>
      </c>
      <c r="TF14" s="1" t="n">
        <f aca="false">IF(GU14=1,IF(HT14=1,NV14+NY14,GV14-OR14)*(1+Slot19_Rate),0)</f>
        <v>0</v>
      </c>
      <c r="TG14" s="1" t="n">
        <f aca="false">IF(AND(HT14=1,GU14=1),(NU14+NY14)/E14,0)</f>
        <v>0</v>
      </c>
      <c r="TH14" s="1" t="n">
        <f aca="false">IF(B14=0,NU14+NY14,0)</f>
        <v>0</v>
      </c>
      <c r="TI14" s="1" t="n">
        <f aca="false">IF(B14=0,IF(HT14=1,NW14,NX14),0)</f>
        <v>0</v>
      </c>
      <c r="TJ14" s="1" t="n">
        <f aca="false">IF(HE14=1,IF(HT14=1,OD14+OG14,HF14-OP14)*(1+Slot20_Rate),0)</f>
        <v>0</v>
      </c>
      <c r="TK14" s="1" t="n">
        <f aca="false">IF(AND(HT14=1,HE14=1),(OC14+OG14)/E14,0)</f>
        <v>0</v>
      </c>
      <c r="TL14" s="1" t="n">
        <f aca="false">IF(B14=0,OC14+OG14,0)</f>
        <v>0</v>
      </c>
      <c r="TM14" s="1" t="n">
        <f aca="false">IF(B14=0,IF(HT14=1,OE14,OF14),0)</f>
        <v>0</v>
      </c>
      <c r="TN14" s="1" t="n">
        <f aca="false">QJ14+QK14+QL14+QP14+QT14+QX14+RB14+RF14+RJ14+RN14+RR14+RV14+RZ14+SD14+SH14+SL14+SP14+ST14+SX14+TB14+TF14+TJ14</f>
        <v>0</v>
      </c>
      <c r="TO14" s="1" t="n">
        <f aca="false">QD14+HO14</f>
        <v>0</v>
      </c>
      <c r="TP14" s="1" t="n">
        <f aca="false">H14+R14</f>
        <v>0</v>
      </c>
      <c r="TQ14" s="1" t="n">
        <f aca="false">1-F14</f>
        <v>0</v>
      </c>
      <c r="TR14" s="1" t="n">
        <f aca="false">IF(AND(RG_Exists=1,F14=0,C14=1),H14,0)</f>
        <v>0</v>
      </c>
      <c r="TS14" s="1" t="n">
        <f aca="false">IF(AND(RG_Exists=1,F14=0,C14=1),H14-MIN(QD14,H14),0)</f>
        <v>0</v>
      </c>
      <c r="TT14" s="1" t="n">
        <f aca="false">'Plan pay &amp; tax'!AD240</f>
        <v>0</v>
      </c>
      <c r="TU14" s="1" t="n">
        <f aca="false">IF(AND(C14=1,QD14&gt;MAX(PR_Short1,TP14*PR_Short2)),1,0)</f>
        <v>0</v>
      </c>
      <c r="TV14" s="1" t="n">
        <f aca="false">MIN(G14,H14+R14)</f>
        <v>0</v>
      </c>
      <c r="TW14" s="1" t="n">
        <f aca="false">QE14+MAX(0,HP14-HO14)</f>
        <v>0</v>
      </c>
      <c r="TX14" s="1" t="n">
        <f aca="false">QD14+HO14</f>
        <v>0</v>
      </c>
      <c r="TY14" s="1" t="n">
        <f aca="false">IF(AND(C14=1,TX14&gt;PR_MinShort),1,0)</f>
        <v>0</v>
      </c>
      <c r="TZ14" s="1" t="n">
        <f aca="false">IF(AND(C14=1,TY14=0,TW14&gt;PR_MinShort),1,0)</f>
        <v>0</v>
      </c>
      <c r="UA14" s="1" t="n">
        <f aca="false">IF(AND(C14=1,QD14&gt;PR_MinShort),1,0)</f>
        <v>0</v>
      </c>
      <c r="UB14" s="1" t="n">
        <f aca="false">IF(AND(C14=1,QE14&gt;1,UI14=0),1,0)</f>
        <v>0</v>
      </c>
      <c r="UC14" s="1" t="str">
        <f aca="false">IF(C14=0,"",IF(UI14=1,"Gap to plan for: short "&amp;"€"&amp;TEXT(ROUND(TO14,0),"#,##0"),IF(QE14&gt;1,"Using savings","Comfortable")))</f>
        <v>Comfortable</v>
      </c>
      <c r="UD14" s="1" t="n">
        <f aca="false">IF(AND(INT(D14/10)*10=90,B14&gt;0),80,INT(D14/10)*10)</f>
        <v>0</v>
      </c>
      <c r="UE14" s="1" t="n">
        <f aca="false">IF(B14=0,1,IF(UD14&lt;&gt;UD13,UE13+1,UE13))</f>
        <v>1</v>
      </c>
      <c r="UF14" s="1" t="n">
        <f aca="false">IF(AND(C14=1,F14=1,QD14&gt;MAX(PR_Short1,TP14*PR_Short2)),1,0)</f>
        <v>0</v>
      </c>
      <c r="UG14" s="1" t="n">
        <f aca="false">TQ14*TU14</f>
        <v>0</v>
      </c>
      <c r="UH14" s="1" t="n">
        <f aca="false">IF(AND(U14=1,Slot1_PctLow=1),1,0)+IF(AND(AF14=1,Slot2_PctLow=1),1,0)+IF(AND(AP14=1,Slot3_PctLow=1),1,0)+IF(AND(AZ14=1,Slot4_PctLow=1),1,0)+IF(AND(BJ14=1,Slot5_PctLow=1),1,0)+IF(AND(BT14=1,Slot6_PctLow=1),1,0)+IF(AND(CD14=1,Slot7_PctLow=1),1,0)+IF(AND(CN14=1,Slot8_PctLow=1),1,0)+IF(AND(CX14=1,Slot9_PctLow=1),1,0)+IF(AND(DH14=1,Slot10_PctLow=1),1,0)+IF(AND(DR14=1,Slot11_PctLow=1),1,0)+IF(AND(EB14=1,Slot12_PctLow=1),1,0)+IF(AND(EL14=1,Slot13_PctLow=1),1,0)+IF(AND(EV14=1,Slot14_PctLow=1),1,0)+IF(AND(FF14=1,Slot15_PctLow=1),1,0)+IF(AND(FP14=1,Slot16_PctLow=1),1,0)+IF(AND(FZ14=1,Slot17_PctLow=1),1,0)+IF(AND(GJ14=1,Slot18_PctLow=1),1,0)+IF(AND(GT14=1,Slot19_PctLow=1),1,0)+IF(AND(HD14=1,Slot20_PctLow=1),1,0)</f>
        <v>0</v>
      </c>
      <c r="UI14" s="1" t="n">
        <f aca="false">IF(C14=1,IF(OR(TU14=1,UH14&gt;0),1,0),0)</f>
        <v>0</v>
      </c>
    </row>
    <row r="15" customFormat="false" ht="15" hidden="false" customHeight="true" outlineLevel="0" collapsed="false">
      <c r="B15" s="1" t="n">
        <v>7</v>
      </c>
      <c r="C15" s="1" t="n">
        <f aca="false">IF(B15&lt;=F_N,1,0)</f>
        <v>1</v>
      </c>
      <c r="D15" s="1" t="n">
        <f aca="false">'Plan pay &amp; tax'!C241</f>
        <v>7</v>
      </c>
      <c r="E15" s="111" t="n">
        <f aca="false">'Plan pay &amp; tax'!E241</f>
        <v>1.14868566764928</v>
      </c>
      <c r="F15" s="1" t="n">
        <f aca="false">'Plan pay &amp; tax'!G241</f>
        <v>1</v>
      </c>
      <c r="G15" s="1" t="n">
        <f aca="false">'Plan pay &amp; tax'!BT241-'Plan pay &amp; tax'!BS241-'Plan pay &amp; tax'!R241</f>
        <v>0</v>
      </c>
      <c r="H15" s="1" t="n">
        <f aca="false">IF(F15=1,F_CostsM*12,IF(RG_Exists=1,RG_Amount,F_CostsM*12*AS_RetireSpend))*E15+F_OneOffY*E15</f>
        <v>0</v>
      </c>
      <c r="I15" s="1" t="n">
        <f aca="false">HQ14</f>
        <v>0</v>
      </c>
      <c r="J15" s="1" t="n">
        <f aca="false">IF(I15&gt;1,'Plan debt months'!AC15,0)</f>
        <v>0</v>
      </c>
      <c r="K15" s="1" t="n">
        <f aca="false">IF(I15&gt;1,'Plan debt months'!AB15,I15)</f>
        <v>0</v>
      </c>
      <c r="L15" s="1" t="n">
        <f aca="false">N14</f>
        <v>0</v>
      </c>
      <c r="M15" s="1" t="n">
        <f aca="false">IF(L15&gt;1,'Plan debt months'!BD15,0)</f>
        <v>0</v>
      </c>
      <c r="N15" s="1" t="n">
        <f aca="false">IF(L15&gt;1,'Plan debt months'!BC15,L15)</f>
        <v>0</v>
      </c>
      <c r="O15" s="1" t="n">
        <f aca="false">Q14</f>
        <v>0</v>
      </c>
      <c r="P15" s="1" t="n">
        <f aca="false">IF(O15&gt;1,'Plan debt months'!CE15,0)</f>
        <v>0</v>
      </c>
      <c r="Q15" s="1" t="n">
        <f aca="false">IF(O15&gt;1,'Plan debt months'!CD15,O15)</f>
        <v>0</v>
      </c>
      <c r="R15" s="1" t="n">
        <f aca="false">J15+M15+P15</f>
        <v>0</v>
      </c>
      <c r="S15" s="1" t="n">
        <f aca="false">QJ14+'Plan pay &amp; tax'!Y241</f>
        <v>0</v>
      </c>
      <c r="T15" s="1" t="n">
        <f aca="false">QJ14</f>
        <v>0</v>
      </c>
      <c r="U15" s="1" t="n">
        <f aca="false">IF(AND(Slot1_On=1,D15=Slot1_Age),1,0)</f>
        <v>0</v>
      </c>
      <c r="V15" s="1" t="n">
        <f aca="false">IF(AND(Slot1_On=1,Slot1_Age&gt;D15),1,0)</f>
        <v>0</v>
      </c>
      <c r="W15" s="1" t="n">
        <f aca="false">QL14</f>
        <v>0</v>
      </c>
      <c r="X15" s="1" t="n">
        <f aca="false">U15*MIN(Slot1_Cost,W15)</f>
        <v>0</v>
      </c>
      <c r="Y15" s="1" t="n">
        <f aca="false">U15*Slot1_SpendLike*MIN(Slot1_Cost-X15,S15)</f>
        <v>0</v>
      </c>
      <c r="Z15" s="1" t="n">
        <f aca="false">X15+Y15</f>
        <v>0</v>
      </c>
      <c r="AA15" s="1" t="n">
        <f aca="false">S15-Y15+U15*IF(Slot1_SpendLike=1,W15-X15,IF(Slot1_PotFree=1,W15,0))</f>
        <v>0</v>
      </c>
      <c r="AB15" s="1" t="n">
        <f aca="false">AE15+U15*Slot1_BufPot*W15</f>
        <v>0</v>
      </c>
      <c r="AC15" s="1" t="n">
        <f aca="false">IF(AND(U15=1,Slot1_IsMfree=1),IF(Z15&gt;=Slot1_Cost-1,0,MAX(0,K15-Z15)),K15)</f>
        <v>0</v>
      </c>
      <c r="AD15" s="1" t="n">
        <f aca="false">U15*(Slot1_Cost-Z15)</f>
        <v>0</v>
      </c>
      <c r="AE15" s="1" t="n">
        <f aca="false">QK14</f>
        <v>0</v>
      </c>
      <c r="AF15" s="1" t="n">
        <f aca="false">IF(AND(Slot2_On=1,D15=Slot2_Age),1,0)</f>
        <v>0</v>
      </c>
      <c r="AG15" s="1" t="n">
        <f aca="false">IF(AND(Slot2_On=1,Slot2_Age&gt;D15),1,0)</f>
        <v>0</v>
      </c>
      <c r="AH15" s="1" t="n">
        <f aca="false">QP14</f>
        <v>0</v>
      </c>
      <c r="AI15" s="1" t="n">
        <f aca="false">AF15*MIN(Slot2_Cost,AH15)</f>
        <v>0</v>
      </c>
      <c r="AJ15" s="1" t="n">
        <f aca="false">AF15*Slot2_SpendLike*MIN(Slot2_Cost-AI15,AA15)</f>
        <v>0</v>
      </c>
      <c r="AK15" s="1" t="n">
        <f aca="false">AI15+AJ15</f>
        <v>0</v>
      </c>
      <c r="AL15" s="1" t="n">
        <f aca="false">AA15-AJ15+AF15*IF(Slot2_SpendLike=1,AH15-AI15,IF(Slot2_PotFree=1,AH15,0))</f>
        <v>0</v>
      </c>
      <c r="AM15" s="1" t="n">
        <f aca="false">AB15+AF15*Slot2_BufPot*AH15</f>
        <v>0</v>
      </c>
      <c r="AN15" s="1" t="n">
        <f aca="false">IF(AND(AF15=1,Slot2_IsMfree=1),IF(AK15&gt;=Slot2_Cost-1,0,MAX(0,AC15-AK15)),AC15)</f>
        <v>0</v>
      </c>
      <c r="AO15" s="1" t="n">
        <f aca="false">AF15*(Slot2_Cost-AK15)</f>
        <v>0</v>
      </c>
      <c r="AP15" s="1" t="n">
        <f aca="false">IF(AND(Slot3_On=1,D15=Slot3_Age),1,0)</f>
        <v>0</v>
      </c>
      <c r="AQ15" s="1" t="n">
        <f aca="false">IF(AND(Slot3_On=1,Slot3_Age&gt;D15),1,0)</f>
        <v>0</v>
      </c>
      <c r="AR15" s="1" t="n">
        <f aca="false">QT14</f>
        <v>0</v>
      </c>
      <c r="AS15" s="1" t="n">
        <f aca="false">AP15*MIN(Slot3_Cost,AR15)</f>
        <v>0</v>
      </c>
      <c r="AT15" s="1" t="n">
        <f aca="false">AP15*Slot3_SpendLike*MIN(Slot3_Cost-AS15,AL15)</f>
        <v>0</v>
      </c>
      <c r="AU15" s="1" t="n">
        <f aca="false">AS15+AT15</f>
        <v>0</v>
      </c>
      <c r="AV15" s="1" t="n">
        <f aca="false">AL15-AT15+AP15*IF(Slot3_SpendLike=1,AR15-AS15,IF(Slot3_PotFree=1,AR15,0))</f>
        <v>0</v>
      </c>
      <c r="AW15" s="1" t="n">
        <f aca="false">AM15+AP15*Slot3_BufPot*AR15</f>
        <v>0</v>
      </c>
      <c r="AX15" s="1" t="n">
        <f aca="false">IF(AND(AP15=1,Slot3_IsMfree=1),IF(AU15&gt;=Slot3_Cost-1,0,MAX(0,AN15-AU15)),AN15)</f>
        <v>0</v>
      </c>
      <c r="AY15" s="1" t="n">
        <f aca="false">AP15*(Slot3_Cost-AU15)</f>
        <v>0</v>
      </c>
      <c r="AZ15" s="1" t="n">
        <f aca="false">IF(AND(Slot4_On=1,D15=Slot4_Age),1,0)</f>
        <v>0</v>
      </c>
      <c r="BA15" s="1" t="n">
        <f aca="false">IF(AND(Slot4_On=1,Slot4_Age&gt;D15),1,0)</f>
        <v>0</v>
      </c>
      <c r="BB15" s="1" t="n">
        <f aca="false">QX14</f>
        <v>0</v>
      </c>
      <c r="BC15" s="1" t="n">
        <f aca="false">AZ15*MIN(Slot4_Cost,BB15)</f>
        <v>0</v>
      </c>
      <c r="BD15" s="1" t="n">
        <f aca="false">AZ15*Slot4_SpendLike*MIN(Slot4_Cost-BC15,AV15)</f>
        <v>0</v>
      </c>
      <c r="BE15" s="1" t="n">
        <f aca="false">BC15+BD15</f>
        <v>0</v>
      </c>
      <c r="BF15" s="1" t="n">
        <f aca="false">AV15-BD15+AZ15*IF(Slot4_SpendLike=1,BB15-BC15,IF(Slot4_PotFree=1,BB15,0))</f>
        <v>0</v>
      </c>
      <c r="BG15" s="1" t="n">
        <f aca="false">AW15+AZ15*Slot4_BufPot*BB15</f>
        <v>0</v>
      </c>
      <c r="BH15" s="1" t="n">
        <f aca="false">IF(AND(AZ15=1,Slot4_IsMfree=1),IF(BE15&gt;=Slot4_Cost-1,0,MAX(0,AX15-BE15)),AX15)</f>
        <v>0</v>
      </c>
      <c r="BI15" s="1" t="n">
        <f aca="false">AZ15*(Slot4_Cost-BE15)</f>
        <v>0</v>
      </c>
      <c r="BJ15" s="1" t="n">
        <f aca="false">IF(AND(Slot5_On=1,D15=Slot5_Age),1,0)</f>
        <v>0</v>
      </c>
      <c r="BK15" s="1" t="n">
        <f aca="false">IF(AND(Slot5_On=1,Slot5_Age&gt;D15),1,0)</f>
        <v>0</v>
      </c>
      <c r="BL15" s="1" t="n">
        <f aca="false">RB14</f>
        <v>0</v>
      </c>
      <c r="BM15" s="1" t="n">
        <f aca="false">BJ15*MIN(Slot5_Cost,BL15)</f>
        <v>0</v>
      </c>
      <c r="BN15" s="1" t="n">
        <f aca="false">BJ15*Slot5_SpendLike*MIN(Slot5_Cost-BM15,BF15)</f>
        <v>0</v>
      </c>
      <c r="BO15" s="1" t="n">
        <f aca="false">BM15+BN15</f>
        <v>0</v>
      </c>
      <c r="BP15" s="1" t="n">
        <f aca="false">BF15-BN15+BJ15*IF(Slot5_SpendLike=1,BL15-BM15,IF(Slot5_PotFree=1,BL15,0))</f>
        <v>0</v>
      </c>
      <c r="BQ15" s="1" t="n">
        <f aca="false">BG15+BJ15*Slot5_BufPot*BL15</f>
        <v>0</v>
      </c>
      <c r="BR15" s="1" t="n">
        <f aca="false">IF(AND(BJ15=1,Slot5_IsMfree=1),IF(BO15&gt;=Slot5_Cost-1,0,MAX(0,BH15-BO15)),BH15)</f>
        <v>0</v>
      </c>
      <c r="BS15" s="1" t="n">
        <f aca="false">BJ15*(Slot5_Cost-BO15)</f>
        <v>0</v>
      </c>
      <c r="BT15" s="1" t="n">
        <f aca="false">IF(AND(Slot6_On=1,D15=Slot6_Age),1,0)</f>
        <v>0</v>
      </c>
      <c r="BU15" s="1" t="n">
        <f aca="false">IF(AND(Slot6_On=1,Slot6_Age&gt;D15),1,0)</f>
        <v>0</v>
      </c>
      <c r="BV15" s="1" t="n">
        <f aca="false">RF14</f>
        <v>0</v>
      </c>
      <c r="BW15" s="1" t="n">
        <f aca="false">BT15*MIN(Slot6_Cost,BV15)</f>
        <v>0</v>
      </c>
      <c r="BX15" s="1" t="n">
        <f aca="false">BT15*Slot6_SpendLike*MIN(Slot6_Cost-BW15,BP15)</f>
        <v>0</v>
      </c>
      <c r="BY15" s="1" t="n">
        <f aca="false">BW15+BX15</f>
        <v>0</v>
      </c>
      <c r="BZ15" s="1" t="n">
        <f aca="false">BP15-BX15+BT15*IF(Slot6_SpendLike=1,BV15-BW15,IF(Slot6_PotFree=1,BV15,0))</f>
        <v>0</v>
      </c>
      <c r="CA15" s="1" t="n">
        <f aca="false">BQ15+BT15*Slot6_BufPot*BV15</f>
        <v>0</v>
      </c>
      <c r="CB15" s="1" t="n">
        <f aca="false">IF(AND(BT15=1,Slot6_IsMfree=1),IF(BY15&gt;=Slot6_Cost-1,0,MAX(0,BR15-BY15)),BR15)</f>
        <v>0</v>
      </c>
      <c r="CC15" s="1" t="n">
        <f aca="false">BT15*(Slot6_Cost-BY15)</f>
        <v>0</v>
      </c>
      <c r="CD15" s="1" t="n">
        <f aca="false">IF(AND(Slot7_On=1,D15=Slot7_Age),1,0)</f>
        <v>0</v>
      </c>
      <c r="CE15" s="1" t="n">
        <f aca="false">IF(AND(Slot7_On=1,Slot7_Age&gt;D15),1,0)</f>
        <v>0</v>
      </c>
      <c r="CF15" s="1" t="n">
        <f aca="false">RJ14</f>
        <v>0</v>
      </c>
      <c r="CG15" s="1" t="n">
        <f aca="false">CD15*MIN(Slot7_Cost,CF15)</f>
        <v>0</v>
      </c>
      <c r="CH15" s="1" t="n">
        <f aca="false">CD15*Slot7_SpendLike*MIN(Slot7_Cost-CG15,BZ15)</f>
        <v>0</v>
      </c>
      <c r="CI15" s="1" t="n">
        <f aca="false">CG15+CH15</f>
        <v>0</v>
      </c>
      <c r="CJ15" s="1" t="n">
        <f aca="false">BZ15-CH15+CD15*IF(Slot7_SpendLike=1,CF15-CG15,IF(Slot7_PotFree=1,CF15,0))</f>
        <v>0</v>
      </c>
      <c r="CK15" s="1" t="n">
        <f aca="false">CA15+CD15*Slot7_BufPot*CF15</f>
        <v>0</v>
      </c>
      <c r="CL15" s="1" t="n">
        <f aca="false">IF(AND(CD15=1,Slot7_IsMfree=1),IF(CI15&gt;=Slot7_Cost-1,0,MAX(0,CB15-CI15)),CB15)</f>
        <v>0</v>
      </c>
      <c r="CM15" s="1" t="n">
        <f aca="false">CD15*(Slot7_Cost-CI15)</f>
        <v>0</v>
      </c>
      <c r="CN15" s="1" t="n">
        <f aca="false">IF(AND(Slot8_On=1,D15=Slot8_Age),1,0)</f>
        <v>0</v>
      </c>
      <c r="CO15" s="1" t="n">
        <f aca="false">IF(AND(Slot8_On=1,Slot8_Age&gt;D15),1,0)</f>
        <v>0</v>
      </c>
      <c r="CP15" s="1" t="n">
        <f aca="false">RN14</f>
        <v>0</v>
      </c>
      <c r="CQ15" s="1" t="n">
        <f aca="false">CN15*MIN(Slot8_Cost,CP15)</f>
        <v>0</v>
      </c>
      <c r="CR15" s="1" t="n">
        <f aca="false">CN15*Slot8_SpendLike*MIN(Slot8_Cost-CQ15,CJ15)</f>
        <v>0</v>
      </c>
      <c r="CS15" s="1" t="n">
        <f aca="false">CQ15+CR15</f>
        <v>0</v>
      </c>
      <c r="CT15" s="1" t="n">
        <f aca="false">CJ15-CR15+CN15*IF(Slot8_SpendLike=1,CP15-CQ15,IF(Slot8_PotFree=1,CP15,0))</f>
        <v>0</v>
      </c>
      <c r="CU15" s="1" t="n">
        <f aca="false">CK15+CN15*Slot8_BufPot*CP15</f>
        <v>0</v>
      </c>
      <c r="CV15" s="1" t="n">
        <f aca="false">IF(AND(CN15=1,Slot8_IsMfree=1),IF(CS15&gt;=Slot8_Cost-1,0,MAX(0,CL15-CS15)),CL15)</f>
        <v>0</v>
      </c>
      <c r="CW15" s="1" t="n">
        <f aca="false">CN15*(Slot8_Cost-CS15)</f>
        <v>0</v>
      </c>
      <c r="CX15" s="1" t="n">
        <f aca="false">IF(AND(Slot9_On=1,D15=Slot9_Age),1,0)</f>
        <v>0</v>
      </c>
      <c r="CY15" s="1" t="n">
        <f aca="false">IF(AND(Slot9_On=1,Slot9_Age&gt;D15),1,0)</f>
        <v>0</v>
      </c>
      <c r="CZ15" s="1" t="n">
        <f aca="false">RR14</f>
        <v>0</v>
      </c>
      <c r="DA15" s="1" t="n">
        <f aca="false">CX15*MIN(Slot9_Cost,CZ15)</f>
        <v>0</v>
      </c>
      <c r="DB15" s="1" t="n">
        <f aca="false">CX15*Slot9_SpendLike*MIN(Slot9_Cost-DA15,CT15)</f>
        <v>0</v>
      </c>
      <c r="DC15" s="1" t="n">
        <f aca="false">DA15+DB15</f>
        <v>0</v>
      </c>
      <c r="DD15" s="1" t="n">
        <f aca="false">CT15-DB15+CX15*IF(Slot9_SpendLike=1,CZ15-DA15,IF(Slot9_PotFree=1,CZ15,0))</f>
        <v>0</v>
      </c>
      <c r="DE15" s="1" t="n">
        <f aca="false">CU15+CX15*Slot9_BufPot*CZ15</f>
        <v>0</v>
      </c>
      <c r="DF15" s="1" t="n">
        <f aca="false">IF(AND(CX15=1,Slot9_IsMfree=1),IF(DC15&gt;=Slot9_Cost-1,0,MAX(0,CV15-DC15)),CV15)</f>
        <v>0</v>
      </c>
      <c r="DG15" s="1" t="n">
        <f aca="false">CX15*(Slot9_Cost-DC15)</f>
        <v>0</v>
      </c>
      <c r="DH15" s="1" t="n">
        <f aca="false">IF(AND(Slot10_On=1,D15=Slot10_Age),1,0)</f>
        <v>0</v>
      </c>
      <c r="DI15" s="1" t="n">
        <f aca="false">IF(AND(Slot10_On=1,Slot10_Age&gt;D15),1,0)</f>
        <v>0</v>
      </c>
      <c r="DJ15" s="1" t="n">
        <f aca="false">RV14</f>
        <v>0</v>
      </c>
      <c r="DK15" s="1" t="n">
        <f aca="false">DH15*MIN(Slot10_Cost,DJ15)</f>
        <v>0</v>
      </c>
      <c r="DL15" s="1" t="n">
        <f aca="false">DH15*Slot10_SpendLike*MIN(Slot10_Cost-DK15,DD15)</f>
        <v>0</v>
      </c>
      <c r="DM15" s="1" t="n">
        <f aca="false">DK15+DL15</f>
        <v>0</v>
      </c>
      <c r="DN15" s="1" t="n">
        <f aca="false">DD15-DL15+DH15*IF(Slot10_SpendLike=1,DJ15-DK15,IF(Slot10_PotFree=1,DJ15,0))</f>
        <v>0</v>
      </c>
      <c r="DO15" s="1" t="n">
        <f aca="false">DE15+DH15*Slot10_BufPot*DJ15</f>
        <v>0</v>
      </c>
      <c r="DP15" s="1" t="n">
        <f aca="false">IF(AND(DH15=1,Slot10_IsMfree=1),IF(DM15&gt;=Slot10_Cost-1,0,MAX(0,DF15-DM15)),DF15)</f>
        <v>0</v>
      </c>
      <c r="DQ15" s="1" t="n">
        <f aca="false">DH15*(Slot10_Cost-DM15)</f>
        <v>0</v>
      </c>
      <c r="DR15" s="1" t="n">
        <f aca="false">IF(AND(Slot11_On=1,D15=Slot11_Age),1,0)</f>
        <v>0</v>
      </c>
      <c r="DS15" s="1" t="n">
        <f aca="false">IF(AND(Slot11_On=1,Slot11_Age&gt;D15),1,0)</f>
        <v>0</v>
      </c>
      <c r="DT15" s="1" t="n">
        <f aca="false">RZ14</f>
        <v>0</v>
      </c>
      <c r="DU15" s="1" t="n">
        <f aca="false">DR15*MIN(Slot11_Cost,DT15)</f>
        <v>0</v>
      </c>
      <c r="DV15" s="1" t="n">
        <f aca="false">DR15*Slot11_SpendLike*MIN(Slot11_Cost-DU15,DN15)</f>
        <v>0</v>
      </c>
      <c r="DW15" s="1" t="n">
        <f aca="false">DU15+DV15</f>
        <v>0</v>
      </c>
      <c r="DX15" s="1" t="n">
        <f aca="false">DN15-DV15+DR15*IF(Slot11_SpendLike=1,DT15-DU15,IF(Slot11_PotFree=1,DT15,0))</f>
        <v>0</v>
      </c>
      <c r="DY15" s="1" t="n">
        <f aca="false">DO15+DR15*Slot11_BufPot*DT15</f>
        <v>0</v>
      </c>
      <c r="DZ15" s="1" t="n">
        <f aca="false">IF(AND(DR15=1,Slot11_IsMfree=1),IF(DW15&gt;=Slot11_Cost-1,0,MAX(0,DP15-DW15)),DP15)</f>
        <v>0</v>
      </c>
      <c r="EA15" s="1" t="n">
        <f aca="false">DR15*(Slot11_Cost-DW15)</f>
        <v>0</v>
      </c>
      <c r="EB15" s="1" t="n">
        <f aca="false">IF(AND(Slot12_On=1,D15=Slot12_Age),1,0)</f>
        <v>0</v>
      </c>
      <c r="EC15" s="1" t="n">
        <f aca="false">IF(AND(Slot12_On=1,Slot12_Age&gt;D15),1,0)</f>
        <v>0</v>
      </c>
      <c r="ED15" s="1" t="n">
        <f aca="false">SD14</f>
        <v>0</v>
      </c>
      <c r="EE15" s="1" t="n">
        <f aca="false">EB15*MIN(Slot12_Cost,ED15)</f>
        <v>0</v>
      </c>
      <c r="EF15" s="1" t="n">
        <f aca="false">EB15*Slot12_SpendLike*MIN(Slot12_Cost-EE15,DX15)</f>
        <v>0</v>
      </c>
      <c r="EG15" s="1" t="n">
        <f aca="false">EE15+EF15</f>
        <v>0</v>
      </c>
      <c r="EH15" s="1" t="n">
        <f aca="false">DX15-EF15+EB15*IF(Slot12_SpendLike=1,ED15-EE15,IF(Slot12_PotFree=1,ED15,0))</f>
        <v>0</v>
      </c>
      <c r="EI15" s="1" t="n">
        <f aca="false">DY15+EB15*Slot12_BufPot*ED15</f>
        <v>0</v>
      </c>
      <c r="EJ15" s="1" t="n">
        <f aca="false">IF(AND(EB15=1,Slot12_IsMfree=1),IF(EG15&gt;=Slot12_Cost-1,0,MAX(0,DZ15-EG15)),DZ15)</f>
        <v>0</v>
      </c>
      <c r="EK15" s="1" t="n">
        <f aca="false">EB15*(Slot12_Cost-EG15)</f>
        <v>0</v>
      </c>
      <c r="EL15" s="1" t="n">
        <f aca="false">IF(AND(Slot13_On=1,D15=Slot13_Age),1,0)</f>
        <v>0</v>
      </c>
      <c r="EM15" s="1" t="n">
        <f aca="false">IF(AND(Slot13_On=1,Slot13_Age&gt;D15),1,0)</f>
        <v>0</v>
      </c>
      <c r="EN15" s="1" t="n">
        <f aca="false">SH14</f>
        <v>0</v>
      </c>
      <c r="EO15" s="1" t="n">
        <f aca="false">EL15*MIN(Slot13_Cost,EN15)</f>
        <v>0</v>
      </c>
      <c r="EP15" s="1" t="n">
        <f aca="false">EL15*Slot13_SpendLike*MIN(Slot13_Cost-EO15,EH15)</f>
        <v>0</v>
      </c>
      <c r="EQ15" s="1" t="n">
        <f aca="false">EO15+EP15</f>
        <v>0</v>
      </c>
      <c r="ER15" s="1" t="n">
        <f aca="false">EH15-EP15+EL15*IF(Slot13_SpendLike=1,EN15-EO15,IF(Slot13_PotFree=1,EN15,0))</f>
        <v>0</v>
      </c>
      <c r="ES15" s="1" t="n">
        <f aca="false">EI15+EL15*Slot13_BufPot*EN15</f>
        <v>0</v>
      </c>
      <c r="ET15" s="1" t="n">
        <f aca="false">IF(AND(EL15=1,Slot13_IsMfree=1),IF(EQ15&gt;=Slot13_Cost-1,0,MAX(0,EJ15-EQ15)),EJ15)</f>
        <v>0</v>
      </c>
      <c r="EU15" s="1" t="n">
        <f aca="false">EL15*(Slot13_Cost-EQ15)</f>
        <v>0</v>
      </c>
      <c r="EV15" s="1" t="n">
        <f aca="false">IF(AND(Slot14_On=1,D15=Slot14_Age),1,0)</f>
        <v>0</v>
      </c>
      <c r="EW15" s="1" t="n">
        <f aca="false">IF(AND(Slot14_On=1,Slot14_Age&gt;D15),1,0)</f>
        <v>0</v>
      </c>
      <c r="EX15" s="1" t="n">
        <f aca="false">SL14</f>
        <v>0</v>
      </c>
      <c r="EY15" s="1" t="n">
        <f aca="false">EV15*MIN(Slot14_Cost,EX15)</f>
        <v>0</v>
      </c>
      <c r="EZ15" s="1" t="n">
        <f aca="false">EV15*Slot14_SpendLike*MIN(Slot14_Cost-EY15,ER15)</f>
        <v>0</v>
      </c>
      <c r="FA15" s="1" t="n">
        <f aca="false">EY15+EZ15</f>
        <v>0</v>
      </c>
      <c r="FB15" s="1" t="n">
        <f aca="false">ER15-EZ15+EV15*IF(Slot14_SpendLike=1,EX15-EY15,IF(Slot14_PotFree=1,EX15,0))</f>
        <v>0</v>
      </c>
      <c r="FC15" s="1" t="n">
        <f aca="false">ES15+EV15*Slot14_BufPot*EX15</f>
        <v>0</v>
      </c>
      <c r="FD15" s="1" t="n">
        <f aca="false">IF(AND(EV15=1,Slot14_IsMfree=1),IF(FA15&gt;=Slot14_Cost-1,0,MAX(0,ET15-FA15)),ET15)</f>
        <v>0</v>
      </c>
      <c r="FE15" s="1" t="n">
        <f aca="false">EV15*(Slot14_Cost-FA15)</f>
        <v>0</v>
      </c>
      <c r="FF15" s="1" t="n">
        <f aca="false">IF(AND(Slot15_On=1,D15=Slot15_Age),1,0)</f>
        <v>0</v>
      </c>
      <c r="FG15" s="1" t="n">
        <f aca="false">IF(AND(Slot15_On=1,Slot15_Age&gt;D15),1,0)</f>
        <v>0</v>
      </c>
      <c r="FH15" s="1" t="n">
        <f aca="false">SP14</f>
        <v>0</v>
      </c>
      <c r="FI15" s="1" t="n">
        <f aca="false">FF15*MIN(Slot15_Cost,FH15)</f>
        <v>0</v>
      </c>
      <c r="FJ15" s="1" t="n">
        <f aca="false">FF15*Slot15_SpendLike*MIN(Slot15_Cost-FI15,FB15)</f>
        <v>0</v>
      </c>
      <c r="FK15" s="1" t="n">
        <f aca="false">FI15+FJ15</f>
        <v>0</v>
      </c>
      <c r="FL15" s="1" t="n">
        <f aca="false">FB15-FJ15+FF15*IF(Slot15_SpendLike=1,FH15-FI15,IF(Slot15_PotFree=1,FH15,0))</f>
        <v>0</v>
      </c>
      <c r="FM15" s="1" t="n">
        <f aca="false">FC15+FF15*Slot15_BufPot*FH15</f>
        <v>0</v>
      </c>
      <c r="FN15" s="1" t="n">
        <f aca="false">IF(AND(FF15=1,Slot15_IsMfree=1),IF(FK15&gt;=Slot15_Cost-1,0,MAX(0,FD15-FK15)),FD15)</f>
        <v>0</v>
      </c>
      <c r="FO15" s="1" t="n">
        <f aca="false">FF15*(Slot15_Cost-FK15)</f>
        <v>0</v>
      </c>
      <c r="FP15" s="1" t="n">
        <f aca="false">IF(AND(Slot16_On=1,D15=Slot16_Age),1,0)</f>
        <v>0</v>
      </c>
      <c r="FQ15" s="1" t="n">
        <f aca="false">IF(AND(Slot16_On=1,Slot16_Age&gt;D15),1,0)</f>
        <v>0</v>
      </c>
      <c r="FR15" s="1" t="n">
        <f aca="false">ST14</f>
        <v>0</v>
      </c>
      <c r="FS15" s="1" t="n">
        <f aca="false">FP15*MIN(Slot16_Cost,FR15)</f>
        <v>0</v>
      </c>
      <c r="FT15" s="1" t="n">
        <f aca="false">FP15*Slot16_SpendLike*MIN(Slot16_Cost-FS15,FL15)</f>
        <v>0</v>
      </c>
      <c r="FU15" s="1" t="n">
        <f aca="false">FS15+FT15</f>
        <v>0</v>
      </c>
      <c r="FV15" s="1" t="n">
        <f aca="false">FL15-FT15+FP15*IF(Slot16_SpendLike=1,FR15-FS15,IF(Slot16_PotFree=1,FR15,0))</f>
        <v>0</v>
      </c>
      <c r="FW15" s="1" t="n">
        <f aca="false">FM15+FP15*Slot16_BufPot*FR15</f>
        <v>0</v>
      </c>
      <c r="FX15" s="1" t="n">
        <f aca="false">IF(AND(FP15=1,Slot16_IsMfree=1),IF(FU15&gt;=Slot16_Cost-1,0,MAX(0,FN15-FU15)),FN15)</f>
        <v>0</v>
      </c>
      <c r="FY15" s="1" t="n">
        <f aca="false">FP15*(Slot16_Cost-FU15)</f>
        <v>0</v>
      </c>
      <c r="FZ15" s="1" t="n">
        <f aca="false">IF(AND(Slot17_On=1,D15=Slot17_Age),1,0)</f>
        <v>0</v>
      </c>
      <c r="GA15" s="1" t="n">
        <f aca="false">IF(AND(Slot17_On=1,Slot17_Age&gt;D15),1,0)</f>
        <v>0</v>
      </c>
      <c r="GB15" s="1" t="n">
        <f aca="false">SX14</f>
        <v>0</v>
      </c>
      <c r="GC15" s="1" t="n">
        <f aca="false">FZ15*MIN(Slot17_Cost,GB15)</f>
        <v>0</v>
      </c>
      <c r="GD15" s="1" t="n">
        <f aca="false">FZ15*Slot17_SpendLike*MIN(Slot17_Cost-GC15,FV15)</f>
        <v>0</v>
      </c>
      <c r="GE15" s="1" t="n">
        <f aca="false">GC15+GD15</f>
        <v>0</v>
      </c>
      <c r="GF15" s="1" t="n">
        <f aca="false">FV15-GD15+FZ15*IF(Slot17_SpendLike=1,GB15-GC15,IF(Slot17_PotFree=1,GB15,0))</f>
        <v>0</v>
      </c>
      <c r="GG15" s="1" t="n">
        <f aca="false">FW15+FZ15*Slot17_BufPot*GB15</f>
        <v>0</v>
      </c>
      <c r="GH15" s="1" t="n">
        <f aca="false">IF(AND(FZ15=1,Slot17_IsMfree=1),IF(GE15&gt;=Slot17_Cost-1,0,MAX(0,FX15-GE15)),FX15)</f>
        <v>0</v>
      </c>
      <c r="GI15" s="1" t="n">
        <f aca="false">FZ15*(Slot17_Cost-GE15)</f>
        <v>0</v>
      </c>
      <c r="GJ15" s="1" t="n">
        <f aca="false">IF(AND(Slot18_On=1,D15=Slot18_Age),1,0)</f>
        <v>0</v>
      </c>
      <c r="GK15" s="1" t="n">
        <f aca="false">IF(AND(Slot18_On=1,Slot18_Age&gt;D15),1,0)</f>
        <v>0</v>
      </c>
      <c r="GL15" s="1" t="n">
        <f aca="false">TB14</f>
        <v>0</v>
      </c>
      <c r="GM15" s="1" t="n">
        <f aca="false">GJ15*MIN(Slot18_Cost,GL15)</f>
        <v>0</v>
      </c>
      <c r="GN15" s="1" t="n">
        <f aca="false">GJ15*Slot18_SpendLike*MIN(Slot18_Cost-GM15,GF15)</f>
        <v>0</v>
      </c>
      <c r="GO15" s="1" t="n">
        <f aca="false">GM15+GN15</f>
        <v>0</v>
      </c>
      <c r="GP15" s="1" t="n">
        <f aca="false">GF15-GN15+GJ15*IF(Slot18_SpendLike=1,GL15-GM15,IF(Slot18_PotFree=1,GL15,0))</f>
        <v>0</v>
      </c>
      <c r="GQ15" s="1" t="n">
        <f aca="false">GG15+GJ15*Slot18_BufPot*GL15</f>
        <v>0</v>
      </c>
      <c r="GR15" s="1" t="n">
        <f aca="false">IF(AND(GJ15=1,Slot18_IsMfree=1),IF(GO15&gt;=Slot18_Cost-1,0,MAX(0,GH15-GO15)),GH15)</f>
        <v>0</v>
      </c>
      <c r="GS15" s="1" t="n">
        <f aca="false">GJ15*(Slot18_Cost-GO15)</f>
        <v>0</v>
      </c>
      <c r="GT15" s="1" t="n">
        <f aca="false">IF(AND(Slot19_On=1,D15=Slot19_Age),1,0)</f>
        <v>0</v>
      </c>
      <c r="GU15" s="1" t="n">
        <f aca="false">IF(AND(Slot19_On=1,Slot19_Age&gt;D15),1,0)</f>
        <v>0</v>
      </c>
      <c r="GV15" s="1" t="n">
        <f aca="false">TF14</f>
        <v>0</v>
      </c>
      <c r="GW15" s="1" t="n">
        <f aca="false">GT15*MIN(Slot19_Cost,GV15)</f>
        <v>0</v>
      </c>
      <c r="GX15" s="1" t="n">
        <f aca="false">GT15*Slot19_SpendLike*MIN(Slot19_Cost-GW15,GP15)</f>
        <v>0</v>
      </c>
      <c r="GY15" s="1" t="n">
        <f aca="false">GW15+GX15</f>
        <v>0</v>
      </c>
      <c r="GZ15" s="1" t="n">
        <f aca="false">GP15-GX15+GT15*IF(Slot19_SpendLike=1,GV15-GW15,IF(Slot19_PotFree=1,GV15,0))</f>
        <v>0</v>
      </c>
      <c r="HA15" s="1" t="n">
        <f aca="false">GQ15+GT15*Slot19_BufPot*GV15</f>
        <v>0</v>
      </c>
      <c r="HB15" s="1" t="n">
        <f aca="false">IF(AND(GT15=1,Slot19_IsMfree=1),IF(GY15&gt;=Slot19_Cost-1,0,MAX(0,GR15-GY15)),GR15)</f>
        <v>0</v>
      </c>
      <c r="HC15" s="1" t="n">
        <f aca="false">GT15*(Slot19_Cost-GY15)</f>
        <v>0</v>
      </c>
      <c r="HD15" s="1" t="n">
        <f aca="false">IF(AND(Slot20_On=1,D15=Slot20_Age),1,0)</f>
        <v>0</v>
      </c>
      <c r="HE15" s="1" t="n">
        <f aca="false">IF(AND(Slot20_On=1,Slot20_Age&gt;D15),1,0)</f>
        <v>0</v>
      </c>
      <c r="HF15" s="1" t="n">
        <f aca="false">TJ14</f>
        <v>0</v>
      </c>
      <c r="HG15" s="1" t="n">
        <f aca="false">HD15*MIN(Slot20_Cost,HF15)</f>
        <v>0</v>
      </c>
      <c r="HH15" s="1" t="n">
        <f aca="false">HD15*Slot20_SpendLike*MIN(Slot20_Cost-HG15,GZ15)</f>
        <v>0</v>
      </c>
      <c r="HI15" s="1" t="n">
        <f aca="false">HG15+HH15</f>
        <v>0</v>
      </c>
      <c r="HJ15" s="1" t="n">
        <f aca="false">GZ15-HH15+HD15*IF(Slot20_SpendLike=1,HF15-HG15,IF(Slot20_PotFree=1,HF15,0))</f>
        <v>0</v>
      </c>
      <c r="HK15" s="1" t="n">
        <f aca="false">HA15+HD15*Slot20_BufPot*HF15</f>
        <v>0</v>
      </c>
      <c r="HL15" s="1" t="n">
        <f aca="false">IF(AND(HD15=1,Slot20_IsMfree=1),IF(HI15&gt;=Slot20_Cost-1,0,MAX(0,HB15-HI15)),HB15)</f>
        <v>0</v>
      </c>
      <c r="HM15" s="1" t="n">
        <f aca="false">HD15*(Slot20_Cost-HI15)</f>
        <v>0</v>
      </c>
      <c r="HN15" s="1" t="n">
        <f aca="false">U15*Slot1_SpendLike*Z15+AF15*Slot2_SpendLike*AK15+AP15*Slot3_SpendLike*AU15+AZ15*Slot4_SpendLike*BE15+BJ15*Slot5_SpendLike*BO15+BT15*Slot6_SpendLike*BY15+CD15*Slot7_SpendLike*CI15+CN15*Slot8_SpendLike*CS15+CX15*Slot9_SpendLike*DC15+DH15*Slot10_SpendLike*DM15+DR15*Slot11_SpendLike*DW15+EB15*Slot12_SpendLike*EG15+EL15*Slot13_SpendLike*EQ15+EV15*Slot14_SpendLike*FA15+FF15*Slot15_SpendLike*FK15+FP15*Slot16_SpendLike*FU15+FZ15*Slot17_SpendLike*GE15+GJ15*Slot18_SpendLike*GO15+GT15*Slot19_SpendLike*GY15+HD15*Slot20_SpendLike*HI15</f>
        <v>0</v>
      </c>
      <c r="HO15" s="1" t="n">
        <f aca="false">AD15+AO15+AY15+BI15+BS15+CC15+CM15+CW15+DG15+DQ15+EA15+EK15+EU15+FE15+FO15+FY15+GI15+GS15+HC15+HM15</f>
        <v>0</v>
      </c>
      <c r="HP15" s="1" t="n">
        <f aca="false">U15*Slot1_Cost+AF15*Slot2_Cost+AP15*Slot3_Cost+AZ15*Slot4_Cost+BJ15*Slot5_Cost+BT15*Slot6_Cost+CD15*Slot7_Cost+CN15*Slot8_Cost+CX15*Slot9_Cost+DH15*Slot10_Cost+DR15*Slot11_Cost+EB15*Slot12_Cost+EL15*Slot13_Cost+EV15*Slot14_Cost+FF15*Slot15_Cost+FP15*Slot16_Cost+FZ15*Slot17_Cost+GJ15*Slot18_Cost+GT15*Slot19_Cost+HD15*Slot20_Cost</f>
        <v>0</v>
      </c>
      <c r="HQ15" s="1" t="n">
        <f aca="false">HL15</f>
        <v>0</v>
      </c>
      <c r="HR15" s="1" t="n">
        <f aca="false">G15-H15-R15</f>
        <v>0</v>
      </c>
      <c r="HS15" s="1" t="n">
        <f aca="false">IF(B15=0,IF(AND(Has_q6=1,In_q6=4),PR_ShareVaries*(MAX(0,HR15)/12),MIN(IF(Has_q6=1,CHOOSE(In_q6+1,PR_SaveB1,PR_SaveB2,PR_SaveB3,PR_SaveB4,0),AS_NoAnswer),AS_SaveShare*(MAX(0,HR15)/12))),HS14)</f>
        <v>0</v>
      </c>
      <c r="HT15" s="1" t="n">
        <f aca="false">IF(HR15&gt;=0,1,0)</f>
        <v>1</v>
      </c>
      <c r="HU15" s="1" t="n">
        <f aca="false">MAX(0,HR15/12/E15)</f>
        <v>0</v>
      </c>
      <c r="HV15" s="1" t="n">
        <f aca="false">IF(AND(Has_q6=1,In_q6=4),PR_ShareVaries*(HU15),MIN(IF(Has_q6=1,CHOOSE(In_q6+1,PR_SaveB1,PR_SaveB2,PR_SaveB3,PR_SaveB4,0),AS_NoAnswer),AS_SaveShare*(HU15)))</f>
        <v>0</v>
      </c>
      <c r="HW15" s="1" t="n">
        <f aca="false">IF(Has_saveM=1,IF(In_saveUp="Yes",1,IF(In_saveUp="No",0,IF(In_saveM&gt;=HS15-0.5,1,0))),0)</f>
        <v>0</v>
      </c>
      <c r="HX15" s="1" t="n">
        <f aca="false">IF(Has_saveM=1,MIN(HU15,IF(HW15=1,MAX(In_saveM,HV15),MIN(In_saveM,HV15))),HV15)</f>
        <v>0</v>
      </c>
      <c r="HY15" s="1" t="n">
        <f aca="false">IF(F15=1,HX15*12*E15,0)</f>
        <v>0</v>
      </c>
      <c r="HZ15" s="1" t="n">
        <f aca="false">MAX(0,HY15+IF(AND(WI_Retire=0,WI_M&lt;0,F15=1),WI_M*12*E15,0))</f>
        <v>0</v>
      </c>
      <c r="IA15" s="1" t="n">
        <f aca="false">Slot1_IsWG*V15+Slot2_IsWG*AG15+Slot3_IsWG*AQ15+Slot4_IsWG*BA15+Slot5_IsWG*BK15+Slot6_IsWG*BU15+Slot7_IsWG*CE15+Slot8_IsWG*CO15+Slot9_IsWG*CY15+Slot10_IsWG*DI15+Slot11_IsWG*DS15+Slot12_IsWG*EC15+Slot13_IsWG*EM15+Slot14_IsWG*EW15+Slot15_IsWG*FG15+Slot16_IsWG*FQ15+Slot17_IsWG*GA15+Slot18_IsWG*GK15+Slot19_IsWG*GU15+Slot20_IsWG*HE15</f>
        <v>0</v>
      </c>
      <c r="IB15" s="1" t="n">
        <f aca="false">IF(AND(WI_Retire=0,WI_M&gt;0,F15=1,IA15&gt;=1),WI_M*12*E15,0)</f>
        <v>0</v>
      </c>
      <c r="IC15" s="1" t="n">
        <f aca="false">IF(HT15=1,MIN(HZ15,HR15),0)</f>
        <v>0</v>
      </c>
      <c r="ID15" s="1" t="n">
        <f aca="false">IF(HT15=1,MIN(IB15,HR15-IC15),0)</f>
        <v>0</v>
      </c>
      <c r="IE15" s="1" t="n">
        <f aca="false">IF(V15=1,IF(ABS((1+AS_Wage)/(1+Slot1_Rate)-1)&lt;0.000000000001,(Slot1_Age-D15)*(1+Slot1_Rate)^(Slot1_Age-D15),(1+Slot1_Rate)^(Slot1_Age-D15)*(1-((1+AS_Wage)/(1+Slot1_Rate))^(Slot1_Age-D15))/(1-(1+AS_Wage)/(1+Slot1_Rate))),1)</f>
        <v>1</v>
      </c>
      <c r="IF15" s="1" t="n">
        <f aca="false">IF(AND(HT15=1,ID15&gt;0,Slot1_IsWG=1,V15=1),MAX(0,(Slot1_Cost-W15*(1+Slot1_Rate)^(Slot1_Age-D15))/IE15),0)</f>
        <v>0</v>
      </c>
      <c r="IG15" s="1" t="n">
        <f aca="false">IF(AND(HT15=1,ID15&gt;0,Slot1_IsWG=1,V15=1),MIN(ID15,IF15),0)</f>
        <v>0</v>
      </c>
      <c r="IH15" s="1" t="n">
        <f aca="false">W15+IG15</f>
        <v>0</v>
      </c>
      <c r="II15" s="1" t="n">
        <f aca="false">IF(V15=1,MAX(0,(Slot1_Cost-IH15*(1+Slot1_Rate)^(Slot1_Age-D15))/IE15),0)</f>
        <v>0</v>
      </c>
      <c r="IJ15" s="1" t="n">
        <f aca="false">IF(V15=1,MAX(0,(Slot1_Cost-W15*(1+Slot1_Rate)^(Slot1_Age-D15))/IE15),0)</f>
        <v>0</v>
      </c>
      <c r="IK15" s="1" t="n">
        <f aca="false">IF(AND(HT15=1,V15=1),MIN(IC15,II15),0)</f>
        <v>0</v>
      </c>
      <c r="IL15" s="1" t="n">
        <f aca="false">IC15-IK15</f>
        <v>0</v>
      </c>
      <c r="IM15" s="1" t="n">
        <f aca="false">IF(AG15=1,IF(ABS((1+AS_Wage)/(1+Slot2_Rate)-1)&lt;0.000000000001,(Slot2_Age-D15)*(1+Slot2_Rate)^(Slot2_Age-D15),(1+Slot2_Rate)^(Slot2_Age-D15)*(1-((1+AS_Wage)/(1+Slot2_Rate))^(Slot2_Age-D15))/(1-(1+AS_Wage)/(1+Slot2_Rate))),1)</f>
        <v>1</v>
      </c>
      <c r="IN15" s="1" t="n">
        <f aca="false">IF(AND(HT15=1,ID15&gt;0,Slot2_IsWG=1,AG15=1),MAX(0,(Slot2_Cost-AH15*(1+Slot2_Rate)^(Slot2_Age-D15))/IM15),0)</f>
        <v>0</v>
      </c>
      <c r="IO15" s="1" t="n">
        <f aca="false">IF(AND(HT15=1,ID15&gt;0,Slot2_IsWG=1,AG15=1),MIN(ID15,IN15),0)</f>
        <v>0</v>
      </c>
      <c r="IP15" s="1" t="n">
        <f aca="false">AH15+IO15</f>
        <v>0</v>
      </c>
      <c r="IQ15" s="1" t="n">
        <f aca="false">IF(AG15=1,MAX(0,(Slot2_Cost-IP15*(1+Slot2_Rate)^(Slot2_Age-D15))/IM15),0)</f>
        <v>0</v>
      </c>
      <c r="IR15" s="1" t="n">
        <f aca="false">IF(AG15=1,MAX(0,(Slot2_Cost-AH15*(1+Slot2_Rate)^(Slot2_Age-D15))/IM15),0)</f>
        <v>0</v>
      </c>
      <c r="IS15" s="1" t="n">
        <f aca="false">IF(AND(HT15=1,AG15=1),MIN(IL15,IQ15),0)</f>
        <v>0</v>
      </c>
      <c r="IT15" s="1" t="n">
        <f aca="false">IL15-IS15</f>
        <v>0</v>
      </c>
      <c r="IU15" s="1" t="n">
        <f aca="false">IF(AQ15=1,IF(ABS((1+AS_Wage)/(1+Slot3_Rate)-1)&lt;0.000000000001,(Slot3_Age-D15)*(1+Slot3_Rate)^(Slot3_Age-D15),(1+Slot3_Rate)^(Slot3_Age-D15)*(1-((1+AS_Wage)/(1+Slot3_Rate))^(Slot3_Age-D15))/(1-(1+AS_Wage)/(1+Slot3_Rate))),1)</f>
        <v>1</v>
      </c>
      <c r="IV15" s="1" t="n">
        <f aca="false">IF(AND(HT15=1,ID15&gt;0,Slot3_IsWG=1,AQ15=1),MAX(0,(Slot3_Cost-AR15*(1+Slot3_Rate)^(Slot3_Age-D15))/IU15),0)</f>
        <v>0</v>
      </c>
      <c r="IW15" s="1" t="n">
        <f aca="false">IF(AND(HT15=1,ID15&gt;0,Slot3_IsWG=1,AQ15=1),MIN(ID15,IV15),0)</f>
        <v>0</v>
      </c>
      <c r="IX15" s="1" t="n">
        <f aca="false">AR15+IW15</f>
        <v>0</v>
      </c>
      <c r="IY15" s="1" t="n">
        <f aca="false">IF(AQ15=1,MAX(0,(Slot3_Cost-IX15*(1+Slot3_Rate)^(Slot3_Age-D15))/IU15),0)</f>
        <v>0</v>
      </c>
      <c r="IZ15" s="1" t="n">
        <f aca="false">IF(AQ15=1,MAX(0,(Slot3_Cost-AR15*(1+Slot3_Rate)^(Slot3_Age-D15))/IU15),0)</f>
        <v>0</v>
      </c>
      <c r="JA15" s="1" t="n">
        <f aca="false">IF(AND(HT15=1,AQ15=1),MIN(IT15,IY15),0)</f>
        <v>0</v>
      </c>
      <c r="JB15" s="1" t="n">
        <f aca="false">IT15-JA15</f>
        <v>0</v>
      </c>
      <c r="JC15" s="1" t="n">
        <f aca="false">IF(BA15=1,IF(ABS((1+AS_Wage)/(1+Slot4_Rate)-1)&lt;0.000000000001,(Slot4_Age-D15)*(1+Slot4_Rate)^(Slot4_Age-D15),(1+Slot4_Rate)^(Slot4_Age-D15)*(1-((1+AS_Wage)/(1+Slot4_Rate))^(Slot4_Age-D15))/(1-(1+AS_Wage)/(1+Slot4_Rate))),1)</f>
        <v>1</v>
      </c>
      <c r="JD15" s="1" t="n">
        <f aca="false">IF(AND(HT15=1,ID15&gt;0,Slot4_IsWG=1,BA15=1),MAX(0,(Slot4_Cost-BB15*(1+Slot4_Rate)^(Slot4_Age-D15))/JC15),0)</f>
        <v>0</v>
      </c>
      <c r="JE15" s="1" t="n">
        <f aca="false">IF(AND(HT15=1,ID15&gt;0,Slot4_IsWG=1,BA15=1),MIN(ID15,JD15),0)</f>
        <v>0</v>
      </c>
      <c r="JF15" s="1" t="n">
        <f aca="false">BB15+JE15</f>
        <v>0</v>
      </c>
      <c r="JG15" s="1" t="n">
        <f aca="false">IF(BA15=1,MAX(0,(Slot4_Cost-JF15*(1+Slot4_Rate)^(Slot4_Age-D15))/JC15),0)</f>
        <v>0</v>
      </c>
      <c r="JH15" s="1" t="n">
        <f aca="false">IF(BA15=1,MAX(0,(Slot4_Cost-BB15*(1+Slot4_Rate)^(Slot4_Age-D15))/JC15),0)</f>
        <v>0</v>
      </c>
      <c r="JI15" s="1" t="n">
        <f aca="false">IF(AND(HT15=1,BA15=1),MIN(JB15,JG15),0)</f>
        <v>0</v>
      </c>
      <c r="JJ15" s="1" t="n">
        <f aca="false">JB15-JI15</f>
        <v>0</v>
      </c>
      <c r="JK15" s="1" t="n">
        <f aca="false">IF(BK15=1,IF(ABS((1+AS_Wage)/(1+Slot5_Rate)-1)&lt;0.000000000001,(Slot5_Age-D15)*(1+Slot5_Rate)^(Slot5_Age-D15),(1+Slot5_Rate)^(Slot5_Age-D15)*(1-((1+AS_Wage)/(1+Slot5_Rate))^(Slot5_Age-D15))/(1-(1+AS_Wage)/(1+Slot5_Rate))),1)</f>
        <v>1</v>
      </c>
      <c r="JL15" s="1" t="n">
        <f aca="false">IF(AND(HT15=1,ID15&gt;0,Slot5_IsWG=1,BK15=1),MAX(0,(Slot5_Cost-BL15*(1+Slot5_Rate)^(Slot5_Age-D15))/JK15),0)</f>
        <v>0</v>
      </c>
      <c r="JM15" s="1" t="n">
        <f aca="false">IF(AND(HT15=1,ID15&gt;0,Slot5_IsWG=1,BK15=1),MIN(ID15,JL15),0)</f>
        <v>0</v>
      </c>
      <c r="JN15" s="1" t="n">
        <f aca="false">BL15+JM15</f>
        <v>0</v>
      </c>
      <c r="JO15" s="1" t="n">
        <f aca="false">IF(BK15=1,MAX(0,(Slot5_Cost-JN15*(1+Slot5_Rate)^(Slot5_Age-D15))/JK15),0)</f>
        <v>0</v>
      </c>
      <c r="JP15" s="1" t="n">
        <f aca="false">IF(BK15=1,MAX(0,(Slot5_Cost-BL15*(1+Slot5_Rate)^(Slot5_Age-D15))/JK15),0)</f>
        <v>0</v>
      </c>
      <c r="JQ15" s="1" t="n">
        <f aca="false">IF(AND(HT15=1,BK15=1),MIN(JJ15,JO15),0)</f>
        <v>0</v>
      </c>
      <c r="JR15" s="1" t="n">
        <f aca="false">JJ15-JQ15</f>
        <v>0</v>
      </c>
      <c r="JS15" s="1" t="n">
        <f aca="false">IF(BU15=1,IF(ABS((1+AS_Wage)/(1+Slot6_Rate)-1)&lt;0.000000000001,(Slot6_Age-D15)*(1+Slot6_Rate)^(Slot6_Age-D15),(1+Slot6_Rate)^(Slot6_Age-D15)*(1-((1+AS_Wage)/(1+Slot6_Rate))^(Slot6_Age-D15))/(1-(1+AS_Wage)/(1+Slot6_Rate))),1)</f>
        <v>1</v>
      </c>
      <c r="JT15" s="1" t="n">
        <f aca="false">IF(AND(HT15=1,ID15&gt;0,Slot6_IsWG=1,BU15=1),MAX(0,(Slot6_Cost-BV15*(1+Slot6_Rate)^(Slot6_Age-D15))/JS15),0)</f>
        <v>0</v>
      </c>
      <c r="JU15" s="1" t="n">
        <f aca="false">IF(AND(HT15=1,ID15&gt;0,Slot6_IsWG=1,BU15=1),MIN(ID15,JT15),0)</f>
        <v>0</v>
      </c>
      <c r="JV15" s="1" t="n">
        <f aca="false">BV15+JU15</f>
        <v>0</v>
      </c>
      <c r="JW15" s="1" t="n">
        <f aca="false">IF(BU15=1,MAX(0,(Slot6_Cost-JV15*(1+Slot6_Rate)^(Slot6_Age-D15))/JS15),0)</f>
        <v>0</v>
      </c>
      <c r="JX15" s="1" t="n">
        <f aca="false">IF(BU15=1,MAX(0,(Slot6_Cost-BV15*(1+Slot6_Rate)^(Slot6_Age-D15))/JS15),0)</f>
        <v>0</v>
      </c>
      <c r="JY15" s="1" t="n">
        <f aca="false">IF(AND(HT15=1,BU15=1),MIN(JR15,JW15),0)</f>
        <v>0</v>
      </c>
      <c r="JZ15" s="1" t="n">
        <f aca="false">JR15-JY15</f>
        <v>0</v>
      </c>
      <c r="KA15" s="1" t="n">
        <f aca="false">IF(CE15=1,IF(ABS((1+AS_Wage)/(1+Slot7_Rate)-1)&lt;0.000000000001,(Slot7_Age-D15)*(1+Slot7_Rate)^(Slot7_Age-D15),(1+Slot7_Rate)^(Slot7_Age-D15)*(1-((1+AS_Wage)/(1+Slot7_Rate))^(Slot7_Age-D15))/(1-(1+AS_Wage)/(1+Slot7_Rate))),1)</f>
        <v>1</v>
      </c>
      <c r="KB15" s="1" t="n">
        <f aca="false">IF(AND(HT15=1,ID15&gt;0,Slot7_IsWG=1,CE15=1),MAX(0,(Slot7_Cost-CF15*(1+Slot7_Rate)^(Slot7_Age-D15))/KA15),0)</f>
        <v>0</v>
      </c>
      <c r="KC15" s="1" t="n">
        <f aca="false">IF(AND(HT15=1,ID15&gt;0,Slot7_IsWG=1,CE15=1),MIN(ID15,KB15),0)</f>
        <v>0</v>
      </c>
      <c r="KD15" s="1" t="n">
        <f aca="false">CF15+KC15</f>
        <v>0</v>
      </c>
      <c r="KE15" s="1" t="n">
        <f aca="false">IF(CE15=1,MAX(0,(Slot7_Cost-KD15*(1+Slot7_Rate)^(Slot7_Age-D15))/KA15),0)</f>
        <v>0</v>
      </c>
      <c r="KF15" s="1" t="n">
        <f aca="false">IF(CE15=1,MAX(0,(Slot7_Cost-CF15*(1+Slot7_Rate)^(Slot7_Age-D15))/KA15),0)</f>
        <v>0</v>
      </c>
      <c r="KG15" s="1" t="n">
        <f aca="false">IF(AND(HT15=1,CE15=1),MIN(JZ15,KE15),0)</f>
        <v>0</v>
      </c>
      <c r="KH15" s="1" t="n">
        <f aca="false">JZ15-KG15</f>
        <v>0</v>
      </c>
      <c r="KI15" s="1" t="n">
        <f aca="false">IF(CO15=1,IF(ABS((1+AS_Wage)/(1+Slot8_Rate)-1)&lt;0.000000000001,(Slot8_Age-D15)*(1+Slot8_Rate)^(Slot8_Age-D15),(1+Slot8_Rate)^(Slot8_Age-D15)*(1-((1+AS_Wage)/(1+Slot8_Rate))^(Slot8_Age-D15))/(1-(1+AS_Wage)/(1+Slot8_Rate))),1)</f>
        <v>1</v>
      </c>
      <c r="KJ15" s="1" t="n">
        <f aca="false">IF(AND(HT15=1,ID15&gt;0,Slot8_IsWG=1,CO15=1),MAX(0,(Slot8_Cost-CP15*(1+Slot8_Rate)^(Slot8_Age-D15))/KI15),0)</f>
        <v>0</v>
      </c>
      <c r="KK15" s="1" t="n">
        <f aca="false">IF(AND(HT15=1,ID15&gt;0,Slot8_IsWG=1,CO15=1),MIN(ID15,KJ15),0)</f>
        <v>0</v>
      </c>
      <c r="KL15" s="1" t="n">
        <f aca="false">CP15+KK15</f>
        <v>0</v>
      </c>
      <c r="KM15" s="1" t="n">
        <f aca="false">IF(CO15=1,MAX(0,(Slot8_Cost-KL15*(1+Slot8_Rate)^(Slot8_Age-D15))/KI15),0)</f>
        <v>0</v>
      </c>
      <c r="KN15" s="1" t="n">
        <f aca="false">IF(CO15=1,MAX(0,(Slot8_Cost-CP15*(1+Slot8_Rate)^(Slot8_Age-D15))/KI15),0)</f>
        <v>0</v>
      </c>
      <c r="KO15" s="1" t="n">
        <f aca="false">IF(AND(HT15=1,CO15=1),MIN(KH15,KM15),0)</f>
        <v>0</v>
      </c>
      <c r="KP15" s="1" t="n">
        <f aca="false">KH15-KO15</f>
        <v>0</v>
      </c>
      <c r="KQ15" s="1" t="n">
        <f aca="false">IF(CY15=1,IF(ABS((1+AS_Wage)/(1+Slot9_Rate)-1)&lt;0.000000000001,(Slot9_Age-D15)*(1+Slot9_Rate)^(Slot9_Age-D15),(1+Slot9_Rate)^(Slot9_Age-D15)*(1-((1+AS_Wage)/(1+Slot9_Rate))^(Slot9_Age-D15))/(1-(1+AS_Wage)/(1+Slot9_Rate))),1)</f>
        <v>1</v>
      </c>
      <c r="KR15" s="1" t="n">
        <f aca="false">IF(AND(HT15=1,ID15&gt;0,Slot9_IsWG=1,CY15=1),MAX(0,(Slot9_Cost-CZ15*(1+Slot9_Rate)^(Slot9_Age-D15))/KQ15),0)</f>
        <v>0</v>
      </c>
      <c r="KS15" s="1" t="n">
        <f aca="false">IF(AND(HT15=1,ID15&gt;0,Slot9_IsWG=1,CY15=1),MIN(ID15,KR15),0)</f>
        <v>0</v>
      </c>
      <c r="KT15" s="1" t="n">
        <f aca="false">CZ15+KS15</f>
        <v>0</v>
      </c>
      <c r="KU15" s="1" t="n">
        <f aca="false">IF(CY15=1,MAX(0,(Slot9_Cost-KT15*(1+Slot9_Rate)^(Slot9_Age-D15))/KQ15),0)</f>
        <v>0</v>
      </c>
      <c r="KV15" s="1" t="n">
        <f aca="false">IF(CY15=1,MAX(0,(Slot9_Cost-CZ15*(1+Slot9_Rate)^(Slot9_Age-D15))/KQ15),0)</f>
        <v>0</v>
      </c>
      <c r="KW15" s="1" t="n">
        <f aca="false">IF(AND(HT15=1,CY15=1),MIN(KP15,KU15),0)</f>
        <v>0</v>
      </c>
      <c r="KX15" s="1" t="n">
        <f aca="false">KP15-KW15</f>
        <v>0</v>
      </c>
      <c r="KY15" s="1" t="n">
        <f aca="false">IF(DI15=1,IF(ABS((1+AS_Wage)/(1+Slot10_Rate)-1)&lt;0.000000000001,(Slot10_Age-D15)*(1+Slot10_Rate)^(Slot10_Age-D15),(1+Slot10_Rate)^(Slot10_Age-D15)*(1-((1+AS_Wage)/(1+Slot10_Rate))^(Slot10_Age-D15))/(1-(1+AS_Wage)/(1+Slot10_Rate))),1)</f>
        <v>1</v>
      </c>
      <c r="KZ15" s="1" t="n">
        <f aca="false">IF(AND(HT15=1,ID15&gt;0,Slot10_IsWG=1,DI15=1),MAX(0,(Slot10_Cost-DJ15*(1+Slot10_Rate)^(Slot10_Age-D15))/KY15),0)</f>
        <v>0</v>
      </c>
      <c r="LA15" s="1" t="n">
        <f aca="false">IF(AND(HT15=1,ID15&gt;0,Slot10_IsWG=1,DI15=1),MIN(ID15,KZ15),0)</f>
        <v>0</v>
      </c>
      <c r="LB15" s="1" t="n">
        <f aca="false">DJ15+LA15</f>
        <v>0</v>
      </c>
      <c r="LC15" s="1" t="n">
        <f aca="false">IF(DI15=1,MAX(0,(Slot10_Cost-LB15*(1+Slot10_Rate)^(Slot10_Age-D15))/KY15),0)</f>
        <v>0</v>
      </c>
      <c r="LD15" s="1" t="n">
        <f aca="false">IF(DI15=1,MAX(0,(Slot10_Cost-DJ15*(1+Slot10_Rate)^(Slot10_Age-D15))/KY15),0)</f>
        <v>0</v>
      </c>
      <c r="LE15" s="1" t="n">
        <f aca="false">IF(AND(HT15=1,DI15=1),MIN(KX15,LC15),0)</f>
        <v>0</v>
      </c>
      <c r="LF15" s="1" t="n">
        <f aca="false">KX15-LE15</f>
        <v>0</v>
      </c>
      <c r="LG15" s="1" t="n">
        <f aca="false">IF(DS15=1,IF(ABS((1+AS_Wage)/(1+Slot11_Rate)-1)&lt;0.000000000001,(Slot11_Age-D15)*(1+Slot11_Rate)^(Slot11_Age-D15),(1+Slot11_Rate)^(Slot11_Age-D15)*(1-((1+AS_Wage)/(1+Slot11_Rate))^(Slot11_Age-D15))/(1-(1+AS_Wage)/(1+Slot11_Rate))),1)</f>
        <v>1</v>
      </c>
      <c r="LH15" s="1" t="n">
        <f aca="false">IF(AND(HT15=1,ID15&gt;0,Slot11_IsWG=1,DS15=1),MAX(0,(Slot11_Cost-DT15*(1+Slot11_Rate)^(Slot11_Age-D15))/LG15),0)</f>
        <v>0</v>
      </c>
      <c r="LI15" s="1" t="n">
        <f aca="false">IF(AND(HT15=1,ID15&gt;0,Slot11_IsWG=1,DS15=1),MIN(ID15,LH15),0)</f>
        <v>0</v>
      </c>
      <c r="LJ15" s="1" t="n">
        <f aca="false">DT15+LI15</f>
        <v>0</v>
      </c>
      <c r="LK15" s="1" t="n">
        <f aca="false">IF(DS15=1,MAX(0,(Slot11_Cost-LJ15*(1+Slot11_Rate)^(Slot11_Age-D15))/LG15),0)</f>
        <v>0</v>
      </c>
      <c r="LL15" s="1" t="n">
        <f aca="false">IF(DS15=1,MAX(0,(Slot11_Cost-DT15*(1+Slot11_Rate)^(Slot11_Age-D15))/LG15),0)</f>
        <v>0</v>
      </c>
      <c r="LM15" s="1" t="n">
        <f aca="false">IF(AND(HT15=1,DS15=1),MIN(LF15,LK15),0)</f>
        <v>0</v>
      </c>
      <c r="LN15" s="1" t="n">
        <f aca="false">LF15-LM15</f>
        <v>0</v>
      </c>
      <c r="LO15" s="1" t="n">
        <f aca="false">IF(EC15=1,IF(ABS((1+AS_Wage)/(1+Slot12_Rate)-1)&lt;0.000000000001,(Slot12_Age-D15)*(1+Slot12_Rate)^(Slot12_Age-D15),(1+Slot12_Rate)^(Slot12_Age-D15)*(1-((1+AS_Wage)/(1+Slot12_Rate))^(Slot12_Age-D15))/(1-(1+AS_Wage)/(1+Slot12_Rate))),1)</f>
        <v>1</v>
      </c>
      <c r="LP15" s="1" t="n">
        <f aca="false">IF(AND(HT15=1,ID15&gt;0,Slot12_IsWG=1,EC15=1),MAX(0,(Slot12_Cost-ED15*(1+Slot12_Rate)^(Slot12_Age-D15))/LO15),0)</f>
        <v>0</v>
      </c>
      <c r="LQ15" s="1" t="n">
        <f aca="false">IF(AND(HT15=1,ID15&gt;0,Slot12_IsWG=1,EC15=1),MIN(ID15,LP15),0)</f>
        <v>0</v>
      </c>
      <c r="LR15" s="1" t="n">
        <f aca="false">ED15+LQ15</f>
        <v>0</v>
      </c>
      <c r="LS15" s="1" t="n">
        <f aca="false">IF(EC15=1,MAX(0,(Slot12_Cost-LR15*(1+Slot12_Rate)^(Slot12_Age-D15))/LO15),0)</f>
        <v>0</v>
      </c>
      <c r="LT15" s="1" t="n">
        <f aca="false">IF(EC15=1,MAX(0,(Slot12_Cost-ED15*(1+Slot12_Rate)^(Slot12_Age-D15))/LO15),0)</f>
        <v>0</v>
      </c>
      <c r="LU15" s="1" t="n">
        <f aca="false">IF(AND(HT15=1,EC15=1),MIN(LN15,LS15),0)</f>
        <v>0</v>
      </c>
      <c r="LV15" s="1" t="n">
        <f aca="false">LN15-LU15</f>
        <v>0</v>
      </c>
      <c r="LW15" s="1" t="n">
        <f aca="false">IF(EM15=1,IF(ABS((1+AS_Wage)/(1+Slot13_Rate)-1)&lt;0.000000000001,(Slot13_Age-D15)*(1+Slot13_Rate)^(Slot13_Age-D15),(1+Slot13_Rate)^(Slot13_Age-D15)*(1-((1+AS_Wage)/(1+Slot13_Rate))^(Slot13_Age-D15))/(1-(1+AS_Wage)/(1+Slot13_Rate))),1)</f>
        <v>1</v>
      </c>
      <c r="LX15" s="1" t="n">
        <f aca="false">IF(AND(HT15=1,ID15&gt;0,Slot13_IsWG=1,EM15=1),MAX(0,(Slot13_Cost-EN15*(1+Slot13_Rate)^(Slot13_Age-D15))/LW15),0)</f>
        <v>0</v>
      </c>
      <c r="LY15" s="1" t="n">
        <f aca="false">IF(AND(HT15=1,ID15&gt;0,Slot13_IsWG=1,EM15=1),MIN(ID15,LX15),0)</f>
        <v>0</v>
      </c>
      <c r="LZ15" s="1" t="n">
        <f aca="false">EN15+LY15</f>
        <v>0</v>
      </c>
      <c r="MA15" s="1" t="n">
        <f aca="false">IF(EM15=1,MAX(0,(Slot13_Cost-LZ15*(1+Slot13_Rate)^(Slot13_Age-D15))/LW15),0)</f>
        <v>0</v>
      </c>
      <c r="MB15" s="1" t="n">
        <f aca="false">IF(EM15=1,MAX(0,(Slot13_Cost-EN15*(1+Slot13_Rate)^(Slot13_Age-D15))/LW15),0)</f>
        <v>0</v>
      </c>
      <c r="MC15" s="1" t="n">
        <f aca="false">IF(AND(HT15=1,EM15=1),MIN(LV15,MA15),0)</f>
        <v>0</v>
      </c>
      <c r="MD15" s="1" t="n">
        <f aca="false">LV15-MC15</f>
        <v>0</v>
      </c>
      <c r="ME15" s="1" t="n">
        <f aca="false">IF(EW15=1,IF(ABS((1+AS_Wage)/(1+Slot14_Rate)-1)&lt;0.000000000001,(Slot14_Age-D15)*(1+Slot14_Rate)^(Slot14_Age-D15),(1+Slot14_Rate)^(Slot14_Age-D15)*(1-((1+AS_Wage)/(1+Slot14_Rate))^(Slot14_Age-D15))/(1-(1+AS_Wage)/(1+Slot14_Rate))),1)</f>
        <v>1</v>
      </c>
      <c r="MF15" s="1" t="n">
        <f aca="false">IF(AND(HT15=1,ID15&gt;0,Slot14_IsWG=1,EW15=1),MAX(0,(Slot14_Cost-EX15*(1+Slot14_Rate)^(Slot14_Age-D15))/ME15),0)</f>
        <v>0</v>
      </c>
      <c r="MG15" s="1" t="n">
        <f aca="false">IF(AND(HT15=1,ID15&gt;0,Slot14_IsWG=1,EW15=1),MIN(ID15,MF15),0)</f>
        <v>0</v>
      </c>
      <c r="MH15" s="1" t="n">
        <f aca="false">EX15+MG15</f>
        <v>0</v>
      </c>
      <c r="MI15" s="1" t="n">
        <f aca="false">IF(EW15=1,MAX(0,(Slot14_Cost-MH15*(1+Slot14_Rate)^(Slot14_Age-D15))/ME15),0)</f>
        <v>0</v>
      </c>
      <c r="MJ15" s="1" t="n">
        <f aca="false">IF(EW15=1,MAX(0,(Slot14_Cost-EX15*(1+Slot14_Rate)^(Slot14_Age-D15))/ME15),0)</f>
        <v>0</v>
      </c>
      <c r="MK15" s="1" t="n">
        <f aca="false">IF(AND(HT15=1,EW15=1),MIN(MD15,MI15),0)</f>
        <v>0</v>
      </c>
      <c r="ML15" s="1" t="n">
        <f aca="false">MD15-MK15</f>
        <v>0</v>
      </c>
      <c r="MM15" s="1" t="n">
        <f aca="false">IF(FG15=1,IF(ABS((1+AS_Wage)/(1+Slot15_Rate)-1)&lt;0.000000000001,(Slot15_Age-D15)*(1+Slot15_Rate)^(Slot15_Age-D15),(1+Slot15_Rate)^(Slot15_Age-D15)*(1-((1+AS_Wage)/(1+Slot15_Rate))^(Slot15_Age-D15))/(1-(1+AS_Wage)/(1+Slot15_Rate))),1)</f>
        <v>1</v>
      </c>
      <c r="MN15" s="1" t="n">
        <f aca="false">IF(AND(HT15=1,ID15&gt;0,Slot15_IsWG=1,FG15=1),MAX(0,(Slot15_Cost-FH15*(1+Slot15_Rate)^(Slot15_Age-D15))/MM15),0)</f>
        <v>0</v>
      </c>
      <c r="MO15" s="1" t="n">
        <f aca="false">IF(AND(HT15=1,ID15&gt;0,Slot15_IsWG=1,FG15=1),MIN(ID15,MN15),0)</f>
        <v>0</v>
      </c>
      <c r="MP15" s="1" t="n">
        <f aca="false">FH15+MO15</f>
        <v>0</v>
      </c>
      <c r="MQ15" s="1" t="n">
        <f aca="false">IF(FG15=1,MAX(0,(Slot15_Cost-MP15*(1+Slot15_Rate)^(Slot15_Age-D15))/MM15),0)</f>
        <v>0</v>
      </c>
      <c r="MR15" s="1" t="n">
        <f aca="false">IF(FG15=1,MAX(0,(Slot15_Cost-FH15*(1+Slot15_Rate)^(Slot15_Age-D15))/MM15),0)</f>
        <v>0</v>
      </c>
      <c r="MS15" s="1" t="n">
        <f aca="false">IF(AND(HT15=1,FG15=1),MIN(ML15,MQ15),0)</f>
        <v>0</v>
      </c>
      <c r="MT15" s="1" t="n">
        <f aca="false">ML15-MS15</f>
        <v>0</v>
      </c>
      <c r="MU15" s="1" t="n">
        <f aca="false">IF(FQ15=1,IF(ABS((1+AS_Wage)/(1+Slot16_Rate)-1)&lt;0.000000000001,(Slot16_Age-D15)*(1+Slot16_Rate)^(Slot16_Age-D15),(1+Slot16_Rate)^(Slot16_Age-D15)*(1-((1+AS_Wage)/(1+Slot16_Rate))^(Slot16_Age-D15))/(1-(1+AS_Wage)/(1+Slot16_Rate))),1)</f>
        <v>1</v>
      </c>
      <c r="MV15" s="1" t="n">
        <f aca="false">IF(AND(HT15=1,ID15&gt;0,Slot16_IsWG=1,FQ15=1),MAX(0,(Slot16_Cost-FR15*(1+Slot16_Rate)^(Slot16_Age-D15))/MU15),0)</f>
        <v>0</v>
      </c>
      <c r="MW15" s="1" t="n">
        <f aca="false">IF(AND(HT15=1,ID15&gt;0,Slot16_IsWG=1,FQ15=1),MIN(ID15,MV15),0)</f>
        <v>0</v>
      </c>
      <c r="MX15" s="1" t="n">
        <f aca="false">FR15+MW15</f>
        <v>0</v>
      </c>
      <c r="MY15" s="1" t="n">
        <f aca="false">IF(FQ15=1,MAX(0,(Slot16_Cost-MX15*(1+Slot16_Rate)^(Slot16_Age-D15))/MU15),0)</f>
        <v>0</v>
      </c>
      <c r="MZ15" s="1" t="n">
        <f aca="false">IF(FQ15=1,MAX(0,(Slot16_Cost-FR15*(1+Slot16_Rate)^(Slot16_Age-D15))/MU15),0)</f>
        <v>0</v>
      </c>
      <c r="NA15" s="1" t="n">
        <f aca="false">IF(AND(HT15=1,FQ15=1),MIN(MT15,MY15),0)</f>
        <v>0</v>
      </c>
      <c r="NB15" s="1" t="n">
        <f aca="false">MT15-NA15</f>
        <v>0</v>
      </c>
      <c r="NC15" s="1" t="n">
        <f aca="false">IF(GA15=1,IF(ABS((1+AS_Wage)/(1+Slot17_Rate)-1)&lt;0.000000000001,(Slot17_Age-D15)*(1+Slot17_Rate)^(Slot17_Age-D15),(1+Slot17_Rate)^(Slot17_Age-D15)*(1-((1+AS_Wage)/(1+Slot17_Rate))^(Slot17_Age-D15))/(1-(1+AS_Wage)/(1+Slot17_Rate))),1)</f>
        <v>1</v>
      </c>
      <c r="ND15" s="1" t="n">
        <f aca="false">IF(AND(HT15=1,ID15&gt;0,Slot17_IsWG=1,GA15=1),MAX(0,(Slot17_Cost-GB15*(1+Slot17_Rate)^(Slot17_Age-D15))/NC15),0)</f>
        <v>0</v>
      </c>
      <c r="NE15" s="1" t="n">
        <f aca="false">IF(AND(HT15=1,ID15&gt;0,Slot17_IsWG=1,GA15=1),MIN(ID15,ND15),0)</f>
        <v>0</v>
      </c>
      <c r="NF15" s="1" t="n">
        <f aca="false">GB15+NE15</f>
        <v>0</v>
      </c>
      <c r="NG15" s="1" t="n">
        <f aca="false">IF(GA15=1,MAX(0,(Slot17_Cost-NF15*(1+Slot17_Rate)^(Slot17_Age-D15))/NC15),0)</f>
        <v>0</v>
      </c>
      <c r="NH15" s="1" t="n">
        <f aca="false">IF(GA15=1,MAX(0,(Slot17_Cost-GB15*(1+Slot17_Rate)^(Slot17_Age-D15))/NC15),0)</f>
        <v>0</v>
      </c>
      <c r="NI15" s="1" t="n">
        <f aca="false">IF(AND(HT15=1,GA15=1),MIN(NB15,NG15),0)</f>
        <v>0</v>
      </c>
      <c r="NJ15" s="1" t="n">
        <f aca="false">NB15-NI15</f>
        <v>0</v>
      </c>
      <c r="NK15" s="1" t="n">
        <f aca="false">IF(GK15=1,IF(ABS((1+AS_Wage)/(1+Slot18_Rate)-1)&lt;0.000000000001,(Slot18_Age-D15)*(1+Slot18_Rate)^(Slot18_Age-D15),(1+Slot18_Rate)^(Slot18_Age-D15)*(1-((1+AS_Wage)/(1+Slot18_Rate))^(Slot18_Age-D15))/(1-(1+AS_Wage)/(1+Slot18_Rate))),1)</f>
        <v>1</v>
      </c>
      <c r="NL15" s="1" t="n">
        <f aca="false">IF(AND(HT15=1,ID15&gt;0,Slot18_IsWG=1,GK15=1),MAX(0,(Slot18_Cost-GL15*(1+Slot18_Rate)^(Slot18_Age-D15))/NK15),0)</f>
        <v>0</v>
      </c>
      <c r="NM15" s="1" t="n">
        <f aca="false">IF(AND(HT15=1,ID15&gt;0,Slot18_IsWG=1,GK15=1),MIN(ID15,NL15),0)</f>
        <v>0</v>
      </c>
      <c r="NN15" s="1" t="n">
        <f aca="false">GL15+NM15</f>
        <v>0</v>
      </c>
      <c r="NO15" s="1" t="n">
        <f aca="false">IF(GK15=1,MAX(0,(Slot18_Cost-NN15*(1+Slot18_Rate)^(Slot18_Age-D15))/NK15),0)</f>
        <v>0</v>
      </c>
      <c r="NP15" s="1" t="n">
        <f aca="false">IF(GK15=1,MAX(0,(Slot18_Cost-GL15*(1+Slot18_Rate)^(Slot18_Age-D15))/NK15),0)</f>
        <v>0</v>
      </c>
      <c r="NQ15" s="1" t="n">
        <f aca="false">IF(AND(HT15=1,GK15=1),MIN(NJ15,NO15),0)</f>
        <v>0</v>
      </c>
      <c r="NR15" s="1" t="n">
        <f aca="false">NJ15-NQ15</f>
        <v>0</v>
      </c>
      <c r="NS15" s="1" t="n">
        <f aca="false">IF(GU15=1,IF(ABS((1+AS_Wage)/(1+Slot19_Rate)-1)&lt;0.000000000001,(Slot19_Age-D15)*(1+Slot19_Rate)^(Slot19_Age-D15),(1+Slot19_Rate)^(Slot19_Age-D15)*(1-((1+AS_Wage)/(1+Slot19_Rate))^(Slot19_Age-D15))/(1-(1+AS_Wage)/(1+Slot19_Rate))),1)</f>
        <v>1</v>
      </c>
      <c r="NT15" s="1" t="n">
        <f aca="false">IF(AND(HT15=1,ID15&gt;0,Slot19_IsWG=1,GU15=1),MAX(0,(Slot19_Cost-GV15*(1+Slot19_Rate)^(Slot19_Age-D15))/NS15),0)</f>
        <v>0</v>
      </c>
      <c r="NU15" s="1" t="n">
        <f aca="false">IF(AND(HT15=1,ID15&gt;0,Slot19_IsWG=1,GU15=1),MIN(ID15,NT15),0)</f>
        <v>0</v>
      </c>
      <c r="NV15" s="1" t="n">
        <f aca="false">GV15+NU15</f>
        <v>0</v>
      </c>
      <c r="NW15" s="1" t="n">
        <f aca="false">IF(GU15=1,MAX(0,(Slot19_Cost-NV15*(1+Slot19_Rate)^(Slot19_Age-D15))/NS15),0)</f>
        <v>0</v>
      </c>
      <c r="NX15" s="1" t="n">
        <f aca="false">IF(GU15=1,MAX(0,(Slot19_Cost-GV15*(1+Slot19_Rate)^(Slot19_Age-D15))/NS15),0)</f>
        <v>0</v>
      </c>
      <c r="NY15" s="1" t="n">
        <f aca="false">IF(AND(HT15=1,GU15=1),MIN(NR15,NW15),0)</f>
        <v>0</v>
      </c>
      <c r="NZ15" s="1" t="n">
        <f aca="false">NR15-NY15</f>
        <v>0</v>
      </c>
      <c r="OA15" s="1" t="n">
        <f aca="false">IF(HE15=1,IF(ABS((1+AS_Wage)/(1+Slot20_Rate)-1)&lt;0.000000000001,(Slot20_Age-D15)*(1+Slot20_Rate)^(Slot20_Age-D15),(1+Slot20_Rate)^(Slot20_Age-D15)*(1-((1+AS_Wage)/(1+Slot20_Rate))^(Slot20_Age-D15))/(1-(1+AS_Wage)/(1+Slot20_Rate))),1)</f>
        <v>1</v>
      </c>
      <c r="OB15" s="1" t="n">
        <f aca="false">IF(AND(HT15=1,ID15&gt;0,Slot20_IsWG=1,HE15=1),MAX(0,(Slot20_Cost-HF15*(1+Slot20_Rate)^(Slot20_Age-D15))/OA15),0)</f>
        <v>0</v>
      </c>
      <c r="OC15" s="1" t="n">
        <f aca="false">IF(AND(HT15=1,ID15&gt;0,Slot20_IsWG=1,HE15=1),MIN(ID15,OB15),0)</f>
        <v>0</v>
      </c>
      <c r="OD15" s="1" t="n">
        <f aca="false">HF15+OC15</f>
        <v>0</v>
      </c>
      <c r="OE15" s="1" t="n">
        <f aca="false">IF(HE15=1,MAX(0,(Slot20_Cost-OD15*(1+Slot20_Rate)^(Slot20_Age-D15))/OA15),0)</f>
        <v>0</v>
      </c>
      <c r="OF15" s="1" t="n">
        <f aca="false">IF(HE15=1,MAX(0,(Slot20_Cost-HF15*(1+Slot20_Rate)^(Slot20_Age-D15))/OA15),0)</f>
        <v>0</v>
      </c>
      <c r="OG15" s="1" t="n">
        <f aca="false">IF(AND(HT15=1,HE15=1),MIN(NZ15,OE15),0)</f>
        <v>0</v>
      </c>
      <c r="OH15" s="1" t="n">
        <f aca="false">NZ15-OG15</f>
        <v>0</v>
      </c>
      <c r="OI15" s="1" t="n">
        <f aca="false">ID15-(IG15+IO15+IW15+JE15+JM15+JU15+KC15+KK15+KS15+LA15+LI15+LQ15+LY15+MG15+MO15+MW15+NE15+NM15+NU15+OC15)</f>
        <v>0</v>
      </c>
      <c r="OJ15" s="1" t="n">
        <f aca="false">IF(HT15=1,HR15-IC15-ID15,0)</f>
        <v>0</v>
      </c>
      <c r="OK15" s="1" t="n">
        <f aca="false">IF(HT15=0,-HR15,0)</f>
        <v>0</v>
      </c>
      <c r="OL15" s="1" t="n">
        <f aca="false">MIN(OK15,HJ15)</f>
        <v>0</v>
      </c>
      <c r="OM15" s="1" t="n">
        <f aca="false">OK15-OL15</f>
        <v>0</v>
      </c>
      <c r="ON15" s="1" t="n">
        <f aca="false">MIN(OM15,HK15)</f>
        <v>0</v>
      </c>
      <c r="OO15" s="1" t="n">
        <f aca="false">OM15-ON15</f>
        <v>0</v>
      </c>
      <c r="OP15" s="1" t="n">
        <f aca="false">IF(AND(HT15=0,HE15=1,OO15&gt;0),MIN(OO15,HF15),0)</f>
        <v>0</v>
      </c>
      <c r="OQ15" s="1" t="n">
        <f aca="false">OO15-OP15</f>
        <v>0</v>
      </c>
      <c r="OR15" s="1" t="n">
        <f aca="false">IF(AND(HT15=0,GU15=1,OQ15&gt;0),MIN(OQ15,GV15),0)</f>
        <v>0</v>
      </c>
      <c r="OS15" s="1" t="n">
        <f aca="false">OQ15-OR15</f>
        <v>0</v>
      </c>
      <c r="OT15" s="1" t="n">
        <f aca="false">IF(AND(HT15=0,GK15=1,OS15&gt;0),MIN(OS15,GL15),0)</f>
        <v>0</v>
      </c>
      <c r="OU15" s="1" t="n">
        <f aca="false">OS15-OT15</f>
        <v>0</v>
      </c>
      <c r="OV15" s="1" t="n">
        <f aca="false">IF(AND(HT15=0,GA15=1,OU15&gt;0),MIN(OU15,GB15),0)</f>
        <v>0</v>
      </c>
      <c r="OW15" s="1" t="n">
        <f aca="false">OU15-OV15</f>
        <v>0</v>
      </c>
      <c r="OX15" s="1" t="n">
        <f aca="false">IF(AND(HT15=0,FQ15=1,OW15&gt;0),MIN(OW15,FR15),0)</f>
        <v>0</v>
      </c>
      <c r="OY15" s="1" t="n">
        <f aca="false">OW15-OX15</f>
        <v>0</v>
      </c>
      <c r="OZ15" s="1" t="n">
        <f aca="false">IF(AND(HT15=0,FG15=1,OY15&gt;0),MIN(OY15,FH15),0)</f>
        <v>0</v>
      </c>
      <c r="PA15" s="1" t="n">
        <f aca="false">OY15-OZ15</f>
        <v>0</v>
      </c>
      <c r="PB15" s="1" t="n">
        <f aca="false">IF(AND(HT15=0,EW15=1,PA15&gt;0),MIN(PA15,EX15),0)</f>
        <v>0</v>
      </c>
      <c r="PC15" s="1" t="n">
        <f aca="false">PA15-PB15</f>
        <v>0</v>
      </c>
      <c r="PD15" s="1" t="n">
        <f aca="false">IF(AND(HT15=0,EM15=1,PC15&gt;0),MIN(PC15,EN15),0)</f>
        <v>0</v>
      </c>
      <c r="PE15" s="1" t="n">
        <f aca="false">PC15-PD15</f>
        <v>0</v>
      </c>
      <c r="PF15" s="1" t="n">
        <f aca="false">IF(AND(HT15=0,EC15=1,PE15&gt;0),MIN(PE15,ED15),0)</f>
        <v>0</v>
      </c>
      <c r="PG15" s="1" t="n">
        <f aca="false">PE15-PF15</f>
        <v>0</v>
      </c>
      <c r="PH15" s="1" t="n">
        <f aca="false">IF(AND(HT15=0,DS15=1,PG15&gt;0),MIN(PG15,DT15),0)</f>
        <v>0</v>
      </c>
      <c r="PI15" s="1" t="n">
        <f aca="false">PG15-PH15</f>
        <v>0</v>
      </c>
      <c r="PJ15" s="1" t="n">
        <f aca="false">IF(AND(HT15=0,DI15=1,PI15&gt;0),MIN(PI15,DJ15),0)</f>
        <v>0</v>
      </c>
      <c r="PK15" s="1" t="n">
        <f aca="false">PI15-PJ15</f>
        <v>0</v>
      </c>
      <c r="PL15" s="1" t="n">
        <f aca="false">IF(AND(HT15=0,CY15=1,PK15&gt;0),MIN(PK15,CZ15),0)</f>
        <v>0</v>
      </c>
      <c r="PM15" s="1" t="n">
        <f aca="false">PK15-PL15</f>
        <v>0</v>
      </c>
      <c r="PN15" s="1" t="n">
        <f aca="false">IF(AND(HT15=0,CO15=1,PM15&gt;0),MIN(PM15,CP15),0)</f>
        <v>0</v>
      </c>
      <c r="PO15" s="1" t="n">
        <f aca="false">PM15-PN15</f>
        <v>0</v>
      </c>
      <c r="PP15" s="1" t="n">
        <f aca="false">IF(AND(HT15=0,CE15=1,PO15&gt;0),MIN(PO15,CF15),0)</f>
        <v>0</v>
      </c>
      <c r="PQ15" s="1" t="n">
        <f aca="false">PO15-PP15</f>
        <v>0</v>
      </c>
      <c r="PR15" s="1" t="n">
        <f aca="false">IF(AND(HT15=0,BU15=1,PQ15&gt;0),MIN(PQ15,BV15),0)</f>
        <v>0</v>
      </c>
      <c r="PS15" s="1" t="n">
        <f aca="false">PQ15-PR15</f>
        <v>0</v>
      </c>
      <c r="PT15" s="1" t="n">
        <f aca="false">IF(AND(HT15=0,BK15=1,PS15&gt;0),MIN(PS15,BL15),0)</f>
        <v>0</v>
      </c>
      <c r="PU15" s="1" t="n">
        <f aca="false">PS15-PT15</f>
        <v>0</v>
      </c>
      <c r="PV15" s="1" t="n">
        <f aca="false">IF(AND(HT15=0,BA15=1,PU15&gt;0),MIN(PU15,BB15),0)</f>
        <v>0</v>
      </c>
      <c r="PW15" s="1" t="n">
        <f aca="false">PU15-PV15</f>
        <v>0</v>
      </c>
      <c r="PX15" s="1" t="n">
        <f aca="false">IF(AND(HT15=0,AQ15=1,PW15&gt;0),MIN(PW15,AR15),0)</f>
        <v>0</v>
      </c>
      <c r="PY15" s="1" t="n">
        <f aca="false">PW15-PX15</f>
        <v>0</v>
      </c>
      <c r="PZ15" s="1" t="n">
        <f aca="false">IF(AND(HT15=0,AG15=1,PY15&gt;0),MIN(PY15,AH15),0)</f>
        <v>0</v>
      </c>
      <c r="QA15" s="1" t="n">
        <f aca="false">PY15-PZ15</f>
        <v>0</v>
      </c>
      <c r="QB15" s="1" t="n">
        <f aca="false">IF(AND(HT15=0,V15=1,QA15&gt;0),MIN(QA15,W15),0)</f>
        <v>0</v>
      </c>
      <c r="QC15" s="1" t="n">
        <f aca="false">QA15-QB15</f>
        <v>0</v>
      </c>
      <c r="QD15" s="1" t="n">
        <f aca="false">IF(HT15=0,QC15,0)</f>
        <v>0</v>
      </c>
      <c r="QE15" s="1" t="n">
        <f aca="false">OL15+ON15+QB15+PZ15+PX15+PV15+PT15+PR15+PP15+PN15+PL15+PJ15+PH15+PF15+PD15+PB15+OZ15+OX15+OV15+OT15+OR15+OP15</f>
        <v>0</v>
      </c>
      <c r="QF15" s="1" t="n">
        <f aca="false">IF(HT15=1,HJ15+OI15+OH15+IF(F15=1,0,OJ15),HJ15-OL15)</f>
        <v>0</v>
      </c>
      <c r="QG15" s="1" t="n">
        <f aca="false">HK15-ON15</f>
        <v>0</v>
      </c>
      <c r="QH15" s="1" t="n">
        <f aca="false">IF(HT15=1,IF(F15=1,IC15+ID15,HR15),0)</f>
        <v>0</v>
      </c>
      <c r="QI15" s="1" t="n">
        <f aca="false">IF(HT15=1,IF(F15=1,HR15-IC15-ID15,0),0)</f>
        <v>0</v>
      </c>
      <c r="QJ15" s="1" t="n">
        <f aca="false">QF15*(1+GR)</f>
        <v>0</v>
      </c>
      <c r="QK15" s="1" t="n">
        <f aca="false">QG15*(1+AS_Cash)</f>
        <v>0</v>
      </c>
      <c r="QL15" s="1" t="n">
        <f aca="false">IF(V15=1,IF(HT15=1,IH15+IK15,W15-QB15)*(1+Slot1_Rate),0)</f>
        <v>0</v>
      </c>
      <c r="QM15" s="1" t="n">
        <f aca="false">IF(AND(HT15=1,V15=1),(IG15+IK15)/E15,0)</f>
        <v>0</v>
      </c>
      <c r="QN15" s="1" t="n">
        <f aca="false">IF(B15=0,IG15+IK15,0)</f>
        <v>0</v>
      </c>
      <c r="QO15" s="1" t="n">
        <f aca="false">IF(B15=0,IF(HT15=1,II15,IJ15),0)</f>
        <v>0</v>
      </c>
      <c r="QP15" s="1" t="n">
        <f aca="false">IF(AG15=1,IF(HT15=1,IP15+IS15,AH15-PZ15)*(1+Slot2_Rate),0)</f>
        <v>0</v>
      </c>
      <c r="QQ15" s="1" t="n">
        <f aca="false">IF(AND(HT15=1,AG15=1),(IO15+IS15)/E15,0)</f>
        <v>0</v>
      </c>
      <c r="QR15" s="1" t="n">
        <f aca="false">IF(B15=0,IO15+IS15,0)</f>
        <v>0</v>
      </c>
      <c r="QS15" s="1" t="n">
        <f aca="false">IF(B15=0,IF(HT15=1,IQ15,IR15),0)</f>
        <v>0</v>
      </c>
      <c r="QT15" s="1" t="n">
        <f aca="false">IF(AQ15=1,IF(HT15=1,IX15+JA15,AR15-PX15)*(1+Slot3_Rate),0)</f>
        <v>0</v>
      </c>
      <c r="QU15" s="1" t="n">
        <f aca="false">IF(AND(HT15=1,AQ15=1),(IW15+JA15)/E15,0)</f>
        <v>0</v>
      </c>
      <c r="QV15" s="1" t="n">
        <f aca="false">IF(B15=0,IW15+JA15,0)</f>
        <v>0</v>
      </c>
      <c r="QW15" s="1" t="n">
        <f aca="false">IF(B15=0,IF(HT15=1,IY15,IZ15),0)</f>
        <v>0</v>
      </c>
      <c r="QX15" s="1" t="n">
        <f aca="false">IF(BA15=1,IF(HT15=1,JF15+JI15,BB15-PV15)*(1+Slot4_Rate),0)</f>
        <v>0</v>
      </c>
      <c r="QY15" s="1" t="n">
        <f aca="false">IF(AND(HT15=1,BA15=1),(JE15+JI15)/E15,0)</f>
        <v>0</v>
      </c>
      <c r="QZ15" s="1" t="n">
        <f aca="false">IF(B15=0,JE15+JI15,0)</f>
        <v>0</v>
      </c>
      <c r="RA15" s="1" t="n">
        <f aca="false">IF(B15=0,IF(HT15=1,JG15,JH15),0)</f>
        <v>0</v>
      </c>
      <c r="RB15" s="1" t="n">
        <f aca="false">IF(BK15=1,IF(HT15=1,JN15+JQ15,BL15-PT15)*(1+Slot5_Rate),0)</f>
        <v>0</v>
      </c>
      <c r="RC15" s="1" t="n">
        <f aca="false">IF(AND(HT15=1,BK15=1),(JM15+JQ15)/E15,0)</f>
        <v>0</v>
      </c>
      <c r="RD15" s="1" t="n">
        <f aca="false">IF(B15=0,JM15+JQ15,0)</f>
        <v>0</v>
      </c>
      <c r="RE15" s="1" t="n">
        <f aca="false">IF(B15=0,IF(HT15=1,JO15,JP15),0)</f>
        <v>0</v>
      </c>
      <c r="RF15" s="1" t="n">
        <f aca="false">IF(BU15=1,IF(HT15=1,JV15+JY15,BV15-PR15)*(1+Slot6_Rate),0)</f>
        <v>0</v>
      </c>
      <c r="RG15" s="1" t="n">
        <f aca="false">IF(AND(HT15=1,BU15=1),(JU15+JY15)/E15,0)</f>
        <v>0</v>
      </c>
      <c r="RH15" s="1" t="n">
        <f aca="false">IF(B15=0,JU15+JY15,0)</f>
        <v>0</v>
      </c>
      <c r="RI15" s="1" t="n">
        <f aca="false">IF(B15=0,IF(HT15=1,JW15,JX15),0)</f>
        <v>0</v>
      </c>
      <c r="RJ15" s="1" t="n">
        <f aca="false">IF(CE15=1,IF(HT15=1,KD15+KG15,CF15-PP15)*(1+Slot7_Rate),0)</f>
        <v>0</v>
      </c>
      <c r="RK15" s="1" t="n">
        <f aca="false">IF(AND(HT15=1,CE15=1),(KC15+KG15)/E15,0)</f>
        <v>0</v>
      </c>
      <c r="RL15" s="1" t="n">
        <f aca="false">IF(B15=0,KC15+KG15,0)</f>
        <v>0</v>
      </c>
      <c r="RM15" s="1" t="n">
        <f aca="false">IF(B15=0,IF(HT15=1,KE15,KF15),0)</f>
        <v>0</v>
      </c>
      <c r="RN15" s="1" t="n">
        <f aca="false">IF(CO15=1,IF(HT15=1,KL15+KO15,CP15-PN15)*(1+Slot8_Rate),0)</f>
        <v>0</v>
      </c>
      <c r="RO15" s="1" t="n">
        <f aca="false">IF(AND(HT15=1,CO15=1),(KK15+KO15)/E15,0)</f>
        <v>0</v>
      </c>
      <c r="RP15" s="1" t="n">
        <f aca="false">IF(B15=0,KK15+KO15,0)</f>
        <v>0</v>
      </c>
      <c r="RQ15" s="1" t="n">
        <f aca="false">IF(B15=0,IF(HT15=1,KM15,KN15),0)</f>
        <v>0</v>
      </c>
      <c r="RR15" s="1" t="n">
        <f aca="false">IF(CY15=1,IF(HT15=1,KT15+KW15,CZ15-PL15)*(1+Slot9_Rate),0)</f>
        <v>0</v>
      </c>
      <c r="RS15" s="1" t="n">
        <f aca="false">IF(AND(HT15=1,CY15=1),(KS15+KW15)/E15,0)</f>
        <v>0</v>
      </c>
      <c r="RT15" s="1" t="n">
        <f aca="false">IF(B15=0,KS15+KW15,0)</f>
        <v>0</v>
      </c>
      <c r="RU15" s="1" t="n">
        <f aca="false">IF(B15=0,IF(HT15=1,KU15,KV15),0)</f>
        <v>0</v>
      </c>
      <c r="RV15" s="1" t="n">
        <f aca="false">IF(DI15=1,IF(HT15=1,LB15+LE15,DJ15-PJ15)*(1+Slot10_Rate),0)</f>
        <v>0</v>
      </c>
      <c r="RW15" s="1" t="n">
        <f aca="false">IF(AND(HT15=1,DI15=1),(LA15+LE15)/E15,0)</f>
        <v>0</v>
      </c>
      <c r="RX15" s="1" t="n">
        <f aca="false">IF(B15=0,LA15+LE15,0)</f>
        <v>0</v>
      </c>
      <c r="RY15" s="1" t="n">
        <f aca="false">IF(B15=0,IF(HT15=1,LC15,LD15),0)</f>
        <v>0</v>
      </c>
      <c r="RZ15" s="1" t="n">
        <f aca="false">IF(DS15=1,IF(HT15=1,LJ15+LM15,DT15-PH15)*(1+Slot11_Rate),0)</f>
        <v>0</v>
      </c>
      <c r="SA15" s="1" t="n">
        <f aca="false">IF(AND(HT15=1,DS15=1),(LI15+LM15)/E15,0)</f>
        <v>0</v>
      </c>
      <c r="SB15" s="1" t="n">
        <f aca="false">IF(B15=0,LI15+LM15,0)</f>
        <v>0</v>
      </c>
      <c r="SC15" s="1" t="n">
        <f aca="false">IF(B15=0,IF(HT15=1,LK15,LL15),0)</f>
        <v>0</v>
      </c>
      <c r="SD15" s="1" t="n">
        <f aca="false">IF(EC15=1,IF(HT15=1,LR15+LU15,ED15-PF15)*(1+Slot12_Rate),0)</f>
        <v>0</v>
      </c>
      <c r="SE15" s="1" t="n">
        <f aca="false">IF(AND(HT15=1,EC15=1),(LQ15+LU15)/E15,0)</f>
        <v>0</v>
      </c>
      <c r="SF15" s="1" t="n">
        <f aca="false">IF(B15=0,LQ15+LU15,0)</f>
        <v>0</v>
      </c>
      <c r="SG15" s="1" t="n">
        <f aca="false">IF(B15=0,IF(HT15=1,LS15,LT15),0)</f>
        <v>0</v>
      </c>
      <c r="SH15" s="1" t="n">
        <f aca="false">IF(EM15=1,IF(HT15=1,LZ15+MC15,EN15-PD15)*(1+Slot13_Rate),0)</f>
        <v>0</v>
      </c>
      <c r="SI15" s="1" t="n">
        <f aca="false">IF(AND(HT15=1,EM15=1),(LY15+MC15)/E15,0)</f>
        <v>0</v>
      </c>
      <c r="SJ15" s="1" t="n">
        <f aca="false">IF(B15=0,LY15+MC15,0)</f>
        <v>0</v>
      </c>
      <c r="SK15" s="1" t="n">
        <f aca="false">IF(B15=0,IF(HT15=1,MA15,MB15),0)</f>
        <v>0</v>
      </c>
      <c r="SL15" s="1" t="n">
        <f aca="false">IF(EW15=1,IF(HT15=1,MH15+MK15,EX15-PB15)*(1+Slot14_Rate),0)</f>
        <v>0</v>
      </c>
      <c r="SM15" s="1" t="n">
        <f aca="false">IF(AND(HT15=1,EW15=1),(MG15+MK15)/E15,0)</f>
        <v>0</v>
      </c>
      <c r="SN15" s="1" t="n">
        <f aca="false">IF(B15=0,MG15+MK15,0)</f>
        <v>0</v>
      </c>
      <c r="SO15" s="1" t="n">
        <f aca="false">IF(B15=0,IF(HT15=1,MI15,MJ15),0)</f>
        <v>0</v>
      </c>
      <c r="SP15" s="1" t="n">
        <f aca="false">IF(FG15=1,IF(HT15=1,MP15+MS15,FH15-OZ15)*(1+Slot15_Rate),0)</f>
        <v>0</v>
      </c>
      <c r="SQ15" s="1" t="n">
        <f aca="false">IF(AND(HT15=1,FG15=1),(MO15+MS15)/E15,0)</f>
        <v>0</v>
      </c>
      <c r="SR15" s="1" t="n">
        <f aca="false">IF(B15=0,MO15+MS15,0)</f>
        <v>0</v>
      </c>
      <c r="SS15" s="1" t="n">
        <f aca="false">IF(B15=0,IF(HT15=1,MQ15,MR15),0)</f>
        <v>0</v>
      </c>
      <c r="ST15" s="1" t="n">
        <f aca="false">IF(FQ15=1,IF(HT15=1,MX15+NA15,FR15-OX15)*(1+Slot16_Rate),0)</f>
        <v>0</v>
      </c>
      <c r="SU15" s="1" t="n">
        <f aca="false">IF(AND(HT15=1,FQ15=1),(MW15+NA15)/E15,0)</f>
        <v>0</v>
      </c>
      <c r="SV15" s="1" t="n">
        <f aca="false">IF(B15=0,MW15+NA15,0)</f>
        <v>0</v>
      </c>
      <c r="SW15" s="1" t="n">
        <f aca="false">IF(B15=0,IF(HT15=1,MY15,MZ15),0)</f>
        <v>0</v>
      </c>
      <c r="SX15" s="1" t="n">
        <f aca="false">IF(GA15=1,IF(HT15=1,NF15+NI15,GB15-OV15)*(1+Slot17_Rate),0)</f>
        <v>0</v>
      </c>
      <c r="SY15" s="1" t="n">
        <f aca="false">IF(AND(HT15=1,GA15=1),(NE15+NI15)/E15,0)</f>
        <v>0</v>
      </c>
      <c r="SZ15" s="1" t="n">
        <f aca="false">IF(B15=0,NE15+NI15,0)</f>
        <v>0</v>
      </c>
      <c r="TA15" s="1" t="n">
        <f aca="false">IF(B15=0,IF(HT15=1,NG15,NH15),0)</f>
        <v>0</v>
      </c>
      <c r="TB15" s="1" t="n">
        <f aca="false">IF(GK15=1,IF(HT15=1,NN15+NQ15,GL15-OT15)*(1+Slot18_Rate),0)</f>
        <v>0</v>
      </c>
      <c r="TC15" s="1" t="n">
        <f aca="false">IF(AND(HT15=1,GK15=1),(NM15+NQ15)/E15,0)</f>
        <v>0</v>
      </c>
      <c r="TD15" s="1" t="n">
        <f aca="false">IF(B15=0,NM15+NQ15,0)</f>
        <v>0</v>
      </c>
      <c r="TE15" s="1" t="n">
        <f aca="false">IF(B15=0,IF(HT15=1,NO15,NP15),0)</f>
        <v>0</v>
      </c>
      <c r="TF15" s="1" t="n">
        <f aca="false">IF(GU15=1,IF(HT15=1,NV15+NY15,GV15-OR15)*(1+Slot19_Rate),0)</f>
        <v>0</v>
      </c>
      <c r="TG15" s="1" t="n">
        <f aca="false">IF(AND(HT15=1,GU15=1),(NU15+NY15)/E15,0)</f>
        <v>0</v>
      </c>
      <c r="TH15" s="1" t="n">
        <f aca="false">IF(B15=0,NU15+NY15,0)</f>
        <v>0</v>
      </c>
      <c r="TI15" s="1" t="n">
        <f aca="false">IF(B15=0,IF(HT15=1,NW15,NX15),0)</f>
        <v>0</v>
      </c>
      <c r="TJ15" s="1" t="n">
        <f aca="false">IF(HE15=1,IF(HT15=1,OD15+OG15,HF15-OP15)*(1+Slot20_Rate),0)</f>
        <v>0</v>
      </c>
      <c r="TK15" s="1" t="n">
        <f aca="false">IF(AND(HT15=1,HE15=1),(OC15+OG15)/E15,0)</f>
        <v>0</v>
      </c>
      <c r="TL15" s="1" t="n">
        <f aca="false">IF(B15=0,OC15+OG15,0)</f>
        <v>0</v>
      </c>
      <c r="TM15" s="1" t="n">
        <f aca="false">IF(B15=0,IF(HT15=1,OE15,OF15),0)</f>
        <v>0</v>
      </c>
      <c r="TN15" s="1" t="n">
        <f aca="false">QJ15+QK15+QL15+QP15+QT15+QX15+RB15+RF15+RJ15+RN15+RR15+RV15+RZ15+SD15+SH15+SL15+SP15+ST15+SX15+TB15+TF15+TJ15</f>
        <v>0</v>
      </c>
      <c r="TO15" s="1" t="n">
        <f aca="false">QD15+HO15</f>
        <v>0</v>
      </c>
      <c r="TP15" s="1" t="n">
        <f aca="false">H15+R15</f>
        <v>0</v>
      </c>
      <c r="TQ15" s="1" t="n">
        <f aca="false">1-F15</f>
        <v>0</v>
      </c>
      <c r="TR15" s="1" t="n">
        <f aca="false">IF(AND(RG_Exists=1,F15=0,C15=1),H15,0)</f>
        <v>0</v>
      </c>
      <c r="TS15" s="1" t="n">
        <f aca="false">IF(AND(RG_Exists=1,F15=0,C15=1),H15-MIN(QD15,H15),0)</f>
        <v>0</v>
      </c>
      <c r="TT15" s="1" t="n">
        <f aca="false">'Plan pay &amp; tax'!AD241</f>
        <v>0</v>
      </c>
      <c r="TU15" s="1" t="n">
        <f aca="false">IF(AND(C15=1,QD15&gt;MAX(PR_Short1,TP15*PR_Short2)),1,0)</f>
        <v>0</v>
      </c>
      <c r="TV15" s="1" t="n">
        <f aca="false">MIN(G15,H15+R15)</f>
        <v>0</v>
      </c>
      <c r="TW15" s="1" t="n">
        <f aca="false">QE15+MAX(0,HP15-HO15)</f>
        <v>0</v>
      </c>
      <c r="TX15" s="1" t="n">
        <f aca="false">QD15+HO15</f>
        <v>0</v>
      </c>
      <c r="TY15" s="1" t="n">
        <f aca="false">IF(AND(C15=1,TX15&gt;PR_MinShort),1,0)</f>
        <v>0</v>
      </c>
      <c r="TZ15" s="1" t="n">
        <f aca="false">IF(AND(C15=1,TY15=0,TW15&gt;PR_MinShort),1,0)</f>
        <v>0</v>
      </c>
      <c r="UA15" s="1" t="n">
        <f aca="false">IF(AND(C15=1,QD15&gt;PR_MinShort),1,0)</f>
        <v>0</v>
      </c>
      <c r="UB15" s="1" t="n">
        <f aca="false">IF(AND(C15=1,QE15&gt;1,UI15=0),1,0)</f>
        <v>0</v>
      </c>
      <c r="UC15" s="1" t="str">
        <f aca="false">IF(C15=0,"",IF(UI15=1,"Gap to plan for: short "&amp;"€"&amp;TEXT(ROUND(TO15,0),"#,##0"),IF(QE15&gt;1,"Using savings","Comfortable")))</f>
        <v>Comfortable</v>
      </c>
      <c r="UD15" s="1" t="n">
        <f aca="false">IF(AND(INT(D15/10)*10=90,B15&gt;0),80,INT(D15/10)*10)</f>
        <v>0</v>
      </c>
      <c r="UE15" s="1" t="n">
        <f aca="false">IF(B15=0,1,IF(UD15&lt;&gt;UD14,UE14+1,UE14))</f>
        <v>1</v>
      </c>
      <c r="UF15" s="1" t="n">
        <f aca="false">IF(AND(C15=1,F15=1,QD15&gt;MAX(PR_Short1,TP15*PR_Short2)),1,0)</f>
        <v>0</v>
      </c>
      <c r="UG15" s="1" t="n">
        <f aca="false">TQ15*TU15</f>
        <v>0</v>
      </c>
      <c r="UH15" s="1" t="n">
        <f aca="false">IF(AND(U15=1,Slot1_PctLow=1),1,0)+IF(AND(AF15=1,Slot2_PctLow=1),1,0)+IF(AND(AP15=1,Slot3_PctLow=1),1,0)+IF(AND(AZ15=1,Slot4_PctLow=1),1,0)+IF(AND(BJ15=1,Slot5_PctLow=1),1,0)+IF(AND(BT15=1,Slot6_PctLow=1),1,0)+IF(AND(CD15=1,Slot7_PctLow=1),1,0)+IF(AND(CN15=1,Slot8_PctLow=1),1,0)+IF(AND(CX15=1,Slot9_PctLow=1),1,0)+IF(AND(DH15=1,Slot10_PctLow=1),1,0)+IF(AND(DR15=1,Slot11_PctLow=1),1,0)+IF(AND(EB15=1,Slot12_PctLow=1),1,0)+IF(AND(EL15=1,Slot13_PctLow=1),1,0)+IF(AND(EV15=1,Slot14_PctLow=1),1,0)+IF(AND(FF15=1,Slot15_PctLow=1),1,0)+IF(AND(FP15=1,Slot16_PctLow=1),1,0)+IF(AND(FZ15=1,Slot17_PctLow=1),1,0)+IF(AND(GJ15=1,Slot18_PctLow=1),1,0)+IF(AND(GT15=1,Slot19_PctLow=1),1,0)+IF(AND(HD15=1,Slot20_PctLow=1),1,0)</f>
        <v>0</v>
      </c>
      <c r="UI15" s="1" t="n">
        <f aca="false">IF(C15=1,IF(OR(TU15=1,UH15&gt;0),1,0),0)</f>
        <v>0</v>
      </c>
    </row>
    <row r="16" customFormat="false" ht="15" hidden="false" customHeight="true" outlineLevel="0" collapsed="false">
      <c r="B16" s="1" t="n">
        <v>8</v>
      </c>
      <c r="C16" s="1" t="n">
        <f aca="false">IF(B16&lt;=F_N,1,0)</f>
        <v>1</v>
      </c>
      <c r="D16" s="1" t="n">
        <f aca="false">'Plan pay &amp; tax'!C242</f>
        <v>8</v>
      </c>
      <c r="E16" s="111" t="n">
        <f aca="false">'Plan pay &amp; tax'!E242</f>
        <v>1.17165938100227</v>
      </c>
      <c r="F16" s="1" t="n">
        <f aca="false">'Plan pay &amp; tax'!G242</f>
        <v>1</v>
      </c>
      <c r="G16" s="1" t="n">
        <f aca="false">'Plan pay &amp; tax'!BT242-'Plan pay &amp; tax'!BS242-'Plan pay &amp; tax'!R242</f>
        <v>0</v>
      </c>
      <c r="H16" s="1" t="n">
        <f aca="false">IF(F16=1,F_CostsM*12,IF(RG_Exists=1,RG_Amount,F_CostsM*12*AS_RetireSpend))*E16+F_OneOffY*E16</f>
        <v>0</v>
      </c>
      <c r="I16" s="1" t="n">
        <f aca="false">HQ15</f>
        <v>0</v>
      </c>
      <c r="J16" s="1" t="n">
        <f aca="false">IF(I16&gt;1,'Plan debt months'!AC16,0)</f>
        <v>0</v>
      </c>
      <c r="K16" s="1" t="n">
        <f aca="false">IF(I16&gt;1,'Plan debt months'!AB16,I16)</f>
        <v>0</v>
      </c>
      <c r="L16" s="1" t="n">
        <f aca="false">N15</f>
        <v>0</v>
      </c>
      <c r="M16" s="1" t="n">
        <f aca="false">IF(L16&gt;1,'Plan debt months'!BD16,0)</f>
        <v>0</v>
      </c>
      <c r="N16" s="1" t="n">
        <f aca="false">IF(L16&gt;1,'Plan debt months'!BC16,L16)</f>
        <v>0</v>
      </c>
      <c r="O16" s="1" t="n">
        <f aca="false">Q15</f>
        <v>0</v>
      </c>
      <c r="P16" s="1" t="n">
        <f aca="false">IF(O16&gt;1,'Plan debt months'!CE16,0)</f>
        <v>0</v>
      </c>
      <c r="Q16" s="1" t="n">
        <f aca="false">IF(O16&gt;1,'Plan debt months'!CD16,O16)</f>
        <v>0</v>
      </c>
      <c r="R16" s="1" t="n">
        <f aca="false">J16+M16+P16</f>
        <v>0</v>
      </c>
      <c r="S16" s="1" t="n">
        <f aca="false">QJ15+'Plan pay &amp; tax'!Y242</f>
        <v>0</v>
      </c>
      <c r="T16" s="1" t="n">
        <f aca="false">QJ15</f>
        <v>0</v>
      </c>
      <c r="U16" s="1" t="n">
        <f aca="false">IF(AND(Slot1_On=1,D16=Slot1_Age),1,0)</f>
        <v>0</v>
      </c>
      <c r="V16" s="1" t="n">
        <f aca="false">IF(AND(Slot1_On=1,Slot1_Age&gt;D16),1,0)</f>
        <v>0</v>
      </c>
      <c r="W16" s="1" t="n">
        <f aca="false">QL15</f>
        <v>0</v>
      </c>
      <c r="X16" s="1" t="n">
        <f aca="false">U16*MIN(Slot1_Cost,W16)</f>
        <v>0</v>
      </c>
      <c r="Y16" s="1" t="n">
        <f aca="false">U16*Slot1_SpendLike*MIN(Slot1_Cost-X16,S16)</f>
        <v>0</v>
      </c>
      <c r="Z16" s="1" t="n">
        <f aca="false">X16+Y16</f>
        <v>0</v>
      </c>
      <c r="AA16" s="1" t="n">
        <f aca="false">S16-Y16+U16*IF(Slot1_SpendLike=1,W16-X16,IF(Slot1_PotFree=1,W16,0))</f>
        <v>0</v>
      </c>
      <c r="AB16" s="1" t="n">
        <f aca="false">AE16+U16*Slot1_BufPot*W16</f>
        <v>0</v>
      </c>
      <c r="AC16" s="1" t="n">
        <f aca="false">IF(AND(U16=1,Slot1_IsMfree=1),IF(Z16&gt;=Slot1_Cost-1,0,MAX(0,K16-Z16)),K16)</f>
        <v>0</v>
      </c>
      <c r="AD16" s="1" t="n">
        <f aca="false">U16*(Slot1_Cost-Z16)</f>
        <v>0</v>
      </c>
      <c r="AE16" s="1" t="n">
        <f aca="false">QK15</f>
        <v>0</v>
      </c>
      <c r="AF16" s="1" t="n">
        <f aca="false">IF(AND(Slot2_On=1,D16=Slot2_Age),1,0)</f>
        <v>0</v>
      </c>
      <c r="AG16" s="1" t="n">
        <f aca="false">IF(AND(Slot2_On=1,Slot2_Age&gt;D16),1,0)</f>
        <v>0</v>
      </c>
      <c r="AH16" s="1" t="n">
        <f aca="false">QP15</f>
        <v>0</v>
      </c>
      <c r="AI16" s="1" t="n">
        <f aca="false">AF16*MIN(Slot2_Cost,AH16)</f>
        <v>0</v>
      </c>
      <c r="AJ16" s="1" t="n">
        <f aca="false">AF16*Slot2_SpendLike*MIN(Slot2_Cost-AI16,AA16)</f>
        <v>0</v>
      </c>
      <c r="AK16" s="1" t="n">
        <f aca="false">AI16+AJ16</f>
        <v>0</v>
      </c>
      <c r="AL16" s="1" t="n">
        <f aca="false">AA16-AJ16+AF16*IF(Slot2_SpendLike=1,AH16-AI16,IF(Slot2_PotFree=1,AH16,0))</f>
        <v>0</v>
      </c>
      <c r="AM16" s="1" t="n">
        <f aca="false">AB16+AF16*Slot2_BufPot*AH16</f>
        <v>0</v>
      </c>
      <c r="AN16" s="1" t="n">
        <f aca="false">IF(AND(AF16=1,Slot2_IsMfree=1),IF(AK16&gt;=Slot2_Cost-1,0,MAX(0,AC16-AK16)),AC16)</f>
        <v>0</v>
      </c>
      <c r="AO16" s="1" t="n">
        <f aca="false">AF16*(Slot2_Cost-AK16)</f>
        <v>0</v>
      </c>
      <c r="AP16" s="1" t="n">
        <f aca="false">IF(AND(Slot3_On=1,D16=Slot3_Age),1,0)</f>
        <v>0</v>
      </c>
      <c r="AQ16" s="1" t="n">
        <f aca="false">IF(AND(Slot3_On=1,Slot3_Age&gt;D16),1,0)</f>
        <v>0</v>
      </c>
      <c r="AR16" s="1" t="n">
        <f aca="false">QT15</f>
        <v>0</v>
      </c>
      <c r="AS16" s="1" t="n">
        <f aca="false">AP16*MIN(Slot3_Cost,AR16)</f>
        <v>0</v>
      </c>
      <c r="AT16" s="1" t="n">
        <f aca="false">AP16*Slot3_SpendLike*MIN(Slot3_Cost-AS16,AL16)</f>
        <v>0</v>
      </c>
      <c r="AU16" s="1" t="n">
        <f aca="false">AS16+AT16</f>
        <v>0</v>
      </c>
      <c r="AV16" s="1" t="n">
        <f aca="false">AL16-AT16+AP16*IF(Slot3_SpendLike=1,AR16-AS16,IF(Slot3_PotFree=1,AR16,0))</f>
        <v>0</v>
      </c>
      <c r="AW16" s="1" t="n">
        <f aca="false">AM16+AP16*Slot3_BufPot*AR16</f>
        <v>0</v>
      </c>
      <c r="AX16" s="1" t="n">
        <f aca="false">IF(AND(AP16=1,Slot3_IsMfree=1),IF(AU16&gt;=Slot3_Cost-1,0,MAX(0,AN16-AU16)),AN16)</f>
        <v>0</v>
      </c>
      <c r="AY16" s="1" t="n">
        <f aca="false">AP16*(Slot3_Cost-AU16)</f>
        <v>0</v>
      </c>
      <c r="AZ16" s="1" t="n">
        <f aca="false">IF(AND(Slot4_On=1,D16=Slot4_Age),1,0)</f>
        <v>0</v>
      </c>
      <c r="BA16" s="1" t="n">
        <f aca="false">IF(AND(Slot4_On=1,Slot4_Age&gt;D16),1,0)</f>
        <v>0</v>
      </c>
      <c r="BB16" s="1" t="n">
        <f aca="false">QX15</f>
        <v>0</v>
      </c>
      <c r="BC16" s="1" t="n">
        <f aca="false">AZ16*MIN(Slot4_Cost,BB16)</f>
        <v>0</v>
      </c>
      <c r="BD16" s="1" t="n">
        <f aca="false">AZ16*Slot4_SpendLike*MIN(Slot4_Cost-BC16,AV16)</f>
        <v>0</v>
      </c>
      <c r="BE16" s="1" t="n">
        <f aca="false">BC16+BD16</f>
        <v>0</v>
      </c>
      <c r="BF16" s="1" t="n">
        <f aca="false">AV16-BD16+AZ16*IF(Slot4_SpendLike=1,BB16-BC16,IF(Slot4_PotFree=1,BB16,0))</f>
        <v>0</v>
      </c>
      <c r="BG16" s="1" t="n">
        <f aca="false">AW16+AZ16*Slot4_BufPot*BB16</f>
        <v>0</v>
      </c>
      <c r="BH16" s="1" t="n">
        <f aca="false">IF(AND(AZ16=1,Slot4_IsMfree=1),IF(BE16&gt;=Slot4_Cost-1,0,MAX(0,AX16-BE16)),AX16)</f>
        <v>0</v>
      </c>
      <c r="BI16" s="1" t="n">
        <f aca="false">AZ16*(Slot4_Cost-BE16)</f>
        <v>0</v>
      </c>
      <c r="BJ16" s="1" t="n">
        <f aca="false">IF(AND(Slot5_On=1,D16=Slot5_Age),1,0)</f>
        <v>0</v>
      </c>
      <c r="BK16" s="1" t="n">
        <f aca="false">IF(AND(Slot5_On=1,Slot5_Age&gt;D16),1,0)</f>
        <v>0</v>
      </c>
      <c r="BL16" s="1" t="n">
        <f aca="false">RB15</f>
        <v>0</v>
      </c>
      <c r="BM16" s="1" t="n">
        <f aca="false">BJ16*MIN(Slot5_Cost,BL16)</f>
        <v>0</v>
      </c>
      <c r="BN16" s="1" t="n">
        <f aca="false">BJ16*Slot5_SpendLike*MIN(Slot5_Cost-BM16,BF16)</f>
        <v>0</v>
      </c>
      <c r="BO16" s="1" t="n">
        <f aca="false">BM16+BN16</f>
        <v>0</v>
      </c>
      <c r="BP16" s="1" t="n">
        <f aca="false">BF16-BN16+BJ16*IF(Slot5_SpendLike=1,BL16-BM16,IF(Slot5_PotFree=1,BL16,0))</f>
        <v>0</v>
      </c>
      <c r="BQ16" s="1" t="n">
        <f aca="false">BG16+BJ16*Slot5_BufPot*BL16</f>
        <v>0</v>
      </c>
      <c r="BR16" s="1" t="n">
        <f aca="false">IF(AND(BJ16=1,Slot5_IsMfree=1),IF(BO16&gt;=Slot5_Cost-1,0,MAX(0,BH16-BO16)),BH16)</f>
        <v>0</v>
      </c>
      <c r="BS16" s="1" t="n">
        <f aca="false">BJ16*(Slot5_Cost-BO16)</f>
        <v>0</v>
      </c>
      <c r="BT16" s="1" t="n">
        <f aca="false">IF(AND(Slot6_On=1,D16=Slot6_Age),1,0)</f>
        <v>0</v>
      </c>
      <c r="BU16" s="1" t="n">
        <f aca="false">IF(AND(Slot6_On=1,Slot6_Age&gt;D16),1,0)</f>
        <v>0</v>
      </c>
      <c r="BV16" s="1" t="n">
        <f aca="false">RF15</f>
        <v>0</v>
      </c>
      <c r="BW16" s="1" t="n">
        <f aca="false">BT16*MIN(Slot6_Cost,BV16)</f>
        <v>0</v>
      </c>
      <c r="BX16" s="1" t="n">
        <f aca="false">BT16*Slot6_SpendLike*MIN(Slot6_Cost-BW16,BP16)</f>
        <v>0</v>
      </c>
      <c r="BY16" s="1" t="n">
        <f aca="false">BW16+BX16</f>
        <v>0</v>
      </c>
      <c r="BZ16" s="1" t="n">
        <f aca="false">BP16-BX16+BT16*IF(Slot6_SpendLike=1,BV16-BW16,IF(Slot6_PotFree=1,BV16,0))</f>
        <v>0</v>
      </c>
      <c r="CA16" s="1" t="n">
        <f aca="false">BQ16+BT16*Slot6_BufPot*BV16</f>
        <v>0</v>
      </c>
      <c r="CB16" s="1" t="n">
        <f aca="false">IF(AND(BT16=1,Slot6_IsMfree=1),IF(BY16&gt;=Slot6_Cost-1,0,MAX(0,BR16-BY16)),BR16)</f>
        <v>0</v>
      </c>
      <c r="CC16" s="1" t="n">
        <f aca="false">BT16*(Slot6_Cost-BY16)</f>
        <v>0</v>
      </c>
      <c r="CD16" s="1" t="n">
        <f aca="false">IF(AND(Slot7_On=1,D16=Slot7_Age),1,0)</f>
        <v>0</v>
      </c>
      <c r="CE16" s="1" t="n">
        <f aca="false">IF(AND(Slot7_On=1,Slot7_Age&gt;D16),1,0)</f>
        <v>0</v>
      </c>
      <c r="CF16" s="1" t="n">
        <f aca="false">RJ15</f>
        <v>0</v>
      </c>
      <c r="CG16" s="1" t="n">
        <f aca="false">CD16*MIN(Slot7_Cost,CF16)</f>
        <v>0</v>
      </c>
      <c r="CH16" s="1" t="n">
        <f aca="false">CD16*Slot7_SpendLike*MIN(Slot7_Cost-CG16,BZ16)</f>
        <v>0</v>
      </c>
      <c r="CI16" s="1" t="n">
        <f aca="false">CG16+CH16</f>
        <v>0</v>
      </c>
      <c r="CJ16" s="1" t="n">
        <f aca="false">BZ16-CH16+CD16*IF(Slot7_SpendLike=1,CF16-CG16,IF(Slot7_PotFree=1,CF16,0))</f>
        <v>0</v>
      </c>
      <c r="CK16" s="1" t="n">
        <f aca="false">CA16+CD16*Slot7_BufPot*CF16</f>
        <v>0</v>
      </c>
      <c r="CL16" s="1" t="n">
        <f aca="false">IF(AND(CD16=1,Slot7_IsMfree=1),IF(CI16&gt;=Slot7_Cost-1,0,MAX(0,CB16-CI16)),CB16)</f>
        <v>0</v>
      </c>
      <c r="CM16" s="1" t="n">
        <f aca="false">CD16*(Slot7_Cost-CI16)</f>
        <v>0</v>
      </c>
      <c r="CN16" s="1" t="n">
        <f aca="false">IF(AND(Slot8_On=1,D16=Slot8_Age),1,0)</f>
        <v>0</v>
      </c>
      <c r="CO16" s="1" t="n">
        <f aca="false">IF(AND(Slot8_On=1,Slot8_Age&gt;D16),1,0)</f>
        <v>0</v>
      </c>
      <c r="CP16" s="1" t="n">
        <f aca="false">RN15</f>
        <v>0</v>
      </c>
      <c r="CQ16" s="1" t="n">
        <f aca="false">CN16*MIN(Slot8_Cost,CP16)</f>
        <v>0</v>
      </c>
      <c r="CR16" s="1" t="n">
        <f aca="false">CN16*Slot8_SpendLike*MIN(Slot8_Cost-CQ16,CJ16)</f>
        <v>0</v>
      </c>
      <c r="CS16" s="1" t="n">
        <f aca="false">CQ16+CR16</f>
        <v>0</v>
      </c>
      <c r="CT16" s="1" t="n">
        <f aca="false">CJ16-CR16+CN16*IF(Slot8_SpendLike=1,CP16-CQ16,IF(Slot8_PotFree=1,CP16,0))</f>
        <v>0</v>
      </c>
      <c r="CU16" s="1" t="n">
        <f aca="false">CK16+CN16*Slot8_BufPot*CP16</f>
        <v>0</v>
      </c>
      <c r="CV16" s="1" t="n">
        <f aca="false">IF(AND(CN16=1,Slot8_IsMfree=1),IF(CS16&gt;=Slot8_Cost-1,0,MAX(0,CL16-CS16)),CL16)</f>
        <v>0</v>
      </c>
      <c r="CW16" s="1" t="n">
        <f aca="false">CN16*(Slot8_Cost-CS16)</f>
        <v>0</v>
      </c>
      <c r="CX16" s="1" t="n">
        <f aca="false">IF(AND(Slot9_On=1,D16=Slot9_Age),1,0)</f>
        <v>0</v>
      </c>
      <c r="CY16" s="1" t="n">
        <f aca="false">IF(AND(Slot9_On=1,Slot9_Age&gt;D16),1,0)</f>
        <v>0</v>
      </c>
      <c r="CZ16" s="1" t="n">
        <f aca="false">RR15</f>
        <v>0</v>
      </c>
      <c r="DA16" s="1" t="n">
        <f aca="false">CX16*MIN(Slot9_Cost,CZ16)</f>
        <v>0</v>
      </c>
      <c r="DB16" s="1" t="n">
        <f aca="false">CX16*Slot9_SpendLike*MIN(Slot9_Cost-DA16,CT16)</f>
        <v>0</v>
      </c>
      <c r="DC16" s="1" t="n">
        <f aca="false">DA16+DB16</f>
        <v>0</v>
      </c>
      <c r="DD16" s="1" t="n">
        <f aca="false">CT16-DB16+CX16*IF(Slot9_SpendLike=1,CZ16-DA16,IF(Slot9_PotFree=1,CZ16,0))</f>
        <v>0</v>
      </c>
      <c r="DE16" s="1" t="n">
        <f aca="false">CU16+CX16*Slot9_BufPot*CZ16</f>
        <v>0</v>
      </c>
      <c r="DF16" s="1" t="n">
        <f aca="false">IF(AND(CX16=1,Slot9_IsMfree=1),IF(DC16&gt;=Slot9_Cost-1,0,MAX(0,CV16-DC16)),CV16)</f>
        <v>0</v>
      </c>
      <c r="DG16" s="1" t="n">
        <f aca="false">CX16*(Slot9_Cost-DC16)</f>
        <v>0</v>
      </c>
      <c r="DH16" s="1" t="n">
        <f aca="false">IF(AND(Slot10_On=1,D16=Slot10_Age),1,0)</f>
        <v>0</v>
      </c>
      <c r="DI16" s="1" t="n">
        <f aca="false">IF(AND(Slot10_On=1,Slot10_Age&gt;D16),1,0)</f>
        <v>0</v>
      </c>
      <c r="DJ16" s="1" t="n">
        <f aca="false">RV15</f>
        <v>0</v>
      </c>
      <c r="DK16" s="1" t="n">
        <f aca="false">DH16*MIN(Slot10_Cost,DJ16)</f>
        <v>0</v>
      </c>
      <c r="DL16" s="1" t="n">
        <f aca="false">DH16*Slot10_SpendLike*MIN(Slot10_Cost-DK16,DD16)</f>
        <v>0</v>
      </c>
      <c r="DM16" s="1" t="n">
        <f aca="false">DK16+DL16</f>
        <v>0</v>
      </c>
      <c r="DN16" s="1" t="n">
        <f aca="false">DD16-DL16+DH16*IF(Slot10_SpendLike=1,DJ16-DK16,IF(Slot10_PotFree=1,DJ16,0))</f>
        <v>0</v>
      </c>
      <c r="DO16" s="1" t="n">
        <f aca="false">DE16+DH16*Slot10_BufPot*DJ16</f>
        <v>0</v>
      </c>
      <c r="DP16" s="1" t="n">
        <f aca="false">IF(AND(DH16=1,Slot10_IsMfree=1),IF(DM16&gt;=Slot10_Cost-1,0,MAX(0,DF16-DM16)),DF16)</f>
        <v>0</v>
      </c>
      <c r="DQ16" s="1" t="n">
        <f aca="false">DH16*(Slot10_Cost-DM16)</f>
        <v>0</v>
      </c>
      <c r="DR16" s="1" t="n">
        <f aca="false">IF(AND(Slot11_On=1,D16=Slot11_Age),1,0)</f>
        <v>0</v>
      </c>
      <c r="DS16" s="1" t="n">
        <f aca="false">IF(AND(Slot11_On=1,Slot11_Age&gt;D16),1,0)</f>
        <v>0</v>
      </c>
      <c r="DT16" s="1" t="n">
        <f aca="false">RZ15</f>
        <v>0</v>
      </c>
      <c r="DU16" s="1" t="n">
        <f aca="false">DR16*MIN(Slot11_Cost,DT16)</f>
        <v>0</v>
      </c>
      <c r="DV16" s="1" t="n">
        <f aca="false">DR16*Slot11_SpendLike*MIN(Slot11_Cost-DU16,DN16)</f>
        <v>0</v>
      </c>
      <c r="DW16" s="1" t="n">
        <f aca="false">DU16+DV16</f>
        <v>0</v>
      </c>
      <c r="DX16" s="1" t="n">
        <f aca="false">DN16-DV16+DR16*IF(Slot11_SpendLike=1,DT16-DU16,IF(Slot11_PotFree=1,DT16,0))</f>
        <v>0</v>
      </c>
      <c r="DY16" s="1" t="n">
        <f aca="false">DO16+DR16*Slot11_BufPot*DT16</f>
        <v>0</v>
      </c>
      <c r="DZ16" s="1" t="n">
        <f aca="false">IF(AND(DR16=1,Slot11_IsMfree=1),IF(DW16&gt;=Slot11_Cost-1,0,MAX(0,DP16-DW16)),DP16)</f>
        <v>0</v>
      </c>
      <c r="EA16" s="1" t="n">
        <f aca="false">DR16*(Slot11_Cost-DW16)</f>
        <v>0</v>
      </c>
      <c r="EB16" s="1" t="n">
        <f aca="false">IF(AND(Slot12_On=1,D16=Slot12_Age),1,0)</f>
        <v>0</v>
      </c>
      <c r="EC16" s="1" t="n">
        <f aca="false">IF(AND(Slot12_On=1,Slot12_Age&gt;D16),1,0)</f>
        <v>0</v>
      </c>
      <c r="ED16" s="1" t="n">
        <f aca="false">SD15</f>
        <v>0</v>
      </c>
      <c r="EE16" s="1" t="n">
        <f aca="false">EB16*MIN(Slot12_Cost,ED16)</f>
        <v>0</v>
      </c>
      <c r="EF16" s="1" t="n">
        <f aca="false">EB16*Slot12_SpendLike*MIN(Slot12_Cost-EE16,DX16)</f>
        <v>0</v>
      </c>
      <c r="EG16" s="1" t="n">
        <f aca="false">EE16+EF16</f>
        <v>0</v>
      </c>
      <c r="EH16" s="1" t="n">
        <f aca="false">DX16-EF16+EB16*IF(Slot12_SpendLike=1,ED16-EE16,IF(Slot12_PotFree=1,ED16,0))</f>
        <v>0</v>
      </c>
      <c r="EI16" s="1" t="n">
        <f aca="false">DY16+EB16*Slot12_BufPot*ED16</f>
        <v>0</v>
      </c>
      <c r="EJ16" s="1" t="n">
        <f aca="false">IF(AND(EB16=1,Slot12_IsMfree=1),IF(EG16&gt;=Slot12_Cost-1,0,MAX(0,DZ16-EG16)),DZ16)</f>
        <v>0</v>
      </c>
      <c r="EK16" s="1" t="n">
        <f aca="false">EB16*(Slot12_Cost-EG16)</f>
        <v>0</v>
      </c>
      <c r="EL16" s="1" t="n">
        <f aca="false">IF(AND(Slot13_On=1,D16=Slot13_Age),1,0)</f>
        <v>0</v>
      </c>
      <c r="EM16" s="1" t="n">
        <f aca="false">IF(AND(Slot13_On=1,Slot13_Age&gt;D16),1,0)</f>
        <v>0</v>
      </c>
      <c r="EN16" s="1" t="n">
        <f aca="false">SH15</f>
        <v>0</v>
      </c>
      <c r="EO16" s="1" t="n">
        <f aca="false">EL16*MIN(Slot13_Cost,EN16)</f>
        <v>0</v>
      </c>
      <c r="EP16" s="1" t="n">
        <f aca="false">EL16*Slot13_SpendLike*MIN(Slot13_Cost-EO16,EH16)</f>
        <v>0</v>
      </c>
      <c r="EQ16" s="1" t="n">
        <f aca="false">EO16+EP16</f>
        <v>0</v>
      </c>
      <c r="ER16" s="1" t="n">
        <f aca="false">EH16-EP16+EL16*IF(Slot13_SpendLike=1,EN16-EO16,IF(Slot13_PotFree=1,EN16,0))</f>
        <v>0</v>
      </c>
      <c r="ES16" s="1" t="n">
        <f aca="false">EI16+EL16*Slot13_BufPot*EN16</f>
        <v>0</v>
      </c>
      <c r="ET16" s="1" t="n">
        <f aca="false">IF(AND(EL16=1,Slot13_IsMfree=1),IF(EQ16&gt;=Slot13_Cost-1,0,MAX(0,EJ16-EQ16)),EJ16)</f>
        <v>0</v>
      </c>
      <c r="EU16" s="1" t="n">
        <f aca="false">EL16*(Slot13_Cost-EQ16)</f>
        <v>0</v>
      </c>
      <c r="EV16" s="1" t="n">
        <f aca="false">IF(AND(Slot14_On=1,D16=Slot14_Age),1,0)</f>
        <v>0</v>
      </c>
      <c r="EW16" s="1" t="n">
        <f aca="false">IF(AND(Slot14_On=1,Slot14_Age&gt;D16),1,0)</f>
        <v>0</v>
      </c>
      <c r="EX16" s="1" t="n">
        <f aca="false">SL15</f>
        <v>0</v>
      </c>
      <c r="EY16" s="1" t="n">
        <f aca="false">EV16*MIN(Slot14_Cost,EX16)</f>
        <v>0</v>
      </c>
      <c r="EZ16" s="1" t="n">
        <f aca="false">EV16*Slot14_SpendLike*MIN(Slot14_Cost-EY16,ER16)</f>
        <v>0</v>
      </c>
      <c r="FA16" s="1" t="n">
        <f aca="false">EY16+EZ16</f>
        <v>0</v>
      </c>
      <c r="FB16" s="1" t="n">
        <f aca="false">ER16-EZ16+EV16*IF(Slot14_SpendLike=1,EX16-EY16,IF(Slot14_PotFree=1,EX16,0))</f>
        <v>0</v>
      </c>
      <c r="FC16" s="1" t="n">
        <f aca="false">ES16+EV16*Slot14_BufPot*EX16</f>
        <v>0</v>
      </c>
      <c r="FD16" s="1" t="n">
        <f aca="false">IF(AND(EV16=1,Slot14_IsMfree=1),IF(FA16&gt;=Slot14_Cost-1,0,MAX(0,ET16-FA16)),ET16)</f>
        <v>0</v>
      </c>
      <c r="FE16" s="1" t="n">
        <f aca="false">EV16*(Slot14_Cost-FA16)</f>
        <v>0</v>
      </c>
      <c r="FF16" s="1" t="n">
        <f aca="false">IF(AND(Slot15_On=1,D16=Slot15_Age),1,0)</f>
        <v>0</v>
      </c>
      <c r="FG16" s="1" t="n">
        <f aca="false">IF(AND(Slot15_On=1,Slot15_Age&gt;D16),1,0)</f>
        <v>0</v>
      </c>
      <c r="FH16" s="1" t="n">
        <f aca="false">SP15</f>
        <v>0</v>
      </c>
      <c r="FI16" s="1" t="n">
        <f aca="false">FF16*MIN(Slot15_Cost,FH16)</f>
        <v>0</v>
      </c>
      <c r="FJ16" s="1" t="n">
        <f aca="false">FF16*Slot15_SpendLike*MIN(Slot15_Cost-FI16,FB16)</f>
        <v>0</v>
      </c>
      <c r="FK16" s="1" t="n">
        <f aca="false">FI16+FJ16</f>
        <v>0</v>
      </c>
      <c r="FL16" s="1" t="n">
        <f aca="false">FB16-FJ16+FF16*IF(Slot15_SpendLike=1,FH16-FI16,IF(Slot15_PotFree=1,FH16,0))</f>
        <v>0</v>
      </c>
      <c r="FM16" s="1" t="n">
        <f aca="false">FC16+FF16*Slot15_BufPot*FH16</f>
        <v>0</v>
      </c>
      <c r="FN16" s="1" t="n">
        <f aca="false">IF(AND(FF16=1,Slot15_IsMfree=1),IF(FK16&gt;=Slot15_Cost-1,0,MAX(0,FD16-FK16)),FD16)</f>
        <v>0</v>
      </c>
      <c r="FO16" s="1" t="n">
        <f aca="false">FF16*(Slot15_Cost-FK16)</f>
        <v>0</v>
      </c>
      <c r="FP16" s="1" t="n">
        <f aca="false">IF(AND(Slot16_On=1,D16=Slot16_Age),1,0)</f>
        <v>0</v>
      </c>
      <c r="FQ16" s="1" t="n">
        <f aca="false">IF(AND(Slot16_On=1,Slot16_Age&gt;D16),1,0)</f>
        <v>0</v>
      </c>
      <c r="FR16" s="1" t="n">
        <f aca="false">ST15</f>
        <v>0</v>
      </c>
      <c r="FS16" s="1" t="n">
        <f aca="false">FP16*MIN(Slot16_Cost,FR16)</f>
        <v>0</v>
      </c>
      <c r="FT16" s="1" t="n">
        <f aca="false">FP16*Slot16_SpendLike*MIN(Slot16_Cost-FS16,FL16)</f>
        <v>0</v>
      </c>
      <c r="FU16" s="1" t="n">
        <f aca="false">FS16+FT16</f>
        <v>0</v>
      </c>
      <c r="FV16" s="1" t="n">
        <f aca="false">FL16-FT16+FP16*IF(Slot16_SpendLike=1,FR16-FS16,IF(Slot16_PotFree=1,FR16,0))</f>
        <v>0</v>
      </c>
      <c r="FW16" s="1" t="n">
        <f aca="false">FM16+FP16*Slot16_BufPot*FR16</f>
        <v>0</v>
      </c>
      <c r="FX16" s="1" t="n">
        <f aca="false">IF(AND(FP16=1,Slot16_IsMfree=1),IF(FU16&gt;=Slot16_Cost-1,0,MAX(0,FN16-FU16)),FN16)</f>
        <v>0</v>
      </c>
      <c r="FY16" s="1" t="n">
        <f aca="false">FP16*(Slot16_Cost-FU16)</f>
        <v>0</v>
      </c>
      <c r="FZ16" s="1" t="n">
        <f aca="false">IF(AND(Slot17_On=1,D16=Slot17_Age),1,0)</f>
        <v>0</v>
      </c>
      <c r="GA16" s="1" t="n">
        <f aca="false">IF(AND(Slot17_On=1,Slot17_Age&gt;D16),1,0)</f>
        <v>0</v>
      </c>
      <c r="GB16" s="1" t="n">
        <f aca="false">SX15</f>
        <v>0</v>
      </c>
      <c r="GC16" s="1" t="n">
        <f aca="false">FZ16*MIN(Slot17_Cost,GB16)</f>
        <v>0</v>
      </c>
      <c r="GD16" s="1" t="n">
        <f aca="false">FZ16*Slot17_SpendLike*MIN(Slot17_Cost-GC16,FV16)</f>
        <v>0</v>
      </c>
      <c r="GE16" s="1" t="n">
        <f aca="false">GC16+GD16</f>
        <v>0</v>
      </c>
      <c r="GF16" s="1" t="n">
        <f aca="false">FV16-GD16+FZ16*IF(Slot17_SpendLike=1,GB16-GC16,IF(Slot17_PotFree=1,GB16,0))</f>
        <v>0</v>
      </c>
      <c r="GG16" s="1" t="n">
        <f aca="false">FW16+FZ16*Slot17_BufPot*GB16</f>
        <v>0</v>
      </c>
      <c r="GH16" s="1" t="n">
        <f aca="false">IF(AND(FZ16=1,Slot17_IsMfree=1),IF(GE16&gt;=Slot17_Cost-1,0,MAX(0,FX16-GE16)),FX16)</f>
        <v>0</v>
      </c>
      <c r="GI16" s="1" t="n">
        <f aca="false">FZ16*(Slot17_Cost-GE16)</f>
        <v>0</v>
      </c>
      <c r="GJ16" s="1" t="n">
        <f aca="false">IF(AND(Slot18_On=1,D16=Slot18_Age),1,0)</f>
        <v>0</v>
      </c>
      <c r="GK16" s="1" t="n">
        <f aca="false">IF(AND(Slot18_On=1,Slot18_Age&gt;D16),1,0)</f>
        <v>0</v>
      </c>
      <c r="GL16" s="1" t="n">
        <f aca="false">TB15</f>
        <v>0</v>
      </c>
      <c r="GM16" s="1" t="n">
        <f aca="false">GJ16*MIN(Slot18_Cost,GL16)</f>
        <v>0</v>
      </c>
      <c r="GN16" s="1" t="n">
        <f aca="false">GJ16*Slot18_SpendLike*MIN(Slot18_Cost-GM16,GF16)</f>
        <v>0</v>
      </c>
      <c r="GO16" s="1" t="n">
        <f aca="false">GM16+GN16</f>
        <v>0</v>
      </c>
      <c r="GP16" s="1" t="n">
        <f aca="false">GF16-GN16+GJ16*IF(Slot18_SpendLike=1,GL16-GM16,IF(Slot18_PotFree=1,GL16,0))</f>
        <v>0</v>
      </c>
      <c r="GQ16" s="1" t="n">
        <f aca="false">GG16+GJ16*Slot18_BufPot*GL16</f>
        <v>0</v>
      </c>
      <c r="GR16" s="1" t="n">
        <f aca="false">IF(AND(GJ16=1,Slot18_IsMfree=1),IF(GO16&gt;=Slot18_Cost-1,0,MAX(0,GH16-GO16)),GH16)</f>
        <v>0</v>
      </c>
      <c r="GS16" s="1" t="n">
        <f aca="false">GJ16*(Slot18_Cost-GO16)</f>
        <v>0</v>
      </c>
      <c r="GT16" s="1" t="n">
        <f aca="false">IF(AND(Slot19_On=1,D16=Slot19_Age),1,0)</f>
        <v>0</v>
      </c>
      <c r="GU16" s="1" t="n">
        <f aca="false">IF(AND(Slot19_On=1,Slot19_Age&gt;D16),1,0)</f>
        <v>0</v>
      </c>
      <c r="GV16" s="1" t="n">
        <f aca="false">TF15</f>
        <v>0</v>
      </c>
      <c r="GW16" s="1" t="n">
        <f aca="false">GT16*MIN(Slot19_Cost,GV16)</f>
        <v>0</v>
      </c>
      <c r="GX16" s="1" t="n">
        <f aca="false">GT16*Slot19_SpendLike*MIN(Slot19_Cost-GW16,GP16)</f>
        <v>0</v>
      </c>
      <c r="GY16" s="1" t="n">
        <f aca="false">GW16+GX16</f>
        <v>0</v>
      </c>
      <c r="GZ16" s="1" t="n">
        <f aca="false">GP16-GX16+GT16*IF(Slot19_SpendLike=1,GV16-GW16,IF(Slot19_PotFree=1,GV16,0))</f>
        <v>0</v>
      </c>
      <c r="HA16" s="1" t="n">
        <f aca="false">GQ16+GT16*Slot19_BufPot*GV16</f>
        <v>0</v>
      </c>
      <c r="HB16" s="1" t="n">
        <f aca="false">IF(AND(GT16=1,Slot19_IsMfree=1),IF(GY16&gt;=Slot19_Cost-1,0,MAX(0,GR16-GY16)),GR16)</f>
        <v>0</v>
      </c>
      <c r="HC16" s="1" t="n">
        <f aca="false">GT16*(Slot19_Cost-GY16)</f>
        <v>0</v>
      </c>
      <c r="HD16" s="1" t="n">
        <f aca="false">IF(AND(Slot20_On=1,D16=Slot20_Age),1,0)</f>
        <v>0</v>
      </c>
      <c r="HE16" s="1" t="n">
        <f aca="false">IF(AND(Slot20_On=1,Slot20_Age&gt;D16),1,0)</f>
        <v>0</v>
      </c>
      <c r="HF16" s="1" t="n">
        <f aca="false">TJ15</f>
        <v>0</v>
      </c>
      <c r="HG16" s="1" t="n">
        <f aca="false">HD16*MIN(Slot20_Cost,HF16)</f>
        <v>0</v>
      </c>
      <c r="HH16" s="1" t="n">
        <f aca="false">HD16*Slot20_SpendLike*MIN(Slot20_Cost-HG16,GZ16)</f>
        <v>0</v>
      </c>
      <c r="HI16" s="1" t="n">
        <f aca="false">HG16+HH16</f>
        <v>0</v>
      </c>
      <c r="HJ16" s="1" t="n">
        <f aca="false">GZ16-HH16+HD16*IF(Slot20_SpendLike=1,HF16-HG16,IF(Slot20_PotFree=1,HF16,0))</f>
        <v>0</v>
      </c>
      <c r="HK16" s="1" t="n">
        <f aca="false">HA16+HD16*Slot20_BufPot*HF16</f>
        <v>0</v>
      </c>
      <c r="HL16" s="1" t="n">
        <f aca="false">IF(AND(HD16=1,Slot20_IsMfree=1),IF(HI16&gt;=Slot20_Cost-1,0,MAX(0,HB16-HI16)),HB16)</f>
        <v>0</v>
      </c>
      <c r="HM16" s="1" t="n">
        <f aca="false">HD16*(Slot20_Cost-HI16)</f>
        <v>0</v>
      </c>
      <c r="HN16" s="1" t="n">
        <f aca="false">U16*Slot1_SpendLike*Z16+AF16*Slot2_SpendLike*AK16+AP16*Slot3_SpendLike*AU16+AZ16*Slot4_SpendLike*BE16+BJ16*Slot5_SpendLike*BO16+BT16*Slot6_SpendLike*BY16+CD16*Slot7_SpendLike*CI16+CN16*Slot8_SpendLike*CS16+CX16*Slot9_SpendLike*DC16+DH16*Slot10_SpendLike*DM16+DR16*Slot11_SpendLike*DW16+EB16*Slot12_SpendLike*EG16+EL16*Slot13_SpendLike*EQ16+EV16*Slot14_SpendLike*FA16+FF16*Slot15_SpendLike*FK16+FP16*Slot16_SpendLike*FU16+FZ16*Slot17_SpendLike*GE16+GJ16*Slot18_SpendLike*GO16+GT16*Slot19_SpendLike*GY16+HD16*Slot20_SpendLike*HI16</f>
        <v>0</v>
      </c>
      <c r="HO16" s="1" t="n">
        <f aca="false">AD16+AO16+AY16+BI16+BS16+CC16+CM16+CW16+DG16+DQ16+EA16+EK16+EU16+FE16+FO16+FY16+GI16+GS16+HC16+HM16</f>
        <v>0</v>
      </c>
      <c r="HP16" s="1" t="n">
        <f aca="false">U16*Slot1_Cost+AF16*Slot2_Cost+AP16*Slot3_Cost+AZ16*Slot4_Cost+BJ16*Slot5_Cost+BT16*Slot6_Cost+CD16*Slot7_Cost+CN16*Slot8_Cost+CX16*Slot9_Cost+DH16*Slot10_Cost+DR16*Slot11_Cost+EB16*Slot12_Cost+EL16*Slot13_Cost+EV16*Slot14_Cost+FF16*Slot15_Cost+FP16*Slot16_Cost+FZ16*Slot17_Cost+GJ16*Slot18_Cost+GT16*Slot19_Cost+HD16*Slot20_Cost</f>
        <v>0</v>
      </c>
      <c r="HQ16" s="1" t="n">
        <f aca="false">HL16</f>
        <v>0</v>
      </c>
      <c r="HR16" s="1" t="n">
        <f aca="false">G16-H16-R16</f>
        <v>0</v>
      </c>
      <c r="HS16" s="1" t="n">
        <f aca="false">IF(B16=0,IF(AND(Has_q6=1,In_q6=4),PR_ShareVaries*(MAX(0,HR16)/12),MIN(IF(Has_q6=1,CHOOSE(In_q6+1,PR_SaveB1,PR_SaveB2,PR_SaveB3,PR_SaveB4,0),AS_NoAnswer),AS_SaveShare*(MAX(0,HR16)/12))),HS15)</f>
        <v>0</v>
      </c>
      <c r="HT16" s="1" t="n">
        <f aca="false">IF(HR16&gt;=0,1,0)</f>
        <v>1</v>
      </c>
      <c r="HU16" s="1" t="n">
        <f aca="false">MAX(0,HR16/12/E16)</f>
        <v>0</v>
      </c>
      <c r="HV16" s="1" t="n">
        <f aca="false">IF(AND(Has_q6=1,In_q6=4),PR_ShareVaries*(HU16),MIN(IF(Has_q6=1,CHOOSE(In_q6+1,PR_SaveB1,PR_SaveB2,PR_SaveB3,PR_SaveB4,0),AS_NoAnswer),AS_SaveShare*(HU16)))</f>
        <v>0</v>
      </c>
      <c r="HW16" s="1" t="n">
        <f aca="false">IF(Has_saveM=1,IF(In_saveUp="Yes",1,IF(In_saveUp="No",0,IF(In_saveM&gt;=HS16-0.5,1,0))),0)</f>
        <v>0</v>
      </c>
      <c r="HX16" s="1" t="n">
        <f aca="false">IF(Has_saveM=1,MIN(HU16,IF(HW16=1,MAX(In_saveM,HV16),MIN(In_saveM,HV16))),HV16)</f>
        <v>0</v>
      </c>
      <c r="HY16" s="1" t="n">
        <f aca="false">IF(F16=1,HX16*12*E16,0)</f>
        <v>0</v>
      </c>
      <c r="HZ16" s="1" t="n">
        <f aca="false">MAX(0,HY16+IF(AND(WI_Retire=0,WI_M&lt;0,F16=1),WI_M*12*E16,0))</f>
        <v>0</v>
      </c>
      <c r="IA16" s="1" t="n">
        <f aca="false">Slot1_IsWG*V16+Slot2_IsWG*AG16+Slot3_IsWG*AQ16+Slot4_IsWG*BA16+Slot5_IsWG*BK16+Slot6_IsWG*BU16+Slot7_IsWG*CE16+Slot8_IsWG*CO16+Slot9_IsWG*CY16+Slot10_IsWG*DI16+Slot11_IsWG*DS16+Slot12_IsWG*EC16+Slot13_IsWG*EM16+Slot14_IsWG*EW16+Slot15_IsWG*FG16+Slot16_IsWG*FQ16+Slot17_IsWG*GA16+Slot18_IsWG*GK16+Slot19_IsWG*GU16+Slot20_IsWG*HE16</f>
        <v>0</v>
      </c>
      <c r="IB16" s="1" t="n">
        <f aca="false">IF(AND(WI_Retire=0,WI_M&gt;0,F16=1,IA16&gt;=1),WI_M*12*E16,0)</f>
        <v>0</v>
      </c>
      <c r="IC16" s="1" t="n">
        <f aca="false">IF(HT16=1,MIN(HZ16,HR16),0)</f>
        <v>0</v>
      </c>
      <c r="ID16" s="1" t="n">
        <f aca="false">IF(HT16=1,MIN(IB16,HR16-IC16),0)</f>
        <v>0</v>
      </c>
      <c r="IE16" s="1" t="n">
        <f aca="false">IF(V16=1,IF(ABS((1+AS_Wage)/(1+Slot1_Rate)-1)&lt;0.000000000001,(Slot1_Age-D16)*(1+Slot1_Rate)^(Slot1_Age-D16),(1+Slot1_Rate)^(Slot1_Age-D16)*(1-((1+AS_Wage)/(1+Slot1_Rate))^(Slot1_Age-D16))/(1-(1+AS_Wage)/(1+Slot1_Rate))),1)</f>
        <v>1</v>
      </c>
      <c r="IF16" s="1" t="n">
        <f aca="false">IF(AND(HT16=1,ID16&gt;0,Slot1_IsWG=1,V16=1),MAX(0,(Slot1_Cost-W16*(1+Slot1_Rate)^(Slot1_Age-D16))/IE16),0)</f>
        <v>0</v>
      </c>
      <c r="IG16" s="1" t="n">
        <f aca="false">IF(AND(HT16=1,ID16&gt;0,Slot1_IsWG=1,V16=1),MIN(ID16,IF16),0)</f>
        <v>0</v>
      </c>
      <c r="IH16" s="1" t="n">
        <f aca="false">W16+IG16</f>
        <v>0</v>
      </c>
      <c r="II16" s="1" t="n">
        <f aca="false">IF(V16=1,MAX(0,(Slot1_Cost-IH16*(1+Slot1_Rate)^(Slot1_Age-D16))/IE16),0)</f>
        <v>0</v>
      </c>
      <c r="IJ16" s="1" t="n">
        <f aca="false">IF(V16=1,MAX(0,(Slot1_Cost-W16*(1+Slot1_Rate)^(Slot1_Age-D16))/IE16),0)</f>
        <v>0</v>
      </c>
      <c r="IK16" s="1" t="n">
        <f aca="false">IF(AND(HT16=1,V16=1),MIN(IC16,II16),0)</f>
        <v>0</v>
      </c>
      <c r="IL16" s="1" t="n">
        <f aca="false">IC16-IK16</f>
        <v>0</v>
      </c>
      <c r="IM16" s="1" t="n">
        <f aca="false">IF(AG16=1,IF(ABS((1+AS_Wage)/(1+Slot2_Rate)-1)&lt;0.000000000001,(Slot2_Age-D16)*(1+Slot2_Rate)^(Slot2_Age-D16),(1+Slot2_Rate)^(Slot2_Age-D16)*(1-((1+AS_Wage)/(1+Slot2_Rate))^(Slot2_Age-D16))/(1-(1+AS_Wage)/(1+Slot2_Rate))),1)</f>
        <v>1</v>
      </c>
      <c r="IN16" s="1" t="n">
        <f aca="false">IF(AND(HT16=1,ID16&gt;0,Slot2_IsWG=1,AG16=1),MAX(0,(Slot2_Cost-AH16*(1+Slot2_Rate)^(Slot2_Age-D16))/IM16),0)</f>
        <v>0</v>
      </c>
      <c r="IO16" s="1" t="n">
        <f aca="false">IF(AND(HT16=1,ID16&gt;0,Slot2_IsWG=1,AG16=1),MIN(ID16,IN16),0)</f>
        <v>0</v>
      </c>
      <c r="IP16" s="1" t="n">
        <f aca="false">AH16+IO16</f>
        <v>0</v>
      </c>
      <c r="IQ16" s="1" t="n">
        <f aca="false">IF(AG16=1,MAX(0,(Slot2_Cost-IP16*(1+Slot2_Rate)^(Slot2_Age-D16))/IM16),0)</f>
        <v>0</v>
      </c>
      <c r="IR16" s="1" t="n">
        <f aca="false">IF(AG16=1,MAX(0,(Slot2_Cost-AH16*(1+Slot2_Rate)^(Slot2_Age-D16))/IM16),0)</f>
        <v>0</v>
      </c>
      <c r="IS16" s="1" t="n">
        <f aca="false">IF(AND(HT16=1,AG16=1),MIN(IL16,IQ16),0)</f>
        <v>0</v>
      </c>
      <c r="IT16" s="1" t="n">
        <f aca="false">IL16-IS16</f>
        <v>0</v>
      </c>
      <c r="IU16" s="1" t="n">
        <f aca="false">IF(AQ16=1,IF(ABS((1+AS_Wage)/(1+Slot3_Rate)-1)&lt;0.000000000001,(Slot3_Age-D16)*(1+Slot3_Rate)^(Slot3_Age-D16),(1+Slot3_Rate)^(Slot3_Age-D16)*(1-((1+AS_Wage)/(1+Slot3_Rate))^(Slot3_Age-D16))/(1-(1+AS_Wage)/(1+Slot3_Rate))),1)</f>
        <v>1</v>
      </c>
      <c r="IV16" s="1" t="n">
        <f aca="false">IF(AND(HT16=1,ID16&gt;0,Slot3_IsWG=1,AQ16=1),MAX(0,(Slot3_Cost-AR16*(1+Slot3_Rate)^(Slot3_Age-D16))/IU16),0)</f>
        <v>0</v>
      </c>
      <c r="IW16" s="1" t="n">
        <f aca="false">IF(AND(HT16=1,ID16&gt;0,Slot3_IsWG=1,AQ16=1),MIN(ID16,IV16),0)</f>
        <v>0</v>
      </c>
      <c r="IX16" s="1" t="n">
        <f aca="false">AR16+IW16</f>
        <v>0</v>
      </c>
      <c r="IY16" s="1" t="n">
        <f aca="false">IF(AQ16=1,MAX(0,(Slot3_Cost-IX16*(1+Slot3_Rate)^(Slot3_Age-D16))/IU16),0)</f>
        <v>0</v>
      </c>
      <c r="IZ16" s="1" t="n">
        <f aca="false">IF(AQ16=1,MAX(0,(Slot3_Cost-AR16*(1+Slot3_Rate)^(Slot3_Age-D16))/IU16),0)</f>
        <v>0</v>
      </c>
      <c r="JA16" s="1" t="n">
        <f aca="false">IF(AND(HT16=1,AQ16=1),MIN(IT16,IY16),0)</f>
        <v>0</v>
      </c>
      <c r="JB16" s="1" t="n">
        <f aca="false">IT16-JA16</f>
        <v>0</v>
      </c>
      <c r="JC16" s="1" t="n">
        <f aca="false">IF(BA16=1,IF(ABS((1+AS_Wage)/(1+Slot4_Rate)-1)&lt;0.000000000001,(Slot4_Age-D16)*(1+Slot4_Rate)^(Slot4_Age-D16),(1+Slot4_Rate)^(Slot4_Age-D16)*(1-((1+AS_Wage)/(1+Slot4_Rate))^(Slot4_Age-D16))/(1-(1+AS_Wage)/(1+Slot4_Rate))),1)</f>
        <v>1</v>
      </c>
      <c r="JD16" s="1" t="n">
        <f aca="false">IF(AND(HT16=1,ID16&gt;0,Slot4_IsWG=1,BA16=1),MAX(0,(Slot4_Cost-BB16*(1+Slot4_Rate)^(Slot4_Age-D16))/JC16),0)</f>
        <v>0</v>
      </c>
      <c r="JE16" s="1" t="n">
        <f aca="false">IF(AND(HT16=1,ID16&gt;0,Slot4_IsWG=1,BA16=1),MIN(ID16,JD16),0)</f>
        <v>0</v>
      </c>
      <c r="JF16" s="1" t="n">
        <f aca="false">BB16+JE16</f>
        <v>0</v>
      </c>
      <c r="JG16" s="1" t="n">
        <f aca="false">IF(BA16=1,MAX(0,(Slot4_Cost-JF16*(1+Slot4_Rate)^(Slot4_Age-D16))/JC16),0)</f>
        <v>0</v>
      </c>
      <c r="JH16" s="1" t="n">
        <f aca="false">IF(BA16=1,MAX(0,(Slot4_Cost-BB16*(1+Slot4_Rate)^(Slot4_Age-D16))/JC16),0)</f>
        <v>0</v>
      </c>
      <c r="JI16" s="1" t="n">
        <f aca="false">IF(AND(HT16=1,BA16=1),MIN(JB16,JG16),0)</f>
        <v>0</v>
      </c>
      <c r="JJ16" s="1" t="n">
        <f aca="false">JB16-JI16</f>
        <v>0</v>
      </c>
      <c r="JK16" s="1" t="n">
        <f aca="false">IF(BK16=1,IF(ABS((1+AS_Wage)/(1+Slot5_Rate)-1)&lt;0.000000000001,(Slot5_Age-D16)*(1+Slot5_Rate)^(Slot5_Age-D16),(1+Slot5_Rate)^(Slot5_Age-D16)*(1-((1+AS_Wage)/(1+Slot5_Rate))^(Slot5_Age-D16))/(1-(1+AS_Wage)/(1+Slot5_Rate))),1)</f>
        <v>1</v>
      </c>
      <c r="JL16" s="1" t="n">
        <f aca="false">IF(AND(HT16=1,ID16&gt;0,Slot5_IsWG=1,BK16=1),MAX(0,(Slot5_Cost-BL16*(1+Slot5_Rate)^(Slot5_Age-D16))/JK16),0)</f>
        <v>0</v>
      </c>
      <c r="JM16" s="1" t="n">
        <f aca="false">IF(AND(HT16=1,ID16&gt;0,Slot5_IsWG=1,BK16=1),MIN(ID16,JL16),0)</f>
        <v>0</v>
      </c>
      <c r="JN16" s="1" t="n">
        <f aca="false">BL16+JM16</f>
        <v>0</v>
      </c>
      <c r="JO16" s="1" t="n">
        <f aca="false">IF(BK16=1,MAX(0,(Slot5_Cost-JN16*(1+Slot5_Rate)^(Slot5_Age-D16))/JK16),0)</f>
        <v>0</v>
      </c>
      <c r="JP16" s="1" t="n">
        <f aca="false">IF(BK16=1,MAX(0,(Slot5_Cost-BL16*(1+Slot5_Rate)^(Slot5_Age-D16))/JK16),0)</f>
        <v>0</v>
      </c>
      <c r="JQ16" s="1" t="n">
        <f aca="false">IF(AND(HT16=1,BK16=1),MIN(JJ16,JO16),0)</f>
        <v>0</v>
      </c>
      <c r="JR16" s="1" t="n">
        <f aca="false">JJ16-JQ16</f>
        <v>0</v>
      </c>
      <c r="JS16" s="1" t="n">
        <f aca="false">IF(BU16=1,IF(ABS((1+AS_Wage)/(1+Slot6_Rate)-1)&lt;0.000000000001,(Slot6_Age-D16)*(1+Slot6_Rate)^(Slot6_Age-D16),(1+Slot6_Rate)^(Slot6_Age-D16)*(1-((1+AS_Wage)/(1+Slot6_Rate))^(Slot6_Age-D16))/(1-(1+AS_Wage)/(1+Slot6_Rate))),1)</f>
        <v>1</v>
      </c>
      <c r="JT16" s="1" t="n">
        <f aca="false">IF(AND(HT16=1,ID16&gt;0,Slot6_IsWG=1,BU16=1),MAX(0,(Slot6_Cost-BV16*(1+Slot6_Rate)^(Slot6_Age-D16))/JS16),0)</f>
        <v>0</v>
      </c>
      <c r="JU16" s="1" t="n">
        <f aca="false">IF(AND(HT16=1,ID16&gt;0,Slot6_IsWG=1,BU16=1),MIN(ID16,JT16),0)</f>
        <v>0</v>
      </c>
      <c r="JV16" s="1" t="n">
        <f aca="false">BV16+JU16</f>
        <v>0</v>
      </c>
      <c r="JW16" s="1" t="n">
        <f aca="false">IF(BU16=1,MAX(0,(Slot6_Cost-JV16*(1+Slot6_Rate)^(Slot6_Age-D16))/JS16),0)</f>
        <v>0</v>
      </c>
      <c r="JX16" s="1" t="n">
        <f aca="false">IF(BU16=1,MAX(0,(Slot6_Cost-BV16*(1+Slot6_Rate)^(Slot6_Age-D16))/JS16),0)</f>
        <v>0</v>
      </c>
      <c r="JY16" s="1" t="n">
        <f aca="false">IF(AND(HT16=1,BU16=1),MIN(JR16,JW16),0)</f>
        <v>0</v>
      </c>
      <c r="JZ16" s="1" t="n">
        <f aca="false">JR16-JY16</f>
        <v>0</v>
      </c>
      <c r="KA16" s="1" t="n">
        <f aca="false">IF(CE16=1,IF(ABS((1+AS_Wage)/(1+Slot7_Rate)-1)&lt;0.000000000001,(Slot7_Age-D16)*(1+Slot7_Rate)^(Slot7_Age-D16),(1+Slot7_Rate)^(Slot7_Age-D16)*(1-((1+AS_Wage)/(1+Slot7_Rate))^(Slot7_Age-D16))/(1-(1+AS_Wage)/(1+Slot7_Rate))),1)</f>
        <v>1</v>
      </c>
      <c r="KB16" s="1" t="n">
        <f aca="false">IF(AND(HT16=1,ID16&gt;0,Slot7_IsWG=1,CE16=1),MAX(0,(Slot7_Cost-CF16*(1+Slot7_Rate)^(Slot7_Age-D16))/KA16),0)</f>
        <v>0</v>
      </c>
      <c r="KC16" s="1" t="n">
        <f aca="false">IF(AND(HT16=1,ID16&gt;0,Slot7_IsWG=1,CE16=1),MIN(ID16,KB16),0)</f>
        <v>0</v>
      </c>
      <c r="KD16" s="1" t="n">
        <f aca="false">CF16+KC16</f>
        <v>0</v>
      </c>
      <c r="KE16" s="1" t="n">
        <f aca="false">IF(CE16=1,MAX(0,(Slot7_Cost-KD16*(1+Slot7_Rate)^(Slot7_Age-D16))/KA16),0)</f>
        <v>0</v>
      </c>
      <c r="KF16" s="1" t="n">
        <f aca="false">IF(CE16=1,MAX(0,(Slot7_Cost-CF16*(1+Slot7_Rate)^(Slot7_Age-D16))/KA16),0)</f>
        <v>0</v>
      </c>
      <c r="KG16" s="1" t="n">
        <f aca="false">IF(AND(HT16=1,CE16=1),MIN(JZ16,KE16),0)</f>
        <v>0</v>
      </c>
      <c r="KH16" s="1" t="n">
        <f aca="false">JZ16-KG16</f>
        <v>0</v>
      </c>
      <c r="KI16" s="1" t="n">
        <f aca="false">IF(CO16=1,IF(ABS((1+AS_Wage)/(1+Slot8_Rate)-1)&lt;0.000000000001,(Slot8_Age-D16)*(1+Slot8_Rate)^(Slot8_Age-D16),(1+Slot8_Rate)^(Slot8_Age-D16)*(1-((1+AS_Wage)/(1+Slot8_Rate))^(Slot8_Age-D16))/(1-(1+AS_Wage)/(1+Slot8_Rate))),1)</f>
        <v>1</v>
      </c>
      <c r="KJ16" s="1" t="n">
        <f aca="false">IF(AND(HT16=1,ID16&gt;0,Slot8_IsWG=1,CO16=1),MAX(0,(Slot8_Cost-CP16*(1+Slot8_Rate)^(Slot8_Age-D16))/KI16),0)</f>
        <v>0</v>
      </c>
      <c r="KK16" s="1" t="n">
        <f aca="false">IF(AND(HT16=1,ID16&gt;0,Slot8_IsWG=1,CO16=1),MIN(ID16,KJ16),0)</f>
        <v>0</v>
      </c>
      <c r="KL16" s="1" t="n">
        <f aca="false">CP16+KK16</f>
        <v>0</v>
      </c>
      <c r="KM16" s="1" t="n">
        <f aca="false">IF(CO16=1,MAX(0,(Slot8_Cost-KL16*(1+Slot8_Rate)^(Slot8_Age-D16))/KI16),0)</f>
        <v>0</v>
      </c>
      <c r="KN16" s="1" t="n">
        <f aca="false">IF(CO16=1,MAX(0,(Slot8_Cost-CP16*(1+Slot8_Rate)^(Slot8_Age-D16))/KI16),0)</f>
        <v>0</v>
      </c>
      <c r="KO16" s="1" t="n">
        <f aca="false">IF(AND(HT16=1,CO16=1),MIN(KH16,KM16),0)</f>
        <v>0</v>
      </c>
      <c r="KP16" s="1" t="n">
        <f aca="false">KH16-KO16</f>
        <v>0</v>
      </c>
      <c r="KQ16" s="1" t="n">
        <f aca="false">IF(CY16=1,IF(ABS((1+AS_Wage)/(1+Slot9_Rate)-1)&lt;0.000000000001,(Slot9_Age-D16)*(1+Slot9_Rate)^(Slot9_Age-D16),(1+Slot9_Rate)^(Slot9_Age-D16)*(1-((1+AS_Wage)/(1+Slot9_Rate))^(Slot9_Age-D16))/(1-(1+AS_Wage)/(1+Slot9_Rate))),1)</f>
        <v>1</v>
      </c>
      <c r="KR16" s="1" t="n">
        <f aca="false">IF(AND(HT16=1,ID16&gt;0,Slot9_IsWG=1,CY16=1),MAX(0,(Slot9_Cost-CZ16*(1+Slot9_Rate)^(Slot9_Age-D16))/KQ16),0)</f>
        <v>0</v>
      </c>
      <c r="KS16" s="1" t="n">
        <f aca="false">IF(AND(HT16=1,ID16&gt;0,Slot9_IsWG=1,CY16=1),MIN(ID16,KR16),0)</f>
        <v>0</v>
      </c>
      <c r="KT16" s="1" t="n">
        <f aca="false">CZ16+KS16</f>
        <v>0</v>
      </c>
      <c r="KU16" s="1" t="n">
        <f aca="false">IF(CY16=1,MAX(0,(Slot9_Cost-KT16*(1+Slot9_Rate)^(Slot9_Age-D16))/KQ16),0)</f>
        <v>0</v>
      </c>
      <c r="KV16" s="1" t="n">
        <f aca="false">IF(CY16=1,MAX(0,(Slot9_Cost-CZ16*(1+Slot9_Rate)^(Slot9_Age-D16))/KQ16),0)</f>
        <v>0</v>
      </c>
      <c r="KW16" s="1" t="n">
        <f aca="false">IF(AND(HT16=1,CY16=1),MIN(KP16,KU16),0)</f>
        <v>0</v>
      </c>
      <c r="KX16" s="1" t="n">
        <f aca="false">KP16-KW16</f>
        <v>0</v>
      </c>
      <c r="KY16" s="1" t="n">
        <f aca="false">IF(DI16=1,IF(ABS((1+AS_Wage)/(1+Slot10_Rate)-1)&lt;0.000000000001,(Slot10_Age-D16)*(1+Slot10_Rate)^(Slot10_Age-D16),(1+Slot10_Rate)^(Slot10_Age-D16)*(1-((1+AS_Wage)/(1+Slot10_Rate))^(Slot10_Age-D16))/(1-(1+AS_Wage)/(1+Slot10_Rate))),1)</f>
        <v>1</v>
      </c>
      <c r="KZ16" s="1" t="n">
        <f aca="false">IF(AND(HT16=1,ID16&gt;0,Slot10_IsWG=1,DI16=1),MAX(0,(Slot10_Cost-DJ16*(1+Slot10_Rate)^(Slot10_Age-D16))/KY16),0)</f>
        <v>0</v>
      </c>
      <c r="LA16" s="1" t="n">
        <f aca="false">IF(AND(HT16=1,ID16&gt;0,Slot10_IsWG=1,DI16=1),MIN(ID16,KZ16),0)</f>
        <v>0</v>
      </c>
      <c r="LB16" s="1" t="n">
        <f aca="false">DJ16+LA16</f>
        <v>0</v>
      </c>
      <c r="LC16" s="1" t="n">
        <f aca="false">IF(DI16=1,MAX(0,(Slot10_Cost-LB16*(1+Slot10_Rate)^(Slot10_Age-D16))/KY16),0)</f>
        <v>0</v>
      </c>
      <c r="LD16" s="1" t="n">
        <f aca="false">IF(DI16=1,MAX(0,(Slot10_Cost-DJ16*(1+Slot10_Rate)^(Slot10_Age-D16))/KY16),0)</f>
        <v>0</v>
      </c>
      <c r="LE16" s="1" t="n">
        <f aca="false">IF(AND(HT16=1,DI16=1),MIN(KX16,LC16),0)</f>
        <v>0</v>
      </c>
      <c r="LF16" s="1" t="n">
        <f aca="false">KX16-LE16</f>
        <v>0</v>
      </c>
      <c r="LG16" s="1" t="n">
        <f aca="false">IF(DS16=1,IF(ABS((1+AS_Wage)/(1+Slot11_Rate)-1)&lt;0.000000000001,(Slot11_Age-D16)*(1+Slot11_Rate)^(Slot11_Age-D16),(1+Slot11_Rate)^(Slot11_Age-D16)*(1-((1+AS_Wage)/(1+Slot11_Rate))^(Slot11_Age-D16))/(1-(1+AS_Wage)/(1+Slot11_Rate))),1)</f>
        <v>1</v>
      </c>
      <c r="LH16" s="1" t="n">
        <f aca="false">IF(AND(HT16=1,ID16&gt;0,Slot11_IsWG=1,DS16=1),MAX(0,(Slot11_Cost-DT16*(1+Slot11_Rate)^(Slot11_Age-D16))/LG16),0)</f>
        <v>0</v>
      </c>
      <c r="LI16" s="1" t="n">
        <f aca="false">IF(AND(HT16=1,ID16&gt;0,Slot11_IsWG=1,DS16=1),MIN(ID16,LH16),0)</f>
        <v>0</v>
      </c>
      <c r="LJ16" s="1" t="n">
        <f aca="false">DT16+LI16</f>
        <v>0</v>
      </c>
      <c r="LK16" s="1" t="n">
        <f aca="false">IF(DS16=1,MAX(0,(Slot11_Cost-LJ16*(1+Slot11_Rate)^(Slot11_Age-D16))/LG16),0)</f>
        <v>0</v>
      </c>
      <c r="LL16" s="1" t="n">
        <f aca="false">IF(DS16=1,MAX(0,(Slot11_Cost-DT16*(1+Slot11_Rate)^(Slot11_Age-D16))/LG16),0)</f>
        <v>0</v>
      </c>
      <c r="LM16" s="1" t="n">
        <f aca="false">IF(AND(HT16=1,DS16=1),MIN(LF16,LK16),0)</f>
        <v>0</v>
      </c>
      <c r="LN16" s="1" t="n">
        <f aca="false">LF16-LM16</f>
        <v>0</v>
      </c>
      <c r="LO16" s="1" t="n">
        <f aca="false">IF(EC16=1,IF(ABS((1+AS_Wage)/(1+Slot12_Rate)-1)&lt;0.000000000001,(Slot12_Age-D16)*(1+Slot12_Rate)^(Slot12_Age-D16),(1+Slot12_Rate)^(Slot12_Age-D16)*(1-((1+AS_Wage)/(1+Slot12_Rate))^(Slot12_Age-D16))/(1-(1+AS_Wage)/(1+Slot12_Rate))),1)</f>
        <v>1</v>
      </c>
      <c r="LP16" s="1" t="n">
        <f aca="false">IF(AND(HT16=1,ID16&gt;0,Slot12_IsWG=1,EC16=1),MAX(0,(Slot12_Cost-ED16*(1+Slot12_Rate)^(Slot12_Age-D16))/LO16),0)</f>
        <v>0</v>
      </c>
      <c r="LQ16" s="1" t="n">
        <f aca="false">IF(AND(HT16=1,ID16&gt;0,Slot12_IsWG=1,EC16=1),MIN(ID16,LP16),0)</f>
        <v>0</v>
      </c>
      <c r="LR16" s="1" t="n">
        <f aca="false">ED16+LQ16</f>
        <v>0</v>
      </c>
      <c r="LS16" s="1" t="n">
        <f aca="false">IF(EC16=1,MAX(0,(Slot12_Cost-LR16*(1+Slot12_Rate)^(Slot12_Age-D16))/LO16),0)</f>
        <v>0</v>
      </c>
      <c r="LT16" s="1" t="n">
        <f aca="false">IF(EC16=1,MAX(0,(Slot12_Cost-ED16*(1+Slot12_Rate)^(Slot12_Age-D16))/LO16),0)</f>
        <v>0</v>
      </c>
      <c r="LU16" s="1" t="n">
        <f aca="false">IF(AND(HT16=1,EC16=1),MIN(LN16,LS16),0)</f>
        <v>0</v>
      </c>
      <c r="LV16" s="1" t="n">
        <f aca="false">LN16-LU16</f>
        <v>0</v>
      </c>
      <c r="LW16" s="1" t="n">
        <f aca="false">IF(EM16=1,IF(ABS((1+AS_Wage)/(1+Slot13_Rate)-1)&lt;0.000000000001,(Slot13_Age-D16)*(1+Slot13_Rate)^(Slot13_Age-D16),(1+Slot13_Rate)^(Slot13_Age-D16)*(1-((1+AS_Wage)/(1+Slot13_Rate))^(Slot13_Age-D16))/(1-(1+AS_Wage)/(1+Slot13_Rate))),1)</f>
        <v>1</v>
      </c>
      <c r="LX16" s="1" t="n">
        <f aca="false">IF(AND(HT16=1,ID16&gt;0,Slot13_IsWG=1,EM16=1),MAX(0,(Slot13_Cost-EN16*(1+Slot13_Rate)^(Slot13_Age-D16))/LW16),0)</f>
        <v>0</v>
      </c>
      <c r="LY16" s="1" t="n">
        <f aca="false">IF(AND(HT16=1,ID16&gt;0,Slot13_IsWG=1,EM16=1),MIN(ID16,LX16),0)</f>
        <v>0</v>
      </c>
      <c r="LZ16" s="1" t="n">
        <f aca="false">EN16+LY16</f>
        <v>0</v>
      </c>
      <c r="MA16" s="1" t="n">
        <f aca="false">IF(EM16=1,MAX(0,(Slot13_Cost-LZ16*(1+Slot13_Rate)^(Slot13_Age-D16))/LW16),0)</f>
        <v>0</v>
      </c>
      <c r="MB16" s="1" t="n">
        <f aca="false">IF(EM16=1,MAX(0,(Slot13_Cost-EN16*(1+Slot13_Rate)^(Slot13_Age-D16))/LW16),0)</f>
        <v>0</v>
      </c>
      <c r="MC16" s="1" t="n">
        <f aca="false">IF(AND(HT16=1,EM16=1),MIN(LV16,MA16),0)</f>
        <v>0</v>
      </c>
      <c r="MD16" s="1" t="n">
        <f aca="false">LV16-MC16</f>
        <v>0</v>
      </c>
      <c r="ME16" s="1" t="n">
        <f aca="false">IF(EW16=1,IF(ABS((1+AS_Wage)/(1+Slot14_Rate)-1)&lt;0.000000000001,(Slot14_Age-D16)*(1+Slot14_Rate)^(Slot14_Age-D16),(1+Slot14_Rate)^(Slot14_Age-D16)*(1-((1+AS_Wage)/(1+Slot14_Rate))^(Slot14_Age-D16))/(1-(1+AS_Wage)/(1+Slot14_Rate))),1)</f>
        <v>1</v>
      </c>
      <c r="MF16" s="1" t="n">
        <f aca="false">IF(AND(HT16=1,ID16&gt;0,Slot14_IsWG=1,EW16=1),MAX(0,(Slot14_Cost-EX16*(1+Slot14_Rate)^(Slot14_Age-D16))/ME16),0)</f>
        <v>0</v>
      </c>
      <c r="MG16" s="1" t="n">
        <f aca="false">IF(AND(HT16=1,ID16&gt;0,Slot14_IsWG=1,EW16=1),MIN(ID16,MF16),0)</f>
        <v>0</v>
      </c>
      <c r="MH16" s="1" t="n">
        <f aca="false">EX16+MG16</f>
        <v>0</v>
      </c>
      <c r="MI16" s="1" t="n">
        <f aca="false">IF(EW16=1,MAX(0,(Slot14_Cost-MH16*(1+Slot14_Rate)^(Slot14_Age-D16))/ME16),0)</f>
        <v>0</v>
      </c>
      <c r="MJ16" s="1" t="n">
        <f aca="false">IF(EW16=1,MAX(0,(Slot14_Cost-EX16*(1+Slot14_Rate)^(Slot14_Age-D16))/ME16),0)</f>
        <v>0</v>
      </c>
      <c r="MK16" s="1" t="n">
        <f aca="false">IF(AND(HT16=1,EW16=1),MIN(MD16,MI16),0)</f>
        <v>0</v>
      </c>
      <c r="ML16" s="1" t="n">
        <f aca="false">MD16-MK16</f>
        <v>0</v>
      </c>
      <c r="MM16" s="1" t="n">
        <f aca="false">IF(FG16=1,IF(ABS((1+AS_Wage)/(1+Slot15_Rate)-1)&lt;0.000000000001,(Slot15_Age-D16)*(1+Slot15_Rate)^(Slot15_Age-D16),(1+Slot15_Rate)^(Slot15_Age-D16)*(1-((1+AS_Wage)/(1+Slot15_Rate))^(Slot15_Age-D16))/(1-(1+AS_Wage)/(1+Slot15_Rate))),1)</f>
        <v>1</v>
      </c>
      <c r="MN16" s="1" t="n">
        <f aca="false">IF(AND(HT16=1,ID16&gt;0,Slot15_IsWG=1,FG16=1),MAX(0,(Slot15_Cost-FH16*(1+Slot15_Rate)^(Slot15_Age-D16))/MM16),0)</f>
        <v>0</v>
      </c>
      <c r="MO16" s="1" t="n">
        <f aca="false">IF(AND(HT16=1,ID16&gt;0,Slot15_IsWG=1,FG16=1),MIN(ID16,MN16),0)</f>
        <v>0</v>
      </c>
      <c r="MP16" s="1" t="n">
        <f aca="false">FH16+MO16</f>
        <v>0</v>
      </c>
      <c r="MQ16" s="1" t="n">
        <f aca="false">IF(FG16=1,MAX(0,(Slot15_Cost-MP16*(1+Slot15_Rate)^(Slot15_Age-D16))/MM16),0)</f>
        <v>0</v>
      </c>
      <c r="MR16" s="1" t="n">
        <f aca="false">IF(FG16=1,MAX(0,(Slot15_Cost-FH16*(1+Slot15_Rate)^(Slot15_Age-D16))/MM16),0)</f>
        <v>0</v>
      </c>
      <c r="MS16" s="1" t="n">
        <f aca="false">IF(AND(HT16=1,FG16=1),MIN(ML16,MQ16),0)</f>
        <v>0</v>
      </c>
      <c r="MT16" s="1" t="n">
        <f aca="false">ML16-MS16</f>
        <v>0</v>
      </c>
      <c r="MU16" s="1" t="n">
        <f aca="false">IF(FQ16=1,IF(ABS((1+AS_Wage)/(1+Slot16_Rate)-1)&lt;0.000000000001,(Slot16_Age-D16)*(1+Slot16_Rate)^(Slot16_Age-D16),(1+Slot16_Rate)^(Slot16_Age-D16)*(1-((1+AS_Wage)/(1+Slot16_Rate))^(Slot16_Age-D16))/(1-(1+AS_Wage)/(1+Slot16_Rate))),1)</f>
        <v>1</v>
      </c>
      <c r="MV16" s="1" t="n">
        <f aca="false">IF(AND(HT16=1,ID16&gt;0,Slot16_IsWG=1,FQ16=1),MAX(0,(Slot16_Cost-FR16*(1+Slot16_Rate)^(Slot16_Age-D16))/MU16),0)</f>
        <v>0</v>
      </c>
      <c r="MW16" s="1" t="n">
        <f aca="false">IF(AND(HT16=1,ID16&gt;0,Slot16_IsWG=1,FQ16=1),MIN(ID16,MV16),0)</f>
        <v>0</v>
      </c>
      <c r="MX16" s="1" t="n">
        <f aca="false">FR16+MW16</f>
        <v>0</v>
      </c>
      <c r="MY16" s="1" t="n">
        <f aca="false">IF(FQ16=1,MAX(0,(Slot16_Cost-MX16*(1+Slot16_Rate)^(Slot16_Age-D16))/MU16),0)</f>
        <v>0</v>
      </c>
      <c r="MZ16" s="1" t="n">
        <f aca="false">IF(FQ16=1,MAX(0,(Slot16_Cost-FR16*(1+Slot16_Rate)^(Slot16_Age-D16))/MU16),0)</f>
        <v>0</v>
      </c>
      <c r="NA16" s="1" t="n">
        <f aca="false">IF(AND(HT16=1,FQ16=1),MIN(MT16,MY16),0)</f>
        <v>0</v>
      </c>
      <c r="NB16" s="1" t="n">
        <f aca="false">MT16-NA16</f>
        <v>0</v>
      </c>
      <c r="NC16" s="1" t="n">
        <f aca="false">IF(GA16=1,IF(ABS((1+AS_Wage)/(1+Slot17_Rate)-1)&lt;0.000000000001,(Slot17_Age-D16)*(1+Slot17_Rate)^(Slot17_Age-D16),(1+Slot17_Rate)^(Slot17_Age-D16)*(1-((1+AS_Wage)/(1+Slot17_Rate))^(Slot17_Age-D16))/(1-(1+AS_Wage)/(1+Slot17_Rate))),1)</f>
        <v>1</v>
      </c>
      <c r="ND16" s="1" t="n">
        <f aca="false">IF(AND(HT16=1,ID16&gt;0,Slot17_IsWG=1,GA16=1),MAX(0,(Slot17_Cost-GB16*(1+Slot17_Rate)^(Slot17_Age-D16))/NC16),0)</f>
        <v>0</v>
      </c>
      <c r="NE16" s="1" t="n">
        <f aca="false">IF(AND(HT16=1,ID16&gt;0,Slot17_IsWG=1,GA16=1),MIN(ID16,ND16),0)</f>
        <v>0</v>
      </c>
      <c r="NF16" s="1" t="n">
        <f aca="false">GB16+NE16</f>
        <v>0</v>
      </c>
      <c r="NG16" s="1" t="n">
        <f aca="false">IF(GA16=1,MAX(0,(Slot17_Cost-NF16*(1+Slot17_Rate)^(Slot17_Age-D16))/NC16),0)</f>
        <v>0</v>
      </c>
      <c r="NH16" s="1" t="n">
        <f aca="false">IF(GA16=1,MAX(0,(Slot17_Cost-GB16*(1+Slot17_Rate)^(Slot17_Age-D16))/NC16),0)</f>
        <v>0</v>
      </c>
      <c r="NI16" s="1" t="n">
        <f aca="false">IF(AND(HT16=1,GA16=1),MIN(NB16,NG16),0)</f>
        <v>0</v>
      </c>
      <c r="NJ16" s="1" t="n">
        <f aca="false">NB16-NI16</f>
        <v>0</v>
      </c>
      <c r="NK16" s="1" t="n">
        <f aca="false">IF(GK16=1,IF(ABS((1+AS_Wage)/(1+Slot18_Rate)-1)&lt;0.000000000001,(Slot18_Age-D16)*(1+Slot18_Rate)^(Slot18_Age-D16),(1+Slot18_Rate)^(Slot18_Age-D16)*(1-((1+AS_Wage)/(1+Slot18_Rate))^(Slot18_Age-D16))/(1-(1+AS_Wage)/(1+Slot18_Rate))),1)</f>
        <v>1</v>
      </c>
      <c r="NL16" s="1" t="n">
        <f aca="false">IF(AND(HT16=1,ID16&gt;0,Slot18_IsWG=1,GK16=1),MAX(0,(Slot18_Cost-GL16*(1+Slot18_Rate)^(Slot18_Age-D16))/NK16),0)</f>
        <v>0</v>
      </c>
      <c r="NM16" s="1" t="n">
        <f aca="false">IF(AND(HT16=1,ID16&gt;0,Slot18_IsWG=1,GK16=1),MIN(ID16,NL16),0)</f>
        <v>0</v>
      </c>
      <c r="NN16" s="1" t="n">
        <f aca="false">GL16+NM16</f>
        <v>0</v>
      </c>
      <c r="NO16" s="1" t="n">
        <f aca="false">IF(GK16=1,MAX(0,(Slot18_Cost-NN16*(1+Slot18_Rate)^(Slot18_Age-D16))/NK16),0)</f>
        <v>0</v>
      </c>
      <c r="NP16" s="1" t="n">
        <f aca="false">IF(GK16=1,MAX(0,(Slot18_Cost-GL16*(1+Slot18_Rate)^(Slot18_Age-D16))/NK16),0)</f>
        <v>0</v>
      </c>
      <c r="NQ16" s="1" t="n">
        <f aca="false">IF(AND(HT16=1,GK16=1),MIN(NJ16,NO16),0)</f>
        <v>0</v>
      </c>
      <c r="NR16" s="1" t="n">
        <f aca="false">NJ16-NQ16</f>
        <v>0</v>
      </c>
      <c r="NS16" s="1" t="n">
        <f aca="false">IF(GU16=1,IF(ABS((1+AS_Wage)/(1+Slot19_Rate)-1)&lt;0.000000000001,(Slot19_Age-D16)*(1+Slot19_Rate)^(Slot19_Age-D16),(1+Slot19_Rate)^(Slot19_Age-D16)*(1-((1+AS_Wage)/(1+Slot19_Rate))^(Slot19_Age-D16))/(1-(1+AS_Wage)/(1+Slot19_Rate))),1)</f>
        <v>1</v>
      </c>
      <c r="NT16" s="1" t="n">
        <f aca="false">IF(AND(HT16=1,ID16&gt;0,Slot19_IsWG=1,GU16=1),MAX(0,(Slot19_Cost-GV16*(1+Slot19_Rate)^(Slot19_Age-D16))/NS16),0)</f>
        <v>0</v>
      </c>
      <c r="NU16" s="1" t="n">
        <f aca="false">IF(AND(HT16=1,ID16&gt;0,Slot19_IsWG=1,GU16=1),MIN(ID16,NT16),0)</f>
        <v>0</v>
      </c>
      <c r="NV16" s="1" t="n">
        <f aca="false">GV16+NU16</f>
        <v>0</v>
      </c>
      <c r="NW16" s="1" t="n">
        <f aca="false">IF(GU16=1,MAX(0,(Slot19_Cost-NV16*(1+Slot19_Rate)^(Slot19_Age-D16))/NS16),0)</f>
        <v>0</v>
      </c>
      <c r="NX16" s="1" t="n">
        <f aca="false">IF(GU16=1,MAX(0,(Slot19_Cost-GV16*(1+Slot19_Rate)^(Slot19_Age-D16))/NS16),0)</f>
        <v>0</v>
      </c>
      <c r="NY16" s="1" t="n">
        <f aca="false">IF(AND(HT16=1,GU16=1),MIN(NR16,NW16),0)</f>
        <v>0</v>
      </c>
      <c r="NZ16" s="1" t="n">
        <f aca="false">NR16-NY16</f>
        <v>0</v>
      </c>
      <c r="OA16" s="1" t="n">
        <f aca="false">IF(HE16=1,IF(ABS((1+AS_Wage)/(1+Slot20_Rate)-1)&lt;0.000000000001,(Slot20_Age-D16)*(1+Slot20_Rate)^(Slot20_Age-D16),(1+Slot20_Rate)^(Slot20_Age-D16)*(1-((1+AS_Wage)/(1+Slot20_Rate))^(Slot20_Age-D16))/(1-(1+AS_Wage)/(1+Slot20_Rate))),1)</f>
        <v>1</v>
      </c>
      <c r="OB16" s="1" t="n">
        <f aca="false">IF(AND(HT16=1,ID16&gt;0,Slot20_IsWG=1,HE16=1),MAX(0,(Slot20_Cost-HF16*(1+Slot20_Rate)^(Slot20_Age-D16))/OA16),0)</f>
        <v>0</v>
      </c>
      <c r="OC16" s="1" t="n">
        <f aca="false">IF(AND(HT16=1,ID16&gt;0,Slot20_IsWG=1,HE16=1),MIN(ID16,OB16),0)</f>
        <v>0</v>
      </c>
      <c r="OD16" s="1" t="n">
        <f aca="false">HF16+OC16</f>
        <v>0</v>
      </c>
      <c r="OE16" s="1" t="n">
        <f aca="false">IF(HE16=1,MAX(0,(Slot20_Cost-OD16*(1+Slot20_Rate)^(Slot20_Age-D16))/OA16),0)</f>
        <v>0</v>
      </c>
      <c r="OF16" s="1" t="n">
        <f aca="false">IF(HE16=1,MAX(0,(Slot20_Cost-HF16*(1+Slot20_Rate)^(Slot20_Age-D16))/OA16),0)</f>
        <v>0</v>
      </c>
      <c r="OG16" s="1" t="n">
        <f aca="false">IF(AND(HT16=1,HE16=1),MIN(NZ16,OE16),0)</f>
        <v>0</v>
      </c>
      <c r="OH16" s="1" t="n">
        <f aca="false">NZ16-OG16</f>
        <v>0</v>
      </c>
      <c r="OI16" s="1" t="n">
        <f aca="false">ID16-(IG16+IO16+IW16+JE16+JM16+JU16+KC16+KK16+KS16+LA16+LI16+LQ16+LY16+MG16+MO16+MW16+NE16+NM16+NU16+OC16)</f>
        <v>0</v>
      </c>
      <c r="OJ16" s="1" t="n">
        <f aca="false">IF(HT16=1,HR16-IC16-ID16,0)</f>
        <v>0</v>
      </c>
      <c r="OK16" s="1" t="n">
        <f aca="false">IF(HT16=0,-HR16,0)</f>
        <v>0</v>
      </c>
      <c r="OL16" s="1" t="n">
        <f aca="false">MIN(OK16,HJ16)</f>
        <v>0</v>
      </c>
      <c r="OM16" s="1" t="n">
        <f aca="false">OK16-OL16</f>
        <v>0</v>
      </c>
      <c r="ON16" s="1" t="n">
        <f aca="false">MIN(OM16,HK16)</f>
        <v>0</v>
      </c>
      <c r="OO16" s="1" t="n">
        <f aca="false">OM16-ON16</f>
        <v>0</v>
      </c>
      <c r="OP16" s="1" t="n">
        <f aca="false">IF(AND(HT16=0,HE16=1,OO16&gt;0),MIN(OO16,HF16),0)</f>
        <v>0</v>
      </c>
      <c r="OQ16" s="1" t="n">
        <f aca="false">OO16-OP16</f>
        <v>0</v>
      </c>
      <c r="OR16" s="1" t="n">
        <f aca="false">IF(AND(HT16=0,GU16=1,OQ16&gt;0),MIN(OQ16,GV16),0)</f>
        <v>0</v>
      </c>
      <c r="OS16" s="1" t="n">
        <f aca="false">OQ16-OR16</f>
        <v>0</v>
      </c>
      <c r="OT16" s="1" t="n">
        <f aca="false">IF(AND(HT16=0,GK16=1,OS16&gt;0),MIN(OS16,GL16),0)</f>
        <v>0</v>
      </c>
      <c r="OU16" s="1" t="n">
        <f aca="false">OS16-OT16</f>
        <v>0</v>
      </c>
      <c r="OV16" s="1" t="n">
        <f aca="false">IF(AND(HT16=0,GA16=1,OU16&gt;0),MIN(OU16,GB16),0)</f>
        <v>0</v>
      </c>
      <c r="OW16" s="1" t="n">
        <f aca="false">OU16-OV16</f>
        <v>0</v>
      </c>
      <c r="OX16" s="1" t="n">
        <f aca="false">IF(AND(HT16=0,FQ16=1,OW16&gt;0),MIN(OW16,FR16),0)</f>
        <v>0</v>
      </c>
      <c r="OY16" s="1" t="n">
        <f aca="false">OW16-OX16</f>
        <v>0</v>
      </c>
      <c r="OZ16" s="1" t="n">
        <f aca="false">IF(AND(HT16=0,FG16=1,OY16&gt;0),MIN(OY16,FH16),0)</f>
        <v>0</v>
      </c>
      <c r="PA16" s="1" t="n">
        <f aca="false">OY16-OZ16</f>
        <v>0</v>
      </c>
      <c r="PB16" s="1" t="n">
        <f aca="false">IF(AND(HT16=0,EW16=1,PA16&gt;0),MIN(PA16,EX16),0)</f>
        <v>0</v>
      </c>
      <c r="PC16" s="1" t="n">
        <f aca="false">PA16-PB16</f>
        <v>0</v>
      </c>
      <c r="PD16" s="1" t="n">
        <f aca="false">IF(AND(HT16=0,EM16=1,PC16&gt;0),MIN(PC16,EN16),0)</f>
        <v>0</v>
      </c>
      <c r="PE16" s="1" t="n">
        <f aca="false">PC16-PD16</f>
        <v>0</v>
      </c>
      <c r="PF16" s="1" t="n">
        <f aca="false">IF(AND(HT16=0,EC16=1,PE16&gt;0),MIN(PE16,ED16),0)</f>
        <v>0</v>
      </c>
      <c r="PG16" s="1" t="n">
        <f aca="false">PE16-PF16</f>
        <v>0</v>
      </c>
      <c r="PH16" s="1" t="n">
        <f aca="false">IF(AND(HT16=0,DS16=1,PG16&gt;0),MIN(PG16,DT16),0)</f>
        <v>0</v>
      </c>
      <c r="PI16" s="1" t="n">
        <f aca="false">PG16-PH16</f>
        <v>0</v>
      </c>
      <c r="PJ16" s="1" t="n">
        <f aca="false">IF(AND(HT16=0,DI16=1,PI16&gt;0),MIN(PI16,DJ16),0)</f>
        <v>0</v>
      </c>
      <c r="PK16" s="1" t="n">
        <f aca="false">PI16-PJ16</f>
        <v>0</v>
      </c>
      <c r="PL16" s="1" t="n">
        <f aca="false">IF(AND(HT16=0,CY16=1,PK16&gt;0),MIN(PK16,CZ16),0)</f>
        <v>0</v>
      </c>
      <c r="PM16" s="1" t="n">
        <f aca="false">PK16-PL16</f>
        <v>0</v>
      </c>
      <c r="PN16" s="1" t="n">
        <f aca="false">IF(AND(HT16=0,CO16=1,PM16&gt;0),MIN(PM16,CP16),0)</f>
        <v>0</v>
      </c>
      <c r="PO16" s="1" t="n">
        <f aca="false">PM16-PN16</f>
        <v>0</v>
      </c>
      <c r="PP16" s="1" t="n">
        <f aca="false">IF(AND(HT16=0,CE16=1,PO16&gt;0),MIN(PO16,CF16),0)</f>
        <v>0</v>
      </c>
      <c r="PQ16" s="1" t="n">
        <f aca="false">PO16-PP16</f>
        <v>0</v>
      </c>
      <c r="PR16" s="1" t="n">
        <f aca="false">IF(AND(HT16=0,BU16=1,PQ16&gt;0),MIN(PQ16,BV16),0)</f>
        <v>0</v>
      </c>
      <c r="PS16" s="1" t="n">
        <f aca="false">PQ16-PR16</f>
        <v>0</v>
      </c>
      <c r="PT16" s="1" t="n">
        <f aca="false">IF(AND(HT16=0,BK16=1,PS16&gt;0),MIN(PS16,BL16),0)</f>
        <v>0</v>
      </c>
      <c r="PU16" s="1" t="n">
        <f aca="false">PS16-PT16</f>
        <v>0</v>
      </c>
      <c r="PV16" s="1" t="n">
        <f aca="false">IF(AND(HT16=0,BA16=1,PU16&gt;0),MIN(PU16,BB16),0)</f>
        <v>0</v>
      </c>
      <c r="PW16" s="1" t="n">
        <f aca="false">PU16-PV16</f>
        <v>0</v>
      </c>
      <c r="PX16" s="1" t="n">
        <f aca="false">IF(AND(HT16=0,AQ16=1,PW16&gt;0),MIN(PW16,AR16),0)</f>
        <v>0</v>
      </c>
      <c r="PY16" s="1" t="n">
        <f aca="false">PW16-PX16</f>
        <v>0</v>
      </c>
      <c r="PZ16" s="1" t="n">
        <f aca="false">IF(AND(HT16=0,AG16=1,PY16&gt;0),MIN(PY16,AH16),0)</f>
        <v>0</v>
      </c>
      <c r="QA16" s="1" t="n">
        <f aca="false">PY16-PZ16</f>
        <v>0</v>
      </c>
      <c r="QB16" s="1" t="n">
        <f aca="false">IF(AND(HT16=0,V16=1,QA16&gt;0),MIN(QA16,W16),0)</f>
        <v>0</v>
      </c>
      <c r="QC16" s="1" t="n">
        <f aca="false">QA16-QB16</f>
        <v>0</v>
      </c>
      <c r="QD16" s="1" t="n">
        <f aca="false">IF(HT16=0,QC16,0)</f>
        <v>0</v>
      </c>
      <c r="QE16" s="1" t="n">
        <f aca="false">OL16+ON16+QB16+PZ16+PX16+PV16+PT16+PR16+PP16+PN16+PL16+PJ16+PH16+PF16+PD16+PB16+OZ16+OX16+OV16+OT16+OR16+OP16</f>
        <v>0</v>
      </c>
      <c r="QF16" s="1" t="n">
        <f aca="false">IF(HT16=1,HJ16+OI16+OH16+IF(F16=1,0,OJ16),HJ16-OL16)</f>
        <v>0</v>
      </c>
      <c r="QG16" s="1" t="n">
        <f aca="false">HK16-ON16</f>
        <v>0</v>
      </c>
      <c r="QH16" s="1" t="n">
        <f aca="false">IF(HT16=1,IF(F16=1,IC16+ID16,HR16),0)</f>
        <v>0</v>
      </c>
      <c r="QI16" s="1" t="n">
        <f aca="false">IF(HT16=1,IF(F16=1,HR16-IC16-ID16,0),0)</f>
        <v>0</v>
      </c>
      <c r="QJ16" s="1" t="n">
        <f aca="false">QF16*(1+GR)</f>
        <v>0</v>
      </c>
      <c r="QK16" s="1" t="n">
        <f aca="false">QG16*(1+AS_Cash)</f>
        <v>0</v>
      </c>
      <c r="QL16" s="1" t="n">
        <f aca="false">IF(V16=1,IF(HT16=1,IH16+IK16,W16-QB16)*(1+Slot1_Rate),0)</f>
        <v>0</v>
      </c>
      <c r="QM16" s="1" t="n">
        <f aca="false">IF(AND(HT16=1,V16=1),(IG16+IK16)/E16,0)</f>
        <v>0</v>
      </c>
      <c r="QN16" s="1" t="n">
        <f aca="false">IF(B16=0,IG16+IK16,0)</f>
        <v>0</v>
      </c>
      <c r="QO16" s="1" t="n">
        <f aca="false">IF(B16=0,IF(HT16=1,II16,IJ16),0)</f>
        <v>0</v>
      </c>
      <c r="QP16" s="1" t="n">
        <f aca="false">IF(AG16=1,IF(HT16=1,IP16+IS16,AH16-PZ16)*(1+Slot2_Rate),0)</f>
        <v>0</v>
      </c>
      <c r="QQ16" s="1" t="n">
        <f aca="false">IF(AND(HT16=1,AG16=1),(IO16+IS16)/E16,0)</f>
        <v>0</v>
      </c>
      <c r="QR16" s="1" t="n">
        <f aca="false">IF(B16=0,IO16+IS16,0)</f>
        <v>0</v>
      </c>
      <c r="QS16" s="1" t="n">
        <f aca="false">IF(B16=0,IF(HT16=1,IQ16,IR16),0)</f>
        <v>0</v>
      </c>
      <c r="QT16" s="1" t="n">
        <f aca="false">IF(AQ16=1,IF(HT16=1,IX16+JA16,AR16-PX16)*(1+Slot3_Rate),0)</f>
        <v>0</v>
      </c>
      <c r="QU16" s="1" t="n">
        <f aca="false">IF(AND(HT16=1,AQ16=1),(IW16+JA16)/E16,0)</f>
        <v>0</v>
      </c>
      <c r="QV16" s="1" t="n">
        <f aca="false">IF(B16=0,IW16+JA16,0)</f>
        <v>0</v>
      </c>
      <c r="QW16" s="1" t="n">
        <f aca="false">IF(B16=0,IF(HT16=1,IY16,IZ16),0)</f>
        <v>0</v>
      </c>
      <c r="QX16" s="1" t="n">
        <f aca="false">IF(BA16=1,IF(HT16=1,JF16+JI16,BB16-PV16)*(1+Slot4_Rate),0)</f>
        <v>0</v>
      </c>
      <c r="QY16" s="1" t="n">
        <f aca="false">IF(AND(HT16=1,BA16=1),(JE16+JI16)/E16,0)</f>
        <v>0</v>
      </c>
      <c r="QZ16" s="1" t="n">
        <f aca="false">IF(B16=0,JE16+JI16,0)</f>
        <v>0</v>
      </c>
      <c r="RA16" s="1" t="n">
        <f aca="false">IF(B16=0,IF(HT16=1,JG16,JH16),0)</f>
        <v>0</v>
      </c>
      <c r="RB16" s="1" t="n">
        <f aca="false">IF(BK16=1,IF(HT16=1,JN16+JQ16,BL16-PT16)*(1+Slot5_Rate),0)</f>
        <v>0</v>
      </c>
      <c r="RC16" s="1" t="n">
        <f aca="false">IF(AND(HT16=1,BK16=1),(JM16+JQ16)/E16,0)</f>
        <v>0</v>
      </c>
      <c r="RD16" s="1" t="n">
        <f aca="false">IF(B16=0,JM16+JQ16,0)</f>
        <v>0</v>
      </c>
      <c r="RE16" s="1" t="n">
        <f aca="false">IF(B16=0,IF(HT16=1,JO16,JP16),0)</f>
        <v>0</v>
      </c>
      <c r="RF16" s="1" t="n">
        <f aca="false">IF(BU16=1,IF(HT16=1,JV16+JY16,BV16-PR16)*(1+Slot6_Rate),0)</f>
        <v>0</v>
      </c>
      <c r="RG16" s="1" t="n">
        <f aca="false">IF(AND(HT16=1,BU16=1),(JU16+JY16)/E16,0)</f>
        <v>0</v>
      </c>
      <c r="RH16" s="1" t="n">
        <f aca="false">IF(B16=0,JU16+JY16,0)</f>
        <v>0</v>
      </c>
      <c r="RI16" s="1" t="n">
        <f aca="false">IF(B16=0,IF(HT16=1,JW16,JX16),0)</f>
        <v>0</v>
      </c>
      <c r="RJ16" s="1" t="n">
        <f aca="false">IF(CE16=1,IF(HT16=1,KD16+KG16,CF16-PP16)*(1+Slot7_Rate),0)</f>
        <v>0</v>
      </c>
      <c r="RK16" s="1" t="n">
        <f aca="false">IF(AND(HT16=1,CE16=1),(KC16+KG16)/E16,0)</f>
        <v>0</v>
      </c>
      <c r="RL16" s="1" t="n">
        <f aca="false">IF(B16=0,KC16+KG16,0)</f>
        <v>0</v>
      </c>
      <c r="RM16" s="1" t="n">
        <f aca="false">IF(B16=0,IF(HT16=1,KE16,KF16),0)</f>
        <v>0</v>
      </c>
      <c r="RN16" s="1" t="n">
        <f aca="false">IF(CO16=1,IF(HT16=1,KL16+KO16,CP16-PN16)*(1+Slot8_Rate),0)</f>
        <v>0</v>
      </c>
      <c r="RO16" s="1" t="n">
        <f aca="false">IF(AND(HT16=1,CO16=1),(KK16+KO16)/E16,0)</f>
        <v>0</v>
      </c>
      <c r="RP16" s="1" t="n">
        <f aca="false">IF(B16=0,KK16+KO16,0)</f>
        <v>0</v>
      </c>
      <c r="RQ16" s="1" t="n">
        <f aca="false">IF(B16=0,IF(HT16=1,KM16,KN16),0)</f>
        <v>0</v>
      </c>
      <c r="RR16" s="1" t="n">
        <f aca="false">IF(CY16=1,IF(HT16=1,KT16+KW16,CZ16-PL16)*(1+Slot9_Rate),0)</f>
        <v>0</v>
      </c>
      <c r="RS16" s="1" t="n">
        <f aca="false">IF(AND(HT16=1,CY16=1),(KS16+KW16)/E16,0)</f>
        <v>0</v>
      </c>
      <c r="RT16" s="1" t="n">
        <f aca="false">IF(B16=0,KS16+KW16,0)</f>
        <v>0</v>
      </c>
      <c r="RU16" s="1" t="n">
        <f aca="false">IF(B16=0,IF(HT16=1,KU16,KV16),0)</f>
        <v>0</v>
      </c>
      <c r="RV16" s="1" t="n">
        <f aca="false">IF(DI16=1,IF(HT16=1,LB16+LE16,DJ16-PJ16)*(1+Slot10_Rate),0)</f>
        <v>0</v>
      </c>
      <c r="RW16" s="1" t="n">
        <f aca="false">IF(AND(HT16=1,DI16=1),(LA16+LE16)/E16,0)</f>
        <v>0</v>
      </c>
      <c r="RX16" s="1" t="n">
        <f aca="false">IF(B16=0,LA16+LE16,0)</f>
        <v>0</v>
      </c>
      <c r="RY16" s="1" t="n">
        <f aca="false">IF(B16=0,IF(HT16=1,LC16,LD16),0)</f>
        <v>0</v>
      </c>
      <c r="RZ16" s="1" t="n">
        <f aca="false">IF(DS16=1,IF(HT16=1,LJ16+LM16,DT16-PH16)*(1+Slot11_Rate),0)</f>
        <v>0</v>
      </c>
      <c r="SA16" s="1" t="n">
        <f aca="false">IF(AND(HT16=1,DS16=1),(LI16+LM16)/E16,0)</f>
        <v>0</v>
      </c>
      <c r="SB16" s="1" t="n">
        <f aca="false">IF(B16=0,LI16+LM16,0)</f>
        <v>0</v>
      </c>
      <c r="SC16" s="1" t="n">
        <f aca="false">IF(B16=0,IF(HT16=1,LK16,LL16),0)</f>
        <v>0</v>
      </c>
      <c r="SD16" s="1" t="n">
        <f aca="false">IF(EC16=1,IF(HT16=1,LR16+LU16,ED16-PF16)*(1+Slot12_Rate),0)</f>
        <v>0</v>
      </c>
      <c r="SE16" s="1" t="n">
        <f aca="false">IF(AND(HT16=1,EC16=1),(LQ16+LU16)/E16,0)</f>
        <v>0</v>
      </c>
      <c r="SF16" s="1" t="n">
        <f aca="false">IF(B16=0,LQ16+LU16,0)</f>
        <v>0</v>
      </c>
      <c r="SG16" s="1" t="n">
        <f aca="false">IF(B16=0,IF(HT16=1,LS16,LT16),0)</f>
        <v>0</v>
      </c>
      <c r="SH16" s="1" t="n">
        <f aca="false">IF(EM16=1,IF(HT16=1,LZ16+MC16,EN16-PD16)*(1+Slot13_Rate),0)</f>
        <v>0</v>
      </c>
      <c r="SI16" s="1" t="n">
        <f aca="false">IF(AND(HT16=1,EM16=1),(LY16+MC16)/E16,0)</f>
        <v>0</v>
      </c>
      <c r="SJ16" s="1" t="n">
        <f aca="false">IF(B16=0,LY16+MC16,0)</f>
        <v>0</v>
      </c>
      <c r="SK16" s="1" t="n">
        <f aca="false">IF(B16=0,IF(HT16=1,MA16,MB16),0)</f>
        <v>0</v>
      </c>
      <c r="SL16" s="1" t="n">
        <f aca="false">IF(EW16=1,IF(HT16=1,MH16+MK16,EX16-PB16)*(1+Slot14_Rate),0)</f>
        <v>0</v>
      </c>
      <c r="SM16" s="1" t="n">
        <f aca="false">IF(AND(HT16=1,EW16=1),(MG16+MK16)/E16,0)</f>
        <v>0</v>
      </c>
      <c r="SN16" s="1" t="n">
        <f aca="false">IF(B16=0,MG16+MK16,0)</f>
        <v>0</v>
      </c>
      <c r="SO16" s="1" t="n">
        <f aca="false">IF(B16=0,IF(HT16=1,MI16,MJ16),0)</f>
        <v>0</v>
      </c>
      <c r="SP16" s="1" t="n">
        <f aca="false">IF(FG16=1,IF(HT16=1,MP16+MS16,FH16-OZ16)*(1+Slot15_Rate),0)</f>
        <v>0</v>
      </c>
      <c r="SQ16" s="1" t="n">
        <f aca="false">IF(AND(HT16=1,FG16=1),(MO16+MS16)/E16,0)</f>
        <v>0</v>
      </c>
      <c r="SR16" s="1" t="n">
        <f aca="false">IF(B16=0,MO16+MS16,0)</f>
        <v>0</v>
      </c>
      <c r="SS16" s="1" t="n">
        <f aca="false">IF(B16=0,IF(HT16=1,MQ16,MR16),0)</f>
        <v>0</v>
      </c>
      <c r="ST16" s="1" t="n">
        <f aca="false">IF(FQ16=1,IF(HT16=1,MX16+NA16,FR16-OX16)*(1+Slot16_Rate),0)</f>
        <v>0</v>
      </c>
      <c r="SU16" s="1" t="n">
        <f aca="false">IF(AND(HT16=1,FQ16=1),(MW16+NA16)/E16,0)</f>
        <v>0</v>
      </c>
      <c r="SV16" s="1" t="n">
        <f aca="false">IF(B16=0,MW16+NA16,0)</f>
        <v>0</v>
      </c>
      <c r="SW16" s="1" t="n">
        <f aca="false">IF(B16=0,IF(HT16=1,MY16,MZ16),0)</f>
        <v>0</v>
      </c>
      <c r="SX16" s="1" t="n">
        <f aca="false">IF(GA16=1,IF(HT16=1,NF16+NI16,GB16-OV16)*(1+Slot17_Rate),0)</f>
        <v>0</v>
      </c>
      <c r="SY16" s="1" t="n">
        <f aca="false">IF(AND(HT16=1,GA16=1),(NE16+NI16)/E16,0)</f>
        <v>0</v>
      </c>
      <c r="SZ16" s="1" t="n">
        <f aca="false">IF(B16=0,NE16+NI16,0)</f>
        <v>0</v>
      </c>
      <c r="TA16" s="1" t="n">
        <f aca="false">IF(B16=0,IF(HT16=1,NG16,NH16),0)</f>
        <v>0</v>
      </c>
      <c r="TB16" s="1" t="n">
        <f aca="false">IF(GK16=1,IF(HT16=1,NN16+NQ16,GL16-OT16)*(1+Slot18_Rate),0)</f>
        <v>0</v>
      </c>
      <c r="TC16" s="1" t="n">
        <f aca="false">IF(AND(HT16=1,GK16=1),(NM16+NQ16)/E16,0)</f>
        <v>0</v>
      </c>
      <c r="TD16" s="1" t="n">
        <f aca="false">IF(B16=0,NM16+NQ16,0)</f>
        <v>0</v>
      </c>
      <c r="TE16" s="1" t="n">
        <f aca="false">IF(B16=0,IF(HT16=1,NO16,NP16),0)</f>
        <v>0</v>
      </c>
      <c r="TF16" s="1" t="n">
        <f aca="false">IF(GU16=1,IF(HT16=1,NV16+NY16,GV16-OR16)*(1+Slot19_Rate),0)</f>
        <v>0</v>
      </c>
      <c r="TG16" s="1" t="n">
        <f aca="false">IF(AND(HT16=1,GU16=1),(NU16+NY16)/E16,0)</f>
        <v>0</v>
      </c>
      <c r="TH16" s="1" t="n">
        <f aca="false">IF(B16=0,NU16+NY16,0)</f>
        <v>0</v>
      </c>
      <c r="TI16" s="1" t="n">
        <f aca="false">IF(B16=0,IF(HT16=1,NW16,NX16),0)</f>
        <v>0</v>
      </c>
      <c r="TJ16" s="1" t="n">
        <f aca="false">IF(HE16=1,IF(HT16=1,OD16+OG16,HF16-OP16)*(1+Slot20_Rate),0)</f>
        <v>0</v>
      </c>
      <c r="TK16" s="1" t="n">
        <f aca="false">IF(AND(HT16=1,HE16=1),(OC16+OG16)/E16,0)</f>
        <v>0</v>
      </c>
      <c r="TL16" s="1" t="n">
        <f aca="false">IF(B16=0,OC16+OG16,0)</f>
        <v>0</v>
      </c>
      <c r="TM16" s="1" t="n">
        <f aca="false">IF(B16=0,IF(HT16=1,OE16,OF16),0)</f>
        <v>0</v>
      </c>
      <c r="TN16" s="1" t="n">
        <f aca="false">QJ16+QK16+QL16+QP16+QT16+QX16+RB16+RF16+RJ16+RN16+RR16+RV16+RZ16+SD16+SH16+SL16+SP16+ST16+SX16+TB16+TF16+TJ16</f>
        <v>0</v>
      </c>
      <c r="TO16" s="1" t="n">
        <f aca="false">QD16+HO16</f>
        <v>0</v>
      </c>
      <c r="TP16" s="1" t="n">
        <f aca="false">H16+R16</f>
        <v>0</v>
      </c>
      <c r="TQ16" s="1" t="n">
        <f aca="false">1-F16</f>
        <v>0</v>
      </c>
      <c r="TR16" s="1" t="n">
        <f aca="false">IF(AND(RG_Exists=1,F16=0,C16=1),H16,0)</f>
        <v>0</v>
      </c>
      <c r="TS16" s="1" t="n">
        <f aca="false">IF(AND(RG_Exists=1,F16=0,C16=1),H16-MIN(QD16,H16),0)</f>
        <v>0</v>
      </c>
      <c r="TT16" s="1" t="n">
        <f aca="false">'Plan pay &amp; tax'!AD242</f>
        <v>0</v>
      </c>
      <c r="TU16" s="1" t="n">
        <f aca="false">IF(AND(C16=1,QD16&gt;MAX(PR_Short1,TP16*PR_Short2)),1,0)</f>
        <v>0</v>
      </c>
      <c r="TV16" s="1" t="n">
        <f aca="false">MIN(G16,H16+R16)</f>
        <v>0</v>
      </c>
      <c r="TW16" s="1" t="n">
        <f aca="false">QE16+MAX(0,HP16-HO16)</f>
        <v>0</v>
      </c>
      <c r="TX16" s="1" t="n">
        <f aca="false">QD16+HO16</f>
        <v>0</v>
      </c>
      <c r="TY16" s="1" t="n">
        <f aca="false">IF(AND(C16=1,TX16&gt;PR_MinShort),1,0)</f>
        <v>0</v>
      </c>
      <c r="TZ16" s="1" t="n">
        <f aca="false">IF(AND(C16=1,TY16=0,TW16&gt;PR_MinShort),1,0)</f>
        <v>0</v>
      </c>
      <c r="UA16" s="1" t="n">
        <f aca="false">IF(AND(C16=1,QD16&gt;PR_MinShort),1,0)</f>
        <v>0</v>
      </c>
      <c r="UB16" s="1" t="n">
        <f aca="false">IF(AND(C16=1,QE16&gt;1,UI16=0),1,0)</f>
        <v>0</v>
      </c>
      <c r="UC16" s="1" t="str">
        <f aca="false">IF(C16=0,"",IF(UI16=1,"Gap to plan for: short "&amp;"€"&amp;TEXT(ROUND(TO16,0),"#,##0"),IF(QE16&gt;1,"Using savings","Comfortable")))</f>
        <v>Comfortable</v>
      </c>
      <c r="UD16" s="1" t="n">
        <f aca="false">IF(AND(INT(D16/10)*10=90,B16&gt;0),80,INT(D16/10)*10)</f>
        <v>0</v>
      </c>
      <c r="UE16" s="1" t="n">
        <f aca="false">IF(B16=0,1,IF(UD16&lt;&gt;UD15,UE15+1,UE15))</f>
        <v>1</v>
      </c>
      <c r="UF16" s="1" t="n">
        <f aca="false">IF(AND(C16=1,F16=1,QD16&gt;MAX(PR_Short1,TP16*PR_Short2)),1,0)</f>
        <v>0</v>
      </c>
      <c r="UG16" s="1" t="n">
        <f aca="false">TQ16*TU16</f>
        <v>0</v>
      </c>
      <c r="UH16" s="1" t="n">
        <f aca="false">IF(AND(U16=1,Slot1_PctLow=1),1,0)+IF(AND(AF16=1,Slot2_PctLow=1),1,0)+IF(AND(AP16=1,Slot3_PctLow=1),1,0)+IF(AND(AZ16=1,Slot4_PctLow=1),1,0)+IF(AND(BJ16=1,Slot5_PctLow=1),1,0)+IF(AND(BT16=1,Slot6_PctLow=1),1,0)+IF(AND(CD16=1,Slot7_PctLow=1),1,0)+IF(AND(CN16=1,Slot8_PctLow=1),1,0)+IF(AND(CX16=1,Slot9_PctLow=1),1,0)+IF(AND(DH16=1,Slot10_PctLow=1),1,0)+IF(AND(DR16=1,Slot11_PctLow=1),1,0)+IF(AND(EB16=1,Slot12_PctLow=1),1,0)+IF(AND(EL16=1,Slot13_PctLow=1),1,0)+IF(AND(EV16=1,Slot14_PctLow=1),1,0)+IF(AND(FF16=1,Slot15_PctLow=1),1,0)+IF(AND(FP16=1,Slot16_PctLow=1),1,0)+IF(AND(FZ16=1,Slot17_PctLow=1),1,0)+IF(AND(GJ16=1,Slot18_PctLow=1),1,0)+IF(AND(GT16=1,Slot19_PctLow=1),1,0)+IF(AND(HD16=1,Slot20_PctLow=1),1,0)</f>
        <v>0</v>
      </c>
      <c r="UI16" s="1" t="n">
        <f aca="false">IF(C16=1,IF(OR(TU16=1,UH16&gt;0),1,0),0)</f>
        <v>0</v>
      </c>
    </row>
    <row r="17" customFormat="false" ht="15" hidden="false" customHeight="true" outlineLevel="0" collapsed="false">
      <c r="B17" s="1" t="n">
        <v>9</v>
      </c>
      <c r="C17" s="1" t="n">
        <f aca="false">IF(B17&lt;=F_N,1,0)</f>
        <v>1</v>
      </c>
      <c r="D17" s="1" t="n">
        <f aca="false">'Plan pay &amp; tax'!C243</f>
        <v>9</v>
      </c>
      <c r="E17" s="111" t="n">
        <f aca="false">'Plan pay &amp; tax'!E243</f>
        <v>1.19509256862231</v>
      </c>
      <c r="F17" s="1" t="n">
        <f aca="false">'Plan pay &amp; tax'!G243</f>
        <v>1</v>
      </c>
      <c r="G17" s="1" t="n">
        <f aca="false">'Plan pay &amp; tax'!BT243-'Plan pay &amp; tax'!BS243-'Plan pay &amp; tax'!R243</f>
        <v>0</v>
      </c>
      <c r="H17" s="1" t="n">
        <f aca="false">IF(F17=1,F_CostsM*12,IF(RG_Exists=1,RG_Amount,F_CostsM*12*AS_RetireSpend))*E17+F_OneOffY*E17</f>
        <v>0</v>
      </c>
      <c r="I17" s="1" t="n">
        <f aca="false">HQ16</f>
        <v>0</v>
      </c>
      <c r="J17" s="1" t="n">
        <f aca="false">IF(I17&gt;1,'Plan debt months'!AC17,0)</f>
        <v>0</v>
      </c>
      <c r="K17" s="1" t="n">
        <f aca="false">IF(I17&gt;1,'Plan debt months'!AB17,I17)</f>
        <v>0</v>
      </c>
      <c r="L17" s="1" t="n">
        <f aca="false">N16</f>
        <v>0</v>
      </c>
      <c r="M17" s="1" t="n">
        <f aca="false">IF(L17&gt;1,'Plan debt months'!BD17,0)</f>
        <v>0</v>
      </c>
      <c r="N17" s="1" t="n">
        <f aca="false">IF(L17&gt;1,'Plan debt months'!BC17,L17)</f>
        <v>0</v>
      </c>
      <c r="O17" s="1" t="n">
        <f aca="false">Q16</f>
        <v>0</v>
      </c>
      <c r="P17" s="1" t="n">
        <f aca="false">IF(O17&gt;1,'Plan debt months'!CE17,0)</f>
        <v>0</v>
      </c>
      <c r="Q17" s="1" t="n">
        <f aca="false">IF(O17&gt;1,'Plan debt months'!CD17,O17)</f>
        <v>0</v>
      </c>
      <c r="R17" s="1" t="n">
        <f aca="false">J17+M17+P17</f>
        <v>0</v>
      </c>
      <c r="S17" s="1" t="n">
        <f aca="false">QJ16+'Plan pay &amp; tax'!Y243</f>
        <v>0</v>
      </c>
      <c r="T17" s="1" t="n">
        <f aca="false">QJ16</f>
        <v>0</v>
      </c>
      <c r="U17" s="1" t="n">
        <f aca="false">IF(AND(Slot1_On=1,D17=Slot1_Age),1,0)</f>
        <v>0</v>
      </c>
      <c r="V17" s="1" t="n">
        <f aca="false">IF(AND(Slot1_On=1,Slot1_Age&gt;D17),1,0)</f>
        <v>0</v>
      </c>
      <c r="W17" s="1" t="n">
        <f aca="false">QL16</f>
        <v>0</v>
      </c>
      <c r="X17" s="1" t="n">
        <f aca="false">U17*MIN(Slot1_Cost,W17)</f>
        <v>0</v>
      </c>
      <c r="Y17" s="1" t="n">
        <f aca="false">U17*Slot1_SpendLike*MIN(Slot1_Cost-X17,S17)</f>
        <v>0</v>
      </c>
      <c r="Z17" s="1" t="n">
        <f aca="false">X17+Y17</f>
        <v>0</v>
      </c>
      <c r="AA17" s="1" t="n">
        <f aca="false">S17-Y17+U17*IF(Slot1_SpendLike=1,W17-X17,IF(Slot1_PotFree=1,W17,0))</f>
        <v>0</v>
      </c>
      <c r="AB17" s="1" t="n">
        <f aca="false">AE17+U17*Slot1_BufPot*W17</f>
        <v>0</v>
      </c>
      <c r="AC17" s="1" t="n">
        <f aca="false">IF(AND(U17=1,Slot1_IsMfree=1),IF(Z17&gt;=Slot1_Cost-1,0,MAX(0,K17-Z17)),K17)</f>
        <v>0</v>
      </c>
      <c r="AD17" s="1" t="n">
        <f aca="false">U17*(Slot1_Cost-Z17)</f>
        <v>0</v>
      </c>
      <c r="AE17" s="1" t="n">
        <f aca="false">QK16</f>
        <v>0</v>
      </c>
      <c r="AF17" s="1" t="n">
        <f aca="false">IF(AND(Slot2_On=1,D17=Slot2_Age),1,0)</f>
        <v>0</v>
      </c>
      <c r="AG17" s="1" t="n">
        <f aca="false">IF(AND(Slot2_On=1,Slot2_Age&gt;D17),1,0)</f>
        <v>0</v>
      </c>
      <c r="AH17" s="1" t="n">
        <f aca="false">QP16</f>
        <v>0</v>
      </c>
      <c r="AI17" s="1" t="n">
        <f aca="false">AF17*MIN(Slot2_Cost,AH17)</f>
        <v>0</v>
      </c>
      <c r="AJ17" s="1" t="n">
        <f aca="false">AF17*Slot2_SpendLike*MIN(Slot2_Cost-AI17,AA17)</f>
        <v>0</v>
      </c>
      <c r="AK17" s="1" t="n">
        <f aca="false">AI17+AJ17</f>
        <v>0</v>
      </c>
      <c r="AL17" s="1" t="n">
        <f aca="false">AA17-AJ17+AF17*IF(Slot2_SpendLike=1,AH17-AI17,IF(Slot2_PotFree=1,AH17,0))</f>
        <v>0</v>
      </c>
      <c r="AM17" s="1" t="n">
        <f aca="false">AB17+AF17*Slot2_BufPot*AH17</f>
        <v>0</v>
      </c>
      <c r="AN17" s="1" t="n">
        <f aca="false">IF(AND(AF17=1,Slot2_IsMfree=1),IF(AK17&gt;=Slot2_Cost-1,0,MAX(0,AC17-AK17)),AC17)</f>
        <v>0</v>
      </c>
      <c r="AO17" s="1" t="n">
        <f aca="false">AF17*(Slot2_Cost-AK17)</f>
        <v>0</v>
      </c>
      <c r="AP17" s="1" t="n">
        <f aca="false">IF(AND(Slot3_On=1,D17=Slot3_Age),1,0)</f>
        <v>0</v>
      </c>
      <c r="AQ17" s="1" t="n">
        <f aca="false">IF(AND(Slot3_On=1,Slot3_Age&gt;D17),1,0)</f>
        <v>0</v>
      </c>
      <c r="AR17" s="1" t="n">
        <f aca="false">QT16</f>
        <v>0</v>
      </c>
      <c r="AS17" s="1" t="n">
        <f aca="false">AP17*MIN(Slot3_Cost,AR17)</f>
        <v>0</v>
      </c>
      <c r="AT17" s="1" t="n">
        <f aca="false">AP17*Slot3_SpendLike*MIN(Slot3_Cost-AS17,AL17)</f>
        <v>0</v>
      </c>
      <c r="AU17" s="1" t="n">
        <f aca="false">AS17+AT17</f>
        <v>0</v>
      </c>
      <c r="AV17" s="1" t="n">
        <f aca="false">AL17-AT17+AP17*IF(Slot3_SpendLike=1,AR17-AS17,IF(Slot3_PotFree=1,AR17,0))</f>
        <v>0</v>
      </c>
      <c r="AW17" s="1" t="n">
        <f aca="false">AM17+AP17*Slot3_BufPot*AR17</f>
        <v>0</v>
      </c>
      <c r="AX17" s="1" t="n">
        <f aca="false">IF(AND(AP17=1,Slot3_IsMfree=1),IF(AU17&gt;=Slot3_Cost-1,0,MAX(0,AN17-AU17)),AN17)</f>
        <v>0</v>
      </c>
      <c r="AY17" s="1" t="n">
        <f aca="false">AP17*(Slot3_Cost-AU17)</f>
        <v>0</v>
      </c>
      <c r="AZ17" s="1" t="n">
        <f aca="false">IF(AND(Slot4_On=1,D17=Slot4_Age),1,0)</f>
        <v>0</v>
      </c>
      <c r="BA17" s="1" t="n">
        <f aca="false">IF(AND(Slot4_On=1,Slot4_Age&gt;D17),1,0)</f>
        <v>0</v>
      </c>
      <c r="BB17" s="1" t="n">
        <f aca="false">QX16</f>
        <v>0</v>
      </c>
      <c r="BC17" s="1" t="n">
        <f aca="false">AZ17*MIN(Slot4_Cost,BB17)</f>
        <v>0</v>
      </c>
      <c r="BD17" s="1" t="n">
        <f aca="false">AZ17*Slot4_SpendLike*MIN(Slot4_Cost-BC17,AV17)</f>
        <v>0</v>
      </c>
      <c r="BE17" s="1" t="n">
        <f aca="false">BC17+BD17</f>
        <v>0</v>
      </c>
      <c r="BF17" s="1" t="n">
        <f aca="false">AV17-BD17+AZ17*IF(Slot4_SpendLike=1,BB17-BC17,IF(Slot4_PotFree=1,BB17,0))</f>
        <v>0</v>
      </c>
      <c r="BG17" s="1" t="n">
        <f aca="false">AW17+AZ17*Slot4_BufPot*BB17</f>
        <v>0</v>
      </c>
      <c r="BH17" s="1" t="n">
        <f aca="false">IF(AND(AZ17=1,Slot4_IsMfree=1),IF(BE17&gt;=Slot4_Cost-1,0,MAX(0,AX17-BE17)),AX17)</f>
        <v>0</v>
      </c>
      <c r="BI17" s="1" t="n">
        <f aca="false">AZ17*(Slot4_Cost-BE17)</f>
        <v>0</v>
      </c>
      <c r="BJ17" s="1" t="n">
        <f aca="false">IF(AND(Slot5_On=1,D17=Slot5_Age),1,0)</f>
        <v>0</v>
      </c>
      <c r="BK17" s="1" t="n">
        <f aca="false">IF(AND(Slot5_On=1,Slot5_Age&gt;D17),1,0)</f>
        <v>0</v>
      </c>
      <c r="BL17" s="1" t="n">
        <f aca="false">RB16</f>
        <v>0</v>
      </c>
      <c r="BM17" s="1" t="n">
        <f aca="false">BJ17*MIN(Slot5_Cost,BL17)</f>
        <v>0</v>
      </c>
      <c r="BN17" s="1" t="n">
        <f aca="false">BJ17*Slot5_SpendLike*MIN(Slot5_Cost-BM17,BF17)</f>
        <v>0</v>
      </c>
      <c r="BO17" s="1" t="n">
        <f aca="false">BM17+BN17</f>
        <v>0</v>
      </c>
      <c r="BP17" s="1" t="n">
        <f aca="false">BF17-BN17+BJ17*IF(Slot5_SpendLike=1,BL17-BM17,IF(Slot5_PotFree=1,BL17,0))</f>
        <v>0</v>
      </c>
      <c r="BQ17" s="1" t="n">
        <f aca="false">BG17+BJ17*Slot5_BufPot*BL17</f>
        <v>0</v>
      </c>
      <c r="BR17" s="1" t="n">
        <f aca="false">IF(AND(BJ17=1,Slot5_IsMfree=1),IF(BO17&gt;=Slot5_Cost-1,0,MAX(0,BH17-BO17)),BH17)</f>
        <v>0</v>
      </c>
      <c r="BS17" s="1" t="n">
        <f aca="false">BJ17*(Slot5_Cost-BO17)</f>
        <v>0</v>
      </c>
      <c r="BT17" s="1" t="n">
        <f aca="false">IF(AND(Slot6_On=1,D17=Slot6_Age),1,0)</f>
        <v>0</v>
      </c>
      <c r="BU17" s="1" t="n">
        <f aca="false">IF(AND(Slot6_On=1,Slot6_Age&gt;D17),1,0)</f>
        <v>0</v>
      </c>
      <c r="BV17" s="1" t="n">
        <f aca="false">RF16</f>
        <v>0</v>
      </c>
      <c r="BW17" s="1" t="n">
        <f aca="false">BT17*MIN(Slot6_Cost,BV17)</f>
        <v>0</v>
      </c>
      <c r="BX17" s="1" t="n">
        <f aca="false">BT17*Slot6_SpendLike*MIN(Slot6_Cost-BW17,BP17)</f>
        <v>0</v>
      </c>
      <c r="BY17" s="1" t="n">
        <f aca="false">BW17+BX17</f>
        <v>0</v>
      </c>
      <c r="BZ17" s="1" t="n">
        <f aca="false">BP17-BX17+BT17*IF(Slot6_SpendLike=1,BV17-BW17,IF(Slot6_PotFree=1,BV17,0))</f>
        <v>0</v>
      </c>
      <c r="CA17" s="1" t="n">
        <f aca="false">BQ17+BT17*Slot6_BufPot*BV17</f>
        <v>0</v>
      </c>
      <c r="CB17" s="1" t="n">
        <f aca="false">IF(AND(BT17=1,Slot6_IsMfree=1),IF(BY17&gt;=Slot6_Cost-1,0,MAX(0,BR17-BY17)),BR17)</f>
        <v>0</v>
      </c>
      <c r="CC17" s="1" t="n">
        <f aca="false">BT17*(Slot6_Cost-BY17)</f>
        <v>0</v>
      </c>
      <c r="CD17" s="1" t="n">
        <f aca="false">IF(AND(Slot7_On=1,D17=Slot7_Age),1,0)</f>
        <v>0</v>
      </c>
      <c r="CE17" s="1" t="n">
        <f aca="false">IF(AND(Slot7_On=1,Slot7_Age&gt;D17),1,0)</f>
        <v>0</v>
      </c>
      <c r="CF17" s="1" t="n">
        <f aca="false">RJ16</f>
        <v>0</v>
      </c>
      <c r="CG17" s="1" t="n">
        <f aca="false">CD17*MIN(Slot7_Cost,CF17)</f>
        <v>0</v>
      </c>
      <c r="CH17" s="1" t="n">
        <f aca="false">CD17*Slot7_SpendLike*MIN(Slot7_Cost-CG17,BZ17)</f>
        <v>0</v>
      </c>
      <c r="CI17" s="1" t="n">
        <f aca="false">CG17+CH17</f>
        <v>0</v>
      </c>
      <c r="CJ17" s="1" t="n">
        <f aca="false">BZ17-CH17+CD17*IF(Slot7_SpendLike=1,CF17-CG17,IF(Slot7_PotFree=1,CF17,0))</f>
        <v>0</v>
      </c>
      <c r="CK17" s="1" t="n">
        <f aca="false">CA17+CD17*Slot7_BufPot*CF17</f>
        <v>0</v>
      </c>
      <c r="CL17" s="1" t="n">
        <f aca="false">IF(AND(CD17=1,Slot7_IsMfree=1),IF(CI17&gt;=Slot7_Cost-1,0,MAX(0,CB17-CI17)),CB17)</f>
        <v>0</v>
      </c>
      <c r="CM17" s="1" t="n">
        <f aca="false">CD17*(Slot7_Cost-CI17)</f>
        <v>0</v>
      </c>
      <c r="CN17" s="1" t="n">
        <f aca="false">IF(AND(Slot8_On=1,D17=Slot8_Age),1,0)</f>
        <v>0</v>
      </c>
      <c r="CO17" s="1" t="n">
        <f aca="false">IF(AND(Slot8_On=1,Slot8_Age&gt;D17),1,0)</f>
        <v>0</v>
      </c>
      <c r="CP17" s="1" t="n">
        <f aca="false">RN16</f>
        <v>0</v>
      </c>
      <c r="CQ17" s="1" t="n">
        <f aca="false">CN17*MIN(Slot8_Cost,CP17)</f>
        <v>0</v>
      </c>
      <c r="CR17" s="1" t="n">
        <f aca="false">CN17*Slot8_SpendLike*MIN(Slot8_Cost-CQ17,CJ17)</f>
        <v>0</v>
      </c>
      <c r="CS17" s="1" t="n">
        <f aca="false">CQ17+CR17</f>
        <v>0</v>
      </c>
      <c r="CT17" s="1" t="n">
        <f aca="false">CJ17-CR17+CN17*IF(Slot8_SpendLike=1,CP17-CQ17,IF(Slot8_PotFree=1,CP17,0))</f>
        <v>0</v>
      </c>
      <c r="CU17" s="1" t="n">
        <f aca="false">CK17+CN17*Slot8_BufPot*CP17</f>
        <v>0</v>
      </c>
      <c r="CV17" s="1" t="n">
        <f aca="false">IF(AND(CN17=1,Slot8_IsMfree=1),IF(CS17&gt;=Slot8_Cost-1,0,MAX(0,CL17-CS17)),CL17)</f>
        <v>0</v>
      </c>
      <c r="CW17" s="1" t="n">
        <f aca="false">CN17*(Slot8_Cost-CS17)</f>
        <v>0</v>
      </c>
      <c r="CX17" s="1" t="n">
        <f aca="false">IF(AND(Slot9_On=1,D17=Slot9_Age),1,0)</f>
        <v>0</v>
      </c>
      <c r="CY17" s="1" t="n">
        <f aca="false">IF(AND(Slot9_On=1,Slot9_Age&gt;D17),1,0)</f>
        <v>0</v>
      </c>
      <c r="CZ17" s="1" t="n">
        <f aca="false">RR16</f>
        <v>0</v>
      </c>
      <c r="DA17" s="1" t="n">
        <f aca="false">CX17*MIN(Slot9_Cost,CZ17)</f>
        <v>0</v>
      </c>
      <c r="DB17" s="1" t="n">
        <f aca="false">CX17*Slot9_SpendLike*MIN(Slot9_Cost-DA17,CT17)</f>
        <v>0</v>
      </c>
      <c r="DC17" s="1" t="n">
        <f aca="false">DA17+DB17</f>
        <v>0</v>
      </c>
      <c r="DD17" s="1" t="n">
        <f aca="false">CT17-DB17+CX17*IF(Slot9_SpendLike=1,CZ17-DA17,IF(Slot9_PotFree=1,CZ17,0))</f>
        <v>0</v>
      </c>
      <c r="DE17" s="1" t="n">
        <f aca="false">CU17+CX17*Slot9_BufPot*CZ17</f>
        <v>0</v>
      </c>
      <c r="DF17" s="1" t="n">
        <f aca="false">IF(AND(CX17=1,Slot9_IsMfree=1),IF(DC17&gt;=Slot9_Cost-1,0,MAX(0,CV17-DC17)),CV17)</f>
        <v>0</v>
      </c>
      <c r="DG17" s="1" t="n">
        <f aca="false">CX17*(Slot9_Cost-DC17)</f>
        <v>0</v>
      </c>
      <c r="DH17" s="1" t="n">
        <f aca="false">IF(AND(Slot10_On=1,D17=Slot10_Age),1,0)</f>
        <v>0</v>
      </c>
      <c r="DI17" s="1" t="n">
        <f aca="false">IF(AND(Slot10_On=1,Slot10_Age&gt;D17),1,0)</f>
        <v>0</v>
      </c>
      <c r="DJ17" s="1" t="n">
        <f aca="false">RV16</f>
        <v>0</v>
      </c>
      <c r="DK17" s="1" t="n">
        <f aca="false">DH17*MIN(Slot10_Cost,DJ17)</f>
        <v>0</v>
      </c>
      <c r="DL17" s="1" t="n">
        <f aca="false">DH17*Slot10_SpendLike*MIN(Slot10_Cost-DK17,DD17)</f>
        <v>0</v>
      </c>
      <c r="DM17" s="1" t="n">
        <f aca="false">DK17+DL17</f>
        <v>0</v>
      </c>
      <c r="DN17" s="1" t="n">
        <f aca="false">DD17-DL17+DH17*IF(Slot10_SpendLike=1,DJ17-DK17,IF(Slot10_PotFree=1,DJ17,0))</f>
        <v>0</v>
      </c>
      <c r="DO17" s="1" t="n">
        <f aca="false">DE17+DH17*Slot10_BufPot*DJ17</f>
        <v>0</v>
      </c>
      <c r="DP17" s="1" t="n">
        <f aca="false">IF(AND(DH17=1,Slot10_IsMfree=1),IF(DM17&gt;=Slot10_Cost-1,0,MAX(0,DF17-DM17)),DF17)</f>
        <v>0</v>
      </c>
      <c r="DQ17" s="1" t="n">
        <f aca="false">DH17*(Slot10_Cost-DM17)</f>
        <v>0</v>
      </c>
      <c r="DR17" s="1" t="n">
        <f aca="false">IF(AND(Slot11_On=1,D17=Slot11_Age),1,0)</f>
        <v>0</v>
      </c>
      <c r="DS17" s="1" t="n">
        <f aca="false">IF(AND(Slot11_On=1,Slot11_Age&gt;D17),1,0)</f>
        <v>0</v>
      </c>
      <c r="DT17" s="1" t="n">
        <f aca="false">RZ16</f>
        <v>0</v>
      </c>
      <c r="DU17" s="1" t="n">
        <f aca="false">DR17*MIN(Slot11_Cost,DT17)</f>
        <v>0</v>
      </c>
      <c r="DV17" s="1" t="n">
        <f aca="false">DR17*Slot11_SpendLike*MIN(Slot11_Cost-DU17,DN17)</f>
        <v>0</v>
      </c>
      <c r="DW17" s="1" t="n">
        <f aca="false">DU17+DV17</f>
        <v>0</v>
      </c>
      <c r="DX17" s="1" t="n">
        <f aca="false">DN17-DV17+DR17*IF(Slot11_SpendLike=1,DT17-DU17,IF(Slot11_PotFree=1,DT17,0))</f>
        <v>0</v>
      </c>
      <c r="DY17" s="1" t="n">
        <f aca="false">DO17+DR17*Slot11_BufPot*DT17</f>
        <v>0</v>
      </c>
      <c r="DZ17" s="1" t="n">
        <f aca="false">IF(AND(DR17=1,Slot11_IsMfree=1),IF(DW17&gt;=Slot11_Cost-1,0,MAX(0,DP17-DW17)),DP17)</f>
        <v>0</v>
      </c>
      <c r="EA17" s="1" t="n">
        <f aca="false">DR17*(Slot11_Cost-DW17)</f>
        <v>0</v>
      </c>
      <c r="EB17" s="1" t="n">
        <f aca="false">IF(AND(Slot12_On=1,D17=Slot12_Age),1,0)</f>
        <v>0</v>
      </c>
      <c r="EC17" s="1" t="n">
        <f aca="false">IF(AND(Slot12_On=1,Slot12_Age&gt;D17),1,0)</f>
        <v>0</v>
      </c>
      <c r="ED17" s="1" t="n">
        <f aca="false">SD16</f>
        <v>0</v>
      </c>
      <c r="EE17" s="1" t="n">
        <f aca="false">EB17*MIN(Slot12_Cost,ED17)</f>
        <v>0</v>
      </c>
      <c r="EF17" s="1" t="n">
        <f aca="false">EB17*Slot12_SpendLike*MIN(Slot12_Cost-EE17,DX17)</f>
        <v>0</v>
      </c>
      <c r="EG17" s="1" t="n">
        <f aca="false">EE17+EF17</f>
        <v>0</v>
      </c>
      <c r="EH17" s="1" t="n">
        <f aca="false">DX17-EF17+EB17*IF(Slot12_SpendLike=1,ED17-EE17,IF(Slot12_PotFree=1,ED17,0))</f>
        <v>0</v>
      </c>
      <c r="EI17" s="1" t="n">
        <f aca="false">DY17+EB17*Slot12_BufPot*ED17</f>
        <v>0</v>
      </c>
      <c r="EJ17" s="1" t="n">
        <f aca="false">IF(AND(EB17=1,Slot12_IsMfree=1),IF(EG17&gt;=Slot12_Cost-1,0,MAX(0,DZ17-EG17)),DZ17)</f>
        <v>0</v>
      </c>
      <c r="EK17" s="1" t="n">
        <f aca="false">EB17*(Slot12_Cost-EG17)</f>
        <v>0</v>
      </c>
      <c r="EL17" s="1" t="n">
        <f aca="false">IF(AND(Slot13_On=1,D17=Slot13_Age),1,0)</f>
        <v>0</v>
      </c>
      <c r="EM17" s="1" t="n">
        <f aca="false">IF(AND(Slot13_On=1,Slot13_Age&gt;D17),1,0)</f>
        <v>0</v>
      </c>
      <c r="EN17" s="1" t="n">
        <f aca="false">SH16</f>
        <v>0</v>
      </c>
      <c r="EO17" s="1" t="n">
        <f aca="false">EL17*MIN(Slot13_Cost,EN17)</f>
        <v>0</v>
      </c>
      <c r="EP17" s="1" t="n">
        <f aca="false">EL17*Slot13_SpendLike*MIN(Slot13_Cost-EO17,EH17)</f>
        <v>0</v>
      </c>
      <c r="EQ17" s="1" t="n">
        <f aca="false">EO17+EP17</f>
        <v>0</v>
      </c>
      <c r="ER17" s="1" t="n">
        <f aca="false">EH17-EP17+EL17*IF(Slot13_SpendLike=1,EN17-EO17,IF(Slot13_PotFree=1,EN17,0))</f>
        <v>0</v>
      </c>
      <c r="ES17" s="1" t="n">
        <f aca="false">EI17+EL17*Slot13_BufPot*EN17</f>
        <v>0</v>
      </c>
      <c r="ET17" s="1" t="n">
        <f aca="false">IF(AND(EL17=1,Slot13_IsMfree=1),IF(EQ17&gt;=Slot13_Cost-1,0,MAX(0,EJ17-EQ17)),EJ17)</f>
        <v>0</v>
      </c>
      <c r="EU17" s="1" t="n">
        <f aca="false">EL17*(Slot13_Cost-EQ17)</f>
        <v>0</v>
      </c>
      <c r="EV17" s="1" t="n">
        <f aca="false">IF(AND(Slot14_On=1,D17=Slot14_Age),1,0)</f>
        <v>0</v>
      </c>
      <c r="EW17" s="1" t="n">
        <f aca="false">IF(AND(Slot14_On=1,Slot14_Age&gt;D17),1,0)</f>
        <v>0</v>
      </c>
      <c r="EX17" s="1" t="n">
        <f aca="false">SL16</f>
        <v>0</v>
      </c>
      <c r="EY17" s="1" t="n">
        <f aca="false">EV17*MIN(Slot14_Cost,EX17)</f>
        <v>0</v>
      </c>
      <c r="EZ17" s="1" t="n">
        <f aca="false">EV17*Slot14_SpendLike*MIN(Slot14_Cost-EY17,ER17)</f>
        <v>0</v>
      </c>
      <c r="FA17" s="1" t="n">
        <f aca="false">EY17+EZ17</f>
        <v>0</v>
      </c>
      <c r="FB17" s="1" t="n">
        <f aca="false">ER17-EZ17+EV17*IF(Slot14_SpendLike=1,EX17-EY17,IF(Slot14_PotFree=1,EX17,0))</f>
        <v>0</v>
      </c>
      <c r="FC17" s="1" t="n">
        <f aca="false">ES17+EV17*Slot14_BufPot*EX17</f>
        <v>0</v>
      </c>
      <c r="FD17" s="1" t="n">
        <f aca="false">IF(AND(EV17=1,Slot14_IsMfree=1),IF(FA17&gt;=Slot14_Cost-1,0,MAX(0,ET17-FA17)),ET17)</f>
        <v>0</v>
      </c>
      <c r="FE17" s="1" t="n">
        <f aca="false">EV17*(Slot14_Cost-FA17)</f>
        <v>0</v>
      </c>
      <c r="FF17" s="1" t="n">
        <f aca="false">IF(AND(Slot15_On=1,D17=Slot15_Age),1,0)</f>
        <v>0</v>
      </c>
      <c r="FG17" s="1" t="n">
        <f aca="false">IF(AND(Slot15_On=1,Slot15_Age&gt;D17),1,0)</f>
        <v>0</v>
      </c>
      <c r="FH17" s="1" t="n">
        <f aca="false">SP16</f>
        <v>0</v>
      </c>
      <c r="FI17" s="1" t="n">
        <f aca="false">FF17*MIN(Slot15_Cost,FH17)</f>
        <v>0</v>
      </c>
      <c r="FJ17" s="1" t="n">
        <f aca="false">FF17*Slot15_SpendLike*MIN(Slot15_Cost-FI17,FB17)</f>
        <v>0</v>
      </c>
      <c r="FK17" s="1" t="n">
        <f aca="false">FI17+FJ17</f>
        <v>0</v>
      </c>
      <c r="FL17" s="1" t="n">
        <f aca="false">FB17-FJ17+FF17*IF(Slot15_SpendLike=1,FH17-FI17,IF(Slot15_PotFree=1,FH17,0))</f>
        <v>0</v>
      </c>
      <c r="FM17" s="1" t="n">
        <f aca="false">FC17+FF17*Slot15_BufPot*FH17</f>
        <v>0</v>
      </c>
      <c r="FN17" s="1" t="n">
        <f aca="false">IF(AND(FF17=1,Slot15_IsMfree=1),IF(FK17&gt;=Slot15_Cost-1,0,MAX(0,FD17-FK17)),FD17)</f>
        <v>0</v>
      </c>
      <c r="FO17" s="1" t="n">
        <f aca="false">FF17*(Slot15_Cost-FK17)</f>
        <v>0</v>
      </c>
      <c r="FP17" s="1" t="n">
        <f aca="false">IF(AND(Slot16_On=1,D17=Slot16_Age),1,0)</f>
        <v>0</v>
      </c>
      <c r="FQ17" s="1" t="n">
        <f aca="false">IF(AND(Slot16_On=1,Slot16_Age&gt;D17),1,0)</f>
        <v>0</v>
      </c>
      <c r="FR17" s="1" t="n">
        <f aca="false">ST16</f>
        <v>0</v>
      </c>
      <c r="FS17" s="1" t="n">
        <f aca="false">FP17*MIN(Slot16_Cost,FR17)</f>
        <v>0</v>
      </c>
      <c r="FT17" s="1" t="n">
        <f aca="false">FP17*Slot16_SpendLike*MIN(Slot16_Cost-FS17,FL17)</f>
        <v>0</v>
      </c>
      <c r="FU17" s="1" t="n">
        <f aca="false">FS17+FT17</f>
        <v>0</v>
      </c>
      <c r="FV17" s="1" t="n">
        <f aca="false">FL17-FT17+FP17*IF(Slot16_SpendLike=1,FR17-FS17,IF(Slot16_PotFree=1,FR17,0))</f>
        <v>0</v>
      </c>
      <c r="FW17" s="1" t="n">
        <f aca="false">FM17+FP17*Slot16_BufPot*FR17</f>
        <v>0</v>
      </c>
      <c r="FX17" s="1" t="n">
        <f aca="false">IF(AND(FP17=1,Slot16_IsMfree=1),IF(FU17&gt;=Slot16_Cost-1,0,MAX(0,FN17-FU17)),FN17)</f>
        <v>0</v>
      </c>
      <c r="FY17" s="1" t="n">
        <f aca="false">FP17*(Slot16_Cost-FU17)</f>
        <v>0</v>
      </c>
      <c r="FZ17" s="1" t="n">
        <f aca="false">IF(AND(Slot17_On=1,D17=Slot17_Age),1,0)</f>
        <v>0</v>
      </c>
      <c r="GA17" s="1" t="n">
        <f aca="false">IF(AND(Slot17_On=1,Slot17_Age&gt;D17),1,0)</f>
        <v>0</v>
      </c>
      <c r="GB17" s="1" t="n">
        <f aca="false">SX16</f>
        <v>0</v>
      </c>
      <c r="GC17" s="1" t="n">
        <f aca="false">FZ17*MIN(Slot17_Cost,GB17)</f>
        <v>0</v>
      </c>
      <c r="GD17" s="1" t="n">
        <f aca="false">FZ17*Slot17_SpendLike*MIN(Slot17_Cost-GC17,FV17)</f>
        <v>0</v>
      </c>
      <c r="GE17" s="1" t="n">
        <f aca="false">GC17+GD17</f>
        <v>0</v>
      </c>
      <c r="GF17" s="1" t="n">
        <f aca="false">FV17-GD17+FZ17*IF(Slot17_SpendLike=1,GB17-GC17,IF(Slot17_PotFree=1,GB17,0))</f>
        <v>0</v>
      </c>
      <c r="GG17" s="1" t="n">
        <f aca="false">FW17+FZ17*Slot17_BufPot*GB17</f>
        <v>0</v>
      </c>
      <c r="GH17" s="1" t="n">
        <f aca="false">IF(AND(FZ17=1,Slot17_IsMfree=1),IF(GE17&gt;=Slot17_Cost-1,0,MAX(0,FX17-GE17)),FX17)</f>
        <v>0</v>
      </c>
      <c r="GI17" s="1" t="n">
        <f aca="false">FZ17*(Slot17_Cost-GE17)</f>
        <v>0</v>
      </c>
      <c r="GJ17" s="1" t="n">
        <f aca="false">IF(AND(Slot18_On=1,D17=Slot18_Age),1,0)</f>
        <v>0</v>
      </c>
      <c r="GK17" s="1" t="n">
        <f aca="false">IF(AND(Slot18_On=1,Slot18_Age&gt;D17),1,0)</f>
        <v>0</v>
      </c>
      <c r="GL17" s="1" t="n">
        <f aca="false">TB16</f>
        <v>0</v>
      </c>
      <c r="GM17" s="1" t="n">
        <f aca="false">GJ17*MIN(Slot18_Cost,GL17)</f>
        <v>0</v>
      </c>
      <c r="GN17" s="1" t="n">
        <f aca="false">GJ17*Slot18_SpendLike*MIN(Slot18_Cost-GM17,GF17)</f>
        <v>0</v>
      </c>
      <c r="GO17" s="1" t="n">
        <f aca="false">GM17+GN17</f>
        <v>0</v>
      </c>
      <c r="GP17" s="1" t="n">
        <f aca="false">GF17-GN17+GJ17*IF(Slot18_SpendLike=1,GL17-GM17,IF(Slot18_PotFree=1,GL17,0))</f>
        <v>0</v>
      </c>
      <c r="GQ17" s="1" t="n">
        <f aca="false">GG17+GJ17*Slot18_BufPot*GL17</f>
        <v>0</v>
      </c>
      <c r="GR17" s="1" t="n">
        <f aca="false">IF(AND(GJ17=1,Slot18_IsMfree=1),IF(GO17&gt;=Slot18_Cost-1,0,MAX(0,GH17-GO17)),GH17)</f>
        <v>0</v>
      </c>
      <c r="GS17" s="1" t="n">
        <f aca="false">GJ17*(Slot18_Cost-GO17)</f>
        <v>0</v>
      </c>
      <c r="GT17" s="1" t="n">
        <f aca="false">IF(AND(Slot19_On=1,D17=Slot19_Age),1,0)</f>
        <v>0</v>
      </c>
      <c r="GU17" s="1" t="n">
        <f aca="false">IF(AND(Slot19_On=1,Slot19_Age&gt;D17),1,0)</f>
        <v>0</v>
      </c>
      <c r="GV17" s="1" t="n">
        <f aca="false">TF16</f>
        <v>0</v>
      </c>
      <c r="GW17" s="1" t="n">
        <f aca="false">GT17*MIN(Slot19_Cost,GV17)</f>
        <v>0</v>
      </c>
      <c r="GX17" s="1" t="n">
        <f aca="false">GT17*Slot19_SpendLike*MIN(Slot19_Cost-GW17,GP17)</f>
        <v>0</v>
      </c>
      <c r="GY17" s="1" t="n">
        <f aca="false">GW17+GX17</f>
        <v>0</v>
      </c>
      <c r="GZ17" s="1" t="n">
        <f aca="false">GP17-GX17+GT17*IF(Slot19_SpendLike=1,GV17-GW17,IF(Slot19_PotFree=1,GV17,0))</f>
        <v>0</v>
      </c>
      <c r="HA17" s="1" t="n">
        <f aca="false">GQ17+GT17*Slot19_BufPot*GV17</f>
        <v>0</v>
      </c>
      <c r="HB17" s="1" t="n">
        <f aca="false">IF(AND(GT17=1,Slot19_IsMfree=1),IF(GY17&gt;=Slot19_Cost-1,0,MAX(0,GR17-GY17)),GR17)</f>
        <v>0</v>
      </c>
      <c r="HC17" s="1" t="n">
        <f aca="false">GT17*(Slot19_Cost-GY17)</f>
        <v>0</v>
      </c>
      <c r="HD17" s="1" t="n">
        <f aca="false">IF(AND(Slot20_On=1,D17=Slot20_Age),1,0)</f>
        <v>0</v>
      </c>
      <c r="HE17" s="1" t="n">
        <f aca="false">IF(AND(Slot20_On=1,Slot20_Age&gt;D17),1,0)</f>
        <v>0</v>
      </c>
      <c r="HF17" s="1" t="n">
        <f aca="false">TJ16</f>
        <v>0</v>
      </c>
      <c r="HG17" s="1" t="n">
        <f aca="false">HD17*MIN(Slot20_Cost,HF17)</f>
        <v>0</v>
      </c>
      <c r="HH17" s="1" t="n">
        <f aca="false">HD17*Slot20_SpendLike*MIN(Slot20_Cost-HG17,GZ17)</f>
        <v>0</v>
      </c>
      <c r="HI17" s="1" t="n">
        <f aca="false">HG17+HH17</f>
        <v>0</v>
      </c>
      <c r="HJ17" s="1" t="n">
        <f aca="false">GZ17-HH17+HD17*IF(Slot20_SpendLike=1,HF17-HG17,IF(Slot20_PotFree=1,HF17,0))</f>
        <v>0</v>
      </c>
      <c r="HK17" s="1" t="n">
        <f aca="false">HA17+HD17*Slot20_BufPot*HF17</f>
        <v>0</v>
      </c>
      <c r="HL17" s="1" t="n">
        <f aca="false">IF(AND(HD17=1,Slot20_IsMfree=1),IF(HI17&gt;=Slot20_Cost-1,0,MAX(0,HB17-HI17)),HB17)</f>
        <v>0</v>
      </c>
      <c r="HM17" s="1" t="n">
        <f aca="false">HD17*(Slot20_Cost-HI17)</f>
        <v>0</v>
      </c>
      <c r="HN17" s="1" t="n">
        <f aca="false">U17*Slot1_SpendLike*Z17+AF17*Slot2_SpendLike*AK17+AP17*Slot3_SpendLike*AU17+AZ17*Slot4_SpendLike*BE17+BJ17*Slot5_SpendLike*BO17+BT17*Slot6_SpendLike*BY17+CD17*Slot7_SpendLike*CI17+CN17*Slot8_SpendLike*CS17+CX17*Slot9_SpendLike*DC17+DH17*Slot10_SpendLike*DM17+DR17*Slot11_SpendLike*DW17+EB17*Slot12_SpendLike*EG17+EL17*Slot13_SpendLike*EQ17+EV17*Slot14_SpendLike*FA17+FF17*Slot15_SpendLike*FK17+FP17*Slot16_SpendLike*FU17+FZ17*Slot17_SpendLike*GE17+GJ17*Slot18_SpendLike*GO17+GT17*Slot19_SpendLike*GY17+HD17*Slot20_SpendLike*HI17</f>
        <v>0</v>
      </c>
      <c r="HO17" s="1" t="n">
        <f aca="false">AD17+AO17+AY17+BI17+BS17+CC17+CM17+CW17+DG17+DQ17+EA17+EK17+EU17+FE17+FO17+FY17+GI17+GS17+HC17+HM17</f>
        <v>0</v>
      </c>
      <c r="HP17" s="1" t="n">
        <f aca="false">U17*Slot1_Cost+AF17*Slot2_Cost+AP17*Slot3_Cost+AZ17*Slot4_Cost+BJ17*Slot5_Cost+BT17*Slot6_Cost+CD17*Slot7_Cost+CN17*Slot8_Cost+CX17*Slot9_Cost+DH17*Slot10_Cost+DR17*Slot11_Cost+EB17*Slot12_Cost+EL17*Slot13_Cost+EV17*Slot14_Cost+FF17*Slot15_Cost+FP17*Slot16_Cost+FZ17*Slot17_Cost+GJ17*Slot18_Cost+GT17*Slot19_Cost+HD17*Slot20_Cost</f>
        <v>0</v>
      </c>
      <c r="HQ17" s="1" t="n">
        <f aca="false">HL17</f>
        <v>0</v>
      </c>
      <c r="HR17" s="1" t="n">
        <f aca="false">G17-H17-R17</f>
        <v>0</v>
      </c>
      <c r="HS17" s="1" t="n">
        <f aca="false">IF(B17=0,IF(AND(Has_q6=1,In_q6=4),PR_ShareVaries*(MAX(0,HR17)/12),MIN(IF(Has_q6=1,CHOOSE(In_q6+1,PR_SaveB1,PR_SaveB2,PR_SaveB3,PR_SaveB4,0),AS_NoAnswer),AS_SaveShare*(MAX(0,HR17)/12))),HS16)</f>
        <v>0</v>
      </c>
      <c r="HT17" s="1" t="n">
        <f aca="false">IF(HR17&gt;=0,1,0)</f>
        <v>1</v>
      </c>
      <c r="HU17" s="1" t="n">
        <f aca="false">MAX(0,HR17/12/E17)</f>
        <v>0</v>
      </c>
      <c r="HV17" s="1" t="n">
        <f aca="false">IF(AND(Has_q6=1,In_q6=4),PR_ShareVaries*(HU17),MIN(IF(Has_q6=1,CHOOSE(In_q6+1,PR_SaveB1,PR_SaveB2,PR_SaveB3,PR_SaveB4,0),AS_NoAnswer),AS_SaveShare*(HU17)))</f>
        <v>0</v>
      </c>
      <c r="HW17" s="1" t="n">
        <f aca="false">IF(Has_saveM=1,IF(In_saveUp="Yes",1,IF(In_saveUp="No",0,IF(In_saveM&gt;=HS17-0.5,1,0))),0)</f>
        <v>0</v>
      </c>
      <c r="HX17" s="1" t="n">
        <f aca="false">IF(Has_saveM=1,MIN(HU17,IF(HW17=1,MAX(In_saveM,HV17),MIN(In_saveM,HV17))),HV17)</f>
        <v>0</v>
      </c>
      <c r="HY17" s="1" t="n">
        <f aca="false">IF(F17=1,HX17*12*E17,0)</f>
        <v>0</v>
      </c>
      <c r="HZ17" s="1" t="n">
        <f aca="false">MAX(0,HY17+IF(AND(WI_Retire=0,WI_M&lt;0,F17=1),WI_M*12*E17,0))</f>
        <v>0</v>
      </c>
      <c r="IA17" s="1" t="n">
        <f aca="false">Slot1_IsWG*V17+Slot2_IsWG*AG17+Slot3_IsWG*AQ17+Slot4_IsWG*BA17+Slot5_IsWG*BK17+Slot6_IsWG*BU17+Slot7_IsWG*CE17+Slot8_IsWG*CO17+Slot9_IsWG*CY17+Slot10_IsWG*DI17+Slot11_IsWG*DS17+Slot12_IsWG*EC17+Slot13_IsWG*EM17+Slot14_IsWG*EW17+Slot15_IsWG*FG17+Slot16_IsWG*FQ17+Slot17_IsWG*GA17+Slot18_IsWG*GK17+Slot19_IsWG*GU17+Slot20_IsWG*HE17</f>
        <v>0</v>
      </c>
      <c r="IB17" s="1" t="n">
        <f aca="false">IF(AND(WI_Retire=0,WI_M&gt;0,F17=1,IA17&gt;=1),WI_M*12*E17,0)</f>
        <v>0</v>
      </c>
      <c r="IC17" s="1" t="n">
        <f aca="false">IF(HT17=1,MIN(HZ17,HR17),0)</f>
        <v>0</v>
      </c>
      <c r="ID17" s="1" t="n">
        <f aca="false">IF(HT17=1,MIN(IB17,HR17-IC17),0)</f>
        <v>0</v>
      </c>
      <c r="IE17" s="1" t="n">
        <f aca="false">IF(V17=1,IF(ABS((1+AS_Wage)/(1+Slot1_Rate)-1)&lt;0.000000000001,(Slot1_Age-D17)*(1+Slot1_Rate)^(Slot1_Age-D17),(1+Slot1_Rate)^(Slot1_Age-D17)*(1-((1+AS_Wage)/(1+Slot1_Rate))^(Slot1_Age-D17))/(1-(1+AS_Wage)/(1+Slot1_Rate))),1)</f>
        <v>1</v>
      </c>
      <c r="IF17" s="1" t="n">
        <f aca="false">IF(AND(HT17=1,ID17&gt;0,Slot1_IsWG=1,V17=1),MAX(0,(Slot1_Cost-W17*(1+Slot1_Rate)^(Slot1_Age-D17))/IE17),0)</f>
        <v>0</v>
      </c>
      <c r="IG17" s="1" t="n">
        <f aca="false">IF(AND(HT17=1,ID17&gt;0,Slot1_IsWG=1,V17=1),MIN(ID17,IF17),0)</f>
        <v>0</v>
      </c>
      <c r="IH17" s="1" t="n">
        <f aca="false">W17+IG17</f>
        <v>0</v>
      </c>
      <c r="II17" s="1" t="n">
        <f aca="false">IF(V17=1,MAX(0,(Slot1_Cost-IH17*(1+Slot1_Rate)^(Slot1_Age-D17))/IE17),0)</f>
        <v>0</v>
      </c>
      <c r="IJ17" s="1" t="n">
        <f aca="false">IF(V17=1,MAX(0,(Slot1_Cost-W17*(1+Slot1_Rate)^(Slot1_Age-D17))/IE17),0)</f>
        <v>0</v>
      </c>
      <c r="IK17" s="1" t="n">
        <f aca="false">IF(AND(HT17=1,V17=1),MIN(IC17,II17),0)</f>
        <v>0</v>
      </c>
      <c r="IL17" s="1" t="n">
        <f aca="false">IC17-IK17</f>
        <v>0</v>
      </c>
      <c r="IM17" s="1" t="n">
        <f aca="false">IF(AG17=1,IF(ABS((1+AS_Wage)/(1+Slot2_Rate)-1)&lt;0.000000000001,(Slot2_Age-D17)*(1+Slot2_Rate)^(Slot2_Age-D17),(1+Slot2_Rate)^(Slot2_Age-D17)*(1-((1+AS_Wage)/(1+Slot2_Rate))^(Slot2_Age-D17))/(1-(1+AS_Wage)/(1+Slot2_Rate))),1)</f>
        <v>1</v>
      </c>
      <c r="IN17" s="1" t="n">
        <f aca="false">IF(AND(HT17=1,ID17&gt;0,Slot2_IsWG=1,AG17=1),MAX(0,(Slot2_Cost-AH17*(1+Slot2_Rate)^(Slot2_Age-D17))/IM17),0)</f>
        <v>0</v>
      </c>
      <c r="IO17" s="1" t="n">
        <f aca="false">IF(AND(HT17=1,ID17&gt;0,Slot2_IsWG=1,AG17=1),MIN(ID17,IN17),0)</f>
        <v>0</v>
      </c>
      <c r="IP17" s="1" t="n">
        <f aca="false">AH17+IO17</f>
        <v>0</v>
      </c>
      <c r="IQ17" s="1" t="n">
        <f aca="false">IF(AG17=1,MAX(0,(Slot2_Cost-IP17*(1+Slot2_Rate)^(Slot2_Age-D17))/IM17),0)</f>
        <v>0</v>
      </c>
      <c r="IR17" s="1" t="n">
        <f aca="false">IF(AG17=1,MAX(0,(Slot2_Cost-AH17*(1+Slot2_Rate)^(Slot2_Age-D17))/IM17),0)</f>
        <v>0</v>
      </c>
      <c r="IS17" s="1" t="n">
        <f aca="false">IF(AND(HT17=1,AG17=1),MIN(IL17,IQ17),0)</f>
        <v>0</v>
      </c>
      <c r="IT17" s="1" t="n">
        <f aca="false">IL17-IS17</f>
        <v>0</v>
      </c>
      <c r="IU17" s="1" t="n">
        <f aca="false">IF(AQ17=1,IF(ABS((1+AS_Wage)/(1+Slot3_Rate)-1)&lt;0.000000000001,(Slot3_Age-D17)*(1+Slot3_Rate)^(Slot3_Age-D17),(1+Slot3_Rate)^(Slot3_Age-D17)*(1-((1+AS_Wage)/(1+Slot3_Rate))^(Slot3_Age-D17))/(1-(1+AS_Wage)/(1+Slot3_Rate))),1)</f>
        <v>1</v>
      </c>
      <c r="IV17" s="1" t="n">
        <f aca="false">IF(AND(HT17=1,ID17&gt;0,Slot3_IsWG=1,AQ17=1),MAX(0,(Slot3_Cost-AR17*(1+Slot3_Rate)^(Slot3_Age-D17))/IU17),0)</f>
        <v>0</v>
      </c>
      <c r="IW17" s="1" t="n">
        <f aca="false">IF(AND(HT17=1,ID17&gt;0,Slot3_IsWG=1,AQ17=1),MIN(ID17,IV17),0)</f>
        <v>0</v>
      </c>
      <c r="IX17" s="1" t="n">
        <f aca="false">AR17+IW17</f>
        <v>0</v>
      </c>
      <c r="IY17" s="1" t="n">
        <f aca="false">IF(AQ17=1,MAX(0,(Slot3_Cost-IX17*(1+Slot3_Rate)^(Slot3_Age-D17))/IU17),0)</f>
        <v>0</v>
      </c>
      <c r="IZ17" s="1" t="n">
        <f aca="false">IF(AQ17=1,MAX(0,(Slot3_Cost-AR17*(1+Slot3_Rate)^(Slot3_Age-D17))/IU17),0)</f>
        <v>0</v>
      </c>
      <c r="JA17" s="1" t="n">
        <f aca="false">IF(AND(HT17=1,AQ17=1),MIN(IT17,IY17),0)</f>
        <v>0</v>
      </c>
      <c r="JB17" s="1" t="n">
        <f aca="false">IT17-JA17</f>
        <v>0</v>
      </c>
      <c r="JC17" s="1" t="n">
        <f aca="false">IF(BA17=1,IF(ABS((1+AS_Wage)/(1+Slot4_Rate)-1)&lt;0.000000000001,(Slot4_Age-D17)*(1+Slot4_Rate)^(Slot4_Age-D17),(1+Slot4_Rate)^(Slot4_Age-D17)*(1-((1+AS_Wage)/(1+Slot4_Rate))^(Slot4_Age-D17))/(1-(1+AS_Wage)/(1+Slot4_Rate))),1)</f>
        <v>1</v>
      </c>
      <c r="JD17" s="1" t="n">
        <f aca="false">IF(AND(HT17=1,ID17&gt;0,Slot4_IsWG=1,BA17=1),MAX(0,(Slot4_Cost-BB17*(1+Slot4_Rate)^(Slot4_Age-D17))/JC17),0)</f>
        <v>0</v>
      </c>
      <c r="JE17" s="1" t="n">
        <f aca="false">IF(AND(HT17=1,ID17&gt;0,Slot4_IsWG=1,BA17=1),MIN(ID17,JD17),0)</f>
        <v>0</v>
      </c>
      <c r="JF17" s="1" t="n">
        <f aca="false">BB17+JE17</f>
        <v>0</v>
      </c>
      <c r="JG17" s="1" t="n">
        <f aca="false">IF(BA17=1,MAX(0,(Slot4_Cost-JF17*(1+Slot4_Rate)^(Slot4_Age-D17))/JC17),0)</f>
        <v>0</v>
      </c>
      <c r="JH17" s="1" t="n">
        <f aca="false">IF(BA17=1,MAX(0,(Slot4_Cost-BB17*(1+Slot4_Rate)^(Slot4_Age-D17))/JC17),0)</f>
        <v>0</v>
      </c>
      <c r="JI17" s="1" t="n">
        <f aca="false">IF(AND(HT17=1,BA17=1),MIN(JB17,JG17),0)</f>
        <v>0</v>
      </c>
      <c r="JJ17" s="1" t="n">
        <f aca="false">JB17-JI17</f>
        <v>0</v>
      </c>
      <c r="JK17" s="1" t="n">
        <f aca="false">IF(BK17=1,IF(ABS((1+AS_Wage)/(1+Slot5_Rate)-1)&lt;0.000000000001,(Slot5_Age-D17)*(1+Slot5_Rate)^(Slot5_Age-D17),(1+Slot5_Rate)^(Slot5_Age-D17)*(1-((1+AS_Wage)/(1+Slot5_Rate))^(Slot5_Age-D17))/(1-(1+AS_Wage)/(1+Slot5_Rate))),1)</f>
        <v>1</v>
      </c>
      <c r="JL17" s="1" t="n">
        <f aca="false">IF(AND(HT17=1,ID17&gt;0,Slot5_IsWG=1,BK17=1),MAX(0,(Slot5_Cost-BL17*(1+Slot5_Rate)^(Slot5_Age-D17))/JK17),0)</f>
        <v>0</v>
      </c>
      <c r="JM17" s="1" t="n">
        <f aca="false">IF(AND(HT17=1,ID17&gt;0,Slot5_IsWG=1,BK17=1),MIN(ID17,JL17),0)</f>
        <v>0</v>
      </c>
      <c r="JN17" s="1" t="n">
        <f aca="false">BL17+JM17</f>
        <v>0</v>
      </c>
      <c r="JO17" s="1" t="n">
        <f aca="false">IF(BK17=1,MAX(0,(Slot5_Cost-JN17*(1+Slot5_Rate)^(Slot5_Age-D17))/JK17),0)</f>
        <v>0</v>
      </c>
      <c r="JP17" s="1" t="n">
        <f aca="false">IF(BK17=1,MAX(0,(Slot5_Cost-BL17*(1+Slot5_Rate)^(Slot5_Age-D17))/JK17),0)</f>
        <v>0</v>
      </c>
      <c r="JQ17" s="1" t="n">
        <f aca="false">IF(AND(HT17=1,BK17=1),MIN(JJ17,JO17),0)</f>
        <v>0</v>
      </c>
      <c r="JR17" s="1" t="n">
        <f aca="false">JJ17-JQ17</f>
        <v>0</v>
      </c>
      <c r="JS17" s="1" t="n">
        <f aca="false">IF(BU17=1,IF(ABS((1+AS_Wage)/(1+Slot6_Rate)-1)&lt;0.000000000001,(Slot6_Age-D17)*(1+Slot6_Rate)^(Slot6_Age-D17),(1+Slot6_Rate)^(Slot6_Age-D17)*(1-((1+AS_Wage)/(1+Slot6_Rate))^(Slot6_Age-D17))/(1-(1+AS_Wage)/(1+Slot6_Rate))),1)</f>
        <v>1</v>
      </c>
      <c r="JT17" s="1" t="n">
        <f aca="false">IF(AND(HT17=1,ID17&gt;0,Slot6_IsWG=1,BU17=1),MAX(0,(Slot6_Cost-BV17*(1+Slot6_Rate)^(Slot6_Age-D17))/JS17),0)</f>
        <v>0</v>
      </c>
      <c r="JU17" s="1" t="n">
        <f aca="false">IF(AND(HT17=1,ID17&gt;0,Slot6_IsWG=1,BU17=1),MIN(ID17,JT17),0)</f>
        <v>0</v>
      </c>
      <c r="JV17" s="1" t="n">
        <f aca="false">BV17+JU17</f>
        <v>0</v>
      </c>
      <c r="JW17" s="1" t="n">
        <f aca="false">IF(BU17=1,MAX(0,(Slot6_Cost-JV17*(1+Slot6_Rate)^(Slot6_Age-D17))/JS17),0)</f>
        <v>0</v>
      </c>
      <c r="JX17" s="1" t="n">
        <f aca="false">IF(BU17=1,MAX(0,(Slot6_Cost-BV17*(1+Slot6_Rate)^(Slot6_Age-D17))/JS17),0)</f>
        <v>0</v>
      </c>
      <c r="JY17" s="1" t="n">
        <f aca="false">IF(AND(HT17=1,BU17=1),MIN(JR17,JW17),0)</f>
        <v>0</v>
      </c>
      <c r="JZ17" s="1" t="n">
        <f aca="false">JR17-JY17</f>
        <v>0</v>
      </c>
      <c r="KA17" s="1" t="n">
        <f aca="false">IF(CE17=1,IF(ABS((1+AS_Wage)/(1+Slot7_Rate)-1)&lt;0.000000000001,(Slot7_Age-D17)*(1+Slot7_Rate)^(Slot7_Age-D17),(1+Slot7_Rate)^(Slot7_Age-D17)*(1-((1+AS_Wage)/(1+Slot7_Rate))^(Slot7_Age-D17))/(1-(1+AS_Wage)/(1+Slot7_Rate))),1)</f>
        <v>1</v>
      </c>
      <c r="KB17" s="1" t="n">
        <f aca="false">IF(AND(HT17=1,ID17&gt;0,Slot7_IsWG=1,CE17=1),MAX(0,(Slot7_Cost-CF17*(1+Slot7_Rate)^(Slot7_Age-D17))/KA17),0)</f>
        <v>0</v>
      </c>
      <c r="KC17" s="1" t="n">
        <f aca="false">IF(AND(HT17=1,ID17&gt;0,Slot7_IsWG=1,CE17=1),MIN(ID17,KB17),0)</f>
        <v>0</v>
      </c>
      <c r="KD17" s="1" t="n">
        <f aca="false">CF17+KC17</f>
        <v>0</v>
      </c>
      <c r="KE17" s="1" t="n">
        <f aca="false">IF(CE17=1,MAX(0,(Slot7_Cost-KD17*(1+Slot7_Rate)^(Slot7_Age-D17))/KA17),0)</f>
        <v>0</v>
      </c>
      <c r="KF17" s="1" t="n">
        <f aca="false">IF(CE17=1,MAX(0,(Slot7_Cost-CF17*(1+Slot7_Rate)^(Slot7_Age-D17))/KA17),0)</f>
        <v>0</v>
      </c>
      <c r="KG17" s="1" t="n">
        <f aca="false">IF(AND(HT17=1,CE17=1),MIN(JZ17,KE17),0)</f>
        <v>0</v>
      </c>
      <c r="KH17" s="1" t="n">
        <f aca="false">JZ17-KG17</f>
        <v>0</v>
      </c>
      <c r="KI17" s="1" t="n">
        <f aca="false">IF(CO17=1,IF(ABS((1+AS_Wage)/(1+Slot8_Rate)-1)&lt;0.000000000001,(Slot8_Age-D17)*(1+Slot8_Rate)^(Slot8_Age-D17),(1+Slot8_Rate)^(Slot8_Age-D17)*(1-((1+AS_Wage)/(1+Slot8_Rate))^(Slot8_Age-D17))/(1-(1+AS_Wage)/(1+Slot8_Rate))),1)</f>
        <v>1</v>
      </c>
      <c r="KJ17" s="1" t="n">
        <f aca="false">IF(AND(HT17=1,ID17&gt;0,Slot8_IsWG=1,CO17=1),MAX(0,(Slot8_Cost-CP17*(1+Slot8_Rate)^(Slot8_Age-D17))/KI17),0)</f>
        <v>0</v>
      </c>
      <c r="KK17" s="1" t="n">
        <f aca="false">IF(AND(HT17=1,ID17&gt;0,Slot8_IsWG=1,CO17=1),MIN(ID17,KJ17),0)</f>
        <v>0</v>
      </c>
      <c r="KL17" s="1" t="n">
        <f aca="false">CP17+KK17</f>
        <v>0</v>
      </c>
      <c r="KM17" s="1" t="n">
        <f aca="false">IF(CO17=1,MAX(0,(Slot8_Cost-KL17*(1+Slot8_Rate)^(Slot8_Age-D17))/KI17),0)</f>
        <v>0</v>
      </c>
      <c r="KN17" s="1" t="n">
        <f aca="false">IF(CO17=1,MAX(0,(Slot8_Cost-CP17*(1+Slot8_Rate)^(Slot8_Age-D17))/KI17),0)</f>
        <v>0</v>
      </c>
      <c r="KO17" s="1" t="n">
        <f aca="false">IF(AND(HT17=1,CO17=1),MIN(KH17,KM17),0)</f>
        <v>0</v>
      </c>
      <c r="KP17" s="1" t="n">
        <f aca="false">KH17-KO17</f>
        <v>0</v>
      </c>
      <c r="KQ17" s="1" t="n">
        <f aca="false">IF(CY17=1,IF(ABS((1+AS_Wage)/(1+Slot9_Rate)-1)&lt;0.000000000001,(Slot9_Age-D17)*(1+Slot9_Rate)^(Slot9_Age-D17),(1+Slot9_Rate)^(Slot9_Age-D17)*(1-((1+AS_Wage)/(1+Slot9_Rate))^(Slot9_Age-D17))/(1-(1+AS_Wage)/(1+Slot9_Rate))),1)</f>
        <v>1</v>
      </c>
      <c r="KR17" s="1" t="n">
        <f aca="false">IF(AND(HT17=1,ID17&gt;0,Slot9_IsWG=1,CY17=1),MAX(0,(Slot9_Cost-CZ17*(1+Slot9_Rate)^(Slot9_Age-D17))/KQ17),0)</f>
        <v>0</v>
      </c>
      <c r="KS17" s="1" t="n">
        <f aca="false">IF(AND(HT17=1,ID17&gt;0,Slot9_IsWG=1,CY17=1),MIN(ID17,KR17),0)</f>
        <v>0</v>
      </c>
      <c r="KT17" s="1" t="n">
        <f aca="false">CZ17+KS17</f>
        <v>0</v>
      </c>
      <c r="KU17" s="1" t="n">
        <f aca="false">IF(CY17=1,MAX(0,(Slot9_Cost-KT17*(1+Slot9_Rate)^(Slot9_Age-D17))/KQ17),0)</f>
        <v>0</v>
      </c>
      <c r="KV17" s="1" t="n">
        <f aca="false">IF(CY17=1,MAX(0,(Slot9_Cost-CZ17*(1+Slot9_Rate)^(Slot9_Age-D17))/KQ17),0)</f>
        <v>0</v>
      </c>
      <c r="KW17" s="1" t="n">
        <f aca="false">IF(AND(HT17=1,CY17=1),MIN(KP17,KU17),0)</f>
        <v>0</v>
      </c>
      <c r="KX17" s="1" t="n">
        <f aca="false">KP17-KW17</f>
        <v>0</v>
      </c>
      <c r="KY17" s="1" t="n">
        <f aca="false">IF(DI17=1,IF(ABS((1+AS_Wage)/(1+Slot10_Rate)-1)&lt;0.000000000001,(Slot10_Age-D17)*(1+Slot10_Rate)^(Slot10_Age-D17),(1+Slot10_Rate)^(Slot10_Age-D17)*(1-((1+AS_Wage)/(1+Slot10_Rate))^(Slot10_Age-D17))/(1-(1+AS_Wage)/(1+Slot10_Rate))),1)</f>
        <v>1</v>
      </c>
      <c r="KZ17" s="1" t="n">
        <f aca="false">IF(AND(HT17=1,ID17&gt;0,Slot10_IsWG=1,DI17=1),MAX(0,(Slot10_Cost-DJ17*(1+Slot10_Rate)^(Slot10_Age-D17))/KY17),0)</f>
        <v>0</v>
      </c>
      <c r="LA17" s="1" t="n">
        <f aca="false">IF(AND(HT17=1,ID17&gt;0,Slot10_IsWG=1,DI17=1),MIN(ID17,KZ17),0)</f>
        <v>0</v>
      </c>
      <c r="LB17" s="1" t="n">
        <f aca="false">DJ17+LA17</f>
        <v>0</v>
      </c>
      <c r="LC17" s="1" t="n">
        <f aca="false">IF(DI17=1,MAX(0,(Slot10_Cost-LB17*(1+Slot10_Rate)^(Slot10_Age-D17))/KY17),0)</f>
        <v>0</v>
      </c>
      <c r="LD17" s="1" t="n">
        <f aca="false">IF(DI17=1,MAX(0,(Slot10_Cost-DJ17*(1+Slot10_Rate)^(Slot10_Age-D17))/KY17),0)</f>
        <v>0</v>
      </c>
      <c r="LE17" s="1" t="n">
        <f aca="false">IF(AND(HT17=1,DI17=1),MIN(KX17,LC17),0)</f>
        <v>0</v>
      </c>
      <c r="LF17" s="1" t="n">
        <f aca="false">KX17-LE17</f>
        <v>0</v>
      </c>
      <c r="LG17" s="1" t="n">
        <f aca="false">IF(DS17=1,IF(ABS((1+AS_Wage)/(1+Slot11_Rate)-1)&lt;0.000000000001,(Slot11_Age-D17)*(1+Slot11_Rate)^(Slot11_Age-D17),(1+Slot11_Rate)^(Slot11_Age-D17)*(1-((1+AS_Wage)/(1+Slot11_Rate))^(Slot11_Age-D17))/(1-(1+AS_Wage)/(1+Slot11_Rate))),1)</f>
        <v>1</v>
      </c>
      <c r="LH17" s="1" t="n">
        <f aca="false">IF(AND(HT17=1,ID17&gt;0,Slot11_IsWG=1,DS17=1),MAX(0,(Slot11_Cost-DT17*(1+Slot11_Rate)^(Slot11_Age-D17))/LG17),0)</f>
        <v>0</v>
      </c>
      <c r="LI17" s="1" t="n">
        <f aca="false">IF(AND(HT17=1,ID17&gt;0,Slot11_IsWG=1,DS17=1),MIN(ID17,LH17),0)</f>
        <v>0</v>
      </c>
      <c r="LJ17" s="1" t="n">
        <f aca="false">DT17+LI17</f>
        <v>0</v>
      </c>
      <c r="LK17" s="1" t="n">
        <f aca="false">IF(DS17=1,MAX(0,(Slot11_Cost-LJ17*(1+Slot11_Rate)^(Slot11_Age-D17))/LG17),0)</f>
        <v>0</v>
      </c>
      <c r="LL17" s="1" t="n">
        <f aca="false">IF(DS17=1,MAX(0,(Slot11_Cost-DT17*(1+Slot11_Rate)^(Slot11_Age-D17))/LG17),0)</f>
        <v>0</v>
      </c>
      <c r="LM17" s="1" t="n">
        <f aca="false">IF(AND(HT17=1,DS17=1),MIN(LF17,LK17),0)</f>
        <v>0</v>
      </c>
      <c r="LN17" s="1" t="n">
        <f aca="false">LF17-LM17</f>
        <v>0</v>
      </c>
      <c r="LO17" s="1" t="n">
        <f aca="false">IF(EC17=1,IF(ABS((1+AS_Wage)/(1+Slot12_Rate)-1)&lt;0.000000000001,(Slot12_Age-D17)*(1+Slot12_Rate)^(Slot12_Age-D17),(1+Slot12_Rate)^(Slot12_Age-D17)*(1-((1+AS_Wage)/(1+Slot12_Rate))^(Slot12_Age-D17))/(1-(1+AS_Wage)/(1+Slot12_Rate))),1)</f>
        <v>1</v>
      </c>
      <c r="LP17" s="1" t="n">
        <f aca="false">IF(AND(HT17=1,ID17&gt;0,Slot12_IsWG=1,EC17=1),MAX(0,(Slot12_Cost-ED17*(1+Slot12_Rate)^(Slot12_Age-D17))/LO17),0)</f>
        <v>0</v>
      </c>
      <c r="LQ17" s="1" t="n">
        <f aca="false">IF(AND(HT17=1,ID17&gt;0,Slot12_IsWG=1,EC17=1),MIN(ID17,LP17),0)</f>
        <v>0</v>
      </c>
      <c r="LR17" s="1" t="n">
        <f aca="false">ED17+LQ17</f>
        <v>0</v>
      </c>
      <c r="LS17" s="1" t="n">
        <f aca="false">IF(EC17=1,MAX(0,(Slot12_Cost-LR17*(1+Slot12_Rate)^(Slot12_Age-D17))/LO17),0)</f>
        <v>0</v>
      </c>
      <c r="LT17" s="1" t="n">
        <f aca="false">IF(EC17=1,MAX(0,(Slot12_Cost-ED17*(1+Slot12_Rate)^(Slot12_Age-D17))/LO17),0)</f>
        <v>0</v>
      </c>
      <c r="LU17" s="1" t="n">
        <f aca="false">IF(AND(HT17=1,EC17=1),MIN(LN17,LS17),0)</f>
        <v>0</v>
      </c>
      <c r="LV17" s="1" t="n">
        <f aca="false">LN17-LU17</f>
        <v>0</v>
      </c>
      <c r="LW17" s="1" t="n">
        <f aca="false">IF(EM17=1,IF(ABS((1+AS_Wage)/(1+Slot13_Rate)-1)&lt;0.000000000001,(Slot13_Age-D17)*(1+Slot13_Rate)^(Slot13_Age-D17),(1+Slot13_Rate)^(Slot13_Age-D17)*(1-((1+AS_Wage)/(1+Slot13_Rate))^(Slot13_Age-D17))/(1-(1+AS_Wage)/(1+Slot13_Rate))),1)</f>
        <v>1</v>
      </c>
      <c r="LX17" s="1" t="n">
        <f aca="false">IF(AND(HT17=1,ID17&gt;0,Slot13_IsWG=1,EM17=1),MAX(0,(Slot13_Cost-EN17*(1+Slot13_Rate)^(Slot13_Age-D17))/LW17),0)</f>
        <v>0</v>
      </c>
      <c r="LY17" s="1" t="n">
        <f aca="false">IF(AND(HT17=1,ID17&gt;0,Slot13_IsWG=1,EM17=1),MIN(ID17,LX17),0)</f>
        <v>0</v>
      </c>
      <c r="LZ17" s="1" t="n">
        <f aca="false">EN17+LY17</f>
        <v>0</v>
      </c>
      <c r="MA17" s="1" t="n">
        <f aca="false">IF(EM17=1,MAX(0,(Slot13_Cost-LZ17*(1+Slot13_Rate)^(Slot13_Age-D17))/LW17),0)</f>
        <v>0</v>
      </c>
      <c r="MB17" s="1" t="n">
        <f aca="false">IF(EM17=1,MAX(0,(Slot13_Cost-EN17*(1+Slot13_Rate)^(Slot13_Age-D17))/LW17),0)</f>
        <v>0</v>
      </c>
      <c r="MC17" s="1" t="n">
        <f aca="false">IF(AND(HT17=1,EM17=1),MIN(LV17,MA17),0)</f>
        <v>0</v>
      </c>
      <c r="MD17" s="1" t="n">
        <f aca="false">LV17-MC17</f>
        <v>0</v>
      </c>
      <c r="ME17" s="1" t="n">
        <f aca="false">IF(EW17=1,IF(ABS((1+AS_Wage)/(1+Slot14_Rate)-1)&lt;0.000000000001,(Slot14_Age-D17)*(1+Slot14_Rate)^(Slot14_Age-D17),(1+Slot14_Rate)^(Slot14_Age-D17)*(1-((1+AS_Wage)/(1+Slot14_Rate))^(Slot14_Age-D17))/(1-(1+AS_Wage)/(1+Slot14_Rate))),1)</f>
        <v>1</v>
      </c>
      <c r="MF17" s="1" t="n">
        <f aca="false">IF(AND(HT17=1,ID17&gt;0,Slot14_IsWG=1,EW17=1),MAX(0,(Slot14_Cost-EX17*(1+Slot14_Rate)^(Slot14_Age-D17))/ME17),0)</f>
        <v>0</v>
      </c>
      <c r="MG17" s="1" t="n">
        <f aca="false">IF(AND(HT17=1,ID17&gt;0,Slot14_IsWG=1,EW17=1),MIN(ID17,MF17),0)</f>
        <v>0</v>
      </c>
      <c r="MH17" s="1" t="n">
        <f aca="false">EX17+MG17</f>
        <v>0</v>
      </c>
      <c r="MI17" s="1" t="n">
        <f aca="false">IF(EW17=1,MAX(0,(Slot14_Cost-MH17*(1+Slot14_Rate)^(Slot14_Age-D17))/ME17),0)</f>
        <v>0</v>
      </c>
      <c r="MJ17" s="1" t="n">
        <f aca="false">IF(EW17=1,MAX(0,(Slot14_Cost-EX17*(1+Slot14_Rate)^(Slot14_Age-D17))/ME17),0)</f>
        <v>0</v>
      </c>
      <c r="MK17" s="1" t="n">
        <f aca="false">IF(AND(HT17=1,EW17=1),MIN(MD17,MI17),0)</f>
        <v>0</v>
      </c>
      <c r="ML17" s="1" t="n">
        <f aca="false">MD17-MK17</f>
        <v>0</v>
      </c>
      <c r="MM17" s="1" t="n">
        <f aca="false">IF(FG17=1,IF(ABS((1+AS_Wage)/(1+Slot15_Rate)-1)&lt;0.000000000001,(Slot15_Age-D17)*(1+Slot15_Rate)^(Slot15_Age-D17),(1+Slot15_Rate)^(Slot15_Age-D17)*(1-((1+AS_Wage)/(1+Slot15_Rate))^(Slot15_Age-D17))/(1-(1+AS_Wage)/(1+Slot15_Rate))),1)</f>
        <v>1</v>
      </c>
      <c r="MN17" s="1" t="n">
        <f aca="false">IF(AND(HT17=1,ID17&gt;0,Slot15_IsWG=1,FG17=1),MAX(0,(Slot15_Cost-FH17*(1+Slot15_Rate)^(Slot15_Age-D17))/MM17),0)</f>
        <v>0</v>
      </c>
      <c r="MO17" s="1" t="n">
        <f aca="false">IF(AND(HT17=1,ID17&gt;0,Slot15_IsWG=1,FG17=1),MIN(ID17,MN17),0)</f>
        <v>0</v>
      </c>
      <c r="MP17" s="1" t="n">
        <f aca="false">FH17+MO17</f>
        <v>0</v>
      </c>
      <c r="MQ17" s="1" t="n">
        <f aca="false">IF(FG17=1,MAX(0,(Slot15_Cost-MP17*(1+Slot15_Rate)^(Slot15_Age-D17))/MM17),0)</f>
        <v>0</v>
      </c>
      <c r="MR17" s="1" t="n">
        <f aca="false">IF(FG17=1,MAX(0,(Slot15_Cost-FH17*(1+Slot15_Rate)^(Slot15_Age-D17))/MM17),0)</f>
        <v>0</v>
      </c>
      <c r="MS17" s="1" t="n">
        <f aca="false">IF(AND(HT17=1,FG17=1),MIN(ML17,MQ17),0)</f>
        <v>0</v>
      </c>
      <c r="MT17" s="1" t="n">
        <f aca="false">ML17-MS17</f>
        <v>0</v>
      </c>
      <c r="MU17" s="1" t="n">
        <f aca="false">IF(FQ17=1,IF(ABS((1+AS_Wage)/(1+Slot16_Rate)-1)&lt;0.000000000001,(Slot16_Age-D17)*(1+Slot16_Rate)^(Slot16_Age-D17),(1+Slot16_Rate)^(Slot16_Age-D17)*(1-((1+AS_Wage)/(1+Slot16_Rate))^(Slot16_Age-D17))/(1-(1+AS_Wage)/(1+Slot16_Rate))),1)</f>
        <v>1</v>
      </c>
      <c r="MV17" s="1" t="n">
        <f aca="false">IF(AND(HT17=1,ID17&gt;0,Slot16_IsWG=1,FQ17=1),MAX(0,(Slot16_Cost-FR17*(1+Slot16_Rate)^(Slot16_Age-D17))/MU17),0)</f>
        <v>0</v>
      </c>
      <c r="MW17" s="1" t="n">
        <f aca="false">IF(AND(HT17=1,ID17&gt;0,Slot16_IsWG=1,FQ17=1),MIN(ID17,MV17),0)</f>
        <v>0</v>
      </c>
      <c r="MX17" s="1" t="n">
        <f aca="false">FR17+MW17</f>
        <v>0</v>
      </c>
      <c r="MY17" s="1" t="n">
        <f aca="false">IF(FQ17=1,MAX(0,(Slot16_Cost-MX17*(1+Slot16_Rate)^(Slot16_Age-D17))/MU17),0)</f>
        <v>0</v>
      </c>
      <c r="MZ17" s="1" t="n">
        <f aca="false">IF(FQ17=1,MAX(0,(Slot16_Cost-FR17*(1+Slot16_Rate)^(Slot16_Age-D17))/MU17),0)</f>
        <v>0</v>
      </c>
      <c r="NA17" s="1" t="n">
        <f aca="false">IF(AND(HT17=1,FQ17=1),MIN(MT17,MY17),0)</f>
        <v>0</v>
      </c>
      <c r="NB17" s="1" t="n">
        <f aca="false">MT17-NA17</f>
        <v>0</v>
      </c>
      <c r="NC17" s="1" t="n">
        <f aca="false">IF(GA17=1,IF(ABS((1+AS_Wage)/(1+Slot17_Rate)-1)&lt;0.000000000001,(Slot17_Age-D17)*(1+Slot17_Rate)^(Slot17_Age-D17),(1+Slot17_Rate)^(Slot17_Age-D17)*(1-((1+AS_Wage)/(1+Slot17_Rate))^(Slot17_Age-D17))/(1-(1+AS_Wage)/(1+Slot17_Rate))),1)</f>
        <v>1</v>
      </c>
      <c r="ND17" s="1" t="n">
        <f aca="false">IF(AND(HT17=1,ID17&gt;0,Slot17_IsWG=1,GA17=1),MAX(0,(Slot17_Cost-GB17*(1+Slot17_Rate)^(Slot17_Age-D17))/NC17),0)</f>
        <v>0</v>
      </c>
      <c r="NE17" s="1" t="n">
        <f aca="false">IF(AND(HT17=1,ID17&gt;0,Slot17_IsWG=1,GA17=1),MIN(ID17,ND17),0)</f>
        <v>0</v>
      </c>
      <c r="NF17" s="1" t="n">
        <f aca="false">GB17+NE17</f>
        <v>0</v>
      </c>
      <c r="NG17" s="1" t="n">
        <f aca="false">IF(GA17=1,MAX(0,(Slot17_Cost-NF17*(1+Slot17_Rate)^(Slot17_Age-D17))/NC17),0)</f>
        <v>0</v>
      </c>
      <c r="NH17" s="1" t="n">
        <f aca="false">IF(GA17=1,MAX(0,(Slot17_Cost-GB17*(1+Slot17_Rate)^(Slot17_Age-D17))/NC17),0)</f>
        <v>0</v>
      </c>
      <c r="NI17" s="1" t="n">
        <f aca="false">IF(AND(HT17=1,GA17=1),MIN(NB17,NG17),0)</f>
        <v>0</v>
      </c>
      <c r="NJ17" s="1" t="n">
        <f aca="false">NB17-NI17</f>
        <v>0</v>
      </c>
      <c r="NK17" s="1" t="n">
        <f aca="false">IF(GK17=1,IF(ABS((1+AS_Wage)/(1+Slot18_Rate)-1)&lt;0.000000000001,(Slot18_Age-D17)*(1+Slot18_Rate)^(Slot18_Age-D17),(1+Slot18_Rate)^(Slot18_Age-D17)*(1-((1+AS_Wage)/(1+Slot18_Rate))^(Slot18_Age-D17))/(1-(1+AS_Wage)/(1+Slot18_Rate))),1)</f>
        <v>1</v>
      </c>
      <c r="NL17" s="1" t="n">
        <f aca="false">IF(AND(HT17=1,ID17&gt;0,Slot18_IsWG=1,GK17=1),MAX(0,(Slot18_Cost-GL17*(1+Slot18_Rate)^(Slot18_Age-D17))/NK17),0)</f>
        <v>0</v>
      </c>
      <c r="NM17" s="1" t="n">
        <f aca="false">IF(AND(HT17=1,ID17&gt;0,Slot18_IsWG=1,GK17=1),MIN(ID17,NL17),0)</f>
        <v>0</v>
      </c>
      <c r="NN17" s="1" t="n">
        <f aca="false">GL17+NM17</f>
        <v>0</v>
      </c>
      <c r="NO17" s="1" t="n">
        <f aca="false">IF(GK17=1,MAX(0,(Slot18_Cost-NN17*(1+Slot18_Rate)^(Slot18_Age-D17))/NK17),0)</f>
        <v>0</v>
      </c>
      <c r="NP17" s="1" t="n">
        <f aca="false">IF(GK17=1,MAX(0,(Slot18_Cost-GL17*(1+Slot18_Rate)^(Slot18_Age-D17))/NK17),0)</f>
        <v>0</v>
      </c>
      <c r="NQ17" s="1" t="n">
        <f aca="false">IF(AND(HT17=1,GK17=1),MIN(NJ17,NO17),0)</f>
        <v>0</v>
      </c>
      <c r="NR17" s="1" t="n">
        <f aca="false">NJ17-NQ17</f>
        <v>0</v>
      </c>
      <c r="NS17" s="1" t="n">
        <f aca="false">IF(GU17=1,IF(ABS((1+AS_Wage)/(1+Slot19_Rate)-1)&lt;0.000000000001,(Slot19_Age-D17)*(1+Slot19_Rate)^(Slot19_Age-D17),(1+Slot19_Rate)^(Slot19_Age-D17)*(1-((1+AS_Wage)/(1+Slot19_Rate))^(Slot19_Age-D17))/(1-(1+AS_Wage)/(1+Slot19_Rate))),1)</f>
        <v>1</v>
      </c>
      <c r="NT17" s="1" t="n">
        <f aca="false">IF(AND(HT17=1,ID17&gt;0,Slot19_IsWG=1,GU17=1),MAX(0,(Slot19_Cost-GV17*(1+Slot19_Rate)^(Slot19_Age-D17))/NS17),0)</f>
        <v>0</v>
      </c>
      <c r="NU17" s="1" t="n">
        <f aca="false">IF(AND(HT17=1,ID17&gt;0,Slot19_IsWG=1,GU17=1),MIN(ID17,NT17),0)</f>
        <v>0</v>
      </c>
      <c r="NV17" s="1" t="n">
        <f aca="false">GV17+NU17</f>
        <v>0</v>
      </c>
      <c r="NW17" s="1" t="n">
        <f aca="false">IF(GU17=1,MAX(0,(Slot19_Cost-NV17*(1+Slot19_Rate)^(Slot19_Age-D17))/NS17),0)</f>
        <v>0</v>
      </c>
      <c r="NX17" s="1" t="n">
        <f aca="false">IF(GU17=1,MAX(0,(Slot19_Cost-GV17*(1+Slot19_Rate)^(Slot19_Age-D17))/NS17),0)</f>
        <v>0</v>
      </c>
      <c r="NY17" s="1" t="n">
        <f aca="false">IF(AND(HT17=1,GU17=1),MIN(NR17,NW17),0)</f>
        <v>0</v>
      </c>
      <c r="NZ17" s="1" t="n">
        <f aca="false">NR17-NY17</f>
        <v>0</v>
      </c>
      <c r="OA17" s="1" t="n">
        <f aca="false">IF(HE17=1,IF(ABS((1+AS_Wage)/(1+Slot20_Rate)-1)&lt;0.000000000001,(Slot20_Age-D17)*(1+Slot20_Rate)^(Slot20_Age-D17),(1+Slot20_Rate)^(Slot20_Age-D17)*(1-((1+AS_Wage)/(1+Slot20_Rate))^(Slot20_Age-D17))/(1-(1+AS_Wage)/(1+Slot20_Rate))),1)</f>
        <v>1</v>
      </c>
      <c r="OB17" s="1" t="n">
        <f aca="false">IF(AND(HT17=1,ID17&gt;0,Slot20_IsWG=1,HE17=1),MAX(0,(Slot20_Cost-HF17*(1+Slot20_Rate)^(Slot20_Age-D17))/OA17),0)</f>
        <v>0</v>
      </c>
      <c r="OC17" s="1" t="n">
        <f aca="false">IF(AND(HT17=1,ID17&gt;0,Slot20_IsWG=1,HE17=1),MIN(ID17,OB17),0)</f>
        <v>0</v>
      </c>
      <c r="OD17" s="1" t="n">
        <f aca="false">HF17+OC17</f>
        <v>0</v>
      </c>
      <c r="OE17" s="1" t="n">
        <f aca="false">IF(HE17=1,MAX(0,(Slot20_Cost-OD17*(1+Slot20_Rate)^(Slot20_Age-D17))/OA17),0)</f>
        <v>0</v>
      </c>
      <c r="OF17" s="1" t="n">
        <f aca="false">IF(HE17=1,MAX(0,(Slot20_Cost-HF17*(1+Slot20_Rate)^(Slot20_Age-D17))/OA17),0)</f>
        <v>0</v>
      </c>
      <c r="OG17" s="1" t="n">
        <f aca="false">IF(AND(HT17=1,HE17=1),MIN(NZ17,OE17),0)</f>
        <v>0</v>
      </c>
      <c r="OH17" s="1" t="n">
        <f aca="false">NZ17-OG17</f>
        <v>0</v>
      </c>
      <c r="OI17" s="1" t="n">
        <f aca="false">ID17-(IG17+IO17+IW17+JE17+JM17+JU17+KC17+KK17+KS17+LA17+LI17+LQ17+LY17+MG17+MO17+MW17+NE17+NM17+NU17+OC17)</f>
        <v>0</v>
      </c>
      <c r="OJ17" s="1" t="n">
        <f aca="false">IF(HT17=1,HR17-IC17-ID17,0)</f>
        <v>0</v>
      </c>
      <c r="OK17" s="1" t="n">
        <f aca="false">IF(HT17=0,-HR17,0)</f>
        <v>0</v>
      </c>
      <c r="OL17" s="1" t="n">
        <f aca="false">MIN(OK17,HJ17)</f>
        <v>0</v>
      </c>
      <c r="OM17" s="1" t="n">
        <f aca="false">OK17-OL17</f>
        <v>0</v>
      </c>
      <c r="ON17" s="1" t="n">
        <f aca="false">MIN(OM17,HK17)</f>
        <v>0</v>
      </c>
      <c r="OO17" s="1" t="n">
        <f aca="false">OM17-ON17</f>
        <v>0</v>
      </c>
      <c r="OP17" s="1" t="n">
        <f aca="false">IF(AND(HT17=0,HE17=1,OO17&gt;0),MIN(OO17,HF17),0)</f>
        <v>0</v>
      </c>
      <c r="OQ17" s="1" t="n">
        <f aca="false">OO17-OP17</f>
        <v>0</v>
      </c>
      <c r="OR17" s="1" t="n">
        <f aca="false">IF(AND(HT17=0,GU17=1,OQ17&gt;0),MIN(OQ17,GV17),0)</f>
        <v>0</v>
      </c>
      <c r="OS17" s="1" t="n">
        <f aca="false">OQ17-OR17</f>
        <v>0</v>
      </c>
      <c r="OT17" s="1" t="n">
        <f aca="false">IF(AND(HT17=0,GK17=1,OS17&gt;0),MIN(OS17,GL17),0)</f>
        <v>0</v>
      </c>
      <c r="OU17" s="1" t="n">
        <f aca="false">OS17-OT17</f>
        <v>0</v>
      </c>
      <c r="OV17" s="1" t="n">
        <f aca="false">IF(AND(HT17=0,GA17=1,OU17&gt;0),MIN(OU17,GB17),0)</f>
        <v>0</v>
      </c>
      <c r="OW17" s="1" t="n">
        <f aca="false">OU17-OV17</f>
        <v>0</v>
      </c>
      <c r="OX17" s="1" t="n">
        <f aca="false">IF(AND(HT17=0,FQ17=1,OW17&gt;0),MIN(OW17,FR17),0)</f>
        <v>0</v>
      </c>
      <c r="OY17" s="1" t="n">
        <f aca="false">OW17-OX17</f>
        <v>0</v>
      </c>
      <c r="OZ17" s="1" t="n">
        <f aca="false">IF(AND(HT17=0,FG17=1,OY17&gt;0),MIN(OY17,FH17),0)</f>
        <v>0</v>
      </c>
      <c r="PA17" s="1" t="n">
        <f aca="false">OY17-OZ17</f>
        <v>0</v>
      </c>
      <c r="PB17" s="1" t="n">
        <f aca="false">IF(AND(HT17=0,EW17=1,PA17&gt;0),MIN(PA17,EX17),0)</f>
        <v>0</v>
      </c>
      <c r="PC17" s="1" t="n">
        <f aca="false">PA17-PB17</f>
        <v>0</v>
      </c>
      <c r="PD17" s="1" t="n">
        <f aca="false">IF(AND(HT17=0,EM17=1,PC17&gt;0),MIN(PC17,EN17),0)</f>
        <v>0</v>
      </c>
      <c r="PE17" s="1" t="n">
        <f aca="false">PC17-PD17</f>
        <v>0</v>
      </c>
      <c r="PF17" s="1" t="n">
        <f aca="false">IF(AND(HT17=0,EC17=1,PE17&gt;0),MIN(PE17,ED17),0)</f>
        <v>0</v>
      </c>
      <c r="PG17" s="1" t="n">
        <f aca="false">PE17-PF17</f>
        <v>0</v>
      </c>
      <c r="PH17" s="1" t="n">
        <f aca="false">IF(AND(HT17=0,DS17=1,PG17&gt;0),MIN(PG17,DT17),0)</f>
        <v>0</v>
      </c>
      <c r="PI17" s="1" t="n">
        <f aca="false">PG17-PH17</f>
        <v>0</v>
      </c>
      <c r="PJ17" s="1" t="n">
        <f aca="false">IF(AND(HT17=0,DI17=1,PI17&gt;0),MIN(PI17,DJ17),0)</f>
        <v>0</v>
      </c>
      <c r="PK17" s="1" t="n">
        <f aca="false">PI17-PJ17</f>
        <v>0</v>
      </c>
      <c r="PL17" s="1" t="n">
        <f aca="false">IF(AND(HT17=0,CY17=1,PK17&gt;0),MIN(PK17,CZ17),0)</f>
        <v>0</v>
      </c>
      <c r="PM17" s="1" t="n">
        <f aca="false">PK17-PL17</f>
        <v>0</v>
      </c>
      <c r="PN17" s="1" t="n">
        <f aca="false">IF(AND(HT17=0,CO17=1,PM17&gt;0),MIN(PM17,CP17),0)</f>
        <v>0</v>
      </c>
      <c r="PO17" s="1" t="n">
        <f aca="false">PM17-PN17</f>
        <v>0</v>
      </c>
      <c r="PP17" s="1" t="n">
        <f aca="false">IF(AND(HT17=0,CE17=1,PO17&gt;0),MIN(PO17,CF17),0)</f>
        <v>0</v>
      </c>
      <c r="PQ17" s="1" t="n">
        <f aca="false">PO17-PP17</f>
        <v>0</v>
      </c>
      <c r="PR17" s="1" t="n">
        <f aca="false">IF(AND(HT17=0,BU17=1,PQ17&gt;0),MIN(PQ17,BV17),0)</f>
        <v>0</v>
      </c>
      <c r="PS17" s="1" t="n">
        <f aca="false">PQ17-PR17</f>
        <v>0</v>
      </c>
      <c r="PT17" s="1" t="n">
        <f aca="false">IF(AND(HT17=0,BK17=1,PS17&gt;0),MIN(PS17,BL17),0)</f>
        <v>0</v>
      </c>
      <c r="PU17" s="1" t="n">
        <f aca="false">PS17-PT17</f>
        <v>0</v>
      </c>
      <c r="PV17" s="1" t="n">
        <f aca="false">IF(AND(HT17=0,BA17=1,PU17&gt;0),MIN(PU17,BB17),0)</f>
        <v>0</v>
      </c>
      <c r="PW17" s="1" t="n">
        <f aca="false">PU17-PV17</f>
        <v>0</v>
      </c>
      <c r="PX17" s="1" t="n">
        <f aca="false">IF(AND(HT17=0,AQ17=1,PW17&gt;0),MIN(PW17,AR17),0)</f>
        <v>0</v>
      </c>
      <c r="PY17" s="1" t="n">
        <f aca="false">PW17-PX17</f>
        <v>0</v>
      </c>
      <c r="PZ17" s="1" t="n">
        <f aca="false">IF(AND(HT17=0,AG17=1,PY17&gt;0),MIN(PY17,AH17),0)</f>
        <v>0</v>
      </c>
      <c r="QA17" s="1" t="n">
        <f aca="false">PY17-PZ17</f>
        <v>0</v>
      </c>
      <c r="QB17" s="1" t="n">
        <f aca="false">IF(AND(HT17=0,V17=1,QA17&gt;0),MIN(QA17,W17),0)</f>
        <v>0</v>
      </c>
      <c r="QC17" s="1" t="n">
        <f aca="false">QA17-QB17</f>
        <v>0</v>
      </c>
      <c r="QD17" s="1" t="n">
        <f aca="false">IF(HT17=0,QC17,0)</f>
        <v>0</v>
      </c>
      <c r="QE17" s="1" t="n">
        <f aca="false">OL17+ON17+QB17+PZ17+PX17+PV17+PT17+PR17+PP17+PN17+PL17+PJ17+PH17+PF17+PD17+PB17+OZ17+OX17+OV17+OT17+OR17+OP17</f>
        <v>0</v>
      </c>
      <c r="QF17" s="1" t="n">
        <f aca="false">IF(HT17=1,HJ17+OI17+OH17+IF(F17=1,0,OJ17),HJ17-OL17)</f>
        <v>0</v>
      </c>
      <c r="QG17" s="1" t="n">
        <f aca="false">HK17-ON17</f>
        <v>0</v>
      </c>
      <c r="QH17" s="1" t="n">
        <f aca="false">IF(HT17=1,IF(F17=1,IC17+ID17,HR17),0)</f>
        <v>0</v>
      </c>
      <c r="QI17" s="1" t="n">
        <f aca="false">IF(HT17=1,IF(F17=1,HR17-IC17-ID17,0),0)</f>
        <v>0</v>
      </c>
      <c r="QJ17" s="1" t="n">
        <f aca="false">QF17*(1+GR)</f>
        <v>0</v>
      </c>
      <c r="QK17" s="1" t="n">
        <f aca="false">QG17*(1+AS_Cash)</f>
        <v>0</v>
      </c>
      <c r="QL17" s="1" t="n">
        <f aca="false">IF(V17=1,IF(HT17=1,IH17+IK17,W17-QB17)*(1+Slot1_Rate),0)</f>
        <v>0</v>
      </c>
      <c r="QM17" s="1" t="n">
        <f aca="false">IF(AND(HT17=1,V17=1),(IG17+IK17)/E17,0)</f>
        <v>0</v>
      </c>
      <c r="QN17" s="1" t="n">
        <f aca="false">IF(B17=0,IG17+IK17,0)</f>
        <v>0</v>
      </c>
      <c r="QO17" s="1" t="n">
        <f aca="false">IF(B17=0,IF(HT17=1,II17,IJ17),0)</f>
        <v>0</v>
      </c>
      <c r="QP17" s="1" t="n">
        <f aca="false">IF(AG17=1,IF(HT17=1,IP17+IS17,AH17-PZ17)*(1+Slot2_Rate),0)</f>
        <v>0</v>
      </c>
      <c r="QQ17" s="1" t="n">
        <f aca="false">IF(AND(HT17=1,AG17=1),(IO17+IS17)/E17,0)</f>
        <v>0</v>
      </c>
      <c r="QR17" s="1" t="n">
        <f aca="false">IF(B17=0,IO17+IS17,0)</f>
        <v>0</v>
      </c>
      <c r="QS17" s="1" t="n">
        <f aca="false">IF(B17=0,IF(HT17=1,IQ17,IR17),0)</f>
        <v>0</v>
      </c>
      <c r="QT17" s="1" t="n">
        <f aca="false">IF(AQ17=1,IF(HT17=1,IX17+JA17,AR17-PX17)*(1+Slot3_Rate),0)</f>
        <v>0</v>
      </c>
      <c r="QU17" s="1" t="n">
        <f aca="false">IF(AND(HT17=1,AQ17=1),(IW17+JA17)/E17,0)</f>
        <v>0</v>
      </c>
      <c r="QV17" s="1" t="n">
        <f aca="false">IF(B17=0,IW17+JA17,0)</f>
        <v>0</v>
      </c>
      <c r="QW17" s="1" t="n">
        <f aca="false">IF(B17=0,IF(HT17=1,IY17,IZ17),0)</f>
        <v>0</v>
      </c>
      <c r="QX17" s="1" t="n">
        <f aca="false">IF(BA17=1,IF(HT17=1,JF17+JI17,BB17-PV17)*(1+Slot4_Rate),0)</f>
        <v>0</v>
      </c>
      <c r="QY17" s="1" t="n">
        <f aca="false">IF(AND(HT17=1,BA17=1),(JE17+JI17)/E17,0)</f>
        <v>0</v>
      </c>
      <c r="QZ17" s="1" t="n">
        <f aca="false">IF(B17=0,JE17+JI17,0)</f>
        <v>0</v>
      </c>
      <c r="RA17" s="1" t="n">
        <f aca="false">IF(B17=0,IF(HT17=1,JG17,JH17),0)</f>
        <v>0</v>
      </c>
      <c r="RB17" s="1" t="n">
        <f aca="false">IF(BK17=1,IF(HT17=1,JN17+JQ17,BL17-PT17)*(1+Slot5_Rate),0)</f>
        <v>0</v>
      </c>
      <c r="RC17" s="1" t="n">
        <f aca="false">IF(AND(HT17=1,BK17=1),(JM17+JQ17)/E17,0)</f>
        <v>0</v>
      </c>
      <c r="RD17" s="1" t="n">
        <f aca="false">IF(B17=0,JM17+JQ17,0)</f>
        <v>0</v>
      </c>
      <c r="RE17" s="1" t="n">
        <f aca="false">IF(B17=0,IF(HT17=1,JO17,JP17),0)</f>
        <v>0</v>
      </c>
      <c r="RF17" s="1" t="n">
        <f aca="false">IF(BU17=1,IF(HT17=1,JV17+JY17,BV17-PR17)*(1+Slot6_Rate),0)</f>
        <v>0</v>
      </c>
      <c r="RG17" s="1" t="n">
        <f aca="false">IF(AND(HT17=1,BU17=1),(JU17+JY17)/E17,0)</f>
        <v>0</v>
      </c>
      <c r="RH17" s="1" t="n">
        <f aca="false">IF(B17=0,JU17+JY17,0)</f>
        <v>0</v>
      </c>
      <c r="RI17" s="1" t="n">
        <f aca="false">IF(B17=0,IF(HT17=1,JW17,JX17),0)</f>
        <v>0</v>
      </c>
      <c r="RJ17" s="1" t="n">
        <f aca="false">IF(CE17=1,IF(HT17=1,KD17+KG17,CF17-PP17)*(1+Slot7_Rate),0)</f>
        <v>0</v>
      </c>
      <c r="RK17" s="1" t="n">
        <f aca="false">IF(AND(HT17=1,CE17=1),(KC17+KG17)/E17,0)</f>
        <v>0</v>
      </c>
      <c r="RL17" s="1" t="n">
        <f aca="false">IF(B17=0,KC17+KG17,0)</f>
        <v>0</v>
      </c>
      <c r="RM17" s="1" t="n">
        <f aca="false">IF(B17=0,IF(HT17=1,KE17,KF17),0)</f>
        <v>0</v>
      </c>
      <c r="RN17" s="1" t="n">
        <f aca="false">IF(CO17=1,IF(HT17=1,KL17+KO17,CP17-PN17)*(1+Slot8_Rate),0)</f>
        <v>0</v>
      </c>
      <c r="RO17" s="1" t="n">
        <f aca="false">IF(AND(HT17=1,CO17=1),(KK17+KO17)/E17,0)</f>
        <v>0</v>
      </c>
      <c r="RP17" s="1" t="n">
        <f aca="false">IF(B17=0,KK17+KO17,0)</f>
        <v>0</v>
      </c>
      <c r="RQ17" s="1" t="n">
        <f aca="false">IF(B17=0,IF(HT17=1,KM17,KN17),0)</f>
        <v>0</v>
      </c>
      <c r="RR17" s="1" t="n">
        <f aca="false">IF(CY17=1,IF(HT17=1,KT17+KW17,CZ17-PL17)*(1+Slot9_Rate),0)</f>
        <v>0</v>
      </c>
      <c r="RS17" s="1" t="n">
        <f aca="false">IF(AND(HT17=1,CY17=1),(KS17+KW17)/E17,0)</f>
        <v>0</v>
      </c>
      <c r="RT17" s="1" t="n">
        <f aca="false">IF(B17=0,KS17+KW17,0)</f>
        <v>0</v>
      </c>
      <c r="RU17" s="1" t="n">
        <f aca="false">IF(B17=0,IF(HT17=1,KU17,KV17),0)</f>
        <v>0</v>
      </c>
      <c r="RV17" s="1" t="n">
        <f aca="false">IF(DI17=1,IF(HT17=1,LB17+LE17,DJ17-PJ17)*(1+Slot10_Rate),0)</f>
        <v>0</v>
      </c>
      <c r="RW17" s="1" t="n">
        <f aca="false">IF(AND(HT17=1,DI17=1),(LA17+LE17)/E17,0)</f>
        <v>0</v>
      </c>
      <c r="RX17" s="1" t="n">
        <f aca="false">IF(B17=0,LA17+LE17,0)</f>
        <v>0</v>
      </c>
      <c r="RY17" s="1" t="n">
        <f aca="false">IF(B17=0,IF(HT17=1,LC17,LD17),0)</f>
        <v>0</v>
      </c>
      <c r="RZ17" s="1" t="n">
        <f aca="false">IF(DS17=1,IF(HT17=1,LJ17+LM17,DT17-PH17)*(1+Slot11_Rate),0)</f>
        <v>0</v>
      </c>
      <c r="SA17" s="1" t="n">
        <f aca="false">IF(AND(HT17=1,DS17=1),(LI17+LM17)/E17,0)</f>
        <v>0</v>
      </c>
      <c r="SB17" s="1" t="n">
        <f aca="false">IF(B17=0,LI17+LM17,0)</f>
        <v>0</v>
      </c>
      <c r="SC17" s="1" t="n">
        <f aca="false">IF(B17=0,IF(HT17=1,LK17,LL17),0)</f>
        <v>0</v>
      </c>
      <c r="SD17" s="1" t="n">
        <f aca="false">IF(EC17=1,IF(HT17=1,LR17+LU17,ED17-PF17)*(1+Slot12_Rate),0)</f>
        <v>0</v>
      </c>
      <c r="SE17" s="1" t="n">
        <f aca="false">IF(AND(HT17=1,EC17=1),(LQ17+LU17)/E17,0)</f>
        <v>0</v>
      </c>
      <c r="SF17" s="1" t="n">
        <f aca="false">IF(B17=0,LQ17+LU17,0)</f>
        <v>0</v>
      </c>
      <c r="SG17" s="1" t="n">
        <f aca="false">IF(B17=0,IF(HT17=1,LS17,LT17),0)</f>
        <v>0</v>
      </c>
      <c r="SH17" s="1" t="n">
        <f aca="false">IF(EM17=1,IF(HT17=1,LZ17+MC17,EN17-PD17)*(1+Slot13_Rate),0)</f>
        <v>0</v>
      </c>
      <c r="SI17" s="1" t="n">
        <f aca="false">IF(AND(HT17=1,EM17=1),(LY17+MC17)/E17,0)</f>
        <v>0</v>
      </c>
      <c r="SJ17" s="1" t="n">
        <f aca="false">IF(B17=0,LY17+MC17,0)</f>
        <v>0</v>
      </c>
      <c r="SK17" s="1" t="n">
        <f aca="false">IF(B17=0,IF(HT17=1,MA17,MB17),0)</f>
        <v>0</v>
      </c>
      <c r="SL17" s="1" t="n">
        <f aca="false">IF(EW17=1,IF(HT17=1,MH17+MK17,EX17-PB17)*(1+Slot14_Rate),0)</f>
        <v>0</v>
      </c>
      <c r="SM17" s="1" t="n">
        <f aca="false">IF(AND(HT17=1,EW17=1),(MG17+MK17)/E17,0)</f>
        <v>0</v>
      </c>
      <c r="SN17" s="1" t="n">
        <f aca="false">IF(B17=0,MG17+MK17,0)</f>
        <v>0</v>
      </c>
      <c r="SO17" s="1" t="n">
        <f aca="false">IF(B17=0,IF(HT17=1,MI17,MJ17),0)</f>
        <v>0</v>
      </c>
      <c r="SP17" s="1" t="n">
        <f aca="false">IF(FG17=1,IF(HT17=1,MP17+MS17,FH17-OZ17)*(1+Slot15_Rate),0)</f>
        <v>0</v>
      </c>
      <c r="SQ17" s="1" t="n">
        <f aca="false">IF(AND(HT17=1,FG17=1),(MO17+MS17)/E17,0)</f>
        <v>0</v>
      </c>
      <c r="SR17" s="1" t="n">
        <f aca="false">IF(B17=0,MO17+MS17,0)</f>
        <v>0</v>
      </c>
      <c r="SS17" s="1" t="n">
        <f aca="false">IF(B17=0,IF(HT17=1,MQ17,MR17),0)</f>
        <v>0</v>
      </c>
      <c r="ST17" s="1" t="n">
        <f aca="false">IF(FQ17=1,IF(HT17=1,MX17+NA17,FR17-OX17)*(1+Slot16_Rate),0)</f>
        <v>0</v>
      </c>
      <c r="SU17" s="1" t="n">
        <f aca="false">IF(AND(HT17=1,FQ17=1),(MW17+NA17)/E17,0)</f>
        <v>0</v>
      </c>
      <c r="SV17" s="1" t="n">
        <f aca="false">IF(B17=0,MW17+NA17,0)</f>
        <v>0</v>
      </c>
      <c r="SW17" s="1" t="n">
        <f aca="false">IF(B17=0,IF(HT17=1,MY17,MZ17),0)</f>
        <v>0</v>
      </c>
      <c r="SX17" s="1" t="n">
        <f aca="false">IF(GA17=1,IF(HT17=1,NF17+NI17,GB17-OV17)*(1+Slot17_Rate),0)</f>
        <v>0</v>
      </c>
      <c r="SY17" s="1" t="n">
        <f aca="false">IF(AND(HT17=1,GA17=1),(NE17+NI17)/E17,0)</f>
        <v>0</v>
      </c>
      <c r="SZ17" s="1" t="n">
        <f aca="false">IF(B17=0,NE17+NI17,0)</f>
        <v>0</v>
      </c>
      <c r="TA17" s="1" t="n">
        <f aca="false">IF(B17=0,IF(HT17=1,NG17,NH17),0)</f>
        <v>0</v>
      </c>
      <c r="TB17" s="1" t="n">
        <f aca="false">IF(GK17=1,IF(HT17=1,NN17+NQ17,GL17-OT17)*(1+Slot18_Rate),0)</f>
        <v>0</v>
      </c>
      <c r="TC17" s="1" t="n">
        <f aca="false">IF(AND(HT17=1,GK17=1),(NM17+NQ17)/E17,0)</f>
        <v>0</v>
      </c>
      <c r="TD17" s="1" t="n">
        <f aca="false">IF(B17=0,NM17+NQ17,0)</f>
        <v>0</v>
      </c>
      <c r="TE17" s="1" t="n">
        <f aca="false">IF(B17=0,IF(HT17=1,NO17,NP17),0)</f>
        <v>0</v>
      </c>
      <c r="TF17" s="1" t="n">
        <f aca="false">IF(GU17=1,IF(HT17=1,NV17+NY17,GV17-OR17)*(1+Slot19_Rate),0)</f>
        <v>0</v>
      </c>
      <c r="TG17" s="1" t="n">
        <f aca="false">IF(AND(HT17=1,GU17=1),(NU17+NY17)/E17,0)</f>
        <v>0</v>
      </c>
      <c r="TH17" s="1" t="n">
        <f aca="false">IF(B17=0,NU17+NY17,0)</f>
        <v>0</v>
      </c>
      <c r="TI17" s="1" t="n">
        <f aca="false">IF(B17=0,IF(HT17=1,NW17,NX17),0)</f>
        <v>0</v>
      </c>
      <c r="TJ17" s="1" t="n">
        <f aca="false">IF(HE17=1,IF(HT17=1,OD17+OG17,HF17-OP17)*(1+Slot20_Rate),0)</f>
        <v>0</v>
      </c>
      <c r="TK17" s="1" t="n">
        <f aca="false">IF(AND(HT17=1,HE17=1),(OC17+OG17)/E17,0)</f>
        <v>0</v>
      </c>
      <c r="TL17" s="1" t="n">
        <f aca="false">IF(B17=0,OC17+OG17,0)</f>
        <v>0</v>
      </c>
      <c r="TM17" s="1" t="n">
        <f aca="false">IF(B17=0,IF(HT17=1,OE17,OF17),0)</f>
        <v>0</v>
      </c>
      <c r="TN17" s="1" t="n">
        <f aca="false">QJ17+QK17+QL17+QP17+QT17+QX17+RB17+RF17+RJ17+RN17+RR17+RV17+RZ17+SD17+SH17+SL17+SP17+ST17+SX17+TB17+TF17+TJ17</f>
        <v>0</v>
      </c>
      <c r="TO17" s="1" t="n">
        <f aca="false">QD17+HO17</f>
        <v>0</v>
      </c>
      <c r="TP17" s="1" t="n">
        <f aca="false">H17+R17</f>
        <v>0</v>
      </c>
      <c r="TQ17" s="1" t="n">
        <f aca="false">1-F17</f>
        <v>0</v>
      </c>
      <c r="TR17" s="1" t="n">
        <f aca="false">IF(AND(RG_Exists=1,F17=0,C17=1),H17,0)</f>
        <v>0</v>
      </c>
      <c r="TS17" s="1" t="n">
        <f aca="false">IF(AND(RG_Exists=1,F17=0,C17=1),H17-MIN(QD17,H17),0)</f>
        <v>0</v>
      </c>
      <c r="TT17" s="1" t="n">
        <f aca="false">'Plan pay &amp; tax'!AD243</f>
        <v>0</v>
      </c>
      <c r="TU17" s="1" t="n">
        <f aca="false">IF(AND(C17=1,QD17&gt;MAX(PR_Short1,TP17*PR_Short2)),1,0)</f>
        <v>0</v>
      </c>
      <c r="TV17" s="1" t="n">
        <f aca="false">MIN(G17,H17+R17)</f>
        <v>0</v>
      </c>
      <c r="TW17" s="1" t="n">
        <f aca="false">QE17+MAX(0,HP17-HO17)</f>
        <v>0</v>
      </c>
      <c r="TX17" s="1" t="n">
        <f aca="false">QD17+HO17</f>
        <v>0</v>
      </c>
      <c r="TY17" s="1" t="n">
        <f aca="false">IF(AND(C17=1,TX17&gt;PR_MinShort),1,0)</f>
        <v>0</v>
      </c>
      <c r="TZ17" s="1" t="n">
        <f aca="false">IF(AND(C17=1,TY17=0,TW17&gt;PR_MinShort),1,0)</f>
        <v>0</v>
      </c>
      <c r="UA17" s="1" t="n">
        <f aca="false">IF(AND(C17=1,QD17&gt;PR_MinShort),1,0)</f>
        <v>0</v>
      </c>
      <c r="UB17" s="1" t="n">
        <f aca="false">IF(AND(C17=1,QE17&gt;1,UI17=0),1,0)</f>
        <v>0</v>
      </c>
      <c r="UC17" s="1" t="str">
        <f aca="false">IF(C17=0,"",IF(UI17=1,"Gap to plan for: short "&amp;"€"&amp;TEXT(ROUND(TO17,0),"#,##0"),IF(QE17&gt;1,"Using savings","Comfortable")))</f>
        <v>Comfortable</v>
      </c>
      <c r="UD17" s="1" t="n">
        <f aca="false">IF(AND(INT(D17/10)*10=90,B17&gt;0),80,INT(D17/10)*10)</f>
        <v>0</v>
      </c>
      <c r="UE17" s="1" t="n">
        <f aca="false">IF(B17=0,1,IF(UD17&lt;&gt;UD16,UE16+1,UE16))</f>
        <v>1</v>
      </c>
      <c r="UF17" s="1" t="n">
        <f aca="false">IF(AND(C17=1,F17=1,QD17&gt;MAX(PR_Short1,TP17*PR_Short2)),1,0)</f>
        <v>0</v>
      </c>
      <c r="UG17" s="1" t="n">
        <f aca="false">TQ17*TU17</f>
        <v>0</v>
      </c>
      <c r="UH17" s="1" t="n">
        <f aca="false">IF(AND(U17=1,Slot1_PctLow=1),1,0)+IF(AND(AF17=1,Slot2_PctLow=1),1,0)+IF(AND(AP17=1,Slot3_PctLow=1),1,0)+IF(AND(AZ17=1,Slot4_PctLow=1),1,0)+IF(AND(BJ17=1,Slot5_PctLow=1),1,0)+IF(AND(BT17=1,Slot6_PctLow=1),1,0)+IF(AND(CD17=1,Slot7_PctLow=1),1,0)+IF(AND(CN17=1,Slot8_PctLow=1),1,0)+IF(AND(CX17=1,Slot9_PctLow=1),1,0)+IF(AND(DH17=1,Slot10_PctLow=1),1,0)+IF(AND(DR17=1,Slot11_PctLow=1),1,0)+IF(AND(EB17=1,Slot12_PctLow=1),1,0)+IF(AND(EL17=1,Slot13_PctLow=1),1,0)+IF(AND(EV17=1,Slot14_PctLow=1),1,0)+IF(AND(FF17=1,Slot15_PctLow=1),1,0)+IF(AND(FP17=1,Slot16_PctLow=1),1,0)+IF(AND(FZ17=1,Slot17_PctLow=1),1,0)+IF(AND(GJ17=1,Slot18_PctLow=1),1,0)+IF(AND(GT17=1,Slot19_PctLow=1),1,0)+IF(AND(HD17=1,Slot20_PctLow=1),1,0)</f>
        <v>0</v>
      </c>
      <c r="UI17" s="1" t="n">
        <f aca="false">IF(C17=1,IF(OR(TU17=1,UH17&gt;0),1,0),0)</f>
        <v>0</v>
      </c>
    </row>
    <row r="18" customFormat="false" ht="15" hidden="false" customHeight="true" outlineLevel="0" collapsed="false">
      <c r="B18" s="1" t="n">
        <v>10</v>
      </c>
      <c r="C18" s="1" t="n">
        <f aca="false">IF(B18&lt;=F_N,1,0)</f>
        <v>1</v>
      </c>
      <c r="D18" s="1" t="n">
        <f aca="false">'Plan pay &amp; tax'!C244</f>
        <v>10</v>
      </c>
      <c r="E18" s="111" t="n">
        <f aca="false">'Plan pay &amp; tax'!E244</f>
        <v>1.21899441999476</v>
      </c>
      <c r="F18" s="1" t="n">
        <f aca="false">'Plan pay &amp; tax'!G244</f>
        <v>1</v>
      </c>
      <c r="G18" s="1" t="n">
        <f aca="false">'Plan pay &amp; tax'!BT244-'Plan pay &amp; tax'!BS244-'Plan pay &amp; tax'!R244</f>
        <v>0</v>
      </c>
      <c r="H18" s="1" t="n">
        <f aca="false">IF(F18=1,F_CostsM*12,IF(RG_Exists=1,RG_Amount,F_CostsM*12*AS_RetireSpend))*E18+F_OneOffY*E18</f>
        <v>0</v>
      </c>
      <c r="I18" s="1" t="n">
        <f aca="false">HQ17</f>
        <v>0</v>
      </c>
      <c r="J18" s="1" t="n">
        <f aca="false">IF(I18&gt;1,'Plan debt months'!AC18,0)</f>
        <v>0</v>
      </c>
      <c r="K18" s="1" t="n">
        <f aca="false">IF(I18&gt;1,'Plan debt months'!AB18,I18)</f>
        <v>0</v>
      </c>
      <c r="L18" s="1" t="n">
        <f aca="false">N17</f>
        <v>0</v>
      </c>
      <c r="M18" s="1" t="n">
        <f aca="false">IF(L18&gt;1,'Plan debt months'!BD18,0)</f>
        <v>0</v>
      </c>
      <c r="N18" s="1" t="n">
        <f aca="false">IF(L18&gt;1,'Plan debt months'!BC18,L18)</f>
        <v>0</v>
      </c>
      <c r="O18" s="1" t="n">
        <f aca="false">Q17</f>
        <v>0</v>
      </c>
      <c r="P18" s="1" t="n">
        <f aca="false">IF(O18&gt;1,'Plan debt months'!CE18,0)</f>
        <v>0</v>
      </c>
      <c r="Q18" s="1" t="n">
        <f aca="false">IF(O18&gt;1,'Plan debt months'!CD18,O18)</f>
        <v>0</v>
      </c>
      <c r="R18" s="1" t="n">
        <f aca="false">J18+M18+P18</f>
        <v>0</v>
      </c>
      <c r="S18" s="1" t="n">
        <f aca="false">QJ17+'Plan pay &amp; tax'!Y244</f>
        <v>0</v>
      </c>
      <c r="T18" s="1" t="n">
        <f aca="false">QJ17</f>
        <v>0</v>
      </c>
      <c r="U18" s="1" t="n">
        <f aca="false">IF(AND(Slot1_On=1,D18=Slot1_Age),1,0)</f>
        <v>0</v>
      </c>
      <c r="V18" s="1" t="n">
        <f aca="false">IF(AND(Slot1_On=1,Slot1_Age&gt;D18),1,0)</f>
        <v>0</v>
      </c>
      <c r="W18" s="1" t="n">
        <f aca="false">QL17</f>
        <v>0</v>
      </c>
      <c r="X18" s="1" t="n">
        <f aca="false">U18*MIN(Slot1_Cost,W18)</f>
        <v>0</v>
      </c>
      <c r="Y18" s="1" t="n">
        <f aca="false">U18*Slot1_SpendLike*MIN(Slot1_Cost-X18,S18)</f>
        <v>0</v>
      </c>
      <c r="Z18" s="1" t="n">
        <f aca="false">X18+Y18</f>
        <v>0</v>
      </c>
      <c r="AA18" s="1" t="n">
        <f aca="false">S18-Y18+U18*IF(Slot1_SpendLike=1,W18-X18,IF(Slot1_PotFree=1,W18,0))</f>
        <v>0</v>
      </c>
      <c r="AB18" s="1" t="n">
        <f aca="false">AE18+U18*Slot1_BufPot*W18</f>
        <v>0</v>
      </c>
      <c r="AC18" s="1" t="n">
        <f aca="false">IF(AND(U18=1,Slot1_IsMfree=1),IF(Z18&gt;=Slot1_Cost-1,0,MAX(0,K18-Z18)),K18)</f>
        <v>0</v>
      </c>
      <c r="AD18" s="1" t="n">
        <f aca="false">U18*(Slot1_Cost-Z18)</f>
        <v>0</v>
      </c>
      <c r="AE18" s="1" t="n">
        <f aca="false">QK17</f>
        <v>0</v>
      </c>
      <c r="AF18" s="1" t="n">
        <f aca="false">IF(AND(Slot2_On=1,D18=Slot2_Age),1,0)</f>
        <v>0</v>
      </c>
      <c r="AG18" s="1" t="n">
        <f aca="false">IF(AND(Slot2_On=1,Slot2_Age&gt;D18),1,0)</f>
        <v>0</v>
      </c>
      <c r="AH18" s="1" t="n">
        <f aca="false">QP17</f>
        <v>0</v>
      </c>
      <c r="AI18" s="1" t="n">
        <f aca="false">AF18*MIN(Slot2_Cost,AH18)</f>
        <v>0</v>
      </c>
      <c r="AJ18" s="1" t="n">
        <f aca="false">AF18*Slot2_SpendLike*MIN(Slot2_Cost-AI18,AA18)</f>
        <v>0</v>
      </c>
      <c r="AK18" s="1" t="n">
        <f aca="false">AI18+AJ18</f>
        <v>0</v>
      </c>
      <c r="AL18" s="1" t="n">
        <f aca="false">AA18-AJ18+AF18*IF(Slot2_SpendLike=1,AH18-AI18,IF(Slot2_PotFree=1,AH18,0))</f>
        <v>0</v>
      </c>
      <c r="AM18" s="1" t="n">
        <f aca="false">AB18+AF18*Slot2_BufPot*AH18</f>
        <v>0</v>
      </c>
      <c r="AN18" s="1" t="n">
        <f aca="false">IF(AND(AF18=1,Slot2_IsMfree=1),IF(AK18&gt;=Slot2_Cost-1,0,MAX(0,AC18-AK18)),AC18)</f>
        <v>0</v>
      </c>
      <c r="AO18" s="1" t="n">
        <f aca="false">AF18*(Slot2_Cost-AK18)</f>
        <v>0</v>
      </c>
      <c r="AP18" s="1" t="n">
        <f aca="false">IF(AND(Slot3_On=1,D18=Slot3_Age),1,0)</f>
        <v>0</v>
      </c>
      <c r="AQ18" s="1" t="n">
        <f aca="false">IF(AND(Slot3_On=1,Slot3_Age&gt;D18),1,0)</f>
        <v>0</v>
      </c>
      <c r="AR18" s="1" t="n">
        <f aca="false">QT17</f>
        <v>0</v>
      </c>
      <c r="AS18" s="1" t="n">
        <f aca="false">AP18*MIN(Slot3_Cost,AR18)</f>
        <v>0</v>
      </c>
      <c r="AT18" s="1" t="n">
        <f aca="false">AP18*Slot3_SpendLike*MIN(Slot3_Cost-AS18,AL18)</f>
        <v>0</v>
      </c>
      <c r="AU18" s="1" t="n">
        <f aca="false">AS18+AT18</f>
        <v>0</v>
      </c>
      <c r="AV18" s="1" t="n">
        <f aca="false">AL18-AT18+AP18*IF(Slot3_SpendLike=1,AR18-AS18,IF(Slot3_PotFree=1,AR18,0))</f>
        <v>0</v>
      </c>
      <c r="AW18" s="1" t="n">
        <f aca="false">AM18+AP18*Slot3_BufPot*AR18</f>
        <v>0</v>
      </c>
      <c r="AX18" s="1" t="n">
        <f aca="false">IF(AND(AP18=1,Slot3_IsMfree=1),IF(AU18&gt;=Slot3_Cost-1,0,MAX(0,AN18-AU18)),AN18)</f>
        <v>0</v>
      </c>
      <c r="AY18" s="1" t="n">
        <f aca="false">AP18*(Slot3_Cost-AU18)</f>
        <v>0</v>
      </c>
      <c r="AZ18" s="1" t="n">
        <f aca="false">IF(AND(Slot4_On=1,D18=Slot4_Age),1,0)</f>
        <v>0</v>
      </c>
      <c r="BA18" s="1" t="n">
        <f aca="false">IF(AND(Slot4_On=1,Slot4_Age&gt;D18),1,0)</f>
        <v>0</v>
      </c>
      <c r="BB18" s="1" t="n">
        <f aca="false">QX17</f>
        <v>0</v>
      </c>
      <c r="BC18" s="1" t="n">
        <f aca="false">AZ18*MIN(Slot4_Cost,BB18)</f>
        <v>0</v>
      </c>
      <c r="BD18" s="1" t="n">
        <f aca="false">AZ18*Slot4_SpendLike*MIN(Slot4_Cost-BC18,AV18)</f>
        <v>0</v>
      </c>
      <c r="BE18" s="1" t="n">
        <f aca="false">BC18+BD18</f>
        <v>0</v>
      </c>
      <c r="BF18" s="1" t="n">
        <f aca="false">AV18-BD18+AZ18*IF(Slot4_SpendLike=1,BB18-BC18,IF(Slot4_PotFree=1,BB18,0))</f>
        <v>0</v>
      </c>
      <c r="BG18" s="1" t="n">
        <f aca="false">AW18+AZ18*Slot4_BufPot*BB18</f>
        <v>0</v>
      </c>
      <c r="BH18" s="1" t="n">
        <f aca="false">IF(AND(AZ18=1,Slot4_IsMfree=1),IF(BE18&gt;=Slot4_Cost-1,0,MAX(0,AX18-BE18)),AX18)</f>
        <v>0</v>
      </c>
      <c r="BI18" s="1" t="n">
        <f aca="false">AZ18*(Slot4_Cost-BE18)</f>
        <v>0</v>
      </c>
      <c r="BJ18" s="1" t="n">
        <f aca="false">IF(AND(Slot5_On=1,D18=Slot5_Age),1,0)</f>
        <v>0</v>
      </c>
      <c r="BK18" s="1" t="n">
        <f aca="false">IF(AND(Slot5_On=1,Slot5_Age&gt;D18),1,0)</f>
        <v>0</v>
      </c>
      <c r="BL18" s="1" t="n">
        <f aca="false">RB17</f>
        <v>0</v>
      </c>
      <c r="BM18" s="1" t="n">
        <f aca="false">BJ18*MIN(Slot5_Cost,BL18)</f>
        <v>0</v>
      </c>
      <c r="BN18" s="1" t="n">
        <f aca="false">BJ18*Slot5_SpendLike*MIN(Slot5_Cost-BM18,BF18)</f>
        <v>0</v>
      </c>
      <c r="BO18" s="1" t="n">
        <f aca="false">BM18+BN18</f>
        <v>0</v>
      </c>
      <c r="BP18" s="1" t="n">
        <f aca="false">BF18-BN18+BJ18*IF(Slot5_SpendLike=1,BL18-BM18,IF(Slot5_PotFree=1,BL18,0))</f>
        <v>0</v>
      </c>
      <c r="BQ18" s="1" t="n">
        <f aca="false">BG18+BJ18*Slot5_BufPot*BL18</f>
        <v>0</v>
      </c>
      <c r="BR18" s="1" t="n">
        <f aca="false">IF(AND(BJ18=1,Slot5_IsMfree=1),IF(BO18&gt;=Slot5_Cost-1,0,MAX(0,BH18-BO18)),BH18)</f>
        <v>0</v>
      </c>
      <c r="BS18" s="1" t="n">
        <f aca="false">BJ18*(Slot5_Cost-BO18)</f>
        <v>0</v>
      </c>
      <c r="BT18" s="1" t="n">
        <f aca="false">IF(AND(Slot6_On=1,D18=Slot6_Age),1,0)</f>
        <v>0</v>
      </c>
      <c r="BU18" s="1" t="n">
        <f aca="false">IF(AND(Slot6_On=1,Slot6_Age&gt;D18),1,0)</f>
        <v>0</v>
      </c>
      <c r="BV18" s="1" t="n">
        <f aca="false">RF17</f>
        <v>0</v>
      </c>
      <c r="BW18" s="1" t="n">
        <f aca="false">BT18*MIN(Slot6_Cost,BV18)</f>
        <v>0</v>
      </c>
      <c r="BX18" s="1" t="n">
        <f aca="false">BT18*Slot6_SpendLike*MIN(Slot6_Cost-BW18,BP18)</f>
        <v>0</v>
      </c>
      <c r="BY18" s="1" t="n">
        <f aca="false">BW18+BX18</f>
        <v>0</v>
      </c>
      <c r="BZ18" s="1" t="n">
        <f aca="false">BP18-BX18+BT18*IF(Slot6_SpendLike=1,BV18-BW18,IF(Slot6_PotFree=1,BV18,0))</f>
        <v>0</v>
      </c>
      <c r="CA18" s="1" t="n">
        <f aca="false">BQ18+BT18*Slot6_BufPot*BV18</f>
        <v>0</v>
      </c>
      <c r="CB18" s="1" t="n">
        <f aca="false">IF(AND(BT18=1,Slot6_IsMfree=1),IF(BY18&gt;=Slot6_Cost-1,0,MAX(0,BR18-BY18)),BR18)</f>
        <v>0</v>
      </c>
      <c r="CC18" s="1" t="n">
        <f aca="false">BT18*(Slot6_Cost-BY18)</f>
        <v>0</v>
      </c>
      <c r="CD18" s="1" t="n">
        <f aca="false">IF(AND(Slot7_On=1,D18=Slot7_Age),1,0)</f>
        <v>0</v>
      </c>
      <c r="CE18" s="1" t="n">
        <f aca="false">IF(AND(Slot7_On=1,Slot7_Age&gt;D18),1,0)</f>
        <v>0</v>
      </c>
      <c r="CF18" s="1" t="n">
        <f aca="false">RJ17</f>
        <v>0</v>
      </c>
      <c r="CG18" s="1" t="n">
        <f aca="false">CD18*MIN(Slot7_Cost,CF18)</f>
        <v>0</v>
      </c>
      <c r="CH18" s="1" t="n">
        <f aca="false">CD18*Slot7_SpendLike*MIN(Slot7_Cost-CG18,BZ18)</f>
        <v>0</v>
      </c>
      <c r="CI18" s="1" t="n">
        <f aca="false">CG18+CH18</f>
        <v>0</v>
      </c>
      <c r="CJ18" s="1" t="n">
        <f aca="false">BZ18-CH18+CD18*IF(Slot7_SpendLike=1,CF18-CG18,IF(Slot7_PotFree=1,CF18,0))</f>
        <v>0</v>
      </c>
      <c r="CK18" s="1" t="n">
        <f aca="false">CA18+CD18*Slot7_BufPot*CF18</f>
        <v>0</v>
      </c>
      <c r="CL18" s="1" t="n">
        <f aca="false">IF(AND(CD18=1,Slot7_IsMfree=1),IF(CI18&gt;=Slot7_Cost-1,0,MAX(0,CB18-CI18)),CB18)</f>
        <v>0</v>
      </c>
      <c r="CM18" s="1" t="n">
        <f aca="false">CD18*(Slot7_Cost-CI18)</f>
        <v>0</v>
      </c>
      <c r="CN18" s="1" t="n">
        <f aca="false">IF(AND(Slot8_On=1,D18=Slot8_Age),1,0)</f>
        <v>0</v>
      </c>
      <c r="CO18" s="1" t="n">
        <f aca="false">IF(AND(Slot8_On=1,Slot8_Age&gt;D18),1,0)</f>
        <v>0</v>
      </c>
      <c r="CP18" s="1" t="n">
        <f aca="false">RN17</f>
        <v>0</v>
      </c>
      <c r="CQ18" s="1" t="n">
        <f aca="false">CN18*MIN(Slot8_Cost,CP18)</f>
        <v>0</v>
      </c>
      <c r="CR18" s="1" t="n">
        <f aca="false">CN18*Slot8_SpendLike*MIN(Slot8_Cost-CQ18,CJ18)</f>
        <v>0</v>
      </c>
      <c r="CS18" s="1" t="n">
        <f aca="false">CQ18+CR18</f>
        <v>0</v>
      </c>
      <c r="CT18" s="1" t="n">
        <f aca="false">CJ18-CR18+CN18*IF(Slot8_SpendLike=1,CP18-CQ18,IF(Slot8_PotFree=1,CP18,0))</f>
        <v>0</v>
      </c>
      <c r="CU18" s="1" t="n">
        <f aca="false">CK18+CN18*Slot8_BufPot*CP18</f>
        <v>0</v>
      </c>
      <c r="CV18" s="1" t="n">
        <f aca="false">IF(AND(CN18=1,Slot8_IsMfree=1),IF(CS18&gt;=Slot8_Cost-1,0,MAX(0,CL18-CS18)),CL18)</f>
        <v>0</v>
      </c>
      <c r="CW18" s="1" t="n">
        <f aca="false">CN18*(Slot8_Cost-CS18)</f>
        <v>0</v>
      </c>
      <c r="CX18" s="1" t="n">
        <f aca="false">IF(AND(Slot9_On=1,D18=Slot9_Age),1,0)</f>
        <v>0</v>
      </c>
      <c r="CY18" s="1" t="n">
        <f aca="false">IF(AND(Slot9_On=1,Slot9_Age&gt;D18),1,0)</f>
        <v>0</v>
      </c>
      <c r="CZ18" s="1" t="n">
        <f aca="false">RR17</f>
        <v>0</v>
      </c>
      <c r="DA18" s="1" t="n">
        <f aca="false">CX18*MIN(Slot9_Cost,CZ18)</f>
        <v>0</v>
      </c>
      <c r="DB18" s="1" t="n">
        <f aca="false">CX18*Slot9_SpendLike*MIN(Slot9_Cost-DA18,CT18)</f>
        <v>0</v>
      </c>
      <c r="DC18" s="1" t="n">
        <f aca="false">DA18+DB18</f>
        <v>0</v>
      </c>
      <c r="DD18" s="1" t="n">
        <f aca="false">CT18-DB18+CX18*IF(Slot9_SpendLike=1,CZ18-DA18,IF(Slot9_PotFree=1,CZ18,0))</f>
        <v>0</v>
      </c>
      <c r="DE18" s="1" t="n">
        <f aca="false">CU18+CX18*Slot9_BufPot*CZ18</f>
        <v>0</v>
      </c>
      <c r="DF18" s="1" t="n">
        <f aca="false">IF(AND(CX18=1,Slot9_IsMfree=1),IF(DC18&gt;=Slot9_Cost-1,0,MAX(0,CV18-DC18)),CV18)</f>
        <v>0</v>
      </c>
      <c r="DG18" s="1" t="n">
        <f aca="false">CX18*(Slot9_Cost-DC18)</f>
        <v>0</v>
      </c>
      <c r="DH18" s="1" t="n">
        <f aca="false">IF(AND(Slot10_On=1,D18=Slot10_Age),1,0)</f>
        <v>0</v>
      </c>
      <c r="DI18" s="1" t="n">
        <f aca="false">IF(AND(Slot10_On=1,Slot10_Age&gt;D18),1,0)</f>
        <v>0</v>
      </c>
      <c r="DJ18" s="1" t="n">
        <f aca="false">RV17</f>
        <v>0</v>
      </c>
      <c r="DK18" s="1" t="n">
        <f aca="false">DH18*MIN(Slot10_Cost,DJ18)</f>
        <v>0</v>
      </c>
      <c r="DL18" s="1" t="n">
        <f aca="false">DH18*Slot10_SpendLike*MIN(Slot10_Cost-DK18,DD18)</f>
        <v>0</v>
      </c>
      <c r="DM18" s="1" t="n">
        <f aca="false">DK18+DL18</f>
        <v>0</v>
      </c>
      <c r="DN18" s="1" t="n">
        <f aca="false">DD18-DL18+DH18*IF(Slot10_SpendLike=1,DJ18-DK18,IF(Slot10_PotFree=1,DJ18,0))</f>
        <v>0</v>
      </c>
      <c r="DO18" s="1" t="n">
        <f aca="false">DE18+DH18*Slot10_BufPot*DJ18</f>
        <v>0</v>
      </c>
      <c r="DP18" s="1" t="n">
        <f aca="false">IF(AND(DH18=1,Slot10_IsMfree=1),IF(DM18&gt;=Slot10_Cost-1,0,MAX(0,DF18-DM18)),DF18)</f>
        <v>0</v>
      </c>
      <c r="DQ18" s="1" t="n">
        <f aca="false">DH18*(Slot10_Cost-DM18)</f>
        <v>0</v>
      </c>
      <c r="DR18" s="1" t="n">
        <f aca="false">IF(AND(Slot11_On=1,D18=Slot11_Age),1,0)</f>
        <v>0</v>
      </c>
      <c r="DS18" s="1" t="n">
        <f aca="false">IF(AND(Slot11_On=1,Slot11_Age&gt;D18),1,0)</f>
        <v>0</v>
      </c>
      <c r="DT18" s="1" t="n">
        <f aca="false">RZ17</f>
        <v>0</v>
      </c>
      <c r="DU18" s="1" t="n">
        <f aca="false">DR18*MIN(Slot11_Cost,DT18)</f>
        <v>0</v>
      </c>
      <c r="DV18" s="1" t="n">
        <f aca="false">DR18*Slot11_SpendLike*MIN(Slot11_Cost-DU18,DN18)</f>
        <v>0</v>
      </c>
      <c r="DW18" s="1" t="n">
        <f aca="false">DU18+DV18</f>
        <v>0</v>
      </c>
      <c r="DX18" s="1" t="n">
        <f aca="false">DN18-DV18+DR18*IF(Slot11_SpendLike=1,DT18-DU18,IF(Slot11_PotFree=1,DT18,0))</f>
        <v>0</v>
      </c>
      <c r="DY18" s="1" t="n">
        <f aca="false">DO18+DR18*Slot11_BufPot*DT18</f>
        <v>0</v>
      </c>
      <c r="DZ18" s="1" t="n">
        <f aca="false">IF(AND(DR18=1,Slot11_IsMfree=1),IF(DW18&gt;=Slot11_Cost-1,0,MAX(0,DP18-DW18)),DP18)</f>
        <v>0</v>
      </c>
      <c r="EA18" s="1" t="n">
        <f aca="false">DR18*(Slot11_Cost-DW18)</f>
        <v>0</v>
      </c>
      <c r="EB18" s="1" t="n">
        <f aca="false">IF(AND(Slot12_On=1,D18=Slot12_Age),1,0)</f>
        <v>0</v>
      </c>
      <c r="EC18" s="1" t="n">
        <f aca="false">IF(AND(Slot12_On=1,Slot12_Age&gt;D18),1,0)</f>
        <v>0</v>
      </c>
      <c r="ED18" s="1" t="n">
        <f aca="false">SD17</f>
        <v>0</v>
      </c>
      <c r="EE18" s="1" t="n">
        <f aca="false">EB18*MIN(Slot12_Cost,ED18)</f>
        <v>0</v>
      </c>
      <c r="EF18" s="1" t="n">
        <f aca="false">EB18*Slot12_SpendLike*MIN(Slot12_Cost-EE18,DX18)</f>
        <v>0</v>
      </c>
      <c r="EG18" s="1" t="n">
        <f aca="false">EE18+EF18</f>
        <v>0</v>
      </c>
      <c r="EH18" s="1" t="n">
        <f aca="false">DX18-EF18+EB18*IF(Slot12_SpendLike=1,ED18-EE18,IF(Slot12_PotFree=1,ED18,0))</f>
        <v>0</v>
      </c>
      <c r="EI18" s="1" t="n">
        <f aca="false">DY18+EB18*Slot12_BufPot*ED18</f>
        <v>0</v>
      </c>
      <c r="EJ18" s="1" t="n">
        <f aca="false">IF(AND(EB18=1,Slot12_IsMfree=1),IF(EG18&gt;=Slot12_Cost-1,0,MAX(0,DZ18-EG18)),DZ18)</f>
        <v>0</v>
      </c>
      <c r="EK18" s="1" t="n">
        <f aca="false">EB18*(Slot12_Cost-EG18)</f>
        <v>0</v>
      </c>
      <c r="EL18" s="1" t="n">
        <f aca="false">IF(AND(Slot13_On=1,D18=Slot13_Age),1,0)</f>
        <v>0</v>
      </c>
      <c r="EM18" s="1" t="n">
        <f aca="false">IF(AND(Slot13_On=1,Slot13_Age&gt;D18),1,0)</f>
        <v>0</v>
      </c>
      <c r="EN18" s="1" t="n">
        <f aca="false">SH17</f>
        <v>0</v>
      </c>
      <c r="EO18" s="1" t="n">
        <f aca="false">EL18*MIN(Slot13_Cost,EN18)</f>
        <v>0</v>
      </c>
      <c r="EP18" s="1" t="n">
        <f aca="false">EL18*Slot13_SpendLike*MIN(Slot13_Cost-EO18,EH18)</f>
        <v>0</v>
      </c>
      <c r="EQ18" s="1" t="n">
        <f aca="false">EO18+EP18</f>
        <v>0</v>
      </c>
      <c r="ER18" s="1" t="n">
        <f aca="false">EH18-EP18+EL18*IF(Slot13_SpendLike=1,EN18-EO18,IF(Slot13_PotFree=1,EN18,0))</f>
        <v>0</v>
      </c>
      <c r="ES18" s="1" t="n">
        <f aca="false">EI18+EL18*Slot13_BufPot*EN18</f>
        <v>0</v>
      </c>
      <c r="ET18" s="1" t="n">
        <f aca="false">IF(AND(EL18=1,Slot13_IsMfree=1),IF(EQ18&gt;=Slot13_Cost-1,0,MAX(0,EJ18-EQ18)),EJ18)</f>
        <v>0</v>
      </c>
      <c r="EU18" s="1" t="n">
        <f aca="false">EL18*(Slot13_Cost-EQ18)</f>
        <v>0</v>
      </c>
      <c r="EV18" s="1" t="n">
        <f aca="false">IF(AND(Slot14_On=1,D18=Slot14_Age),1,0)</f>
        <v>0</v>
      </c>
      <c r="EW18" s="1" t="n">
        <f aca="false">IF(AND(Slot14_On=1,Slot14_Age&gt;D18),1,0)</f>
        <v>0</v>
      </c>
      <c r="EX18" s="1" t="n">
        <f aca="false">SL17</f>
        <v>0</v>
      </c>
      <c r="EY18" s="1" t="n">
        <f aca="false">EV18*MIN(Slot14_Cost,EX18)</f>
        <v>0</v>
      </c>
      <c r="EZ18" s="1" t="n">
        <f aca="false">EV18*Slot14_SpendLike*MIN(Slot14_Cost-EY18,ER18)</f>
        <v>0</v>
      </c>
      <c r="FA18" s="1" t="n">
        <f aca="false">EY18+EZ18</f>
        <v>0</v>
      </c>
      <c r="FB18" s="1" t="n">
        <f aca="false">ER18-EZ18+EV18*IF(Slot14_SpendLike=1,EX18-EY18,IF(Slot14_PotFree=1,EX18,0))</f>
        <v>0</v>
      </c>
      <c r="FC18" s="1" t="n">
        <f aca="false">ES18+EV18*Slot14_BufPot*EX18</f>
        <v>0</v>
      </c>
      <c r="FD18" s="1" t="n">
        <f aca="false">IF(AND(EV18=1,Slot14_IsMfree=1),IF(FA18&gt;=Slot14_Cost-1,0,MAX(0,ET18-FA18)),ET18)</f>
        <v>0</v>
      </c>
      <c r="FE18" s="1" t="n">
        <f aca="false">EV18*(Slot14_Cost-FA18)</f>
        <v>0</v>
      </c>
      <c r="FF18" s="1" t="n">
        <f aca="false">IF(AND(Slot15_On=1,D18=Slot15_Age),1,0)</f>
        <v>0</v>
      </c>
      <c r="FG18" s="1" t="n">
        <f aca="false">IF(AND(Slot15_On=1,Slot15_Age&gt;D18),1,0)</f>
        <v>0</v>
      </c>
      <c r="FH18" s="1" t="n">
        <f aca="false">SP17</f>
        <v>0</v>
      </c>
      <c r="FI18" s="1" t="n">
        <f aca="false">FF18*MIN(Slot15_Cost,FH18)</f>
        <v>0</v>
      </c>
      <c r="FJ18" s="1" t="n">
        <f aca="false">FF18*Slot15_SpendLike*MIN(Slot15_Cost-FI18,FB18)</f>
        <v>0</v>
      </c>
      <c r="FK18" s="1" t="n">
        <f aca="false">FI18+FJ18</f>
        <v>0</v>
      </c>
      <c r="FL18" s="1" t="n">
        <f aca="false">FB18-FJ18+FF18*IF(Slot15_SpendLike=1,FH18-FI18,IF(Slot15_PotFree=1,FH18,0))</f>
        <v>0</v>
      </c>
      <c r="FM18" s="1" t="n">
        <f aca="false">FC18+FF18*Slot15_BufPot*FH18</f>
        <v>0</v>
      </c>
      <c r="FN18" s="1" t="n">
        <f aca="false">IF(AND(FF18=1,Slot15_IsMfree=1),IF(FK18&gt;=Slot15_Cost-1,0,MAX(0,FD18-FK18)),FD18)</f>
        <v>0</v>
      </c>
      <c r="FO18" s="1" t="n">
        <f aca="false">FF18*(Slot15_Cost-FK18)</f>
        <v>0</v>
      </c>
      <c r="FP18" s="1" t="n">
        <f aca="false">IF(AND(Slot16_On=1,D18=Slot16_Age),1,0)</f>
        <v>0</v>
      </c>
      <c r="FQ18" s="1" t="n">
        <f aca="false">IF(AND(Slot16_On=1,Slot16_Age&gt;D18),1,0)</f>
        <v>0</v>
      </c>
      <c r="FR18" s="1" t="n">
        <f aca="false">ST17</f>
        <v>0</v>
      </c>
      <c r="FS18" s="1" t="n">
        <f aca="false">FP18*MIN(Slot16_Cost,FR18)</f>
        <v>0</v>
      </c>
      <c r="FT18" s="1" t="n">
        <f aca="false">FP18*Slot16_SpendLike*MIN(Slot16_Cost-FS18,FL18)</f>
        <v>0</v>
      </c>
      <c r="FU18" s="1" t="n">
        <f aca="false">FS18+FT18</f>
        <v>0</v>
      </c>
      <c r="FV18" s="1" t="n">
        <f aca="false">FL18-FT18+FP18*IF(Slot16_SpendLike=1,FR18-FS18,IF(Slot16_PotFree=1,FR18,0))</f>
        <v>0</v>
      </c>
      <c r="FW18" s="1" t="n">
        <f aca="false">FM18+FP18*Slot16_BufPot*FR18</f>
        <v>0</v>
      </c>
      <c r="FX18" s="1" t="n">
        <f aca="false">IF(AND(FP18=1,Slot16_IsMfree=1),IF(FU18&gt;=Slot16_Cost-1,0,MAX(0,FN18-FU18)),FN18)</f>
        <v>0</v>
      </c>
      <c r="FY18" s="1" t="n">
        <f aca="false">FP18*(Slot16_Cost-FU18)</f>
        <v>0</v>
      </c>
      <c r="FZ18" s="1" t="n">
        <f aca="false">IF(AND(Slot17_On=1,D18=Slot17_Age),1,0)</f>
        <v>0</v>
      </c>
      <c r="GA18" s="1" t="n">
        <f aca="false">IF(AND(Slot17_On=1,Slot17_Age&gt;D18),1,0)</f>
        <v>0</v>
      </c>
      <c r="GB18" s="1" t="n">
        <f aca="false">SX17</f>
        <v>0</v>
      </c>
      <c r="GC18" s="1" t="n">
        <f aca="false">FZ18*MIN(Slot17_Cost,GB18)</f>
        <v>0</v>
      </c>
      <c r="GD18" s="1" t="n">
        <f aca="false">FZ18*Slot17_SpendLike*MIN(Slot17_Cost-GC18,FV18)</f>
        <v>0</v>
      </c>
      <c r="GE18" s="1" t="n">
        <f aca="false">GC18+GD18</f>
        <v>0</v>
      </c>
      <c r="GF18" s="1" t="n">
        <f aca="false">FV18-GD18+FZ18*IF(Slot17_SpendLike=1,GB18-GC18,IF(Slot17_PotFree=1,GB18,0))</f>
        <v>0</v>
      </c>
      <c r="GG18" s="1" t="n">
        <f aca="false">FW18+FZ18*Slot17_BufPot*GB18</f>
        <v>0</v>
      </c>
      <c r="GH18" s="1" t="n">
        <f aca="false">IF(AND(FZ18=1,Slot17_IsMfree=1),IF(GE18&gt;=Slot17_Cost-1,0,MAX(0,FX18-GE18)),FX18)</f>
        <v>0</v>
      </c>
      <c r="GI18" s="1" t="n">
        <f aca="false">FZ18*(Slot17_Cost-GE18)</f>
        <v>0</v>
      </c>
      <c r="GJ18" s="1" t="n">
        <f aca="false">IF(AND(Slot18_On=1,D18=Slot18_Age),1,0)</f>
        <v>0</v>
      </c>
      <c r="GK18" s="1" t="n">
        <f aca="false">IF(AND(Slot18_On=1,Slot18_Age&gt;D18),1,0)</f>
        <v>0</v>
      </c>
      <c r="GL18" s="1" t="n">
        <f aca="false">TB17</f>
        <v>0</v>
      </c>
      <c r="GM18" s="1" t="n">
        <f aca="false">GJ18*MIN(Slot18_Cost,GL18)</f>
        <v>0</v>
      </c>
      <c r="GN18" s="1" t="n">
        <f aca="false">GJ18*Slot18_SpendLike*MIN(Slot18_Cost-GM18,GF18)</f>
        <v>0</v>
      </c>
      <c r="GO18" s="1" t="n">
        <f aca="false">GM18+GN18</f>
        <v>0</v>
      </c>
      <c r="GP18" s="1" t="n">
        <f aca="false">GF18-GN18+GJ18*IF(Slot18_SpendLike=1,GL18-GM18,IF(Slot18_PotFree=1,GL18,0))</f>
        <v>0</v>
      </c>
      <c r="GQ18" s="1" t="n">
        <f aca="false">GG18+GJ18*Slot18_BufPot*GL18</f>
        <v>0</v>
      </c>
      <c r="GR18" s="1" t="n">
        <f aca="false">IF(AND(GJ18=1,Slot18_IsMfree=1),IF(GO18&gt;=Slot18_Cost-1,0,MAX(0,GH18-GO18)),GH18)</f>
        <v>0</v>
      </c>
      <c r="GS18" s="1" t="n">
        <f aca="false">GJ18*(Slot18_Cost-GO18)</f>
        <v>0</v>
      </c>
      <c r="GT18" s="1" t="n">
        <f aca="false">IF(AND(Slot19_On=1,D18=Slot19_Age),1,0)</f>
        <v>0</v>
      </c>
      <c r="GU18" s="1" t="n">
        <f aca="false">IF(AND(Slot19_On=1,Slot19_Age&gt;D18),1,0)</f>
        <v>0</v>
      </c>
      <c r="GV18" s="1" t="n">
        <f aca="false">TF17</f>
        <v>0</v>
      </c>
      <c r="GW18" s="1" t="n">
        <f aca="false">GT18*MIN(Slot19_Cost,GV18)</f>
        <v>0</v>
      </c>
      <c r="GX18" s="1" t="n">
        <f aca="false">GT18*Slot19_SpendLike*MIN(Slot19_Cost-GW18,GP18)</f>
        <v>0</v>
      </c>
      <c r="GY18" s="1" t="n">
        <f aca="false">GW18+GX18</f>
        <v>0</v>
      </c>
      <c r="GZ18" s="1" t="n">
        <f aca="false">GP18-GX18+GT18*IF(Slot19_SpendLike=1,GV18-GW18,IF(Slot19_PotFree=1,GV18,0))</f>
        <v>0</v>
      </c>
      <c r="HA18" s="1" t="n">
        <f aca="false">GQ18+GT18*Slot19_BufPot*GV18</f>
        <v>0</v>
      </c>
      <c r="HB18" s="1" t="n">
        <f aca="false">IF(AND(GT18=1,Slot19_IsMfree=1),IF(GY18&gt;=Slot19_Cost-1,0,MAX(0,GR18-GY18)),GR18)</f>
        <v>0</v>
      </c>
      <c r="HC18" s="1" t="n">
        <f aca="false">GT18*(Slot19_Cost-GY18)</f>
        <v>0</v>
      </c>
      <c r="HD18" s="1" t="n">
        <f aca="false">IF(AND(Slot20_On=1,D18=Slot20_Age),1,0)</f>
        <v>0</v>
      </c>
      <c r="HE18" s="1" t="n">
        <f aca="false">IF(AND(Slot20_On=1,Slot20_Age&gt;D18),1,0)</f>
        <v>0</v>
      </c>
      <c r="HF18" s="1" t="n">
        <f aca="false">TJ17</f>
        <v>0</v>
      </c>
      <c r="HG18" s="1" t="n">
        <f aca="false">HD18*MIN(Slot20_Cost,HF18)</f>
        <v>0</v>
      </c>
      <c r="HH18" s="1" t="n">
        <f aca="false">HD18*Slot20_SpendLike*MIN(Slot20_Cost-HG18,GZ18)</f>
        <v>0</v>
      </c>
      <c r="HI18" s="1" t="n">
        <f aca="false">HG18+HH18</f>
        <v>0</v>
      </c>
      <c r="HJ18" s="1" t="n">
        <f aca="false">GZ18-HH18+HD18*IF(Slot20_SpendLike=1,HF18-HG18,IF(Slot20_PotFree=1,HF18,0))</f>
        <v>0</v>
      </c>
      <c r="HK18" s="1" t="n">
        <f aca="false">HA18+HD18*Slot20_BufPot*HF18</f>
        <v>0</v>
      </c>
      <c r="HL18" s="1" t="n">
        <f aca="false">IF(AND(HD18=1,Slot20_IsMfree=1),IF(HI18&gt;=Slot20_Cost-1,0,MAX(0,HB18-HI18)),HB18)</f>
        <v>0</v>
      </c>
      <c r="HM18" s="1" t="n">
        <f aca="false">HD18*(Slot20_Cost-HI18)</f>
        <v>0</v>
      </c>
      <c r="HN18" s="1" t="n">
        <f aca="false">U18*Slot1_SpendLike*Z18+AF18*Slot2_SpendLike*AK18+AP18*Slot3_SpendLike*AU18+AZ18*Slot4_SpendLike*BE18+BJ18*Slot5_SpendLike*BO18+BT18*Slot6_SpendLike*BY18+CD18*Slot7_SpendLike*CI18+CN18*Slot8_SpendLike*CS18+CX18*Slot9_SpendLike*DC18+DH18*Slot10_SpendLike*DM18+DR18*Slot11_SpendLike*DW18+EB18*Slot12_SpendLike*EG18+EL18*Slot13_SpendLike*EQ18+EV18*Slot14_SpendLike*FA18+FF18*Slot15_SpendLike*FK18+FP18*Slot16_SpendLike*FU18+FZ18*Slot17_SpendLike*GE18+GJ18*Slot18_SpendLike*GO18+GT18*Slot19_SpendLike*GY18+HD18*Slot20_SpendLike*HI18</f>
        <v>0</v>
      </c>
      <c r="HO18" s="1" t="n">
        <f aca="false">AD18+AO18+AY18+BI18+BS18+CC18+CM18+CW18+DG18+DQ18+EA18+EK18+EU18+FE18+FO18+FY18+GI18+GS18+HC18+HM18</f>
        <v>0</v>
      </c>
      <c r="HP18" s="1" t="n">
        <f aca="false">U18*Slot1_Cost+AF18*Slot2_Cost+AP18*Slot3_Cost+AZ18*Slot4_Cost+BJ18*Slot5_Cost+BT18*Slot6_Cost+CD18*Slot7_Cost+CN18*Slot8_Cost+CX18*Slot9_Cost+DH18*Slot10_Cost+DR18*Slot11_Cost+EB18*Slot12_Cost+EL18*Slot13_Cost+EV18*Slot14_Cost+FF18*Slot15_Cost+FP18*Slot16_Cost+FZ18*Slot17_Cost+GJ18*Slot18_Cost+GT18*Slot19_Cost+HD18*Slot20_Cost</f>
        <v>0</v>
      </c>
      <c r="HQ18" s="1" t="n">
        <f aca="false">HL18</f>
        <v>0</v>
      </c>
      <c r="HR18" s="1" t="n">
        <f aca="false">G18-H18-R18</f>
        <v>0</v>
      </c>
      <c r="HS18" s="1" t="n">
        <f aca="false">IF(B18=0,IF(AND(Has_q6=1,In_q6=4),PR_ShareVaries*(MAX(0,HR18)/12),MIN(IF(Has_q6=1,CHOOSE(In_q6+1,PR_SaveB1,PR_SaveB2,PR_SaveB3,PR_SaveB4,0),AS_NoAnswer),AS_SaveShare*(MAX(0,HR18)/12))),HS17)</f>
        <v>0</v>
      </c>
      <c r="HT18" s="1" t="n">
        <f aca="false">IF(HR18&gt;=0,1,0)</f>
        <v>1</v>
      </c>
      <c r="HU18" s="1" t="n">
        <f aca="false">MAX(0,HR18/12/E18)</f>
        <v>0</v>
      </c>
      <c r="HV18" s="1" t="n">
        <f aca="false">IF(AND(Has_q6=1,In_q6=4),PR_ShareVaries*(HU18),MIN(IF(Has_q6=1,CHOOSE(In_q6+1,PR_SaveB1,PR_SaveB2,PR_SaveB3,PR_SaveB4,0),AS_NoAnswer),AS_SaveShare*(HU18)))</f>
        <v>0</v>
      </c>
      <c r="HW18" s="1" t="n">
        <f aca="false">IF(Has_saveM=1,IF(In_saveUp="Yes",1,IF(In_saveUp="No",0,IF(In_saveM&gt;=HS18-0.5,1,0))),0)</f>
        <v>0</v>
      </c>
      <c r="HX18" s="1" t="n">
        <f aca="false">IF(Has_saveM=1,MIN(HU18,IF(HW18=1,MAX(In_saveM,HV18),MIN(In_saveM,HV18))),HV18)</f>
        <v>0</v>
      </c>
      <c r="HY18" s="1" t="n">
        <f aca="false">IF(F18=1,HX18*12*E18,0)</f>
        <v>0</v>
      </c>
      <c r="HZ18" s="1" t="n">
        <f aca="false">MAX(0,HY18+IF(AND(WI_Retire=0,WI_M&lt;0,F18=1),WI_M*12*E18,0))</f>
        <v>0</v>
      </c>
      <c r="IA18" s="1" t="n">
        <f aca="false">Slot1_IsWG*V18+Slot2_IsWG*AG18+Slot3_IsWG*AQ18+Slot4_IsWG*BA18+Slot5_IsWG*BK18+Slot6_IsWG*BU18+Slot7_IsWG*CE18+Slot8_IsWG*CO18+Slot9_IsWG*CY18+Slot10_IsWG*DI18+Slot11_IsWG*DS18+Slot12_IsWG*EC18+Slot13_IsWG*EM18+Slot14_IsWG*EW18+Slot15_IsWG*FG18+Slot16_IsWG*FQ18+Slot17_IsWG*GA18+Slot18_IsWG*GK18+Slot19_IsWG*GU18+Slot20_IsWG*HE18</f>
        <v>0</v>
      </c>
      <c r="IB18" s="1" t="n">
        <f aca="false">IF(AND(WI_Retire=0,WI_M&gt;0,F18=1,IA18&gt;=1),WI_M*12*E18,0)</f>
        <v>0</v>
      </c>
      <c r="IC18" s="1" t="n">
        <f aca="false">IF(HT18=1,MIN(HZ18,HR18),0)</f>
        <v>0</v>
      </c>
      <c r="ID18" s="1" t="n">
        <f aca="false">IF(HT18=1,MIN(IB18,HR18-IC18),0)</f>
        <v>0</v>
      </c>
      <c r="IE18" s="1" t="n">
        <f aca="false">IF(V18=1,IF(ABS((1+AS_Wage)/(1+Slot1_Rate)-1)&lt;0.000000000001,(Slot1_Age-D18)*(1+Slot1_Rate)^(Slot1_Age-D18),(1+Slot1_Rate)^(Slot1_Age-D18)*(1-((1+AS_Wage)/(1+Slot1_Rate))^(Slot1_Age-D18))/(1-(1+AS_Wage)/(1+Slot1_Rate))),1)</f>
        <v>1</v>
      </c>
      <c r="IF18" s="1" t="n">
        <f aca="false">IF(AND(HT18=1,ID18&gt;0,Slot1_IsWG=1,V18=1),MAX(0,(Slot1_Cost-W18*(1+Slot1_Rate)^(Slot1_Age-D18))/IE18),0)</f>
        <v>0</v>
      </c>
      <c r="IG18" s="1" t="n">
        <f aca="false">IF(AND(HT18=1,ID18&gt;0,Slot1_IsWG=1,V18=1),MIN(ID18,IF18),0)</f>
        <v>0</v>
      </c>
      <c r="IH18" s="1" t="n">
        <f aca="false">W18+IG18</f>
        <v>0</v>
      </c>
      <c r="II18" s="1" t="n">
        <f aca="false">IF(V18=1,MAX(0,(Slot1_Cost-IH18*(1+Slot1_Rate)^(Slot1_Age-D18))/IE18),0)</f>
        <v>0</v>
      </c>
      <c r="IJ18" s="1" t="n">
        <f aca="false">IF(V18=1,MAX(0,(Slot1_Cost-W18*(1+Slot1_Rate)^(Slot1_Age-D18))/IE18),0)</f>
        <v>0</v>
      </c>
      <c r="IK18" s="1" t="n">
        <f aca="false">IF(AND(HT18=1,V18=1),MIN(IC18,II18),0)</f>
        <v>0</v>
      </c>
      <c r="IL18" s="1" t="n">
        <f aca="false">IC18-IK18</f>
        <v>0</v>
      </c>
      <c r="IM18" s="1" t="n">
        <f aca="false">IF(AG18=1,IF(ABS((1+AS_Wage)/(1+Slot2_Rate)-1)&lt;0.000000000001,(Slot2_Age-D18)*(1+Slot2_Rate)^(Slot2_Age-D18),(1+Slot2_Rate)^(Slot2_Age-D18)*(1-((1+AS_Wage)/(1+Slot2_Rate))^(Slot2_Age-D18))/(1-(1+AS_Wage)/(1+Slot2_Rate))),1)</f>
        <v>1</v>
      </c>
      <c r="IN18" s="1" t="n">
        <f aca="false">IF(AND(HT18=1,ID18&gt;0,Slot2_IsWG=1,AG18=1),MAX(0,(Slot2_Cost-AH18*(1+Slot2_Rate)^(Slot2_Age-D18))/IM18),0)</f>
        <v>0</v>
      </c>
      <c r="IO18" s="1" t="n">
        <f aca="false">IF(AND(HT18=1,ID18&gt;0,Slot2_IsWG=1,AG18=1),MIN(ID18,IN18),0)</f>
        <v>0</v>
      </c>
      <c r="IP18" s="1" t="n">
        <f aca="false">AH18+IO18</f>
        <v>0</v>
      </c>
      <c r="IQ18" s="1" t="n">
        <f aca="false">IF(AG18=1,MAX(0,(Slot2_Cost-IP18*(1+Slot2_Rate)^(Slot2_Age-D18))/IM18),0)</f>
        <v>0</v>
      </c>
      <c r="IR18" s="1" t="n">
        <f aca="false">IF(AG18=1,MAX(0,(Slot2_Cost-AH18*(1+Slot2_Rate)^(Slot2_Age-D18))/IM18),0)</f>
        <v>0</v>
      </c>
      <c r="IS18" s="1" t="n">
        <f aca="false">IF(AND(HT18=1,AG18=1),MIN(IL18,IQ18),0)</f>
        <v>0</v>
      </c>
      <c r="IT18" s="1" t="n">
        <f aca="false">IL18-IS18</f>
        <v>0</v>
      </c>
      <c r="IU18" s="1" t="n">
        <f aca="false">IF(AQ18=1,IF(ABS((1+AS_Wage)/(1+Slot3_Rate)-1)&lt;0.000000000001,(Slot3_Age-D18)*(1+Slot3_Rate)^(Slot3_Age-D18),(1+Slot3_Rate)^(Slot3_Age-D18)*(1-((1+AS_Wage)/(1+Slot3_Rate))^(Slot3_Age-D18))/(1-(1+AS_Wage)/(1+Slot3_Rate))),1)</f>
        <v>1</v>
      </c>
      <c r="IV18" s="1" t="n">
        <f aca="false">IF(AND(HT18=1,ID18&gt;0,Slot3_IsWG=1,AQ18=1),MAX(0,(Slot3_Cost-AR18*(1+Slot3_Rate)^(Slot3_Age-D18))/IU18),0)</f>
        <v>0</v>
      </c>
      <c r="IW18" s="1" t="n">
        <f aca="false">IF(AND(HT18=1,ID18&gt;0,Slot3_IsWG=1,AQ18=1),MIN(ID18,IV18),0)</f>
        <v>0</v>
      </c>
      <c r="IX18" s="1" t="n">
        <f aca="false">AR18+IW18</f>
        <v>0</v>
      </c>
      <c r="IY18" s="1" t="n">
        <f aca="false">IF(AQ18=1,MAX(0,(Slot3_Cost-IX18*(1+Slot3_Rate)^(Slot3_Age-D18))/IU18),0)</f>
        <v>0</v>
      </c>
      <c r="IZ18" s="1" t="n">
        <f aca="false">IF(AQ18=1,MAX(0,(Slot3_Cost-AR18*(1+Slot3_Rate)^(Slot3_Age-D18))/IU18),0)</f>
        <v>0</v>
      </c>
      <c r="JA18" s="1" t="n">
        <f aca="false">IF(AND(HT18=1,AQ18=1),MIN(IT18,IY18),0)</f>
        <v>0</v>
      </c>
      <c r="JB18" s="1" t="n">
        <f aca="false">IT18-JA18</f>
        <v>0</v>
      </c>
      <c r="JC18" s="1" t="n">
        <f aca="false">IF(BA18=1,IF(ABS((1+AS_Wage)/(1+Slot4_Rate)-1)&lt;0.000000000001,(Slot4_Age-D18)*(1+Slot4_Rate)^(Slot4_Age-D18),(1+Slot4_Rate)^(Slot4_Age-D18)*(1-((1+AS_Wage)/(1+Slot4_Rate))^(Slot4_Age-D18))/(1-(1+AS_Wage)/(1+Slot4_Rate))),1)</f>
        <v>1</v>
      </c>
      <c r="JD18" s="1" t="n">
        <f aca="false">IF(AND(HT18=1,ID18&gt;0,Slot4_IsWG=1,BA18=1),MAX(0,(Slot4_Cost-BB18*(1+Slot4_Rate)^(Slot4_Age-D18))/JC18),0)</f>
        <v>0</v>
      </c>
      <c r="JE18" s="1" t="n">
        <f aca="false">IF(AND(HT18=1,ID18&gt;0,Slot4_IsWG=1,BA18=1),MIN(ID18,JD18),0)</f>
        <v>0</v>
      </c>
      <c r="JF18" s="1" t="n">
        <f aca="false">BB18+JE18</f>
        <v>0</v>
      </c>
      <c r="JG18" s="1" t="n">
        <f aca="false">IF(BA18=1,MAX(0,(Slot4_Cost-JF18*(1+Slot4_Rate)^(Slot4_Age-D18))/JC18),0)</f>
        <v>0</v>
      </c>
      <c r="JH18" s="1" t="n">
        <f aca="false">IF(BA18=1,MAX(0,(Slot4_Cost-BB18*(1+Slot4_Rate)^(Slot4_Age-D18))/JC18),0)</f>
        <v>0</v>
      </c>
      <c r="JI18" s="1" t="n">
        <f aca="false">IF(AND(HT18=1,BA18=1),MIN(JB18,JG18),0)</f>
        <v>0</v>
      </c>
      <c r="JJ18" s="1" t="n">
        <f aca="false">JB18-JI18</f>
        <v>0</v>
      </c>
      <c r="JK18" s="1" t="n">
        <f aca="false">IF(BK18=1,IF(ABS((1+AS_Wage)/(1+Slot5_Rate)-1)&lt;0.000000000001,(Slot5_Age-D18)*(1+Slot5_Rate)^(Slot5_Age-D18),(1+Slot5_Rate)^(Slot5_Age-D18)*(1-((1+AS_Wage)/(1+Slot5_Rate))^(Slot5_Age-D18))/(1-(1+AS_Wage)/(1+Slot5_Rate))),1)</f>
        <v>1</v>
      </c>
      <c r="JL18" s="1" t="n">
        <f aca="false">IF(AND(HT18=1,ID18&gt;0,Slot5_IsWG=1,BK18=1),MAX(0,(Slot5_Cost-BL18*(1+Slot5_Rate)^(Slot5_Age-D18))/JK18),0)</f>
        <v>0</v>
      </c>
      <c r="JM18" s="1" t="n">
        <f aca="false">IF(AND(HT18=1,ID18&gt;0,Slot5_IsWG=1,BK18=1),MIN(ID18,JL18),0)</f>
        <v>0</v>
      </c>
      <c r="JN18" s="1" t="n">
        <f aca="false">BL18+JM18</f>
        <v>0</v>
      </c>
      <c r="JO18" s="1" t="n">
        <f aca="false">IF(BK18=1,MAX(0,(Slot5_Cost-JN18*(1+Slot5_Rate)^(Slot5_Age-D18))/JK18),0)</f>
        <v>0</v>
      </c>
      <c r="JP18" s="1" t="n">
        <f aca="false">IF(BK18=1,MAX(0,(Slot5_Cost-BL18*(1+Slot5_Rate)^(Slot5_Age-D18))/JK18),0)</f>
        <v>0</v>
      </c>
      <c r="JQ18" s="1" t="n">
        <f aca="false">IF(AND(HT18=1,BK18=1),MIN(JJ18,JO18),0)</f>
        <v>0</v>
      </c>
      <c r="JR18" s="1" t="n">
        <f aca="false">JJ18-JQ18</f>
        <v>0</v>
      </c>
      <c r="JS18" s="1" t="n">
        <f aca="false">IF(BU18=1,IF(ABS((1+AS_Wage)/(1+Slot6_Rate)-1)&lt;0.000000000001,(Slot6_Age-D18)*(1+Slot6_Rate)^(Slot6_Age-D18),(1+Slot6_Rate)^(Slot6_Age-D18)*(1-((1+AS_Wage)/(1+Slot6_Rate))^(Slot6_Age-D18))/(1-(1+AS_Wage)/(1+Slot6_Rate))),1)</f>
        <v>1</v>
      </c>
      <c r="JT18" s="1" t="n">
        <f aca="false">IF(AND(HT18=1,ID18&gt;0,Slot6_IsWG=1,BU18=1),MAX(0,(Slot6_Cost-BV18*(1+Slot6_Rate)^(Slot6_Age-D18))/JS18),0)</f>
        <v>0</v>
      </c>
      <c r="JU18" s="1" t="n">
        <f aca="false">IF(AND(HT18=1,ID18&gt;0,Slot6_IsWG=1,BU18=1),MIN(ID18,JT18),0)</f>
        <v>0</v>
      </c>
      <c r="JV18" s="1" t="n">
        <f aca="false">BV18+JU18</f>
        <v>0</v>
      </c>
      <c r="JW18" s="1" t="n">
        <f aca="false">IF(BU18=1,MAX(0,(Slot6_Cost-JV18*(1+Slot6_Rate)^(Slot6_Age-D18))/JS18),0)</f>
        <v>0</v>
      </c>
      <c r="JX18" s="1" t="n">
        <f aca="false">IF(BU18=1,MAX(0,(Slot6_Cost-BV18*(1+Slot6_Rate)^(Slot6_Age-D18))/JS18),0)</f>
        <v>0</v>
      </c>
      <c r="JY18" s="1" t="n">
        <f aca="false">IF(AND(HT18=1,BU18=1),MIN(JR18,JW18),0)</f>
        <v>0</v>
      </c>
      <c r="JZ18" s="1" t="n">
        <f aca="false">JR18-JY18</f>
        <v>0</v>
      </c>
      <c r="KA18" s="1" t="n">
        <f aca="false">IF(CE18=1,IF(ABS((1+AS_Wage)/(1+Slot7_Rate)-1)&lt;0.000000000001,(Slot7_Age-D18)*(1+Slot7_Rate)^(Slot7_Age-D18),(1+Slot7_Rate)^(Slot7_Age-D18)*(1-((1+AS_Wage)/(1+Slot7_Rate))^(Slot7_Age-D18))/(1-(1+AS_Wage)/(1+Slot7_Rate))),1)</f>
        <v>1</v>
      </c>
      <c r="KB18" s="1" t="n">
        <f aca="false">IF(AND(HT18=1,ID18&gt;0,Slot7_IsWG=1,CE18=1),MAX(0,(Slot7_Cost-CF18*(1+Slot7_Rate)^(Slot7_Age-D18))/KA18),0)</f>
        <v>0</v>
      </c>
      <c r="KC18" s="1" t="n">
        <f aca="false">IF(AND(HT18=1,ID18&gt;0,Slot7_IsWG=1,CE18=1),MIN(ID18,KB18),0)</f>
        <v>0</v>
      </c>
      <c r="KD18" s="1" t="n">
        <f aca="false">CF18+KC18</f>
        <v>0</v>
      </c>
      <c r="KE18" s="1" t="n">
        <f aca="false">IF(CE18=1,MAX(0,(Slot7_Cost-KD18*(1+Slot7_Rate)^(Slot7_Age-D18))/KA18),0)</f>
        <v>0</v>
      </c>
      <c r="KF18" s="1" t="n">
        <f aca="false">IF(CE18=1,MAX(0,(Slot7_Cost-CF18*(1+Slot7_Rate)^(Slot7_Age-D18))/KA18),0)</f>
        <v>0</v>
      </c>
      <c r="KG18" s="1" t="n">
        <f aca="false">IF(AND(HT18=1,CE18=1),MIN(JZ18,KE18),0)</f>
        <v>0</v>
      </c>
      <c r="KH18" s="1" t="n">
        <f aca="false">JZ18-KG18</f>
        <v>0</v>
      </c>
      <c r="KI18" s="1" t="n">
        <f aca="false">IF(CO18=1,IF(ABS((1+AS_Wage)/(1+Slot8_Rate)-1)&lt;0.000000000001,(Slot8_Age-D18)*(1+Slot8_Rate)^(Slot8_Age-D18),(1+Slot8_Rate)^(Slot8_Age-D18)*(1-((1+AS_Wage)/(1+Slot8_Rate))^(Slot8_Age-D18))/(1-(1+AS_Wage)/(1+Slot8_Rate))),1)</f>
        <v>1</v>
      </c>
      <c r="KJ18" s="1" t="n">
        <f aca="false">IF(AND(HT18=1,ID18&gt;0,Slot8_IsWG=1,CO18=1),MAX(0,(Slot8_Cost-CP18*(1+Slot8_Rate)^(Slot8_Age-D18))/KI18),0)</f>
        <v>0</v>
      </c>
      <c r="KK18" s="1" t="n">
        <f aca="false">IF(AND(HT18=1,ID18&gt;0,Slot8_IsWG=1,CO18=1),MIN(ID18,KJ18),0)</f>
        <v>0</v>
      </c>
      <c r="KL18" s="1" t="n">
        <f aca="false">CP18+KK18</f>
        <v>0</v>
      </c>
      <c r="KM18" s="1" t="n">
        <f aca="false">IF(CO18=1,MAX(0,(Slot8_Cost-KL18*(1+Slot8_Rate)^(Slot8_Age-D18))/KI18),0)</f>
        <v>0</v>
      </c>
      <c r="KN18" s="1" t="n">
        <f aca="false">IF(CO18=1,MAX(0,(Slot8_Cost-CP18*(1+Slot8_Rate)^(Slot8_Age-D18))/KI18),0)</f>
        <v>0</v>
      </c>
      <c r="KO18" s="1" t="n">
        <f aca="false">IF(AND(HT18=1,CO18=1),MIN(KH18,KM18),0)</f>
        <v>0</v>
      </c>
      <c r="KP18" s="1" t="n">
        <f aca="false">KH18-KO18</f>
        <v>0</v>
      </c>
      <c r="KQ18" s="1" t="n">
        <f aca="false">IF(CY18=1,IF(ABS((1+AS_Wage)/(1+Slot9_Rate)-1)&lt;0.000000000001,(Slot9_Age-D18)*(1+Slot9_Rate)^(Slot9_Age-D18),(1+Slot9_Rate)^(Slot9_Age-D18)*(1-((1+AS_Wage)/(1+Slot9_Rate))^(Slot9_Age-D18))/(1-(1+AS_Wage)/(1+Slot9_Rate))),1)</f>
        <v>1</v>
      </c>
      <c r="KR18" s="1" t="n">
        <f aca="false">IF(AND(HT18=1,ID18&gt;0,Slot9_IsWG=1,CY18=1),MAX(0,(Slot9_Cost-CZ18*(1+Slot9_Rate)^(Slot9_Age-D18))/KQ18),0)</f>
        <v>0</v>
      </c>
      <c r="KS18" s="1" t="n">
        <f aca="false">IF(AND(HT18=1,ID18&gt;0,Slot9_IsWG=1,CY18=1),MIN(ID18,KR18),0)</f>
        <v>0</v>
      </c>
      <c r="KT18" s="1" t="n">
        <f aca="false">CZ18+KS18</f>
        <v>0</v>
      </c>
      <c r="KU18" s="1" t="n">
        <f aca="false">IF(CY18=1,MAX(0,(Slot9_Cost-KT18*(1+Slot9_Rate)^(Slot9_Age-D18))/KQ18),0)</f>
        <v>0</v>
      </c>
      <c r="KV18" s="1" t="n">
        <f aca="false">IF(CY18=1,MAX(0,(Slot9_Cost-CZ18*(1+Slot9_Rate)^(Slot9_Age-D18))/KQ18),0)</f>
        <v>0</v>
      </c>
      <c r="KW18" s="1" t="n">
        <f aca="false">IF(AND(HT18=1,CY18=1),MIN(KP18,KU18),0)</f>
        <v>0</v>
      </c>
      <c r="KX18" s="1" t="n">
        <f aca="false">KP18-KW18</f>
        <v>0</v>
      </c>
      <c r="KY18" s="1" t="n">
        <f aca="false">IF(DI18=1,IF(ABS((1+AS_Wage)/(1+Slot10_Rate)-1)&lt;0.000000000001,(Slot10_Age-D18)*(1+Slot10_Rate)^(Slot10_Age-D18),(1+Slot10_Rate)^(Slot10_Age-D18)*(1-((1+AS_Wage)/(1+Slot10_Rate))^(Slot10_Age-D18))/(1-(1+AS_Wage)/(1+Slot10_Rate))),1)</f>
        <v>1</v>
      </c>
      <c r="KZ18" s="1" t="n">
        <f aca="false">IF(AND(HT18=1,ID18&gt;0,Slot10_IsWG=1,DI18=1),MAX(0,(Slot10_Cost-DJ18*(1+Slot10_Rate)^(Slot10_Age-D18))/KY18),0)</f>
        <v>0</v>
      </c>
      <c r="LA18" s="1" t="n">
        <f aca="false">IF(AND(HT18=1,ID18&gt;0,Slot10_IsWG=1,DI18=1),MIN(ID18,KZ18),0)</f>
        <v>0</v>
      </c>
      <c r="LB18" s="1" t="n">
        <f aca="false">DJ18+LA18</f>
        <v>0</v>
      </c>
      <c r="LC18" s="1" t="n">
        <f aca="false">IF(DI18=1,MAX(0,(Slot10_Cost-LB18*(1+Slot10_Rate)^(Slot10_Age-D18))/KY18),0)</f>
        <v>0</v>
      </c>
      <c r="LD18" s="1" t="n">
        <f aca="false">IF(DI18=1,MAX(0,(Slot10_Cost-DJ18*(1+Slot10_Rate)^(Slot10_Age-D18))/KY18),0)</f>
        <v>0</v>
      </c>
      <c r="LE18" s="1" t="n">
        <f aca="false">IF(AND(HT18=1,DI18=1),MIN(KX18,LC18),0)</f>
        <v>0</v>
      </c>
      <c r="LF18" s="1" t="n">
        <f aca="false">KX18-LE18</f>
        <v>0</v>
      </c>
      <c r="LG18" s="1" t="n">
        <f aca="false">IF(DS18=1,IF(ABS((1+AS_Wage)/(1+Slot11_Rate)-1)&lt;0.000000000001,(Slot11_Age-D18)*(1+Slot11_Rate)^(Slot11_Age-D18),(1+Slot11_Rate)^(Slot11_Age-D18)*(1-((1+AS_Wage)/(1+Slot11_Rate))^(Slot11_Age-D18))/(1-(1+AS_Wage)/(1+Slot11_Rate))),1)</f>
        <v>1</v>
      </c>
      <c r="LH18" s="1" t="n">
        <f aca="false">IF(AND(HT18=1,ID18&gt;0,Slot11_IsWG=1,DS18=1),MAX(0,(Slot11_Cost-DT18*(1+Slot11_Rate)^(Slot11_Age-D18))/LG18),0)</f>
        <v>0</v>
      </c>
      <c r="LI18" s="1" t="n">
        <f aca="false">IF(AND(HT18=1,ID18&gt;0,Slot11_IsWG=1,DS18=1),MIN(ID18,LH18),0)</f>
        <v>0</v>
      </c>
      <c r="LJ18" s="1" t="n">
        <f aca="false">DT18+LI18</f>
        <v>0</v>
      </c>
      <c r="LK18" s="1" t="n">
        <f aca="false">IF(DS18=1,MAX(0,(Slot11_Cost-LJ18*(1+Slot11_Rate)^(Slot11_Age-D18))/LG18),0)</f>
        <v>0</v>
      </c>
      <c r="LL18" s="1" t="n">
        <f aca="false">IF(DS18=1,MAX(0,(Slot11_Cost-DT18*(1+Slot11_Rate)^(Slot11_Age-D18))/LG18),0)</f>
        <v>0</v>
      </c>
      <c r="LM18" s="1" t="n">
        <f aca="false">IF(AND(HT18=1,DS18=1),MIN(LF18,LK18),0)</f>
        <v>0</v>
      </c>
      <c r="LN18" s="1" t="n">
        <f aca="false">LF18-LM18</f>
        <v>0</v>
      </c>
      <c r="LO18" s="1" t="n">
        <f aca="false">IF(EC18=1,IF(ABS((1+AS_Wage)/(1+Slot12_Rate)-1)&lt;0.000000000001,(Slot12_Age-D18)*(1+Slot12_Rate)^(Slot12_Age-D18),(1+Slot12_Rate)^(Slot12_Age-D18)*(1-((1+AS_Wage)/(1+Slot12_Rate))^(Slot12_Age-D18))/(1-(1+AS_Wage)/(1+Slot12_Rate))),1)</f>
        <v>1</v>
      </c>
      <c r="LP18" s="1" t="n">
        <f aca="false">IF(AND(HT18=1,ID18&gt;0,Slot12_IsWG=1,EC18=1),MAX(0,(Slot12_Cost-ED18*(1+Slot12_Rate)^(Slot12_Age-D18))/LO18),0)</f>
        <v>0</v>
      </c>
      <c r="LQ18" s="1" t="n">
        <f aca="false">IF(AND(HT18=1,ID18&gt;0,Slot12_IsWG=1,EC18=1),MIN(ID18,LP18),0)</f>
        <v>0</v>
      </c>
      <c r="LR18" s="1" t="n">
        <f aca="false">ED18+LQ18</f>
        <v>0</v>
      </c>
      <c r="LS18" s="1" t="n">
        <f aca="false">IF(EC18=1,MAX(0,(Slot12_Cost-LR18*(1+Slot12_Rate)^(Slot12_Age-D18))/LO18),0)</f>
        <v>0</v>
      </c>
      <c r="LT18" s="1" t="n">
        <f aca="false">IF(EC18=1,MAX(0,(Slot12_Cost-ED18*(1+Slot12_Rate)^(Slot12_Age-D18))/LO18),0)</f>
        <v>0</v>
      </c>
      <c r="LU18" s="1" t="n">
        <f aca="false">IF(AND(HT18=1,EC18=1),MIN(LN18,LS18),0)</f>
        <v>0</v>
      </c>
      <c r="LV18" s="1" t="n">
        <f aca="false">LN18-LU18</f>
        <v>0</v>
      </c>
      <c r="LW18" s="1" t="n">
        <f aca="false">IF(EM18=1,IF(ABS((1+AS_Wage)/(1+Slot13_Rate)-1)&lt;0.000000000001,(Slot13_Age-D18)*(1+Slot13_Rate)^(Slot13_Age-D18),(1+Slot13_Rate)^(Slot13_Age-D18)*(1-((1+AS_Wage)/(1+Slot13_Rate))^(Slot13_Age-D18))/(1-(1+AS_Wage)/(1+Slot13_Rate))),1)</f>
        <v>1</v>
      </c>
      <c r="LX18" s="1" t="n">
        <f aca="false">IF(AND(HT18=1,ID18&gt;0,Slot13_IsWG=1,EM18=1),MAX(0,(Slot13_Cost-EN18*(1+Slot13_Rate)^(Slot13_Age-D18))/LW18),0)</f>
        <v>0</v>
      </c>
      <c r="LY18" s="1" t="n">
        <f aca="false">IF(AND(HT18=1,ID18&gt;0,Slot13_IsWG=1,EM18=1),MIN(ID18,LX18),0)</f>
        <v>0</v>
      </c>
      <c r="LZ18" s="1" t="n">
        <f aca="false">EN18+LY18</f>
        <v>0</v>
      </c>
      <c r="MA18" s="1" t="n">
        <f aca="false">IF(EM18=1,MAX(0,(Slot13_Cost-LZ18*(1+Slot13_Rate)^(Slot13_Age-D18))/LW18),0)</f>
        <v>0</v>
      </c>
      <c r="MB18" s="1" t="n">
        <f aca="false">IF(EM18=1,MAX(0,(Slot13_Cost-EN18*(1+Slot13_Rate)^(Slot13_Age-D18))/LW18),0)</f>
        <v>0</v>
      </c>
      <c r="MC18" s="1" t="n">
        <f aca="false">IF(AND(HT18=1,EM18=1),MIN(LV18,MA18),0)</f>
        <v>0</v>
      </c>
      <c r="MD18" s="1" t="n">
        <f aca="false">LV18-MC18</f>
        <v>0</v>
      </c>
      <c r="ME18" s="1" t="n">
        <f aca="false">IF(EW18=1,IF(ABS((1+AS_Wage)/(1+Slot14_Rate)-1)&lt;0.000000000001,(Slot14_Age-D18)*(1+Slot14_Rate)^(Slot14_Age-D18),(1+Slot14_Rate)^(Slot14_Age-D18)*(1-((1+AS_Wage)/(1+Slot14_Rate))^(Slot14_Age-D18))/(1-(1+AS_Wage)/(1+Slot14_Rate))),1)</f>
        <v>1</v>
      </c>
      <c r="MF18" s="1" t="n">
        <f aca="false">IF(AND(HT18=1,ID18&gt;0,Slot14_IsWG=1,EW18=1),MAX(0,(Slot14_Cost-EX18*(1+Slot14_Rate)^(Slot14_Age-D18))/ME18),0)</f>
        <v>0</v>
      </c>
      <c r="MG18" s="1" t="n">
        <f aca="false">IF(AND(HT18=1,ID18&gt;0,Slot14_IsWG=1,EW18=1),MIN(ID18,MF18),0)</f>
        <v>0</v>
      </c>
      <c r="MH18" s="1" t="n">
        <f aca="false">EX18+MG18</f>
        <v>0</v>
      </c>
      <c r="MI18" s="1" t="n">
        <f aca="false">IF(EW18=1,MAX(0,(Slot14_Cost-MH18*(1+Slot14_Rate)^(Slot14_Age-D18))/ME18),0)</f>
        <v>0</v>
      </c>
      <c r="MJ18" s="1" t="n">
        <f aca="false">IF(EW18=1,MAX(0,(Slot14_Cost-EX18*(1+Slot14_Rate)^(Slot14_Age-D18))/ME18),0)</f>
        <v>0</v>
      </c>
      <c r="MK18" s="1" t="n">
        <f aca="false">IF(AND(HT18=1,EW18=1),MIN(MD18,MI18),0)</f>
        <v>0</v>
      </c>
      <c r="ML18" s="1" t="n">
        <f aca="false">MD18-MK18</f>
        <v>0</v>
      </c>
      <c r="MM18" s="1" t="n">
        <f aca="false">IF(FG18=1,IF(ABS((1+AS_Wage)/(1+Slot15_Rate)-1)&lt;0.000000000001,(Slot15_Age-D18)*(1+Slot15_Rate)^(Slot15_Age-D18),(1+Slot15_Rate)^(Slot15_Age-D18)*(1-((1+AS_Wage)/(1+Slot15_Rate))^(Slot15_Age-D18))/(1-(1+AS_Wage)/(1+Slot15_Rate))),1)</f>
        <v>1</v>
      </c>
      <c r="MN18" s="1" t="n">
        <f aca="false">IF(AND(HT18=1,ID18&gt;0,Slot15_IsWG=1,FG18=1),MAX(0,(Slot15_Cost-FH18*(1+Slot15_Rate)^(Slot15_Age-D18))/MM18),0)</f>
        <v>0</v>
      </c>
      <c r="MO18" s="1" t="n">
        <f aca="false">IF(AND(HT18=1,ID18&gt;0,Slot15_IsWG=1,FG18=1),MIN(ID18,MN18),0)</f>
        <v>0</v>
      </c>
      <c r="MP18" s="1" t="n">
        <f aca="false">FH18+MO18</f>
        <v>0</v>
      </c>
      <c r="MQ18" s="1" t="n">
        <f aca="false">IF(FG18=1,MAX(0,(Slot15_Cost-MP18*(1+Slot15_Rate)^(Slot15_Age-D18))/MM18),0)</f>
        <v>0</v>
      </c>
      <c r="MR18" s="1" t="n">
        <f aca="false">IF(FG18=1,MAX(0,(Slot15_Cost-FH18*(1+Slot15_Rate)^(Slot15_Age-D18))/MM18),0)</f>
        <v>0</v>
      </c>
      <c r="MS18" s="1" t="n">
        <f aca="false">IF(AND(HT18=1,FG18=1),MIN(ML18,MQ18),0)</f>
        <v>0</v>
      </c>
      <c r="MT18" s="1" t="n">
        <f aca="false">ML18-MS18</f>
        <v>0</v>
      </c>
      <c r="MU18" s="1" t="n">
        <f aca="false">IF(FQ18=1,IF(ABS((1+AS_Wage)/(1+Slot16_Rate)-1)&lt;0.000000000001,(Slot16_Age-D18)*(1+Slot16_Rate)^(Slot16_Age-D18),(1+Slot16_Rate)^(Slot16_Age-D18)*(1-((1+AS_Wage)/(1+Slot16_Rate))^(Slot16_Age-D18))/(1-(1+AS_Wage)/(1+Slot16_Rate))),1)</f>
        <v>1</v>
      </c>
      <c r="MV18" s="1" t="n">
        <f aca="false">IF(AND(HT18=1,ID18&gt;0,Slot16_IsWG=1,FQ18=1),MAX(0,(Slot16_Cost-FR18*(1+Slot16_Rate)^(Slot16_Age-D18))/MU18),0)</f>
        <v>0</v>
      </c>
      <c r="MW18" s="1" t="n">
        <f aca="false">IF(AND(HT18=1,ID18&gt;0,Slot16_IsWG=1,FQ18=1),MIN(ID18,MV18),0)</f>
        <v>0</v>
      </c>
      <c r="MX18" s="1" t="n">
        <f aca="false">FR18+MW18</f>
        <v>0</v>
      </c>
      <c r="MY18" s="1" t="n">
        <f aca="false">IF(FQ18=1,MAX(0,(Slot16_Cost-MX18*(1+Slot16_Rate)^(Slot16_Age-D18))/MU18),0)</f>
        <v>0</v>
      </c>
      <c r="MZ18" s="1" t="n">
        <f aca="false">IF(FQ18=1,MAX(0,(Slot16_Cost-FR18*(1+Slot16_Rate)^(Slot16_Age-D18))/MU18),0)</f>
        <v>0</v>
      </c>
      <c r="NA18" s="1" t="n">
        <f aca="false">IF(AND(HT18=1,FQ18=1),MIN(MT18,MY18),0)</f>
        <v>0</v>
      </c>
      <c r="NB18" s="1" t="n">
        <f aca="false">MT18-NA18</f>
        <v>0</v>
      </c>
      <c r="NC18" s="1" t="n">
        <f aca="false">IF(GA18=1,IF(ABS((1+AS_Wage)/(1+Slot17_Rate)-1)&lt;0.000000000001,(Slot17_Age-D18)*(1+Slot17_Rate)^(Slot17_Age-D18),(1+Slot17_Rate)^(Slot17_Age-D18)*(1-((1+AS_Wage)/(1+Slot17_Rate))^(Slot17_Age-D18))/(1-(1+AS_Wage)/(1+Slot17_Rate))),1)</f>
        <v>1</v>
      </c>
      <c r="ND18" s="1" t="n">
        <f aca="false">IF(AND(HT18=1,ID18&gt;0,Slot17_IsWG=1,GA18=1),MAX(0,(Slot17_Cost-GB18*(1+Slot17_Rate)^(Slot17_Age-D18))/NC18),0)</f>
        <v>0</v>
      </c>
      <c r="NE18" s="1" t="n">
        <f aca="false">IF(AND(HT18=1,ID18&gt;0,Slot17_IsWG=1,GA18=1),MIN(ID18,ND18),0)</f>
        <v>0</v>
      </c>
      <c r="NF18" s="1" t="n">
        <f aca="false">GB18+NE18</f>
        <v>0</v>
      </c>
      <c r="NG18" s="1" t="n">
        <f aca="false">IF(GA18=1,MAX(0,(Slot17_Cost-NF18*(1+Slot17_Rate)^(Slot17_Age-D18))/NC18),0)</f>
        <v>0</v>
      </c>
      <c r="NH18" s="1" t="n">
        <f aca="false">IF(GA18=1,MAX(0,(Slot17_Cost-GB18*(1+Slot17_Rate)^(Slot17_Age-D18))/NC18),0)</f>
        <v>0</v>
      </c>
      <c r="NI18" s="1" t="n">
        <f aca="false">IF(AND(HT18=1,GA18=1),MIN(NB18,NG18),0)</f>
        <v>0</v>
      </c>
      <c r="NJ18" s="1" t="n">
        <f aca="false">NB18-NI18</f>
        <v>0</v>
      </c>
      <c r="NK18" s="1" t="n">
        <f aca="false">IF(GK18=1,IF(ABS((1+AS_Wage)/(1+Slot18_Rate)-1)&lt;0.000000000001,(Slot18_Age-D18)*(1+Slot18_Rate)^(Slot18_Age-D18),(1+Slot18_Rate)^(Slot18_Age-D18)*(1-((1+AS_Wage)/(1+Slot18_Rate))^(Slot18_Age-D18))/(1-(1+AS_Wage)/(1+Slot18_Rate))),1)</f>
        <v>1</v>
      </c>
      <c r="NL18" s="1" t="n">
        <f aca="false">IF(AND(HT18=1,ID18&gt;0,Slot18_IsWG=1,GK18=1),MAX(0,(Slot18_Cost-GL18*(1+Slot18_Rate)^(Slot18_Age-D18))/NK18),0)</f>
        <v>0</v>
      </c>
      <c r="NM18" s="1" t="n">
        <f aca="false">IF(AND(HT18=1,ID18&gt;0,Slot18_IsWG=1,GK18=1),MIN(ID18,NL18),0)</f>
        <v>0</v>
      </c>
      <c r="NN18" s="1" t="n">
        <f aca="false">GL18+NM18</f>
        <v>0</v>
      </c>
      <c r="NO18" s="1" t="n">
        <f aca="false">IF(GK18=1,MAX(0,(Slot18_Cost-NN18*(1+Slot18_Rate)^(Slot18_Age-D18))/NK18),0)</f>
        <v>0</v>
      </c>
      <c r="NP18" s="1" t="n">
        <f aca="false">IF(GK18=1,MAX(0,(Slot18_Cost-GL18*(1+Slot18_Rate)^(Slot18_Age-D18))/NK18),0)</f>
        <v>0</v>
      </c>
      <c r="NQ18" s="1" t="n">
        <f aca="false">IF(AND(HT18=1,GK18=1),MIN(NJ18,NO18),0)</f>
        <v>0</v>
      </c>
      <c r="NR18" s="1" t="n">
        <f aca="false">NJ18-NQ18</f>
        <v>0</v>
      </c>
      <c r="NS18" s="1" t="n">
        <f aca="false">IF(GU18=1,IF(ABS((1+AS_Wage)/(1+Slot19_Rate)-1)&lt;0.000000000001,(Slot19_Age-D18)*(1+Slot19_Rate)^(Slot19_Age-D18),(1+Slot19_Rate)^(Slot19_Age-D18)*(1-((1+AS_Wage)/(1+Slot19_Rate))^(Slot19_Age-D18))/(1-(1+AS_Wage)/(1+Slot19_Rate))),1)</f>
        <v>1</v>
      </c>
      <c r="NT18" s="1" t="n">
        <f aca="false">IF(AND(HT18=1,ID18&gt;0,Slot19_IsWG=1,GU18=1),MAX(0,(Slot19_Cost-GV18*(1+Slot19_Rate)^(Slot19_Age-D18))/NS18),0)</f>
        <v>0</v>
      </c>
      <c r="NU18" s="1" t="n">
        <f aca="false">IF(AND(HT18=1,ID18&gt;0,Slot19_IsWG=1,GU18=1),MIN(ID18,NT18),0)</f>
        <v>0</v>
      </c>
      <c r="NV18" s="1" t="n">
        <f aca="false">GV18+NU18</f>
        <v>0</v>
      </c>
      <c r="NW18" s="1" t="n">
        <f aca="false">IF(GU18=1,MAX(0,(Slot19_Cost-NV18*(1+Slot19_Rate)^(Slot19_Age-D18))/NS18),0)</f>
        <v>0</v>
      </c>
      <c r="NX18" s="1" t="n">
        <f aca="false">IF(GU18=1,MAX(0,(Slot19_Cost-GV18*(1+Slot19_Rate)^(Slot19_Age-D18))/NS18),0)</f>
        <v>0</v>
      </c>
      <c r="NY18" s="1" t="n">
        <f aca="false">IF(AND(HT18=1,GU18=1),MIN(NR18,NW18),0)</f>
        <v>0</v>
      </c>
      <c r="NZ18" s="1" t="n">
        <f aca="false">NR18-NY18</f>
        <v>0</v>
      </c>
      <c r="OA18" s="1" t="n">
        <f aca="false">IF(HE18=1,IF(ABS((1+AS_Wage)/(1+Slot20_Rate)-1)&lt;0.000000000001,(Slot20_Age-D18)*(1+Slot20_Rate)^(Slot20_Age-D18),(1+Slot20_Rate)^(Slot20_Age-D18)*(1-((1+AS_Wage)/(1+Slot20_Rate))^(Slot20_Age-D18))/(1-(1+AS_Wage)/(1+Slot20_Rate))),1)</f>
        <v>1</v>
      </c>
      <c r="OB18" s="1" t="n">
        <f aca="false">IF(AND(HT18=1,ID18&gt;0,Slot20_IsWG=1,HE18=1),MAX(0,(Slot20_Cost-HF18*(1+Slot20_Rate)^(Slot20_Age-D18))/OA18),0)</f>
        <v>0</v>
      </c>
      <c r="OC18" s="1" t="n">
        <f aca="false">IF(AND(HT18=1,ID18&gt;0,Slot20_IsWG=1,HE18=1),MIN(ID18,OB18),0)</f>
        <v>0</v>
      </c>
      <c r="OD18" s="1" t="n">
        <f aca="false">HF18+OC18</f>
        <v>0</v>
      </c>
      <c r="OE18" s="1" t="n">
        <f aca="false">IF(HE18=1,MAX(0,(Slot20_Cost-OD18*(1+Slot20_Rate)^(Slot20_Age-D18))/OA18),0)</f>
        <v>0</v>
      </c>
      <c r="OF18" s="1" t="n">
        <f aca="false">IF(HE18=1,MAX(0,(Slot20_Cost-HF18*(1+Slot20_Rate)^(Slot20_Age-D18))/OA18),0)</f>
        <v>0</v>
      </c>
      <c r="OG18" s="1" t="n">
        <f aca="false">IF(AND(HT18=1,HE18=1),MIN(NZ18,OE18),0)</f>
        <v>0</v>
      </c>
      <c r="OH18" s="1" t="n">
        <f aca="false">NZ18-OG18</f>
        <v>0</v>
      </c>
      <c r="OI18" s="1" t="n">
        <f aca="false">ID18-(IG18+IO18+IW18+JE18+JM18+JU18+KC18+KK18+KS18+LA18+LI18+LQ18+LY18+MG18+MO18+MW18+NE18+NM18+NU18+OC18)</f>
        <v>0</v>
      </c>
      <c r="OJ18" s="1" t="n">
        <f aca="false">IF(HT18=1,HR18-IC18-ID18,0)</f>
        <v>0</v>
      </c>
      <c r="OK18" s="1" t="n">
        <f aca="false">IF(HT18=0,-HR18,0)</f>
        <v>0</v>
      </c>
      <c r="OL18" s="1" t="n">
        <f aca="false">MIN(OK18,HJ18)</f>
        <v>0</v>
      </c>
      <c r="OM18" s="1" t="n">
        <f aca="false">OK18-OL18</f>
        <v>0</v>
      </c>
      <c r="ON18" s="1" t="n">
        <f aca="false">MIN(OM18,HK18)</f>
        <v>0</v>
      </c>
      <c r="OO18" s="1" t="n">
        <f aca="false">OM18-ON18</f>
        <v>0</v>
      </c>
      <c r="OP18" s="1" t="n">
        <f aca="false">IF(AND(HT18=0,HE18=1,OO18&gt;0),MIN(OO18,HF18),0)</f>
        <v>0</v>
      </c>
      <c r="OQ18" s="1" t="n">
        <f aca="false">OO18-OP18</f>
        <v>0</v>
      </c>
      <c r="OR18" s="1" t="n">
        <f aca="false">IF(AND(HT18=0,GU18=1,OQ18&gt;0),MIN(OQ18,GV18),0)</f>
        <v>0</v>
      </c>
      <c r="OS18" s="1" t="n">
        <f aca="false">OQ18-OR18</f>
        <v>0</v>
      </c>
      <c r="OT18" s="1" t="n">
        <f aca="false">IF(AND(HT18=0,GK18=1,OS18&gt;0),MIN(OS18,GL18),0)</f>
        <v>0</v>
      </c>
      <c r="OU18" s="1" t="n">
        <f aca="false">OS18-OT18</f>
        <v>0</v>
      </c>
      <c r="OV18" s="1" t="n">
        <f aca="false">IF(AND(HT18=0,GA18=1,OU18&gt;0),MIN(OU18,GB18),0)</f>
        <v>0</v>
      </c>
      <c r="OW18" s="1" t="n">
        <f aca="false">OU18-OV18</f>
        <v>0</v>
      </c>
      <c r="OX18" s="1" t="n">
        <f aca="false">IF(AND(HT18=0,FQ18=1,OW18&gt;0),MIN(OW18,FR18),0)</f>
        <v>0</v>
      </c>
      <c r="OY18" s="1" t="n">
        <f aca="false">OW18-OX18</f>
        <v>0</v>
      </c>
      <c r="OZ18" s="1" t="n">
        <f aca="false">IF(AND(HT18=0,FG18=1,OY18&gt;0),MIN(OY18,FH18),0)</f>
        <v>0</v>
      </c>
      <c r="PA18" s="1" t="n">
        <f aca="false">OY18-OZ18</f>
        <v>0</v>
      </c>
      <c r="PB18" s="1" t="n">
        <f aca="false">IF(AND(HT18=0,EW18=1,PA18&gt;0),MIN(PA18,EX18),0)</f>
        <v>0</v>
      </c>
      <c r="PC18" s="1" t="n">
        <f aca="false">PA18-PB18</f>
        <v>0</v>
      </c>
      <c r="PD18" s="1" t="n">
        <f aca="false">IF(AND(HT18=0,EM18=1,PC18&gt;0),MIN(PC18,EN18),0)</f>
        <v>0</v>
      </c>
      <c r="PE18" s="1" t="n">
        <f aca="false">PC18-PD18</f>
        <v>0</v>
      </c>
      <c r="PF18" s="1" t="n">
        <f aca="false">IF(AND(HT18=0,EC18=1,PE18&gt;0),MIN(PE18,ED18),0)</f>
        <v>0</v>
      </c>
      <c r="PG18" s="1" t="n">
        <f aca="false">PE18-PF18</f>
        <v>0</v>
      </c>
      <c r="PH18" s="1" t="n">
        <f aca="false">IF(AND(HT18=0,DS18=1,PG18&gt;0),MIN(PG18,DT18),0)</f>
        <v>0</v>
      </c>
      <c r="PI18" s="1" t="n">
        <f aca="false">PG18-PH18</f>
        <v>0</v>
      </c>
      <c r="PJ18" s="1" t="n">
        <f aca="false">IF(AND(HT18=0,DI18=1,PI18&gt;0),MIN(PI18,DJ18),0)</f>
        <v>0</v>
      </c>
      <c r="PK18" s="1" t="n">
        <f aca="false">PI18-PJ18</f>
        <v>0</v>
      </c>
      <c r="PL18" s="1" t="n">
        <f aca="false">IF(AND(HT18=0,CY18=1,PK18&gt;0),MIN(PK18,CZ18),0)</f>
        <v>0</v>
      </c>
      <c r="PM18" s="1" t="n">
        <f aca="false">PK18-PL18</f>
        <v>0</v>
      </c>
      <c r="PN18" s="1" t="n">
        <f aca="false">IF(AND(HT18=0,CO18=1,PM18&gt;0),MIN(PM18,CP18),0)</f>
        <v>0</v>
      </c>
      <c r="PO18" s="1" t="n">
        <f aca="false">PM18-PN18</f>
        <v>0</v>
      </c>
      <c r="PP18" s="1" t="n">
        <f aca="false">IF(AND(HT18=0,CE18=1,PO18&gt;0),MIN(PO18,CF18),0)</f>
        <v>0</v>
      </c>
      <c r="PQ18" s="1" t="n">
        <f aca="false">PO18-PP18</f>
        <v>0</v>
      </c>
      <c r="PR18" s="1" t="n">
        <f aca="false">IF(AND(HT18=0,BU18=1,PQ18&gt;0),MIN(PQ18,BV18),0)</f>
        <v>0</v>
      </c>
      <c r="PS18" s="1" t="n">
        <f aca="false">PQ18-PR18</f>
        <v>0</v>
      </c>
      <c r="PT18" s="1" t="n">
        <f aca="false">IF(AND(HT18=0,BK18=1,PS18&gt;0),MIN(PS18,BL18),0)</f>
        <v>0</v>
      </c>
      <c r="PU18" s="1" t="n">
        <f aca="false">PS18-PT18</f>
        <v>0</v>
      </c>
      <c r="PV18" s="1" t="n">
        <f aca="false">IF(AND(HT18=0,BA18=1,PU18&gt;0),MIN(PU18,BB18),0)</f>
        <v>0</v>
      </c>
      <c r="PW18" s="1" t="n">
        <f aca="false">PU18-PV18</f>
        <v>0</v>
      </c>
      <c r="PX18" s="1" t="n">
        <f aca="false">IF(AND(HT18=0,AQ18=1,PW18&gt;0),MIN(PW18,AR18),0)</f>
        <v>0</v>
      </c>
      <c r="PY18" s="1" t="n">
        <f aca="false">PW18-PX18</f>
        <v>0</v>
      </c>
      <c r="PZ18" s="1" t="n">
        <f aca="false">IF(AND(HT18=0,AG18=1,PY18&gt;0),MIN(PY18,AH18),0)</f>
        <v>0</v>
      </c>
      <c r="QA18" s="1" t="n">
        <f aca="false">PY18-PZ18</f>
        <v>0</v>
      </c>
      <c r="QB18" s="1" t="n">
        <f aca="false">IF(AND(HT18=0,V18=1,QA18&gt;0),MIN(QA18,W18),0)</f>
        <v>0</v>
      </c>
      <c r="QC18" s="1" t="n">
        <f aca="false">QA18-QB18</f>
        <v>0</v>
      </c>
      <c r="QD18" s="1" t="n">
        <f aca="false">IF(HT18=0,QC18,0)</f>
        <v>0</v>
      </c>
      <c r="QE18" s="1" t="n">
        <f aca="false">OL18+ON18+QB18+PZ18+PX18+PV18+PT18+PR18+PP18+PN18+PL18+PJ18+PH18+PF18+PD18+PB18+OZ18+OX18+OV18+OT18+OR18+OP18</f>
        <v>0</v>
      </c>
      <c r="QF18" s="1" t="n">
        <f aca="false">IF(HT18=1,HJ18+OI18+OH18+IF(F18=1,0,OJ18),HJ18-OL18)</f>
        <v>0</v>
      </c>
      <c r="QG18" s="1" t="n">
        <f aca="false">HK18-ON18</f>
        <v>0</v>
      </c>
      <c r="QH18" s="1" t="n">
        <f aca="false">IF(HT18=1,IF(F18=1,IC18+ID18,HR18),0)</f>
        <v>0</v>
      </c>
      <c r="QI18" s="1" t="n">
        <f aca="false">IF(HT18=1,IF(F18=1,HR18-IC18-ID18,0),0)</f>
        <v>0</v>
      </c>
      <c r="QJ18" s="1" t="n">
        <f aca="false">QF18*(1+GR)</f>
        <v>0</v>
      </c>
      <c r="QK18" s="1" t="n">
        <f aca="false">QG18*(1+AS_Cash)</f>
        <v>0</v>
      </c>
      <c r="QL18" s="1" t="n">
        <f aca="false">IF(V18=1,IF(HT18=1,IH18+IK18,W18-QB18)*(1+Slot1_Rate),0)</f>
        <v>0</v>
      </c>
      <c r="QM18" s="1" t="n">
        <f aca="false">IF(AND(HT18=1,V18=1),(IG18+IK18)/E18,0)</f>
        <v>0</v>
      </c>
      <c r="QN18" s="1" t="n">
        <f aca="false">IF(B18=0,IG18+IK18,0)</f>
        <v>0</v>
      </c>
      <c r="QO18" s="1" t="n">
        <f aca="false">IF(B18=0,IF(HT18=1,II18,IJ18),0)</f>
        <v>0</v>
      </c>
      <c r="QP18" s="1" t="n">
        <f aca="false">IF(AG18=1,IF(HT18=1,IP18+IS18,AH18-PZ18)*(1+Slot2_Rate),0)</f>
        <v>0</v>
      </c>
      <c r="QQ18" s="1" t="n">
        <f aca="false">IF(AND(HT18=1,AG18=1),(IO18+IS18)/E18,0)</f>
        <v>0</v>
      </c>
      <c r="QR18" s="1" t="n">
        <f aca="false">IF(B18=0,IO18+IS18,0)</f>
        <v>0</v>
      </c>
      <c r="QS18" s="1" t="n">
        <f aca="false">IF(B18=0,IF(HT18=1,IQ18,IR18),0)</f>
        <v>0</v>
      </c>
      <c r="QT18" s="1" t="n">
        <f aca="false">IF(AQ18=1,IF(HT18=1,IX18+JA18,AR18-PX18)*(1+Slot3_Rate),0)</f>
        <v>0</v>
      </c>
      <c r="QU18" s="1" t="n">
        <f aca="false">IF(AND(HT18=1,AQ18=1),(IW18+JA18)/E18,0)</f>
        <v>0</v>
      </c>
      <c r="QV18" s="1" t="n">
        <f aca="false">IF(B18=0,IW18+JA18,0)</f>
        <v>0</v>
      </c>
      <c r="QW18" s="1" t="n">
        <f aca="false">IF(B18=0,IF(HT18=1,IY18,IZ18),0)</f>
        <v>0</v>
      </c>
      <c r="QX18" s="1" t="n">
        <f aca="false">IF(BA18=1,IF(HT18=1,JF18+JI18,BB18-PV18)*(1+Slot4_Rate),0)</f>
        <v>0</v>
      </c>
      <c r="QY18" s="1" t="n">
        <f aca="false">IF(AND(HT18=1,BA18=1),(JE18+JI18)/E18,0)</f>
        <v>0</v>
      </c>
      <c r="QZ18" s="1" t="n">
        <f aca="false">IF(B18=0,JE18+JI18,0)</f>
        <v>0</v>
      </c>
      <c r="RA18" s="1" t="n">
        <f aca="false">IF(B18=0,IF(HT18=1,JG18,JH18),0)</f>
        <v>0</v>
      </c>
      <c r="RB18" s="1" t="n">
        <f aca="false">IF(BK18=1,IF(HT18=1,JN18+JQ18,BL18-PT18)*(1+Slot5_Rate),0)</f>
        <v>0</v>
      </c>
      <c r="RC18" s="1" t="n">
        <f aca="false">IF(AND(HT18=1,BK18=1),(JM18+JQ18)/E18,0)</f>
        <v>0</v>
      </c>
      <c r="RD18" s="1" t="n">
        <f aca="false">IF(B18=0,JM18+JQ18,0)</f>
        <v>0</v>
      </c>
      <c r="RE18" s="1" t="n">
        <f aca="false">IF(B18=0,IF(HT18=1,JO18,JP18),0)</f>
        <v>0</v>
      </c>
      <c r="RF18" s="1" t="n">
        <f aca="false">IF(BU18=1,IF(HT18=1,JV18+JY18,BV18-PR18)*(1+Slot6_Rate),0)</f>
        <v>0</v>
      </c>
      <c r="RG18" s="1" t="n">
        <f aca="false">IF(AND(HT18=1,BU18=1),(JU18+JY18)/E18,0)</f>
        <v>0</v>
      </c>
      <c r="RH18" s="1" t="n">
        <f aca="false">IF(B18=0,JU18+JY18,0)</f>
        <v>0</v>
      </c>
      <c r="RI18" s="1" t="n">
        <f aca="false">IF(B18=0,IF(HT18=1,JW18,JX18),0)</f>
        <v>0</v>
      </c>
      <c r="RJ18" s="1" t="n">
        <f aca="false">IF(CE18=1,IF(HT18=1,KD18+KG18,CF18-PP18)*(1+Slot7_Rate),0)</f>
        <v>0</v>
      </c>
      <c r="RK18" s="1" t="n">
        <f aca="false">IF(AND(HT18=1,CE18=1),(KC18+KG18)/E18,0)</f>
        <v>0</v>
      </c>
      <c r="RL18" s="1" t="n">
        <f aca="false">IF(B18=0,KC18+KG18,0)</f>
        <v>0</v>
      </c>
      <c r="RM18" s="1" t="n">
        <f aca="false">IF(B18=0,IF(HT18=1,KE18,KF18),0)</f>
        <v>0</v>
      </c>
      <c r="RN18" s="1" t="n">
        <f aca="false">IF(CO18=1,IF(HT18=1,KL18+KO18,CP18-PN18)*(1+Slot8_Rate),0)</f>
        <v>0</v>
      </c>
      <c r="RO18" s="1" t="n">
        <f aca="false">IF(AND(HT18=1,CO18=1),(KK18+KO18)/E18,0)</f>
        <v>0</v>
      </c>
      <c r="RP18" s="1" t="n">
        <f aca="false">IF(B18=0,KK18+KO18,0)</f>
        <v>0</v>
      </c>
      <c r="RQ18" s="1" t="n">
        <f aca="false">IF(B18=0,IF(HT18=1,KM18,KN18),0)</f>
        <v>0</v>
      </c>
      <c r="RR18" s="1" t="n">
        <f aca="false">IF(CY18=1,IF(HT18=1,KT18+KW18,CZ18-PL18)*(1+Slot9_Rate),0)</f>
        <v>0</v>
      </c>
      <c r="RS18" s="1" t="n">
        <f aca="false">IF(AND(HT18=1,CY18=1),(KS18+KW18)/E18,0)</f>
        <v>0</v>
      </c>
      <c r="RT18" s="1" t="n">
        <f aca="false">IF(B18=0,KS18+KW18,0)</f>
        <v>0</v>
      </c>
      <c r="RU18" s="1" t="n">
        <f aca="false">IF(B18=0,IF(HT18=1,KU18,KV18),0)</f>
        <v>0</v>
      </c>
      <c r="RV18" s="1" t="n">
        <f aca="false">IF(DI18=1,IF(HT18=1,LB18+LE18,DJ18-PJ18)*(1+Slot10_Rate),0)</f>
        <v>0</v>
      </c>
      <c r="RW18" s="1" t="n">
        <f aca="false">IF(AND(HT18=1,DI18=1),(LA18+LE18)/E18,0)</f>
        <v>0</v>
      </c>
      <c r="RX18" s="1" t="n">
        <f aca="false">IF(B18=0,LA18+LE18,0)</f>
        <v>0</v>
      </c>
      <c r="RY18" s="1" t="n">
        <f aca="false">IF(B18=0,IF(HT18=1,LC18,LD18),0)</f>
        <v>0</v>
      </c>
      <c r="RZ18" s="1" t="n">
        <f aca="false">IF(DS18=1,IF(HT18=1,LJ18+LM18,DT18-PH18)*(1+Slot11_Rate),0)</f>
        <v>0</v>
      </c>
      <c r="SA18" s="1" t="n">
        <f aca="false">IF(AND(HT18=1,DS18=1),(LI18+LM18)/E18,0)</f>
        <v>0</v>
      </c>
      <c r="SB18" s="1" t="n">
        <f aca="false">IF(B18=0,LI18+LM18,0)</f>
        <v>0</v>
      </c>
      <c r="SC18" s="1" t="n">
        <f aca="false">IF(B18=0,IF(HT18=1,LK18,LL18),0)</f>
        <v>0</v>
      </c>
      <c r="SD18" s="1" t="n">
        <f aca="false">IF(EC18=1,IF(HT18=1,LR18+LU18,ED18-PF18)*(1+Slot12_Rate),0)</f>
        <v>0</v>
      </c>
      <c r="SE18" s="1" t="n">
        <f aca="false">IF(AND(HT18=1,EC18=1),(LQ18+LU18)/E18,0)</f>
        <v>0</v>
      </c>
      <c r="SF18" s="1" t="n">
        <f aca="false">IF(B18=0,LQ18+LU18,0)</f>
        <v>0</v>
      </c>
      <c r="SG18" s="1" t="n">
        <f aca="false">IF(B18=0,IF(HT18=1,LS18,LT18),0)</f>
        <v>0</v>
      </c>
      <c r="SH18" s="1" t="n">
        <f aca="false">IF(EM18=1,IF(HT18=1,LZ18+MC18,EN18-PD18)*(1+Slot13_Rate),0)</f>
        <v>0</v>
      </c>
      <c r="SI18" s="1" t="n">
        <f aca="false">IF(AND(HT18=1,EM18=1),(LY18+MC18)/E18,0)</f>
        <v>0</v>
      </c>
      <c r="SJ18" s="1" t="n">
        <f aca="false">IF(B18=0,LY18+MC18,0)</f>
        <v>0</v>
      </c>
      <c r="SK18" s="1" t="n">
        <f aca="false">IF(B18=0,IF(HT18=1,MA18,MB18),0)</f>
        <v>0</v>
      </c>
      <c r="SL18" s="1" t="n">
        <f aca="false">IF(EW18=1,IF(HT18=1,MH18+MK18,EX18-PB18)*(1+Slot14_Rate),0)</f>
        <v>0</v>
      </c>
      <c r="SM18" s="1" t="n">
        <f aca="false">IF(AND(HT18=1,EW18=1),(MG18+MK18)/E18,0)</f>
        <v>0</v>
      </c>
      <c r="SN18" s="1" t="n">
        <f aca="false">IF(B18=0,MG18+MK18,0)</f>
        <v>0</v>
      </c>
      <c r="SO18" s="1" t="n">
        <f aca="false">IF(B18=0,IF(HT18=1,MI18,MJ18),0)</f>
        <v>0</v>
      </c>
      <c r="SP18" s="1" t="n">
        <f aca="false">IF(FG18=1,IF(HT18=1,MP18+MS18,FH18-OZ18)*(1+Slot15_Rate),0)</f>
        <v>0</v>
      </c>
      <c r="SQ18" s="1" t="n">
        <f aca="false">IF(AND(HT18=1,FG18=1),(MO18+MS18)/E18,0)</f>
        <v>0</v>
      </c>
      <c r="SR18" s="1" t="n">
        <f aca="false">IF(B18=0,MO18+MS18,0)</f>
        <v>0</v>
      </c>
      <c r="SS18" s="1" t="n">
        <f aca="false">IF(B18=0,IF(HT18=1,MQ18,MR18),0)</f>
        <v>0</v>
      </c>
      <c r="ST18" s="1" t="n">
        <f aca="false">IF(FQ18=1,IF(HT18=1,MX18+NA18,FR18-OX18)*(1+Slot16_Rate),0)</f>
        <v>0</v>
      </c>
      <c r="SU18" s="1" t="n">
        <f aca="false">IF(AND(HT18=1,FQ18=1),(MW18+NA18)/E18,0)</f>
        <v>0</v>
      </c>
      <c r="SV18" s="1" t="n">
        <f aca="false">IF(B18=0,MW18+NA18,0)</f>
        <v>0</v>
      </c>
      <c r="SW18" s="1" t="n">
        <f aca="false">IF(B18=0,IF(HT18=1,MY18,MZ18),0)</f>
        <v>0</v>
      </c>
      <c r="SX18" s="1" t="n">
        <f aca="false">IF(GA18=1,IF(HT18=1,NF18+NI18,GB18-OV18)*(1+Slot17_Rate),0)</f>
        <v>0</v>
      </c>
      <c r="SY18" s="1" t="n">
        <f aca="false">IF(AND(HT18=1,GA18=1),(NE18+NI18)/E18,0)</f>
        <v>0</v>
      </c>
      <c r="SZ18" s="1" t="n">
        <f aca="false">IF(B18=0,NE18+NI18,0)</f>
        <v>0</v>
      </c>
      <c r="TA18" s="1" t="n">
        <f aca="false">IF(B18=0,IF(HT18=1,NG18,NH18),0)</f>
        <v>0</v>
      </c>
      <c r="TB18" s="1" t="n">
        <f aca="false">IF(GK18=1,IF(HT18=1,NN18+NQ18,GL18-OT18)*(1+Slot18_Rate),0)</f>
        <v>0</v>
      </c>
      <c r="TC18" s="1" t="n">
        <f aca="false">IF(AND(HT18=1,GK18=1),(NM18+NQ18)/E18,0)</f>
        <v>0</v>
      </c>
      <c r="TD18" s="1" t="n">
        <f aca="false">IF(B18=0,NM18+NQ18,0)</f>
        <v>0</v>
      </c>
      <c r="TE18" s="1" t="n">
        <f aca="false">IF(B18=0,IF(HT18=1,NO18,NP18),0)</f>
        <v>0</v>
      </c>
      <c r="TF18" s="1" t="n">
        <f aca="false">IF(GU18=1,IF(HT18=1,NV18+NY18,GV18-OR18)*(1+Slot19_Rate),0)</f>
        <v>0</v>
      </c>
      <c r="TG18" s="1" t="n">
        <f aca="false">IF(AND(HT18=1,GU18=1),(NU18+NY18)/E18,0)</f>
        <v>0</v>
      </c>
      <c r="TH18" s="1" t="n">
        <f aca="false">IF(B18=0,NU18+NY18,0)</f>
        <v>0</v>
      </c>
      <c r="TI18" s="1" t="n">
        <f aca="false">IF(B18=0,IF(HT18=1,NW18,NX18),0)</f>
        <v>0</v>
      </c>
      <c r="TJ18" s="1" t="n">
        <f aca="false">IF(HE18=1,IF(HT18=1,OD18+OG18,HF18-OP18)*(1+Slot20_Rate),0)</f>
        <v>0</v>
      </c>
      <c r="TK18" s="1" t="n">
        <f aca="false">IF(AND(HT18=1,HE18=1),(OC18+OG18)/E18,0)</f>
        <v>0</v>
      </c>
      <c r="TL18" s="1" t="n">
        <f aca="false">IF(B18=0,OC18+OG18,0)</f>
        <v>0</v>
      </c>
      <c r="TM18" s="1" t="n">
        <f aca="false">IF(B18=0,IF(HT18=1,OE18,OF18),0)</f>
        <v>0</v>
      </c>
      <c r="TN18" s="1" t="n">
        <f aca="false">QJ18+QK18+QL18+QP18+QT18+QX18+RB18+RF18+RJ18+RN18+RR18+RV18+RZ18+SD18+SH18+SL18+SP18+ST18+SX18+TB18+TF18+TJ18</f>
        <v>0</v>
      </c>
      <c r="TO18" s="1" t="n">
        <f aca="false">QD18+HO18</f>
        <v>0</v>
      </c>
      <c r="TP18" s="1" t="n">
        <f aca="false">H18+R18</f>
        <v>0</v>
      </c>
      <c r="TQ18" s="1" t="n">
        <f aca="false">1-F18</f>
        <v>0</v>
      </c>
      <c r="TR18" s="1" t="n">
        <f aca="false">IF(AND(RG_Exists=1,F18=0,C18=1),H18,0)</f>
        <v>0</v>
      </c>
      <c r="TS18" s="1" t="n">
        <f aca="false">IF(AND(RG_Exists=1,F18=0,C18=1),H18-MIN(QD18,H18),0)</f>
        <v>0</v>
      </c>
      <c r="TT18" s="1" t="n">
        <f aca="false">'Plan pay &amp; tax'!AD244</f>
        <v>0</v>
      </c>
      <c r="TU18" s="1" t="n">
        <f aca="false">IF(AND(C18=1,QD18&gt;MAX(PR_Short1,TP18*PR_Short2)),1,0)</f>
        <v>0</v>
      </c>
      <c r="TV18" s="1" t="n">
        <f aca="false">MIN(G18,H18+R18)</f>
        <v>0</v>
      </c>
      <c r="TW18" s="1" t="n">
        <f aca="false">QE18+MAX(0,HP18-HO18)</f>
        <v>0</v>
      </c>
      <c r="TX18" s="1" t="n">
        <f aca="false">QD18+HO18</f>
        <v>0</v>
      </c>
      <c r="TY18" s="1" t="n">
        <f aca="false">IF(AND(C18=1,TX18&gt;PR_MinShort),1,0)</f>
        <v>0</v>
      </c>
      <c r="TZ18" s="1" t="n">
        <f aca="false">IF(AND(C18=1,TY18=0,TW18&gt;PR_MinShort),1,0)</f>
        <v>0</v>
      </c>
      <c r="UA18" s="1" t="n">
        <f aca="false">IF(AND(C18=1,QD18&gt;PR_MinShort),1,0)</f>
        <v>0</v>
      </c>
      <c r="UB18" s="1" t="n">
        <f aca="false">IF(AND(C18=1,QE18&gt;1,UI18=0),1,0)</f>
        <v>0</v>
      </c>
      <c r="UC18" s="1" t="str">
        <f aca="false">IF(C18=0,"",IF(UI18=1,"Gap to plan for: short "&amp;"€"&amp;TEXT(ROUND(TO18,0),"#,##0"),IF(QE18&gt;1,"Using savings","Comfortable")))</f>
        <v>Comfortable</v>
      </c>
      <c r="UD18" s="1" t="n">
        <f aca="false">IF(AND(INT(D18/10)*10=90,B18&gt;0),80,INT(D18/10)*10)</f>
        <v>10</v>
      </c>
      <c r="UE18" s="1" t="n">
        <f aca="false">IF(B18=0,1,IF(UD18&lt;&gt;UD17,UE17+1,UE17))</f>
        <v>2</v>
      </c>
      <c r="UF18" s="1" t="n">
        <f aca="false">IF(AND(C18=1,F18=1,QD18&gt;MAX(PR_Short1,TP18*PR_Short2)),1,0)</f>
        <v>0</v>
      </c>
      <c r="UG18" s="1" t="n">
        <f aca="false">TQ18*TU18</f>
        <v>0</v>
      </c>
      <c r="UH18" s="1" t="n">
        <f aca="false">IF(AND(U18=1,Slot1_PctLow=1),1,0)+IF(AND(AF18=1,Slot2_PctLow=1),1,0)+IF(AND(AP18=1,Slot3_PctLow=1),1,0)+IF(AND(AZ18=1,Slot4_PctLow=1),1,0)+IF(AND(BJ18=1,Slot5_PctLow=1),1,0)+IF(AND(BT18=1,Slot6_PctLow=1),1,0)+IF(AND(CD18=1,Slot7_PctLow=1),1,0)+IF(AND(CN18=1,Slot8_PctLow=1),1,0)+IF(AND(CX18=1,Slot9_PctLow=1),1,0)+IF(AND(DH18=1,Slot10_PctLow=1),1,0)+IF(AND(DR18=1,Slot11_PctLow=1),1,0)+IF(AND(EB18=1,Slot12_PctLow=1),1,0)+IF(AND(EL18=1,Slot13_PctLow=1),1,0)+IF(AND(EV18=1,Slot14_PctLow=1),1,0)+IF(AND(FF18=1,Slot15_PctLow=1),1,0)+IF(AND(FP18=1,Slot16_PctLow=1),1,0)+IF(AND(FZ18=1,Slot17_PctLow=1),1,0)+IF(AND(GJ18=1,Slot18_PctLow=1),1,0)+IF(AND(GT18=1,Slot19_PctLow=1),1,0)+IF(AND(HD18=1,Slot20_PctLow=1),1,0)</f>
        <v>0</v>
      </c>
      <c r="UI18" s="1" t="n">
        <f aca="false">IF(C18=1,IF(OR(TU18=1,UH18&gt;0),1,0),0)</f>
        <v>0</v>
      </c>
    </row>
    <row r="19" customFormat="false" ht="15" hidden="false" customHeight="true" outlineLevel="0" collapsed="false">
      <c r="B19" s="1" t="n">
        <v>11</v>
      </c>
      <c r="C19" s="1" t="n">
        <f aca="false">IF(B19&lt;=F_N,1,0)</f>
        <v>1</v>
      </c>
      <c r="D19" s="1" t="n">
        <f aca="false">'Plan pay &amp; tax'!C245</f>
        <v>11</v>
      </c>
      <c r="E19" s="111" t="n">
        <f aca="false">'Plan pay &amp; tax'!E245</f>
        <v>1.24337430839465</v>
      </c>
      <c r="F19" s="1" t="n">
        <f aca="false">'Plan pay &amp; tax'!G245</f>
        <v>1</v>
      </c>
      <c r="G19" s="1" t="n">
        <f aca="false">'Plan pay &amp; tax'!BT245-'Plan pay &amp; tax'!BS245-'Plan pay &amp; tax'!R245</f>
        <v>0</v>
      </c>
      <c r="H19" s="1" t="n">
        <f aca="false">IF(F19=1,F_CostsM*12,IF(RG_Exists=1,RG_Amount,F_CostsM*12*AS_RetireSpend))*E19+F_OneOffY*E19</f>
        <v>0</v>
      </c>
      <c r="I19" s="1" t="n">
        <f aca="false">HQ18</f>
        <v>0</v>
      </c>
      <c r="J19" s="1" t="n">
        <f aca="false">IF(I19&gt;1,'Plan debt months'!AC19,0)</f>
        <v>0</v>
      </c>
      <c r="K19" s="1" t="n">
        <f aca="false">IF(I19&gt;1,'Plan debt months'!AB19,I19)</f>
        <v>0</v>
      </c>
      <c r="L19" s="1" t="n">
        <f aca="false">N18</f>
        <v>0</v>
      </c>
      <c r="M19" s="1" t="n">
        <f aca="false">IF(L19&gt;1,'Plan debt months'!BD19,0)</f>
        <v>0</v>
      </c>
      <c r="N19" s="1" t="n">
        <f aca="false">IF(L19&gt;1,'Plan debt months'!BC19,L19)</f>
        <v>0</v>
      </c>
      <c r="O19" s="1" t="n">
        <f aca="false">Q18</f>
        <v>0</v>
      </c>
      <c r="P19" s="1" t="n">
        <f aca="false">IF(O19&gt;1,'Plan debt months'!CE19,0)</f>
        <v>0</v>
      </c>
      <c r="Q19" s="1" t="n">
        <f aca="false">IF(O19&gt;1,'Plan debt months'!CD19,O19)</f>
        <v>0</v>
      </c>
      <c r="R19" s="1" t="n">
        <f aca="false">J19+M19+P19</f>
        <v>0</v>
      </c>
      <c r="S19" s="1" t="n">
        <f aca="false">QJ18+'Plan pay &amp; tax'!Y245</f>
        <v>0</v>
      </c>
      <c r="T19" s="1" t="n">
        <f aca="false">QJ18</f>
        <v>0</v>
      </c>
      <c r="U19" s="1" t="n">
        <f aca="false">IF(AND(Slot1_On=1,D19=Slot1_Age),1,0)</f>
        <v>0</v>
      </c>
      <c r="V19" s="1" t="n">
        <f aca="false">IF(AND(Slot1_On=1,Slot1_Age&gt;D19),1,0)</f>
        <v>0</v>
      </c>
      <c r="W19" s="1" t="n">
        <f aca="false">QL18</f>
        <v>0</v>
      </c>
      <c r="X19" s="1" t="n">
        <f aca="false">U19*MIN(Slot1_Cost,W19)</f>
        <v>0</v>
      </c>
      <c r="Y19" s="1" t="n">
        <f aca="false">U19*Slot1_SpendLike*MIN(Slot1_Cost-X19,S19)</f>
        <v>0</v>
      </c>
      <c r="Z19" s="1" t="n">
        <f aca="false">X19+Y19</f>
        <v>0</v>
      </c>
      <c r="AA19" s="1" t="n">
        <f aca="false">S19-Y19+U19*IF(Slot1_SpendLike=1,W19-X19,IF(Slot1_PotFree=1,W19,0))</f>
        <v>0</v>
      </c>
      <c r="AB19" s="1" t="n">
        <f aca="false">AE19+U19*Slot1_BufPot*W19</f>
        <v>0</v>
      </c>
      <c r="AC19" s="1" t="n">
        <f aca="false">IF(AND(U19=1,Slot1_IsMfree=1),IF(Z19&gt;=Slot1_Cost-1,0,MAX(0,K19-Z19)),K19)</f>
        <v>0</v>
      </c>
      <c r="AD19" s="1" t="n">
        <f aca="false">U19*(Slot1_Cost-Z19)</f>
        <v>0</v>
      </c>
      <c r="AE19" s="1" t="n">
        <f aca="false">QK18</f>
        <v>0</v>
      </c>
      <c r="AF19" s="1" t="n">
        <f aca="false">IF(AND(Slot2_On=1,D19=Slot2_Age),1,0)</f>
        <v>0</v>
      </c>
      <c r="AG19" s="1" t="n">
        <f aca="false">IF(AND(Slot2_On=1,Slot2_Age&gt;D19),1,0)</f>
        <v>0</v>
      </c>
      <c r="AH19" s="1" t="n">
        <f aca="false">QP18</f>
        <v>0</v>
      </c>
      <c r="AI19" s="1" t="n">
        <f aca="false">AF19*MIN(Slot2_Cost,AH19)</f>
        <v>0</v>
      </c>
      <c r="AJ19" s="1" t="n">
        <f aca="false">AF19*Slot2_SpendLike*MIN(Slot2_Cost-AI19,AA19)</f>
        <v>0</v>
      </c>
      <c r="AK19" s="1" t="n">
        <f aca="false">AI19+AJ19</f>
        <v>0</v>
      </c>
      <c r="AL19" s="1" t="n">
        <f aca="false">AA19-AJ19+AF19*IF(Slot2_SpendLike=1,AH19-AI19,IF(Slot2_PotFree=1,AH19,0))</f>
        <v>0</v>
      </c>
      <c r="AM19" s="1" t="n">
        <f aca="false">AB19+AF19*Slot2_BufPot*AH19</f>
        <v>0</v>
      </c>
      <c r="AN19" s="1" t="n">
        <f aca="false">IF(AND(AF19=1,Slot2_IsMfree=1),IF(AK19&gt;=Slot2_Cost-1,0,MAX(0,AC19-AK19)),AC19)</f>
        <v>0</v>
      </c>
      <c r="AO19" s="1" t="n">
        <f aca="false">AF19*(Slot2_Cost-AK19)</f>
        <v>0</v>
      </c>
      <c r="AP19" s="1" t="n">
        <f aca="false">IF(AND(Slot3_On=1,D19=Slot3_Age),1,0)</f>
        <v>0</v>
      </c>
      <c r="AQ19" s="1" t="n">
        <f aca="false">IF(AND(Slot3_On=1,Slot3_Age&gt;D19),1,0)</f>
        <v>0</v>
      </c>
      <c r="AR19" s="1" t="n">
        <f aca="false">QT18</f>
        <v>0</v>
      </c>
      <c r="AS19" s="1" t="n">
        <f aca="false">AP19*MIN(Slot3_Cost,AR19)</f>
        <v>0</v>
      </c>
      <c r="AT19" s="1" t="n">
        <f aca="false">AP19*Slot3_SpendLike*MIN(Slot3_Cost-AS19,AL19)</f>
        <v>0</v>
      </c>
      <c r="AU19" s="1" t="n">
        <f aca="false">AS19+AT19</f>
        <v>0</v>
      </c>
      <c r="AV19" s="1" t="n">
        <f aca="false">AL19-AT19+AP19*IF(Slot3_SpendLike=1,AR19-AS19,IF(Slot3_PotFree=1,AR19,0))</f>
        <v>0</v>
      </c>
      <c r="AW19" s="1" t="n">
        <f aca="false">AM19+AP19*Slot3_BufPot*AR19</f>
        <v>0</v>
      </c>
      <c r="AX19" s="1" t="n">
        <f aca="false">IF(AND(AP19=1,Slot3_IsMfree=1),IF(AU19&gt;=Slot3_Cost-1,0,MAX(0,AN19-AU19)),AN19)</f>
        <v>0</v>
      </c>
      <c r="AY19" s="1" t="n">
        <f aca="false">AP19*(Slot3_Cost-AU19)</f>
        <v>0</v>
      </c>
      <c r="AZ19" s="1" t="n">
        <f aca="false">IF(AND(Slot4_On=1,D19=Slot4_Age),1,0)</f>
        <v>0</v>
      </c>
      <c r="BA19" s="1" t="n">
        <f aca="false">IF(AND(Slot4_On=1,Slot4_Age&gt;D19),1,0)</f>
        <v>0</v>
      </c>
      <c r="BB19" s="1" t="n">
        <f aca="false">QX18</f>
        <v>0</v>
      </c>
      <c r="BC19" s="1" t="n">
        <f aca="false">AZ19*MIN(Slot4_Cost,BB19)</f>
        <v>0</v>
      </c>
      <c r="BD19" s="1" t="n">
        <f aca="false">AZ19*Slot4_SpendLike*MIN(Slot4_Cost-BC19,AV19)</f>
        <v>0</v>
      </c>
      <c r="BE19" s="1" t="n">
        <f aca="false">BC19+BD19</f>
        <v>0</v>
      </c>
      <c r="BF19" s="1" t="n">
        <f aca="false">AV19-BD19+AZ19*IF(Slot4_SpendLike=1,BB19-BC19,IF(Slot4_PotFree=1,BB19,0))</f>
        <v>0</v>
      </c>
      <c r="BG19" s="1" t="n">
        <f aca="false">AW19+AZ19*Slot4_BufPot*BB19</f>
        <v>0</v>
      </c>
      <c r="BH19" s="1" t="n">
        <f aca="false">IF(AND(AZ19=1,Slot4_IsMfree=1),IF(BE19&gt;=Slot4_Cost-1,0,MAX(0,AX19-BE19)),AX19)</f>
        <v>0</v>
      </c>
      <c r="BI19" s="1" t="n">
        <f aca="false">AZ19*(Slot4_Cost-BE19)</f>
        <v>0</v>
      </c>
      <c r="BJ19" s="1" t="n">
        <f aca="false">IF(AND(Slot5_On=1,D19=Slot5_Age),1,0)</f>
        <v>0</v>
      </c>
      <c r="BK19" s="1" t="n">
        <f aca="false">IF(AND(Slot5_On=1,Slot5_Age&gt;D19),1,0)</f>
        <v>0</v>
      </c>
      <c r="BL19" s="1" t="n">
        <f aca="false">RB18</f>
        <v>0</v>
      </c>
      <c r="BM19" s="1" t="n">
        <f aca="false">BJ19*MIN(Slot5_Cost,BL19)</f>
        <v>0</v>
      </c>
      <c r="BN19" s="1" t="n">
        <f aca="false">BJ19*Slot5_SpendLike*MIN(Slot5_Cost-BM19,BF19)</f>
        <v>0</v>
      </c>
      <c r="BO19" s="1" t="n">
        <f aca="false">BM19+BN19</f>
        <v>0</v>
      </c>
      <c r="BP19" s="1" t="n">
        <f aca="false">BF19-BN19+BJ19*IF(Slot5_SpendLike=1,BL19-BM19,IF(Slot5_PotFree=1,BL19,0))</f>
        <v>0</v>
      </c>
      <c r="BQ19" s="1" t="n">
        <f aca="false">BG19+BJ19*Slot5_BufPot*BL19</f>
        <v>0</v>
      </c>
      <c r="BR19" s="1" t="n">
        <f aca="false">IF(AND(BJ19=1,Slot5_IsMfree=1),IF(BO19&gt;=Slot5_Cost-1,0,MAX(0,BH19-BO19)),BH19)</f>
        <v>0</v>
      </c>
      <c r="BS19" s="1" t="n">
        <f aca="false">BJ19*(Slot5_Cost-BO19)</f>
        <v>0</v>
      </c>
      <c r="BT19" s="1" t="n">
        <f aca="false">IF(AND(Slot6_On=1,D19=Slot6_Age),1,0)</f>
        <v>0</v>
      </c>
      <c r="BU19" s="1" t="n">
        <f aca="false">IF(AND(Slot6_On=1,Slot6_Age&gt;D19),1,0)</f>
        <v>0</v>
      </c>
      <c r="BV19" s="1" t="n">
        <f aca="false">RF18</f>
        <v>0</v>
      </c>
      <c r="BW19" s="1" t="n">
        <f aca="false">BT19*MIN(Slot6_Cost,BV19)</f>
        <v>0</v>
      </c>
      <c r="BX19" s="1" t="n">
        <f aca="false">BT19*Slot6_SpendLike*MIN(Slot6_Cost-BW19,BP19)</f>
        <v>0</v>
      </c>
      <c r="BY19" s="1" t="n">
        <f aca="false">BW19+BX19</f>
        <v>0</v>
      </c>
      <c r="BZ19" s="1" t="n">
        <f aca="false">BP19-BX19+BT19*IF(Slot6_SpendLike=1,BV19-BW19,IF(Slot6_PotFree=1,BV19,0))</f>
        <v>0</v>
      </c>
      <c r="CA19" s="1" t="n">
        <f aca="false">BQ19+BT19*Slot6_BufPot*BV19</f>
        <v>0</v>
      </c>
      <c r="CB19" s="1" t="n">
        <f aca="false">IF(AND(BT19=1,Slot6_IsMfree=1),IF(BY19&gt;=Slot6_Cost-1,0,MAX(0,BR19-BY19)),BR19)</f>
        <v>0</v>
      </c>
      <c r="CC19" s="1" t="n">
        <f aca="false">BT19*(Slot6_Cost-BY19)</f>
        <v>0</v>
      </c>
      <c r="CD19" s="1" t="n">
        <f aca="false">IF(AND(Slot7_On=1,D19=Slot7_Age),1,0)</f>
        <v>0</v>
      </c>
      <c r="CE19" s="1" t="n">
        <f aca="false">IF(AND(Slot7_On=1,Slot7_Age&gt;D19),1,0)</f>
        <v>0</v>
      </c>
      <c r="CF19" s="1" t="n">
        <f aca="false">RJ18</f>
        <v>0</v>
      </c>
      <c r="CG19" s="1" t="n">
        <f aca="false">CD19*MIN(Slot7_Cost,CF19)</f>
        <v>0</v>
      </c>
      <c r="CH19" s="1" t="n">
        <f aca="false">CD19*Slot7_SpendLike*MIN(Slot7_Cost-CG19,BZ19)</f>
        <v>0</v>
      </c>
      <c r="CI19" s="1" t="n">
        <f aca="false">CG19+CH19</f>
        <v>0</v>
      </c>
      <c r="CJ19" s="1" t="n">
        <f aca="false">BZ19-CH19+CD19*IF(Slot7_SpendLike=1,CF19-CG19,IF(Slot7_PotFree=1,CF19,0))</f>
        <v>0</v>
      </c>
      <c r="CK19" s="1" t="n">
        <f aca="false">CA19+CD19*Slot7_BufPot*CF19</f>
        <v>0</v>
      </c>
      <c r="CL19" s="1" t="n">
        <f aca="false">IF(AND(CD19=1,Slot7_IsMfree=1),IF(CI19&gt;=Slot7_Cost-1,0,MAX(0,CB19-CI19)),CB19)</f>
        <v>0</v>
      </c>
      <c r="CM19" s="1" t="n">
        <f aca="false">CD19*(Slot7_Cost-CI19)</f>
        <v>0</v>
      </c>
      <c r="CN19" s="1" t="n">
        <f aca="false">IF(AND(Slot8_On=1,D19=Slot8_Age),1,0)</f>
        <v>0</v>
      </c>
      <c r="CO19" s="1" t="n">
        <f aca="false">IF(AND(Slot8_On=1,Slot8_Age&gt;D19),1,0)</f>
        <v>0</v>
      </c>
      <c r="CP19" s="1" t="n">
        <f aca="false">RN18</f>
        <v>0</v>
      </c>
      <c r="CQ19" s="1" t="n">
        <f aca="false">CN19*MIN(Slot8_Cost,CP19)</f>
        <v>0</v>
      </c>
      <c r="CR19" s="1" t="n">
        <f aca="false">CN19*Slot8_SpendLike*MIN(Slot8_Cost-CQ19,CJ19)</f>
        <v>0</v>
      </c>
      <c r="CS19" s="1" t="n">
        <f aca="false">CQ19+CR19</f>
        <v>0</v>
      </c>
      <c r="CT19" s="1" t="n">
        <f aca="false">CJ19-CR19+CN19*IF(Slot8_SpendLike=1,CP19-CQ19,IF(Slot8_PotFree=1,CP19,0))</f>
        <v>0</v>
      </c>
      <c r="CU19" s="1" t="n">
        <f aca="false">CK19+CN19*Slot8_BufPot*CP19</f>
        <v>0</v>
      </c>
      <c r="CV19" s="1" t="n">
        <f aca="false">IF(AND(CN19=1,Slot8_IsMfree=1),IF(CS19&gt;=Slot8_Cost-1,0,MAX(0,CL19-CS19)),CL19)</f>
        <v>0</v>
      </c>
      <c r="CW19" s="1" t="n">
        <f aca="false">CN19*(Slot8_Cost-CS19)</f>
        <v>0</v>
      </c>
      <c r="CX19" s="1" t="n">
        <f aca="false">IF(AND(Slot9_On=1,D19=Slot9_Age),1,0)</f>
        <v>0</v>
      </c>
      <c r="CY19" s="1" t="n">
        <f aca="false">IF(AND(Slot9_On=1,Slot9_Age&gt;D19),1,0)</f>
        <v>0</v>
      </c>
      <c r="CZ19" s="1" t="n">
        <f aca="false">RR18</f>
        <v>0</v>
      </c>
      <c r="DA19" s="1" t="n">
        <f aca="false">CX19*MIN(Slot9_Cost,CZ19)</f>
        <v>0</v>
      </c>
      <c r="DB19" s="1" t="n">
        <f aca="false">CX19*Slot9_SpendLike*MIN(Slot9_Cost-DA19,CT19)</f>
        <v>0</v>
      </c>
      <c r="DC19" s="1" t="n">
        <f aca="false">DA19+DB19</f>
        <v>0</v>
      </c>
      <c r="DD19" s="1" t="n">
        <f aca="false">CT19-DB19+CX19*IF(Slot9_SpendLike=1,CZ19-DA19,IF(Slot9_PotFree=1,CZ19,0))</f>
        <v>0</v>
      </c>
      <c r="DE19" s="1" t="n">
        <f aca="false">CU19+CX19*Slot9_BufPot*CZ19</f>
        <v>0</v>
      </c>
      <c r="DF19" s="1" t="n">
        <f aca="false">IF(AND(CX19=1,Slot9_IsMfree=1),IF(DC19&gt;=Slot9_Cost-1,0,MAX(0,CV19-DC19)),CV19)</f>
        <v>0</v>
      </c>
      <c r="DG19" s="1" t="n">
        <f aca="false">CX19*(Slot9_Cost-DC19)</f>
        <v>0</v>
      </c>
      <c r="DH19" s="1" t="n">
        <f aca="false">IF(AND(Slot10_On=1,D19=Slot10_Age),1,0)</f>
        <v>0</v>
      </c>
      <c r="DI19" s="1" t="n">
        <f aca="false">IF(AND(Slot10_On=1,Slot10_Age&gt;D19),1,0)</f>
        <v>0</v>
      </c>
      <c r="DJ19" s="1" t="n">
        <f aca="false">RV18</f>
        <v>0</v>
      </c>
      <c r="DK19" s="1" t="n">
        <f aca="false">DH19*MIN(Slot10_Cost,DJ19)</f>
        <v>0</v>
      </c>
      <c r="DL19" s="1" t="n">
        <f aca="false">DH19*Slot10_SpendLike*MIN(Slot10_Cost-DK19,DD19)</f>
        <v>0</v>
      </c>
      <c r="DM19" s="1" t="n">
        <f aca="false">DK19+DL19</f>
        <v>0</v>
      </c>
      <c r="DN19" s="1" t="n">
        <f aca="false">DD19-DL19+DH19*IF(Slot10_SpendLike=1,DJ19-DK19,IF(Slot10_PotFree=1,DJ19,0))</f>
        <v>0</v>
      </c>
      <c r="DO19" s="1" t="n">
        <f aca="false">DE19+DH19*Slot10_BufPot*DJ19</f>
        <v>0</v>
      </c>
      <c r="DP19" s="1" t="n">
        <f aca="false">IF(AND(DH19=1,Slot10_IsMfree=1),IF(DM19&gt;=Slot10_Cost-1,0,MAX(0,DF19-DM19)),DF19)</f>
        <v>0</v>
      </c>
      <c r="DQ19" s="1" t="n">
        <f aca="false">DH19*(Slot10_Cost-DM19)</f>
        <v>0</v>
      </c>
      <c r="DR19" s="1" t="n">
        <f aca="false">IF(AND(Slot11_On=1,D19=Slot11_Age),1,0)</f>
        <v>0</v>
      </c>
      <c r="DS19" s="1" t="n">
        <f aca="false">IF(AND(Slot11_On=1,Slot11_Age&gt;D19),1,0)</f>
        <v>0</v>
      </c>
      <c r="DT19" s="1" t="n">
        <f aca="false">RZ18</f>
        <v>0</v>
      </c>
      <c r="DU19" s="1" t="n">
        <f aca="false">DR19*MIN(Slot11_Cost,DT19)</f>
        <v>0</v>
      </c>
      <c r="DV19" s="1" t="n">
        <f aca="false">DR19*Slot11_SpendLike*MIN(Slot11_Cost-DU19,DN19)</f>
        <v>0</v>
      </c>
      <c r="DW19" s="1" t="n">
        <f aca="false">DU19+DV19</f>
        <v>0</v>
      </c>
      <c r="DX19" s="1" t="n">
        <f aca="false">DN19-DV19+DR19*IF(Slot11_SpendLike=1,DT19-DU19,IF(Slot11_PotFree=1,DT19,0))</f>
        <v>0</v>
      </c>
      <c r="DY19" s="1" t="n">
        <f aca="false">DO19+DR19*Slot11_BufPot*DT19</f>
        <v>0</v>
      </c>
      <c r="DZ19" s="1" t="n">
        <f aca="false">IF(AND(DR19=1,Slot11_IsMfree=1),IF(DW19&gt;=Slot11_Cost-1,0,MAX(0,DP19-DW19)),DP19)</f>
        <v>0</v>
      </c>
      <c r="EA19" s="1" t="n">
        <f aca="false">DR19*(Slot11_Cost-DW19)</f>
        <v>0</v>
      </c>
      <c r="EB19" s="1" t="n">
        <f aca="false">IF(AND(Slot12_On=1,D19=Slot12_Age),1,0)</f>
        <v>0</v>
      </c>
      <c r="EC19" s="1" t="n">
        <f aca="false">IF(AND(Slot12_On=1,Slot12_Age&gt;D19),1,0)</f>
        <v>0</v>
      </c>
      <c r="ED19" s="1" t="n">
        <f aca="false">SD18</f>
        <v>0</v>
      </c>
      <c r="EE19" s="1" t="n">
        <f aca="false">EB19*MIN(Slot12_Cost,ED19)</f>
        <v>0</v>
      </c>
      <c r="EF19" s="1" t="n">
        <f aca="false">EB19*Slot12_SpendLike*MIN(Slot12_Cost-EE19,DX19)</f>
        <v>0</v>
      </c>
      <c r="EG19" s="1" t="n">
        <f aca="false">EE19+EF19</f>
        <v>0</v>
      </c>
      <c r="EH19" s="1" t="n">
        <f aca="false">DX19-EF19+EB19*IF(Slot12_SpendLike=1,ED19-EE19,IF(Slot12_PotFree=1,ED19,0))</f>
        <v>0</v>
      </c>
      <c r="EI19" s="1" t="n">
        <f aca="false">DY19+EB19*Slot12_BufPot*ED19</f>
        <v>0</v>
      </c>
      <c r="EJ19" s="1" t="n">
        <f aca="false">IF(AND(EB19=1,Slot12_IsMfree=1),IF(EG19&gt;=Slot12_Cost-1,0,MAX(0,DZ19-EG19)),DZ19)</f>
        <v>0</v>
      </c>
      <c r="EK19" s="1" t="n">
        <f aca="false">EB19*(Slot12_Cost-EG19)</f>
        <v>0</v>
      </c>
      <c r="EL19" s="1" t="n">
        <f aca="false">IF(AND(Slot13_On=1,D19=Slot13_Age),1,0)</f>
        <v>0</v>
      </c>
      <c r="EM19" s="1" t="n">
        <f aca="false">IF(AND(Slot13_On=1,Slot13_Age&gt;D19),1,0)</f>
        <v>0</v>
      </c>
      <c r="EN19" s="1" t="n">
        <f aca="false">SH18</f>
        <v>0</v>
      </c>
      <c r="EO19" s="1" t="n">
        <f aca="false">EL19*MIN(Slot13_Cost,EN19)</f>
        <v>0</v>
      </c>
      <c r="EP19" s="1" t="n">
        <f aca="false">EL19*Slot13_SpendLike*MIN(Slot13_Cost-EO19,EH19)</f>
        <v>0</v>
      </c>
      <c r="EQ19" s="1" t="n">
        <f aca="false">EO19+EP19</f>
        <v>0</v>
      </c>
      <c r="ER19" s="1" t="n">
        <f aca="false">EH19-EP19+EL19*IF(Slot13_SpendLike=1,EN19-EO19,IF(Slot13_PotFree=1,EN19,0))</f>
        <v>0</v>
      </c>
      <c r="ES19" s="1" t="n">
        <f aca="false">EI19+EL19*Slot13_BufPot*EN19</f>
        <v>0</v>
      </c>
      <c r="ET19" s="1" t="n">
        <f aca="false">IF(AND(EL19=1,Slot13_IsMfree=1),IF(EQ19&gt;=Slot13_Cost-1,0,MAX(0,EJ19-EQ19)),EJ19)</f>
        <v>0</v>
      </c>
      <c r="EU19" s="1" t="n">
        <f aca="false">EL19*(Slot13_Cost-EQ19)</f>
        <v>0</v>
      </c>
      <c r="EV19" s="1" t="n">
        <f aca="false">IF(AND(Slot14_On=1,D19=Slot14_Age),1,0)</f>
        <v>0</v>
      </c>
      <c r="EW19" s="1" t="n">
        <f aca="false">IF(AND(Slot14_On=1,Slot14_Age&gt;D19),1,0)</f>
        <v>0</v>
      </c>
      <c r="EX19" s="1" t="n">
        <f aca="false">SL18</f>
        <v>0</v>
      </c>
      <c r="EY19" s="1" t="n">
        <f aca="false">EV19*MIN(Slot14_Cost,EX19)</f>
        <v>0</v>
      </c>
      <c r="EZ19" s="1" t="n">
        <f aca="false">EV19*Slot14_SpendLike*MIN(Slot14_Cost-EY19,ER19)</f>
        <v>0</v>
      </c>
      <c r="FA19" s="1" t="n">
        <f aca="false">EY19+EZ19</f>
        <v>0</v>
      </c>
      <c r="FB19" s="1" t="n">
        <f aca="false">ER19-EZ19+EV19*IF(Slot14_SpendLike=1,EX19-EY19,IF(Slot14_PotFree=1,EX19,0))</f>
        <v>0</v>
      </c>
      <c r="FC19" s="1" t="n">
        <f aca="false">ES19+EV19*Slot14_BufPot*EX19</f>
        <v>0</v>
      </c>
      <c r="FD19" s="1" t="n">
        <f aca="false">IF(AND(EV19=1,Slot14_IsMfree=1),IF(FA19&gt;=Slot14_Cost-1,0,MAX(0,ET19-FA19)),ET19)</f>
        <v>0</v>
      </c>
      <c r="FE19" s="1" t="n">
        <f aca="false">EV19*(Slot14_Cost-FA19)</f>
        <v>0</v>
      </c>
      <c r="FF19" s="1" t="n">
        <f aca="false">IF(AND(Slot15_On=1,D19=Slot15_Age),1,0)</f>
        <v>0</v>
      </c>
      <c r="FG19" s="1" t="n">
        <f aca="false">IF(AND(Slot15_On=1,Slot15_Age&gt;D19),1,0)</f>
        <v>0</v>
      </c>
      <c r="FH19" s="1" t="n">
        <f aca="false">SP18</f>
        <v>0</v>
      </c>
      <c r="FI19" s="1" t="n">
        <f aca="false">FF19*MIN(Slot15_Cost,FH19)</f>
        <v>0</v>
      </c>
      <c r="FJ19" s="1" t="n">
        <f aca="false">FF19*Slot15_SpendLike*MIN(Slot15_Cost-FI19,FB19)</f>
        <v>0</v>
      </c>
      <c r="FK19" s="1" t="n">
        <f aca="false">FI19+FJ19</f>
        <v>0</v>
      </c>
      <c r="FL19" s="1" t="n">
        <f aca="false">FB19-FJ19+FF19*IF(Slot15_SpendLike=1,FH19-FI19,IF(Slot15_PotFree=1,FH19,0))</f>
        <v>0</v>
      </c>
      <c r="FM19" s="1" t="n">
        <f aca="false">FC19+FF19*Slot15_BufPot*FH19</f>
        <v>0</v>
      </c>
      <c r="FN19" s="1" t="n">
        <f aca="false">IF(AND(FF19=1,Slot15_IsMfree=1),IF(FK19&gt;=Slot15_Cost-1,0,MAX(0,FD19-FK19)),FD19)</f>
        <v>0</v>
      </c>
      <c r="FO19" s="1" t="n">
        <f aca="false">FF19*(Slot15_Cost-FK19)</f>
        <v>0</v>
      </c>
      <c r="FP19" s="1" t="n">
        <f aca="false">IF(AND(Slot16_On=1,D19=Slot16_Age),1,0)</f>
        <v>0</v>
      </c>
      <c r="FQ19" s="1" t="n">
        <f aca="false">IF(AND(Slot16_On=1,Slot16_Age&gt;D19),1,0)</f>
        <v>0</v>
      </c>
      <c r="FR19" s="1" t="n">
        <f aca="false">ST18</f>
        <v>0</v>
      </c>
      <c r="FS19" s="1" t="n">
        <f aca="false">FP19*MIN(Slot16_Cost,FR19)</f>
        <v>0</v>
      </c>
      <c r="FT19" s="1" t="n">
        <f aca="false">FP19*Slot16_SpendLike*MIN(Slot16_Cost-FS19,FL19)</f>
        <v>0</v>
      </c>
      <c r="FU19" s="1" t="n">
        <f aca="false">FS19+FT19</f>
        <v>0</v>
      </c>
      <c r="FV19" s="1" t="n">
        <f aca="false">FL19-FT19+FP19*IF(Slot16_SpendLike=1,FR19-FS19,IF(Slot16_PotFree=1,FR19,0))</f>
        <v>0</v>
      </c>
      <c r="FW19" s="1" t="n">
        <f aca="false">FM19+FP19*Slot16_BufPot*FR19</f>
        <v>0</v>
      </c>
      <c r="FX19" s="1" t="n">
        <f aca="false">IF(AND(FP19=1,Slot16_IsMfree=1),IF(FU19&gt;=Slot16_Cost-1,0,MAX(0,FN19-FU19)),FN19)</f>
        <v>0</v>
      </c>
      <c r="FY19" s="1" t="n">
        <f aca="false">FP19*(Slot16_Cost-FU19)</f>
        <v>0</v>
      </c>
      <c r="FZ19" s="1" t="n">
        <f aca="false">IF(AND(Slot17_On=1,D19=Slot17_Age),1,0)</f>
        <v>0</v>
      </c>
      <c r="GA19" s="1" t="n">
        <f aca="false">IF(AND(Slot17_On=1,Slot17_Age&gt;D19),1,0)</f>
        <v>0</v>
      </c>
      <c r="GB19" s="1" t="n">
        <f aca="false">SX18</f>
        <v>0</v>
      </c>
      <c r="GC19" s="1" t="n">
        <f aca="false">FZ19*MIN(Slot17_Cost,GB19)</f>
        <v>0</v>
      </c>
      <c r="GD19" s="1" t="n">
        <f aca="false">FZ19*Slot17_SpendLike*MIN(Slot17_Cost-GC19,FV19)</f>
        <v>0</v>
      </c>
      <c r="GE19" s="1" t="n">
        <f aca="false">GC19+GD19</f>
        <v>0</v>
      </c>
      <c r="GF19" s="1" t="n">
        <f aca="false">FV19-GD19+FZ19*IF(Slot17_SpendLike=1,GB19-GC19,IF(Slot17_PotFree=1,GB19,0))</f>
        <v>0</v>
      </c>
      <c r="GG19" s="1" t="n">
        <f aca="false">FW19+FZ19*Slot17_BufPot*GB19</f>
        <v>0</v>
      </c>
      <c r="GH19" s="1" t="n">
        <f aca="false">IF(AND(FZ19=1,Slot17_IsMfree=1),IF(GE19&gt;=Slot17_Cost-1,0,MAX(0,FX19-GE19)),FX19)</f>
        <v>0</v>
      </c>
      <c r="GI19" s="1" t="n">
        <f aca="false">FZ19*(Slot17_Cost-GE19)</f>
        <v>0</v>
      </c>
      <c r="GJ19" s="1" t="n">
        <f aca="false">IF(AND(Slot18_On=1,D19=Slot18_Age),1,0)</f>
        <v>0</v>
      </c>
      <c r="GK19" s="1" t="n">
        <f aca="false">IF(AND(Slot18_On=1,Slot18_Age&gt;D19),1,0)</f>
        <v>0</v>
      </c>
      <c r="GL19" s="1" t="n">
        <f aca="false">TB18</f>
        <v>0</v>
      </c>
      <c r="GM19" s="1" t="n">
        <f aca="false">GJ19*MIN(Slot18_Cost,GL19)</f>
        <v>0</v>
      </c>
      <c r="GN19" s="1" t="n">
        <f aca="false">GJ19*Slot18_SpendLike*MIN(Slot18_Cost-GM19,GF19)</f>
        <v>0</v>
      </c>
      <c r="GO19" s="1" t="n">
        <f aca="false">GM19+GN19</f>
        <v>0</v>
      </c>
      <c r="GP19" s="1" t="n">
        <f aca="false">GF19-GN19+GJ19*IF(Slot18_SpendLike=1,GL19-GM19,IF(Slot18_PotFree=1,GL19,0))</f>
        <v>0</v>
      </c>
      <c r="GQ19" s="1" t="n">
        <f aca="false">GG19+GJ19*Slot18_BufPot*GL19</f>
        <v>0</v>
      </c>
      <c r="GR19" s="1" t="n">
        <f aca="false">IF(AND(GJ19=1,Slot18_IsMfree=1),IF(GO19&gt;=Slot18_Cost-1,0,MAX(0,GH19-GO19)),GH19)</f>
        <v>0</v>
      </c>
      <c r="GS19" s="1" t="n">
        <f aca="false">GJ19*(Slot18_Cost-GO19)</f>
        <v>0</v>
      </c>
      <c r="GT19" s="1" t="n">
        <f aca="false">IF(AND(Slot19_On=1,D19=Slot19_Age),1,0)</f>
        <v>0</v>
      </c>
      <c r="GU19" s="1" t="n">
        <f aca="false">IF(AND(Slot19_On=1,Slot19_Age&gt;D19),1,0)</f>
        <v>0</v>
      </c>
      <c r="GV19" s="1" t="n">
        <f aca="false">TF18</f>
        <v>0</v>
      </c>
      <c r="GW19" s="1" t="n">
        <f aca="false">GT19*MIN(Slot19_Cost,GV19)</f>
        <v>0</v>
      </c>
      <c r="GX19" s="1" t="n">
        <f aca="false">GT19*Slot19_SpendLike*MIN(Slot19_Cost-GW19,GP19)</f>
        <v>0</v>
      </c>
      <c r="GY19" s="1" t="n">
        <f aca="false">GW19+GX19</f>
        <v>0</v>
      </c>
      <c r="GZ19" s="1" t="n">
        <f aca="false">GP19-GX19+GT19*IF(Slot19_SpendLike=1,GV19-GW19,IF(Slot19_PotFree=1,GV19,0))</f>
        <v>0</v>
      </c>
      <c r="HA19" s="1" t="n">
        <f aca="false">GQ19+GT19*Slot19_BufPot*GV19</f>
        <v>0</v>
      </c>
      <c r="HB19" s="1" t="n">
        <f aca="false">IF(AND(GT19=1,Slot19_IsMfree=1),IF(GY19&gt;=Slot19_Cost-1,0,MAX(0,GR19-GY19)),GR19)</f>
        <v>0</v>
      </c>
      <c r="HC19" s="1" t="n">
        <f aca="false">GT19*(Slot19_Cost-GY19)</f>
        <v>0</v>
      </c>
      <c r="HD19" s="1" t="n">
        <f aca="false">IF(AND(Slot20_On=1,D19=Slot20_Age),1,0)</f>
        <v>0</v>
      </c>
      <c r="HE19" s="1" t="n">
        <f aca="false">IF(AND(Slot20_On=1,Slot20_Age&gt;D19),1,0)</f>
        <v>0</v>
      </c>
      <c r="HF19" s="1" t="n">
        <f aca="false">TJ18</f>
        <v>0</v>
      </c>
      <c r="HG19" s="1" t="n">
        <f aca="false">HD19*MIN(Slot20_Cost,HF19)</f>
        <v>0</v>
      </c>
      <c r="HH19" s="1" t="n">
        <f aca="false">HD19*Slot20_SpendLike*MIN(Slot20_Cost-HG19,GZ19)</f>
        <v>0</v>
      </c>
      <c r="HI19" s="1" t="n">
        <f aca="false">HG19+HH19</f>
        <v>0</v>
      </c>
      <c r="HJ19" s="1" t="n">
        <f aca="false">GZ19-HH19+HD19*IF(Slot20_SpendLike=1,HF19-HG19,IF(Slot20_PotFree=1,HF19,0))</f>
        <v>0</v>
      </c>
      <c r="HK19" s="1" t="n">
        <f aca="false">HA19+HD19*Slot20_BufPot*HF19</f>
        <v>0</v>
      </c>
      <c r="HL19" s="1" t="n">
        <f aca="false">IF(AND(HD19=1,Slot20_IsMfree=1),IF(HI19&gt;=Slot20_Cost-1,0,MAX(0,HB19-HI19)),HB19)</f>
        <v>0</v>
      </c>
      <c r="HM19" s="1" t="n">
        <f aca="false">HD19*(Slot20_Cost-HI19)</f>
        <v>0</v>
      </c>
      <c r="HN19" s="1" t="n">
        <f aca="false">U19*Slot1_SpendLike*Z19+AF19*Slot2_SpendLike*AK19+AP19*Slot3_SpendLike*AU19+AZ19*Slot4_SpendLike*BE19+BJ19*Slot5_SpendLike*BO19+BT19*Slot6_SpendLike*BY19+CD19*Slot7_SpendLike*CI19+CN19*Slot8_SpendLike*CS19+CX19*Slot9_SpendLike*DC19+DH19*Slot10_SpendLike*DM19+DR19*Slot11_SpendLike*DW19+EB19*Slot12_SpendLike*EG19+EL19*Slot13_SpendLike*EQ19+EV19*Slot14_SpendLike*FA19+FF19*Slot15_SpendLike*FK19+FP19*Slot16_SpendLike*FU19+FZ19*Slot17_SpendLike*GE19+GJ19*Slot18_SpendLike*GO19+GT19*Slot19_SpendLike*GY19+HD19*Slot20_SpendLike*HI19</f>
        <v>0</v>
      </c>
      <c r="HO19" s="1" t="n">
        <f aca="false">AD19+AO19+AY19+BI19+BS19+CC19+CM19+CW19+DG19+DQ19+EA19+EK19+EU19+FE19+FO19+FY19+GI19+GS19+HC19+HM19</f>
        <v>0</v>
      </c>
      <c r="HP19" s="1" t="n">
        <f aca="false">U19*Slot1_Cost+AF19*Slot2_Cost+AP19*Slot3_Cost+AZ19*Slot4_Cost+BJ19*Slot5_Cost+BT19*Slot6_Cost+CD19*Slot7_Cost+CN19*Slot8_Cost+CX19*Slot9_Cost+DH19*Slot10_Cost+DR19*Slot11_Cost+EB19*Slot12_Cost+EL19*Slot13_Cost+EV19*Slot14_Cost+FF19*Slot15_Cost+FP19*Slot16_Cost+FZ19*Slot17_Cost+GJ19*Slot18_Cost+GT19*Slot19_Cost+HD19*Slot20_Cost</f>
        <v>0</v>
      </c>
      <c r="HQ19" s="1" t="n">
        <f aca="false">HL19</f>
        <v>0</v>
      </c>
      <c r="HR19" s="1" t="n">
        <f aca="false">G19-H19-R19</f>
        <v>0</v>
      </c>
      <c r="HS19" s="1" t="n">
        <f aca="false">IF(B19=0,IF(AND(Has_q6=1,In_q6=4),PR_ShareVaries*(MAX(0,HR19)/12),MIN(IF(Has_q6=1,CHOOSE(In_q6+1,PR_SaveB1,PR_SaveB2,PR_SaveB3,PR_SaveB4,0),AS_NoAnswer),AS_SaveShare*(MAX(0,HR19)/12))),HS18)</f>
        <v>0</v>
      </c>
      <c r="HT19" s="1" t="n">
        <f aca="false">IF(HR19&gt;=0,1,0)</f>
        <v>1</v>
      </c>
      <c r="HU19" s="1" t="n">
        <f aca="false">MAX(0,HR19/12/E19)</f>
        <v>0</v>
      </c>
      <c r="HV19" s="1" t="n">
        <f aca="false">IF(AND(Has_q6=1,In_q6=4),PR_ShareVaries*(HU19),MIN(IF(Has_q6=1,CHOOSE(In_q6+1,PR_SaveB1,PR_SaveB2,PR_SaveB3,PR_SaveB4,0),AS_NoAnswer),AS_SaveShare*(HU19)))</f>
        <v>0</v>
      </c>
      <c r="HW19" s="1" t="n">
        <f aca="false">IF(Has_saveM=1,IF(In_saveUp="Yes",1,IF(In_saveUp="No",0,IF(In_saveM&gt;=HS19-0.5,1,0))),0)</f>
        <v>0</v>
      </c>
      <c r="HX19" s="1" t="n">
        <f aca="false">IF(Has_saveM=1,MIN(HU19,IF(HW19=1,MAX(In_saveM,HV19),MIN(In_saveM,HV19))),HV19)</f>
        <v>0</v>
      </c>
      <c r="HY19" s="1" t="n">
        <f aca="false">IF(F19=1,HX19*12*E19,0)</f>
        <v>0</v>
      </c>
      <c r="HZ19" s="1" t="n">
        <f aca="false">MAX(0,HY19+IF(AND(WI_Retire=0,WI_M&lt;0,F19=1),WI_M*12*E19,0))</f>
        <v>0</v>
      </c>
      <c r="IA19" s="1" t="n">
        <f aca="false">Slot1_IsWG*V19+Slot2_IsWG*AG19+Slot3_IsWG*AQ19+Slot4_IsWG*BA19+Slot5_IsWG*BK19+Slot6_IsWG*BU19+Slot7_IsWG*CE19+Slot8_IsWG*CO19+Slot9_IsWG*CY19+Slot10_IsWG*DI19+Slot11_IsWG*DS19+Slot12_IsWG*EC19+Slot13_IsWG*EM19+Slot14_IsWG*EW19+Slot15_IsWG*FG19+Slot16_IsWG*FQ19+Slot17_IsWG*GA19+Slot18_IsWG*GK19+Slot19_IsWG*GU19+Slot20_IsWG*HE19</f>
        <v>0</v>
      </c>
      <c r="IB19" s="1" t="n">
        <f aca="false">IF(AND(WI_Retire=0,WI_M&gt;0,F19=1,IA19&gt;=1),WI_M*12*E19,0)</f>
        <v>0</v>
      </c>
      <c r="IC19" s="1" t="n">
        <f aca="false">IF(HT19=1,MIN(HZ19,HR19),0)</f>
        <v>0</v>
      </c>
      <c r="ID19" s="1" t="n">
        <f aca="false">IF(HT19=1,MIN(IB19,HR19-IC19),0)</f>
        <v>0</v>
      </c>
      <c r="IE19" s="1" t="n">
        <f aca="false">IF(V19=1,IF(ABS((1+AS_Wage)/(1+Slot1_Rate)-1)&lt;0.000000000001,(Slot1_Age-D19)*(1+Slot1_Rate)^(Slot1_Age-D19),(1+Slot1_Rate)^(Slot1_Age-D19)*(1-((1+AS_Wage)/(1+Slot1_Rate))^(Slot1_Age-D19))/(1-(1+AS_Wage)/(1+Slot1_Rate))),1)</f>
        <v>1</v>
      </c>
      <c r="IF19" s="1" t="n">
        <f aca="false">IF(AND(HT19=1,ID19&gt;0,Slot1_IsWG=1,V19=1),MAX(0,(Slot1_Cost-W19*(1+Slot1_Rate)^(Slot1_Age-D19))/IE19),0)</f>
        <v>0</v>
      </c>
      <c r="IG19" s="1" t="n">
        <f aca="false">IF(AND(HT19=1,ID19&gt;0,Slot1_IsWG=1,V19=1),MIN(ID19,IF19),0)</f>
        <v>0</v>
      </c>
      <c r="IH19" s="1" t="n">
        <f aca="false">W19+IG19</f>
        <v>0</v>
      </c>
      <c r="II19" s="1" t="n">
        <f aca="false">IF(V19=1,MAX(0,(Slot1_Cost-IH19*(1+Slot1_Rate)^(Slot1_Age-D19))/IE19),0)</f>
        <v>0</v>
      </c>
      <c r="IJ19" s="1" t="n">
        <f aca="false">IF(V19=1,MAX(0,(Slot1_Cost-W19*(1+Slot1_Rate)^(Slot1_Age-D19))/IE19),0)</f>
        <v>0</v>
      </c>
      <c r="IK19" s="1" t="n">
        <f aca="false">IF(AND(HT19=1,V19=1),MIN(IC19,II19),0)</f>
        <v>0</v>
      </c>
      <c r="IL19" s="1" t="n">
        <f aca="false">IC19-IK19</f>
        <v>0</v>
      </c>
      <c r="IM19" s="1" t="n">
        <f aca="false">IF(AG19=1,IF(ABS((1+AS_Wage)/(1+Slot2_Rate)-1)&lt;0.000000000001,(Slot2_Age-D19)*(1+Slot2_Rate)^(Slot2_Age-D19),(1+Slot2_Rate)^(Slot2_Age-D19)*(1-((1+AS_Wage)/(1+Slot2_Rate))^(Slot2_Age-D19))/(1-(1+AS_Wage)/(1+Slot2_Rate))),1)</f>
        <v>1</v>
      </c>
      <c r="IN19" s="1" t="n">
        <f aca="false">IF(AND(HT19=1,ID19&gt;0,Slot2_IsWG=1,AG19=1),MAX(0,(Slot2_Cost-AH19*(1+Slot2_Rate)^(Slot2_Age-D19))/IM19),0)</f>
        <v>0</v>
      </c>
      <c r="IO19" s="1" t="n">
        <f aca="false">IF(AND(HT19=1,ID19&gt;0,Slot2_IsWG=1,AG19=1),MIN(ID19,IN19),0)</f>
        <v>0</v>
      </c>
      <c r="IP19" s="1" t="n">
        <f aca="false">AH19+IO19</f>
        <v>0</v>
      </c>
      <c r="IQ19" s="1" t="n">
        <f aca="false">IF(AG19=1,MAX(0,(Slot2_Cost-IP19*(1+Slot2_Rate)^(Slot2_Age-D19))/IM19),0)</f>
        <v>0</v>
      </c>
      <c r="IR19" s="1" t="n">
        <f aca="false">IF(AG19=1,MAX(0,(Slot2_Cost-AH19*(1+Slot2_Rate)^(Slot2_Age-D19))/IM19),0)</f>
        <v>0</v>
      </c>
      <c r="IS19" s="1" t="n">
        <f aca="false">IF(AND(HT19=1,AG19=1),MIN(IL19,IQ19),0)</f>
        <v>0</v>
      </c>
      <c r="IT19" s="1" t="n">
        <f aca="false">IL19-IS19</f>
        <v>0</v>
      </c>
      <c r="IU19" s="1" t="n">
        <f aca="false">IF(AQ19=1,IF(ABS((1+AS_Wage)/(1+Slot3_Rate)-1)&lt;0.000000000001,(Slot3_Age-D19)*(1+Slot3_Rate)^(Slot3_Age-D19),(1+Slot3_Rate)^(Slot3_Age-D19)*(1-((1+AS_Wage)/(1+Slot3_Rate))^(Slot3_Age-D19))/(1-(1+AS_Wage)/(1+Slot3_Rate))),1)</f>
        <v>1</v>
      </c>
      <c r="IV19" s="1" t="n">
        <f aca="false">IF(AND(HT19=1,ID19&gt;0,Slot3_IsWG=1,AQ19=1),MAX(0,(Slot3_Cost-AR19*(1+Slot3_Rate)^(Slot3_Age-D19))/IU19),0)</f>
        <v>0</v>
      </c>
      <c r="IW19" s="1" t="n">
        <f aca="false">IF(AND(HT19=1,ID19&gt;0,Slot3_IsWG=1,AQ19=1),MIN(ID19,IV19),0)</f>
        <v>0</v>
      </c>
      <c r="IX19" s="1" t="n">
        <f aca="false">AR19+IW19</f>
        <v>0</v>
      </c>
      <c r="IY19" s="1" t="n">
        <f aca="false">IF(AQ19=1,MAX(0,(Slot3_Cost-IX19*(1+Slot3_Rate)^(Slot3_Age-D19))/IU19),0)</f>
        <v>0</v>
      </c>
      <c r="IZ19" s="1" t="n">
        <f aca="false">IF(AQ19=1,MAX(0,(Slot3_Cost-AR19*(1+Slot3_Rate)^(Slot3_Age-D19))/IU19),0)</f>
        <v>0</v>
      </c>
      <c r="JA19" s="1" t="n">
        <f aca="false">IF(AND(HT19=1,AQ19=1),MIN(IT19,IY19),0)</f>
        <v>0</v>
      </c>
      <c r="JB19" s="1" t="n">
        <f aca="false">IT19-JA19</f>
        <v>0</v>
      </c>
      <c r="JC19" s="1" t="n">
        <f aca="false">IF(BA19=1,IF(ABS((1+AS_Wage)/(1+Slot4_Rate)-1)&lt;0.000000000001,(Slot4_Age-D19)*(1+Slot4_Rate)^(Slot4_Age-D19),(1+Slot4_Rate)^(Slot4_Age-D19)*(1-((1+AS_Wage)/(1+Slot4_Rate))^(Slot4_Age-D19))/(1-(1+AS_Wage)/(1+Slot4_Rate))),1)</f>
        <v>1</v>
      </c>
      <c r="JD19" s="1" t="n">
        <f aca="false">IF(AND(HT19=1,ID19&gt;0,Slot4_IsWG=1,BA19=1),MAX(0,(Slot4_Cost-BB19*(1+Slot4_Rate)^(Slot4_Age-D19))/JC19),0)</f>
        <v>0</v>
      </c>
      <c r="JE19" s="1" t="n">
        <f aca="false">IF(AND(HT19=1,ID19&gt;0,Slot4_IsWG=1,BA19=1),MIN(ID19,JD19),0)</f>
        <v>0</v>
      </c>
      <c r="JF19" s="1" t="n">
        <f aca="false">BB19+JE19</f>
        <v>0</v>
      </c>
      <c r="JG19" s="1" t="n">
        <f aca="false">IF(BA19=1,MAX(0,(Slot4_Cost-JF19*(1+Slot4_Rate)^(Slot4_Age-D19))/JC19),0)</f>
        <v>0</v>
      </c>
      <c r="JH19" s="1" t="n">
        <f aca="false">IF(BA19=1,MAX(0,(Slot4_Cost-BB19*(1+Slot4_Rate)^(Slot4_Age-D19))/JC19),0)</f>
        <v>0</v>
      </c>
      <c r="JI19" s="1" t="n">
        <f aca="false">IF(AND(HT19=1,BA19=1),MIN(JB19,JG19),0)</f>
        <v>0</v>
      </c>
      <c r="JJ19" s="1" t="n">
        <f aca="false">JB19-JI19</f>
        <v>0</v>
      </c>
      <c r="JK19" s="1" t="n">
        <f aca="false">IF(BK19=1,IF(ABS((1+AS_Wage)/(1+Slot5_Rate)-1)&lt;0.000000000001,(Slot5_Age-D19)*(1+Slot5_Rate)^(Slot5_Age-D19),(1+Slot5_Rate)^(Slot5_Age-D19)*(1-((1+AS_Wage)/(1+Slot5_Rate))^(Slot5_Age-D19))/(1-(1+AS_Wage)/(1+Slot5_Rate))),1)</f>
        <v>1</v>
      </c>
      <c r="JL19" s="1" t="n">
        <f aca="false">IF(AND(HT19=1,ID19&gt;0,Slot5_IsWG=1,BK19=1),MAX(0,(Slot5_Cost-BL19*(1+Slot5_Rate)^(Slot5_Age-D19))/JK19),0)</f>
        <v>0</v>
      </c>
      <c r="JM19" s="1" t="n">
        <f aca="false">IF(AND(HT19=1,ID19&gt;0,Slot5_IsWG=1,BK19=1),MIN(ID19,JL19),0)</f>
        <v>0</v>
      </c>
      <c r="JN19" s="1" t="n">
        <f aca="false">BL19+JM19</f>
        <v>0</v>
      </c>
      <c r="JO19" s="1" t="n">
        <f aca="false">IF(BK19=1,MAX(0,(Slot5_Cost-JN19*(1+Slot5_Rate)^(Slot5_Age-D19))/JK19),0)</f>
        <v>0</v>
      </c>
      <c r="JP19" s="1" t="n">
        <f aca="false">IF(BK19=1,MAX(0,(Slot5_Cost-BL19*(1+Slot5_Rate)^(Slot5_Age-D19))/JK19),0)</f>
        <v>0</v>
      </c>
      <c r="JQ19" s="1" t="n">
        <f aca="false">IF(AND(HT19=1,BK19=1),MIN(JJ19,JO19),0)</f>
        <v>0</v>
      </c>
      <c r="JR19" s="1" t="n">
        <f aca="false">JJ19-JQ19</f>
        <v>0</v>
      </c>
      <c r="JS19" s="1" t="n">
        <f aca="false">IF(BU19=1,IF(ABS((1+AS_Wage)/(1+Slot6_Rate)-1)&lt;0.000000000001,(Slot6_Age-D19)*(1+Slot6_Rate)^(Slot6_Age-D19),(1+Slot6_Rate)^(Slot6_Age-D19)*(1-((1+AS_Wage)/(1+Slot6_Rate))^(Slot6_Age-D19))/(1-(1+AS_Wage)/(1+Slot6_Rate))),1)</f>
        <v>1</v>
      </c>
      <c r="JT19" s="1" t="n">
        <f aca="false">IF(AND(HT19=1,ID19&gt;0,Slot6_IsWG=1,BU19=1),MAX(0,(Slot6_Cost-BV19*(1+Slot6_Rate)^(Slot6_Age-D19))/JS19),0)</f>
        <v>0</v>
      </c>
      <c r="JU19" s="1" t="n">
        <f aca="false">IF(AND(HT19=1,ID19&gt;0,Slot6_IsWG=1,BU19=1),MIN(ID19,JT19),0)</f>
        <v>0</v>
      </c>
      <c r="JV19" s="1" t="n">
        <f aca="false">BV19+JU19</f>
        <v>0</v>
      </c>
      <c r="JW19" s="1" t="n">
        <f aca="false">IF(BU19=1,MAX(0,(Slot6_Cost-JV19*(1+Slot6_Rate)^(Slot6_Age-D19))/JS19),0)</f>
        <v>0</v>
      </c>
      <c r="JX19" s="1" t="n">
        <f aca="false">IF(BU19=1,MAX(0,(Slot6_Cost-BV19*(1+Slot6_Rate)^(Slot6_Age-D19))/JS19),0)</f>
        <v>0</v>
      </c>
      <c r="JY19" s="1" t="n">
        <f aca="false">IF(AND(HT19=1,BU19=1),MIN(JR19,JW19),0)</f>
        <v>0</v>
      </c>
      <c r="JZ19" s="1" t="n">
        <f aca="false">JR19-JY19</f>
        <v>0</v>
      </c>
      <c r="KA19" s="1" t="n">
        <f aca="false">IF(CE19=1,IF(ABS((1+AS_Wage)/(1+Slot7_Rate)-1)&lt;0.000000000001,(Slot7_Age-D19)*(1+Slot7_Rate)^(Slot7_Age-D19),(1+Slot7_Rate)^(Slot7_Age-D19)*(1-((1+AS_Wage)/(1+Slot7_Rate))^(Slot7_Age-D19))/(1-(1+AS_Wage)/(1+Slot7_Rate))),1)</f>
        <v>1</v>
      </c>
      <c r="KB19" s="1" t="n">
        <f aca="false">IF(AND(HT19=1,ID19&gt;0,Slot7_IsWG=1,CE19=1),MAX(0,(Slot7_Cost-CF19*(1+Slot7_Rate)^(Slot7_Age-D19))/KA19),0)</f>
        <v>0</v>
      </c>
      <c r="KC19" s="1" t="n">
        <f aca="false">IF(AND(HT19=1,ID19&gt;0,Slot7_IsWG=1,CE19=1),MIN(ID19,KB19),0)</f>
        <v>0</v>
      </c>
      <c r="KD19" s="1" t="n">
        <f aca="false">CF19+KC19</f>
        <v>0</v>
      </c>
      <c r="KE19" s="1" t="n">
        <f aca="false">IF(CE19=1,MAX(0,(Slot7_Cost-KD19*(1+Slot7_Rate)^(Slot7_Age-D19))/KA19),0)</f>
        <v>0</v>
      </c>
      <c r="KF19" s="1" t="n">
        <f aca="false">IF(CE19=1,MAX(0,(Slot7_Cost-CF19*(1+Slot7_Rate)^(Slot7_Age-D19))/KA19),0)</f>
        <v>0</v>
      </c>
      <c r="KG19" s="1" t="n">
        <f aca="false">IF(AND(HT19=1,CE19=1),MIN(JZ19,KE19),0)</f>
        <v>0</v>
      </c>
      <c r="KH19" s="1" t="n">
        <f aca="false">JZ19-KG19</f>
        <v>0</v>
      </c>
      <c r="KI19" s="1" t="n">
        <f aca="false">IF(CO19=1,IF(ABS((1+AS_Wage)/(1+Slot8_Rate)-1)&lt;0.000000000001,(Slot8_Age-D19)*(1+Slot8_Rate)^(Slot8_Age-D19),(1+Slot8_Rate)^(Slot8_Age-D19)*(1-((1+AS_Wage)/(1+Slot8_Rate))^(Slot8_Age-D19))/(1-(1+AS_Wage)/(1+Slot8_Rate))),1)</f>
        <v>1</v>
      </c>
      <c r="KJ19" s="1" t="n">
        <f aca="false">IF(AND(HT19=1,ID19&gt;0,Slot8_IsWG=1,CO19=1),MAX(0,(Slot8_Cost-CP19*(1+Slot8_Rate)^(Slot8_Age-D19))/KI19),0)</f>
        <v>0</v>
      </c>
      <c r="KK19" s="1" t="n">
        <f aca="false">IF(AND(HT19=1,ID19&gt;0,Slot8_IsWG=1,CO19=1),MIN(ID19,KJ19),0)</f>
        <v>0</v>
      </c>
      <c r="KL19" s="1" t="n">
        <f aca="false">CP19+KK19</f>
        <v>0</v>
      </c>
      <c r="KM19" s="1" t="n">
        <f aca="false">IF(CO19=1,MAX(0,(Slot8_Cost-KL19*(1+Slot8_Rate)^(Slot8_Age-D19))/KI19),0)</f>
        <v>0</v>
      </c>
      <c r="KN19" s="1" t="n">
        <f aca="false">IF(CO19=1,MAX(0,(Slot8_Cost-CP19*(1+Slot8_Rate)^(Slot8_Age-D19))/KI19),0)</f>
        <v>0</v>
      </c>
      <c r="KO19" s="1" t="n">
        <f aca="false">IF(AND(HT19=1,CO19=1),MIN(KH19,KM19),0)</f>
        <v>0</v>
      </c>
      <c r="KP19" s="1" t="n">
        <f aca="false">KH19-KO19</f>
        <v>0</v>
      </c>
      <c r="KQ19" s="1" t="n">
        <f aca="false">IF(CY19=1,IF(ABS((1+AS_Wage)/(1+Slot9_Rate)-1)&lt;0.000000000001,(Slot9_Age-D19)*(1+Slot9_Rate)^(Slot9_Age-D19),(1+Slot9_Rate)^(Slot9_Age-D19)*(1-((1+AS_Wage)/(1+Slot9_Rate))^(Slot9_Age-D19))/(1-(1+AS_Wage)/(1+Slot9_Rate))),1)</f>
        <v>1</v>
      </c>
      <c r="KR19" s="1" t="n">
        <f aca="false">IF(AND(HT19=1,ID19&gt;0,Slot9_IsWG=1,CY19=1),MAX(0,(Slot9_Cost-CZ19*(1+Slot9_Rate)^(Slot9_Age-D19))/KQ19),0)</f>
        <v>0</v>
      </c>
      <c r="KS19" s="1" t="n">
        <f aca="false">IF(AND(HT19=1,ID19&gt;0,Slot9_IsWG=1,CY19=1),MIN(ID19,KR19),0)</f>
        <v>0</v>
      </c>
      <c r="KT19" s="1" t="n">
        <f aca="false">CZ19+KS19</f>
        <v>0</v>
      </c>
      <c r="KU19" s="1" t="n">
        <f aca="false">IF(CY19=1,MAX(0,(Slot9_Cost-KT19*(1+Slot9_Rate)^(Slot9_Age-D19))/KQ19),0)</f>
        <v>0</v>
      </c>
      <c r="KV19" s="1" t="n">
        <f aca="false">IF(CY19=1,MAX(0,(Slot9_Cost-CZ19*(1+Slot9_Rate)^(Slot9_Age-D19))/KQ19),0)</f>
        <v>0</v>
      </c>
      <c r="KW19" s="1" t="n">
        <f aca="false">IF(AND(HT19=1,CY19=1),MIN(KP19,KU19),0)</f>
        <v>0</v>
      </c>
      <c r="KX19" s="1" t="n">
        <f aca="false">KP19-KW19</f>
        <v>0</v>
      </c>
      <c r="KY19" s="1" t="n">
        <f aca="false">IF(DI19=1,IF(ABS((1+AS_Wage)/(1+Slot10_Rate)-1)&lt;0.000000000001,(Slot10_Age-D19)*(1+Slot10_Rate)^(Slot10_Age-D19),(1+Slot10_Rate)^(Slot10_Age-D19)*(1-((1+AS_Wage)/(1+Slot10_Rate))^(Slot10_Age-D19))/(1-(1+AS_Wage)/(1+Slot10_Rate))),1)</f>
        <v>1</v>
      </c>
      <c r="KZ19" s="1" t="n">
        <f aca="false">IF(AND(HT19=1,ID19&gt;0,Slot10_IsWG=1,DI19=1),MAX(0,(Slot10_Cost-DJ19*(1+Slot10_Rate)^(Slot10_Age-D19))/KY19),0)</f>
        <v>0</v>
      </c>
      <c r="LA19" s="1" t="n">
        <f aca="false">IF(AND(HT19=1,ID19&gt;0,Slot10_IsWG=1,DI19=1),MIN(ID19,KZ19),0)</f>
        <v>0</v>
      </c>
      <c r="LB19" s="1" t="n">
        <f aca="false">DJ19+LA19</f>
        <v>0</v>
      </c>
      <c r="LC19" s="1" t="n">
        <f aca="false">IF(DI19=1,MAX(0,(Slot10_Cost-LB19*(1+Slot10_Rate)^(Slot10_Age-D19))/KY19),0)</f>
        <v>0</v>
      </c>
      <c r="LD19" s="1" t="n">
        <f aca="false">IF(DI19=1,MAX(0,(Slot10_Cost-DJ19*(1+Slot10_Rate)^(Slot10_Age-D19))/KY19),0)</f>
        <v>0</v>
      </c>
      <c r="LE19" s="1" t="n">
        <f aca="false">IF(AND(HT19=1,DI19=1),MIN(KX19,LC19),0)</f>
        <v>0</v>
      </c>
      <c r="LF19" s="1" t="n">
        <f aca="false">KX19-LE19</f>
        <v>0</v>
      </c>
      <c r="LG19" s="1" t="n">
        <f aca="false">IF(DS19=1,IF(ABS((1+AS_Wage)/(1+Slot11_Rate)-1)&lt;0.000000000001,(Slot11_Age-D19)*(1+Slot11_Rate)^(Slot11_Age-D19),(1+Slot11_Rate)^(Slot11_Age-D19)*(1-((1+AS_Wage)/(1+Slot11_Rate))^(Slot11_Age-D19))/(1-(1+AS_Wage)/(1+Slot11_Rate))),1)</f>
        <v>1</v>
      </c>
      <c r="LH19" s="1" t="n">
        <f aca="false">IF(AND(HT19=1,ID19&gt;0,Slot11_IsWG=1,DS19=1),MAX(0,(Slot11_Cost-DT19*(1+Slot11_Rate)^(Slot11_Age-D19))/LG19),0)</f>
        <v>0</v>
      </c>
      <c r="LI19" s="1" t="n">
        <f aca="false">IF(AND(HT19=1,ID19&gt;0,Slot11_IsWG=1,DS19=1),MIN(ID19,LH19),0)</f>
        <v>0</v>
      </c>
      <c r="LJ19" s="1" t="n">
        <f aca="false">DT19+LI19</f>
        <v>0</v>
      </c>
      <c r="LK19" s="1" t="n">
        <f aca="false">IF(DS19=1,MAX(0,(Slot11_Cost-LJ19*(1+Slot11_Rate)^(Slot11_Age-D19))/LG19),0)</f>
        <v>0</v>
      </c>
      <c r="LL19" s="1" t="n">
        <f aca="false">IF(DS19=1,MAX(0,(Slot11_Cost-DT19*(1+Slot11_Rate)^(Slot11_Age-D19))/LG19),0)</f>
        <v>0</v>
      </c>
      <c r="LM19" s="1" t="n">
        <f aca="false">IF(AND(HT19=1,DS19=1),MIN(LF19,LK19),0)</f>
        <v>0</v>
      </c>
      <c r="LN19" s="1" t="n">
        <f aca="false">LF19-LM19</f>
        <v>0</v>
      </c>
      <c r="LO19" s="1" t="n">
        <f aca="false">IF(EC19=1,IF(ABS((1+AS_Wage)/(1+Slot12_Rate)-1)&lt;0.000000000001,(Slot12_Age-D19)*(1+Slot12_Rate)^(Slot12_Age-D19),(1+Slot12_Rate)^(Slot12_Age-D19)*(1-((1+AS_Wage)/(1+Slot12_Rate))^(Slot12_Age-D19))/(1-(1+AS_Wage)/(1+Slot12_Rate))),1)</f>
        <v>1</v>
      </c>
      <c r="LP19" s="1" t="n">
        <f aca="false">IF(AND(HT19=1,ID19&gt;0,Slot12_IsWG=1,EC19=1),MAX(0,(Slot12_Cost-ED19*(1+Slot12_Rate)^(Slot12_Age-D19))/LO19),0)</f>
        <v>0</v>
      </c>
      <c r="LQ19" s="1" t="n">
        <f aca="false">IF(AND(HT19=1,ID19&gt;0,Slot12_IsWG=1,EC19=1),MIN(ID19,LP19),0)</f>
        <v>0</v>
      </c>
      <c r="LR19" s="1" t="n">
        <f aca="false">ED19+LQ19</f>
        <v>0</v>
      </c>
      <c r="LS19" s="1" t="n">
        <f aca="false">IF(EC19=1,MAX(0,(Slot12_Cost-LR19*(1+Slot12_Rate)^(Slot12_Age-D19))/LO19),0)</f>
        <v>0</v>
      </c>
      <c r="LT19" s="1" t="n">
        <f aca="false">IF(EC19=1,MAX(0,(Slot12_Cost-ED19*(1+Slot12_Rate)^(Slot12_Age-D19))/LO19),0)</f>
        <v>0</v>
      </c>
      <c r="LU19" s="1" t="n">
        <f aca="false">IF(AND(HT19=1,EC19=1),MIN(LN19,LS19),0)</f>
        <v>0</v>
      </c>
      <c r="LV19" s="1" t="n">
        <f aca="false">LN19-LU19</f>
        <v>0</v>
      </c>
      <c r="LW19" s="1" t="n">
        <f aca="false">IF(EM19=1,IF(ABS((1+AS_Wage)/(1+Slot13_Rate)-1)&lt;0.000000000001,(Slot13_Age-D19)*(1+Slot13_Rate)^(Slot13_Age-D19),(1+Slot13_Rate)^(Slot13_Age-D19)*(1-((1+AS_Wage)/(1+Slot13_Rate))^(Slot13_Age-D19))/(1-(1+AS_Wage)/(1+Slot13_Rate))),1)</f>
        <v>1</v>
      </c>
      <c r="LX19" s="1" t="n">
        <f aca="false">IF(AND(HT19=1,ID19&gt;0,Slot13_IsWG=1,EM19=1),MAX(0,(Slot13_Cost-EN19*(1+Slot13_Rate)^(Slot13_Age-D19))/LW19),0)</f>
        <v>0</v>
      </c>
      <c r="LY19" s="1" t="n">
        <f aca="false">IF(AND(HT19=1,ID19&gt;0,Slot13_IsWG=1,EM19=1),MIN(ID19,LX19),0)</f>
        <v>0</v>
      </c>
      <c r="LZ19" s="1" t="n">
        <f aca="false">EN19+LY19</f>
        <v>0</v>
      </c>
      <c r="MA19" s="1" t="n">
        <f aca="false">IF(EM19=1,MAX(0,(Slot13_Cost-LZ19*(1+Slot13_Rate)^(Slot13_Age-D19))/LW19),0)</f>
        <v>0</v>
      </c>
      <c r="MB19" s="1" t="n">
        <f aca="false">IF(EM19=1,MAX(0,(Slot13_Cost-EN19*(1+Slot13_Rate)^(Slot13_Age-D19))/LW19),0)</f>
        <v>0</v>
      </c>
      <c r="MC19" s="1" t="n">
        <f aca="false">IF(AND(HT19=1,EM19=1),MIN(LV19,MA19),0)</f>
        <v>0</v>
      </c>
      <c r="MD19" s="1" t="n">
        <f aca="false">LV19-MC19</f>
        <v>0</v>
      </c>
      <c r="ME19" s="1" t="n">
        <f aca="false">IF(EW19=1,IF(ABS((1+AS_Wage)/(1+Slot14_Rate)-1)&lt;0.000000000001,(Slot14_Age-D19)*(1+Slot14_Rate)^(Slot14_Age-D19),(1+Slot14_Rate)^(Slot14_Age-D19)*(1-((1+AS_Wage)/(1+Slot14_Rate))^(Slot14_Age-D19))/(1-(1+AS_Wage)/(1+Slot14_Rate))),1)</f>
        <v>1</v>
      </c>
      <c r="MF19" s="1" t="n">
        <f aca="false">IF(AND(HT19=1,ID19&gt;0,Slot14_IsWG=1,EW19=1),MAX(0,(Slot14_Cost-EX19*(1+Slot14_Rate)^(Slot14_Age-D19))/ME19),0)</f>
        <v>0</v>
      </c>
      <c r="MG19" s="1" t="n">
        <f aca="false">IF(AND(HT19=1,ID19&gt;0,Slot14_IsWG=1,EW19=1),MIN(ID19,MF19),0)</f>
        <v>0</v>
      </c>
      <c r="MH19" s="1" t="n">
        <f aca="false">EX19+MG19</f>
        <v>0</v>
      </c>
      <c r="MI19" s="1" t="n">
        <f aca="false">IF(EW19=1,MAX(0,(Slot14_Cost-MH19*(1+Slot14_Rate)^(Slot14_Age-D19))/ME19),0)</f>
        <v>0</v>
      </c>
      <c r="MJ19" s="1" t="n">
        <f aca="false">IF(EW19=1,MAX(0,(Slot14_Cost-EX19*(1+Slot14_Rate)^(Slot14_Age-D19))/ME19),0)</f>
        <v>0</v>
      </c>
      <c r="MK19" s="1" t="n">
        <f aca="false">IF(AND(HT19=1,EW19=1),MIN(MD19,MI19),0)</f>
        <v>0</v>
      </c>
      <c r="ML19" s="1" t="n">
        <f aca="false">MD19-MK19</f>
        <v>0</v>
      </c>
      <c r="MM19" s="1" t="n">
        <f aca="false">IF(FG19=1,IF(ABS((1+AS_Wage)/(1+Slot15_Rate)-1)&lt;0.000000000001,(Slot15_Age-D19)*(1+Slot15_Rate)^(Slot15_Age-D19),(1+Slot15_Rate)^(Slot15_Age-D19)*(1-((1+AS_Wage)/(1+Slot15_Rate))^(Slot15_Age-D19))/(1-(1+AS_Wage)/(1+Slot15_Rate))),1)</f>
        <v>1</v>
      </c>
      <c r="MN19" s="1" t="n">
        <f aca="false">IF(AND(HT19=1,ID19&gt;0,Slot15_IsWG=1,FG19=1),MAX(0,(Slot15_Cost-FH19*(1+Slot15_Rate)^(Slot15_Age-D19))/MM19),0)</f>
        <v>0</v>
      </c>
      <c r="MO19" s="1" t="n">
        <f aca="false">IF(AND(HT19=1,ID19&gt;0,Slot15_IsWG=1,FG19=1),MIN(ID19,MN19),0)</f>
        <v>0</v>
      </c>
      <c r="MP19" s="1" t="n">
        <f aca="false">FH19+MO19</f>
        <v>0</v>
      </c>
      <c r="MQ19" s="1" t="n">
        <f aca="false">IF(FG19=1,MAX(0,(Slot15_Cost-MP19*(1+Slot15_Rate)^(Slot15_Age-D19))/MM19),0)</f>
        <v>0</v>
      </c>
      <c r="MR19" s="1" t="n">
        <f aca="false">IF(FG19=1,MAX(0,(Slot15_Cost-FH19*(1+Slot15_Rate)^(Slot15_Age-D19))/MM19),0)</f>
        <v>0</v>
      </c>
      <c r="MS19" s="1" t="n">
        <f aca="false">IF(AND(HT19=1,FG19=1),MIN(ML19,MQ19),0)</f>
        <v>0</v>
      </c>
      <c r="MT19" s="1" t="n">
        <f aca="false">ML19-MS19</f>
        <v>0</v>
      </c>
      <c r="MU19" s="1" t="n">
        <f aca="false">IF(FQ19=1,IF(ABS((1+AS_Wage)/(1+Slot16_Rate)-1)&lt;0.000000000001,(Slot16_Age-D19)*(1+Slot16_Rate)^(Slot16_Age-D19),(1+Slot16_Rate)^(Slot16_Age-D19)*(1-((1+AS_Wage)/(1+Slot16_Rate))^(Slot16_Age-D19))/(1-(1+AS_Wage)/(1+Slot16_Rate))),1)</f>
        <v>1</v>
      </c>
      <c r="MV19" s="1" t="n">
        <f aca="false">IF(AND(HT19=1,ID19&gt;0,Slot16_IsWG=1,FQ19=1),MAX(0,(Slot16_Cost-FR19*(1+Slot16_Rate)^(Slot16_Age-D19))/MU19),0)</f>
        <v>0</v>
      </c>
      <c r="MW19" s="1" t="n">
        <f aca="false">IF(AND(HT19=1,ID19&gt;0,Slot16_IsWG=1,FQ19=1),MIN(ID19,MV19),0)</f>
        <v>0</v>
      </c>
      <c r="MX19" s="1" t="n">
        <f aca="false">FR19+MW19</f>
        <v>0</v>
      </c>
      <c r="MY19" s="1" t="n">
        <f aca="false">IF(FQ19=1,MAX(0,(Slot16_Cost-MX19*(1+Slot16_Rate)^(Slot16_Age-D19))/MU19),0)</f>
        <v>0</v>
      </c>
      <c r="MZ19" s="1" t="n">
        <f aca="false">IF(FQ19=1,MAX(0,(Slot16_Cost-FR19*(1+Slot16_Rate)^(Slot16_Age-D19))/MU19),0)</f>
        <v>0</v>
      </c>
      <c r="NA19" s="1" t="n">
        <f aca="false">IF(AND(HT19=1,FQ19=1),MIN(MT19,MY19),0)</f>
        <v>0</v>
      </c>
      <c r="NB19" s="1" t="n">
        <f aca="false">MT19-NA19</f>
        <v>0</v>
      </c>
      <c r="NC19" s="1" t="n">
        <f aca="false">IF(GA19=1,IF(ABS((1+AS_Wage)/(1+Slot17_Rate)-1)&lt;0.000000000001,(Slot17_Age-D19)*(1+Slot17_Rate)^(Slot17_Age-D19),(1+Slot17_Rate)^(Slot17_Age-D19)*(1-((1+AS_Wage)/(1+Slot17_Rate))^(Slot17_Age-D19))/(1-(1+AS_Wage)/(1+Slot17_Rate))),1)</f>
        <v>1</v>
      </c>
      <c r="ND19" s="1" t="n">
        <f aca="false">IF(AND(HT19=1,ID19&gt;0,Slot17_IsWG=1,GA19=1),MAX(0,(Slot17_Cost-GB19*(1+Slot17_Rate)^(Slot17_Age-D19))/NC19),0)</f>
        <v>0</v>
      </c>
      <c r="NE19" s="1" t="n">
        <f aca="false">IF(AND(HT19=1,ID19&gt;0,Slot17_IsWG=1,GA19=1),MIN(ID19,ND19),0)</f>
        <v>0</v>
      </c>
      <c r="NF19" s="1" t="n">
        <f aca="false">GB19+NE19</f>
        <v>0</v>
      </c>
      <c r="NG19" s="1" t="n">
        <f aca="false">IF(GA19=1,MAX(0,(Slot17_Cost-NF19*(1+Slot17_Rate)^(Slot17_Age-D19))/NC19),0)</f>
        <v>0</v>
      </c>
      <c r="NH19" s="1" t="n">
        <f aca="false">IF(GA19=1,MAX(0,(Slot17_Cost-GB19*(1+Slot17_Rate)^(Slot17_Age-D19))/NC19),0)</f>
        <v>0</v>
      </c>
      <c r="NI19" s="1" t="n">
        <f aca="false">IF(AND(HT19=1,GA19=1),MIN(NB19,NG19),0)</f>
        <v>0</v>
      </c>
      <c r="NJ19" s="1" t="n">
        <f aca="false">NB19-NI19</f>
        <v>0</v>
      </c>
      <c r="NK19" s="1" t="n">
        <f aca="false">IF(GK19=1,IF(ABS((1+AS_Wage)/(1+Slot18_Rate)-1)&lt;0.000000000001,(Slot18_Age-D19)*(1+Slot18_Rate)^(Slot18_Age-D19),(1+Slot18_Rate)^(Slot18_Age-D19)*(1-((1+AS_Wage)/(1+Slot18_Rate))^(Slot18_Age-D19))/(1-(1+AS_Wage)/(1+Slot18_Rate))),1)</f>
        <v>1</v>
      </c>
      <c r="NL19" s="1" t="n">
        <f aca="false">IF(AND(HT19=1,ID19&gt;0,Slot18_IsWG=1,GK19=1),MAX(0,(Slot18_Cost-GL19*(1+Slot18_Rate)^(Slot18_Age-D19))/NK19),0)</f>
        <v>0</v>
      </c>
      <c r="NM19" s="1" t="n">
        <f aca="false">IF(AND(HT19=1,ID19&gt;0,Slot18_IsWG=1,GK19=1),MIN(ID19,NL19),0)</f>
        <v>0</v>
      </c>
      <c r="NN19" s="1" t="n">
        <f aca="false">GL19+NM19</f>
        <v>0</v>
      </c>
      <c r="NO19" s="1" t="n">
        <f aca="false">IF(GK19=1,MAX(0,(Slot18_Cost-NN19*(1+Slot18_Rate)^(Slot18_Age-D19))/NK19),0)</f>
        <v>0</v>
      </c>
      <c r="NP19" s="1" t="n">
        <f aca="false">IF(GK19=1,MAX(0,(Slot18_Cost-GL19*(1+Slot18_Rate)^(Slot18_Age-D19))/NK19),0)</f>
        <v>0</v>
      </c>
      <c r="NQ19" s="1" t="n">
        <f aca="false">IF(AND(HT19=1,GK19=1),MIN(NJ19,NO19),0)</f>
        <v>0</v>
      </c>
      <c r="NR19" s="1" t="n">
        <f aca="false">NJ19-NQ19</f>
        <v>0</v>
      </c>
      <c r="NS19" s="1" t="n">
        <f aca="false">IF(GU19=1,IF(ABS((1+AS_Wage)/(1+Slot19_Rate)-1)&lt;0.000000000001,(Slot19_Age-D19)*(1+Slot19_Rate)^(Slot19_Age-D19),(1+Slot19_Rate)^(Slot19_Age-D19)*(1-((1+AS_Wage)/(1+Slot19_Rate))^(Slot19_Age-D19))/(1-(1+AS_Wage)/(1+Slot19_Rate))),1)</f>
        <v>1</v>
      </c>
      <c r="NT19" s="1" t="n">
        <f aca="false">IF(AND(HT19=1,ID19&gt;0,Slot19_IsWG=1,GU19=1),MAX(0,(Slot19_Cost-GV19*(1+Slot19_Rate)^(Slot19_Age-D19))/NS19),0)</f>
        <v>0</v>
      </c>
      <c r="NU19" s="1" t="n">
        <f aca="false">IF(AND(HT19=1,ID19&gt;0,Slot19_IsWG=1,GU19=1),MIN(ID19,NT19),0)</f>
        <v>0</v>
      </c>
      <c r="NV19" s="1" t="n">
        <f aca="false">GV19+NU19</f>
        <v>0</v>
      </c>
      <c r="NW19" s="1" t="n">
        <f aca="false">IF(GU19=1,MAX(0,(Slot19_Cost-NV19*(1+Slot19_Rate)^(Slot19_Age-D19))/NS19),0)</f>
        <v>0</v>
      </c>
      <c r="NX19" s="1" t="n">
        <f aca="false">IF(GU19=1,MAX(0,(Slot19_Cost-GV19*(1+Slot19_Rate)^(Slot19_Age-D19))/NS19),0)</f>
        <v>0</v>
      </c>
      <c r="NY19" s="1" t="n">
        <f aca="false">IF(AND(HT19=1,GU19=1),MIN(NR19,NW19),0)</f>
        <v>0</v>
      </c>
      <c r="NZ19" s="1" t="n">
        <f aca="false">NR19-NY19</f>
        <v>0</v>
      </c>
      <c r="OA19" s="1" t="n">
        <f aca="false">IF(HE19=1,IF(ABS((1+AS_Wage)/(1+Slot20_Rate)-1)&lt;0.000000000001,(Slot20_Age-D19)*(1+Slot20_Rate)^(Slot20_Age-D19),(1+Slot20_Rate)^(Slot20_Age-D19)*(1-((1+AS_Wage)/(1+Slot20_Rate))^(Slot20_Age-D19))/(1-(1+AS_Wage)/(1+Slot20_Rate))),1)</f>
        <v>1</v>
      </c>
      <c r="OB19" s="1" t="n">
        <f aca="false">IF(AND(HT19=1,ID19&gt;0,Slot20_IsWG=1,HE19=1),MAX(0,(Slot20_Cost-HF19*(1+Slot20_Rate)^(Slot20_Age-D19))/OA19),0)</f>
        <v>0</v>
      </c>
      <c r="OC19" s="1" t="n">
        <f aca="false">IF(AND(HT19=1,ID19&gt;0,Slot20_IsWG=1,HE19=1),MIN(ID19,OB19),0)</f>
        <v>0</v>
      </c>
      <c r="OD19" s="1" t="n">
        <f aca="false">HF19+OC19</f>
        <v>0</v>
      </c>
      <c r="OE19" s="1" t="n">
        <f aca="false">IF(HE19=1,MAX(0,(Slot20_Cost-OD19*(1+Slot20_Rate)^(Slot20_Age-D19))/OA19),0)</f>
        <v>0</v>
      </c>
      <c r="OF19" s="1" t="n">
        <f aca="false">IF(HE19=1,MAX(0,(Slot20_Cost-HF19*(1+Slot20_Rate)^(Slot20_Age-D19))/OA19),0)</f>
        <v>0</v>
      </c>
      <c r="OG19" s="1" t="n">
        <f aca="false">IF(AND(HT19=1,HE19=1),MIN(NZ19,OE19),0)</f>
        <v>0</v>
      </c>
      <c r="OH19" s="1" t="n">
        <f aca="false">NZ19-OG19</f>
        <v>0</v>
      </c>
      <c r="OI19" s="1" t="n">
        <f aca="false">ID19-(IG19+IO19+IW19+JE19+JM19+JU19+KC19+KK19+KS19+LA19+LI19+LQ19+LY19+MG19+MO19+MW19+NE19+NM19+NU19+OC19)</f>
        <v>0</v>
      </c>
      <c r="OJ19" s="1" t="n">
        <f aca="false">IF(HT19=1,HR19-IC19-ID19,0)</f>
        <v>0</v>
      </c>
      <c r="OK19" s="1" t="n">
        <f aca="false">IF(HT19=0,-HR19,0)</f>
        <v>0</v>
      </c>
      <c r="OL19" s="1" t="n">
        <f aca="false">MIN(OK19,HJ19)</f>
        <v>0</v>
      </c>
      <c r="OM19" s="1" t="n">
        <f aca="false">OK19-OL19</f>
        <v>0</v>
      </c>
      <c r="ON19" s="1" t="n">
        <f aca="false">MIN(OM19,HK19)</f>
        <v>0</v>
      </c>
      <c r="OO19" s="1" t="n">
        <f aca="false">OM19-ON19</f>
        <v>0</v>
      </c>
      <c r="OP19" s="1" t="n">
        <f aca="false">IF(AND(HT19=0,HE19=1,OO19&gt;0),MIN(OO19,HF19),0)</f>
        <v>0</v>
      </c>
      <c r="OQ19" s="1" t="n">
        <f aca="false">OO19-OP19</f>
        <v>0</v>
      </c>
      <c r="OR19" s="1" t="n">
        <f aca="false">IF(AND(HT19=0,GU19=1,OQ19&gt;0),MIN(OQ19,GV19),0)</f>
        <v>0</v>
      </c>
      <c r="OS19" s="1" t="n">
        <f aca="false">OQ19-OR19</f>
        <v>0</v>
      </c>
      <c r="OT19" s="1" t="n">
        <f aca="false">IF(AND(HT19=0,GK19=1,OS19&gt;0),MIN(OS19,GL19),0)</f>
        <v>0</v>
      </c>
      <c r="OU19" s="1" t="n">
        <f aca="false">OS19-OT19</f>
        <v>0</v>
      </c>
      <c r="OV19" s="1" t="n">
        <f aca="false">IF(AND(HT19=0,GA19=1,OU19&gt;0),MIN(OU19,GB19),0)</f>
        <v>0</v>
      </c>
      <c r="OW19" s="1" t="n">
        <f aca="false">OU19-OV19</f>
        <v>0</v>
      </c>
      <c r="OX19" s="1" t="n">
        <f aca="false">IF(AND(HT19=0,FQ19=1,OW19&gt;0),MIN(OW19,FR19),0)</f>
        <v>0</v>
      </c>
      <c r="OY19" s="1" t="n">
        <f aca="false">OW19-OX19</f>
        <v>0</v>
      </c>
      <c r="OZ19" s="1" t="n">
        <f aca="false">IF(AND(HT19=0,FG19=1,OY19&gt;0),MIN(OY19,FH19),0)</f>
        <v>0</v>
      </c>
      <c r="PA19" s="1" t="n">
        <f aca="false">OY19-OZ19</f>
        <v>0</v>
      </c>
      <c r="PB19" s="1" t="n">
        <f aca="false">IF(AND(HT19=0,EW19=1,PA19&gt;0),MIN(PA19,EX19),0)</f>
        <v>0</v>
      </c>
      <c r="PC19" s="1" t="n">
        <f aca="false">PA19-PB19</f>
        <v>0</v>
      </c>
      <c r="PD19" s="1" t="n">
        <f aca="false">IF(AND(HT19=0,EM19=1,PC19&gt;0),MIN(PC19,EN19),0)</f>
        <v>0</v>
      </c>
      <c r="PE19" s="1" t="n">
        <f aca="false">PC19-PD19</f>
        <v>0</v>
      </c>
      <c r="PF19" s="1" t="n">
        <f aca="false">IF(AND(HT19=0,EC19=1,PE19&gt;0),MIN(PE19,ED19),0)</f>
        <v>0</v>
      </c>
      <c r="PG19" s="1" t="n">
        <f aca="false">PE19-PF19</f>
        <v>0</v>
      </c>
      <c r="PH19" s="1" t="n">
        <f aca="false">IF(AND(HT19=0,DS19=1,PG19&gt;0),MIN(PG19,DT19),0)</f>
        <v>0</v>
      </c>
      <c r="PI19" s="1" t="n">
        <f aca="false">PG19-PH19</f>
        <v>0</v>
      </c>
      <c r="PJ19" s="1" t="n">
        <f aca="false">IF(AND(HT19=0,DI19=1,PI19&gt;0),MIN(PI19,DJ19),0)</f>
        <v>0</v>
      </c>
      <c r="PK19" s="1" t="n">
        <f aca="false">PI19-PJ19</f>
        <v>0</v>
      </c>
      <c r="PL19" s="1" t="n">
        <f aca="false">IF(AND(HT19=0,CY19=1,PK19&gt;0),MIN(PK19,CZ19),0)</f>
        <v>0</v>
      </c>
      <c r="PM19" s="1" t="n">
        <f aca="false">PK19-PL19</f>
        <v>0</v>
      </c>
      <c r="PN19" s="1" t="n">
        <f aca="false">IF(AND(HT19=0,CO19=1,PM19&gt;0),MIN(PM19,CP19),0)</f>
        <v>0</v>
      </c>
      <c r="PO19" s="1" t="n">
        <f aca="false">PM19-PN19</f>
        <v>0</v>
      </c>
      <c r="PP19" s="1" t="n">
        <f aca="false">IF(AND(HT19=0,CE19=1,PO19&gt;0),MIN(PO19,CF19),0)</f>
        <v>0</v>
      </c>
      <c r="PQ19" s="1" t="n">
        <f aca="false">PO19-PP19</f>
        <v>0</v>
      </c>
      <c r="PR19" s="1" t="n">
        <f aca="false">IF(AND(HT19=0,BU19=1,PQ19&gt;0),MIN(PQ19,BV19),0)</f>
        <v>0</v>
      </c>
      <c r="PS19" s="1" t="n">
        <f aca="false">PQ19-PR19</f>
        <v>0</v>
      </c>
      <c r="PT19" s="1" t="n">
        <f aca="false">IF(AND(HT19=0,BK19=1,PS19&gt;0),MIN(PS19,BL19),0)</f>
        <v>0</v>
      </c>
      <c r="PU19" s="1" t="n">
        <f aca="false">PS19-PT19</f>
        <v>0</v>
      </c>
      <c r="PV19" s="1" t="n">
        <f aca="false">IF(AND(HT19=0,BA19=1,PU19&gt;0),MIN(PU19,BB19),0)</f>
        <v>0</v>
      </c>
      <c r="PW19" s="1" t="n">
        <f aca="false">PU19-PV19</f>
        <v>0</v>
      </c>
      <c r="PX19" s="1" t="n">
        <f aca="false">IF(AND(HT19=0,AQ19=1,PW19&gt;0),MIN(PW19,AR19),0)</f>
        <v>0</v>
      </c>
      <c r="PY19" s="1" t="n">
        <f aca="false">PW19-PX19</f>
        <v>0</v>
      </c>
      <c r="PZ19" s="1" t="n">
        <f aca="false">IF(AND(HT19=0,AG19=1,PY19&gt;0),MIN(PY19,AH19),0)</f>
        <v>0</v>
      </c>
      <c r="QA19" s="1" t="n">
        <f aca="false">PY19-PZ19</f>
        <v>0</v>
      </c>
      <c r="QB19" s="1" t="n">
        <f aca="false">IF(AND(HT19=0,V19=1,QA19&gt;0),MIN(QA19,W19),0)</f>
        <v>0</v>
      </c>
      <c r="QC19" s="1" t="n">
        <f aca="false">QA19-QB19</f>
        <v>0</v>
      </c>
      <c r="QD19" s="1" t="n">
        <f aca="false">IF(HT19=0,QC19,0)</f>
        <v>0</v>
      </c>
      <c r="QE19" s="1" t="n">
        <f aca="false">OL19+ON19+QB19+PZ19+PX19+PV19+PT19+PR19+PP19+PN19+PL19+PJ19+PH19+PF19+PD19+PB19+OZ19+OX19+OV19+OT19+OR19+OP19</f>
        <v>0</v>
      </c>
      <c r="QF19" s="1" t="n">
        <f aca="false">IF(HT19=1,HJ19+OI19+OH19+IF(F19=1,0,OJ19),HJ19-OL19)</f>
        <v>0</v>
      </c>
      <c r="QG19" s="1" t="n">
        <f aca="false">HK19-ON19</f>
        <v>0</v>
      </c>
      <c r="QH19" s="1" t="n">
        <f aca="false">IF(HT19=1,IF(F19=1,IC19+ID19,HR19),0)</f>
        <v>0</v>
      </c>
      <c r="QI19" s="1" t="n">
        <f aca="false">IF(HT19=1,IF(F19=1,HR19-IC19-ID19,0),0)</f>
        <v>0</v>
      </c>
      <c r="QJ19" s="1" t="n">
        <f aca="false">QF19*(1+GR)</f>
        <v>0</v>
      </c>
      <c r="QK19" s="1" t="n">
        <f aca="false">QG19*(1+AS_Cash)</f>
        <v>0</v>
      </c>
      <c r="QL19" s="1" t="n">
        <f aca="false">IF(V19=1,IF(HT19=1,IH19+IK19,W19-QB19)*(1+Slot1_Rate),0)</f>
        <v>0</v>
      </c>
      <c r="QM19" s="1" t="n">
        <f aca="false">IF(AND(HT19=1,V19=1),(IG19+IK19)/E19,0)</f>
        <v>0</v>
      </c>
      <c r="QN19" s="1" t="n">
        <f aca="false">IF(B19=0,IG19+IK19,0)</f>
        <v>0</v>
      </c>
      <c r="QO19" s="1" t="n">
        <f aca="false">IF(B19=0,IF(HT19=1,II19,IJ19),0)</f>
        <v>0</v>
      </c>
      <c r="QP19" s="1" t="n">
        <f aca="false">IF(AG19=1,IF(HT19=1,IP19+IS19,AH19-PZ19)*(1+Slot2_Rate),0)</f>
        <v>0</v>
      </c>
      <c r="QQ19" s="1" t="n">
        <f aca="false">IF(AND(HT19=1,AG19=1),(IO19+IS19)/E19,0)</f>
        <v>0</v>
      </c>
      <c r="QR19" s="1" t="n">
        <f aca="false">IF(B19=0,IO19+IS19,0)</f>
        <v>0</v>
      </c>
      <c r="QS19" s="1" t="n">
        <f aca="false">IF(B19=0,IF(HT19=1,IQ19,IR19),0)</f>
        <v>0</v>
      </c>
      <c r="QT19" s="1" t="n">
        <f aca="false">IF(AQ19=1,IF(HT19=1,IX19+JA19,AR19-PX19)*(1+Slot3_Rate),0)</f>
        <v>0</v>
      </c>
      <c r="QU19" s="1" t="n">
        <f aca="false">IF(AND(HT19=1,AQ19=1),(IW19+JA19)/E19,0)</f>
        <v>0</v>
      </c>
      <c r="QV19" s="1" t="n">
        <f aca="false">IF(B19=0,IW19+JA19,0)</f>
        <v>0</v>
      </c>
      <c r="QW19" s="1" t="n">
        <f aca="false">IF(B19=0,IF(HT19=1,IY19,IZ19),0)</f>
        <v>0</v>
      </c>
      <c r="QX19" s="1" t="n">
        <f aca="false">IF(BA19=1,IF(HT19=1,JF19+JI19,BB19-PV19)*(1+Slot4_Rate),0)</f>
        <v>0</v>
      </c>
      <c r="QY19" s="1" t="n">
        <f aca="false">IF(AND(HT19=1,BA19=1),(JE19+JI19)/E19,0)</f>
        <v>0</v>
      </c>
      <c r="QZ19" s="1" t="n">
        <f aca="false">IF(B19=0,JE19+JI19,0)</f>
        <v>0</v>
      </c>
      <c r="RA19" s="1" t="n">
        <f aca="false">IF(B19=0,IF(HT19=1,JG19,JH19),0)</f>
        <v>0</v>
      </c>
      <c r="RB19" s="1" t="n">
        <f aca="false">IF(BK19=1,IF(HT19=1,JN19+JQ19,BL19-PT19)*(1+Slot5_Rate),0)</f>
        <v>0</v>
      </c>
      <c r="RC19" s="1" t="n">
        <f aca="false">IF(AND(HT19=1,BK19=1),(JM19+JQ19)/E19,0)</f>
        <v>0</v>
      </c>
      <c r="RD19" s="1" t="n">
        <f aca="false">IF(B19=0,JM19+JQ19,0)</f>
        <v>0</v>
      </c>
      <c r="RE19" s="1" t="n">
        <f aca="false">IF(B19=0,IF(HT19=1,JO19,JP19),0)</f>
        <v>0</v>
      </c>
      <c r="RF19" s="1" t="n">
        <f aca="false">IF(BU19=1,IF(HT19=1,JV19+JY19,BV19-PR19)*(1+Slot6_Rate),0)</f>
        <v>0</v>
      </c>
      <c r="RG19" s="1" t="n">
        <f aca="false">IF(AND(HT19=1,BU19=1),(JU19+JY19)/E19,0)</f>
        <v>0</v>
      </c>
      <c r="RH19" s="1" t="n">
        <f aca="false">IF(B19=0,JU19+JY19,0)</f>
        <v>0</v>
      </c>
      <c r="RI19" s="1" t="n">
        <f aca="false">IF(B19=0,IF(HT19=1,JW19,JX19),0)</f>
        <v>0</v>
      </c>
      <c r="RJ19" s="1" t="n">
        <f aca="false">IF(CE19=1,IF(HT19=1,KD19+KG19,CF19-PP19)*(1+Slot7_Rate),0)</f>
        <v>0</v>
      </c>
      <c r="RK19" s="1" t="n">
        <f aca="false">IF(AND(HT19=1,CE19=1),(KC19+KG19)/E19,0)</f>
        <v>0</v>
      </c>
      <c r="RL19" s="1" t="n">
        <f aca="false">IF(B19=0,KC19+KG19,0)</f>
        <v>0</v>
      </c>
      <c r="RM19" s="1" t="n">
        <f aca="false">IF(B19=0,IF(HT19=1,KE19,KF19),0)</f>
        <v>0</v>
      </c>
      <c r="RN19" s="1" t="n">
        <f aca="false">IF(CO19=1,IF(HT19=1,KL19+KO19,CP19-PN19)*(1+Slot8_Rate),0)</f>
        <v>0</v>
      </c>
      <c r="RO19" s="1" t="n">
        <f aca="false">IF(AND(HT19=1,CO19=1),(KK19+KO19)/E19,0)</f>
        <v>0</v>
      </c>
      <c r="RP19" s="1" t="n">
        <f aca="false">IF(B19=0,KK19+KO19,0)</f>
        <v>0</v>
      </c>
      <c r="RQ19" s="1" t="n">
        <f aca="false">IF(B19=0,IF(HT19=1,KM19,KN19),0)</f>
        <v>0</v>
      </c>
      <c r="RR19" s="1" t="n">
        <f aca="false">IF(CY19=1,IF(HT19=1,KT19+KW19,CZ19-PL19)*(1+Slot9_Rate),0)</f>
        <v>0</v>
      </c>
      <c r="RS19" s="1" t="n">
        <f aca="false">IF(AND(HT19=1,CY19=1),(KS19+KW19)/E19,0)</f>
        <v>0</v>
      </c>
      <c r="RT19" s="1" t="n">
        <f aca="false">IF(B19=0,KS19+KW19,0)</f>
        <v>0</v>
      </c>
      <c r="RU19" s="1" t="n">
        <f aca="false">IF(B19=0,IF(HT19=1,KU19,KV19),0)</f>
        <v>0</v>
      </c>
      <c r="RV19" s="1" t="n">
        <f aca="false">IF(DI19=1,IF(HT19=1,LB19+LE19,DJ19-PJ19)*(1+Slot10_Rate),0)</f>
        <v>0</v>
      </c>
      <c r="RW19" s="1" t="n">
        <f aca="false">IF(AND(HT19=1,DI19=1),(LA19+LE19)/E19,0)</f>
        <v>0</v>
      </c>
      <c r="RX19" s="1" t="n">
        <f aca="false">IF(B19=0,LA19+LE19,0)</f>
        <v>0</v>
      </c>
      <c r="RY19" s="1" t="n">
        <f aca="false">IF(B19=0,IF(HT19=1,LC19,LD19),0)</f>
        <v>0</v>
      </c>
      <c r="RZ19" s="1" t="n">
        <f aca="false">IF(DS19=1,IF(HT19=1,LJ19+LM19,DT19-PH19)*(1+Slot11_Rate),0)</f>
        <v>0</v>
      </c>
      <c r="SA19" s="1" t="n">
        <f aca="false">IF(AND(HT19=1,DS19=1),(LI19+LM19)/E19,0)</f>
        <v>0</v>
      </c>
      <c r="SB19" s="1" t="n">
        <f aca="false">IF(B19=0,LI19+LM19,0)</f>
        <v>0</v>
      </c>
      <c r="SC19" s="1" t="n">
        <f aca="false">IF(B19=0,IF(HT19=1,LK19,LL19),0)</f>
        <v>0</v>
      </c>
      <c r="SD19" s="1" t="n">
        <f aca="false">IF(EC19=1,IF(HT19=1,LR19+LU19,ED19-PF19)*(1+Slot12_Rate),0)</f>
        <v>0</v>
      </c>
      <c r="SE19" s="1" t="n">
        <f aca="false">IF(AND(HT19=1,EC19=1),(LQ19+LU19)/E19,0)</f>
        <v>0</v>
      </c>
      <c r="SF19" s="1" t="n">
        <f aca="false">IF(B19=0,LQ19+LU19,0)</f>
        <v>0</v>
      </c>
      <c r="SG19" s="1" t="n">
        <f aca="false">IF(B19=0,IF(HT19=1,LS19,LT19),0)</f>
        <v>0</v>
      </c>
      <c r="SH19" s="1" t="n">
        <f aca="false">IF(EM19=1,IF(HT19=1,LZ19+MC19,EN19-PD19)*(1+Slot13_Rate),0)</f>
        <v>0</v>
      </c>
      <c r="SI19" s="1" t="n">
        <f aca="false">IF(AND(HT19=1,EM19=1),(LY19+MC19)/E19,0)</f>
        <v>0</v>
      </c>
      <c r="SJ19" s="1" t="n">
        <f aca="false">IF(B19=0,LY19+MC19,0)</f>
        <v>0</v>
      </c>
      <c r="SK19" s="1" t="n">
        <f aca="false">IF(B19=0,IF(HT19=1,MA19,MB19),0)</f>
        <v>0</v>
      </c>
      <c r="SL19" s="1" t="n">
        <f aca="false">IF(EW19=1,IF(HT19=1,MH19+MK19,EX19-PB19)*(1+Slot14_Rate),0)</f>
        <v>0</v>
      </c>
      <c r="SM19" s="1" t="n">
        <f aca="false">IF(AND(HT19=1,EW19=1),(MG19+MK19)/E19,0)</f>
        <v>0</v>
      </c>
      <c r="SN19" s="1" t="n">
        <f aca="false">IF(B19=0,MG19+MK19,0)</f>
        <v>0</v>
      </c>
      <c r="SO19" s="1" t="n">
        <f aca="false">IF(B19=0,IF(HT19=1,MI19,MJ19),0)</f>
        <v>0</v>
      </c>
      <c r="SP19" s="1" t="n">
        <f aca="false">IF(FG19=1,IF(HT19=1,MP19+MS19,FH19-OZ19)*(1+Slot15_Rate),0)</f>
        <v>0</v>
      </c>
      <c r="SQ19" s="1" t="n">
        <f aca="false">IF(AND(HT19=1,FG19=1),(MO19+MS19)/E19,0)</f>
        <v>0</v>
      </c>
      <c r="SR19" s="1" t="n">
        <f aca="false">IF(B19=0,MO19+MS19,0)</f>
        <v>0</v>
      </c>
      <c r="SS19" s="1" t="n">
        <f aca="false">IF(B19=0,IF(HT19=1,MQ19,MR19),0)</f>
        <v>0</v>
      </c>
      <c r="ST19" s="1" t="n">
        <f aca="false">IF(FQ19=1,IF(HT19=1,MX19+NA19,FR19-OX19)*(1+Slot16_Rate),0)</f>
        <v>0</v>
      </c>
      <c r="SU19" s="1" t="n">
        <f aca="false">IF(AND(HT19=1,FQ19=1),(MW19+NA19)/E19,0)</f>
        <v>0</v>
      </c>
      <c r="SV19" s="1" t="n">
        <f aca="false">IF(B19=0,MW19+NA19,0)</f>
        <v>0</v>
      </c>
      <c r="SW19" s="1" t="n">
        <f aca="false">IF(B19=0,IF(HT19=1,MY19,MZ19),0)</f>
        <v>0</v>
      </c>
      <c r="SX19" s="1" t="n">
        <f aca="false">IF(GA19=1,IF(HT19=1,NF19+NI19,GB19-OV19)*(1+Slot17_Rate),0)</f>
        <v>0</v>
      </c>
      <c r="SY19" s="1" t="n">
        <f aca="false">IF(AND(HT19=1,GA19=1),(NE19+NI19)/E19,0)</f>
        <v>0</v>
      </c>
      <c r="SZ19" s="1" t="n">
        <f aca="false">IF(B19=0,NE19+NI19,0)</f>
        <v>0</v>
      </c>
      <c r="TA19" s="1" t="n">
        <f aca="false">IF(B19=0,IF(HT19=1,NG19,NH19),0)</f>
        <v>0</v>
      </c>
      <c r="TB19" s="1" t="n">
        <f aca="false">IF(GK19=1,IF(HT19=1,NN19+NQ19,GL19-OT19)*(1+Slot18_Rate),0)</f>
        <v>0</v>
      </c>
      <c r="TC19" s="1" t="n">
        <f aca="false">IF(AND(HT19=1,GK19=1),(NM19+NQ19)/E19,0)</f>
        <v>0</v>
      </c>
      <c r="TD19" s="1" t="n">
        <f aca="false">IF(B19=0,NM19+NQ19,0)</f>
        <v>0</v>
      </c>
      <c r="TE19" s="1" t="n">
        <f aca="false">IF(B19=0,IF(HT19=1,NO19,NP19),0)</f>
        <v>0</v>
      </c>
      <c r="TF19" s="1" t="n">
        <f aca="false">IF(GU19=1,IF(HT19=1,NV19+NY19,GV19-OR19)*(1+Slot19_Rate),0)</f>
        <v>0</v>
      </c>
      <c r="TG19" s="1" t="n">
        <f aca="false">IF(AND(HT19=1,GU19=1),(NU19+NY19)/E19,0)</f>
        <v>0</v>
      </c>
      <c r="TH19" s="1" t="n">
        <f aca="false">IF(B19=0,NU19+NY19,0)</f>
        <v>0</v>
      </c>
      <c r="TI19" s="1" t="n">
        <f aca="false">IF(B19=0,IF(HT19=1,NW19,NX19),0)</f>
        <v>0</v>
      </c>
      <c r="TJ19" s="1" t="n">
        <f aca="false">IF(HE19=1,IF(HT19=1,OD19+OG19,HF19-OP19)*(1+Slot20_Rate),0)</f>
        <v>0</v>
      </c>
      <c r="TK19" s="1" t="n">
        <f aca="false">IF(AND(HT19=1,HE19=1),(OC19+OG19)/E19,0)</f>
        <v>0</v>
      </c>
      <c r="TL19" s="1" t="n">
        <f aca="false">IF(B19=0,OC19+OG19,0)</f>
        <v>0</v>
      </c>
      <c r="TM19" s="1" t="n">
        <f aca="false">IF(B19=0,IF(HT19=1,OE19,OF19),0)</f>
        <v>0</v>
      </c>
      <c r="TN19" s="1" t="n">
        <f aca="false">QJ19+QK19+QL19+QP19+QT19+QX19+RB19+RF19+RJ19+RN19+RR19+RV19+RZ19+SD19+SH19+SL19+SP19+ST19+SX19+TB19+TF19+TJ19</f>
        <v>0</v>
      </c>
      <c r="TO19" s="1" t="n">
        <f aca="false">QD19+HO19</f>
        <v>0</v>
      </c>
      <c r="TP19" s="1" t="n">
        <f aca="false">H19+R19</f>
        <v>0</v>
      </c>
      <c r="TQ19" s="1" t="n">
        <f aca="false">1-F19</f>
        <v>0</v>
      </c>
      <c r="TR19" s="1" t="n">
        <f aca="false">IF(AND(RG_Exists=1,F19=0,C19=1),H19,0)</f>
        <v>0</v>
      </c>
      <c r="TS19" s="1" t="n">
        <f aca="false">IF(AND(RG_Exists=1,F19=0,C19=1),H19-MIN(QD19,H19),0)</f>
        <v>0</v>
      </c>
      <c r="TT19" s="1" t="n">
        <f aca="false">'Plan pay &amp; tax'!AD245</f>
        <v>0</v>
      </c>
      <c r="TU19" s="1" t="n">
        <f aca="false">IF(AND(C19=1,QD19&gt;MAX(PR_Short1,TP19*PR_Short2)),1,0)</f>
        <v>0</v>
      </c>
      <c r="TV19" s="1" t="n">
        <f aca="false">MIN(G19,H19+R19)</f>
        <v>0</v>
      </c>
      <c r="TW19" s="1" t="n">
        <f aca="false">QE19+MAX(0,HP19-HO19)</f>
        <v>0</v>
      </c>
      <c r="TX19" s="1" t="n">
        <f aca="false">QD19+HO19</f>
        <v>0</v>
      </c>
      <c r="TY19" s="1" t="n">
        <f aca="false">IF(AND(C19=1,TX19&gt;PR_MinShort),1,0)</f>
        <v>0</v>
      </c>
      <c r="TZ19" s="1" t="n">
        <f aca="false">IF(AND(C19=1,TY19=0,TW19&gt;PR_MinShort),1,0)</f>
        <v>0</v>
      </c>
      <c r="UA19" s="1" t="n">
        <f aca="false">IF(AND(C19=1,QD19&gt;PR_MinShort),1,0)</f>
        <v>0</v>
      </c>
      <c r="UB19" s="1" t="n">
        <f aca="false">IF(AND(C19=1,QE19&gt;1,UI19=0),1,0)</f>
        <v>0</v>
      </c>
      <c r="UC19" s="1" t="str">
        <f aca="false">IF(C19=0,"",IF(UI19=1,"Gap to plan for: short "&amp;"€"&amp;TEXT(ROUND(TO19,0),"#,##0"),IF(QE19&gt;1,"Using savings","Comfortable")))</f>
        <v>Comfortable</v>
      </c>
      <c r="UD19" s="1" t="n">
        <f aca="false">IF(AND(INT(D19/10)*10=90,B19&gt;0),80,INT(D19/10)*10)</f>
        <v>10</v>
      </c>
      <c r="UE19" s="1" t="n">
        <f aca="false">IF(B19=0,1,IF(UD19&lt;&gt;UD18,UE18+1,UE18))</f>
        <v>2</v>
      </c>
      <c r="UF19" s="1" t="n">
        <f aca="false">IF(AND(C19=1,F19=1,QD19&gt;MAX(PR_Short1,TP19*PR_Short2)),1,0)</f>
        <v>0</v>
      </c>
      <c r="UG19" s="1" t="n">
        <f aca="false">TQ19*TU19</f>
        <v>0</v>
      </c>
      <c r="UH19" s="1" t="n">
        <f aca="false">IF(AND(U19=1,Slot1_PctLow=1),1,0)+IF(AND(AF19=1,Slot2_PctLow=1),1,0)+IF(AND(AP19=1,Slot3_PctLow=1),1,0)+IF(AND(AZ19=1,Slot4_PctLow=1),1,0)+IF(AND(BJ19=1,Slot5_PctLow=1),1,0)+IF(AND(BT19=1,Slot6_PctLow=1),1,0)+IF(AND(CD19=1,Slot7_PctLow=1),1,0)+IF(AND(CN19=1,Slot8_PctLow=1),1,0)+IF(AND(CX19=1,Slot9_PctLow=1),1,0)+IF(AND(DH19=1,Slot10_PctLow=1),1,0)+IF(AND(DR19=1,Slot11_PctLow=1),1,0)+IF(AND(EB19=1,Slot12_PctLow=1),1,0)+IF(AND(EL19=1,Slot13_PctLow=1),1,0)+IF(AND(EV19=1,Slot14_PctLow=1),1,0)+IF(AND(FF19=1,Slot15_PctLow=1),1,0)+IF(AND(FP19=1,Slot16_PctLow=1),1,0)+IF(AND(FZ19=1,Slot17_PctLow=1),1,0)+IF(AND(GJ19=1,Slot18_PctLow=1),1,0)+IF(AND(GT19=1,Slot19_PctLow=1),1,0)+IF(AND(HD19=1,Slot20_PctLow=1),1,0)</f>
        <v>0</v>
      </c>
      <c r="UI19" s="1" t="n">
        <f aca="false">IF(C19=1,IF(OR(TU19=1,UH19&gt;0),1,0),0)</f>
        <v>0</v>
      </c>
    </row>
    <row r="20" customFormat="false" ht="15" hidden="false" customHeight="true" outlineLevel="0" collapsed="false">
      <c r="B20" s="1" t="n">
        <v>12</v>
      </c>
      <c r="C20" s="1" t="n">
        <f aca="false">IF(B20&lt;=F_N,1,0)</f>
        <v>1</v>
      </c>
      <c r="D20" s="1" t="n">
        <f aca="false">'Plan pay &amp; tax'!C246</f>
        <v>12</v>
      </c>
      <c r="E20" s="111" t="n">
        <f aca="false">'Plan pay &amp; tax'!E246</f>
        <v>1.26824179456255</v>
      </c>
      <c r="F20" s="1" t="n">
        <f aca="false">'Plan pay &amp; tax'!G246</f>
        <v>1</v>
      </c>
      <c r="G20" s="1" t="n">
        <f aca="false">'Plan pay &amp; tax'!BT246-'Plan pay &amp; tax'!BS246-'Plan pay &amp; tax'!R246</f>
        <v>0</v>
      </c>
      <c r="H20" s="1" t="n">
        <f aca="false">IF(F20=1,F_CostsM*12,IF(RG_Exists=1,RG_Amount,F_CostsM*12*AS_RetireSpend))*E20+F_OneOffY*E20</f>
        <v>0</v>
      </c>
      <c r="I20" s="1" t="n">
        <f aca="false">HQ19</f>
        <v>0</v>
      </c>
      <c r="J20" s="1" t="n">
        <f aca="false">IF(I20&gt;1,'Plan debt months'!AC20,0)</f>
        <v>0</v>
      </c>
      <c r="K20" s="1" t="n">
        <f aca="false">IF(I20&gt;1,'Plan debt months'!AB20,I20)</f>
        <v>0</v>
      </c>
      <c r="L20" s="1" t="n">
        <f aca="false">N19</f>
        <v>0</v>
      </c>
      <c r="M20" s="1" t="n">
        <f aca="false">IF(L20&gt;1,'Plan debt months'!BD20,0)</f>
        <v>0</v>
      </c>
      <c r="N20" s="1" t="n">
        <f aca="false">IF(L20&gt;1,'Plan debt months'!BC20,L20)</f>
        <v>0</v>
      </c>
      <c r="O20" s="1" t="n">
        <f aca="false">Q19</f>
        <v>0</v>
      </c>
      <c r="P20" s="1" t="n">
        <f aca="false">IF(O20&gt;1,'Plan debt months'!CE20,0)</f>
        <v>0</v>
      </c>
      <c r="Q20" s="1" t="n">
        <f aca="false">IF(O20&gt;1,'Plan debt months'!CD20,O20)</f>
        <v>0</v>
      </c>
      <c r="R20" s="1" t="n">
        <f aca="false">J20+M20+P20</f>
        <v>0</v>
      </c>
      <c r="S20" s="1" t="n">
        <f aca="false">QJ19+'Plan pay &amp; tax'!Y246</f>
        <v>0</v>
      </c>
      <c r="T20" s="1" t="n">
        <f aca="false">QJ19</f>
        <v>0</v>
      </c>
      <c r="U20" s="1" t="n">
        <f aca="false">IF(AND(Slot1_On=1,D20=Slot1_Age),1,0)</f>
        <v>0</v>
      </c>
      <c r="V20" s="1" t="n">
        <f aca="false">IF(AND(Slot1_On=1,Slot1_Age&gt;D20),1,0)</f>
        <v>0</v>
      </c>
      <c r="W20" s="1" t="n">
        <f aca="false">QL19</f>
        <v>0</v>
      </c>
      <c r="X20" s="1" t="n">
        <f aca="false">U20*MIN(Slot1_Cost,W20)</f>
        <v>0</v>
      </c>
      <c r="Y20" s="1" t="n">
        <f aca="false">U20*Slot1_SpendLike*MIN(Slot1_Cost-X20,S20)</f>
        <v>0</v>
      </c>
      <c r="Z20" s="1" t="n">
        <f aca="false">X20+Y20</f>
        <v>0</v>
      </c>
      <c r="AA20" s="1" t="n">
        <f aca="false">S20-Y20+U20*IF(Slot1_SpendLike=1,W20-X20,IF(Slot1_PotFree=1,W20,0))</f>
        <v>0</v>
      </c>
      <c r="AB20" s="1" t="n">
        <f aca="false">AE20+U20*Slot1_BufPot*W20</f>
        <v>0</v>
      </c>
      <c r="AC20" s="1" t="n">
        <f aca="false">IF(AND(U20=1,Slot1_IsMfree=1),IF(Z20&gt;=Slot1_Cost-1,0,MAX(0,K20-Z20)),K20)</f>
        <v>0</v>
      </c>
      <c r="AD20" s="1" t="n">
        <f aca="false">U20*(Slot1_Cost-Z20)</f>
        <v>0</v>
      </c>
      <c r="AE20" s="1" t="n">
        <f aca="false">QK19</f>
        <v>0</v>
      </c>
      <c r="AF20" s="1" t="n">
        <f aca="false">IF(AND(Slot2_On=1,D20=Slot2_Age),1,0)</f>
        <v>0</v>
      </c>
      <c r="AG20" s="1" t="n">
        <f aca="false">IF(AND(Slot2_On=1,Slot2_Age&gt;D20),1,0)</f>
        <v>0</v>
      </c>
      <c r="AH20" s="1" t="n">
        <f aca="false">QP19</f>
        <v>0</v>
      </c>
      <c r="AI20" s="1" t="n">
        <f aca="false">AF20*MIN(Slot2_Cost,AH20)</f>
        <v>0</v>
      </c>
      <c r="AJ20" s="1" t="n">
        <f aca="false">AF20*Slot2_SpendLike*MIN(Slot2_Cost-AI20,AA20)</f>
        <v>0</v>
      </c>
      <c r="AK20" s="1" t="n">
        <f aca="false">AI20+AJ20</f>
        <v>0</v>
      </c>
      <c r="AL20" s="1" t="n">
        <f aca="false">AA20-AJ20+AF20*IF(Slot2_SpendLike=1,AH20-AI20,IF(Slot2_PotFree=1,AH20,0))</f>
        <v>0</v>
      </c>
      <c r="AM20" s="1" t="n">
        <f aca="false">AB20+AF20*Slot2_BufPot*AH20</f>
        <v>0</v>
      </c>
      <c r="AN20" s="1" t="n">
        <f aca="false">IF(AND(AF20=1,Slot2_IsMfree=1),IF(AK20&gt;=Slot2_Cost-1,0,MAX(0,AC20-AK20)),AC20)</f>
        <v>0</v>
      </c>
      <c r="AO20" s="1" t="n">
        <f aca="false">AF20*(Slot2_Cost-AK20)</f>
        <v>0</v>
      </c>
      <c r="AP20" s="1" t="n">
        <f aca="false">IF(AND(Slot3_On=1,D20=Slot3_Age),1,0)</f>
        <v>0</v>
      </c>
      <c r="AQ20" s="1" t="n">
        <f aca="false">IF(AND(Slot3_On=1,Slot3_Age&gt;D20),1,0)</f>
        <v>0</v>
      </c>
      <c r="AR20" s="1" t="n">
        <f aca="false">QT19</f>
        <v>0</v>
      </c>
      <c r="AS20" s="1" t="n">
        <f aca="false">AP20*MIN(Slot3_Cost,AR20)</f>
        <v>0</v>
      </c>
      <c r="AT20" s="1" t="n">
        <f aca="false">AP20*Slot3_SpendLike*MIN(Slot3_Cost-AS20,AL20)</f>
        <v>0</v>
      </c>
      <c r="AU20" s="1" t="n">
        <f aca="false">AS20+AT20</f>
        <v>0</v>
      </c>
      <c r="AV20" s="1" t="n">
        <f aca="false">AL20-AT20+AP20*IF(Slot3_SpendLike=1,AR20-AS20,IF(Slot3_PotFree=1,AR20,0))</f>
        <v>0</v>
      </c>
      <c r="AW20" s="1" t="n">
        <f aca="false">AM20+AP20*Slot3_BufPot*AR20</f>
        <v>0</v>
      </c>
      <c r="AX20" s="1" t="n">
        <f aca="false">IF(AND(AP20=1,Slot3_IsMfree=1),IF(AU20&gt;=Slot3_Cost-1,0,MAX(0,AN20-AU20)),AN20)</f>
        <v>0</v>
      </c>
      <c r="AY20" s="1" t="n">
        <f aca="false">AP20*(Slot3_Cost-AU20)</f>
        <v>0</v>
      </c>
      <c r="AZ20" s="1" t="n">
        <f aca="false">IF(AND(Slot4_On=1,D20=Slot4_Age),1,0)</f>
        <v>0</v>
      </c>
      <c r="BA20" s="1" t="n">
        <f aca="false">IF(AND(Slot4_On=1,Slot4_Age&gt;D20),1,0)</f>
        <v>0</v>
      </c>
      <c r="BB20" s="1" t="n">
        <f aca="false">QX19</f>
        <v>0</v>
      </c>
      <c r="BC20" s="1" t="n">
        <f aca="false">AZ20*MIN(Slot4_Cost,BB20)</f>
        <v>0</v>
      </c>
      <c r="BD20" s="1" t="n">
        <f aca="false">AZ20*Slot4_SpendLike*MIN(Slot4_Cost-BC20,AV20)</f>
        <v>0</v>
      </c>
      <c r="BE20" s="1" t="n">
        <f aca="false">BC20+BD20</f>
        <v>0</v>
      </c>
      <c r="BF20" s="1" t="n">
        <f aca="false">AV20-BD20+AZ20*IF(Slot4_SpendLike=1,BB20-BC20,IF(Slot4_PotFree=1,BB20,0))</f>
        <v>0</v>
      </c>
      <c r="BG20" s="1" t="n">
        <f aca="false">AW20+AZ20*Slot4_BufPot*BB20</f>
        <v>0</v>
      </c>
      <c r="BH20" s="1" t="n">
        <f aca="false">IF(AND(AZ20=1,Slot4_IsMfree=1),IF(BE20&gt;=Slot4_Cost-1,0,MAX(0,AX20-BE20)),AX20)</f>
        <v>0</v>
      </c>
      <c r="BI20" s="1" t="n">
        <f aca="false">AZ20*(Slot4_Cost-BE20)</f>
        <v>0</v>
      </c>
      <c r="BJ20" s="1" t="n">
        <f aca="false">IF(AND(Slot5_On=1,D20=Slot5_Age),1,0)</f>
        <v>0</v>
      </c>
      <c r="BK20" s="1" t="n">
        <f aca="false">IF(AND(Slot5_On=1,Slot5_Age&gt;D20),1,0)</f>
        <v>0</v>
      </c>
      <c r="BL20" s="1" t="n">
        <f aca="false">RB19</f>
        <v>0</v>
      </c>
      <c r="BM20" s="1" t="n">
        <f aca="false">BJ20*MIN(Slot5_Cost,BL20)</f>
        <v>0</v>
      </c>
      <c r="BN20" s="1" t="n">
        <f aca="false">BJ20*Slot5_SpendLike*MIN(Slot5_Cost-BM20,BF20)</f>
        <v>0</v>
      </c>
      <c r="BO20" s="1" t="n">
        <f aca="false">BM20+BN20</f>
        <v>0</v>
      </c>
      <c r="BP20" s="1" t="n">
        <f aca="false">BF20-BN20+BJ20*IF(Slot5_SpendLike=1,BL20-BM20,IF(Slot5_PotFree=1,BL20,0))</f>
        <v>0</v>
      </c>
      <c r="BQ20" s="1" t="n">
        <f aca="false">BG20+BJ20*Slot5_BufPot*BL20</f>
        <v>0</v>
      </c>
      <c r="BR20" s="1" t="n">
        <f aca="false">IF(AND(BJ20=1,Slot5_IsMfree=1),IF(BO20&gt;=Slot5_Cost-1,0,MAX(0,BH20-BO20)),BH20)</f>
        <v>0</v>
      </c>
      <c r="BS20" s="1" t="n">
        <f aca="false">BJ20*(Slot5_Cost-BO20)</f>
        <v>0</v>
      </c>
      <c r="BT20" s="1" t="n">
        <f aca="false">IF(AND(Slot6_On=1,D20=Slot6_Age),1,0)</f>
        <v>0</v>
      </c>
      <c r="BU20" s="1" t="n">
        <f aca="false">IF(AND(Slot6_On=1,Slot6_Age&gt;D20),1,0)</f>
        <v>0</v>
      </c>
      <c r="BV20" s="1" t="n">
        <f aca="false">RF19</f>
        <v>0</v>
      </c>
      <c r="BW20" s="1" t="n">
        <f aca="false">BT20*MIN(Slot6_Cost,BV20)</f>
        <v>0</v>
      </c>
      <c r="BX20" s="1" t="n">
        <f aca="false">BT20*Slot6_SpendLike*MIN(Slot6_Cost-BW20,BP20)</f>
        <v>0</v>
      </c>
      <c r="BY20" s="1" t="n">
        <f aca="false">BW20+BX20</f>
        <v>0</v>
      </c>
      <c r="BZ20" s="1" t="n">
        <f aca="false">BP20-BX20+BT20*IF(Slot6_SpendLike=1,BV20-BW20,IF(Slot6_PotFree=1,BV20,0))</f>
        <v>0</v>
      </c>
      <c r="CA20" s="1" t="n">
        <f aca="false">BQ20+BT20*Slot6_BufPot*BV20</f>
        <v>0</v>
      </c>
      <c r="CB20" s="1" t="n">
        <f aca="false">IF(AND(BT20=1,Slot6_IsMfree=1),IF(BY20&gt;=Slot6_Cost-1,0,MAX(0,BR20-BY20)),BR20)</f>
        <v>0</v>
      </c>
      <c r="CC20" s="1" t="n">
        <f aca="false">BT20*(Slot6_Cost-BY20)</f>
        <v>0</v>
      </c>
      <c r="CD20" s="1" t="n">
        <f aca="false">IF(AND(Slot7_On=1,D20=Slot7_Age),1,0)</f>
        <v>0</v>
      </c>
      <c r="CE20" s="1" t="n">
        <f aca="false">IF(AND(Slot7_On=1,Slot7_Age&gt;D20),1,0)</f>
        <v>0</v>
      </c>
      <c r="CF20" s="1" t="n">
        <f aca="false">RJ19</f>
        <v>0</v>
      </c>
      <c r="CG20" s="1" t="n">
        <f aca="false">CD20*MIN(Slot7_Cost,CF20)</f>
        <v>0</v>
      </c>
      <c r="CH20" s="1" t="n">
        <f aca="false">CD20*Slot7_SpendLike*MIN(Slot7_Cost-CG20,BZ20)</f>
        <v>0</v>
      </c>
      <c r="CI20" s="1" t="n">
        <f aca="false">CG20+CH20</f>
        <v>0</v>
      </c>
      <c r="CJ20" s="1" t="n">
        <f aca="false">BZ20-CH20+CD20*IF(Slot7_SpendLike=1,CF20-CG20,IF(Slot7_PotFree=1,CF20,0))</f>
        <v>0</v>
      </c>
      <c r="CK20" s="1" t="n">
        <f aca="false">CA20+CD20*Slot7_BufPot*CF20</f>
        <v>0</v>
      </c>
      <c r="CL20" s="1" t="n">
        <f aca="false">IF(AND(CD20=1,Slot7_IsMfree=1),IF(CI20&gt;=Slot7_Cost-1,0,MAX(0,CB20-CI20)),CB20)</f>
        <v>0</v>
      </c>
      <c r="CM20" s="1" t="n">
        <f aca="false">CD20*(Slot7_Cost-CI20)</f>
        <v>0</v>
      </c>
      <c r="CN20" s="1" t="n">
        <f aca="false">IF(AND(Slot8_On=1,D20=Slot8_Age),1,0)</f>
        <v>0</v>
      </c>
      <c r="CO20" s="1" t="n">
        <f aca="false">IF(AND(Slot8_On=1,Slot8_Age&gt;D20),1,0)</f>
        <v>0</v>
      </c>
      <c r="CP20" s="1" t="n">
        <f aca="false">RN19</f>
        <v>0</v>
      </c>
      <c r="CQ20" s="1" t="n">
        <f aca="false">CN20*MIN(Slot8_Cost,CP20)</f>
        <v>0</v>
      </c>
      <c r="CR20" s="1" t="n">
        <f aca="false">CN20*Slot8_SpendLike*MIN(Slot8_Cost-CQ20,CJ20)</f>
        <v>0</v>
      </c>
      <c r="CS20" s="1" t="n">
        <f aca="false">CQ20+CR20</f>
        <v>0</v>
      </c>
      <c r="CT20" s="1" t="n">
        <f aca="false">CJ20-CR20+CN20*IF(Slot8_SpendLike=1,CP20-CQ20,IF(Slot8_PotFree=1,CP20,0))</f>
        <v>0</v>
      </c>
      <c r="CU20" s="1" t="n">
        <f aca="false">CK20+CN20*Slot8_BufPot*CP20</f>
        <v>0</v>
      </c>
      <c r="CV20" s="1" t="n">
        <f aca="false">IF(AND(CN20=1,Slot8_IsMfree=1),IF(CS20&gt;=Slot8_Cost-1,0,MAX(0,CL20-CS20)),CL20)</f>
        <v>0</v>
      </c>
      <c r="CW20" s="1" t="n">
        <f aca="false">CN20*(Slot8_Cost-CS20)</f>
        <v>0</v>
      </c>
      <c r="CX20" s="1" t="n">
        <f aca="false">IF(AND(Slot9_On=1,D20=Slot9_Age),1,0)</f>
        <v>0</v>
      </c>
      <c r="CY20" s="1" t="n">
        <f aca="false">IF(AND(Slot9_On=1,Slot9_Age&gt;D20),1,0)</f>
        <v>0</v>
      </c>
      <c r="CZ20" s="1" t="n">
        <f aca="false">RR19</f>
        <v>0</v>
      </c>
      <c r="DA20" s="1" t="n">
        <f aca="false">CX20*MIN(Slot9_Cost,CZ20)</f>
        <v>0</v>
      </c>
      <c r="DB20" s="1" t="n">
        <f aca="false">CX20*Slot9_SpendLike*MIN(Slot9_Cost-DA20,CT20)</f>
        <v>0</v>
      </c>
      <c r="DC20" s="1" t="n">
        <f aca="false">DA20+DB20</f>
        <v>0</v>
      </c>
      <c r="DD20" s="1" t="n">
        <f aca="false">CT20-DB20+CX20*IF(Slot9_SpendLike=1,CZ20-DA20,IF(Slot9_PotFree=1,CZ20,0))</f>
        <v>0</v>
      </c>
      <c r="DE20" s="1" t="n">
        <f aca="false">CU20+CX20*Slot9_BufPot*CZ20</f>
        <v>0</v>
      </c>
      <c r="DF20" s="1" t="n">
        <f aca="false">IF(AND(CX20=1,Slot9_IsMfree=1),IF(DC20&gt;=Slot9_Cost-1,0,MAX(0,CV20-DC20)),CV20)</f>
        <v>0</v>
      </c>
      <c r="DG20" s="1" t="n">
        <f aca="false">CX20*(Slot9_Cost-DC20)</f>
        <v>0</v>
      </c>
      <c r="DH20" s="1" t="n">
        <f aca="false">IF(AND(Slot10_On=1,D20=Slot10_Age),1,0)</f>
        <v>0</v>
      </c>
      <c r="DI20" s="1" t="n">
        <f aca="false">IF(AND(Slot10_On=1,Slot10_Age&gt;D20),1,0)</f>
        <v>0</v>
      </c>
      <c r="DJ20" s="1" t="n">
        <f aca="false">RV19</f>
        <v>0</v>
      </c>
      <c r="DK20" s="1" t="n">
        <f aca="false">DH20*MIN(Slot10_Cost,DJ20)</f>
        <v>0</v>
      </c>
      <c r="DL20" s="1" t="n">
        <f aca="false">DH20*Slot10_SpendLike*MIN(Slot10_Cost-DK20,DD20)</f>
        <v>0</v>
      </c>
      <c r="DM20" s="1" t="n">
        <f aca="false">DK20+DL20</f>
        <v>0</v>
      </c>
      <c r="DN20" s="1" t="n">
        <f aca="false">DD20-DL20+DH20*IF(Slot10_SpendLike=1,DJ20-DK20,IF(Slot10_PotFree=1,DJ20,0))</f>
        <v>0</v>
      </c>
      <c r="DO20" s="1" t="n">
        <f aca="false">DE20+DH20*Slot10_BufPot*DJ20</f>
        <v>0</v>
      </c>
      <c r="DP20" s="1" t="n">
        <f aca="false">IF(AND(DH20=1,Slot10_IsMfree=1),IF(DM20&gt;=Slot10_Cost-1,0,MAX(0,DF20-DM20)),DF20)</f>
        <v>0</v>
      </c>
      <c r="DQ20" s="1" t="n">
        <f aca="false">DH20*(Slot10_Cost-DM20)</f>
        <v>0</v>
      </c>
      <c r="DR20" s="1" t="n">
        <f aca="false">IF(AND(Slot11_On=1,D20=Slot11_Age),1,0)</f>
        <v>0</v>
      </c>
      <c r="DS20" s="1" t="n">
        <f aca="false">IF(AND(Slot11_On=1,Slot11_Age&gt;D20),1,0)</f>
        <v>0</v>
      </c>
      <c r="DT20" s="1" t="n">
        <f aca="false">RZ19</f>
        <v>0</v>
      </c>
      <c r="DU20" s="1" t="n">
        <f aca="false">DR20*MIN(Slot11_Cost,DT20)</f>
        <v>0</v>
      </c>
      <c r="DV20" s="1" t="n">
        <f aca="false">DR20*Slot11_SpendLike*MIN(Slot11_Cost-DU20,DN20)</f>
        <v>0</v>
      </c>
      <c r="DW20" s="1" t="n">
        <f aca="false">DU20+DV20</f>
        <v>0</v>
      </c>
      <c r="DX20" s="1" t="n">
        <f aca="false">DN20-DV20+DR20*IF(Slot11_SpendLike=1,DT20-DU20,IF(Slot11_PotFree=1,DT20,0))</f>
        <v>0</v>
      </c>
      <c r="DY20" s="1" t="n">
        <f aca="false">DO20+DR20*Slot11_BufPot*DT20</f>
        <v>0</v>
      </c>
      <c r="DZ20" s="1" t="n">
        <f aca="false">IF(AND(DR20=1,Slot11_IsMfree=1),IF(DW20&gt;=Slot11_Cost-1,0,MAX(0,DP20-DW20)),DP20)</f>
        <v>0</v>
      </c>
      <c r="EA20" s="1" t="n">
        <f aca="false">DR20*(Slot11_Cost-DW20)</f>
        <v>0</v>
      </c>
      <c r="EB20" s="1" t="n">
        <f aca="false">IF(AND(Slot12_On=1,D20=Slot12_Age),1,0)</f>
        <v>0</v>
      </c>
      <c r="EC20" s="1" t="n">
        <f aca="false">IF(AND(Slot12_On=1,Slot12_Age&gt;D20),1,0)</f>
        <v>0</v>
      </c>
      <c r="ED20" s="1" t="n">
        <f aca="false">SD19</f>
        <v>0</v>
      </c>
      <c r="EE20" s="1" t="n">
        <f aca="false">EB20*MIN(Slot12_Cost,ED20)</f>
        <v>0</v>
      </c>
      <c r="EF20" s="1" t="n">
        <f aca="false">EB20*Slot12_SpendLike*MIN(Slot12_Cost-EE20,DX20)</f>
        <v>0</v>
      </c>
      <c r="EG20" s="1" t="n">
        <f aca="false">EE20+EF20</f>
        <v>0</v>
      </c>
      <c r="EH20" s="1" t="n">
        <f aca="false">DX20-EF20+EB20*IF(Slot12_SpendLike=1,ED20-EE20,IF(Slot12_PotFree=1,ED20,0))</f>
        <v>0</v>
      </c>
      <c r="EI20" s="1" t="n">
        <f aca="false">DY20+EB20*Slot12_BufPot*ED20</f>
        <v>0</v>
      </c>
      <c r="EJ20" s="1" t="n">
        <f aca="false">IF(AND(EB20=1,Slot12_IsMfree=1),IF(EG20&gt;=Slot12_Cost-1,0,MAX(0,DZ20-EG20)),DZ20)</f>
        <v>0</v>
      </c>
      <c r="EK20" s="1" t="n">
        <f aca="false">EB20*(Slot12_Cost-EG20)</f>
        <v>0</v>
      </c>
      <c r="EL20" s="1" t="n">
        <f aca="false">IF(AND(Slot13_On=1,D20=Slot13_Age),1,0)</f>
        <v>0</v>
      </c>
      <c r="EM20" s="1" t="n">
        <f aca="false">IF(AND(Slot13_On=1,Slot13_Age&gt;D20),1,0)</f>
        <v>0</v>
      </c>
      <c r="EN20" s="1" t="n">
        <f aca="false">SH19</f>
        <v>0</v>
      </c>
      <c r="EO20" s="1" t="n">
        <f aca="false">EL20*MIN(Slot13_Cost,EN20)</f>
        <v>0</v>
      </c>
      <c r="EP20" s="1" t="n">
        <f aca="false">EL20*Slot13_SpendLike*MIN(Slot13_Cost-EO20,EH20)</f>
        <v>0</v>
      </c>
      <c r="EQ20" s="1" t="n">
        <f aca="false">EO20+EP20</f>
        <v>0</v>
      </c>
      <c r="ER20" s="1" t="n">
        <f aca="false">EH20-EP20+EL20*IF(Slot13_SpendLike=1,EN20-EO20,IF(Slot13_PotFree=1,EN20,0))</f>
        <v>0</v>
      </c>
      <c r="ES20" s="1" t="n">
        <f aca="false">EI20+EL20*Slot13_BufPot*EN20</f>
        <v>0</v>
      </c>
      <c r="ET20" s="1" t="n">
        <f aca="false">IF(AND(EL20=1,Slot13_IsMfree=1),IF(EQ20&gt;=Slot13_Cost-1,0,MAX(0,EJ20-EQ20)),EJ20)</f>
        <v>0</v>
      </c>
      <c r="EU20" s="1" t="n">
        <f aca="false">EL20*(Slot13_Cost-EQ20)</f>
        <v>0</v>
      </c>
      <c r="EV20" s="1" t="n">
        <f aca="false">IF(AND(Slot14_On=1,D20=Slot14_Age),1,0)</f>
        <v>0</v>
      </c>
      <c r="EW20" s="1" t="n">
        <f aca="false">IF(AND(Slot14_On=1,Slot14_Age&gt;D20),1,0)</f>
        <v>0</v>
      </c>
      <c r="EX20" s="1" t="n">
        <f aca="false">SL19</f>
        <v>0</v>
      </c>
      <c r="EY20" s="1" t="n">
        <f aca="false">EV20*MIN(Slot14_Cost,EX20)</f>
        <v>0</v>
      </c>
      <c r="EZ20" s="1" t="n">
        <f aca="false">EV20*Slot14_SpendLike*MIN(Slot14_Cost-EY20,ER20)</f>
        <v>0</v>
      </c>
      <c r="FA20" s="1" t="n">
        <f aca="false">EY20+EZ20</f>
        <v>0</v>
      </c>
      <c r="FB20" s="1" t="n">
        <f aca="false">ER20-EZ20+EV20*IF(Slot14_SpendLike=1,EX20-EY20,IF(Slot14_PotFree=1,EX20,0))</f>
        <v>0</v>
      </c>
      <c r="FC20" s="1" t="n">
        <f aca="false">ES20+EV20*Slot14_BufPot*EX20</f>
        <v>0</v>
      </c>
      <c r="FD20" s="1" t="n">
        <f aca="false">IF(AND(EV20=1,Slot14_IsMfree=1),IF(FA20&gt;=Slot14_Cost-1,0,MAX(0,ET20-FA20)),ET20)</f>
        <v>0</v>
      </c>
      <c r="FE20" s="1" t="n">
        <f aca="false">EV20*(Slot14_Cost-FA20)</f>
        <v>0</v>
      </c>
      <c r="FF20" s="1" t="n">
        <f aca="false">IF(AND(Slot15_On=1,D20=Slot15_Age),1,0)</f>
        <v>0</v>
      </c>
      <c r="FG20" s="1" t="n">
        <f aca="false">IF(AND(Slot15_On=1,Slot15_Age&gt;D20),1,0)</f>
        <v>0</v>
      </c>
      <c r="FH20" s="1" t="n">
        <f aca="false">SP19</f>
        <v>0</v>
      </c>
      <c r="FI20" s="1" t="n">
        <f aca="false">FF20*MIN(Slot15_Cost,FH20)</f>
        <v>0</v>
      </c>
      <c r="FJ20" s="1" t="n">
        <f aca="false">FF20*Slot15_SpendLike*MIN(Slot15_Cost-FI20,FB20)</f>
        <v>0</v>
      </c>
      <c r="FK20" s="1" t="n">
        <f aca="false">FI20+FJ20</f>
        <v>0</v>
      </c>
      <c r="FL20" s="1" t="n">
        <f aca="false">FB20-FJ20+FF20*IF(Slot15_SpendLike=1,FH20-FI20,IF(Slot15_PotFree=1,FH20,0))</f>
        <v>0</v>
      </c>
      <c r="FM20" s="1" t="n">
        <f aca="false">FC20+FF20*Slot15_BufPot*FH20</f>
        <v>0</v>
      </c>
      <c r="FN20" s="1" t="n">
        <f aca="false">IF(AND(FF20=1,Slot15_IsMfree=1),IF(FK20&gt;=Slot15_Cost-1,0,MAX(0,FD20-FK20)),FD20)</f>
        <v>0</v>
      </c>
      <c r="FO20" s="1" t="n">
        <f aca="false">FF20*(Slot15_Cost-FK20)</f>
        <v>0</v>
      </c>
      <c r="FP20" s="1" t="n">
        <f aca="false">IF(AND(Slot16_On=1,D20=Slot16_Age),1,0)</f>
        <v>0</v>
      </c>
      <c r="FQ20" s="1" t="n">
        <f aca="false">IF(AND(Slot16_On=1,Slot16_Age&gt;D20),1,0)</f>
        <v>0</v>
      </c>
      <c r="FR20" s="1" t="n">
        <f aca="false">ST19</f>
        <v>0</v>
      </c>
      <c r="FS20" s="1" t="n">
        <f aca="false">FP20*MIN(Slot16_Cost,FR20)</f>
        <v>0</v>
      </c>
      <c r="FT20" s="1" t="n">
        <f aca="false">FP20*Slot16_SpendLike*MIN(Slot16_Cost-FS20,FL20)</f>
        <v>0</v>
      </c>
      <c r="FU20" s="1" t="n">
        <f aca="false">FS20+FT20</f>
        <v>0</v>
      </c>
      <c r="FV20" s="1" t="n">
        <f aca="false">FL20-FT20+FP20*IF(Slot16_SpendLike=1,FR20-FS20,IF(Slot16_PotFree=1,FR20,0))</f>
        <v>0</v>
      </c>
      <c r="FW20" s="1" t="n">
        <f aca="false">FM20+FP20*Slot16_BufPot*FR20</f>
        <v>0</v>
      </c>
      <c r="FX20" s="1" t="n">
        <f aca="false">IF(AND(FP20=1,Slot16_IsMfree=1),IF(FU20&gt;=Slot16_Cost-1,0,MAX(0,FN20-FU20)),FN20)</f>
        <v>0</v>
      </c>
      <c r="FY20" s="1" t="n">
        <f aca="false">FP20*(Slot16_Cost-FU20)</f>
        <v>0</v>
      </c>
      <c r="FZ20" s="1" t="n">
        <f aca="false">IF(AND(Slot17_On=1,D20=Slot17_Age),1,0)</f>
        <v>0</v>
      </c>
      <c r="GA20" s="1" t="n">
        <f aca="false">IF(AND(Slot17_On=1,Slot17_Age&gt;D20),1,0)</f>
        <v>0</v>
      </c>
      <c r="GB20" s="1" t="n">
        <f aca="false">SX19</f>
        <v>0</v>
      </c>
      <c r="GC20" s="1" t="n">
        <f aca="false">FZ20*MIN(Slot17_Cost,GB20)</f>
        <v>0</v>
      </c>
      <c r="GD20" s="1" t="n">
        <f aca="false">FZ20*Slot17_SpendLike*MIN(Slot17_Cost-GC20,FV20)</f>
        <v>0</v>
      </c>
      <c r="GE20" s="1" t="n">
        <f aca="false">GC20+GD20</f>
        <v>0</v>
      </c>
      <c r="GF20" s="1" t="n">
        <f aca="false">FV20-GD20+FZ20*IF(Slot17_SpendLike=1,GB20-GC20,IF(Slot17_PotFree=1,GB20,0))</f>
        <v>0</v>
      </c>
      <c r="GG20" s="1" t="n">
        <f aca="false">FW20+FZ20*Slot17_BufPot*GB20</f>
        <v>0</v>
      </c>
      <c r="GH20" s="1" t="n">
        <f aca="false">IF(AND(FZ20=1,Slot17_IsMfree=1),IF(GE20&gt;=Slot17_Cost-1,0,MAX(0,FX20-GE20)),FX20)</f>
        <v>0</v>
      </c>
      <c r="GI20" s="1" t="n">
        <f aca="false">FZ20*(Slot17_Cost-GE20)</f>
        <v>0</v>
      </c>
      <c r="GJ20" s="1" t="n">
        <f aca="false">IF(AND(Slot18_On=1,D20=Slot18_Age),1,0)</f>
        <v>0</v>
      </c>
      <c r="GK20" s="1" t="n">
        <f aca="false">IF(AND(Slot18_On=1,Slot18_Age&gt;D20),1,0)</f>
        <v>0</v>
      </c>
      <c r="GL20" s="1" t="n">
        <f aca="false">TB19</f>
        <v>0</v>
      </c>
      <c r="GM20" s="1" t="n">
        <f aca="false">GJ20*MIN(Slot18_Cost,GL20)</f>
        <v>0</v>
      </c>
      <c r="GN20" s="1" t="n">
        <f aca="false">GJ20*Slot18_SpendLike*MIN(Slot18_Cost-GM20,GF20)</f>
        <v>0</v>
      </c>
      <c r="GO20" s="1" t="n">
        <f aca="false">GM20+GN20</f>
        <v>0</v>
      </c>
      <c r="GP20" s="1" t="n">
        <f aca="false">GF20-GN20+GJ20*IF(Slot18_SpendLike=1,GL20-GM20,IF(Slot18_PotFree=1,GL20,0))</f>
        <v>0</v>
      </c>
      <c r="GQ20" s="1" t="n">
        <f aca="false">GG20+GJ20*Slot18_BufPot*GL20</f>
        <v>0</v>
      </c>
      <c r="GR20" s="1" t="n">
        <f aca="false">IF(AND(GJ20=1,Slot18_IsMfree=1),IF(GO20&gt;=Slot18_Cost-1,0,MAX(0,GH20-GO20)),GH20)</f>
        <v>0</v>
      </c>
      <c r="GS20" s="1" t="n">
        <f aca="false">GJ20*(Slot18_Cost-GO20)</f>
        <v>0</v>
      </c>
      <c r="GT20" s="1" t="n">
        <f aca="false">IF(AND(Slot19_On=1,D20=Slot19_Age),1,0)</f>
        <v>0</v>
      </c>
      <c r="GU20" s="1" t="n">
        <f aca="false">IF(AND(Slot19_On=1,Slot19_Age&gt;D20),1,0)</f>
        <v>0</v>
      </c>
      <c r="GV20" s="1" t="n">
        <f aca="false">TF19</f>
        <v>0</v>
      </c>
      <c r="GW20" s="1" t="n">
        <f aca="false">GT20*MIN(Slot19_Cost,GV20)</f>
        <v>0</v>
      </c>
      <c r="GX20" s="1" t="n">
        <f aca="false">GT20*Slot19_SpendLike*MIN(Slot19_Cost-GW20,GP20)</f>
        <v>0</v>
      </c>
      <c r="GY20" s="1" t="n">
        <f aca="false">GW20+GX20</f>
        <v>0</v>
      </c>
      <c r="GZ20" s="1" t="n">
        <f aca="false">GP20-GX20+GT20*IF(Slot19_SpendLike=1,GV20-GW20,IF(Slot19_PotFree=1,GV20,0))</f>
        <v>0</v>
      </c>
      <c r="HA20" s="1" t="n">
        <f aca="false">GQ20+GT20*Slot19_BufPot*GV20</f>
        <v>0</v>
      </c>
      <c r="HB20" s="1" t="n">
        <f aca="false">IF(AND(GT20=1,Slot19_IsMfree=1),IF(GY20&gt;=Slot19_Cost-1,0,MAX(0,GR20-GY20)),GR20)</f>
        <v>0</v>
      </c>
      <c r="HC20" s="1" t="n">
        <f aca="false">GT20*(Slot19_Cost-GY20)</f>
        <v>0</v>
      </c>
      <c r="HD20" s="1" t="n">
        <f aca="false">IF(AND(Slot20_On=1,D20=Slot20_Age),1,0)</f>
        <v>0</v>
      </c>
      <c r="HE20" s="1" t="n">
        <f aca="false">IF(AND(Slot20_On=1,Slot20_Age&gt;D20),1,0)</f>
        <v>0</v>
      </c>
      <c r="HF20" s="1" t="n">
        <f aca="false">TJ19</f>
        <v>0</v>
      </c>
      <c r="HG20" s="1" t="n">
        <f aca="false">HD20*MIN(Slot20_Cost,HF20)</f>
        <v>0</v>
      </c>
      <c r="HH20" s="1" t="n">
        <f aca="false">HD20*Slot20_SpendLike*MIN(Slot20_Cost-HG20,GZ20)</f>
        <v>0</v>
      </c>
      <c r="HI20" s="1" t="n">
        <f aca="false">HG20+HH20</f>
        <v>0</v>
      </c>
      <c r="HJ20" s="1" t="n">
        <f aca="false">GZ20-HH20+HD20*IF(Slot20_SpendLike=1,HF20-HG20,IF(Slot20_PotFree=1,HF20,0))</f>
        <v>0</v>
      </c>
      <c r="HK20" s="1" t="n">
        <f aca="false">HA20+HD20*Slot20_BufPot*HF20</f>
        <v>0</v>
      </c>
      <c r="HL20" s="1" t="n">
        <f aca="false">IF(AND(HD20=1,Slot20_IsMfree=1),IF(HI20&gt;=Slot20_Cost-1,0,MAX(0,HB20-HI20)),HB20)</f>
        <v>0</v>
      </c>
      <c r="HM20" s="1" t="n">
        <f aca="false">HD20*(Slot20_Cost-HI20)</f>
        <v>0</v>
      </c>
      <c r="HN20" s="1" t="n">
        <f aca="false">U20*Slot1_SpendLike*Z20+AF20*Slot2_SpendLike*AK20+AP20*Slot3_SpendLike*AU20+AZ20*Slot4_SpendLike*BE20+BJ20*Slot5_SpendLike*BO20+BT20*Slot6_SpendLike*BY20+CD20*Slot7_SpendLike*CI20+CN20*Slot8_SpendLike*CS20+CX20*Slot9_SpendLike*DC20+DH20*Slot10_SpendLike*DM20+DR20*Slot11_SpendLike*DW20+EB20*Slot12_SpendLike*EG20+EL20*Slot13_SpendLike*EQ20+EV20*Slot14_SpendLike*FA20+FF20*Slot15_SpendLike*FK20+FP20*Slot16_SpendLike*FU20+FZ20*Slot17_SpendLike*GE20+GJ20*Slot18_SpendLike*GO20+GT20*Slot19_SpendLike*GY20+HD20*Slot20_SpendLike*HI20</f>
        <v>0</v>
      </c>
      <c r="HO20" s="1" t="n">
        <f aca="false">AD20+AO20+AY20+BI20+BS20+CC20+CM20+CW20+DG20+DQ20+EA20+EK20+EU20+FE20+FO20+FY20+GI20+GS20+HC20+HM20</f>
        <v>0</v>
      </c>
      <c r="HP20" s="1" t="n">
        <f aca="false">U20*Slot1_Cost+AF20*Slot2_Cost+AP20*Slot3_Cost+AZ20*Slot4_Cost+BJ20*Slot5_Cost+BT20*Slot6_Cost+CD20*Slot7_Cost+CN20*Slot8_Cost+CX20*Slot9_Cost+DH20*Slot10_Cost+DR20*Slot11_Cost+EB20*Slot12_Cost+EL20*Slot13_Cost+EV20*Slot14_Cost+FF20*Slot15_Cost+FP20*Slot16_Cost+FZ20*Slot17_Cost+GJ20*Slot18_Cost+GT20*Slot19_Cost+HD20*Slot20_Cost</f>
        <v>0</v>
      </c>
      <c r="HQ20" s="1" t="n">
        <f aca="false">HL20</f>
        <v>0</v>
      </c>
      <c r="HR20" s="1" t="n">
        <f aca="false">G20-H20-R20</f>
        <v>0</v>
      </c>
      <c r="HS20" s="1" t="n">
        <f aca="false">IF(B20=0,IF(AND(Has_q6=1,In_q6=4),PR_ShareVaries*(MAX(0,HR20)/12),MIN(IF(Has_q6=1,CHOOSE(In_q6+1,PR_SaveB1,PR_SaveB2,PR_SaveB3,PR_SaveB4,0),AS_NoAnswer),AS_SaveShare*(MAX(0,HR20)/12))),HS19)</f>
        <v>0</v>
      </c>
      <c r="HT20" s="1" t="n">
        <f aca="false">IF(HR20&gt;=0,1,0)</f>
        <v>1</v>
      </c>
      <c r="HU20" s="1" t="n">
        <f aca="false">MAX(0,HR20/12/E20)</f>
        <v>0</v>
      </c>
      <c r="HV20" s="1" t="n">
        <f aca="false">IF(AND(Has_q6=1,In_q6=4),PR_ShareVaries*(HU20),MIN(IF(Has_q6=1,CHOOSE(In_q6+1,PR_SaveB1,PR_SaveB2,PR_SaveB3,PR_SaveB4,0),AS_NoAnswer),AS_SaveShare*(HU20)))</f>
        <v>0</v>
      </c>
      <c r="HW20" s="1" t="n">
        <f aca="false">IF(Has_saveM=1,IF(In_saveUp="Yes",1,IF(In_saveUp="No",0,IF(In_saveM&gt;=HS20-0.5,1,0))),0)</f>
        <v>0</v>
      </c>
      <c r="HX20" s="1" t="n">
        <f aca="false">IF(Has_saveM=1,MIN(HU20,IF(HW20=1,MAX(In_saveM,HV20),MIN(In_saveM,HV20))),HV20)</f>
        <v>0</v>
      </c>
      <c r="HY20" s="1" t="n">
        <f aca="false">IF(F20=1,HX20*12*E20,0)</f>
        <v>0</v>
      </c>
      <c r="HZ20" s="1" t="n">
        <f aca="false">MAX(0,HY20+IF(AND(WI_Retire=0,WI_M&lt;0,F20=1),WI_M*12*E20,0))</f>
        <v>0</v>
      </c>
      <c r="IA20" s="1" t="n">
        <f aca="false">Slot1_IsWG*V20+Slot2_IsWG*AG20+Slot3_IsWG*AQ20+Slot4_IsWG*BA20+Slot5_IsWG*BK20+Slot6_IsWG*BU20+Slot7_IsWG*CE20+Slot8_IsWG*CO20+Slot9_IsWG*CY20+Slot10_IsWG*DI20+Slot11_IsWG*DS20+Slot12_IsWG*EC20+Slot13_IsWG*EM20+Slot14_IsWG*EW20+Slot15_IsWG*FG20+Slot16_IsWG*FQ20+Slot17_IsWG*GA20+Slot18_IsWG*GK20+Slot19_IsWG*GU20+Slot20_IsWG*HE20</f>
        <v>0</v>
      </c>
      <c r="IB20" s="1" t="n">
        <f aca="false">IF(AND(WI_Retire=0,WI_M&gt;0,F20=1,IA20&gt;=1),WI_M*12*E20,0)</f>
        <v>0</v>
      </c>
      <c r="IC20" s="1" t="n">
        <f aca="false">IF(HT20=1,MIN(HZ20,HR20),0)</f>
        <v>0</v>
      </c>
      <c r="ID20" s="1" t="n">
        <f aca="false">IF(HT20=1,MIN(IB20,HR20-IC20),0)</f>
        <v>0</v>
      </c>
      <c r="IE20" s="1" t="n">
        <f aca="false">IF(V20=1,IF(ABS((1+AS_Wage)/(1+Slot1_Rate)-1)&lt;0.000000000001,(Slot1_Age-D20)*(1+Slot1_Rate)^(Slot1_Age-D20),(1+Slot1_Rate)^(Slot1_Age-D20)*(1-((1+AS_Wage)/(1+Slot1_Rate))^(Slot1_Age-D20))/(1-(1+AS_Wage)/(1+Slot1_Rate))),1)</f>
        <v>1</v>
      </c>
      <c r="IF20" s="1" t="n">
        <f aca="false">IF(AND(HT20=1,ID20&gt;0,Slot1_IsWG=1,V20=1),MAX(0,(Slot1_Cost-W20*(1+Slot1_Rate)^(Slot1_Age-D20))/IE20),0)</f>
        <v>0</v>
      </c>
      <c r="IG20" s="1" t="n">
        <f aca="false">IF(AND(HT20=1,ID20&gt;0,Slot1_IsWG=1,V20=1),MIN(ID20,IF20),0)</f>
        <v>0</v>
      </c>
      <c r="IH20" s="1" t="n">
        <f aca="false">W20+IG20</f>
        <v>0</v>
      </c>
      <c r="II20" s="1" t="n">
        <f aca="false">IF(V20=1,MAX(0,(Slot1_Cost-IH20*(1+Slot1_Rate)^(Slot1_Age-D20))/IE20),0)</f>
        <v>0</v>
      </c>
      <c r="IJ20" s="1" t="n">
        <f aca="false">IF(V20=1,MAX(0,(Slot1_Cost-W20*(1+Slot1_Rate)^(Slot1_Age-D20))/IE20),0)</f>
        <v>0</v>
      </c>
      <c r="IK20" s="1" t="n">
        <f aca="false">IF(AND(HT20=1,V20=1),MIN(IC20,II20),0)</f>
        <v>0</v>
      </c>
      <c r="IL20" s="1" t="n">
        <f aca="false">IC20-IK20</f>
        <v>0</v>
      </c>
      <c r="IM20" s="1" t="n">
        <f aca="false">IF(AG20=1,IF(ABS((1+AS_Wage)/(1+Slot2_Rate)-1)&lt;0.000000000001,(Slot2_Age-D20)*(1+Slot2_Rate)^(Slot2_Age-D20),(1+Slot2_Rate)^(Slot2_Age-D20)*(1-((1+AS_Wage)/(1+Slot2_Rate))^(Slot2_Age-D20))/(1-(1+AS_Wage)/(1+Slot2_Rate))),1)</f>
        <v>1</v>
      </c>
      <c r="IN20" s="1" t="n">
        <f aca="false">IF(AND(HT20=1,ID20&gt;0,Slot2_IsWG=1,AG20=1),MAX(0,(Slot2_Cost-AH20*(1+Slot2_Rate)^(Slot2_Age-D20))/IM20),0)</f>
        <v>0</v>
      </c>
      <c r="IO20" s="1" t="n">
        <f aca="false">IF(AND(HT20=1,ID20&gt;0,Slot2_IsWG=1,AG20=1),MIN(ID20,IN20),0)</f>
        <v>0</v>
      </c>
      <c r="IP20" s="1" t="n">
        <f aca="false">AH20+IO20</f>
        <v>0</v>
      </c>
      <c r="IQ20" s="1" t="n">
        <f aca="false">IF(AG20=1,MAX(0,(Slot2_Cost-IP20*(1+Slot2_Rate)^(Slot2_Age-D20))/IM20),0)</f>
        <v>0</v>
      </c>
      <c r="IR20" s="1" t="n">
        <f aca="false">IF(AG20=1,MAX(0,(Slot2_Cost-AH20*(1+Slot2_Rate)^(Slot2_Age-D20))/IM20),0)</f>
        <v>0</v>
      </c>
      <c r="IS20" s="1" t="n">
        <f aca="false">IF(AND(HT20=1,AG20=1),MIN(IL20,IQ20),0)</f>
        <v>0</v>
      </c>
      <c r="IT20" s="1" t="n">
        <f aca="false">IL20-IS20</f>
        <v>0</v>
      </c>
      <c r="IU20" s="1" t="n">
        <f aca="false">IF(AQ20=1,IF(ABS((1+AS_Wage)/(1+Slot3_Rate)-1)&lt;0.000000000001,(Slot3_Age-D20)*(1+Slot3_Rate)^(Slot3_Age-D20),(1+Slot3_Rate)^(Slot3_Age-D20)*(1-((1+AS_Wage)/(1+Slot3_Rate))^(Slot3_Age-D20))/(1-(1+AS_Wage)/(1+Slot3_Rate))),1)</f>
        <v>1</v>
      </c>
      <c r="IV20" s="1" t="n">
        <f aca="false">IF(AND(HT20=1,ID20&gt;0,Slot3_IsWG=1,AQ20=1),MAX(0,(Slot3_Cost-AR20*(1+Slot3_Rate)^(Slot3_Age-D20))/IU20),0)</f>
        <v>0</v>
      </c>
      <c r="IW20" s="1" t="n">
        <f aca="false">IF(AND(HT20=1,ID20&gt;0,Slot3_IsWG=1,AQ20=1),MIN(ID20,IV20),0)</f>
        <v>0</v>
      </c>
      <c r="IX20" s="1" t="n">
        <f aca="false">AR20+IW20</f>
        <v>0</v>
      </c>
      <c r="IY20" s="1" t="n">
        <f aca="false">IF(AQ20=1,MAX(0,(Slot3_Cost-IX20*(1+Slot3_Rate)^(Slot3_Age-D20))/IU20),0)</f>
        <v>0</v>
      </c>
      <c r="IZ20" s="1" t="n">
        <f aca="false">IF(AQ20=1,MAX(0,(Slot3_Cost-AR20*(1+Slot3_Rate)^(Slot3_Age-D20))/IU20),0)</f>
        <v>0</v>
      </c>
      <c r="JA20" s="1" t="n">
        <f aca="false">IF(AND(HT20=1,AQ20=1),MIN(IT20,IY20),0)</f>
        <v>0</v>
      </c>
      <c r="JB20" s="1" t="n">
        <f aca="false">IT20-JA20</f>
        <v>0</v>
      </c>
      <c r="JC20" s="1" t="n">
        <f aca="false">IF(BA20=1,IF(ABS((1+AS_Wage)/(1+Slot4_Rate)-1)&lt;0.000000000001,(Slot4_Age-D20)*(1+Slot4_Rate)^(Slot4_Age-D20),(1+Slot4_Rate)^(Slot4_Age-D20)*(1-((1+AS_Wage)/(1+Slot4_Rate))^(Slot4_Age-D20))/(1-(1+AS_Wage)/(1+Slot4_Rate))),1)</f>
        <v>1</v>
      </c>
      <c r="JD20" s="1" t="n">
        <f aca="false">IF(AND(HT20=1,ID20&gt;0,Slot4_IsWG=1,BA20=1),MAX(0,(Slot4_Cost-BB20*(1+Slot4_Rate)^(Slot4_Age-D20))/JC20),0)</f>
        <v>0</v>
      </c>
      <c r="JE20" s="1" t="n">
        <f aca="false">IF(AND(HT20=1,ID20&gt;0,Slot4_IsWG=1,BA20=1),MIN(ID20,JD20),0)</f>
        <v>0</v>
      </c>
      <c r="JF20" s="1" t="n">
        <f aca="false">BB20+JE20</f>
        <v>0</v>
      </c>
      <c r="JG20" s="1" t="n">
        <f aca="false">IF(BA20=1,MAX(0,(Slot4_Cost-JF20*(1+Slot4_Rate)^(Slot4_Age-D20))/JC20),0)</f>
        <v>0</v>
      </c>
      <c r="JH20" s="1" t="n">
        <f aca="false">IF(BA20=1,MAX(0,(Slot4_Cost-BB20*(1+Slot4_Rate)^(Slot4_Age-D20))/JC20),0)</f>
        <v>0</v>
      </c>
      <c r="JI20" s="1" t="n">
        <f aca="false">IF(AND(HT20=1,BA20=1),MIN(JB20,JG20),0)</f>
        <v>0</v>
      </c>
      <c r="JJ20" s="1" t="n">
        <f aca="false">JB20-JI20</f>
        <v>0</v>
      </c>
      <c r="JK20" s="1" t="n">
        <f aca="false">IF(BK20=1,IF(ABS((1+AS_Wage)/(1+Slot5_Rate)-1)&lt;0.000000000001,(Slot5_Age-D20)*(1+Slot5_Rate)^(Slot5_Age-D20),(1+Slot5_Rate)^(Slot5_Age-D20)*(1-((1+AS_Wage)/(1+Slot5_Rate))^(Slot5_Age-D20))/(1-(1+AS_Wage)/(1+Slot5_Rate))),1)</f>
        <v>1</v>
      </c>
      <c r="JL20" s="1" t="n">
        <f aca="false">IF(AND(HT20=1,ID20&gt;0,Slot5_IsWG=1,BK20=1),MAX(0,(Slot5_Cost-BL20*(1+Slot5_Rate)^(Slot5_Age-D20))/JK20),0)</f>
        <v>0</v>
      </c>
      <c r="JM20" s="1" t="n">
        <f aca="false">IF(AND(HT20=1,ID20&gt;0,Slot5_IsWG=1,BK20=1),MIN(ID20,JL20),0)</f>
        <v>0</v>
      </c>
      <c r="JN20" s="1" t="n">
        <f aca="false">BL20+JM20</f>
        <v>0</v>
      </c>
      <c r="JO20" s="1" t="n">
        <f aca="false">IF(BK20=1,MAX(0,(Slot5_Cost-JN20*(1+Slot5_Rate)^(Slot5_Age-D20))/JK20),0)</f>
        <v>0</v>
      </c>
      <c r="JP20" s="1" t="n">
        <f aca="false">IF(BK20=1,MAX(0,(Slot5_Cost-BL20*(1+Slot5_Rate)^(Slot5_Age-D20))/JK20),0)</f>
        <v>0</v>
      </c>
      <c r="JQ20" s="1" t="n">
        <f aca="false">IF(AND(HT20=1,BK20=1),MIN(JJ20,JO20),0)</f>
        <v>0</v>
      </c>
      <c r="JR20" s="1" t="n">
        <f aca="false">JJ20-JQ20</f>
        <v>0</v>
      </c>
      <c r="JS20" s="1" t="n">
        <f aca="false">IF(BU20=1,IF(ABS((1+AS_Wage)/(1+Slot6_Rate)-1)&lt;0.000000000001,(Slot6_Age-D20)*(1+Slot6_Rate)^(Slot6_Age-D20),(1+Slot6_Rate)^(Slot6_Age-D20)*(1-((1+AS_Wage)/(1+Slot6_Rate))^(Slot6_Age-D20))/(1-(1+AS_Wage)/(1+Slot6_Rate))),1)</f>
        <v>1</v>
      </c>
      <c r="JT20" s="1" t="n">
        <f aca="false">IF(AND(HT20=1,ID20&gt;0,Slot6_IsWG=1,BU20=1),MAX(0,(Slot6_Cost-BV20*(1+Slot6_Rate)^(Slot6_Age-D20))/JS20),0)</f>
        <v>0</v>
      </c>
      <c r="JU20" s="1" t="n">
        <f aca="false">IF(AND(HT20=1,ID20&gt;0,Slot6_IsWG=1,BU20=1),MIN(ID20,JT20),0)</f>
        <v>0</v>
      </c>
      <c r="JV20" s="1" t="n">
        <f aca="false">BV20+JU20</f>
        <v>0</v>
      </c>
      <c r="JW20" s="1" t="n">
        <f aca="false">IF(BU20=1,MAX(0,(Slot6_Cost-JV20*(1+Slot6_Rate)^(Slot6_Age-D20))/JS20),0)</f>
        <v>0</v>
      </c>
      <c r="JX20" s="1" t="n">
        <f aca="false">IF(BU20=1,MAX(0,(Slot6_Cost-BV20*(1+Slot6_Rate)^(Slot6_Age-D20))/JS20),0)</f>
        <v>0</v>
      </c>
      <c r="JY20" s="1" t="n">
        <f aca="false">IF(AND(HT20=1,BU20=1),MIN(JR20,JW20),0)</f>
        <v>0</v>
      </c>
      <c r="JZ20" s="1" t="n">
        <f aca="false">JR20-JY20</f>
        <v>0</v>
      </c>
      <c r="KA20" s="1" t="n">
        <f aca="false">IF(CE20=1,IF(ABS((1+AS_Wage)/(1+Slot7_Rate)-1)&lt;0.000000000001,(Slot7_Age-D20)*(1+Slot7_Rate)^(Slot7_Age-D20),(1+Slot7_Rate)^(Slot7_Age-D20)*(1-((1+AS_Wage)/(1+Slot7_Rate))^(Slot7_Age-D20))/(1-(1+AS_Wage)/(1+Slot7_Rate))),1)</f>
        <v>1</v>
      </c>
      <c r="KB20" s="1" t="n">
        <f aca="false">IF(AND(HT20=1,ID20&gt;0,Slot7_IsWG=1,CE20=1),MAX(0,(Slot7_Cost-CF20*(1+Slot7_Rate)^(Slot7_Age-D20))/KA20),0)</f>
        <v>0</v>
      </c>
      <c r="KC20" s="1" t="n">
        <f aca="false">IF(AND(HT20=1,ID20&gt;0,Slot7_IsWG=1,CE20=1),MIN(ID20,KB20),0)</f>
        <v>0</v>
      </c>
      <c r="KD20" s="1" t="n">
        <f aca="false">CF20+KC20</f>
        <v>0</v>
      </c>
      <c r="KE20" s="1" t="n">
        <f aca="false">IF(CE20=1,MAX(0,(Slot7_Cost-KD20*(1+Slot7_Rate)^(Slot7_Age-D20))/KA20),0)</f>
        <v>0</v>
      </c>
      <c r="KF20" s="1" t="n">
        <f aca="false">IF(CE20=1,MAX(0,(Slot7_Cost-CF20*(1+Slot7_Rate)^(Slot7_Age-D20))/KA20),0)</f>
        <v>0</v>
      </c>
      <c r="KG20" s="1" t="n">
        <f aca="false">IF(AND(HT20=1,CE20=1),MIN(JZ20,KE20),0)</f>
        <v>0</v>
      </c>
      <c r="KH20" s="1" t="n">
        <f aca="false">JZ20-KG20</f>
        <v>0</v>
      </c>
      <c r="KI20" s="1" t="n">
        <f aca="false">IF(CO20=1,IF(ABS((1+AS_Wage)/(1+Slot8_Rate)-1)&lt;0.000000000001,(Slot8_Age-D20)*(1+Slot8_Rate)^(Slot8_Age-D20),(1+Slot8_Rate)^(Slot8_Age-D20)*(1-((1+AS_Wage)/(1+Slot8_Rate))^(Slot8_Age-D20))/(1-(1+AS_Wage)/(1+Slot8_Rate))),1)</f>
        <v>1</v>
      </c>
      <c r="KJ20" s="1" t="n">
        <f aca="false">IF(AND(HT20=1,ID20&gt;0,Slot8_IsWG=1,CO20=1),MAX(0,(Slot8_Cost-CP20*(1+Slot8_Rate)^(Slot8_Age-D20))/KI20),0)</f>
        <v>0</v>
      </c>
      <c r="KK20" s="1" t="n">
        <f aca="false">IF(AND(HT20=1,ID20&gt;0,Slot8_IsWG=1,CO20=1),MIN(ID20,KJ20),0)</f>
        <v>0</v>
      </c>
      <c r="KL20" s="1" t="n">
        <f aca="false">CP20+KK20</f>
        <v>0</v>
      </c>
      <c r="KM20" s="1" t="n">
        <f aca="false">IF(CO20=1,MAX(0,(Slot8_Cost-KL20*(1+Slot8_Rate)^(Slot8_Age-D20))/KI20),0)</f>
        <v>0</v>
      </c>
      <c r="KN20" s="1" t="n">
        <f aca="false">IF(CO20=1,MAX(0,(Slot8_Cost-CP20*(1+Slot8_Rate)^(Slot8_Age-D20))/KI20),0)</f>
        <v>0</v>
      </c>
      <c r="KO20" s="1" t="n">
        <f aca="false">IF(AND(HT20=1,CO20=1),MIN(KH20,KM20),0)</f>
        <v>0</v>
      </c>
      <c r="KP20" s="1" t="n">
        <f aca="false">KH20-KO20</f>
        <v>0</v>
      </c>
      <c r="KQ20" s="1" t="n">
        <f aca="false">IF(CY20=1,IF(ABS((1+AS_Wage)/(1+Slot9_Rate)-1)&lt;0.000000000001,(Slot9_Age-D20)*(1+Slot9_Rate)^(Slot9_Age-D20),(1+Slot9_Rate)^(Slot9_Age-D20)*(1-((1+AS_Wage)/(1+Slot9_Rate))^(Slot9_Age-D20))/(1-(1+AS_Wage)/(1+Slot9_Rate))),1)</f>
        <v>1</v>
      </c>
      <c r="KR20" s="1" t="n">
        <f aca="false">IF(AND(HT20=1,ID20&gt;0,Slot9_IsWG=1,CY20=1),MAX(0,(Slot9_Cost-CZ20*(1+Slot9_Rate)^(Slot9_Age-D20))/KQ20),0)</f>
        <v>0</v>
      </c>
      <c r="KS20" s="1" t="n">
        <f aca="false">IF(AND(HT20=1,ID20&gt;0,Slot9_IsWG=1,CY20=1),MIN(ID20,KR20),0)</f>
        <v>0</v>
      </c>
      <c r="KT20" s="1" t="n">
        <f aca="false">CZ20+KS20</f>
        <v>0</v>
      </c>
      <c r="KU20" s="1" t="n">
        <f aca="false">IF(CY20=1,MAX(0,(Slot9_Cost-KT20*(1+Slot9_Rate)^(Slot9_Age-D20))/KQ20),0)</f>
        <v>0</v>
      </c>
      <c r="KV20" s="1" t="n">
        <f aca="false">IF(CY20=1,MAX(0,(Slot9_Cost-CZ20*(1+Slot9_Rate)^(Slot9_Age-D20))/KQ20),0)</f>
        <v>0</v>
      </c>
      <c r="KW20" s="1" t="n">
        <f aca="false">IF(AND(HT20=1,CY20=1),MIN(KP20,KU20),0)</f>
        <v>0</v>
      </c>
      <c r="KX20" s="1" t="n">
        <f aca="false">KP20-KW20</f>
        <v>0</v>
      </c>
      <c r="KY20" s="1" t="n">
        <f aca="false">IF(DI20=1,IF(ABS((1+AS_Wage)/(1+Slot10_Rate)-1)&lt;0.000000000001,(Slot10_Age-D20)*(1+Slot10_Rate)^(Slot10_Age-D20),(1+Slot10_Rate)^(Slot10_Age-D20)*(1-((1+AS_Wage)/(1+Slot10_Rate))^(Slot10_Age-D20))/(1-(1+AS_Wage)/(1+Slot10_Rate))),1)</f>
        <v>1</v>
      </c>
      <c r="KZ20" s="1" t="n">
        <f aca="false">IF(AND(HT20=1,ID20&gt;0,Slot10_IsWG=1,DI20=1),MAX(0,(Slot10_Cost-DJ20*(1+Slot10_Rate)^(Slot10_Age-D20))/KY20),0)</f>
        <v>0</v>
      </c>
      <c r="LA20" s="1" t="n">
        <f aca="false">IF(AND(HT20=1,ID20&gt;0,Slot10_IsWG=1,DI20=1),MIN(ID20,KZ20),0)</f>
        <v>0</v>
      </c>
      <c r="LB20" s="1" t="n">
        <f aca="false">DJ20+LA20</f>
        <v>0</v>
      </c>
      <c r="LC20" s="1" t="n">
        <f aca="false">IF(DI20=1,MAX(0,(Slot10_Cost-LB20*(1+Slot10_Rate)^(Slot10_Age-D20))/KY20),0)</f>
        <v>0</v>
      </c>
      <c r="LD20" s="1" t="n">
        <f aca="false">IF(DI20=1,MAX(0,(Slot10_Cost-DJ20*(1+Slot10_Rate)^(Slot10_Age-D20))/KY20),0)</f>
        <v>0</v>
      </c>
      <c r="LE20" s="1" t="n">
        <f aca="false">IF(AND(HT20=1,DI20=1),MIN(KX20,LC20),0)</f>
        <v>0</v>
      </c>
      <c r="LF20" s="1" t="n">
        <f aca="false">KX20-LE20</f>
        <v>0</v>
      </c>
      <c r="LG20" s="1" t="n">
        <f aca="false">IF(DS20=1,IF(ABS((1+AS_Wage)/(1+Slot11_Rate)-1)&lt;0.000000000001,(Slot11_Age-D20)*(1+Slot11_Rate)^(Slot11_Age-D20),(1+Slot11_Rate)^(Slot11_Age-D20)*(1-((1+AS_Wage)/(1+Slot11_Rate))^(Slot11_Age-D20))/(1-(1+AS_Wage)/(1+Slot11_Rate))),1)</f>
        <v>1</v>
      </c>
      <c r="LH20" s="1" t="n">
        <f aca="false">IF(AND(HT20=1,ID20&gt;0,Slot11_IsWG=1,DS20=1),MAX(0,(Slot11_Cost-DT20*(1+Slot11_Rate)^(Slot11_Age-D20))/LG20),0)</f>
        <v>0</v>
      </c>
      <c r="LI20" s="1" t="n">
        <f aca="false">IF(AND(HT20=1,ID20&gt;0,Slot11_IsWG=1,DS20=1),MIN(ID20,LH20),0)</f>
        <v>0</v>
      </c>
      <c r="LJ20" s="1" t="n">
        <f aca="false">DT20+LI20</f>
        <v>0</v>
      </c>
      <c r="LK20" s="1" t="n">
        <f aca="false">IF(DS20=1,MAX(0,(Slot11_Cost-LJ20*(1+Slot11_Rate)^(Slot11_Age-D20))/LG20),0)</f>
        <v>0</v>
      </c>
      <c r="LL20" s="1" t="n">
        <f aca="false">IF(DS20=1,MAX(0,(Slot11_Cost-DT20*(1+Slot11_Rate)^(Slot11_Age-D20))/LG20),0)</f>
        <v>0</v>
      </c>
      <c r="LM20" s="1" t="n">
        <f aca="false">IF(AND(HT20=1,DS20=1),MIN(LF20,LK20),0)</f>
        <v>0</v>
      </c>
      <c r="LN20" s="1" t="n">
        <f aca="false">LF20-LM20</f>
        <v>0</v>
      </c>
      <c r="LO20" s="1" t="n">
        <f aca="false">IF(EC20=1,IF(ABS((1+AS_Wage)/(1+Slot12_Rate)-1)&lt;0.000000000001,(Slot12_Age-D20)*(1+Slot12_Rate)^(Slot12_Age-D20),(1+Slot12_Rate)^(Slot12_Age-D20)*(1-((1+AS_Wage)/(1+Slot12_Rate))^(Slot12_Age-D20))/(1-(1+AS_Wage)/(1+Slot12_Rate))),1)</f>
        <v>1</v>
      </c>
      <c r="LP20" s="1" t="n">
        <f aca="false">IF(AND(HT20=1,ID20&gt;0,Slot12_IsWG=1,EC20=1),MAX(0,(Slot12_Cost-ED20*(1+Slot12_Rate)^(Slot12_Age-D20))/LO20),0)</f>
        <v>0</v>
      </c>
      <c r="LQ20" s="1" t="n">
        <f aca="false">IF(AND(HT20=1,ID20&gt;0,Slot12_IsWG=1,EC20=1),MIN(ID20,LP20),0)</f>
        <v>0</v>
      </c>
      <c r="LR20" s="1" t="n">
        <f aca="false">ED20+LQ20</f>
        <v>0</v>
      </c>
      <c r="LS20" s="1" t="n">
        <f aca="false">IF(EC20=1,MAX(0,(Slot12_Cost-LR20*(1+Slot12_Rate)^(Slot12_Age-D20))/LO20),0)</f>
        <v>0</v>
      </c>
      <c r="LT20" s="1" t="n">
        <f aca="false">IF(EC20=1,MAX(0,(Slot12_Cost-ED20*(1+Slot12_Rate)^(Slot12_Age-D20))/LO20),0)</f>
        <v>0</v>
      </c>
      <c r="LU20" s="1" t="n">
        <f aca="false">IF(AND(HT20=1,EC20=1),MIN(LN20,LS20),0)</f>
        <v>0</v>
      </c>
      <c r="LV20" s="1" t="n">
        <f aca="false">LN20-LU20</f>
        <v>0</v>
      </c>
      <c r="LW20" s="1" t="n">
        <f aca="false">IF(EM20=1,IF(ABS((1+AS_Wage)/(1+Slot13_Rate)-1)&lt;0.000000000001,(Slot13_Age-D20)*(1+Slot13_Rate)^(Slot13_Age-D20),(1+Slot13_Rate)^(Slot13_Age-D20)*(1-((1+AS_Wage)/(1+Slot13_Rate))^(Slot13_Age-D20))/(1-(1+AS_Wage)/(1+Slot13_Rate))),1)</f>
        <v>1</v>
      </c>
      <c r="LX20" s="1" t="n">
        <f aca="false">IF(AND(HT20=1,ID20&gt;0,Slot13_IsWG=1,EM20=1),MAX(0,(Slot13_Cost-EN20*(1+Slot13_Rate)^(Slot13_Age-D20))/LW20),0)</f>
        <v>0</v>
      </c>
      <c r="LY20" s="1" t="n">
        <f aca="false">IF(AND(HT20=1,ID20&gt;0,Slot13_IsWG=1,EM20=1),MIN(ID20,LX20),0)</f>
        <v>0</v>
      </c>
      <c r="LZ20" s="1" t="n">
        <f aca="false">EN20+LY20</f>
        <v>0</v>
      </c>
      <c r="MA20" s="1" t="n">
        <f aca="false">IF(EM20=1,MAX(0,(Slot13_Cost-LZ20*(1+Slot13_Rate)^(Slot13_Age-D20))/LW20),0)</f>
        <v>0</v>
      </c>
      <c r="MB20" s="1" t="n">
        <f aca="false">IF(EM20=1,MAX(0,(Slot13_Cost-EN20*(1+Slot13_Rate)^(Slot13_Age-D20))/LW20),0)</f>
        <v>0</v>
      </c>
      <c r="MC20" s="1" t="n">
        <f aca="false">IF(AND(HT20=1,EM20=1),MIN(LV20,MA20),0)</f>
        <v>0</v>
      </c>
      <c r="MD20" s="1" t="n">
        <f aca="false">LV20-MC20</f>
        <v>0</v>
      </c>
      <c r="ME20" s="1" t="n">
        <f aca="false">IF(EW20=1,IF(ABS((1+AS_Wage)/(1+Slot14_Rate)-1)&lt;0.000000000001,(Slot14_Age-D20)*(1+Slot14_Rate)^(Slot14_Age-D20),(1+Slot14_Rate)^(Slot14_Age-D20)*(1-((1+AS_Wage)/(1+Slot14_Rate))^(Slot14_Age-D20))/(1-(1+AS_Wage)/(1+Slot14_Rate))),1)</f>
        <v>1</v>
      </c>
      <c r="MF20" s="1" t="n">
        <f aca="false">IF(AND(HT20=1,ID20&gt;0,Slot14_IsWG=1,EW20=1),MAX(0,(Slot14_Cost-EX20*(1+Slot14_Rate)^(Slot14_Age-D20))/ME20),0)</f>
        <v>0</v>
      </c>
      <c r="MG20" s="1" t="n">
        <f aca="false">IF(AND(HT20=1,ID20&gt;0,Slot14_IsWG=1,EW20=1),MIN(ID20,MF20),0)</f>
        <v>0</v>
      </c>
      <c r="MH20" s="1" t="n">
        <f aca="false">EX20+MG20</f>
        <v>0</v>
      </c>
      <c r="MI20" s="1" t="n">
        <f aca="false">IF(EW20=1,MAX(0,(Slot14_Cost-MH20*(1+Slot14_Rate)^(Slot14_Age-D20))/ME20),0)</f>
        <v>0</v>
      </c>
      <c r="MJ20" s="1" t="n">
        <f aca="false">IF(EW20=1,MAX(0,(Slot14_Cost-EX20*(1+Slot14_Rate)^(Slot14_Age-D20))/ME20),0)</f>
        <v>0</v>
      </c>
      <c r="MK20" s="1" t="n">
        <f aca="false">IF(AND(HT20=1,EW20=1),MIN(MD20,MI20),0)</f>
        <v>0</v>
      </c>
      <c r="ML20" s="1" t="n">
        <f aca="false">MD20-MK20</f>
        <v>0</v>
      </c>
      <c r="MM20" s="1" t="n">
        <f aca="false">IF(FG20=1,IF(ABS((1+AS_Wage)/(1+Slot15_Rate)-1)&lt;0.000000000001,(Slot15_Age-D20)*(1+Slot15_Rate)^(Slot15_Age-D20),(1+Slot15_Rate)^(Slot15_Age-D20)*(1-((1+AS_Wage)/(1+Slot15_Rate))^(Slot15_Age-D20))/(1-(1+AS_Wage)/(1+Slot15_Rate))),1)</f>
        <v>1</v>
      </c>
      <c r="MN20" s="1" t="n">
        <f aca="false">IF(AND(HT20=1,ID20&gt;0,Slot15_IsWG=1,FG20=1),MAX(0,(Slot15_Cost-FH20*(1+Slot15_Rate)^(Slot15_Age-D20))/MM20),0)</f>
        <v>0</v>
      </c>
      <c r="MO20" s="1" t="n">
        <f aca="false">IF(AND(HT20=1,ID20&gt;0,Slot15_IsWG=1,FG20=1),MIN(ID20,MN20),0)</f>
        <v>0</v>
      </c>
      <c r="MP20" s="1" t="n">
        <f aca="false">FH20+MO20</f>
        <v>0</v>
      </c>
      <c r="MQ20" s="1" t="n">
        <f aca="false">IF(FG20=1,MAX(0,(Slot15_Cost-MP20*(1+Slot15_Rate)^(Slot15_Age-D20))/MM20),0)</f>
        <v>0</v>
      </c>
      <c r="MR20" s="1" t="n">
        <f aca="false">IF(FG20=1,MAX(0,(Slot15_Cost-FH20*(1+Slot15_Rate)^(Slot15_Age-D20))/MM20),0)</f>
        <v>0</v>
      </c>
      <c r="MS20" s="1" t="n">
        <f aca="false">IF(AND(HT20=1,FG20=1),MIN(ML20,MQ20),0)</f>
        <v>0</v>
      </c>
      <c r="MT20" s="1" t="n">
        <f aca="false">ML20-MS20</f>
        <v>0</v>
      </c>
      <c r="MU20" s="1" t="n">
        <f aca="false">IF(FQ20=1,IF(ABS((1+AS_Wage)/(1+Slot16_Rate)-1)&lt;0.000000000001,(Slot16_Age-D20)*(1+Slot16_Rate)^(Slot16_Age-D20),(1+Slot16_Rate)^(Slot16_Age-D20)*(1-((1+AS_Wage)/(1+Slot16_Rate))^(Slot16_Age-D20))/(1-(1+AS_Wage)/(1+Slot16_Rate))),1)</f>
        <v>1</v>
      </c>
      <c r="MV20" s="1" t="n">
        <f aca="false">IF(AND(HT20=1,ID20&gt;0,Slot16_IsWG=1,FQ20=1),MAX(0,(Slot16_Cost-FR20*(1+Slot16_Rate)^(Slot16_Age-D20))/MU20),0)</f>
        <v>0</v>
      </c>
      <c r="MW20" s="1" t="n">
        <f aca="false">IF(AND(HT20=1,ID20&gt;0,Slot16_IsWG=1,FQ20=1),MIN(ID20,MV20),0)</f>
        <v>0</v>
      </c>
      <c r="MX20" s="1" t="n">
        <f aca="false">FR20+MW20</f>
        <v>0</v>
      </c>
      <c r="MY20" s="1" t="n">
        <f aca="false">IF(FQ20=1,MAX(0,(Slot16_Cost-MX20*(1+Slot16_Rate)^(Slot16_Age-D20))/MU20),0)</f>
        <v>0</v>
      </c>
      <c r="MZ20" s="1" t="n">
        <f aca="false">IF(FQ20=1,MAX(0,(Slot16_Cost-FR20*(1+Slot16_Rate)^(Slot16_Age-D20))/MU20),0)</f>
        <v>0</v>
      </c>
      <c r="NA20" s="1" t="n">
        <f aca="false">IF(AND(HT20=1,FQ20=1),MIN(MT20,MY20),0)</f>
        <v>0</v>
      </c>
      <c r="NB20" s="1" t="n">
        <f aca="false">MT20-NA20</f>
        <v>0</v>
      </c>
      <c r="NC20" s="1" t="n">
        <f aca="false">IF(GA20=1,IF(ABS((1+AS_Wage)/(1+Slot17_Rate)-1)&lt;0.000000000001,(Slot17_Age-D20)*(1+Slot17_Rate)^(Slot17_Age-D20),(1+Slot17_Rate)^(Slot17_Age-D20)*(1-((1+AS_Wage)/(1+Slot17_Rate))^(Slot17_Age-D20))/(1-(1+AS_Wage)/(1+Slot17_Rate))),1)</f>
        <v>1</v>
      </c>
      <c r="ND20" s="1" t="n">
        <f aca="false">IF(AND(HT20=1,ID20&gt;0,Slot17_IsWG=1,GA20=1),MAX(0,(Slot17_Cost-GB20*(1+Slot17_Rate)^(Slot17_Age-D20))/NC20),0)</f>
        <v>0</v>
      </c>
      <c r="NE20" s="1" t="n">
        <f aca="false">IF(AND(HT20=1,ID20&gt;0,Slot17_IsWG=1,GA20=1),MIN(ID20,ND20),0)</f>
        <v>0</v>
      </c>
      <c r="NF20" s="1" t="n">
        <f aca="false">GB20+NE20</f>
        <v>0</v>
      </c>
      <c r="NG20" s="1" t="n">
        <f aca="false">IF(GA20=1,MAX(0,(Slot17_Cost-NF20*(1+Slot17_Rate)^(Slot17_Age-D20))/NC20),0)</f>
        <v>0</v>
      </c>
      <c r="NH20" s="1" t="n">
        <f aca="false">IF(GA20=1,MAX(0,(Slot17_Cost-GB20*(1+Slot17_Rate)^(Slot17_Age-D20))/NC20),0)</f>
        <v>0</v>
      </c>
      <c r="NI20" s="1" t="n">
        <f aca="false">IF(AND(HT20=1,GA20=1),MIN(NB20,NG20),0)</f>
        <v>0</v>
      </c>
      <c r="NJ20" s="1" t="n">
        <f aca="false">NB20-NI20</f>
        <v>0</v>
      </c>
      <c r="NK20" s="1" t="n">
        <f aca="false">IF(GK20=1,IF(ABS((1+AS_Wage)/(1+Slot18_Rate)-1)&lt;0.000000000001,(Slot18_Age-D20)*(1+Slot18_Rate)^(Slot18_Age-D20),(1+Slot18_Rate)^(Slot18_Age-D20)*(1-((1+AS_Wage)/(1+Slot18_Rate))^(Slot18_Age-D20))/(1-(1+AS_Wage)/(1+Slot18_Rate))),1)</f>
        <v>1</v>
      </c>
      <c r="NL20" s="1" t="n">
        <f aca="false">IF(AND(HT20=1,ID20&gt;0,Slot18_IsWG=1,GK20=1),MAX(0,(Slot18_Cost-GL20*(1+Slot18_Rate)^(Slot18_Age-D20))/NK20),0)</f>
        <v>0</v>
      </c>
      <c r="NM20" s="1" t="n">
        <f aca="false">IF(AND(HT20=1,ID20&gt;0,Slot18_IsWG=1,GK20=1),MIN(ID20,NL20),0)</f>
        <v>0</v>
      </c>
      <c r="NN20" s="1" t="n">
        <f aca="false">GL20+NM20</f>
        <v>0</v>
      </c>
      <c r="NO20" s="1" t="n">
        <f aca="false">IF(GK20=1,MAX(0,(Slot18_Cost-NN20*(1+Slot18_Rate)^(Slot18_Age-D20))/NK20),0)</f>
        <v>0</v>
      </c>
      <c r="NP20" s="1" t="n">
        <f aca="false">IF(GK20=1,MAX(0,(Slot18_Cost-GL20*(1+Slot18_Rate)^(Slot18_Age-D20))/NK20),0)</f>
        <v>0</v>
      </c>
      <c r="NQ20" s="1" t="n">
        <f aca="false">IF(AND(HT20=1,GK20=1),MIN(NJ20,NO20),0)</f>
        <v>0</v>
      </c>
      <c r="NR20" s="1" t="n">
        <f aca="false">NJ20-NQ20</f>
        <v>0</v>
      </c>
      <c r="NS20" s="1" t="n">
        <f aca="false">IF(GU20=1,IF(ABS((1+AS_Wage)/(1+Slot19_Rate)-1)&lt;0.000000000001,(Slot19_Age-D20)*(1+Slot19_Rate)^(Slot19_Age-D20),(1+Slot19_Rate)^(Slot19_Age-D20)*(1-((1+AS_Wage)/(1+Slot19_Rate))^(Slot19_Age-D20))/(1-(1+AS_Wage)/(1+Slot19_Rate))),1)</f>
        <v>1</v>
      </c>
      <c r="NT20" s="1" t="n">
        <f aca="false">IF(AND(HT20=1,ID20&gt;0,Slot19_IsWG=1,GU20=1),MAX(0,(Slot19_Cost-GV20*(1+Slot19_Rate)^(Slot19_Age-D20))/NS20),0)</f>
        <v>0</v>
      </c>
      <c r="NU20" s="1" t="n">
        <f aca="false">IF(AND(HT20=1,ID20&gt;0,Slot19_IsWG=1,GU20=1),MIN(ID20,NT20),0)</f>
        <v>0</v>
      </c>
      <c r="NV20" s="1" t="n">
        <f aca="false">GV20+NU20</f>
        <v>0</v>
      </c>
      <c r="NW20" s="1" t="n">
        <f aca="false">IF(GU20=1,MAX(0,(Slot19_Cost-NV20*(1+Slot19_Rate)^(Slot19_Age-D20))/NS20),0)</f>
        <v>0</v>
      </c>
      <c r="NX20" s="1" t="n">
        <f aca="false">IF(GU20=1,MAX(0,(Slot19_Cost-GV20*(1+Slot19_Rate)^(Slot19_Age-D20))/NS20),0)</f>
        <v>0</v>
      </c>
      <c r="NY20" s="1" t="n">
        <f aca="false">IF(AND(HT20=1,GU20=1),MIN(NR20,NW20),0)</f>
        <v>0</v>
      </c>
      <c r="NZ20" s="1" t="n">
        <f aca="false">NR20-NY20</f>
        <v>0</v>
      </c>
      <c r="OA20" s="1" t="n">
        <f aca="false">IF(HE20=1,IF(ABS((1+AS_Wage)/(1+Slot20_Rate)-1)&lt;0.000000000001,(Slot20_Age-D20)*(1+Slot20_Rate)^(Slot20_Age-D20),(1+Slot20_Rate)^(Slot20_Age-D20)*(1-((1+AS_Wage)/(1+Slot20_Rate))^(Slot20_Age-D20))/(1-(1+AS_Wage)/(1+Slot20_Rate))),1)</f>
        <v>1</v>
      </c>
      <c r="OB20" s="1" t="n">
        <f aca="false">IF(AND(HT20=1,ID20&gt;0,Slot20_IsWG=1,HE20=1),MAX(0,(Slot20_Cost-HF20*(1+Slot20_Rate)^(Slot20_Age-D20))/OA20),0)</f>
        <v>0</v>
      </c>
      <c r="OC20" s="1" t="n">
        <f aca="false">IF(AND(HT20=1,ID20&gt;0,Slot20_IsWG=1,HE20=1),MIN(ID20,OB20),0)</f>
        <v>0</v>
      </c>
      <c r="OD20" s="1" t="n">
        <f aca="false">HF20+OC20</f>
        <v>0</v>
      </c>
      <c r="OE20" s="1" t="n">
        <f aca="false">IF(HE20=1,MAX(0,(Slot20_Cost-OD20*(1+Slot20_Rate)^(Slot20_Age-D20))/OA20),0)</f>
        <v>0</v>
      </c>
      <c r="OF20" s="1" t="n">
        <f aca="false">IF(HE20=1,MAX(0,(Slot20_Cost-HF20*(1+Slot20_Rate)^(Slot20_Age-D20))/OA20),0)</f>
        <v>0</v>
      </c>
      <c r="OG20" s="1" t="n">
        <f aca="false">IF(AND(HT20=1,HE20=1),MIN(NZ20,OE20),0)</f>
        <v>0</v>
      </c>
      <c r="OH20" s="1" t="n">
        <f aca="false">NZ20-OG20</f>
        <v>0</v>
      </c>
      <c r="OI20" s="1" t="n">
        <f aca="false">ID20-(IG20+IO20+IW20+JE20+JM20+JU20+KC20+KK20+KS20+LA20+LI20+LQ20+LY20+MG20+MO20+MW20+NE20+NM20+NU20+OC20)</f>
        <v>0</v>
      </c>
      <c r="OJ20" s="1" t="n">
        <f aca="false">IF(HT20=1,HR20-IC20-ID20,0)</f>
        <v>0</v>
      </c>
      <c r="OK20" s="1" t="n">
        <f aca="false">IF(HT20=0,-HR20,0)</f>
        <v>0</v>
      </c>
      <c r="OL20" s="1" t="n">
        <f aca="false">MIN(OK20,HJ20)</f>
        <v>0</v>
      </c>
      <c r="OM20" s="1" t="n">
        <f aca="false">OK20-OL20</f>
        <v>0</v>
      </c>
      <c r="ON20" s="1" t="n">
        <f aca="false">MIN(OM20,HK20)</f>
        <v>0</v>
      </c>
      <c r="OO20" s="1" t="n">
        <f aca="false">OM20-ON20</f>
        <v>0</v>
      </c>
      <c r="OP20" s="1" t="n">
        <f aca="false">IF(AND(HT20=0,HE20=1,OO20&gt;0),MIN(OO20,HF20),0)</f>
        <v>0</v>
      </c>
      <c r="OQ20" s="1" t="n">
        <f aca="false">OO20-OP20</f>
        <v>0</v>
      </c>
      <c r="OR20" s="1" t="n">
        <f aca="false">IF(AND(HT20=0,GU20=1,OQ20&gt;0),MIN(OQ20,GV20),0)</f>
        <v>0</v>
      </c>
      <c r="OS20" s="1" t="n">
        <f aca="false">OQ20-OR20</f>
        <v>0</v>
      </c>
      <c r="OT20" s="1" t="n">
        <f aca="false">IF(AND(HT20=0,GK20=1,OS20&gt;0),MIN(OS20,GL20),0)</f>
        <v>0</v>
      </c>
      <c r="OU20" s="1" t="n">
        <f aca="false">OS20-OT20</f>
        <v>0</v>
      </c>
      <c r="OV20" s="1" t="n">
        <f aca="false">IF(AND(HT20=0,GA20=1,OU20&gt;0),MIN(OU20,GB20),0)</f>
        <v>0</v>
      </c>
      <c r="OW20" s="1" t="n">
        <f aca="false">OU20-OV20</f>
        <v>0</v>
      </c>
      <c r="OX20" s="1" t="n">
        <f aca="false">IF(AND(HT20=0,FQ20=1,OW20&gt;0),MIN(OW20,FR20),0)</f>
        <v>0</v>
      </c>
      <c r="OY20" s="1" t="n">
        <f aca="false">OW20-OX20</f>
        <v>0</v>
      </c>
      <c r="OZ20" s="1" t="n">
        <f aca="false">IF(AND(HT20=0,FG20=1,OY20&gt;0),MIN(OY20,FH20),0)</f>
        <v>0</v>
      </c>
      <c r="PA20" s="1" t="n">
        <f aca="false">OY20-OZ20</f>
        <v>0</v>
      </c>
      <c r="PB20" s="1" t="n">
        <f aca="false">IF(AND(HT20=0,EW20=1,PA20&gt;0),MIN(PA20,EX20),0)</f>
        <v>0</v>
      </c>
      <c r="PC20" s="1" t="n">
        <f aca="false">PA20-PB20</f>
        <v>0</v>
      </c>
      <c r="PD20" s="1" t="n">
        <f aca="false">IF(AND(HT20=0,EM20=1,PC20&gt;0),MIN(PC20,EN20),0)</f>
        <v>0</v>
      </c>
      <c r="PE20" s="1" t="n">
        <f aca="false">PC20-PD20</f>
        <v>0</v>
      </c>
      <c r="PF20" s="1" t="n">
        <f aca="false">IF(AND(HT20=0,EC20=1,PE20&gt;0),MIN(PE20,ED20),0)</f>
        <v>0</v>
      </c>
      <c r="PG20" s="1" t="n">
        <f aca="false">PE20-PF20</f>
        <v>0</v>
      </c>
      <c r="PH20" s="1" t="n">
        <f aca="false">IF(AND(HT20=0,DS20=1,PG20&gt;0),MIN(PG20,DT20),0)</f>
        <v>0</v>
      </c>
      <c r="PI20" s="1" t="n">
        <f aca="false">PG20-PH20</f>
        <v>0</v>
      </c>
      <c r="PJ20" s="1" t="n">
        <f aca="false">IF(AND(HT20=0,DI20=1,PI20&gt;0),MIN(PI20,DJ20),0)</f>
        <v>0</v>
      </c>
      <c r="PK20" s="1" t="n">
        <f aca="false">PI20-PJ20</f>
        <v>0</v>
      </c>
      <c r="PL20" s="1" t="n">
        <f aca="false">IF(AND(HT20=0,CY20=1,PK20&gt;0),MIN(PK20,CZ20),0)</f>
        <v>0</v>
      </c>
      <c r="PM20" s="1" t="n">
        <f aca="false">PK20-PL20</f>
        <v>0</v>
      </c>
      <c r="PN20" s="1" t="n">
        <f aca="false">IF(AND(HT20=0,CO20=1,PM20&gt;0),MIN(PM20,CP20),0)</f>
        <v>0</v>
      </c>
      <c r="PO20" s="1" t="n">
        <f aca="false">PM20-PN20</f>
        <v>0</v>
      </c>
      <c r="PP20" s="1" t="n">
        <f aca="false">IF(AND(HT20=0,CE20=1,PO20&gt;0),MIN(PO20,CF20),0)</f>
        <v>0</v>
      </c>
      <c r="PQ20" s="1" t="n">
        <f aca="false">PO20-PP20</f>
        <v>0</v>
      </c>
      <c r="PR20" s="1" t="n">
        <f aca="false">IF(AND(HT20=0,BU20=1,PQ20&gt;0),MIN(PQ20,BV20),0)</f>
        <v>0</v>
      </c>
      <c r="PS20" s="1" t="n">
        <f aca="false">PQ20-PR20</f>
        <v>0</v>
      </c>
      <c r="PT20" s="1" t="n">
        <f aca="false">IF(AND(HT20=0,BK20=1,PS20&gt;0),MIN(PS20,BL20),0)</f>
        <v>0</v>
      </c>
      <c r="PU20" s="1" t="n">
        <f aca="false">PS20-PT20</f>
        <v>0</v>
      </c>
      <c r="PV20" s="1" t="n">
        <f aca="false">IF(AND(HT20=0,BA20=1,PU20&gt;0),MIN(PU20,BB20),0)</f>
        <v>0</v>
      </c>
      <c r="PW20" s="1" t="n">
        <f aca="false">PU20-PV20</f>
        <v>0</v>
      </c>
      <c r="PX20" s="1" t="n">
        <f aca="false">IF(AND(HT20=0,AQ20=1,PW20&gt;0),MIN(PW20,AR20),0)</f>
        <v>0</v>
      </c>
      <c r="PY20" s="1" t="n">
        <f aca="false">PW20-PX20</f>
        <v>0</v>
      </c>
      <c r="PZ20" s="1" t="n">
        <f aca="false">IF(AND(HT20=0,AG20=1,PY20&gt;0),MIN(PY20,AH20),0)</f>
        <v>0</v>
      </c>
      <c r="QA20" s="1" t="n">
        <f aca="false">PY20-PZ20</f>
        <v>0</v>
      </c>
      <c r="QB20" s="1" t="n">
        <f aca="false">IF(AND(HT20=0,V20=1,QA20&gt;0),MIN(QA20,W20),0)</f>
        <v>0</v>
      </c>
      <c r="QC20" s="1" t="n">
        <f aca="false">QA20-QB20</f>
        <v>0</v>
      </c>
      <c r="QD20" s="1" t="n">
        <f aca="false">IF(HT20=0,QC20,0)</f>
        <v>0</v>
      </c>
      <c r="QE20" s="1" t="n">
        <f aca="false">OL20+ON20+QB20+PZ20+PX20+PV20+PT20+PR20+PP20+PN20+PL20+PJ20+PH20+PF20+PD20+PB20+OZ20+OX20+OV20+OT20+OR20+OP20</f>
        <v>0</v>
      </c>
      <c r="QF20" s="1" t="n">
        <f aca="false">IF(HT20=1,HJ20+OI20+OH20+IF(F20=1,0,OJ20),HJ20-OL20)</f>
        <v>0</v>
      </c>
      <c r="QG20" s="1" t="n">
        <f aca="false">HK20-ON20</f>
        <v>0</v>
      </c>
      <c r="QH20" s="1" t="n">
        <f aca="false">IF(HT20=1,IF(F20=1,IC20+ID20,HR20),0)</f>
        <v>0</v>
      </c>
      <c r="QI20" s="1" t="n">
        <f aca="false">IF(HT20=1,IF(F20=1,HR20-IC20-ID20,0),0)</f>
        <v>0</v>
      </c>
      <c r="QJ20" s="1" t="n">
        <f aca="false">QF20*(1+GR)</f>
        <v>0</v>
      </c>
      <c r="QK20" s="1" t="n">
        <f aca="false">QG20*(1+AS_Cash)</f>
        <v>0</v>
      </c>
      <c r="QL20" s="1" t="n">
        <f aca="false">IF(V20=1,IF(HT20=1,IH20+IK20,W20-QB20)*(1+Slot1_Rate),0)</f>
        <v>0</v>
      </c>
      <c r="QM20" s="1" t="n">
        <f aca="false">IF(AND(HT20=1,V20=1),(IG20+IK20)/E20,0)</f>
        <v>0</v>
      </c>
      <c r="QN20" s="1" t="n">
        <f aca="false">IF(B20=0,IG20+IK20,0)</f>
        <v>0</v>
      </c>
      <c r="QO20" s="1" t="n">
        <f aca="false">IF(B20=0,IF(HT20=1,II20,IJ20),0)</f>
        <v>0</v>
      </c>
      <c r="QP20" s="1" t="n">
        <f aca="false">IF(AG20=1,IF(HT20=1,IP20+IS20,AH20-PZ20)*(1+Slot2_Rate),0)</f>
        <v>0</v>
      </c>
      <c r="QQ20" s="1" t="n">
        <f aca="false">IF(AND(HT20=1,AG20=1),(IO20+IS20)/E20,0)</f>
        <v>0</v>
      </c>
      <c r="QR20" s="1" t="n">
        <f aca="false">IF(B20=0,IO20+IS20,0)</f>
        <v>0</v>
      </c>
      <c r="QS20" s="1" t="n">
        <f aca="false">IF(B20=0,IF(HT20=1,IQ20,IR20),0)</f>
        <v>0</v>
      </c>
      <c r="QT20" s="1" t="n">
        <f aca="false">IF(AQ20=1,IF(HT20=1,IX20+JA20,AR20-PX20)*(1+Slot3_Rate),0)</f>
        <v>0</v>
      </c>
      <c r="QU20" s="1" t="n">
        <f aca="false">IF(AND(HT20=1,AQ20=1),(IW20+JA20)/E20,0)</f>
        <v>0</v>
      </c>
      <c r="QV20" s="1" t="n">
        <f aca="false">IF(B20=0,IW20+JA20,0)</f>
        <v>0</v>
      </c>
      <c r="QW20" s="1" t="n">
        <f aca="false">IF(B20=0,IF(HT20=1,IY20,IZ20),0)</f>
        <v>0</v>
      </c>
      <c r="QX20" s="1" t="n">
        <f aca="false">IF(BA20=1,IF(HT20=1,JF20+JI20,BB20-PV20)*(1+Slot4_Rate),0)</f>
        <v>0</v>
      </c>
      <c r="QY20" s="1" t="n">
        <f aca="false">IF(AND(HT20=1,BA20=1),(JE20+JI20)/E20,0)</f>
        <v>0</v>
      </c>
      <c r="QZ20" s="1" t="n">
        <f aca="false">IF(B20=0,JE20+JI20,0)</f>
        <v>0</v>
      </c>
      <c r="RA20" s="1" t="n">
        <f aca="false">IF(B20=0,IF(HT20=1,JG20,JH20),0)</f>
        <v>0</v>
      </c>
      <c r="RB20" s="1" t="n">
        <f aca="false">IF(BK20=1,IF(HT20=1,JN20+JQ20,BL20-PT20)*(1+Slot5_Rate),0)</f>
        <v>0</v>
      </c>
      <c r="RC20" s="1" t="n">
        <f aca="false">IF(AND(HT20=1,BK20=1),(JM20+JQ20)/E20,0)</f>
        <v>0</v>
      </c>
      <c r="RD20" s="1" t="n">
        <f aca="false">IF(B20=0,JM20+JQ20,0)</f>
        <v>0</v>
      </c>
      <c r="RE20" s="1" t="n">
        <f aca="false">IF(B20=0,IF(HT20=1,JO20,JP20),0)</f>
        <v>0</v>
      </c>
      <c r="RF20" s="1" t="n">
        <f aca="false">IF(BU20=1,IF(HT20=1,JV20+JY20,BV20-PR20)*(1+Slot6_Rate),0)</f>
        <v>0</v>
      </c>
      <c r="RG20" s="1" t="n">
        <f aca="false">IF(AND(HT20=1,BU20=1),(JU20+JY20)/E20,0)</f>
        <v>0</v>
      </c>
      <c r="RH20" s="1" t="n">
        <f aca="false">IF(B20=0,JU20+JY20,0)</f>
        <v>0</v>
      </c>
      <c r="RI20" s="1" t="n">
        <f aca="false">IF(B20=0,IF(HT20=1,JW20,JX20),0)</f>
        <v>0</v>
      </c>
      <c r="RJ20" s="1" t="n">
        <f aca="false">IF(CE20=1,IF(HT20=1,KD20+KG20,CF20-PP20)*(1+Slot7_Rate),0)</f>
        <v>0</v>
      </c>
      <c r="RK20" s="1" t="n">
        <f aca="false">IF(AND(HT20=1,CE20=1),(KC20+KG20)/E20,0)</f>
        <v>0</v>
      </c>
      <c r="RL20" s="1" t="n">
        <f aca="false">IF(B20=0,KC20+KG20,0)</f>
        <v>0</v>
      </c>
      <c r="RM20" s="1" t="n">
        <f aca="false">IF(B20=0,IF(HT20=1,KE20,KF20),0)</f>
        <v>0</v>
      </c>
      <c r="RN20" s="1" t="n">
        <f aca="false">IF(CO20=1,IF(HT20=1,KL20+KO20,CP20-PN20)*(1+Slot8_Rate),0)</f>
        <v>0</v>
      </c>
      <c r="RO20" s="1" t="n">
        <f aca="false">IF(AND(HT20=1,CO20=1),(KK20+KO20)/E20,0)</f>
        <v>0</v>
      </c>
      <c r="RP20" s="1" t="n">
        <f aca="false">IF(B20=0,KK20+KO20,0)</f>
        <v>0</v>
      </c>
      <c r="RQ20" s="1" t="n">
        <f aca="false">IF(B20=0,IF(HT20=1,KM20,KN20),0)</f>
        <v>0</v>
      </c>
      <c r="RR20" s="1" t="n">
        <f aca="false">IF(CY20=1,IF(HT20=1,KT20+KW20,CZ20-PL20)*(1+Slot9_Rate),0)</f>
        <v>0</v>
      </c>
      <c r="RS20" s="1" t="n">
        <f aca="false">IF(AND(HT20=1,CY20=1),(KS20+KW20)/E20,0)</f>
        <v>0</v>
      </c>
      <c r="RT20" s="1" t="n">
        <f aca="false">IF(B20=0,KS20+KW20,0)</f>
        <v>0</v>
      </c>
      <c r="RU20" s="1" t="n">
        <f aca="false">IF(B20=0,IF(HT20=1,KU20,KV20),0)</f>
        <v>0</v>
      </c>
      <c r="RV20" s="1" t="n">
        <f aca="false">IF(DI20=1,IF(HT20=1,LB20+LE20,DJ20-PJ20)*(1+Slot10_Rate),0)</f>
        <v>0</v>
      </c>
      <c r="RW20" s="1" t="n">
        <f aca="false">IF(AND(HT20=1,DI20=1),(LA20+LE20)/E20,0)</f>
        <v>0</v>
      </c>
      <c r="RX20" s="1" t="n">
        <f aca="false">IF(B20=0,LA20+LE20,0)</f>
        <v>0</v>
      </c>
      <c r="RY20" s="1" t="n">
        <f aca="false">IF(B20=0,IF(HT20=1,LC20,LD20),0)</f>
        <v>0</v>
      </c>
      <c r="RZ20" s="1" t="n">
        <f aca="false">IF(DS20=1,IF(HT20=1,LJ20+LM20,DT20-PH20)*(1+Slot11_Rate),0)</f>
        <v>0</v>
      </c>
      <c r="SA20" s="1" t="n">
        <f aca="false">IF(AND(HT20=1,DS20=1),(LI20+LM20)/E20,0)</f>
        <v>0</v>
      </c>
      <c r="SB20" s="1" t="n">
        <f aca="false">IF(B20=0,LI20+LM20,0)</f>
        <v>0</v>
      </c>
      <c r="SC20" s="1" t="n">
        <f aca="false">IF(B20=0,IF(HT20=1,LK20,LL20),0)</f>
        <v>0</v>
      </c>
      <c r="SD20" s="1" t="n">
        <f aca="false">IF(EC20=1,IF(HT20=1,LR20+LU20,ED20-PF20)*(1+Slot12_Rate),0)</f>
        <v>0</v>
      </c>
      <c r="SE20" s="1" t="n">
        <f aca="false">IF(AND(HT20=1,EC20=1),(LQ20+LU20)/E20,0)</f>
        <v>0</v>
      </c>
      <c r="SF20" s="1" t="n">
        <f aca="false">IF(B20=0,LQ20+LU20,0)</f>
        <v>0</v>
      </c>
      <c r="SG20" s="1" t="n">
        <f aca="false">IF(B20=0,IF(HT20=1,LS20,LT20),0)</f>
        <v>0</v>
      </c>
      <c r="SH20" s="1" t="n">
        <f aca="false">IF(EM20=1,IF(HT20=1,LZ20+MC20,EN20-PD20)*(1+Slot13_Rate),0)</f>
        <v>0</v>
      </c>
      <c r="SI20" s="1" t="n">
        <f aca="false">IF(AND(HT20=1,EM20=1),(LY20+MC20)/E20,0)</f>
        <v>0</v>
      </c>
      <c r="SJ20" s="1" t="n">
        <f aca="false">IF(B20=0,LY20+MC20,0)</f>
        <v>0</v>
      </c>
      <c r="SK20" s="1" t="n">
        <f aca="false">IF(B20=0,IF(HT20=1,MA20,MB20),0)</f>
        <v>0</v>
      </c>
      <c r="SL20" s="1" t="n">
        <f aca="false">IF(EW20=1,IF(HT20=1,MH20+MK20,EX20-PB20)*(1+Slot14_Rate),0)</f>
        <v>0</v>
      </c>
      <c r="SM20" s="1" t="n">
        <f aca="false">IF(AND(HT20=1,EW20=1),(MG20+MK20)/E20,0)</f>
        <v>0</v>
      </c>
      <c r="SN20" s="1" t="n">
        <f aca="false">IF(B20=0,MG20+MK20,0)</f>
        <v>0</v>
      </c>
      <c r="SO20" s="1" t="n">
        <f aca="false">IF(B20=0,IF(HT20=1,MI20,MJ20),0)</f>
        <v>0</v>
      </c>
      <c r="SP20" s="1" t="n">
        <f aca="false">IF(FG20=1,IF(HT20=1,MP20+MS20,FH20-OZ20)*(1+Slot15_Rate),0)</f>
        <v>0</v>
      </c>
      <c r="SQ20" s="1" t="n">
        <f aca="false">IF(AND(HT20=1,FG20=1),(MO20+MS20)/E20,0)</f>
        <v>0</v>
      </c>
      <c r="SR20" s="1" t="n">
        <f aca="false">IF(B20=0,MO20+MS20,0)</f>
        <v>0</v>
      </c>
      <c r="SS20" s="1" t="n">
        <f aca="false">IF(B20=0,IF(HT20=1,MQ20,MR20),0)</f>
        <v>0</v>
      </c>
      <c r="ST20" s="1" t="n">
        <f aca="false">IF(FQ20=1,IF(HT20=1,MX20+NA20,FR20-OX20)*(1+Slot16_Rate),0)</f>
        <v>0</v>
      </c>
      <c r="SU20" s="1" t="n">
        <f aca="false">IF(AND(HT20=1,FQ20=1),(MW20+NA20)/E20,0)</f>
        <v>0</v>
      </c>
      <c r="SV20" s="1" t="n">
        <f aca="false">IF(B20=0,MW20+NA20,0)</f>
        <v>0</v>
      </c>
      <c r="SW20" s="1" t="n">
        <f aca="false">IF(B20=0,IF(HT20=1,MY20,MZ20),0)</f>
        <v>0</v>
      </c>
      <c r="SX20" s="1" t="n">
        <f aca="false">IF(GA20=1,IF(HT20=1,NF20+NI20,GB20-OV20)*(1+Slot17_Rate),0)</f>
        <v>0</v>
      </c>
      <c r="SY20" s="1" t="n">
        <f aca="false">IF(AND(HT20=1,GA20=1),(NE20+NI20)/E20,0)</f>
        <v>0</v>
      </c>
      <c r="SZ20" s="1" t="n">
        <f aca="false">IF(B20=0,NE20+NI20,0)</f>
        <v>0</v>
      </c>
      <c r="TA20" s="1" t="n">
        <f aca="false">IF(B20=0,IF(HT20=1,NG20,NH20),0)</f>
        <v>0</v>
      </c>
      <c r="TB20" s="1" t="n">
        <f aca="false">IF(GK20=1,IF(HT20=1,NN20+NQ20,GL20-OT20)*(1+Slot18_Rate),0)</f>
        <v>0</v>
      </c>
      <c r="TC20" s="1" t="n">
        <f aca="false">IF(AND(HT20=1,GK20=1),(NM20+NQ20)/E20,0)</f>
        <v>0</v>
      </c>
      <c r="TD20" s="1" t="n">
        <f aca="false">IF(B20=0,NM20+NQ20,0)</f>
        <v>0</v>
      </c>
      <c r="TE20" s="1" t="n">
        <f aca="false">IF(B20=0,IF(HT20=1,NO20,NP20),0)</f>
        <v>0</v>
      </c>
      <c r="TF20" s="1" t="n">
        <f aca="false">IF(GU20=1,IF(HT20=1,NV20+NY20,GV20-OR20)*(1+Slot19_Rate),0)</f>
        <v>0</v>
      </c>
      <c r="TG20" s="1" t="n">
        <f aca="false">IF(AND(HT20=1,GU20=1),(NU20+NY20)/E20,0)</f>
        <v>0</v>
      </c>
      <c r="TH20" s="1" t="n">
        <f aca="false">IF(B20=0,NU20+NY20,0)</f>
        <v>0</v>
      </c>
      <c r="TI20" s="1" t="n">
        <f aca="false">IF(B20=0,IF(HT20=1,NW20,NX20),0)</f>
        <v>0</v>
      </c>
      <c r="TJ20" s="1" t="n">
        <f aca="false">IF(HE20=1,IF(HT20=1,OD20+OG20,HF20-OP20)*(1+Slot20_Rate),0)</f>
        <v>0</v>
      </c>
      <c r="TK20" s="1" t="n">
        <f aca="false">IF(AND(HT20=1,HE20=1),(OC20+OG20)/E20,0)</f>
        <v>0</v>
      </c>
      <c r="TL20" s="1" t="n">
        <f aca="false">IF(B20=0,OC20+OG20,0)</f>
        <v>0</v>
      </c>
      <c r="TM20" s="1" t="n">
        <f aca="false">IF(B20=0,IF(HT20=1,OE20,OF20),0)</f>
        <v>0</v>
      </c>
      <c r="TN20" s="1" t="n">
        <f aca="false">QJ20+QK20+QL20+QP20+QT20+QX20+RB20+RF20+RJ20+RN20+RR20+RV20+RZ20+SD20+SH20+SL20+SP20+ST20+SX20+TB20+TF20+TJ20</f>
        <v>0</v>
      </c>
      <c r="TO20" s="1" t="n">
        <f aca="false">QD20+HO20</f>
        <v>0</v>
      </c>
      <c r="TP20" s="1" t="n">
        <f aca="false">H20+R20</f>
        <v>0</v>
      </c>
      <c r="TQ20" s="1" t="n">
        <f aca="false">1-F20</f>
        <v>0</v>
      </c>
      <c r="TR20" s="1" t="n">
        <f aca="false">IF(AND(RG_Exists=1,F20=0,C20=1),H20,0)</f>
        <v>0</v>
      </c>
      <c r="TS20" s="1" t="n">
        <f aca="false">IF(AND(RG_Exists=1,F20=0,C20=1),H20-MIN(QD20,H20),0)</f>
        <v>0</v>
      </c>
      <c r="TT20" s="1" t="n">
        <f aca="false">'Plan pay &amp; tax'!AD246</f>
        <v>0</v>
      </c>
      <c r="TU20" s="1" t="n">
        <f aca="false">IF(AND(C20=1,QD20&gt;MAX(PR_Short1,TP20*PR_Short2)),1,0)</f>
        <v>0</v>
      </c>
      <c r="TV20" s="1" t="n">
        <f aca="false">MIN(G20,H20+R20)</f>
        <v>0</v>
      </c>
      <c r="TW20" s="1" t="n">
        <f aca="false">QE20+MAX(0,HP20-HO20)</f>
        <v>0</v>
      </c>
      <c r="TX20" s="1" t="n">
        <f aca="false">QD20+HO20</f>
        <v>0</v>
      </c>
      <c r="TY20" s="1" t="n">
        <f aca="false">IF(AND(C20=1,TX20&gt;PR_MinShort),1,0)</f>
        <v>0</v>
      </c>
      <c r="TZ20" s="1" t="n">
        <f aca="false">IF(AND(C20=1,TY20=0,TW20&gt;PR_MinShort),1,0)</f>
        <v>0</v>
      </c>
      <c r="UA20" s="1" t="n">
        <f aca="false">IF(AND(C20=1,QD20&gt;PR_MinShort),1,0)</f>
        <v>0</v>
      </c>
      <c r="UB20" s="1" t="n">
        <f aca="false">IF(AND(C20=1,QE20&gt;1,UI20=0),1,0)</f>
        <v>0</v>
      </c>
      <c r="UC20" s="1" t="str">
        <f aca="false">IF(C20=0,"",IF(UI20=1,"Gap to plan for: short "&amp;"€"&amp;TEXT(ROUND(TO20,0),"#,##0"),IF(QE20&gt;1,"Using savings","Comfortable")))</f>
        <v>Comfortable</v>
      </c>
      <c r="UD20" s="1" t="n">
        <f aca="false">IF(AND(INT(D20/10)*10=90,B20&gt;0),80,INT(D20/10)*10)</f>
        <v>10</v>
      </c>
      <c r="UE20" s="1" t="n">
        <f aca="false">IF(B20=0,1,IF(UD20&lt;&gt;UD19,UE19+1,UE19))</f>
        <v>2</v>
      </c>
      <c r="UF20" s="1" t="n">
        <f aca="false">IF(AND(C20=1,F20=1,QD20&gt;MAX(PR_Short1,TP20*PR_Short2)),1,0)</f>
        <v>0</v>
      </c>
      <c r="UG20" s="1" t="n">
        <f aca="false">TQ20*TU20</f>
        <v>0</v>
      </c>
      <c r="UH20" s="1" t="n">
        <f aca="false">IF(AND(U20=1,Slot1_PctLow=1),1,0)+IF(AND(AF20=1,Slot2_PctLow=1),1,0)+IF(AND(AP20=1,Slot3_PctLow=1),1,0)+IF(AND(AZ20=1,Slot4_PctLow=1),1,0)+IF(AND(BJ20=1,Slot5_PctLow=1),1,0)+IF(AND(BT20=1,Slot6_PctLow=1),1,0)+IF(AND(CD20=1,Slot7_PctLow=1),1,0)+IF(AND(CN20=1,Slot8_PctLow=1),1,0)+IF(AND(CX20=1,Slot9_PctLow=1),1,0)+IF(AND(DH20=1,Slot10_PctLow=1),1,0)+IF(AND(DR20=1,Slot11_PctLow=1),1,0)+IF(AND(EB20=1,Slot12_PctLow=1),1,0)+IF(AND(EL20=1,Slot13_PctLow=1),1,0)+IF(AND(EV20=1,Slot14_PctLow=1),1,0)+IF(AND(FF20=1,Slot15_PctLow=1),1,0)+IF(AND(FP20=1,Slot16_PctLow=1),1,0)+IF(AND(FZ20=1,Slot17_PctLow=1),1,0)+IF(AND(GJ20=1,Slot18_PctLow=1),1,0)+IF(AND(GT20=1,Slot19_PctLow=1),1,0)+IF(AND(HD20=1,Slot20_PctLow=1),1,0)</f>
        <v>0</v>
      </c>
      <c r="UI20" s="1" t="n">
        <f aca="false">IF(C20=1,IF(OR(TU20=1,UH20&gt;0),1,0),0)</f>
        <v>0</v>
      </c>
    </row>
    <row r="21" customFormat="false" ht="15" hidden="false" customHeight="true" outlineLevel="0" collapsed="false">
      <c r="B21" s="1" t="n">
        <v>13</v>
      </c>
      <c r="C21" s="1" t="n">
        <f aca="false">IF(B21&lt;=F_N,1,0)</f>
        <v>1</v>
      </c>
      <c r="D21" s="1" t="n">
        <f aca="false">'Plan pay &amp; tax'!C247</f>
        <v>13</v>
      </c>
      <c r="E21" s="111" t="n">
        <f aca="false">'Plan pay &amp; tax'!E247</f>
        <v>1.2936066304538</v>
      </c>
      <c r="F21" s="1" t="n">
        <f aca="false">'Plan pay &amp; tax'!G247</f>
        <v>1</v>
      </c>
      <c r="G21" s="1" t="n">
        <f aca="false">'Plan pay &amp; tax'!BT247-'Plan pay &amp; tax'!BS247-'Plan pay &amp; tax'!R247</f>
        <v>0</v>
      </c>
      <c r="H21" s="1" t="n">
        <f aca="false">IF(F21=1,F_CostsM*12,IF(RG_Exists=1,RG_Amount,F_CostsM*12*AS_RetireSpend))*E21+F_OneOffY*E21</f>
        <v>0</v>
      </c>
      <c r="I21" s="1" t="n">
        <f aca="false">HQ20</f>
        <v>0</v>
      </c>
      <c r="J21" s="1" t="n">
        <f aca="false">IF(I21&gt;1,'Plan debt months'!AC21,0)</f>
        <v>0</v>
      </c>
      <c r="K21" s="1" t="n">
        <f aca="false">IF(I21&gt;1,'Plan debt months'!AB21,I21)</f>
        <v>0</v>
      </c>
      <c r="L21" s="1" t="n">
        <f aca="false">N20</f>
        <v>0</v>
      </c>
      <c r="M21" s="1" t="n">
        <f aca="false">IF(L21&gt;1,'Plan debt months'!BD21,0)</f>
        <v>0</v>
      </c>
      <c r="N21" s="1" t="n">
        <f aca="false">IF(L21&gt;1,'Plan debt months'!BC21,L21)</f>
        <v>0</v>
      </c>
      <c r="O21" s="1" t="n">
        <f aca="false">Q20</f>
        <v>0</v>
      </c>
      <c r="P21" s="1" t="n">
        <f aca="false">IF(O21&gt;1,'Plan debt months'!CE21,0)</f>
        <v>0</v>
      </c>
      <c r="Q21" s="1" t="n">
        <f aca="false">IF(O21&gt;1,'Plan debt months'!CD21,O21)</f>
        <v>0</v>
      </c>
      <c r="R21" s="1" t="n">
        <f aca="false">J21+M21+P21</f>
        <v>0</v>
      </c>
      <c r="S21" s="1" t="n">
        <f aca="false">QJ20+'Plan pay &amp; tax'!Y247</f>
        <v>0</v>
      </c>
      <c r="T21" s="1" t="n">
        <f aca="false">QJ20</f>
        <v>0</v>
      </c>
      <c r="U21" s="1" t="n">
        <f aca="false">IF(AND(Slot1_On=1,D21=Slot1_Age),1,0)</f>
        <v>0</v>
      </c>
      <c r="V21" s="1" t="n">
        <f aca="false">IF(AND(Slot1_On=1,Slot1_Age&gt;D21),1,0)</f>
        <v>0</v>
      </c>
      <c r="W21" s="1" t="n">
        <f aca="false">QL20</f>
        <v>0</v>
      </c>
      <c r="X21" s="1" t="n">
        <f aca="false">U21*MIN(Slot1_Cost,W21)</f>
        <v>0</v>
      </c>
      <c r="Y21" s="1" t="n">
        <f aca="false">U21*Slot1_SpendLike*MIN(Slot1_Cost-X21,S21)</f>
        <v>0</v>
      </c>
      <c r="Z21" s="1" t="n">
        <f aca="false">X21+Y21</f>
        <v>0</v>
      </c>
      <c r="AA21" s="1" t="n">
        <f aca="false">S21-Y21+U21*IF(Slot1_SpendLike=1,W21-X21,IF(Slot1_PotFree=1,W21,0))</f>
        <v>0</v>
      </c>
      <c r="AB21" s="1" t="n">
        <f aca="false">AE21+U21*Slot1_BufPot*W21</f>
        <v>0</v>
      </c>
      <c r="AC21" s="1" t="n">
        <f aca="false">IF(AND(U21=1,Slot1_IsMfree=1),IF(Z21&gt;=Slot1_Cost-1,0,MAX(0,K21-Z21)),K21)</f>
        <v>0</v>
      </c>
      <c r="AD21" s="1" t="n">
        <f aca="false">U21*(Slot1_Cost-Z21)</f>
        <v>0</v>
      </c>
      <c r="AE21" s="1" t="n">
        <f aca="false">QK20</f>
        <v>0</v>
      </c>
      <c r="AF21" s="1" t="n">
        <f aca="false">IF(AND(Slot2_On=1,D21=Slot2_Age),1,0)</f>
        <v>0</v>
      </c>
      <c r="AG21" s="1" t="n">
        <f aca="false">IF(AND(Slot2_On=1,Slot2_Age&gt;D21),1,0)</f>
        <v>0</v>
      </c>
      <c r="AH21" s="1" t="n">
        <f aca="false">QP20</f>
        <v>0</v>
      </c>
      <c r="AI21" s="1" t="n">
        <f aca="false">AF21*MIN(Slot2_Cost,AH21)</f>
        <v>0</v>
      </c>
      <c r="AJ21" s="1" t="n">
        <f aca="false">AF21*Slot2_SpendLike*MIN(Slot2_Cost-AI21,AA21)</f>
        <v>0</v>
      </c>
      <c r="AK21" s="1" t="n">
        <f aca="false">AI21+AJ21</f>
        <v>0</v>
      </c>
      <c r="AL21" s="1" t="n">
        <f aca="false">AA21-AJ21+AF21*IF(Slot2_SpendLike=1,AH21-AI21,IF(Slot2_PotFree=1,AH21,0))</f>
        <v>0</v>
      </c>
      <c r="AM21" s="1" t="n">
        <f aca="false">AB21+AF21*Slot2_BufPot*AH21</f>
        <v>0</v>
      </c>
      <c r="AN21" s="1" t="n">
        <f aca="false">IF(AND(AF21=1,Slot2_IsMfree=1),IF(AK21&gt;=Slot2_Cost-1,0,MAX(0,AC21-AK21)),AC21)</f>
        <v>0</v>
      </c>
      <c r="AO21" s="1" t="n">
        <f aca="false">AF21*(Slot2_Cost-AK21)</f>
        <v>0</v>
      </c>
      <c r="AP21" s="1" t="n">
        <f aca="false">IF(AND(Slot3_On=1,D21=Slot3_Age),1,0)</f>
        <v>0</v>
      </c>
      <c r="AQ21" s="1" t="n">
        <f aca="false">IF(AND(Slot3_On=1,Slot3_Age&gt;D21),1,0)</f>
        <v>0</v>
      </c>
      <c r="AR21" s="1" t="n">
        <f aca="false">QT20</f>
        <v>0</v>
      </c>
      <c r="AS21" s="1" t="n">
        <f aca="false">AP21*MIN(Slot3_Cost,AR21)</f>
        <v>0</v>
      </c>
      <c r="AT21" s="1" t="n">
        <f aca="false">AP21*Slot3_SpendLike*MIN(Slot3_Cost-AS21,AL21)</f>
        <v>0</v>
      </c>
      <c r="AU21" s="1" t="n">
        <f aca="false">AS21+AT21</f>
        <v>0</v>
      </c>
      <c r="AV21" s="1" t="n">
        <f aca="false">AL21-AT21+AP21*IF(Slot3_SpendLike=1,AR21-AS21,IF(Slot3_PotFree=1,AR21,0))</f>
        <v>0</v>
      </c>
      <c r="AW21" s="1" t="n">
        <f aca="false">AM21+AP21*Slot3_BufPot*AR21</f>
        <v>0</v>
      </c>
      <c r="AX21" s="1" t="n">
        <f aca="false">IF(AND(AP21=1,Slot3_IsMfree=1),IF(AU21&gt;=Slot3_Cost-1,0,MAX(0,AN21-AU21)),AN21)</f>
        <v>0</v>
      </c>
      <c r="AY21" s="1" t="n">
        <f aca="false">AP21*(Slot3_Cost-AU21)</f>
        <v>0</v>
      </c>
      <c r="AZ21" s="1" t="n">
        <f aca="false">IF(AND(Slot4_On=1,D21=Slot4_Age),1,0)</f>
        <v>0</v>
      </c>
      <c r="BA21" s="1" t="n">
        <f aca="false">IF(AND(Slot4_On=1,Slot4_Age&gt;D21),1,0)</f>
        <v>0</v>
      </c>
      <c r="BB21" s="1" t="n">
        <f aca="false">QX20</f>
        <v>0</v>
      </c>
      <c r="BC21" s="1" t="n">
        <f aca="false">AZ21*MIN(Slot4_Cost,BB21)</f>
        <v>0</v>
      </c>
      <c r="BD21" s="1" t="n">
        <f aca="false">AZ21*Slot4_SpendLike*MIN(Slot4_Cost-BC21,AV21)</f>
        <v>0</v>
      </c>
      <c r="BE21" s="1" t="n">
        <f aca="false">BC21+BD21</f>
        <v>0</v>
      </c>
      <c r="BF21" s="1" t="n">
        <f aca="false">AV21-BD21+AZ21*IF(Slot4_SpendLike=1,BB21-BC21,IF(Slot4_PotFree=1,BB21,0))</f>
        <v>0</v>
      </c>
      <c r="BG21" s="1" t="n">
        <f aca="false">AW21+AZ21*Slot4_BufPot*BB21</f>
        <v>0</v>
      </c>
      <c r="BH21" s="1" t="n">
        <f aca="false">IF(AND(AZ21=1,Slot4_IsMfree=1),IF(BE21&gt;=Slot4_Cost-1,0,MAX(0,AX21-BE21)),AX21)</f>
        <v>0</v>
      </c>
      <c r="BI21" s="1" t="n">
        <f aca="false">AZ21*(Slot4_Cost-BE21)</f>
        <v>0</v>
      </c>
      <c r="BJ21" s="1" t="n">
        <f aca="false">IF(AND(Slot5_On=1,D21=Slot5_Age),1,0)</f>
        <v>0</v>
      </c>
      <c r="BK21" s="1" t="n">
        <f aca="false">IF(AND(Slot5_On=1,Slot5_Age&gt;D21),1,0)</f>
        <v>0</v>
      </c>
      <c r="BL21" s="1" t="n">
        <f aca="false">RB20</f>
        <v>0</v>
      </c>
      <c r="BM21" s="1" t="n">
        <f aca="false">BJ21*MIN(Slot5_Cost,BL21)</f>
        <v>0</v>
      </c>
      <c r="BN21" s="1" t="n">
        <f aca="false">BJ21*Slot5_SpendLike*MIN(Slot5_Cost-BM21,BF21)</f>
        <v>0</v>
      </c>
      <c r="BO21" s="1" t="n">
        <f aca="false">BM21+BN21</f>
        <v>0</v>
      </c>
      <c r="BP21" s="1" t="n">
        <f aca="false">BF21-BN21+BJ21*IF(Slot5_SpendLike=1,BL21-BM21,IF(Slot5_PotFree=1,BL21,0))</f>
        <v>0</v>
      </c>
      <c r="BQ21" s="1" t="n">
        <f aca="false">BG21+BJ21*Slot5_BufPot*BL21</f>
        <v>0</v>
      </c>
      <c r="BR21" s="1" t="n">
        <f aca="false">IF(AND(BJ21=1,Slot5_IsMfree=1),IF(BO21&gt;=Slot5_Cost-1,0,MAX(0,BH21-BO21)),BH21)</f>
        <v>0</v>
      </c>
      <c r="BS21" s="1" t="n">
        <f aca="false">BJ21*(Slot5_Cost-BO21)</f>
        <v>0</v>
      </c>
      <c r="BT21" s="1" t="n">
        <f aca="false">IF(AND(Slot6_On=1,D21=Slot6_Age),1,0)</f>
        <v>0</v>
      </c>
      <c r="BU21" s="1" t="n">
        <f aca="false">IF(AND(Slot6_On=1,Slot6_Age&gt;D21),1,0)</f>
        <v>0</v>
      </c>
      <c r="BV21" s="1" t="n">
        <f aca="false">RF20</f>
        <v>0</v>
      </c>
      <c r="BW21" s="1" t="n">
        <f aca="false">BT21*MIN(Slot6_Cost,BV21)</f>
        <v>0</v>
      </c>
      <c r="BX21" s="1" t="n">
        <f aca="false">BT21*Slot6_SpendLike*MIN(Slot6_Cost-BW21,BP21)</f>
        <v>0</v>
      </c>
      <c r="BY21" s="1" t="n">
        <f aca="false">BW21+BX21</f>
        <v>0</v>
      </c>
      <c r="BZ21" s="1" t="n">
        <f aca="false">BP21-BX21+BT21*IF(Slot6_SpendLike=1,BV21-BW21,IF(Slot6_PotFree=1,BV21,0))</f>
        <v>0</v>
      </c>
      <c r="CA21" s="1" t="n">
        <f aca="false">BQ21+BT21*Slot6_BufPot*BV21</f>
        <v>0</v>
      </c>
      <c r="CB21" s="1" t="n">
        <f aca="false">IF(AND(BT21=1,Slot6_IsMfree=1),IF(BY21&gt;=Slot6_Cost-1,0,MAX(0,BR21-BY21)),BR21)</f>
        <v>0</v>
      </c>
      <c r="CC21" s="1" t="n">
        <f aca="false">BT21*(Slot6_Cost-BY21)</f>
        <v>0</v>
      </c>
      <c r="CD21" s="1" t="n">
        <f aca="false">IF(AND(Slot7_On=1,D21=Slot7_Age),1,0)</f>
        <v>0</v>
      </c>
      <c r="CE21" s="1" t="n">
        <f aca="false">IF(AND(Slot7_On=1,Slot7_Age&gt;D21),1,0)</f>
        <v>0</v>
      </c>
      <c r="CF21" s="1" t="n">
        <f aca="false">RJ20</f>
        <v>0</v>
      </c>
      <c r="CG21" s="1" t="n">
        <f aca="false">CD21*MIN(Slot7_Cost,CF21)</f>
        <v>0</v>
      </c>
      <c r="CH21" s="1" t="n">
        <f aca="false">CD21*Slot7_SpendLike*MIN(Slot7_Cost-CG21,BZ21)</f>
        <v>0</v>
      </c>
      <c r="CI21" s="1" t="n">
        <f aca="false">CG21+CH21</f>
        <v>0</v>
      </c>
      <c r="CJ21" s="1" t="n">
        <f aca="false">BZ21-CH21+CD21*IF(Slot7_SpendLike=1,CF21-CG21,IF(Slot7_PotFree=1,CF21,0))</f>
        <v>0</v>
      </c>
      <c r="CK21" s="1" t="n">
        <f aca="false">CA21+CD21*Slot7_BufPot*CF21</f>
        <v>0</v>
      </c>
      <c r="CL21" s="1" t="n">
        <f aca="false">IF(AND(CD21=1,Slot7_IsMfree=1),IF(CI21&gt;=Slot7_Cost-1,0,MAX(0,CB21-CI21)),CB21)</f>
        <v>0</v>
      </c>
      <c r="CM21" s="1" t="n">
        <f aca="false">CD21*(Slot7_Cost-CI21)</f>
        <v>0</v>
      </c>
      <c r="CN21" s="1" t="n">
        <f aca="false">IF(AND(Slot8_On=1,D21=Slot8_Age),1,0)</f>
        <v>0</v>
      </c>
      <c r="CO21" s="1" t="n">
        <f aca="false">IF(AND(Slot8_On=1,Slot8_Age&gt;D21),1,0)</f>
        <v>0</v>
      </c>
      <c r="CP21" s="1" t="n">
        <f aca="false">RN20</f>
        <v>0</v>
      </c>
      <c r="CQ21" s="1" t="n">
        <f aca="false">CN21*MIN(Slot8_Cost,CP21)</f>
        <v>0</v>
      </c>
      <c r="CR21" s="1" t="n">
        <f aca="false">CN21*Slot8_SpendLike*MIN(Slot8_Cost-CQ21,CJ21)</f>
        <v>0</v>
      </c>
      <c r="CS21" s="1" t="n">
        <f aca="false">CQ21+CR21</f>
        <v>0</v>
      </c>
      <c r="CT21" s="1" t="n">
        <f aca="false">CJ21-CR21+CN21*IF(Slot8_SpendLike=1,CP21-CQ21,IF(Slot8_PotFree=1,CP21,0))</f>
        <v>0</v>
      </c>
      <c r="CU21" s="1" t="n">
        <f aca="false">CK21+CN21*Slot8_BufPot*CP21</f>
        <v>0</v>
      </c>
      <c r="CV21" s="1" t="n">
        <f aca="false">IF(AND(CN21=1,Slot8_IsMfree=1),IF(CS21&gt;=Slot8_Cost-1,0,MAX(0,CL21-CS21)),CL21)</f>
        <v>0</v>
      </c>
      <c r="CW21" s="1" t="n">
        <f aca="false">CN21*(Slot8_Cost-CS21)</f>
        <v>0</v>
      </c>
      <c r="CX21" s="1" t="n">
        <f aca="false">IF(AND(Slot9_On=1,D21=Slot9_Age),1,0)</f>
        <v>0</v>
      </c>
      <c r="CY21" s="1" t="n">
        <f aca="false">IF(AND(Slot9_On=1,Slot9_Age&gt;D21),1,0)</f>
        <v>0</v>
      </c>
      <c r="CZ21" s="1" t="n">
        <f aca="false">RR20</f>
        <v>0</v>
      </c>
      <c r="DA21" s="1" t="n">
        <f aca="false">CX21*MIN(Slot9_Cost,CZ21)</f>
        <v>0</v>
      </c>
      <c r="DB21" s="1" t="n">
        <f aca="false">CX21*Slot9_SpendLike*MIN(Slot9_Cost-DA21,CT21)</f>
        <v>0</v>
      </c>
      <c r="DC21" s="1" t="n">
        <f aca="false">DA21+DB21</f>
        <v>0</v>
      </c>
      <c r="DD21" s="1" t="n">
        <f aca="false">CT21-DB21+CX21*IF(Slot9_SpendLike=1,CZ21-DA21,IF(Slot9_PotFree=1,CZ21,0))</f>
        <v>0</v>
      </c>
      <c r="DE21" s="1" t="n">
        <f aca="false">CU21+CX21*Slot9_BufPot*CZ21</f>
        <v>0</v>
      </c>
      <c r="DF21" s="1" t="n">
        <f aca="false">IF(AND(CX21=1,Slot9_IsMfree=1),IF(DC21&gt;=Slot9_Cost-1,0,MAX(0,CV21-DC21)),CV21)</f>
        <v>0</v>
      </c>
      <c r="DG21" s="1" t="n">
        <f aca="false">CX21*(Slot9_Cost-DC21)</f>
        <v>0</v>
      </c>
      <c r="DH21" s="1" t="n">
        <f aca="false">IF(AND(Slot10_On=1,D21=Slot10_Age),1,0)</f>
        <v>0</v>
      </c>
      <c r="DI21" s="1" t="n">
        <f aca="false">IF(AND(Slot10_On=1,Slot10_Age&gt;D21),1,0)</f>
        <v>0</v>
      </c>
      <c r="DJ21" s="1" t="n">
        <f aca="false">RV20</f>
        <v>0</v>
      </c>
      <c r="DK21" s="1" t="n">
        <f aca="false">DH21*MIN(Slot10_Cost,DJ21)</f>
        <v>0</v>
      </c>
      <c r="DL21" s="1" t="n">
        <f aca="false">DH21*Slot10_SpendLike*MIN(Slot10_Cost-DK21,DD21)</f>
        <v>0</v>
      </c>
      <c r="DM21" s="1" t="n">
        <f aca="false">DK21+DL21</f>
        <v>0</v>
      </c>
      <c r="DN21" s="1" t="n">
        <f aca="false">DD21-DL21+DH21*IF(Slot10_SpendLike=1,DJ21-DK21,IF(Slot10_PotFree=1,DJ21,0))</f>
        <v>0</v>
      </c>
      <c r="DO21" s="1" t="n">
        <f aca="false">DE21+DH21*Slot10_BufPot*DJ21</f>
        <v>0</v>
      </c>
      <c r="DP21" s="1" t="n">
        <f aca="false">IF(AND(DH21=1,Slot10_IsMfree=1),IF(DM21&gt;=Slot10_Cost-1,0,MAX(0,DF21-DM21)),DF21)</f>
        <v>0</v>
      </c>
      <c r="DQ21" s="1" t="n">
        <f aca="false">DH21*(Slot10_Cost-DM21)</f>
        <v>0</v>
      </c>
      <c r="DR21" s="1" t="n">
        <f aca="false">IF(AND(Slot11_On=1,D21=Slot11_Age),1,0)</f>
        <v>0</v>
      </c>
      <c r="DS21" s="1" t="n">
        <f aca="false">IF(AND(Slot11_On=1,Slot11_Age&gt;D21),1,0)</f>
        <v>0</v>
      </c>
      <c r="DT21" s="1" t="n">
        <f aca="false">RZ20</f>
        <v>0</v>
      </c>
      <c r="DU21" s="1" t="n">
        <f aca="false">DR21*MIN(Slot11_Cost,DT21)</f>
        <v>0</v>
      </c>
      <c r="DV21" s="1" t="n">
        <f aca="false">DR21*Slot11_SpendLike*MIN(Slot11_Cost-DU21,DN21)</f>
        <v>0</v>
      </c>
      <c r="DW21" s="1" t="n">
        <f aca="false">DU21+DV21</f>
        <v>0</v>
      </c>
      <c r="DX21" s="1" t="n">
        <f aca="false">DN21-DV21+DR21*IF(Slot11_SpendLike=1,DT21-DU21,IF(Slot11_PotFree=1,DT21,0))</f>
        <v>0</v>
      </c>
      <c r="DY21" s="1" t="n">
        <f aca="false">DO21+DR21*Slot11_BufPot*DT21</f>
        <v>0</v>
      </c>
      <c r="DZ21" s="1" t="n">
        <f aca="false">IF(AND(DR21=1,Slot11_IsMfree=1),IF(DW21&gt;=Slot11_Cost-1,0,MAX(0,DP21-DW21)),DP21)</f>
        <v>0</v>
      </c>
      <c r="EA21" s="1" t="n">
        <f aca="false">DR21*(Slot11_Cost-DW21)</f>
        <v>0</v>
      </c>
      <c r="EB21" s="1" t="n">
        <f aca="false">IF(AND(Slot12_On=1,D21=Slot12_Age),1,0)</f>
        <v>0</v>
      </c>
      <c r="EC21" s="1" t="n">
        <f aca="false">IF(AND(Slot12_On=1,Slot12_Age&gt;D21),1,0)</f>
        <v>0</v>
      </c>
      <c r="ED21" s="1" t="n">
        <f aca="false">SD20</f>
        <v>0</v>
      </c>
      <c r="EE21" s="1" t="n">
        <f aca="false">EB21*MIN(Slot12_Cost,ED21)</f>
        <v>0</v>
      </c>
      <c r="EF21" s="1" t="n">
        <f aca="false">EB21*Slot12_SpendLike*MIN(Slot12_Cost-EE21,DX21)</f>
        <v>0</v>
      </c>
      <c r="EG21" s="1" t="n">
        <f aca="false">EE21+EF21</f>
        <v>0</v>
      </c>
      <c r="EH21" s="1" t="n">
        <f aca="false">DX21-EF21+EB21*IF(Slot12_SpendLike=1,ED21-EE21,IF(Slot12_PotFree=1,ED21,0))</f>
        <v>0</v>
      </c>
      <c r="EI21" s="1" t="n">
        <f aca="false">DY21+EB21*Slot12_BufPot*ED21</f>
        <v>0</v>
      </c>
      <c r="EJ21" s="1" t="n">
        <f aca="false">IF(AND(EB21=1,Slot12_IsMfree=1),IF(EG21&gt;=Slot12_Cost-1,0,MAX(0,DZ21-EG21)),DZ21)</f>
        <v>0</v>
      </c>
      <c r="EK21" s="1" t="n">
        <f aca="false">EB21*(Slot12_Cost-EG21)</f>
        <v>0</v>
      </c>
      <c r="EL21" s="1" t="n">
        <f aca="false">IF(AND(Slot13_On=1,D21=Slot13_Age),1,0)</f>
        <v>0</v>
      </c>
      <c r="EM21" s="1" t="n">
        <f aca="false">IF(AND(Slot13_On=1,Slot13_Age&gt;D21),1,0)</f>
        <v>0</v>
      </c>
      <c r="EN21" s="1" t="n">
        <f aca="false">SH20</f>
        <v>0</v>
      </c>
      <c r="EO21" s="1" t="n">
        <f aca="false">EL21*MIN(Slot13_Cost,EN21)</f>
        <v>0</v>
      </c>
      <c r="EP21" s="1" t="n">
        <f aca="false">EL21*Slot13_SpendLike*MIN(Slot13_Cost-EO21,EH21)</f>
        <v>0</v>
      </c>
      <c r="EQ21" s="1" t="n">
        <f aca="false">EO21+EP21</f>
        <v>0</v>
      </c>
      <c r="ER21" s="1" t="n">
        <f aca="false">EH21-EP21+EL21*IF(Slot13_SpendLike=1,EN21-EO21,IF(Slot13_PotFree=1,EN21,0))</f>
        <v>0</v>
      </c>
      <c r="ES21" s="1" t="n">
        <f aca="false">EI21+EL21*Slot13_BufPot*EN21</f>
        <v>0</v>
      </c>
      <c r="ET21" s="1" t="n">
        <f aca="false">IF(AND(EL21=1,Slot13_IsMfree=1),IF(EQ21&gt;=Slot13_Cost-1,0,MAX(0,EJ21-EQ21)),EJ21)</f>
        <v>0</v>
      </c>
      <c r="EU21" s="1" t="n">
        <f aca="false">EL21*(Slot13_Cost-EQ21)</f>
        <v>0</v>
      </c>
      <c r="EV21" s="1" t="n">
        <f aca="false">IF(AND(Slot14_On=1,D21=Slot14_Age),1,0)</f>
        <v>0</v>
      </c>
      <c r="EW21" s="1" t="n">
        <f aca="false">IF(AND(Slot14_On=1,Slot14_Age&gt;D21),1,0)</f>
        <v>0</v>
      </c>
      <c r="EX21" s="1" t="n">
        <f aca="false">SL20</f>
        <v>0</v>
      </c>
      <c r="EY21" s="1" t="n">
        <f aca="false">EV21*MIN(Slot14_Cost,EX21)</f>
        <v>0</v>
      </c>
      <c r="EZ21" s="1" t="n">
        <f aca="false">EV21*Slot14_SpendLike*MIN(Slot14_Cost-EY21,ER21)</f>
        <v>0</v>
      </c>
      <c r="FA21" s="1" t="n">
        <f aca="false">EY21+EZ21</f>
        <v>0</v>
      </c>
      <c r="FB21" s="1" t="n">
        <f aca="false">ER21-EZ21+EV21*IF(Slot14_SpendLike=1,EX21-EY21,IF(Slot14_PotFree=1,EX21,0))</f>
        <v>0</v>
      </c>
      <c r="FC21" s="1" t="n">
        <f aca="false">ES21+EV21*Slot14_BufPot*EX21</f>
        <v>0</v>
      </c>
      <c r="FD21" s="1" t="n">
        <f aca="false">IF(AND(EV21=1,Slot14_IsMfree=1),IF(FA21&gt;=Slot14_Cost-1,0,MAX(0,ET21-FA21)),ET21)</f>
        <v>0</v>
      </c>
      <c r="FE21" s="1" t="n">
        <f aca="false">EV21*(Slot14_Cost-FA21)</f>
        <v>0</v>
      </c>
      <c r="FF21" s="1" t="n">
        <f aca="false">IF(AND(Slot15_On=1,D21=Slot15_Age),1,0)</f>
        <v>0</v>
      </c>
      <c r="FG21" s="1" t="n">
        <f aca="false">IF(AND(Slot15_On=1,Slot15_Age&gt;D21),1,0)</f>
        <v>0</v>
      </c>
      <c r="FH21" s="1" t="n">
        <f aca="false">SP20</f>
        <v>0</v>
      </c>
      <c r="FI21" s="1" t="n">
        <f aca="false">FF21*MIN(Slot15_Cost,FH21)</f>
        <v>0</v>
      </c>
      <c r="FJ21" s="1" t="n">
        <f aca="false">FF21*Slot15_SpendLike*MIN(Slot15_Cost-FI21,FB21)</f>
        <v>0</v>
      </c>
      <c r="FK21" s="1" t="n">
        <f aca="false">FI21+FJ21</f>
        <v>0</v>
      </c>
      <c r="FL21" s="1" t="n">
        <f aca="false">FB21-FJ21+FF21*IF(Slot15_SpendLike=1,FH21-FI21,IF(Slot15_PotFree=1,FH21,0))</f>
        <v>0</v>
      </c>
      <c r="FM21" s="1" t="n">
        <f aca="false">FC21+FF21*Slot15_BufPot*FH21</f>
        <v>0</v>
      </c>
      <c r="FN21" s="1" t="n">
        <f aca="false">IF(AND(FF21=1,Slot15_IsMfree=1),IF(FK21&gt;=Slot15_Cost-1,0,MAX(0,FD21-FK21)),FD21)</f>
        <v>0</v>
      </c>
      <c r="FO21" s="1" t="n">
        <f aca="false">FF21*(Slot15_Cost-FK21)</f>
        <v>0</v>
      </c>
      <c r="FP21" s="1" t="n">
        <f aca="false">IF(AND(Slot16_On=1,D21=Slot16_Age),1,0)</f>
        <v>0</v>
      </c>
      <c r="FQ21" s="1" t="n">
        <f aca="false">IF(AND(Slot16_On=1,Slot16_Age&gt;D21),1,0)</f>
        <v>0</v>
      </c>
      <c r="FR21" s="1" t="n">
        <f aca="false">ST20</f>
        <v>0</v>
      </c>
      <c r="FS21" s="1" t="n">
        <f aca="false">FP21*MIN(Slot16_Cost,FR21)</f>
        <v>0</v>
      </c>
      <c r="FT21" s="1" t="n">
        <f aca="false">FP21*Slot16_SpendLike*MIN(Slot16_Cost-FS21,FL21)</f>
        <v>0</v>
      </c>
      <c r="FU21" s="1" t="n">
        <f aca="false">FS21+FT21</f>
        <v>0</v>
      </c>
      <c r="FV21" s="1" t="n">
        <f aca="false">FL21-FT21+FP21*IF(Slot16_SpendLike=1,FR21-FS21,IF(Slot16_PotFree=1,FR21,0))</f>
        <v>0</v>
      </c>
      <c r="FW21" s="1" t="n">
        <f aca="false">FM21+FP21*Slot16_BufPot*FR21</f>
        <v>0</v>
      </c>
      <c r="FX21" s="1" t="n">
        <f aca="false">IF(AND(FP21=1,Slot16_IsMfree=1),IF(FU21&gt;=Slot16_Cost-1,0,MAX(0,FN21-FU21)),FN21)</f>
        <v>0</v>
      </c>
      <c r="FY21" s="1" t="n">
        <f aca="false">FP21*(Slot16_Cost-FU21)</f>
        <v>0</v>
      </c>
      <c r="FZ21" s="1" t="n">
        <f aca="false">IF(AND(Slot17_On=1,D21=Slot17_Age),1,0)</f>
        <v>0</v>
      </c>
      <c r="GA21" s="1" t="n">
        <f aca="false">IF(AND(Slot17_On=1,Slot17_Age&gt;D21),1,0)</f>
        <v>0</v>
      </c>
      <c r="GB21" s="1" t="n">
        <f aca="false">SX20</f>
        <v>0</v>
      </c>
      <c r="GC21" s="1" t="n">
        <f aca="false">FZ21*MIN(Slot17_Cost,GB21)</f>
        <v>0</v>
      </c>
      <c r="GD21" s="1" t="n">
        <f aca="false">FZ21*Slot17_SpendLike*MIN(Slot17_Cost-GC21,FV21)</f>
        <v>0</v>
      </c>
      <c r="GE21" s="1" t="n">
        <f aca="false">GC21+GD21</f>
        <v>0</v>
      </c>
      <c r="GF21" s="1" t="n">
        <f aca="false">FV21-GD21+FZ21*IF(Slot17_SpendLike=1,GB21-GC21,IF(Slot17_PotFree=1,GB21,0))</f>
        <v>0</v>
      </c>
      <c r="GG21" s="1" t="n">
        <f aca="false">FW21+FZ21*Slot17_BufPot*GB21</f>
        <v>0</v>
      </c>
      <c r="GH21" s="1" t="n">
        <f aca="false">IF(AND(FZ21=1,Slot17_IsMfree=1),IF(GE21&gt;=Slot17_Cost-1,0,MAX(0,FX21-GE21)),FX21)</f>
        <v>0</v>
      </c>
      <c r="GI21" s="1" t="n">
        <f aca="false">FZ21*(Slot17_Cost-GE21)</f>
        <v>0</v>
      </c>
      <c r="GJ21" s="1" t="n">
        <f aca="false">IF(AND(Slot18_On=1,D21=Slot18_Age),1,0)</f>
        <v>0</v>
      </c>
      <c r="GK21" s="1" t="n">
        <f aca="false">IF(AND(Slot18_On=1,Slot18_Age&gt;D21),1,0)</f>
        <v>0</v>
      </c>
      <c r="GL21" s="1" t="n">
        <f aca="false">TB20</f>
        <v>0</v>
      </c>
      <c r="GM21" s="1" t="n">
        <f aca="false">GJ21*MIN(Slot18_Cost,GL21)</f>
        <v>0</v>
      </c>
      <c r="GN21" s="1" t="n">
        <f aca="false">GJ21*Slot18_SpendLike*MIN(Slot18_Cost-GM21,GF21)</f>
        <v>0</v>
      </c>
      <c r="GO21" s="1" t="n">
        <f aca="false">GM21+GN21</f>
        <v>0</v>
      </c>
      <c r="GP21" s="1" t="n">
        <f aca="false">GF21-GN21+GJ21*IF(Slot18_SpendLike=1,GL21-GM21,IF(Slot18_PotFree=1,GL21,0))</f>
        <v>0</v>
      </c>
      <c r="GQ21" s="1" t="n">
        <f aca="false">GG21+GJ21*Slot18_BufPot*GL21</f>
        <v>0</v>
      </c>
      <c r="GR21" s="1" t="n">
        <f aca="false">IF(AND(GJ21=1,Slot18_IsMfree=1),IF(GO21&gt;=Slot18_Cost-1,0,MAX(0,GH21-GO21)),GH21)</f>
        <v>0</v>
      </c>
      <c r="GS21" s="1" t="n">
        <f aca="false">GJ21*(Slot18_Cost-GO21)</f>
        <v>0</v>
      </c>
      <c r="GT21" s="1" t="n">
        <f aca="false">IF(AND(Slot19_On=1,D21=Slot19_Age),1,0)</f>
        <v>0</v>
      </c>
      <c r="GU21" s="1" t="n">
        <f aca="false">IF(AND(Slot19_On=1,Slot19_Age&gt;D21),1,0)</f>
        <v>0</v>
      </c>
      <c r="GV21" s="1" t="n">
        <f aca="false">TF20</f>
        <v>0</v>
      </c>
      <c r="GW21" s="1" t="n">
        <f aca="false">GT21*MIN(Slot19_Cost,GV21)</f>
        <v>0</v>
      </c>
      <c r="GX21" s="1" t="n">
        <f aca="false">GT21*Slot19_SpendLike*MIN(Slot19_Cost-GW21,GP21)</f>
        <v>0</v>
      </c>
      <c r="GY21" s="1" t="n">
        <f aca="false">GW21+GX21</f>
        <v>0</v>
      </c>
      <c r="GZ21" s="1" t="n">
        <f aca="false">GP21-GX21+GT21*IF(Slot19_SpendLike=1,GV21-GW21,IF(Slot19_PotFree=1,GV21,0))</f>
        <v>0</v>
      </c>
      <c r="HA21" s="1" t="n">
        <f aca="false">GQ21+GT21*Slot19_BufPot*GV21</f>
        <v>0</v>
      </c>
      <c r="HB21" s="1" t="n">
        <f aca="false">IF(AND(GT21=1,Slot19_IsMfree=1),IF(GY21&gt;=Slot19_Cost-1,0,MAX(0,GR21-GY21)),GR21)</f>
        <v>0</v>
      </c>
      <c r="HC21" s="1" t="n">
        <f aca="false">GT21*(Slot19_Cost-GY21)</f>
        <v>0</v>
      </c>
      <c r="HD21" s="1" t="n">
        <f aca="false">IF(AND(Slot20_On=1,D21=Slot20_Age),1,0)</f>
        <v>0</v>
      </c>
      <c r="HE21" s="1" t="n">
        <f aca="false">IF(AND(Slot20_On=1,Slot20_Age&gt;D21),1,0)</f>
        <v>0</v>
      </c>
      <c r="HF21" s="1" t="n">
        <f aca="false">TJ20</f>
        <v>0</v>
      </c>
      <c r="HG21" s="1" t="n">
        <f aca="false">HD21*MIN(Slot20_Cost,HF21)</f>
        <v>0</v>
      </c>
      <c r="HH21" s="1" t="n">
        <f aca="false">HD21*Slot20_SpendLike*MIN(Slot20_Cost-HG21,GZ21)</f>
        <v>0</v>
      </c>
      <c r="HI21" s="1" t="n">
        <f aca="false">HG21+HH21</f>
        <v>0</v>
      </c>
      <c r="HJ21" s="1" t="n">
        <f aca="false">GZ21-HH21+HD21*IF(Slot20_SpendLike=1,HF21-HG21,IF(Slot20_PotFree=1,HF21,0))</f>
        <v>0</v>
      </c>
      <c r="HK21" s="1" t="n">
        <f aca="false">HA21+HD21*Slot20_BufPot*HF21</f>
        <v>0</v>
      </c>
      <c r="HL21" s="1" t="n">
        <f aca="false">IF(AND(HD21=1,Slot20_IsMfree=1),IF(HI21&gt;=Slot20_Cost-1,0,MAX(0,HB21-HI21)),HB21)</f>
        <v>0</v>
      </c>
      <c r="HM21" s="1" t="n">
        <f aca="false">HD21*(Slot20_Cost-HI21)</f>
        <v>0</v>
      </c>
      <c r="HN21" s="1" t="n">
        <f aca="false">U21*Slot1_SpendLike*Z21+AF21*Slot2_SpendLike*AK21+AP21*Slot3_SpendLike*AU21+AZ21*Slot4_SpendLike*BE21+BJ21*Slot5_SpendLike*BO21+BT21*Slot6_SpendLike*BY21+CD21*Slot7_SpendLike*CI21+CN21*Slot8_SpendLike*CS21+CX21*Slot9_SpendLike*DC21+DH21*Slot10_SpendLike*DM21+DR21*Slot11_SpendLike*DW21+EB21*Slot12_SpendLike*EG21+EL21*Slot13_SpendLike*EQ21+EV21*Slot14_SpendLike*FA21+FF21*Slot15_SpendLike*FK21+FP21*Slot16_SpendLike*FU21+FZ21*Slot17_SpendLike*GE21+GJ21*Slot18_SpendLike*GO21+GT21*Slot19_SpendLike*GY21+HD21*Slot20_SpendLike*HI21</f>
        <v>0</v>
      </c>
      <c r="HO21" s="1" t="n">
        <f aca="false">AD21+AO21+AY21+BI21+BS21+CC21+CM21+CW21+DG21+DQ21+EA21+EK21+EU21+FE21+FO21+FY21+GI21+GS21+HC21+HM21</f>
        <v>0</v>
      </c>
      <c r="HP21" s="1" t="n">
        <f aca="false">U21*Slot1_Cost+AF21*Slot2_Cost+AP21*Slot3_Cost+AZ21*Slot4_Cost+BJ21*Slot5_Cost+BT21*Slot6_Cost+CD21*Slot7_Cost+CN21*Slot8_Cost+CX21*Slot9_Cost+DH21*Slot10_Cost+DR21*Slot11_Cost+EB21*Slot12_Cost+EL21*Slot13_Cost+EV21*Slot14_Cost+FF21*Slot15_Cost+FP21*Slot16_Cost+FZ21*Slot17_Cost+GJ21*Slot18_Cost+GT21*Slot19_Cost+HD21*Slot20_Cost</f>
        <v>0</v>
      </c>
      <c r="HQ21" s="1" t="n">
        <f aca="false">HL21</f>
        <v>0</v>
      </c>
      <c r="HR21" s="1" t="n">
        <f aca="false">G21-H21-R21</f>
        <v>0</v>
      </c>
      <c r="HS21" s="1" t="n">
        <f aca="false">IF(B21=0,IF(AND(Has_q6=1,In_q6=4),PR_ShareVaries*(MAX(0,HR21)/12),MIN(IF(Has_q6=1,CHOOSE(In_q6+1,PR_SaveB1,PR_SaveB2,PR_SaveB3,PR_SaveB4,0),AS_NoAnswer),AS_SaveShare*(MAX(0,HR21)/12))),HS20)</f>
        <v>0</v>
      </c>
      <c r="HT21" s="1" t="n">
        <f aca="false">IF(HR21&gt;=0,1,0)</f>
        <v>1</v>
      </c>
      <c r="HU21" s="1" t="n">
        <f aca="false">MAX(0,HR21/12/E21)</f>
        <v>0</v>
      </c>
      <c r="HV21" s="1" t="n">
        <f aca="false">IF(AND(Has_q6=1,In_q6=4),PR_ShareVaries*(HU21),MIN(IF(Has_q6=1,CHOOSE(In_q6+1,PR_SaveB1,PR_SaveB2,PR_SaveB3,PR_SaveB4,0),AS_NoAnswer),AS_SaveShare*(HU21)))</f>
        <v>0</v>
      </c>
      <c r="HW21" s="1" t="n">
        <f aca="false">IF(Has_saveM=1,IF(In_saveUp="Yes",1,IF(In_saveUp="No",0,IF(In_saveM&gt;=HS21-0.5,1,0))),0)</f>
        <v>0</v>
      </c>
      <c r="HX21" s="1" t="n">
        <f aca="false">IF(Has_saveM=1,MIN(HU21,IF(HW21=1,MAX(In_saveM,HV21),MIN(In_saveM,HV21))),HV21)</f>
        <v>0</v>
      </c>
      <c r="HY21" s="1" t="n">
        <f aca="false">IF(F21=1,HX21*12*E21,0)</f>
        <v>0</v>
      </c>
      <c r="HZ21" s="1" t="n">
        <f aca="false">MAX(0,HY21+IF(AND(WI_Retire=0,WI_M&lt;0,F21=1),WI_M*12*E21,0))</f>
        <v>0</v>
      </c>
      <c r="IA21" s="1" t="n">
        <f aca="false">Slot1_IsWG*V21+Slot2_IsWG*AG21+Slot3_IsWG*AQ21+Slot4_IsWG*BA21+Slot5_IsWG*BK21+Slot6_IsWG*BU21+Slot7_IsWG*CE21+Slot8_IsWG*CO21+Slot9_IsWG*CY21+Slot10_IsWG*DI21+Slot11_IsWG*DS21+Slot12_IsWG*EC21+Slot13_IsWG*EM21+Slot14_IsWG*EW21+Slot15_IsWG*FG21+Slot16_IsWG*FQ21+Slot17_IsWG*GA21+Slot18_IsWG*GK21+Slot19_IsWG*GU21+Slot20_IsWG*HE21</f>
        <v>0</v>
      </c>
      <c r="IB21" s="1" t="n">
        <f aca="false">IF(AND(WI_Retire=0,WI_M&gt;0,F21=1,IA21&gt;=1),WI_M*12*E21,0)</f>
        <v>0</v>
      </c>
      <c r="IC21" s="1" t="n">
        <f aca="false">IF(HT21=1,MIN(HZ21,HR21),0)</f>
        <v>0</v>
      </c>
      <c r="ID21" s="1" t="n">
        <f aca="false">IF(HT21=1,MIN(IB21,HR21-IC21),0)</f>
        <v>0</v>
      </c>
      <c r="IE21" s="1" t="n">
        <f aca="false">IF(V21=1,IF(ABS((1+AS_Wage)/(1+Slot1_Rate)-1)&lt;0.000000000001,(Slot1_Age-D21)*(1+Slot1_Rate)^(Slot1_Age-D21),(1+Slot1_Rate)^(Slot1_Age-D21)*(1-((1+AS_Wage)/(1+Slot1_Rate))^(Slot1_Age-D21))/(1-(1+AS_Wage)/(1+Slot1_Rate))),1)</f>
        <v>1</v>
      </c>
      <c r="IF21" s="1" t="n">
        <f aca="false">IF(AND(HT21=1,ID21&gt;0,Slot1_IsWG=1,V21=1),MAX(0,(Slot1_Cost-W21*(1+Slot1_Rate)^(Slot1_Age-D21))/IE21),0)</f>
        <v>0</v>
      </c>
      <c r="IG21" s="1" t="n">
        <f aca="false">IF(AND(HT21=1,ID21&gt;0,Slot1_IsWG=1,V21=1),MIN(ID21,IF21),0)</f>
        <v>0</v>
      </c>
      <c r="IH21" s="1" t="n">
        <f aca="false">W21+IG21</f>
        <v>0</v>
      </c>
      <c r="II21" s="1" t="n">
        <f aca="false">IF(V21=1,MAX(0,(Slot1_Cost-IH21*(1+Slot1_Rate)^(Slot1_Age-D21))/IE21),0)</f>
        <v>0</v>
      </c>
      <c r="IJ21" s="1" t="n">
        <f aca="false">IF(V21=1,MAX(0,(Slot1_Cost-W21*(1+Slot1_Rate)^(Slot1_Age-D21))/IE21),0)</f>
        <v>0</v>
      </c>
      <c r="IK21" s="1" t="n">
        <f aca="false">IF(AND(HT21=1,V21=1),MIN(IC21,II21),0)</f>
        <v>0</v>
      </c>
      <c r="IL21" s="1" t="n">
        <f aca="false">IC21-IK21</f>
        <v>0</v>
      </c>
      <c r="IM21" s="1" t="n">
        <f aca="false">IF(AG21=1,IF(ABS((1+AS_Wage)/(1+Slot2_Rate)-1)&lt;0.000000000001,(Slot2_Age-D21)*(1+Slot2_Rate)^(Slot2_Age-D21),(1+Slot2_Rate)^(Slot2_Age-D21)*(1-((1+AS_Wage)/(1+Slot2_Rate))^(Slot2_Age-D21))/(1-(1+AS_Wage)/(1+Slot2_Rate))),1)</f>
        <v>1</v>
      </c>
      <c r="IN21" s="1" t="n">
        <f aca="false">IF(AND(HT21=1,ID21&gt;0,Slot2_IsWG=1,AG21=1),MAX(0,(Slot2_Cost-AH21*(1+Slot2_Rate)^(Slot2_Age-D21))/IM21),0)</f>
        <v>0</v>
      </c>
      <c r="IO21" s="1" t="n">
        <f aca="false">IF(AND(HT21=1,ID21&gt;0,Slot2_IsWG=1,AG21=1),MIN(ID21,IN21),0)</f>
        <v>0</v>
      </c>
      <c r="IP21" s="1" t="n">
        <f aca="false">AH21+IO21</f>
        <v>0</v>
      </c>
      <c r="IQ21" s="1" t="n">
        <f aca="false">IF(AG21=1,MAX(0,(Slot2_Cost-IP21*(1+Slot2_Rate)^(Slot2_Age-D21))/IM21),0)</f>
        <v>0</v>
      </c>
      <c r="IR21" s="1" t="n">
        <f aca="false">IF(AG21=1,MAX(0,(Slot2_Cost-AH21*(1+Slot2_Rate)^(Slot2_Age-D21))/IM21),0)</f>
        <v>0</v>
      </c>
      <c r="IS21" s="1" t="n">
        <f aca="false">IF(AND(HT21=1,AG21=1),MIN(IL21,IQ21),0)</f>
        <v>0</v>
      </c>
      <c r="IT21" s="1" t="n">
        <f aca="false">IL21-IS21</f>
        <v>0</v>
      </c>
      <c r="IU21" s="1" t="n">
        <f aca="false">IF(AQ21=1,IF(ABS((1+AS_Wage)/(1+Slot3_Rate)-1)&lt;0.000000000001,(Slot3_Age-D21)*(1+Slot3_Rate)^(Slot3_Age-D21),(1+Slot3_Rate)^(Slot3_Age-D21)*(1-((1+AS_Wage)/(1+Slot3_Rate))^(Slot3_Age-D21))/(1-(1+AS_Wage)/(1+Slot3_Rate))),1)</f>
        <v>1</v>
      </c>
      <c r="IV21" s="1" t="n">
        <f aca="false">IF(AND(HT21=1,ID21&gt;0,Slot3_IsWG=1,AQ21=1),MAX(0,(Slot3_Cost-AR21*(1+Slot3_Rate)^(Slot3_Age-D21))/IU21),0)</f>
        <v>0</v>
      </c>
      <c r="IW21" s="1" t="n">
        <f aca="false">IF(AND(HT21=1,ID21&gt;0,Slot3_IsWG=1,AQ21=1),MIN(ID21,IV21),0)</f>
        <v>0</v>
      </c>
      <c r="IX21" s="1" t="n">
        <f aca="false">AR21+IW21</f>
        <v>0</v>
      </c>
      <c r="IY21" s="1" t="n">
        <f aca="false">IF(AQ21=1,MAX(0,(Slot3_Cost-IX21*(1+Slot3_Rate)^(Slot3_Age-D21))/IU21),0)</f>
        <v>0</v>
      </c>
      <c r="IZ21" s="1" t="n">
        <f aca="false">IF(AQ21=1,MAX(0,(Slot3_Cost-AR21*(1+Slot3_Rate)^(Slot3_Age-D21))/IU21),0)</f>
        <v>0</v>
      </c>
      <c r="JA21" s="1" t="n">
        <f aca="false">IF(AND(HT21=1,AQ21=1),MIN(IT21,IY21),0)</f>
        <v>0</v>
      </c>
      <c r="JB21" s="1" t="n">
        <f aca="false">IT21-JA21</f>
        <v>0</v>
      </c>
      <c r="JC21" s="1" t="n">
        <f aca="false">IF(BA21=1,IF(ABS((1+AS_Wage)/(1+Slot4_Rate)-1)&lt;0.000000000001,(Slot4_Age-D21)*(1+Slot4_Rate)^(Slot4_Age-D21),(1+Slot4_Rate)^(Slot4_Age-D21)*(1-((1+AS_Wage)/(1+Slot4_Rate))^(Slot4_Age-D21))/(1-(1+AS_Wage)/(1+Slot4_Rate))),1)</f>
        <v>1</v>
      </c>
      <c r="JD21" s="1" t="n">
        <f aca="false">IF(AND(HT21=1,ID21&gt;0,Slot4_IsWG=1,BA21=1),MAX(0,(Slot4_Cost-BB21*(1+Slot4_Rate)^(Slot4_Age-D21))/JC21),0)</f>
        <v>0</v>
      </c>
      <c r="JE21" s="1" t="n">
        <f aca="false">IF(AND(HT21=1,ID21&gt;0,Slot4_IsWG=1,BA21=1),MIN(ID21,JD21),0)</f>
        <v>0</v>
      </c>
      <c r="JF21" s="1" t="n">
        <f aca="false">BB21+JE21</f>
        <v>0</v>
      </c>
      <c r="JG21" s="1" t="n">
        <f aca="false">IF(BA21=1,MAX(0,(Slot4_Cost-JF21*(1+Slot4_Rate)^(Slot4_Age-D21))/JC21),0)</f>
        <v>0</v>
      </c>
      <c r="JH21" s="1" t="n">
        <f aca="false">IF(BA21=1,MAX(0,(Slot4_Cost-BB21*(1+Slot4_Rate)^(Slot4_Age-D21))/JC21),0)</f>
        <v>0</v>
      </c>
      <c r="JI21" s="1" t="n">
        <f aca="false">IF(AND(HT21=1,BA21=1),MIN(JB21,JG21),0)</f>
        <v>0</v>
      </c>
      <c r="JJ21" s="1" t="n">
        <f aca="false">JB21-JI21</f>
        <v>0</v>
      </c>
      <c r="JK21" s="1" t="n">
        <f aca="false">IF(BK21=1,IF(ABS((1+AS_Wage)/(1+Slot5_Rate)-1)&lt;0.000000000001,(Slot5_Age-D21)*(1+Slot5_Rate)^(Slot5_Age-D21),(1+Slot5_Rate)^(Slot5_Age-D21)*(1-((1+AS_Wage)/(1+Slot5_Rate))^(Slot5_Age-D21))/(1-(1+AS_Wage)/(1+Slot5_Rate))),1)</f>
        <v>1</v>
      </c>
      <c r="JL21" s="1" t="n">
        <f aca="false">IF(AND(HT21=1,ID21&gt;0,Slot5_IsWG=1,BK21=1),MAX(0,(Slot5_Cost-BL21*(1+Slot5_Rate)^(Slot5_Age-D21))/JK21),0)</f>
        <v>0</v>
      </c>
      <c r="JM21" s="1" t="n">
        <f aca="false">IF(AND(HT21=1,ID21&gt;0,Slot5_IsWG=1,BK21=1),MIN(ID21,JL21),0)</f>
        <v>0</v>
      </c>
      <c r="JN21" s="1" t="n">
        <f aca="false">BL21+JM21</f>
        <v>0</v>
      </c>
      <c r="JO21" s="1" t="n">
        <f aca="false">IF(BK21=1,MAX(0,(Slot5_Cost-JN21*(1+Slot5_Rate)^(Slot5_Age-D21))/JK21),0)</f>
        <v>0</v>
      </c>
      <c r="JP21" s="1" t="n">
        <f aca="false">IF(BK21=1,MAX(0,(Slot5_Cost-BL21*(1+Slot5_Rate)^(Slot5_Age-D21))/JK21),0)</f>
        <v>0</v>
      </c>
      <c r="JQ21" s="1" t="n">
        <f aca="false">IF(AND(HT21=1,BK21=1),MIN(JJ21,JO21),0)</f>
        <v>0</v>
      </c>
      <c r="JR21" s="1" t="n">
        <f aca="false">JJ21-JQ21</f>
        <v>0</v>
      </c>
      <c r="JS21" s="1" t="n">
        <f aca="false">IF(BU21=1,IF(ABS((1+AS_Wage)/(1+Slot6_Rate)-1)&lt;0.000000000001,(Slot6_Age-D21)*(1+Slot6_Rate)^(Slot6_Age-D21),(1+Slot6_Rate)^(Slot6_Age-D21)*(1-((1+AS_Wage)/(1+Slot6_Rate))^(Slot6_Age-D21))/(1-(1+AS_Wage)/(1+Slot6_Rate))),1)</f>
        <v>1</v>
      </c>
      <c r="JT21" s="1" t="n">
        <f aca="false">IF(AND(HT21=1,ID21&gt;0,Slot6_IsWG=1,BU21=1),MAX(0,(Slot6_Cost-BV21*(1+Slot6_Rate)^(Slot6_Age-D21))/JS21),0)</f>
        <v>0</v>
      </c>
      <c r="JU21" s="1" t="n">
        <f aca="false">IF(AND(HT21=1,ID21&gt;0,Slot6_IsWG=1,BU21=1),MIN(ID21,JT21),0)</f>
        <v>0</v>
      </c>
      <c r="JV21" s="1" t="n">
        <f aca="false">BV21+JU21</f>
        <v>0</v>
      </c>
      <c r="JW21" s="1" t="n">
        <f aca="false">IF(BU21=1,MAX(0,(Slot6_Cost-JV21*(1+Slot6_Rate)^(Slot6_Age-D21))/JS21),0)</f>
        <v>0</v>
      </c>
      <c r="JX21" s="1" t="n">
        <f aca="false">IF(BU21=1,MAX(0,(Slot6_Cost-BV21*(1+Slot6_Rate)^(Slot6_Age-D21))/JS21),0)</f>
        <v>0</v>
      </c>
      <c r="JY21" s="1" t="n">
        <f aca="false">IF(AND(HT21=1,BU21=1),MIN(JR21,JW21),0)</f>
        <v>0</v>
      </c>
      <c r="JZ21" s="1" t="n">
        <f aca="false">JR21-JY21</f>
        <v>0</v>
      </c>
      <c r="KA21" s="1" t="n">
        <f aca="false">IF(CE21=1,IF(ABS((1+AS_Wage)/(1+Slot7_Rate)-1)&lt;0.000000000001,(Slot7_Age-D21)*(1+Slot7_Rate)^(Slot7_Age-D21),(1+Slot7_Rate)^(Slot7_Age-D21)*(1-((1+AS_Wage)/(1+Slot7_Rate))^(Slot7_Age-D21))/(1-(1+AS_Wage)/(1+Slot7_Rate))),1)</f>
        <v>1</v>
      </c>
      <c r="KB21" s="1" t="n">
        <f aca="false">IF(AND(HT21=1,ID21&gt;0,Slot7_IsWG=1,CE21=1),MAX(0,(Slot7_Cost-CF21*(1+Slot7_Rate)^(Slot7_Age-D21))/KA21),0)</f>
        <v>0</v>
      </c>
      <c r="KC21" s="1" t="n">
        <f aca="false">IF(AND(HT21=1,ID21&gt;0,Slot7_IsWG=1,CE21=1),MIN(ID21,KB21),0)</f>
        <v>0</v>
      </c>
      <c r="KD21" s="1" t="n">
        <f aca="false">CF21+KC21</f>
        <v>0</v>
      </c>
      <c r="KE21" s="1" t="n">
        <f aca="false">IF(CE21=1,MAX(0,(Slot7_Cost-KD21*(1+Slot7_Rate)^(Slot7_Age-D21))/KA21),0)</f>
        <v>0</v>
      </c>
      <c r="KF21" s="1" t="n">
        <f aca="false">IF(CE21=1,MAX(0,(Slot7_Cost-CF21*(1+Slot7_Rate)^(Slot7_Age-D21))/KA21),0)</f>
        <v>0</v>
      </c>
      <c r="KG21" s="1" t="n">
        <f aca="false">IF(AND(HT21=1,CE21=1),MIN(JZ21,KE21),0)</f>
        <v>0</v>
      </c>
      <c r="KH21" s="1" t="n">
        <f aca="false">JZ21-KG21</f>
        <v>0</v>
      </c>
      <c r="KI21" s="1" t="n">
        <f aca="false">IF(CO21=1,IF(ABS((1+AS_Wage)/(1+Slot8_Rate)-1)&lt;0.000000000001,(Slot8_Age-D21)*(1+Slot8_Rate)^(Slot8_Age-D21),(1+Slot8_Rate)^(Slot8_Age-D21)*(1-((1+AS_Wage)/(1+Slot8_Rate))^(Slot8_Age-D21))/(1-(1+AS_Wage)/(1+Slot8_Rate))),1)</f>
        <v>1</v>
      </c>
      <c r="KJ21" s="1" t="n">
        <f aca="false">IF(AND(HT21=1,ID21&gt;0,Slot8_IsWG=1,CO21=1),MAX(0,(Slot8_Cost-CP21*(1+Slot8_Rate)^(Slot8_Age-D21))/KI21),0)</f>
        <v>0</v>
      </c>
      <c r="KK21" s="1" t="n">
        <f aca="false">IF(AND(HT21=1,ID21&gt;0,Slot8_IsWG=1,CO21=1),MIN(ID21,KJ21),0)</f>
        <v>0</v>
      </c>
      <c r="KL21" s="1" t="n">
        <f aca="false">CP21+KK21</f>
        <v>0</v>
      </c>
      <c r="KM21" s="1" t="n">
        <f aca="false">IF(CO21=1,MAX(0,(Slot8_Cost-KL21*(1+Slot8_Rate)^(Slot8_Age-D21))/KI21),0)</f>
        <v>0</v>
      </c>
      <c r="KN21" s="1" t="n">
        <f aca="false">IF(CO21=1,MAX(0,(Slot8_Cost-CP21*(1+Slot8_Rate)^(Slot8_Age-D21))/KI21),0)</f>
        <v>0</v>
      </c>
      <c r="KO21" s="1" t="n">
        <f aca="false">IF(AND(HT21=1,CO21=1),MIN(KH21,KM21),0)</f>
        <v>0</v>
      </c>
      <c r="KP21" s="1" t="n">
        <f aca="false">KH21-KO21</f>
        <v>0</v>
      </c>
      <c r="KQ21" s="1" t="n">
        <f aca="false">IF(CY21=1,IF(ABS((1+AS_Wage)/(1+Slot9_Rate)-1)&lt;0.000000000001,(Slot9_Age-D21)*(1+Slot9_Rate)^(Slot9_Age-D21),(1+Slot9_Rate)^(Slot9_Age-D21)*(1-((1+AS_Wage)/(1+Slot9_Rate))^(Slot9_Age-D21))/(1-(1+AS_Wage)/(1+Slot9_Rate))),1)</f>
        <v>1</v>
      </c>
      <c r="KR21" s="1" t="n">
        <f aca="false">IF(AND(HT21=1,ID21&gt;0,Slot9_IsWG=1,CY21=1),MAX(0,(Slot9_Cost-CZ21*(1+Slot9_Rate)^(Slot9_Age-D21))/KQ21),0)</f>
        <v>0</v>
      </c>
      <c r="KS21" s="1" t="n">
        <f aca="false">IF(AND(HT21=1,ID21&gt;0,Slot9_IsWG=1,CY21=1),MIN(ID21,KR21),0)</f>
        <v>0</v>
      </c>
      <c r="KT21" s="1" t="n">
        <f aca="false">CZ21+KS21</f>
        <v>0</v>
      </c>
      <c r="KU21" s="1" t="n">
        <f aca="false">IF(CY21=1,MAX(0,(Slot9_Cost-KT21*(1+Slot9_Rate)^(Slot9_Age-D21))/KQ21),0)</f>
        <v>0</v>
      </c>
      <c r="KV21" s="1" t="n">
        <f aca="false">IF(CY21=1,MAX(0,(Slot9_Cost-CZ21*(1+Slot9_Rate)^(Slot9_Age-D21))/KQ21),0)</f>
        <v>0</v>
      </c>
      <c r="KW21" s="1" t="n">
        <f aca="false">IF(AND(HT21=1,CY21=1),MIN(KP21,KU21),0)</f>
        <v>0</v>
      </c>
      <c r="KX21" s="1" t="n">
        <f aca="false">KP21-KW21</f>
        <v>0</v>
      </c>
      <c r="KY21" s="1" t="n">
        <f aca="false">IF(DI21=1,IF(ABS((1+AS_Wage)/(1+Slot10_Rate)-1)&lt;0.000000000001,(Slot10_Age-D21)*(1+Slot10_Rate)^(Slot10_Age-D21),(1+Slot10_Rate)^(Slot10_Age-D21)*(1-((1+AS_Wage)/(1+Slot10_Rate))^(Slot10_Age-D21))/(1-(1+AS_Wage)/(1+Slot10_Rate))),1)</f>
        <v>1</v>
      </c>
      <c r="KZ21" s="1" t="n">
        <f aca="false">IF(AND(HT21=1,ID21&gt;0,Slot10_IsWG=1,DI21=1),MAX(0,(Slot10_Cost-DJ21*(1+Slot10_Rate)^(Slot10_Age-D21))/KY21),0)</f>
        <v>0</v>
      </c>
      <c r="LA21" s="1" t="n">
        <f aca="false">IF(AND(HT21=1,ID21&gt;0,Slot10_IsWG=1,DI21=1),MIN(ID21,KZ21),0)</f>
        <v>0</v>
      </c>
      <c r="LB21" s="1" t="n">
        <f aca="false">DJ21+LA21</f>
        <v>0</v>
      </c>
      <c r="LC21" s="1" t="n">
        <f aca="false">IF(DI21=1,MAX(0,(Slot10_Cost-LB21*(1+Slot10_Rate)^(Slot10_Age-D21))/KY21),0)</f>
        <v>0</v>
      </c>
      <c r="LD21" s="1" t="n">
        <f aca="false">IF(DI21=1,MAX(0,(Slot10_Cost-DJ21*(1+Slot10_Rate)^(Slot10_Age-D21))/KY21),0)</f>
        <v>0</v>
      </c>
      <c r="LE21" s="1" t="n">
        <f aca="false">IF(AND(HT21=1,DI21=1),MIN(KX21,LC21),0)</f>
        <v>0</v>
      </c>
      <c r="LF21" s="1" t="n">
        <f aca="false">KX21-LE21</f>
        <v>0</v>
      </c>
      <c r="LG21" s="1" t="n">
        <f aca="false">IF(DS21=1,IF(ABS((1+AS_Wage)/(1+Slot11_Rate)-1)&lt;0.000000000001,(Slot11_Age-D21)*(1+Slot11_Rate)^(Slot11_Age-D21),(1+Slot11_Rate)^(Slot11_Age-D21)*(1-((1+AS_Wage)/(1+Slot11_Rate))^(Slot11_Age-D21))/(1-(1+AS_Wage)/(1+Slot11_Rate))),1)</f>
        <v>1</v>
      </c>
      <c r="LH21" s="1" t="n">
        <f aca="false">IF(AND(HT21=1,ID21&gt;0,Slot11_IsWG=1,DS21=1),MAX(0,(Slot11_Cost-DT21*(1+Slot11_Rate)^(Slot11_Age-D21))/LG21),0)</f>
        <v>0</v>
      </c>
      <c r="LI21" s="1" t="n">
        <f aca="false">IF(AND(HT21=1,ID21&gt;0,Slot11_IsWG=1,DS21=1),MIN(ID21,LH21),0)</f>
        <v>0</v>
      </c>
      <c r="LJ21" s="1" t="n">
        <f aca="false">DT21+LI21</f>
        <v>0</v>
      </c>
      <c r="LK21" s="1" t="n">
        <f aca="false">IF(DS21=1,MAX(0,(Slot11_Cost-LJ21*(1+Slot11_Rate)^(Slot11_Age-D21))/LG21),0)</f>
        <v>0</v>
      </c>
      <c r="LL21" s="1" t="n">
        <f aca="false">IF(DS21=1,MAX(0,(Slot11_Cost-DT21*(1+Slot11_Rate)^(Slot11_Age-D21))/LG21),0)</f>
        <v>0</v>
      </c>
      <c r="LM21" s="1" t="n">
        <f aca="false">IF(AND(HT21=1,DS21=1),MIN(LF21,LK21),0)</f>
        <v>0</v>
      </c>
      <c r="LN21" s="1" t="n">
        <f aca="false">LF21-LM21</f>
        <v>0</v>
      </c>
      <c r="LO21" s="1" t="n">
        <f aca="false">IF(EC21=1,IF(ABS((1+AS_Wage)/(1+Slot12_Rate)-1)&lt;0.000000000001,(Slot12_Age-D21)*(1+Slot12_Rate)^(Slot12_Age-D21),(1+Slot12_Rate)^(Slot12_Age-D21)*(1-((1+AS_Wage)/(1+Slot12_Rate))^(Slot12_Age-D21))/(1-(1+AS_Wage)/(1+Slot12_Rate))),1)</f>
        <v>1</v>
      </c>
      <c r="LP21" s="1" t="n">
        <f aca="false">IF(AND(HT21=1,ID21&gt;0,Slot12_IsWG=1,EC21=1),MAX(0,(Slot12_Cost-ED21*(1+Slot12_Rate)^(Slot12_Age-D21))/LO21),0)</f>
        <v>0</v>
      </c>
      <c r="LQ21" s="1" t="n">
        <f aca="false">IF(AND(HT21=1,ID21&gt;0,Slot12_IsWG=1,EC21=1),MIN(ID21,LP21),0)</f>
        <v>0</v>
      </c>
      <c r="LR21" s="1" t="n">
        <f aca="false">ED21+LQ21</f>
        <v>0</v>
      </c>
      <c r="LS21" s="1" t="n">
        <f aca="false">IF(EC21=1,MAX(0,(Slot12_Cost-LR21*(1+Slot12_Rate)^(Slot12_Age-D21))/LO21),0)</f>
        <v>0</v>
      </c>
      <c r="LT21" s="1" t="n">
        <f aca="false">IF(EC21=1,MAX(0,(Slot12_Cost-ED21*(1+Slot12_Rate)^(Slot12_Age-D21))/LO21),0)</f>
        <v>0</v>
      </c>
      <c r="LU21" s="1" t="n">
        <f aca="false">IF(AND(HT21=1,EC21=1),MIN(LN21,LS21),0)</f>
        <v>0</v>
      </c>
      <c r="LV21" s="1" t="n">
        <f aca="false">LN21-LU21</f>
        <v>0</v>
      </c>
      <c r="LW21" s="1" t="n">
        <f aca="false">IF(EM21=1,IF(ABS((1+AS_Wage)/(1+Slot13_Rate)-1)&lt;0.000000000001,(Slot13_Age-D21)*(1+Slot13_Rate)^(Slot13_Age-D21),(1+Slot13_Rate)^(Slot13_Age-D21)*(1-((1+AS_Wage)/(1+Slot13_Rate))^(Slot13_Age-D21))/(1-(1+AS_Wage)/(1+Slot13_Rate))),1)</f>
        <v>1</v>
      </c>
      <c r="LX21" s="1" t="n">
        <f aca="false">IF(AND(HT21=1,ID21&gt;0,Slot13_IsWG=1,EM21=1),MAX(0,(Slot13_Cost-EN21*(1+Slot13_Rate)^(Slot13_Age-D21))/LW21),0)</f>
        <v>0</v>
      </c>
      <c r="LY21" s="1" t="n">
        <f aca="false">IF(AND(HT21=1,ID21&gt;0,Slot13_IsWG=1,EM21=1),MIN(ID21,LX21),0)</f>
        <v>0</v>
      </c>
      <c r="LZ21" s="1" t="n">
        <f aca="false">EN21+LY21</f>
        <v>0</v>
      </c>
      <c r="MA21" s="1" t="n">
        <f aca="false">IF(EM21=1,MAX(0,(Slot13_Cost-LZ21*(1+Slot13_Rate)^(Slot13_Age-D21))/LW21),0)</f>
        <v>0</v>
      </c>
      <c r="MB21" s="1" t="n">
        <f aca="false">IF(EM21=1,MAX(0,(Slot13_Cost-EN21*(1+Slot13_Rate)^(Slot13_Age-D21))/LW21),0)</f>
        <v>0</v>
      </c>
      <c r="MC21" s="1" t="n">
        <f aca="false">IF(AND(HT21=1,EM21=1),MIN(LV21,MA21),0)</f>
        <v>0</v>
      </c>
      <c r="MD21" s="1" t="n">
        <f aca="false">LV21-MC21</f>
        <v>0</v>
      </c>
      <c r="ME21" s="1" t="n">
        <f aca="false">IF(EW21=1,IF(ABS((1+AS_Wage)/(1+Slot14_Rate)-1)&lt;0.000000000001,(Slot14_Age-D21)*(1+Slot14_Rate)^(Slot14_Age-D21),(1+Slot14_Rate)^(Slot14_Age-D21)*(1-((1+AS_Wage)/(1+Slot14_Rate))^(Slot14_Age-D21))/(1-(1+AS_Wage)/(1+Slot14_Rate))),1)</f>
        <v>1</v>
      </c>
      <c r="MF21" s="1" t="n">
        <f aca="false">IF(AND(HT21=1,ID21&gt;0,Slot14_IsWG=1,EW21=1),MAX(0,(Slot14_Cost-EX21*(1+Slot14_Rate)^(Slot14_Age-D21))/ME21),0)</f>
        <v>0</v>
      </c>
      <c r="MG21" s="1" t="n">
        <f aca="false">IF(AND(HT21=1,ID21&gt;0,Slot14_IsWG=1,EW21=1),MIN(ID21,MF21),0)</f>
        <v>0</v>
      </c>
      <c r="MH21" s="1" t="n">
        <f aca="false">EX21+MG21</f>
        <v>0</v>
      </c>
      <c r="MI21" s="1" t="n">
        <f aca="false">IF(EW21=1,MAX(0,(Slot14_Cost-MH21*(1+Slot14_Rate)^(Slot14_Age-D21))/ME21),0)</f>
        <v>0</v>
      </c>
      <c r="MJ21" s="1" t="n">
        <f aca="false">IF(EW21=1,MAX(0,(Slot14_Cost-EX21*(1+Slot14_Rate)^(Slot14_Age-D21))/ME21),0)</f>
        <v>0</v>
      </c>
      <c r="MK21" s="1" t="n">
        <f aca="false">IF(AND(HT21=1,EW21=1),MIN(MD21,MI21),0)</f>
        <v>0</v>
      </c>
      <c r="ML21" s="1" t="n">
        <f aca="false">MD21-MK21</f>
        <v>0</v>
      </c>
      <c r="MM21" s="1" t="n">
        <f aca="false">IF(FG21=1,IF(ABS((1+AS_Wage)/(1+Slot15_Rate)-1)&lt;0.000000000001,(Slot15_Age-D21)*(1+Slot15_Rate)^(Slot15_Age-D21),(1+Slot15_Rate)^(Slot15_Age-D21)*(1-((1+AS_Wage)/(1+Slot15_Rate))^(Slot15_Age-D21))/(1-(1+AS_Wage)/(1+Slot15_Rate))),1)</f>
        <v>1</v>
      </c>
      <c r="MN21" s="1" t="n">
        <f aca="false">IF(AND(HT21=1,ID21&gt;0,Slot15_IsWG=1,FG21=1),MAX(0,(Slot15_Cost-FH21*(1+Slot15_Rate)^(Slot15_Age-D21))/MM21),0)</f>
        <v>0</v>
      </c>
      <c r="MO21" s="1" t="n">
        <f aca="false">IF(AND(HT21=1,ID21&gt;0,Slot15_IsWG=1,FG21=1),MIN(ID21,MN21),0)</f>
        <v>0</v>
      </c>
      <c r="MP21" s="1" t="n">
        <f aca="false">FH21+MO21</f>
        <v>0</v>
      </c>
      <c r="MQ21" s="1" t="n">
        <f aca="false">IF(FG21=1,MAX(0,(Slot15_Cost-MP21*(1+Slot15_Rate)^(Slot15_Age-D21))/MM21),0)</f>
        <v>0</v>
      </c>
      <c r="MR21" s="1" t="n">
        <f aca="false">IF(FG21=1,MAX(0,(Slot15_Cost-FH21*(1+Slot15_Rate)^(Slot15_Age-D21))/MM21),0)</f>
        <v>0</v>
      </c>
      <c r="MS21" s="1" t="n">
        <f aca="false">IF(AND(HT21=1,FG21=1),MIN(ML21,MQ21),0)</f>
        <v>0</v>
      </c>
      <c r="MT21" s="1" t="n">
        <f aca="false">ML21-MS21</f>
        <v>0</v>
      </c>
      <c r="MU21" s="1" t="n">
        <f aca="false">IF(FQ21=1,IF(ABS((1+AS_Wage)/(1+Slot16_Rate)-1)&lt;0.000000000001,(Slot16_Age-D21)*(1+Slot16_Rate)^(Slot16_Age-D21),(1+Slot16_Rate)^(Slot16_Age-D21)*(1-((1+AS_Wage)/(1+Slot16_Rate))^(Slot16_Age-D21))/(1-(1+AS_Wage)/(1+Slot16_Rate))),1)</f>
        <v>1</v>
      </c>
      <c r="MV21" s="1" t="n">
        <f aca="false">IF(AND(HT21=1,ID21&gt;0,Slot16_IsWG=1,FQ21=1),MAX(0,(Slot16_Cost-FR21*(1+Slot16_Rate)^(Slot16_Age-D21))/MU21),0)</f>
        <v>0</v>
      </c>
      <c r="MW21" s="1" t="n">
        <f aca="false">IF(AND(HT21=1,ID21&gt;0,Slot16_IsWG=1,FQ21=1),MIN(ID21,MV21),0)</f>
        <v>0</v>
      </c>
      <c r="MX21" s="1" t="n">
        <f aca="false">FR21+MW21</f>
        <v>0</v>
      </c>
      <c r="MY21" s="1" t="n">
        <f aca="false">IF(FQ21=1,MAX(0,(Slot16_Cost-MX21*(1+Slot16_Rate)^(Slot16_Age-D21))/MU21),0)</f>
        <v>0</v>
      </c>
      <c r="MZ21" s="1" t="n">
        <f aca="false">IF(FQ21=1,MAX(0,(Slot16_Cost-FR21*(1+Slot16_Rate)^(Slot16_Age-D21))/MU21),0)</f>
        <v>0</v>
      </c>
      <c r="NA21" s="1" t="n">
        <f aca="false">IF(AND(HT21=1,FQ21=1),MIN(MT21,MY21),0)</f>
        <v>0</v>
      </c>
      <c r="NB21" s="1" t="n">
        <f aca="false">MT21-NA21</f>
        <v>0</v>
      </c>
      <c r="NC21" s="1" t="n">
        <f aca="false">IF(GA21=1,IF(ABS((1+AS_Wage)/(1+Slot17_Rate)-1)&lt;0.000000000001,(Slot17_Age-D21)*(1+Slot17_Rate)^(Slot17_Age-D21),(1+Slot17_Rate)^(Slot17_Age-D21)*(1-((1+AS_Wage)/(1+Slot17_Rate))^(Slot17_Age-D21))/(1-(1+AS_Wage)/(1+Slot17_Rate))),1)</f>
        <v>1</v>
      </c>
      <c r="ND21" s="1" t="n">
        <f aca="false">IF(AND(HT21=1,ID21&gt;0,Slot17_IsWG=1,GA21=1),MAX(0,(Slot17_Cost-GB21*(1+Slot17_Rate)^(Slot17_Age-D21))/NC21),0)</f>
        <v>0</v>
      </c>
      <c r="NE21" s="1" t="n">
        <f aca="false">IF(AND(HT21=1,ID21&gt;0,Slot17_IsWG=1,GA21=1),MIN(ID21,ND21),0)</f>
        <v>0</v>
      </c>
      <c r="NF21" s="1" t="n">
        <f aca="false">GB21+NE21</f>
        <v>0</v>
      </c>
      <c r="NG21" s="1" t="n">
        <f aca="false">IF(GA21=1,MAX(0,(Slot17_Cost-NF21*(1+Slot17_Rate)^(Slot17_Age-D21))/NC21),0)</f>
        <v>0</v>
      </c>
      <c r="NH21" s="1" t="n">
        <f aca="false">IF(GA21=1,MAX(0,(Slot17_Cost-GB21*(1+Slot17_Rate)^(Slot17_Age-D21))/NC21),0)</f>
        <v>0</v>
      </c>
      <c r="NI21" s="1" t="n">
        <f aca="false">IF(AND(HT21=1,GA21=1),MIN(NB21,NG21),0)</f>
        <v>0</v>
      </c>
      <c r="NJ21" s="1" t="n">
        <f aca="false">NB21-NI21</f>
        <v>0</v>
      </c>
      <c r="NK21" s="1" t="n">
        <f aca="false">IF(GK21=1,IF(ABS((1+AS_Wage)/(1+Slot18_Rate)-1)&lt;0.000000000001,(Slot18_Age-D21)*(1+Slot18_Rate)^(Slot18_Age-D21),(1+Slot18_Rate)^(Slot18_Age-D21)*(1-((1+AS_Wage)/(1+Slot18_Rate))^(Slot18_Age-D21))/(1-(1+AS_Wage)/(1+Slot18_Rate))),1)</f>
        <v>1</v>
      </c>
      <c r="NL21" s="1" t="n">
        <f aca="false">IF(AND(HT21=1,ID21&gt;0,Slot18_IsWG=1,GK21=1),MAX(0,(Slot18_Cost-GL21*(1+Slot18_Rate)^(Slot18_Age-D21))/NK21),0)</f>
        <v>0</v>
      </c>
      <c r="NM21" s="1" t="n">
        <f aca="false">IF(AND(HT21=1,ID21&gt;0,Slot18_IsWG=1,GK21=1),MIN(ID21,NL21),0)</f>
        <v>0</v>
      </c>
      <c r="NN21" s="1" t="n">
        <f aca="false">GL21+NM21</f>
        <v>0</v>
      </c>
      <c r="NO21" s="1" t="n">
        <f aca="false">IF(GK21=1,MAX(0,(Slot18_Cost-NN21*(1+Slot18_Rate)^(Slot18_Age-D21))/NK21),0)</f>
        <v>0</v>
      </c>
      <c r="NP21" s="1" t="n">
        <f aca="false">IF(GK21=1,MAX(0,(Slot18_Cost-GL21*(1+Slot18_Rate)^(Slot18_Age-D21))/NK21),0)</f>
        <v>0</v>
      </c>
      <c r="NQ21" s="1" t="n">
        <f aca="false">IF(AND(HT21=1,GK21=1),MIN(NJ21,NO21),0)</f>
        <v>0</v>
      </c>
      <c r="NR21" s="1" t="n">
        <f aca="false">NJ21-NQ21</f>
        <v>0</v>
      </c>
      <c r="NS21" s="1" t="n">
        <f aca="false">IF(GU21=1,IF(ABS((1+AS_Wage)/(1+Slot19_Rate)-1)&lt;0.000000000001,(Slot19_Age-D21)*(1+Slot19_Rate)^(Slot19_Age-D21),(1+Slot19_Rate)^(Slot19_Age-D21)*(1-((1+AS_Wage)/(1+Slot19_Rate))^(Slot19_Age-D21))/(1-(1+AS_Wage)/(1+Slot19_Rate))),1)</f>
        <v>1</v>
      </c>
      <c r="NT21" s="1" t="n">
        <f aca="false">IF(AND(HT21=1,ID21&gt;0,Slot19_IsWG=1,GU21=1),MAX(0,(Slot19_Cost-GV21*(1+Slot19_Rate)^(Slot19_Age-D21))/NS21),0)</f>
        <v>0</v>
      </c>
      <c r="NU21" s="1" t="n">
        <f aca="false">IF(AND(HT21=1,ID21&gt;0,Slot19_IsWG=1,GU21=1),MIN(ID21,NT21),0)</f>
        <v>0</v>
      </c>
      <c r="NV21" s="1" t="n">
        <f aca="false">GV21+NU21</f>
        <v>0</v>
      </c>
      <c r="NW21" s="1" t="n">
        <f aca="false">IF(GU21=1,MAX(0,(Slot19_Cost-NV21*(1+Slot19_Rate)^(Slot19_Age-D21))/NS21),0)</f>
        <v>0</v>
      </c>
      <c r="NX21" s="1" t="n">
        <f aca="false">IF(GU21=1,MAX(0,(Slot19_Cost-GV21*(1+Slot19_Rate)^(Slot19_Age-D21))/NS21),0)</f>
        <v>0</v>
      </c>
      <c r="NY21" s="1" t="n">
        <f aca="false">IF(AND(HT21=1,GU21=1),MIN(NR21,NW21),0)</f>
        <v>0</v>
      </c>
      <c r="NZ21" s="1" t="n">
        <f aca="false">NR21-NY21</f>
        <v>0</v>
      </c>
      <c r="OA21" s="1" t="n">
        <f aca="false">IF(HE21=1,IF(ABS((1+AS_Wage)/(1+Slot20_Rate)-1)&lt;0.000000000001,(Slot20_Age-D21)*(1+Slot20_Rate)^(Slot20_Age-D21),(1+Slot20_Rate)^(Slot20_Age-D21)*(1-((1+AS_Wage)/(1+Slot20_Rate))^(Slot20_Age-D21))/(1-(1+AS_Wage)/(1+Slot20_Rate))),1)</f>
        <v>1</v>
      </c>
      <c r="OB21" s="1" t="n">
        <f aca="false">IF(AND(HT21=1,ID21&gt;0,Slot20_IsWG=1,HE21=1),MAX(0,(Slot20_Cost-HF21*(1+Slot20_Rate)^(Slot20_Age-D21))/OA21),0)</f>
        <v>0</v>
      </c>
      <c r="OC21" s="1" t="n">
        <f aca="false">IF(AND(HT21=1,ID21&gt;0,Slot20_IsWG=1,HE21=1),MIN(ID21,OB21),0)</f>
        <v>0</v>
      </c>
      <c r="OD21" s="1" t="n">
        <f aca="false">HF21+OC21</f>
        <v>0</v>
      </c>
      <c r="OE21" s="1" t="n">
        <f aca="false">IF(HE21=1,MAX(0,(Slot20_Cost-OD21*(1+Slot20_Rate)^(Slot20_Age-D21))/OA21),0)</f>
        <v>0</v>
      </c>
      <c r="OF21" s="1" t="n">
        <f aca="false">IF(HE21=1,MAX(0,(Slot20_Cost-HF21*(1+Slot20_Rate)^(Slot20_Age-D21))/OA21),0)</f>
        <v>0</v>
      </c>
      <c r="OG21" s="1" t="n">
        <f aca="false">IF(AND(HT21=1,HE21=1),MIN(NZ21,OE21),0)</f>
        <v>0</v>
      </c>
      <c r="OH21" s="1" t="n">
        <f aca="false">NZ21-OG21</f>
        <v>0</v>
      </c>
      <c r="OI21" s="1" t="n">
        <f aca="false">ID21-(IG21+IO21+IW21+JE21+JM21+JU21+KC21+KK21+KS21+LA21+LI21+LQ21+LY21+MG21+MO21+MW21+NE21+NM21+NU21+OC21)</f>
        <v>0</v>
      </c>
      <c r="OJ21" s="1" t="n">
        <f aca="false">IF(HT21=1,HR21-IC21-ID21,0)</f>
        <v>0</v>
      </c>
      <c r="OK21" s="1" t="n">
        <f aca="false">IF(HT21=0,-HR21,0)</f>
        <v>0</v>
      </c>
      <c r="OL21" s="1" t="n">
        <f aca="false">MIN(OK21,HJ21)</f>
        <v>0</v>
      </c>
      <c r="OM21" s="1" t="n">
        <f aca="false">OK21-OL21</f>
        <v>0</v>
      </c>
      <c r="ON21" s="1" t="n">
        <f aca="false">MIN(OM21,HK21)</f>
        <v>0</v>
      </c>
      <c r="OO21" s="1" t="n">
        <f aca="false">OM21-ON21</f>
        <v>0</v>
      </c>
      <c r="OP21" s="1" t="n">
        <f aca="false">IF(AND(HT21=0,HE21=1,OO21&gt;0),MIN(OO21,HF21),0)</f>
        <v>0</v>
      </c>
      <c r="OQ21" s="1" t="n">
        <f aca="false">OO21-OP21</f>
        <v>0</v>
      </c>
      <c r="OR21" s="1" t="n">
        <f aca="false">IF(AND(HT21=0,GU21=1,OQ21&gt;0),MIN(OQ21,GV21),0)</f>
        <v>0</v>
      </c>
      <c r="OS21" s="1" t="n">
        <f aca="false">OQ21-OR21</f>
        <v>0</v>
      </c>
      <c r="OT21" s="1" t="n">
        <f aca="false">IF(AND(HT21=0,GK21=1,OS21&gt;0),MIN(OS21,GL21),0)</f>
        <v>0</v>
      </c>
      <c r="OU21" s="1" t="n">
        <f aca="false">OS21-OT21</f>
        <v>0</v>
      </c>
      <c r="OV21" s="1" t="n">
        <f aca="false">IF(AND(HT21=0,GA21=1,OU21&gt;0),MIN(OU21,GB21),0)</f>
        <v>0</v>
      </c>
      <c r="OW21" s="1" t="n">
        <f aca="false">OU21-OV21</f>
        <v>0</v>
      </c>
      <c r="OX21" s="1" t="n">
        <f aca="false">IF(AND(HT21=0,FQ21=1,OW21&gt;0),MIN(OW21,FR21),0)</f>
        <v>0</v>
      </c>
      <c r="OY21" s="1" t="n">
        <f aca="false">OW21-OX21</f>
        <v>0</v>
      </c>
      <c r="OZ21" s="1" t="n">
        <f aca="false">IF(AND(HT21=0,FG21=1,OY21&gt;0),MIN(OY21,FH21),0)</f>
        <v>0</v>
      </c>
      <c r="PA21" s="1" t="n">
        <f aca="false">OY21-OZ21</f>
        <v>0</v>
      </c>
      <c r="PB21" s="1" t="n">
        <f aca="false">IF(AND(HT21=0,EW21=1,PA21&gt;0),MIN(PA21,EX21),0)</f>
        <v>0</v>
      </c>
      <c r="PC21" s="1" t="n">
        <f aca="false">PA21-PB21</f>
        <v>0</v>
      </c>
      <c r="PD21" s="1" t="n">
        <f aca="false">IF(AND(HT21=0,EM21=1,PC21&gt;0),MIN(PC21,EN21),0)</f>
        <v>0</v>
      </c>
      <c r="PE21" s="1" t="n">
        <f aca="false">PC21-PD21</f>
        <v>0</v>
      </c>
      <c r="PF21" s="1" t="n">
        <f aca="false">IF(AND(HT21=0,EC21=1,PE21&gt;0),MIN(PE21,ED21),0)</f>
        <v>0</v>
      </c>
      <c r="PG21" s="1" t="n">
        <f aca="false">PE21-PF21</f>
        <v>0</v>
      </c>
      <c r="PH21" s="1" t="n">
        <f aca="false">IF(AND(HT21=0,DS21=1,PG21&gt;0),MIN(PG21,DT21),0)</f>
        <v>0</v>
      </c>
      <c r="PI21" s="1" t="n">
        <f aca="false">PG21-PH21</f>
        <v>0</v>
      </c>
      <c r="PJ21" s="1" t="n">
        <f aca="false">IF(AND(HT21=0,DI21=1,PI21&gt;0),MIN(PI21,DJ21),0)</f>
        <v>0</v>
      </c>
      <c r="PK21" s="1" t="n">
        <f aca="false">PI21-PJ21</f>
        <v>0</v>
      </c>
      <c r="PL21" s="1" t="n">
        <f aca="false">IF(AND(HT21=0,CY21=1,PK21&gt;0),MIN(PK21,CZ21),0)</f>
        <v>0</v>
      </c>
      <c r="PM21" s="1" t="n">
        <f aca="false">PK21-PL21</f>
        <v>0</v>
      </c>
      <c r="PN21" s="1" t="n">
        <f aca="false">IF(AND(HT21=0,CO21=1,PM21&gt;0),MIN(PM21,CP21),0)</f>
        <v>0</v>
      </c>
      <c r="PO21" s="1" t="n">
        <f aca="false">PM21-PN21</f>
        <v>0</v>
      </c>
      <c r="PP21" s="1" t="n">
        <f aca="false">IF(AND(HT21=0,CE21=1,PO21&gt;0),MIN(PO21,CF21),0)</f>
        <v>0</v>
      </c>
      <c r="PQ21" s="1" t="n">
        <f aca="false">PO21-PP21</f>
        <v>0</v>
      </c>
      <c r="PR21" s="1" t="n">
        <f aca="false">IF(AND(HT21=0,BU21=1,PQ21&gt;0),MIN(PQ21,BV21),0)</f>
        <v>0</v>
      </c>
      <c r="PS21" s="1" t="n">
        <f aca="false">PQ21-PR21</f>
        <v>0</v>
      </c>
      <c r="PT21" s="1" t="n">
        <f aca="false">IF(AND(HT21=0,BK21=1,PS21&gt;0),MIN(PS21,BL21),0)</f>
        <v>0</v>
      </c>
      <c r="PU21" s="1" t="n">
        <f aca="false">PS21-PT21</f>
        <v>0</v>
      </c>
      <c r="PV21" s="1" t="n">
        <f aca="false">IF(AND(HT21=0,BA21=1,PU21&gt;0),MIN(PU21,BB21),0)</f>
        <v>0</v>
      </c>
      <c r="PW21" s="1" t="n">
        <f aca="false">PU21-PV21</f>
        <v>0</v>
      </c>
      <c r="PX21" s="1" t="n">
        <f aca="false">IF(AND(HT21=0,AQ21=1,PW21&gt;0),MIN(PW21,AR21),0)</f>
        <v>0</v>
      </c>
      <c r="PY21" s="1" t="n">
        <f aca="false">PW21-PX21</f>
        <v>0</v>
      </c>
      <c r="PZ21" s="1" t="n">
        <f aca="false">IF(AND(HT21=0,AG21=1,PY21&gt;0),MIN(PY21,AH21),0)</f>
        <v>0</v>
      </c>
      <c r="QA21" s="1" t="n">
        <f aca="false">PY21-PZ21</f>
        <v>0</v>
      </c>
      <c r="QB21" s="1" t="n">
        <f aca="false">IF(AND(HT21=0,V21=1,QA21&gt;0),MIN(QA21,W21),0)</f>
        <v>0</v>
      </c>
      <c r="QC21" s="1" t="n">
        <f aca="false">QA21-QB21</f>
        <v>0</v>
      </c>
      <c r="QD21" s="1" t="n">
        <f aca="false">IF(HT21=0,QC21,0)</f>
        <v>0</v>
      </c>
      <c r="QE21" s="1" t="n">
        <f aca="false">OL21+ON21+QB21+PZ21+PX21+PV21+PT21+PR21+PP21+PN21+PL21+PJ21+PH21+PF21+PD21+PB21+OZ21+OX21+OV21+OT21+OR21+OP21</f>
        <v>0</v>
      </c>
      <c r="QF21" s="1" t="n">
        <f aca="false">IF(HT21=1,HJ21+OI21+OH21+IF(F21=1,0,OJ21),HJ21-OL21)</f>
        <v>0</v>
      </c>
      <c r="QG21" s="1" t="n">
        <f aca="false">HK21-ON21</f>
        <v>0</v>
      </c>
      <c r="QH21" s="1" t="n">
        <f aca="false">IF(HT21=1,IF(F21=1,IC21+ID21,HR21),0)</f>
        <v>0</v>
      </c>
      <c r="QI21" s="1" t="n">
        <f aca="false">IF(HT21=1,IF(F21=1,HR21-IC21-ID21,0),0)</f>
        <v>0</v>
      </c>
      <c r="QJ21" s="1" t="n">
        <f aca="false">QF21*(1+GR)</f>
        <v>0</v>
      </c>
      <c r="QK21" s="1" t="n">
        <f aca="false">QG21*(1+AS_Cash)</f>
        <v>0</v>
      </c>
      <c r="QL21" s="1" t="n">
        <f aca="false">IF(V21=1,IF(HT21=1,IH21+IK21,W21-QB21)*(1+Slot1_Rate),0)</f>
        <v>0</v>
      </c>
      <c r="QM21" s="1" t="n">
        <f aca="false">IF(AND(HT21=1,V21=1),(IG21+IK21)/E21,0)</f>
        <v>0</v>
      </c>
      <c r="QN21" s="1" t="n">
        <f aca="false">IF(B21=0,IG21+IK21,0)</f>
        <v>0</v>
      </c>
      <c r="QO21" s="1" t="n">
        <f aca="false">IF(B21=0,IF(HT21=1,II21,IJ21),0)</f>
        <v>0</v>
      </c>
      <c r="QP21" s="1" t="n">
        <f aca="false">IF(AG21=1,IF(HT21=1,IP21+IS21,AH21-PZ21)*(1+Slot2_Rate),0)</f>
        <v>0</v>
      </c>
      <c r="QQ21" s="1" t="n">
        <f aca="false">IF(AND(HT21=1,AG21=1),(IO21+IS21)/E21,0)</f>
        <v>0</v>
      </c>
      <c r="QR21" s="1" t="n">
        <f aca="false">IF(B21=0,IO21+IS21,0)</f>
        <v>0</v>
      </c>
      <c r="QS21" s="1" t="n">
        <f aca="false">IF(B21=0,IF(HT21=1,IQ21,IR21),0)</f>
        <v>0</v>
      </c>
      <c r="QT21" s="1" t="n">
        <f aca="false">IF(AQ21=1,IF(HT21=1,IX21+JA21,AR21-PX21)*(1+Slot3_Rate),0)</f>
        <v>0</v>
      </c>
      <c r="QU21" s="1" t="n">
        <f aca="false">IF(AND(HT21=1,AQ21=1),(IW21+JA21)/E21,0)</f>
        <v>0</v>
      </c>
      <c r="QV21" s="1" t="n">
        <f aca="false">IF(B21=0,IW21+JA21,0)</f>
        <v>0</v>
      </c>
      <c r="QW21" s="1" t="n">
        <f aca="false">IF(B21=0,IF(HT21=1,IY21,IZ21),0)</f>
        <v>0</v>
      </c>
      <c r="QX21" s="1" t="n">
        <f aca="false">IF(BA21=1,IF(HT21=1,JF21+JI21,BB21-PV21)*(1+Slot4_Rate),0)</f>
        <v>0</v>
      </c>
      <c r="QY21" s="1" t="n">
        <f aca="false">IF(AND(HT21=1,BA21=1),(JE21+JI21)/E21,0)</f>
        <v>0</v>
      </c>
      <c r="QZ21" s="1" t="n">
        <f aca="false">IF(B21=0,JE21+JI21,0)</f>
        <v>0</v>
      </c>
      <c r="RA21" s="1" t="n">
        <f aca="false">IF(B21=0,IF(HT21=1,JG21,JH21),0)</f>
        <v>0</v>
      </c>
      <c r="RB21" s="1" t="n">
        <f aca="false">IF(BK21=1,IF(HT21=1,JN21+JQ21,BL21-PT21)*(1+Slot5_Rate),0)</f>
        <v>0</v>
      </c>
      <c r="RC21" s="1" t="n">
        <f aca="false">IF(AND(HT21=1,BK21=1),(JM21+JQ21)/E21,0)</f>
        <v>0</v>
      </c>
      <c r="RD21" s="1" t="n">
        <f aca="false">IF(B21=0,JM21+JQ21,0)</f>
        <v>0</v>
      </c>
      <c r="RE21" s="1" t="n">
        <f aca="false">IF(B21=0,IF(HT21=1,JO21,JP21),0)</f>
        <v>0</v>
      </c>
      <c r="RF21" s="1" t="n">
        <f aca="false">IF(BU21=1,IF(HT21=1,JV21+JY21,BV21-PR21)*(1+Slot6_Rate),0)</f>
        <v>0</v>
      </c>
      <c r="RG21" s="1" t="n">
        <f aca="false">IF(AND(HT21=1,BU21=1),(JU21+JY21)/E21,0)</f>
        <v>0</v>
      </c>
      <c r="RH21" s="1" t="n">
        <f aca="false">IF(B21=0,JU21+JY21,0)</f>
        <v>0</v>
      </c>
      <c r="RI21" s="1" t="n">
        <f aca="false">IF(B21=0,IF(HT21=1,JW21,JX21),0)</f>
        <v>0</v>
      </c>
      <c r="RJ21" s="1" t="n">
        <f aca="false">IF(CE21=1,IF(HT21=1,KD21+KG21,CF21-PP21)*(1+Slot7_Rate),0)</f>
        <v>0</v>
      </c>
      <c r="RK21" s="1" t="n">
        <f aca="false">IF(AND(HT21=1,CE21=1),(KC21+KG21)/E21,0)</f>
        <v>0</v>
      </c>
      <c r="RL21" s="1" t="n">
        <f aca="false">IF(B21=0,KC21+KG21,0)</f>
        <v>0</v>
      </c>
      <c r="RM21" s="1" t="n">
        <f aca="false">IF(B21=0,IF(HT21=1,KE21,KF21),0)</f>
        <v>0</v>
      </c>
      <c r="RN21" s="1" t="n">
        <f aca="false">IF(CO21=1,IF(HT21=1,KL21+KO21,CP21-PN21)*(1+Slot8_Rate),0)</f>
        <v>0</v>
      </c>
      <c r="RO21" s="1" t="n">
        <f aca="false">IF(AND(HT21=1,CO21=1),(KK21+KO21)/E21,0)</f>
        <v>0</v>
      </c>
      <c r="RP21" s="1" t="n">
        <f aca="false">IF(B21=0,KK21+KO21,0)</f>
        <v>0</v>
      </c>
      <c r="RQ21" s="1" t="n">
        <f aca="false">IF(B21=0,IF(HT21=1,KM21,KN21),0)</f>
        <v>0</v>
      </c>
      <c r="RR21" s="1" t="n">
        <f aca="false">IF(CY21=1,IF(HT21=1,KT21+KW21,CZ21-PL21)*(1+Slot9_Rate),0)</f>
        <v>0</v>
      </c>
      <c r="RS21" s="1" t="n">
        <f aca="false">IF(AND(HT21=1,CY21=1),(KS21+KW21)/E21,0)</f>
        <v>0</v>
      </c>
      <c r="RT21" s="1" t="n">
        <f aca="false">IF(B21=0,KS21+KW21,0)</f>
        <v>0</v>
      </c>
      <c r="RU21" s="1" t="n">
        <f aca="false">IF(B21=0,IF(HT21=1,KU21,KV21),0)</f>
        <v>0</v>
      </c>
      <c r="RV21" s="1" t="n">
        <f aca="false">IF(DI21=1,IF(HT21=1,LB21+LE21,DJ21-PJ21)*(1+Slot10_Rate),0)</f>
        <v>0</v>
      </c>
      <c r="RW21" s="1" t="n">
        <f aca="false">IF(AND(HT21=1,DI21=1),(LA21+LE21)/E21,0)</f>
        <v>0</v>
      </c>
      <c r="RX21" s="1" t="n">
        <f aca="false">IF(B21=0,LA21+LE21,0)</f>
        <v>0</v>
      </c>
      <c r="RY21" s="1" t="n">
        <f aca="false">IF(B21=0,IF(HT21=1,LC21,LD21),0)</f>
        <v>0</v>
      </c>
      <c r="RZ21" s="1" t="n">
        <f aca="false">IF(DS21=1,IF(HT21=1,LJ21+LM21,DT21-PH21)*(1+Slot11_Rate),0)</f>
        <v>0</v>
      </c>
      <c r="SA21" s="1" t="n">
        <f aca="false">IF(AND(HT21=1,DS21=1),(LI21+LM21)/E21,0)</f>
        <v>0</v>
      </c>
      <c r="SB21" s="1" t="n">
        <f aca="false">IF(B21=0,LI21+LM21,0)</f>
        <v>0</v>
      </c>
      <c r="SC21" s="1" t="n">
        <f aca="false">IF(B21=0,IF(HT21=1,LK21,LL21),0)</f>
        <v>0</v>
      </c>
      <c r="SD21" s="1" t="n">
        <f aca="false">IF(EC21=1,IF(HT21=1,LR21+LU21,ED21-PF21)*(1+Slot12_Rate),0)</f>
        <v>0</v>
      </c>
      <c r="SE21" s="1" t="n">
        <f aca="false">IF(AND(HT21=1,EC21=1),(LQ21+LU21)/E21,0)</f>
        <v>0</v>
      </c>
      <c r="SF21" s="1" t="n">
        <f aca="false">IF(B21=0,LQ21+LU21,0)</f>
        <v>0</v>
      </c>
      <c r="SG21" s="1" t="n">
        <f aca="false">IF(B21=0,IF(HT21=1,LS21,LT21),0)</f>
        <v>0</v>
      </c>
      <c r="SH21" s="1" t="n">
        <f aca="false">IF(EM21=1,IF(HT21=1,LZ21+MC21,EN21-PD21)*(1+Slot13_Rate),0)</f>
        <v>0</v>
      </c>
      <c r="SI21" s="1" t="n">
        <f aca="false">IF(AND(HT21=1,EM21=1),(LY21+MC21)/E21,0)</f>
        <v>0</v>
      </c>
      <c r="SJ21" s="1" t="n">
        <f aca="false">IF(B21=0,LY21+MC21,0)</f>
        <v>0</v>
      </c>
      <c r="SK21" s="1" t="n">
        <f aca="false">IF(B21=0,IF(HT21=1,MA21,MB21),0)</f>
        <v>0</v>
      </c>
      <c r="SL21" s="1" t="n">
        <f aca="false">IF(EW21=1,IF(HT21=1,MH21+MK21,EX21-PB21)*(1+Slot14_Rate),0)</f>
        <v>0</v>
      </c>
      <c r="SM21" s="1" t="n">
        <f aca="false">IF(AND(HT21=1,EW21=1),(MG21+MK21)/E21,0)</f>
        <v>0</v>
      </c>
      <c r="SN21" s="1" t="n">
        <f aca="false">IF(B21=0,MG21+MK21,0)</f>
        <v>0</v>
      </c>
      <c r="SO21" s="1" t="n">
        <f aca="false">IF(B21=0,IF(HT21=1,MI21,MJ21),0)</f>
        <v>0</v>
      </c>
      <c r="SP21" s="1" t="n">
        <f aca="false">IF(FG21=1,IF(HT21=1,MP21+MS21,FH21-OZ21)*(1+Slot15_Rate),0)</f>
        <v>0</v>
      </c>
      <c r="SQ21" s="1" t="n">
        <f aca="false">IF(AND(HT21=1,FG21=1),(MO21+MS21)/E21,0)</f>
        <v>0</v>
      </c>
      <c r="SR21" s="1" t="n">
        <f aca="false">IF(B21=0,MO21+MS21,0)</f>
        <v>0</v>
      </c>
      <c r="SS21" s="1" t="n">
        <f aca="false">IF(B21=0,IF(HT21=1,MQ21,MR21),0)</f>
        <v>0</v>
      </c>
      <c r="ST21" s="1" t="n">
        <f aca="false">IF(FQ21=1,IF(HT21=1,MX21+NA21,FR21-OX21)*(1+Slot16_Rate),0)</f>
        <v>0</v>
      </c>
      <c r="SU21" s="1" t="n">
        <f aca="false">IF(AND(HT21=1,FQ21=1),(MW21+NA21)/E21,0)</f>
        <v>0</v>
      </c>
      <c r="SV21" s="1" t="n">
        <f aca="false">IF(B21=0,MW21+NA21,0)</f>
        <v>0</v>
      </c>
      <c r="SW21" s="1" t="n">
        <f aca="false">IF(B21=0,IF(HT21=1,MY21,MZ21),0)</f>
        <v>0</v>
      </c>
      <c r="SX21" s="1" t="n">
        <f aca="false">IF(GA21=1,IF(HT21=1,NF21+NI21,GB21-OV21)*(1+Slot17_Rate),0)</f>
        <v>0</v>
      </c>
      <c r="SY21" s="1" t="n">
        <f aca="false">IF(AND(HT21=1,GA21=1),(NE21+NI21)/E21,0)</f>
        <v>0</v>
      </c>
      <c r="SZ21" s="1" t="n">
        <f aca="false">IF(B21=0,NE21+NI21,0)</f>
        <v>0</v>
      </c>
      <c r="TA21" s="1" t="n">
        <f aca="false">IF(B21=0,IF(HT21=1,NG21,NH21),0)</f>
        <v>0</v>
      </c>
      <c r="TB21" s="1" t="n">
        <f aca="false">IF(GK21=1,IF(HT21=1,NN21+NQ21,GL21-OT21)*(1+Slot18_Rate),0)</f>
        <v>0</v>
      </c>
      <c r="TC21" s="1" t="n">
        <f aca="false">IF(AND(HT21=1,GK21=1),(NM21+NQ21)/E21,0)</f>
        <v>0</v>
      </c>
      <c r="TD21" s="1" t="n">
        <f aca="false">IF(B21=0,NM21+NQ21,0)</f>
        <v>0</v>
      </c>
      <c r="TE21" s="1" t="n">
        <f aca="false">IF(B21=0,IF(HT21=1,NO21,NP21),0)</f>
        <v>0</v>
      </c>
      <c r="TF21" s="1" t="n">
        <f aca="false">IF(GU21=1,IF(HT21=1,NV21+NY21,GV21-OR21)*(1+Slot19_Rate),0)</f>
        <v>0</v>
      </c>
      <c r="TG21" s="1" t="n">
        <f aca="false">IF(AND(HT21=1,GU21=1),(NU21+NY21)/E21,0)</f>
        <v>0</v>
      </c>
      <c r="TH21" s="1" t="n">
        <f aca="false">IF(B21=0,NU21+NY21,0)</f>
        <v>0</v>
      </c>
      <c r="TI21" s="1" t="n">
        <f aca="false">IF(B21=0,IF(HT21=1,NW21,NX21),0)</f>
        <v>0</v>
      </c>
      <c r="TJ21" s="1" t="n">
        <f aca="false">IF(HE21=1,IF(HT21=1,OD21+OG21,HF21-OP21)*(1+Slot20_Rate),0)</f>
        <v>0</v>
      </c>
      <c r="TK21" s="1" t="n">
        <f aca="false">IF(AND(HT21=1,HE21=1),(OC21+OG21)/E21,0)</f>
        <v>0</v>
      </c>
      <c r="TL21" s="1" t="n">
        <f aca="false">IF(B21=0,OC21+OG21,0)</f>
        <v>0</v>
      </c>
      <c r="TM21" s="1" t="n">
        <f aca="false">IF(B21=0,IF(HT21=1,OE21,OF21),0)</f>
        <v>0</v>
      </c>
      <c r="TN21" s="1" t="n">
        <f aca="false">QJ21+QK21+QL21+QP21+QT21+QX21+RB21+RF21+RJ21+RN21+RR21+RV21+RZ21+SD21+SH21+SL21+SP21+ST21+SX21+TB21+TF21+TJ21</f>
        <v>0</v>
      </c>
      <c r="TO21" s="1" t="n">
        <f aca="false">QD21+HO21</f>
        <v>0</v>
      </c>
      <c r="TP21" s="1" t="n">
        <f aca="false">H21+R21</f>
        <v>0</v>
      </c>
      <c r="TQ21" s="1" t="n">
        <f aca="false">1-F21</f>
        <v>0</v>
      </c>
      <c r="TR21" s="1" t="n">
        <f aca="false">IF(AND(RG_Exists=1,F21=0,C21=1),H21,0)</f>
        <v>0</v>
      </c>
      <c r="TS21" s="1" t="n">
        <f aca="false">IF(AND(RG_Exists=1,F21=0,C21=1),H21-MIN(QD21,H21),0)</f>
        <v>0</v>
      </c>
      <c r="TT21" s="1" t="n">
        <f aca="false">'Plan pay &amp; tax'!AD247</f>
        <v>0</v>
      </c>
      <c r="TU21" s="1" t="n">
        <f aca="false">IF(AND(C21=1,QD21&gt;MAX(PR_Short1,TP21*PR_Short2)),1,0)</f>
        <v>0</v>
      </c>
      <c r="TV21" s="1" t="n">
        <f aca="false">MIN(G21,H21+R21)</f>
        <v>0</v>
      </c>
      <c r="TW21" s="1" t="n">
        <f aca="false">QE21+MAX(0,HP21-HO21)</f>
        <v>0</v>
      </c>
      <c r="TX21" s="1" t="n">
        <f aca="false">QD21+HO21</f>
        <v>0</v>
      </c>
      <c r="TY21" s="1" t="n">
        <f aca="false">IF(AND(C21=1,TX21&gt;PR_MinShort),1,0)</f>
        <v>0</v>
      </c>
      <c r="TZ21" s="1" t="n">
        <f aca="false">IF(AND(C21=1,TY21=0,TW21&gt;PR_MinShort),1,0)</f>
        <v>0</v>
      </c>
      <c r="UA21" s="1" t="n">
        <f aca="false">IF(AND(C21=1,QD21&gt;PR_MinShort),1,0)</f>
        <v>0</v>
      </c>
      <c r="UB21" s="1" t="n">
        <f aca="false">IF(AND(C21=1,QE21&gt;1,UI21=0),1,0)</f>
        <v>0</v>
      </c>
      <c r="UC21" s="1" t="str">
        <f aca="false">IF(C21=0,"",IF(UI21=1,"Gap to plan for: short "&amp;"€"&amp;TEXT(ROUND(TO21,0),"#,##0"),IF(QE21&gt;1,"Using savings","Comfortable")))</f>
        <v>Comfortable</v>
      </c>
      <c r="UD21" s="1" t="n">
        <f aca="false">IF(AND(INT(D21/10)*10=90,B21&gt;0),80,INT(D21/10)*10)</f>
        <v>10</v>
      </c>
      <c r="UE21" s="1" t="n">
        <f aca="false">IF(B21=0,1,IF(UD21&lt;&gt;UD20,UE20+1,UE20))</f>
        <v>2</v>
      </c>
      <c r="UF21" s="1" t="n">
        <f aca="false">IF(AND(C21=1,F21=1,QD21&gt;MAX(PR_Short1,TP21*PR_Short2)),1,0)</f>
        <v>0</v>
      </c>
      <c r="UG21" s="1" t="n">
        <f aca="false">TQ21*TU21</f>
        <v>0</v>
      </c>
      <c r="UH21" s="1" t="n">
        <f aca="false">IF(AND(U21=1,Slot1_PctLow=1),1,0)+IF(AND(AF21=1,Slot2_PctLow=1),1,0)+IF(AND(AP21=1,Slot3_PctLow=1),1,0)+IF(AND(AZ21=1,Slot4_PctLow=1),1,0)+IF(AND(BJ21=1,Slot5_PctLow=1),1,0)+IF(AND(BT21=1,Slot6_PctLow=1),1,0)+IF(AND(CD21=1,Slot7_PctLow=1),1,0)+IF(AND(CN21=1,Slot8_PctLow=1),1,0)+IF(AND(CX21=1,Slot9_PctLow=1),1,0)+IF(AND(DH21=1,Slot10_PctLow=1),1,0)+IF(AND(DR21=1,Slot11_PctLow=1),1,0)+IF(AND(EB21=1,Slot12_PctLow=1),1,0)+IF(AND(EL21=1,Slot13_PctLow=1),1,0)+IF(AND(EV21=1,Slot14_PctLow=1),1,0)+IF(AND(FF21=1,Slot15_PctLow=1),1,0)+IF(AND(FP21=1,Slot16_PctLow=1),1,0)+IF(AND(FZ21=1,Slot17_PctLow=1),1,0)+IF(AND(GJ21=1,Slot18_PctLow=1),1,0)+IF(AND(GT21=1,Slot19_PctLow=1),1,0)+IF(AND(HD21=1,Slot20_PctLow=1),1,0)</f>
        <v>0</v>
      </c>
      <c r="UI21" s="1" t="n">
        <f aca="false">IF(C21=1,IF(OR(TU21=1,UH21&gt;0),1,0),0)</f>
        <v>0</v>
      </c>
    </row>
    <row r="22" customFormat="false" ht="15" hidden="false" customHeight="true" outlineLevel="0" collapsed="false">
      <c r="B22" s="1" t="n">
        <v>14</v>
      </c>
      <c r="C22" s="1" t="n">
        <f aca="false">IF(B22&lt;=F_N,1,0)</f>
        <v>1</v>
      </c>
      <c r="D22" s="1" t="n">
        <f aca="false">'Plan pay &amp; tax'!C248</f>
        <v>14</v>
      </c>
      <c r="E22" s="111" t="n">
        <f aca="false">'Plan pay &amp; tax'!E248</f>
        <v>1.31947876306287</v>
      </c>
      <c r="F22" s="1" t="n">
        <f aca="false">'Plan pay &amp; tax'!G248</f>
        <v>1</v>
      </c>
      <c r="G22" s="1" t="n">
        <f aca="false">'Plan pay &amp; tax'!BT248-'Plan pay &amp; tax'!BS248-'Plan pay &amp; tax'!R248</f>
        <v>0</v>
      </c>
      <c r="H22" s="1" t="n">
        <f aca="false">IF(F22=1,F_CostsM*12,IF(RG_Exists=1,RG_Amount,F_CostsM*12*AS_RetireSpend))*E22+F_OneOffY*E22</f>
        <v>0</v>
      </c>
      <c r="I22" s="1" t="n">
        <f aca="false">HQ21</f>
        <v>0</v>
      </c>
      <c r="J22" s="1" t="n">
        <f aca="false">IF(I22&gt;1,'Plan debt months'!AC22,0)</f>
        <v>0</v>
      </c>
      <c r="K22" s="1" t="n">
        <f aca="false">IF(I22&gt;1,'Plan debt months'!AB22,I22)</f>
        <v>0</v>
      </c>
      <c r="L22" s="1" t="n">
        <f aca="false">N21</f>
        <v>0</v>
      </c>
      <c r="M22" s="1" t="n">
        <f aca="false">IF(L22&gt;1,'Plan debt months'!BD22,0)</f>
        <v>0</v>
      </c>
      <c r="N22" s="1" t="n">
        <f aca="false">IF(L22&gt;1,'Plan debt months'!BC22,L22)</f>
        <v>0</v>
      </c>
      <c r="O22" s="1" t="n">
        <f aca="false">Q21</f>
        <v>0</v>
      </c>
      <c r="P22" s="1" t="n">
        <f aca="false">IF(O22&gt;1,'Plan debt months'!CE22,0)</f>
        <v>0</v>
      </c>
      <c r="Q22" s="1" t="n">
        <f aca="false">IF(O22&gt;1,'Plan debt months'!CD22,O22)</f>
        <v>0</v>
      </c>
      <c r="R22" s="1" t="n">
        <f aca="false">J22+M22+P22</f>
        <v>0</v>
      </c>
      <c r="S22" s="1" t="n">
        <f aca="false">QJ21+'Plan pay &amp; tax'!Y248</f>
        <v>0</v>
      </c>
      <c r="T22" s="1" t="n">
        <f aca="false">QJ21</f>
        <v>0</v>
      </c>
      <c r="U22" s="1" t="n">
        <f aca="false">IF(AND(Slot1_On=1,D22=Slot1_Age),1,0)</f>
        <v>0</v>
      </c>
      <c r="V22" s="1" t="n">
        <f aca="false">IF(AND(Slot1_On=1,Slot1_Age&gt;D22),1,0)</f>
        <v>0</v>
      </c>
      <c r="W22" s="1" t="n">
        <f aca="false">QL21</f>
        <v>0</v>
      </c>
      <c r="X22" s="1" t="n">
        <f aca="false">U22*MIN(Slot1_Cost,W22)</f>
        <v>0</v>
      </c>
      <c r="Y22" s="1" t="n">
        <f aca="false">U22*Slot1_SpendLike*MIN(Slot1_Cost-X22,S22)</f>
        <v>0</v>
      </c>
      <c r="Z22" s="1" t="n">
        <f aca="false">X22+Y22</f>
        <v>0</v>
      </c>
      <c r="AA22" s="1" t="n">
        <f aca="false">S22-Y22+U22*IF(Slot1_SpendLike=1,W22-X22,IF(Slot1_PotFree=1,W22,0))</f>
        <v>0</v>
      </c>
      <c r="AB22" s="1" t="n">
        <f aca="false">AE22+U22*Slot1_BufPot*W22</f>
        <v>0</v>
      </c>
      <c r="AC22" s="1" t="n">
        <f aca="false">IF(AND(U22=1,Slot1_IsMfree=1),IF(Z22&gt;=Slot1_Cost-1,0,MAX(0,K22-Z22)),K22)</f>
        <v>0</v>
      </c>
      <c r="AD22" s="1" t="n">
        <f aca="false">U22*(Slot1_Cost-Z22)</f>
        <v>0</v>
      </c>
      <c r="AE22" s="1" t="n">
        <f aca="false">QK21</f>
        <v>0</v>
      </c>
      <c r="AF22" s="1" t="n">
        <f aca="false">IF(AND(Slot2_On=1,D22=Slot2_Age),1,0)</f>
        <v>0</v>
      </c>
      <c r="AG22" s="1" t="n">
        <f aca="false">IF(AND(Slot2_On=1,Slot2_Age&gt;D22),1,0)</f>
        <v>0</v>
      </c>
      <c r="AH22" s="1" t="n">
        <f aca="false">QP21</f>
        <v>0</v>
      </c>
      <c r="AI22" s="1" t="n">
        <f aca="false">AF22*MIN(Slot2_Cost,AH22)</f>
        <v>0</v>
      </c>
      <c r="AJ22" s="1" t="n">
        <f aca="false">AF22*Slot2_SpendLike*MIN(Slot2_Cost-AI22,AA22)</f>
        <v>0</v>
      </c>
      <c r="AK22" s="1" t="n">
        <f aca="false">AI22+AJ22</f>
        <v>0</v>
      </c>
      <c r="AL22" s="1" t="n">
        <f aca="false">AA22-AJ22+AF22*IF(Slot2_SpendLike=1,AH22-AI22,IF(Slot2_PotFree=1,AH22,0))</f>
        <v>0</v>
      </c>
      <c r="AM22" s="1" t="n">
        <f aca="false">AB22+AF22*Slot2_BufPot*AH22</f>
        <v>0</v>
      </c>
      <c r="AN22" s="1" t="n">
        <f aca="false">IF(AND(AF22=1,Slot2_IsMfree=1),IF(AK22&gt;=Slot2_Cost-1,0,MAX(0,AC22-AK22)),AC22)</f>
        <v>0</v>
      </c>
      <c r="AO22" s="1" t="n">
        <f aca="false">AF22*(Slot2_Cost-AK22)</f>
        <v>0</v>
      </c>
      <c r="AP22" s="1" t="n">
        <f aca="false">IF(AND(Slot3_On=1,D22=Slot3_Age),1,0)</f>
        <v>0</v>
      </c>
      <c r="AQ22" s="1" t="n">
        <f aca="false">IF(AND(Slot3_On=1,Slot3_Age&gt;D22),1,0)</f>
        <v>0</v>
      </c>
      <c r="AR22" s="1" t="n">
        <f aca="false">QT21</f>
        <v>0</v>
      </c>
      <c r="AS22" s="1" t="n">
        <f aca="false">AP22*MIN(Slot3_Cost,AR22)</f>
        <v>0</v>
      </c>
      <c r="AT22" s="1" t="n">
        <f aca="false">AP22*Slot3_SpendLike*MIN(Slot3_Cost-AS22,AL22)</f>
        <v>0</v>
      </c>
      <c r="AU22" s="1" t="n">
        <f aca="false">AS22+AT22</f>
        <v>0</v>
      </c>
      <c r="AV22" s="1" t="n">
        <f aca="false">AL22-AT22+AP22*IF(Slot3_SpendLike=1,AR22-AS22,IF(Slot3_PotFree=1,AR22,0))</f>
        <v>0</v>
      </c>
      <c r="AW22" s="1" t="n">
        <f aca="false">AM22+AP22*Slot3_BufPot*AR22</f>
        <v>0</v>
      </c>
      <c r="AX22" s="1" t="n">
        <f aca="false">IF(AND(AP22=1,Slot3_IsMfree=1),IF(AU22&gt;=Slot3_Cost-1,0,MAX(0,AN22-AU22)),AN22)</f>
        <v>0</v>
      </c>
      <c r="AY22" s="1" t="n">
        <f aca="false">AP22*(Slot3_Cost-AU22)</f>
        <v>0</v>
      </c>
      <c r="AZ22" s="1" t="n">
        <f aca="false">IF(AND(Slot4_On=1,D22=Slot4_Age),1,0)</f>
        <v>0</v>
      </c>
      <c r="BA22" s="1" t="n">
        <f aca="false">IF(AND(Slot4_On=1,Slot4_Age&gt;D22),1,0)</f>
        <v>0</v>
      </c>
      <c r="BB22" s="1" t="n">
        <f aca="false">QX21</f>
        <v>0</v>
      </c>
      <c r="BC22" s="1" t="n">
        <f aca="false">AZ22*MIN(Slot4_Cost,BB22)</f>
        <v>0</v>
      </c>
      <c r="BD22" s="1" t="n">
        <f aca="false">AZ22*Slot4_SpendLike*MIN(Slot4_Cost-BC22,AV22)</f>
        <v>0</v>
      </c>
      <c r="BE22" s="1" t="n">
        <f aca="false">BC22+BD22</f>
        <v>0</v>
      </c>
      <c r="BF22" s="1" t="n">
        <f aca="false">AV22-BD22+AZ22*IF(Slot4_SpendLike=1,BB22-BC22,IF(Slot4_PotFree=1,BB22,0))</f>
        <v>0</v>
      </c>
      <c r="BG22" s="1" t="n">
        <f aca="false">AW22+AZ22*Slot4_BufPot*BB22</f>
        <v>0</v>
      </c>
      <c r="BH22" s="1" t="n">
        <f aca="false">IF(AND(AZ22=1,Slot4_IsMfree=1),IF(BE22&gt;=Slot4_Cost-1,0,MAX(0,AX22-BE22)),AX22)</f>
        <v>0</v>
      </c>
      <c r="BI22" s="1" t="n">
        <f aca="false">AZ22*(Slot4_Cost-BE22)</f>
        <v>0</v>
      </c>
      <c r="BJ22" s="1" t="n">
        <f aca="false">IF(AND(Slot5_On=1,D22=Slot5_Age),1,0)</f>
        <v>0</v>
      </c>
      <c r="BK22" s="1" t="n">
        <f aca="false">IF(AND(Slot5_On=1,Slot5_Age&gt;D22),1,0)</f>
        <v>0</v>
      </c>
      <c r="BL22" s="1" t="n">
        <f aca="false">RB21</f>
        <v>0</v>
      </c>
      <c r="BM22" s="1" t="n">
        <f aca="false">BJ22*MIN(Slot5_Cost,BL22)</f>
        <v>0</v>
      </c>
      <c r="BN22" s="1" t="n">
        <f aca="false">BJ22*Slot5_SpendLike*MIN(Slot5_Cost-BM22,BF22)</f>
        <v>0</v>
      </c>
      <c r="BO22" s="1" t="n">
        <f aca="false">BM22+BN22</f>
        <v>0</v>
      </c>
      <c r="BP22" s="1" t="n">
        <f aca="false">BF22-BN22+BJ22*IF(Slot5_SpendLike=1,BL22-BM22,IF(Slot5_PotFree=1,BL22,0))</f>
        <v>0</v>
      </c>
      <c r="BQ22" s="1" t="n">
        <f aca="false">BG22+BJ22*Slot5_BufPot*BL22</f>
        <v>0</v>
      </c>
      <c r="BR22" s="1" t="n">
        <f aca="false">IF(AND(BJ22=1,Slot5_IsMfree=1),IF(BO22&gt;=Slot5_Cost-1,0,MAX(0,BH22-BO22)),BH22)</f>
        <v>0</v>
      </c>
      <c r="BS22" s="1" t="n">
        <f aca="false">BJ22*(Slot5_Cost-BO22)</f>
        <v>0</v>
      </c>
      <c r="BT22" s="1" t="n">
        <f aca="false">IF(AND(Slot6_On=1,D22=Slot6_Age),1,0)</f>
        <v>0</v>
      </c>
      <c r="BU22" s="1" t="n">
        <f aca="false">IF(AND(Slot6_On=1,Slot6_Age&gt;D22),1,0)</f>
        <v>0</v>
      </c>
      <c r="BV22" s="1" t="n">
        <f aca="false">RF21</f>
        <v>0</v>
      </c>
      <c r="BW22" s="1" t="n">
        <f aca="false">BT22*MIN(Slot6_Cost,BV22)</f>
        <v>0</v>
      </c>
      <c r="BX22" s="1" t="n">
        <f aca="false">BT22*Slot6_SpendLike*MIN(Slot6_Cost-BW22,BP22)</f>
        <v>0</v>
      </c>
      <c r="BY22" s="1" t="n">
        <f aca="false">BW22+BX22</f>
        <v>0</v>
      </c>
      <c r="BZ22" s="1" t="n">
        <f aca="false">BP22-BX22+BT22*IF(Slot6_SpendLike=1,BV22-BW22,IF(Slot6_PotFree=1,BV22,0))</f>
        <v>0</v>
      </c>
      <c r="CA22" s="1" t="n">
        <f aca="false">BQ22+BT22*Slot6_BufPot*BV22</f>
        <v>0</v>
      </c>
      <c r="CB22" s="1" t="n">
        <f aca="false">IF(AND(BT22=1,Slot6_IsMfree=1),IF(BY22&gt;=Slot6_Cost-1,0,MAX(0,BR22-BY22)),BR22)</f>
        <v>0</v>
      </c>
      <c r="CC22" s="1" t="n">
        <f aca="false">BT22*(Slot6_Cost-BY22)</f>
        <v>0</v>
      </c>
      <c r="CD22" s="1" t="n">
        <f aca="false">IF(AND(Slot7_On=1,D22=Slot7_Age),1,0)</f>
        <v>0</v>
      </c>
      <c r="CE22" s="1" t="n">
        <f aca="false">IF(AND(Slot7_On=1,Slot7_Age&gt;D22),1,0)</f>
        <v>0</v>
      </c>
      <c r="CF22" s="1" t="n">
        <f aca="false">RJ21</f>
        <v>0</v>
      </c>
      <c r="CG22" s="1" t="n">
        <f aca="false">CD22*MIN(Slot7_Cost,CF22)</f>
        <v>0</v>
      </c>
      <c r="CH22" s="1" t="n">
        <f aca="false">CD22*Slot7_SpendLike*MIN(Slot7_Cost-CG22,BZ22)</f>
        <v>0</v>
      </c>
      <c r="CI22" s="1" t="n">
        <f aca="false">CG22+CH22</f>
        <v>0</v>
      </c>
      <c r="CJ22" s="1" t="n">
        <f aca="false">BZ22-CH22+CD22*IF(Slot7_SpendLike=1,CF22-CG22,IF(Slot7_PotFree=1,CF22,0))</f>
        <v>0</v>
      </c>
      <c r="CK22" s="1" t="n">
        <f aca="false">CA22+CD22*Slot7_BufPot*CF22</f>
        <v>0</v>
      </c>
      <c r="CL22" s="1" t="n">
        <f aca="false">IF(AND(CD22=1,Slot7_IsMfree=1),IF(CI22&gt;=Slot7_Cost-1,0,MAX(0,CB22-CI22)),CB22)</f>
        <v>0</v>
      </c>
      <c r="CM22" s="1" t="n">
        <f aca="false">CD22*(Slot7_Cost-CI22)</f>
        <v>0</v>
      </c>
      <c r="CN22" s="1" t="n">
        <f aca="false">IF(AND(Slot8_On=1,D22=Slot8_Age),1,0)</f>
        <v>0</v>
      </c>
      <c r="CO22" s="1" t="n">
        <f aca="false">IF(AND(Slot8_On=1,Slot8_Age&gt;D22),1,0)</f>
        <v>0</v>
      </c>
      <c r="CP22" s="1" t="n">
        <f aca="false">RN21</f>
        <v>0</v>
      </c>
      <c r="CQ22" s="1" t="n">
        <f aca="false">CN22*MIN(Slot8_Cost,CP22)</f>
        <v>0</v>
      </c>
      <c r="CR22" s="1" t="n">
        <f aca="false">CN22*Slot8_SpendLike*MIN(Slot8_Cost-CQ22,CJ22)</f>
        <v>0</v>
      </c>
      <c r="CS22" s="1" t="n">
        <f aca="false">CQ22+CR22</f>
        <v>0</v>
      </c>
      <c r="CT22" s="1" t="n">
        <f aca="false">CJ22-CR22+CN22*IF(Slot8_SpendLike=1,CP22-CQ22,IF(Slot8_PotFree=1,CP22,0))</f>
        <v>0</v>
      </c>
      <c r="CU22" s="1" t="n">
        <f aca="false">CK22+CN22*Slot8_BufPot*CP22</f>
        <v>0</v>
      </c>
      <c r="CV22" s="1" t="n">
        <f aca="false">IF(AND(CN22=1,Slot8_IsMfree=1),IF(CS22&gt;=Slot8_Cost-1,0,MAX(0,CL22-CS22)),CL22)</f>
        <v>0</v>
      </c>
      <c r="CW22" s="1" t="n">
        <f aca="false">CN22*(Slot8_Cost-CS22)</f>
        <v>0</v>
      </c>
      <c r="CX22" s="1" t="n">
        <f aca="false">IF(AND(Slot9_On=1,D22=Slot9_Age),1,0)</f>
        <v>0</v>
      </c>
      <c r="CY22" s="1" t="n">
        <f aca="false">IF(AND(Slot9_On=1,Slot9_Age&gt;D22),1,0)</f>
        <v>0</v>
      </c>
      <c r="CZ22" s="1" t="n">
        <f aca="false">RR21</f>
        <v>0</v>
      </c>
      <c r="DA22" s="1" t="n">
        <f aca="false">CX22*MIN(Slot9_Cost,CZ22)</f>
        <v>0</v>
      </c>
      <c r="DB22" s="1" t="n">
        <f aca="false">CX22*Slot9_SpendLike*MIN(Slot9_Cost-DA22,CT22)</f>
        <v>0</v>
      </c>
      <c r="DC22" s="1" t="n">
        <f aca="false">DA22+DB22</f>
        <v>0</v>
      </c>
      <c r="DD22" s="1" t="n">
        <f aca="false">CT22-DB22+CX22*IF(Slot9_SpendLike=1,CZ22-DA22,IF(Slot9_PotFree=1,CZ22,0))</f>
        <v>0</v>
      </c>
      <c r="DE22" s="1" t="n">
        <f aca="false">CU22+CX22*Slot9_BufPot*CZ22</f>
        <v>0</v>
      </c>
      <c r="DF22" s="1" t="n">
        <f aca="false">IF(AND(CX22=1,Slot9_IsMfree=1),IF(DC22&gt;=Slot9_Cost-1,0,MAX(0,CV22-DC22)),CV22)</f>
        <v>0</v>
      </c>
      <c r="DG22" s="1" t="n">
        <f aca="false">CX22*(Slot9_Cost-DC22)</f>
        <v>0</v>
      </c>
      <c r="DH22" s="1" t="n">
        <f aca="false">IF(AND(Slot10_On=1,D22=Slot10_Age),1,0)</f>
        <v>0</v>
      </c>
      <c r="DI22" s="1" t="n">
        <f aca="false">IF(AND(Slot10_On=1,Slot10_Age&gt;D22),1,0)</f>
        <v>0</v>
      </c>
      <c r="DJ22" s="1" t="n">
        <f aca="false">RV21</f>
        <v>0</v>
      </c>
      <c r="DK22" s="1" t="n">
        <f aca="false">DH22*MIN(Slot10_Cost,DJ22)</f>
        <v>0</v>
      </c>
      <c r="DL22" s="1" t="n">
        <f aca="false">DH22*Slot10_SpendLike*MIN(Slot10_Cost-DK22,DD22)</f>
        <v>0</v>
      </c>
      <c r="DM22" s="1" t="n">
        <f aca="false">DK22+DL22</f>
        <v>0</v>
      </c>
      <c r="DN22" s="1" t="n">
        <f aca="false">DD22-DL22+DH22*IF(Slot10_SpendLike=1,DJ22-DK22,IF(Slot10_PotFree=1,DJ22,0))</f>
        <v>0</v>
      </c>
      <c r="DO22" s="1" t="n">
        <f aca="false">DE22+DH22*Slot10_BufPot*DJ22</f>
        <v>0</v>
      </c>
      <c r="DP22" s="1" t="n">
        <f aca="false">IF(AND(DH22=1,Slot10_IsMfree=1),IF(DM22&gt;=Slot10_Cost-1,0,MAX(0,DF22-DM22)),DF22)</f>
        <v>0</v>
      </c>
      <c r="DQ22" s="1" t="n">
        <f aca="false">DH22*(Slot10_Cost-DM22)</f>
        <v>0</v>
      </c>
      <c r="DR22" s="1" t="n">
        <f aca="false">IF(AND(Slot11_On=1,D22=Slot11_Age),1,0)</f>
        <v>0</v>
      </c>
      <c r="DS22" s="1" t="n">
        <f aca="false">IF(AND(Slot11_On=1,Slot11_Age&gt;D22),1,0)</f>
        <v>0</v>
      </c>
      <c r="DT22" s="1" t="n">
        <f aca="false">RZ21</f>
        <v>0</v>
      </c>
      <c r="DU22" s="1" t="n">
        <f aca="false">DR22*MIN(Slot11_Cost,DT22)</f>
        <v>0</v>
      </c>
      <c r="DV22" s="1" t="n">
        <f aca="false">DR22*Slot11_SpendLike*MIN(Slot11_Cost-DU22,DN22)</f>
        <v>0</v>
      </c>
      <c r="DW22" s="1" t="n">
        <f aca="false">DU22+DV22</f>
        <v>0</v>
      </c>
      <c r="DX22" s="1" t="n">
        <f aca="false">DN22-DV22+DR22*IF(Slot11_SpendLike=1,DT22-DU22,IF(Slot11_PotFree=1,DT22,0))</f>
        <v>0</v>
      </c>
      <c r="DY22" s="1" t="n">
        <f aca="false">DO22+DR22*Slot11_BufPot*DT22</f>
        <v>0</v>
      </c>
      <c r="DZ22" s="1" t="n">
        <f aca="false">IF(AND(DR22=1,Slot11_IsMfree=1),IF(DW22&gt;=Slot11_Cost-1,0,MAX(0,DP22-DW22)),DP22)</f>
        <v>0</v>
      </c>
      <c r="EA22" s="1" t="n">
        <f aca="false">DR22*(Slot11_Cost-DW22)</f>
        <v>0</v>
      </c>
      <c r="EB22" s="1" t="n">
        <f aca="false">IF(AND(Slot12_On=1,D22=Slot12_Age),1,0)</f>
        <v>0</v>
      </c>
      <c r="EC22" s="1" t="n">
        <f aca="false">IF(AND(Slot12_On=1,Slot12_Age&gt;D22),1,0)</f>
        <v>0</v>
      </c>
      <c r="ED22" s="1" t="n">
        <f aca="false">SD21</f>
        <v>0</v>
      </c>
      <c r="EE22" s="1" t="n">
        <f aca="false">EB22*MIN(Slot12_Cost,ED22)</f>
        <v>0</v>
      </c>
      <c r="EF22" s="1" t="n">
        <f aca="false">EB22*Slot12_SpendLike*MIN(Slot12_Cost-EE22,DX22)</f>
        <v>0</v>
      </c>
      <c r="EG22" s="1" t="n">
        <f aca="false">EE22+EF22</f>
        <v>0</v>
      </c>
      <c r="EH22" s="1" t="n">
        <f aca="false">DX22-EF22+EB22*IF(Slot12_SpendLike=1,ED22-EE22,IF(Slot12_PotFree=1,ED22,0))</f>
        <v>0</v>
      </c>
      <c r="EI22" s="1" t="n">
        <f aca="false">DY22+EB22*Slot12_BufPot*ED22</f>
        <v>0</v>
      </c>
      <c r="EJ22" s="1" t="n">
        <f aca="false">IF(AND(EB22=1,Slot12_IsMfree=1),IF(EG22&gt;=Slot12_Cost-1,0,MAX(0,DZ22-EG22)),DZ22)</f>
        <v>0</v>
      </c>
      <c r="EK22" s="1" t="n">
        <f aca="false">EB22*(Slot12_Cost-EG22)</f>
        <v>0</v>
      </c>
      <c r="EL22" s="1" t="n">
        <f aca="false">IF(AND(Slot13_On=1,D22=Slot13_Age),1,0)</f>
        <v>0</v>
      </c>
      <c r="EM22" s="1" t="n">
        <f aca="false">IF(AND(Slot13_On=1,Slot13_Age&gt;D22),1,0)</f>
        <v>0</v>
      </c>
      <c r="EN22" s="1" t="n">
        <f aca="false">SH21</f>
        <v>0</v>
      </c>
      <c r="EO22" s="1" t="n">
        <f aca="false">EL22*MIN(Slot13_Cost,EN22)</f>
        <v>0</v>
      </c>
      <c r="EP22" s="1" t="n">
        <f aca="false">EL22*Slot13_SpendLike*MIN(Slot13_Cost-EO22,EH22)</f>
        <v>0</v>
      </c>
      <c r="EQ22" s="1" t="n">
        <f aca="false">EO22+EP22</f>
        <v>0</v>
      </c>
      <c r="ER22" s="1" t="n">
        <f aca="false">EH22-EP22+EL22*IF(Slot13_SpendLike=1,EN22-EO22,IF(Slot13_PotFree=1,EN22,0))</f>
        <v>0</v>
      </c>
      <c r="ES22" s="1" t="n">
        <f aca="false">EI22+EL22*Slot13_BufPot*EN22</f>
        <v>0</v>
      </c>
      <c r="ET22" s="1" t="n">
        <f aca="false">IF(AND(EL22=1,Slot13_IsMfree=1),IF(EQ22&gt;=Slot13_Cost-1,0,MAX(0,EJ22-EQ22)),EJ22)</f>
        <v>0</v>
      </c>
      <c r="EU22" s="1" t="n">
        <f aca="false">EL22*(Slot13_Cost-EQ22)</f>
        <v>0</v>
      </c>
      <c r="EV22" s="1" t="n">
        <f aca="false">IF(AND(Slot14_On=1,D22=Slot14_Age),1,0)</f>
        <v>0</v>
      </c>
      <c r="EW22" s="1" t="n">
        <f aca="false">IF(AND(Slot14_On=1,Slot14_Age&gt;D22),1,0)</f>
        <v>0</v>
      </c>
      <c r="EX22" s="1" t="n">
        <f aca="false">SL21</f>
        <v>0</v>
      </c>
      <c r="EY22" s="1" t="n">
        <f aca="false">EV22*MIN(Slot14_Cost,EX22)</f>
        <v>0</v>
      </c>
      <c r="EZ22" s="1" t="n">
        <f aca="false">EV22*Slot14_SpendLike*MIN(Slot14_Cost-EY22,ER22)</f>
        <v>0</v>
      </c>
      <c r="FA22" s="1" t="n">
        <f aca="false">EY22+EZ22</f>
        <v>0</v>
      </c>
      <c r="FB22" s="1" t="n">
        <f aca="false">ER22-EZ22+EV22*IF(Slot14_SpendLike=1,EX22-EY22,IF(Slot14_PotFree=1,EX22,0))</f>
        <v>0</v>
      </c>
      <c r="FC22" s="1" t="n">
        <f aca="false">ES22+EV22*Slot14_BufPot*EX22</f>
        <v>0</v>
      </c>
      <c r="FD22" s="1" t="n">
        <f aca="false">IF(AND(EV22=1,Slot14_IsMfree=1),IF(FA22&gt;=Slot14_Cost-1,0,MAX(0,ET22-FA22)),ET22)</f>
        <v>0</v>
      </c>
      <c r="FE22" s="1" t="n">
        <f aca="false">EV22*(Slot14_Cost-FA22)</f>
        <v>0</v>
      </c>
      <c r="FF22" s="1" t="n">
        <f aca="false">IF(AND(Slot15_On=1,D22=Slot15_Age),1,0)</f>
        <v>0</v>
      </c>
      <c r="FG22" s="1" t="n">
        <f aca="false">IF(AND(Slot15_On=1,Slot15_Age&gt;D22),1,0)</f>
        <v>0</v>
      </c>
      <c r="FH22" s="1" t="n">
        <f aca="false">SP21</f>
        <v>0</v>
      </c>
      <c r="FI22" s="1" t="n">
        <f aca="false">FF22*MIN(Slot15_Cost,FH22)</f>
        <v>0</v>
      </c>
      <c r="FJ22" s="1" t="n">
        <f aca="false">FF22*Slot15_SpendLike*MIN(Slot15_Cost-FI22,FB22)</f>
        <v>0</v>
      </c>
      <c r="FK22" s="1" t="n">
        <f aca="false">FI22+FJ22</f>
        <v>0</v>
      </c>
      <c r="FL22" s="1" t="n">
        <f aca="false">FB22-FJ22+FF22*IF(Slot15_SpendLike=1,FH22-FI22,IF(Slot15_PotFree=1,FH22,0))</f>
        <v>0</v>
      </c>
      <c r="FM22" s="1" t="n">
        <f aca="false">FC22+FF22*Slot15_BufPot*FH22</f>
        <v>0</v>
      </c>
      <c r="FN22" s="1" t="n">
        <f aca="false">IF(AND(FF22=1,Slot15_IsMfree=1),IF(FK22&gt;=Slot15_Cost-1,0,MAX(0,FD22-FK22)),FD22)</f>
        <v>0</v>
      </c>
      <c r="FO22" s="1" t="n">
        <f aca="false">FF22*(Slot15_Cost-FK22)</f>
        <v>0</v>
      </c>
      <c r="FP22" s="1" t="n">
        <f aca="false">IF(AND(Slot16_On=1,D22=Slot16_Age),1,0)</f>
        <v>0</v>
      </c>
      <c r="FQ22" s="1" t="n">
        <f aca="false">IF(AND(Slot16_On=1,Slot16_Age&gt;D22),1,0)</f>
        <v>0</v>
      </c>
      <c r="FR22" s="1" t="n">
        <f aca="false">ST21</f>
        <v>0</v>
      </c>
      <c r="FS22" s="1" t="n">
        <f aca="false">FP22*MIN(Slot16_Cost,FR22)</f>
        <v>0</v>
      </c>
      <c r="FT22" s="1" t="n">
        <f aca="false">FP22*Slot16_SpendLike*MIN(Slot16_Cost-FS22,FL22)</f>
        <v>0</v>
      </c>
      <c r="FU22" s="1" t="n">
        <f aca="false">FS22+FT22</f>
        <v>0</v>
      </c>
      <c r="FV22" s="1" t="n">
        <f aca="false">FL22-FT22+FP22*IF(Slot16_SpendLike=1,FR22-FS22,IF(Slot16_PotFree=1,FR22,0))</f>
        <v>0</v>
      </c>
      <c r="FW22" s="1" t="n">
        <f aca="false">FM22+FP22*Slot16_BufPot*FR22</f>
        <v>0</v>
      </c>
      <c r="FX22" s="1" t="n">
        <f aca="false">IF(AND(FP22=1,Slot16_IsMfree=1),IF(FU22&gt;=Slot16_Cost-1,0,MAX(0,FN22-FU22)),FN22)</f>
        <v>0</v>
      </c>
      <c r="FY22" s="1" t="n">
        <f aca="false">FP22*(Slot16_Cost-FU22)</f>
        <v>0</v>
      </c>
      <c r="FZ22" s="1" t="n">
        <f aca="false">IF(AND(Slot17_On=1,D22=Slot17_Age),1,0)</f>
        <v>0</v>
      </c>
      <c r="GA22" s="1" t="n">
        <f aca="false">IF(AND(Slot17_On=1,Slot17_Age&gt;D22),1,0)</f>
        <v>0</v>
      </c>
      <c r="GB22" s="1" t="n">
        <f aca="false">SX21</f>
        <v>0</v>
      </c>
      <c r="GC22" s="1" t="n">
        <f aca="false">FZ22*MIN(Slot17_Cost,GB22)</f>
        <v>0</v>
      </c>
      <c r="GD22" s="1" t="n">
        <f aca="false">FZ22*Slot17_SpendLike*MIN(Slot17_Cost-GC22,FV22)</f>
        <v>0</v>
      </c>
      <c r="GE22" s="1" t="n">
        <f aca="false">GC22+GD22</f>
        <v>0</v>
      </c>
      <c r="GF22" s="1" t="n">
        <f aca="false">FV22-GD22+FZ22*IF(Slot17_SpendLike=1,GB22-GC22,IF(Slot17_PotFree=1,GB22,0))</f>
        <v>0</v>
      </c>
      <c r="GG22" s="1" t="n">
        <f aca="false">FW22+FZ22*Slot17_BufPot*GB22</f>
        <v>0</v>
      </c>
      <c r="GH22" s="1" t="n">
        <f aca="false">IF(AND(FZ22=1,Slot17_IsMfree=1),IF(GE22&gt;=Slot17_Cost-1,0,MAX(0,FX22-GE22)),FX22)</f>
        <v>0</v>
      </c>
      <c r="GI22" s="1" t="n">
        <f aca="false">FZ22*(Slot17_Cost-GE22)</f>
        <v>0</v>
      </c>
      <c r="GJ22" s="1" t="n">
        <f aca="false">IF(AND(Slot18_On=1,D22=Slot18_Age),1,0)</f>
        <v>0</v>
      </c>
      <c r="GK22" s="1" t="n">
        <f aca="false">IF(AND(Slot18_On=1,Slot18_Age&gt;D22),1,0)</f>
        <v>0</v>
      </c>
      <c r="GL22" s="1" t="n">
        <f aca="false">TB21</f>
        <v>0</v>
      </c>
      <c r="GM22" s="1" t="n">
        <f aca="false">GJ22*MIN(Slot18_Cost,GL22)</f>
        <v>0</v>
      </c>
      <c r="GN22" s="1" t="n">
        <f aca="false">GJ22*Slot18_SpendLike*MIN(Slot18_Cost-GM22,GF22)</f>
        <v>0</v>
      </c>
      <c r="GO22" s="1" t="n">
        <f aca="false">GM22+GN22</f>
        <v>0</v>
      </c>
      <c r="GP22" s="1" t="n">
        <f aca="false">GF22-GN22+GJ22*IF(Slot18_SpendLike=1,GL22-GM22,IF(Slot18_PotFree=1,GL22,0))</f>
        <v>0</v>
      </c>
      <c r="GQ22" s="1" t="n">
        <f aca="false">GG22+GJ22*Slot18_BufPot*GL22</f>
        <v>0</v>
      </c>
      <c r="GR22" s="1" t="n">
        <f aca="false">IF(AND(GJ22=1,Slot18_IsMfree=1),IF(GO22&gt;=Slot18_Cost-1,0,MAX(0,GH22-GO22)),GH22)</f>
        <v>0</v>
      </c>
      <c r="GS22" s="1" t="n">
        <f aca="false">GJ22*(Slot18_Cost-GO22)</f>
        <v>0</v>
      </c>
      <c r="GT22" s="1" t="n">
        <f aca="false">IF(AND(Slot19_On=1,D22=Slot19_Age),1,0)</f>
        <v>0</v>
      </c>
      <c r="GU22" s="1" t="n">
        <f aca="false">IF(AND(Slot19_On=1,Slot19_Age&gt;D22),1,0)</f>
        <v>0</v>
      </c>
      <c r="GV22" s="1" t="n">
        <f aca="false">TF21</f>
        <v>0</v>
      </c>
      <c r="GW22" s="1" t="n">
        <f aca="false">GT22*MIN(Slot19_Cost,GV22)</f>
        <v>0</v>
      </c>
      <c r="GX22" s="1" t="n">
        <f aca="false">GT22*Slot19_SpendLike*MIN(Slot19_Cost-GW22,GP22)</f>
        <v>0</v>
      </c>
      <c r="GY22" s="1" t="n">
        <f aca="false">GW22+GX22</f>
        <v>0</v>
      </c>
      <c r="GZ22" s="1" t="n">
        <f aca="false">GP22-GX22+GT22*IF(Slot19_SpendLike=1,GV22-GW22,IF(Slot19_PotFree=1,GV22,0))</f>
        <v>0</v>
      </c>
      <c r="HA22" s="1" t="n">
        <f aca="false">GQ22+GT22*Slot19_BufPot*GV22</f>
        <v>0</v>
      </c>
      <c r="HB22" s="1" t="n">
        <f aca="false">IF(AND(GT22=1,Slot19_IsMfree=1),IF(GY22&gt;=Slot19_Cost-1,0,MAX(0,GR22-GY22)),GR22)</f>
        <v>0</v>
      </c>
      <c r="HC22" s="1" t="n">
        <f aca="false">GT22*(Slot19_Cost-GY22)</f>
        <v>0</v>
      </c>
      <c r="HD22" s="1" t="n">
        <f aca="false">IF(AND(Slot20_On=1,D22=Slot20_Age),1,0)</f>
        <v>0</v>
      </c>
      <c r="HE22" s="1" t="n">
        <f aca="false">IF(AND(Slot20_On=1,Slot20_Age&gt;D22),1,0)</f>
        <v>0</v>
      </c>
      <c r="HF22" s="1" t="n">
        <f aca="false">TJ21</f>
        <v>0</v>
      </c>
      <c r="HG22" s="1" t="n">
        <f aca="false">HD22*MIN(Slot20_Cost,HF22)</f>
        <v>0</v>
      </c>
      <c r="HH22" s="1" t="n">
        <f aca="false">HD22*Slot20_SpendLike*MIN(Slot20_Cost-HG22,GZ22)</f>
        <v>0</v>
      </c>
      <c r="HI22" s="1" t="n">
        <f aca="false">HG22+HH22</f>
        <v>0</v>
      </c>
      <c r="HJ22" s="1" t="n">
        <f aca="false">GZ22-HH22+HD22*IF(Slot20_SpendLike=1,HF22-HG22,IF(Slot20_PotFree=1,HF22,0))</f>
        <v>0</v>
      </c>
      <c r="HK22" s="1" t="n">
        <f aca="false">HA22+HD22*Slot20_BufPot*HF22</f>
        <v>0</v>
      </c>
      <c r="HL22" s="1" t="n">
        <f aca="false">IF(AND(HD22=1,Slot20_IsMfree=1),IF(HI22&gt;=Slot20_Cost-1,0,MAX(0,HB22-HI22)),HB22)</f>
        <v>0</v>
      </c>
      <c r="HM22" s="1" t="n">
        <f aca="false">HD22*(Slot20_Cost-HI22)</f>
        <v>0</v>
      </c>
      <c r="HN22" s="1" t="n">
        <f aca="false">U22*Slot1_SpendLike*Z22+AF22*Slot2_SpendLike*AK22+AP22*Slot3_SpendLike*AU22+AZ22*Slot4_SpendLike*BE22+BJ22*Slot5_SpendLike*BO22+BT22*Slot6_SpendLike*BY22+CD22*Slot7_SpendLike*CI22+CN22*Slot8_SpendLike*CS22+CX22*Slot9_SpendLike*DC22+DH22*Slot10_SpendLike*DM22+DR22*Slot11_SpendLike*DW22+EB22*Slot12_SpendLike*EG22+EL22*Slot13_SpendLike*EQ22+EV22*Slot14_SpendLike*FA22+FF22*Slot15_SpendLike*FK22+FP22*Slot16_SpendLike*FU22+FZ22*Slot17_SpendLike*GE22+GJ22*Slot18_SpendLike*GO22+GT22*Slot19_SpendLike*GY22+HD22*Slot20_SpendLike*HI22</f>
        <v>0</v>
      </c>
      <c r="HO22" s="1" t="n">
        <f aca="false">AD22+AO22+AY22+BI22+BS22+CC22+CM22+CW22+DG22+DQ22+EA22+EK22+EU22+FE22+FO22+FY22+GI22+GS22+HC22+HM22</f>
        <v>0</v>
      </c>
      <c r="HP22" s="1" t="n">
        <f aca="false">U22*Slot1_Cost+AF22*Slot2_Cost+AP22*Slot3_Cost+AZ22*Slot4_Cost+BJ22*Slot5_Cost+BT22*Slot6_Cost+CD22*Slot7_Cost+CN22*Slot8_Cost+CX22*Slot9_Cost+DH22*Slot10_Cost+DR22*Slot11_Cost+EB22*Slot12_Cost+EL22*Slot13_Cost+EV22*Slot14_Cost+FF22*Slot15_Cost+FP22*Slot16_Cost+FZ22*Slot17_Cost+GJ22*Slot18_Cost+GT22*Slot19_Cost+HD22*Slot20_Cost</f>
        <v>0</v>
      </c>
      <c r="HQ22" s="1" t="n">
        <f aca="false">HL22</f>
        <v>0</v>
      </c>
      <c r="HR22" s="1" t="n">
        <f aca="false">G22-H22-R22</f>
        <v>0</v>
      </c>
      <c r="HS22" s="1" t="n">
        <f aca="false">IF(B22=0,IF(AND(Has_q6=1,In_q6=4),PR_ShareVaries*(MAX(0,HR22)/12),MIN(IF(Has_q6=1,CHOOSE(In_q6+1,PR_SaveB1,PR_SaveB2,PR_SaveB3,PR_SaveB4,0),AS_NoAnswer),AS_SaveShare*(MAX(0,HR22)/12))),HS21)</f>
        <v>0</v>
      </c>
      <c r="HT22" s="1" t="n">
        <f aca="false">IF(HR22&gt;=0,1,0)</f>
        <v>1</v>
      </c>
      <c r="HU22" s="1" t="n">
        <f aca="false">MAX(0,HR22/12/E22)</f>
        <v>0</v>
      </c>
      <c r="HV22" s="1" t="n">
        <f aca="false">IF(AND(Has_q6=1,In_q6=4),PR_ShareVaries*(HU22),MIN(IF(Has_q6=1,CHOOSE(In_q6+1,PR_SaveB1,PR_SaveB2,PR_SaveB3,PR_SaveB4,0),AS_NoAnswer),AS_SaveShare*(HU22)))</f>
        <v>0</v>
      </c>
      <c r="HW22" s="1" t="n">
        <f aca="false">IF(Has_saveM=1,IF(In_saveUp="Yes",1,IF(In_saveUp="No",0,IF(In_saveM&gt;=HS22-0.5,1,0))),0)</f>
        <v>0</v>
      </c>
      <c r="HX22" s="1" t="n">
        <f aca="false">IF(Has_saveM=1,MIN(HU22,IF(HW22=1,MAX(In_saveM,HV22),MIN(In_saveM,HV22))),HV22)</f>
        <v>0</v>
      </c>
      <c r="HY22" s="1" t="n">
        <f aca="false">IF(F22=1,HX22*12*E22,0)</f>
        <v>0</v>
      </c>
      <c r="HZ22" s="1" t="n">
        <f aca="false">MAX(0,HY22+IF(AND(WI_Retire=0,WI_M&lt;0,F22=1),WI_M*12*E22,0))</f>
        <v>0</v>
      </c>
      <c r="IA22" s="1" t="n">
        <f aca="false">Slot1_IsWG*V22+Slot2_IsWG*AG22+Slot3_IsWG*AQ22+Slot4_IsWG*BA22+Slot5_IsWG*BK22+Slot6_IsWG*BU22+Slot7_IsWG*CE22+Slot8_IsWG*CO22+Slot9_IsWG*CY22+Slot10_IsWG*DI22+Slot11_IsWG*DS22+Slot12_IsWG*EC22+Slot13_IsWG*EM22+Slot14_IsWG*EW22+Slot15_IsWG*FG22+Slot16_IsWG*FQ22+Slot17_IsWG*GA22+Slot18_IsWG*GK22+Slot19_IsWG*GU22+Slot20_IsWG*HE22</f>
        <v>0</v>
      </c>
      <c r="IB22" s="1" t="n">
        <f aca="false">IF(AND(WI_Retire=0,WI_M&gt;0,F22=1,IA22&gt;=1),WI_M*12*E22,0)</f>
        <v>0</v>
      </c>
      <c r="IC22" s="1" t="n">
        <f aca="false">IF(HT22=1,MIN(HZ22,HR22),0)</f>
        <v>0</v>
      </c>
      <c r="ID22" s="1" t="n">
        <f aca="false">IF(HT22=1,MIN(IB22,HR22-IC22),0)</f>
        <v>0</v>
      </c>
      <c r="IE22" s="1" t="n">
        <f aca="false">IF(V22=1,IF(ABS((1+AS_Wage)/(1+Slot1_Rate)-1)&lt;0.000000000001,(Slot1_Age-D22)*(1+Slot1_Rate)^(Slot1_Age-D22),(1+Slot1_Rate)^(Slot1_Age-D22)*(1-((1+AS_Wage)/(1+Slot1_Rate))^(Slot1_Age-D22))/(1-(1+AS_Wage)/(1+Slot1_Rate))),1)</f>
        <v>1</v>
      </c>
      <c r="IF22" s="1" t="n">
        <f aca="false">IF(AND(HT22=1,ID22&gt;0,Slot1_IsWG=1,V22=1),MAX(0,(Slot1_Cost-W22*(1+Slot1_Rate)^(Slot1_Age-D22))/IE22),0)</f>
        <v>0</v>
      </c>
      <c r="IG22" s="1" t="n">
        <f aca="false">IF(AND(HT22=1,ID22&gt;0,Slot1_IsWG=1,V22=1),MIN(ID22,IF22),0)</f>
        <v>0</v>
      </c>
      <c r="IH22" s="1" t="n">
        <f aca="false">W22+IG22</f>
        <v>0</v>
      </c>
      <c r="II22" s="1" t="n">
        <f aca="false">IF(V22=1,MAX(0,(Slot1_Cost-IH22*(1+Slot1_Rate)^(Slot1_Age-D22))/IE22),0)</f>
        <v>0</v>
      </c>
      <c r="IJ22" s="1" t="n">
        <f aca="false">IF(V22=1,MAX(0,(Slot1_Cost-W22*(1+Slot1_Rate)^(Slot1_Age-D22))/IE22),0)</f>
        <v>0</v>
      </c>
      <c r="IK22" s="1" t="n">
        <f aca="false">IF(AND(HT22=1,V22=1),MIN(IC22,II22),0)</f>
        <v>0</v>
      </c>
      <c r="IL22" s="1" t="n">
        <f aca="false">IC22-IK22</f>
        <v>0</v>
      </c>
      <c r="IM22" s="1" t="n">
        <f aca="false">IF(AG22=1,IF(ABS((1+AS_Wage)/(1+Slot2_Rate)-1)&lt;0.000000000001,(Slot2_Age-D22)*(1+Slot2_Rate)^(Slot2_Age-D22),(1+Slot2_Rate)^(Slot2_Age-D22)*(1-((1+AS_Wage)/(1+Slot2_Rate))^(Slot2_Age-D22))/(1-(1+AS_Wage)/(1+Slot2_Rate))),1)</f>
        <v>1</v>
      </c>
      <c r="IN22" s="1" t="n">
        <f aca="false">IF(AND(HT22=1,ID22&gt;0,Slot2_IsWG=1,AG22=1),MAX(0,(Slot2_Cost-AH22*(1+Slot2_Rate)^(Slot2_Age-D22))/IM22),0)</f>
        <v>0</v>
      </c>
      <c r="IO22" s="1" t="n">
        <f aca="false">IF(AND(HT22=1,ID22&gt;0,Slot2_IsWG=1,AG22=1),MIN(ID22,IN22),0)</f>
        <v>0</v>
      </c>
      <c r="IP22" s="1" t="n">
        <f aca="false">AH22+IO22</f>
        <v>0</v>
      </c>
      <c r="IQ22" s="1" t="n">
        <f aca="false">IF(AG22=1,MAX(0,(Slot2_Cost-IP22*(1+Slot2_Rate)^(Slot2_Age-D22))/IM22),0)</f>
        <v>0</v>
      </c>
      <c r="IR22" s="1" t="n">
        <f aca="false">IF(AG22=1,MAX(0,(Slot2_Cost-AH22*(1+Slot2_Rate)^(Slot2_Age-D22))/IM22),0)</f>
        <v>0</v>
      </c>
      <c r="IS22" s="1" t="n">
        <f aca="false">IF(AND(HT22=1,AG22=1),MIN(IL22,IQ22),0)</f>
        <v>0</v>
      </c>
      <c r="IT22" s="1" t="n">
        <f aca="false">IL22-IS22</f>
        <v>0</v>
      </c>
      <c r="IU22" s="1" t="n">
        <f aca="false">IF(AQ22=1,IF(ABS((1+AS_Wage)/(1+Slot3_Rate)-1)&lt;0.000000000001,(Slot3_Age-D22)*(1+Slot3_Rate)^(Slot3_Age-D22),(1+Slot3_Rate)^(Slot3_Age-D22)*(1-((1+AS_Wage)/(1+Slot3_Rate))^(Slot3_Age-D22))/(1-(1+AS_Wage)/(1+Slot3_Rate))),1)</f>
        <v>1</v>
      </c>
      <c r="IV22" s="1" t="n">
        <f aca="false">IF(AND(HT22=1,ID22&gt;0,Slot3_IsWG=1,AQ22=1),MAX(0,(Slot3_Cost-AR22*(1+Slot3_Rate)^(Slot3_Age-D22))/IU22),0)</f>
        <v>0</v>
      </c>
      <c r="IW22" s="1" t="n">
        <f aca="false">IF(AND(HT22=1,ID22&gt;0,Slot3_IsWG=1,AQ22=1),MIN(ID22,IV22),0)</f>
        <v>0</v>
      </c>
      <c r="IX22" s="1" t="n">
        <f aca="false">AR22+IW22</f>
        <v>0</v>
      </c>
      <c r="IY22" s="1" t="n">
        <f aca="false">IF(AQ22=1,MAX(0,(Slot3_Cost-IX22*(1+Slot3_Rate)^(Slot3_Age-D22))/IU22),0)</f>
        <v>0</v>
      </c>
      <c r="IZ22" s="1" t="n">
        <f aca="false">IF(AQ22=1,MAX(0,(Slot3_Cost-AR22*(1+Slot3_Rate)^(Slot3_Age-D22))/IU22),0)</f>
        <v>0</v>
      </c>
      <c r="JA22" s="1" t="n">
        <f aca="false">IF(AND(HT22=1,AQ22=1),MIN(IT22,IY22),0)</f>
        <v>0</v>
      </c>
      <c r="JB22" s="1" t="n">
        <f aca="false">IT22-JA22</f>
        <v>0</v>
      </c>
      <c r="JC22" s="1" t="n">
        <f aca="false">IF(BA22=1,IF(ABS((1+AS_Wage)/(1+Slot4_Rate)-1)&lt;0.000000000001,(Slot4_Age-D22)*(1+Slot4_Rate)^(Slot4_Age-D22),(1+Slot4_Rate)^(Slot4_Age-D22)*(1-((1+AS_Wage)/(1+Slot4_Rate))^(Slot4_Age-D22))/(1-(1+AS_Wage)/(1+Slot4_Rate))),1)</f>
        <v>1</v>
      </c>
      <c r="JD22" s="1" t="n">
        <f aca="false">IF(AND(HT22=1,ID22&gt;0,Slot4_IsWG=1,BA22=1),MAX(0,(Slot4_Cost-BB22*(1+Slot4_Rate)^(Slot4_Age-D22))/JC22),0)</f>
        <v>0</v>
      </c>
      <c r="JE22" s="1" t="n">
        <f aca="false">IF(AND(HT22=1,ID22&gt;0,Slot4_IsWG=1,BA22=1),MIN(ID22,JD22),0)</f>
        <v>0</v>
      </c>
      <c r="JF22" s="1" t="n">
        <f aca="false">BB22+JE22</f>
        <v>0</v>
      </c>
      <c r="JG22" s="1" t="n">
        <f aca="false">IF(BA22=1,MAX(0,(Slot4_Cost-JF22*(1+Slot4_Rate)^(Slot4_Age-D22))/JC22),0)</f>
        <v>0</v>
      </c>
      <c r="JH22" s="1" t="n">
        <f aca="false">IF(BA22=1,MAX(0,(Slot4_Cost-BB22*(1+Slot4_Rate)^(Slot4_Age-D22))/JC22),0)</f>
        <v>0</v>
      </c>
      <c r="JI22" s="1" t="n">
        <f aca="false">IF(AND(HT22=1,BA22=1),MIN(JB22,JG22),0)</f>
        <v>0</v>
      </c>
      <c r="JJ22" s="1" t="n">
        <f aca="false">JB22-JI22</f>
        <v>0</v>
      </c>
      <c r="JK22" s="1" t="n">
        <f aca="false">IF(BK22=1,IF(ABS((1+AS_Wage)/(1+Slot5_Rate)-1)&lt;0.000000000001,(Slot5_Age-D22)*(1+Slot5_Rate)^(Slot5_Age-D22),(1+Slot5_Rate)^(Slot5_Age-D22)*(1-((1+AS_Wage)/(1+Slot5_Rate))^(Slot5_Age-D22))/(1-(1+AS_Wage)/(1+Slot5_Rate))),1)</f>
        <v>1</v>
      </c>
      <c r="JL22" s="1" t="n">
        <f aca="false">IF(AND(HT22=1,ID22&gt;0,Slot5_IsWG=1,BK22=1),MAX(0,(Slot5_Cost-BL22*(1+Slot5_Rate)^(Slot5_Age-D22))/JK22),0)</f>
        <v>0</v>
      </c>
      <c r="JM22" s="1" t="n">
        <f aca="false">IF(AND(HT22=1,ID22&gt;0,Slot5_IsWG=1,BK22=1),MIN(ID22,JL22),0)</f>
        <v>0</v>
      </c>
      <c r="JN22" s="1" t="n">
        <f aca="false">BL22+JM22</f>
        <v>0</v>
      </c>
      <c r="JO22" s="1" t="n">
        <f aca="false">IF(BK22=1,MAX(0,(Slot5_Cost-JN22*(1+Slot5_Rate)^(Slot5_Age-D22))/JK22),0)</f>
        <v>0</v>
      </c>
      <c r="JP22" s="1" t="n">
        <f aca="false">IF(BK22=1,MAX(0,(Slot5_Cost-BL22*(1+Slot5_Rate)^(Slot5_Age-D22))/JK22),0)</f>
        <v>0</v>
      </c>
      <c r="JQ22" s="1" t="n">
        <f aca="false">IF(AND(HT22=1,BK22=1),MIN(JJ22,JO22),0)</f>
        <v>0</v>
      </c>
      <c r="JR22" s="1" t="n">
        <f aca="false">JJ22-JQ22</f>
        <v>0</v>
      </c>
      <c r="JS22" s="1" t="n">
        <f aca="false">IF(BU22=1,IF(ABS((1+AS_Wage)/(1+Slot6_Rate)-1)&lt;0.000000000001,(Slot6_Age-D22)*(1+Slot6_Rate)^(Slot6_Age-D22),(1+Slot6_Rate)^(Slot6_Age-D22)*(1-((1+AS_Wage)/(1+Slot6_Rate))^(Slot6_Age-D22))/(1-(1+AS_Wage)/(1+Slot6_Rate))),1)</f>
        <v>1</v>
      </c>
      <c r="JT22" s="1" t="n">
        <f aca="false">IF(AND(HT22=1,ID22&gt;0,Slot6_IsWG=1,BU22=1),MAX(0,(Slot6_Cost-BV22*(1+Slot6_Rate)^(Slot6_Age-D22))/JS22),0)</f>
        <v>0</v>
      </c>
      <c r="JU22" s="1" t="n">
        <f aca="false">IF(AND(HT22=1,ID22&gt;0,Slot6_IsWG=1,BU22=1),MIN(ID22,JT22),0)</f>
        <v>0</v>
      </c>
      <c r="JV22" s="1" t="n">
        <f aca="false">BV22+JU22</f>
        <v>0</v>
      </c>
      <c r="JW22" s="1" t="n">
        <f aca="false">IF(BU22=1,MAX(0,(Slot6_Cost-JV22*(1+Slot6_Rate)^(Slot6_Age-D22))/JS22),0)</f>
        <v>0</v>
      </c>
      <c r="JX22" s="1" t="n">
        <f aca="false">IF(BU22=1,MAX(0,(Slot6_Cost-BV22*(1+Slot6_Rate)^(Slot6_Age-D22))/JS22),0)</f>
        <v>0</v>
      </c>
      <c r="JY22" s="1" t="n">
        <f aca="false">IF(AND(HT22=1,BU22=1),MIN(JR22,JW22),0)</f>
        <v>0</v>
      </c>
      <c r="JZ22" s="1" t="n">
        <f aca="false">JR22-JY22</f>
        <v>0</v>
      </c>
      <c r="KA22" s="1" t="n">
        <f aca="false">IF(CE22=1,IF(ABS((1+AS_Wage)/(1+Slot7_Rate)-1)&lt;0.000000000001,(Slot7_Age-D22)*(1+Slot7_Rate)^(Slot7_Age-D22),(1+Slot7_Rate)^(Slot7_Age-D22)*(1-((1+AS_Wage)/(1+Slot7_Rate))^(Slot7_Age-D22))/(1-(1+AS_Wage)/(1+Slot7_Rate))),1)</f>
        <v>1</v>
      </c>
      <c r="KB22" s="1" t="n">
        <f aca="false">IF(AND(HT22=1,ID22&gt;0,Slot7_IsWG=1,CE22=1),MAX(0,(Slot7_Cost-CF22*(1+Slot7_Rate)^(Slot7_Age-D22))/KA22),0)</f>
        <v>0</v>
      </c>
      <c r="KC22" s="1" t="n">
        <f aca="false">IF(AND(HT22=1,ID22&gt;0,Slot7_IsWG=1,CE22=1),MIN(ID22,KB22),0)</f>
        <v>0</v>
      </c>
      <c r="KD22" s="1" t="n">
        <f aca="false">CF22+KC22</f>
        <v>0</v>
      </c>
      <c r="KE22" s="1" t="n">
        <f aca="false">IF(CE22=1,MAX(0,(Slot7_Cost-KD22*(1+Slot7_Rate)^(Slot7_Age-D22))/KA22),0)</f>
        <v>0</v>
      </c>
      <c r="KF22" s="1" t="n">
        <f aca="false">IF(CE22=1,MAX(0,(Slot7_Cost-CF22*(1+Slot7_Rate)^(Slot7_Age-D22))/KA22),0)</f>
        <v>0</v>
      </c>
      <c r="KG22" s="1" t="n">
        <f aca="false">IF(AND(HT22=1,CE22=1),MIN(JZ22,KE22),0)</f>
        <v>0</v>
      </c>
      <c r="KH22" s="1" t="n">
        <f aca="false">JZ22-KG22</f>
        <v>0</v>
      </c>
      <c r="KI22" s="1" t="n">
        <f aca="false">IF(CO22=1,IF(ABS((1+AS_Wage)/(1+Slot8_Rate)-1)&lt;0.000000000001,(Slot8_Age-D22)*(1+Slot8_Rate)^(Slot8_Age-D22),(1+Slot8_Rate)^(Slot8_Age-D22)*(1-((1+AS_Wage)/(1+Slot8_Rate))^(Slot8_Age-D22))/(1-(1+AS_Wage)/(1+Slot8_Rate))),1)</f>
        <v>1</v>
      </c>
      <c r="KJ22" s="1" t="n">
        <f aca="false">IF(AND(HT22=1,ID22&gt;0,Slot8_IsWG=1,CO22=1),MAX(0,(Slot8_Cost-CP22*(1+Slot8_Rate)^(Slot8_Age-D22))/KI22),0)</f>
        <v>0</v>
      </c>
      <c r="KK22" s="1" t="n">
        <f aca="false">IF(AND(HT22=1,ID22&gt;0,Slot8_IsWG=1,CO22=1),MIN(ID22,KJ22),0)</f>
        <v>0</v>
      </c>
      <c r="KL22" s="1" t="n">
        <f aca="false">CP22+KK22</f>
        <v>0</v>
      </c>
      <c r="KM22" s="1" t="n">
        <f aca="false">IF(CO22=1,MAX(0,(Slot8_Cost-KL22*(1+Slot8_Rate)^(Slot8_Age-D22))/KI22),0)</f>
        <v>0</v>
      </c>
      <c r="KN22" s="1" t="n">
        <f aca="false">IF(CO22=1,MAX(0,(Slot8_Cost-CP22*(1+Slot8_Rate)^(Slot8_Age-D22))/KI22),0)</f>
        <v>0</v>
      </c>
      <c r="KO22" s="1" t="n">
        <f aca="false">IF(AND(HT22=1,CO22=1),MIN(KH22,KM22),0)</f>
        <v>0</v>
      </c>
      <c r="KP22" s="1" t="n">
        <f aca="false">KH22-KO22</f>
        <v>0</v>
      </c>
      <c r="KQ22" s="1" t="n">
        <f aca="false">IF(CY22=1,IF(ABS((1+AS_Wage)/(1+Slot9_Rate)-1)&lt;0.000000000001,(Slot9_Age-D22)*(1+Slot9_Rate)^(Slot9_Age-D22),(1+Slot9_Rate)^(Slot9_Age-D22)*(1-((1+AS_Wage)/(1+Slot9_Rate))^(Slot9_Age-D22))/(1-(1+AS_Wage)/(1+Slot9_Rate))),1)</f>
        <v>1</v>
      </c>
      <c r="KR22" s="1" t="n">
        <f aca="false">IF(AND(HT22=1,ID22&gt;0,Slot9_IsWG=1,CY22=1),MAX(0,(Slot9_Cost-CZ22*(1+Slot9_Rate)^(Slot9_Age-D22))/KQ22),0)</f>
        <v>0</v>
      </c>
      <c r="KS22" s="1" t="n">
        <f aca="false">IF(AND(HT22=1,ID22&gt;0,Slot9_IsWG=1,CY22=1),MIN(ID22,KR22),0)</f>
        <v>0</v>
      </c>
      <c r="KT22" s="1" t="n">
        <f aca="false">CZ22+KS22</f>
        <v>0</v>
      </c>
      <c r="KU22" s="1" t="n">
        <f aca="false">IF(CY22=1,MAX(0,(Slot9_Cost-KT22*(1+Slot9_Rate)^(Slot9_Age-D22))/KQ22),0)</f>
        <v>0</v>
      </c>
      <c r="KV22" s="1" t="n">
        <f aca="false">IF(CY22=1,MAX(0,(Slot9_Cost-CZ22*(1+Slot9_Rate)^(Slot9_Age-D22))/KQ22),0)</f>
        <v>0</v>
      </c>
      <c r="KW22" s="1" t="n">
        <f aca="false">IF(AND(HT22=1,CY22=1),MIN(KP22,KU22),0)</f>
        <v>0</v>
      </c>
      <c r="KX22" s="1" t="n">
        <f aca="false">KP22-KW22</f>
        <v>0</v>
      </c>
      <c r="KY22" s="1" t="n">
        <f aca="false">IF(DI22=1,IF(ABS((1+AS_Wage)/(1+Slot10_Rate)-1)&lt;0.000000000001,(Slot10_Age-D22)*(1+Slot10_Rate)^(Slot10_Age-D22),(1+Slot10_Rate)^(Slot10_Age-D22)*(1-((1+AS_Wage)/(1+Slot10_Rate))^(Slot10_Age-D22))/(1-(1+AS_Wage)/(1+Slot10_Rate))),1)</f>
        <v>1</v>
      </c>
      <c r="KZ22" s="1" t="n">
        <f aca="false">IF(AND(HT22=1,ID22&gt;0,Slot10_IsWG=1,DI22=1),MAX(0,(Slot10_Cost-DJ22*(1+Slot10_Rate)^(Slot10_Age-D22))/KY22),0)</f>
        <v>0</v>
      </c>
      <c r="LA22" s="1" t="n">
        <f aca="false">IF(AND(HT22=1,ID22&gt;0,Slot10_IsWG=1,DI22=1),MIN(ID22,KZ22),0)</f>
        <v>0</v>
      </c>
      <c r="LB22" s="1" t="n">
        <f aca="false">DJ22+LA22</f>
        <v>0</v>
      </c>
      <c r="LC22" s="1" t="n">
        <f aca="false">IF(DI22=1,MAX(0,(Slot10_Cost-LB22*(1+Slot10_Rate)^(Slot10_Age-D22))/KY22),0)</f>
        <v>0</v>
      </c>
      <c r="LD22" s="1" t="n">
        <f aca="false">IF(DI22=1,MAX(0,(Slot10_Cost-DJ22*(1+Slot10_Rate)^(Slot10_Age-D22))/KY22),0)</f>
        <v>0</v>
      </c>
      <c r="LE22" s="1" t="n">
        <f aca="false">IF(AND(HT22=1,DI22=1),MIN(KX22,LC22),0)</f>
        <v>0</v>
      </c>
      <c r="LF22" s="1" t="n">
        <f aca="false">KX22-LE22</f>
        <v>0</v>
      </c>
      <c r="LG22" s="1" t="n">
        <f aca="false">IF(DS22=1,IF(ABS((1+AS_Wage)/(1+Slot11_Rate)-1)&lt;0.000000000001,(Slot11_Age-D22)*(1+Slot11_Rate)^(Slot11_Age-D22),(1+Slot11_Rate)^(Slot11_Age-D22)*(1-((1+AS_Wage)/(1+Slot11_Rate))^(Slot11_Age-D22))/(1-(1+AS_Wage)/(1+Slot11_Rate))),1)</f>
        <v>1</v>
      </c>
      <c r="LH22" s="1" t="n">
        <f aca="false">IF(AND(HT22=1,ID22&gt;0,Slot11_IsWG=1,DS22=1),MAX(0,(Slot11_Cost-DT22*(1+Slot11_Rate)^(Slot11_Age-D22))/LG22),0)</f>
        <v>0</v>
      </c>
      <c r="LI22" s="1" t="n">
        <f aca="false">IF(AND(HT22=1,ID22&gt;0,Slot11_IsWG=1,DS22=1),MIN(ID22,LH22),0)</f>
        <v>0</v>
      </c>
      <c r="LJ22" s="1" t="n">
        <f aca="false">DT22+LI22</f>
        <v>0</v>
      </c>
      <c r="LK22" s="1" t="n">
        <f aca="false">IF(DS22=1,MAX(0,(Slot11_Cost-LJ22*(1+Slot11_Rate)^(Slot11_Age-D22))/LG22),0)</f>
        <v>0</v>
      </c>
      <c r="LL22" s="1" t="n">
        <f aca="false">IF(DS22=1,MAX(0,(Slot11_Cost-DT22*(1+Slot11_Rate)^(Slot11_Age-D22))/LG22),0)</f>
        <v>0</v>
      </c>
      <c r="LM22" s="1" t="n">
        <f aca="false">IF(AND(HT22=1,DS22=1),MIN(LF22,LK22),0)</f>
        <v>0</v>
      </c>
      <c r="LN22" s="1" t="n">
        <f aca="false">LF22-LM22</f>
        <v>0</v>
      </c>
      <c r="LO22" s="1" t="n">
        <f aca="false">IF(EC22=1,IF(ABS((1+AS_Wage)/(1+Slot12_Rate)-1)&lt;0.000000000001,(Slot12_Age-D22)*(1+Slot12_Rate)^(Slot12_Age-D22),(1+Slot12_Rate)^(Slot12_Age-D22)*(1-((1+AS_Wage)/(1+Slot12_Rate))^(Slot12_Age-D22))/(1-(1+AS_Wage)/(1+Slot12_Rate))),1)</f>
        <v>1</v>
      </c>
      <c r="LP22" s="1" t="n">
        <f aca="false">IF(AND(HT22=1,ID22&gt;0,Slot12_IsWG=1,EC22=1),MAX(0,(Slot12_Cost-ED22*(1+Slot12_Rate)^(Slot12_Age-D22))/LO22),0)</f>
        <v>0</v>
      </c>
      <c r="LQ22" s="1" t="n">
        <f aca="false">IF(AND(HT22=1,ID22&gt;0,Slot12_IsWG=1,EC22=1),MIN(ID22,LP22),0)</f>
        <v>0</v>
      </c>
      <c r="LR22" s="1" t="n">
        <f aca="false">ED22+LQ22</f>
        <v>0</v>
      </c>
      <c r="LS22" s="1" t="n">
        <f aca="false">IF(EC22=1,MAX(0,(Slot12_Cost-LR22*(1+Slot12_Rate)^(Slot12_Age-D22))/LO22),0)</f>
        <v>0</v>
      </c>
      <c r="LT22" s="1" t="n">
        <f aca="false">IF(EC22=1,MAX(0,(Slot12_Cost-ED22*(1+Slot12_Rate)^(Slot12_Age-D22))/LO22),0)</f>
        <v>0</v>
      </c>
      <c r="LU22" s="1" t="n">
        <f aca="false">IF(AND(HT22=1,EC22=1),MIN(LN22,LS22),0)</f>
        <v>0</v>
      </c>
      <c r="LV22" s="1" t="n">
        <f aca="false">LN22-LU22</f>
        <v>0</v>
      </c>
      <c r="LW22" s="1" t="n">
        <f aca="false">IF(EM22=1,IF(ABS((1+AS_Wage)/(1+Slot13_Rate)-1)&lt;0.000000000001,(Slot13_Age-D22)*(1+Slot13_Rate)^(Slot13_Age-D22),(1+Slot13_Rate)^(Slot13_Age-D22)*(1-((1+AS_Wage)/(1+Slot13_Rate))^(Slot13_Age-D22))/(1-(1+AS_Wage)/(1+Slot13_Rate))),1)</f>
        <v>1</v>
      </c>
      <c r="LX22" s="1" t="n">
        <f aca="false">IF(AND(HT22=1,ID22&gt;0,Slot13_IsWG=1,EM22=1),MAX(0,(Slot13_Cost-EN22*(1+Slot13_Rate)^(Slot13_Age-D22))/LW22),0)</f>
        <v>0</v>
      </c>
      <c r="LY22" s="1" t="n">
        <f aca="false">IF(AND(HT22=1,ID22&gt;0,Slot13_IsWG=1,EM22=1),MIN(ID22,LX22),0)</f>
        <v>0</v>
      </c>
      <c r="LZ22" s="1" t="n">
        <f aca="false">EN22+LY22</f>
        <v>0</v>
      </c>
      <c r="MA22" s="1" t="n">
        <f aca="false">IF(EM22=1,MAX(0,(Slot13_Cost-LZ22*(1+Slot13_Rate)^(Slot13_Age-D22))/LW22),0)</f>
        <v>0</v>
      </c>
      <c r="MB22" s="1" t="n">
        <f aca="false">IF(EM22=1,MAX(0,(Slot13_Cost-EN22*(1+Slot13_Rate)^(Slot13_Age-D22))/LW22),0)</f>
        <v>0</v>
      </c>
      <c r="MC22" s="1" t="n">
        <f aca="false">IF(AND(HT22=1,EM22=1),MIN(LV22,MA22),0)</f>
        <v>0</v>
      </c>
      <c r="MD22" s="1" t="n">
        <f aca="false">LV22-MC22</f>
        <v>0</v>
      </c>
      <c r="ME22" s="1" t="n">
        <f aca="false">IF(EW22=1,IF(ABS((1+AS_Wage)/(1+Slot14_Rate)-1)&lt;0.000000000001,(Slot14_Age-D22)*(1+Slot14_Rate)^(Slot14_Age-D22),(1+Slot14_Rate)^(Slot14_Age-D22)*(1-((1+AS_Wage)/(1+Slot14_Rate))^(Slot14_Age-D22))/(1-(1+AS_Wage)/(1+Slot14_Rate))),1)</f>
        <v>1</v>
      </c>
      <c r="MF22" s="1" t="n">
        <f aca="false">IF(AND(HT22=1,ID22&gt;0,Slot14_IsWG=1,EW22=1),MAX(0,(Slot14_Cost-EX22*(1+Slot14_Rate)^(Slot14_Age-D22))/ME22),0)</f>
        <v>0</v>
      </c>
      <c r="MG22" s="1" t="n">
        <f aca="false">IF(AND(HT22=1,ID22&gt;0,Slot14_IsWG=1,EW22=1),MIN(ID22,MF22),0)</f>
        <v>0</v>
      </c>
      <c r="MH22" s="1" t="n">
        <f aca="false">EX22+MG22</f>
        <v>0</v>
      </c>
      <c r="MI22" s="1" t="n">
        <f aca="false">IF(EW22=1,MAX(0,(Slot14_Cost-MH22*(1+Slot14_Rate)^(Slot14_Age-D22))/ME22),0)</f>
        <v>0</v>
      </c>
      <c r="MJ22" s="1" t="n">
        <f aca="false">IF(EW22=1,MAX(0,(Slot14_Cost-EX22*(1+Slot14_Rate)^(Slot14_Age-D22))/ME22),0)</f>
        <v>0</v>
      </c>
      <c r="MK22" s="1" t="n">
        <f aca="false">IF(AND(HT22=1,EW22=1),MIN(MD22,MI22),0)</f>
        <v>0</v>
      </c>
      <c r="ML22" s="1" t="n">
        <f aca="false">MD22-MK22</f>
        <v>0</v>
      </c>
      <c r="MM22" s="1" t="n">
        <f aca="false">IF(FG22=1,IF(ABS((1+AS_Wage)/(1+Slot15_Rate)-1)&lt;0.000000000001,(Slot15_Age-D22)*(1+Slot15_Rate)^(Slot15_Age-D22),(1+Slot15_Rate)^(Slot15_Age-D22)*(1-((1+AS_Wage)/(1+Slot15_Rate))^(Slot15_Age-D22))/(1-(1+AS_Wage)/(1+Slot15_Rate))),1)</f>
        <v>1</v>
      </c>
      <c r="MN22" s="1" t="n">
        <f aca="false">IF(AND(HT22=1,ID22&gt;0,Slot15_IsWG=1,FG22=1),MAX(0,(Slot15_Cost-FH22*(1+Slot15_Rate)^(Slot15_Age-D22))/MM22),0)</f>
        <v>0</v>
      </c>
      <c r="MO22" s="1" t="n">
        <f aca="false">IF(AND(HT22=1,ID22&gt;0,Slot15_IsWG=1,FG22=1),MIN(ID22,MN22),0)</f>
        <v>0</v>
      </c>
      <c r="MP22" s="1" t="n">
        <f aca="false">FH22+MO22</f>
        <v>0</v>
      </c>
      <c r="MQ22" s="1" t="n">
        <f aca="false">IF(FG22=1,MAX(0,(Slot15_Cost-MP22*(1+Slot15_Rate)^(Slot15_Age-D22))/MM22),0)</f>
        <v>0</v>
      </c>
      <c r="MR22" s="1" t="n">
        <f aca="false">IF(FG22=1,MAX(0,(Slot15_Cost-FH22*(1+Slot15_Rate)^(Slot15_Age-D22))/MM22),0)</f>
        <v>0</v>
      </c>
      <c r="MS22" s="1" t="n">
        <f aca="false">IF(AND(HT22=1,FG22=1),MIN(ML22,MQ22),0)</f>
        <v>0</v>
      </c>
      <c r="MT22" s="1" t="n">
        <f aca="false">ML22-MS22</f>
        <v>0</v>
      </c>
      <c r="MU22" s="1" t="n">
        <f aca="false">IF(FQ22=1,IF(ABS((1+AS_Wage)/(1+Slot16_Rate)-1)&lt;0.000000000001,(Slot16_Age-D22)*(1+Slot16_Rate)^(Slot16_Age-D22),(1+Slot16_Rate)^(Slot16_Age-D22)*(1-((1+AS_Wage)/(1+Slot16_Rate))^(Slot16_Age-D22))/(1-(1+AS_Wage)/(1+Slot16_Rate))),1)</f>
        <v>1</v>
      </c>
      <c r="MV22" s="1" t="n">
        <f aca="false">IF(AND(HT22=1,ID22&gt;0,Slot16_IsWG=1,FQ22=1),MAX(0,(Slot16_Cost-FR22*(1+Slot16_Rate)^(Slot16_Age-D22))/MU22),0)</f>
        <v>0</v>
      </c>
      <c r="MW22" s="1" t="n">
        <f aca="false">IF(AND(HT22=1,ID22&gt;0,Slot16_IsWG=1,FQ22=1),MIN(ID22,MV22),0)</f>
        <v>0</v>
      </c>
      <c r="MX22" s="1" t="n">
        <f aca="false">FR22+MW22</f>
        <v>0</v>
      </c>
      <c r="MY22" s="1" t="n">
        <f aca="false">IF(FQ22=1,MAX(0,(Slot16_Cost-MX22*(1+Slot16_Rate)^(Slot16_Age-D22))/MU22),0)</f>
        <v>0</v>
      </c>
      <c r="MZ22" s="1" t="n">
        <f aca="false">IF(FQ22=1,MAX(0,(Slot16_Cost-FR22*(1+Slot16_Rate)^(Slot16_Age-D22))/MU22),0)</f>
        <v>0</v>
      </c>
      <c r="NA22" s="1" t="n">
        <f aca="false">IF(AND(HT22=1,FQ22=1),MIN(MT22,MY22),0)</f>
        <v>0</v>
      </c>
      <c r="NB22" s="1" t="n">
        <f aca="false">MT22-NA22</f>
        <v>0</v>
      </c>
      <c r="NC22" s="1" t="n">
        <f aca="false">IF(GA22=1,IF(ABS((1+AS_Wage)/(1+Slot17_Rate)-1)&lt;0.000000000001,(Slot17_Age-D22)*(1+Slot17_Rate)^(Slot17_Age-D22),(1+Slot17_Rate)^(Slot17_Age-D22)*(1-((1+AS_Wage)/(1+Slot17_Rate))^(Slot17_Age-D22))/(1-(1+AS_Wage)/(1+Slot17_Rate))),1)</f>
        <v>1</v>
      </c>
      <c r="ND22" s="1" t="n">
        <f aca="false">IF(AND(HT22=1,ID22&gt;0,Slot17_IsWG=1,GA22=1),MAX(0,(Slot17_Cost-GB22*(1+Slot17_Rate)^(Slot17_Age-D22))/NC22),0)</f>
        <v>0</v>
      </c>
      <c r="NE22" s="1" t="n">
        <f aca="false">IF(AND(HT22=1,ID22&gt;0,Slot17_IsWG=1,GA22=1),MIN(ID22,ND22),0)</f>
        <v>0</v>
      </c>
      <c r="NF22" s="1" t="n">
        <f aca="false">GB22+NE22</f>
        <v>0</v>
      </c>
      <c r="NG22" s="1" t="n">
        <f aca="false">IF(GA22=1,MAX(0,(Slot17_Cost-NF22*(1+Slot17_Rate)^(Slot17_Age-D22))/NC22),0)</f>
        <v>0</v>
      </c>
      <c r="NH22" s="1" t="n">
        <f aca="false">IF(GA22=1,MAX(0,(Slot17_Cost-GB22*(1+Slot17_Rate)^(Slot17_Age-D22))/NC22),0)</f>
        <v>0</v>
      </c>
      <c r="NI22" s="1" t="n">
        <f aca="false">IF(AND(HT22=1,GA22=1),MIN(NB22,NG22),0)</f>
        <v>0</v>
      </c>
      <c r="NJ22" s="1" t="n">
        <f aca="false">NB22-NI22</f>
        <v>0</v>
      </c>
      <c r="NK22" s="1" t="n">
        <f aca="false">IF(GK22=1,IF(ABS((1+AS_Wage)/(1+Slot18_Rate)-1)&lt;0.000000000001,(Slot18_Age-D22)*(1+Slot18_Rate)^(Slot18_Age-D22),(1+Slot18_Rate)^(Slot18_Age-D22)*(1-((1+AS_Wage)/(1+Slot18_Rate))^(Slot18_Age-D22))/(1-(1+AS_Wage)/(1+Slot18_Rate))),1)</f>
        <v>1</v>
      </c>
      <c r="NL22" s="1" t="n">
        <f aca="false">IF(AND(HT22=1,ID22&gt;0,Slot18_IsWG=1,GK22=1),MAX(0,(Slot18_Cost-GL22*(1+Slot18_Rate)^(Slot18_Age-D22))/NK22),0)</f>
        <v>0</v>
      </c>
      <c r="NM22" s="1" t="n">
        <f aca="false">IF(AND(HT22=1,ID22&gt;0,Slot18_IsWG=1,GK22=1),MIN(ID22,NL22),0)</f>
        <v>0</v>
      </c>
      <c r="NN22" s="1" t="n">
        <f aca="false">GL22+NM22</f>
        <v>0</v>
      </c>
      <c r="NO22" s="1" t="n">
        <f aca="false">IF(GK22=1,MAX(0,(Slot18_Cost-NN22*(1+Slot18_Rate)^(Slot18_Age-D22))/NK22),0)</f>
        <v>0</v>
      </c>
      <c r="NP22" s="1" t="n">
        <f aca="false">IF(GK22=1,MAX(0,(Slot18_Cost-GL22*(1+Slot18_Rate)^(Slot18_Age-D22))/NK22),0)</f>
        <v>0</v>
      </c>
      <c r="NQ22" s="1" t="n">
        <f aca="false">IF(AND(HT22=1,GK22=1),MIN(NJ22,NO22),0)</f>
        <v>0</v>
      </c>
      <c r="NR22" s="1" t="n">
        <f aca="false">NJ22-NQ22</f>
        <v>0</v>
      </c>
      <c r="NS22" s="1" t="n">
        <f aca="false">IF(GU22=1,IF(ABS((1+AS_Wage)/(1+Slot19_Rate)-1)&lt;0.000000000001,(Slot19_Age-D22)*(1+Slot19_Rate)^(Slot19_Age-D22),(1+Slot19_Rate)^(Slot19_Age-D22)*(1-((1+AS_Wage)/(1+Slot19_Rate))^(Slot19_Age-D22))/(1-(1+AS_Wage)/(1+Slot19_Rate))),1)</f>
        <v>1</v>
      </c>
      <c r="NT22" s="1" t="n">
        <f aca="false">IF(AND(HT22=1,ID22&gt;0,Slot19_IsWG=1,GU22=1),MAX(0,(Slot19_Cost-GV22*(1+Slot19_Rate)^(Slot19_Age-D22))/NS22),0)</f>
        <v>0</v>
      </c>
      <c r="NU22" s="1" t="n">
        <f aca="false">IF(AND(HT22=1,ID22&gt;0,Slot19_IsWG=1,GU22=1),MIN(ID22,NT22),0)</f>
        <v>0</v>
      </c>
      <c r="NV22" s="1" t="n">
        <f aca="false">GV22+NU22</f>
        <v>0</v>
      </c>
      <c r="NW22" s="1" t="n">
        <f aca="false">IF(GU22=1,MAX(0,(Slot19_Cost-NV22*(1+Slot19_Rate)^(Slot19_Age-D22))/NS22),0)</f>
        <v>0</v>
      </c>
      <c r="NX22" s="1" t="n">
        <f aca="false">IF(GU22=1,MAX(0,(Slot19_Cost-GV22*(1+Slot19_Rate)^(Slot19_Age-D22))/NS22),0)</f>
        <v>0</v>
      </c>
      <c r="NY22" s="1" t="n">
        <f aca="false">IF(AND(HT22=1,GU22=1),MIN(NR22,NW22),0)</f>
        <v>0</v>
      </c>
      <c r="NZ22" s="1" t="n">
        <f aca="false">NR22-NY22</f>
        <v>0</v>
      </c>
      <c r="OA22" s="1" t="n">
        <f aca="false">IF(HE22=1,IF(ABS((1+AS_Wage)/(1+Slot20_Rate)-1)&lt;0.000000000001,(Slot20_Age-D22)*(1+Slot20_Rate)^(Slot20_Age-D22),(1+Slot20_Rate)^(Slot20_Age-D22)*(1-((1+AS_Wage)/(1+Slot20_Rate))^(Slot20_Age-D22))/(1-(1+AS_Wage)/(1+Slot20_Rate))),1)</f>
        <v>1</v>
      </c>
      <c r="OB22" s="1" t="n">
        <f aca="false">IF(AND(HT22=1,ID22&gt;0,Slot20_IsWG=1,HE22=1),MAX(0,(Slot20_Cost-HF22*(1+Slot20_Rate)^(Slot20_Age-D22))/OA22),0)</f>
        <v>0</v>
      </c>
      <c r="OC22" s="1" t="n">
        <f aca="false">IF(AND(HT22=1,ID22&gt;0,Slot20_IsWG=1,HE22=1),MIN(ID22,OB22),0)</f>
        <v>0</v>
      </c>
      <c r="OD22" s="1" t="n">
        <f aca="false">HF22+OC22</f>
        <v>0</v>
      </c>
      <c r="OE22" s="1" t="n">
        <f aca="false">IF(HE22=1,MAX(0,(Slot20_Cost-OD22*(1+Slot20_Rate)^(Slot20_Age-D22))/OA22),0)</f>
        <v>0</v>
      </c>
      <c r="OF22" s="1" t="n">
        <f aca="false">IF(HE22=1,MAX(0,(Slot20_Cost-HF22*(1+Slot20_Rate)^(Slot20_Age-D22))/OA22),0)</f>
        <v>0</v>
      </c>
      <c r="OG22" s="1" t="n">
        <f aca="false">IF(AND(HT22=1,HE22=1),MIN(NZ22,OE22),0)</f>
        <v>0</v>
      </c>
      <c r="OH22" s="1" t="n">
        <f aca="false">NZ22-OG22</f>
        <v>0</v>
      </c>
      <c r="OI22" s="1" t="n">
        <f aca="false">ID22-(IG22+IO22+IW22+JE22+JM22+JU22+KC22+KK22+KS22+LA22+LI22+LQ22+LY22+MG22+MO22+MW22+NE22+NM22+NU22+OC22)</f>
        <v>0</v>
      </c>
      <c r="OJ22" s="1" t="n">
        <f aca="false">IF(HT22=1,HR22-IC22-ID22,0)</f>
        <v>0</v>
      </c>
      <c r="OK22" s="1" t="n">
        <f aca="false">IF(HT22=0,-HR22,0)</f>
        <v>0</v>
      </c>
      <c r="OL22" s="1" t="n">
        <f aca="false">MIN(OK22,HJ22)</f>
        <v>0</v>
      </c>
      <c r="OM22" s="1" t="n">
        <f aca="false">OK22-OL22</f>
        <v>0</v>
      </c>
      <c r="ON22" s="1" t="n">
        <f aca="false">MIN(OM22,HK22)</f>
        <v>0</v>
      </c>
      <c r="OO22" s="1" t="n">
        <f aca="false">OM22-ON22</f>
        <v>0</v>
      </c>
      <c r="OP22" s="1" t="n">
        <f aca="false">IF(AND(HT22=0,HE22=1,OO22&gt;0),MIN(OO22,HF22),0)</f>
        <v>0</v>
      </c>
      <c r="OQ22" s="1" t="n">
        <f aca="false">OO22-OP22</f>
        <v>0</v>
      </c>
      <c r="OR22" s="1" t="n">
        <f aca="false">IF(AND(HT22=0,GU22=1,OQ22&gt;0),MIN(OQ22,GV22),0)</f>
        <v>0</v>
      </c>
      <c r="OS22" s="1" t="n">
        <f aca="false">OQ22-OR22</f>
        <v>0</v>
      </c>
      <c r="OT22" s="1" t="n">
        <f aca="false">IF(AND(HT22=0,GK22=1,OS22&gt;0),MIN(OS22,GL22),0)</f>
        <v>0</v>
      </c>
      <c r="OU22" s="1" t="n">
        <f aca="false">OS22-OT22</f>
        <v>0</v>
      </c>
      <c r="OV22" s="1" t="n">
        <f aca="false">IF(AND(HT22=0,GA22=1,OU22&gt;0),MIN(OU22,GB22),0)</f>
        <v>0</v>
      </c>
      <c r="OW22" s="1" t="n">
        <f aca="false">OU22-OV22</f>
        <v>0</v>
      </c>
      <c r="OX22" s="1" t="n">
        <f aca="false">IF(AND(HT22=0,FQ22=1,OW22&gt;0),MIN(OW22,FR22),0)</f>
        <v>0</v>
      </c>
      <c r="OY22" s="1" t="n">
        <f aca="false">OW22-OX22</f>
        <v>0</v>
      </c>
      <c r="OZ22" s="1" t="n">
        <f aca="false">IF(AND(HT22=0,FG22=1,OY22&gt;0),MIN(OY22,FH22),0)</f>
        <v>0</v>
      </c>
      <c r="PA22" s="1" t="n">
        <f aca="false">OY22-OZ22</f>
        <v>0</v>
      </c>
      <c r="PB22" s="1" t="n">
        <f aca="false">IF(AND(HT22=0,EW22=1,PA22&gt;0),MIN(PA22,EX22),0)</f>
        <v>0</v>
      </c>
      <c r="PC22" s="1" t="n">
        <f aca="false">PA22-PB22</f>
        <v>0</v>
      </c>
      <c r="PD22" s="1" t="n">
        <f aca="false">IF(AND(HT22=0,EM22=1,PC22&gt;0),MIN(PC22,EN22),0)</f>
        <v>0</v>
      </c>
      <c r="PE22" s="1" t="n">
        <f aca="false">PC22-PD22</f>
        <v>0</v>
      </c>
      <c r="PF22" s="1" t="n">
        <f aca="false">IF(AND(HT22=0,EC22=1,PE22&gt;0),MIN(PE22,ED22),0)</f>
        <v>0</v>
      </c>
      <c r="PG22" s="1" t="n">
        <f aca="false">PE22-PF22</f>
        <v>0</v>
      </c>
      <c r="PH22" s="1" t="n">
        <f aca="false">IF(AND(HT22=0,DS22=1,PG22&gt;0),MIN(PG22,DT22),0)</f>
        <v>0</v>
      </c>
      <c r="PI22" s="1" t="n">
        <f aca="false">PG22-PH22</f>
        <v>0</v>
      </c>
      <c r="PJ22" s="1" t="n">
        <f aca="false">IF(AND(HT22=0,DI22=1,PI22&gt;0),MIN(PI22,DJ22),0)</f>
        <v>0</v>
      </c>
      <c r="PK22" s="1" t="n">
        <f aca="false">PI22-PJ22</f>
        <v>0</v>
      </c>
      <c r="PL22" s="1" t="n">
        <f aca="false">IF(AND(HT22=0,CY22=1,PK22&gt;0),MIN(PK22,CZ22),0)</f>
        <v>0</v>
      </c>
      <c r="PM22" s="1" t="n">
        <f aca="false">PK22-PL22</f>
        <v>0</v>
      </c>
      <c r="PN22" s="1" t="n">
        <f aca="false">IF(AND(HT22=0,CO22=1,PM22&gt;0),MIN(PM22,CP22),0)</f>
        <v>0</v>
      </c>
      <c r="PO22" s="1" t="n">
        <f aca="false">PM22-PN22</f>
        <v>0</v>
      </c>
      <c r="PP22" s="1" t="n">
        <f aca="false">IF(AND(HT22=0,CE22=1,PO22&gt;0),MIN(PO22,CF22),0)</f>
        <v>0</v>
      </c>
      <c r="PQ22" s="1" t="n">
        <f aca="false">PO22-PP22</f>
        <v>0</v>
      </c>
      <c r="PR22" s="1" t="n">
        <f aca="false">IF(AND(HT22=0,BU22=1,PQ22&gt;0),MIN(PQ22,BV22),0)</f>
        <v>0</v>
      </c>
      <c r="PS22" s="1" t="n">
        <f aca="false">PQ22-PR22</f>
        <v>0</v>
      </c>
      <c r="PT22" s="1" t="n">
        <f aca="false">IF(AND(HT22=0,BK22=1,PS22&gt;0),MIN(PS22,BL22),0)</f>
        <v>0</v>
      </c>
      <c r="PU22" s="1" t="n">
        <f aca="false">PS22-PT22</f>
        <v>0</v>
      </c>
      <c r="PV22" s="1" t="n">
        <f aca="false">IF(AND(HT22=0,BA22=1,PU22&gt;0),MIN(PU22,BB22),0)</f>
        <v>0</v>
      </c>
      <c r="PW22" s="1" t="n">
        <f aca="false">PU22-PV22</f>
        <v>0</v>
      </c>
      <c r="PX22" s="1" t="n">
        <f aca="false">IF(AND(HT22=0,AQ22=1,PW22&gt;0),MIN(PW22,AR22),0)</f>
        <v>0</v>
      </c>
      <c r="PY22" s="1" t="n">
        <f aca="false">PW22-PX22</f>
        <v>0</v>
      </c>
      <c r="PZ22" s="1" t="n">
        <f aca="false">IF(AND(HT22=0,AG22=1,PY22&gt;0),MIN(PY22,AH22),0)</f>
        <v>0</v>
      </c>
      <c r="QA22" s="1" t="n">
        <f aca="false">PY22-PZ22</f>
        <v>0</v>
      </c>
      <c r="QB22" s="1" t="n">
        <f aca="false">IF(AND(HT22=0,V22=1,QA22&gt;0),MIN(QA22,W22),0)</f>
        <v>0</v>
      </c>
      <c r="QC22" s="1" t="n">
        <f aca="false">QA22-QB22</f>
        <v>0</v>
      </c>
      <c r="QD22" s="1" t="n">
        <f aca="false">IF(HT22=0,QC22,0)</f>
        <v>0</v>
      </c>
      <c r="QE22" s="1" t="n">
        <f aca="false">OL22+ON22+QB22+PZ22+PX22+PV22+PT22+PR22+PP22+PN22+PL22+PJ22+PH22+PF22+PD22+PB22+OZ22+OX22+OV22+OT22+OR22+OP22</f>
        <v>0</v>
      </c>
      <c r="QF22" s="1" t="n">
        <f aca="false">IF(HT22=1,HJ22+OI22+OH22+IF(F22=1,0,OJ22),HJ22-OL22)</f>
        <v>0</v>
      </c>
      <c r="QG22" s="1" t="n">
        <f aca="false">HK22-ON22</f>
        <v>0</v>
      </c>
      <c r="QH22" s="1" t="n">
        <f aca="false">IF(HT22=1,IF(F22=1,IC22+ID22,HR22),0)</f>
        <v>0</v>
      </c>
      <c r="QI22" s="1" t="n">
        <f aca="false">IF(HT22=1,IF(F22=1,HR22-IC22-ID22,0),0)</f>
        <v>0</v>
      </c>
      <c r="QJ22" s="1" t="n">
        <f aca="false">QF22*(1+GR)</f>
        <v>0</v>
      </c>
      <c r="QK22" s="1" t="n">
        <f aca="false">QG22*(1+AS_Cash)</f>
        <v>0</v>
      </c>
      <c r="QL22" s="1" t="n">
        <f aca="false">IF(V22=1,IF(HT22=1,IH22+IK22,W22-QB22)*(1+Slot1_Rate),0)</f>
        <v>0</v>
      </c>
      <c r="QM22" s="1" t="n">
        <f aca="false">IF(AND(HT22=1,V22=1),(IG22+IK22)/E22,0)</f>
        <v>0</v>
      </c>
      <c r="QN22" s="1" t="n">
        <f aca="false">IF(B22=0,IG22+IK22,0)</f>
        <v>0</v>
      </c>
      <c r="QO22" s="1" t="n">
        <f aca="false">IF(B22=0,IF(HT22=1,II22,IJ22),0)</f>
        <v>0</v>
      </c>
      <c r="QP22" s="1" t="n">
        <f aca="false">IF(AG22=1,IF(HT22=1,IP22+IS22,AH22-PZ22)*(1+Slot2_Rate),0)</f>
        <v>0</v>
      </c>
      <c r="QQ22" s="1" t="n">
        <f aca="false">IF(AND(HT22=1,AG22=1),(IO22+IS22)/E22,0)</f>
        <v>0</v>
      </c>
      <c r="QR22" s="1" t="n">
        <f aca="false">IF(B22=0,IO22+IS22,0)</f>
        <v>0</v>
      </c>
      <c r="QS22" s="1" t="n">
        <f aca="false">IF(B22=0,IF(HT22=1,IQ22,IR22),0)</f>
        <v>0</v>
      </c>
      <c r="QT22" s="1" t="n">
        <f aca="false">IF(AQ22=1,IF(HT22=1,IX22+JA22,AR22-PX22)*(1+Slot3_Rate),0)</f>
        <v>0</v>
      </c>
      <c r="QU22" s="1" t="n">
        <f aca="false">IF(AND(HT22=1,AQ22=1),(IW22+JA22)/E22,0)</f>
        <v>0</v>
      </c>
      <c r="QV22" s="1" t="n">
        <f aca="false">IF(B22=0,IW22+JA22,0)</f>
        <v>0</v>
      </c>
      <c r="QW22" s="1" t="n">
        <f aca="false">IF(B22=0,IF(HT22=1,IY22,IZ22),0)</f>
        <v>0</v>
      </c>
      <c r="QX22" s="1" t="n">
        <f aca="false">IF(BA22=1,IF(HT22=1,JF22+JI22,BB22-PV22)*(1+Slot4_Rate),0)</f>
        <v>0</v>
      </c>
      <c r="QY22" s="1" t="n">
        <f aca="false">IF(AND(HT22=1,BA22=1),(JE22+JI22)/E22,0)</f>
        <v>0</v>
      </c>
      <c r="QZ22" s="1" t="n">
        <f aca="false">IF(B22=0,JE22+JI22,0)</f>
        <v>0</v>
      </c>
      <c r="RA22" s="1" t="n">
        <f aca="false">IF(B22=0,IF(HT22=1,JG22,JH22),0)</f>
        <v>0</v>
      </c>
      <c r="RB22" s="1" t="n">
        <f aca="false">IF(BK22=1,IF(HT22=1,JN22+JQ22,BL22-PT22)*(1+Slot5_Rate),0)</f>
        <v>0</v>
      </c>
      <c r="RC22" s="1" t="n">
        <f aca="false">IF(AND(HT22=1,BK22=1),(JM22+JQ22)/E22,0)</f>
        <v>0</v>
      </c>
      <c r="RD22" s="1" t="n">
        <f aca="false">IF(B22=0,JM22+JQ22,0)</f>
        <v>0</v>
      </c>
      <c r="RE22" s="1" t="n">
        <f aca="false">IF(B22=0,IF(HT22=1,JO22,JP22),0)</f>
        <v>0</v>
      </c>
      <c r="RF22" s="1" t="n">
        <f aca="false">IF(BU22=1,IF(HT22=1,JV22+JY22,BV22-PR22)*(1+Slot6_Rate),0)</f>
        <v>0</v>
      </c>
      <c r="RG22" s="1" t="n">
        <f aca="false">IF(AND(HT22=1,BU22=1),(JU22+JY22)/E22,0)</f>
        <v>0</v>
      </c>
      <c r="RH22" s="1" t="n">
        <f aca="false">IF(B22=0,JU22+JY22,0)</f>
        <v>0</v>
      </c>
      <c r="RI22" s="1" t="n">
        <f aca="false">IF(B22=0,IF(HT22=1,JW22,JX22),0)</f>
        <v>0</v>
      </c>
      <c r="RJ22" s="1" t="n">
        <f aca="false">IF(CE22=1,IF(HT22=1,KD22+KG22,CF22-PP22)*(1+Slot7_Rate),0)</f>
        <v>0</v>
      </c>
      <c r="RK22" s="1" t="n">
        <f aca="false">IF(AND(HT22=1,CE22=1),(KC22+KG22)/E22,0)</f>
        <v>0</v>
      </c>
      <c r="RL22" s="1" t="n">
        <f aca="false">IF(B22=0,KC22+KG22,0)</f>
        <v>0</v>
      </c>
      <c r="RM22" s="1" t="n">
        <f aca="false">IF(B22=0,IF(HT22=1,KE22,KF22),0)</f>
        <v>0</v>
      </c>
      <c r="RN22" s="1" t="n">
        <f aca="false">IF(CO22=1,IF(HT22=1,KL22+KO22,CP22-PN22)*(1+Slot8_Rate),0)</f>
        <v>0</v>
      </c>
      <c r="RO22" s="1" t="n">
        <f aca="false">IF(AND(HT22=1,CO22=1),(KK22+KO22)/E22,0)</f>
        <v>0</v>
      </c>
      <c r="RP22" s="1" t="n">
        <f aca="false">IF(B22=0,KK22+KO22,0)</f>
        <v>0</v>
      </c>
      <c r="RQ22" s="1" t="n">
        <f aca="false">IF(B22=0,IF(HT22=1,KM22,KN22),0)</f>
        <v>0</v>
      </c>
      <c r="RR22" s="1" t="n">
        <f aca="false">IF(CY22=1,IF(HT22=1,KT22+KW22,CZ22-PL22)*(1+Slot9_Rate),0)</f>
        <v>0</v>
      </c>
      <c r="RS22" s="1" t="n">
        <f aca="false">IF(AND(HT22=1,CY22=1),(KS22+KW22)/E22,0)</f>
        <v>0</v>
      </c>
      <c r="RT22" s="1" t="n">
        <f aca="false">IF(B22=0,KS22+KW22,0)</f>
        <v>0</v>
      </c>
      <c r="RU22" s="1" t="n">
        <f aca="false">IF(B22=0,IF(HT22=1,KU22,KV22),0)</f>
        <v>0</v>
      </c>
      <c r="RV22" s="1" t="n">
        <f aca="false">IF(DI22=1,IF(HT22=1,LB22+LE22,DJ22-PJ22)*(1+Slot10_Rate),0)</f>
        <v>0</v>
      </c>
      <c r="RW22" s="1" t="n">
        <f aca="false">IF(AND(HT22=1,DI22=1),(LA22+LE22)/E22,0)</f>
        <v>0</v>
      </c>
      <c r="RX22" s="1" t="n">
        <f aca="false">IF(B22=0,LA22+LE22,0)</f>
        <v>0</v>
      </c>
      <c r="RY22" s="1" t="n">
        <f aca="false">IF(B22=0,IF(HT22=1,LC22,LD22),0)</f>
        <v>0</v>
      </c>
      <c r="RZ22" s="1" t="n">
        <f aca="false">IF(DS22=1,IF(HT22=1,LJ22+LM22,DT22-PH22)*(1+Slot11_Rate),0)</f>
        <v>0</v>
      </c>
      <c r="SA22" s="1" t="n">
        <f aca="false">IF(AND(HT22=1,DS22=1),(LI22+LM22)/E22,0)</f>
        <v>0</v>
      </c>
      <c r="SB22" s="1" t="n">
        <f aca="false">IF(B22=0,LI22+LM22,0)</f>
        <v>0</v>
      </c>
      <c r="SC22" s="1" t="n">
        <f aca="false">IF(B22=0,IF(HT22=1,LK22,LL22),0)</f>
        <v>0</v>
      </c>
      <c r="SD22" s="1" t="n">
        <f aca="false">IF(EC22=1,IF(HT22=1,LR22+LU22,ED22-PF22)*(1+Slot12_Rate),0)</f>
        <v>0</v>
      </c>
      <c r="SE22" s="1" t="n">
        <f aca="false">IF(AND(HT22=1,EC22=1),(LQ22+LU22)/E22,0)</f>
        <v>0</v>
      </c>
      <c r="SF22" s="1" t="n">
        <f aca="false">IF(B22=0,LQ22+LU22,0)</f>
        <v>0</v>
      </c>
      <c r="SG22" s="1" t="n">
        <f aca="false">IF(B22=0,IF(HT22=1,LS22,LT22),0)</f>
        <v>0</v>
      </c>
      <c r="SH22" s="1" t="n">
        <f aca="false">IF(EM22=1,IF(HT22=1,LZ22+MC22,EN22-PD22)*(1+Slot13_Rate),0)</f>
        <v>0</v>
      </c>
      <c r="SI22" s="1" t="n">
        <f aca="false">IF(AND(HT22=1,EM22=1),(LY22+MC22)/E22,0)</f>
        <v>0</v>
      </c>
      <c r="SJ22" s="1" t="n">
        <f aca="false">IF(B22=0,LY22+MC22,0)</f>
        <v>0</v>
      </c>
      <c r="SK22" s="1" t="n">
        <f aca="false">IF(B22=0,IF(HT22=1,MA22,MB22),0)</f>
        <v>0</v>
      </c>
      <c r="SL22" s="1" t="n">
        <f aca="false">IF(EW22=1,IF(HT22=1,MH22+MK22,EX22-PB22)*(1+Slot14_Rate),0)</f>
        <v>0</v>
      </c>
      <c r="SM22" s="1" t="n">
        <f aca="false">IF(AND(HT22=1,EW22=1),(MG22+MK22)/E22,0)</f>
        <v>0</v>
      </c>
      <c r="SN22" s="1" t="n">
        <f aca="false">IF(B22=0,MG22+MK22,0)</f>
        <v>0</v>
      </c>
      <c r="SO22" s="1" t="n">
        <f aca="false">IF(B22=0,IF(HT22=1,MI22,MJ22),0)</f>
        <v>0</v>
      </c>
      <c r="SP22" s="1" t="n">
        <f aca="false">IF(FG22=1,IF(HT22=1,MP22+MS22,FH22-OZ22)*(1+Slot15_Rate),0)</f>
        <v>0</v>
      </c>
      <c r="SQ22" s="1" t="n">
        <f aca="false">IF(AND(HT22=1,FG22=1),(MO22+MS22)/E22,0)</f>
        <v>0</v>
      </c>
      <c r="SR22" s="1" t="n">
        <f aca="false">IF(B22=0,MO22+MS22,0)</f>
        <v>0</v>
      </c>
      <c r="SS22" s="1" t="n">
        <f aca="false">IF(B22=0,IF(HT22=1,MQ22,MR22),0)</f>
        <v>0</v>
      </c>
      <c r="ST22" s="1" t="n">
        <f aca="false">IF(FQ22=1,IF(HT22=1,MX22+NA22,FR22-OX22)*(1+Slot16_Rate),0)</f>
        <v>0</v>
      </c>
      <c r="SU22" s="1" t="n">
        <f aca="false">IF(AND(HT22=1,FQ22=1),(MW22+NA22)/E22,0)</f>
        <v>0</v>
      </c>
      <c r="SV22" s="1" t="n">
        <f aca="false">IF(B22=0,MW22+NA22,0)</f>
        <v>0</v>
      </c>
      <c r="SW22" s="1" t="n">
        <f aca="false">IF(B22=0,IF(HT22=1,MY22,MZ22),0)</f>
        <v>0</v>
      </c>
      <c r="SX22" s="1" t="n">
        <f aca="false">IF(GA22=1,IF(HT22=1,NF22+NI22,GB22-OV22)*(1+Slot17_Rate),0)</f>
        <v>0</v>
      </c>
      <c r="SY22" s="1" t="n">
        <f aca="false">IF(AND(HT22=1,GA22=1),(NE22+NI22)/E22,0)</f>
        <v>0</v>
      </c>
      <c r="SZ22" s="1" t="n">
        <f aca="false">IF(B22=0,NE22+NI22,0)</f>
        <v>0</v>
      </c>
      <c r="TA22" s="1" t="n">
        <f aca="false">IF(B22=0,IF(HT22=1,NG22,NH22),0)</f>
        <v>0</v>
      </c>
      <c r="TB22" s="1" t="n">
        <f aca="false">IF(GK22=1,IF(HT22=1,NN22+NQ22,GL22-OT22)*(1+Slot18_Rate),0)</f>
        <v>0</v>
      </c>
      <c r="TC22" s="1" t="n">
        <f aca="false">IF(AND(HT22=1,GK22=1),(NM22+NQ22)/E22,0)</f>
        <v>0</v>
      </c>
      <c r="TD22" s="1" t="n">
        <f aca="false">IF(B22=0,NM22+NQ22,0)</f>
        <v>0</v>
      </c>
      <c r="TE22" s="1" t="n">
        <f aca="false">IF(B22=0,IF(HT22=1,NO22,NP22),0)</f>
        <v>0</v>
      </c>
      <c r="TF22" s="1" t="n">
        <f aca="false">IF(GU22=1,IF(HT22=1,NV22+NY22,GV22-OR22)*(1+Slot19_Rate),0)</f>
        <v>0</v>
      </c>
      <c r="TG22" s="1" t="n">
        <f aca="false">IF(AND(HT22=1,GU22=1),(NU22+NY22)/E22,0)</f>
        <v>0</v>
      </c>
      <c r="TH22" s="1" t="n">
        <f aca="false">IF(B22=0,NU22+NY22,0)</f>
        <v>0</v>
      </c>
      <c r="TI22" s="1" t="n">
        <f aca="false">IF(B22=0,IF(HT22=1,NW22,NX22),0)</f>
        <v>0</v>
      </c>
      <c r="TJ22" s="1" t="n">
        <f aca="false">IF(HE22=1,IF(HT22=1,OD22+OG22,HF22-OP22)*(1+Slot20_Rate),0)</f>
        <v>0</v>
      </c>
      <c r="TK22" s="1" t="n">
        <f aca="false">IF(AND(HT22=1,HE22=1),(OC22+OG22)/E22,0)</f>
        <v>0</v>
      </c>
      <c r="TL22" s="1" t="n">
        <f aca="false">IF(B22=0,OC22+OG22,0)</f>
        <v>0</v>
      </c>
      <c r="TM22" s="1" t="n">
        <f aca="false">IF(B22=0,IF(HT22=1,OE22,OF22),0)</f>
        <v>0</v>
      </c>
      <c r="TN22" s="1" t="n">
        <f aca="false">QJ22+QK22+QL22+QP22+QT22+QX22+RB22+RF22+RJ22+RN22+RR22+RV22+RZ22+SD22+SH22+SL22+SP22+ST22+SX22+TB22+TF22+TJ22</f>
        <v>0</v>
      </c>
      <c r="TO22" s="1" t="n">
        <f aca="false">QD22+HO22</f>
        <v>0</v>
      </c>
      <c r="TP22" s="1" t="n">
        <f aca="false">H22+R22</f>
        <v>0</v>
      </c>
      <c r="TQ22" s="1" t="n">
        <f aca="false">1-F22</f>
        <v>0</v>
      </c>
      <c r="TR22" s="1" t="n">
        <f aca="false">IF(AND(RG_Exists=1,F22=0,C22=1),H22,0)</f>
        <v>0</v>
      </c>
      <c r="TS22" s="1" t="n">
        <f aca="false">IF(AND(RG_Exists=1,F22=0,C22=1),H22-MIN(QD22,H22),0)</f>
        <v>0</v>
      </c>
      <c r="TT22" s="1" t="n">
        <f aca="false">'Plan pay &amp; tax'!AD248</f>
        <v>0</v>
      </c>
      <c r="TU22" s="1" t="n">
        <f aca="false">IF(AND(C22=1,QD22&gt;MAX(PR_Short1,TP22*PR_Short2)),1,0)</f>
        <v>0</v>
      </c>
      <c r="TV22" s="1" t="n">
        <f aca="false">MIN(G22,H22+R22)</f>
        <v>0</v>
      </c>
      <c r="TW22" s="1" t="n">
        <f aca="false">QE22+MAX(0,HP22-HO22)</f>
        <v>0</v>
      </c>
      <c r="TX22" s="1" t="n">
        <f aca="false">QD22+HO22</f>
        <v>0</v>
      </c>
      <c r="TY22" s="1" t="n">
        <f aca="false">IF(AND(C22=1,TX22&gt;PR_MinShort),1,0)</f>
        <v>0</v>
      </c>
      <c r="TZ22" s="1" t="n">
        <f aca="false">IF(AND(C22=1,TY22=0,TW22&gt;PR_MinShort),1,0)</f>
        <v>0</v>
      </c>
      <c r="UA22" s="1" t="n">
        <f aca="false">IF(AND(C22=1,QD22&gt;PR_MinShort),1,0)</f>
        <v>0</v>
      </c>
      <c r="UB22" s="1" t="n">
        <f aca="false">IF(AND(C22=1,QE22&gt;1,UI22=0),1,0)</f>
        <v>0</v>
      </c>
      <c r="UC22" s="1" t="str">
        <f aca="false">IF(C22=0,"",IF(UI22=1,"Gap to plan for: short "&amp;"€"&amp;TEXT(ROUND(TO22,0),"#,##0"),IF(QE22&gt;1,"Using savings","Comfortable")))</f>
        <v>Comfortable</v>
      </c>
      <c r="UD22" s="1" t="n">
        <f aca="false">IF(AND(INT(D22/10)*10=90,B22&gt;0),80,INT(D22/10)*10)</f>
        <v>10</v>
      </c>
      <c r="UE22" s="1" t="n">
        <f aca="false">IF(B22=0,1,IF(UD22&lt;&gt;UD21,UE21+1,UE21))</f>
        <v>2</v>
      </c>
      <c r="UF22" s="1" t="n">
        <f aca="false">IF(AND(C22=1,F22=1,QD22&gt;MAX(PR_Short1,TP22*PR_Short2)),1,0)</f>
        <v>0</v>
      </c>
      <c r="UG22" s="1" t="n">
        <f aca="false">TQ22*TU22</f>
        <v>0</v>
      </c>
      <c r="UH22" s="1" t="n">
        <f aca="false">IF(AND(U22=1,Slot1_PctLow=1),1,0)+IF(AND(AF22=1,Slot2_PctLow=1),1,0)+IF(AND(AP22=1,Slot3_PctLow=1),1,0)+IF(AND(AZ22=1,Slot4_PctLow=1),1,0)+IF(AND(BJ22=1,Slot5_PctLow=1),1,0)+IF(AND(BT22=1,Slot6_PctLow=1),1,0)+IF(AND(CD22=1,Slot7_PctLow=1),1,0)+IF(AND(CN22=1,Slot8_PctLow=1),1,0)+IF(AND(CX22=1,Slot9_PctLow=1),1,0)+IF(AND(DH22=1,Slot10_PctLow=1),1,0)+IF(AND(DR22=1,Slot11_PctLow=1),1,0)+IF(AND(EB22=1,Slot12_PctLow=1),1,0)+IF(AND(EL22=1,Slot13_PctLow=1),1,0)+IF(AND(EV22=1,Slot14_PctLow=1),1,0)+IF(AND(FF22=1,Slot15_PctLow=1),1,0)+IF(AND(FP22=1,Slot16_PctLow=1),1,0)+IF(AND(FZ22=1,Slot17_PctLow=1),1,0)+IF(AND(GJ22=1,Slot18_PctLow=1),1,0)+IF(AND(GT22=1,Slot19_PctLow=1),1,0)+IF(AND(HD22=1,Slot20_PctLow=1),1,0)</f>
        <v>0</v>
      </c>
      <c r="UI22" s="1" t="n">
        <f aca="false">IF(C22=1,IF(OR(TU22=1,UH22&gt;0),1,0),0)</f>
        <v>0</v>
      </c>
    </row>
    <row r="23" customFormat="false" ht="15" hidden="false" customHeight="true" outlineLevel="0" collapsed="false">
      <c r="B23" s="1" t="n">
        <v>15</v>
      </c>
      <c r="C23" s="1" t="n">
        <f aca="false">IF(B23&lt;=F_N,1,0)</f>
        <v>1</v>
      </c>
      <c r="D23" s="1" t="n">
        <f aca="false">'Plan pay &amp; tax'!C249</f>
        <v>15</v>
      </c>
      <c r="E23" s="111" t="n">
        <f aca="false">'Plan pay &amp; tax'!E249</f>
        <v>1.34586833832413</v>
      </c>
      <c r="F23" s="1" t="n">
        <f aca="false">'Plan pay &amp; tax'!G249</f>
        <v>1</v>
      </c>
      <c r="G23" s="1" t="n">
        <f aca="false">'Plan pay &amp; tax'!BT249-'Plan pay &amp; tax'!BS249-'Plan pay &amp; tax'!R249</f>
        <v>0</v>
      </c>
      <c r="H23" s="1" t="n">
        <f aca="false">IF(F23=1,F_CostsM*12,IF(RG_Exists=1,RG_Amount,F_CostsM*12*AS_RetireSpend))*E23+F_OneOffY*E23</f>
        <v>0</v>
      </c>
      <c r="I23" s="1" t="n">
        <f aca="false">HQ22</f>
        <v>0</v>
      </c>
      <c r="J23" s="1" t="n">
        <f aca="false">IF(I23&gt;1,'Plan debt months'!AC23,0)</f>
        <v>0</v>
      </c>
      <c r="K23" s="1" t="n">
        <f aca="false">IF(I23&gt;1,'Plan debt months'!AB23,I23)</f>
        <v>0</v>
      </c>
      <c r="L23" s="1" t="n">
        <f aca="false">N22</f>
        <v>0</v>
      </c>
      <c r="M23" s="1" t="n">
        <f aca="false">IF(L23&gt;1,'Plan debt months'!BD23,0)</f>
        <v>0</v>
      </c>
      <c r="N23" s="1" t="n">
        <f aca="false">IF(L23&gt;1,'Plan debt months'!BC23,L23)</f>
        <v>0</v>
      </c>
      <c r="O23" s="1" t="n">
        <f aca="false">Q22</f>
        <v>0</v>
      </c>
      <c r="P23" s="1" t="n">
        <f aca="false">IF(O23&gt;1,'Plan debt months'!CE23,0)</f>
        <v>0</v>
      </c>
      <c r="Q23" s="1" t="n">
        <f aca="false">IF(O23&gt;1,'Plan debt months'!CD23,O23)</f>
        <v>0</v>
      </c>
      <c r="R23" s="1" t="n">
        <f aca="false">J23+M23+P23</f>
        <v>0</v>
      </c>
      <c r="S23" s="1" t="n">
        <f aca="false">QJ22+'Plan pay &amp; tax'!Y249</f>
        <v>0</v>
      </c>
      <c r="T23" s="1" t="n">
        <f aca="false">QJ22</f>
        <v>0</v>
      </c>
      <c r="U23" s="1" t="n">
        <f aca="false">IF(AND(Slot1_On=1,D23=Slot1_Age),1,0)</f>
        <v>0</v>
      </c>
      <c r="V23" s="1" t="n">
        <f aca="false">IF(AND(Slot1_On=1,Slot1_Age&gt;D23),1,0)</f>
        <v>0</v>
      </c>
      <c r="W23" s="1" t="n">
        <f aca="false">QL22</f>
        <v>0</v>
      </c>
      <c r="X23" s="1" t="n">
        <f aca="false">U23*MIN(Slot1_Cost,W23)</f>
        <v>0</v>
      </c>
      <c r="Y23" s="1" t="n">
        <f aca="false">U23*Slot1_SpendLike*MIN(Slot1_Cost-X23,S23)</f>
        <v>0</v>
      </c>
      <c r="Z23" s="1" t="n">
        <f aca="false">X23+Y23</f>
        <v>0</v>
      </c>
      <c r="AA23" s="1" t="n">
        <f aca="false">S23-Y23+U23*IF(Slot1_SpendLike=1,W23-X23,IF(Slot1_PotFree=1,W23,0))</f>
        <v>0</v>
      </c>
      <c r="AB23" s="1" t="n">
        <f aca="false">AE23+U23*Slot1_BufPot*W23</f>
        <v>0</v>
      </c>
      <c r="AC23" s="1" t="n">
        <f aca="false">IF(AND(U23=1,Slot1_IsMfree=1),IF(Z23&gt;=Slot1_Cost-1,0,MAX(0,K23-Z23)),K23)</f>
        <v>0</v>
      </c>
      <c r="AD23" s="1" t="n">
        <f aca="false">U23*(Slot1_Cost-Z23)</f>
        <v>0</v>
      </c>
      <c r="AE23" s="1" t="n">
        <f aca="false">QK22</f>
        <v>0</v>
      </c>
      <c r="AF23" s="1" t="n">
        <f aca="false">IF(AND(Slot2_On=1,D23=Slot2_Age),1,0)</f>
        <v>0</v>
      </c>
      <c r="AG23" s="1" t="n">
        <f aca="false">IF(AND(Slot2_On=1,Slot2_Age&gt;D23),1,0)</f>
        <v>0</v>
      </c>
      <c r="AH23" s="1" t="n">
        <f aca="false">QP22</f>
        <v>0</v>
      </c>
      <c r="AI23" s="1" t="n">
        <f aca="false">AF23*MIN(Slot2_Cost,AH23)</f>
        <v>0</v>
      </c>
      <c r="AJ23" s="1" t="n">
        <f aca="false">AF23*Slot2_SpendLike*MIN(Slot2_Cost-AI23,AA23)</f>
        <v>0</v>
      </c>
      <c r="AK23" s="1" t="n">
        <f aca="false">AI23+AJ23</f>
        <v>0</v>
      </c>
      <c r="AL23" s="1" t="n">
        <f aca="false">AA23-AJ23+AF23*IF(Slot2_SpendLike=1,AH23-AI23,IF(Slot2_PotFree=1,AH23,0))</f>
        <v>0</v>
      </c>
      <c r="AM23" s="1" t="n">
        <f aca="false">AB23+AF23*Slot2_BufPot*AH23</f>
        <v>0</v>
      </c>
      <c r="AN23" s="1" t="n">
        <f aca="false">IF(AND(AF23=1,Slot2_IsMfree=1),IF(AK23&gt;=Slot2_Cost-1,0,MAX(0,AC23-AK23)),AC23)</f>
        <v>0</v>
      </c>
      <c r="AO23" s="1" t="n">
        <f aca="false">AF23*(Slot2_Cost-AK23)</f>
        <v>0</v>
      </c>
      <c r="AP23" s="1" t="n">
        <f aca="false">IF(AND(Slot3_On=1,D23=Slot3_Age),1,0)</f>
        <v>0</v>
      </c>
      <c r="AQ23" s="1" t="n">
        <f aca="false">IF(AND(Slot3_On=1,Slot3_Age&gt;D23),1,0)</f>
        <v>0</v>
      </c>
      <c r="AR23" s="1" t="n">
        <f aca="false">QT22</f>
        <v>0</v>
      </c>
      <c r="AS23" s="1" t="n">
        <f aca="false">AP23*MIN(Slot3_Cost,AR23)</f>
        <v>0</v>
      </c>
      <c r="AT23" s="1" t="n">
        <f aca="false">AP23*Slot3_SpendLike*MIN(Slot3_Cost-AS23,AL23)</f>
        <v>0</v>
      </c>
      <c r="AU23" s="1" t="n">
        <f aca="false">AS23+AT23</f>
        <v>0</v>
      </c>
      <c r="AV23" s="1" t="n">
        <f aca="false">AL23-AT23+AP23*IF(Slot3_SpendLike=1,AR23-AS23,IF(Slot3_PotFree=1,AR23,0))</f>
        <v>0</v>
      </c>
      <c r="AW23" s="1" t="n">
        <f aca="false">AM23+AP23*Slot3_BufPot*AR23</f>
        <v>0</v>
      </c>
      <c r="AX23" s="1" t="n">
        <f aca="false">IF(AND(AP23=1,Slot3_IsMfree=1),IF(AU23&gt;=Slot3_Cost-1,0,MAX(0,AN23-AU23)),AN23)</f>
        <v>0</v>
      </c>
      <c r="AY23" s="1" t="n">
        <f aca="false">AP23*(Slot3_Cost-AU23)</f>
        <v>0</v>
      </c>
      <c r="AZ23" s="1" t="n">
        <f aca="false">IF(AND(Slot4_On=1,D23=Slot4_Age),1,0)</f>
        <v>0</v>
      </c>
      <c r="BA23" s="1" t="n">
        <f aca="false">IF(AND(Slot4_On=1,Slot4_Age&gt;D23),1,0)</f>
        <v>0</v>
      </c>
      <c r="BB23" s="1" t="n">
        <f aca="false">QX22</f>
        <v>0</v>
      </c>
      <c r="BC23" s="1" t="n">
        <f aca="false">AZ23*MIN(Slot4_Cost,BB23)</f>
        <v>0</v>
      </c>
      <c r="BD23" s="1" t="n">
        <f aca="false">AZ23*Slot4_SpendLike*MIN(Slot4_Cost-BC23,AV23)</f>
        <v>0</v>
      </c>
      <c r="BE23" s="1" t="n">
        <f aca="false">BC23+BD23</f>
        <v>0</v>
      </c>
      <c r="BF23" s="1" t="n">
        <f aca="false">AV23-BD23+AZ23*IF(Slot4_SpendLike=1,BB23-BC23,IF(Slot4_PotFree=1,BB23,0))</f>
        <v>0</v>
      </c>
      <c r="BG23" s="1" t="n">
        <f aca="false">AW23+AZ23*Slot4_BufPot*BB23</f>
        <v>0</v>
      </c>
      <c r="BH23" s="1" t="n">
        <f aca="false">IF(AND(AZ23=1,Slot4_IsMfree=1),IF(BE23&gt;=Slot4_Cost-1,0,MAX(0,AX23-BE23)),AX23)</f>
        <v>0</v>
      </c>
      <c r="BI23" s="1" t="n">
        <f aca="false">AZ23*(Slot4_Cost-BE23)</f>
        <v>0</v>
      </c>
      <c r="BJ23" s="1" t="n">
        <f aca="false">IF(AND(Slot5_On=1,D23=Slot5_Age),1,0)</f>
        <v>0</v>
      </c>
      <c r="BK23" s="1" t="n">
        <f aca="false">IF(AND(Slot5_On=1,Slot5_Age&gt;D23),1,0)</f>
        <v>0</v>
      </c>
      <c r="BL23" s="1" t="n">
        <f aca="false">RB22</f>
        <v>0</v>
      </c>
      <c r="BM23" s="1" t="n">
        <f aca="false">BJ23*MIN(Slot5_Cost,BL23)</f>
        <v>0</v>
      </c>
      <c r="BN23" s="1" t="n">
        <f aca="false">BJ23*Slot5_SpendLike*MIN(Slot5_Cost-BM23,BF23)</f>
        <v>0</v>
      </c>
      <c r="BO23" s="1" t="n">
        <f aca="false">BM23+BN23</f>
        <v>0</v>
      </c>
      <c r="BP23" s="1" t="n">
        <f aca="false">BF23-BN23+BJ23*IF(Slot5_SpendLike=1,BL23-BM23,IF(Slot5_PotFree=1,BL23,0))</f>
        <v>0</v>
      </c>
      <c r="BQ23" s="1" t="n">
        <f aca="false">BG23+BJ23*Slot5_BufPot*BL23</f>
        <v>0</v>
      </c>
      <c r="BR23" s="1" t="n">
        <f aca="false">IF(AND(BJ23=1,Slot5_IsMfree=1),IF(BO23&gt;=Slot5_Cost-1,0,MAX(0,BH23-BO23)),BH23)</f>
        <v>0</v>
      </c>
      <c r="BS23" s="1" t="n">
        <f aca="false">BJ23*(Slot5_Cost-BO23)</f>
        <v>0</v>
      </c>
      <c r="BT23" s="1" t="n">
        <f aca="false">IF(AND(Slot6_On=1,D23=Slot6_Age),1,0)</f>
        <v>0</v>
      </c>
      <c r="BU23" s="1" t="n">
        <f aca="false">IF(AND(Slot6_On=1,Slot6_Age&gt;D23),1,0)</f>
        <v>0</v>
      </c>
      <c r="BV23" s="1" t="n">
        <f aca="false">RF22</f>
        <v>0</v>
      </c>
      <c r="BW23" s="1" t="n">
        <f aca="false">BT23*MIN(Slot6_Cost,BV23)</f>
        <v>0</v>
      </c>
      <c r="BX23" s="1" t="n">
        <f aca="false">BT23*Slot6_SpendLike*MIN(Slot6_Cost-BW23,BP23)</f>
        <v>0</v>
      </c>
      <c r="BY23" s="1" t="n">
        <f aca="false">BW23+BX23</f>
        <v>0</v>
      </c>
      <c r="BZ23" s="1" t="n">
        <f aca="false">BP23-BX23+BT23*IF(Slot6_SpendLike=1,BV23-BW23,IF(Slot6_PotFree=1,BV23,0))</f>
        <v>0</v>
      </c>
      <c r="CA23" s="1" t="n">
        <f aca="false">BQ23+BT23*Slot6_BufPot*BV23</f>
        <v>0</v>
      </c>
      <c r="CB23" s="1" t="n">
        <f aca="false">IF(AND(BT23=1,Slot6_IsMfree=1),IF(BY23&gt;=Slot6_Cost-1,0,MAX(0,BR23-BY23)),BR23)</f>
        <v>0</v>
      </c>
      <c r="CC23" s="1" t="n">
        <f aca="false">BT23*(Slot6_Cost-BY23)</f>
        <v>0</v>
      </c>
      <c r="CD23" s="1" t="n">
        <f aca="false">IF(AND(Slot7_On=1,D23=Slot7_Age),1,0)</f>
        <v>0</v>
      </c>
      <c r="CE23" s="1" t="n">
        <f aca="false">IF(AND(Slot7_On=1,Slot7_Age&gt;D23),1,0)</f>
        <v>0</v>
      </c>
      <c r="CF23" s="1" t="n">
        <f aca="false">RJ22</f>
        <v>0</v>
      </c>
      <c r="CG23" s="1" t="n">
        <f aca="false">CD23*MIN(Slot7_Cost,CF23)</f>
        <v>0</v>
      </c>
      <c r="CH23" s="1" t="n">
        <f aca="false">CD23*Slot7_SpendLike*MIN(Slot7_Cost-CG23,BZ23)</f>
        <v>0</v>
      </c>
      <c r="CI23" s="1" t="n">
        <f aca="false">CG23+CH23</f>
        <v>0</v>
      </c>
      <c r="CJ23" s="1" t="n">
        <f aca="false">BZ23-CH23+CD23*IF(Slot7_SpendLike=1,CF23-CG23,IF(Slot7_PotFree=1,CF23,0))</f>
        <v>0</v>
      </c>
      <c r="CK23" s="1" t="n">
        <f aca="false">CA23+CD23*Slot7_BufPot*CF23</f>
        <v>0</v>
      </c>
      <c r="CL23" s="1" t="n">
        <f aca="false">IF(AND(CD23=1,Slot7_IsMfree=1),IF(CI23&gt;=Slot7_Cost-1,0,MAX(0,CB23-CI23)),CB23)</f>
        <v>0</v>
      </c>
      <c r="CM23" s="1" t="n">
        <f aca="false">CD23*(Slot7_Cost-CI23)</f>
        <v>0</v>
      </c>
      <c r="CN23" s="1" t="n">
        <f aca="false">IF(AND(Slot8_On=1,D23=Slot8_Age),1,0)</f>
        <v>0</v>
      </c>
      <c r="CO23" s="1" t="n">
        <f aca="false">IF(AND(Slot8_On=1,Slot8_Age&gt;D23),1,0)</f>
        <v>0</v>
      </c>
      <c r="CP23" s="1" t="n">
        <f aca="false">RN22</f>
        <v>0</v>
      </c>
      <c r="CQ23" s="1" t="n">
        <f aca="false">CN23*MIN(Slot8_Cost,CP23)</f>
        <v>0</v>
      </c>
      <c r="CR23" s="1" t="n">
        <f aca="false">CN23*Slot8_SpendLike*MIN(Slot8_Cost-CQ23,CJ23)</f>
        <v>0</v>
      </c>
      <c r="CS23" s="1" t="n">
        <f aca="false">CQ23+CR23</f>
        <v>0</v>
      </c>
      <c r="CT23" s="1" t="n">
        <f aca="false">CJ23-CR23+CN23*IF(Slot8_SpendLike=1,CP23-CQ23,IF(Slot8_PotFree=1,CP23,0))</f>
        <v>0</v>
      </c>
      <c r="CU23" s="1" t="n">
        <f aca="false">CK23+CN23*Slot8_BufPot*CP23</f>
        <v>0</v>
      </c>
      <c r="CV23" s="1" t="n">
        <f aca="false">IF(AND(CN23=1,Slot8_IsMfree=1),IF(CS23&gt;=Slot8_Cost-1,0,MAX(0,CL23-CS23)),CL23)</f>
        <v>0</v>
      </c>
      <c r="CW23" s="1" t="n">
        <f aca="false">CN23*(Slot8_Cost-CS23)</f>
        <v>0</v>
      </c>
      <c r="CX23" s="1" t="n">
        <f aca="false">IF(AND(Slot9_On=1,D23=Slot9_Age),1,0)</f>
        <v>0</v>
      </c>
      <c r="CY23" s="1" t="n">
        <f aca="false">IF(AND(Slot9_On=1,Slot9_Age&gt;D23),1,0)</f>
        <v>0</v>
      </c>
      <c r="CZ23" s="1" t="n">
        <f aca="false">RR22</f>
        <v>0</v>
      </c>
      <c r="DA23" s="1" t="n">
        <f aca="false">CX23*MIN(Slot9_Cost,CZ23)</f>
        <v>0</v>
      </c>
      <c r="DB23" s="1" t="n">
        <f aca="false">CX23*Slot9_SpendLike*MIN(Slot9_Cost-DA23,CT23)</f>
        <v>0</v>
      </c>
      <c r="DC23" s="1" t="n">
        <f aca="false">DA23+DB23</f>
        <v>0</v>
      </c>
      <c r="DD23" s="1" t="n">
        <f aca="false">CT23-DB23+CX23*IF(Slot9_SpendLike=1,CZ23-DA23,IF(Slot9_PotFree=1,CZ23,0))</f>
        <v>0</v>
      </c>
      <c r="DE23" s="1" t="n">
        <f aca="false">CU23+CX23*Slot9_BufPot*CZ23</f>
        <v>0</v>
      </c>
      <c r="DF23" s="1" t="n">
        <f aca="false">IF(AND(CX23=1,Slot9_IsMfree=1),IF(DC23&gt;=Slot9_Cost-1,0,MAX(0,CV23-DC23)),CV23)</f>
        <v>0</v>
      </c>
      <c r="DG23" s="1" t="n">
        <f aca="false">CX23*(Slot9_Cost-DC23)</f>
        <v>0</v>
      </c>
      <c r="DH23" s="1" t="n">
        <f aca="false">IF(AND(Slot10_On=1,D23=Slot10_Age),1,0)</f>
        <v>0</v>
      </c>
      <c r="DI23" s="1" t="n">
        <f aca="false">IF(AND(Slot10_On=1,Slot10_Age&gt;D23),1,0)</f>
        <v>0</v>
      </c>
      <c r="DJ23" s="1" t="n">
        <f aca="false">RV22</f>
        <v>0</v>
      </c>
      <c r="DK23" s="1" t="n">
        <f aca="false">DH23*MIN(Slot10_Cost,DJ23)</f>
        <v>0</v>
      </c>
      <c r="DL23" s="1" t="n">
        <f aca="false">DH23*Slot10_SpendLike*MIN(Slot10_Cost-DK23,DD23)</f>
        <v>0</v>
      </c>
      <c r="DM23" s="1" t="n">
        <f aca="false">DK23+DL23</f>
        <v>0</v>
      </c>
      <c r="DN23" s="1" t="n">
        <f aca="false">DD23-DL23+DH23*IF(Slot10_SpendLike=1,DJ23-DK23,IF(Slot10_PotFree=1,DJ23,0))</f>
        <v>0</v>
      </c>
      <c r="DO23" s="1" t="n">
        <f aca="false">DE23+DH23*Slot10_BufPot*DJ23</f>
        <v>0</v>
      </c>
      <c r="DP23" s="1" t="n">
        <f aca="false">IF(AND(DH23=1,Slot10_IsMfree=1),IF(DM23&gt;=Slot10_Cost-1,0,MAX(0,DF23-DM23)),DF23)</f>
        <v>0</v>
      </c>
      <c r="DQ23" s="1" t="n">
        <f aca="false">DH23*(Slot10_Cost-DM23)</f>
        <v>0</v>
      </c>
      <c r="DR23" s="1" t="n">
        <f aca="false">IF(AND(Slot11_On=1,D23=Slot11_Age),1,0)</f>
        <v>0</v>
      </c>
      <c r="DS23" s="1" t="n">
        <f aca="false">IF(AND(Slot11_On=1,Slot11_Age&gt;D23),1,0)</f>
        <v>0</v>
      </c>
      <c r="DT23" s="1" t="n">
        <f aca="false">RZ22</f>
        <v>0</v>
      </c>
      <c r="DU23" s="1" t="n">
        <f aca="false">DR23*MIN(Slot11_Cost,DT23)</f>
        <v>0</v>
      </c>
      <c r="DV23" s="1" t="n">
        <f aca="false">DR23*Slot11_SpendLike*MIN(Slot11_Cost-DU23,DN23)</f>
        <v>0</v>
      </c>
      <c r="DW23" s="1" t="n">
        <f aca="false">DU23+DV23</f>
        <v>0</v>
      </c>
      <c r="DX23" s="1" t="n">
        <f aca="false">DN23-DV23+DR23*IF(Slot11_SpendLike=1,DT23-DU23,IF(Slot11_PotFree=1,DT23,0))</f>
        <v>0</v>
      </c>
      <c r="DY23" s="1" t="n">
        <f aca="false">DO23+DR23*Slot11_BufPot*DT23</f>
        <v>0</v>
      </c>
      <c r="DZ23" s="1" t="n">
        <f aca="false">IF(AND(DR23=1,Slot11_IsMfree=1),IF(DW23&gt;=Slot11_Cost-1,0,MAX(0,DP23-DW23)),DP23)</f>
        <v>0</v>
      </c>
      <c r="EA23" s="1" t="n">
        <f aca="false">DR23*(Slot11_Cost-DW23)</f>
        <v>0</v>
      </c>
      <c r="EB23" s="1" t="n">
        <f aca="false">IF(AND(Slot12_On=1,D23=Slot12_Age),1,0)</f>
        <v>0</v>
      </c>
      <c r="EC23" s="1" t="n">
        <f aca="false">IF(AND(Slot12_On=1,Slot12_Age&gt;D23),1,0)</f>
        <v>0</v>
      </c>
      <c r="ED23" s="1" t="n">
        <f aca="false">SD22</f>
        <v>0</v>
      </c>
      <c r="EE23" s="1" t="n">
        <f aca="false">EB23*MIN(Slot12_Cost,ED23)</f>
        <v>0</v>
      </c>
      <c r="EF23" s="1" t="n">
        <f aca="false">EB23*Slot12_SpendLike*MIN(Slot12_Cost-EE23,DX23)</f>
        <v>0</v>
      </c>
      <c r="EG23" s="1" t="n">
        <f aca="false">EE23+EF23</f>
        <v>0</v>
      </c>
      <c r="EH23" s="1" t="n">
        <f aca="false">DX23-EF23+EB23*IF(Slot12_SpendLike=1,ED23-EE23,IF(Slot12_PotFree=1,ED23,0))</f>
        <v>0</v>
      </c>
      <c r="EI23" s="1" t="n">
        <f aca="false">DY23+EB23*Slot12_BufPot*ED23</f>
        <v>0</v>
      </c>
      <c r="EJ23" s="1" t="n">
        <f aca="false">IF(AND(EB23=1,Slot12_IsMfree=1),IF(EG23&gt;=Slot12_Cost-1,0,MAX(0,DZ23-EG23)),DZ23)</f>
        <v>0</v>
      </c>
      <c r="EK23" s="1" t="n">
        <f aca="false">EB23*(Slot12_Cost-EG23)</f>
        <v>0</v>
      </c>
      <c r="EL23" s="1" t="n">
        <f aca="false">IF(AND(Slot13_On=1,D23=Slot13_Age),1,0)</f>
        <v>0</v>
      </c>
      <c r="EM23" s="1" t="n">
        <f aca="false">IF(AND(Slot13_On=1,Slot13_Age&gt;D23),1,0)</f>
        <v>0</v>
      </c>
      <c r="EN23" s="1" t="n">
        <f aca="false">SH22</f>
        <v>0</v>
      </c>
      <c r="EO23" s="1" t="n">
        <f aca="false">EL23*MIN(Slot13_Cost,EN23)</f>
        <v>0</v>
      </c>
      <c r="EP23" s="1" t="n">
        <f aca="false">EL23*Slot13_SpendLike*MIN(Slot13_Cost-EO23,EH23)</f>
        <v>0</v>
      </c>
      <c r="EQ23" s="1" t="n">
        <f aca="false">EO23+EP23</f>
        <v>0</v>
      </c>
      <c r="ER23" s="1" t="n">
        <f aca="false">EH23-EP23+EL23*IF(Slot13_SpendLike=1,EN23-EO23,IF(Slot13_PotFree=1,EN23,0))</f>
        <v>0</v>
      </c>
      <c r="ES23" s="1" t="n">
        <f aca="false">EI23+EL23*Slot13_BufPot*EN23</f>
        <v>0</v>
      </c>
      <c r="ET23" s="1" t="n">
        <f aca="false">IF(AND(EL23=1,Slot13_IsMfree=1),IF(EQ23&gt;=Slot13_Cost-1,0,MAX(0,EJ23-EQ23)),EJ23)</f>
        <v>0</v>
      </c>
      <c r="EU23" s="1" t="n">
        <f aca="false">EL23*(Slot13_Cost-EQ23)</f>
        <v>0</v>
      </c>
      <c r="EV23" s="1" t="n">
        <f aca="false">IF(AND(Slot14_On=1,D23=Slot14_Age),1,0)</f>
        <v>0</v>
      </c>
      <c r="EW23" s="1" t="n">
        <f aca="false">IF(AND(Slot14_On=1,Slot14_Age&gt;D23),1,0)</f>
        <v>0</v>
      </c>
      <c r="EX23" s="1" t="n">
        <f aca="false">SL22</f>
        <v>0</v>
      </c>
      <c r="EY23" s="1" t="n">
        <f aca="false">EV23*MIN(Slot14_Cost,EX23)</f>
        <v>0</v>
      </c>
      <c r="EZ23" s="1" t="n">
        <f aca="false">EV23*Slot14_SpendLike*MIN(Slot14_Cost-EY23,ER23)</f>
        <v>0</v>
      </c>
      <c r="FA23" s="1" t="n">
        <f aca="false">EY23+EZ23</f>
        <v>0</v>
      </c>
      <c r="FB23" s="1" t="n">
        <f aca="false">ER23-EZ23+EV23*IF(Slot14_SpendLike=1,EX23-EY23,IF(Slot14_PotFree=1,EX23,0))</f>
        <v>0</v>
      </c>
      <c r="FC23" s="1" t="n">
        <f aca="false">ES23+EV23*Slot14_BufPot*EX23</f>
        <v>0</v>
      </c>
      <c r="FD23" s="1" t="n">
        <f aca="false">IF(AND(EV23=1,Slot14_IsMfree=1),IF(FA23&gt;=Slot14_Cost-1,0,MAX(0,ET23-FA23)),ET23)</f>
        <v>0</v>
      </c>
      <c r="FE23" s="1" t="n">
        <f aca="false">EV23*(Slot14_Cost-FA23)</f>
        <v>0</v>
      </c>
      <c r="FF23" s="1" t="n">
        <f aca="false">IF(AND(Slot15_On=1,D23=Slot15_Age),1,0)</f>
        <v>0</v>
      </c>
      <c r="FG23" s="1" t="n">
        <f aca="false">IF(AND(Slot15_On=1,Slot15_Age&gt;D23),1,0)</f>
        <v>0</v>
      </c>
      <c r="FH23" s="1" t="n">
        <f aca="false">SP22</f>
        <v>0</v>
      </c>
      <c r="FI23" s="1" t="n">
        <f aca="false">FF23*MIN(Slot15_Cost,FH23)</f>
        <v>0</v>
      </c>
      <c r="FJ23" s="1" t="n">
        <f aca="false">FF23*Slot15_SpendLike*MIN(Slot15_Cost-FI23,FB23)</f>
        <v>0</v>
      </c>
      <c r="FK23" s="1" t="n">
        <f aca="false">FI23+FJ23</f>
        <v>0</v>
      </c>
      <c r="FL23" s="1" t="n">
        <f aca="false">FB23-FJ23+FF23*IF(Slot15_SpendLike=1,FH23-FI23,IF(Slot15_PotFree=1,FH23,0))</f>
        <v>0</v>
      </c>
      <c r="FM23" s="1" t="n">
        <f aca="false">FC23+FF23*Slot15_BufPot*FH23</f>
        <v>0</v>
      </c>
      <c r="FN23" s="1" t="n">
        <f aca="false">IF(AND(FF23=1,Slot15_IsMfree=1),IF(FK23&gt;=Slot15_Cost-1,0,MAX(0,FD23-FK23)),FD23)</f>
        <v>0</v>
      </c>
      <c r="FO23" s="1" t="n">
        <f aca="false">FF23*(Slot15_Cost-FK23)</f>
        <v>0</v>
      </c>
      <c r="FP23" s="1" t="n">
        <f aca="false">IF(AND(Slot16_On=1,D23=Slot16_Age),1,0)</f>
        <v>0</v>
      </c>
      <c r="FQ23" s="1" t="n">
        <f aca="false">IF(AND(Slot16_On=1,Slot16_Age&gt;D23),1,0)</f>
        <v>0</v>
      </c>
      <c r="FR23" s="1" t="n">
        <f aca="false">ST22</f>
        <v>0</v>
      </c>
      <c r="FS23" s="1" t="n">
        <f aca="false">FP23*MIN(Slot16_Cost,FR23)</f>
        <v>0</v>
      </c>
      <c r="FT23" s="1" t="n">
        <f aca="false">FP23*Slot16_SpendLike*MIN(Slot16_Cost-FS23,FL23)</f>
        <v>0</v>
      </c>
      <c r="FU23" s="1" t="n">
        <f aca="false">FS23+FT23</f>
        <v>0</v>
      </c>
      <c r="FV23" s="1" t="n">
        <f aca="false">FL23-FT23+FP23*IF(Slot16_SpendLike=1,FR23-FS23,IF(Slot16_PotFree=1,FR23,0))</f>
        <v>0</v>
      </c>
      <c r="FW23" s="1" t="n">
        <f aca="false">FM23+FP23*Slot16_BufPot*FR23</f>
        <v>0</v>
      </c>
      <c r="FX23" s="1" t="n">
        <f aca="false">IF(AND(FP23=1,Slot16_IsMfree=1),IF(FU23&gt;=Slot16_Cost-1,0,MAX(0,FN23-FU23)),FN23)</f>
        <v>0</v>
      </c>
      <c r="FY23" s="1" t="n">
        <f aca="false">FP23*(Slot16_Cost-FU23)</f>
        <v>0</v>
      </c>
      <c r="FZ23" s="1" t="n">
        <f aca="false">IF(AND(Slot17_On=1,D23=Slot17_Age),1,0)</f>
        <v>0</v>
      </c>
      <c r="GA23" s="1" t="n">
        <f aca="false">IF(AND(Slot17_On=1,Slot17_Age&gt;D23),1,0)</f>
        <v>0</v>
      </c>
      <c r="GB23" s="1" t="n">
        <f aca="false">SX22</f>
        <v>0</v>
      </c>
      <c r="GC23" s="1" t="n">
        <f aca="false">FZ23*MIN(Slot17_Cost,GB23)</f>
        <v>0</v>
      </c>
      <c r="GD23" s="1" t="n">
        <f aca="false">FZ23*Slot17_SpendLike*MIN(Slot17_Cost-GC23,FV23)</f>
        <v>0</v>
      </c>
      <c r="GE23" s="1" t="n">
        <f aca="false">GC23+GD23</f>
        <v>0</v>
      </c>
      <c r="GF23" s="1" t="n">
        <f aca="false">FV23-GD23+FZ23*IF(Slot17_SpendLike=1,GB23-GC23,IF(Slot17_PotFree=1,GB23,0))</f>
        <v>0</v>
      </c>
      <c r="GG23" s="1" t="n">
        <f aca="false">FW23+FZ23*Slot17_BufPot*GB23</f>
        <v>0</v>
      </c>
      <c r="GH23" s="1" t="n">
        <f aca="false">IF(AND(FZ23=1,Slot17_IsMfree=1),IF(GE23&gt;=Slot17_Cost-1,0,MAX(0,FX23-GE23)),FX23)</f>
        <v>0</v>
      </c>
      <c r="GI23" s="1" t="n">
        <f aca="false">FZ23*(Slot17_Cost-GE23)</f>
        <v>0</v>
      </c>
      <c r="GJ23" s="1" t="n">
        <f aca="false">IF(AND(Slot18_On=1,D23=Slot18_Age),1,0)</f>
        <v>0</v>
      </c>
      <c r="GK23" s="1" t="n">
        <f aca="false">IF(AND(Slot18_On=1,Slot18_Age&gt;D23),1,0)</f>
        <v>0</v>
      </c>
      <c r="GL23" s="1" t="n">
        <f aca="false">TB22</f>
        <v>0</v>
      </c>
      <c r="GM23" s="1" t="n">
        <f aca="false">GJ23*MIN(Slot18_Cost,GL23)</f>
        <v>0</v>
      </c>
      <c r="GN23" s="1" t="n">
        <f aca="false">GJ23*Slot18_SpendLike*MIN(Slot18_Cost-GM23,GF23)</f>
        <v>0</v>
      </c>
      <c r="GO23" s="1" t="n">
        <f aca="false">GM23+GN23</f>
        <v>0</v>
      </c>
      <c r="GP23" s="1" t="n">
        <f aca="false">GF23-GN23+GJ23*IF(Slot18_SpendLike=1,GL23-GM23,IF(Slot18_PotFree=1,GL23,0))</f>
        <v>0</v>
      </c>
      <c r="GQ23" s="1" t="n">
        <f aca="false">GG23+GJ23*Slot18_BufPot*GL23</f>
        <v>0</v>
      </c>
      <c r="GR23" s="1" t="n">
        <f aca="false">IF(AND(GJ23=1,Slot18_IsMfree=1),IF(GO23&gt;=Slot18_Cost-1,0,MAX(0,GH23-GO23)),GH23)</f>
        <v>0</v>
      </c>
      <c r="GS23" s="1" t="n">
        <f aca="false">GJ23*(Slot18_Cost-GO23)</f>
        <v>0</v>
      </c>
      <c r="GT23" s="1" t="n">
        <f aca="false">IF(AND(Slot19_On=1,D23=Slot19_Age),1,0)</f>
        <v>0</v>
      </c>
      <c r="GU23" s="1" t="n">
        <f aca="false">IF(AND(Slot19_On=1,Slot19_Age&gt;D23),1,0)</f>
        <v>0</v>
      </c>
      <c r="GV23" s="1" t="n">
        <f aca="false">TF22</f>
        <v>0</v>
      </c>
      <c r="GW23" s="1" t="n">
        <f aca="false">GT23*MIN(Slot19_Cost,GV23)</f>
        <v>0</v>
      </c>
      <c r="GX23" s="1" t="n">
        <f aca="false">GT23*Slot19_SpendLike*MIN(Slot19_Cost-GW23,GP23)</f>
        <v>0</v>
      </c>
      <c r="GY23" s="1" t="n">
        <f aca="false">GW23+GX23</f>
        <v>0</v>
      </c>
      <c r="GZ23" s="1" t="n">
        <f aca="false">GP23-GX23+GT23*IF(Slot19_SpendLike=1,GV23-GW23,IF(Slot19_PotFree=1,GV23,0))</f>
        <v>0</v>
      </c>
      <c r="HA23" s="1" t="n">
        <f aca="false">GQ23+GT23*Slot19_BufPot*GV23</f>
        <v>0</v>
      </c>
      <c r="HB23" s="1" t="n">
        <f aca="false">IF(AND(GT23=1,Slot19_IsMfree=1),IF(GY23&gt;=Slot19_Cost-1,0,MAX(0,GR23-GY23)),GR23)</f>
        <v>0</v>
      </c>
      <c r="HC23" s="1" t="n">
        <f aca="false">GT23*(Slot19_Cost-GY23)</f>
        <v>0</v>
      </c>
      <c r="HD23" s="1" t="n">
        <f aca="false">IF(AND(Slot20_On=1,D23=Slot20_Age),1,0)</f>
        <v>0</v>
      </c>
      <c r="HE23" s="1" t="n">
        <f aca="false">IF(AND(Slot20_On=1,Slot20_Age&gt;D23),1,0)</f>
        <v>0</v>
      </c>
      <c r="HF23" s="1" t="n">
        <f aca="false">TJ22</f>
        <v>0</v>
      </c>
      <c r="HG23" s="1" t="n">
        <f aca="false">HD23*MIN(Slot20_Cost,HF23)</f>
        <v>0</v>
      </c>
      <c r="HH23" s="1" t="n">
        <f aca="false">HD23*Slot20_SpendLike*MIN(Slot20_Cost-HG23,GZ23)</f>
        <v>0</v>
      </c>
      <c r="HI23" s="1" t="n">
        <f aca="false">HG23+HH23</f>
        <v>0</v>
      </c>
      <c r="HJ23" s="1" t="n">
        <f aca="false">GZ23-HH23+HD23*IF(Slot20_SpendLike=1,HF23-HG23,IF(Slot20_PotFree=1,HF23,0))</f>
        <v>0</v>
      </c>
      <c r="HK23" s="1" t="n">
        <f aca="false">HA23+HD23*Slot20_BufPot*HF23</f>
        <v>0</v>
      </c>
      <c r="HL23" s="1" t="n">
        <f aca="false">IF(AND(HD23=1,Slot20_IsMfree=1),IF(HI23&gt;=Slot20_Cost-1,0,MAX(0,HB23-HI23)),HB23)</f>
        <v>0</v>
      </c>
      <c r="HM23" s="1" t="n">
        <f aca="false">HD23*(Slot20_Cost-HI23)</f>
        <v>0</v>
      </c>
      <c r="HN23" s="1" t="n">
        <f aca="false">U23*Slot1_SpendLike*Z23+AF23*Slot2_SpendLike*AK23+AP23*Slot3_SpendLike*AU23+AZ23*Slot4_SpendLike*BE23+BJ23*Slot5_SpendLike*BO23+BT23*Slot6_SpendLike*BY23+CD23*Slot7_SpendLike*CI23+CN23*Slot8_SpendLike*CS23+CX23*Slot9_SpendLike*DC23+DH23*Slot10_SpendLike*DM23+DR23*Slot11_SpendLike*DW23+EB23*Slot12_SpendLike*EG23+EL23*Slot13_SpendLike*EQ23+EV23*Slot14_SpendLike*FA23+FF23*Slot15_SpendLike*FK23+FP23*Slot16_SpendLike*FU23+FZ23*Slot17_SpendLike*GE23+GJ23*Slot18_SpendLike*GO23+GT23*Slot19_SpendLike*GY23+HD23*Slot20_SpendLike*HI23</f>
        <v>0</v>
      </c>
      <c r="HO23" s="1" t="n">
        <f aca="false">AD23+AO23+AY23+BI23+BS23+CC23+CM23+CW23+DG23+DQ23+EA23+EK23+EU23+FE23+FO23+FY23+GI23+GS23+HC23+HM23</f>
        <v>0</v>
      </c>
      <c r="HP23" s="1" t="n">
        <f aca="false">U23*Slot1_Cost+AF23*Slot2_Cost+AP23*Slot3_Cost+AZ23*Slot4_Cost+BJ23*Slot5_Cost+BT23*Slot6_Cost+CD23*Slot7_Cost+CN23*Slot8_Cost+CX23*Slot9_Cost+DH23*Slot10_Cost+DR23*Slot11_Cost+EB23*Slot12_Cost+EL23*Slot13_Cost+EV23*Slot14_Cost+FF23*Slot15_Cost+FP23*Slot16_Cost+FZ23*Slot17_Cost+GJ23*Slot18_Cost+GT23*Slot19_Cost+HD23*Slot20_Cost</f>
        <v>0</v>
      </c>
      <c r="HQ23" s="1" t="n">
        <f aca="false">HL23</f>
        <v>0</v>
      </c>
      <c r="HR23" s="1" t="n">
        <f aca="false">G23-H23-R23</f>
        <v>0</v>
      </c>
      <c r="HS23" s="1" t="n">
        <f aca="false">IF(B23=0,IF(AND(Has_q6=1,In_q6=4),PR_ShareVaries*(MAX(0,HR23)/12),MIN(IF(Has_q6=1,CHOOSE(In_q6+1,PR_SaveB1,PR_SaveB2,PR_SaveB3,PR_SaveB4,0),AS_NoAnswer),AS_SaveShare*(MAX(0,HR23)/12))),HS22)</f>
        <v>0</v>
      </c>
      <c r="HT23" s="1" t="n">
        <f aca="false">IF(HR23&gt;=0,1,0)</f>
        <v>1</v>
      </c>
      <c r="HU23" s="1" t="n">
        <f aca="false">MAX(0,HR23/12/E23)</f>
        <v>0</v>
      </c>
      <c r="HV23" s="1" t="n">
        <f aca="false">IF(AND(Has_q6=1,In_q6=4),PR_ShareVaries*(HU23),MIN(IF(Has_q6=1,CHOOSE(In_q6+1,PR_SaveB1,PR_SaveB2,PR_SaveB3,PR_SaveB4,0),AS_NoAnswer),AS_SaveShare*(HU23)))</f>
        <v>0</v>
      </c>
      <c r="HW23" s="1" t="n">
        <f aca="false">IF(Has_saveM=1,IF(In_saveUp="Yes",1,IF(In_saveUp="No",0,IF(In_saveM&gt;=HS23-0.5,1,0))),0)</f>
        <v>0</v>
      </c>
      <c r="HX23" s="1" t="n">
        <f aca="false">IF(Has_saveM=1,MIN(HU23,IF(HW23=1,MAX(In_saveM,HV23),MIN(In_saveM,HV23))),HV23)</f>
        <v>0</v>
      </c>
      <c r="HY23" s="1" t="n">
        <f aca="false">IF(F23=1,HX23*12*E23,0)</f>
        <v>0</v>
      </c>
      <c r="HZ23" s="1" t="n">
        <f aca="false">MAX(0,HY23+IF(AND(WI_Retire=0,WI_M&lt;0,F23=1),WI_M*12*E23,0))</f>
        <v>0</v>
      </c>
      <c r="IA23" s="1" t="n">
        <f aca="false">Slot1_IsWG*V23+Slot2_IsWG*AG23+Slot3_IsWG*AQ23+Slot4_IsWG*BA23+Slot5_IsWG*BK23+Slot6_IsWG*BU23+Slot7_IsWG*CE23+Slot8_IsWG*CO23+Slot9_IsWG*CY23+Slot10_IsWG*DI23+Slot11_IsWG*DS23+Slot12_IsWG*EC23+Slot13_IsWG*EM23+Slot14_IsWG*EW23+Slot15_IsWG*FG23+Slot16_IsWG*FQ23+Slot17_IsWG*GA23+Slot18_IsWG*GK23+Slot19_IsWG*GU23+Slot20_IsWG*HE23</f>
        <v>0</v>
      </c>
      <c r="IB23" s="1" t="n">
        <f aca="false">IF(AND(WI_Retire=0,WI_M&gt;0,F23=1,IA23&gt;=1),WI_M*12*E23,0)</f>
        <v>0</v>
      </c>
      <c r="IC23" s="1" t="n">
        <f aca="false">IF(HT23=1,MIN(HZ23,HR23),0)</f>
        <v>0</v>
      </c>
      <c r="ID23" s="1" t="n">
        <f aca="false">IF(HT23=1,MIN(IB23,HR23-IC23),0)</f>
        <v>0</v>
      </c>
      <c r="IE23" s="1" t="n">
        <f aca="false">IF(V23=1,IF(ABS((1+AS_Wage)/(1+Slot1_Rate)-1)&lt;0.000000000001,(Slot1_Age-D23)*(1+Slot1_Rate)^(Slot1_Age-D23),(1+Slot1_Rate)^(Slot1_Age-D23)*(1-((1+AS_Wage)/(1+Slot1_Rate))^(Slot1_Age-D23))/(1-(1+AS_Wage)/(1+Slot1_Rate))),1)</f>
        <v>1</v>
      </c>
      <c r="IF23" s="1" t="n">
        <f aca="false">IF(AND(HT23=1,ID23&gt;0,Slot1_IsWG=1,V23=1),MAX(0,(Slot1_Cost-W23*(1+Slot1_Rate)^(Slot1_Age-D23))/IE23),0)</f>
        <v>0</v>
      </c>
      <c r="IG23" s="1" t="n">
        <f aca="false">IF(AND(HT23=1,ID23&gt;0,Slot1_IsWG=1,V23=1),MIN(ID23,IF23),0)</f>
        <v>0</v>
      </c>
      <c r="IH23" s="1" t="n">
        <f aca="false">W23+IG23</f>
        <v>0</v>
      </c>
      <c r="II23" s="1" t="n">
        <f aca="false">IF(V23=1,MAX(0,(Slot1_Cost-IH23*(1+Slot1_Rate)^(Slot1_Age-D23))/IE23),0)</f>
        <v>0</v>
      </c>
      <c r="IJ23" s="1" t="n">
        <f aca="false">IF(V23=1,MAX(0,(Slot1_Cost-W23*(1+Slot1_Rate)^(Slot1_Age-D23))/IE23),0)</f>
        <v>0</v>
      </c>
      <c r="IK23" s="1" t="n">
        <f aca="false">IF(AND(HT23=1,V23=1),MIN(IC23,II23),0)</f>
        <v>0</v>
      </c>
      <c r="IL23" s="1" t="n">
        <f aca="false">IC23-IK23</f>
        <v>0</v>
      </c>
      <c r="IM23" s="1" t="n">
        <f aca="false">IF(AG23=1,IF(ABS((1+AS_Wage)/(1+Slot2_Rate)-1)&lt;0.000000000001,(Slot2_Age-D23)*(1+Slot2_Rate)^(Slot2_Age-D23),(1+Slot2_Rate)^(Slot2_Age-D23)*(1-((1+AS_Wage)/(1+Slot2_Rate))^(Slot2_Age-D23))/(1-(1+AS_Wage)/(1+Slot2_Rate))),1)</f>
        <v>1</v>
      </c>
      <c r="IN23" s="1" t="n">
        <f aca="false">IF(AND(HT23=1,ID23&gt;0,Slot2_IsWG=1,AG23=1),MAX(0,(Slot2_Cost-AH23*(1+Slot2_Rate)^(Slot2_Age-D23))/IM23),0)</f>
        <v>0</v>
      </c>
      <c r="IO23" s="1" t="n">
        <f aca="false">IF(AND(HT23=1,ID23&gt;0,Slot2_IsWG=1,AG23=1),MIN(ID23,IN23),0)</f>
        <v>0</v>
      </c>
      <c r="IP23" s="1" t="n">
        <f aca="false">AH23+IO23</f>
        <v>0</v>
      </c>
      <c r="IQ23" s="1" t="n">
        <f aca="false">IF(AG23=1,MAX(0,(Slot2_Cost-IP23*(1+Slot2_Rate)^(Slot2_Age-D23))/IM23),0)</f>
        <v>0</v>
      </c>
      <c r="IR23" s="1" t="n">
        <f aca="false">IF(AG23=1,MAX(0,(Slot2_Cost-AH23*(1+Slot2_Rate)^(Slot2_Age-D23))/IM23),0)</f>
        <v>0</v>
      </c>
      <c r="IS23" s="1" t="n">
        <f aca="false">IF(AND(HT23=1,AG23=1),MIN(IL23,IQ23),0)</f>
        <v>0</v>
      </c>
      <c r="IT23" s="1" t="n">
        <f aca="false">IL23-IS23</f>
        <v>0</v>
      </c>
      <c r="IU23" s="1" t="n">
        <f aca="false">IF(AQ23=1,IF(ABS((1+AS_Wage)/(1+Slot3_Rate)-1)&lt;0.000000000001,(Slot3_Age-D23)*(1+Slot3_Rate)^(Slot3_Age-D23),(1+Slot3_Rate)^(Slot3_Age-D23)*(1-((1+AS_Wage)/(1+Slot3_Rate))^(Slot3_Age-D23))/(1-(1+AS_Wage)/(1+Slot3_Rate))),1)</f>
        <v>1</v>
      </c>
      <c r="IV23" s="1" t="n">
        <f aca="false">IF(AND(HT23=1,ID23&gt;0,Slot3_IsWG=1,AQ23=1),MAX(0,(Slot3_Cost-AR23*(1+Slot3_Rate)^(Slot3_Age-D23))/IU23),0)</f>
        <v>0</v>
      </c>
      <c r="IW23" s="1" t="n">
        <f aca="false">IF(AND(HT23=1,ID23&gt;0,Slot3_IsWG=1,AQ23=1),MIN(ID23,IV23),0)</f>
        <v>0</v>
      </c>
      <c r="IX23" s="1" t="n">
        <f aca="false">AR23+IW23</f>
        <v>0</v>
      </c>
      <c r="IY23" s="1" t="n">
        <f aca="false">IF(AQ23=1,MAX(0,(Slot3_Cost-IX23*(1+Slot3_Rate)^(Slot3_Age-D23))/IU23),0)</f>
        <v>0</v>
      </c>
      <c r="IZ23" s="1" t="n">
        <f aca="false">IF(AQ23=1,MAX(0,(Slot3_Cost-AR23*(1+Slot3_Rate)^(Slot3_Age-D23))/IU23),0)</f>
        <v>0</v>
      </c>
      <c r="JA23" s="1" t="n">
        <f aca="false">IF(AND(HT23=1,AQ23=1),MIN(IT23,IY23),0)</f>
        <v>0</v>
      </c>
      <c r="JB23" s="1" t="n">
        <f aca="false">IT23-JA23</f>
        <v>0</v>
      </c>
      <c r="JC23" s="1" t="n">
        <f aca="false">IF(BA23=1,IF(ABS((1+AS_Wage)/(1+Slot4_Rate)-1)&lt;0.000000000001,(Slot4_Age-D23)*(1+Slot4_Rate)^(Slot4_Age-D23),(1+Slot4_Rate)^(Slot4_Age-D23)*(1-((1+AS_Wage)/(1+Slot4_Rate))^(Slot4_Age-D23))/(1-(1+AS_Wage)/(1+Slot4_Rate))),1)</f>
        <v>1</v>
      </c>
      <c r="JD23" s="1" t="n">
        <f aca="false">IF(AND(HT23=1,ID23&gt;0,Slot4_IsWG=1,BA23=1),MAX(0,(Slot4_Cost-BB23*(1+Slot4_Rate)^(Slot4_Age-D23))/JC23),0)</f>
        <v>0</v>
      </c>
      <c r="JE23" s="1" t="n">
        <f aca="false">IF(AND(HT23=1,ID23&gt;0,Slot4_IsWG=1,BA23=1),MIN(ID23,JD23),0)</f>
        <v>0</v>
      </c>
      <c r="JF23" s="1" t="n">
        <f aca="false">BB23+JE23</f>
        <v>0</v>
      </c>
      <c r="JG23" s="1" t="n">
        <f aca="false">IF(BA23=1,MAX(0,(Slot4_Cost-JF23*(1+Slot4_Rate)^(Slot4_Age-D23))/JC23),0)</f>
        <v>0</v>
      </c>
      <c r="JH23" s="1" t="n">
        <f aca="false">IF(BA23=1,MAX(0,(Slot4_Cost-BB23*(1+Slot4_Rate)^(Slot4_Age-D23))/JC23),0)</f>
        <v>0</v>
      </c>
      <c r="JI23" s="1" t="n">
        <f aca="false">IF(AND(HT23=1,BA23=1),MIN(JB23,JG23),0)</f>
        <v>0</v>
      </c>
      <c r="JJ23" s="1" t="n">
        <f aca="false">JB23-JI23</f>
        <v>0</v>
      </c>
      <c r="JK23" s="1" t="n">
        <f aca="false">IF(BK23=1,IF(ABS((1+AS_Wage)/(1+Slot5_Rate)-1)&lt;0.000000000001,(Slot5_Age-D23)*(1+Slot5_Rate)^(Slot5_Age-D23),(1+Slot5_Rate)^(Slot5_Age-D23)*(1-((1+AS_Wage)/(1+Slot5_Rate))^(Slot5_Age-D23))/(1-(1+AS_Wage)/(1+Slot5_Rate))),1)</f>
        <v>1</v>
      </c>
      <c r="JL23" s="1" t="n">
        <f aca="false">IF(AND(HT23=1,ID23&gt;0,Slot5_IsWG=1,BK23=1),MAX(0,(Slot5_Cost-BL23*(1+Slot5_Rate)^(Slot5_Age-D23))/JK23),0)</f>
        <v>0</v>
      </c>
      <c r="JM23" s="1" t="n">
        <f aca="false">IF(AND(HT23=1,ID23&gt;0,Slot5_IsWG=1,BK23=1),MIN(ID23,JL23),0)</f>
        <v>0</v>
      </c>
      <c r="JN23" s="1" t="n">
        <f aca="false">BL23+JM23</f>
        <v>0</v>
      </c>
      <c r="JO23" s="1" t="n">
        <f aca="false">IF(BK23=1,MAX(0,(Slot5_Cost-JN23*(1+Slot5_Rate)^(Slot5_Age-D23))/JK23),0)</f>
        <v>0</v>
      </c>
      <c r="JP23" s="1" t="n">
        <f aca="false">IF(BK23=1,MAX(0,(Slot5_Cost-BL23*(1+Slot5_Rate)^(Slot5_Age-D23))/JK23),0)</f>
        <v>0</v>
      </c>
      <c r="JQ23" s="1" t="n">
        <f aca="false">IF(AND(HT23=1,BK23=1),MIN(JJ23,JO23),0)</f>
        <v>0</v>
      </c>
      <c r="JR23" s="1" t="n">
        <f aca="false">JJ23-JQ23</f>
        <v>0</v>
      </c>
      <c r="JS23" s="1" t="n">
        <f aca="false">IF(BU23=1,IF(ABS((1+AS_Wage)/(1+Slot6_Rate)-1)&lt;0.000000000001,(Slot6_Age-D23)*(1+Slot6_Rate)^(Slot6_Age-D23),(1+Slot6_Rate)^(Slot6_Age-D23)*(1-((1+AS_Wage)/(1+Slot6_Rate))^(Slot6_Age-D23))/(1-(1+AS_Wage)/(1+Slot6_Rate))),1)</f>
        <v>1</v>
      </c>
      <c r="JT23" s="1" t="n">
        <f aca="false">IF(AND(HT23=1,ID23&gt;0,Slot6_IsWG=1,BU23=1),MAX(0,(Slot6_Cost-BV23*(1+Slot6_Rate)^(Slot6_Age-D23))/JS23),0)</f>
        <v>0</v>
      </c>
      <c r="JU23" s="1" t="n">
        <f aca="false">IF(AND(HT23=1,ID23&gt;0,Slot6_IsWG=1,BU23=1),MIN(ID23,JT23),0)</f>
        <v>0</v>
      </c>
      <c r="JV23" s="1" t="n">
        <f aca="false">BV23+JU23</f>
        <v>0</v>
      </c>
      <c r="JW23" s="1" t="n">
        <f aca="false">IF(BU23=1,MAX(0,(Slot6_Cost-JV23*(1+Slot6_Rate)^(Slot6_Age-D23))/JS23),0)</f>
        <v>0</v>
      </c>
      <c r="JX23" s="1" t="n">
        <f aca="false">IF(BU23=1,MAX(0,(Slot6_Cost-BV23*(1+Slot6_Rate)^(Slot6_Age-D23))/JS23),0)</f>
        <v>0</v>
      </c>
      <c r="JY23" s="1" t="n">
        <f aca="false">IF(AND(HT23=1,BU23=1),MIN(JR23,JW23),0)</f>
        <v>0</v>
      </c>
      <c r="JZ23" s="1" t="n">
        <f aca="false">JR23-JY23</f>
        <v>0</v>
      </c>
      <c r="KA23" s="1" t="n">
        <f aca="false">IF(CE23=1,IF(ABS((1+AS_Wage)/(1+Slot7_Rate)-1)&lt;0.000000000001,(Slot7_Age-D23)*(1+Slot7_Rate)^(Slot7_Age-D23),(1+Slot7_Rate)^(Slot7_Age-D23)*(1-((1+AS_Wage)/(1+Slot7_Rate))^(Slot7_Age-D23))/(1-(1+AS_Wage)/(1+Slot7_Rate))),1)</f>
        <v>1</v>
      </c>
      <c r="KB23" s="1" t="n">
        <f aca="false">IF(AND(HT23=1,ID23&gt;0,Slot7_IsWG=1,CE23=1),MAX(0,(Slot7_Cost-CF23*(1+Slot7_Rate)^(Slot7_Age-D23))/KA23),0)</f>
        <v>0</v>
      </c>
      <c r="KC23" s="1" t="n">
        <f aca="false">IF(AND(HT23=1,ID23&gt;0,Slot7_IsWG=1,CE23=1),MIN(ID23,KB23),0)</f>
        <v>0</v>
      </c>
      <c r="KD23" s="1" t="n">
        <f aca="false">CF23+KC23</f>
        <v>0</v>
      </c>
      <c r="KE23" s="1" t="n">
        <f aca="false">IF(CE23=1,MAX(0,(Slot7_Cost-KD23*(1+Slot7_Rate)^(Slot7_Age-D23))/KA23),0)</f>
        <v>0</v>
      </c>
      <c r="KF23" s="1" t="n">
        <f aca="false">IF(CE23=1,MAX(0,(Slot7_Cost-CF23*(1+Slot7_Rate)^(Slot7_Age-D23))/KA23),0)</f>
        <v>0</v>
      </c>
      <c r="KG23" s="1" t="n">
        <f aca="false">IF(AND(HT23=1,CE23=1),MIN(JZ23,KE23),0)</f>
        <v>0</v>
      </c>
      <c r="KH23" s="1" t="n">
        <f aca="false">JZ23-KG23</f>
        <v>0</v>
      </c>
      <c r="KI23" s="1" t="n">
        <f aca="false">IF(CO23=1,IF(ABS((1+AS_Wage)/(1+Slot8_Rate)-1)&lt;0.000000000001,(Slot8_Age-D23)*(1+Slot8_Rate)^(Slot8_Age-D23),(1+Slot8_Rate)^(Slot8_Age-D23)*(1-((1+AS_Wage)/(1+Slot8_Rate))^(Slot8_Age-D23))/(1-(1+AS_Wage)/(1+Slot8_Rate))),1)</f>
        <v>1</v>
      </c>
      <c r="KJ23" s="1" t="n">
        <f aca="false">IF(AND(HT23=1,ID23&gt;0,Slot8_IsWG=1,CO23=1),MAX(0,(Slot8_Cost-CP23*(1+Slot8_Rate)^(Slot8_Age-D23))/KI23),0)</f>
        <v>0</v>
      </c>
      <c r="KK23" s="1" t="n">
        <f aca="false">IF(AND(HT23=1,ID23&gt;0,Slot8_IsWG=1,CO23=1),MIN(ID23,KJ23),0)</f>
        <v>0</v>
      </c>
      <c r="KL23" s="1" t="n">
        <f aca="false">CP23+KK23</f>
        <v>0</v>
      </c>
      <c r="KM23" s="1" t="n">
        <f aca="false">IF(CO23=1,MAX(0,(Slot8_Cost-KL23*(1+Slot8_Rate)^(Slot8_Age-D23))/KI23),0)</f>
        <v>0</v>
      </c>
      <c r="KN23" s="1" t="n">
        <f aca="false">IF(CO23=1,MAX(0,(Slot8_Cost-CP23*(1+Slot8_Rate)^(Slot8_Age-D23))/KI23),0)</f>
        <v>0</v>
      </c>
      <c r="KO23" s="1" t="n">
        <f aca="false">IF(AND(HT23=1,CO23=1),MIN(KH23,KM23),0)</f>
        <v>0</v>
      </c>
      <c r="KP23" s="1" t="n">
        <f aca="false">KH23-KO23</f>
        <v>0</v>
      </c>
      <c r="KQ23" s="1" t="n">
        <f aca="false">IF(CY23=1,IF(ABS((1+AS_Wage)/(1+Slot9_Rate)-1)&lt;0.000000000001,(Slot9_Age-D23)*(1+Slot9_Rate)^(Slot9_Age-D23),(1+Slot9_Rate)^(Slot9_Age-D23)*(1-((1+AS_Wage)/(1+Slot9_Rate))^(Slot9_Age-D23))/(1-(1+AS_Wage)/(1+Slot9_Rate))),1)</f>
        <v>1</v>
      </c>
      <c r="KR23" s="1" t="n">
        <f aca="false">IF(AND(HT23=1,ID23&gt;0,Slot9_IsWG=1,CY23=1),MAX(0,(Slot9_Cost-CZ23*(1+Slot9_Rate)^(Slot9_Age-D23))/KQ23),0)</f>
        <v>0</v>
      </c>
      <c r="KS23" s="1" t="n">
        <f aca="false">IF(AND(HT23=1,ID23&gt;0,Slot9_IsWG=1,CY23=1),MIN(ID23,KR23),0)</f>
        <v>0</v>
      </c>
      <c r="KT23" s="1" t="n">
        <f aca="false">CZ23+KS23</f>
        <v>0</v>
      </c>
      <c r="KU23" s="1" t="n">
        <f aca="false">IF(CY23=1,MAX(0,(Slot9_Cost-KT23*(1+Slot9_Rate)^(Slot9_Age-D23))/KQ23),0)</f>
        <v>0</v>
      </c>
      <c r="KV23" s="1" t="n">
        <f aca="false">IF(CY23=1,MAX(0,(Slot9_Cost-CZ23*(1+Slot9_Rate)^(Slot9_Age-D23))/KQ23),0)</f>
        <v>0</v>
      </c>
      <c r="KW23" s="1" t="n">
        <f aca="false">IF(AND(HT23=1,CY23=1),MIN(KP23,KU23),0)</f>
        <v>0</v>
      </c>
      <c r="KX23" s="1" t="n">
        <f aca="false">KP23-KW23</f>
        <v>0</v>
      </c>
      <c r="KY23" s="1" t="n">
        <f aca="false">IF(DI23=1,IF(ABS((1+AS_Wage)/(1+Slot10_Rate)-1)&lt;0.000000000001,(Slot10_Age-D23)*(1+Slot10_Rate)^(Slot10_Age-D23),(1+Slot10_Rate)^(Slot10_Age-D23)*(1-((1+AS_Wage)/(1+Slot10_Rate))^(Slot10_Age-D23))/(1-(1+AS_Wage)/(1+Slot10_Rate))),1)</f>
        <v>1</v>
      </c>
      <c r="KZ23" s="1" t="n">
        <f aca="false">IF(AND(HT23=1,ID23&gt;0,Slot10_IsWG=1,DI23=1),MAX(0,(Slot10_Cost-DJ23*(1+Slot10_Rate)^(Slot10_Age-D23))/KY23),0)</f>
        <v>0</v>
      </c>
      <c r="LA23" s="1" t="n">
        <f aca="false">IF(AND(HT23=1,ID23&gt;0,Slot10_IsWG=1,DI23=1),MIN(ID23,KZ23),0)</f>
        <v>0</v>
      </c>
      <c r="LB23" s="1" t="n">
        <f aca="false">DJ23+LA23</f>
        <v>0</v>
      </c>
      <c r="LC23" s="1" t="n">
        <f aca="false">IF(DI23=1,MAX(0,(Slot10_Cost-LB23*(1+Slot10_Rate)^(Slot10_Age-D23))/KY23),0)</f>
        <v>0</v>
      </c>
      <c r="LD23" s="1" t="n">
        <f aca="false">IF(DI23=1,MAX(0,(Slot10_Cost-DJ23*(1+Slot10_Rate)^(Slot10_Age-D23))/KY23),0)</f>
        <v>0</v>
      </c>
      <c r="LE23" s="1" t="n">
        <f aca="false">IF(AND(HT23=1,DI23=1),MIN(KX23,LC23),0)</f>
        <v>0</v>
      </c>
      <c r="LF23" s="1" t="n">
        <f aca="false">KX23-LE23</f>
        <v>0</v>
      </c>
      <c r="LG23" s="1" t="n">
        <f aca="false">IF(DS23=1,IF(ABS((1+AS_Wage)/(1+Slot11_Rate)-1)&lt;0.000000000001,(Slot11_Age-D23)*(1+Slot11_Rate)^(Slot11_Age-D23),(1+Slot11_Rate)^(Slot11_Age-D23)*(1-((1+AS_Wage)/(1+Slot11_Rate))^(Slot11_Age-D23))/(1-(1+AS_Wage)/(1+Slot11_Rate))),1)</f>
        <v>1</v>
      </c>
      <c r="LH23" s="1" t="n">
        <f aca="false">IF(AND(HT23=1,ID23&gt;0,Slot11_IsWG=1,DS23=1),MAX(0,(Slot11_Cost-DT23*(1+Slot11_Rate)^(Slot11_Age-D23))/LG23),0)</f>
        <v>0</v>
      </c>
      <c r="LI23" s="1" t="n">
        <f aca="false">IF(AND(HT23=1,ID23&gt;0,Slot11_IsWG=1,DS23=1),MIN(ID23,LH23),0)</f>
        <v>0</v>
      </c>
      <c r="LJ23" s="1" t="n">
        <f aca="false">DT23+LI23</f>
        <v>0</v>
      </c>
      <c r="LK23" s="1" t="n">
        <f aca="false">IF(DS23=1,MAX(0,(Slot11_Cost-LJ23*(1+Slot11_Rate)^(Slot11_Age-D23))/LG23),0)</f>
        <v>0</v>
      </c>
      <c r="LL23" s="1" t="n">
        <f aca="false">IF(DS23=1,MAX(0,(Slot11_Cost-DT23*(1+Slot11_Rate)^(Slot11_Age-D23))/LG23),0)</f>
        <v>0</v>
      </c>
      <c r="LM23" s="1" t="n">
        <f aca="false">IF(AND(HT23=1,DS23=1),MIN(LF23,LK23),0)</f>
        <v>0</v>
      </c>
      <c r="LN23" s="1" t="n">
        <f aca="false">LF23-LM23</f>
        <v>0</v>
      </c>
      <c r="LO23" s="1" t="n">
        <f aca="false">IF(EC23=1,IF(ABS((1+AS_Wage)/(1+Slot12_Rate)-1)&lt;0.000000000001,(Slot12_Age-D23)*(1+Slot12_Rate)^(Slot12_Age-D23),(1+Slot12_Rate)^(Slot12_Age-D23)*(1-((1+AS_Wage)/(1+Slot12_Rate))^(Slot12_Age-D23))/(1-(1+AS_Wage)/(1+Slot12_Rate))),1)</f>
        <v>1</v>
      </c>
      <c r="LP23" s="1" t="n">
        <f aca="false">IF(AND(HT23=1,ID23&gt;0,Slot12_IsWG=1,EC23=1),MAX(0,(Slot12_Cost-ED23*(1+Slot12_Rate)^(Slot12_Age-D23))/LO23),0)</f>
        <v>0</v>
      </c>
      <c r="LQ23" s="1" t="n">
        <f aca="false">IF(AND(HT23=1,ID23&gt;0,Slot12_IsWG=1,EC23=1),MIN(ID23,LP23),0)</f>
        <v>0</v>
      </c>
      <c r="LR23" s="1" t="n">
        <f aca="false">ED23+LQ23</f>
        <v>0</v>
      </c>
      <c r="LS23" s="1" t="n">
        <f aca="false">IF(EC23=1,MAX(0,(Slot12_Cost-LR23*(1+Slot12_Rate)^(Slot12_Age-D23))/LO23),0)</f>
        <v>0</v>
      </c>
      <c r="LT23" s="1" t="n">
        <f aca="false">IF(EC23=1,MAX(0,(Slot12_Cost-ED23*(1+Slot12_Rate)^(Slot12_Age-D23))/LO23),0)</f>
        <v>0</v>
      </c>
      <c r="LU23" s="1" t="n">
        <f aca="false">IF(AND(HT23=1,EC23=1),MIN(LN23,LS23),0)</f>
        <v>0</v>
      </c>
      <c r="LV23" s="1" t="n">
        <f aca="false">LN23-LU23</f>
        <v>0</v>
      </c>
      <c r="LW23" s="1" t="n">
        <f aca="false">IF(EM23=1,IF(ABS((1+AS_Wage)/(1+Slot13_Rate)-1)&lt;0.000000000001,(Slot13_Age-D23)*(1+Slot13_Rate)^(Slot13_Age-D23),(1+Slot13_Rate)^(Slot13_Age-D23)*(1-((1+AS_Wage)/(1+Slot13_Rate))^(Slot13_Age-D23))/(1-(1+AS_Wage)/(1+Slot13_Rate))),1)</f>
        <v>1</v>
      </c>
      <c r="LX23" s="1" t="n">
        <f aca="false">IF(AND(HT23=1,ID23&gt;0,Slot13_IsWG=1,EM23=1),MAX(0,(Slot13_Cost-EN23*(1+Slot13_Rate)^(Slot13_Age-D23))/LW23),0)</f>
        <v>0</v>
      </c>
      <c r="LY23" s="1" t="n">
        <f aca="false">IF(AND(HT23=1,ID23&gt;0,Slot13_IsWG=1,EM23=1),MIN(ID23,LX23),0)</f>
        <v>0</v>
      </c>
      <c r="LZ23" s="1" t="n">
        <f aca="false">EN23+LY23</f>
        <v>0</v>
      </c>
      <c r="MA23" s="1" t="n">
        <f aca="false">IF(EM23=1,MAX(0,(Slot13_Cost-LZ23*(1+Slot13_Rate)^(Slot13_Age-D23))/LW23),0)</f>
        <v>0</v>
      </c>
      <c r="MB23" s="1" t="n">
        <f aca="false">IF(EM23=1,MAX(0,(Slot13_Cost-EN23*(1+Slot13_Rate)^(Slot13_Age-D23))/LW23),0)</f>
        <v>0</v>
      </c>
      <c r="MC23" s="1" t="n">
        <f aca="false">IF(AND(HT23=1,EM23=1),MIN(LV23,MA23),0)</f>
        <v>0</v>
      </c>
      <c r="MD23" s="1" t="n">
        <f aca="false">LV23-MC23</f>
        <v>0</v>
      </c>
      <c r="ME23" s="1" t="n">
        <f aca="false">IF(EW23=1,IF(ABS((1+AS_Wage)/(1+Slot14_Rate)-1)&lt;0.000000000001,(Slot14_Age-D23)*(1+Slot14_Rate)^(Slot14_Age-D23),(1+Slot14_Rate)^(Slot14_Age-D23)*(1-((1+AS_Wage)/(1+Slot14_Rate))^(Slot14_Age-D23))/(1-(1+AS_Wage)/(1+Slot14_Rate))),1)</f>
        <v>1</v>
      </c>
      <c r="MF23" s="1" t="n">
        <f aca="false">IF(AND(HT23=1,ID23&gt;0,Slot14_IsWG=1,EW23=1),MAX(0,(Slot14_Cost-EX23*(1+Slot14_Rate)^(Slot14_Age-D23))/ME23),0)</f>
        <v>0</v>
      </c>
      <c r="MG23" s="1" t="n">
        <f aca="false">IF(AND(HT23=1,ID23&gt;0,Slot14_IsWG=1,EW23=1),MIN(ID23,MF23),0)</f>
        <v>0</v>
      </c>
      <c r="MH23" s="1" t="n">
        <f aca="false">EX23+MG23</f>
        <v>0</v>
      </c>
      <c r="MI23" s="1" t="n">
        <f aca="false">IF(EW23=1,MAX(0,(Slot14_Cost-MH23*(1+Slot14_Rate)^(Slot14_Age-D23))/ME23),0)</f>
        <v>0</v>
      </c>
      <c r="MJ23" s="1" t="n">
        <f aca="false">IF(EW23=1,MAX(0,(Slot14_Cost-EX23*(1+Slot14_Rate)^(Slot14_Age-D23))/ME23),0)</f>
        <v>0</v>
      </c>
      <c r="MK23" s="1" t="n">
        <f aca="false">IF(AND(HT23=1,EW23=1),MIN(MD23,MI23),0)</f>
        <v>0</v>
      </c>
      <c r="ML23" s="1" t="n">
        <f aca="false">MD23-MK23</f>
        <v>0</v>
      </c>
      <c r="MM23" s="1" t="n">
        <f aca="false">IF(FG23=1,IF(ABS((1+AS_Wage)/(1+Slot15_Rate)-1)&lt;0.000000000001,(Slot15_Age-D23)*(1+Slot15_Rate)^(Slot15_Age-D23),(1+Slot15_Rate)^(Slot15_Age-D23)*(1-((1+AS_Wage)/(1+Slot15_Rate))^(Slot15_Age-D23))/(1-(1+AS_Wage)/(1+Slot15_Rate))),1)</f>
        <v>1</v>
      </c>
      <c r="MN23" s="1" t="n">
        <f aca="false">IF(AND(HT23=1,ID23&gt;0,Slot15_IsWG=1,FG23=1),MAX(0,(Slot15_Cost-FH23*(1+Slot15_Rate)^(Slot15_Age-D23))/MM23),0)</f>
        <v>0</v>
      </c>
      <c r="MO23" s="1" t="n">
        <f aca="false">IF(AND(HT23=1,ID23&gt;0,Slot15_IsWG=1,FG23=1),MIN(ID23,MN23),0)</f>
        <v>0</v>
      </c>
      <c r="MP23" s="1" t="n">
        <f aca="false">FH23+MO23</f>
        <v>0</v>
      </c>
      <c r="MQ23" s="1" t="n">
        <f aca="false">IF(FG23=1,MAX(0,(Slot15_Cost-MP23*(1+Slot15_Rate)^(Slot15_Age-D23))/MM23),0)</f>
        <v>0</v>
      </c>
      <c r="MR23" s="1" t="n">
        <f aca="false">IF(FG23=1,MAX(0,(Slot15_Cost-FH23*(1+Slot15_Rate)^(Slot15_Age-D23))/MM23),0)</f>
        <v>0</v>
      </c>
      <c r="MS23" s="1" t="n">
        <f aca="false">IF(AND(HT23=1,FG23=1),MIN(ML23,MQ23),0)</f>
        <v>0</v>
      </c>
      <c r="MT23" s="1" t="n">
        <f aca="false">ML23-MS23</f>
        <v>0</v>
      </c>
      <c r="MU23" s="1" t="n">
        <f aca="false">IF(FQ23=1,IF(ABS((1+AS_Wage)/(1+Slot16_Rate)-1)&lt;0.000000000001,(Slot16_Age-D23)*(1+Slot16_Rate)^(Slot16_Age-D23),(1+Slot16_Rate)^(Slot16_Age-D23)*(1-((1+AS_Wage)/(1+Slot16_Rate))^(Slot16_Age-D23))/(1-(1+AS_Wage)/(1+Slot16_Rate))),1)</f>
        <v>1</v>
      </c>
      <c r="MV23" s="1" t="n">
        <f aca="false">IF(AND(HT23=1,ID23&gt;0,Slot16_IsWG=1,FQ23=1),MAX(0,(Slot16_Cost-FR23*(1+Slot16_Rate)^(Slot16_Age-D23))/MU23),0)</f>
        <v>0</v>
      </c>
      <c r="MW23" s="1" t="n">
        <f aca="false">IF(AND(HT23=1,ID23&gt;0,Slot16_IsWG=1,FQ23=1),MIN(ID23,MV23),0)</f>
        <v>0</v>
      </c>
      <c r="MX23" s="1" t="n">
        <f aca="false">FR23+MW23</f>
        <v>0</v>
      </c>
      <c r="MY23" s="1" t="n">
        <f aca="false">IF(FQ23=1,MAX(0,(Slot16_Cost-MX23*(1+Slot16_Rate)^(Slot16_Age-D23))/MU23),0)</f>
        <v>0</v>
      </c>
      <c r="MZ23" s="1" t="n">
        <f aca="false">IF(FQ23=1,MAX(0,(Slot16_Cost-FR23*(1+Slot16_Rate)^(Slot16_Age-D23))/MU23),0)</f>
        <v>0</v>
      </c>
      <c r="NA23" s="1" t="n">
        <f aca="false">IF(AND(HT23=1,FQ23=1),MIN(MT23,MY23),0)</f>
        <v>0</v>
      </c>
      <c r="NB23" s="1" t="n">
        <f aca="false">MT23-NA23</f>
        <v>0</v>
      </c>
      <c r="NC23" s="1" t="n">
        <f aca="false">IF(GA23=1,IF(ABS((1+AS_Wage)/(1+Slot17_Rate)-1)&lt;0.000000000001,(Slot17_Age-D23)*(1+Slot17_Rate)^(Slot17_Age-D23),(1+Slot17_Rate)^(Slot17_Age-D23)*(1-((1+AS_Wage)/(1+Slot17_Rate))^(Slot17_Age-D23))/(1-(1+AS_Wage)/(1+Slot17_Rate))),1)</f>
        <v>1</v>
      </c>
      <c r="ND23" s="1" t="n">
        <f aca="false">IF(AND(HT23=1,ID23&gt;0,Slot17_IsWG=1,GA23=1),MAX(0,(Slot17_Cost-GB23*(1+Slot17_Rate)^(Slot17_Age-D23))/NC23),0)</f>
        <v>0</v>
      </c>
      <c r="NE23" s="1" t="n">
        <f aca="false">IF(AND(HT23=1,ID23&gt;0,Slot17_IsWG=1,GA23=1),MIN(ID23,ND23),0)</f>
        <v>0</v>
      </c>
      <c r="NF23" s="1" t="n">
        <f aca="false">GB23+NE23</f>
        <v>0</v>
      </c>
      <c r="NG23" s="1" t="n">
        <f aca="false">IF(GA23=1,MAX(0,(Slot17_Cost-NF23*(1+Slot17_Rate)^(Slot17_Age-D23))/NC23),0)</f>
        <v>0</v>
      </c>
      <c r="NH23" s="1" t="n">
        <f aca="false">IF(GA23=1,MAX(0,(Slot17_Cost-GB23*(1+Slot17_Rate)^(Slot17_Age-D23))/NC23),0)</f>
        <v>0</v>
      </c>
      <c r="NI23" s="1" t="n">
        <f aca="false">IF(AND(HT23=1,GA23=1),MIN(NB23,NG23),0)</f>
        <v>0</v>
      </c>
      <c r="NJ23" s="1" t="n">
        <f aca="false">NB23-NI23</f>
        <v>0</v>
      </c>
      <c r="NK23" s="1" t="n">
        <f aca="false">IF(GK23=1,IF(ABS((1+AS_Wage)/(1+Slot18_Rate)-1)&lt;0.000000000001,(Slot18_Age-D23)*(1+Slot18_Rate)^(Slot18_Age-D23),(1+Slot18_Rate)^(Slot18_Age-D23)*(1-((1+AS_Wage)/(1+Slot18_Rate))^(Slot18_Age-D23))/(1-(1+AS_Wage)/(1+Slot18_Rate))),1)</f>
        <v>1</v>
      </c>
      <c r="NL23" s="1" t="n">
        <f aca="false">IF(AND(HT23=1,ID23&gt;0,Slot18_IsWG=1,GK23=1),MAX(0,(Slot18_Cost-GL23*(1+Slot18_Rate)^(Slot18_Age-D23))/NK23),0)</f>
        <v>0</v>
      </c>
      <c r="NM23" s="1" t="n">
        <f aca="false">IF(AND(HT23=1,ID23&gt;0,Slot18_IsWG=1,GK23=1),MIN(ID23,NL23),0)</f>
        <v>0</v>
      </c>
      <c r="NN23" s="1" t="n">
        <f aca="false">GL23+NM23</f>
        <v>0</v>
      </c>
      <c r="NO23" s="1" t="n">
        <f aca="false">IF(GK23=1,MAX(0,(Slot18_Cost-NN23*(1+Slot18_Rate)^(Slot18_Age-D23))/NK23),0)</f>
        <v>0</v>
      </c>
      <c r="NP23" s="1" t="n">
        <f aca="false">IF(GK23=1,MAX(0,(Slot18_Cost-GL23*(1+Slot18_Rate)^(Slot18_Age-D23))/NK23),0)</f>
        <v>0</v>
      </c>
      <c r="NQ23" s="1" t="n">
        <f aca="false">IF(AND(HT23=1,GK23=1),MIN(NJ23,NO23),0)</f>
        <v>0</v>
      </c>
      <c r="NR23" s="1" t="n">
        <f aca="false">NJ23-NQ23</f>
        <v>0</v>
      </c>
      <c r="NS23" s="1" t="n">
        <f aca="false">IF(GU23=1,IF(ABS((1+AS_Wage)/(1+Slot19_Rate)-1)&lt;0.000000000001,(Slot19_Age-D23)*(1+Slot19_Rate)^(Slot19_Age-D23),(1+Slot19_Rate)^(Slot19_Age-D23)*(1-((1+AS_Wage)/(1+Slot19_Rate))^(Slot19_Age-D23))/(1-(1+AS_Wage)/(1+Slot19_Rate))),1)</f>
        <v>1</v>
      </c>
      <c r="NT23" s="1" t="n">
        <f aca="false">IF(AND(HT23=1,ID23&gt;0,Slot19_IsWG=1,GU23=1),MAX(0,(Slot19_Cost-GV23*(1+Slot19_Rate)^(Slot19_Age-D23))/NS23),0)</f>
        <v>0</v>
      </c>
      <c r="NU23" s="1" t="n">
        <f aca="false">IF(AND(HT23=1,ID23&gt;0,Slot19_IsWG=1,GU23=1),MIN(ID23,NT23),0)</f>
        <v>0</v>
      </c>
      <c r="NV23" s="1" t="n">
        <f aca="false">GV23+NU23</f>
        <v>0</v>
      </c>
      <c r="NW23" s="1" t="n">
        <f aca="false">IF(GU23=1,MAX(0,(Slot19_Cost-NV23*(1+Slot19_Rate)^(Slot19_Age-D23))/NS23),0)</f>
        <v>0</v>
      </c>
      <c r="NX23" s="1" t="n">
        <f aca="false">IF(GU23=1,MAX(0,(Slot19_Cost-GV23*(1+Slot19_Rate)^(Slot19_Age-D23))/NS23),0)</f>
        <v>0</v>
      </c>
      <c r="NY23" s="1" t="n">
        <f aca="false">IF(AND(HT23=1,GU23=1),MIN(NR23,NW23),0)</f>
        <v>0</v>
      </c>
      <c r="NZ23" s="1" t="n">
        <f aca="false">NR23-NY23</f>
        <v>0</v>
      </c>
      <c r="OA23" s="1" t="n">
        <f aca="false">IF(HE23=1,IF(ABS((1+AS_Wage)/(1+Slot20_Rate)-1)&lt;0.000000000001,(Slot20_Age-D23)*(1+Slot20_Rate)^(Slot20_Age-D23),(1+Slot20_Rate)^(Slot20_Age-D23)*(1-((1+AS_Wage)/(1+Slot20_Rate))^(Slot20_Age-D23))/(1-(1+AS_Wage)/(1+Slot20_Rate))),1)</f>
        <v>1</v>
      </c>
      <c r="OB23" s="1" t="n">
        <f aca="false">IF(AND(HT23=1,ID23&gt;0,Slot20_IsWG=1,HE23=1),MAX(0,(Slot20_Cost-HF23*(1+Slot20_Rate)^(Slot20_Age-D23))/OA23),0)</f>
        <v>0</v>
      </c>
      <c r="OC23" s="1" t="n">
        <f aca="false">IF(AND(HT23=1,ID23&gt;0,Slot20_IsWG=1,HE23=1),MIN(ID23,OB23),0)</f>
        <v>0</v>
      </c>
      <c r="OD23" s="1" t="n">
        <f aca="false">HF23+OC23</f>
        <v>0</v>
      </c>
      <c r="OE23" s="1" t="n">
        <f aca="false">IF(HE23=1,MAX(0,(Slot20_Cost-OD23*(1+Slot20_Rate)^(Slot20_Age-D23))/OA23),0)</f>
        <v>0</v>
      </c>
      <c r="OF23" s="1" t="n">
        <f aca="false">IF(HE23=1,MAX(0,(Slot20_Cost-HF23*(1+Slot20_Rate)^(Slot20_Age-D23))/OA23),0)</f>
        <v>0</v>
      </c>
      <c r="OG23" s="1" t="n">
        <f aca="false">IF(AND(HT23=1,HE23=1),MIN(NZ23,OE23),0)</f>
        <v>0</v>
      </c>
      <c r="OH23" s="1" t="n">
        <f aca="false">NZ23-OG23</f>
        <v>0</v>
      </c>
      <c r="OI23" s="1" t="n">
        <f aca="false">ID23-(IG23+IO23+IW23+JE23+JM23+JU23+KC23+KK23+KS23+LA23+LI23+LQ23+LY23+MG23+MO23+MW23+NE23+NM23+NU23+OC23)</f>
        <v>0</v>
      </c>
      <c r="OJ23" s="1" t="n">
        <f aca="false">IF(HT23=1,HR23-IC23-ID23,0)</f>
        <v>0</v>
      </c>
      <c r="OK23" s="1" t="n">
        <f aca="false">IF(HT23=0,-HR23,0)</f>
        <v>0</v>
      </c>
      <c r="OL23" s="1" t="n">
        <f aca="false">MIN(OK23,HJ23)</f>
        <v>0</v>
      </c>
      <c r="OM23" s="1" t="n">
        <f aca="false">OK23-OL23</f>
        <v>0</v>
      </c>
      <c r="ON23" s="1" t="n">
        <f aca="false">MIN(OM23,HK23)</f>
        <v>0</v>
      </c>
      <c r="OO23" s="1" t="n">
        <f aca="false">OM23-ON23</f>
        <v>0</v>
      </c>
      <c r="OP23" s="1" t="n">
        <f aca="false">IF(AND(HT23=0,HE23=1,OO23&gt;0),MIN(OO23,HF23),0)</f>
        <v>0</v>
      </c>
      <c r="OQ23" s="1" t="n">
        <f aca="false">OO23-OP23</f>
        <v>0</v>
      </c>
      <c r="OR23" s="1" t="n">
        <f aca="false">IF(AND(HT23=0,GU23=1,OQ23&gt;0),MIN(OQ23,GV23),0)</f>
        <v>0</v>
      </c>
      <c r="OS23" s="1" t="n">
        <f aca="false">OQ23-OR23</f>
        <v>0</v>
      </c>
      <c r="OT23" s="1" t="n">
        <f aca="false">IF(AND(HT23=0,GK23=1,OS23&gt;0),MIN(OS23,GL23),0)</f>
        <v>0</v>
      </c>
      <c r="OU23" s="1" t="n">
        <f aca="false">OS23-OT23</f>
        <v>0</v>
      </c>
      <c r="OV23" s="1" t="n">
        <f aca="false">IF(AND(HT23=0,GA23=1,OU23&gt;0),MIN(OU23,GB23),0)</f>
        <v>0</v>
      </c>
      <c r="OW23" s="1" t="n">
        <f aca="false">OU23-OV23</f>
        <v>0</v>
      </c>
      <c r="OX23" s="1" t="n">
        <f aca="false">IF(AND(HT23=0,FQ23=1,OW23&gt;0),MIN(OW23,FR23),0)</f>
        <v>0</v>
      </c>
      <c r="OY23" s="1" t="n">
        <f aca="false">OW23-OX23</f>
        <v>0</v>
      </c>
      <c r="OZ23" s="1" t="n">
        <f aca="false">IF(AND(HT23=0,FG23=1,OY23&gt;0),MIN(OY23,FH23),0)</f>
        <v>0</v>
      </c>
      <c r="PA23" s="1" t="n">
        <f aca="false">OY23-OZ23</f>
        <v>0</v>
      </c>
      <c r="PB23" s="1" t="n">
        <f aca="false">IF(AND(HT23=0,EW23=1,PA23&gt;0),MIN(PA23,EX23),0)</f>
        <v>0</v>
      </c>
      <c r="PC23" s="1" t="n">
        <f aca="false">PA23-PB23</f>
        <v>0</v>
      </c>
      <c r="PD23" s="1" t="n">
        <f aca="false">IF(AND(HT23=0,EM23=1,PC23&gt;0),MIN(PC23,EN23),0)</f>
        <v>0</v>
      </c>
      <c r="PE23" s="1" t="n">
        <f aca="false">PC23-PD23</f>
        <v>0</v>
      </c>
      <c r="PF23" s="1" t="n">
        <f aca="false">IF(AND(HT23=0,EC23=1,PE23&gt;0),MIN(PE23,ED23),0)</f>
        <v>0</v>
      </c>
      <c r="PG23" s="1" t="n">
        <f aca="false">PE23-PF23</f>
        <v>0</v>
      </c>
      <c r="PH23" s="1" t="n">
        <f aca="false">IF(AND(HT23=0,DS23=1,PG23&gt;0),MIN(PG23,DT23),0)</f>
        <v>0</v>
      </c>
      <c r="PI23" s="1" t="n">
        <f aca="false">PG23-PH23</f>
        <v>0</v>
      </c>
      <c r="PJ23" s="1" t="n">
        <f aca="false">IF(AND(HT23=0,DI23=1,PI23&gt;0),MIN(PI23,DJ23),0)</f>
        <v>0</v>
      </c>
      <c r="PK23" s="1" t="n">
        <f aca="false">PI23-PJ23</f>
        <v>0</v>
      </c>
      <c r="PL23" s="1" t="n">
        <f aca="false">IF(AND(HT23=0,CY23=1,PK23&gt;0),MIN(PK23,CZ23),0)</f>
        <v>0</v>
      </c>
      <c r="PM23" s="1" t="n">
        <f aca="false">PK23-PL23</f>
        <v>0</v>
      </c>
      <c r="PN23" s="1" t="n">
        <f aca="false">IF(AND(HT23=0,CO23=1,PM23&gt;0),MIN(PM23,CP23),0)</f>
        <v>0</v>
      </c>
      <c r="PO23" s="1" t="n">
        <f aca="false">PM23-PN23</f>
        <v>0</v>
      </c>
      <c r="PP23" s="1" t="n">
        <f aca="false">IF(AND(HT23=0,CE23=1,PO23&gt;0),MIN(PO23,CF23),0)</f>
        <v>0</v>
      </c>
      <c r="PQ23" s="1" t="n">
        <f aca="false">PO23-PP23</f>
        <v>0</v>
      </c>
      <c r="PR23" s="1" t="n">
        <f aca="false">IF(AND(HT23=0,BU23=1,PQ23&gt;0),MIN(PQ23,BV23),0)</f>
        <v>0</v>
      </c>
      <c r="PS23" s="1" t="n">
        <f aca="false">PQ23-PR23</f>
        <v>0</v>
      </c>
      <c r="PT23" s="1" t="n">
        <f aca="false">IF(AND(HT23=0,BK23=1,PS23&gt;0),MIN(PS23,BL23),0)</f>
        <v>0</v>
      </c>
      <c r="PU23" s="1" t="n">
        <f aca="false">PS23-PT23</f>
        <v>0</v>
      </c>
      <c r="PV23" s="1" t="n">
        <f aca="false">IF(AND(HT23=0,BA23=1,PU23&gt;0),MIN(PU23,BB23),0)</f>
        <v>0</v>
      </c>
      <c r="PW23" s="1" t="n">
        <f aca="false">PU23-PV23</f>
        <v>0</v>
      </c>
      <c r="PX23" s="1" t="n">
        <f aca="false">IF(AND(HT23=0,AQ23=1,PW23&gt;0),MIN(PW23,AR23),0)</f>
        <v>0</v>
      </c>
      <c r="PY23" s="1" t="n">
        <f aca="false">PW23-PX23</f>
        <v>0</v>
      </c>
      <c r="PZ23" s="1" t="n">
        <f aca="false">IF(AND(HT23=0,AG23=1,PY23&gt;0),MIN(PY23,AH23),0)</f>
        <v>0</v>
      </c>
      <c r="QA23" s="1" t="n">
        <f aca="false">PY23-PZ23</f>
        <v>0</v>
      </c>
      <c r="QB23" s="1" t="n">
        <f aca="false">IF(AND(HT23=0,V23=1,QA23&gt;0),MIN(QA23,W23),0)</f>
        <v>0</v>
      </c>
      <c r="QC23" s="1" t="n">
        <f aca="false">QA23-QB23</f>
        <v>0</v>
      </c>
      <c r="QD23" s="1" t="n">
        <f aca="false">IF(HT23=0,QC23,0)</f>
        <v>0</v>
      </c>
      <c r="QE23" s="1" t="n">
        <f aca="false">OL23+ON23+QB23+PZ23+PX23+PV23+PT23+PR23+PP23+PN23+PL23+PJ23+PH23+PF23+PD23+PB23+OZ23+OX23+OV23+OT23+OR23+OP23</f>
        <v>0</v>
      </c>
      <c r="QF23" s="1" t="n">
        <f aca="false">IF(HT23=1,HJ23+OI23+OH23+IF(F23=1,0,OJ23),HJ23-OL23)</f>
        <v>0</v>
      </c>
      <c r="QG23" s="1" t="n">
        <f aca="false">HK23-ON23</f>
        <v>0</v>
      </c>
      <c r="QH23" s="1" t="n">
        <f aca="false">IF(HT23=1,IF(F23=1,IC23+ID23,HR23),0)</f>
        <v>0</v>
      </c>
      <c r="QI23" s="1" t="n">
        <f aca="false">IF(HT23=1,IF(F23=1,HR23-IC23-ID23,0),0)</f>
        <v>0</v>
      </c>
      <c r="QJ23" s="1" t="n">
        <f aca="false">QF23*(1+GR)</f>
        <v>0</v>
      </c>
      <c r="QK23" s="1" t="n">
        <f aca="false">QG23*(1+AS_Cash)</f>
        <v>0</v>
      </c>
      <c r="QL23" s="1" t="n">
        <f aca="false">IF(V23=1,IF(HT23=1,IH23+IK23,W23-QB23)*(1+Slot1_Rate),0)</f>
        <v>0</v>
      </c>
      <c r="QM23" s="1" t="n">
        <f aca="false">IF(AND(HT23=1,V23=1),(IG23+IK23)/E23,0)</f>
        <v>0</v>
      </c>
      <c r="QN23" s="1" t="n">
        <f aca="false">IF(B23=0,IG23+IK23,0)</f>
        <v>0</v>
      </c>
      <c r="QO23" s="1" t="n">
        <f aca="false">IF(B23=0,IF(HT23=1,II23,IJ23),0)</f>
        <v>0</v>
      </c>
      <c r="QP23" s="1" t="n">
        <f aca="false">IF(AG23=1,IF(HT23=1,IP23+IS23,AH23-PZ23)*(1+Slot2_Rate),0)</f>
        <v>0</v>
      </c>
      <c r="QQ23" s="1" t="n">
        <f aca="false">IF(AND(HT23=1,AG23=1),(IO23+IS23)/E23,0)</f>
        <v>0</v>
      </c>
      <c r="QR23" s="1" t="n">
        <f aca="false">IF(B23=0,IO23+IS23,0)</f>
        <v>0</v>
      </c>
      <c r="QS23" s="1" t="n">
        <f aca="false">IF(B23=0,IF(HT23=1,IQ23,IR23),0)</f>
        <v>0</v>
      </c>
      <c r="QT23" s="1" t="n">
        <f aca="false">IF(AQ23=1,IF(HT23=1,IX23+JA23,AR23-PX23)*(1+Slot3_Rate),0)</f>
        <v>0</v>
      </c>
      <c r="QU23" s="1" t="n">
        <f aca="false">IF(AND(HT23=1,AQ23=1),(IW23+JA23)/E23,0)</f>
        <v>0</v>
      </c>
      <c r="QV23" s="1" t="n">
        <f aca="false">IF(B23=0,IW23+JA23,0)</f>
        <v>0</v>
      </c>
      <c r="QW23" s="1" t="n">
        <f aca="false">IF(B23=0,IF(HT23=1,IY23,IZ23),0)</f>
        <v>0</v>
      </c>
      <c r="QX23" s="1" t="n">
        <f aca="false">IF(BA23=1,IF(HT23=1,JF23+JI23,BB23-PV23)*(1+Slot4_Rate),0)</f>
        <v>0</v>
      </c>
      <c r="QY23" s="1" t="n">
        <f aca="false">IF(AND(HT23=1,BA23=1),(JE23+JI23)/E23,0)</f>
        <v>0</v>
      </c>
      <c r="QZ23" s="1" t="n">
        <f aca="false">IF(B23=0,JE23+JI23,0)</f>
        <v>0</v>
      </c>
      <c r="RA23" s="1" t="n">
        <f aca="false">IF(B23=0,IF(HT23=1,JG23,JH23),0)</f>
        <v>0</v>
      </c>
      <c r="RB23" s="1" t="n">
        <f aca="false">IF(BK23=1,IF(HT23=1,JN23+JQ23,BL23-PT23)*(1+Slot5_Rate),0)</f>
        <v>0</v>
      </c>
      <c r="RC23" s="1" t="n">
        <f aca="false">IF(AND(HT23=1,BK23=1),(JM23+JQ23)/E23,0)</f>
        <v>0</v>
      </c>
      <c r="RD23" s="1" t="n">
        <f aca="false">IF(B23=0,JM23+JQ23,0)</f>
        <v>0</v>
      </c>
      <c r="RE23" s="1" t="n">
        <f aca="false">IF(B23=0,IF(HT23=1,JO23,JP23),0)</f>
        <v>0</v>
      </c>
      <c r="RF23" s="1" t="n">
        <f aca="false">IF(BU23=1,IF(HT23=1,JV23+JY23,BV23-PR23)*(1+Slot6_Rate),0)</f>
        <v>0</v>
      </c>
      <c r="RG23" s="1" t="n">
        <f aca="false">IF(AND(HT23=1,BU23=1),(JU23+JY23)/E23,0)</f>
        <v>0</v>
      </c>
      <c r="RH23" s="1" t="n">
        <f aca="false">IF(B23=0,JU23+JY23,0)</f>
        <v>0</v>
      </c>
      <c r="RI23" s="1" t="n">
        <f aca="false">IF(B23=0,IF(HT23=1,JW23,JX23),0)</f>
        <v>0</v>
      </c>
      <c r="RJ23" s="1" t="n">
        <f aca="false">IF(CE23=1,IF(HT23=1,KD23+KG23,CF23-PP23)*(1+Slot7_Rate),0)</f>
        <v>0</v>
      </c>
      <c r="RK23" s="1" t="n">
        <f aca="false">IF(AND(HT23=1,CE23=1),(KC23+KG23)/E23,0)</f>
        <v>0</v>
      </c>
      <c r="RL23" s="1" t="n">
        <f aca="false">IF(B23=0,KC23+KG23,0)</f>
        <v>0</v>
      </c>
      <c r="RM23" s="1" t="n">
        <f aca="false">IF(B23=0,IF(HT23=1,KE23,KF23),0)</f>
        <v>0</v>
      </c>
      <c r="RN23" s="1" t="n">
        <f aca="false">IF(CO23=1,IF(HT23=1,KL23+KO23,CP23-PN23)*(1+Slot8_Rate),0)</f>
        <v>0</v>
      </c>
      <c r="RO23" s="1" t="n">
        <f aca="false">IF(AND(HT23=1,CO23=1),(KK23+KO23)/E23,0)</f>
        <v>0</v>
      </c>
      <c r="RP23" s="1" t="n">
        <f aca="false">IF(B23=0,KK23+KO23,0)</f>
        <v>0</v>
      </c>
      <c r="RQ23" s="1" t="n">
        <f aca="false">IF(B23=0,IF(HT23=1,KM23,KN23),0)</f>
        <v>0</v>
      </c>
      <c r="RR23" s="1" t="n">
        <f aca="false">IF(CY23=1,IF(HT23=1,KT23+KW23,CZ23-PL23)*(1+Slot9_Rate),0)</f>
        <v>0</v>
      </c>
      <c r="RS23" s="1" t="n">
        <f aca="false">IF(AND(HT23=1,CY23=1),(KS23+KW23)/E23,0)</f>
        <v>0</v>
      </c>
      <c r="RT23" s="1" t="n">
        <f aca="false">IF(B23=0,KS23+KW23,0)</f>
        <v>0</v>
      </c>
      <c r="RU23" s="1" t="n">
        <f aca="false">IF(B23=0,IF(HT23=1,KU23,KV23),0)</f>
        <v>0</v>
      </c>
      <c r="RV23" s="1" t="n">
        <f aca="false">IF(DI23=1,IF(HT23=1,LB23+LE23,DJ23-PJ23)*(1+Slot10_Rate),0)</f>
        <v>0</v>
      </c>
      <c r="RW23" s="1" t="n">
        <f aca="false">IF(AND(HT23=1,DI23=1),(LA23+LE23)/E23,0)</f>
        <v>0</v>
      </c>
      <c r="RX23" s="1" t="n">
        <f aca="false">IF(B23=0,LA23+LE23,0)</f>
        <v>0</v>
      </c>
      <c r="RY23" s="1" t="n">
        <f aca="false">IF(B23=0,IF(HT23=1,LC23,LD23),0)</f>
        <v>0</v>
      </c>
      <c r="RZ23" s="1" t="n">
        <f aca="false">IF(DS23=1,IF(HT23=1,LJ23+LM23,DT23-PH23)*(1+Slot11_Rate),0)</f>
        <v>0</v>
      </c>
      <c r="SA23" s="1" t="n">
        <f aca="false">IF(AND(HT23=1,DS23=1),(LI23+LM23)/E23,0)</f>
        <v>0</v>
      </c>
      <c r="SB23" s="1" t="n">
        <f aca="false">IF(B23=0,LI23+LM23,0)</f>
        <v>0</v>
      </c>
      <c r="SC23" s="1" t="n">
        <f aca="false">IF(B23=0,IF(HT23=1,LK23,LL23),0)</f>
        <v>0</v>
      </c>
      <c r="SD23" s="1" t="n">
        <f aca="false">IF(EC23=1,IF(HT23=1,LR23+LU23,ED23-PF23)*(1+Slot12_Rate),0)</f>
        <v>0</v>
      </c>
      <c r="SE23" s="1" t="n">
        <f aca="false">IF(AND(HT23=1,EC23=1),(LQ23+LU23)/E23,0)</f>
        <v>0</v>
      </c>
      <c r="SF23" s="1" t="n">
        <f aca="false">IF(B23=0,LQ23+LU23,0)</f>
        <v>0</v>
      </c>
      <c r="SG23" s="1" t="n">
        <f aca="false">IF(B23=0,IF(HT23=1,LS23,LT23),0)</f>
        <v>0</v>
      </c>
      <c r="SH23" s="1" t="n">
        <f aca="false">IF(EM23=1,IF(HT23=1,LZ23+MC23,EN23-PD23)*(1+Slot13_Rate),0)</f>
        <v>0</v>
      </c>
      <c r="SI23" s="1" t="n">
        <f aca="false">IF(AND(HT23=1,EM23=1),(LY23+MC23)/E23,0)</f>
        <v>0</v>
      </c>
      <c r="SJ23" s="1" t="n">
        <f aca="false">IF(B23=0,LY23+MC23,0)</f>
        <v>0</v>
      </c>
      <c r="SK23" s="1" t="n">
        <f aca="false">IF(B23=0,IF(HT23=1,MA23,MB23),0)</f>
        <v>0</v>
      </c>
      <c r="SL23" s="1" t="n">
        <f aca="false">IF(EW23=1,IF(HT23=1,MH23+MK23,EX23-PB23)*(1+Slot14_Rate),0)</f>
        <v>0</v>
      </c>
      <c r="SM23" s="1" t="n">
        <f aca="false">IF(AND(HT23=1,EW23=1),(MG23+MK23)/E23,0)</f>
        <v>0</v>
      </c>
      <c r="SN23" s="1" t="n">
        <f aca="false">IF(B23=0,MG23+MK23,0)</f>
        <v>0</v>
      </c>
      <c r="SO23" s="1" t="n">
        <f aca="false">IF(B23=0,IF(HT23=1,MI23,MJ23),0)</f>
        <v>0</v>
      </c>
      <c r="SP23" s="1" t="n">
        <f aca="false">IF(FG23=1,IF(HT23=1,MP23+MS23,FH23-OZ23)*(1+Slot15_Rate),0)</f>
        <v>0</v>
      </c>
      <c r="SQ23" s="1" t="n">
        <f aca="false">IF(AND(HT23=1,FG23=1),(MO23+MS23)/E23,0)</f>
        <v>0</v>
      </c>
      <c r="SR23" s="1" t="n">
        <f aca="false">IF(B23=0,MO23+MS23,0)</f>
        <v>0</v>
      </c>
      <c r="SS23" s="1" t="n">
        <f aca="false">IF(B23=0,IF(HT23=1,MQ23,MR23),0)</f>
        <v>0</v>
      </c>
      <c r="ST23" s="1" t="n">
        <f aca="false">IF(FQ23=1,IF(HT23=1,MX23+NA23,FR23-OX23)*(1+Slot16_Rate),0)</f>
        <v>0</v>
      </c>
      <c r="SU23" s="1" t="n">
        <f aca="false">IF(AND(HT23=1,FQ23=1),(MW23+NA23)/E23,0)</f>
        <v>0</v>
      </c>
      <c r="SV23" s="1" t="n">
        <f aca="false">IF(B23=0,MW23+NA23,0)</f>
        <v>0</v>
      </c>
      <c r="SW23" s="1" t="n">
        <f aca="false">IF(B23=0,IF(HT23=1,MY23,MZ23),0)</f>
        <v>0</v>
      </c>
      <c r="SX23" s="1" t="n">
        <f aca="false">IF(GA23=1,IF(HT23=1,NF23+NI23,GB23-OV23)*(1+Slot17_Rate),0)</f>
        <v>0</v>
      </c>
      <c r="SY23" s="1" t="n">
        <f aca="false">IF(AND(HT23=1,GA23=1),(NE23+NI23)/E23,0)</f>
        <v>0</v>
      </c>
      <c r="SZ23" s="1" t="n">
        <f aca="false">IF(B23=0,NE23+NI23,0)</f>
        <v>0</v>
      </c>
      <c r="TA23" s="1" t="n">
        <f aca="false">IF(B23=0,IF(HT23=1,NG23,NH23),0)</f>
        <v>0</v>
      </c>
      <c r="TB23" s="1" t="n">
        <f aca="false">IF(GK23=1,IF(HT23=1,NN23+NQ23,GL23-OT23)*(1+Slot18_Rate),0)</f>
        <v>0</v>
      </c>
      <c r="TC23" s="1" t="n">
        <f aca="false">IF(AND(HT23=1,GK23=1),(NM23+NQ23)/E23,0)</f>
        <v>0</v>
      </c>
      <c r="TD23" s="1" t="n">
        <f aca="false">IF(B23=0,NM23+NQ23,0)</f>
        <v>0</v>
      </c>
      <c r="TE23" s="1" t="n">
        <f aca="false">IF(B23=0,IF(HT23=1,NO23,NP23),0)</f>
        <v>0</v>
      </c>
      <c r="TF23" s="1" t="n">
        <f aca="false">IF(GU23=1,IF(HT23=1,NV23+NY23,GV23-OR23)*(1+Slot19_Rate),0)</f>
        <v>0</v>
      </c>
      <c r="TG23" s="1" t="n">
        <f aca="false">IF(AND(HT23=1,GU23=1),(NU23+NY23)/E23,0)</f>
        <v>0</v>
      </c>
      <c r="TH23" s="1" t="n">
        <f aca="false">IF(B23=0,NU23+NY23,0)</f>
        <v>0</v>
      </c>
      <c r="TI23" s="1" t="n">
        <f aca="false">IF(B23=0,IF(HT23=1,NW23,NX23),0)</f>
        <v>0</v>
      </c>
      <c r="TJ23" s="1" t="n">
        <f aca="false">IF(HE23=1,IF(HT23=1,OD23+OG23,HF23-OP23)*(1+Slot20_Rate),0)</f>
        <v>0</v>
      </c>
      <c r="TK23" s="1" t="n">
        <f aca="false">IF(AND(HT23=1,HE23=1),(OC23+OG23)/E23,0)</f>
        <v>0</v>
      </c>
      <c r="TL23" s="1" t="n">
        <f aca="false">IF(B23=0,OC23+OG23,0)</f>
        <v>0</v>
      </c>
      <c r="TM23" s="1" t="n">
        <f aca="false">IF(B23=0,IF(HT23=1,OE23,OF23),0)</f>
        <v>0</v>
      </c>
      <c r="TN23" s="1" t="n">
        <f aca="false">QJ23+QK23+QL23+QP23+QT23+QX23+RB23+RF23+RJ23+RN23+RR23+RV23+RZ23+SD23+SH23+SL23+SP23+ST23+SX23+TB23+TF23+TJ23</f>
        <v>0</v>
      </c>
      <c r="TO23" s="1" t="n">
        <f aca="false">QD23+HO23</f>
        <v>0</v>
      </c>
      <c r="TP23" s="1" t="n">
        <f aca="false">H23+R23</f>
        <v>0</v>
      </c>
      <c r="TQ23" s="1" t="n">
        <f aca="false">1-F23</f>
        <v>0</v>
      </c>
      <c r="TR23" s="1" t="n">
        <f aca="false">IF(AND(RG_Exists=1,F23=0,C23=1),H23,0)</f>
        <v>0</v>
      </c>
      <c r="TS23" s="1" t="n">
        <f aca="false">IF(AND(RG_Exists=1,F23=0,C23=1),H23-MIN(QD23,H23),0)</f>
        <v>0</v>
      </c>
      <c r="TT23" s="1" t="n">
        <f aca="false">'Plan pay &amp; tax'!AD249</f>
        <v>0</v>
      </c>
      <c r="TU23" s="1" t="n">
        <f aca="false">IF(AND(C23=1,QD23&gt;MAX(PR_Short1,TP23*PR_Short2)),1,0)</f>
        <v>0</v>
      </c>
      <c r="TV23" s="1" t="n">
        <f aca="false">MIN(G23,H23+R23)</f>
        <v>0</v>
      </c>
      <c r="TW23" s="1" t="n">
        <f aca="false">QE23+MAX(0,HP23-HO23)</f>
        <v>0</v>
      </c>
      <c r="TX23" s="1" t="n">
        <f aca="false">QD23+HO23</f>
        <v>0</v>
      </c>
      <c r="TY23" s="1" t="n">
        <f aca="false">IF(AND(C23=1,TX23&gt;PR_MinShort),1,0)</f>
        <v>0</v>
      </c>
      <c r="TZ23" s="1" t="n">
        <f aca="false">IF(AND(C23=1,TY23=0,TW23&gt;PR_MinShort),1,0)</f>
        <v>0</v>
      </c>
      <c r="UA23" s="1" t="n">
        <f aca="false">IF(AND(C23=1,QD23&gt;PR_MinShort),1,0)</f>
        <v>0</v>
      </c>
      <c r="UB23" s="1" t="n">
        <f aca="false">IF(AND(C23=1,QE23&gt;1,UI23=0),1,0)</f>
        <v>0</v>
      </c>
      <c r="UC23" s="1" t="str">
        <f aca="false">IF(C23=0,"",IF(UI23=1,"Gap to plan for: short "&amp;"€"&amp;TEXT(ROUND(TO23,0),"#,##0"),IF(QE23&gt;1,"Using savings","Comfortable")))</f>
        <v>Comfortable</v>
      </c>
      <c r="UD23" s="1" t="n">
        <f aca="false">IF(AND(INT(D23/10)*10=90,B23&gt;0),80,INT(D23/10)*10)</f>
        <v>10</v>
      </c>
      <c r="UE23" s="1" t="n">
        <f aca="false">IF(B23=0,1,IF(UD23&lt;&gt;UD22,UE22+1,UE22))</f>
        <v>2</v>
      </c>
      <c r="UF23" s="1" t="n">
        <f aca="false">IF(AND(C23=1,F23=1,QD23&gt;MAX(PR_Short1,TP23*PR_Short2)),1,0)</f>
        <v>0</v>
      </c>
      <c r="UG23" s="1" t="n">
        <f aca="false">TQ23*TU23</f>
        <v>0</v>
      </c>
      <c r="UH23" s="1" t="n">
        <f aca="false">IF(AND(U23=1,Slot1_PctLow=1),1,0)+IF(AND(AF23=1,Slot2_PctLow=1),1,0)+IF(AND(AP23=1,Slot3_PctLow=1),1,0)+IF(AND(AZ23=1,Slot4_PctLow=1),1,0)+IF(AND(BJ23=1,Slot5_PctLow=1),1,0)+IF(AND(BT23=1,Slot6_PctLow=1),1,0)+IF(AND(CD23=1,Slot7_PctLow=1),1,0)+IF(AND(CN23=1,Slot8_PctLow=1),1,0)+IF(AND(CX23=1,Slot9_PctLow=1),1,0)+IF(AND(DH23=1,Slot10_PctLow=1),1,0)+IF(AND(DR23=1,Slot11_PctLow=1),1,0)+IF(AND(EB23=1,Slot12_PctLow=1),1,0)+IF(AND(EL23=1,Slot13_PctLow=1),1,0)+IF(AND(EV23=1,Slot14_PctLow=1),1,0)+IF(AND(FF23=1,Slot15_PctLow=1),1,0)+IF(AND(FP23=1,Slot16_PctLow=1),1,0)+IF(AND(FZ23=1,Slot17_PctLow=1),1,0)+IF(AND(GJ23=1,Slot18_PctLow=1),1,0)+IF(AND(GT23=1,Slot19_PctLow=1),1,0)+IF(AND(HD23=1,Slot20_PctLow=1),1,0)</f>
        <v>0</v>
      </c>
      <c r="UI23" s="1" t="n">
        <f aca="false">IF(C23=1,IF(OR(TU23=1,UH23&gt;0),1,0),0)</f>
        <v>0</v>
      </c>
    </row>
    <row r="24" customFormat="false" ht="15" hidden="false" customHeight="true" outlineLevel="0" collapsed="false">
      <c r="B24" s="1" t="n">
        <v>16</v>
      </c>
      <c r="C24" s="1" t="n">
        <f aca="false">IF(B24&lt;=F_N,1,0)</f>
        <v>1</v>
      </c>
      <c r="D24" s="1" t="n">
        <f aca="false">'Plan pay &amp; tax'!C250</f>
        <v>16</v>
      </c>
      <c r="E24" s="111" t="n">
        <f aca="false">'Plan pay &amp; tax'!E250</f>
        <v>1.37278570509061</v>
      </c>
      <c r="F24" s="1" t="n">
        <f aca="false">'Plan pay &amp; tax'!G250</f>
        <v>1</v>
      </c>
      <c r="G24" s="1" t="n">
        <f aca="false">'Plan pay &amp; tax'!BT250-'Plan pay &amp; tax'!BS250-'Plan pay &amp; tax'!R250</f>
        <v>0</v>
      </c>
      <c r="H24" s="1" t="n">
        <f aca="false">IF(F24=1,F_CostsM*12,IF(RG_Exists=1,RG_Amount,F_CostsM*12*AS_RetireSpend))*E24+F_OneOffY*E24</f>
        <v>0</v>
      </c>
      <c r="I24" s="1" t="n">
        <f aca="false">HQ23</f>
        <v>0</v>
      </c>
      <c r="J24" s="1" t="n">
        <f aca="false">IF(I24&gt;1,'Plan debt months'!AC24,0)</f>
        <v>0</v>
      </c>
      <c r="K24" s="1" t="n">
        <f aca="false">IF(I24&gt;1,'Plan debt months'!AB24,I24)</f>
        <v>0</v>
      </c>
      <c r="L24" s="1" t="n">
        <f aca="false">N23</f>
        <v>0</v>
      </c>
      <c r="M24" s="1" t="n">
        <f aca="false">IF(L24&gt;1,'Plan debt months'!BD24,0)</f>
        <v>0</v>
      </c>
      <c r="N24" s="1" t="n">
        <f aca="false">IF(L24&gt;1,'Plan debt months'!BC24,L24)</f>
        <v>0</v>
      </c>
      <c r="O24" s="1" t="n">
        <f aca="false">Q23</f>
        <v>0</v>
      </c>
      <c r="P24" s="1" t="n">
        <f aca="false">IF(O24&gt;1,'Plan debt months'!CE24,0)</f>
        <v>0</v>
      </c>
      <c r="Q24" s="1" t="n">
        <f aca="false">IF(O24&gt;1,'Plan debt months'!CD24,O24)</f>
        <v>0</v>
      </c>
      <c r="R24" s="1" t="n">
        <f aca="false">J24+M24+P24</f>
        <v>0</v>
      </c>
      <c r="S24" s="1" t="n">
        <f aca="false">QJ23+'Plan pay &amp; tax'!Y250</f>
        <v>0</v>
      </c>
      <c r="T24" s="1" t="n">
        <f aca="false">QJ23</f>
        <v>0</v>
      </c>
      <c r="U24" s="1" t="n">
        <f aca="false">IF(AND(Slot1_On=1,D24=Slot1_Age),1,0)</f>
        <v>0</v>
      </c>
      <c r="V24" s="1" t="n">
        <f aca="false">IF(AND(Slot1_On=1,Slot1_Age&gt;D24),1,0)</f>
        <v>0</v>
      </c>
      <c r="W24" s="1" t="n">
        <f aca="false">QL23</f>
        <v>0</v>
      </c>
      <c r="X24" s="1" t="n">
        <f aca="false">U24*MIN(Slot1_Cost,W24)</f>
        <v>0</v>
      </c>
      <c r="Y24" s="1" t="n">
        <f aca="false">U24*Slot1_SpendLike*MIN(Slot1_Cost-X24,S24)</f>
        <v>0</v>
      </c>
      <c r="Z24" s="1" t="n">
        <f aca="false">X24+Y24</f>
        <v>0</v>
      </c>
      <c r="AA24" s="1" t="n">
        <f aca="false">S24-Y24+U24*IF(Slot1_SpendLike=1,W24-X24,IF(Slot1_PotFree=1,W24,0))</f>
        <v>0</v>
      </c>
      <c r="AB24" s="1" t="n">
        <f aca="false">AE24+U24*Slot1_BufPot*W24</f>
        <v>0</v>
      </c>
      <c r="AC24" s="1" t="n">
        <f aca="false">IF(AND(U24=1,Slot1_IsMfree=1),IF(Z24&gt;=Slot1_Cost-1,0,MAX(0,K24-Z24)),K24)</f>
        <v>0</v>
      </c>
      <c r="AD24" s="1" t="n">
        <f aca="false">U24*(Slot1_Cost-Z24)</f>
        <v>0</v>
      </c>
      <c r="AE24" s="1" t="n">
        <f aca="false">QK23</f>
        <v>0</v>
      </c>
      <c r="AF24" s="1" t="n">
        <f aca="false">IF(AND(Slot2_On=1,D24=Slot2_Age),1,0)</f>
        <v>0</v>
      </c>
      <c r="AG24" s="1" t="n">
        <f aca="false">IF(AND(Slot2_On=1,Slot2_Age&gt;D24),1,0)</f>
        <v>0</v>
      </c>
      <c r="AH24" s="1" t="n">
        <f aca="false">QP23</f>
        <v>0</v>
      </c>
      <c r="AI24" s="1" t="n">
        <f aca="false">AF24*MIN(Slot2_Cost,AH24)</f>
        <v>0</v>
      </c>
      <c r="AJ24" s="1" t="n">
        <f aca="false">AF24*Slot2_SpendLike*MIN(Slot2_Cost-AI24,AA24)</f>
        <v>0</v>
      </c>
      <c r="AK24" s="1" t="n">
        <f aca="false">AI24+AJ24</f>
        <v>0</v>
      </c>
      <c r="AL24" s="1" t="n">
        <f aca="false">AA24-AJ24+AF24*IF(Slot2_SpendLike=1,AH24-AI24,IF(Slot2_PotFree=1,AH24,0))</f>
        <v>0</v>
      </c>
      <c r="AM24" s="1" t="n">
        <f aca="false">AB24+AF24*Slot2_BufPot*AH24</f>
        <v>0</v>
      </c>
      <c r="AN24" s="1" t="n">
        <f aca="false">IF(AND(AF24=1,Slot2_IsMfree=1),IF(AK24&gt;=Slot2_Cost-1,0,MAX(0,AC24-AK24)),AC24)</f>
        <v>0</v>
      </c>
      <c r="AO24" s="1" t="n">
        <f aca="false">AF24*(Slot2_Cost-AK24)</f>
        <v>0</v>
      </c>
      <c r="AP24" s="1" t="n">
        <f aca="false">IF(AND(Slot3_On=1,D24=Slot3_Age),1,0)</f>
        <v>0</v>
      </c>
      <c r="AQ24" s="1" t="n">
        <f aca="false">IF(AND(Slot3_On=1,Slot3_Age&gt;D24),1,0)</f>
        <v>0</v>
      </c>
      <c r="AR24" s="1" t="n">
        <f aca="false">QT23</f>
        <v>0</v>
      </c>
      <c r="AS24" s="1" t="n">
        <f aca="false">AP24*MIN(Slot3_Cost,AR24)</f>
        <v>0</v>
      </c>
      <c r="AT24" s="1" t="n">
        <f aca="false">AP24*Slot3_SpendLike*MIN(Slot3_Cost-AS24,AL24)</f>
        <v>0</v>
      </c>
      <c r="AU24" s="1" t="n">
        <f aca="false">AS24+AT24</f>
        <v>0</v>
      </c>
      <c r="AV24" s="1" t="n">
        <f aca="false">AL24-AT24+AP24*IF(Slot3_SpendLike=1,AR24-AS24,IF(Slot3_PotFree=1,AR24,0))</f>
        <v>0</v>
      </c>
      <c r="AW24" s="1" t="n">
        <f aca="false">AM24+AP24*Slot3_BufPot*AR24</f>
        <v>0</v>
      </c>
      <c r="AX24" s="1" t="n">
        <f aca="false">IF(AND(AP24=1,Slot3_IsMfree=1),IF(AU24&gt;=Slot3_Cost-1,0,MAX(0,AN24-AU24)),AN24)</f>
        <v>0</v>
      </c>
      <c r="AY24" s="1" t="n">
        <f aca="false">AP24*(Slot3_Cost-AU24)</f>
        <v>0</v>
      </c>
      <c r="AZ24" s="1" t="n">
        <f aca="false">IF(AND(Slot4_On=1,D24=Slot4_Age),1,0)</f>
        <v>0</v>
      </c>
      <c r="BA24" s="1" t="n">
        <f aca="false">IF(AND(Slot4_On=1,Slot4_Age&gt;D24),1,0)</f>
        <v>0</v>
      </c>
      <c r="BB24" s="1" t="n">
        <f aca="false">QX23</f>
        <v>0</v>
      </c>
      <c r="BC24" s="1" t="n">
        <f aca="false">AZ24*MIN(Slot4_Cost,BB24)</f>
        <v>0</v>
      </c>
      <c r="BD24" s="1" t="n">
        <f aca="false">AZ24*Slot4_SpendLike*MIN(Slot4_Cost-BC24,AV24)</f>
        <v>0</v>
      </c>
      <c r="BE24" s="1" t="n">
        <f aca="false">BC24+BD24</f>
        <v>0</v>
      </c>
      <c r="BF24" s="1" t="n">
        <f aca="false">AV24-BD24+AZ24*IF(Slot4_SpendLike=1,BB24-BC24,IF(Slot4_PotFree=1,BB24,0))</f>
        <v>0</v>
      </c>
      <c r="BG24" s="1" t="n">
        <f aca="false">AW24+AZ24*Slot4_BufPot*BB24</f>
        <v>0</v>
      </c>
      <c r="BH24" s="1" t="n">
        <f aca="false">IF(AND(AZ24=1,Slot4_IsMfree=1),IF(BE24&gt;=Slot4_Cost-1,0,MAX(0,AX24-BE24)),AX24)</f>
        <v>0</v>
      </c>
      <c r="BI24" s="1" t="n">
        <f aca="false">AZ24*(Slot4_Cost-BE24)</f>
        <v>0</v>
      </c>
      <c r="BJ24" s="1" t="n">
        <f aca="false">IF(AND(Slot5_On=1,D24=Slot5_Age),1,0)</f>
        <v>0</v>
      </c>
      <c r="BK24" s="1" t="n">
        <f aca="false">IF(AND(Slot5_On=1,Slot5_Age&gt;D24),1,0)</f>
        <v>0</v>
      </c>
      <c r="BL24" s="1" t="n">
        <f aca="false">RB23</f>
        <v>0</v>
      </c>
      <c r="BM24" s="1" t="n">
        <f aca="false">BJ24*MIN(Slot5_Cost,BL24)</f>
        <v>0</v>
      </c>
      <c r="BN24" s="1" t="n">
        <f aca="false">BJ24*Slot5_SpendLike*MIN(Slot5_Cost-BM24,BF24)</f>
        <v>0</v>
      </c>
      <c r="BO24" s="1" t="n">
        <f aca="false">BM24+BN24</f>
        <v>0</v>
      </c>
      <c r="BP24" s="1" t="n">
        <f aca="false">BF24-BN24+BJ24*IF(Slot5_SpendLike=1,BL24-BM24,IF(Slot5_PotFree=1,BL24,0))</f>
        <v>0</v>
      </c>
      <c r="BQ24" s="1" t="n">
        <f aca="false">BG24+BJ24*Slot5_BufPot*BL24</f>
        <v>0</v>
      </c>
      <c r="BR24" s="1" t="n">
        <f aca="false">IF(AND(BJ24=1,Slot5_IsMfree=1),IF(BO24&gt;=Slot5_Cost-1,0,MAX(0,BH24-BO24)),BH24)</f>
        <v>0</v>
      </c>
      <c r="BS24" s="1" t="n">
        <f aca="false">BJ24*(Slot5_Cost-BO24)</f>
        <v>0</v>
      </c>
      <c r="BT24" s="1" t="n">
        <f aca="false">IF(AND(Slot6_On=1,D24=Slot6_Age),1,0)</f>
        <v>0</v>
      </c>
      <c r="BU24" s="1" t="n">
        <f aca="false">IF(AND(Slot6_On=1,Slot6_Age&gt;D24),1,0)</f>
        <v>0</v>
      </c>
      <c r="BV24" s="1" t="n">
        <f aca="false">RF23</f>
        <v>0</v>
      </c>
      <c r="BW24" s="1" t="n">
        <f aca="false">BT24*MIN(Slot6_Cost,BV24)</f>
        <v>0</v>
      </c>
      <c r="BX24" s="1" t="n">
        <f aca="false">BT24*Slot6_SpendLike*MIN(Slot6_Cost-BW24,BP24)</f>
        <v>0</v>
      </c>
      <c r="BY24" s="1" t="n">
        <f aca="false">BW24+BX24</f>
        <v>0</v>
      </c>
      <c r="BZ24" s="1" t="n">
        <f aca="false">BP24-BX24+BT24*IF(Slot6_SpendLike=1,BV24-BW24,IF(Slot6_PotFree=1,BV24,0))</f>
        <v>0</v>
      </c>
      <c r="CA24" s="1" t="n">
        <f aca="false">BQ24+BT24*Slot6_BufPot*BV24</f>
        <v>0</v>
      </c>
      <c r="CB24" s="1" t="n">
        <f aca="false">IF(AND(BT24=1,Slot6_IsMfree=1),IF(BY24&gt;=Slot6_Cost-1,0,MAX(0,BR24-BY24)),BR24)</f>
        <v>0</v>
      </c>
      <c r="CC24" s="1" t="n">
        <f aca="false">BT24*(Slot6_Cost-BY24)</f>
        <v>0</v>
      </c>
      <c r="CD24" s="1" t="n">
        <f aca="false">IF(AND(Slot7_On=1,D24=Slot7_Age),1,0)</f>
        <v>0</v>
      </c>
      <c r="CE24" s="1" t="n">
        <f aca="false">IF(AND(Slot7_On=1,Slot7_Age&gt;D24),1,0)</f>
        <v>0</v>
      </c>
      <c r="CF24" s="1" t="n">
        <f aca="false">RJ23</f>
        <v>0</v>
      </c>
      <c r="CG24" s="1" t="n">
        <f aca="false">CD24*MIN(Slot7_Cost,CF24)</f>
        <v>0</v>
      </c>
      <c r="CH24" s="1" t="n">
        <f aca="false">CD24*Slot7_SpendLike*MIN(Slot7_Cost-CG24,BZ24)</f>
        <v>0</v>
      </c>
      <c r="CI24" s="1" t="n">
        <f aca="false">CG24+CH24</f>
        <v>0</v>
      </c>
      <c r="CJ24" s="1" t="n">
        <f aca="false">BZ24-CH24+CD24*IF(Slot7_SpendLike=1,CF24-CG24,IF(Slot7_PotFree=1,CF24,0))</f>
        <v>0</v>
      </c>
      <c r="CK24" s="1" t="n">
        <f aca="false">CA24+CD24*Slot7_BufPot*CF24</f>
        <v>0</v>
      </c>
      <c r="CL24" s="1" t="n">
        <f aca="false">IF(AND(CD24=1,Slot7_IsMfree=1),IF(CI24&gt;=Slot7_Cost-1,0,MAX(0,CB24-CI24)),CB24)</f>
        <v>0</v>
      </c>
      <c r="CM24" s="1" t="n">
        <f aca="false">CD24*(Slot7_Cost-CI24)</f>
        <v>0</v>
      </c>
      <c r="CN24" s="1" t="n">
        <f aca="false">IF(AND(Slot8_On=1,D24=Slot8_Age),1,0)</f>
        <v>0</v>
      </c>
      <c r="CO24" s="1" t="n">
        <f aca="false">IF(AND(Slot8_On=1,Slot8_Age&gt;D24),1,0)</f>
        <v>0</v>
      </c>
      <c r="CP24" s="1" t="n">
        <f aca="false">RN23</f>
        <v>0</v>
      </c>
      <c r="CQ24" s="1" t="n">
        <f aca="false">CN24*MIN(Slot8_Cost,CP24)</f>
        <v>0</v>
      </c>
      <c r="CR24" s="1" t="n">
        <f aca="false">CN24*Slot8_SpendLike*MIN(Slot8_Cost-CQ24,CJ24)</f>
        <v>0</v>
      </c>
      <c r="CS24" s="1" t="n">
        <f aca="false">CQ24+CR24</f>
        <v>0</v>
      </c>
      <c r="CT24" s="1" t="n">
        <f aca="false">CJ24-CR24+CN24*IF(Slot8_SpendLike=1,CP24-CQ24,IF(Slot8_PotFree=1,CP24,0))</f>
        <v>0</v>
      </c>
      <c r="CU24" s="1" t="n">
        <f aca="false">CK24+CN24*Slot8_BufPot*CP24</f>
        <v>0</v>
      </c>
      <c r="CV24" s="1" t="n">
        <f aca="false">IF(AND(CN24=1,Slot8_IsMfree=1),IF(CS24&gt;=Slot8_Cost-1,0,MAX(0,CL24-CS24)),CL24)</f>
        <v>0</v>
      </c>
      <c r="CW24" s="1" t="n">
        <f aca="false">CN24*(Slot8_Cost-CS24)</f>
        <v>0</v>
      </c>
      <c r="CX24" s="1" t="n">
        <f aca="false">IF(AND(Slot9_On=1,D24=Slot9_Age),1,0)</f>
        <v>0</v>
      </c>
      <c r="CY24" s="1" t="n">
        <f aca="false">IF(AND(Slot9_On=1,Slot9_Age&gt;D24),1,0)</f>
        <v>0</v>
      </c>
      <c r="CZ24" s="1" t="n">
        <f aca="false">RR23</f>
        <v>0</v>
      </c>
      <c r="DA24" s="1" t="n">
        <f aca="false">CX24*MIN(Slot9_Cost,CZ24)</f>
        <v>0</v>
      </c>
      <c r="DB24" s="1" t="n">
        <f aca="false">CX24*Slot9_SpendLike*MIN(Slot9_Cost-DA24,CT24)</f>
        <v>0</v>
      </c>
      <c r="DC24" s="1" t="n">
        <f aca="false">DA24+DB24</f>
        <v>0</v>
      </c>
      <c r="DD24" s="1" t="n">
        <f aca="false">CT24-DB24+CX24*IF(Slot9_SpendLike=1,CZ24-DA24,IF(Slot9_PotFree=1,CZ24,0))</f>
        <v>0</v>
      </c>
      <c r="DE24" s="1" t="n">
        <f aca="false">CU24+CX24*Slot9_BufPot*CZ24</f>
        <v>0</v>
      </c>
      <c r="DF24" s="1" t="n">
        <f aca="false">IF(AND(CX24=1,Slot9_IsMfree=1),IF(DC24&gt;=Slot9_Cost-1,0,MAX(0,CV24-DC24)),CV24)</f>
        <v>0</v>
      </c>
      <c r="DG24" s="1" t="n">
        <f aca="false">CX24*(Slot9_Cost-DC24)</f>
        <v>0</v>
      </c>
      <c r="DH24" s="1" t="n">
        <f aca="false">IF(AND(Slot10_On=1,D24=Slot10_Age),1,0)</f>
        <v>0</v>
      </c>
      <c r="DI24" s="1" t="n">
        <f aca="false">IF(AND(Slot10_On=1,Slot10_Age&gt;D24),1,0)</f>
        <v>0</v>
      </c>
      <c r="DJ24" s="1" t="n">
        <f aca="false">RV23</f>
        <v>0</v>
      </c>
      <c r="DK24" s="1" t="n">
        <f aca="false">DH24*MIN(Slot10_Cost,DJ24)</f>
        <v>0</v>
      </c>
      <c r="DL24" s="1" t="n">
        <f aca="false">DH24*Slot10_SpendLike*MIN(Slot10_Cost-DK24,DD24)</f>
        <v>0</v>
      </c>
      <c r="DM24" s="1" t="n">
        <f aca="false">DK24+DL24</f>
        <v>0</v>
      </c>
      <c r="DN24" s="1" t="n">
        <f aca="false">DD24-DL24+DH24*IF(Slot10_SpendLike=1,DJ24-DK24,IF(Slot10_PotFree=1,DJ24,0))</f>
        <v>0</v>
      </c>
      <c r="DO24" s="1" t="n">
        <f aca="false">DE24+DH24*Slot10_BufPot*DJ24</f>
        <v>0</v>
      </c>
      <c r="DP24" s="1" t="n">
        <f aca="false">IF(AND(DH24=1,Slot10_IsMfree=1),IF(DM24&gt;=Slot10_Cost-1,0,MAX(0,DF24-DM24)),DF24)</f>
        <v>0</v>
      </c>
      <c r="DQ24" s="1" t="n">
        <f aca="false">DH24*(Slot10_Cost-DM24)</f>
        <v>0</v>
      </c>
      <c r="DR24" s="1" t="n">
        <f aca="false">IF(AND(Slot11_On=1,D24=Slot11_Age),1,0)</f>
        <v>0</v>
      </c>
      <c r="DS24" s="1" t="n">
        <f aca="false">IF(AND(Slot11_On=1,Slot11_Age&gt;D24),1,0)</f>
        <v>0</v>
      </c>
      <c r="DT24" s="1" t="n">
        <f aca="false">RZ23</f>
        <v>0</v>
      </c>
      <c r="DU24" s="1" t="n">
        <f aca="false">DR24*MIN(Slot11_Cost,DT24)</f>
        <v>0</v>
      </c>
      <c r="DV24" s="1" t="n">
        <f aca="false">DR24*Slot11_SpendLike*MIN(Slot11_Cost-DU24,DN24)</f>
        <v>0</v>
      </c>
      <c r="DW24" s="1" t="n">
        <f aca="false">DU24+DV24</f>
        <v>0</v>
      </c>
      <c r="DX24" s="1" t="n">
        <f aca="false">DN24-DV24+DR24*IF(Slot11_SpendLike=1,DT24-DU24,IF(Slot11_PotFree=1,DT24,0))</f>
        <v>0</v>
      </c>
      <c r="DY24" s="1" t="n">
        <f aca="false">DO24+DR24*Slot11_BufPot*DT24</f>
        <v>0</v>
      </c>
      <c r="DZ24" s="1" t="n">
        <f aca="false">IF(AND(DR24=1,Slot11_IsMfree=1),IF(DW24&gt;=Slot11_Cost-1,0,MAX(0,DP24-DW24)),DP24)</f>
        <v>0</v>
      </c>
      <c r="EA24" s="1" t="n">
        <f aca="false">DR24*(Slot11_Cost-DW24)</f>
        <v>0</v>
      </c>
      <c r="EB24" s="1" t="n">
        <f aca="false">IF(AND(Slot12_On=1,D24=Slot12_Age),1,0)</f>
        <v>0</v>
      </c>
      <c r="EC24" s="1" t="n">
        <f aca="false">IF(AND(Slot12_On=1,Slot12_Age&gt;D24),1,0)</f>
        <v>0</v>
      </c>
      <c r="ED24" s="1" t="n">
        <f aca="false">SD23</f>
        <v>0</v>
      </c>
      <c r="EE24" s="1" t="n">
        <f aca="false">EB24*MIN(Slot12_Cost,ED24)</f>
        <v>0</v>
      </c>
      <c r="EF24" s="1" t="n">
        <f aca="false">EB24*Slot12_SpendLike*MIN(Slot12_Cost-EE24,DX24)</f>
        <v>0</v>
      </c>
      <c r="EG24" s="1" t="n">
        <f aca="false">EE24+EF24</f>
        <v>0</v>
      </c>
      <c r="EH24" s="1" t="n">
        <f aca="false">DX24-EF24+EB24*IF(Slot12_SpendLike=1,ED24-EE24,IF(Slot12_PotFree=1,ED24,0))</f>
        <v>0</v>
      </c>
      <c r="EI24" s="1" t="n">
        <f aca="false">DY24+EB24*Slot12_BufPot*ED24</f>
        <v>0</v>
      </c>
      <c r="EJ24" s="1" t="n">
        <f aca="false">IF(AND(EB24=1,Slot12_IsMfree=1),IF(EG24&gt;=Slot12_Cost-1,0,MAX(0,DZ24-EG24)),DZ24)</f>
        <v>0</v>
      </c>
      <c r="EK24" s="1" t="n">
        <f aca="false">EB24*(Slot12_Cost-EG24)</f>
        <v>0</v>
      </c>
      <c r="EL24" s="1" t="n">
        <f aca="false">IF(AND(Slot13_On=1,D24=Slot13_Age),1,0)</f>
        <v>0</v>
      </c>
      <c r="EM24" s="1" t="n">
        <f aca="false">IF(AND(Slot13_On=1,Slot13_Age&gt;D24),1,0)</f>
        <v>0</v>
      </c>
      <c r="EN24" s="1" t="n">
        <f aca="false">SH23</f>
        <v>0</v>
      </c>
      <c r="EO24" s="1" t="n">
        <f aca="false">EL24*MIN(Slot13_Cost,EN24)</f>
        <v>0</v>
      </c>
      <c r="EP24" s="1" t="n">
        <f aca="false">EL24*Slot13_SpendLike*MIN(Slot13_Cost-EO24,EH24)</f>
        <v>0</v>
      </c>
      <c r="EQ24" s="1" t="n">
        <f aca="false">EO24+EP24</f>
        <v>0</v>
      </c>
      <c r="ER24" s="1" t="n">
        <f aca="false">EH24-EP24+EL24*IF(Slot13_SpendLike=1,EN24-EO24,IF(Slot13_PotFree=1,EN24,0))</f>
        <v>0</v>
      </c>
      <c r="ES24" s="1" t="n">
        <f aca="false">EI24+EL24*Slot13_BufPot*EN24</f>
        <v>0</v>
      </c>
      <c r="ET24" s="1" t="n">
        <f aca="false">IF(AND(EL24=1,Slot13_IsMfree=1),IF(EQ24&gt;=Slot13_Cost-1,0,MAX(0,EJ24-EQ24)),EJ24)</f>
        <v>0</v>
      </c>
      <c r="EU24" s="1" t="n">
        <f aca="false">EL24*(Slot13_Cost-EQ24)</f>
        <v>0</v>
      </c>
      <c r="EV24" s="1" t="n">
        <f aca="false">IF(AND(Slot14_On=1,D24=Slot14_Age),1,0)</f>
        <v>0</v>
      </c>
      <c r="EW24" s="1" t="n">
        <f aca="false">IF(AND(Slot14_On=1,Slot14_Age&gt;D24),1,0)</f>
        <v>0</v>
      </c>
      <c r="EX24" s="1" t="n">
        <f aca="false">SL23</f>
        <v>0</v>
      </c>
      <c r="EY24" s="1" t="n">
        <f aca="false">EV24*MIN(Slot14_Cost,EX24)</f>
        <v>0</v>
      </c>
      <c r="EZ24" s="1" t="n">
        <f aca="false">EV24*Slot14_SpendLike*MIN(Slot14_Cost-EY24,ER24)</f>
        <v>0</v>
      </c>
      <c r="FA24" s="1" t="n">
        <f aca="false">EY24+EZ24</f>
        <v>0</v>
      </c>
      <c r="FB24" s="1" t="n">
        <f aca="false">ER24-EZ24+EV24*IF(Slot14_SpendLike=1,EX24-EY24,IF(Slot14_PotFree=1,EX24,0))</f>
        <v>0</v>
      </c>
      <c r="FC24" s="1" t="n">
        <f aca="false">ES24+EV24*Slot14_BufPot*EX24</f>
        <v>0</v>
      </c>
      <c r="FD24" s="1" t="n">
        <f aca="false">IF(AND(EV24=1,Slot14_IsMfree=1),IF(FA24&gt;=Slot14_Cost-1,0,MAX(0,ET24-FA24)),ET24)</f>
        <v>0</v>
      </c>
      <c r="FE24" s="1" t="n">
        <f aca="false">EV24*(Slot14_Cost-FA24)</f>
        <v>0</v>
      </c>
      <c r="FF24" s="1" t="n">
        <f aca="false">IF(AND(Slot15_On=1,D24=Slot15_Age),1,0)</f>
        <v>0</v>
      </c>
      <c r="FG24" s="1" t="n">
        <f aca="false">IF(AND(Slot15_On=1,Slot15_Age&gt;D24),1,0)</f>
        <v>0</v>
      </c>
      <c r="FH24" s="1" t="n">
        <f aca="false">SP23</f>
        <v>0</v>
      </c>
      <c r="FI24" s="1" t="n">
        <f aca="false">FF24*MIN(Slot15_Cost,FH24)</f>
        <v>0</v>
      </c>
      <c r="FJ24" s="1" t="n">
        <f aca="false">FF24*Slot15_SpendLike*MIN(Slot15_Cost-FI24,FB24)</f>
        <v>0</v>
      </c>
      <c r="FK24" s="1" t="n">
        <f aca="false">FI24+FJ24</f>
        <v>0</v>
      </c>
      <c r="FL24" s="1" t="n">
        <f aca="false">FB24-FJ24+FF24*IF(Slot15_SpendLike=1,FH24-FI24,IF(Slot15_PotFree=1,FH24,0))</f>
        <v>0</v>
      </c>
      <c r="FM24" s="1" t="n">
        <f aca="false">FC24+FF24*Slot15_BufPot*FH24</f>
        <v>0</v>
      </c>
      <c r="FN24" s="1" t="n">
        <f aca="false">IF(AND(FF24=1,Slot15_IsMfree=1),IF(FK24&gt;=Slot15_Cost-1,0,MAX(0,FD24-FK24)),FD24)</f>
        <v>0</v>
      </c>
      <c r="FO24" s="1" t="n">
        <f aca="false">FF24*(Slot15_Cost-FK24)</f>
        <v>0</v>
      </c>
      <c r="FP24" s="1" t="n">
        <f aca="false">IF(AND(Slot16_On=1,D24=Slot16_Age),1,0)</f>
        <v>0</v>
      </c>
      <c r="FQ24" s="1" t="n">
        <f aca="false">IF(AND(Slot16_On=1,Slot16_Age&gt;D24),1,0)</f>
        <v>0</v>
      </c>
      <c r="FR24" s="1" t="n">
        <f aca="false">ST23</f>
        <v>0</v>
      </c>
      <c r="FS24" s="1" t="n">
        <f aca="false">FP24*MIN(Slot16_Cost,FR24)</f>
        <v>0</v>
      </c>
      <c r="FT24" s="1" t="n">
        <f aca="false">FP24*Slot16_SpendLike*MIN(Slot16_Cost-FS24,FL24)</f>
        <v>0</v>
      </c>
      <c r="FU24" s="1" t="n">
        <f aca="false">FS24+FT24</f>
        <v>0</v>
      </c>
      <c r="FV24" s="1" t="n">
        <f aca="false">FL24-FT24+FP24*IF(Slot16_SpendLike=1,FR24-FS24,IF(Slot16_PotFree=1,FR24,0))</f>
        <v>0</v>
      </c>
      <c r="FW24" s="1" t="n">
        <f aca="false">FM24+FP24*Slot16_BufPot*FR24</f>
        <v>0</v>
      </c>
      <c r="FX24" s="1" t="n">
        <f aca="false">IF(AND(FP24=1,Slot16_IsMfree=1),IF(FU24&gt;=Slot16_Cost-1,0,MAX(0,FN24-FU24)),FN24)</f>
        <v>0</v>
      </c>
      <c r="FY24" s="1" t="n">
        <f aca="false">FP24*(Slot16_Cost-FU24)</f>
        <v>0</v>
      </c>
      <c r="FZ24" s="1" t="n">
        <f aca="false">IF(AND(Slot17_On=1,D24=Slot17_Age),1,0)</f>
        <v>0</v>
      </c>
      <c r="GA24" s="1" t="n">
        <f aca="false">IF(AND(Slot17_On=1,Slot17_Age&gt;D24),1,0)</f>
        <v>0</v>
      </c>
      <c r="GB24" s="1" t="n">
        <f aca="false">SX23</f>
        <v>0</v>
      </c>
      <c r="GC24" s="1" t="n">
        <f aca="false">FZ24*MIN(Slot17_Cost,GB24)</f>
        <v>0</v>
      </c>
      <c r="GD24" s="1" t="n">
        <f aca="false">FZ24*Slot17_SpendLike*MIN(Slot17_Cost-GC24,FV24)</f>
        <v>0</v>
      </c>
      <c r="GE24" s="1" t="n">
        <f aca="false">GC24+GD24</f>
        <v>0</v>
      </c>
      <c r="GF24" s="1" t="n">
        <f aca="false">FV24-GD24+FZ24*IF(Slot17_SpendLike=1,GB24-GC24,IF(Slot17_PotFree=1,GB24,0))</f>
        <v>0</v>
      </c>
      <c r="GG24" s="1" t="n">
        <f aca="false">FW24+FZ24*Slot17_BufPot*GB24</f>
        <v>0</v>
      </c>
      <c r="GH24" s="1" t="n">
        <f aca="false">IF(AND(FZ24=1,Slot17_IsMfree=1),IF(GE24&gt;=Slot17_Cost-1,0,MAX(0,FX24-GE24)),FX24)</f>
        <v>0</v>
      </c>
      <c r="GI24" s="1" t="n">
        <f aca="false">FZ24*(Slot17_Cost-GE24)</f>
        <v>0</v>
      </c>
      <c r="GJ24" s="1" t="n">
        <f aca="false">IF(AND(Slot18_On=1,D24=Slot18_Age),1,0)</f>
        <v>0</v>
      </c>
      <c r="GK24" s="1" t="n">
        <f aca="false">IF(AND(Slot18_On=1,Slot18_Age&gt;D24),1,0)</f>
        <v>0</v>
      </c>
      <c r="GL24" s="1" t="n">
        <f aca="false">TB23</f>
        <v>0</v>
      </c>
      <c r="GM24" s="1" t="n">
        <f aca="false">GJ24*MIN(Slot18_Cost,GL24)</f>
        <v>0</v>
      </c>
      <c r="GN24" s="1" t="n">
        <f aca="false">GJ24*Slot18_SpendLike*MIN(Slot18_Cost-GM24,GF24)</f>
        <v>0</v>
      </c>
      <c r="GO24" s="1" t="n">
        <f aca="false">GM24+GN24</f>
        <v>0</v>
      </c>
      <c r="GP24" s="1" t="n">
        <f aca="false">GF24-GN24+GJ24*IF(Slot18_SpendLike=1,GL24-GM24,IF(Slot18_PotFree=1,GL24,0))</f>
        <v>0</v>
      </c>
      <c r="GQ24" s="1" t="n">
        <f aca="false">GG24+GJ24*Slot18_BufPot*GL24</f>
        <v>0</v>
      </c>
      <c r="GR24" s="1" t="n">
        <f aca="false">IF(AND(GJ24=1,Slot18_IsMfree=1),IF(GO24&gt;=Slot18_Cost-1,0,MAX(0,GH24-GO24)),GH24)</f>
        <v>0</v>
      </c>
      <c r="GS24" s="1" t="n">
        <f aca="false">GJ24*(Slot18_Cost-GO24)</f>
        <v>0</v>
      </c>
      <c r="GT24" s="1" t="n">
        <f aca="false">IF(AND(Slot19_On=1,D24=Slot19_Age),1,0)</f>
        <v>0</v>
      </c>
      <c r="GU24" s="1" t="n">
        <f aca="false">IF(AND(Slot19_On=1,Slot19_Age&gt;D24),1,0)</f>
        <v>0</v>
      </c>
      <c r="GV24" s="1" t="n">
        <f aca="false">TF23</f>
        <v>0</v>
      </c>
      <c r="GW24" s="1" t="n">
        <f aca="false">GT24*MIN(Slot19_Cost,GV24)</f>
        <v>0</v>
      </c>
      <c r="GX24" s="1" t="n">
        <f aca="false">GT24*Slot19_SpendLike*MIN(Slot19_Cost-GW24,GP24)</f>
        <v>0</v>
      </c>
      <c r="GY24" s="1" t="n">
        <f aca="false">GW24+GX24</f>
        <v>0</v>
      </c>
      <c r="GZ24" s="1" t="n">
        <f aca="false">GP24-GX24+GT24*IF(Slot19_SpendLike=1,GV24-GW24,IF(Slot19_PotFree=1,GV24,0))</f>
        <v>0</v>
      </c>
      <c r="HA24" s="1" t="n">
        <f aca="false">GQ24+GT24*Slot19_BufPot*GV24</f>
        <v>0</v>
      </c>
      <c r="HB24" s="1" t="n">
        <f aca="false">IF(AND(GT24=1,Slot19_IsMfree=1),IF(GY24&gt;=Slot19_Cost-1,0,MAX(0,GR24-GY24)),GR24)</f>
        <v>0</v>
      </c>
      <c r="HC24" s="1" t="n">
        <f aca="false">GT24*(Slot19_Cost-GY24)</f>
        <v>0</v>
      </c>
      <c r="HD24" s="1" t="n">
        <f aca="false">IF(AND(Slot20_On=1,D24=Slot20_Age),1,0)</f>
        <v>0</v>
      </c>
      <c r="HE24" s="1" t="n">
        <f aca="false">IF(AND(Slot20_On=1,Slot20_Age&gt;D24),1,0)</f>
        <v>0</v>
      </c>
      <c r="HF24" s="1" t="n">
        <f aca="false">TJ23</f>
        <v>0</v>
      </c>
      <c r="HG24" s="1" t="n">
        <f aca="false">HD24*MIN(Slot20_Cost,HF24)</f>
        <v>0</v>
      </c>
      <c r="HH24" s="1" t="n">
        <f aca="false">HD24*Slot20_SpendLike*MIN(Slot20_Cost-HG24,GZ24)</f>
        <v>0</v>
      </c>
      <c r="HI24" s="1" t="n">
        <f aca="false">HG24+HH24</f>
        <v>0</v>
      </c>
      <c r="HJ24" s="1" t="n">
        <f aca="false">GZ24-HH24+HD24*IF(Slot20_SpendLike=1,HF24-HG24,IF(Slot20_PotFree=1,HF24,0))</f>
        <v>0</v>
      </c>
      <c r="HK24" s="1" t="n">
        <f aca="false">HA24+HD24*Slot20_BufPot*HF24</f>
        <v>0</v>
      </c>
      <c r="HL24" s="1" t="n">
        <f aca="false">IF(AND(HD24=1,Slot20_IsMfree=1),IF(HI24&gt;=Slot20_Cost-1,0,MAX(0,HB24-HI24)),HB24)</f>
        <v>0</v>
      </c>
      <c r="HM24" s="1" t="n">
        <f aca="false">HD24*(Slot20_Cost-HI24)</f>
        <v>0</v>
      </c>
      <c r="HN24" s="1" t="n">
        <f aca="false">U24*Slot1_SpendLike*Z24+AF24*Slot2_SpendLike*AK24+AP24*Slot3_SpendLike*AU24+AZ24*Slot4_SpendLike*BE24+BJ24*Slot5_SpendLike*BO24+BT24*Slot6_SpendLike*BY24+CD24*Slot7_SpendLike*CI24+CN24*Slot8_SpendLike*CS24+CX24*Slot9_SpendLike*DC24+DH24*Slot10_SpendLike*DM24+DR24*Slot11_SpendLike*DW24+EB24*Slot12_SpendLike*EG24+EL24*Slot13_SpendLike*EQ24+EV24*Slot14_SpendLike*FA24+FF24*Slot15_SpendLike*FK24+FP24*Slot16_SpendLike*FU24+FZ24*Slot17_SpendLike*GE24+GJ24*Slot18_SpendLike*GO24+GT24*Slot19_SpendLike*GY24+HD24*Slot20_SpendLike*HI24</f>
        <v>0</v>
      </c>
      <c r="HO24" s="1" t="n">
        <f aca="false">AD24+AO24+AY24+BI24+BS24+CC24+CM24+CW24+DG24+DQ24+EA24+EK24+EU24+FE24+FO24+FY24+GI24+GS24+HC24+HM24</f>
        <v>0</v>
      </c>
      <c r="HP24" s="1" t="n">
        <f aca="false">U24*Slot1_Cost+AF24*Slot2_Cost+AP24*Slot3_Cost+AZ24*Slot4_Cost+BJ24*Slot5_Cost+BT24*Slot6_Cost+CD24*Slot7_Cost+CN24*Slot8_Cost+CX24*Slot9_Cost+DH24*Slot10_Cost+DR24*Slot11_Cost+EB24*Slot12_Cost+EL24*Slot13_Cost+EV24*Slot14_Cost+FF24*Slot15_Cost+FP24*Slot16_Cost+FZ24*Slot17_Cost+GJ24*Slot18_Cost+GT24*Slot19_Cost+HD24*Slot20_Cost</f>
        <v>0</v>
      </c>
      <c r="HQ24" s="1" t="n">
        <f aca="false">HL24</f>
        <v>0</v>
      </c>
      <c r="HR24" s="1" t="n">
        <f aca="false">G24-H24-R24</f>
        <v>0</v>
      </c>
      <c r="HS24" s="1" t="n">
        <f aca="false">IF(B24=0,IF(AND(Has_q6=1,In_q6=4),PR_ShareVaries*(MAX(0,HR24)/12),MIN(IF(Has_q6=1,CHOOSE(In_q6+1,PR_SaveB1,PR_SaveB2,PR_SaveB3,PR_SaveB4,0),AS_NoAnswer),AS_SaveShare*(MAX(0,HR24)/12))),HS23)</f>
        <v>0</v>
      </c>
      <c r="HT24" s="1" t="n">
        <f aca="false">IF(HR24&gt;=0,1,0)</f>
        <v>1</v>
      </c>
      <c r="HU24" s="1" t="n">
        <f aca="false">MAX(0,HR24/12/E24)</f>
        <v>0</v>
      </c>
      <c r="HV24" s="1" t="n">
        <f aca="false">IF(AND(Has_q6=1,In_q6=4),PR_ShareVaries*(HU24),MIN(IF(Has_q6=1,CHOOSE(In_q6+1,PR_SaveB1,PR_SaveB2,PR_SaveB3,PR_SaveB4,0),AS_NoAnswer),AS_SaveShare*(HU24)))</f>
        <v>0</v>
      </c>
      <c r="HW24" s="1" t="n">
        <f aca="false">IF(Has_saveM=1,IF(In_saveUp="Yes",1,IF(In_saveUp="No",0,IF(In_saveM&gt;=HS24-0.5,1,0))),0)</f>
        <v>0</v>
      </c>
      <c r="HX24" s="1" t="n">
        <f aca="false">IF(Has_saveM=1,MIN(HU24,IF(HW24=1,MAX(In_saveM,HV24),MIN(In_saveM,HV24))),HV24)</f>
        <v>0</v>
      </c>
      <c r="HY24" s="1" t="n">
        <f aca="false">IF(F24=1,HX24*12*E24,0)</f>
        <v>0</v>
      </c>
      <c r="HZ24" s="1" t="n">
        <f aca="false">MAX(0,HY24+IF(AND(WI_Retire=0,WI_M&lt;0,F24=1),WI_M*12*E24,0))</f>
        <v>0</v>
      </c>
      <c r="IA24" s="1" t="n">
        <f aca="false">Slot1_IsWG*V24+Slot2_IsWG*AG24+Slot3_IsWG*AQ24+Slot4_IsWG*BA24+Slot5_IsWG*BK24+Slot6_IsWG*BU24+Slot7_IsWG*CE24+Slot8_IsWG*CO24+Slot9_IsWG*CY24+Slot10_IsWG*DI24+Slot11_IsWG*DS24+Slot12_IsWG*EC24+Slot13_IsWG*EM24+Slot14_IsWG*EW24+Slot15_IsWG*FG24+Slot16_IsWG*FQ24+Slot17_IsWG*GA24+Slot18_IsWG*GK24+Slot19_IsWG*GU24+Slot20_IsWG*HE24</f>
        <v>0</v>
      </c>
      <c r="IB24" s="1" t="n">
        <f aca="false">IF(AND(WI_Retire=0,WI_M&gt;0,F24=1,IA24&gt;=1),WI_M*12*E24,0)</f>
        <v>0</v>
      </c>
      <c r="IC24" s="1" t="n">
        <f aca="false">IF(HT24=1,MIN(HZ24,HR24),0)</f>
        <v>0</v>
      </c>
      <c r="ID24" s="1" t="n">
        <f aca="false">IF(HT24=1,MIN(IB24,HR24-IC24),0)</f>
        <v>0</v>
      </c>
      <c r="IE24" s="1" t="n">
        <f aca="false">IF(V24=1,IF(ABS((1+AS_Wage)/(1+Slot1_Rate)-1)&lt;0.000000000001,(Slot1_Age-D24)*(1+Slot1_Rate)^(Slot1_Age-D24),(1+Slot1_Rate)^(Slot1_Age-D24)*(1-((1+AS_Wage)/(1+Slot1_Rate))^(Slot1_Age-D24))/(1-(1+AS_Wage)/(1+Slot1_Rate))),1)</f>
        <v>1</v>
      </c>
      <c r="IF24" s="1" t="n">
        <f aca="false">IF(AND(HT24=1,ID24&gt;0,Slot1_IsWG=1,V24=1),MAX(0,(Slot1_Cost-W24*(1+Slot1_Rate)^(Slot1_Age-D24))/IE24),0)</f>
        <v>0</v>
      </c>
      <c r="IG24" s="1" t="n">
        <f aca="false">IF(AND(HT24=1,ID24&gt;0,Slot1_IsWG=1,V24=1),MIN(ID24,IF24),0)</f>
        <v>0</v>
      </c>
      <c r="IH24" s="1" t="n">
        <f aca="false">W24+IG24</f>
        <v>0</v>
      </c>
      <c r="II24" s="1" t="n">
        <f aca="false">IF(V24=1,MAX(0,(Slot1_Cost-IH24*(1+Slot1_Rate)^(Slot1_Age-D24))/IE24),0)</f>
        <v>0</v>
      </c>
      <c r="IJ24" s="1" t="n">
        <f aca="false">IF(V24=1,MAX(0,(Slot1_Cost-W24*(1+Slot1_Rate)^(Slot1_Age-D24))/IE24),0)</f>
        <v>0</v>
      </c>
      <c r="IK24" s="1" t="n">
        <f aca="false">IF(AND(HT24=1,V24=1),MIN(IC24,II24),0)</f>
        <v>0</v>
      </c>
      <c r="IL24" s="1" t="n">
        <f aca="false">IC24-IK24</f>
        <v>0</v>
      </c>
      <c r="IM24" s="1" t="n">
        <f aca="false">IF(AG24=1,IF(ABS((1+AS_Wage)/(1+Slot2_Rate)-1)&lt;0.000000000001,(Slot2_Age-D24)*(1+Slot2_Rate)^(Slot2_Age-D24),(1+Slot2_Rate)^(Slot2_Age-D24)*(1-((1+AS_Wage)/(1+Slot2_Rate))^(Slot2_Age-D24))/(1-(1+AS_Wage)/(1+Slot2_Rate))),1)</f>
        <v>1</v>
      </c>
      <c r="IN24" s="1" t="n">
        <f aca="false">IF(AND(HT24=1,ID24&gt;0,Slot2_IsWG=1,AG24=1),MAX(0,(Slot2_Cost-AH24*(1+Slot2_Rate)^(Slot2_Age-D24))/IM24),0)</f>
        <v>0</v>
      </c>
      <c r="IO24" s="1" t="n">
        <f aca="false">IF(AND(HT24=1,ID24&gt;0,Slot2_IsWG=1,AG24=1),MIN(ID24,IN24),0)</f>
        <v>0</v>
      </c>
      <c r="IP24" s="1" t="n">
        <f aca="false">AH24+IO24</f>
        <v>0</v>
      </c>
      <c r="IQ24" s="1" t="n">
        <f aca="false">IF(AG24=1,MAX(0,(Slot2_Cost-IP24*(1+Slot2_Rate)^(Slot2_Age-D24))/IM24),0)</f>
        <v>0</v>
      </c>
      <c r="IR24" s="1" t="n">
        <f aca="false">IF(AG24=1,MAX(0,(Slot2_Cost-AH24*(1+Slot2_Rate)^(Slot2_Age-D24))/IM24),0)</f>
        <v>0</v>
      </c>
      <c r="IS24" s="1" t="n">
        <f aca="false">IF(AND(HT24=1,AG24=1),MIN(IL24,IQ24),0)</f>
        <v>0</v>
      </c>
      <c r="IT24" s="1" t="n">
        <f aca="false">IL24-IS24</f>
        <v>0</v>
      </c>
      <c r="IU24" s="1" t="n">
        <f aca="false">IF(AQ24=1,IF(ABS((1+AS_Wage)/(1+Slot3_Rate)-1)&lt;0.000000000001,(Slot3_Age-D24)*(1+Slot3_Rate)^(Slot3_Age-D24),(1+Slot3_Rate)^(Slot3_Age-D24)*(1-((1+AS_Wage)/(1+Slot3_Rate))^(Slot3_Age-D24))/(1-(1+AS_Wage)/(1+Slot3_Rate))),1)</f>
        <v>1</v>
      </c>
      <c r="IV24" s="1" t="n">
        <f aca="false">IF(AND(HT24=1,ID24&gt;0,Slot3_IsWG=1,AQ24=1),MAX(0,(Slot3_Cost-AR24*(1+Slot3_Rate)^(Slot3_Age-D24))/IU24),0)</f>
        <v>0</v>
      </c>
      <c r="IW24" s="1" t="n">
        <f aca="false">IF(AND(HT24=1,ID24&gt;0,Slot3_IsWG=1,AQ24=1),MIN(ID24,IV24),0)</f>
        <v>0</v>
      </c>
      <c r="IX24" s="1" t="n">
        <f aca="false">AR24+IW24</f>
        <v>0</v>
      </c>
      <c r="IY24" s="1" t="n">
        <f aca="false">IF(AQ24=1,MAX(0,(Slot3_Cost-IX24*(1+Slot3_Rate)^(Slot3_Age-D24))/IU24),0)</f>
        <v>0</v>
      </c>
      <c r="IZ24" s="1" t="n">
        <f aca="false">IF(AQ24=1,MAX(0,(Slot3_Cost-AR24*(1+Slot3_Rate)^(Slot3_Age-D24))/IU24),0)</f>
        <v>0</v>
      </c>
      <c r="JA24" s="1" t="n">
        <f aca="false">IF(AND(HT24=1,AQ24=1),MIN(IT24,IY24),0)</f>
        <v>0</v>
      </c>
      <c r="JB24" s="1" t="n">
        <f aca="false">IT24-JA24</f>
        <v>0</v>
      </c>
      <c r="JC24" s="1" t="n">
        <f aca="false">IF(BA24=1,IF(ABS((1+AS_Wage)/(1+Slot4_Rate)-1)&lt;0.000000000001,(Slot4_Age-D24)*(1+Slot4_Rate)^(Slot4_Age-D24),(1+Slot4_Rate)^(Slot4_Age-D24)*(1-((1+AS_Wage)/(1+Slot4_Rate))^(Slot4_Age-D24))/(1-(1+AS_Wage)/(1+Slot4_Rate))),1)</f>
        <v>1</v>
      </c>
      <c r="JD24" s="1" t="n">
        <f aca="false">IF(AND(HT24=1,ID24&gt;0,Slot4_IsWG=1,BA24=1),MAX(0,(Slot4_Cost-BB24*(1+Slot4_Rate)^(Slot4_Age-D24))/JC24),0)</f>
        <v>0</v>
      </c>
      <c r="JE24" s="1" t="n">
        <f aca="false">IF(AND(HT24=1,ID24&gt;0,Slot4_IsWG=1,BA24=1),MIN(ID24,JD24),0)</f>
        <v>0</v>
      </c>
      <c r="JF24" s="1" t="n">
        <f aca="false">BB24+JE24</f>
        <v>0</v>
      </c>
      <c r="JG24" s="1" t="n">
        <f aca="false">IF(BA24=1,MAX(0,(Slot4_Cost-JF24*(1+Slot4_Rate)^(Slot4_Age-D24))/JC24),0)</f>
        <v>0</v>
      </c>
      <c r="JH24" s="1" t="n">
        <f aca="false">IF(BA24=1,MAX(0,(Slot4_Cost-BB24*(1+Slot4_Rate)^(Slot4_Age-D24))/JC24),0)</f>
        <v>0</v>
      </c>
      <c r="JI24" s="1" t="n">
        <f aca="false">IF(AND(HT24=1,BA24=1),MIN(JB24,JG24),0)</f>
        <v>0</v>
      </c>
      <c r="JJ24" s="1" t="n">
        <f aca="false">JB24-JI24</f>
        <v>0</v>
      </c>
      <c r="JK24" s="1" t="n">
        <f aca="false">IF(BK24=1,IF(ABS((1+AS_Wage)/(1+Slot5_Rate)-1)&lt;0.000000000001,(Slot5_Age-D24)*(1+Slot5_Rate)^(Slot5_Age-D24),(1+Slot5_Rate)^(Slot5_Age-D24)*(1-((1+AS_Wage)/(1+Slot5_Rate))^(Slot5_Age-D24))/(1-(1+AS_Wage)/(1+Slot5_Rate))),1)</f>
        <v>1</v>
      </c>
      <c r="JL24" s="1" t="n">
        <f aca="false">IF(AND(HT24=1,ID24&gt;0,Slot5_IsWG=1,BK24=1),MAX(0,(Slot5_Cost-BL24*(1+Slot5_Rate)^(Slot5_Age-D24))/JK24),0)</f>
        <v>0</v>
      </c>
      <c r="JM24" s="1" t="n">
        <f aca="false">IF(AND(HT24=1,ID24&gt;0,Slot5_IsWG=1,BK24=1),MIN(ID24,JL24),0)</f>
        <v>0</v>
      </c>
      <c r="JN24" s="1" t="n">
        <f aca="false">BL24+JM24</f>
        <v>0</v>
      </c>
      <c r="JO24" s="1" t="n">
        <f aca="false">IF(BK24=1,MAX(0,(Slot5_Cost-JN24*(1+Slot5_Rate)^(Slot5_Age-D24))/JK24),0)</f>
        <v>0</v>
      </c>
      <c r="JP24" s="1" t="n">
        <f aca="false">IF(BK24=1,MAX(0,(Slot5_Cost-BL24*(1+Slot5_Rate)^(Slot5_Age-D24))/JK24),0)</f>
        <v>0</v>
      </c>
      <c r="JQ24" s="1" t="n">
        <f aca="false">IF(AND(HT24=1,BK24=1),MIN(JJ24,JO24),0)</f>
        <v>0</v>
      </c>
      <c r="JR24" s="1" t="n">
        <f aca="false">JJ24-JQ24</f>
        <v>0</v>
      </c>
      <c r="JS24" s="1" t="n">
        <f aca="false">IF(BU24=1,IF(ABS((1+AS_Wage)/(1+Slot6_Rate)-1)&lt;0.000000000001,(Slot6_Age-D24)*(1+Slot6_Rate)^(Slot6_Age-D24),(1+Slot6_Rate)^(Slot6_Age-D24)*(1-((1+AS_Wage)/(1+Slot6_Rate))^(Slot6_Age-D24))/(1-(1+AS_Wage)/(1+Slot6_Rate))),1)</f>
        <v>1</v>
      </c>
      <c r="JT24" s="1" t="n">
        <f aca="false">IF(AND(HT24=1,ID24&gt;0,Slot6_IsWG=1,BU24=1),MAX(0,(Slot6_Cost-BV24*(1+Slot6_Rate)^(Slot6_Age-D24))/JS24),0)</f>
        <v>0</v>
      </c>
      <c r="JU24" s="1" t="n">
        <f aca="false">IF(AND(HT24=1,ID24&gt;0,Slot6_IsWG=1,BU24=1),MIN(ID24,JT24),0)</f>
        <v>0</v>
      </c>
      <c r="JV24" s="1" t="n">
        <f aca="false">BV24+JU24</f>
        <v>0</v>
      </c>
      <c r="JW24" s="1" t="n">
        <f aca="false">IF(BU24=1,MAX(0,(Slot6_Cost-JV24*(1+Slot6_Rate)^(Slot6_Age-D24))/JS24),0)</f>
        <v>0</v>
      </c>
      <c r="JX24" s="1" t="n">
        <f aca="false">IF(BU24=1,MAX(0,(Slot6_Cost-BV24*(1+Slot6_Rate)^(Slot6_Age-D24))/JS24),0)</f>
        <v>0</v>
      </c>
      <c r="JY24" s="1" t="n">
        <f aca="false">IF(AND(HT24=1,BU24=1),MIN(JR24,JW24),0)</f>
        <v>0</v>
      </c>
      <c r="JZ24" s="1" t="n">
        <f aca="false">JR24-JY24</f>
        <v>0</v>
      </c>
      <c r="KA24" s="1" t="n">
        <f aca="false">IF(CE24=1,IF(ABS((1+AS_Wage)/(1+Slot7_Rate)-1)&lt;0.000000000001,(Slot7_Age-D24)*(1+Slot7_Rate)^(Slot7_Age-D24),(1+Slot7_Rate)^(Slot7_Age-D24)*(1-((1+AS_Wage)/(1+Slot7_Rate))^(Slot7_Age-D24))/(1-(1+AS_Wage)/(1+Slot7_Rate))),1)</f>
        <v>1</v>
      </c>
      <c r="KB24" s="1" t="n">
        <f aca="false">IF(AND(HT24=1,ID24&gt;0,Slot7_IsWG=1,CE24=1),MAX(0,(Slot7_Cost-CF24*(1+Slot7_Rate)^(Slot7_Age-D24))/KA24),0)</f>
        <v>0</v>
      </c>
      <c r="KC24" s="1" t="n">
        <f aca="false">IF(AND(HT24=1,ID24&gt;0,Slot7_IsWG=1,CE24=1),MIN(ID24,KB24),0)</f>
        <v>0</v>
      </c>
      <c r="KD24" s="1" t="n">
        <f aca="false">CF24+KC24</f>
        <v>0</v>
      </c>
      <c r="KE24" s="1" t="n">
        <f aca="false">IF(CE24=1,MAX(0,(Slot7_Cost-KD24*(1+Slot7_Rate)^(Slot7_Age-D24))/KA24),0)</f>
        <v>0</v>
      </c>
      <c r="KF24" s="1" t="n">
        <f aca="false">IF(CE24=1,MAX(0,(Slot7_Cost-CF24*(1+Slot7_Rate)^(Slot7_Age-D24))/KA24),0)</f>
        <v>0</v>
      </c>
      <c r="KG24" s="1" t="n">
        <f aca="false">IF(AND(HT24=1,CE24=1),MIN(JZ24,KE24),0)</f>
        <v>0</v>
      </c>
      <c r="KH24" s="1" t="n">
        <f aca="false">JZ24-KG24</f>
        <v>0</v>
      </c>
      <c r="KI24" s="1" t="n">
        <f aca="false">IF(CO24=1,IF(ABS((1+AS_Wage)/(1+Slot8_Rate)-1)&lt;0.000000000001,(Slot8_Age-D24)*(1+Slot8_Rate)^(Slot8_Age-D24),(1+Slot8_Rate)^(Slot8_Age-D24)*(1-((1+AS_Wage)/(1+Slot8_Rate))^(Slot8_Age-D24))/(1-(1+AS_Wage)/(1+Slot8_Rate))),1)</f>
        <v>1</v>
      </c>
      <c r="KJ24" s="1" t="n">
        <f aca="false">IF(AND(HT24=1,ID24&gt;0,Slot8_IsWG=1,CO24=1),MAX(0,(Slot8_Cost-CP24*(1+Slot8_Rate)^(Slot8_Age-D24))/KI24),0)</f>
        <v>0</v>
      </c>
      <c r="KK24" s="1" t="n">
        <f aca="false">IF(AND(HT24=1,ID24&gt;0,Slot8_IsWG=1,CO24=1),MIN(ID24,KJ24),0)</f>
        <v>0</v>
      </c>
      <c r="KL24" s="1" t="n">
        <f aca="false">CP24+KK24</f>
        <v>0</v>
      </c>
      <c r="KM24" s="1" t="n">
        <f aca="false">IF(CO24=1,MAX(0,(Slot8_Cost-KL24*(1+Slot8_Rate)^(Slot8_Age-D24))/KI24),0)</f>
        <v>0</v>
      </c>
      <c r="KN24" s="1" t="n">
        <f aca="false">IF(CO24=1,MAX(0,(Slot8_Cost-CP24*(1+Slot8_Rate)^(Slot8_Age-D24))/KI24),0)</f>
        <v>0</v>
      </c>
      <c r="KO24" s="1" t="n">
        <f aca="false">IF(AND(HT24=1,CO24=1),MIN(KH24,KM24),0)</f>
        <v>0</v>
      </c>
      <c r="KP24" s="1" t="n">
        <f aca="false">KH24-KO24</f>
        <v>0</v>
      </c>
      <c r="KQ24" s="1" t="n">
        <f aca="false">IF(CY24=1,IF(ABS((1+AS_Wage)/(1+Slot9_Rate)-1)&lt;0.000000000001,(Slot9_Age-D24)*(1+Slot9_Rate)^(Slot9_Age-D24),(1+Slot9_Rate)^(Slot9_Age-D24)*(1-((1+AS_Wage)/(1+Slot9_Rate))^(Slot9_Age-D24))/(1-(1+AS_Wage)/(1+Slot9_Rate))),1)</f>
        <v>1</v>
      </c>
      <c r="KR24" s="1" t="n">
        <f aca="false">IF(AND(HT24=1,ID24&gt;0,Slot9_IsWG=1,CY24=1),MAX(0,(Slot9_Cost-CZ24*(1+Slot9_Rate)^(Slot9_Age-D24))/KQ24),0)</f>
        <v>0</v>
      </c>
      <c r="KS24" s="1" t="n">
        <f aca="false">IF(AND(HT24=1,ID24&gt;0,Slot9_IsWG=1,CY24=1),MIN(ID24,KR24),0)</f>
        <v>0</v>
      </c>
      <c r="KT24" s="1" t="n">
        <f aca="false">CZ24+KS24</f>
        <v>0</v>
      </c>
      <c r="KU24" s="1" t="n">
        <f aca="false">IF(CY24=1,MAX(0,(Slot9_Cost-KT24*(1+Slot9_Rate)^(Slot9_Age-D24))/KQ24),0)</f>
        <v>0</v>
      </c>
      <c r="KV24" s="1" t="n">
        <f aca="false">IF(CY24=1,MAX(0,(Slot9_Cost-CZ24*(1+Slot9_Rate)^(Slot9_Age-D24))/KQ24),0)</f>
        <v>0</v>
      </c>
      <c r="KW24" s="1" t="n">
        <f aca="false">IF(AND(HT24=1,CY24=1),MIN(KP24,KU24),0)</f>
        <v>0</v>
      </c>
      <c r="KX24" s="1" t="n">
        <f aca="false">KP24-KW24</f>
        <v>0</v>
      </c>
      <c r="KY24" s="1" t="n">
        <f aca="false">IF(DI24=1,IF(ABS((1+AS_Wage)/(1+Slot10_Rate)-1)&lt;0.000000000001,(Slot10_Age-D24)*(1+Slot10_Rate)^(Slot10_Age-D24),(1+Slot10_Rate)^(Slot10_Age-D24)*(1-((1+AS_Wage)/(1+Slot10_Rate))^(Slot10_Age-D24))/(1-(1+AS_Wage)/(1+Slot10_Rate))),1)</f>
        <v>1</v>
      </c>
      <c r="KZ24" s="1" t="n">
        <f aca="false">IF(AND(HT24=1,ID24&gt;0,Slot10_IsWG=1,DI24=1),MAX(0,(Slot10_Cost-DJ24*(1+Slot10_Rate)^(Slot10_Age-D24))/KY24),0)</f>
        <v>0</v>
      </c>
      <c r="LA24" s="1" t="n">
        <f aca="false">IF(AND(HT24=1,ID24&gt;0,Slot10_IsWG=1,DI24=1),MIN(ID24,KZ24),0)</f>
        <v>0</v>
      </c>
      <c r="LB24" s="1" t="n">
        <f aca="false">DJ24+LA24</f>
        <v>0</v>
      </c>
      <c r="LC24" s="1" t="n">
        <f aca="false">IF(DI24=1,MAX(0,(Slot10_Cost-LB24*(1+Slot10_Rate)^(Slot10_Age-D24))/KY24),0)</f>
        <v>0</v>
      </c>
      <c r="LD24" s="1" t="n">
        <f aca="false">IF(DI24=1,MAX(0,(Slot10_Cost-DJ24*(1+Slot10_Rate)^(Slot10_Age-D24))/KY24),0)</f>
        <v>0</v>
      </c>
      <c r="LE24" s="1" t="n">
        <f aca="false">IF(AND(HT24=1,DI24=1),MIN(KX24,LC24),0)</f>
        <v>0</v>
      </c>
      <c r="LF24" s="1" t="n">
        <f aca="false">KX24-LE24</f>
        <v>0</v>
      </c>
      <c r="LG24" s="1" t="n">
        <f aca="false">IF(DS24=1,IF(ABS((1+AS_Wage)/(1+Slot11_Rate)-1)&lt;0.000000000001,(Slot11_Age-D24)*(1+Slot11_Rate)^(Slot11_Age-D24),(1+Slot11_Rate)^(Slot11_Age-D24)*(1-((1+AS_Wage)/(1+Slot11_Rate))^(Slot11_Age-D24))/(1-(1+AS_Wage)/(1+Slot11_Rate))),1)</f>
        <v>1</v>
      </c>
      <c r="LH24" s="1" t="n">
        <f aca="false">IF(AND(HT24=1,ID24&gt;0,Slot11_IsWG=1,DS24=1),MAX(0,(Slot11_Cost-DT24*(1+Slot11_Rate)^(Slot11_Age-D24))/LG24),0)</f>
        <v>0</v>
      </c>
      <c r="LI24" s="1" t="n">
        <f aca="false">IF(AND(HT24=1,ID24&gt;0,Slot11_IsWG=1,DS24=1),MIN(ID24,LH24),0)</f>
        <v>0</v>
      </c>
      <c r="LJ24" s="1" t="n">
        <f aca="false">DT24+LI24</f>
        <v>0</v>
      </c>
      <c r="LK24" s="1" t="n">
        <f aca="false">IF(DS24=1,MAX(0,(Slot11_Cost-LJ24*(1+Slot11_Rate)^(Slot11_Age-D24))/LG24),0)</f>
        <v>0</v>
      </c>
      <c r="LL24" s="1" t="n">
        <f aca="false">IF(DS24=1,MAX(0,(Slot11_Cost-DT24*(1+Slot11_Rate)^(Slot11_Age-D24))/LG24),0)</f>
        <v>0</v>
      </c>
      <c r="LM24" s="1" t="n">
        <f aca="false">IF(AND(HT24=1,DS24=1),MIN(LF24,LK24),0)</f>
        <v>0</v>
      </c>
      <c r="LN24" s="1" t="n">
        <f aca="false">LF24-LM24</f>
        <v>0</v>
      </c>
      <c r="LO24" s="1" t="n">
        <f aca="false">IF(EC24=1,IF(ABS((1+AS_Wage)/(1+Slot12_Rate)-1)&lt;0.000000000001,(Slot12_Age-D24)*(1+Slot12_Rate)^(Slot12_Age-D24),(1+Slot12_Rate)^(Slot12_Age-D24)*(1-((1+AS_Wage)/(1+Slot12_Rate))^(Slot12_Age-D24))/(1-(1+AS_Wage)/(1+Slot12_Rate))),1)</f>
        <v>1</v>
      </c>
      <c r="LP24" s="1" t="n">
        <f aca="false">IF(AND(HT24=1,ID24&gt;0,Slot12_IsWG=1,EC24=1),MAX(0,(Slot12_Cost-ED24*(1+Slot12_Rate)^(Slot12_Age-D24))/LO24),0)</f>
        <v>0</v>
      </c>
      <c r="LQ24" s="1" t="n">
        <f aca="false">IF(AND(HT24=1,ID24&gt;0,Slot12_IsWG=1,EC24=1),MIN(ID24,LP24),0)</f>
        <v>0</v>
      </c>
      <c r="LR24" s="1" t="n">
        <f aca="false">ED24+LQ24</f>
        <v>0</v>
      </c>
      <c r="LS24" s="1" t="n">
        <f aca="false">IF(EC24=1,MAX(0,(Slot12_Cost-LR24*(1+Slot12_Rate)^(Slot12_Age-D24))/LO24),0)</f>
        <v>0</v>
      </c>
      <c r="LT24" s="1" t="n">
        <f aca="false">IF(EC24=1,MAX(0,(Slot12_Cost-ED24*(1+Slot12_Rate)^(Slot12_Age-D24))/LO24),0)</f>
        <v>0</v>
      </c>
      <c r="LU24" s="1" t="n">
        <f aca="false">IF(AND(HT24=1,EC24=1),MIN(LN24,LS24),0)</f>
        <v>0</v>
      </c>
      <c r="LV24" s="1" t="n">
        <f aca="false">LN24-LU24</f>
        <v>0</v>
      </c>
      <c r="LW24" s="1" t="n">
        <f aca="false">IF(EM24=1,IF(ABS((1+AS_Wage)/(1+Slot13_Rate)-1)&lt;0.000000000001,(Slot13_Age-D24)*(1+Slot13_Rate)^(Slot13_Age-D24),(1+Slot13_Rate)^(Slot13_Age-D24)*(1-((1+AS_Wage)/(1+Slot13_Rate))^(Slot13_Age-D24))/(1-(1+AS_Wage)/(1+Slot13_Rate))),1)</f>
        <v>1</v>
      </c>
      <c r="LX24" s="1" t="n">
        <f aca="false">IF(AND(HT24=1,ID24&gt;0,Slot13_IsWG=1,EM24=1),MAX(0,(Slot13_Cost-EN24*(1+Slot13_Rate)^(Slot13_Age-D24))/LW24),0)</f>
        <v>0</v>
      </c>
      <c r="LY24" s="1" t="n">
        <f aca="false">IF(AND(HT24=1,ID24&gt;0,Slot13_IsWG=1,EM24=1),MIN(ID24,LX24),0)</f>
        <v>0</v>
      </c>
      <c r="LZ24" s="1" t="n">
        <f aca="false">EN24+LY24</f>
        <v>0</v>
      </c>
      <c r="MA24" s="1" t="n">
        <f aca="false">IF(EM24=1,MAX(0,(Slot13_Cost-LZ24*(1+Slot13_Rate)^(Slot13_Age-D24))/LW24),0)</f>
        <v>0</v>
      </c>
      <c r="MB24" s="1" t="n">
        <f aca="false">IF(EM24=1,MAX(0,(Slot13_Cost-EN24*(1+Slot13_Rate)^(Slot13_Age-D24))/LW24),0)</f>
        <v>0</v>
      </c>
      <c r="MC24" s="1" t="n">
        <f aca="false">IF(AND(HT24=1,EM24=1),MIN(LV24,MA24),0)</f>
        <v>0</v>
      </c>
      <c r="MD24" s="1" t="n">
        <f aca="false">LV24-MC24</f>
        <v>0</v>
      </c>
      <c r="ME24" s="1" t="n">
        <f aca="false">IF(EW24=1,IF(ABS((1+AS_Wage)/(1+Slot14_Rate)-1)&lt;0.000000000001,(Slot14_Age-D24)*(1+Slot14_Rate)^(Slot14_Age-D24),(1+Slot14_Rate)^(Slot14_Age-D24)*(1-((1+AS_Wage)/(1+Slot14_Rate))^(Slot14_Age-D24))/(1-(1+AS_Wage)/(1+Slot14_Rate))),1)</f>
        <v>1</v>
      </c>
      <c r="MF24" s="1" t="n">
        <f aca="false">IF(AND(HT24=1,ID24&gt;0,Slot14_IsWG=1,EW24=1),MAX(0,(Slot14_Cost-EX24*(1+Slot14_Rate)^(Slot14_Age-D24))/ME24),0)</f>
        <v>0</v>
      </c>
      <c r="MG24" s="1" t="n">
        <f aca="false">IF(AND(HT24=1,ID24&gt;0,Slot14_IsWG=1,EW24=1),MIN(ID24,MF24),0)</f>
        <v>0</v>
      </c>
      <c r="MH24" s="1" t="n">
        <f aca="false">EX24+MG24</f>
        <v>0</v>
      </c>
      <c r="MI24" s="1" t="n">
        <f aca="false">IF(EW24=1,MAX(0,(Slot14_Cost-MH24*(1+Slot14_Rate)^(Slot14_Age-D24))/ME24),0)</f>
        <v>0</v>
      </c>
      <c r="MJ24" s="1" t="n">
        <f aca="false">IF(EW24=1,MAX(0,(Slot14_Cost-EX24*(1+Slot14_Rate)^(Slot14_Age-D24))/ME24),0)</f>
        <v>0</v>
      </c>
      <c r="MK24" s="1" t="n">
        <f aca="false">IF(AND(HT24=1,EW24=1),MIN(MD24,MI24),0)</f>
        <v>0</v>
      </c>
      <c r="ML24" s="1" t="n">
        <f aca="false">MD24-MK24</f>
        <v>0</v>
      </c>
      <c r="MM24" s="1" t="n">
        <f aca="false">IF(FG24=1,IF(ABS((1+AS_Wage)/(1+Slot15_Rate)-1)&lt;0.000000000001,(Slot15_Age-D24)*(1+Slot15_Rate)^(Slot15_Age-D24),(1+Slot15_Rate)^(Slot15_Age-D24)*(1-((1+AS_Wage)/(1+Slot15_Rate))^(Slot15_Age-D24))/(1-(1+AS_Wage)/(1+Slot15_Rate))),1)</f>
        <v>1</v>
      </c>
      <c r="MN24" s="1" t="n">
        <f aca="false">IF(AND(HT24=1,ID24&gt;0,Slot15_IsWG=1,FG24=1),MAX(0,(Slot15_Cost-FH24*(1+Slot15_Rate)^(Slot15_Age-D24))/MM24),0)</f>
        <v>0</v>
      </c>
      <c r="MO24" s="1" t="n">
        <f aca="false">IF(AND(HT24=1,ID24&gt;0,Slot15_IsWG=1,FG24=1),MIN(ID24,MN24),0)</f>
        <v>0</v>
      </c>
      <c r="MP24" s="1" t="n">
        <f aca="false">FH24+MO24</f>
        <v>0</v>
      </c>
      <c r="MQ24" s="1" t="n">
        <f aca="false">IF(FG24=1,MAX(0,(Slot15_Cost-MP24*(1+Slot15_Rate)^(Slot15_Age-D24))/MM24),0)</f>
        <v>0</v>
      </c>
      <c r="MR24" s="1" t="n">
        <f aca="false">IF(FG24=1,MAX(0,(Slot15_Cost-FH24*(1+Slot15_Rate)^(Slot15_Age-D24))/MM24),0)</f>
        <v>0</v>
      </c>
      <c r="MS24" s="1" t="n">
        <f aca="false">IF(AND(HT24=1,FG24=1),MIN(ML24,MQ24),0)</f>
        <v>0</v>
      </c>
      <c r="MT24" s="1" t="n">
        <f aca="false">ML24-MS24</f>
        <v>0</v>
      </c>
      <c r="MU24" s="1" t="n">
        <f aca="false">IF(FQ24=1,IF(ABS((1+AS_Wage)/(1+Slot16_Rate)-1)&lt;0.000000000001,(Slot16_Age-D24)*(1+Slot16_Rate)^(Slot16_Age-D24),(1+Slot16_Rate)^(Slot16_Age-D24)*(1-((1+AS_Wage)/(1+Slot16_Rate))^(Slot16_Age-D24))/(1-(1+AS_Wage)/(1+Slot16_Rate))),1)</f>
        <v>1</v>
      </c>
      <c r="MV24" s="1" t="n">
        <f aca="false">IF(AND(HT24=1,ID24&gt;0,Slot16_IsWG=1,FQ24=1),MAX(0,(Slot16_Cost-FR24*(1+Slot16_Rate)^(Slot16_Age-D24))/MU24),0)</f>
        <v>0</v>
      </c>
      <c r="MW24" s="1" t="n">
        <f aca="false">IF(AND(HT24=1,ID24&gt;0,Slot16_IsWG=1,FQ24=1),MIN(ID24,MV24),0)</f>
        <v>0</v>
      </c>
      <c r="MX24" s="1" t="n">
        <f aca="false">FR24+MW24</f>
        <v>0</v>
      </c>
      <c r="MY24" s="1" t="n">
        <f aca="false">IF(FQ24=1,MAX(0,(Slot16_Cost-MX24*(1+Slot16_Rate)^(Slot16_Age-D24))/MU24),0)</f>
        <v>0</v>
      </c>
      <c r="MZ24" s="1" t="n">
        <f aca="false">IF(FQ24=1,MAX(0,(Slot16_Cost-FR24*(1+Slot16_Rate)^(Slot16_Age-D24))/MU24),0)</f>
        <v>0</v>
      </c>
      <c r="NA24" s="1" t="n">
        <f aca="false">IF(AND(HT24=1,FQ24=1),MIN(MT24,MY24),0)</f>
        <v>0</v>
      </c>
      <c r="NB24" s="1" t="n">
        <f aca="false">MT24-NA24</f>
        <v>0</v>
      </c>
      <c r="NC24" s="1" t="n">
        <f aca="false">IF(GA24=1,IF(ABS((1+AS_Wage)/(1+Slot17_Rate)-1)&lt;0.000000000001,(Slot17_Age-D24)*(1+Slot17_Rate)^(Slot17_Age-D24),(1+Slot17_Rate)^(Slot17_Age-D24)*(1-((1+AS_Wage)/(1+Slot17_Rate))^(Slot17_Age-D24))/(1-(1+AS_Wage)/(1+Slot17_Rate))),1)</f>
        <v>1</v>
      </c>
      <c r="ND24" s="1" t="n">
        <f aca="false">IF(AND(HT24=1,ID24&gt;0,Slot17_IsWG=1,GA24=1),MAX(0,(Slot17_Cost-GB24*(1+Slot17_Rate)^(Slot17_Age-D24))/NC24),0)</f>
        <v>0</v>
      </c>
      <c r="NE24" s="1" t="n">
        <f aca="false">IF(AND(HT24=1,ID24&gt;0,Slot17_IsWG=1,GA24=1),MIN(ID24,ND24),0)</f>
        <v>0</v>
      </c>
      <c r="NF24" s="1" t="n">
        <f aca="false">GB24+NE24</f>
        <v>0</v>
      </c>
      <c r="NG24" s="1" t="n">
        <f aca="false">IF(GA24=1,MAX(0,(Slot17_Cost-NF24*(1+Slot17_Rate)^(Slot17_Age-D24))/NC24),0)</f>
        <v>0</v>
      </c>
      <c r="NH24" s="1" t="n">
        <f aca="false">IF(GA24=1,MAX(0,(Slot17_Cost-GB24*(1+Slot17_Rate)^(Slot17_Age-D24))/NC24),0)</f>
        <v>0</v>
      </c>
      <c r="NI24" s="1" t="n">
        <f aca="false">IF(AND(HT24=1,GA24=1),MIN(NB24,NG24),0)</f>
        <v>0</v>
      </c>
      <c r="NJ24" s="1" t="n">
        <f aca="false">NB24-NI24</f>
        <v>0</v>
      </c>
      <c r="NK24" s="1" t="n">
        <f aca="false">IF(GK24=1,IF(ABS((1+AS_Wage)/(1+Slot18_Rate)-1)&lt;0.000000000001,(Slot18_Age-D24)*(1+Slot18_Rate)^(Slot18_Age-D24),(1+Slot18_Rate)^(Slot18_Age-D24)*(1-((1+AS_Wage)/(1+Slot18_Rate))^(Slot18_Age-D24))/(1-(1+AS_Wage)/(1+Slot18_Rate))),1)</f>
        <v>1</v>
      </c>
      <c r="NL24" s="1" t="n">
        <f aca="false">IF(AND(HT24=1,ID24&gt;0,Slot18_IsWG=1,GK24=1),MAX(0,(Slot18_Cost-GL24*(1+Slot18_Rate)^(Slot18_Age-D24))/NK24),0)</f>
        <v>0</v>
      </c>
      <c r="NM24" s="1" t="n">
        <f aca="false">IF(AND(HT24=1,ID24&gt;0,Slot18_IsWG=1,GK24=1),MIN(ID24,NL24),0)</f>
        <v>0</v>
      </c>
      <c r="NN24" s="1" t="n">
        <f aca="false">GL24+NM24</f>
        <v>0</v>
      </c>
      <c r="NO24" s="1" t="n">
        <f aca="false">IF(GK24=1,MAX(0,(Slot18_Cost-NN24*(1+Slot18_Rate)^(Slot18_Age-D24))/NK24),0)</f>
        <v>0</v>
      </c>
      <c r="NP24" s="1" t="n">
        <f aca="false">IF(GK24=1,MAX(0,(Slot18_Cost-GL24*(1+Slot18_Rate)^(Slot18_Age-D24))/NK24),0)</f>
        <v>0</v>
      </c>
      <c r="NQ24" s="1" t="n">
        <f aca="false">IF(AND(HT24=1,GK24=1),MIN(NJ24,NO24),0)</f>
        <v>0</v>
      </c>
      <c r="NR24" s="1" t="n">
        <f aca="false">NJ24-NQ24</f>
        <v>0</v>
      </c>
      <c r="NS24" s="1" t="n">
        <f aca="false">IF(GU24=1,IF(ABS((1+AS_Wage)/(1+Slot19_Rate)-1)&lt;0.000000000001,(Slot19_Age-D24)*(1+Slot19_Rate)^(Slot19_Age-D24),(1+Slot19_Rate)^(Slot19_Age-D24)*(1-((1+AS_Wage)/(1+Slot19_Rate))^(Slot19_Age-D24))/(1-(1+AS_Wage)/(1+Slot19_Rate))),1)</f>
        <v>1</v>
      </c>
      <c r="NT24" s="1" t="n">
        <f aca="false">IF(AND(HT24=1,ID24&gt;0,Slot19_IsWG=1,GU24=1),MAX(0,(Slot19_Cost-GV24*(1+Slot19_Rate)^(Slot19_Age-D24))/NS24),0)</f>
        <v>0</v>
      </c>
      <c r="NU24" s="1" t="n">
        <f aca="false">IF(AND(HT24=1,ID24&gt;0,Slot19_IsWG=1,GU24=1),MIN(ID24,NT24),0)</f>
        <v>0</v>
      </c>
      <c r="NV24" s="1" t="n">
        <f aca="false">GV24+NU24</f>
        <v>0</v>
      </c>
      <c r="NW24" s="1" t="n">
        <f aca="false">IF(GU24=1,MAX(0,(Slot19_Cost-NV24*(1+Slot19_Rate)^(Slot19_Age-D24))/NS24),0)</f>
        <v>0</v>
      </c>
      <c r="NX24" s="1" t="n">
        <f aca="false">IF(GU24=1,MAX(0,(Slot19_Cost-GV24*(1+Slot19_Rate)^(Slot19_Age-D24))/NS24),0)</f>
        <v>0</v>
      </c>
      <c r="NY24" s="1" t="n">
        <f aca="false">IF(AND(HT24=1,GU24=1),MIN(NR24,NW24),0)</f>
        <v>0</v>
      </c>
      <c r="NZ24" s="1" t="n">
        <f aca="false">NR24-NY24</f>
        <v>0</v>
      </c>
      <c r="OA24" s="1" t="n">
        <f aca="false">IF(HE24=1,IF(ABS((1+AS_Wage)/(1+Slot20_Rate)-1)&lt;0.000000000001,(Slot20_Age-D24)*(1+Slot20_Rate)^(Slot20_Age-D24),(1+Slot20_Rate)^(Slot20_Age-D24)*(1-((1+AS_Wage)/(1+Slot20_Rate))^(Slot20_Age-D24))/(1-(1+AS_Wage)/(1+Slot20_Rate))),1)</f>
        <v>1</v>
      </c>
      <c r="OB24" s="1" t="n">
        <f aca="false">IF(AND(HT24=1,ID24&gt;0,Slot20_IsWG=1,HE24=1),MAX(0,(Slot20_Cost-HF24*(1+Slot20_Rate)^(Slot20_Age-D24))/OA24),0)</f>
        <v>0</v>
      </c>
      <c r="OC24" s="1" t="n">
        <f aca="false">IF(AND(HT24=1,ID24&gt;0,Slot20_IsWG=1,HE24=1),MIN(ID24,OB24),0)</f>
        <v>0</v>
      </c>
      <c r="OD24" s="1" t="n">
        <f aca="false">HF24+OC24</f>
        <v>0</v>
      </c>
      <c r="OE24" s="1" t="n">
        <f aca="false">IF(HE24=1,MAX(0,(Slot20_Cost-OD24*(1+Slot20_Rate)^(Slot20_Age-D24))/OA24),0)</f>
        <v>0</v>
      </c>
      <c r="OF24" s="1" t="n">
        <f aca="false">IF(HE24=1,MAX(0,(Slot20_Cost-HF24*(1+Slot20_Rate)^(Slot20_Age-D24))/OA24),0)</f>
        <v>0</v>
      </c>
      <c r="OG24" s="1" t="n">
        <f aca="false">IF(AND(HT24=1,HE24=1),MIN(NZ24,OE24),0)</f>
        <v>0</v>
      </c>
      <c r="OH24" s="1" t="n">
        <f aca="false">NZ24-OG24</f>
        <v>0</v>
      </c>
      <c r="OI24" s="1" t="n">
        <f aca="false">ID24-(IG24+IO24+IW24+JE24+JM24+JU24+KC24+KK24+KS24+LA24+LI24+LQ24+LY24+MG24+MO24+MW24+NE24+NM24+NU24+OC24)</f>
        <v>0</v>
      </c>
      <c r="OJ24" s="1" t="n">
        <f aca="false">IF(HT24=1,HR24-IC24-ID24,0)</f>
        <v>0</v>
      </c>
      <c r="OK24" s="1" t="n">
        <f aca="false">IF(HT24=0,-HR24,0)</f>
        <v>0</v>
      </c>
      <c r="OL24" s="1" t="n">
        <f aca="false">MIN(OK24,HJ24)</f>
        <v>0</v>
      </c>
      <c r="OM24" s="1" t="n">
        <f aca="false">OK24-OL24</f>
        <v>0</v>
      </c>
      <c r="ON24" s="1" t="n">
        <f aca="false">MIN(OM24,HK24)</f>
        <v>0</v>
      </c>
      <c r="OO24" s="1" t="n">
        <f aca="false">OM24-ON24</f>
        <v>0</v>
      </c>
      <c r="OP24" s="1" t="n">
        <f aca="false">IF(AND(HT24=0,HE24=1,OO24&gt;0),MIN(OO24,HF24),0)</f>
        <v>0</v>
      </c>
      <c r="OQ24" s="1" t="n">
        <f aca="false">OO24-OP24</f>
        <v>0</v>
      </c>
      <c r="OR24" s="1" t="n">
        <f aca="false">IF(AND(HT24=0,GU24=1,OQ24&gt;0),MIN(OQ24,GV24),0)</f>
        <v>0</v>
      </c>
      <c r="OS24" s="1" t="n">
        <f aca="false">OQ24-OR24</f>
        <v>0</v>
      </c>
      <c r="OT24" s="1" t="n">
        <f aca="false">IF(AND(HT24=0,GK24=1,OS24&gt;0),MIN(OS24,GL24),0)</f>
        <v>0</v>
      </c>
      <c r="OU24" s="1" t="n">
        <f aca="false">OS24-OT24</f>
        <v>0</v>
      </c>
      <c r="OV24" s="1" t="n">
        <f aca="false">IF(AND(HT24=0,GA24=1,OU24&gt;0),MIN(OU24,GB24),0)</f>
        <v>0</v>
      </c>
      <c r="OW24" s="1" t="n">
        <f aca="false">OU24-OV24</f>
        <v>0</v>
      </c>
      <c r="OX24" s="1" t="n">
        <f aca="false">IF(AND(HT24=0,FQ24=1,OW24&gt;0),MIN(OW24,FR24),0)</f>
        <v>0</v>
      </c>
      <c r="OY24" s="1" t="n">
        <f aca="false">OW24-OX24</f>
        <v>0</v>
      </c>
      <c r="OZ24" s="1" t="n">
        <f aca="false">IF(AND(HT24=0,FG24=1,OY24&gt;0),MIN(OY24,FH24),0)</f>
        <v>0</v>
      </c>
      <c r="PA24" s="1" t="n">
        <f aca="false">OY24-OZ24</f>
        <v>0</v>
      </c>
      <c r="PB24" s="1" t="n">
        <f aca="false">IF(AND(HT24=0,EW24=1,PA24&gt;0),MIN(PA24,EX24),0)</f>
        <v>0</v>
      </c>
      <c r="PC24" s="1" t="n">
        <f aca="false">PA24-PB24</f>
        <v>0</v>
      </c>
      <c r="PD24" s="1" t="n">
        <f aca="false">IF(AND(HT24=0,EM24=1,PC24&gt;0),MIN(PC24,EN24),0)</f>
        <v>0</v>
      </c>
      <c r="PE24" s="1" t="n">
        <f aca="false">PC24-PD24</f>
        <v>0</v>
      </c>
      <c r="PF24" s="1" t="n">
        <f aca="false">IF(AND(HT24=0,EC24=1,PE24&gt;0),MIN(PE24,ED24),0)</f>
        <v>0</v>
      </c>
      <c r="PG24" s="1" t="n">
        <f aca="false">PE24-PF24</f>
        <v>0</v>
      </c>
      <c r="PH24" s="1" t="n">
        <f aca="false">IF(AND(HT24=0,DS24=1,PG24&gt;0),MIN(PG24,DT24),0)</f>
        <v>0</v>
      </c>
      <c r="PI24" s="1" t="n">
        <f aca="false">PG24-PH24</f>
        <v>0</v>
      </c>
      <c r="PJ24" s="1" t="n">
        <f aca="false">IF(AND(HT24=0,DI24=1,PI24&gt;0),MIN(PI24,DJ24),0)</f>
        <v>0</v>
      </c>
      <c r="PK24" s="1" t="n">
        <f aca="false">PI24-PJ24</f>
        <v>0</v>
      </c>
      <c r="PL24" s="1" t="n">
        <f aca="false">IF(AND(HT24=0,CY24=1,PK24&gt;0),MIN(PK24,CZ24),0)</f>
        <v>0</v>
      </c>
      <c r="PM24" s="1" t="n">
        <f aca="false">PK24-PL24</f>
        <v>0</v>
      </c>
      <c r="PN24" s="1" t="n">
        <f aca="false">IF(AND(HT24=0,CO24=1,PM24&gt;0),MIN(PM24,CP24),0)</f>
        <v>0</v>
      </c>
      <c r="PO24" s="1" t="n">
        <f aca="false">PM24-PN24</f>
        <v>0</v>
      </c>
      <c r="PP24" s="1" t="n">
        <f aca="false">IF(AND(HT24=0,CE24=1,PO24&gt;0),MIN(PO24,CF24),0)</f>
        <v>0</v>
      </c>
      <c r="PQ24" s="1" t="n">
        <f aca="false">PO24-PP24</f>
        <v>0</v>
      </c>
      <c r="PR24" s="1" t="n">
        <f aca="false">IF(AND(HT24=0,BU24=1,PQ24&gt;0),MIN(PQ24,BV24),0)</f>
        <v>0</v>
      </c>
      <c r="PS24" s="1" t="n">
        <f aca="false">PQ24-PR24</f>
        <v>0</v>
      </c>
      <c r="PT24" s="1" t="n">
        <f aca="false">IF(AND(HT24=0,BK24=1,PS24&gt;0),MIN(PS24,BL24),0)</f>
        <v>0</v>
      </c>
      <c r="PU24" s="1" t="n">
        <f aca="false">PS24-PT24</f>
        <v>0</v>
      </c>
      <c r="PV24" s="1" t="n">
        <f aca="false">IF(AND(HT24=0,BA24=1,PU24&gt;0),MIN(PU24,BB24),0)</f>
        <v>0</v>
      </c>
      <c r="PW24" s="1" t="n">
        <f aca="false">PU24-PV24</f>
        <v>0</v>
      </c>
      <c r="PX24" s="1" t="n">
        <f aca="false">IF(AND(HT24=0,AQ24=1,PW24&gt;0),MIN(PW24,AR24),0)</f>
        <v>0</v>
      </c>
      <c r="PY24" s="1" t="n">
        <f aca="false">PW24-PX24</f>
        <v>0</v>
      </c>
      <c r="PZ24" s="1" t="n">
        <f aca="false">IF(AND(HT24=0,AG24=1,PY24&gt;0),MIN(PY24,AH24),0)</f>
        <v>0</v>
      </c>
      <c r="QA24" s="1" t="n">
        <f aca="false">PY24-PZ24</f>
        <v>0</v>
      </c>
      <c r="QB24" s="1" t="n">
        <f aca="false">IF(AND(HT24=0,V24=1,QA24&gt;0),MIN(QA24,W24),0)</f>
        <v>0</v>
      </c>
      <c r="QC24" s="1" t="n">
        <f aca="false">QA24-QB24</f>
        <v>0</v>
      </c>
      <c r="QD24" s="1" t="n">
        <f aca="false">IF(HT24=0,QC24,0)</f>
        <v>0</v>
      </c>
      <c r="QE24" s="1" t="n">
        <f aca="false">OL24+ON24+QB24+PZ24+PX24+PV24+PT24+PR24+PP24+PN24+PL24+PJ24+PH24+PF24+PD24+PB24+OZ24+OX24+OV24+OT24+OR24+OP24</f>
        <v>0</v>
      </c>
      <c r="QF24" s="1" t="n">
        <f aca="false">IF(HT24=1,HJ24+OI24+OH24+IF(F24=1,0,OJ24),HJ24-OL24)</f>
        <v>0</v>
      </c>
      <c r="QG24" s="1" t="n">
        <f aca="false">HK24-ON24</f>
        <v>0</v>
      </c>
      <c r="QH24" s="1" t="n">
        <f aca="false">IF(HT24=1,IF(F24=1,IC24+ID24,HR24),0)</f>
        <v>0</v>
      </c>
      <c r="QI24" s="1" t="n">
        <f aca="false">IF(HT24=1,IF(F24=1,HR24-IC24-ID24,0),0)</f>
        <v>0</v>
      </c>
      <c r="QJ24" s="1" t="n">
        <f aca="false">QF24*(1+GR)</f>
        <v>0</v>
      </c>
      <c r="QK24" s="1" t="n">
        <f aca="false">QG24*(1+AS_Cash)</f>
        <v>0</v>
      </c>
      <c r="QL24" s="1" t="n">
        <f aca="false">IF(V24=1,IF(HT24=1,IH24+IK24,W24-QB24)*(1+Slot1_Rate),0)</f>
        <v>0</v>
      </c>
      <c r="QM24" s="1" t="n">
        <f aca="false">IF(AND(HT24=1,V24=1),(IG24+IK24)/E24,0)</f>
        <v>0</v>
      </c>
      <c r="QN24" s="1" t="n">
        <f aca="false">IF(B24=0,IG24+IK24,0)</f>
        <v>0</v>
      </c>
      <c r="QO24" s="1" t="n">
        <f aca="false">IF(B24=0,IF(HT24=1,II24,IJ24),0)</f>
        <v>0</v>
      </c>
      <c r="QP24" s="1" t="n">
        <f aca="false">IF(AG24=1,IF(HT24=1,IP24+IS24,AH24-PZ24)*(1+Slot2_Rate),0)</f>
        <v>0</v>
      </c>
      <c r="QQ24" s="1" t="n">
        <f aca="false">IF(AND(HT24=1,AG24=1),(IO24+IS24)/E24,0)</f>
        <v>0</v>
      </c>
      <c r="QR24" s="1" t="n">
        <f aca="false">IF(B24=0,IO24+IS24,0)</f>
        <v>0</v>
      </c>
      <c r="QS24" s="1" t="n">
        <f aca="false">IF(B24=0,IF(HT24=1,IQ24,IR24),0)</f>
        <v>0</v>
      </c>
      <c r="QT24" s="1" t="n">
        <f aca="false">IF(AQ24=1,IF(HT24=1,IX24+JA24,AR24-PX24)*(1+Slot3_Rate),0)</f>
        <v>0</v>
      </c>
      <c r="QU24" s="1" t="n">
        <f aca="false">IF(AND(HT24=1,AQ24=1),(IW24+JA24)/E24,0)</f>
        <v>0</v>
      </c>
      <c r="QV24" s="1" t="n">
        <f aca="false">IF(B24=0,IW24+JA24,0)</f>
        <v>0</v>
      </c>
      <c r="QW24" s="1" t="n">
        <f aca="false">IF(B24=0,IF(HT24=1,IY24,IZ24),0)</f>
        <v>0</v>
      </c>
      <c r="QX24" s="1" t="n">
        <f aca="false">IF(BA24=1,IF(HT24=1,JF24+JI24,BB24-PV24)*(1+Slot4_Rate),0)</f>
        <v>0</v>
      </c>
      <c r="QY24" s="1" t="n">
        <f aca="false">IF(AND(HT24=1,BA24=1),(JE24+JI24)/E24,0)</f>
        <v>0</v>
      </c>
      <c r="QZ24" s="1" t="n">
        <f aca="false">IF(B24=0,JE24+JI24,0)</f>
        <v>0</v>
      </c>
      <c r="RA24" s="1" t="n">
        <f aca="false">IF(B24=0,IF(HT24=1,JG24,JH24),0)</f>
        <v>0</v>
      </c>
      <c r="RB24" s="1" t="n">
        <f aca="false">IF(BK24=1,IF(HT24=1,JN24+JQ24,BL24-PT24)*(1+Slot5_Rate),0)</f>
        <v>0</v>
      </c>
      <c r="RC24" s="1" t="n">
        <f aca="false">IF(AND(HT24=1,BK24=1),(JM24+JQ24)/E24,0)</f>
        <v>0</v>
      </c>
      <c r="RD24" s="1" t="n">
        <f aca="false">IF(B24=0,JM24+JQ24,0)</f>
        <v>0</v>
      </c>
      <c r="RE24" s="1" t="n">
        <f aca="false">IF(B24=0,IF(HT24=1,JO24,JP24),0)</f>
        <v>0</v>
      </c>
      <c r="RF24" s="1" t="n">
        <f aca="false">IF(BU24=1,IF(HT24=1,JV24+JY24,BV24-PR24)*(1+Slot6_Rate),0)</f>
        <v>0</v>
      </c>
      <c r="RG24" s="1" t="n">
        <f aca="false">IF(AND(HT24=1,BU24=1),(JU24+JY24)/E24,0)</f>
        <v>0</v>
      </c>
      <c r="RH24" s="1" t="n">
        <f aca="false">IF(B24=0,JU24+JY24,0)</f>
        <v>0</v>
      </c>
      <c r="RI24" s="1" t="n">
        <f aca="false">IF(B24=0,IF(HT24=1,JW24,JX24),0)</f>
        <v>0</v>
      </c>
      <c r="RJ24" s="1" t="n">
        <f aca="false">IF(CE24=1,IF(HT24=1,KD24+KG24,CF24-PP24)*(1+Slot7_Rate),0)</f>
        <v>0</v>
      </c>
      <c r="RK24" s="1" t="n">
        <f aca="false">IF(AND(HT24=1,CE24=1),(KC24+KG24)/E24,0)</f>
        <v>0</v>
      </c>
      <c r="RL24" s="1" t="n">
        <f aca="false">IF(B24=0,KC24+KG24,0)</f>
        <v>0</v>
      </c>
      <c r="RM24" s="1" t="n">
        <f aca="false">IF(B24=0,IF(HT24=1,KE24,KF24),0)</f>
        <v>0</v>
      </c>
      <c r="RN24" s="1" t="n">
        <f aca="false">IF(CO24=1,IF(HT24=1,KL24+KO24,CP24-PN24)*(1+Slot8_Rate),0)</f>
        <v>0</v>
      </c>
      <c r="RO24" s="1" t="n">
        <f aca="false">IF(AND(HT24=1,CO24=1),(KK24+KO24)/E24,0)</f>
        <v>0</v>
      </c>
      <c r="RP24" s="1" t="n">
        <f aca="false">IF(B24=0,KK24+KO24,0)</f>
        <v>0</v>
      </c>
      <c r="RQ24" s="1" t="n">
        <f aca="false">IF(B24=0,IF(HT24=1,KM24,KN24),0)</f>
        <v>0</v>
      </c>
      <c r="RR24" s="1" t="n">
        <f aca="false">IF(CY24=1,IF(HT24=1,KT24+KW24,CZ24-PL24)*(1+Slot9_Rate),0)</f>
        <v>0</v>
      </c>
      <c r="RS24" s="1" t="n">
        <f aca="false">IF(AND(HT24=1,CY24=1),(KS24+KW24)/E24,0)</f>
        <v>0</v>
      </c>
      <c r="RT24" s="1" t="n">
        <f aca="false">IF(B24=0,KS24+KW24,0)</f>
        <v>0</v>
      </c>
      <c r="RU24" s="1" t="n">
        <f aca="false">IF(B24=0,IF(HT24=1,KU24,KV24),0)</f>
        <v>0</v>
      </c>
      <c r="RV24" s="1" t="n">
        <f aca="false">IF(DI24=1,IF(HT24=1,LB24+LE24,DJ24-PJ24)*(1+Slot10_Rate),0)</f>
        <v>0</v>
      </c>
      <c r="RW24" s="1" t="n">
        <f aca="false">IF(AND(HT24=1,DI24=1),(LA24+LE24)/E24,0)</f>
        <v>0</v>
      </c>
      <c r="RX24" s="1" t="n">
        <f aca="false">IF(B24=0,LA24+LE24,0)</f>
        <v>0</v>
      </c>
      <c r="RY24" s="1" t="n">
        <f aca="false">IF(B24=0,IF(HT24=1,LC24,LD24),0)</f>
        <v>0</v>
      </c>
      <c r="RZ24" s="1" t="n">
        <f aca="false">IF(DS24=1,IF(HT24=1,LJ24+LM24,DT24-PH24)*(1+Slot11_Rate),0)</f>
        <v>0</v>
      </c>
      <c r="SA24" s="1" t="n">
        <f aca="false">IF(AND(HT24=1,DS24=1),(LI24+LM24)/E24,0)</f>
        <v>0</v>
      </c>
      <c r="SB24" s="1" t="n">
        <f aca="false">IF(B24=0,LI24+LM24,0)</f>
        <v>0</v>
      </c>
      <c r="SC24" s="1" t="n">
        <f aca="false">IF(B24=0,IF(HT24=1,LK24,LL24),0)</f>
        <v>0</v>
      </c>
      <c r="SD24" s="1" t="n">
        <f aca="false">IF(EC24=1,IF(HT24=1,LR24+LU24,ED24-PF24)*(1+Slot12_Rate),0)</f>
        <v>0</v>
      </c>
      <c r="SE24" s="1" t="n">
        <f aca="false">IF(AND(HT24=1,EC24=1),(LQ24+LU24)/E24,0)</f>
        <v>0</v>
      </c>
      <c r="SF24" s="1" t="n">
        <f aca="false">IF(B24=0,LQ24+LU24,0)</f>
        <v>0</v>
      </c>
      <c r="SG24" s="1" t="n">
        <f aca="false">IF(B24=0,IF(HT24=1,LS24,LT24),0)</f>
        <v>0</v>
      </c>
      <c r="SH24" s="1" t="n">
        <f aca="false">IF(EM24=1,IF(HT24=1,LZ24+MC24,EN24-PD24)*(1+Slot13_Rate),0)</f>
        <v>0</v>
      </c>
      <c r="SI24" s="1" t="n">
        <f aca="false">IF(AND(HT24=1,EM24=1),(LY24+MC24)/E24,0)</f>
        <v>0</v>
      </c>
      <c r="SJ24" s="1" t="n">
        <f aca="false">IF(B24=0,LY24+MC24,0)</f>
        <v>0</v>
      </c>
      <c r="SK24" s="1" t="n">
        <f aca="false">IF(B24=0,IF(HT24=1,MA24,MB24),0)</f>
        <v>0</v>
      </c>
      <c r="SL24" s="1" t="n">
        <f aca="false">IF(EW24=1,IF(HT24=1,MH24+MK24,EX24-PB24)*(1+Slot14_Rate),0)</f>
        <v>0</v>
      </c>
      <c r="SM24" s="1" t="n">
        <f aca="false">IF(AND(HT24=1,EW24=1),(MG24+MK24)/E24,0)</f>
        <v>0</v>
      </c>
      <c r="SN24" s="1" t="n">
        <f aca="false">IF(B24=0,MG24+MK24,0)</f>
        <v>0</v>
      </c>
      <c r="SO24" s="1" t="n">
        <f aca="false">IF(B24=0,IF(HT24=1,MI24,MJ24),0)</f>
        <v>0</v>
      </c>
      <c r="SP24" s="1" t="n">
        <f aca="false">IF(FG24=1,IF(HT24=1,MP24+MS24,FH24-OZ24)*(1+Slot15_Rate),0)</f>
        <v>0</v>
      </c>
      <c r="SQ24" s="1" t="n">
        <f aca="false">IF(AND(HT24=1,FG24=1),(MO24+MS24)/E24,0)</f>
        <v>0</v>
      </c>
      <c r="SR24" s="1" t="n">
        <f aca="false">IF(B24=0,MO24+MS24,0)</f>
        <v>0</v>
      </c>
      <c r="SS24" s="1" t="n">
        <f aca="false">IF(B24=0,IF(HT24=1,MQ24,MR24),0)</f>
        <v>0</v>
      </c>
      <c r="ST24" s="1" t="n">
        <f aca="false">IF(FQ24=1,IF(HT24=1,MX24+NA24,FR24-OX24)*(1+Slot16_Rate),0)</f>
        <v>0</v>
      </c>
      <c r="SU24" s="1" t="n">
        <f aca="false">IF(AND(HT24=1,FQ24=1),(MW24+NA24)/E24,0)</f>
        <v>0</v>
      </c>
      <c r="SV24" s="1" t="n">
        <f aca="false">IF(B24=0,MW24+NA24,0)</f>
        <v>0</v>
      </c>
      <c r="SW24" s="1" t="n">
        <f aca="false">IF(B24=0,IF(HT24=1,MY24,MZ24),0)</f>
        <v>0</v>
      </c>
      <c r="SX24" s="1" t="n">
        <f aca="false">IF(GA24=1,IF(HT24=1,NF24+NI24,GB24-OV24)*(1+Slot17_Rate),0)</f>
        <v>0</v>
      </c>
      <c r="SY24" s="1" t="n">
        <f aca="false">IF(AND(HT24=1,GA24=1),(NE24+NI24)/E24,0)</f>
        <v>0</v>
      </c>
      <c r="SZ24" s="1" t="n">
        <f aca="false">IF(B24=0,NE24+NI24,0)</f>
        <v>0</v>
      </c>
      <c r="TA24" s="1" t="n">
        <f aca="false">IF(B24=0,IF(HT24=1,NG24,NH24),0)</f>
        <v>0</v>
      </c>
      <c r="TB24" s="1" t="n">
        <f aca="false">IF(GK24=1,IF(HT24=1,NN24+NQ24,GL24-OT24)*(1+Slot18_Rate),0)</f>
        <v>0</v>
      </c>
      <c r="TC24" s="1" t="n">
        <f aca="false">IF(AND(HT24=1,GK24=1),(NM24+NQ24)/E24,0)</f>
        <v>0</v>
      </c>
      <c r="TD24" s="1" t="n">
        <f aca="false">IF(B24=0,NM24+NQ24,0)</f>
        <v>0</v>
      </c>
      <c r="TE24" s="1" t="n">
        <f aca="false">IF(B24=0,IF(HT24=1,NO24,NP24),0)</f>
        <v>0</v>
      </c>
      <c r="TF24" s="1" t="n">
        <f aca="false">IF(GU24=1,IF(HT24=1,NV24+NY24,GV24-OR24)*(1+Slot19_Rate),0)</f>
        <v>0</v>
      </c>
      <c r="TG24" s="1" t="n">
        <f aca="false">IF(AND(HT24=1,GU24=1),(NU24+NY24)/E24,0)</f>
        <v>0</v>
      </c>
      <c r="TH24" s="1" t="n">
        <f aca="false">IF(B24=0,NU24+NY24,0)</f>
        <v>0</v>
      </c>
      <c r="TI24" s="1" t="n">
        <f aca="false">IF(B24=0,IF(HT24=1,NW24,NX24),0)</f>
        <v>0</v>
      </c>
      <c r="TJ24" s="1" t="n">
        <f aca="false">IF(HE24=1,IF(HT24=1,OD24+OG24,HF24-OP24)*(1+Slot20_Rate),0)</f>
        <v>0</v>
      </c>
      <c r="TK24" s="1" t="n">
        <f aca="false">IF(AND(HT24=1,HE24=1),(OC24+OG24)/E24,0)</f>
        <v>0</v>
      </c>
      <c r="TL24" s="1" t="n">
        <f aca="false">IF(B24=0,OC24+OG24,0)</f>
        <v>0</v>
      </c>
      <c r="TM24" s="1" t="n">
        <f aca="false">IF(B24=0,IF(HT24=1,OE24,OF24),0)</f>
        <v>0</v>
      </c>
      <c r="TN24" s="1" t="n">
        <f aca="false">QJ24+QK24+QL24+QP24+QT24+QX24+RB24+RF24+RJ24+RN24+RR24+RV24+RZ24+SD24+SH24+SL24+SP24+ST24+SX24+TB24+TF24+TJ24</f>
        <v>0</v>
      </c>
      <c r="TO24" s="1" t="n">
        <f aca="false">QD24+HO24</f>
        <v>0</v>
      </c>
      <c r="TP24" s="1" t="n">
        <f aca="false">H24+R24</f>
        <v>0</v>
      </c>
      <c r="TQ24" s="1" t="n">
        <f aca="false">1-F24</f>
        <v>0</v>
      </c>
      <c r="TR24" s="1" t="n">
        <f aca="false">IF(AND(RG_Exists=1,F24=0,C24=1),H24,0)</f>
        <v>0</v>
      </c>
      <c r="TS24" s="1" t="n">
        <f aca="false">IF(AND(RG_Exists=1,F24=0,C24=1),H24-MIN(QD24,H24),0)</f>
        <v>0</v>
      </c>
      <c r="TT24" s="1" t="n">
        <f aca="false">'Plan pay &amp; tax'!AD250</f>
        <v>0</v>
      </c>
      <c r="TU24" s="1" t="n">
        <f aca="false">IF(AND(C24=1,QD24&gt;MAX(PR_Short1,TP24*PR_Short2)),1,0)</f>
        <v>0</v>
      </c>
      <c r="TV24" s="1" t="n">
        <f aca="false">MIN(G24,H24+R24)</f>
        <v>0</v>
      </c>
      <c r="TW24" s="1" t="n">
        <f aca="false">QE24+MAX(0,HP24-HO24)</f>
        <v>0</v>
      </c>
      <c r="TX24" s="1" t="n">
        <f aca="false">QD24+HO24</f>
        <v>0</v>
      </c>
      <c r="TY24" s="1" t="n">
        <f aca="false">IF(AND(C24=1,TX24&gt;PR_MinShort),1,0)</f>
        <v>0</v>
      </c>
      <c r="TZ24" s="1" t="n">
        <f aca="false">IF(AND(C24=1,TY24=0,TW24&gt;PR_MinShort),1,0)</f>
        <v>0</v>
      </c>
      <c r="UA24" s="1" t="n">
        <f aca="false">IF(AND(C24=1,QD24&gt;PR_MinShort),1,0)</f>
        <v>0</v>
      </c>
      <c r="UB24" s="1" t="n">
        <f aca="false">IF(AND(C24=1,QE24&gt;1,UI24=0),1,0)</f>
        <v>0</v>
      </c>
      <c r="UC24" s="1" t="str">
        <f aca="false">IF(C24=0,"",IF(UI24=1,"Gap to plan for: short "&amp;"€"&amp;TEXT(ROUND(TO24,0),"#,##0"),IF(QE24&gt;1,"Using savings","Comfortable")))</f>
        <v>Comfortable</v>
      </c>
      <c r="UD24" s="1" t="n">
        <f aca="false">IF(AND(INT(D24/10)*10=90,B24&gt;0),80,INT(D24/10)*10)</f>
        <v>10</v>
      </c>
      <c r="UE24" s="1" t="n">
        <f aca="false">IF(B24=0,1,IF(UD24&lt;&gt;UD23,UE23+1,UE23))</f>
        <v>2</v>
      </c>
      <c r="UF24" s="1" t="n">
        <f aca="false">IF(AND(C24=1,F24=1,QD24&gt;MAX(PR_Short1,TP24*PR_Short2)),1,0)</f>
        <v>0</v>
      </c>
      <c r="UG24" s="1" t="n">
        <f aca="false">TQ24*TU24</f>
        <v>0</v>
      </c>
      <c r="UH24" s="1" t="n">
        <f aca="false">IF(AND(U24=1,Slot1_PctLow=1),1,0)+IF(AND(AF24=1,Slot2_PctLow=1),1,0)+IF(AND(AP24=1,Slot3_PctLow=1),1,0)+IF(AND(AZ24=1,Slot4_PctLow=1),1,0)+IF(AND(BJ24=1,Slot5_PctLow=1),1,0)+IF(AND(BT24=1,Slot6_PctLow=1),1,0)+IF(AND(CD24=1,Slot7_PctLow=1),1,0)+IF(AND(CN24=1,Slot8_PctLow=1),1,0)+IF(AND(CX24=1,Slot9_PctLow=1),1,0)+IF(AND(DH24=1,Slot10_PctLow=1),1,0)+IF(AND(DR24=1,Slot11_PctLow=1),1,0)+IF(AND(EB24=1,Slot12_PctLow=1),1,0)+IF(AND(EL24=1,Slot13_PctLow=1),1,0)+IF(AND(EV24=1,Slot14_PctLow=1),1,0)+IF(AND(FF24=1,Slot15_PctLow=1),1,0)+IF(AND(FP24=1,Slot16_PctLow=1),1,0)+IF(AND(FZ24=1,Slot17_PctLow=1),1,0)+IF(AND(GJ24=1,Slot18_PctLow=1),1,0)+IF(AND(GT24=1,Slot19_PctLow=1),1,0)+IF(AND(HD24=1,Slot20_PctLow=1),1,0)</f>
        <v>0</v>
      </c>
      <c r="UI24" s="1" t="n">
        <f aca="false">IF(C24=1,IF(OR(TU24=1,UH24&gt;0),1,0),0)</f>
        <v>0</v>
      </c>
    </row>
    <row r="25" customFormat="false" ht="15" hidden="false" customHeight="true" outlineLevel="0" collapsed="false">
      <c r="B25" s="1" t="n">
        <v>17</v>
      </c>
      <c r="C25" s="1" t="n">
        <f aca="false">IF(B25&lt;=F_N,1,0)</f>
        <v>1</v>
      </c>
      <c r="D25" s="1" t="n">
        <f aca="false">'Plan pay &amp; tax'!C251</f>
        <v>17</v>
      </c>
      <c r="E25" s="111" t="n">
        <f aca="false">'Plan pay &amp; tax'!E251</f>
        <v>1.40024141919242</v>
      </c>
      <c r="F25" s="1" t="n">
        <f aca="false">'Plan pay &amp; tax'!G251</f>
        <v>1</v>
      </c>
      <c r="G25" s="1" t="n">
        <f aca="false">'Plan pay &amp; tax'!BT251-'Plan pay &amp; tax'!BS251-'Plan pay &amp; tax'!R251</f>
        <v>0</v>
      </c>
      <c r="H25" s="1" t="n">
        <f aca="false">IF(F25=1,F_CostsM*12,IF(RG_Exists=1,RG_Amount,F_CostsM*12*AS_RetireSpend))*E25+F_OneOffY*E25</f>
        <v>0</v>
      </c>
      <c r="I25" s="1" t="n">
        <f aca="false">HQ24</f>
        <v>0</v>
      </c>
      <c r="J25" s="1" t="n">
        <f aca="false">IF(I25&gt;1,'Plan debt months'!AC25,0)</f>
        <v>0</v>
      </c>
      <c r="K25" s="1" t="n">
        <f aca="false">IF(I25&gt;1,'Plan debt months'!AB25,I25)</f>
        <v>0</v>
      </c>
      <c r="L25" s="1" t="n">
        <f aca="false">N24</f>
        <v>0</v>
      </c>
      <c r="M25" s="1" t="n">
        <f aca="false">IF(L25&gt;1,'Plan debt months'!BD25,0)</f>
        <v>0</v>
      </c>
      <c r="N25" s="1" t="n">
        <f aca="false">IF(L25&gt;1,'Plan debt months'!BC25,L25)</f>
        <v>0</v>
      </c>
      <c r="O25" s="1" t="n">
        <f aca="false">Q24</f>
        <v>0</v>
      </c>
      <c r="P25" s="1" t="n">
        <f aca="false">IF(O25&gt;1,'Plan debt months'!CE25,0)</f>
        <v>0</v>
      </c>
      <c r="Q25" s="1" t="n">
        <f aca="false">IF(O25&gt;1,'Plan debt months'!CD25,O25)</f>
        <v>0</v>
      </c>
      <c r="R25" s="1" t="n">
        <f aca="false">J25+M25+P25</f>
        <v>0</v>
      </c>
      <c r="S25" s="1" t="n">
        <f aca="false">QJ24+'Plan pay &amp; tax'!Y251</f>
        <v>0</v>
      </c>
      <c r="T25" s="1" t="n">
        <f aca="false">QJ24</f>
        <v>0</v>
      </c>
      <c r="U25" s="1" t="n">
        <f aca="false">IF(AND(Slot1_On=1,D25=Slot1_Age),1,0)</f>
        <v>0</v>
      </c>
      <c r="V25" s="1" t="n">
        <f aca="false">IF(AND(Slot1_On=1,Slot1_Age&gt;D25),1,0)</f>
        <v>0</v>
      </c>
      <c r="W25" s="1" t="n">
        <f aca="false">QL24</f>
        <v>0</v>
      </c>
      <c r="X25" s="1" t="n">
        <f aca="false">U25*MIN(Slot1_Cost,W25)</f>
        <v>0</v>
      </c>
      <c r="Y25" s="1" t="n">
        <f aca="false">U25*Slot1_SpendLike*MIN(Slot1_Cost-X25,S25)</f>
        <v>0</v>
      </c>
      <c r="Z25" s="1" t="n">
        <f aca="false">X25+Y25</f>
        <v>0</v>
      </c>
      <c r="AA25" s="1" t="n">
        <f aca="false">S25-Y25+U25*IF(Slot1_SpendLike=1,W25-X25,IF(Slot1_PotFree=1,W25,0))</f>
        <v>0</v>
      </c>
      <c r="AB25" s="1" t="n">
        <f aca="false">AE25+U25*Slot1_BufPot*W25</f>
        <v>0</v>
      </c>
      <c r="AC25" s="1" t="n">
        <f aca="false">IF(AND(U25=1,Slot1_IsMfree=1),IF(Z25&gt;=Slot1_Cost-1,0,MAX(0,K25-Z25)),K25)</f>
        <v>0</v>
      </c>
      <c r="AD25" s="1" t="n">
        <f aca="false">U25*(Slot1_Cost-Z25)</f>
        <v>0</v>
      </c>
      <c r="AE25" s="1" t="n">
        <f aca="false">QK24</f>
        <v>0</v>
      </c>
      <c r="AF25" s="1" t="n">
        <f aca="false">IF(AND(Slot2_On=1,D25=Slot2_Age),1,0)</f>
        <v>0</v>
      </c>
      <c r="AG25" s="1" t="n">
        <f aca="false">IF(AND(Slot2_On=1,Slot2_Age&gt;D25),1,0)</f>
        <v>0</v>
      </c>
      <c r="AH25" s="1" t="n">
        <f aca="false">QP24</f>
        <v>0</v>
      </c>
      <c r="AI25" s="1" t="n">
        <f aca="false">AF25*MIN(Slot2_Cost,AH25)</f>
        <v>0</v>
      </c>
      <c r="AJ25" s="1" t="n">
        <f aca="false">AF25*Slot2_SpendLike*MIN(Slot2_Cost-AI25,AA25)</f>
        <v>0</v>
      </c>
      <c r="AK25" s="1" t="n">
        <f aca="false">AI25+AJ25</f>
        <v>0</v>
      </c>
      <c r="AL25" s="1" t="n">
        <f aca="false">AA25-AJ25+AF25*IF(Slot2_SpendLike=1,AH25-AI25,IF(Slot2_PotFree=1,AH25,0))</f>
        <v>0</v>
      </c>
      <c r="AM25" s="1" t="n">
        <f aca="false">AB25+AF25*Slot2_BufPot*AH25</f>
        <v>0</v>
      </c>
      <c r="AN25" s="1" t="n">
        <f aca="false">IF(AND(AF25=1,Slot2_IsMfree=1),IF(AK25&gt;=Slot2_Cost-1,0,MAX(0,AC25-AK25)),AC25)</f>
        <v>0</v>
      </c>
      <c r="AO25" s="1" t="n">
        <f aca="false">AF25*(Slot2_Cost-AK25)</f>
        <v>0</v>
      </c>
      <c r="AP25" s="1" t="n">
        <f aca="false">IF(AND(Slot3_On=1,D25=Slot3_Age),1,0)</f>
        <v>0</v>
      </c>
      <c r="AQ25" s="1" t="n">
        <f aca="false">IF(AND(Slot3_On=1,Slot3_Age&gt;D25),1,0)</f>
        <v>0</v>
      </c>
      <c r="AR25" s="1" t="n">
        <f aca="false">QT24</f>
        <v>0</v>
      </c>
      <c r="AS25" s="1" t="n">
        <f aca="false">AP25*MIN(Slot3_Cost,AR25)</f>
        <v>0</v>
      </c>
      <c r="AT25" s="1" t="n">
        <f aca="false">AP25*Slot3_SpendLike*MIN(Slot3_Cost-AS25,AL25)</f>
        <v>0</v>
      </c>
      <c r="AU25" s="1" t="n">
        <f aca="false">AS25+AT25</f>
        <v>0</v>
      </c>
      <c r="AV25" s="1" t="n">
        <f aca="false">AL25-AT25+AP25*IF(Slot3_SpendLike=1,AR25-AS25,IF(Slot3_PotFree=1,AR25,0))</f>
        <v>0</v>
      </c>
      <c r="AW25" s="1" t="n">
        <f aca="false">AM25+AP25*Slot3_BufPot*AR25</f>
        <v>0</v>
      </c>
      <c r="AX25" s="1" t="n">
        <f aca="false">IF(AND(AP25=1,Slot3_IsMfree=1),IF(AU25&gt;=Slot3_Cost-1,0,MAX(0,AN25-AU25)),AN25)</f>
        <v>0</v>
      </c>
      <c r="AY25" s="1" t="n">
        <f aca="false">AP25*(Slot3_Cost-AU25)</f>
        <v>0</v>
      </c>
      <c r="AZ25" s="1" t="n">
        <f aca="false">IF(AND(Slot4_On=1,D25=Slot4_Age),1,0)</f>
        <v>0</v>
      </c>
      <c r="BA25" s="1" t="n">
        <f aca="false">IF(AND(Slot4_On=1,Slot4_Age&gt;D25),1,0)</f>
        <v>0</v>
      </c>
      <c r="BB25" s="1" t="n">
        <f aca="false">QX24</f>
        <v>0</v>
      </c>
      <c r="BC25" s="1" t="n">
        <f aca="false">AZ25*MIN(Slot4_Cost,BB25)</f>
        <v>0</v>
      </c>
      <c r="BD25" s="1" t="n">
        <f aca="false">AZ25*Slot4_SpendLike*MIN(Slot4_Cost-BC25,AV25)</f>
        <v>0</v>
      </c>
      <c r="BE25" s="1" t="n">
        <f aca="false">BC25+BD25</f>
        <v>0</v>
      </c>
      <c r="BF25" s="1" t="n">
        <f aca="false">AV25-BD25+AZ25*IF(Slot4_SpendLike=1,BB25-BC25,IF(Slot4_PotFree=1,BB25,0))</f>
        <v>0</v>
      </c>
      <c r="BG25" s="1" t="n">
        <f aca="false">AW25+AZ25*Slot4_BufPot*BB25</f>
        <v>0</v>
      </c>
      <c r="BH25" s="1" t="n">
        <f aca="false">IF(AND(AZ25=1,Slot4_IsMfree=1),IF(BE25&gt;=Slot4_Cost-1,0,MAX(0,AX25-BE25)),AX25)</f>
        <v>0</v>
      </c>
      <c r="BI25" s="1" t="n">
        <f aca="false">AZ25*(Slot4_Cost-BE25)</f>
        <v>0</v>
      </c>
      <c r="BJ25" s="1" t="n">
        <f aca="false">IF(AND(Slot5_On=1,D25=Slot5_Age),1,0)</f>
        <v>0</v>
      </c>
      <c r="BK25" s="1" t="n">
        <f aca="false">IF(AND(Slot5_On=1,Slot5_Age&gt;D25),1,0)</f>
        <v>0</v>
      </c>
      <c r="BL25" s="1" t="n">
        <f aca="false">RB24</f>
        <v>0</v>
      </c>
      <c r="BM25" s="1" t="n">
        <f aca="false">BJ25*MIN(Slot5_Cost,BL25)</f>
        <v>0</v>
      </c>
      <c r="BN25" s="1" t="n">
        <f aca="false">BJ25*Slot5_SpendLike*MIN(Slot5_Cost-BM25,BF25)</f>
        <v>0</v>
      </c>
      <c r="BO25" s="1" t="n">
        <f aca="false">BM25+BN25</f>
        <v>0</v>
      </c>
      <c r="BP25" s="1" t="n">
        <f aca="false">BF25-BN25+BJ25*IF(Slot5_SpendLike=1,BL25-BM25,IF(Slot5_PotFree=1,BL25,0))</f>
        <v>0</v>
      </c>
      <c r="BQ25" s="1" t="n">
        <f aca="false">BG25+BJ25*Slot5_BufPot*BL25</f>
        <v>0</v>
      </c>
      <c r="BR25" s="1" t="n">
        <f aca="false">IF(AND(BJ25=1,Slot5_IsMfree=1),IF(BO25&gt;=Slot5_Cost-1,0,MAX(0,BH25-BO25)),BH25)</f>
        <v>0</v>
      </c>
      <c r="BS25" s="1" t="n">
        <f aca="false">BJ25*(Slot5_Cost-BO25)</f>
        <v>0</v>
      </c>
      <c r="BT25" s="1" t="n">
        <f aca="false">IF(AND(Slot6_On=1,D25=Slot6_Age),1,0)</f>
        <v>0</v>
      </c>
      <c r="BU25" s="1" t="n">
        <f aca="false">IF(AND(Slot6_On=1,Slot6_Age&gt;D25),1,0)</f>
        <v>0</v>
      </c>
      <c r="BV25" s="1" t="n">
        <f aca="false">RF24</f>
        <v>0</v>
      </c>
      <c r="BW25" s="1" t="n">
        <f aca="false">BT25*MIN(Slot6_Cost,BV25)</f>
        <v>0</v>
      </c>
      <c r="BX25" s="1" t="n">
        <f aca="false">BT25*Slot6_SpendLike*MIN(Slot6_Cost-BW25,BP25)</f>
        <v>0</v>
      </c>
      <c r="BY25" s="1" t="n">
        <f aca="false">BW25+BX25</f>
        <v>0</v>
      </c>
      <c r="BZ25" s="1" t="n">
        <f aca="false">BP25-BX25+BT25*IF(Slot6_SpendLike=1,BV25-BW25,IF(Slot6_PotFree=1,BV25,0))</f>
        <v>0</v>
      </c>
      <c r="CA25" s="1" t="n">
        <f aca="false">BQ25+BT25*Slot6_BufPot*BV25</f>
        <v>0</v>
      </c>
      <c r="CB25" s="1" t="n">
        <f aca="false">IF(AND(BT25=1,Slot6_IsMfree=1),IF(BY25&gt;=Slot6_Cost-1,0,MAX(0,BR25-BY25)),BR25)</f>
        <v>0</v>
      </c>
      <c r="CC25" s="1" t="n">
        <f aca="false">BT25*(Slot6_Cost-BY25)</f>
        <v>0</v>
      </c>
      <c r="CD25" s="1" t="n">
        <f aca="false">IF(AND(Slot7_On=1,D25=Slot7_Age),1,0)</f>
        <v>0</v>
      </c>
      <c r="CE25" s="1" t="n">
        <f aca="false">IF(AND(Slot7_On=1,Slot7_Age&gt;D25),1,0)</f>
        <v>0</v>
      </c>
      <c r="CF25" s="1" t="n">
        <f aca="false">RJ24</f>
        <v>0</v>
      </c>
      <c r="CG25" s="1" t="n">
        <f aca="false">CD25*MIN(Slot7_Cost,CF25)</f>
        <v>0</v>
      </c>
      <c r="CH25" s="1" t="n">
        <f aca="false">CD25*Slot7_SpendLike*MIN(Slot7_Cost-CG25,BZ25)</f>
        <v>0</v>
      </c>
      <c r="CI25" s="1" t="n">
        <f aca="false">CG25+CH25</f>
        <v>0</v>
      </c>
      <c r="CJ25" s="1" t="n">
        <f aca="false">BZ25-CH25+CD25*IF(Slot7_SpendLike=1,CF25-CG25,IF(Slot7_PotFree=1,CF25,0))</f>
        <v>0</v>
      </c>
      <c r="CK25" s="1" t="n">
        <f aca="false">CA25+CD25*Slot7_BufPot*CF25</f>
        <v>0</v>
      </c>
      <c r="CL25" s="1" t="n">
        <f aca="false">IF(AND(CD25=1,Slot7_IsMfree=1),IF(CI25&gt;=Slot7_Cost-1,0,MAX(0,CB25-CI25)),CB25)</f>
        <v>0</v>
      </c>
      <c r="CM25" s="1" t="n">
        <f aca="false">CD25*(Slot7_Cost-CI25)</f>
        <v>0</v>
      </c>
      <c r="CN25" s="1" t="n">
        <f aca="false">IF(AND(Slot8_On=1,D25=Slot8_Age),1,0)</f>
        <v>0</v>
      </c>
      <c r="CO25" s="1" t="n">
        <f aca="false">IF(AND(Slot8_On=1,Slot8_Age&gt;D25),1,0)</f>
        <v>0</v>
      </c>
      <c r="CP25" s="1" t="n">
        <f aca="false">RN24</f>
        <v>0</v>
      </c>
      <c r="CQ25" s="1" t="n">
        <f aca="false">CN25*MIN(Slot8_Cost,CP25)</f>
        <v>0</v>
      </c>
      <c r="CR25" s="1" t="n">
        <f aca="false">CN25*Slot8_SpendLike*MIN(Slot8_Cost-CQ25,CJ25)</f>
        <v>0</v>
      </c>
      <c r="CS25" s="1" t="n">
        <f aca="false">CQ25+CR25</f>
        <v>0</v>
      </c>
      <c r="CT25" s="1" t="n">
        <f aca="false">CJ25-CR25+CN25*IF(Slot8_SpendLike=1,CP25-CQ25,IF(Slot8_PotFree=1,CP25,0))</f>
        <v>0</v>
      </c>
      <c r="CU25" s="1" t="n">
        <f aca="false">CK25+CN25*Slot8_BufPot*CP25</f>
        <v>0</v>
      </c>
      <c r="CV25" s="1" t="n">
        <f aca="false">IF(AND(CN25=1,Slot8_IsMfree=1),IF(CS25&gt;=Slot8_Cost-1,0,MAX(0,CL25-CS25)),CL25)</f>
        <v>0</v>
      </c>
      <c r="CW25" s="1" t="n">
        <f aca="false">CN25*(Slot8_Cost-CS25)</f>
        <v>0</v>
      </c>
      <c r="CX25" s="1" t="n">
        <f aca="false">IF(AND(Slot9_On=1,D25=Slot9_Age),1,0)</f>
        <v>0</v>
      </c>
      <c r="CY25" s="1" t="n">
        <f aca="false">IF(AND(Slot9_On=1,Slot9_Age&gt;D25),1,0)</f>
        <v>0</v>
      </c>
      <c r="CZ25" s="1" t="n">
        <f aca="false">RR24</f>
        <v>0</v>
      </c>
      <c r="DA25" s="1" t="n">
        <f aca="false">CX25*MIN(Slot9_Cost,CZ25)</f>
        <v>0</v>
      </c>
      <c r="DB25" s="1" t="n">
        <f aca="false">CX25*Slot9_SpendLike*MIN(Slot9_Cost-DA25,CT25)</f>
        <v>0</v>
      </c>
      <c r="DC25" s="1" t="n">
        <f aca="false">DA25+DB25</f>
        <v>0</v>
      </c>
      <c r="DD25" s="1" t="n">
        <f aca="false">CT25-DB25+CX25*IF(Slot9_SpendLike=1,CZ25-DA25,IF(Slot9_PotFree=1,CZ25,0))</f>
        <v>0</v>
      </c>
      <c r="DE25" s="1" t="n">
        <f aca="false">CU25+CX25*Slot9_BufPot*CZ25</f>
        <v>0</v>
      </c>
      <c r="DF25" s="1" t="n">
        <f aca="false">IF(AND(CX25=1,Slot9_IsMfree=1),IF(DC25&gt;=Slot9_Cost-1,0,MAX(0,CV25-DC25)),CV25)</f>
        <v>0</v>
      </c>
      <c r="DG25" s="1" t="n">
        <f aca="false">CX25*(Slot9_Cost-DC25)</f>
        <v>0</v>
      </c>
      <c r="DH25" s="1" t="n">
        <f aca="false">IF(AND(Slot10_On=1,D25=Slot10_Age),1,0)</f>
        <v>0</v>
      </c>
      <c r="DI25" s="1" t="n">
        <f aca="false">IF(AND(Slot10_On=1,Slot10_Age&gt;D25),1,0)</f>
        <v>0</v>
      </c>
      <c r="DJ25" s="1" t="n">
        <f aca="false">RV24</f>
        <v>0</v>
      </c>
      <c r="DK25" s="1" t="n">
        <f aca="false">DH25*MIN(Slot10_Cost,DJ25)</f>
        <v>0</v>
      </c>
      <c r="DL25" s="1" t="n">
        <f aca="false">DH25*Slot10_SpendLike*MIN(Slot10_Cost-DK25,DD25)</f>
        <v>0</v>
      </c>
      <c r="DM25" s="1" t="n">
        <f aca="false">DK25+DL25</f>
        <v>0</v>
      </c>
      <c r="DN25" s="1" t="n">
        <f aca="false">DD25-DL25+DH25*IF(Slot10_SpendLike=1,DJ25-DK25,IF(Slot10_PotFree=1,DJ25,0))</f>
        <v>0</v>
      </c>
      <c r="DO25" s="1" t="n">
        <f aca="false">DE25+DH25*Slot10_BufPot*DJ25</f>
        <v>0</v>
      </c>
      <c r="DP25" s="1" t="n">
        <f aca="false">IF(AND(DH25=1,Slot10_IsMfree=1),IF(DM25&gt;=Slot10_Cost-1,0,MAX(0,DF25-DM25)),DF25)</f>
        <v>0</v>
      </c>
      <c r="DQ25" s="1" t="n">
        <f aca="false">DH25*(Slot10_Cost-DM25)</f>
        <v>0</v>
      </c>
      <c r="DR25" s="1" t="n">
        <f aca="false">IF(AND(Slot11_On=1,D25=Slot11_Age),1,0)</f>
        <v>0</v>
      </c>
      <c r="DS25" s="1" t="n">
        <f aca="false">IF(AND(Slot11_On=1,Slot11_Age&gt;D25),1,0)</f>
        <v>0</v>
      </c>
      <c r="DT25" s="1" t="n">
        <f aca="false">RZ24</f>
        <v>0</v>
      </c>
      <c r="DU25" s="1" t="n">
        <f aca="false">DR25*MIN(Slot11_Cost,DT25)</f>
        <v>0</v>
      </c>
      <c r="DV25" s="1" t="n">
        <f aca="false">DR25*Slot11_SpendLike*MIN(Slot11_Cost-DU25,DN25)</f>
        <v>0</v>
      </c>
      <c r="DW25" s="1" t="n">
        <f aca="false">DU25+DV25</f>
        <v>0</v>
      </c>
      <c r="DX25" s="1" t="n">
        <f aca="false">DN25-DV25+DR25*IF(Slot11_SpendLike=1,DT25-DU25,IF(Slot11_PotFree=1,DT25,0))</f>
        <v>0</v>
      </c>
      <c r="DY25" s="1" t="n">
        <f aca="false">DO25+DR25*Slot11_BufPot*DT25</f>
        <v>0</v>
      </c>
      <c r="DZ25" s="1" t="n">
        <f aca="false">IF(AND(DR25=1,Slot11_IsMfree=1),IF(DW25&gt;=Slot11_Cost-1,0,MAX(0,DP25-DW25)),DP25)</f>
        <v>0</v>
      </c>
      <c r="EA25" s="1" t="n">
        <f aca="false">DR25*(Slot11_Cost-DW25)</f>
        <v>0</v>
      </c>
      <c r="EB25" s="1" t="n">
        <f aca="false">IF(AND(Slot12_On=1,D25=Slot12_Age),1,0)</f>
        <v>0</v>
      </c>
      <c r="EC25" s="1" t="n">
        <f aca="false">IF(AND(Slot12_On=1,Slot12_Age&gt;D25),1,0)</f>
        <v>0</v>
      </c>
      <c r="ED25" s="1" t="n">
        <f aca="false">SD24</f>
        <v>0</v>
      </c>
      <c r="EE25" s="1" t="n">
        <f aca="false">EB25*MIN(Slot12_Cost,ED25)</f>
        <v>0</v>
      </c>
      <c r="EF25" s="1" t="n">
        <f aca="false">EB25*Slot12_SpendLike*MIN(Slot12_Cost-EE25,DX25)</f>
        <v>0</v>
      </c>
      <c r="EG25" s="1" t="n">
        <f aca="false">EE25+EF25</f>
        <v>0</v>
      </c>
      <c r="EH25" s="1" t="n">
        <f aca="false">DX25-EF25+EB25*IF(Slot12_SpendLike=1,ED25-EE25,IF(Slot12_PotFree=1,ED25,0))</f>
        <v>0</v>
      </c>
      <c r="EI25" s="1" t="n">
        <f aca="false">DY25+EB25*Slot12_BufPot*ED25</f>
        <v>0</v>
      </c>
      <c r="EJ25" s="1" t="n">
        <f aca="false">IF(AND(EB25=1,Slot12_IsMfree=1),IF(EG25&gt;=Slot12_Cost-1,0,MAX(0,DZ25-EG25)),DZ25)</f>
        <v>0</v>
      </c>
      <c r="EK25" s="1" t="n">
        <f aca="false">EB25*(Slot12_Cost-EG25)</f>
        <v>0</v>
      </c>
      <c r="EL25" s="1" t="n">
        <f aca="false">IF(AND(Slot13_On=1,D25=Slot13_Age),1,0)</f>
        <v>0</v>
      </c>
      <c r="EM25" s="1" t="n">
        <f aca="false">IF(AND(Slot13_On=1,Slot13_Age&gt;D25),1,0)</f>
        <v>0</v>
      </c>
      <c r="EN25" s="1" t="n">
        <f aca="false">SH24</f>
        <v>0</v>
      </c>
      <c r="EO25" s="1" t="n">
        <f aca="false">EL25*MIN(Slot13_Cost,EN25)</f>
        <v>0</v>
      </c>
      <c r="EP25" s="1" t="n">
        <f aca="false">EL25*Slot13_SpendLike*MIN(Slot13_Cost-EO25,EH25)</f>
        <v>0</v>
      </c>
      <c r="EQ25" s="1" t="n">
        <f aca="false">EO25+EP25</f>
        <v>0</v>
      </c>
      <c r="ER25" s="1" t="n">
        <f aca="false">EH25-EP25+EL25*IF(Slot13_SpendLike=1,EN25-EO25,IF(Slot13_PotFree=1,EN25,0))</f>
        <v>0</v>
      </c>
      <c r="ES25" s="1" t="n">
        <f aca="false">EI25+EL25*Slot13_BufPot*EN25</f>
        <v>0</v>
      </c>
      <c r="ET25" s="1" t="n">
        <f aca="false">IF(AND(EL25=1,Slot13_IsMfree=1),IF(EQ25&gt;=Slot13_Cost-1,0,MAX(0,EJ25-EQ25)),EJ25)</f>
        <v>0</v>
      </c>
      <c r="EU25" s="1" t="n">
        <f aca="false">EL25*(Slot13_Cost-EQ25)</f>
        <v>0</v>
      </c>
      <c r="EV25" s="1" t="n">
        <f aca="false">IF(AND(Slot14_On=1,D25=Slot14_Age),1,0)</f>
        <v>0</v>
      </c>
      <c r="EW25" s="1" t="n">
        <f aca="false">IF(AND(Slot14_On=1,Slot14_Age&gt;D25),1,0)</f>
        <v>0</v>
      </c>
      <c r="EX25" s="1" t="n">
        <f aca="false">SL24</f>
        <v>0</v>
      </c>
      <c r="EY25" s="1" t="n">
        <f aca="false">EV25*MIN(Slot14_Cost,EX25)</f>
        <v>0</v>
      </c>
      <c r="EZ25" s="1" t="n">
        <f aca="false">EV25*Slot14_SpendLike*MIN(Slot14_Cost-EY25,ER25)</f>
        <v>0</v>
      </c>
      <c r="FA25" s="1" t="n">
        <f aca="false">EY25+EZ25</f>
        <v>0</v>
      </c>
      <c r="FB25" s="1" t="n">
        <f aca="false">ER25-EZ25+EV25*IF(Slot14_SpendLike=1,EX25-EY25,IF(Slot14_PotFree=1,EX25,0))</f>
        <v>0</v>
      </c>
      <c r="FC25" s="1" t="n">
        <f aca="false">ES25+EV25*Slot14_BufPot*EX25</f>
        <v>0</v>
      </c>
      <c r="FD25" s="1" t="n">
        <f aca="false">IF(AND(EV25=1,Slot14_IsMfree=1),IF(FA25&gt;=Slot14_Cost-1,0,MAX(0,ET25-FA25)),ET25)</f>
        <v>0</v>
      </c>
      <c r="FE25" s="1" t="n">
        <f aca="false">EV25*(Slot14_Cost-FA25)</f>
        <v>0</v>
      </c>
      <c r="FF25" s="1" t="n">
        <f aca="false">IF(AND(Slot15_On=1,D25=Slot15_Age),1,0)</f>
        <v>0</v>
      </c>
      <c r="FG25" s="1" t="n">
        <f aca="false">IF(AND(Slot15_On=1,Slot15_Age&gt;D25),1,0)</f>
        <v>0</v>
      </c>
      <c r="FH25" s="1" t="n">
        <f aca="false">SP24</f>
        <v>0</v>
      </c>
      <c r="FI25" s="1" t="n">
        <f aca="false">FF25*MIN(Slot15_Cost,FH25)</f>
        <v>0</v>
      </c>
      <c r="FJ25" s="1" t="n">
        <f aca="false">FF25*Slot15_SpendLike*MIN(Slot15_Cost-FI25,FB25)</f>
        <v>0</v>
      </c>
      <c r="FK25" s="1" t="n">
        <f aca="false">FI25+FJ25</f>
        <v>0</v>
      </c>
      <c r="FL25" s="1" t="n">
        <f aca="false">FB25-FJ25+FF25*IF(Slot15_SpendLike=1,FH25-FI25,IF(Slot15_PotFree=1,FH25,0))</f>
        <v>0</v>
      </c>
      <c r="FM25" s="1" t="n">
        <f aca="false">FC25+FF25*Slot15_BufPot*FH25</f>
        <v>0</v>
      </c>
      <c r="FN25" s="1" t="n">
        <f aca="false">IF(AND(FF25=1,Slot15_IsMfree=1),IF(FK25&gt;=Slot15_Cost-1,0,MAX(0,FD25-FK25)),FD25)</f>
        <v>0</v>
      </c>
      <c r="FO25" s="1" t="n">
        <f aca="false">FF25*(Slot15_Cost-FK25)</f>
        <v>0</v>
      </c>
      <c r="FP25" s="1" t="n">
        <f aca="false">IF(AND(Slot16_On=1,D25=Slot16_Age),1,0)</f>
        <v>0</v>
      </c>
      <c r="FQ25" s="1" t="n">
        <f aca="false">IF(AND(Slot16_On=1,Slot16_Age&gt;D25),1,0)</f>
        <v>0</v>
      </c>
      <c r="FR25" s="1" t="n">
        <f aca="false">ST24</f>
        <v>0</v>
      </c>
      <c r="FS25" s="1" t="n">
        <f aca="false">FP25*MIN(Slot16_Cost,FR25)</f>
        <v>0</v>
      </c>
      <c r="FT25" s="1" t="n">
        <f aca="false">FP25*Slot16_SpendLike*MIN(Slot16_Cost-FS25,FL25)</f>
        <v>0</v>
      </c>
      <c r="FU25" s="1" t="n">
        <f aca="false">FS25+FT25</f>
        <v>0</v>
      </c>
      <c r="FV25" s="1" t="n">
        <f aca="false">FL25-FT25+FP25*IF(Slot16_SpendLike=1,FR25-FS25,IF(Slot16_PotFree=1,FR25,0))</f>
        <v>0</v>
      </c>
      <c r="FW25" s="1" t="n">
        <f aca="false">FM25+FP25*Slot16_BufPot*FR25</f>
        <v>0</v>
      </c>
      <c r="FX25" s="1" t="n">
        <f aca="false">IF(AND(FP25=1,Slot16_IsMfree=1),IF(FU25&gt;=Slot16_Cost-1,0,MAX(0,FN25-FU25)),FN25)</f>
        <v>0</v>
      </c>
      <c r="FY25" s="1" t="n">
        <f aca="false">FP25*(Slot16_Cost-FU25)</f>
        <v>0</v>
      </c>
      <c r="FZ25" s="1" t="n">
        <f aca="false">IF(AND(Slot17_On=1,D25=Slot17_Age),1,0)</f>
        <v>0</v>
      </c>
      <c r="GA25" s="1" t="n">
        <f aca="false">IF(AND(Slot17_On=1,Slot17_Age&gt;D25),1,0)</f>
        <v>0</v>
      </c>
      <c r="GB25" s="1" t="n">
        <f aca="false">SX24</f>
        <v>0</v>
      </c>
      <c r="GC25" s="1" t="n">
        <f aca="false">FZ25*MIN(Slot17_Cost,GB25)</f>
        <v>0</v>
      </c>
      <c r="GD25" s="1" t="n">
        <f aca="false">FZ25*Slot17_SpendLike*MIN(Slot17_Cost-GC25,FV25)</f>
        <v>0</v>
      </c>
      <c r="GE25" s="1" t="n">
        <f aca="false">GC25+GD25</f>
        <v>0</v>
      </c>
      <c r="GF25" s="1" t="n">
        <f aca="false">FV25-GD25+FZ25*IF(Slot17_SpendLike=1,GB25-GC25,IF(Slot17_PotFree=1,GB25,0))</f>
        <v>0</v>
      </c>
      <c r="GG25" s="1" t="n">
        <f aca="false">FW25+FZ25*Slot17_BufPot*GB25</f>
        <v>0</v>
      </c>
      <c r="GH25" s="1" t="n">
        <f aca="false">IF(AND(FZ25=1,Slot17_IsMfree=1),IF(GE25&gt;=Slot17_Cost-1,0,MAX(0,FX25-GE25)),FX25)</f>
        <v>0</v>
      </c>
      <c r="GI25" s="1" t="n">
        <f aca="false">FZ25*(Slot17_Cost-GE25)</f>
        <v>0</v>
      </c>
      <c r="GJ25" s="1" t="n">
        <f aca="false">IF(AND(Slot18_On=1,D25=Slot18_Age),1,0)</f>
        <v>0</v>
      </c>
      <c r="GK25" s="1" t="n">
        <f aca="false">IF(AND(Slot18_On=1,Slot18_Age&gt;D25),1,0)</f>
        <v>0</v>
      </c>
      <c r="GL25" s="1" t="n">
        <f aca="false">TB24</f>
        <v>0</v>
      </c>
      <c r="GM25" s="1" t="n">
        <f aca="false">GJ25*MIN(Slot18_Cost,GL25)</f>
        <v>0</v>
      </c>
      <c r="GN25" s="1" t="n">
        <f aca="false">GJ25*Slot18_SpendLike*MIN(Slot18_Cost-GM25,GF25)</f>
        <v>0</v>
      </c>
      <c r="GO25" s="1" t="n">
        <f aca="false">GM25+GN25</f>
        <v>0</v>
      </c>
      <c r="GP25" s="1" t="n">
        <f aca="false">GF25-GN25+GJ25*IF(Slot18_SpendLike=1,GL25-GM25,IF(Slot18_PotFree=1,GL25,0))</f>
        <v>0</v>
      </c>
      <c r="GQ25" s="1" t="n">
        <f aca="false">GG25+GJ25*Slot18_BufPot*GL25</f>
        <v>0</v>
      </c>
      <c r="GR25" s="1" t="n">
        <f aca="false">IF(AND(GJ25=1,Slot18_IsMfree=1),IF(GO25&gt;=Slot18_Cost-1,0,MAX(0,GH25-GO25)),GH25)</f>
        <v>0</v>
      </c>
      <c r="GS25" s="1" t="n">
        <f aca="false">GJ25*(Slot18_Cost-GO25)</f>
        <v>0</v>
      </c>
      <c r="GT25" s="1" t="n">
        <f aca="false">IF(AND(Slot19_On=1,D25=Slot19_Age),1,0)</f>
        <v>0</v>
      </c>
      <c r="GU25" s="1" t="n">
        <f aca="false">IF(AND(Slot19_On=1,Slot19_Age&gt;D25),1,0)</f>
        <v>0</v>
      </c>
      <c r="GV25" s="1" t="n">
        <f aca="false">TF24</f>
        <v>0</v>
      </c>
      <c r="GW25" s="1" t="n">
        <f aca="false">GT25*MIN(Slot19_Cost,GV25)</f>
        <v>0</v>
      </c>
      <c r="GX25" s="1" t="n">
        <f aca="false">GT25*Slot19_SpendLike*MIN(Slot19_Cost-GW25,GP25)</f>
        <v>0</v>
      </c>
      <c r="GY25" s="1" t="n">
        <f aca="false">GW25+GX25</f>
        <v>0</v>
      </c>
      <c r="GZ25" s="1" t="n">
        <f aca="false">GP25-GX25+GT25*IF(Slot19_SpendLike=1,GV25-GW25,IF(Slot19_PotFree=1,GV25,0))</f>
        <v>0</v>
      </c>
      <c r="HA25" s="1" t="n">
        <f aca="false">GQ25+GT25*Slot19_BufPot*GV25</f>
        <v>0</v>
      </c>
      <c r="HB25" s="1" t="n">
        <f aca="false">IF(AND(GT25=1,Slot19_IsMfree=1),IF(GY25&gt;=Slot19_Cost-1,0,MAX(0,GR25-GY25)),GR25)</f>
        <v>0</v>
      </c>
      <c r="HC25" s="1" t="n">
        <f aca="false">GT25*(Slot19_Cost-GY25)</f>
        <v>0</v>
      </c>
      <c r="HD25" s="1" t="n">
        <f aca="false">IF(AND(Slot20_On=1,D25=Slot20_Age),1,0)</f>
        <v>0</v>
      </c>
      <c r="HE25" s="1" t="n">
        <f aca="false">IF(AND(Slot20_On=1,Slot20_Age&gt;D25),1,0)</f>
        <v>0</v>
      </c>
      <c r="HF25" s="1" t="n">
        <f aca="false">TJ24</f>
        <v>0</v>
      </c>
      <c r="HG25" s="1" t="n">
        <f aca="false">HD25*MIN(Slot20_Cost,HF25)</f>
        <v>0</v>
      </c>
      <c r="HH25" s="1" t="n">
        <f aca="false">HD25*Slot20_SpendLike*MIN(Slot20_Cost-HG25,GZ25)</f>
        <v>0</v>
      </c>
      <c r="HI25" s="1" t="n">
        <f aca="false">HG25+HH25</f>
        <v>0</v>
      </c>
      <c r="HJ25" s="1" t="n">
        <f aca="false">GZ25-HH25+HD25*IF(Slot20_SpendLike=1,HF25-HG25,IF(Slot20_PotFree=1,HF25,0))</f>
        <v>0</v>
      </c>
      <c r="HK25" s="1" t="n">
        <f aca="false">HA25+HD25*Slot20_BufPot*HF25</f>
        <v>0</v>
      </c>
      <c r="HL25" s="1" t="n">
        <f aca="false">IF(AND(HD25=1,Slot20_IsMfree=1),IF(HI25&gt;=Slot20_Cost-1,0,MAX(0,HB25-HI25)),HB25)</f>
        <v>0</v>
      </c>
      <c r="HM25" s="1" t="n">
        <f aca="false">HD25*(Slot20_Cost-HI25)</f>
        <v>0</v>
      </c>
      <c r="HN25" s="1" t="n">
        <f aca="false">U25*Slot1_SpendLike*Z25+AF25*Slot2_SpendLike*AK25+AP25*Slot3_SpendLike*AU25+AZ25*Slot4_SpendLike*BE25+BJ25*Slot5_SpendLike*BO25+BT25*Slot6_SpendLike*BY25+CD25*Slot7_SpendLike*CI25+CN25*Slot8_SpendLike*CS25+CX25*Slot9_SpendLike*DC25+DH25*Slot10_SpendLike*DM25+DR25*Slot11_SpendLike*DW25+EB25*Slot12_SpendLike*EG25+EL25*Slot13_SpendLike*EQ25+EV25*Slot14_SpendLike*FA25+FF25*Slot15_SpendLike*FK25+FP25*Slot16_SpendLike*FU25+FZ25*Slot17_SpendLike*GE25+GJ25*Slot18_SpendLike*GO25+GT25*Slot19_SpendLike*GY25+HD25*Slot20_SpendLike*HI25</f>
        <v>0</v>
      </c>
      <c r="HO25" s="1" t="n">
        <f aca="false">AD25+AO25+AY25+BI25+BS25+CC25+CM25+CW25+DG25+DQ25+EA25+EK25+EU25+FE25+FO25+FY25+GI25+GS25+HC25+HM25</f>
        <v>0</v>
      </c>
      <c r="HP25" s="1" t="n">
        <f aca="false">U25*Slot1_Cost+AF25*Slot2_Cost+AP25*Slot3_Cost+AZ25*Slot4_Cost+BJ25*Slot5_Cost+BT25*Slot6_Cost+CD25*Slot7_Cost+CN25*Slot8_Cost+CX25*Slot9_Cost+DH25*Slot10_Cost+DR25*Slot11_Cost+EB25*Slot12_Cost+EL25*Slot13_Cost+EV25*Slot14_Cost+FF25*Slot15_Cost+FP25*Slot16_Cost+FZ25*Slot17_Cost+GJ25*Slot18_Cost+GT25*Slot19_Cost+HD25*Slot20_Cost</f>
        <v>0</v>
      </c>
      <c r="HQ25" s="1" t="n">
        <f aca="false">HL25</f>
        <v>0</v>
      </c>
      <c r="HR25" s="1" t="n">
        <f aca="false">G25-H25-R25</f>
        <v>0</v>
      </c>
      <c r="HS25" s="1" t="n">
        <f aca="false">IF(B25=0,IF(AND(Has_q6=1,In_q6=4),PR_ShareVaries*(MAX(0,HR25)/12),MIN(IF(Has_q6=1,CHOOSE(In_q6+1,PR_SaveB1,PR_SaveB2,PR_SaveB3,PR_SaveB4,0),AS_NoAnswer),AS_SaveShare*(MAX(0,HR25)/12))),HS24)</f>
        <v>0</v>
      </c>
      <c r="HT25" s="1" t="n">
        <f aca="false">IF(HR25&gt;=0,1,0)</f>
        <v>1</v>
      </c>
      <c r="HU25" s="1" t="n">
        <f aca="false">MAX(0,HR25/12/E25)</f>
        <v>0</v>
      </c>
      <c r="HV25" s="1" t="n">
        <f aca="false">IF(AND(Has_q6=1,In_q6=4),PR_ShareVaries*(HU25),MIN(IF(Has_q6=1,CHOOSE(In_q6+1,PR_SaveB1,PR_SaveB2,PR_SaveB3,PR_SaveB4,0),AS_NoAnswer),AS_SaveShare*(HU25)))</f>
        <v>0</v>
      </c>
      <c r="HW25" s="1" t="n">
        <f aca="false">IF(Has_saveM=1,IF(In_saveUp="Yes",1,IF(In_saveUp="No",0,IF(In_saveM&gt;=HS25-0.5,1,0))),0)</f>
        <v>0</v>
      </c>
      <c r="HX25" s="1" t="n">
        <f aca="false">IF(Has_saveM=1,MIN(HU25,IF(HW25=1,MAX(In_saveM,HV25),MIN(In_saveM,HV25))),HV25)</f>
        <v>0</v>
      </c>
      <c r="HY25" s="1" t="n">
        <f aca="false">IF(F25=1,HX25*12*E25,0)</f>
        <v>0</v>
      </c>
      <c r="HZ25" s="1" t="n">
        <f aca="false">MAX(0,HY25+IF(AND(WI_Retire=0,WI_M&lt;0,F25=1),WI_M*12*E25,0))</f>
        <v>0</v>
      </c>
      <c r="IA25" s="1" t="n">
        <f aca="false">Slot1_IsWG*V25+Slot2_IsWG*AG25+Slot3_IsWG*AQ25+Slot4_IsWG*BA25+Slot5_IsWG*BK25+Slot6_IsWG*BU25+Slot7_IsWG*CE25+Slot8_IsWG*CO25+Slot9_IsWG*CY25+Slot10_IsWG*DI25+Slot11_IsWG*DS25+Slot12_IsWG*EC25+Slot13_IsWG*EM25+Slot14_IsWG*EW25+Slot15_IsWG*FG25+Slot16_IsWG*FQ25+Slot17_IsWG*GA25+Slot18_IsWG*GK25+Slot19_IsWG*GU25+Slot20_IsWG*HE25</f>
        <v>0</v>
      </c>
      <c r="IB25" s="1" t="n">
        <f aca="false">IF(AND(WI_Retire=0,WI_M&gt;0,F25=1,IA25&gt;=1),WI_M*12*E25,0)</f>
        <v>0</v>
      </c>
      <c r="IC25" s="1" t="n">
        <f aca="false">IF(HT25=1,MIN(HZ25,HR25),0)</f>
        <v>0</v>
      </c>
      <c r="ID25" s="1" t="n">
        <f aca="false">IF(HT25=1,MIN(IB25,HR25-IC25),0)</f>
        <v>0</v>
      </c>
      <c r="IE25" s="1" t="n">
        <f aca="false">IF(V25=1,IF(ABS((1+AS_Wage)/(1+Slot1_Rate)-1)&lt;0.000000000001,(Slot1_Age-D25)*(1+Slot1_Rate)^(Slot1_Age-D25),(1+Slot1_Rate)^(Slot1_Age-D25)*(1-((1+AS_Wage)/(1+Slot1_Rate))^(Slot1_Age-D25))/(1-(1+AS_Wage)/(1+Slot1_Rate))),1)</f>
        <v>1</v>
      </c>
      <c r="IF25" s="1" t="n">
        <f aca="false">IF(AND(HT25=1,ID25&gt;0,Slot1_IsWG=1,V25=1),MAX(0,(Slot1_Cost-W25*(1+Slot1_Rate)^(Slot1_Age-D25))/IE25),0)</f>
        <v>0</v>
      </c>
      <c r="IG25" s="1" t="n">
        <f aca="false">IF(AND(HT25=1,ID25&gt;0,Slot1_IsWG=1,V25=1),MIN(ID25,IF25),0)</f>
        <v>0</v>
      </c>
      <c r="IH25" s="1" t="n">
        <f aca="false">W25+IG25</f>
        <v>0</v>
      </c>
      <c r="II25" s="1" t="n">
        <f aca="false">IF(V25=1,MAX(0,(Slot1_Cost-IH25*(1+Slot1_Rate)^(Slot1_Age-D25))/IE25),0)</f>
        <v>0</v>
      </c>
      <c r="IJ25" s="1" t="n">
        <f aca="false">IF(V25=1,MAX(0,(Slot1_Cost-W25*(1+Slot1_Rate)^(Slot1_Age-D25))/IE25),0)</f>
        <v>0</v>
      </c>
      <c r="IK25" s="1" t="n">
        <f aca="false">IF(AND(HT25=1,V25=1),MIN(IC25,II25),0)</f>
        <v>0</v>
      </c>
      <c r="IL25" s="1" t="n">
        <f aca="false">IC25-IK25</f>
        <v>0</v>
      </c>
      <c r="IM25" s="1" t="n">
        <f aca="false">IF(AG25=1,IF(ABS((1+AS_Wage)/(1+Slot2_Rate)-1)&lt;0.000000000001,(Slot2_Age-D25)*(1+Slot2_Rate)^(Slot2_Age-D25),(1+Slot2_Rate)^(Slot2_Age-D25)*(1-((1+AS_Wage)/(1+Slot2_Rate))^(Slot2_Age-D25))/(1-(1+AS_Wage)/(1+Slot2_Rate))),1)</f>
        <v>1</v>
      </c>
      <c r="IN25" s="1" t="n">
        <f aca="false">IF(AND(HT25=1,ID25&gt;0,Slot2_IsWG=1,AG25=1),MAX(0,(Slot2_Cost-AH25*(1+Slot2_Rate)^(Slot2_Age-D25))/IM25),0)</f>
        <v>0</v>
      </c>
      <c r="IO25" s="1" t="n">
        <f aca="false">IF(AND(HT25=1,ID25&gt;0,Slot2_IsWG=1,AG25=1),MIN(ID25,IN25),0)</f>
        <v>0</v>
      </c>
      <c r="IP25" s="1" t="n">
        <f aca="false">AH25+IO25</f>
        <v>0</v>
      </c>
      <c r="IQ25" s="1" t="n">
        <f aca="false">IF(AG25=1,MAX(0,(Slot2_Cost-IP25*(1+Slot2_Rate)^(Slot2_Age-D25))/IM25),0)</f>
        <v>0</v>
      </c>
      <c r="IR25" s="1" t="n">
        <f aca="false">IF(AG25=1,MAX(0,(Slot2_Cost-AH25*(1+Slot2_Rate)^(Slot2_Age-D25))/IM25),0)</f>
        <v>0</v>
      </c>
      <c r="IS25" s="1" t="n">
        <f aca="false">IF(AND(HT25=1,AG25=1),MIN(IL25,IQ25),0)</f>
        <v>0</v>
      </c>
      <c r="IT25" s="1" t="n">
        <f aca="false">IL25-IS25</f>
        <v>0</v>
      </c>
      <c r="IU25" s="1" t="n">
        <f aca="false">IF(AQ25=1,IF(ABS((1+AS_Wage)/(1+Slot3_Rate)-1)&lt;0.000000000001,(Slot3_Age-D25)*(1+Slot3_Rate)^(Slot3_Age-D25),(1+Slot3_Rate)^(Slot3_Age-D25)*(1-((1+AS_Wage)/(1+Slot3_Rate))^(Slot3_Age-D25))/(1-(1+AS_Wage)/(1+Slot3_Rate))),1)</f>
        <v>1</v>
      </c>
      <c r="IV25" s="1" t="n">
        <f aca="false">IF(AND(HT25=1,ID25&gt;0,Slot3_IsWG=1,AQ25=1),MAX(0,(Slot3_Cost-AR25*(1+Slot3_Rate)^(Slot3_Age-D25))/IU25),0)</f>
        <v>0</v>
      </c>
      <c r="IW25" s="1" t="n">
        <f aca="false">IF(AND(HT25=1,ID25&gt;0,Slot3_IsWG=1,AQ25=1),MIN(ID25,IV25),0)</f>
        <v>0</v>
      </c>
      <c r="IX25" s="1" t="n">
        <f aca="false">AR25+IW25</f>
        <v>0</v>
      </c>
      <c r="IY25" s="1" t="n">
        <f aca="false">IF(AQ25=1,MAX(0,(Slot3_Cost-IX25*(1+Slot3_Rate)^(Slot3_Age-D25))/IU25),0)</f>
        <v>0</v>
      </c>
      <c r="IZ25" s="1" t="n">
        <f aca="false">IF(AQ25=1,MAX(0,(Slot3_Cost-AR25*(1+Slot3_Rate)^(Slot3_Age-D25))/IU25),0)</f>
        <v>0</v>
      </c>
      <c r="JA25" s="1" t="n">
        <f aca="false">IF(AND(HT25=1,AQ25=1),MIN(IT25,IY25),0)</f>
        <v>0</v>
      </c>
      <c r="JB25" s="1" t="n">
        <f aca="false">IT25-JA25</f>
        <v>0</v>
      </c>
      <c r="JC25" s="1" t="n">
        <f aca="false">IF(BA25=1,IF(ABS((1+AS_Wage)/(1+Slot4_Rate)-1)&lt;0.000000000001,(Slot4_Age-D25)*(1+Slot4_Rate)^(Slot4_Age-D25),(1+Slot4_Rate)^(Slot4_Age-D25)*(1-((1+AS_Wage)/(1+Slot4_Rate))^(Slot4_Age-D25))/(1-(1+AS_Wage)/(1+Slot4_Rate))),1)</f>
        <v>1</v>
      </c>
      <c r="JD25" s="1" t="n">
        <f aca="false">IF(AND(HT25=1,ID25&gt;0,Slot4_IsWG=1,BA25=1),MAX(0,(Slot4_Cost-BB25*(1+Slot4_Rate)^(Slot4_Age-D25))/JC25),0)</f>
        <v>0</v>
      </c>
      <c r="JE25" s="1" t="n">
        <f aca="false">IF(AND(HT25=1,ID25&gt;0,Slot4_IsWG=1,BA25=1),MIN(ID25,JD25),0)</f>
        <v>0</v>
      </c>
      <c r="JF25" s="1" t="n">
        <f aca="false">BB25+JE25</f>
        <v>0</v>
      </c>
      <c r="JG25" s="1" t="n">
        <f aca="false">IF(BA25=1,MAX(0,(Slot4_Cost-JF25*(1+Slot4_Rate)^(Slot4_Age-D25))/JC25),0)</f>
        <v>0</v>
      </c>
      <c r="JH25" s="1" t="n">
        <f aca="false">IF(BA25=1,MAX(0,(Slot4_Cost-BB25*(1+Slot4_Rate)^(Slot4_Age-D25))/JC25),0)</f>
        <v>0</v>
      </c>
      <c r="JI25" s="1" t="n">
        <f aca="false">IF(AND(HT25=1,BA25=1),MIN(JB25,JG25),0)</f>
        <v>0</v>
      </c>
      <c r="JJ25" s="1" t="n">
        <f aca="false">JB25-JI25</f>
        <v>0</v>
      </c>
      <c r="JK25" s="1" t="n">
        <f aca="false">IF(BK25=1,IF(ABS((1+AS_Wage)/(1+Slot5_Rate)-1)&lt;0.000000000001,(Slot5_Age-D25)*(1+Slot5_Rate)^(Slot5_Age-D25),(1+Slot5_Rate)^(Slot5_Age-D25)*(1-((1+AS_Wage)/(1+Slot5_Rate))^(Slot5_Age-D25))/(1-(1+AS_Wage)/(1+Slot5_Rate))),1)</f>
        <v>1</v>
      </c>
      <c r="JL25" s="1" t="n">
        <f aca="false">IF(AND(HT25=1,ID25&gt;0,Slot5_IsWG=1,BK25=1),MAX(0,(Slot5_Cost-BL25*(1+Slot5_Rate)^(Slot5_Age-D25))/JK25),0)</f>
        <v>0</v>
      </c>
      <c r="JM25" s="1" t="n">
        <f aca="false">IF(AND(HT25=1,ID25&gt;0,Slot5_IsWG=1,BK25=1),MIN(ID25,JL25),0)</f>
        <v>0</v>
      </c>
      <c r="JN25" s="1" t="n">
        <f aca="false">BL25+JM25</f>
        <v>0</v>
      </c>
      <c r="JO25" s="1" t="n">
        <f aca="false">IF(BK25=1,MAX(0,(Slot5_Cost-JN25*(1+Slot5_Rate)^(Slot5_Age-D25))/JK25),0)</f>
        <v>0</v>
      </c>
      <c r="JP25" s="1" t="n">
        <f aca="false">IF(BK25=1,MAX(0,(Slot5_Cost-BL25*(1+Slot5_Rate)^(Slot5_Age-D25))/JK25),0)</f>
        <v>0</v>
      </c>
      <c r="JQ25" s="1" t="n">
        <f aca="false">IF(AND(HT25=1,BK25=1),MIN(JJ25,JO25),0)</f>
        <v>0</v>
      </c>
      <c r="JR25" s="1" t="n">
        <f aca="false">JJ25-JQ25</f>
        <v>0</v>
      </c>
      <c r="JS25" s="1" t="n">
        <f aca="false">IF(BU25=1,IF(ABS((1+AS_Wage)/(1+Slot6_Rate)-1)&lt;0.000000000001,(Slot6_Age-D25)*(1+Slot6_Rate)^(Slot6_Age-D25),(1+Slot6_Rate)^(Slot6_Age-D25)*(1-((1+AS_Wage)/(1+Slot6_Rate))^(Slot6_Age-D25))/(1-(1+AS_Wage)/(1+Slot6_Rate))),1)</f>
        <v>1</v>
      </c>
      <c r="JT25" s="1" t="n">
        <f aca="false">IF(AND(HT25=1,ID25&gt;0,Slot6_IsWG=1,BU25=1),MAX(0,(Slot6_Cost-BV25*(1+Slot6_Rate)^(Slot6_Age-D25))/JS25),0)</f>
        <v>0</v>
      </c>
      <c r="JU25" s="1" t="n">
        <f aca="false">IF(AND(HT25=1,ID25&gt;0,Slot6_IsWG=1,BU25=1),MIN(ID25,JT25),0)</f>
        <v>0</v>
      </c>
      <c r="JV25" s="1" t="n">
        <f aca="false">BV25+JU25</f>
        <v>0</v>
      </c>
      <c r="JW25" s="1" t="n">
        <f aca="false">IF(BU25=1,MAX(0,(Slot6_Cost-JV25*(1+Slot6_Rate)^(Slot6_Age-D25))/JS25),0)</f>
        <v>0</v>
      </c>
      <c r="JX25" s="1" t="n">
        <f aca="false">IF(BU25=1,MAX(0,(Slot6_Cost-BV25*(1+Slot6_Rate)^(Slot6_Age-D25))/JS25),0)</f>
        <v>0</v>
      </c>
      <c r="JY25" s="1" t="n">
        <f aca="false">IF(AND(HT25=1,BU25=1),MIN(JR25,JW25),0)</f>
        <v>0</v>
      </c>
      <c r="JZ25" s="1" t="n">
        <f aca="false">JR25-JY25</f>
        <v>0</v>
      </c>
      <c r="KA25" s="1" t="n">
        <f aca="false">IF(CE25=1,IF(ABS((1+AS_Wage)/(1+Slot7_Rate)-1)&lt;0.000000000001,(Slot7_Age-D25)*(1+Slot7_Rate)^(Slot7_Age-D25),(1+Slot7_Rate)^(Slot7_Age-D25)*(1-((1+AS_Wage)/(1+Slot7_Rate))^(Slot7_Age-D25))/(1-(1+AS_Wage)/(1+Slot7_Rate))),1)</f>
        <v>1</v>
      </c>
      <c r="KB25" s="1" t="n">
        <f aca="false">IF(AND(HT25=1,ID25&gt;0,Slot7_IsWG=1,CE25=1),MAX(0,(Slot7_Cost-CF25*(1+Slot7_Rate)^(Slot7_Age-D25))/KA25),0)</f>
        <v>0</v>
      </c>
      <c r="KC25" s="1" t="n">
        <f aca="false">IF(AND(HT25=1,ID25&gt;0,Slot7_IsWG=1,CE25=1),MIN(ID25,KB25),0)</f>
        <v>0</v>
      </c>
      <c r="KD25" s="1" t="n">
        <f aca="false">CF25+KC25</f>
        <v>0</v>
      </c>
      <c r="KE25" s="1" t="n">
        <f aca="false">IF(CE25=1,MAX(0,(Slot7_Cost-KD25*(1+Slot7_Rate)^(Slot7_Age-D25))/KA25),0)</f>
        <v>0</v>
      </c>
      <c r="KF25" s="1" t="n">
        <f aca="false">IF(CE25=1,MAX(0,(Slot7_Cost-CF25*(1+Slot7_Rate)^(Slot7_Age-D25))/KA25),0)</f>
        <v>0</v>
      </c>
      <c r="KG25" s="1" t="n">
        <f aca="false">IF(AND(HT25=1,CE25=1),MIN(JZ25,KE25),0)</f>
        <v>0</v>
      </c>
      <c r="KH25" s="1" t="n">
        <f aca="false">JZ25-KG25</f>
        <v>0</v>
      </c>
      <c r="KI25" s="1" t="n">
        <f aca="false">IF(CO25=1,IF(ABS((1+AS_Wage)/(1+Slot8_Rate)-1)&lt;0.000000000001,(Slot8_Age-D25)*(1+Slot8_Rate)^(Slot8_Age-D25),(1+Slot8_Rate)^(Slot8_Age-D25)*(1-((1+AS_Wage)/(1+Slot8_Rate))^(Slot8_Age-D25))/(1-(1+AS_Wage)/(1+Slot8_Rate))),1)</f>
        <v>1</v>
      </c>
      <c r="KJ25" s="1" t="n">
        <f aca="false">IF(AND(HT25=1,ID25&gt;0,Slot8_IsWG=1,CO25=1),MAX(0,(Slot8_Cost-CP25*(1+Slot8_Rate)^(Slot8_Age-D25))/KI25),0)</f>
        <v>0</v>
      </c>
      <c r="KK25" s="1" t="n">
        <f aca="false">IF(AND(HT25=1,ID25&gt;0,Slot8_IsWG=1,CO25=1),MIN(ID25,KJ25),0)</f>
        <v>0</v>
      </c>
      <c r="KL25" s="1" t="n">
        <f aca="false">CP25+KK25</f>
        <v>0</v>
      </c>
      <c r="KM25" s="1" t="n">
        <f aca="false">IF(CO25=1,MAX(0,(Slot8_Cost-KL25*(1+Slot8_Rate)^(Slot8_Age-D25))/KI25),0)</f>
        <v>0</v>
      </c>
      <c r="KN25" s="1" t="n">
        <f aca="false">IF(CO25=1,MAX(0,(Slot8_Cost-CP25*(1+Slot8_Rate)^(Slot8_Age-D25))/KI25),0)</f>
        <v>0</v>
      </c>
      <c r="KO25" s="1" t="n">
        <f aca="false">IF(AND(HT25=1,CO25=1),MIN(KH25,KM25),0)</f>
        <v>0</v>
      </c>
      <c r="KP25" s="1" t="n">
        <f aca="false">KH25-KO25</f>
        <v>0</v>
      </c>
      <c r="KQ25" s="1" t="n">
        <f aca="false">IF(CY25=1,IF(ABS((1+AS_Wage)/(1+Slot9_Rate)-1)&lt;0.000000000001,(Slot9_Age-D25)*(1+Slot9_Rate)^(Slot9_Age-D25),(1+Slot9_Rate)^(Slot9_Age-D25)*(1-((1+AS_Wage)/(1+Slot9_Rate))^(Slot9_Age-D25))/(1-(1+AS_Wage)/(1+Slot9_Rate))),1)</f>
        <v>1</v>
      </c>
      <c r="KR25" s="1" t="n">
        <f aca="false">IF(AND(HT25=1,ID25&gt;0,Slot9_IsWG=1,CY25=1),MAX(0,(Slot9_Cost-CZ25*(1+Slot9_Rate)^(Slot9_Age-D25))/KQ25),0)</f>
        <v>0</v>
      </c>
      <c r="KS25" s="1" t="n">
        <f aca="false">IF(AND(HT25=1,ID25&gt;0,Slot9_IsWG=1,CY25=1),MIN(ID25,KR25),0)</f>
        <v>0</v>
      </c>
      <c r="KT25" s="1" t="n">
        <f aca="false">CZ25+KS25</f>
        <v>0</v>
      </c>
      <c r="KU25" s="1" t="n">
        <f aca="false">IF(CY25=1,MAX(0,(Slot9_Cost-KT25*(1+Slot9_Rate)^(Slot9_Age-D25))/KQ25),0)</f>
        <v>0</v>
      </c>
      <c r="KV25" s="1" t="n">
        <f aca="false">IF(CY25=1,MAX(0,(Slot9_Cost-CZ25*(1+Slot9_Rate)^(Slot9_Age-D25))/KQ25),0)</f>
        <v>0</v>
      </c>
      <c r="KW25" s="1" t="n">
        <f aca="false">IF(AND(HT25=1,CY25=1),MIN(KP25,KU25),0)</f>
        <v>0</v>
      </c>
      <c r="KX25" s="1" t="n">
        <f aca="false">KP25-KW25</f>
        <v>0</v>
      </c>
      <c r="KY25" s="1" t="n">
        <f aca="false">IF(DI25=1,IF(ABS((1+AS_Wage)/(1+Slot10_Rate)-1)&lt;0.000000000001,(Slot10_Age-D25)*(1+Slot10_Rate)^(Slot10_Age-D25),(1+Slot10_Rate)^(Slot10_Age-D25)*(1-((1+AS_Wage)/(1+Slot10_Rate))^(Slot10_Age-D25))/(1-(1+AS_Wage)/(1+Slot10_Rate))),1)</f>
        <v>1</v>
      </c>
      <c r="KZ25" s="1" t="n">
        <f aca="false">IF(AND(HT25=1,ID25&gt;0,Slot10_IsWG=1,DI25=1),MAX(0,(Slot10_Cost-DJ25*(1+Slot10_Rate)^(Slot10_Age-D25))/KY25),0)</f>
        <v>0</v>
      </c>
      <c r="LA25" s="1" t="n">
        <f aca="false">IF(AND(HT25=1,ID25&gt;0,Slot10_IsWG=1,DI25=1),MIN(ID25,KZ25),0)</f>
        <v>0</v>
      </c>
      <c r="LB25" s="1" t="n">
        <f aca="false">DJ25+LA25</f>
        <v>0</v>
      </c>
      <c r="LC25" s="1" t="n">
        <f aca="false">IF(DI25=1,MAX(0,(Slot10_Cost-LB25*(1+Slot10_Rate)^(Slot10_Age-D25))/KY25),0)</f>
        <v>0</v>
      </c>
      <c r="LD25" s="1" t="n">
        <f aca="false">IF(DI25=1,MAX(0,(Slot10_Cost-DJ25*(1+Slot10_Rate)^(Slot10_Age-D25))/KY25),0)</f>
        <v>0</v>
      </c>
      <c r="LE25" s="1" t="n">
        <f aca="false">IF(AND(HT25=1,DI25=1),MIN(KX25,LC25),0)</f>
        <v>0</v>
      </c>
      <c r="LF25" s="1" t="n">
        <f aca="false">KX25-LE25</f>
        <v>0</v>
      </c>
      <c r="LG25" s="1" t="n">
        <f aca="false">IF(DS25=1,IF(ABS((1+AS_Wage)/(1+Slot11_Rate)-1)&lt;0.000000000001,(Slot11_Age-D25)*(1+Slot11_Rate)^(Slot11_Age-D25),(1+Slot11_Rate)^(Slot11_Age-D25)*(1-((1+AS_Wage)/(1+Slot11_Rate))^(Slot11_Age-D25))/(1-(1+AS_Wage)/(1+Slot11_Rate))),1)</f>
        <v>1</v>
      </c>
      <c r="LH25" s="1" t="n">
        <f aca="false">IF(AND(HT25=1,ID25&gt;0,Slot11_IsWG=1,DS25=1),MAX(0,(Slot11_Cost-DT25*(1+Slot11_Rate)^(Slot11_Age-D25))/LG25),0)</f>
        <v>0</v>
      </c>
      <c r="LI25" s="1" t="n">
        <f aca="false">IF(AND(HT25=1,ID25&gt;0,Slot11_IsWG=1,DS25=1),MIN(ID25,LH25),0)</f>
        <v>0</v>
      </c>
      <c r="LJ25" s="1" t="n">
        <f aca="false">DT25+LI25</f>
        <v>0</v>
      </c>
      <c r="LK25" s="1" t="n">
        <f aca="false">IF(DS25=1,MAX(0,(Slot11_Cost-LJ25*(1+Slot11_Rate)^(Slot11_Age-D25))/LG25),0)</f>
        <v>0</v>
      </c>
      <c r="LL25" s="1" t="n">
        <f aca="false">IF(DS25=1,MAX(0,(Slot11_Cost-DT25*(1+Slot11_Rate)^(Slot11_Age-D25))/LG25),0)</f>
        <v>0</v>
      </c>
      <c r="LM25" s="1" t="n">
        <f aca="false">IF(AND(HT25=1,DS25=1),MIN(LF25,LK25),0)</f>
        <v>0</v>
      </c>
      <c r="LN25" s="1" t="n">
        <f aca="false">LF25-LM25</f>
        <v>0</v>
      </c>
      <c r="LO25" s="1" t="n">
        <f aca="false">IF(EC25=1,IF(ABS((1+AS_Wage)/(1+Slot12_Rate)-1)&lt;0.000000000001,(Slot12_Age-D25)*(1+Slot12_Rate)^(Slot12_Age-D25),(1+Slot12_Rate)^(Slot12_Age-D25)*(1-((1+AS_Wage)/(1+Slot12_Rate))^(Slot12_Age-D25))/(1-(1+AS_Wage)/(1+Slot12_Rate))),1)</f>
        <v>1</v>
      </c>
      <c r="LP25" s="1" t="n">
        <f aca="false">IF(AND(HT25=1,ID25&gt;0,Slot12_IsWG=1,EC25=1),MAX(0,(Slot12_Cost-ED25*(1+Slot12_Rate)^(Slot12_Age-D25))/LO25),0)</f>
        <v>0</v>
      </c>
      <c r="LQ25" s="1" t="n">
        <f aca="false">IF(AND(HT25=1,ID25&gt;0,Slot12_IsWG=1,EC25=1),MIN(ID25,LP25),0)</f>
        <v>0</v>
      </c>
      <c r="LR25" s="1" t="n">
        <f aca="false">ED25+LQ25</f>
        <v>0</v>
      </c>
      <c r="LS25" s="1" t="n">
        <f aca="false">IF(EC25=1,MAX(0,(Slot12_Cost-LR25*(1+Slot12_Rate)^(Slot12_Age-D25))/LO25),0)</f>
        <v>0</v>
      </c>
      <c r="LT25" s="1" t="n">
        <f aca="false">IF(EC25=1,MAX(0,(Slot12_Cost-ED25*(1+Slot12_Rate)^(Slot12_Age-D25))/LO25),0)</f>
        <v>0</v>
      </c>
      <c r="LU25" s="1" t="n">
        <f aca="false">IF(AND(HT25=1,EC25=1),MIN(LN25,LS25),0)</f>
        <v>0</v>
      </c>
      <c r="LV25" s="1" t="n">
        <f aca="false">LN25-LU25</f>
        <v>0</v>
      </c>
      <c r="LW25" s="1" t="n">
        <f aca="false">IF(EM25=1,IF(ABS((1+AS_Wage)/(1+Slot13_Rate)-1)&lt;0.000000000001,(Slot13_Age-D25)*(1+Slot13_Rate)^(Slot13_Age-D25),(1+Slot13_Rate)^(Slot13_Age-D25)*(1-((1+AS_Wage)/(1+Slot13_Rate))^(Slot13_Age-D25))/(1-(1+AS_Wage)/(1+Slot13_Rate))),1)</f>
        <v>1</v>
      </c>
      <c r="LX25" s="1" t="n">
        <f aca="false">IF(AND(HT25=1,ID25&gt;0,Slot13_IsWG=1,EM25=1),MAX(0,(Slot13_Cost-EN25*(1+Slot13_Rate)^(Slot13_Age-D25))/LW25),0)</f>
        <v>0</v>
      </c>
      <c r="LY25" s="1" t="n">
        <f aca="false">IF(AND(HT25=1,ID25&gt;0,Slot13_IsWG=1,EM25=1),MIN(ID25,LX25),0)</f>
        <v>0</v>
      </c>
      <c r="LZ25" s="1" t="n">
        <f aca="false">EN25+LY25</f>
        <v>0</v>
      </c>
      <c r="MA25" s="1" t="n">
        <f aca="false">IF(EM25=1,MAX(0,(Slot13_Cost-LZ25*(1+Slot13_Rate)^(Slot13_Age-D25))/LW25),0)</f>
        <v>0</v>
      </c>
      <c r="MB25" s="1" t="n">
        <f aca="false">IF(EM25=1,MAX(0,(Slot13_Cost-EN25*(1+Slot13_Rate)^(Slot13_Age-D25))/LW25),0)</f>
        <v>0</v>
      </c>
      <c r="MC25" s="1" t="n">
        <f aca="false">IF(AND(HT25=1,EM25=1),MIN(LV25,MA25),0)</f>
        <v>0</v>
      </c>
      <c r="MD25" s="1" t="n">
        <f aca="false">LV25-MC25</f>
        <v>0</v>
      </c>
      <c r="ME25" s="1" t="n">
        <f aca="false">IF(EW25=1,IF(ABS((1+AS_Wage)/(1+Slot14_Rate)-1)&lt;0.000000000001,(Slot14_Age-D25)*(1+Slot14_Rate)^(Slot14_Age-D25),(1+Slot14_Rate)^(Slot14_Age-D25)*(1-((1+AS_Wage)/(1+Slot14_Rate))^(Slot14_Age-D25))/(1-(1+AS_Wage)/(1+Slot14_Rate))),1)</f>
        <v>1</v>
      </c>
      <c r="MF25" s="1" t="n">
        <f aca="false">IF(AND(HT25=1,ID25&gt;0,Slot14_IsWG=1,EW25=1),MAX(0,(Slot14_Cost-EX25*(1+Slot14_Rate)^(Slot14_Age-D25))/ME25),0)</f>
        <v>0</v>
      </c>
      <c r="MG25" s="1" t="n">
        <f aca="false">IF(AND(HT25=1,ID25&gt;0,Slot14_IsWG=1,EW25=1),MIN(ID25,MF25),0)</f>
        <v>0</v>
      </c>
      <c r="MH25" s="1" t="n">
        <f aca="false">EX25+MG25</f>
        <v>0</v>
      </c>
      <c r="MI25" s="1" t="n">
        <f aca="false">IF(EW25=1,MAX(0,(Slot14_Cost-MH25*(1+Slot14_Rate)^(Slot14_Age-D25))/ME25),0)</f>
        <v>0</v>
      </c>
      <c r="MJ25" s="1" t="n">
        <f aca="false">IF(EW25=1,MAX(0,(Slot14_Cost-EX25*(1+Slot14_Rate)^(Slot14_Age-D25))/ME25),0)</f>
        <v>0</v>
      </c>
      <c r="MK25" s="1" t="n">
        <f aca="false">IF(AND(HT25=1,EW25=1),MIN(MD25,MI25),0)</f>
        <v>0</v>
      </c>
      <c r="ML25" s="1" t="n">
        <f aca="false">MD25-MK25</f>
        <v>0</v>
      </c>
      <c r="MM25" s="1" t="n">
        <f aca="false">IF(FG25=1,IF(ABS((1+AS_Wage)/(1+Slot15_Rate)-1)&lt;0.000000000001,(Slot15_Age-D25)*(1+Slot15_Rate)^(Slot15_Age-D25),(1+Slot15_Rate)^(Slot15_Age-D25)*(1-((1+AS_Wage)/(1+Slot15_Rate))^(Slot15_Age-D25))/(1-(1+AS_Wage)/(1+Slot15_Rate))),1)</f>
        <v>1</v>
      </c>
      <c r="MN25" s="1" t="n">
        <f aca="false">IF(AND(HT25=1,ID25&gt;0,Slot15_IsWG=1,FG25=1),MAX(0,(Slot15_Cost-FH25*(1+Slot15_Rate)^(Slot15_Age-D25))/MM25),0)</f>
        <v>0</v>
      </c>
      <c r="MO25" s="1" t="n">
        <f aca="false">IF(AND(HT25=1,ID25&gt;0,Slot15_IsWG=1,FG25=1),MIN(ID25,MN25),0)</f>
        <v>0</v>
      </c>
      <c r="MP25" s="1" t="n">
        <f aca="false">FH25+MO25</f>
        <v>0</v>
      </c>
      <c r="MQ25" s="1" t="n">
        <f aca="false">IF(FG25=1,MAX(0,(Slot15_Cost-MP25*(1+Slot15_Rate)^(Slot15_Age-D25))/MM25),0)</f>
        <v>0</v>
      </c>
      <c r="MR25" s="1" t="n">
        <f aca="false">IF(FG25=1,MAX(0,(Slot15_Cost-FH25*(1+Slot15_Rate)^(Slot15_Age-D25))/MM25),0)</f>
        <v>0</v>
      </c>
      <c r="MS25" s="1" t="n">
        <f aca="false">IF(AND(HT25=1,FG25=1),MIN(ML25,MQ25),0)</f>
        <v>0</v>
      </c>
      <c r="MT25" s="1" t="n">
        <f aca="false">ML25-MS25</f>
        <v>0</v>
      </c>
      <c r="MU25" s="1" t="n">
        <f aca="false">IF(FQ25=1,IF(ABS((1+AS_Wage)/(1+Slot16_Rate)-1)&lt;0.000000000001,(Slot16_Age-D25)*(1+Slot16_Rate)^(Slot16_Age-D25),(1+Slot16_Rate)^(Slot16_Age-D25)*(1-((1+AS_Wage)/(1+Slot16_Rate))^(Slot16_Age-D25))/(1-(1+AS_Wage)/(1+Slot16_Rate))),1)</f>
        <v>1</v>
      </c>
      <c r="MV25" s="1" t="n">
        <f aca="false">IF(AND(HT25=1,ID25&gt;0,Slot16_IsWG=1,FQ25=1),MAX(0,(Slot16_Cost-FR25*(1+Slot16_Rate)^(Slot16_Age-D25))/MU25),0)</f>
        <v>0</v>
      </c>
      <c r="MW25" s="1" t="n">
        <f aca="false">IF(AND(HT25=1,ID25&gt;0,Slot16_IsWG=1,FQ25=1),MIN(ID25,MV25),0)</f>
        <v>0</v>
      </c>
      <c r="MX25" s="1" t="n">
        <f aca="false">FR25+MW25</f>
        <v>0</v>
      </c>
      <c r="MY25" s="1" t="n">
        <f aca="false">IF(FQ25=1,MAX(0,(Slot16_Cost-MX25*(1+Slot16_Rate)^(Slot16_Age-D25))/MU25),0)</f>
        <v>0</v>
      </c>
      <c r="MZ25" s="1" t="n">
        <f aca="false">IF(FQ25=1,MAX(0,(Slot16_Cost-FR25*(1+Slot16_Rate)^(Slot16_Age-D25))/MU25),0)</f>
        <v>0</v>
      </c>
      <c r="NA25" s="1" t="n">
        <f aca="false">IF(AND(HT25=1,FQ25=1),MIN(MT25,MY25),0)</f>
        <v>0</v>
      </c>
      <c r="NB25" s="1" t="n">
        <f aca="false">MT25-NA25</f>
        <v>0</v>
      </c>
      <c r="NC25" s="1" t="n">
        <f aca="false">IF(GA25=1,IF(ABS((1+AS_Wage)/(1+Slot17_Rate)-1)&lt;0.000000000001,(Slot17_Age-D25)*(1+Slot17_Rate)^(Slot17_Age-D25),(1+Slot17_Rate)^(Slot17_Age-D25)*(1-((1+AS_Wage)/(1+Slot17_Rate))^(Slot17_Age-D25))/(1-(1+AS_Wage)/(1+Slot17_Rate))),1)</f>
        <v>1</v>
      </c>
      <c r="ND25" s="1" t="n">
        <f aca="false">IF(AND(HT25=1,ID25&gt;0,Slot17_IsWG=1,GA25=1),MAX(0,(Slot17_Cost-GB25*(1+Slot17_Rate)^(Slot17_Age-D25))/NC25),0)</f>
        <v>0</v>
      </c>
      <c r="NE25" s="1" t="n">
        <f aca="false">IF(AND(HT25=1,ID25&gt;0,Slot17_IsWG=1,GA25=1),MIN(ID25,ND25),0)</f>
        <v>0</v>
      </c>
      <c r="NF25" s="1" t="n">
        <f aca="false">GB25+NE25</f>
        <v>0</v>
      </c>
      <c r="NG25" s="1" t="n">
        <f aca="false">IF(GA25=1,MAX(0,(Slot17_Cost-NF25*(1+Slot17_Rate)^(Slot17_Age-D25))/NC25),0)</f>
        <v>0</v>
      </c>
      <c r="NH25" s="1" t="n">
        <f aca="false">IF(GA25=1,MAX(0,(Slot17_Cost-GB25*(1+Slot17_Rate)^(Slot17_Age-D25))/NC25),0)</f>
        <v>0</v>
      </c>
      <c r="NI25" s="1" t="n">
        <f aca="false">IF(AND(HT25=1,GA25=1),MIN(NB25,NG25),0)</f>
        <v>0</v>
      </c>
      <c r="NJ25" s="1" t="n">
        <f aca="false">NB25-NI25</f>
        <v>0</v>
      </c>
      <c r="NK25" s="1" t="n">
        <f aca="false">IF(GK25=1,IF(ABS((1+AS_Wage)/(1+Slot18_Rate)-1)&lt;0.000000000001,(Slot18_Age-D25)*(1+Slot18_Rate)^(Slot18_Age-D25),(1+Slot18_Rate)^(Slot18_Age-D25)*(1-((1+AS_Wage)/(1+Slot18_Rate))^(Slot18_Age-D25))/(1-(1+AS_Wage)/(1+Slot18_Rate))),1)</f>
        <v>1</v>
      </c>
      <c r="NL25" s="1" t="n">
        <f aca="false">IF(AND(HT25=1,ID25&gt;0,Slot18_IsWG=1,GK25=1),MAX(0,(Slot18_Cost-GL25*(1+Slot18_Rate)^(Slot18_Age-D25))/NK25),0)</f>
        <v>0</v>
      </c>
      <c r="NM25" s="1" t="n">
        <f aca="false">IF(AND(HT25=1,ID25&gt;0,Slot18_IsWG=1,GK25=1),MIN(ID25,NL25),0)</f>
        <v>0</v>
      </c>
      <c r="NN25" s="1" t="n">
        <f aca="false">GL25+NM25</f>
        <v>0</v>
      </c>
      <c r="NO25" s="1" t="n">
        <f aca="false">IF(GK25=1,MAX(0,(Slot18_Cost-NN25*(1+Slot18_Rate)^(Slot18_Age-D25))/NK25),0)</f>
        <v>0</v>
      </c>
      <c r="NP25" s="1" t="n">
        <f aca="false">IF(GK25=1,MAX(0,(Slot18_Cost-GL25*(1+Slot18_Rate)^(Slot18_Age-D25))/NK25),0)</f>
        <v>0</v>
      </c>
      <c r="NQ25" s="1" t="n">
        <f aca="false">IF(AND(HT25=1,GK25=1),MIN(NJ25,NO25),0)</f>
        <v>0</v>
      </c>
      <c r="NR25" s="1" t="n">
        <f aca="false">NJ25-NQ25</f>
        <v>0</v>
      </c>
      <c r="NS25" s="1" t="n">
        <f aca="false">IF(GU25=1,IF(ABS((1+AS_Wage)/(1+Slot19_Rate)-1)&lt;0.000000000001,(Slot19_Age-D25)*(1+Slot19_Rate)^(Slot19_Age-D25),(1+Slot19_Rate)^(Slot19_Age-D25)*(1-((1+AS_Wage)/(1+Slot19_Rate))^(Slot19_Age-D25))/(1-(1+AS_Wage)/(1+Slot19_Rate))),1)</f>
        <v>1</v>
      </c>
      <c r="NT25" s="1" t="n">
        <f aca="false">IF(AND(HT25=1,ID25&gt;0,Slot19_IsWG=1,GU25=1),MAX(0,(Slot19_Cost-GV25*(1+Slot19_Rate)^(Slot19_Age-D25))/NS25),0)</f>
        <v>0</v>
      </c>
      <c r="NU25" s="1" t="n">
        <f aca="false">IF(AND(HT25=1,ID25&gt;0,Slot19_IsWG=1,GU25=1),MIN(ID25,NT25),0)</f>
        <v>0</v>
      </c>
      <c r="NV25" s="1" t="n">
        <f aca="false">GV25+NU25</f>
        <v>0</v>
      </c>
      <c r="NW25" s="1" t="n">
        <f aca="false">IF(GU25=1,MAX(0,(Slot19_Cost-NV25*(1+Slot19_Rate)^(Slot19_Age-D25))/NS25),0)</f>
        <v>0</v>
      </c>
      <c r="NX25" s="1" t="n">
        <f aca="false">IF(GU25=1,MAX(0,(Slot19_Cost-GV25*(1+Slot19_Rate)^(Slot19_Age-D25))/NS25),0)</f>
        <v>0</v>
      </c>
      <c r="NY25" s="1" t="n">
        <f aca="false">IF(AND(HT25=1,GU25=1),MIN(NR25,NW25),0)</f>
        <v>0</v>
      </c>
      <c r="NZ25" s="1" t="n">
        <f aca="false">NR25-NY25</f>
        <v>0</v>
      </c>
      <c r="OA25" s="1" t="n">
        <f aca="false">IF(HE25=1,IF(ABS((1+AS_Wage)/(1+Slot20_Rate)-1)&lt;0.000000000001,(Slot20_Age-D25)*(1+Slot20_Rate)^(Slot20_Age-D25),(1+Slot20_Rate)^(Slot20_Age-D25)*(1-((1+AS_Wage)/(1+Slot20_Rate))^(Slot20_Age-D25))/(1-(1+AS_Wage)/(1+Slot20_Rate))),1)</f>
        <v>1</v>
      </c>
      <c r="OB25" s="1" t="n">
        <f aca="false">IF(AND(HT25=1,ID25&gt;0,Slot20_IsWG=1,HE25=1),MAX(0,(Slot20_Cost-HF25*(1+Slot20_Rate)^(Slot20_Age-D25))/OA25),0)</f>
        <v>0</v>
      </c>
      <c r="OC25" s="1" t="n">
        <f aca="false">IF(AND(HT25=1,ID25&gt;0,Slot20_IsWG=1,HE25=1),MIN(ID25,OB25),0)</f>
        <v>0</v>
      </c>
      <c r="OD25" s="1" t="n">
        <f aca="false">HF25+OC25</f>
        <v>0</v>
      </c>
      <c r="OE25" s="1" t="n">
        <f aca="false">IF(HE25=1,MAX(0,(Slot20_Cost-OD25*(1+Slot20_Rate)^(Slot20_Age-D25))/OA25),0)</f>
        <v>0</v>
      </c>
      <c r="OF25" s="1" t="n">
        <f aca="false">IF(HE25=1,MAX(0,(Slot20_Cost-HF25*(1+Slot20_Rate)^(Slot20_Age-D25))/OA25),0)</f>
        <v>0</v>
      </c>
      <c r="OG25" s="1" t="n">
        <f aca="false">IF(AND(HT25=1,HE25=1),MIN(NZ25,OE25),0)</f>
        <v>0</v>
      </c>
      <c r="OH25" s="1" t="n">
        <f aca="false">NZ25-OG25</f>
        <v>0</v>
      </c>
      <c r="OI25" s="1" t="n">
        <f aca="false">ID25-(IG25+IO25+IW25+JE25+JM25+JU25+KC25+KK25+KS25+LA25+LI25+LQ25+LY25+MG25+MO25+MW25+NE25+NM25+NU25+OC25)</f>
        <v>0</v>
      </c>
      <c r="OJ25" s="1" t="n">
        <f aca="false">IF(HT25=1,HR25-IC25-ID25,0)</f>
        <v>0</v>
      </c>
      <c r="OK25" s="1" t="n">
        <f aca="false">IF(HT25=0,-HR25,0)</f>
        <v>0</v>
      </c>
      <c r="OL25" s="1" t="n">
        <f aca="false">MIN(OK25,HJ25)</f>
        <v>0</v>
      </c>
      <c r="OM25" s="1" t="n">
        <f aca="false">OK25-OL25</f>
        <v>0</v>
      </c>
      <c r="ON25" s="1" t="n">
        <f aca="false">MIN(OM25,HK25)</f>
        <v>0</v>
      </c>
      <c r="OO25" s="1" t="n">
        <f aca="false">OM25-ON25</f>
        <v>0</v>
      </c>
      <c r="OP25" s="1" t="n">
        <f aca="false">IF(AND(HT25=0,HE25=1,OO25&gt;0),MIN(OO25,HF25),0)</f>
        <v>0</v>
      </c>
      <c r="OQ25" s="1" t="n">
        <f aca="false">OO25-OP25</f>
        <v>0</v>
      </c>
      <c r="OR25" s="1" t="n">
        <f aca="false">IF(AND(HT25=0,GU25=1,OQ25&gt;0),MIN(OQ25,GV25),0)</f>
        <v>0</v>
      </c>
      <c r="OS25" s="1" t="n">
        <f aca="false">OQ25-OR25</f>
        <v>0</v>
      </c>
      <c r="OT25" s="1" t="n">
        <f aca="false">IF(AND(HT25=0,GK25=1,OS25&gt;0),MIN(OS25,GL25),0)</f>
        <v>0</v>
      </c>
      <c r="OU25" s="1" t="n">
        <f aca="false">OS25-OT25</f>
        <v>0</v>
      </c>
      <c r="OV25" s="1" t="n">
        <f aca="false">IF(AND(HT25=0,GA25=1,OU25&gt;0),MIN(OU25,GB25),0)</f>
        <v>0</v>
      </c>
      <c r="OW25" s="1" t="n">
        <f aca="false">OU25-OV25</f>
        <v>0</v>
      </c>
      <c r="OX25" s="1" t="n">
        <f aca="false">IF(AND(HT25=0,FQ25=1,OW25&gt;0),MIN(OW25,FR25),0)</f>
        <v>0</v>
      </c>
      <c r="OY25" s="1" t="n">
        <f aca="false">OW25-OX25</f>
        <v>0</v>
      </c>
      <c r="OZ25" s="1" t="n">
        <f aca="false">IF(AND(HT25=0,FG25=1,OY25&gt;0),MIN(OY25,FH25),0)</f>
        <v>0</v>
      </c>
      <c r="PA25" s="1" t="n">
        <f aca="false">OY25-OZ25</f>
        <v>0</v>
      </c>
      <c r="PB25" s="1" t="n">
        <f aca="false">IF(AND(HT25=0,EW25=1,PA25&gt;0),MIN(PA25,EX25),0)</f>
        <v>0</v>
      </c>
      <c r="PC25" s="1" t="n">
        <f aca="false">PA25-PB25</f>
        <v>0</v>
      </c>
      <c r="PD25" s="1" t="n">
        <f aca="false">IF(AND(HT25=0,EM25=1,PC25&gt;0),MIN(PC25,EN25),0)</f>
        <v>0</v>
      </c>
      <c r="PE25" s="1" t="n">
        <f aca="false">PC25-PD25</f>
        <v>0</v>
      </c>
      <c r="PF25" s="1" t="n">
        <f aca="false">IF(AND(HT25=0,EC25=1,PE25&gt;0),MIN(PE25,ED25),0)</f>
        <v>0</v>
      </c>
      <c r="PG25" s="1" t="n">
        <f aca="false">PE25-PF25</f>
        <v>0</v>
      </c>
      <c r="PH25" s="1" t="n">
        <f aca="false">IF(AND(HT25=0,DS25=1,PG25&gt;0),MIN(PG25,DT25),0)</f>
        <v>0</v>
      </c>
      <c r="PI25" s="1" t="n">
        <f aca="false">PG25-PH25</f>
        <v>0</v>
      </c>
      <c r="PJ25" s="1" t="n">
        <f aca="false">IF(AND(HT25=0,DI25=1,PI25&gt;0),MIN(PI25,DJ25),0)</f>
        <v>0</v>
      </c>
      <c r="PK25" s="1" t="n">
        <f aca="false">PI25-PJ25</f>
        <v>0</v>
      </c>
      <c r="PL25" s="1" t="n">
        <f aca="false">IF(AND(HT25=0,CY25=1,PK25&gt;0),MIN(PK25,CZ25),0)</f>
        <v>0</v>
      </c>
      <c r="PM25" s="1" t="n">
        <f aca="false">PK25-PL25</f>
        <v>0</v>
      </c>
      <c r="PN25" s="1" t="n">
        <f aca="false">IF(AND(HT25=0,CO25=1,PM25&gt;0),MIN(PM25,CP25),0)</f>
        <v>0</v>
      </c>
      <c r="PO25" s="1" t="n">
        <f aca="false">PM25-PN25</f>
        <v>0</v>
      </c>
      <c r="PP25" s="1" t="n">
        <f aca="false">IF(AND(HT25=0,CE25=1,PO25&gt;0),MIN(PO25,CF25),0)</f>
        <v>0</v>
      </c>
      <c r="PQ25" s="1" t="n">
        <f aca="false">PO25-PP25</f>
        <v>0</v>
      </c>
      <c r="PR25" s="1" t="n">
        <f aca="false">IF(AND(HT25=0,BU25=1,PQ25&gt;0),MIN(PQ25,BV25),0)</f>
        <v>0</v>
      </c>
      <c r="PS25" s="1" t="n">
        <f aca="false">PQ25-PR25</f>
        <v>0</v>
      </c>
      <c r="PT25" s="1" t="n">
        <f aca="false">IF(AND(HT25=0,BK25=1,PS25&gt;0),MIN(PS25,BL25),0)</f>
        <v>0</v>
      </c>
      <c r="PU25" s="1" t="n">
        <f aca="false">PS25-PT25</f>
        <v>0</v>
      </c>
      <c r="PV25" s="1" t="n">
        <f aca="false">IF(AND(HT25=0,BA25=1,PU25&gt;0),MIN(PU25,BB25),0)</f>
        <v>0</v>
      </c>
      <c r="PW25" s="1" t="n">
        <f aca="false">PU25-PV25</f>
        <v>0</v>
      </c>
      <c r="PX25" s="1" t="n">
        <f aca="false">IF(AND(HT25=0,AQ25=1,PW25&gt;0),MIN(PW25,AR25),0)</f>
        <v>0</v>
      </c>
      <c r="PY25" s="1" t="n">
        <f aca="false">PW25-PX25</f>
        <v>0</v>
      </c>
      <c r="PZ25" s="1" t="n">
        <f aca="false">IF(AND(HT25=0,AG25=1,PY25&gt;0),MIN(PY25,AH25),0)</f>
        <v>0</v>
      </c>
      <c r="QA25" s="1" t="n">
        <f aca="false">PY25-PZ25</f>
        <v>0</v>
      </c>
      <c r="QB25" s="1" t="n">
        <f aca="false">IF(AND(HT25=0,V25=1,QA25&gt;0),MIN(QA25,W25),0)</f>
        <v>0</v>
      </c>
      <c r="QC25" s="1" t="n">
        <f aca="false">QA25-QB25</f>
        <v>0</v>
      </c>
      <c r="QD25" s="1" t="n">
        <f aca="false">IF(HT25=0,QC25,0)</f>
        <v>0</v>
      </c>
      <c r="QE25" s="1" t="n">
        <f aca="false">OL25+ON25+QB25+PZ25+PX25+PV25+PT25+PR25+PP25+PN25+PL25+PJ25+PH25+PF25+PD25+PB25+OZ25+OX25+OV25+OT25+OR25+OP25</f>
        <v>0</v>
      </c>
      <c r="QF25" s="1" t="n">
        <f aca="false">IF(HT25=1,HJ25+OI25+OH25+IF(F25=1,0,OJ25),HJ25-OL25)</f>
        <v>0</v>
      </c>
      <c r="QG25" s="1" t="n">
        <f aca="false">HK25-ON25</f>
        <v>0</v>
      </c>
      <c r="QH25" s="1" t="n">
        <f aca="false">IF(HT25=1,IF(F25=1,IC25+ID25,HR25),0)</f>
        <v>0</v>
      </c>
      <c r="QI25" s="1" t="n">
        <f aca="false">IF(HT25=1,IF(F25=1,HR25-IC25-ID25,0),0)</f>
        <v>0</v>
      </c>
      <c r="QJ25" s="1" t="n">
        <f aca="false">QF25*(1+GR)</f>
        <v>0</v>
      </c>
      <c r="QK25" s="1" t="n">
        <f aca="false">QG25*(1+AS_Cash)</f>
        <v>0</v>
      </c>
      <c r="QL25" s="1" t="n">
        <f aca="false">IF(V25=1,IF(HT25=1,IH25+IK25,W25-QB25)*(1+Slot1_Rate),0)</f>
        <v>0</v>
      </c>
      <c r="QM25" s="1" t="n">
        <f aca="false">IF(AND(HT25=1,V25=1),(IG25+IK25)/E25,0)</f>
        <v>0</v>
      </c>
      <c r="QN25" s="1" t="n">
        <f aca="false">IF(B25=0,IG25+IK25,0)</f>
        <v>0</v>
      </c>
      <c r="QO25" s="1" t="n">
        <f aca="false">IF(B25=0,IF(HT25=1,II25,IJ25),0)</f>
        <v>0</v>
      </c>
      <c r="QP25" s="1" t="n">
        <f aca="false">IF(AG25=1,IF(HT25=1,IP25+IS25,AH25-PZ25)*(1+Slot2_Rate),0)</f>
        <v>0</v>
      </c>
      <c r="QQ25" s="1" t="n">
        <f aca="false">IF(AND(HT25=1,AG25=1),(IO25+IS25)/E25,0)</f>
        <v>0</v>
      </c>
      <c r="QR25" s="1" t="n">
        <f aca="false">IF(B25=0,IO25+IS25,0)</f>
        <v>0</v>
      </c>
      <c r="QS25" s="1" t="n">
        <f aca="false">IF(B25=0,IF(HT25=1,IQ25,IR25),0)</f>
        <v>0</v>
      </c>
      <c r="QT25" s="1" t="n">
        <f aca="false">IF(AQ25=1,IF(HT25=1,IX25+JA25,AR25-PX25)*(1+Slot3_Rate),0)</f>
        <v>0</v>
      </c>
      <c r="QU25" s="1" t="n">
        <f aca="false">IF(AND(HT25=1,AQ25=1),(IW25+JA25)/E25,0)</f>
        <v>0</v>
      </c>
      <c r="QV25" s="1" t="n">
        <f aca="false">IF(B25=0,IW25+JA25,0)</f>
        <v>0</v>
      </c>
      <c r="QW25" s="1" t="n">
        <f aca="false">IF(B25=0,IF(HT25=1,IY25,IZ25),0)</f>
        <v>0</v>
      </c>
      <c r="QX25" s="1" t="n">
        <f aca="false">IF(BA25=1,IF(HT25=1,JF25+JI25,BB25-PV25)*(1+Slot4_Rate),0)</f>
        <v>0</v>
      </c>
      <c r="QY25" s="1" t="n">
        <f aca="false">IF(AND(HT25=1,BA25=1),(JE25+JI25)/E25,0)</f>
        <v>0</v>
      </c>
      <c r="QZ25" s="1" t="n">
        <f aca="false">IF(B25=0,JE25+JI25,0)</f>
        <v>0</v>
      </c>
      <c r="RA25" s="1" t="n">
        <f aca="false">IF(B25=0,IF(HT25=1,JG25,JH25),0)</f>
        <v>0</v>
      </c>
      <c r="RB25" s="1" t="n">
        <f aca="false">IF(BK25=1,IF(HT25=1,JN25+JQ25,BL25-PT25)*(1+Slot5_Rate),0)</f>
        <v>0</v>
      </c>
      <c r="RC25" s="1" t="n">
        <f aca="false">IF(AND(HT25=1,BK25=1),(JM25+JQ25)/E25,0)</f>
        <v>0</v>
      </c>
      <c r="RD25" s="1" t="n">
        <f aca="false">IF(B25=0,JM25+JQ25,0)</f>
        <v>0</v>
      </c>
      <c r="RE25" s="1" t="n">
        <f aca="false">IF(B25=0,IF(HT25=1,JO25,JP25),0)</f>
        <v>0</v>
      </c>
      <c r="RF25" s="1" t="n">
        <f aca="false">IF(BU25=1,IF(HT25=1,JV25+JY25,BV25-PR25)*(1+Slot6_Rate),0)</f>
        <v>0</v>
      </c>
      <c r="RG25" s="1" t="n">
        <f aca="false">IF(AND(HT25=1,BU25=1),(JU25+JY25)/E25,0)</f>
        <v>0</v>
      </c>
      <c r="RH25" s="1" t="n">
        <f aca="false">IF(B25=0,JU25+JY25,0)</f>
        <v>0</v>
      </c>
      <c r="RI25" s="1" t="n">
        <f aca="false">IF(B25=0,IF(HT25=1,JW25,JX25),0)</f>
        <v>0</v>
      </c>
      <c r="RJ25" s="1" t="n">
        <f aca="false">IF(CE25=1,IF(HT25=1,KD25+KG25,CF25-PP25)*(1+Slot7_Rate),0)</f>
        <v>0</v>
      </c>
      <c r="RK25" s="1" t="n">
        <f aca="false">IF(AND(HT25=1,CE25=1),(KC25+KG25)/E25,0)</f>
        <v>0</v>
      </c>
      <c r="RL25" s="1" t="n">
        <f aca="false">IF(B25=0,KC25+KG25,0)</f>
        <v>0</v>
      </c>
      <c r="RM25" s="1" t="n">
        <f aca="false">IF(B25=0,IF(HT25=1,KE25,KF25),0)</f>
        <v>0</v>
      </c>
      <c r="RN25" s="1" t="n">
        <f aca="false">IF(CO25=1,IF(HT25=1,KL25+KO25,CP25-PN25)*(1+Slot8_Rate),0)</f>
        <v>0</v>
      </c>
      <c r="RO25" s="1" t="n">
        <f aca="false">IF(AND(HT25=1,CO25=1),(KK25+KO25)/E25,0)</f>
        <v>0</v>
      </c>
      <c r="RP25" s="1" t="n">
        <f aca="false">IF(B25=0,KK25+KO25,0)</f>
        <v>0</v>
      </c>
      <c r="RQ25" s="1" t="n">
        <f aca="false">IF(B25=0,IF(HT25=1,KM25,KN25),0)</f>
        <v>0</v>
      </c>
      <c r="RR25" s="1" t="n">
        <f aca="false">IF(CY25=1,IF(HT25=1,KT25+KW25,CZ25-PL25)*(1+Slot9_Rate),0)</f>
        <v>0</v>
      </c>
      <c r="RS25" s="1" t="n">
        <f aca="false">IF(AND(HT25=1,CY25=1),(KS25+KW25)/E25,0)</f>
        <v>0</v>
      </c>
      <c r="RT25" s="1" t="n">
        <f aca="false">IF(B25=0,KS25+KW25,0)</f>
        <v>0</v>
      </c>
      <c r="RU25" s="1" t="n">
        <f aca="false">IF(B25=0,IF(HT25=1,KU25,KV25),0)</f>
        <v>0</v>
      </c>
      <c r="RV25" s="1" t="n">
        <f aca="false">IF(DI25=1,IF(HT25=1,LB25+LE25,DJ25-PJ25)*(1+Slot10_Rate),0)</f>
        <v>0</v>
      </c>
      <c r="RW25" s="1" t="n">
        <f aca="false">IF(AND(HT25=1,DI25=1),(LA25+LE25)/E25,0)</f>
        <v>0</v>
      </c>
      <c r="RX25" s="1" t="n">
        <f aca="false">IF(B25=0,LA25+LE25,0)</f>
        <v>0</v>
      </c>
      <c r="RY25" s="1" t="n">
        <f aca="false">IF(B25=0,IF(HT25=1,LC25,LD25),0)</f>
        <v>0</v>
      </c>
      <c r="RZ25" s="1" t="n">
        <f aca="false">IF(DS25=1,IF(HT25=1,LJ25+LM25,DT25-PH25)*(1+Slot11_Rate),0)</f>
        <v>0</v>
      </c>
      <c r="SA25" s="1" t="n">
        <f aca="false">IF(AND(HT25=1,DS25=1),(LI25+LM25)/E25,0)</f>
        <v>0</v>
      </c>
      <c r="SB25" s="1" t="n">
        <f aca="false">IF(B25=0,LI25+LM25,0)</f>
        <v>0</v>
      </c>
      <c r="SC25" s="1" t="n">
        <f aca="false">IF(B25=0,IF(HT25=1,LK25,LL25),0)</f>
        <v>0</v>
      </c>
      <c r="SD25" s="1" t="n">
        <f aca="false">IF(EC25=1,IF(HT25=1,LR25+LU25,ED25-PF25)*(1+Slot12_Rate),0)</f>
        <v>0</v>
      </c>
      <c r="SE25" s="1" t="n">
        <f aca="false">IF(AND(HT25=1,EC25=1),(LQ25+LU25)/E25,0)</f>
        <v>0</v>
      </c>
      <c r="SF25" s="1" t="n">
        <f aca="false">IF(B25=0,LQ25+LU25,0)</f>
        <v>0</v>
      </c>
      <c r="SG25" s="1" t="n">
        <f aca="false">IF(B25=0,IF(HT25=1,LS25,LT25),0)</f>
        <v>0</v>
      </c>
      <c r="SH25" s="1" t="n">
        <f aca="false">IF(EM25=1,IF(HT25=1,LZ25+MC25,EN25-PD25)*(1+Slot13_Rate),0)</f>
        <v>0</v>
      </c>
      <c r="SI25" s="1" t="n">
        <f aca="false">IF(AND(HT25=1,EM25=1),(LY25+MC25)/E25,0)</f>
        <v>0</v>
      </c>
      <c r="SJ25" s="1" t="n">
        <f aca="false">IF(B25=0,LY25+MC25,0)</f>
        <v>0</v>
      </c>
      <c r="SK25" s="1" t="n">
        <f aca="false">IF(B25=0,IF(HT25=1,MA25,MB25),0)</f>
        <v>0</v>
      </c>
      <c r="SL25" s="1" t="n">
        <f aca="false">IF(EW25=1,IF(HT25=1,MH25+MK25,EX25-PB25)*(1+Slot14_Rate),0)</f>
        <v>0</v>
      </c>
      <c r="SM25" s="1" t="n">
        <f aca="false">IF(AND(HT25=1,EW25=1),(MG25+MK25)/E25,0)</f>
        <v>0</v>
      </c>
      <c r="SN25" s="1" t="n">
        <f aca="false">IF(B25=0,MG25+MK25,0)</f>
        <v>0</v>
      </c>
      <c r="SO25" s="1" t="n">
        <f aca="false">IF(B25=0,IF(HT25=1,MI25,MJ25),0)</f>
        <v>0</v>
      </c>
      <c r="SP25" s="1" t="n">
        <f aca="false">IF(FG25=1,IF(HT25=1,MP25+MS25,FH25-OZ25)*(1+Slot15_Rate),0)</f>
        <v>0</v>
      </c>
      <c r="SQ25" s="1" t="n">
        <f aca="false">IF(AND(HT25=1,FG25=1),(MO25+MS25)/E25,0)</f>
        <v>0</v>
      </c>
      <c r="SR25" s="1" t="n">
        <f aca="false">IF(B25=0,MO25+MS25,0)</f>
        <v>0</v>
      </c>
      <c r="SS25" s="1" t="n">
        <f aca="false">IF(B25=0,IF(HT25=1,MQ25,MR25),0)</f>
        <v>0</v>
      </c>
      <c r="ST25" s="1" t="n">
        <f aca="false">IF(FQ25=1,IF(HT25=1,MX25+NA25,FR25-OX25)*(1+Slot16_Rate),0)</f>
        <v>0</v>
      </c>
      <c r="SU25" s="1" t="n">
        <f aca="false">IF(AND(HT25=1,FQ25=1),(MW25+NA25)/E25,0)</f>
        <v>0</v>
      </c>
      <c r="SV25" s="1" t="n">
        <f aca="false">IF(B25=0,MW25+NA25,0)</f>
        <v>0</v>
      </c>
      <c r="SW25" s="1" t="n">
        <f aca="false">IF(B25=0,IF(HT25=1,MY25,MZ25),0)</f>
        <v>0</v>
      </c>
      <c r="SX25" s="1" t="n">
        <f aca="false">IF(GA25=1,IF(HT25=1,NF25+NI25,GB25-OV25)*(1+Slot17_Rate),0)</f>
        <v>0</v>
      </c>
      <c r="SY25" s="1" t="n">
        <f aca="false">IF(AND(HT25=1,GA25=1),(NE25+NI25)/E25,0)</f>
        <v>0</v>
      </c>
      <c r="SZ25" s="1" t="n">
        <f aca="false">IF(B25=0,NE25+NI25,0)</f>
        <v>0</v>
      </c>
      <c r="TA25" s="1" t="n">
        <f aca="false">IF(B25=0,IF(HT25=1,NG25,NH25),0)</f>
        <v>0</v>
      </c>
      <c r="TB25" s="1" t="n">
        <f aca="false">IF(GK25=1,IF(HT25=1,NN25+NQ25,GL25-OT25)*(1+Slot18_Rate),0)</f>
        <v>0</v>
      </c>
      <c r="TC25" s="1" t="n">
        <f aca="false">IF(AND(HT25=1,GK25=1),(NM25+NQ25)/E25,0)</f>
        <v>0</v>
      </c>
      <c r="TD25" s="1" t="n">
        <f aca="false">IF(B25=0,NM25+NQ25,0)</f>
        <v>0</v>
      </c>
      <c r="TE25" s="1" t="n">
        <f aca="false">IF(B25=0,IF(HT25=1,NO25,NP25),0)</f>
        <v>0</v>
      </c>
      <c r="TF25" s="1" t="n">
        <f aca="false">IF(GU25=1,IF(HT25=1,NV25+NY25,GV25-OR25)*(1+Slot19_Rate),0)</f>
        <v>0</v>
      </c>
      <c r="TG25" s="1" t="n">
        <f aca="false">IF(AND(HT25=1,GU25=1),(NU25+NY25)/E25,0)</f>
        <v>0</v>
      </c>
      <c r="TH25" s="1" t="n">
        <f aca="false">IF(B25=0,NU25+NY25,0)</f>
        <v>0</v>
      </c>
      <c r="TI25" s="1" t="n">
        <f aca="false">IF(B25=0,IF(HT25=1,NW25,NX25),0)</f>
        <v>0</v>
      </c>
      <c r="TJ25" s="1" t="n">
        <f aca="false">IF(HE25=1,IF(HT25=1,OD25+OG25,HF25-OP25)*(1+Slot20_Rate),0)</f>
        <v>0</v>
      </c>
      <c r="TK25" s="1" t="n">
        <f aca="false">IF(AND(HT25=1,HE25=1),(OC25+OG25)/E25,0)</f>
        <v>0</v>
      </c>
      <c r="TL25" s="1" t="n">
        <f aca="false">IF(B25=0,OC25+OG25,0)</f>
        <v>0</v>
      </c>
      <c r="TM25" s="1" t="n">
        <f aca="false">IF(B25=0,IF(HT25=1,OE25,OF25),0)</f>
        <v>0</v>
      </c>
      <c r="TN25" s="1" t="n">
        <f aca="false">QJ25+QK25+QL25+QP25+QT25+QX25+RB25+RF25+RJ25+RN25+RR25+RV25+RZ25+SD25+SH25+SL25+SP25+ST25+SX25+TB25+TF25+TJ25</f>
        <v>0</v>
      </c>
      <c r="TO25" s="1" t="n">
        <f aca="false">QD25+HO25</f>
        <v>0</v>
      </c>
      <c r="TP25" s="1" t="n">
        <f aca="false">H25+R25</f>
        <v>0</v>
      </c>
      <c r="TQ25" s="1" t="n">
        <f aca="false">1-F25</f>
        <v>0</v>
      </c>
      <c r="TR25" s="1" t="n">
        <f aca="false">IF(AND(RG_Exists=1,F25=0,C25=1),H25,0)</f>
        <v>0</v>
      </c>
      <c r="TS25" s="1" t="n">
        <f aca="false">IF(AND(RG_Exists=1,F25=0,C25=1),H25-MIN(QD25,H25),0)</f>
        <v>0</v>
      </c>
      <c r="TT25" s="1" t="n">
        <f aca="false">'Plan pay &amp; tax'!AD251</f>
        <v>0</v>
      </c>
      <c r="TU25" s="1" t="n">
        <f aca="false">IF(AND(C25=1,QD25&gt;MAX(PR_Short1,TP25*PR_Short2)),1,0)</f>
        <v>0</v>
      </c>
      <c r="TV25" s="1" t="n">
        <f aca="false">MIN(G25,H25+R25)</f>
        <v>0</v>
      </c>
      <c r="TW25" s="1" t="n">
        <f aca="false">QE25+MAX(0,HP25-HO25)</f>
        <v>0</v>
      </c>
      <c r="TX25" s="1" t="n">
        <f aca="false">QD25+HO25</f>
        <v>0</v>
      </c>
      <c r="TY25" s="1" t="n">
        <f aca="false">IF(AND(C25=1,TX25&gt;PR_MinShort),1,0)</f>
        <v>0</v>
      </c>
      <c r="TZ25" s="1" t="n">
        <f aca="false">IF(AND(C25=1,TY25=0,TW25&gt;PR_MinShort),1,0)</f>
        <v>0</v>
      </c>
      <c r="UA25" s="1" t="n">
        <f aca="false">IF(AND(C25=1,QD25&gt;PR_MinShort),1,0)</f>
        <v>0</v>
      </c>
      <c r="UB25" s="1" t="n">
        <f aca="false">IF(AND(C25=1,QE25&gt;1,UI25=0),1,0)</f>
        <v>0</v>
      </c>
      <c r="UC25" s="1" t="str">
        <f aca="false">IF(C25=0,"",IF(UI25=1,"Gap to plan for: short "&amp;"€"&amp;TEXT(ROUND(TO25,0),"#,##0"),IF(QE25&gt;1,"Using savings","Comfortable")))</f>
        <v>Comfortable</v>
      </c>
      <c r="UD25" s="1" t="n">
        <f aca="false">IF(AND(INT(D25/10)*10=90,B25&gt;0),80,INT(D25/10)*10)</f>
        <v>10</v>
      </c>
      <c r="UE25" s="1" t="n">
        <f aca="false">IF(B25=0,1,IF(UD25&lt;&gt;UD24,UE24+1,UE24))</f>
        <v>2</v>
      </c>
      <c r="UF25" s="1" t="n">
        <f aca="false">IF(AND(C25=1,F25=1,QD25&gt;MAX(PR_Short1,TP25*PR_Short2)),1,0)</f>
        <v>0</v>
      </c>
      <c r="UG25" s="1" t="n">
        <f aca="false">TQ25*TU25</f>
        <v>0</v>
      </c>
      <c r="UH25" s="1" t="n">
        <f aca="false">IF(AND(U25=1,Slot1_PctLow=1),1,0)+IF(AND(AF25=1,Slot2_PctLow=1),1,0)+IF(AND(AP25=1,Slot3_PctLow=1),1,0)+IF(AND(AZ25=1,Slot4_PctLow=1),1,0)+IF(AND(BJ25=1,Slot5_PctLow=1),1,0)+IF(AND(BT25=1,Slot6_PctLow=1),1,0)+IF(AND(CD25=1,Slot7_PctLow=1),1,0)+IF(AND(CN25=1,Slot8_PctLow=1),1,0)+IF(AND(CX25=1,Slot9_PctLow=1),1,0)+IF(AND(DH25=1,Slot10_PctLow=1),1,0)+IF(AND(DR25=1,Slot11_PctLow=1),1,0)+IF(AND(EB25=1,Slot12_PctLow=1),1,0)+IF(AND(EL25=1,Slot13_PctLow=1),1,0)+IF(AND(EV25=1,Slot14_PctLow=1),1,0)+IF(AND(FF25=1,Slot15_PctLow=1),1,0)+IF(AND(FP25=1,Slot16_PctLow=1),1,0)+IF(AND(FZ25=1,Slot17_PctLow=1),1,0)+IF(AND(GJ25=1,Slot18_PctLow=1),1,0)+IF(AND(GT25=1,Slot19_PctLow=1),1,0)+IF(AND(HD25=1,Slot20_PctLow=1),1,0)</f>
        <v>0</v>
      </c>
      <c r="UI25" s="1" t="n">
        <f aca="false">IF(C25=1,IF(OR(TU25=1,UH25&gt;0),1,0),0)</f>
        <v>0</v>
      </c>
    </row>
    <row r="26" customFormat="false" ht="15" hidden="false" customHeight="true" outlineLevel="0" collapsed="false">
      <c r="B26" s="1" t="n">
        <v>18</v>
      </c>
      <c r="C26" s="1" t="n">
        <f aca="false">IF(B26&lt;=F_N,1,0)</f>
        <v>1</v>
      </c>
      <c r="D26" s="1" t="n">
        <f aca="false">'Plan pay &amp; tax'!C252</f>
        <v>18</v>
      </c>
      <c r="E26" s="111" t="n">
        <f aca="false">'Plan pay &amp; tax'!E252</f>
        <v>1.42824624757627</v>
      </c>
      <c r="F26" s="1" t="n">
        <f aca="false">'Plan pay &amp; tax'!G252</f>
        <v>1</v>
      </c>
      <c r="G26" s="1" t="n">
        <f aca="false">'Plan pay &amp; tax'!BT252-'Plan pay &amp; tax'!BS252-'Plan pay &amp; tax'!R252</f>
        <v>0</v>
      </c>
      <c r="H26" s="1" t="n">
        <f aca="false">IF(F26=1,F_CostsM*12,IF(RG_Exists=1,RG_Amount,F_CostsM*12*AS_RetireSpend))*E26+F_OneOffY*E26</f>
        <v>0</v>
      </c>
      <c r="I26" s="1" t="n">
        <f aca="false">HQ25</f>
        <v>0</v>
      </c>
      <c r="J26" s="1" t="n">
        <f aca="false">IF(I26&gt;1,'Plan debt months'!AC26,0)</f>
        <v>0</v>
      </c>
      <c r="K26" s="1" t="n">
        <f aca="false">IF(I26&gt;1,'Plan debt months'!AB26,I26)</f>
        <v>0</v>
      </c>
      <c r="L26" s="1" t="n">
        <f aca="false">N25</f>
        <v>0</v>
      </c>
      <c r="M26" s="1" t="n">
        <f aca="false">IF(L26&gt;1,'Plan debt months'!BD26,0)</f>
        <v>0</v>
      </c>
      <c r="N26" s="1" t="n">
        <f aca="false">IF(L26&gt;1,'Plan debt months'!BC26,L26)</f>
        <v>0</v>
      </c>
      <c r="O26" s="1" t="n">
        <f aca="false">Q25</f>
        <v>0</v>
      </c>
      <c r="P26" s="1" t="n">
        <f aca="false">IF(O26&gt;1,'Plan debt months'!CE26,0)</f>
        <v>0</v>
      </c>
      <c r="Q26" s="1" t="n">
        <f aca="false">IF(O26&gt;1,'Plan debt months'!CD26,O26)</f>
        <v>0</v>
      </c>
      <c r="R26" s="1" t="n">
        <f aca="false">J26+M26+P26</f>
        <v>0</v>
      </c>
      <c r="S26" s="1" t="n">
        <f aca="false">QJ25+'Plan pay &amp; tax'!Y252</f>
        <v>0</v>
      </c>
      <c r="T26" s="1" t="n">
        <f aca="false">QJ25</f>
        <v>0</v>
      </c>
      <c r="U26" s="1" t="n">
        <f aca="false">IF(AND(Slot1_On=1,D26=Slot1_Age),1,0)</f>
        <v>0</v>
      </c>
      <c r="V26" s="1" t="n">
        <f aca="false">IF(AND(Slot1_On=1,Slot1_Age&gt;D26),1,0)</f>
        <v>0</v>
      </c>
      <c r="W26" s="1" t="n">
        <f aca="false">QL25</f>
        <v>0</v>
      </c>
      <c r="X26" s="1" t="n">
        <f aca="false">U26*MIN(Slot1_Cost,W26)</f>
        <v>0</v>
      </c>
      <c r="Y26" s="1" t="n">
        <f aca="false">U26*Slot1_SpendLike*MIN(Slot1_Cost-X26,S26)</f>
        <v>0</v>
      </c>
      <c r="Z26" s="1" t="n">
        <f aca="false">X26+Y26</f>
        <v>0</v>
      </c>
      <c r="AA26" s="1" t="n">
        <f aca="false">S26-Y26+U26*IF(Slot1_SpendLike=1,W26-X26,IF(Slot1_PotFree=1,W26,0))</f>
        <v>0</v>
      </c>
      <c r="AB26" s="1" t="n">
        <f aca="false">AE26+U26*Slot1_BufPot*W26</f>
        <v>0</v>
      </c>
      <c r="AC26" s="1" t="n">
        <f aca="false">IF(AND(U26=1,Slot1_IsMfree=1),IF(Z26&gt;=Slot1_Cost-1,0,MAX(0,K26-Z26)),K26)</f>
        <v>0</v>
      </c>
      <c r="AD26" s="1" t="n">
        <f aca="false">U26*(Slot1_Cost-Z26)</f>
        <v>0</v>
      </c>
      <c r="AE26" s="1" t="n">
        <f aca="false">QK25</f>
        <v>0</v>
      </c>
      <c r="AF26" s="1" t="n">
        <f aca="false">IF(AND(Slot2_On=1,D26=Slot2_Age),1,0)</f>
        <v>0</v>
      </c>
      <c r="AG26" s="1" t="n">
        <f aca="false">IF(AND(Slot2_On=1,Slot2_Age&gt;D26),1,0)</f>
        <v>0</v>
      </c>
      <c r="AH26" s="1" t="n">
        <f aca="false">QP25</f>
        <v>0</v>
      </c>
      <c r="AI26" s="1" t="n">
        <f aca="false">AF26*MIN(Slot2_Cost,AH26)</f>
        <v>0</v>
      </c>
      <c r="AJ26" s="1" t="n">
        <f aca="false">AF26*Slot2_SpendLike*MIN(Slot2_Cost-AI26,AA26)</f>
        <v>0</v>
      </c>
      <c r="AK26" s="1" t="n">
        <f aca="false">AI26+AJ26</f>
        <v>0</v>
      </c>
      <c r="AL26" s="1" t="n">
        <f aca="false">AA26-AJ26+AF26*IF(Slot2_SpendLike=1,AH26-AI26,IF(Slot2_PotFree=1,AH26,0))</f>
        <v>0</v>
      </c>
      <c r="AM26" s="1" t="n">
        <f aca="false">AB26+AF26*Slot2_BufPot*AH26</f>
        <v>0</v>
      </c>
      <c r="AN26" s="1" t="n">
        <f aca="false">IF(AND(AF26=1,Slot2_IsMfree=1),IF(AK26&gt;=Slot2_Cost-1,0,MAX(0,AC26-AK26)),AC26)</f>
        <v>0</v>
      </c>
      <c r="AO26" s="1" t="n">
        <f aca="false">AF26*(Slot2_Cost-AK26)</f>
        <v>0</v>
      </c>
      <c r="AP26" s="1" t="n">
        <f aca="false">IF(AND(Slot3_On=1,D26=Slot3_Age),1,0)</f>
        <v>0</v>
      </c>
      <c r="AQ26" s="1" t="n">
        <f aca="false">IF(AND(Slot3_On=1,Slot3_Age&gt;D26),1,0)</f>
        <v>0</v>
      </c>
      <c r="AR26" s="1" t="n">
        <f aca="false">QT25</f>
        <v>0</v>
      </c>
      <c r="AS26" s="1" t="n">
        <f aca="false">AP26*MIN(Slot3_Cost,AR26)</f>
        <v>0</v>
      </c>
      <c r="AT26" s="1" t="n">
        <f aca="false">AP26*Slot3_SpendLike*MIN(Slot3_Cost-AS26,AL26)</f>
        <v>0</v>
      </c>
      <c r="AU26" s="1" t="n">
        <f aca="false">AS26+AT26</f>
        <v>0</v>
      </c>
      <c r="AV26" s="1" t="n">
        <f aca="false">AL26-AT26+AP26*IF(Slot3_SpendLike=1,AR26-AS26,IF(Slot3_PotFree=1,AR26,0))</f>
        <v>0</v>
      </c>
      <c r="AW26" s="1" t="n">
        <f aca="false">AM26+AP26*Slot3_BufPot*AR26</f>
        <v>0</v>
      </c>
      <c r="AX26" s="1" t="n">
        <f aca="false">IF(AND(AP26=1,Slot3_IsMfree=1),IF(AU26&gt;=Slot3_Cost-1,0,MAX(0,AN26-AU26)),AN26)</f>
        <v>0</v>
      </c>
      <c r="AY26" s="1" t="n">
        <f aca="false">AP26*(Slot3_Cost-AU26)</f>
        <v>0</v>
      </c>
      <c r="AZ26" s="1" t="n">
        <f aca="false">IF(AND(Slot4_On=1,D26=Slot4_Age),1,0)</f>
        <v>0</v>
      </c>
      <c r="BA26" s="1" t="n">
        <f aca="false">IF(AND(Slot4_On=1,Slot4_Age&gt;D26),1,0)</f>
        <v>0</v>
      </c>
      <c r="BB26" s="1" t="n">
        <f aca="false">QX25</f>
        <v>0</v>
      </c>
      <c r="BC26" s="1" t="n">
        <f aca="false">AZ26*MIN(Slot4_Cost,BB26)</f>
        <v>0</v>
      </c>
      <c r="BD26" s="1" t="n">
        <f aca="false">AZ26*Slot4_SpendLike*MIN(Slot4_Cost-BC26,AV26)</f>
        <v>0</v>
      </c>
      <c r="BE26" s="1" t="n">
        <f aca="false">BC26+BD26</f>
        <v>0</v>
      </c>
      <c r="BF26" s="1" t="n">
        <f aca="false">AV26-BD26+AZ26*IF(Slot4_SpendLike=1,BB26-BC26,IF(Slot4_PotFree=1,BB26,0))</f>
        <v>0</v>
      </c>
      <c r="BG26" s="1" t="n">
        <f aca="false">AW26+AZ26*Slot4_BufPot*BB26</f>
        <v>0</v>
      </c>
      <c r="BH26" s="1" t="n">
        <f aca="false">IF(AND(AZ26=1,Slot4_IsMfree=1),IF(BE26&gt;=Slot4_Cost-1,0,MAX(0,AX26-BE26)),AX26)</f>
        <v>0</v>
      </c>
      <c r="BI26" s="1" t="n">
        <f aca="false">AZ26*(Slot4_Cost-BE26)</f>
        <v>0</v>
      </c>
      <c r="BJ26" s="1" t="n">
        <f aca="false">IF(AND(Slot5_On=1,D26=Slot5_Age),1,0)</f>
        <v>0</v>
      </c>
      <c r="BK26" s="1" t="n">
        <f aca="false">IF(AND(Slot5_On=1,Slot5_Age&gt;D26),1,0)</f>
        <v>0</v>
      </c>
      <c r="BL26" s="1" t="n">
        <f aca="false">RB25</f>
        <v>0</v>
      </c>
      <c r="BM26" s="1" t="n">
        <f aca="false">BJ26*MIN(Slot5_Cost,BL26)</f>
        <v>0</v>
      </c>
      <c r="BN26" s="1" t="n">
        <f aca="false">BJ26*Slot5_SpendLike*MIN(Slot5_Cost-BM26,BF26)</f>
        <v>0</v>
      </c>
      <c r="BO26" s="1" t="n">
        <f aca="false">BM26+BN26</f>
        <v>0</v>
      </c>
      <c r="BP26" s="1" t="n">
        <f aca="false">BF26-BN26+BJ26*IF(Slot5_SpendLike=1,BL26-BM26,IF(Slot5_PotFree=1,BL26,0))</f>
        <v>0</v>
      </c>
      <c r="BQ26" s="1" t="n">
        <f aca="false">BG26+BJ26*Slot5_BufPot*BL26</f>
        <v>0</v>
      </c>
      <c r="BR26" s="1" t="n">
        <f aca="false">IF(AND(BJ26=1,Slot5_IsMfree=1),IF(BO26&gt;=Slot5_Cost-1,0,MAX(0,BH26-BO26)),BH26)</f>
        <v>0</v>
      </c>
      <c r="BS26" s="1" t="n">
        <f aca="false">BJ26*(Slot5_Cost-BO26)</f>
        <v>0</v>
      </c>
      <c r="BT26" s="1" t="n">
        <f aca="false">IF(AND(Slot6_On=1,D26=Slot6_Age),1,0)</f>
        <v>0</v>
      </c>
      <c r="BU26" s="1" t="n">
        <f aca="false">IF(AND(Slot6_On=1,Slot6_Age&gt;D26),1,0)</f>
        <v>0</v>
      </c>
      <c r="BV26" s="1" t="n">
        <f aca="false">RF25</f>
        <v>0</v>
      </c>
      <c r="BW26" s="1" t="n">
        <f aca="false">BT26*MIN(Slot6_Cost,BV26)</f>
        <v>0</v>
      </c>
      <c r="BX26" s="1" t="n">
        <f aca="false">BT26*Slot6_SpendLike*MIN(Slot6_Cost-BW26,BP26)</f>
        <v>0</v>
      </c>
      <c r="BY26" s="1" t="n">
        <f aca="false">BW26+BX26</f>
        <v>0</v>
      </c>
      <c r="BZ26" s="1" t="n">
        <f aca="false">BP26-BX26+BT26*IF(Slot6_SpendLike=1,BV26-BW26,IF(Slot6_PotFree=1,BV26,0))</f>
        <v>0</v>
      </c>
      <c r="CA26" s="1" t="n">
        <f aca="false">BQ26+BT26*Slot6_BufPot*BV26</f>
        <v>0</v>
      </c>
      <c r="CB26" s="1" t="n">
        <f aca="false">IF(AND(BT26=1,Slot6_IsMfree=1),IF(BY26&gt;=Slot6_Cost-1,0,MAX(0,BR26-BY26)),BR26)</f>
        <v>0</v>
      </c>
      <c r="CC26" s="1" t="n">
        <f aca="false">BT26*(Slot6_Cost-BY26)</f>
        <v>0</v>
      </c>
      <c r="CD26" s="1" t="n">
        <f aca="false">IF(AND(Slot7_On=1,D26=Slot7_Age),1,0)</f>
        <v>0</v>
      </c>
      <c r="CE26" s="1" t="n">
        <f aca="false">IF(AND(Slot7_On=1,Slot7_Age&gt;D26),1,0)</f>
        <v>0</v>
      </c>
      <c r="CF26" s="1" t="n">
        <f aca="false">RJ25</f>
        <v>0</v>
      </c>
      <c r="CG26" s="1" t="n">
        <f aca="false">CD26*MIN(Slot7_Cost,CF26)</f>
        <v>0</v>
      </c>
      <c r="CH26" s="1" t="n">
        <f aca="false">CD26*Slot7_SpendLike*MIN(Slot7_Cost-CG26,BZ26)</f>
        <v>0</v>
      </c>
      <c r="CI26" s="1" t="n">
        <f aca="false">CG26+CH26</f>
        <v>0</v>
      </c>
      <c r="CJ26" s="1" t="n">
        <f aca="false">BZ26-CH26+CD26*IF(Slot7_SpendLike=1,CF26-CG26,IF(Slot7_PotFree=1,CF26,0))</f>
        <v>0</v>
      </c>
      <c r="CK26" s="1" t="n">
        <f aca="false">CA26+CD26*Slot7_BufPot*CF26</f>
        <v>0</v>
      </c>
      <c r="CL26" s="1" t="n">
        <f aca="false">IF(AND(CD26=1,Slot7_IsMfree=1),IF(CI26&gt;=Slot7_Cost-1,0,MAX(0,CB26-CI26)),CB26)</f>
        <v>0</v>
      </c>
      <c r="CM26" s="1" t="n">
        <f aca="false">CD26*(Slot7_Cost-CI26)</f>
        <v>0</v>
      </c>
      <c r="CN26" s="1" t="n">
        <f aca="false">IF(AND(Slot8_On=1,D26=Slot8_Age),1,0)</f>
        <v>0</v>
      </c>
      <c r="CO26" s="1" t="n">
        <f aca="false">IF(AND(Slot8_On=1,Slot8_Age&gt;D26),1,0)</f>
        <v>0</v>
      </c>
      <c r="CP26" s="1" t="n">
        <f aca="false">RN25</f>
        <v>0</v>
      </c>
      <c r="CQ26" s="1" t="n">
        <f aca="false">CN26*MIN(Slot8_Cost,CP26)</f>
        <v>0</v>
      </c>
      <c r="CR26" s="1" t="n">
        <f aca="false">CN26*Slot8_SpendLike*MIN(Slot8_Cost-CQ26,CJ26)</f>
        <v>0</v>
      </c>
      <c r="CS26" s="1" t="n">
        <f aca="false">CQ26+CR26</f>
        <v>0</v>
      </c>
      <c r="CT26" s="1" t="n">
        <f aca="false">CJ26-CR26+CN26*IF(Slot8_SpendLike=1,CP26-CQ26,IF(Slot8_PotFree=1,CP26,0))</f>
        <v>0</v>
      </c>
      <c r="CU26" s="1" t="n">
        <f aca="false">CK26+CN26*Slot8_BufPot*CP26</f>
        <v>0</v>
      </c>
      <c r="CV26" s="1" t="n">
        <f aca="false">IF(AND(CN26=1,Slot8_IsMfree=1),IF(CS26&gt;=Slot8_Cost-1,0,MAX(0,CL26-CS26)),CL26)</f>
        <v>0</v>
      </c>
      <c r="CW26" s="1" t="n">
        <f aca="false">CN26*(Slot8_Cost-CS26)</f>
        <v>0</v>
      </c>
      <c r="CX26" s="1" t="n">
        <f aca="false">IF(AND(Slot9_On=1,D26=Slot9_Age),1,0)</f>
        <v>0</v>
      </c>
      <c r="CY26" s="1" t="n">
        <f aca="false">IF(AND(Slot9_On=1,Slot9_Age&gt;D26),1,0)</f>
        <v>0</v>
      </c>
      <c r="CZ26" s="1" t="n">
        <f aca="false">RR25</f>
        <v>0</v>
      </c>
      <c r="DA26" s="1" t="n">
        <f aca="false">CX26*MIN(Slot9_Cost,CZ26)</f>
        <v>0</v>
      </c>
      <c r="DB26" s="1" t="n">
        <f aca="false">CX26*Slot9_SpendLike*MIN(Slot9_Cost-DA26,CT26)</f>
        <v>0</v>
      </c>
      <c r="DC26" s="1" t="n">
        <f aca="false">DA26+DB26</f>
        <v>0</v>
      </c>
      <c r="DD26" s="1" t="n">
        <f aca="false">CT26-DB26+CX26*IF(Slot9_SpendLike=1,CZ26-DA26,IF(Slot9_PotFree=1,CZ26,0))</f>
        <v>0</v>
      </c>
      <c r="DE26" s="1" t="n">
        <f aca="false">CU26+CX26*Slot9_BufPot*CZ26</f>
        <v>0</v>
      </c>
      <c r="DF26" s="1" t="n">
        <f aca="false">IF(AND(CX26=1,Slot9_IsMfree=1),IF(DC26&gt;=Slot9_Cost-1,0,MAX(0,CV26-DC26)),CV26)</f>
        <v>0</v>
      </c>
      <c r="DG26" s="1" t="n">
        <f aca="false">CX26*(Slot9_Cost-DC26)</f>
        <v>0</v>
      </c>
      <c r="DH26" s="1" t="n">
        <f aca="false">IF(AND(Slot10_On=1,D26=Slot10_Age),1,0)</f>
        <v>0</v>
      </c>
      <c r="DI26" s="1" t="n">
        <f aca="false">IF(AND(Slot10_On=1,Slot10_Age&gt;D26),1,0)</f>
        <v>0</v>
      </c>
      <c r="DJ26" s="1" t="n">
        <f aca="false">RV25</f>
        <v>0</v>
      </c>
      <c r="DK26" s="1" t="n">
        <f aca="false">DH26*MIN(Slot10_Cost,DJ26)</f>
        <v>0</v>
      </c>
      <c r="DL26" s="1" t="n">
        <f aca="false">DH26*Slot10_SpendLike*MIN(Slot10_Cost-DK26,DD26)</f>
        <v>0</v>
      </c>
      <c r="DM26" s="1" t="n">
        <f aca="false">DK26+DL26</f>
        <v>0</v>
      </c>
      <c r="DN26" s="1" t="n">
        <f aca="false">DD26-DL26+DH26*IF(Slot10_SpendLike=1,DJ26-DK26,IF(Slot10_PotFree=1,DJ26,0))</f>
        <v>0</v>
      </c>
      <c r="DO26" s="1" t="n">
        <f aca="false">DE26+DH26*Slot10_BufPot*DJ26</f>
        <v>0</v>
      </c>
      <c r="DP26" s="1" t="n">
        <f aca="false">IF(AND(DH26=1,Slot10_IsMfree=1),IF(DM26&gt;=Slot10_Cost-1,0,MAX(0,DF26-DM26)),DF26)</f>
        <v>0</v>
      </c>
      <c r="DQ26" s="1" t="n">
        <f aca="false">DH26*(Slot10_Cost-DM26)</f>
        <v>0</v>
      </c>
      <c r="DR26" s="1" t="n">
        <f aca="false">IF(AND(Slot11_On=1,D26=Slot11_Age),1,0)</f>
        <v>0</v>
      </c>
      <c r="DS26" s="1" t="n">
        <f aca="false">IF(AND(Slot11_On=1,Slot11_Age&gt;D26),1,0)</f>
        <v>0</v>
      </c>
      <c r="DT26" s="1" t="n">
        <f aca="false">RZ25</f>
        <v>0</v>
      </c>
      <c r="DU26" s="1" t="n">
        <f aca="false">DR26*MIN(Slot11_Cost,DT26)</f>
        <v>0</v>
      </c>
      <c r="DV26" s="1" t="n">
        <f aca="false">DR26*Slot11_SpendLike*MIN(Slot11_Cost-DU26,DN26)</f>
        <v>0</v>
      </c>
      <c r="DW26" s="1" t="n">
        <f aca="false">DU26+DV26</f>
        <v>0</v>
      </c>
      <c r="DX26" s="1" t="n">
        <f aca="false">DN26-DV26+DR26*IF(Slot11_SpendLike=1,DT26-DU26,IF(Slot11_PotFree=1,DT26,0))</f>
        <v>0</v>
      </c>
      <c r="DY26" s="1" t="n">
        <f aca="false">DO26+DR26*Slot11_BufPot*DT26</f>
        <v>0</v>
      </c>
      <c r="DZ26" s="1" t="n">
        <f aca="false">IF(AND(DR26=1,Slot11_IsMfree=1),IF(DW26&gt;=Slot11_Cost-1,0,MAX(0,DP26-DW26)),DP26)</f>
        <v>0</v>
      </c>
      <c r="EA26" s="1" t="n">
        <f aca="false">DR26*(Slot11_Cost-DW26)</f>
        <v>0</v>
      </c>
      <c r="EB26" s="1" t="n">
        <f aca="false">IF(AND(Slot12_On=1,D26=Slot12_Age),1,0)</f>
        <v>0</v>
      </c>
      <c r="EC26" s="1" t="n">
        <f aca="false">IF(AND(Slot12_On=1,Slot12_Age&gt;D26),1,0)</f>
        <v>0</v>
      </c>
      <c r="ED26" s="1" t="n">
        <f aca="false">SD25</f>
        <v>0</v>
      </c>
      <c r="EE26" s="1" t="n">
        <f aca="false">EB26*MIN(Slot12_Cost,ED26)</f>
        <v>0</v>
      </c>
      <c r="EF26" s="1" t="n">
        <f aca="false">EB26*Slot12_SpendLike*MIN(Slot12_Cost-EE26,DX26)</f>
        <v>0</v>
      </c>
      <c r="EG26" s="1" t="n">
        <f aca="false">EE26+EF26</f>
        <v>0</v>
      </c>
      <c r="EH26" s="1" t="n">
        <f aca="false">DX26-EF26+EB26*IF(Slot12_SpendLike=1,ED26-EE26,IF(Slot12_PotFree=1,ED26,0))</f>
        <v>0</v>
      </c>
      <c r="EI26" s="1" t="n">
        <f aca="false">DY26+EB26*Slot12_BufPot*ED26</f>
        <v>0</v>
      </c>
      <c r="EJ26" s="1" t="n">
        <f aca="false">IF(AND(EB26=1,Slot12_IsMfree=1),IF(EG26&gt;=Slot12_Cost-1,0,MAX(0,DZ26-EG26)),DZ26)</f>
        <v>0</v>
      </c>
      <c r="EK26" s="1" t="n">
        <f aca="false">EB26*(Slot12_Cost-EG26)</f>
        <v>0</v>
      </c>
      <c r="EL26" s="1" t="n">
        <f aca="false">IF(AND(Slot13_On=1,D26=Slot13_Age),1,0)</f>
        <v>0</v>
      </c>
      <c r="EM26" s="1" t="n">
        <f aca="false">IF(AND(Slot13_On=1,Slot13_Age&gt;D26),1,0)</f>
        <v>0</v>
      </c>
      <c r="EN26" s="1" t="n">
        <f aca="false">SH25</f>
        <v>0</v>
      </c>
      <c r="EO26" s="1" t="n">
        <f aca="false">EL26*MIN(Slot13_Cost,EN26)</f>
        <v>0</v>
      </c>
      <c r="EP26" s="1" t="n">
        <f aca="false">EL26*Slot13_SpendLike*MIN(Slot13_Cost-EO26,EH26)</f>
        <v>0</v>
      </c>
      <c r="EQ26" s="1" t="n">
        <f aca="false">EO26+EP26</f>
        <v>0</v>
      </c>
      <c r="ER26" s="1" t="n">
        <f aca="false">EH26-EP26+EL26*IF(Slot13_SpendLike=1,EN26-EO26,IF(Slot13_PotFree=1,EN26,0))</f>
        <v>0</v>
      </c>
      <c r="ES26" s="1" t="n">
        <f aca="false">EI26+EL26*Slot13_BufPot*EN26</f>
        <v>0</v>
      </c>
      <c r="ET26" s="1" t="n">
        <f aca="false">IF(AND(EL26=1,Slot13_IsMfree=1),IF(EQ26&gt;=Slot13_Cost-1,0,MAX(0,EJ26-EQ26)),EJ26)</f>
        <v>0</v>
      </c>
      <c r="EU26" s="1" t="n">
        <f aca="false">EL26*(Slot13_Cost-EQ26)</f>
        <v>0</v>
      </c>
      <c r="EV26" s="1" t="n">
        <f aca="false">IF(AND(Slot14_On=1,D26=Slot14_Age),1,0)</f>
        <v>0</v>
      </c>
      <c r="EW26" s="1" t="n">
        <f aca="false">IF(AND(Slot14_On=1,Slot14_Age&gt;D26),1,0)</f>
        <v>0</v>
      </c>
      <c r="EX26" s="1" t="n">
        <f aca="false">SL25</f>
        <v>0</v>
      </c>
      <c r="EY26" s="1" t="n">
        <f aca="false">EV26*MIN(Slot14_Cost,EX26)</f>
        <v>0</v>
      </c>
      <c r="EZ26" s="1" t="n">
        <f aca="false">EV26*Slot14_SpendLike*MIN(Slot14_Cost-EY26,ER26)</f>
        <v>0</v>
      </c>
      <c r="FA26" s="1" t="n">
        <f aca="false">EY26+EZ26</f>
        <v>0</v>
      </c>
      <c r="FB26" s="1" t="n">
        <f aca="false">ER26-EZ26+EV26*IF(Slot14_SpendLike=1,EX26-EY26,IF(Slot14_PotFree=1,EX26,0))</f>
        <v>0</v>
      </c>
      <c r="FC26" s="1" t="n">
        <f aca="false">ES26+EV26*Slot14_BufPot*EX26</f>
        <v>0</v>
      </c>
      <c r="FD26" s="1" t="n">
        <f aca="false">IF(AND(EV26=1,Slot14_IsMfree=1),IF(FA26&gt;=Slot14_Cost-1,0,MAX(0,ET26-FA26)),ET26)</f>
        <v>0</v>
      </c>
      <c r="FE26" s="1" t="n">
        <f aca="false">EV26*(Slot14_Cost-FA26)</f>
        <v>0</v>
      </c>
      <c r="FF26" s="1" t="n">
        <f aca="false">IF(AND(Slot15_On=1,D26=Slot15_Age),1,0)</f>
        <v>0</v>
      </c>
      <c r="FG26" s="1" t="n">
        <f aca="false">IF(AND(Slot15_On=1,Slot15_Age&gt;D26),1,0)</f>
        <v>0</v>
      </c>
      <c r="FH26" s="1" t="n">
        <f aca="false">SP25</f>
        <v>0</v>
      </c>
      <c r="FI26" s="1" t="n">
        <f aca="false">FF26*MIN(Slot15_Cost,FH26)</f>
        <v>0</v>
      </c>
      <c r="FJ26" s="1" t="n">
        <f aca="false">FF26*Slot15_SpendLike*MIN(Slot15_Cost-FI26,FB26)</f>
        <v>0</v>
      </c>
      <c r="FK26" s="1" t="n">
        <f aca="false">FI26+FJ26</f>
        <v>0</v>
      </c>
      <c r="FL26" s="1" t="n">
        <f aca="false">FB26-FJ26+FF26*IF(Slot15_SpendLike=1,FH26-FI26,IF(Slot15_PotFree=1,FH26,0))</f>
        <v>0</v>
      </c>
      <c r="FM26" s="1" t="n">
        <f aca="false">FC26+FF26*Slot15_BufPot*FH26</f>
        <v>0</v>
      </c>
      <c r="FN26" s="1" t="n">
        <f aca="false">IF(AND(FF26=1,Slot15_IsMfree=1),IF(FK26&gt;=Slot15_Cost-1,0,MAX(0,FD26-FK26)),FD26)</f>
        <v>0</v>
      </c>
      <c r="FO26" s="1" t="n">
        <f aca="false">FF26*(Slot15_Cost-FK26)</f>
        <v>0</v>
      </c>
      <c r="FP26" s="1" t="n">
        <f aca="false">IF(AND(Slot16_On=1,D26=Slot16_Age),1,0)</f>
        <v>0</v>
      </c>
      <c r="FQ26" s="1" t="n">
        <f aca="false">IF(AND(Slot16_On=1,Slot16_Age&gt;D26),1,0)</f>
        <v>0</v>
      </c>
      <c r="FR26" s="1" t="n">
        <f aca="false">ST25</f>
        <v>0</v>
      </c>
      <c r="FS26" s="1" t="n">
        <f aca="false">FP26*MIN(Slot16_Cost,FR26)</f>
        <v>0</v>
      </c>
      <c r="FT26" s="1" t="n">
        <f aca="false">FP26*Slot16_SpendLike*MIN(Slot16_Cost-FS26,FL26)</f>
        <v>0</v>
      </c>
      <c r="FU26" s="1" t="n">
        <f aca="false">FS26+FT26</f>
        <v>0</v>
      </c>
      <c r="FV26" s="1" t="n">
        <f aca="false">FL26-FT26+FP26*IF(Slot16_SpendLike=1,FR26-FS26,IF(Slot16_PotFree=1,FR26,0))</f>
        <v>0</v>
      </c>
      <c r="FW26" s="1" t="n">
        <f aca="false">FM26+FP26*Slot16_BufPot*FR26</f>
        <v>0</v>
      </c>
      <c r="FX26" s="1" t="n">
        <f aca="false">IF(AND(FP26=1,Slot16_IsMfree=1),IF(FU26&gt;=Slot16_Cost-1,0,MAX(0,FN26-FU26)),FN26)</f>
        <v>0</v>
      </c>
      <c r="FY26" s="1" t="n">
        <f aca="false">FP26*(Slot16_Cost-FU26)</f>
        <v>0</v>
      </c>
      <c r="FZ26" s="1" t="n">
        <f aca="false">IF(AND(Slot17_On=1,D26=Slot17_Age),1,0)</f>
        <v>0</v>
      </c>
      <c r="GA26" s="1" t="n">
        <f aca="false">IF(AND(Slot17_On=1,Slot17_Age&gt;D26),1,0)</f>
        <v>0</v>
      </c>
      <c r="GB26" s="1" t="n">
        <f aca="false">SX25</f>
        <v>0</v>
      </c>
      <c r="GC26" s="1" t="n">
        <f aca="false">FZ26*MIN(Slot17_Cost,GB26)</f>
        <v>0</v>
      </c>
      <c r="GD26" s="1" t="n">
        <f aca="false">FZ26*Slot17_SpendLike*MIN(Slot17_Cost-GC26,FV26)</f>
        <v>0</v>
      </c>
      <c r="GE26" s="1" t="n">
        <f aca="false">GC26+GD26</f>
        <v>0</v>
      </c>
      <c r="GF26" s="1" t="n">
        <f aca="false">FV26-GD26+FZ26*IF(Slot17_SpendLike=1,GB26-GC26,IF(Slot17_PotFree=1,GB26,0))</f>
        <v>0</v>
      </c>
      <c r="GG26" s="1" t="n">
        <f aca="false">FW26+FZ26*Slot17_BufPot*GB26</f>
        <v>0</v>
      </c>
      <c r="GH26" s="1" t="n">
        <f aca="false">IF(AND(FZ26=1,Slot17_IsMfree=1),IF(GE26&gt;=Slot17_Cost-1,0,MAX(0,FX26-GE26)),FX26)</f>
        <v>0</v>
      </c>
      <c r="GI26" s="1" t="n">
        <f aca="false">FZ26*(Slot17_Cost-GE26)</f>
        <v>0</v>
      </c>
      <c r="GJ26" s="1" t="n">
        <f aca="false">IF(AND(Slot18_On=1,D26=Slot18_Age),1,0)</f>
        <v>0</v>
      </c>
      <c r="GK26" s="1" t="n">
        <f aca="false">IF(AND(Slot18_On=1,Slot18_Age&gt;D26),1,0)</f>
        <v>0</v>
      </c>
      <c r="GL26" s="1" t="n">
        <f aca="false">TB25</f>
        <v>0</v>
      </c>
      <c r="GM26" s="1" t="n">
        <f aca="false">GJ26*MIN(Slot18_Cost,GL26)</f>
        <v>0</v>
      </c>
      <c r="GN26" s="1" t="n">
        <f aca="false">GJ26*Slot18_SpendLike*MIN(Slot18_Cost-GM26,GF26)</f>
        <v>0</v>
      </c>
      <c r="GO26" s="1" t="n">
        <f aca="false">GM26+GN26</f>
        <v>0</v>
      </c>
      <c r="GP26" s="1" t="n">
        <f aca="false">GF26-GN26+GJ26*IF(Slot18_SpendLike=1,GL26-GM26,IF(Slot18_PotFree=1,GL26,0))</f>
        <v>0</v>
      </c>
      <c r="GQ26" s="1" t="n">
        <f aca="false">GG26+GJ26*Slot18_BufPot*GL26</f>
        <v>0</v>
      </c>
      <c r="GR26" s="1" t="n">
        <f aca="false">IF(AND(GJ26=1,Slot18_IsMfree=1),IF(GO26&gt;=Slot18_Cost-1,0,MAX(0,GH26-GO26)),GH26)</f>
        <v>0</v>
      </c>
      <c r="GS26" s="1" t="n">
        <f aca="false">GJ26*(Slot18_Cost-GO26)</f>
        <v>0</v>
      </c>
      <c r="GT26" s="1" t="n">
        <f aca="false">IF(AND(Slot19_On=1,D26=Slot19_Age),1,0)</f>
        <v>0</v>
      </c>
      <c r="GU26" s="1" t="n">
        <f aca="false">IF(AND(Slot19_On=1,Slot19_Age&gt;D26),1,0)</f>
        <v>0</v>
      </c>
      <c r="GV26" s="1" t="n">
        <f aca="false">TF25</f>
        <v>0</v>
      </c>
      <c r="GW26" s="1" t="n">
        <f aca="false">GT26*MIN(Slot19_Cost,GV26)</f>
        <v>0</v>
      </c>
      <c r="GX26" s="1" t="n">
        <f aca="false">GT26*Slot19_SpendLike*MIN(Slot19_Cost-GW26,GP26)</f>
        <v>0</v>
      </c>
      <c r="GY26" s="1" t="n">
        <f aca="false">GW26+GX26</f>
        <v>0</v>
      </c>
      <c r="GZ26" s="1" t="n">
        <f aca="false">GP26-GX26+GT26*IF(Slot19_SpendLike=1,GV26-GW26,IF(Slot19_PotFree=1,GV26,0))</f>
        <v>0</v>
      </c>
      <c r="HA26" s="1" t="n">
        <f aca="false">GQ26+GT26*Slot19_BufPot*GV26</f>
        <v>0</v>
      </c>
      <c r="HB26" s="1" t="n">
        <f aca="false">IF(AND(GT26=1,Slot19_IsMfree=1),IF(GY26&gt;=Slot19_Cost-1,0,MAX(0,GR26-GY26)),GR26)</f>
        <v>0</v>
      </c>
      <c r="HC26" s="1" t="n">
        <f aca="false">GT26*(Slot19_Cost-GY26)</f>
        <v>0</v>
      </c>
      <c r="HD26" s="1" t="n">
        <f aca="false">IF(AND(Slot20_On=1,D26=Slot20_Age),1,0)</f>
        <v>0</v>
      </c>
      <c r="HE26" s="1" t="n">
        <f aca="false">IF(AND(Slot20_On=1,Slot20_Age&gt;D26),1,0)</f>
        <v>0</v>
      </c>
      <c r="HF26" s="1" t="n">
        <f aca="false">TJ25</f>
        <v>0</v>
      </c>
      <c r="HG26" s="1" t="n">
        <f aca="false">HD26*MIN(Slot20_Cost,HF26)</f>
        <v>0</v>
      </c>
      <c r="HH26" s="1" t="n">
        <f aca="false">HD26*Slot20_SpendLike*MIN(Slot20_Cost-HG26,GZ26)</f>
        <v>0</v>
      </c>
      <c r="HI26" s="1" t="n">
        <f aca="false">HG26+HH26</f>
        <v>0</v>
      </c>
      <c r="HJ26" s="1" t="n">
        <f aca="false">GZ26-HH26+HD26*IF(Slot20_SpendLike=1,HF26-HG26,IF(Slot20_PotFree=1,HF26,0))</f>
        <v>0</v>
      </c>
      <c r="HK26" s="1" t="n">
        <f aca="false">HA26+HD26*Slot20_BufPot*HF26</f>
        <v>0</v>
      </c>
      <c r="HL26" s="1" t="n">
        <f aca="false">IF(AND(HD26=1,Slot20_IsMfree=1),IF(HI26&gt;=Slot20_Cost-1,0,MAX(0,HB26-HI26)),HB26)</f>
        <v>0</v>
      </c>
      <c r="HM26" s="1" t="n">
        <f aca="false">HD26*(Slot20_Cost-HI26)</f>
        <v>0</v>
      </c>
      <c r="HN26" s="1" t="n">
        <f aca="false">U26*Slot1_SpendLike*Z26+AF26*Slot2_SpendLike*AK26+AP26*Slot3_SpendLike*AU26+AZ26*Slot4_SpendLike*BE26+BJ26*Slot5_SpendLike*BO26+BT26*Slot6_SpendLike*BY26+CD26*Slot7_SpendLike*CI26+CN26*Slot8_SpendLike*CS26+CX26*Slot9_SpendLike*DC26+DH26*Slot10_SpendLike*DM26+DR26*Slot11_SpendLike*DW26+EB26*Slot12_SpendLike*EG26+EL26*Slot13_SpendLike*EQ26+EV26*Slot14_SpendLike*FA26+FF26*Slot15_SpendLike*FK26+FP26*Slot16_SpendLike*FU26+FZ26*Slot17_SpendLike*GE26+GJ26*Slot18_SpendLike*GO26+GT26*Slot19_SpendLike*GY26+HD26*Slot20_SpendLike*HI26</f>
        <v>0</v>
      </c>
      <c r="HO26" s="1" t="n">
        <f aca="false">AD26+AO26+AY26+BI26+BS26+CC26+CM26+CW26+DG26+DQ26+EA26+EK26+EU26+FE26+FO26+FY26+GI26+GS26+HC26+HM26</f>
        <v>0</v>
      </c>
      <c r="HP26" s="1" t="n">
        <f aca="false">U26*Slot1_Cost+AF26*Slot2_Cost+AP26*Slot3_Cost+AZ26*Slot4_Cost+BJ26*Slot5_Cost+BT26*Slot6_Cost+CD26*Slot7_Cost+CN26*Slot8_Cost+CX26*Slot9_Cost+DH26*Slot10_Cost+DR26*Slot11_Cost+EB26*Slot12_Cost+EL26*Slot13_Cost+EV26*Slot14_Cost+FF26*Slot15_Cost+FP26*Slot16_Cost+FZ26*Slot17_Cost+GJ26*Slot18_Cost+GT26*Slot19_Cost+HD26*Slot20_Cost</f>
        <v>0</v>
      </c>
      <c r="HQ26" s="1" t="n">
        <f aca="false">HL26</f>
        <v>0</v>
      </c>
      <c r="HR26" s="1" t="n">
        <f aca="false">G26-H26-R26</f>
        <v>0</v>
      </c>
      <c r="HS26" s="1" t="n">
        <f aca="false">IF(B26=0,IF(AND(Has_q6=1,In_q6=4),PR_ShareVaries*(MAX(0,HR26)/12),MIN(IF(Has_q6=1,CHOOSE(In_q6+1,PR_SaveB1,PR_SaveB2,PR_SaveB3,PR_SaveB4,0),AS_NoAnswer),AS_SaveShare*(MAX(0,HR26)/12))),HS25)</f>
        <v>0</v>
      </c>
      <c r="HT26" s="1" t="n">
        <f aca="false">IF(HR26&gt;=0,1,0)</f>
        <v>1</v>
      </c>
      <c r="HU26" s="1" t="n">
        <f aca="false">MAX(0,HR26/12/E26)</f>
        <v>0</v>
      </c>
      <c r="HV26" s="1" t="n">
        <f aca="false">IF(AND(Has_q6=1,In_q6=4),PR_ShareVaries*(HU26),MIN(IF(Has_q6=1,CHOOSE(In_q6+1,PR_SaveB1,PR_SaveB2,PR_SaveB3,PR_SaveB4,0),AS_NoAnswer),AS_SaveShare*(HU26)))</f>
        <v>0</v>
      </c>
      <c r="HW26" s="1" t="n">
        <f aca="false">IF(Has_saveM=1,IF(In_saveUp="Yes",1,IF(In_saveUp="No",0,IF(In_saveM&gt;=HS26-0.5,1,0))),0)</f>
        <v>0</v>
      </c>
      <c r="HX26" s="1" t="n">
        <f aca="false">IF(Has_saveM=1,MIN(HU26,IF(HW26=1,MAX(In_saveM,HV26),MIN(In_saveM,HV26))),HV26)</f>
        <v>0</v>
      </c>
      <c r="HY26" s="1" t="n">
        <f aca="false">IF(F26=1,HX26*12*E26,0)</f>
        <v>0</v>
      </c>
      <c r="HZ26" s="1" t="n">
        <f aca="false">MAX(0,HY26+IF(AND(WI_Retire=0,WI_M&lt;0,F26=1),WI_M*12*E26,0))</f>
        <v>0</v>
      </c>
      <c r="IA26" s="1" t="n">
        <f aca="false">Slot1_IsWG*V26+Slot2_IsWG*AG26+Slot3_IsWG*AQ26+Slot4_IsWG*BA26+Slot5_IsWG*BK26+Slot6_IsWG*BU26+Slot7_IsWG*CE26+Slot8_IsWG*CO26+Slot9_IsWG*CY26+Slot10_IsWG*DI26+Slot11_IsWG*DS26+Slot12_IsWG*EC26+Slot13_IsWG*EM26+Slot14_IsWG*EW26+Slot15_IsWG*FG26+Slot16_IsWG*FQ26+Slot17_IsWG*GA26+Slot18_IsWG*GK26+Slot19_IsWG*GU26+Slot20_IsWG*HE26</f>
        <v>0</v>
      </c>
      <c r="IB26" s="1" t="n">
        <f aca="false">IF(AND(WI_Retire=0,WI_M&gt;0,F26=1,IA26&gt;=1),WI_M*12*E26,0)</f>
        <v>0</v>
      </c>
      <c r="IC26" s="1" t="n">
        <f aca="false">IF(HT26=1,MIN(HZ26,HR26),0)</f>
        <v>0</v>
      </c>
      <c r="ID26" s="1" t="n">
        <f aca="false">IF(HT26=1,MIN(IB26,HR26-IC26),0)</f>
        <v>0</v>
      </c>
      <c r="IE26" s="1" t="n">
        <f aca="false">IF(V26=1,IF(ABS((1+AS_Wage)/(1+Slot1_Rate)-1)&lt;0.000000000001,(Slot1_Age-D26)*(1+Slot1_Rate)^(Slot1_Age-D26),(1+Slot1_Rate)^(Slot1_Age-D26)*(1-((1+AS_Wage)/(1+Slot1_Rate))^(Slot1_Age-D26))/(1-(1+AS_Wage)/(1+Slot1_Rate))),1)</f>
        <v>1</v>
      </c>
      <c r="IF26" s="1" t="n">
        <f aca="false">IF(AND(HT26=1,ID26&gt;0,Slot1_IsWG=1,V26=1),MAX(0,(Slot1_Cost-W26*(1+Slot1_Rate)^(Slot1_Age-D26))/IE26),0)</f>
        <v>0</v>
      </c>
      <c r="IG26" s="1" t="n">
        <f aca="false">IF(AND(HT26=1,ID26&gt;0,Slot1_IsWG=1,V26=1),MIN(ID26,IF26),0)</f>
        <v>0</v>
      </c>
      <c r="IH26" s="1" t="n">
        <f aca="false">W26+IG26</f>
        <v>0</v>
      </c>
      <c r="II26" s="1" t="n">
        <f aca="false">IF(V26=1,MAX(0,(Slot1_Cost-IH26*(1+Slot1_Rate)^(Slot1_Age-D26))/IE26),0)</f>
        <v>0</v>
      </c>
      <c r="IJ26" s="1" t="n">
        <f aca="false">IF(V26=1,MAX(0,(Slot1_Cost-W26*(1+Slot1_Rate)^(Slot1_Age-D26))/IE26),0)</f>
        <v>0</v>
      </c>
      <c r="IK26" s="1" t="n">
        <f aca="false">IF(AND(HT26=1,V26=1),MIN(IC26,II26),0)</f>
        <v>0</v>
      </c>
      <c r="IL26" s="1" t="n">
        <f aca="false">IC26-IK26</f>
        <v>0</v>
      </c>
      <c r="IM26" s="1" t="n">
        <f aca="false">IF(AG26=1,IF(ABS((1+AS_Wage)/(1+Slot2_Rate)-1)&lt;0.000000000001,(Slot2_Age-D26)*(1+Slot2_Rate)^(Slot2_Age-D26),(1+Slot2_Rate)^(Slot2_Age-D26)*(1-((1+AS_Wage)/(1+Slot2_Rate))^(Slot2_Age-D26))/(1-(1+AS_Wage)/(1+Slot2_Rate))),1)</f>
        <v>1</v>
      </c>
      <c r="IN26" s="1" t="n">
        <f aca="false">IF(AND(HT26=1,ID26&gt;0,Slot2_IsWG=1,AG26=1),MAX(0,(Slot2_Cost-AH26*(1+Slot2_Rate)^(Slot2_Age-D26))/IM26),0)</f>
        <v>0</v>
      </c>
      <c r="IO26" s="1" t="n">
        <f aca="false">IF(AND(HT26=1,ID26&gt;0,Slot2_IsWG=1,AG26=1),MIN(ID26,IN26),0)</f>
        <v>0</v>
      </c>
      <c r="IP26" s="1" t="n">
        <f aca="false">AH26+IO26</f>
        <v>0</v>
      </c>
      <c r="IQ26" s="1" t="n">
        <f aca="false">IF(AG26=1,MAX(0,(Slot2_Cost-IP26*(1+Slot2_Rate)^(Slot2_Age-D26))/IM26),0)</f>
        <v>0</v>
      </c>
      <c r="IR26" s="1" t="n">
        <f aca="false">IF(AG26=1,MAX(0,(Slot2_Cost-AH26*(1+Slot2_Rate)^(Slot2_Age-D26))/IM26),0)</f>
        <v>0</v>
      </c>
      <c r="IS26" s="1" t="n">
        <f aca="false">IF(AND(HT26=1,AG26=1),MIN(IL26,IQ26),0)</f>
        <v>0</v>
      </c>
      <c r="IT26" s="1" t="n">
        <f aca="false">IL26-IS26</f>
        <v>0</v>
      </c>
      <c r="IU26" s="1" t="n">
        <f aca="false">IF(AQ26=1,IF(ABS((1+AS_Wage)/(1+Slot3_Rate)-1)&lt;0.000000000001,(Slot3_Age-D26)*(1+Slot3_Rate)^(Slot3_Age-D26),(1+Slot3_Rate)^(Slot3_Age-D26)*(1-((1+AS_Wage)/(1+Slot3_Rate))^(Slot3_Age-D26))/(1-(1+AS_Wage)/(1+Slot3_Rate))),1)</f>
        <v>1</v>
      </c>
      <c r="IV26" s="1" t="n">
        <f aca="false">IF(AND(HT26=1,ID26&gt;0,Slot3_IsWG=1,AQ26=1),MAX(0,(Slot3_Cost-AR26*(1+Slot3_Rate)^(Slot3_Age-D26))/IU26),0)</f>
        <v>0</v>
      </c>
      <c r="IW26" s="1" t="n">
        <f aca="false">IF(AND(HT26=1,ID26&gt;0,Slot3_IsWG=1,AQ26=1),MIN(ID26,IV26),0)</f>
        <v>0</v>
      </c>
      <c r="IX26" s="1" t="n">
        <f aca="false">AR26+IW26</f>
        <v>0</v>
      </c>
      <c r="IY26" s="1" t="n">
        <f aca="false">IF(AQ26=1,MAX(0,(Slot3_Cost-IX26*(1+Slot3_Rate)^(Slot3_Age-D26))/IU26),0)</f>
        <v>0</v>
      </c>
      <c r="IZ26" s="1" t="n">
        <f aca="false">IF(AQ26=1,MAX(0,(Slot3_Cost-AR26*(1+Slot3_Rate)^(Slot3_Age-D26))/IU26),0)</f>
        <v>0</v>
      </c>
      <c r="JA26" s="1" t="n">
        <f aca="false">IF(AND(HT26=1,AQ26=1),MIN(IT26,IY26),0)</f>
        <v>0</v>
      </c>
      <c r="JB26" s="1" t="n">
        <f aca="false">IT26-JA26</f>
        <v>0</v>
      </c>
      <c r="JC26" s="1" t="n">
        <f aca="false">IF(BA26=1,IF(ABS((1+AS_Wage)/(1+Slot4_Rate)-1)&lt;0.000000000001,(Slot4_Age-D26)*(1+Slot4_Rate)^(Slot4_Age-D26),(1+Slot4_Rate)^(Slot4_Age-D26)*(1-((1+AS_Wage)/(1+Slot4_Rate))^(Slot4_Age-D26))/(1-(1+AS_Wage)/(1+Slot4_Rate))),1)</f>
        <v>1</v>
      </c>
      <c r="JD26" s="1" t="n">
        <f aca="false">IF(AND(HT26=1,ID26&gt;0,Slot4_IsWG=1,BA26=1),MAX(0,(Slot4_Cost-BB26*(1+Slot4_Rate)^(Slot4_Age-D26))/JC26),0)</f>
        <v>0</v>
      </c>
      <c r="JE26" s="1" t="n">
        <f aca="false">IF(AND(HT26=1,ID26&gt;0,Slot4_IsWG=1,BA26=1),MIN(ID26,JD26),0)</f>
        <v>0</v>
      </c>
      <c r="JF26" s="1" t="n">
        <f aca="false">BB26+JE26</f>
        <v>0</v>
      </c>
      <c r="JG26" s="1" t="n">
        <f aca="false">IF(BA26=1,MAX(0,(Slot4_Cost-JF26*(1+Slot4_Rate)^(Slot4_Age-D26))/JC26),0)</f>
        <v>0</v>
      </c>
      <c r="JH26" s="1" t="n">
        <f aca="false">IF(BA26=1,MAX(0,(Slot4_Cost-BB26*(1+Slot4_Rate)^(Slot4_Age-D26))/JC26),0)</f>
        <v>0</v>
      </c>
      <c r="JI26" s="1" t="n">
        <f aca="false">IF(AND(HT26=1,BA26=1),MIN(JB26,JG26),0)</f>
        <v>0</v>
      </c>
      <c r="JJ26" s="1" t="n">
        <f aca="false">JB26-JI26</f>
        <v>0</v>
      </c>
      <c r="JK26" s="1" t="n">
        <f aca="false">IF(BK26=1,IF(ABS((1+AS_Wage)/(1+Slot5_Rate)-1)&lt;0.000000000001,(Slot5_Age-D26)*(1+Slot5_Rate)^(Slot5_Age-D26),(1+Slot5_Rate)^(Slot5_Age-D26)*(1-((1+AS_Wage)/(1+Slot5_Rate))^(Slot5_Age-D26))/(1-(1+AS_Wage)/(1+Slot5_Rate))),1)</f>
        <v>1</v>
      </c>
      <c r="JL26" s="1" t="n">
        <f aca="false">IF(AND(HT26=1,ID26&gt;0,Slot5_IsWG=1,BK26=1),MAX(0,(Slot5_Cost-BL26*(1+Slot5_Rate)^(Slot5_Age-D26))/JK26),0)</f>
        <v>0</v>
      </c>
      <c r="JM26" s="1" t="n">
        <f aca="false">IF(AND(HT26=1,ID26&gt;0,Slot5_IsWG=1,BK26=1),MIN(ID26,JL26),0)</f>
        <v>0</v>
      </c>
      <c r="JN26" s="1" t="n">
        <f aca="false">BL26+JM26</f>
        <v>0</v>
      </c>
      <c r="JO26" s="1" t="n">
        <f aca="false">IF(BK26=1,MAX(0,(Slot5_Cost-JN26*(1+Slot5_Rate)^(Slot5_Age-D26))/JK26),0)</f>
        <v>0</v>
      </c>
      <c r="JP26" s="1" t="n">
        <f aca="false">IF(BK26=1,MAX(0,(Slot5_Cost-BL26*(1+Slot5_Rate)^(Slot5_Age-D26))/JK26),0)</f>
        <v>0</v>
      </c>
      <c r="JQ26" s="1" t="n">
        <f aca="false">IF(AND(HT26=1,BK26=1),MIN(JJ26,JO26),0)</f>
        <v>0</v>
      </c>
      <c r="JR26" s="1" t="n">
        <f aca="false">JJ26-JQ26</f>
        <v>0</v>
      </c>
      <c r="JS26" s="1" t="n">
        <f aca="false">IF(BU26=1,IF(ABS((1+AS_Wage)/(1+Slot6_Rate)-1)&lt;0.000000000001,(Slot6_Age-D26)*(1+Slot6_Rate)^(Slot6_Age-D26),(1+Slot6_Rate)^(Slot6_Age-D26)*(1-((1+AS_Wage)/(1+Slot6_Rate))^(Slot6_Age-D26))/(1-(1+AS_Wage)/(1+Slot6_Rate))),1)</f>
        <v>1</v>
      </c>
      <c r="JT26" s="1" t="n">
        <f aca="false">IF(AND(HT26=1,ID26&gt;0,Slot6_IsWG=1,BU26=1),MAX(0,(Slot6_Cost-BV26*(1+Slot6_Rate)^(Slot6_Age-D26))/JS26),0)</f>
        <v>0</v>
      </c>
      <c r="JU26" s="1" t="n">
        <f aca="false">IF(AND(HT26=1,ID26&gt;0,Slot6_IsWG=1,BU26=1),MIN(ID26,JT26),0)</f>
        <v>0</v>
      </c>
      <c r="JV26" s="1" t="n">
        <f aca="false">BV26+JU26</f>
        <v>0</v>
      </c>
      <c r="JW26" s="1" t="n">
        <f aca="false">IF(BU26=1,MAX(0,(Slot6_Cost-JV26*(1+Slot6_Rate)^(Slot6_Age-D26))/JS26),0)</f>
        <v>0</v>
      </c>
      <c r="JX26" s="1" t="n">
        <f aca="false">IF(BU26=1,MAX(0,(Slot6_Cost-BV26*(1+Slot6_Rate)^(Slot6_Age-D26))/JS26),0)</f>
        <v>0</v>
      </c>
      <c r="JY26" s="1" t="n">
        <f aca="false">IF(AND(HT26=1,BU26=1),MIN(JR26,JW26),0)</f>
        <v>0</v>
      </c>
      <c r="JZ26" s="1" t="n">
        <f aca="false">JR26-JY26</f>
        <v>0</v>
      </c>
      <c r="KA26" s="1" t="n">
        <f aca="false">IF(CE26=1,IF(ABS((1+AS_Wage)/(1+Slot7_Rate)-1)&lt;0.000000000001,(Slot7_Age-D26)*(1+Slot7_Rate)^(Slot7_Age-D26),(1+Slot7_Rate)^(Slot7_Age-D26)*(1-((1+AS_Wage)/(1+Slot7_Rate))^(Slot7_Age-D26))/(1-(1+AS_Wage)/(1+Slot7_Rate))),1)</f>
        <v>1</v>
      </c>
      <c r="KB26" s="1" t="n">
        <f aca="false">IF(AND(HT26=1,ID26&gt;0,Slot7_IsWG=1,CE26=1),MAX(0,(Slot7_Cost-CF26*(1+Slot7_Rate)^(Slot7_Age-D26))/KA26),0)</f>
        <v>0</v>
      </c>
      <c r="KC26" s="1" t="n">
        <f aca="false">IF(AND(HT26=1,ID26&gt;0,Slot7_IsWG=1,CE26=1),MIN(ID26,KB26),0)</f>
        <v>0</v>
      </c>
      <c r="KD26" s="1" t="n">
        <f aca="false">CF26+KC26</f>
        <v>0</v>
      </c>
      <c r="KE26" s="1" t="n">
        <f aca="false">IF(CE26=1,MAX(0,(Slot7_Cost-KD26*(1+Slot7_Rate)^(Slot7_Age-D26))/KA26),0)</f>
        <v>0</v>
      </c>
      <c r="KF26" s="1" t="n">
        <f aca="false">IF(CE26=1,MAX(0,(Slot7_Cost-CF26*(1+Slot7_Rate)^(Slot7_Age-D26))/KA26),0)</f>
        <v>0</v>
      </c>
      <c r="KG26" s="1" t="n">
        <f aca="false">IF(AND(HT26=1,CE26=1),MIN(JZ26,KE26),0)</f>
        <v>0</v>
      </c>
      <c r="KH26" s="1" t="n">
        <f aca="false">JZ26-KG26</f>
        <v>0</v>
      </c>
      <c r="KI26" s="1" t="n">
        <f aca="false">IF(CO26=1,IF(ABS((1+AS_Wage)/(1+Slot8_Rate)-1)&lt;0.000000000001,(Slot8_Age-D26)*(1+Slot8_Rate)^(Slot8_Age-D26),(1+Slot8_Rate)^(Slot8_Age-D26)*(1-((1+AS_Wage)/(1+Slot8_Rate))^(Slot8_Age-D26))/(1-(1+AS_Wage)/(1+Slot8_Rate))),1)</f>
        <v>1</v>
      </c>
      <c r="KJ26" s="1" t="n">
        <f aca="false">IF(AND(HT26=1,ID26&gt;0,Slot8_IsWG=1,CO26=1),MAX(0,(Slot8_Cost-CP26*(1+Slot8_Rate)^(Slot8_Age-D26))/KI26),0)</f>
        <v>0</v>
      </c>
      <c r="KK26" s="1" t="n">
        <f aca="false">IF(AND(HT26=1,ID26&gt;0,Slot8_IsWG=1,CO26=1),MIN(ID26,KJ26),0)</f>
        <v>0</v>
      </c>
      <c r="KL26" s="1" t="n">
        <f aca="false">CP26+KK26</f>
        <v>0</v>
      </c>
      <c r="KM26" s="1" t="n">
        <f aca="false">IF(CO26=1,MAX(0,(Slot8_Cost-KL26*(1+Slot8_Rate)^(Slot8_Age-D26))/KI26),0)</f>
        <v>0</v>
      </c>
      <c r="KN26" s="1" t="n">
        <f aca="false">IF(CO26=1,MAX(0,(Slot8_Cost-CP26*(1+Slot8_Rate)^(Slot8_Age-D26))/KI26),0)</f>
        <v>0</v>
      </c>
      <c r="KO26" s="1" t="n">
        <f aca="false">IF(AND(HT26=1,CO26=1),MIN(KH26,KM26),0)</f>
        <v>0</v>
      </c>
      <c r="KP26" s="1" t="n">
        <f aca="false">KH26-KO26</f>
        <v>0</v>
      </c>
      <c r="KQ26" s="1" t="n">
        <f aca="false">IF(CY26=1,IF(ABS((1+AS_Wage)/(1+Slot9_Rate)-1)&lt;0.000000000001,(Slot9_Age-D26)*(1+Slot9_Rate)^(Slot9_Age-D26),(1+Slot9_Rate)^(Slot9_Age-D26)*(1-((1+AS_Wage)/(1+Slot9_Rate))^(Slot9_Age-D26))/(1-(1+AS_Wage)/(1+Slot9_Rate))),1)</f>
        <v>1</v>
      </c>
      <c r="KR26" s="1" t="n">
        <f aca="false">IF(AND(HT26=1,ID26&gt;0,Slot9_IsWG=1,CY26=1),MAX(0,(Slot9_Cost-CZ26*(1+Slot9_Rate)^(Slot9_Age-D26))/KQ26),0)</f>
        <v>0</v>
      </c>
      <c r="KS26" s="1" t="n">
        <f aca="false">IF(AND(HT26=1,ID26&gt;0,Slot9_IsWG=1,CY26=1),MIN(ID26,KR26),0)</f>
        <v>0</v>
      </c>
      <c r="KT26" s="1" t="n">
        <f aca="false">CZ26+KS26</f>
        <v>0</v>
      </c>
      <c r="KU26" s="1" t="n">
        <f aca="false">IF(CY26=1,MAX(0,(Slot9_Cost-KT26*(1+Slot9_Rate)^(Slot9_Age-D26))/KQ26),0)</f>
        <v>0</v>
      </c>
      <c r="KV26" s="1" t="n">
        <f aca="false">IF(CY26=1,MAX(0,(Slot9_Cost-CZ26*(1+Slot9_Rate)^(Slot9_Age-D26))/KQ26),0)</f>
        <v>0</v>
      </c>
      <c r="KW26" s="1" t="n">
        <f aca="false">IF(AND(HT26=1,CY26=1),MIN(KP26,KU26),0)</f>
        <v>0</v>
      </c>
      <c r="KX26" s="1" t="n">
        <f aca="false">KP26-KW26</f>
        <v>0</v>
      </c>
      <c r="KY26" s="1" t="n">
        <f aca="false">IF(DI26=1,IF(ABS((1+AS_Wage)/(1+Slot10_Rate)-1)&lt;0.000000000001,(Slot10_Age-D26)*(1+Slot10_Rate)^(Slot10_Age-D26),(1+Slot10_Rate)^(Slot10_Age-D26)*(1-((1+AS_Wage)/(1+Slot10_Rate))^(Slot10_Age-D26))/(1-(1+AS_Wage)/(1+Slot10_Rate))),1)</f>
        <v>1</v>
      </c>
      <c r="KZ26" s="1" t="n">
        <f aca="false">IF(AND(HT26=1,ID26&gt;0,Slot10_IsWG=1,DI26=1),MAX(0,(Slot10_Cost-DJ26*(1+Slot10_Rate)^(Slot10_Age-D26))/KY26),0)</f>
        <v>0</v>
      </c>
      <c r="LA26" s="1" t="n">
        <f aca="false">IF(AND(HT26=1,ID26&gt;0,Slot10_IsWG=1,DI26=1),MIN(ID26,KZ26),0)</f>
        <v>0</v>
      </c>
      <c r="LB26" s="1" t="n">
        <f aca="false">DJ26+LA26</f>
        <v>0</v>
      </c>
      <c r="LC26" s="1" t="n">
        <f aca="false">IF(DI26=1,MAX(0,(Slot10_Cost-LB26*(1+Slot10_Rate)^(Slot10_Age-D26))/KY26),0)</f>
        <v>0</v>
      </c>
      <c r="LD26" s="1" t="n">
        <f aca="false">IF(DI26=1,MAX(0,(Slot10_Cost-DJ26*(1+Slot10_Rate)^(Slot10_Age-D26))/KY26),0)</f>
        <v>0</v>
      </c>
      <c r="LE26" s="1" t="n">
        <f aca="false">IF(AND(HT26=1,DI26=1),MIN(KX26,LC26),0)</f>
        <v>0</v>
      </c>
      <c r="LF26" s="1" t="n">
        <f aca="false">KX26-LE26</f>
        <v>0</v>
      </c>
      <c r="LG26" s="1" t="n">
        <f aca="false">IF(DS26=1,IF(ABS((1+AS_Wage)/(1+Slot11_Rate)-1)&lt;0.000000000001,(Slot11_Age-D26)*(1+Slot11_Rate)^(Slot11_Age-D26),(1+Slot11_Rate)^(Slot11_Age-D26)*(1-((1+AS_Wage)/(1+Slot11_Rate))^(Slot11_Age-D26))/(1-(1+AS_Wage)/(1+Slot11_Rate))),1)</f>
        <v>1</v>
      </c>
      <c r="LH26" s="1" t="n">
        <f aca="false">IF(AND(HT26=1,ID26&gt;0,Slot11_IsWG=1,DS26=1),MAX(0,(Slot11_Cost-DT26*(1+Slot11_Rate)^(Slot11_Age-D26))/LG26),0)</f>
        <v>0</v>
      </c>
      <c r="LI26" s="1" t="n">
        <f aca="false">IF(AND(HT26=1,ID26&gt;0,Slot11_IsWG=1,DS26=1),MIN(ID26,LH26),0)</f>
        <v>0</v>
      </c>
      <c r="LJ26" s="1" t="n">
        <f aca="false">DT26+LI26</f>
        <v>0</v>
      </c>
      <c r="LK26" s="1" t="n">
        <f aca="false">IF(DS26=1,MAX(0,(Slot11_Cost-LJ26*(1+Slot11_Rate)^(Slot11_Age-D26))/LG26),0)</f>
        <v>0</v>
      </c>
      <c r="LL26" s="1" t="n">
        <f aca="false">IF(DS26=1,MAX(0,(Slot11_Cost-DT26*(1+Slot11_Rate)^(Slot11_Age-D26))/LG26),0)</f>
        <v>0</v>
      </c>
      <c r="LM26" s="1" t="n">
        <f aca="false">IF(AND(HT26=1,DS26=1),MIN(LF26,LK26),0)</f>
        <v>0</v>
      </c>
      <c r="LN26" s="1" t="n">
        <f aca="false">LF26-LM26</f>
        <v>0</v>
      </c>
      <c r="LO26" s="1" t="n">
        <f aca="false">IF(EC26=1,IF(ABS((1+AS_Wage)/(1+Slot12_Rate)-1)&lt;0.000000000001,(Slot12_Age-D26)*(1+Slot12_Rate)^(Slot12_Age-D26),(1+Slot12_Rate)^(Slot12_Age-D26)*(1-((1+AS_Wage)/(1+Slot12_Rate))^(Slot12_Age-D26))/(1-(1+AS_Wage)/(1+Slot12_Rate))),1)</f>
        <v>1</v>
      </c>
      <c r="LP26" s="1" t="n">
        <f aca="false">IF(AND(HT26=1,ID26&gt;0,Slot12_IsWG=1,EC26=1),MAX(0,(Slot12_Cost-ED26*(1+Slot12_Rate)^(Slot12_Age-D26))/LO26),0)</f>
        <v>0</v>
      </c>
      <c r="LQ26" s="1" t="n">
        <f aca="false">IF(AND(HT26=1,ID26&gt;0,Slot12_IsWG=1,EC26=1),MIN(ID26,LP26),0)</f>
        <v>0</v>
      </c>
      <c r="LR26" s="1" t="n">
        <f aca="false">ED26+LQ26</f>
        <v>0</v>
      </c>
      <c r="LS26" s="1" t="n">
        <f aca="false">IF(EC26=1,MAX(0,(Slot12_Cost-LR26*(1+Slot12_Rate)^(Slot12_Age-D26))/LO26),0)</f>
        <v>0</v>
      </c>
      <c r="LT26" s="1" t="n">
        <f aca="false">IF(EC26=1,MAX(0,(Slot12_Cost-ED26*(1+Slot12_Rate)^(Slot12_Age-D26))/LO26),0)</f>
        <v>0</v>
      </c>
      <c r="LU26" s="1" t="n">
        <f aca="false">IF(AND(HT26=1,EC26=1),MIN(LN26,LS26),0)</f>
        <v>0</v>
      </c>
      <c r="LV26" s="1" t="n">
        <f aca="false">LN26-LU26</f>
        <v>0</v>
      </c>
      <c r="LW26" s="1" t="n">
        <f aca="false">IF(EM26=1,IF(ABS((1+AS_Wage)/(1+Slot13_Rate)-1)&lt;0.000000000001,(Slot13_Age-D26)*(1+Slot13_Rate)^(Slot13_Age-D26),(1+Slot13_Rate)^(Slot13_Age-D26)*(1-((1+AS_Wage)/(1+Slot13_Rate))^(Slot13_Age-D26))/(1-(1+AS_Wage)/(1+Slot13_Rate))),1)</f>
        <v>1</v>
      </c>
      <c r="LX26" s="1" t="n">
        <f aca="false">IF(AND(HT26=1,ID26&gt;0,Slot13_IsWG=1,EM26=1),MAX(0,(Slot13_Cost-EN26*(1+Slot13_Rate)^(Slot13_Age-D26))/LW26),0)</f>
        <v>0</v>
      </c>
      <c r="LY26" s="1" t="n">
        <f aca="false">IF(AND(HT26=1,ID26&gt;0,Slot13_IsWG=1,EM26=1),MIN(ID26,LX26),0)</f>
        <v>0</v>
      </c>
      <c r="LZ26" s="1" t="n">
        <f aca="false">EN26+LY26</f>
        <v>0</v>
      </c>
      <c r="MA26" s="1" t="n">
        <f aca="false">IF(EM26=1,MAX(0,(Slot13_Cost-LZ26*(1+Slot13_Rate)^(Slot13_Age-D26))/LW26),0)</f>
        <v>0</v>
      </c>
      <c r="MB26" s="1" t="n">
        <f aca="false">IF(EM26=1,MAX(0,(Slot13_Cost-EN26*(1+Slot13_Rate)^(Slot13_Age-D26))/LW26),0)</f>
        <v>0</v>
      </c>
      <c r="MC26" s="1" t="n">
        <f aca="false">IF(AND(HT26=1,EM26=1),MIN(LV26,MA26),0)</f>
        <v>0</v>
      </c>
      <c r="MD26" s="1" t="n">
        <f aca="false">LV26-MC26</f>
        <v>0</v>
      </c>
      <c r="ME26" s="1" t="n">
        <f aca="false">IF(EW26=1,IF(ABS((1+AS_Wage)/(1+Slot14_Rate)-1)&lt;0.000000000001,(Slot14_Age-D26)*(1+Slot14_Rate)^(Slot14_Age-D26),(1+Slot14_Rate)^(Slot14_Age-D26)*(1-((1+AS_Wage)/(1+Slot14_Rate))^(Slot14_Age-D26))/(1-(1+AS_Wage)/(1+Slot14_Rate))),1)</f>
        <v>1</v>
      </c>
      <c r="MF26" s="1" t="n">
        <f aca="false">IF(AND(HT26=1,ID26&gt;0,Slot14_IsWG=1,EW26=1),MAX(0,(Slot14_Cost-EX26*(1+Slot14_Rate)^(Slot14_Age-D26))/ME26),0)</f>
        <v>0</v>
      </c>
      <c r="MG26" s="1" t="n">
        <f aca="false">IF(AND(HT26=1,ID26&gt;0,Slot14_IsWG=1,EW26=1),MIN(ID26,MF26),0)</f>
        <v>0</v>
      </c>
      <c r="MH26" s="1" t="n">
        <f aca="false">EX26+MG26</f>
        <v>0</v>
      </c>
      <c r="MI26" s="1" t="n">
        <f aca="false">IF(EW26=1,MAX(0,(Slot14_Cost-MH26*(1+Slot14_Rate)^(Slot14_Age-D26))/ME26),0)</f>
        <v>0</v>
      </c>
      <c r="MJ26" s="1" t="n">
        <f aca="false">IF(EW26=1,MAX(0,(Slot14_Cost-EX26*(1+Slot14_Rate)^(Slot14_Age-D26))/ME26),0)</f>
        <v>0</v>
      </c>
      <c r="MK26" s="1" t="n">
        <f aca="false">IF(AND(HT26=1,EW26=1),MIN(MD26,MI26),0)</f>
        <v>0</v>
      </c>
      <c r="ML26" s="1" t="n">
        <f aca="false">MD26-MK26</f>
        <v>0</v>
      </c>
      <c r="MM26" s="1" t="n">
        <f aca="false">IF(FG26=1,IF(ABS((1+AS_Wage)/(1+Slot15_Rate)-1)&lt;0.000000000001,(Slot15_Age-D26)*(1+Slot15_Rate)^(Slot15_Age-D26),(1+Slot15_Rate)^(Slot15_Age-D26)*(1-((1+AS_Wage)/(1+Slot15_Rate))^(Slot15_Age-D26))/(1-(1+AS_Wage)/(1+Slot15_Rate))),1)</f>
        <v>1</v>
      </c>
      <c r="MN26" s="1" t="n">
        <f aca="false">IF(AND(HT26=1,ID26&gt;0,Slot15_IsWG=1,FG26=1),MAX(0,(Slot15_Cost-FH26*(1+Slot15_Rate)^(Slot15_Age-D26))/MM26),0)</f>
        <v>0</v>
      </c>
      <c r="MO26" s="1" t="n">
        <f aca="false">IF(AND(HT26=1,ID26&gt;0,Slot15_IsWG=1,FG26=1),MIN(ID26,MN26),0)</f>
        <v>0</v>
      </c>
      <c r="MP26" s="1" t="n">
        <f aca="false">FH26+MO26</f>
        <v>0</v>
      </c>
      <c r="MQ26" s="1" t="n">
        <f aca="false">IF(FG26=1,MAX(0,(Slot15_Cost-MP26*(1+Slot15_Rate)^(Slot15_Age-D26))/MM26),0)</f>
        <v>0</v>
      </c>
      <c r="MR26" s="1" t="n">
        <f aca="false">IF(FG26=1,MAX(0,(Slot15_Cost-FH26*(1+Slot15_Rate)^(Slot15_Age-D26))/MM26),0)</f>
        <v>0</v>
      </c>
      <c r="MS26" s="1" t="n">
        <f aca="false">IF(AND(HT26=1,FG26=1),MIN(ML26,MQ26),0)</f>
        <v>0</v>
      </c>
      <c r="MT26" s="1" t="n">
        <f aca="false">ML26-MS26</f>
        <v>0</v>
      </c>
      <c r="MU26" s="1" t="n">
        <f aca="false">IF(FQ26=1,IF(ABS((1+AS_Wage)/(1+Slot16_Rate)-1)&lt;0.000000000001,(Slot16_Age-D26)*(1+Slot16_Rate)^(Slot16_Age-D26),(1+Slot16_Rate)^(Slot16_Age-D26)*(1-((1+AS_Wage)/(1+Slot16_Rate))^(Slot16_Age-D26))/(1-(1+AS_Wage)/(1+Slot16_Rate))),1)</f>
        <v>1</v>
      </c>
      <c r="MV26" s="1" t="n">
        <f aca="false">IF(AND(HT26=1,ID26&gt;0,Slot16_IsWG=1,FQ26=1),MAX(0,(Slot16_Cost-FR26*(1+Slot16_Rate)^(Slot16_Age-D26))/MU26),0)</f>
        <v>0</v>
      </c>
      <c r="MW26" s="1" t="n">
        <f aca="false">IF(AND(HT26=1,ID26&gt;0,Slot16_IsWG=1,FQ26=1),MIN(ID26,MV26),0)</f>
        <v>0</v>
      </c>
      <c r="MX26" s="1" t="n">
        <f aca="false">FR26+MW26</f>
        <v>0</v>
      </c>
      <c r="MY26" s="1" t="n">
        <f aca="false">IF(FQ26=1,MAX(0,(Slot16_Cost-MX26*(1+Slot16_Rate)^(Slot16_Age-D26))/MU26),0)</f>
        <v>0</v>
      </c>
      <c r="MZ26" s="1" t="n">
        <f aca="false">IF(FQ26=1,MAX(0,(Slot16_Cost-FR26*(1+Slot16_Rate)^(Slot16_Age-D26))/MU26),0)</f>
        <v>0</v>
      </c>
      <c r="NA26" s="1" t="n">
        <f aca="false">IF(AND(HT26=1,FQ26=1),MIN(MT26,MY26),0)</f>
        <v>0</v>
      </c>
      <c r="NB26" s="1" t="n">
        <f aca="false">MT26-NA26</f>
        <v>0</v>
      </c>
      <c r="NC26" s="1" t="n">
        <f aca="false">IF(GA26=1,IF(ABS((1+AS_Wage)/(1+Slot17_Rate)-1)&lt;0.000000000001,(Slot17_Age-D26)*(1+Slot17_Rate)^(Slot17_Age-D26),(1+Slot17_Rate)^(Slot17_Age-D26)*(1-((1+AS_Wage)/(1+Slot17_Rate))^(Slot17_Age-D26))/(1-(1+AS_Wage)/(1+Slot17_Rate))),1)</f>
        <v>1</v>
      </c>
      <c r="ND26" s="1" t="n">
        <f aca="false">IF(AND(HT26=1,ID26&gt;0,Slot17_IsWG=1,GA26=1),MAX(0,(Slot17_Cost-GB26*(1+Slot17_Rate)^(Slot17_Age-D26))/NC26),0)</f>
        <v>0</v>
      </c>
      <c r="NE26" s="1" t="n">
        <f aca="false">IF(AND(HT26=1,ID26&gt;0,Slot17_IsWG=1,GA26=1),MIN(ID26,ND26),0)</f>
        <v>0</v>
      </c>
      <c r="NF26" s="1" t="n">
        <f aca="false">GB26+NE26</f>
        <v>0</v>
      </c>
      <c r="NG26" s="1" t="n">
        <f aca="false">IF(GA26=1,MAX(0,(Slot17_Cost-NF26*(1+Slot17_Rate)^(Slot17_Age-D26))/NC26),0)</f>
        <v>0</v>
      </c>
      <c r="NH26" s="1" t="n">
        <f aca="false">IF(GA26=1,MAX(0,(Slot17_Cost-GB26*(1+Slot17_Rate)^(Slot17_Age-D26))/NC26),0)</f>
        <v>0</v>
      </c>
      <c r="NI26" s="1" t="n">
        <f aca="false">IF(AND(HT26=1,GA26=1),MIN(NB26,NG26),0)</f>
        <v>0</v>
      </c>
      <c r="NJ26" s="1" t="n">
        <f aca="false">NB26-NI26</f>
        <v>0</v>
      </c>
      <c r="NK26" s="1" t="n">
        <f aca="false">IF(GK26=1,IF(ABS((1+AS_Wage)/(1+Slot18_Rate)-1)&lt;0.000000000001,(Slot18_Age-D26)*(1+Slot18_Rate)^(Slot18_Age-D26),(1+Slot18_Rate)^(Slot18_Age-D26)*(1-((1+AS_Wage)/(1+Slot18_Rate))^(Slot18_Age-D26))/(1-(1+AS_Wage)/(1+Slot18_Rate))),1)</f>
        <v>1</v>
      </c>
      <c r="NL26" s="1" t="n">
        <f aca="false">IF(AND(HT26=1,ID26&gt;0,Slot18_IsWG=1,GK26=1),MAX(0,(Slot18_Cost-GL26*(1+Slot18_Rate)^(Slot18_Age-D26))/NK26),0)</f>
        <v>0</v>
      </c>
      <c r="NM26" s="1" t="n">
        <f aca="false">IF(AND(HT26=1,ID26&gt;0,Slot18_IsWG=1,GK26=1),MIN(ID26,NL26),0)</f>
        <v>0</v>
      </c>
      <c r="NN26" s="1" t="n">
        <f aca="false">GL26+NM26</f>
        <v>0</v>
      </c>
      <c r="NO26" s="1" t="n">
        <f aca="false">IF(GK26=1,MAX(0,(Slot18_Cost-NN26*(1+Slot18_Rate)^(Slot18_Age-D26))/NK26),0)</f>
        <v>0</v>
      </c>
      <c r="NP26" s="1" t="n">
        <f aca="false">IF(GK26=1,MAX(0,(Slot18_Cost-GL26*(1+Slot18_Rate)^(Slot18_Age-D26))/NK26),0)</f>
        <v>0</v>
      </c>
      <c r="NQ26" s="1" t="n">
        <f aca="false">IF(AND(HT26=1,GK26=1),MIN(NJ26,NO26),0)</f>
        <v>0</v>
      </c>
      <c r="NR26" s="1" t="n">
        <f aca="false">NJ26-NQ26</f>
        <v>0</v>
      </c>
      <c r="NS26" s="1" t="n">
        <f aca="false">IF(GU26=1,IF(ABS((1+AS_Wage)/(1+Slot19_Rate)-1)&lt;0.000000000001,(Slot19_Age-D26)*(1+Slot19_Rate)^(Slot19_Age-D26),(1+Slot19_Rate)^(Slot19_Age-D26)*(1-((1+AS_Wage)/(1+Slot19_Rate))^(Slot19_Age-D26))/(1-(1+AS_Wage)/(1+Slot19_Rate))),1)</f>
        <v>1</v>
      </c>
      <c r="NT26" s="1" t="n">
        <f aca="false">IF(AND(HT26=1,ID26&gt;0,Slot19_IsWG=1,GU26=1),MAX(0,(Slot19_Cost-GV26*(1+Slot19_Rate)^(Slot19_Age-D26))/NS26),0)</f>
        <v>0</v>
      </c>
      <c r="NU26" s="1" t="n">
        <f aca="false">IF(AND(HT26=1,ID26&gt;0,Slot19_IsWG=1,GU26=1),MIN(ID26,NT26),0)</f>
        <v>0</v>
      </c>
      <c r="NV26" s="1" t="n">
        <f aca="false">GV26+NU26</f>
        <v>0</v>
      </c>
      <c r="NW26" s="1" t="n">
        <f aca="false">IF(GU26=1,MAX(0,(Slot19_Cost-NV26*(1+Slot19_Rate)^(Slot19_Age-D26))/NS26),0)</f>
        <v>0</v>
      </c>
      <c r="NX26" s="1" t="n">
        <f aca="false">IF(GU26=1,MAX(0,(Slot19_Cost-GV26*(1+Slot19_Rate)^(Slot19_Age-D26))/NS26),0)</f>
        <v>0</v>
      </c>
      <c r="NY26" s="1" t="n">
        <f aca="false">IF(AND(HT26=1,GU26=1),MIN(NR26,NW26),0)</f>
        <v>0</v>
      </c>
      <c r="NZ26" s="1" t="n">
        <f aca="false">NR26-NY26</f>
        <v>0</v>
      </c>
      <c r="OA26" s="1" t="n">
        <f aca="false">IF(HE26=1,IF(ABS((1+AS_Wage)/(1+Slot20_Rate)-1)&lt;0.000000000001,(Slot20_Age-D26)*(1+Slot20_Rate)^(Slot20_Age-D26),(1+Slot20_Rate)^(Slot20_Age-D26)*(1-((1+AS_Wage)/(1+Slot20_Rate))^(Slot20_Age-D26))/(1-(1+AS_Wage)/(1+Slot20_Rate))),1)</f>
        <v>1</v>
      </c>
      <c r="OB26" s="1" t="n">
        <f aca="false">IF(AND(HT26=1,ID26&gt;0,Slot20_IsWG=1,HE26=1),MAX(0,(Slot20_Cost-HF26*(1+Slot20_Rate)^(Slot20_Age-D26))/OA26),0)</f>
        <v>0</v>
      </c>
      <c r="OC26" s="1" t="n">
        <f aca="false">IF(AND(HT26=1,ID26&gt;0,Slot20_IsWG=1,HE26=1),MIN(ID26,OB26),0)</f>
        <v>0</v>
      </c>
      <c r="OD26" s="1" t="n">
        <f aca="false">HF26+OC26</f>
        <v>0</v>
      </c>
      <c r="OE26" s="1" t="n">
        <f aca="false">IF(HE26=1,MAX(0,(Slot20_Cost-OD26*(1+Slot20_Rate)^(Slot20_Age-D26))/OA26),0)</f>
        <v>0</v>
      </c>
      <c r="OF26" s="1" t="n">
        <f aca="false">IF(HE26=1,MAX(0,(Slot20_Cost-HF26*(1+Slot20_Rate)^(Slot20_Age-D26))/OA26),0)</f>
        <v>0</v>
      </c>
      <c r="OG26" s="1" t="n">
        <f aca="false">IF(AND(HT26=1,HE26=1),MIN(NZ26,OE26),0)</f>
        <v>0</v>
      </c>
      <c r="OH26" s="1" t="n">
        <f aca="false">NZ26-OG26</f>
        <v>0</v>
      </c>
      <c r="OI26" s="1" t="n">
        <f aca="false">ID26-(IG26+IO26+IW26+JE26+JM26+JU26+KC26+KK26+KS26+LA26+LI26+LQ26+LY26+MG26+MO26+MW26+NE26+NM26+NU26+OC26)</f>
        <v>0</v>
      </c>
      <c r="OJ26" s="1" t="n">
        <f aca="false">IF(HT26=1,HR26-IC26-ID26,0)</f>
        <v>0</v>
      </c>
      <c r="OK26" s="1" t="n">
        <f aca="false">IF(HT26=0,-HR26,0)</f>
        <v>0</v>
      </c>
      <c r="OL26" s="1" t="n">
        <f aca="false">MIN(OK26,HJ26)</f>
        <v>0</v>
      </c>
      <c r="OM26" s="1" t="n">
        <f aca="false">OK26-OL26</f>
        <v>0</v>
      </c>
      <c r="ON26" s="1" t="n">
        <f aca="false">MIN(OM26,HK26)</f>
        <v>0</v>
      </c>
      <c r="OO26" s="1" t="n">
        <f aca="false">OM26-ON26</f>
        <v>0</v>
      </c>
      <c r="OP26" s="1" t="n">
        <f aca="false">IF(AND(HT26=0,HE26=1,OO26&gt;0),MIN(OO26,HF26),0)</f>
        <v>0</v>
      </c>
      <c r="OQ26" s="1" t="n">
        <f aca="false">OO26-OP26</f>
        <v>0</v>
      </c>
      <c r="OR26" s="1" t="n">
        <f aca="false">IF(AND(HT26=0,GU26=1,OQ26&gt;0),MIN(OQ26,GV26),0)</f>
        <v>0</v>
      </c>
      <c r="OS26" s="1" t="n">
        <f aca="false">OQ26-OR26</f>
        <v>0</v>
      </c>
      <c r="OT26" s="1" t="n">
        <f aca="false">IF(AND(HT26=0,GK26=1,OS26&gt;0),MIN(OS26,GL26),0)</f>
        <v>0</v>
      </c>
      <c r="OU26" s="1" t="n">
        <f aca="false">OS26-OT26</f>
        <v>0</v>
      </c>
      <c r="OV26" s="1" t="n">
        <f aca="false">IF(AND(HT26=0,GA26=1,OU26&gt;0),MIN(OU26,GB26),0)</f>
        <v>0</v>
      </c>
      <c r="OW26" s="1" t="n">
        <f aca="false">OU26-OV26</f>
        <v>0</v>
      </c>
      <c r="OX26" s="1" t="n">
        <f aca="false">IF(AND(HT26=0,FQ26=1,OW26&gt;0),MIN(OW26,FR26),0)</f>
        <v>0</v>
      </c>
      <c r="OY26" s="1" t="n">
        <f aca="false">OW26-OX26</f>
        <v>0</v>
      </c>
      <c r="OZ26" s="1" t="n">
        <f aca="false">IF(AND(HT26=0,FG26=1,OY26&gt;0),MIN(OY26,FH26),0)</f>
        <v>0</v>
      </c>
      <c r="PA26" s="1" t="n">
        <f aca="false">OY26-OZ26</f>
        <v>0</v>
      </c>
      <c r="PB26" s="1" t="n">
        <f aca="false">IF(AND(HT26=0,EW26=1,PA26&gt;0),MIN(PA26,EX26),0)</f>
        <v>0</v>
      </c>
      <c r="PC26" s="1" t="n">
        <f aca="false">PA26-PB26</f>
        <v>0</v>
      </c>
      <c r="PD26" s="1" t="n">
        <f aca="false">IF(AND(HT26=0,EM26=1,PC26&gt;0),MIN(PC26,EN26),0)</f>
        <v>0</v>
      </c>
      <c r="PE26" s="1" t="n">
        <f aca="false">PC26-PD26</f>
        <v>0</v>
      </c>
      <c r="PF26" s="1" t="n">
        <f aca="false">IF(AND(HT26=0,EC26=1,PE26&gt;0),MIN(PE26,ED26),0)</f>
        <v>0</v>
      </c>
      <c r="PG26" s="1" t="n">
        <f aca="false">PE26-PF26</f>
        <v>0</v>
      </c>
      <c r="PH26" s="1" t="n">
        <f aca="false">IF(AND(HT26=0,DS26=1,PG26&gt;0),MIN(PG26,DT26),0)</f>
        <v>0</v>
      </c>
      <c r="PI26" s="1" t="n">
        <f aca="false">PG26-PH26</f>
        <v>0</v>
      </c>
      <c r="PJ26" s="1" t="n">
        <f aca="false">IF(AND(HT26=0,DI26=1,PI26&gt;0),MIN(PI26,DJ26),0)</f>
        <v>0</v>
      </c>
      <c r="PK26" s="1" t="n">
        <f aca="false">PI26-PJ26</f>
        <v>0</v>
      </c>
      <c r="PL26" s="1" t="n">
        <f aca="false">IF(AND(HT26=0,CY26=1,PK26&gt;0),MIN(PK26,CZ26),0)</f>
        <v>0</v>
      </c>
      <c r="PM26" s="1" t="n">
        <f aca="false">PK26-PL26</f>
        <v>0</v>
      </c>
      <c r="PN26" s="1" t="n">
        <f aca="false">IF(AND(HT26=0,CO26=1,PM26&gt;0),MIN(PM26,CP26),0)</f>
        <v>0</v>
      </c>
      <c r="PO26" s="1" t="n">
        <f aca="false">PM26-PN26</f>
        <v>0</v>
      </c>
      <c r="PP26" s="1" t="n">
        <f aca="false">IF(AND(HT26=0,CE26=1,PO26&gt;0),MIN(PO26,CF26),0)</f>
        <v>0</v>
      </c>
      <c r="PQ26" s="1" t="n">
        <f aca="false">PO26-PP26</f>
        <v>0</v>
      </c>
      <c r="PR26" s="1" t="n">
        <f aca="false">IF(AND(HT26=0,BU26=1,PQ26&gt;0),MIN(PQ26,BV26),0)</f>
        <v>0</v>
      </c>
      <c r="PS26" s="1" t="n">
        <f aca="false">PQ26-PR26</f>
        <v>0</v>
      </c>
      <c r="PT26" s="1" t="n">
        <f aca="false">IF(AND(HT26=0,BK26=1,PS26&gt;0),MIN(PS26,BL26),0)</f>
        <v>0</v>
      </c>
      <c r="PU26" s="1" t="n">
        <f aca="false">PS26-PT26</f>
        <v>0</v>
      </c>
      <c r="PV26" s="1" t="n">
        <f aca="false">IF(AND(HT26=0,BA26=1,PU26&gt;0),MIN(PU26,BB26),0)</f>
        <v>0</v>
      </c>
      <c r="PW26" s="1" t="n">
        <f aca="false">PU26-PV26</f>
        <v>0</v>
      </c>
      <c r="PX26" s="1" t="n">
        <f aca="false">IF(AND(HT26=0,AQ26=1,PW26&gt;0),MIN(PW26,AR26),0)</f>
        <v>0</v>
      </c>
      <c r="PY26" s="1" t="n">
        <f aca="false">PW26-PX26</f>
        <v>0</v>
      </c>
      <c r="PZ26" s="1" t="n">
        <f aca="false">IF(AND(HT26=0,AG26=1,PY26&gt;0),MIN(PY26,AH26),0)</f>
        <v>0</v>
      </c>
      <c r="QA26" s="1" t="n">
        <f aca="false">PY26-PZ26</f>
        <v>0</v>
      </c>
      <c r="QB26" s="1" t="n">
        <f aca="false">IF(AND(HT26=0,V26=1,QA26&gt;0),MIN(QA26,W26),0)</f>
        <v>0</v>
      </c>
      <c r="QC26" s="1" t="n">
        <f aca="false">QA26-QB26</f>
        <v>0</v>
      </c>
      <c r="QD26" s="1" t="n">
        <f aca="false">IF(HT26=0,QC26,0)</f>
        <v>0</v>
      </c>
      <c r="QE26" s="1" t="n">
        <f aca="false">OL26+ON26+QB26+PZ26+PX26+PV26+PT26+PR26+PP26+PN26+PL26+PJ26+PH26+PF26+PD26+PB26+OZ26+OX26+OV26+OT26+OR26+OP26</f>
        <v>0</v>
      </c>
      <c r="QF26" s="1" t="n">
        <f aca="false">IF(HT26=1,HJ26+OI26+OH26+IF(F26=1,0,OJ26),HJ26-OL26)</f>
        <v>0</v>
      </c>
      <c r="QG26" s="1" t="n">
        <f aca="false">HK26-ON26</f>
        <v>0</v>
      </c>
      <c r="QH26" s="1" t="n">
        <f aca="false">IF(HT26=1,IF(F26=1,IC26+ID26,HR26),0)</f>
        <v>0</v>
      </c>
      <c r="QI26" s="1" t="n">
        <f aca="false">IF(HT26=1,IF(F26=1,HR26-IC26-ID26,0),0)</f>
        <v>0</v>
      </c>
      <c r="QJ26" s="1" t="n">
        <f aca="false">QF26*(1+GR)</f>
        <v>0</v>
      </c>
      <c r="QK26" s="1" t="n">
        <f aca="false">QG26*(1+AS_Cash)</f>
        <v>0</v>
      </c>
      <c r="QL26" s="1" t="n">
        <f aca="false">IF(V26=1,IF(HT26=1,IH26+IK26,W26-QB26)*(1+Slot1_Rate),0)</f>
        <v>0</v>
      </c>
      <c r="QM26" s="1" t="n">
        <f aca="false">IF(AND(HT26=1,V26=1),(IG26+IK26)/E26,0)</f>
        <v>0</v>
      </c>
      <c r="QN26" s="1" t="n">
        <f aca="false">IF(B26=0,IG26+IK26,0)</f>
        <v>0</v>
      </c>
      <c r="QO26" s="1" t="n">
        <f aca="false">IF(B26=0,IF(HT26=1,II26,IJ26),0)</f>
        <v>0</v>
      </c>
      <c r="QP26" s="1" t="n">
        <f aca="false">IF(AG26=1,IF(HT26=1,IP26+IS26,AH26-PZ26)*(1+Slot2_Rate),0)</f>
        <v>0</v>
      </c>
      <c r="QQ26" s="1" t="n">
        <f aca="false">IF(AND(HT26=1,AG26=1),(IO26+IS26)/E26,0)</f>
        <v>0</v>
      </c>
      <c r="QR26" s="1" t="n">
        <f aca="false">IF(B26=0,IO26+IS26,0)</f>
        <v>0</v>
      </c>
      <c r="QS26" s="1" t="n">
        <f aca="false">IF(B26=0,IF(HT26=1,IQ26,IR26),0)</f>
        <v>0</v>
      </c>
      <c r="QT26" s="1" t="n">
        <f aca="false">IF(AQ26=1,IF(HT26=1,IX26+JA26,AR26-PX26)*(1+Slot3_Rate),0)</f>
        <v>0</v>
      </c>
      <c r="QU26" s="1" t="n">
        <f aca="false">IF(AND(HT26=1,AQ26=1),(IW26+JA26)/E26,0)</f>
        <v>0</v>
      </c>
      <c r="QV26" s="1" t="n">
        <f aca="false">IF(B26=0,IW26+JA26,0)</f>
        <v>0</v>
      </c>
      <c r="QW26" s="1" t="n">
        <f aca="false">IF(B26=0,IF(HT26=1,IY26,IZ26),0)</f>
        <v>0</v>
      </c>
      <c r="QX26" s="1" t="n">
        <f aca="false">IF(BA26=1,IF(HT26=1,JF26+JI26,BB26-PV26)*(1+Slot4_Rate),0)</f>
        <v>0</v>
      </c>
      <c r="QY26" s="1" t="n">
        <f aca="false">IF(AND(HT26=1,BA26=1),(JE26+JI26)/E26,0)</f>
        <v>0</v>
      </c>
      <c r="QZ26" s="1" t="n">
        <f aca="false">IF(B26=0,JE26+JI26,0)</f>
        <v>0</v>
      </c>
      <c r="RA26" s="1" t="n">
        <f aca="false">IF(B26=0,IF(HT26=1,JG26,JH26),0)</f>
        <v>0</v>
      </c>
      <c r="RB26" s="1" t="n">
        <f aca="false">IF(BK26=1,IF(HT26=1,JN26+JQ26,BL26-PT26)*(1+Slot5_Rate),0)</f>
        <v>0</v>
      </c>
      <c r="RC26" s="1" t="n">
        <f aca="false">IF(AND(HT26=1,BK26=1),(JM26+JQ26)/E26,0)</f>
        <v>0</v>
      </c>
      <c r="RD26" s="1" t="n">
        <f aca="false">IF(B26=0,JM26+JQ26,0)</f>
        <v>0</v>
      </c>
      <c r="RE26" s="1" t="n">
        <f aca="false">IF(B26=0,IF(HT26=1,JO26,JP26),0)</f>
        <v>0</v>
      </c>
      <c r="RF26" s="1" t="n">
        <f aca="false">IF(BU26=1,IF(HT26=1,JV26+JY26,BV26-PR26)*(1+Slot6_Rate),0)</f>
        <v>0</v>
      </c>
      <c r="RG26" s="1" t="n">
        <f aca="false">IF(AND(HT26=1,BU26=1),(JU26+JY26)/E26,0)</f>
        <v>0</v>
      </c>
      <c r="RH26" s="1" t="n">
        <f aca="false">IF(B26=0,JU26+JY26,0)</f>
        <v>0</v>
      </c>
      <c r="RI26" s="1" t="n">
        <f aca="false">IF(B26=0,IF(HT26=1,JW26,JX26),0)</f>
        <v>0</v>
      </c>
      <c r="RJ26" s="1" t="n">
        <f aca="false">IF(CE26=1,IF(HT26=1,KD26+KG26,CF26-PP26)*(1+Slot7_Rate),0)</f>
        <v>0</v>
      </c>
      <c r="RK26" s="1" t="n">
        <f aca="false">IF(AND(HT26=1,CE26=1),(KC26+KG26)/E26,0)</f>
        <v>0</v>
      </c>
      <c r="RL26" s="1" t="n">
        <f aca="false">IF(B26=0,KC26+KG26,0)</f>
        <v>0</v>
      </c>
      <c r="RM26" s="1" t="n">
        <f aca="false">IF(B26=0,IF(HT26=1,KE26,KF26),0)</f>
        <v>0</v>
      </c>
      <c r="RN26" s="1" t="n">
        <f aca="false">IF(CO26=1,IF(HT26=1,KL26+KO26,CP26-PN26)*(1+Slot8_Rate),0)</f>
        <v>0</v>
      </c>
      <c r="RO26" s="1" t="n">
        <f aca="false">IF(AND(HT26=1,CO26=1),(KK26+KO26)/E26,0)</f>
        <v>0</v>
      </c>
      <c r="RP26" s="1" t="n">
        <f aca="false">IF(B26=0,KK26+KO26,0)</f>
        <v>0</v>
      </c>
      <c r="RQ26" s="1" t="n">
        <f aca="false">IF(B26=0,IF(HT26=1,KM26,KN26),0)</f>
        <v>0</v>
      </c>
      <c r="RR26" s="1" t="n">
        <f aca="false">IF(CY26=1,IF(HT26=1,KT26+KW26,CZ26-PL26)*(1+Slot9_Rate),0)</f>
        <v>0</v>
      </c>
      <c r="RS26" s="1" t="n">
        <f aca="false">IF(AND(HT26=1,CY26=1),(KS26+KW26)/E26,0)</f>
        <v>0</v>
      </c>
      <c r="RT26" s="1" t="n">
        <f aca="false">IF(B26=0,KS26+KW26,0)</f>
        <v>0</v>
      </c>
      <c r="RU26" s="1" t="n">
        <f aca="false">IF(B26=0,IF(HT26=1,KU26,KV26),0)</f>
        <v>0</v>
      </c>
      <c r="RV26" s="1" t="n">
        <f aca="false">IF(DI26=1,IF(HT26=1,LB26+LE26,DJ26-PJ26)*(1+Slot10_Rate),0)</f>
        <v>0</v>
      </c>
      <c r="RW26" s="1" t="n">
        <f aca="false">IF(AND(HT26=1,DI26=1),(LA26+LE26)/E26,0)</f>
        <v>0</v>
      </c>
      <c r="RX26" s="1" t="n">
        <f aca="false">IF(B26=0,LA26+LE26,0)</f>
        <v>0</v>
      </c>
      <c r="RY26" s="1" t="n">
        <f aca="false">IF(B26=0,IF(HT26=1,LC26,LD26),0)</f>
        <v>0</v>
      </c>
      <c r="RZ26" s="1" t="n">
        <f aca="false">IF(DS26=1,IF(HT26=1,LJ26+LM26,DT26-PH26)*(1+Slot11_Rate),0)</f>
        <v>0</v>
      </c>
      <c r="SA26" s="1" t="n">
        <f aca="false">IF(AND(HT26=1,DS26=1),(LI26+LM26)/E26,0)</f>
        <v>0</v>
      </c>
      <c r="SB26" s="1" t="n">
        <f aca="false">IF(B26=0,LI26+LM26,0)</f>
        <v>0</v>
      </c>
      <c r="SC26" s="1" t="n">
        <f aca="false">IF(B26=0,IF(HT26=1,LK26,LL26),0)</f>
        <v>0</v>
      </c>
      <c r="SD26" s="1" t="n">
        <f aca="false">IF(EC26=1,IF(HT26=1,LR26+LU26,ED26-PF26)*(1+Slot12_Rate),0)</f>
        <v>0</v>
      </c>
      <c r="SE26" s="1" t="n">
        <f aca="false">IF(AND(HT26=1,EC26=1),(LQ26+LU26)/E26,0)</f>
        <v>0</v>
      </c>
      <c r="SF26" s="1" t="n">
        <f aca="false">IF(B26=0,LQ26+LU26,0)</f>
        <v>0</v>
      </c>
      <c r="SG26" s="1" t="n">
        <f aca="false">IF(B26=0,IF(HT26=1,LS26,LT26),0)</f>
        <v>0</v>
      </c>
      <c r="SH26" s="1" t="n">
        <f aca="false">IF(EM26=1,IF(HT26=1,LZ26+MC26,EN26-PD26)*(1+Slot13_Rate),0)</f>
        <v>0</v>
      </c>
      <c r="SI26" s="1" t="n">
        <f aca="false">IF(AND(HT26=1,EM26=1),(LY26+MC26)/E26,0)</f>
        <v>0</v>
      </c>
      <c r="SJ26" s="1" t="n">
        <f aca="false">IF(B26=0,LY26+MC26,0)</f>
        <v>0</v>
      </c>
      <c r="SK26" s="1" t="n">
        <f aca="false">IF(B26=0,IF(HT26=1,MA26,MB26),0)</f>
        <v>0</v>
      </c>
      <c r="SL26" s="1" t="n">
        <f aca="false">IF(EW26=1,IF(HT26=1,MH26+MK26,EX26-PB26)*(1+Slot14_Rate),0)</f>
        <v>0</v>
      </c>
      <c r="SM26" s="1" t="n">
        <f aca="false">IF(AND(HT26=1,EW26=1),(MG26+MK26)/E26,0)</f>
        <v>0</v>
      </c>
      <c r="SN26" s="1" t="n">
        <f aca="false">IF(B26=0,MG26+MK26,0)</f>
        <v>0</v>
      </c>
      <c r="SO26" s="1" t="n">
        <f aca="false">IF(B26=0,IF(HT26=1,MI26,MJ26),0)</f>
        <v>0</v>
      </c>
      <c r="SP26" s="1" t="n">
        <f aca="false">IF(FG26=1,IF(HT26=1,MP26+MS26,FH26-OZ26)*(1+Slot15_Rate),0)</f>
        <v>0</v>
      </c>
      <c r="SQ26" s="1" t="n">
        <f aca="false">IF(AND(HT26=1,FG26=1),(MO26+MS26)/E26,0)</f>
        <v>0</v>
      </c>
      <c r="SR26" s="1" t="n">
        <f aca="false">IF(B26=0,MO26+MS26,0)</f>
        <v>0</v>
      </c>
      <c r="SS26" s="1" t="n">
        <f aca="false">IF(B26=0,IF(HT26=1,MQ26,MR26),0)</f>
        <v>0</v>
      </c>
      <c r="ST26" s="1" t="n">
        <f aca="false">IF(FQ26=1,IF(HT26=1,MX26+NA26,FR26-OX26)*(1+Slot16_Rate),0)</f>
        <v>0</v>
      </c>
      <c r="SU26" s="1" t="n">
        <f aca="false">IF(AND(HT26=1,FQ26=1),(MW26+NA26)/E26,0)</f>
        <v>0</v>
      </c>
      <c r="SV26" s="1" t="n">
        <f aca="false">IF(B26=0,MW26+NA26,0)</f>
        <v>0</v>
      </c>
      <c r="SW26" s="1" t="n">
        <f aca="false">IF(B26=0,IF(HT26=1,MY26,MZ26),0)</f>
        <v>0</v>
      </c>
      <c r="SX26" s="1" t="n">
        <f aca="false">IF(GA26=1,IF(HT26=1,NF26+NI26,GB26-OV26)*(1+Slot17_Rate),0)</f>
        <v>0</v>
      </c>
      <c r="SY26" s="1" t="n">
        <f aca="false">IF(AND(HT26=1,GA26=1),(NE26+NI26)/E26,0)</f>
        <v>0</v>
      </c>
      <c r="SZ26" s="1" t="n">
        <f aca="false">IF(B26=0,NE26+NI26,0)</f>
        <v>0</v>
      </c>
      <c r="TA26" s="1" t="n">
        <f aca="false">IF(B26=0,IF(HT26=1,NG26,NH26),0)</f>
        <v>0</v>
      </c>
      <c r="TB26" s="1" t="n">
        <f aca="false">IF(GK26=1,IF(HT26=1,NN26+NQ26,GL26-OT26)*(1+Slot18_Rate),0)</f>
        <v>0</v>
      </c>
      <c r="TC26" s="1" t="n">
        <f aca="false">IF(AND(HT26=1,GK26=1),(NM26+NQ26)/E26,0)</f>
        <v>0</v>
      </c>
      <c r="TD26" s="1" t="n">
        <f aca="false">IF(B26=0,NM26+NQ26,0)</f>
        <v>0</v>
      </c>
      <c r="TE26" s="1" t="n">
        <f aca="false">IF(B26=0,IF(HT26=1,NO26,NP26),0)</f>
        <v>0</v>
      </c>
      <c r="TF26" s="1" t="n">
        <f aca="false">IF(GU26=1,IF(HT26=1,NV26+NY26,GV26-OR26)*(1+Slot19_Rate),0)</f>
        <v>0</v>
      </c>
      <c r="TG26" s="1" t="n">
        <f aca="false">IF(AND(HT26=1,GU26=1),(NU26+NY26)/E26,0)</f>
        <v>0</v>
      </c>
      <c r="TH26" s="1" t="n">
        <f aca="false">IF(B26=0,NU26+NY26,0)</f>
        <v>0</v>
      </c>
      <c r="TI26" s="1" t="n">
        <f aca="false">IF(B26=0,IF(HT26=1,NW26,NX26),0)</f>
        <v>0</v>
      </c>
      <c r="TJ26" s="1" t="n">
        <f aca="false">IF(HE26=1,IF(HT26=1,OD26+OG26,HF26-OP26)*(1+Slot20_Rate),0)</f>
        <v>0</v>
      </c>
      <c r="TK26" s="1" t="n">
        <f aca="false">IF(AND(HT26=1,HE26=1),(OC26+OG26)/E26,0)</f>
        <v>0</v>
      </c>
      <c r="TL26" s="1" t="n">
        <f aca="false">IF(B26=0,OC26+OG26,0)</f>
        <v>0</v>
      </c>
      <c r="TM26" s="1" t="n">
        <f aca="false">IF(B26=0,IF(HT26=1,OE26,OF26),0)</f>
        <v>0</v>
      </c>
      <c r="TN26" s="1" t="n">
        <f aca="false">QJ26+QK26+QL26+QP26+QT26+QX26+RB26+RF26+RJ26+RN26+RR26+RV26+RZ26+SD26+SH26+SL26+SP26+ST26+SX26+TB26+TF26+TJ26</f>
        <v>0</v>
      </c>
      <c r="TO26" s="1" t="n">
        <f aca="false">QD26+HO26</f>
        <v>0</v>
      </c>
      <c r="TP26" s="1" t="n">
        <f aca="false">H26+R26</f>
        <v>0</v>
      </c>
      <c r="TQ26" s="1" t="n">
        <f aca="false">1-F26</f>
        <v>0</v>
      </c>
      <c r="TR26" s="1" t="n">
        <f aca="false">IF(AND(RG_Exists=1,F26=0,C26=1),H26,0)</f>
        <v>0</v>
      </c>
      <c r="TS26" s="1" t="n">
        <f aca="false">IF(AND(RG_Exists=1,F26=0,C26=1),H26-MIN(QD26,H26),0)</f>
        <v>0</v>
      </c>
      <c r="TT26" s="1" t="n">
        <f aca="false">'Plan pay &amp; tax'!AD252</f>
        <v>0</v>
      </c>
      <c r="TU26" s="1" t="n">
        <f aca="false">IF(AND(C26=1,QD26&gt;MAX(PR_Short1,TP26*PR_Short2)),1,0)</f>
        <v>0</v>
      </c>
      <c r="TV26" s="1" t="n">
        <f aca="false">MIN(G26,H26+R26)</f>
        <v>0</v>
      </c>
      <c r="TW26" s="1" t="n">
        <f aca="false">QE26+MAX(0,HP26-HO26)</f>
        <v>0</v>
      </c>
      <c r="TX26" s="1" t="n">
        <f aca="false">QD26+HO26</f>
        <v>0</v>
      </c>
      <c r="TY26" s="1" t="n">
        <f aca="false">IF(AND(C26=1,TX26&gt;PR_MinShort),1,0)</f>
        <v>0</v>
      </c>
      <c r="TZ26" s="1" t="n">
        <f aca="false">IF(AND(C26=1,TY26=0,TW26&gt;PR_MinShort),1,0)</f>
        <v>0</v>
      </c>
      <c r="UA26" s="1" t="n">
        <f aca="false">IF(AND(C26=1,QD26&gt;PR_MinShort),1,0)</f>
        <v>0</v>
      </c>
      <c r="UB26" s="1" t="n">
        <f aca="false">IF(AND(C26=1,QE26&gt;1,UI26=0),1,0)</f>
        <v>0</v>
      </c>
      <c r="UC26" s="1" t="str">
        <f aca="false">IF(C26=0,"",IF(UI26=1,"Gap to plan for: short "&amp;"€"&amp;TEXT(ROUND(TO26,0),"#,##0"),IF(QE26&gt;1,"Using savings","Comfortable")))</f>
        <v>Comfortable</v>
      </c>
      <c r="UD26" s="1" t="n">
        <f aca="false">IF(AND(INT(D26/10)*10=90,B26&gt;0),80,INT(D26/10)*10)</f>
        <v>10</v>
      </c>
      <c r="UE26" s="1" t="n">
        <f aca="false">IF(B26=0,1,IF(UD26&lt;&gt;UD25,UE25+1,UE25))</f>
        <v>2</v>
      </c>
      <c r="UF26" s="1" t="n">
        <f aca="false">IF(AND(C26=1,F26=1,QD26&gt;MAX(PR_Short1,TP26*PR_Short2)),1,0)</f>
        <v>0</v>
      </c>
      <c r="UG26" s="1" t="n">
        <f aca="false">TQ26*TU26</f>
        <v>0</v>
      </c>
      <c r="UH26" s="1" t="n">
        <f aca="false">IF(AND(U26=1,Slot1_PctLow=1),1,0)+IF(AND(AF26=1,Slot2_PctLow=1),1,0)+IF(AND(AP26=1,Slot3_PctLow=1),1,0)+IF(AND(AZ26=1,Slot4_PctLow=1),1,0)+IF(AND(BJ26=1,Slot5_PctLow=1),1,0)+IF(AND(BT26=1,Slot6_PctLow=1),1,0)+IF(AND(CD26=1,Slot7_PctLow=1),1,0)+IF(AND(CN26=1,Slot8_PctLow=1),1,0)+IF(AND(CX26=1,Slot9_PctLow=1),1,0)+IF(AND(DH26=1,Slot10_PctLow=1),1,0)+IF(AND(DR26=1,Slot11_PctLow=1),1,0)+IF(AND(EB26=1,Slot12_PctLow=1),1,0)+IF(AND(EL26=1,Slot13_PctLow=1),1,0)+IF(AND(EV26=1,Slot14_PctLow=1),1,0)+IF(AND(FF26=1,Slot15_PctLow=1),1,0)+IF(AND(FP26=1,Slot16_PctLow=1),1,0)+IF(AND(FZ26=1,Slot17_PctLow=1),1,0)+IF(AND(GJ26=1,Slot18_PctLow=1),1,0)+IF(AND(GT26=1,Slot19_PctLow=1),1,0)+IF(AND(HD26=1,Slot20_PctLow=1),1,0)</f>
        <v>0</v>
      </c>
      <c r="UI26" s="1" t="n">
        <f aca="false">IF(C26=1,IF(OR(TU26=1,UH26&gt;0),1,0),0)</f>
        <v>0</v>
      </c>
    </row>
    <row r="27" customFormat="false" ht="15" hidden="false" customHeight="true" outlineLevel="0" collapsed="false">
      <c r="B27" s="1" t="n">
        <v>19</v>
      </c>
      <c r="C27" s="1" t="n">
        <f aca="false">IF(B27&lt;=F_N,1,0)</f>
        <v>1</v>
      </c>
      <c r="D27" s="1" t="n">
        <f aca="false">'Plan pay &amp; tax'!C253</f>
        <v>19</v>
      </c>
      <c r="E27" s="111" t="n">
        <f aca="false">'Plan pay &amp; tax'!E253</f>
        <v>1.4568111725278</v>
      </c>
      <c r="F27" s="1" t="n">
        <f aca="false">'Plan pay &amp; tax'!G253</f>
        <v>1</v>
      </c>
      <c r="G27" s="1" t="n">
        <f aca="false">'Plan pay &amp; tax'!BT253-'Plan pay &amp; tax'!BS253-'Plan pay &amp; tax'!R253</f>
        <v>0</v>
      </c>
      <c r="H27" s="1" t="n">
        <f aca="false">IF(F27=1,F_CostsM*12,IF(RG_Exists=1,RG_Amount,F_CostsM*12*AS_RetireSpend))*E27+F_OneOffY*E27</f>
        <v>0</v>
      </c>
      <c r="I27" s="1" t="n">
        <f aca="false">HQ26</f>
        <v>0</v>
      </c>
      <c r="J27" s="1" t="n">
        <f aca="false">IF(I27&gt;1,'Plan debt months'!AC27,0)</f>
        <v>0</v>
      </c>
      <c r="K27" s="1" t="n">
        <f aca="false">IF(I27&gt;1,'Plan debt months'!AB27,I27)</f>
        <v>0</v>
      </c>
      <c r="L27" s="1" t="n">
        <f aca="false">N26</f>
        <v>0</v>
      </c>
      <c r="M27" s="1" t="n">
        <f aca="false">IF(L27&gt;1,'Plan debt months'!BD27,0)</f>
        <v>0</v>
      </c>
      <c r="N27" s="1" t="n">
        <f aca="false">IF(L27&gt;1,'Plan debt months'!BC27,L27)</f>
        <v>0</v>
      </c>
      <c r="O27" s="1" t="n">
        <f aca="false">Q26</f>
        <v>0</v>
      </c>
      <c r="P27" s="1" t="n">
        <f aca="false">IF(O27&gt;1,'Plan debt months'!CE27,0)</f>
        <v>0</v>
      </c>
      <c r="Q27" s="1" t="n">
        <f aca="false">IF(O27&gt;1,'Plan debt months'!CD27,O27)</f>
        <v>0</v>
      </c>
      <c r="R27" s="1" t="n">
        <f aca="false">J27+M27+P27</f>
        <v>0</v>
      </c>
      <c r="S27" s="1" t="n">
        <f aca="false">QJ26+'Plan pay &amp; tax'!Y253</f>
        <v>0</v>
      </c>
      <c r="T27" s="1" t="n">
        <f aca="false">QJ26</f>
        <v>0</v>
      </c>
      <c r="U27" s="1" t="n">
        <f aca="false">IF(AND(Slot1_On=1,D27=Slot1_Age),1,0)</f>
        <v>0</v>
      </c>
      <c r="V27" s="1" t="n">
        <f aca="false">IF(AND(Slot1_On=1,Slot1_Age&gt;D27),1,0)</f>
        <v>0</v>
      </c>
      <c r="W27" s="1" t="n">
        <f aca="false">QL26</f>
        <v>0</v>
      </c>
      <c r="X27" s="1" t="n">
        <f aca="false">U27*MIN(Slot1_Cost,W27)</f>
        <v>0</v>
      </c>
      <c r="Y27" s="1" t="n">
        <f aca="false">U27*Slot1_SpendLike*MIN(Slot1_Cost-X27,S27)</f>
        <v>0</v>
      </c>
      <c r="Z27" s="1" t="n">
        <f aca="false">X27+Y27</f>
        <v>0</v>
      </c>
      <c r="AA27" s="1" t="n">
        <f aca="false">S27-Y27+U27*IF(Slot1_SpendLike=1,W27-X27,IF(Slot1_PotFree=1,W27,0))</f>
        <v>0</v>
      </c>
      <c r="AB27" s="1" t="n">
        <f aca="false">AE27+U27*Slot1_BufPot*W27</f>
        <v>0</v>
      </c>
      <c r="AC27" s="1" t="n">
        <f aca="false">IF(AND(U27=1,Slot1_IsMfree=1),IF(Z27&gt;=Slot1_Cost-1,0,MAX(0,K27-Z27)),K27)</f>
        <v>0</v>
      </c>
      <c r="AD27" s="1" t="n">
        <f aca="false">U27*(Slot1_Cost-Z27)</f>
        <v>0</v>
      </c>
      <c r="AE27" s="1" t="n">
        <f aca="false">QK26</f>
        <v>0</v>
      </c>
      <c r="AF27" s="1" t="n">
        <f aca="false">IF(AND(Slot2_On=1,D27=Slot2_Age),1,0)</f>
        <v>0</v>
      </c>
      <c r="AG27" s="1" t="n">
        <f aca="false">IF(AND(Slot2_On=1,Slot2_Age&gt;D27),1,0)</f>
        <v>0</v>
      </c>
      <c r="AH27" s="1" t="n">
        <f aca="false">QP26</f>
        <v>0</v>
      </c>
      <c r="AI27" s="1" t="n">
        <f aca="false">AF27*MIN(Slot2_Cost,AH27)</f>
        <v>0</v>
      </c>
      <c r="AJ27" s="1" t="n">
        <f aca="false">AF27*Slot2_SpendLike*MIN(Slot2_Cost-AI27,AA27)</f>
        <v>0</v>
      </c>
      <c r="AK27" s="1" t="n">
        <f aca="false">AI27+AJ27</f>
        <v>0</v>
      </c>
      <c r="AL27" s="1" t="n">
        <f aca="false">AA27-AJ27+AF27*IF(Slot2_SpendLike=1,AH27-AI27,IF(Slot2_PotFree=1,AH27,0))</f>
        <v>0</v>
      </c>
      <c r="AM27" s="1" t="n">
        <f aca="false">AB27+AF27*Slot2_BufPot*AH27</f>
        <v>0</v>
      </c>
      <c r="AN27" s="1" t="n">
        <f aca="false">IF(AND(AF27=1,Slot2_IsMfree=1),IF(AK27&gt;=Slot2_Cost-1,0,MAX(0,AC27-AK27)),AC27)</f>
        <v>0</v>
      </c>
      <c r="AO27" s="1" t="n">
        <f aca="false">AF27*(Slot2_Cost-AK27)</f>
        <v>0</v>
      </c>
      <c r="AP27" s="1" t="n">
        <f aca="false">IF(AND(Slot3_On=1,D27=Slot3_Age),1,0)</f>
        <v>0</v>
      </c>
      <c r="AQ27" s="1" t="n">
        <f aca="false">IF(AND(Slot3_On=1,Slot3_Age&gt;D27),1,0)</f>
        <v>0</v>
      </c>
      <c r="AR27" s="1" t="n">
        <f aca="false">QT26</f>
        <v>0</v>
      </c>
      <c r="AS27" s="1" t="n">
        <f aca="false">AP27*MIN(Slot3_Cost,AR27)</f>
        <v>0</v>
      </c>
      <c r="AT27" s="1" t="n">
        <f aca="false">AP27*Slot3_SpendLike*MIN(Slot3_Cost-AS27,AL27)</f>
        <v>0</v>
      </c>
      <c r="AU27" s="1" t="n">
        <f aca="false">AS27+AT27</f>
        <v>0</v>
      </c>
      <c r="AV27" s="1" t="n">
        <f aca="false">AL27-AT27+AP27*IF(Slot3_SpendLike=1,AR27-AS27,IF(Slot3_PotFree=1,AR27,0))</f>
        <v>0</v>
      </c>
      <c r="AW27" s="1" t="n">
        <f aca="false">AM27+AP27*Slot3_BufPot*AR27</f>
        <v>0</v>
      </c>
      <c r="AX27" s="1" t="n">
        <f aca="false">IF(AND(AP27=1,Slot3_IsMfree=1),IF(AU27&gt;=Slot3_Cost-1,0,MAX(0,AN27-AU27)),AN27)</f>
        <v>0</v>
      </c>
      <c r="AY27" s="1" t="n">
        <f aca="false">AP27*(Slot3_Cost-AU27)</f>
        <v>0</v>
      </c>
      <c r="AZ27" s="1" t="n">
        <f aca="false">IF(AND(Slot4_On=1,D27=Slot4_Age),1,0)</f>
        <v>0</v>
      </c>
      <c r="BA27" s="1" t="n">
        <f aca="false">IF(AND(Slot4_On=1,Slot4_Age&gt;D27),1,0)</f>
        <v>0</v>
      </c>
      <c r="BB27" s="1" t="n">
        <f aca="false">QX26</f>
        <v>0</v>
      </c>
      <c r="BC27" s="1" t="n">
        <f aca="false">AZ27*MIN(Slot4_Cost,BB27)</f>
        <v>0</v>
      </c>
      <c r="BD27" s="1" t="n">
        <f aca="false">AZ27*Slot4_SpendLike*MIN(Slot4_Cost-BC27,AV27)</f>
        <v>0</v>
      </c>
      <c r="BE27" s="1" t="n">
        <f aca="false">BC27+BD27</f>
        <v>0</v>
      </c>
      <c r="BF27" s="1" t="n">
        <f aca="false">AV27-BD27+AZ27*IF(Slot4_SpendLike=1,BB27-BC27,IF(Slot4_PotFree=1,BB27,0))</f>
        <v>0</v>
      </c>
      <c r="BG27" s="1" t="n">
        <f aca="false">AW27+AZ27*Slot4_BufPot*BB27</f>
        <v>0</v>
      </c>
      <c r="BH27" s="1" t="n">
        <f aca="false">IF(AND(AZ27=1,Slot4_IsMfree=1),IF(BE27&gt;=Slot4_Cost-1,0,MAX(0,AX27-BE27)),AX27)</f>
        <v>0</v>
      </c>
      <c r="BI27" s="1" t="n">
        <f aca="false">AZ27*(Slot4_Cost-BE27)</f>
        <v>0</v>
      </c>
      <c r="BJ27" s="1" t="n">
        <f aca="false">IF(AND(Slot5_On=1,D27=Slot5_Age),1,0)</f>
        <v>0</v>
      </c>
      <c r="BK27" s="1" t="n">
        <f aca="false">IF(AND(Slot5_On=1,Slot5_Age&gt;D27),1,0)</f>
        <v>0</v>
      </c>
      <c r="BL27" s="1" t="n">
        <f aca="false">RB26</f>
        <v>0</v>
      </c>
      <c r="BM27" s="1" t="n">
        <f aca="false">BJ27*MIN(Slot5_Cost,BL27)</f>
        <v>0</v>
      </c>
      <c r="BN27" s="1" t="n">
        <f aca="false">BJ27*Slot5_SpendLike*MIN(Slot5_Cost-BM27,BF27)</f>
        <v>0</v>
      </c>
      <c r="BO27" s="1" t="n">
        <f aca="false">BM27+BN27</f>
        <v>0</v>
      </c>
      <c r="BP27" s="1" t="n">
        <f aca="false">BF27-BN27+BJ27*IF(Slot5_SpendLike=1,BL27-BM27,IF(Slot5_PotFree=1,BL27,0))</f>
        <v>0</v>
      </c>
      <c r="BQ27" s="1" t="n">
        <f aca="false">BG27+BJ27*Slot5_BufPot*BL27</f>
        <v>0</v>
      </c>
      <c r="BR27" s="1" t="n">
        <f aca="false">IF(AND(BJ27=1,Slot5_IsMfree=1),IF(BO27&gt;=Slot5_Cost-1,0,MAX(0,BH27-BO27)),BH27)</f>
        <v>0</v>
      </c>
      <c r="BS27" s="1" t="n">
        <f aca="false">BJ27*(Slot5_Cost-BO27)</f>
        <v>0</v>
      </c>
      <c r="BT27" s="1" t="n">
        <f aca="false">IF(AND(Slot6_On=1,D27=Slot6_Age),1,0)</f>
        <v>0</v>
      </c>
      <c r="BU27" s="1" t="n">
        <f aca="false">IF(AND(Slot6_On=1,Slot6_Age&gt;D27),1,0)</f>
        <v>0</v>
      </c>
      <c r="BV27" s="1" t="n">
        <f aca="false">RF26</f>
        <v>0</v>
      </c>
      <c r="BW27" s="1" t="n">
        <f aca="false">BT27*MIN(Slot6_Cost,BV27)</f>
        <v>0</v>
      </c>
      <c r="BX27" s="1" t="n">
        <f aca="false">BT27*Slot6_SpendLike*MIN(Slot6_Cost-BW27,BP27)</f>
        <v>0</v>
      </c>
      <c r="BY27" s="1" t="n">
        <f aca="false">BW27+BX27</f>
        <v>0</v>
      </c>
      <c r="BZ27" s="1" t="n">
        <f aca="false">BP27-BX27+BT27*IF(Slot6_SpendLike=1,BV27-BW27,IF(Slot6_PotFree=1,BV27,0))</f>
        <v>0</v>
      </c>
      <c r="CA27" s="1" t="n">
        <f aca="false">BQ27+BT27*Slot6_BufPot*BV27</f>
        <v>0</v>
      </c>
      <c r="CB27" s="1" t="n">
        <f aca="false">IF(AND(BT27=1,Slot6_IsMfree=1),IF(BY27&gt;=Slot6_Cost-1,0,MAX(0,BR27-BY27)),BR27)</f>
        <v>0</v>
      </c>
      <c r="CC27" s="1" t="n">
        <f aca="false">BT27*(Slot6_Cost-BY27)</f>
        <v>0</v>
      </c>
      <c r="CD27" s="1" t="n">
        <f aca="false">IF(AND(Slot7_On=1,D27=Slot7_Age),1,0)</f>
        <v>0</v>
      </c>
      <c r="CE27" s="1" t="n">
        <f aca="false">IF(AND(Slot7_On=1,Slot7_Age&gt;D27),1,0)</f>
        <v>0</v>
      </c>
      <c r="CF27" s="1" t="n">
        <f aca="false">RJ26</f>
        <v>0</v>
      </c>
      <c r="CG27" s="1" t="n">
        <f aca="false">CD27*MIN(Slot7_Cost,CF27)</f>
        <v>0</v>
      </c>
      <c r="CH27" s="1" t="n">
        <f aca="false">CD27*Slot7_SpendLike*MIN(Slot7_Cost-CG27,BZ27)</f>
        <v>0</v>
      </c>
      <c r="CI27" s="1" t="n">
        <f aca="false">CG27+CH27</f>
        <v>0</v>
      </c>
      <c r="CJ27" s="1" t="n">
        <f aca="false">BZ27-CH27+CD27*IF(Slot7_SpendLike=1,CF27-CG27,IF(Slot7_PotFree=1,CF27,0))</f>
        <v>0</v>
      </c>
      <c r="CK27" s="1" t="n">
        <f aca="false">CA27+CD27*Slot7_BufPot*CF27</f>
        <v>0</v>
      </c>
      <c r="CL27" s="1" t="n">
        <f aca="false">IF(AND(CD27=1,Slot7_IsMfree=1),IF(CI27&gt;=Slot7_Cost-1,0,MAX(0,CB27-CI27)),CB27)</f>
        <v>0</v>
      </c>
      <c r="CM27" s="1" t="n">
        <f aca="false">CD27*(Slot7_Cost-CI27)</f>
        <v>0</v>
      </c>
      <c r="CN27" s="1" t="n">
        <f aca="false">IF(AND(Slot8_On=1,D27=Slot8_Age),1,0)</f>
        <v>0</v>
      </c>
      <c r="CO27" s="1" t="n">
        <f aca="false">IF(AND(Slot8_On=1,Slot8_Age&gt;D27),1,0)</f>
        <v>0</v>
      </c>
      <c r="CP27" s="1" t="n">
        <f aca="false">RN26</f>
        <v>0</v>
      </c>
      <c r="CQ27" s="1" t="n">
        <f aca="false">CN27*MIN(Slot8_Cost,CP27)</f>
        <v>0</v>
      </c>
      <c r="CR27" s="1" t="n">
        <f aca="false">CN27*Slot8_SpendLike*MIN(Slot8_Cost-CQ27,CJ27)</f>
        <v>0</v>
      </c>
      <c r="CS27" s="1" t="n">
        <f aca="false">CQ27+CR27</f>
        <v>0</v>
      </c>
      <c r="CT27" s="1" t="n">
        <f aca="false">CJ27-CR27+CN27*IF(Slot8_SpendLike=1,CP27-CQ27,IF(Slot8_PotFree=1,CP27,0))</f>
        <v>0</v>
      </c>
      <c r="CU27" s="1" t="n">
        <f aca="false">CK27+CN27*Slot8_BufPot*CP27</f>
        <v>0</v>
      </c>
      <c r="CV27" s="1" t="n">
        <f aca="false">IF(AND(CN27=1,Slot8_IsMfree=1),IF(CS27&gt;=Slot8_Cost-1,0,MAX(0,CL27-CS27)),CL27)</f>
        <v>0</v>
      </c>
      <c r="CW27" s="1" t="n">
        <f aca="false">CN27*(Slot8_Cost-CS27)</f>
        <v>0</v>
      </c>
      <c r="CX27" s="1" t="n">
        <f aca="false">IF(AND(Slot9_On=1,D27=Slot9_Age),1,0)</f>
        <v>0</v>
      </c>
      <c r="CY27" s="1" t="n">
        <f aca="false">IF(AND(Slot9_On=1,Slot9_Age&gt;D27),1,0)</f>
        <v>0</v>
      </c>
      <c r="CZ27" s="1" t="n">
        <f aca="false">RR26</f>
        <v>0</v>
      </c>
      <c r="DA27" s="1" t="n">
        <f aca="false">CX27*MIN(Slot9_Cost,CZ27)</f>
        <v>0</v>
      </c>
      <c r="DB27" s="1" t="n">
        <f aca="false">CX27*Slot9_SpendLike*MIN(Slot9_Cost-DA27,CT27)</f>
        <v>0</v>
      </c>
      <c r="DC27" s="1" t="n">
        <f aca="false">DA27+DB27</f>
        <v>0</v>
      </c>
      <c r="DD27" s="1" t="n">
        <f aca="false">CT27-DB27+CX27*IF(Slot9_SpendLike=1,CZ27-DA27,IF(Slot9_PotFree=1,CZ27,0))</f>
        <v>0</v>
      </c>
      <c r="DE27" s="1" t="n">
        <f aca="false">CU27+CX27*Slot9_BufPot*CZ27</f>
        <v>0</v>
      </c>
      <c r="DF27" s="1" t="n">
        <f aca="false">IF(AND(CX27=1,Slot9_IsMfree=1),IF(DC27&gt;=Slot9_Cost-1,0,MAX(0,CV27-DC27)),CV27)</f>
        <v>0</v>
      </c>
      <c r="DG27" s="1" t="n">
        <f aca="false">CX27*(Slot9_Cost-DC27)</f>
        <v>0</v>
      </c>
      <c r="DH27" s="1" t="n">
        <f aca="false">IF(AND(Slot10_On=1,D27=Slot10_Age),1,0)</f>
        <v>0</v>
      </c>
      <c r="DI27" s="1" t="n">
        <f aca="false">IF(AND(Slot10_On=1,Slot10_Age&gt;D27),1,0)</f>
        <v>0</v>
      </c>
      <c r="DJ27" s="1" t="n">
        <f aca="false">RV26</f>
        <v>0</v>
      </c>
      <c r="DK27" s="1" t="n">
        <f aca="false">DH27*MIN(Slot10_Cost,DJ27)</f>
        <v>0</v>
      </c>
      <c r="DL27" s="1" t="n">
        <f aca="false">DH27*Slot10_SpendLike*MIN(Slot10_Cost-DK27,DD27)</f>
        <v>0</v>
      </c>
      <c r="DM27" s="1" t="n">
        <f aca="false">DK27+DL27</f>
        <v>0</v>
      </c>
      <c r="DN27" s="1" t="n">
        <f aca="false">DD27-DL27+DH27*IF(Slot10_SpendLike=1,DJ27-DK27,IF(Slot10_PotFree=1,DJ27,0))</f>
        <v>0</v>
      </c>
      <c r="DO27" s="1" t="n">
        <f aca="false">DE27+DH27*Slot10_BufPot*DJ27</f>
        <v>0</v>
      </c>
      <c r="DP27" s="1" t="n">
        <f aca="false">IF(AND(DH27=1,Slot10_IsMfree=1),IF(DM27&gt;=Slot10_Cost-1,0,MAX(0,DF27-DM27)),DF27)</f>
        <v>0</v>
      </c>
      <c r="DQ27" s="1" t="n">
        <f aca="false">DH27*(Slot10_Cost-DM27)</f>
        <v>0</v>
      </c>
      <c r="DR27" s="1" t="n">
        <f aca="false">IF(AND(Slot11_On=1,D27=Slot11_Age),1,0)</f>
        <v>0</v>
      </c>
      <c r="DS27" s="1" t="n">
        <f aca="false">IF(AND(Slot11_On=1,Slot11_Age&gt;D27),1,0)</f>
        <v>0</v>
      </c>
      <c r="DT27" s="1" t="n">
        <f aca="false">RZ26</f>
        <v>0</v>
      </c>
      <c r="DU27" s="1" t="n">
        <f aca="false">DR27*MIN(Slot11_Cost,DT27)</f>
        <v>0</v>
      </c>
      <c r="DV27" s="1" t="n">
        <f aca="false">DR27*Slot11_SpendLike*MIN(Slot11_Cost-DU27,DN27)</f>
        <v>0</v>
      </c>
      <c r="DW27" s="1" t="n">
        <f aca="false">DU27+DV27</f>
        <v>0</v>
      </c>
      <c r="DX27" s="1" t="n">
        <f aca="false">DN27-DV27+DR27*IF(Slot11_SpendLike=1,DT27-DU27,IF(Slot11_PotFree=1,DT27,0))</f>
        <v>0</v>
      </c>
      <c r="DY27" s="1" t="n">
        <f aca="false">DO27+DR27*Slot11_BufPot*DT27</f>
        <v>0</v>
      </c>
      <c r="DZ27" s="1" t="n">
        <f aca="false">IF(AND(DR27=1,Slot11_IsMfree=1),IF(DW27&gt;=Slot11_Cost-1,0,MAX(0,DP27-DW27)),DP27)</f>
        <v>0</v>
      </c>
      <c r="EA27" s="1" t="n">
        <f aca="false">DR27*(Slot11_Cost-DW27)</f>
        <v>0</v>
      </c>
      <c r="EB27" s="1" t="n">
        <f aca="false">IF(AND(Slot12_On=1,D27=Slot12_Age),1,0)</f>
        <v>0</v>
      </c>
      <c r="EC27" s="1" t="n">
        <f aca="false">IF(AND(Slot12_On=1,Slot12_Age&gt;D27),1,0)</f>
        <v>0</v>
      </c>
      <c r="ED27" s="1" t="n">
        <f aca="false">SD26</f>
        <v>0</v>
      </c>
      <c r="EE27" s="1" t="n">
        <f aca="false">EB27*MIN(Slot12_Cost,ED27)</f>
        <v>0</v>
      </c>
      <c r="EF27" s="1" t="n">
        <f aca="false">EB27*Slot12_SpendLike*MIN(Slot12_Cost-EE27,DX27)</f>
        <v>0</v>
      </c>
      <c r="EG27" s="1" t="n">
        <f aca="false">EE27+EF27</f>
        <v>0</v>
      </c>
      <c r="EH27" s="1" t="n">
        <f aca="false">DX27-EF27+EB27*IF(Slot12_SpendLike=1,ED27-EE27,IF(Slot12_PotFree=1,ED27,0))</f>
        <v>0</v>
      </c>
      <c r="EI27" s="1" t="n">
        <f aca="false">DY27+EB27*Slot12_BufPot*ED27</f>
        <v>0</v>
      </c>
      <c r="EJ27" s="1" t="n">
        <f aca="false">IF(AND(EB27=1,Slot12_IsMfree=1),IF(EG27&gt;=Slot12_Cost-1,0,MAX(0,DZ27-EG27)),DZ27)</f>
        <v>0</v>
      </c>
      <c r="EK27" s="1" t="n">
        <f aca="false">EB27*(Slot12_Cost-EG27)</f>
        <v>0</v>
      </c>
      <c r="EL27" s="1" t="n">
        <f aca="false">IF(AND(Slot13_On=1,D27=Slot13_Age),1,0)</f>
        <v>0</v>
      </c>
      <c r="EM27" s="1" t="n">
        <f aca="false">IF(AND(Slot13_On=1,Slot13_Age&gt;D27),1,0)</f>
        <v>0</v>
      </c>
      <c r="EN27" s="1" t="n">
        <f aca="false">SH26</f>
        <v>0</v>
      </c>
      <c r="EO27" s="1" t="n">
        <f aca="false">EL27*MIN(Slot13_Cost,EN27)</f>
        <v>0</v>
      </c>
      <c r="EP27" s="1" t="n">
        <f aca="false">EL27*Slot13_SpendLike*MIN(Slot13_Cost-EO27,EH27)</f>
        <v>0</v>
      </c>
      <c r="EQ27" s="1" t="n">
        <f aca="false">EO27+EP27</f>
        <v>0</v>
      </c>
      <c r="ER27" s="1" t="n">
        <f aca="false">EH27-EP27+EL27*IF(Slot13_SpendLike=1,EN27-EO27,IF(Slot13_PotFree=1,EN27,0))</f>
        <v>0</v>
      </c>
      <c r="ES27" s="1" t="n">
        <f aca="false">EI27+EL27*Slot13_BufPot*EN27</f>
        <v>0</v>
      </c>
      <c r="ET27" s="1" t="n">
        <f aca="false">IF(AND(EL27=1,Slot13_IsMfree=1),IF(EQ27&gt;=Slot13_Cost-1,0,MAX(0,EJ27-EQ27)),EJ27)</f>
        <v>0</v>
      </c>
      <c r="EU27" s="1" t="n">
        <f aca="false">EL27*(Slot13_Cost-EQ27)</f>
        <v>0</v>
      </c>
      <c r="EV27" s="1" t="n">
        <f aca="false">IF(AND(Slot14_On=1,D27=Slot14_Age),1,0)</f>
        <v>0</v>
      </c>
      <c r="EW27" s="1" t="n">
        <f aca="false">IF(AND(Slot14_On=1,Slot14_Age&gt;D27),1,0)</f>
        <v>0</v>
      </c>
      <c r="EX27" s="1" t="n">
        <f aca="false">SL26</f>
        <v>0</v>
      </c>
      <c r="EY27" s="1" t="n">
        <f aca="false">EV27*MIN(Slot14_Cost,EX27)</f>
        <v>0</v>
      </c>
      <c r="EZ27" s="1" t="n">
        <f aca="false">EV27*Slot14_SpendLike*MIN(Slot14_Cost-EY27,ER27)</f>
        <v>0</v>
      </c>
      <c r="FA27" s="1" t="n">
        <f aca="false">EY27+EZ27</f>
        <v>0</v>
      </c>
      <c r="FB27" s="1" t="n">
        <f aca="false">ER27-EZ27+EV27*IF(Slot14_SpendLike=1,EX27-EY27,IF(Slot14_PotFree=1,EX27,0))</f>
        <v>0</v>
      </c>
      <c r="FC27" s="1" t="n">
        <f aca="false">ES27+EV27*Slot14_BufPot*EX27</f>
        <v>0</v>
      </c>
      <c r="FD27" s="1" t="n">
        <f aca="false">IF(AND(EV27=1,Slot14_IsMfree=1),IF(FA27&gt;=Slot14_Cost-1,0,MAX(0,ET27-FA27)),ET27)</f>
        <v>0</v>
      </c>
      <c r="FE27" s="1" t="n">
        <f aca="false">EV27*(Slot14_Cost-FA27)</f>
        <v>0</v>
      </c>
      <c r="FF27" s="1" t="n">
        <f aca="false">IF(AND(Slot15_On=1,D27=Slot15_Age),1,0)</f>
        <v>0</v>
      </c>
      <c r="FG27" s="1" t="n">
        <f aca="false">IF(AND(Slot15_On=1,Slot15_Age&gt;D27),1,0)</f>
        <v>0</v>
      </c>
      <c r="FH27" s="1" t="n">
        <f aca="false">SP26</f>
        <v>0</v>
      </c>
      <c r="FI27" s="1" t="n">
        <f aca="false">FF27*MIN(Slot15_Cost,FH27)</f>
        <v>0</v>
      </c>
      <c r="FJ27" s="1" t="n">
        <f aca="false">FF27*Slot15_SpendLike*MIN(Slot15_Cost-FI27,FB27)</f>
        <v>0</v>
      </c>
      <c r="FK27" s="1" t="n">
        <f aca="false">FI27+FJ27</f>
        <v>0</v>
      </c>
      <c r="FL27" s="1" t="n">
        <f aca="false">FB27-FJ27+FF27*IF(Slot15_SpendLike=1,FH27-FI27,IF(Slot15_PotFree=1,FH27,0))</f>
        <v>0</v>
      </c>
      <c r="FM27" s="1" t="n">
        <f aca="false">FC27+FF27*Slot15_BufPot*FH27</f>
        <v>0</v>
      </c>
      <c r="FN27" s="1" t="n">
        <f aca="false">IF(AND(FF27=1,Slot15_IsMfree=1),IF(FK27&gt;=Slot15_Cost-1,0,MAX(0,FD27-FK27)),FD27)</f>
        <v>0</v>
      </c>
      <c r="FO27" s="1" t="n">
        <f aca="false">FF27*(Slot15_Cost-FK27)</f>
        <v>0</v>
      </c>
      <c r="FP27" s="1" t="n">
        <f aca="false">IF(AND(Slot16_On=1,D27=Slot16_Age),1,0)</f>
        <v>0</v>
      </c>
      <c r="FQ27" s="1" t="n">
        <f aca="false">IF(AND(Slot16_On=1,Slot16_Age&gt;D27),1,0)</f>
        <v>0</v>
      </c>
      <c r="FR27" s="1" t="n">
        <f aca="false">ST26</f>
        <v>0</v>
      </c>
      <c r="FS27" s="1" t="n">
        <f aca="false">FP27*MIN(Slot16_Cost,FR27)</f>
        <v>0</v>
      </c>
      <c r="FT27" s="1" t="n">
        <f aca="false">FP27*Slot16_SpendLike*MIN(Slot16_Cost-FS27,FL27)</f>
        <v>0</v>
      </c>
      <c r="FU27" s="1" t="n">
        <f aca="false">FS27+FT27</f>
        <v>0</v>
      </c>
      <c r="FV27" s="1" t="n">
        <f aca="false">FL27-FT27+FP27*IF(Slot16_SpendLike=1,FR27-FS27,IF(Slot16_PotFree=1,FR27,0))</f>
        <v>0</v>
      </c>
      <c r="FW27" s="1" t="n">
        <f aca="false">FM27+FP27*Slot16_BufPot*FR27</f>
        <v>0</v>
      </c>
      <c r="FX27" s="1" t="n">
        <f aca="false">IF(AND(FP27=1,Slot16_IsMfree=1),IF(FU27&gt;=Slot16_Cost-1,0,MAX(0,FN27-FU27)),FN27)</f>
        <v>0</v>
      </c>
      <c r="FY27" s="1" t="n">
        <f aca="false">FP27*(Slot16_Cost-FU27)</f>
        <v>0</v>
      </c>
      <c r="FZ27" s="1" t="n">
        <f aca="false">IF(AND(Slot17_On=1,D27=Slot17_Age),1,0)</f>
        <v>0</v>
      </c>
      <c r="GA27" s="1" t="n">
        <f aca="false">IF(AND(Slot17_On=1,Slot17_Age&gt;D27),1,0)</f>
        <v>0</v>
      </c>
      <c r="GB27" s="1" t="n">
        <f aca="false">SX26</f>
        <v>0</v>
      </c>
      <c r="GC27" s="1" t="n">
        <f aca="false">FZ27*MIN(Slot17_Cost,GB27)</f>
        <v>0</v>
      </c>
      <c r="GD27" s="1" t="n">
        <f aca="false">FZ27*Slot17_SpendLike*MIN(Slot17_Cost-GC27,FV27)</f>
        <v>0</v>
      </c>
      <c r="GE27" s="1" t="n">
        <f aca="false">GC27+GD27</f>
        <v>0</v>
      </c>
      <c r="GF27" s="1" t="n">
        <f aca="false">FV27-GD27+FZ27*IF(Slot17_SpendLike=1,GB27-GC27,IF(Slot17_PotFree=1,GB27,0))</f>
        <v>0</v>
      </c>
      <c r="GG27" s="1" t="n">
        <f aca="false">FW27+FZ27*Slot17_BufPot*GB27</f>
        <v>0</v>
      </c>
      <c r="GH27" s="1" t="n">
        <f aca="false">IF(AND(FZ27=1,Slot17_IsMfree=1),IF(GE27&gt;=Slot17_Cost-1,0,MAX(0,FX27-GE27)),FX27)</f>
        <v>0</v>
      </c>
      <c r="GI27" s="1" t="n">
        <f aca="false">FZ27*(Slot17_Cost-GE27)</f>
        <v>0</v>
      </c>
      <c r="GJ27" s="1" t="n">
        <f aca="false">IF(AND(Slot18_On=1,D27=Slot18_Age),1,0)</f>
        <v>0</v>
      </c>
      <c r="GK27" s="1" t="n">
        <f aca="false">IF(AND(Slot18_On=1,Slot18_Age&gt;D27),1,0)</f>
        <v>0</v>
      </c>
      <c r="GL27" s="1" t="n">
        <f aca="false">TB26</f>
        <v>0</v>
      </c>
      <c r="GM27" s="1" t="n">
        <f aca="false">GJ27*MIN(Slot18_Cost,GL27)</f>
        <v>0</v>
      </c>
      <c r="GN27" s="1" t="n">
        <f aca="false">GJ27*Slot18_SpendLike*MIN(Slot18_Cost-GM27,GF27)</f>
        <v>0</v>
      </c>
      <c r="GO27" s="1" t="n">
        <f aca="false">GM27+GN27</f>
        <v>0</v>
      </c>
      <c r="GP27" s="1" t="n">
        <f aca="false">GF27-GN27+GJ27*IF(Slot18_SpendLike=1,GL27-GM27,IF(Slot18_PotFree=1,GL27,0))</f>
        <v>0</v>
      </c>
      <c r="GQ27" s="1" t="n">
        <f aca="false">GG27+GJ27*Slot18_BufPot*GL27</f>
        <v>0</v>
      </c>
      <c r="GR27" s="1" t="n">
        <f aca="false">IF(AND(GJ27=1,Slot18_IsMfree=1),IF(GO27&gt;=Slot18_Cost-1,0,MAX(0,GH27-GO27)),GH27)</f>
        <v>0</v>
      </c>
      <c r="GS27" s="1" t="n">
        <f aca="false">GJ27*(Slot18_Cost-GO27)</f>
        <v>0</v>
      </c>
      <c r="GT27" s="1" t="n">
        <f aca="false">IF(AND(Slot19_On=1,D27=Slot19_Age),1,0)</f>
        <v>0</v>
      </c>
      <c r="GU27" s="1" t="n">
        <f aca="false">IF(AND(Slot19_On=1,Slot19_Age&gt;D27),1,0)</f>
        <v>0</v>
      </c>
      <c r="GV27" s="1" t="n">
        <f aca="false">TF26</f>
        <v>0</v>
      </c>
      <c r="GW27" s="1" t="n">
        <f aca="false">GT27*MIN(Slot19_Cost,GV27)</f>
        <v>0</v>
      </c>
      <c r="GX27" s="1" t="n">
        <f aca="false">GT27*Slot19_SpendLike*MIN(Slot19_Cost-GW27,GP27)</f>
        <v>0</v>
      </c>
      <c r="GY27" s="1" t="n">
        <f aca="false">GW27+GX27</f>
        <v>0</v>
      </c>
      <c r="GZ27" s="1" t="n">
        <f aca="false">GP27-GX27+GT27*IF(Slot19_SpendLike=1,GV27-GW27,IF(Slot19_PotFree=1,GV27,0))</f>
        <v>0</v>
      </c>
      <c r="HA27" s="1" t="n">
        <f aca="false">GQ27+GT27*Slot19_BufPot*GV27</f>
        <v>0</v>
      </c>
      <c r="HB27" s="1" t="n">
        <f aca="false">IF(AND(GT27=1,Slot19_IsMfree=1),IF(GY27&gt;=Slot19_Cost-1,0,MAX(0,GR27-GY27)),GR27)</f>
        <v>0</v>
      </c>
      <c r="HC27" s="1" t="n">
        <f aca="false">GT27*(Slot19_Cost-GY27)</f>
        <v>0</v>
      </c>
      <c r="HD27" s="1" t="n">
        <f aca="false">IF(AND(Slot20_On=1,D27=Slot20_Age),1,0)</f>
        <v>0</v>
      </c>
      <c r="HE27" s="1" t="n">
        <f aca="false">IF(AND(Slot20_On=1,Slot20_Age&gt;D27),1,0)</f>
        <v>0</v>
      </c>
      <c r="HF27" s="1" t="n">
        <f aca="false">TJ26</f>
        <v>0</v>
      </c>
      <c r="HG27" s="1" t="n">
        <f aca="false">HD27*MIN(Slot20_Cost,HF27)</f>
        <v>0</v>
      </c>
      <c r="HH27" s="1" t="n">
        <f aca="false">HD27*Slot20_SpendLike*MIN(Slot20_Cost-HG27,GZ27)</f>
        <v>0</v>
      </c>
      <c r="HI27" s="1" t="n">
        <f aca="false">HG27+HH27</f>
        <v>0</v>
      </c>
      <c r="HJ27" s="1" t="n">
        <f aca="false">GZ27-HH27+HD27*IF(Slot20_SpendLike=1,HF27-HG27,IF(Slot20_PotFree=1,HF27,0))</f>
        <v>0</v>
      </c>
      <c r="HK27" s="1" t="n">
        <f aca="false">HA27+HD27*Slot20_BufPot*HF27</f>
        <v>0</v>
      </c>
      <c r="HL27" s="1" t="n">
        <f aca="false">IF(AND(HD27=1,Slot20_IsMfree=1),IF(HI27&gt;=Slot20_Cost-1,0,MAX(0,HB27-HI27)),HB27)</f>
        <v>0</v>
      </c>
      <c r="HM27" s="1" t="n">
        <f aca="false">HD27*(Slot20_Cost-HI27)</f>
        <v>0</v>
      </c>
      <c r="HN27" s="1" t="n">
        <f aca="false">U27*Slot1_SpendLike*Z27+AF27*Slot2_SpendLike*AK27+AP27*Slot3_SpendLike*AU27+AZ27*Slot4_SpendLike*BE27+BJ27*Slot5_SpendLike*BO27+BT27*Slot6_SpendLike*BY27+CD27*Slot7_SpendLike*CI27+CN27*Slot8_SpendLike*CS27+CX27*Slot9_SpendLike*DC27+DH27*Slot10_SpendLike*DM27+DR27*Slot11_SpendLike*DW27+EB27*Slot12_SpendLike*EG27+EL27*Slot13_SpendLike*EQ27+EV27*Slot14_SpendLike*FA27+FF27*Slot15_SpendLike*FK27+FP27*Slot16_SpendLike*FU27+FZ27*Slot17_SpendLike*GE27+GJ27*Slot18_SpendLike*GO27+GT27*Slot19_SpendLike*GY27+HD27*Slot20_SpendLike*HI27</f>
        <v>0</v>
      </c>
      <c r="HO27" s="1" t="n">
        <f aca="false">AD27+AO27+AY27+BI27+BS27+CC27+CM27+CW27+DG27+DQ27+EA27+EK27+EU27+FE27+FO27+FY27+GI27+GS27+HC27+HM27</f>
        <v>0</v>
      </c>
      <c r="HP27" s="1" t="n">
        <f aca="false">U27*Slot1_Cost+AF27*Slot2_Cost+AP27*Slot3_Cost+AZ27*Slot4_Cost+BJ27*Slot5_Cost+BT27*Slot6_Cost+CD27*Slot7_Cost+CN27*Slot8_Cost+CX27*Slot9_Cost+DH27*Slot10_Cost+DR27*Slot11_Cost+EB27*Slot12_Cost+EL27*Slot13_Cost+EV27*Slot14_Cost+FF27*Slot15_Cost+FP27*Slot16_Cost+FZ27*Slot17_Cost+GJ27*Slot18_Cost+GT27*Slot19_Cost+HD27*Slot20_Cost</f>
        <v>0</v>
      </c>
      <c r="HQ27" s="1" t="n">
        <f aca="false">HL27</f>
        <v>0</v>
      </c>
      <c r="HR27" s="1" t="n">
        <f aca="false">G27-H27-R27</f>
        <v>0</v>
      </c>
      <c r="HS27" s="1" t="n">
        <f aca="false">IF(B27=0,IF(AND(Has_q6=1,In_q6=4),PR_ShareVaries*(MAX(0,HR27)/12),MIN(IF(Has_q6=1,CHOOSE(In_q6+1,PR_SaveB1,PR_SaveB2,PR_SaveB3,PR_SaveB4,0),AS_NoAnswer),AS_SaveShare*(MAX(0,HR27)/12))),HS26)</f>
        <v>0</v>
      </c>
      <c r="HT27" s="1" t="n">
        <f aca="false">IF(HR27&gt;=0,1,0)</f>
        <v>1</v>
      </c>
      <c r="HU27" s="1" t="n">
        <f aca="false">MAX(0,HR27/12/E27)</f>
        <v>0</v>
      </c>
      <c r="HV27" s="1" t="n">
        <f aca="false">IF(AND(Has_q6=1,In_q6=4),PR_ShareVaries*(HU27),MIN(IF(Has_q6=1,CHOOSE(In_q6+1,PR_SaveB1,PR_SaveB2,PR_SaveB3,PR_SaveB4,0),AS_NoAnswer),AS_SaveShare*(HU27)))</f>
        <v>0</v>
      </c>
      <c r="HW27" s="1" t="n">
        <f aca="false">IF(Has_saveM=1,IF(In_saveUp="Yes",1,IF(In_saveUp="No",0,IF(In_saveM&gt;=HS27-0.5,1,0))),0)</f>
        <v>0</v>
      </c>
      <c r="HX27" s="1" t="n">
        <f aca="false">IF(Has_saveM=1,MIN(HU27,IF(HW27=1,MAX(In_saveM,HV27),MIN(In_saveM,HV27))),HV27)</f>
        <v>0</v>
      </c>
      <c r="HY27" s="1" t="n">
        <f aca="false">IF(F27=1,HX27*12*E27,0)</f>
        <v>0</v>
      </c>
      <c r="HZ27" s="1" t="n">
        <f aca="false">MAX(0,HY27+IF(AND(WI_Retire=0,WI_M&lt;0,F27=1),WI_M*12*E27,0))</f>
        <v>0</v>
      </c>
      <c r="IA27" s="1" t="n">
        <f aca="false">Slot1_IsWG*V27+Slot2_IsWG*AG27+Slot3_IsWG*AQ27+Slot4_IsWG*BA27+Slot5_IsWG*BK27+Slot6_IsWG*BU27+Slot7_IsWG*CE27+Slot8_IsWG*CO27+Slot9_IsWG*CY27+Slot10_IsWG*DI27+Slot11_IsWG*DS27+Slot12_IsWG*EC27+Slot13_IsWG*EM27+Slot14_IsWG*EW27+Slot15_IsWG*FG27+Slot16_IsWG*FQ27+Slot17_IsWG*GA27+Slot18_IsWG*GK27+Slot19_IsWG*GU27+Slot20_IsWG*HE27</f>
        <v>0</v>
      </c>
      <c r="IB27" s="1" t="n">
        <f aca="false">IF(AND(WI_Retire=0,WI_M&gt;0,F27=1,IA27&gt;=1),WI_M*12*E27,0)</f>
        <v>0</v>
      </c>
      <c r="IC27" s="1" t="n">
        <f aca="false">IF(HT27=1,MIN(HZ27,HR27),0)</f>
        <v>0</v>
      </c>
      <c r="ID27" s="1" t="n">
        <f aca="false">IF(HT27=1,MIN(IB27,HR27-IC27),0)</f>
        <v>0</v>
      </c>
      <c r="IE27" s="1" t="n">
        <f aca="false">IF(V27=1,IF(ABS((1+AS_Wage)/(1+Slot1_Rate)-1)&lt;0.000000000001,(Slot1_Age-D27)*(1+Slot1_Rate)^(Slot1_Age-D27),(1+Slot1_Rate)^(Slot1_Age-D27)*(1-((1+AS_Wage)/(1+Slot1_Rate))^(Slot1_Age-D27))/(1-(1+AS_Wage)/(1+Slot1_Rate))),1)</f>
        <v>1</v>
      </c>
      <c r="IF27" s="1" t="n">
        <f aca="false">IF(AND(HT27=1,ID27&gt;0,Slot1_IsWG=1,V27=1),MAX(0,(Slot1_Cost-W27*(1+Slot1_Rate)^(Slot1_Age-D27))/IE27),0)</f>
        <v>0</v>
      </c>
      <c r="IG27" s="1" t="n">
        <f aca="false">IF(AND(HT27=1,ID27&gt;0,Slot1_IsWG=1,V27=1),MIN(ID27,IF27),0)</f>
        <v>0</v>
      </c>
      <c r="IH27" s="1" t="n">
        <f aca="false">W27+IG27</f>
        <v>0</v>
      </c>
      <c r="II27" s="1" t="n">
        <f aca="false">IF(V27=1,MAX(0,(Slot1_Cost-IH27*(1+Slot1_Rate)^(Slot1_Age-D27))/IE27),0)</f>
        <v>0</v>
      </c>
      <c r="IJ27" s="1" t="n">
        <f aca="false">IF(V27=1,MAX(0,(Slot1_Cost-W27*(1+Slot1_Rate)^(Slot1_Age-D27))/IE27),0)</f>
        <v>0</v>
      </c>
      <c r="IK27" s="1" t="n">
        <f aca="false">IF(AND(HT27=1,V27=1),MIN(IC27,II27),0)</f>
        <v>0</v>
      </c>
      <c r="IL27" s="1" t="n">
        <f aca="false">IC27-IK27</f>
        <v>0</v>
      </c>
      <c r="IM27" s="1" t="n">
        <f aca="false">IF(AG27=1,IF(ABS((1+AS_Wage)/(1+Slot2_Rate)-1)&lt;0.000000000001,(Slot2_Age-D27)*(1+Slot2_Rate)^(Slot2_Age-D27),(1+Slot2_Rate)^(Slot2_Age-D27)*(1-((1+AS_Wage)/(1+Slot2_Rate))^(Slot2_Age-D27))/(1-(1+AS_Wage)/(1+Slot2_Rate))),1)</f>
        <v>1</v>
      </c>
      <c r="IN27" s="1" t="n">
        <f aca="false">IF(AND(HT27=1,ID27&gt;0,Slot2_IsWG=1,AG27=1),MAX(0,(Slot2_Cost-AH27*(1+Slot2_Rate)^(Slot2_Age-D27))/IM27),0)</f>
        <v>0</v>
      </c>
      <c r="IO27" s="1" t="n">
        <f aca="false">IF(AND(HT27=1,ID27&gt;0,Slot2_IsWG=1,AG27=1),MIN(ID27,IN27),0)</f>
        <v>0</v>
      </c>
      <c r="IP27" s="1" t="n">
        <f aca="false">AH27+IO27</f>
        <v>0</v>
      </c>
      <c r="IQ27" s="1" t="n">
        <f aca="false">IF(AG27=1,MAX(0,(Slot2_Cost-IP27*(1+Slot2_Rate)^(Slot2_Age-D27))/IM27),0)</f>
        <v>0</v>
      </c>
      <c r="IR27" s="1" t="n">
        <f aca="false">IF(AG27=1,MAX(0,(Slot2_Cost-AH27*(1+Slot2_Rate)^(Slot2_Age-D27))/IM27),0)</f>
        <v>0</v>
      </c>
      <c r="IS27" s="1" t="n">
        <f aca="false">IF(AND(HT27=1,AG27=1),MIN(IL27,IQ27),0)</f>
        <v>0</v>
      </c>
      <c r="IT27" s="1" t="n">
        <f aca="false">IL27-IS27</f>
        <v>0</v>
      </c>
      <c r="IU27" s="1" t="n">
        <f aca="false">IF(AQ27=1,IF(ABS((1+AS_Wage)/(1+Slot3_Rate)-1)&lt;0.000000000001,(Slot3_Age-D27)*(1+Slot3_Rate)^(Slot3_Age-D27),(1+Slot3_Rate)^(Slot3_Age-D27)*(1-((1+AS_Wage)/(1+Slot3_Rate))^(Slot3_Age-D27))/(1-(1+AS_Wage)/(1+Slot3_Rate))),1)</f>
        <v>1</v>
      </c>
      <c r="IV27" s="1" t="n">
        <f aca="false">IF(AND(HT27=1,ID27&gt;0,Slot3_IsWG=1,AQ27=1),MAX(0,(Slot3_Cost-AR27*(1+Slot3_Rate)^(Slot3_Age-D27))/IU27),0)</f>
        <v>0</v>
      </c>
      <c r="IW27" s="1" t="n">
        <f aca="false">IF(AND(HT27=1,ID27&gt;0,Slot3_IsWG=1,AQ27=1),MIN(ID27,IV27),0)</f>
        <v>0</v>
      </c>
      <c r="IX27" s="1" t="n">
        <f aca="false">AR27+IW27</f>
        <v>0</v>
      </c>
      <c r="IY27" s="1" t="n">
        <f aca="false">IF(AQ27=1,MAX(0,(Slot3_Cost-IX27*(1+Slot3_Rate)^(Slot3_Age-D27))/IU27),0)</f>
        <v>0</v>
      </c>
      <c r="IZ27" s="1" t="n">
        <f aca="false">IF(AQ27=1,MAX(0,(Slot3_Cost-AR27*(1+Slot3_Rate)^(Slot3_Age-D27))/IU27),0)</f>
        <v>0</v>
      </c>
      <c r="JA27" s="1" t="n">
        <f aca="false">IF(AND(HT27=1,AQ27=1),MIN(IT27,IY27),0)</f>
        <v>0</v>
      </c>
      <c r="JB27" s="1" t="n">
        <f aca="false">IT27-JA27</f>
        <v>0</v>
      </c>
      <c r="JC27" s="1" t="n">
        <f aca="false">IF(BA27=1,IF(ABS((1+AS_Wage)/(1+Slot4_Rate)-1)&lt;0.000000000001,(Slot4_Age-D27)*(1+Slot4_Rate)^(Slot4_Age-D27),(1+Slot4_Rate)^(Slot4_Age-D27)*(1-((1+AS_Wage)/(1+Slot4_Rate))^(Slot4_Age-D27))/(1-(1+AS_Wage)/(1+Slot4_Rate))),1)</f>
        <v>1</v>
      </c>
      <c r="JD27" s="1" t="n">
        <f aca="false">IF(AND(HT27=1,ID27&gt;0,Slot4_IsWG=1,BA27=1),MAX(0,(Slot4_Cost-BB27*(1+Slot4_Rate)^(Slot4_Age-D27))/JC27),0)</f>
        <v>0</v>
      </c>
      <c r="JE27" s="1" t="n">
        <f aca="false">IF(AND(HT27=1,ID27&gt;0,Slot4_IsWG=1,BA27=1),MIN(ID27,JD27),0)</f>
        <v>0</v>
      </c>
      <c r="JF27" s="1" t="n">
        <f aca="false">BB27+JE27</f>
        <v>0</v>
      </c>
      <c r="JG27" s="1" t="n">
        <f aca="false">IF(BA27=1,MAX(0,(Slot4_Cost-JF27*(1+Slot4_Rate)^(Slot4_Age-D27))/JC27),0)</f>
        <v>0</v>
      </c>
      <c r="JH27" s="1" t="n">
        <f aca="false">IF(BA27=1,MAX(0,(Slot4_Cost-BB27*(1+Slot4_Rate)^(Slot4_Age-D27))/JC27),0)</f>
        <v>0</v>
      </c>
      <c r="JI27" s="1" t="n">
        <f aca="false">IF(AND(HT27=1,BA27=1),MIN(JB27,JG27),0)</f>
        <v>0</v>
      </c>
      <c r="JJ27" s="1" t="n">
        <f aca="false">JB27-JI27</f>
        <v>0</v>
      </c>
      <c r="JK27" s="1" t="n">
        <f aca="false">IF(BK27=1,IF(ABS((1+AS_Wage)/(1+Slot5_Rate)-1)&lt;0.000000000001,(Slot5_Age-D27)*(1+Slot5_Rate)^(Slot5_Age-D27),(1+Slot5_Rate)^(Slot5_Age-D27)*(1-((1+AS_Wage)/(1+Slot5_Rate))^(Slot5_Age-D27))/(1-(1+AS_Wage)/(1+Slot5_Rate))),1)</f>
        <v>1</v>
      </c>
      <c r="JL27" s="1" t="n">
        <f aca="false">IF(AND(HT27=1,ID27&gt;0,Slot5_IsWG=1,BK27=1),MAX(0,(Slot5_Cost-BL27*(1+Slot5_Rate)^(Slot5_Age-D27))/JK27),0)</f>
        <v>0</v>
      </c>
      <c r="JM27" s="1" t="n">
        <f aca="false">IF(AND(HT27=1,ID27&gt;0,Slot5_IsWG=1,BK27=1),MIN(ID27,JL27),0)</f>
        <v>0</v>
      </c>
      <c r="JN27" s="1" t="n">
        <f aca="false">BL27+JM27</f>
        <v>0</v>
      </c>
      <c r="JO27" s="1" t="n">
        <f aca="false">IF(BK27=1,MAX(0,(Slot5_Cost-JN27*(1+Slot5_Rate)^(Slot5_Age-D27))/JK27),0)</f>
        <v>0</v>
      </c>
      <c r="JP27" s="1" t="n">
        <f aca="false">IF(BK27=1,MAX(0,(Slot5_Cost-BL27*(1+Slot5_Rate)^(Slot5_Age-D27))/JK27),0)</f>
        <v>0</v>
      </c>
      <c r="JQ27" s="1" t="n">
        <f aca="false">IF(AND(HT27=1,BK27=1),MIN(JJ27,JO27),0)</f>
        <v>0</v>
      </c>
      <c r="JR27" s="1" t="n">
        <f aca="false">JJ27-JQ27</f>
        <v>0</v>
      </c>
      <c r="JS27" s="1" t="n">
        <f aca="false">IF(BU27=1,IF(ABS((1+AS_Wage)/(1+Slot6_Rate)-1)&lt;0.000000000001,(Slot6_Age-D27)*(1+Slot6_Rate)^(Slot6_Age-D27),(1+Slot6_Rate)^(Slot6_Age-D27)*(1-((1+AS_Wage)/(1+Slot6_Rate))^(Slot6_Age-D27))/(1-(1+AS_Wage)/(1+Slot6_Rate))),1)</f>
        <v>1</v>
      </c>
      <c r="JT27" s="1" t="n">
        <f aca="false">IF(AND(HT27=1,ID27&gt;0,Slot6_IsWG=1,BU27=1),MAX(0,(Slot6_Cost-BV27*(1+Slot6_Rate)^(Slot6_Age-D27))/JS27),0)</f>
        <v>0</v>
      </c>
      <c r="JU27" s="1" t="n">
        <f aca="false">IF(AND(HT27=1,ID27&gt;0,Slot6_IsWG=1,BU27=1),MIN(ID27,JT27),0)</f>
        <v>0</v>
      </c>
      <c r="JV27" s="1" t="n">
        <f aca="false">BV27+JU27</f>
        <v>0</v>
      </c>
      <c r="JW27" s="1" t="n">
        <f aca="false">IF(BU27=1,MAX(0,(Slot6_Cost-JV27*(1+Slot6_Rate)^(Slot6_Age-D27))/JS27),0)</f>
        <v>0</v>
      </c>
      <c r="JX27" s="1" t="n">
        <f aca="false">IF(BU27=1,MAX(0,(Slot6_Cost-BV27*(1+Slot6_Rate)^(Slot6_Age-D27))/JS27),0)</f>
        <v>0</v>
      </c>
      <c r="JY27" s="1" t="n">
        <f aca="false">IF(AND(HT27=1,BU27=1),MIN(JR27,JW27),0)</f>
        <v>0</v>
      </c>
      <c r="JZ27" s="1" t="n">
        <f aca="false">JR27-JY27</f>
        <v>0</v>
      </c>
      <c r="KA27" s="1" t="n">
        <f aca="false">IF(CE27=1,IF(ABS((1+AS_Wage)/(1+Slot7_Rate)-1)&lt;0.000000000001,(Slot7_Age-D27)*(1+Slot7_Rate)^(Slot7_Age-D27),(1+Slot7_Rate)^(Slot7_Age-D27)*(1-((1+AS_Wage)/(1+Slot7_Rate))^(Slot7_Age-D27))/(1-(1+AS_Wage)/(1+Slot7_Rate))),1)</f>
        <v>1</v>
      </c>
      <c r="KB27" s="1" t="n">
        <f aca="false">IF(AND(HT27=1,ID27&gt;0,Slot7_IsWG=1,CE27=1),MAX(0,(Slot7_Cost-CF27*(1+Slot7_Rate)^(Slot7_Age-D27))/KA27),0)</f>
        <v>0</v>
      </c>
      <c r="KC27" s="1" t="n">
        <f aca="false">IF(AND(HT27=1,ID27&gt;0,Slot7_IsWG=1,CE27=1),MIN(ID27,KB27),0)</f>
        <v>0</v>
      </c>
      <c r="KD27" s="1" t="n">
        <f aca="false">CF27+KC27</f>
        <v>0</v>
      </c>
      <c r="KE27" s="1" t="n">
        <f aca="false">IF(CE27=1,MAX(0,(Slot7_Cost-KD27*(1+Slot7_Rate)^(Slot7_Age-D27))/KA27),0)</f>
        <v>0</v>
      </c>
      <c r="KF27" s="1" t="n">
        <f aca="false">IF(CE27=1,MAX(0,(Slot7_Cost-CF27*(1+Slot7_Rate)^(Slot7_Age-D27))/KA27),0)</f>
        <v>0</v>
      </c>
      <c r="KG27" s="1" t="n">
        <f aca="false">IF(AND(HT27=1,CE27=1),MIN(JZ27,KE27),0)</f>
        <v>0</v>
      </c>
      <c r="KH27" s="1" t="n">
        <f aca="false">JZ27-KG27</f>
        <v>0</v>
      </c>
      <c r="KI27" s="1" t="n">
        <f aca="false">IF(CO27=1,IF(ABS((1+AS_Wage)/(1+Slot8_Rate)-1)&lt;0.000000000001,(Slot8_Age-D27)*(1+Slot8_Rate)^(Slot8_Age-D27),(1+Slot8_Rate)^(Slot8_Age-D27)*(1-((1+AS_Wage)/(1+Slot8_Rate))^(Slot8_Age-D27))/(1-(1+AS_Wage)/(1+Slot8_Rate))),1)</f>
        <v>1</v>
      </c>
      <c r="KJ27" s="1" t="n">
        <f aca="false">IF(AND(HT27=1,ID27&gt;0,Slot8_IsWG=1,CO27=1),MAX(0,(Slot8_Cost-CP27*(1+Slot8_Rate)^(Slot8_Age-D27))/KI27),0)</f>
        <v>0</v>
      </c>
      <c r="KK27" s="1" t="n">
        <f aca="false">IF(AND(HT27=1,ID27&gt;0,Slot8_IsWG=1,CO27=1),MIN(ID27,KJ27),0)</f>
        <v>0</v>
      </c>
      <c r="KL27" s="1" t="n">
        <f aca="false">CP27+KK27</f>
        <v>0</v>
      </c>
      <c r="KM27" s="1" t="n">
        <f aca="false">IF(CO27=1,MAX(0,(Slot8_Cost-KL27*(1+Slot8_Rate)^(Slot8_Age-D27))/KI27),0)</f>
        <v>0</v>
      </c>
      <c r="KN27" s="1" t="n">
        <f aca="false">IF(CO27=1,MAX(0,(Slot8_Cost-CP27*(1+Slot8_Rate)^(Slot8_Age-D27))/KI27),0)</f>
        <v>0</v>
      </c>
      <c r="KO27" s="1" t="n">
        <f aca="false">IF(AND(HT27=1,CO27=1),MIN(KH27,KM27),0)</f>
        <v>0</v>
      </c>
      <c r="KP27" s="1" t="n">
        <f aca="false">KH27-KO27</f>
        <v>0</v>
      </c>
      <c r="KQ27" s="1" t="n">
        <f aca="false">IF(CY27=1,IF(ABS((1+AS_Wage)/(1+Slot9_Rate)-1)&lt;0.000000000001,(Slot9_Age-D27)*(1+Slot9_Rate)^(Slot9_Age-D27),(1+Slot9_Rate)^(Slot9_Age-D27)*(1-((1+AS_Wage)/(1+Slot9_Rate))^(Slot9_Age-D27))/(1-(1+AS_Wage)/(1+Slot9_Rate))),1)</f>
        <v>1</v>
      </c>
      <c r="KR27" s="1" t="n">
        <f aca="false">IF(AND(HT27=1,ID27&gt;0,Slot9_IsWG=1,CY27=1),MAX(0,(Slot9_Cost-CZ27*(1+Slot9_Rate)^(Slot9_Age-D27))/KQ27),0)</f>
        <v>0</v>
      </c>
      <c r="KS27" s="1" t="n">
        <f aca="false">IF(AND(HT27=1,ID27&gt;0,Slot9_IsWG=1,CY27=1),MIN(ID27,KR27),0)</f>
        <v>0</v>
      </c>
      <c r="KT27" s="1" t="n">
        <f aca="false">CZ27+KS27</f>
        <v>0</v>
      </c>
      <c r="KU27" s="1" t="n">
        <f aca="false">IF(CY27=1,MAX(0,(Slot9_Cost-KT27*(1+Slot9_Rate)^(Slot9_Age-D27))/KQ27),0)</f>
        <v>0</v>
      </c>
      <c r="KV27" s="1" t="n">
        <f aca="false">IF(CY27=1,MAX(0,(Slot9_Cost-CZ27*(1+Slot9_Rate)^(Slot9_Age-D27))/KQ27),0)</f>
        <v>0</v>
      </c>
      <c r="KW27" s="1" t="n">
        <f aca="false">IF(AND(HT27=1,CY27=1),MIN(KP27,KU27),0)</f>
        <v>0</v>
      </c>
      <c r="KX27" s="1" t="n">
        <f aca="false">KP27-KW27</f>
        <v>0</v>
      </c>
      <c r="KY27" s="1" t="n">
        <f aca="false">IF(DI27=1,IF(ABS((1+AS_Wage)/(1+Slot10_Rate)-1)&lt;0.000000000001,(Slot10_Age-D27)*(1+Slot10_Rate)^(Slot10_Age-D27),(1+Slot10_Rate)^(Slot10_Age-D27)*(1-((1+AS_Wage)/(1+Slot10_Rate))^(Slot10_Age-D27))/(1-(1+AS_Wage)/(1+Slot10_Rate))),1)</f>
        <v>1</v>
      </c>
      <c r="KZ27" s="1" t="n">
        <f aca="false">IF(AND(HT27=1,ID27&gt;0,Slot10_IsWG=1,DI27=1),MAX(0,(Slot10_Cost-DJ27*(1+Slot10_Rate)^(Slot10_Age-D27))/KY27),0)</f>
        <v>0</v>
      </c>
      <c r="LA27" s="1" t="n">
        <f aca="false">IF(AND(HT27=1,ID27&gt;0,Slot10_IsWG=1,DI27=1),MIN(ID27,KZ27),0)</f>
        <v>0</v>
      </c>
      <c r="LB27" s="1" t="n">
        <f aca="false">DJ27+LA27</f>
        <v>0</v>
      </c>
      <c r="LC27" s="1" t="n">
        <f aca="false">IF(DI27=1,MAX(0,(Slot10_Cost-LB27*(1+Slot10_Rate)^(Slot10_Age-D27))/KY27),0)</f>
        <v>0</v>
      </c>
      <c r="LD27" s="1" t="n">
        <f aca="false">IF(DI27=1,MAX(0,(Slot10_Cost-DJ27*(1+Slot10_Rate)^(Slot10_Age-D27))/KY27),0)</f>
        <v>0</v>
      </c>
      <c r="LE27" s="1" t="n">
        <f aca="false">IF(AND(HT27=1,DI27=1),MIN(KX27,LC27),0)</f>
        <v>0</v>
      </c>
      <c r="LF27" s="1" t="n">
        <f aca="false">KX27-LE27</f>
        <v>0</v>
      </c>
      <c r="LG27" s="1" t="n">
        <f aca="false">IF(DS27=1,IF(ABS((1+AS_Wage)/(1+Slot11_Rate)-1)&lt;0.000000000001,(Slot11_Age-D27)*(1+Slot11_Rate)^(Slot11_Age-D27),(1+Slot11_Rate)^(Slot11_Age-D27)*(1-((1+AS_Wage)/(1+Slot11_Rate))^(Slot11_Age-D27))/(1-(1+AS_Wage)/(1+Slot11_Rate))),1)</f>
        <v>1</v>
      </c>
      <c r="LH27" s="1" t="n">
        <f aca="false">IF(AND(HT27=1,ID27&gt;0,Slot11_IsWG=1,DS27=1),MAX(0,(Slot11_Cost-DT27*(1+Slot11_Rate)^(Slot11_Age-D27))/LG27),0)</f>
        <v>0</v>
      </c>
      <c r="LI27" s="1" t="n">
        <f aca="false">IF(AND(HT27=1,ID27&gt;0,Slot11_IsWG=1,DS27=1),MIN(ID27,LH27),0)</f>
        <v>0</v>
      </c>
      <c r="LJ27" s="1" t="n">
        <f aca="false">DT27+LI27</f>
        <v>0</v>
      </c>
      <c r="LK27" s="1" t="n">
        <f aca="false">IF(DS27=1,MAX(0,(Slot11_Cost-LJ27*(1+Slot11_Rate)^(Slot11_Age-D27))/LG27),0)</f>
        <v>0</v>
      </c>
      <c r="LL27" s="1" t="n">
        <f aca="false">IF(DS27=1,MAX(0,(Slot11_Cost-DT27*(1+Slot11_Rate)^(Slot11_Age-D27))/LG27),0)</f>
        <v>0</v>
      </c>
      <c r="LM27" s="1" t="n">
        <f aca="false">IF(AND(HT27=1,DS27=1),MIN(LF27,LK27),0)</f>
        <v>0</v>
      </c>
      <c r="LN27" s="1" t="n">
        <f aca="false">LF27-LM27</f>
        <v>0</v>
      </c>
      <c r="LO27" s="1" t="n">
        <f aca="false">IF(EC27=1,IF(ABS((1+AS_Wage)/(1+Slot12_Rate)-1)&lt;0.000000000001,(Slot12_Age-D27)*(1+Slot12_Rate)^(Slot12_Age-D27),(1+Slot12_Rate)^(Slot12_Age-D27)*(1-((1+AS_Wage)/(1+Slot12_Rate))^(Slot12_Age-D27))/(1-(1+AS_Wage)/(1+Slot12_Rate))),1)</f>
        <v>1</v>
      </c>
      <c r="LP27" s="1" t="n">
        <f aca="false">IF(AND(HT27=1,ID27&gt;0,Slot12_IsWG=1,EC27=1),MAX(0,(Slot12_Cost-ED27*(1+Slot12_Rate)^(Slot12_Age-D27))/LO27),0)</f>
        <v>0</v>
      </c>
      <c r="LQ27" s="1" t="n">
        <f aca="false">IF(AND(HT27=1,ID27&gt;0,Slot12_IsWG=1,EC27=1),MIN(ID27,LP27),0)</f>
        <v>0</v>
      </c>
      <c r="LR27" s="1" t="n">
        <f aca="false">ED27+LQ27</f>
        <v>0</v>
      </c>
      <c r="LS27" s="1" t="n">
        <f aca="false">IF(EC27=1,MAX(0,(Slot12_Cost-LR27*(1+Slot12_Rate)^(Slot12_Age-D27))/LO27),0)</f>
        <v>0</v>
      </c>
      <c r="LT27" s="1" t="n">
        <f aca="false">IF(EC27=1,MAX(0,(Slot12_Cost-ED27*(1+Slot12_Rate)^(Slot12_Age-D27))/LO27),0)</f>
        <v>0</v>
      </c>
      <c r="LU27" s="1" t="n">
        <f aca="false">IF(AND(HT27=1,EC27=1),MIN(LN27,LS27),0)</f>
        <v>0</v>
      </c>
      <c r="LV27" s="1" t="n">
        <f aca="false">LN27-LU27</f>
        <v>0</v>
      </c>
      <c r="LW27" s="1" t="n">
        <f aca="false">IF(EM27=1,IF(ABS((1+AS_Wage)/(1+Slot13_Rate)-1)&lt;0.000000000001,(Slot13_Age-D27)*(1+Slot13_Rate)^(Slot13_Age-D27),(1+Slot13_Rate)^(Slot13_Age-D27)*(1-((1+AS_Wage)/(1+Slot13_Rate))^(Slot13_Age-D27))/(1-(1+AS_Wage)/(1+Slot13_Rate))),1)</f>
        <v>1</v>
      </c>
      <c r="LX27" s="1" t="n">
        <f aca="false">IF(AND(HT27=1,ID27&gt;0,Slot13_IsWG=1,EM27=1),MAX(0,(Slot13_Cost-EN27*(1+Slot13_Rate)^(Slot13_Age-D27))/LW27),0)</f>
        <v>0</v>
      </c>
      <c r="LY27" s="1" t="n">
        <f aca="false">IF(AND(HT27=1,ID27&gt;0,Slot13_IsWG=1,EM27=1),MIN(ID27,LX27),0)</f>
        <v>0</v>
      </c>
      <c r="LZ27" s="1" t="n">
        <f aca="false">EN27+LY27</f>
        <v>0</v>
      </c>
      <c r="MA27" s="1" t="n">
        <f aca="false">IF(EM27=1,MAX(0,(Slot13_Cost-LZ27*(1+Slot13_Rate)^(Slot13_Age-D27))/LW27),0)</f>
        <v>0</v>
      </c>
      <c r="MB27" s="1" t="n">
        <f aca="false">IF(EM27=1,MAX(0,(Slot13_Cost-EN27*(1+Slot13_Rate)^(Slot13_Age-D27))/LW27),0)</f>
        <v>0</v>
      </c>
      <c r="MC27" s="1" t="n">
        <f aca="false">IF(AND(HT27=1,EM27=1),MIN(LV27,MA27),0)</f>
        <v>0</v>
      </c>
      <c r="MD27" s="1" t="n">
        <f aca="false">LV27-MC27</f>
        <v>0</v>
      </c>
      <c r="ME27" s="1" t="n">
        <f aca="false">IF(EW27=1,IF(ABS((1+AS_Wage)/(1+Slot14_Rate)-1)&lt;0.000000000001,(Slot14_Age-D27)*(1+Slot14_Rate)^(Slot14_Age-D27),(1+Slot14_Rate)^(Slot14_Age-D27)*(1-((1+AS_Wage)/(1+Slot14_Rate))^(Slot14_Age-D27))/(1-(1+AS_Wage)/(1+Slot14_Rate))),1)</f>
        <v>1</v>
      </c>
      <c r="MF27" s="1" t="n">
        <f aca="false">IF(AND(HT27=1,ID27&gt;0,Slot14_IsWG=1,EW27=1),MAX(0,(Slot14_Cost-EX27*(1+Slot14_Rate)^(Slot14_Age-D27))/ME27),0)</f>
        <v>0</v>
      </c>
      <c r="MG27" s="1" t="n">
        <f aca="false">IF(AND(HT27=1,ID27&gt;0,Slot14_IsWG=1,EW27=1),MIN(ID27,MF27),0)</f>
        <v>0</v>
      </c>
      <c r="MH27" s="1" t="n">
        <f aca="false">EX27+MG27</f>
        <v>0</v>
      </c>
      <c r="MI27" s="1" t="n">
        <f aca="false">IF(EW27=1,MAX(0,(Slot14_Cost-MH27*(1+Slot14_Rate)^(Slot14_Age-D27))/ME27),0)</f>
        <v>0</v>
      </c>
      <c r="MJ27" s="1" t="n">
        <f aca="false">IF(EW27=1,MAX(0,(Slot14_Cost-EX27*(1+Slot14_Rate)^(Slot14_Age-D27))/ME27),0)</f>
        <v>0</v>
      </c>
      <c r="MK27" s="1" t="n">
        <f aca="false">IF(AND(HT27=1,EW27=1),MIN(MD27,MI27),0)</f>
        <v>0</v>
      </c>
      <c r="ML27" s="1" t="n">
        <f aca="false">MD27-MK27</f>
        <v>0</v>
      </c>
      <c r="MM27" s="1" t="n">
        <f aca="false">IF(FG27=1,IF(ABS((1+AS_Wage)/(1+Slot15_Rate)-1)&lt;0.000000000001,(Slot15_Age-D27)*(1+Slot15_Rate)^(Slot15_Age-D27),(1+Slot15_Rate)^(Slot15_Age-D27)*(1-((1+AS_Wage)/(1+Slot15_Rate))^(Slot15_Age-D27))/(1-(1+AS_Wage)/(1+Slot15_Rate))),1)</f>
        <v>1</v>
      </c>
      <c r="MN27" s="1" t="n">
        <f aca="false">IF(AND(HT27=1,ID27&gt;0,Slot15_IsWG=1,FG27=1),MAX(0,(Slot15_Cost-FH27*(1+Slot15_Rate)^(Slot15_Age-D27))/MM27),0)</f>
        <v>0</v>
      </c>
      <c r="MO27" s="1" t="n">
        <f aca="false">IF(AND(HT27=1,ID27&gt;0,Slot15_IsWG=1,FG27=1),MIN(ID27,MN27),0)</f>
        <v>0</v>
      </c>
      <c r="MP27" s="1" t="n">
        <f aca="false">FH27+MO27</f>
        <v>0</v>
      </c>
      <c r="MQ27" s="1" t="n">
        <f aca="false">IF(FG27=1,MAX(0,(Slot15_Cost-MP27*(1+Slot15_Rate)^(Slot15_Age-D27))/MM27),0)</f>
        <v>0</v>
      </c>
      <c r="MR27" s="1" t="n">
        <f aca="false">IF(FG27=1,MAX(0,(Slot15_Cost-FH27*(1+Slot15_Rate)^(Slot15_Age-D27))/MM27),0)</f>
        <v>0</v>
      </c>
      <c r="MS27" s="1" t="n">
        <f aca="false">IF(AND(HT27=1,FG27=1),MIN(ML27,MQ27),0)</f>
        <v>0</v>
      </c>
      <c r="MT27" s="1" t="n">
        <f aca="false">ML27-MS27</f>
        <v>0</v>
      </c>
      <c r="MU27" s="1" t="n">
        <f aca="false">IF(FQ27=1,IF(ABS((1+AS_Wage)/(1+Slot16_Rate)-1)&lt;0.000000000001,(Slot16_Age-D27)*(1+Slot16_Rate)^(Slot16_Age-D27),(1+Slot16_Rate)^(Slot16_Age-D27)*(1-((1+AS_Wage)/(1+Slot16_Rate))^(Slot16_Age-D27))/(1-(1+AS_Wage)/(1+Slot16_Rate))),1)</f>
        <v>1</v>
      </c>
      <c r="MV27" s="1" t="n">
        <f aca="false">IF(AND(HT27=1,ID27&gt;0,Slot16_IsWG=1,FQ27=1),MAX(0,(Slot16_Cost-FR27*(1+Slot16_Rate)^(Slot16_Age-D27))/MU27),0)</f>
        <v>0</v>
      </c>
      <c r="MW27" s="1" t="n">
        <f aca="false">IF(AND(HT27=1,ID27&gt;0,Slot16_IsWG=1,FQ27=1),MIN(ID27,MV27),0)</f>
        <v>0</v>
      </c>
      <c r="MX27" s="1" t="n">
        <f aca="false">FR27+MW27</f>
        <v>0</v>
      </c>
      <c r="MY27" s="1" t="n">
        <f aca="false">IF(FQ27=1,MAX(0,(Slot16_Cost-MX27*(1+Slot16_Rate)^(Slot16_Age-D27))/MU27),0)</f>
        <v>0</v>
      </c>
      <c r="MZ27" s="1" t="n">
        <f aca="false">IF(FQ27=1,MAX(0,(Slot16_Cost-FR27*(1+Slot16_Rate)^(Slot16_Age-D27))/MU27),0)</f>
        <v>0</v>
      </c>
      <c r="NA27" s="1" t="n">
        <f aca="false">IF(AND(HT27=1,FQ27=1),MIN(MT27,MY27),0)</f>
        <v>0</v>
      </c>
      <c r="NB27" s="1" t="n">
        <f aca="false">MT27-NA27</f>
        <v>0</v>
      </c>
      <c r="NC27" s="1" t="n">
        <f aca="false">IF(GA27=1,IF(ABS((1+AS_Wage)/(1+Slot17_Rate)-1)&lt;0.000000000001,(Slot17_Age-D27)*(1+Slot17_Rate)^(Slot17_Age-D27),(1+Slot17_Rate)^(Slot17_Age-D27)*(1-((1+AS_Wage)/(1+Slot17_Rate))^(Slot17_Age-D27))/(1-(1+AS_Wage)/(1+Slot17_Rate))),1)</f>
        <v>1</v>
      </c>
      <c r="ND27" s="1" t="n">
        <f aca="false">IF(AND(HT27=1,ID27&gt;0,Slot17_IsWG=1,GA27=1),MAX(0,(Slot17_Cost-GB27*(1+Slot17_Rate)^(Slot17_Age-D27))/NC27),0)</f>
        <v>0</v>
      </c>
      <c r="NE27" s="1" t="n">
        <f aca="false">IF(AND(HT27=1,ID27&gt;0,Slot17_IsWG=1,GA27=1),MIN(ID27,ND27),0)</f>
        <v>0</v>
      </c>
      <c r="NF27" s="1" t="n">
        <f aca="false">GB27+NE27</f>
        <v>0</v>
      </c>
      <c r="NG27" s="1" t="n">
        <f aca="false">IF(GA27=1,MAX(0,(Slot17_Cost-NF27*(1+Slot17_Rate)^(Slot17_Age-D27))/NC27),0)</f>
        <v>0</v>
      </c>
      <c r="NH27" s="1" t="n">
        <f aca="false">IF(GA27=1,MAX(0,(Slot17_Cost-GB27*(1+Slot17_Rate)^(Slot17_Age-D27))/NC27),0)</f>
        <v>0</v>
      </c>
      <c r="NI27" s="1" t="n">
        <f aca="false">IF(AND(HT27=1,GA27=1),MIN(NB27,NG27),0)</f>
        <v>0</v>
      </c>
      <c r="NJ27" s="1" t="n">
        <f aca="false">NB27-NI27</f>
        <v>0</v>
      </c>
      <c r="NK27" s="1" t="n">
        <f aca="false">IF(GK27=1,IF(ABS((1+AS_Wage)/(1+Slot18_Rate)-1)&lt;0.000000000001,(Slot18_Age-D27)*(1+Slot18_Rate)^(Slot18_Age-D27),(1+Slot18_Rate)^(Slot18_Age-D27)*(1-((1+AS_Wage)/(1+Slot18_Rate))^(Slot18_Age-D27))/(1-(1+AS_Wage)/(1+Slot18_Rate))),1)</f>
        <v>1</v>
      </c>
      <c r="NL27" s="1" t="n">
        <f aca="false">IF(AND(HT27=1,ID27&gt;0,Slot18_IsWG=1,GK27=1),MAX(0,(Slot18_Cost-GL27*(1+Slot18_Rate)^(Slot18_Age-D27))/NK27),0)</f>
        <v>0</v>
      </c>
      <c r="NM27" s="1" t="n">
        <f aca="false">IF(AND(HT27=1,ID27&gt;0,Slot18_IsWG=1,GK27=1),MIN(ID27,NL27),0)</f>
        <v>0</v>
      </c>
      <c r="NN27" s="1" t="n">
        <f aca="false">GL27+NM27</f>
        <v>0</v>
      </c>
      <c r="NO27" s="1" t="n">
        <f aca="false">IF(GK27=1,MAX(0,(Slot18_Cost-NN27*(1+Slot18_Rate)^(Slot18_Age-D27))/NK27),0)</f>
        <v>0</v>
      </c>
      <c r="NP27" s="1" t="n">
        <f aca="false">IF(GK27=1,MAX(0,(Slot18_Cost-GL27*(1+Slot18_Rate)^(Slot18_Age-D27))/NK27),0)</f>
        <v>0</v>
      </c>
      <c r="NQ27" s="1" t="n">
        <f aca="false">IF(AND(HT27=1,GK27=1),MIN(NJ27,NO27),0)</f>
        <v>0</v>
      </c>
      <c r="NR27" s="1" t="n">
        <f aca="false">NJ27-NQ27</f>
        <v>0</v>
      </c>
      <c r="NS27" s="1" t="n">
        <f aca="false">IF(GU27=1,IF(ABS((1+AS_Wage)/(1+Slot19_Rate)-1)&lt;0.000000000001,(Slot19_Age-D27)*(1+Slot19_Rate)^(Slot19_Age-D27),(1+Slot19_Rate)^(Slot19_Age-D27)*(1-((1+AS_Wage)/(1+Slot19_Rate))^(Slot19_Age-D27))/(1-(1+AS_Wage)/(1+Slot19_Rate))),1)</f>
        <v>1</v>
      </c>
      <c r="NT27" s="1" t="n">
        <f aca="false">IF(AND(HT27=1,ID27&gt;0,Slot19_IsWG=1,GU27=1),MAX(0,(Slot19_Cost-GV27*(1+Slot19_Rate)^(Slot19_Age-D27))/NS27),0)</f>
        <v>0</v>
      </c>
      <c r="NU27" s="1" t="n">
        <f aca="false">IF(AND(HT27=1,ID27&gt;0,Slot19_IsWG=1,GU27=1),MIN(ID27,NT27),0)</f>
        <v>0</v>
      </c>
      <c r="NV27" s="1" t="n">
        <f aca="false">GV27+NU27</f>
        <v>0</v>
      </c>
      <c r="NW27" s="1" t="n">
        <f aca="false">IF(GU27=1,MAX(0,(Slot19_Cost-NV27*(1+Slot19_Rate)^(Slot19_Age-D27))/NS27),0)</f>
        <v>0</v>
      </c>
      <c r="NX27" s="1" t="n">
        <f aca="false">IF(GU27=1,MAX(0,(Slot19_Cost-GV27*(1+Slot19_Rate)^(Slot19_Age-D27))/NS27),0)</f>
        <v>0</v>
      </c>
      <c r="NY27" s="1" t="n">
        <f aca="false">IF(AND(HT27=1,GU27=1),MIN(NR27,NW27),0)</f>
        <v>0</v>
      </c>
      <c r="NZ27" s="1" t="n">
        <f aca="false">NR27-NY27</f>
        <v>0</v>
      </c>
      <c r="OA27" s="1" t="n">
        <f aca="false">IF(HE27=1,IF(ABS((1+AS_Wage)/(1+Slot20_Rate)-1)&lt;0.000000000001,(Slot20_Age-D27)*(1+Slot20_Rate)^(Slot20_Age-D27),(1+Slot20_Rate)^(Slot20_Age-D27)*(1-((1+AS_Wage)/(1+Slot20_Rate))^(Slot20_Age-D27))/(1-(1+AS_Wage)/(1+Slot20_Rate))),1)</f>
        <v>1</v>
      </c>
      <c r="OB27" s="1" t="n">
        <f aca="false">IF(AND(HT27=1,ID27&gt;0,Slot20_IsWG=1,HE27=1),MAX(0,(Slot20_Cost-HF27*(1+Slot20_Rate)^(Slot20_Age-D27))/OA27),0)</f>
        <v>0</v>
      </c>
      <c r="OC27" s="1" t="n">
        <f aca="false">IF(AND(HT27=1,ID27&gt;0,Slot20_IsWG=1,HE27=1),MIN(ID27,OB27),0)</f>
        <v>0</v>
      </c>
      <c r="OD27" s="1" t="n">
        <f aca="false">HF27+OC27</f>
        <v>0</v>
      </c>
      <c r="OE27" s="1" t="n">
        <f aca="false">IF(HE27=1,MAX(0,(Slot20_Cost-OD27*(1+Slot20_Rate)^(Slot20_Age-D27))/OA27),0)</f>
        <v>0</v>
      </c>
      <c r="OF27" s="1" t="n">
        <f aca="false">IF(HE27=1,MAX(0,(Slot20_Cost-HF27*(1+Slot20_Rate)^(Slot20_Age-D27))/OA27),0)</f>
        <v>0</v>
      </c>
      <c r="OG27" s="1" t="n">
        <f aca="false">IF(AND(HT27=1,HE27=1),MIN(NZ27,OE27),0)</f>
        <v>0</v>
      </c>
      <c r="OH27" s="1" t="n">
        <f aca="false">NZ27-OG27</f>
        <v>0</v>
      </c>
      <c r="OI27" s="1" t="n">
        <f aca="false">ID27-(IG27+IO27+IW27+JE27+JM27+JU27+KC27+KK27+KS27+LA27+LI27+LQ27+LY27+MG27+MO27+MW27+NE27+NM27+NU27+OC27)</f>
        <v>0</v>
      </c>
      <c r="OJ27" s="1" t="n">
        <f aca="false">IF(HT27=1,HR27-IC27-ID27,0)</f>
        <v>0</v>
      </c>
      <c r="OK27" s="1" t="n">
        <f aca="false">IF(HT27=0,-HR27,0)</f>
        <v>0</v>
      </c>
      <c r="OL27" s="1" t="n">
        <f aca="false">MIN(OK27,HJ27)</f>
        <v>0</v>
      </c>
      <c r="OM27" s="1" t="n">
        <f aca="false">OK27-OL27</f>
        <v>0</v>
      </c>
      <c r="ON27" s="1" t="n">
        <f aca="false">MIN(OM27,HK27)</f>
        <v>0</v>
      </c>
      <c r="OO27" s="1" t="n">
        <f aca="false">OM27-ON27</f>
        <v>0</v>
      </c>
      <c r="OP27" s="1" t="n">
        <f aca="false">IF(AND(HT27=0,HE27=1,OO27&gt;0),MIN(OO27,HF27),0)</f>
        <v>0</v>
      </c>
      <c r="OQ27" s="1" t="n">
        <f aca="false">OO27-OP27</f>
        <v>0</v>
      </c>
      <c r="OR27" s="1" t="n">
        <f aca="false">IF(AND(HT27=0,GU27=1,OQ27&gt;0),MIN(OQ27,GV27),0)</f>
        <v>0</v>
      </c>
      <c r="OS27" s="1" t="n">
        <f aca="false">OQ27-OR27</f>
        <v>0</v>
      </c>
      <c r="OT27" s="1" t="n">
        <f aca="false">IF(AND(HT27=0,GK27=1,OS27&gt;0),MIN(OS27,GL27),0)</f>
        <v>0</v>
      </c>
      <c r="OU27" s="1" t="n">
        <f aca="false">OS27-OT27</f>
        <v>0</v>
      </c>
      <c r="OV27" s="1" t="n">
        <f aca="false">IF(AND(HT27=0,GA27=1,OU27&gt;0),MIN(OU27,GB27),0)</f>
        <v>0</v>
      </c>
      <c r="OW27" s="1" t="n">
        <f aca="false">OU27-OV27</f>
        <v>0</v>
      </c>
      <c r="OX27" s="1" t="n">
        <f aca="false">IF(AND(HT27=0,FQ27=1,OW27&gt;0),MIN(OW27,FR27),0)</f>
        <v>0</v>
      </c>
      <c r="OY27" s="1" t="n">
        <f aca="false">OW27-OX27</f>
        <v>0</v>
      </c>
      <c r="OZ27" s="1" t="n">
        <f aca="false">IF(AND(HT27=0,FG27=1,OY27&gt;0),MIN(OY27,FH27),0)</f>
        <v>0</v>
      </c>
      <c r="PA27" s="1" t="n">
        <f aca="false">OY27-OZ27</f>
        <v>0</v>
      </c>
      <c r="PB27" s="1" t="n">
        <f aca="false">IF(AND(HT27=0,EW27=1,PA27&gt;0),MIN(PA27,EX27),0)</f>
        <v>0</v>
      </c>
      <c r="PC27" s="1" t="n">
        <f aca="false">PA27-PB27</f>
        <v>0</v>
      </c>
      <c r="PD27" s="1" t="n">
        <f aca="false">IF(AND(HT27=0,EM27=1,PC27&gt;0),MIN(PC27,EN27),0)</f>
        <v>0</v>
      </c>
      <c r="PE27" s="1" t="n">
        <f aca="false">PC27-PD27</f>
        <v>0</v>
      </c>
      <c r="PF27" s="1" t="n">
        <f aca="false">IF(AND(HT27=0,EC27=1,PE27&gt;0),MIN(PE27,ED27),0)</f>
        <v>0</v>
      </c>
      <c r="PG27" s="1" t="n">
        <f aca="false">PE27-PF27</f>
        <v>0</v>
      </c>
      <c r="PH27" s="1" t="n">
        <f aca="false">IF(AND(HT27=0,DS27=1,PG27&gt;0),MIN(PG27,DT27),0)</f>
        <v>0</v>
      </c>
      <c r="PI27" s="1" t="n">
        <f aca="false">PG27-PH27</f>
        <v>0</v>
      </c>
      <c r="PJ27" s="1" t="n">
        <f aca="false">IF(AND(HT27=0,DI27=1,PI27&gt;0),MIN(PI27,DJ27),0)</f>
        <v>0</v>
      </c>
      <c r="PK27" s="1" t="n">
        <f aca="false">PI27-PJ27</f>
        <v>0</v>
      </c>
      <c r="PL27" s="1" t="n">
        <f aca="false">IF(AND(HT27=0,CY27=1,PK27&gt;0),MIN(PK27,CZ27),0)</f>
        <v>0</v>
      </c>
      <c r="PM27" s="1" t="n">
        <f aca="false">PK27-PL27</f>
        <v>0</v>
      </c>
      <c r="PN27" s="1" t="n">
        <f aca="false">IF(AND(HT27=0,CO27=1,PM27&gt;0),MIN(PM27,CP27),0)</f>
        <v>0</v>
      </c>
      <c r="PO27" s="1" t="n">
        <f aca="false">PM27-PN27</f>
        <v>0</v>
      </c>
      <c r="PP27" s="1" t="n">
        <f aca="false">IF(AND(HT27=0,CE27=1,PO27&gt;0),MIN(PO27,CF27),0)</f>
        <v>0</v>
      </c>
      <c r="PQ27" s="1" t="n">
        <f aca="false">PO27-PP27</f>
        <v>0</v>
      </c>
      <c r="PR27" s="1" t="n">
        <f aca="false">IF(AND(HT27=0,BU27=1,PQ27&gt;0),MIN(PQ27,BV27),0)</f>
        <v>0</v>
      </c>
      <c r="PS27" s="1" t="n">
        <f aca="false">PQ27-PR27</f>
        <v>0</v>
      </c>
      <c r="PT27" s="1" t="n">
        <f aca="false">IF(AND(HT27=0,BK27=1,PS27&gt;0),MIN(PS27,BL27),0)</f>
        <v>0</v>
      </c>
      <c r="PU27" s="1" t="n">
        <f aca="false">PS27-PT27</f>
        <v>0</v>
      </c>
      <c r="PV27" s="1" t="n">
        <f aca="false">IF(AND(HT27=0,BA27=1,PU27&gt;0),MIN(PU27,BB27),0)</f>
        <v>0</v>
      </c>
      <c r="PW27" s="1" t="n">
        <f aca="false">PU27-PV27</f>
        <v>0</v>
      </c>
      <c r="PX27" s="1" t="n">
        <f aca="false">IF(AND(HT27=0,AQ27=1,PW27&gt;0),MIN(PW27,AR27),0)</f>
        <v>0</v>
      </c>
      <c r="PY27" s="1" t="n">
        <f aca="false">PW27-PX27</f>
        <v>0</v>
      </c>
      <c r="PZ27" s="1" t="n">
        <f aca="false">IF(AND(HT27=0,AG27=1,PY27&gt;0),MIN(PY27,AH27),0)</f>
        <v>0</v>
      </c>
      <c r="QA27" s="1" t="n">
        <f aca="false">PY27-PZ27</f>
        <v>0</v>
      </c>
      <c r="QB27" s="1" t="n">
        <f aca="false">IF(AND(HT27=0,V27=1,QA27&gt;0),MIN(QA27,W27),0)</f>
        <v>0</v>
      </c>
      <c r="QC27" s="1" t="n">
        <f aca="false">QA27-QB27</f>
        <v>0</v>
      </c>
      <c r="QD27" s="1" t="n">
        <f aca="false">IF(HT27=0,QC27,0)</f>
        <v>0</v>
      </c>
      <c r="QE27" s="1" t="n">
        <f aca="false">OL27+ON27+QB27+PZ27+PX27+PV27+PT27+PR27+PP27+PN27+PL27+PJ27+PH27+PF27+PD27+PB27+OZ27+OX27+OV27+OT27+OR27+OP27</f>
        <v>0</v>
      </c>
      <c r="QF27" s="1" t="n">
        <f aca="false">IF(HT27=1,HJ27+OI27+OH27+IF(F27=1,0,OJ27),HJ27-OL27)</f>
        <v>0</v>
      </c>
      <c r="QG27" s="1" t="n">
        <f aca="false">HK27-ON27</f>
        <v>0</v>
      </c>
      <c r="QH27" s="1" t="n">
        <f aca="false">IF(HT27=1,IF(F27=1,IC27+ID27,HR27),0)</f>
        <v>0</v>
      </c>
      <c r="QI27" s="1" t="n">
        <f aca="false">IF(HT27=1,IF(F27=1,HR27-IC27-ID27,0),0)</f>
        <v>0</v>
      </c>
      <c r="QJ27" s="1" t="n">
        <f aca="false">QF27*(1+GR)</f>
        <v>0</v>
      </c>
      <c r="QK27" s="1" t="n">
        <f aca="false">QG27*(1+AS_Cash)</f>
        <v>0</v>
      </c>
      <c r="QL27" s="1" t="n">
        <f aca="false">IF(V27=1,IF(HT27=1,IH27+IK27,W27-QB27)*(1+Slot1_Rate),0)</f>
        <v>0</v>
      </c>
      <c r="QM27" s="1" t="n">
        <f aca="false">IF(AND(HT27=1,V27=1),(IG27+IK27)/E27,0)</f>
        <v>0</v>
      </c>
      <c r="QN27" s="1" t="n">
        <f aca="false">IF(B27=0,IG27+IK27,0)</f>
        <v>0</v>
      </c>
      <c r="QO27" s="1" t="n">
        <f aca="false">IF(B27=0,IF(HT27=1,II27,IJ27),0)</f>
        <v>0</v>
      </c>
      <c r="QP27" s="1" t="n">
        <f aca="false">IF(AG27=1,IF(HT27=1,IP27+IS27,AH27-PZ27)*(1+Slot2_Rate),0)</f>
        <v>0</v>
      </c>
      <c r="QQ27" s="1" t="n">
        <f aca="false">IF(AND(HT27=1,AG27=1),(IO27+IS27)/E27,0)</f>
        <v>0</v>
      </c>
      <c r="QR27" s="1" t="n">
        <f aca="false">IF(B27=0,IO27+IS27,0)</f>
        <v>0</v>
      </c>
      <c r="QS27" s="1" t="n">
        <f aca="false">IF(B27=0,IF(HT27=1,IQ27,IR27),0)</f>
        <v>0</v>
      </c>
      <c r="QT27" s="1" t="n">
        <f aca="false">IF(AQ27=1,IF(HT27=1,IX27+JA27,AR27-PX27)*(1+Slot3_Rate),0)</f>
        <v>0</v>
      </c>
      <c r="QU27" s="1" t="n">
        <f aca="false">IF(AND(HT27=1,AQ27=1),(IW27+JA27)/E27,0)</f>
        <v>0</v>
      </c>
      <c r="QV27" s="1" t="n">
        <f aca="false">IF(B27=0,IW27+JA27,0)</f>
        <v>0</v>
      </c>
      <c r="QW27" s="1" t="n">
        <f aca="false">IF(B27=0,IF(HT27=1,IY27,IZ27),0)</f>
        <v>0</v>
      </c>
      <c r="QX27" s="1" t="n">
        <f aca="false">IF(BA27=1,IF(HT27=1,JF27+JI27,BB27-PV27)*(1+Slot4_Rate),0)</f>
        <v>0</v>
      </c>
      <c r="QY27" s="1" t="n">
        <f aca="false">IF(AND(HT27=1,BA27=1),(JE27+JI27)/E27,0)</f>
        <v>0</v>
      </c>
      <c r="QZ27" s="1" t="n">
        <f aca="false">IF(B27=0,JE27+JI27,0)</f>
        <v>0</v>
      </c>
      <c r="RA27" s="1" t="n">
        <f aca="false">IF(B27=0,IF(HT27=1,JG27,JH27),0)</f>
        <v>0</v>
      </c>
      <c r="RB27" s="1" t="n">
        <f aca="false">IF(BK27=1,IF(HT27=1,JN27+JQ27,BL27-PT27)*(1+Slot5_Rate),0)</f>
        <v>0</v>
      </c>
      <c r="RC27" s="1" t="n">
        <f aca="false">IF(AND(HT27=1,BK27=1),(JM27+JQ27)/E27,0)</f>
        <v>0</v>
      </c>
      <c r="RD27" s="1" t="n">
        <f aca="false">IF(B27=0,JM27+JQ27,0)</f>
        <v>0</v>
      </c>
      <c r="RE27" s="1" t="n">
        <f aca="false">IF(B27=0,IF(HT27=1,JO27,JP27),0)</f>
        <v>0</v>
      </c>
      <c r="RF27" s="1" t="n">
        <f aca="false">IF(BU27=1,IF(HT27=1,JV27+JY27,BV27-PR27)*(1+Slot6_Rate),0)</f>
        <v>0</v>
      </c>
      <c r="RG27" s="1" t="n">
        <f aca="false">IF(AND(HT27=1,BU27=1),(JU27+JY27)/E27,0)</f>
        <v>0</v>
      </c>
      <c r="RH27" s="1" t="n">
        <f aca="false">IF(B27=0,JU27+JY27,0)</f>
        <v>0</v>
      </c>
      <c r="RI27" s="1" t="n">
        <f aca="false">IF(B27=0,IF(HT27=1,JW27,JX27),0)</f>
        <v>0</v>
      </c>
      <c r="RJ27" s="1" t="n">
        <f aca="false">IF(CE27=1,IF(HT27=1,KD27+KG27,CF27-PP27)*(1+Slot7_Rate),0)</f>
        <v>0</v>
      </c>
      <c r="RK27" s="1" t="n">
        <f aca="false">IF(AND(HT27=1,CE27=1),(KC27+KG27)/E27,0)</f>
        <v>0</v>
      </c>
      <c r="RL27" s="1" t="n">
        <f aca="false">IF(B27=0,KC27+KG27,0)</f>
        <v>0</v>
      </c>
      <c r="RM27" s="1" t="n">
        <f aca="false">IF(B27=0,IF(HT27=1,KE27,KF27),0)</f>
        <v>0</v>
      </c>
      <c r="RN27" s="1" t="n">
        <f aca="false">IF(CO27=1,IF(HT27=1,KL27+KO27,CP27-PN27)*(1+Slot8_Rate),0)</f>
        <v>0</v>
      </c>
      <c r="RO27" s="1" t="n">
        <f aca="false">IF(AND(HT27=1,CO27=1),(KK27+KO27)/E27,0)</f>
        <v>0</v>
      </c>
      <c r="RP27" s="1" t="n">
        <f aca="false">IF(B27=0,KK27+KO27,0)</f>
        <v>0</v>
      </c>
      <c r="RQ27" s="1" t="n">
        <f aca="false">IF(B27=0,IF(HT27=1,KM27,KN27),0)</f>
        <v>0</v>
      </c>
      <c r="RR27" s="1" t="n">
        <f aca="false">IF(CY27=1,IF(HT27=1,KT27+KW27,CZ27-PL27)*(1+Slot9_Rate),0)</f>
        <v>0</v>
      </c>
      <c r="RS27" s="1" t="n">
        <f aca="false">IF(AND(HT27=1,CY27=1),(KS27+KW27)/E27,0)</f>
        <v>0</v>
      </c>
      <c r="RT27" s="1" t="n">
        <f aca="false">IF(B27=0,KS27+KW27,0)</f>
        <v>0</v>
      </c>
      <c r="RU27" s="1" t="n">
        <f aca="false">IF(B27=0,IF(HT27=1,KU27,KV27),0)</f>
        <v>0</v>
      </c>
      <c r="RV27" s="1" t="n">
        <f aca="false">IF(DI27=1,IF(HT27=1,LB27+LE27,DJ27-PJ27)*(1+Slot10_Rate),0)</f>
        <v>0</v>
      </c>
      <c r="RW27" s="1" t="n">
        <f aca="false">IF(AND(HT27=1,DI27=1),(LA27+LE27)/E27,0)</f>
        <v>0</v>
      </c>
      <c r="RX27" s="1" t="n">
        <f aca="false">IF(B27=0,LA27+LE27,0)</f>
        <v>0</v>
      </c>
      <c r="RY27" s="1" t="n">
        <f aca="false">IF(B27=0,IF(HT27=1,LC27,LD27),0)</f>
        <v>0</v>
      </c>
      <c r="RZ27" s="1" t="n">
        <f aca="false">IF(DS27=1,IF(HT27=1,LJ27+LM27,DT27-PH27)*(1+Slot11_Rate),0)</f>
        <v>0</v>
      </c>
      <c r="SA27" s="1" t="n">
        <f aca="false">IF(AND(HT27=1,DS27=1),(LI27+LM27)/E27,0)</f>
        <v>0</v>
      </c>
      <c r="SB27" s="1" t="n">
        <f aca="false">IF(B27=0,LI27+LM27,0)</f>
        <v>0</v>
      </c>
      <c r="SC27" s="1" t="n">
        <f aca="false">IF(B27=0,IF(HT27=1,LK27,LL27),0)</f>
        <v>0</v>
      </c>
      <c r="SD27" s="1" t="n">
        <f aca="false">IF(EC27=1,IF(HT27=1,LR27+LU27,ED27-PF27)*(1+Slot12_Rate),0)</f>
        <v>0</v>
      </c>
      <c r="SE27" s="1" t="n">
        <f aca="false">IF(AND(HT27=1,EC27=1),(LQ27+LU27)/E27,0)</f>
        <v>0</v>
      </c>
      <c r="SF27" s="1" t="n">
        <f aca="false">IF(B27=0,LQ27+LU27,0)</f>
        <v>0</v>
      </c>
      <c r="SG27" s="1" t="n">
        <f aca="false">IF(B27=0,IF(HT27=1,LS27,LT27),0)</f>
        <v>0</v>
      </c>
      <c r="SH27" s="1" t="n">
        <f aca="false">IF(EM27=1,IF(HT27=1,LZ27+MC27,EN27-PD27)*(1+Slot13_Rate),0)</f>
        <v>0</v>
      </c>
      <c r="SI27" s="1" t="n">
        <f aca="false">IF(AND(HT27=1,EM27=1),(LY27+MC27)/E27,0)</f>
        <v>0</v>
      </c>
      <c r="SJ27" s="1" t="n">
        <f aca="false">IF(B27=0,LY27+MC27,0)</f>
        <v>0</v>
      </c>
      <c r="SK27" s="1" t="n">
        <f aca="false">IF(B27=0,IF(HT27=1,MA27,MB27),0)</f>
        <v>0</v>
      </c>
      <c r="SL27" s="1" t="n">
        <f aca="false">IF(EW27=1,IF(HT27=1,MH27+MK27,EX27-PB27)*(1+Slot14_Rate),0)</f>
        <v>0</v>
      </c>
      <c r="SM27" s="1" t="n">
        <f aca="false">IF(AND(HT27=1,EW27=1),(MG27+MK27)/E27,0)</f>
        <v>0</v>
      </c>
      <c r="SN27" s="1" t="n">
        <f aca="false">IF(B27=0,MG27+MK27,0)</f>
        <v>0</v>
      </c>
      <c r="SO27" s="1" t="n">
        <f aca="false">IF(B27=0,IF(HT27=1,MI27,MJ27),0)</f>
        <v>0</v>
      </c>
      <c r="SP27" s="1" t="n">
        <f aca="false">IF(FG27=1,IF(HT27=1,MP27+MS27,FH27-OZ27)*(1+Slot15_Rate),0)</f>
        <v>0</v>
      </c>
      <c r="SQ27" s="1" t="n">
        <f aca="false">IF(AND(HT27=1,FG27=1),(MO27+MS27)/E27,0)</f>
        <v>0</v>
      </c>
      <c r="SR27" s="1" t="n">
        <f aca="false">IF(B27=0,MO27+MS27,0)</f>
        <v>0</v>
      </c>
      <c r="SS27" s="1" t="n">
        <f aca="false">IF(B27=0,IF(HT27=1,MQ27,MR27),0)</f>
        <v>0</v>
      </c>
      <c r="ST27" s="1" t="n">
        <f aca="false">IF(FQ27=1,IF(HT27=1,MX27+NA27,FR27-OX27)*(1+Slot16_Rate),0)</f>
        <v>0</v>
      </c>
      <c r="SU27" s="1" t="n">
        <f aca="false">IF(AND(HT27=1,FQ27=1),(MW27+NA27)/E27,0)</f>
        <v>0</v>
      </c>
      <c r="SV27" s="1" t="n">
        <f aca="false">IF(B27=0,MW27+NA27,0)</f>
        <v>0</v>
      </c>
      <c r="SW27" s="1" t="n">
        <f aca="false">IF(B27=0,IF(HT27=1,MY27,MZ27),0)</f>
        <v>0</v>
      </c>
      <c r="SX27" s="1" t="n">
        <f aca="false">IF(GA27=1,IF(HT27=1,NF27+NI27,GB27-OV27)*(1+Slot17_Rate),0)</f>
        <v>0</v>
      </c>
      <c r="SY27" s="1" t="n">
        <f aca="false">IF(AND(HT27=1,GA27=1),(NE27+NI27)/E27,0)</f>
        <v>0</v>
      </c>
      <c r="SZ27" s="1" t="n">
        <f aca="false">IF(B27=0,NE27+NI27,0)</f>
        <v>0</v>
      </c>
      <c r="TA27" s="1" t="n">
        <f aca="false">IF(B27=0,IF(HT27=1,NG27,NH27),0)</f>
        <v>0</v>
      </c>
      <c r="TB27" s="1" t="n">
        <f aca="false">IF(GK27=1,IF(HT27=1,NN27+NQ27,GL27-OT27)*(1+Slot18_Rate),0)</f>
        <v>0</v>
      </c>
      <c r="TC27" s="1" t="n">
        <f aca="false">IF(AND(HT27=1,GK27=1),(NM27+NQ27)/E27,0)</f>
        <v>0</v>
      </c>
      <c r="TD27" s="1" t="n">
        <f aca="false">IF(B27=0,NM27+NQ27,0)</f>
        <v>0</v>
      </c>
      <c r="TE27" s="1" t="n">
        <f aca="false">IF(B27=0,IF(HT27=1,NO27,NP27),0)</f>
        <v>0</v>
      </c>
      <c r="TF27" s="1" t="n">
        <f aca="false">IF(GU27=1,IF(HT27=1,NV27+NY27,GV27-OR27)*(1+Slot19_Rate),0)</f>
        <v>0</v>
      </c>
      <c r="TG27" s="1" t="n">
        <f aca="false">IF(AND(HT27=1,GU27=1),(NU27+NY27)/E27,0)</f>
        <v>0</v>
      </c>
      <c r="TH27" s="1" t="n">
        <f aca="false">IF(B27=0,NU27+NY27,0)</f>
        <v>0</v>
      </c>
      <c r="TI27" s="1" t="n">
        <f aca="false">IF(B27=0,IF(HT27=1,NW27,NX27),0)</f>
        <v>0</v>
      </c>
      <c r="TJ27" s="1" t="n">
        <f aca="false">IF(HE27=1,IF(HT27=1,OD27+OG27,HF27-OP27)*(1+Slot20_Rate),0)</f>
        <v>0</v>
      </c>
      <c r="TK27" s="1" t="n">
        <f aca="false">IF(AND(HT27=1,HE27=1),(OC27+OG27)/E27,0)</f>
        <v>0</v>
      </c>
      <c r="TL27" s="1" t="n">
        <f aca="false">IF(B27=0,OC27+OG27,0)</f>
        <v>0</v>
      </c>
      <c r="TM27" s="1" t="n">
        <f aca="false">IF(B27=0,IF(HT27=1,OE27,OF27),0)</f>
        <v>0</v>
      </c>
      <c r="TN27" s="1" t="n">
        <f aca="false">QJ27+QK27+QL27+QP27+QT27+QX27+RB27+RF27+RJ27+RN27+RR27+RV27+RZ27+SD27+SH27+SL27+SP27+ST27+SX27+TB27+TF27+TJ27</f>
        <v>0</v>
      </c>
      <c r="TO27" s="1" t="n">
        <f aca="false">QD27+HO27</f>
        <v>0</v>
      </c>
      <c r="TP27" s="1" t="n">
        <f aca="false">H27+R27</f>
        <v>0</v>
      </c>
      <c r="TQ27" s="1" t="n">
        <f aca="false">1-F27</f>
        <v>0</v>
      </c>
      <c r="TR27" s="1" t="n">
        <f aca="false">IF(AND(RG_Exists=1,F27=0,C27=1),H27,0)</f>
        <v>0</v>
      </c>
      <c r="TS27" s="1" t="n">
        <f aca="false">IF(AND(RG_Exists=1,F27=0,C27=1),H27-MIN(QD27,H27),0)</f>
        <v>0</v>
      </c>
      <c r="TT27" s="1" t="n">
        <f aca="false">'Plan pay &amp; tax'!AD253</f>
        <v>0</v>
      </c>
      <c r="TU27" s="1" t="n">
        <f aca="false">IF(AND(C27=1,QD27&gt;MAX(PR_Short1,TP27*PR_Short2)),1,0)</f>
        <v>0</v>
      </c>
      <c r="TV27" s="1" t="n">
        <f aca="false">MIN(G27,H27+R27)</f>
        <v>0</v>
      </c>
      <c r="TW27" s="1" t="n">
        <f aca="false">QE27+MAX(0,HP27-HO27)</f>
        <v>0</v>
      </c>
      <c r="TX27" s="1" t="n">
        <f aca="false">QD27+HO27</f>
        <v>0</v>
      </c>
      <c r="TY27" s="1" t="n">
        <f aca="false">IF(AND(C27=1,TX27&gt;PR_MinShort),1,0)</f>
        <v>0</v>
      </c>
      <c r="TZ27" s="1" t="n">
        <f aca="false">IF(AND(C27=1,TY27=0,TW27&gt;PR_MinShort),1,0)</f>
        <v>0</v>
      </c>
      <c r="UA27" s="1" t="n">
        <f aca="false">IF(AND(C27=1,QD27&gt;PR_MinShort),1,0)</f>
        <v>0</v>
      </c>
      <c r="UB27" s="1" t="n">
        <f aca="false">IF(AND(C27=1,QE27&gt;1,UI27=0),1,0)</f>
        <v>0</v>
      </c>
      <c r="UC27" s="1" t="str">
        <f aca="false">IF(C27=0,"",IF(UI27=1,"Gap to plan for: short "&amp;"€"&amp;TEXT(ROUND(TO27,0),"#,##0"),IF(QE27&gt;1,"Using savings","Comfortable")))</f>
        <v>Comfortable</v>
      </c>
      <c r="UD27" s="1" t="n">
        <f aca="false">IF(AND(INT(D27/10)*10=90,B27&gt;0),80,INT(D27/10)*10)</f>
        <v>10</v>
      </c>
      <c r="UE27" s="1" t="n">
        <f aca="false">IF(B27=0,1,IF(UD27&lt;&gt;UD26,UE26+1,UE26))</f>
        <v>2</v>
      </c>
      <c r="UF27" s="1" t="n">
        <f aca="false">IF(AND(C27=1,F27=1,QD27&gt;MAX(PR_Short1,TP27*PR_Short2)),1,0)</f>
        <v>0</v>
      </c>
      <c r="UG27" s="1" t="n">
        <f aca="false">TQ27*TU27</f>
        <v>0</v>
      </c>
      <c r="UH27" s="1" t="n">
        <f aca="false">IF(AND(U27=1,Slot1_PctLow=1),1,0)+IF(AND(AF27=1,Slot2_PctLow=1),1,0)+IF(AND(AP27=1,Slot3_PctLow=1),1,0)+IF(AND(AZ27=1,Slot4_PctLow=1),1,0)+IF(AND(BJ27=1,Slot5_PctLow=1),1,0)+IF(AND(BT27=1,Slot6_PctLow=1),1,0)+IF(AND(CD27=1,Slot7_PctLow=1),1,0)+IF(AND(CN27=1,Slot8_PctLow=1),1,0)+IF(AND(CX27=1,Slot9_PctLow=1),1,0)+IF(AND(DH27=1,Slot10_PctLow=1),1,0)+IF(AND(DR27=1,Slot11_PctLow=1),1,0)+IF(AND(EB27=1,Slot12_PctLow=1),1,0)+IF(AND(EL27=1,Slot13_PctLow=1),1,0)+IF(AND(EV27=1,Slot14_PctLow=1),1,0)+IF(AND(FF27=1,Slot15_PctLow=1),1,0)+IF(AND(FP27=1,Slot16_PctLow=1),1,0)+IF(AND(FZ27=1,Slot17_PctLow=1),1,0)+IF(AND(GJ27=1,Slot18_PctLow=1),1,0)+IF(AND(GT27=1,Slot19_PctLow=1),1,0)+IF(AND(HD27=1,Slot20_PctLow=1),1,0)</f>
        <v>0</v>
      </c>
      <c r="UI27" s="1" t="n">
        <f aca="false">IF(C27=1,IF(OR(TU27=1,UH27&gt;0),1,0),0)</f>
        <v>0</v>
      </c>
    </row>
    <row r="28" customFormat="false" ht="15" hidden="false" customHeight="true" outlineLevel="0" collapsed="false">
      <c r="B28" s="1" t="n">
        <v>20</v>
      </c>
      <c r="C28" s="1" t="n">
        <f aca="false">IF(B28&lt;=F_N,1,0)</f>
        <v>1</v>
      </c>
      <c r="D28" s="1" t="n">
        <f aca="false">'Plan pay &amp; tax'!C254</f>
        <v>20</v>
      </c>
      <c r="E28" s="111" t="n">
        <f aca="false">'Plan pay &amp; tax'!E254</f>
        <v>1.48594739597836</v>
      </c>
      <c r="F28" s="1" t="n">
        <f aca="false">'Plan pay &amp; tax'!G254</f>
        <v>1</v>
      </c>
      <c r="G28" s="1" t="n">
        <f aca="false">'Plan pay &amp; tax'!BT254-'Plan pay &amp; tax'!BS254-'Plan pay &amp; tax'!R254</f>
        <v>0</v>
      </c>
      <c r="H28" s="1" t="n">
        <f aca="false">IF(F28=1,F_CostsM*12,IF(RG_Exists=1,RG_Amount,F_CostsM*12*AS_RetireSpend))*E28+F_OneOffY*E28</f>
        <v>0</v>
      </c>
      <c r="I28" s="1" t="n">
        <f aca="false">HQ27</f>
        <v>0</v>
      </c>
      <c r="J28" s="1" t="n">
        <f aca="false">IF(I28&gt;1,'Plan debt months'!AC28,0)</f>
        <v>0</v>
      </c>
      <c r="K28" s="1" t="n">
        <f aca="false">IF(I28&gt;1,'Plan debt months'!AB28,I28)</f>
        <v>0</v>
      </c>
      <c r="L28" s="1" t="n">
        <f aca="false">N27</f>
        <v>0</v>
      </c>
      <c r="M28" s="1" t="n">
        <f aca="false">IF(L28&gt;1,'Plan debt months'!BD28,0)</f>
        <v>0</v>
      </c>
      <c r="N28" s="1" t="n">
        <f aca="false">IF(L28&gt;1,'Plan debt months'!BC28,L28)</f>
        <v>0</v>
      </c>
      <c r="O28" s="1" t="n">
        <f aca="false">Q27</f>
        <v>0</v>
      </c>
      <c r="P28" s="1" t="n">
        <f aca="false">IF(O28&gt;1,'Plan debt months'!CE28,0)</f>
        <v>0</v>
      </c>
      <c r="Q28" s="1" t="n">
        <f aca="false">IF(O28&gt;1,'Plan debt months'!CD28,O28)</f>
        <v>0</v>
      </c>
      <c r="R28" s="1" t="n">
        <f aca="false">J28+M28+P28</f>
        <v>0</v>
      </c>
      <c r="S28" s="1" t="n">
        <f aca="false">QJ27+'Plan pay &amp; tax'!Y254</f>
        <v>0</v>
      </c>
      <c r="T28" s="1" t="n">
        <f aca="false">QJ27</f>
        <v>0</v>
      </c>
      <c r="U28" s="1" t="n">
        <f aca="false">IF(AND(Slot1_On=1,D28=Slot1_Age),1,0)</f>
        <v>0</v>
      </c>
      <c r="V28" s="1" t="n">
        <f aca="false">IF(AND(Slot1_On=1,Slot1_Age&gt;D28),1,0)</f>
        <v>0</v>
      </c>
      <c r="W28" s="1" t="n">
        <f aca="false">QL27</f>
        <v>0</v>
      </c>
      <c r="X28" s="1" t="n">
        <f aca="false">U28*MIN(Slot1_Cost,W28)</f>
        <v>0</v>
      </c>
      <c r="Y28" s="1" t="n">
        <f aca="false">U28*Slot1_SpendLike*MIN(Slot1_Cost-X28,S28)</f>
        <v>0</v>
      </c>
      <c r="Z28" s="1" t="n">
        <f aca="false">X28+Y28</f>
        <v>0</v>
      </c>
      <c r="AA28" s="1" t="n">
        <f aca="false">S28-Y28+U28*IF(Slot1_SpendLike=1,W28-X28,IF(Slot1_PotFree=1,W28,0))</f>
        <v>0</v>
      </c>
      <c r="AB28" s="1" t="n">
        <f aca="false">AE28+U28*Slot1_BufPot*W28</f>
        <v>0</v>
      </c>
      <c r="AC28" s="1" t="n">
        <f aca="false">IF(AND(U28=1,Slot1_IsMfree=1),IF(Z28&gt;=Slot1_Cost-1,0,MAX(0,K28-Z28)),K28)</f>
        <v>0</v>
      </c>
      <c r="AD28" s="1" t="n">
        <f aca="false">U28*(Slot1_Cost-Z28)</f>
        <v>0</v>
      </c>
      <c r="AE28" s="1" t="n">
        <f aca="false">QK27</f>
        <v>0</v>
      </c>
      <c r="AF28" s="1" t="n">
        <f aca="false">IF(AND(Slot2_On=1,D28=Slot2_Age),1,0)</f>
        <v>0</v>
      </c>
      <c r="AG28" s="1" t="n">
        <f aca="false">IF(AND(Slot2_On=1,Slot2_Age&gt;D28),1,0)</f>
        <v>0</v>
      </c>
      <c r="AH28" s="1" t="n">
        <f aca="false">QP27</f>
        <v>0</v>
      </c>
      <c r="AI28" s="1" t="n">
        <f aca="false">AF28*MIN(Slot2_Cost,AH28)</f>
        <v>0</v>
      </c>
      <c r="AJ28" s="1" t="n">
        <f aca="false">AF28*Slot2_SpendLike*MIN(Slot2_Cost-AI28,AA28)</f>
        <v>0</v>
      </c>
      <c r="AK28" s="1" t="n">
        <f aca="false">AI28+AJ28</f>
        <v>0</v>
      </c>
      <c r="AL28" s="1" t="n">
        <f aca="false">AA28-AJ28+AF28*IF(Slot2_SpendLike=1,AH28-AI28,IF(Slot2_PotFree=1,AH28,0))</f>
        <v>0</v>
      </c>
      <c r="AM28" s="1" t="n">
        <f aca="false">AB28+AF28*Slot2_BufPot*AH28</f>
        <v>0</v>
      </c>
      <c r="AN28" s="1" t="n">
        <f aca="false">IF(AND(AF28=1,Slot2_IsMfree=1),IF(AK28&gt;=Slot2_Cost-1,0,MAX(0,AC28-AK28)),AC28)</f>
        <v>0</v>
      </c>
      <c r="AO28" s="1" t="n">
        <f aca="false">AF28*(Slot2_Cost-AK28)</f>
        <v>0</v>
      </c>
      <c r="AP28" s="1" t="n">
        <f aca="false">IF(AND(Slot3_On=1,D28=Slot3_Age),1,0)</f>
        <v>0</v>
      </c>
      <c r="AQ28" s="1" t="n">
        <f aca="false">IF(AND(Slot3_On=1,Slot3_Age&gt;D28),1,0)</f>
        <v>0</v>
      </c>
      <c r="AR28" s="1" t="n">
        <f aca="false">QT27</f>
        <v>0</v>
      </c>
      <c r="AS28" s="1" t="n">
        <f aca="false">AP28*MIN(Slot3_Cost,AR28)</f>
        <v>0</v>
      </c>
      <c r="AT28" s="1" t="n">
        <f aca="false">AP28*Slot3_SpendLike*MIN(Slot3_Cost-AS28,AL28)</f>
        <v>0</v>
      </c>
      <c r="AU28" s="1" t="n">
        <f aca="false">AS28+AT28</f>
        <v>0</v>
      </c>
      <c r="AV28" s="1" t="n">
        <f aca="false">AL28-AT28+AP28*IF(Slot3_SpendLike=1,AR28-AS28,IF(Slot3_PotFree=1,AR28,0))</f>
        <v>0</v>
      </c>
      <c r="AW28" s="1" t="n">
        <f aca="false">AM28+AP28*Slot3_BufPot*AR28</f>
        <v>0</v>
      </c>
      <c r="AX28" s="1" t="n">
        <f aca="false">IF(AND(AP28=1,Slot3_IsMfree=1),IF(AU28&gt;=Slot3_Cost-1,0,MAX(0,AN28-AU28)),AN28)</f>
        <v>0</v>
      </c>
      <c r="AY28" s="1" t="n">
        <f aca="false">AP28*(Slot3_Cost-AU28)</f>
        <v>0</v>
      </c>
      <c r="AZ28" s="1" t="n">
        <f aca="false">IF(AND(Slot4_On=1,D28=Slot4_Age),1,0)</f>
        <v>0</v>
      </c>
      <c r="BA28" s="1" t="n">
        <f aca="false">IF(AND(Slot4_On=1,Slot4_Age&gt;D28),1,0)</f>
        <v>0</v>
      </c>
      <c r="BB28" s="1" t="n">
        <f aca="false">QX27</f>
        <v>0</v>
      </c>
      <c r="BC28" s="1" t="n">
        <f aca="false">AZ28*MIN(Slot4_Cost,BB28)</f>
        <v>0</v>
      </c>
      <c r="BD28" s="1" t="n">
        <f aca="false">AZ28*Slot4_SpendLike*MIN(Slot4_Cost-BC28,AV28)</f>
        <v>0</v>
      </c>
      <c r="BE28" s="1" t="n">
        <f aca="false">BC28+BD28</f>
        <v>0</v>
      </c>
      <c r="BF28" s="1" t="n">
        <f aca="false">AV28-BD28+AZ28*IF(Slot4_SpendLike=1,BB28-BC28,IF(Slot4_PotFree=1,BB28,0))</f>
        <v>0</v>
      </c>
      <c r="BG28" s="1" t="n">
        <f aca="false">AW28+AZ28*Slot4_BufPot*BB28</f>
        <v>0</v>
      </c>
      <c r="BH28" s="1" t="n">
        <f aca="false">IF(AND(AZ28=1,Slot4_IsMfree=1),IF(BE28&gt;=Slot4_Cost-1,0,MAX(0,AX28-BE28)),AX28)</f>
        <v>0</v>
      </c>
      <c r="BI28" s="1" t="n">
        <f aca="false">AZ28*(Slot4_Cost-BE28)</f>
        <v>0</v>
      </c>
      <c r="BJ28" s="1" t="n">
        <f aca="false">IF(AND(Slot5_On=1,D28=Slot5_Age),1,0)</f>
        <v>0</v>
      </c>
      <c r="BK28" s="1" t="n">
        <f aca="false">IF(AND(Slot5_On=1,Slot5_Age&gt;D28),1,0)</f>
        <v>0</v>
      </c>
      <c r="BL28" s="1" t="n">
        <f aca="false">RB27</f>
        <v>0</v>
      </c>
      <c r="BM28" s="1" t="n">
        <f aca="false">BJ28*MIN(Slot5_Cost,BL28)</f>
        <v>0</v>
      </c>
      <c r="BN28" s="1" t="n">
        <f aca="false">BJ28*Slot5_SpendLike*MIN(Slot5_Cost-BM28,BF28)</f>
        <v>0</v>
      </c>
      <c r="BO28" s="1" t="n">
        <f aca="false">BM28+BN28</f>
        <v>0</v>
      </c>
      <c r="BP28" s="1" t="n">
        <f aca="false">BF28-BN28+BJ28*IF(Slot5_SpendLike=1,BL28-BM28,IF(Slot5_PotFree=1,BL28,0))</f>
        <v>0</v>
      </c>
      <c r="BQ28" s="1" t="n">
        <f aca="false">BG28+BJ28*Slot5_BufPot*BL28</f>
        <v>0</v>
      </c>
      <c r="BR28" s="1" t="n">
        <f aca="false">IF(AND(BJ28=1,Slot5_IsMfree=1),IF(BO28&gt;=Slot5_Cost-1,0,MAX(0,BH28-BO28)),BH28)</f>
        <v>0</v>
      </c>
      <c r="BS28" s="1" t="n">
        <f aca="false">BJ28*(Slot5_Cost-BO28)</f>
        <v>0</v>
      </c>
      <c r="BT28" s="1" t="n">
        <f aca="false">IF(AND(Slot6_On=1,D28=Slot6_Age),1,0)</f>
        <v>0</v>
      </c>
      <c r="BU28" s="1" t="n">
        <f aca="false">IF(AND(Slot6_On=1,Slot6_Age&gt;D28),1,0)</f>
        <v>0</v>
      </c>
      <c r="BV28" s="1" t="n">
        <f aca="false">RF27</f>
        <v>0</v>
      </c>
      <c r="BW28" s="1" t="n">
        <f aca="false">BT28*MIN(Slot6_Cost,BV28)</f>
        <v>0</v>
      </c>
      <c r="BX28" s="1" t="n">
        <f aca="false">BT28*Slot6_SpendLike*MIN(Slot6_Cost-BW28,BP28)</f>
        <v>0</v>
      </c>
      <c r="BY28" s="1" t="n">
        <f aca="false">BW28+BX28</f>
        <v>0</v>
      </c>
      <c r="BZ28" s="1" t="n">
        <f aca="false">BP28-BX28+BT28*IF(Slot6_SpendLike=1,BV28-BW28,IF(Slot6_PotFree=1,BV28,0))</f>
        <v>0</v>
      </c>
      <c r="CA28" s="1" t="n">
        <f aca="false">BQ28+BT28*Slot6_BufPot*BV28</f>
        <v>0</v>
      </c>
      <c r="CB28" s="1" t="n">
        <f aca="false">IF(AND(BT28=1,Slot6_IsMfree=1),IF(BY28&gt;=Slot6_Cost-1,0,MAX(0,BR28-BY28)),BR28)</f>
        <v>0</v>
      </c>
      <c r="CC28" s="1" t="n">
        <f aca="false">BT28*(Slot6_Cost-BY28)</f>
        <v>0</v>
      </c>
      <c r="CD28" s="1" t="n">
        <f aca="false">IF(AND(Slot7_On=1,D28=Slot7_Age),1,0)</f>
        <v>0</v>
      </c>
      <c r="CE28" s="1" t="n">
        <f aca="false">IF(AND(Slot7_On=1,Slot7_Age&gt;D28),1,0)</f>
        <v>0</v>
      </c>
      <c r="CF28" s="1" t="n">
        <f aca="false">RJ27</f>
        <v>0</v>
      </c>
      <c r="CG28" s="1" t="n">
        <f aca="false">CD28*MIN(Slot7_Cost,CF28)</f>
        <v>0</v>
      </c>
      <c r="CH28" s="1" t="n">
        <f aca="false">CD28*Slot7_SpendLike*MIN(Slot7_Cost-CG28,BZ28)</f>
        <v>0</v>
      </c>
      <c r="CI28" s="1" t="n">
        <f aca="false">CG28+CH28</f>
        <v>0</v>
      </c>
      <c r="CJ28" s="1" t="n">
        <f aca="false">BZ28-CH28+CD28*IF(Slot7_SpendLike=1,CF28-CG28,IF(Slot7_PotFree=1,CF28,0))</f>
        <v>0</v>
      </c>
      <c r="CK28" s="1" t="n">
        <f aca="false">CA28+CD28*Slot7_BufPot*CF28</f>
        <v>0</v>
      </c>
      <c r="CL28" s="1" t="n">
        <f aca="false">IF(AND(CD28=1,Slot7_IsMfree=1),IF(CI28&gt;=Slot7_Cost-1,0,MAX(0,CB28-CI28)),CB28)</f>
        <v>0</v>
      </c>
      <c r="CM28" s="1" t="n">
        <f aca="false">CD28*(Slot7_Cost-CI28)</f>
        <v>0</v>
      </c>
      <c r="CN28" s="1" t="n">
        <f aca="false">IF(AND(Slot8_On=1,D28=Slot8_Age),1,0)</f>
        <v>0</v>
      </c>
      <c r="CO28" s="1" t="n">
        <f aca="false">IF(AND(Slot8_On=1,Slot8_Age&gt;D28),1,0)</f>
        <v>0</v>
      </c>
      <c r="CP28" s="1" t="n">
        <f aca="false">RN27</f>
        <v>0</v>
      </c>
      <c r="CQ28" s="1" t="n">
        <f aca="false">CN28*MIN(Slot8_Cost,CP28)</f>
        <v>0</v>
      </c>
      <c r="CR28" s="1" t="n">
        <f aca="false">CN28*Slot8_SpendLike*MIN(Slot8_Cost-CQ28,CJ28)</f>
        <v>0</v>
      </c>
      <c r="CS28" s="1" t="n">
        <f aca="false">CQ28+CR28</f>
        <v>0</v>
      </c>
      <c r="CT28" s="1" t="n">
        <f aca="false">CJ28-CR28+CN28*IF(Slot8_SpendLike=1,CP28-CQ28,IF(Slot8_PotFree=1,CP28,0))</f>
        <v>0</v>
      </c>
      <c r="CU28" s="1" t="n">
        <f aca="false">CK28+CN28*Slot8_BufPot*CP28</f>
        <v>0</v>
      </c>
      <c r="CV28" s="1" t="n">
        <f aca="false">IF(AND(CN28=1,Slot8_IsMfree=1),IF(CS28&gt;=Slot8_Cost-1,0,MAX(0,CL28-CS28)),CL28)</f>
        <v>0</v>
      </c>
      <c r="CW28" s="1" t="n">
        <f aca="false">CN28*(Slot8_Cost-CS28)</f>
        <v>0</v>
      </c>
      <c r="CX28" s="1" t="n">
        <f aca="false">IF(AND(Slot9_On=1,D28=Slot9_Age),1,0)</f>
        <v>0</v>
      </c>
      <c r="CY28" s="1" t="n">
        <f aca="false">IF(AND(Slot9_On=1,Slot9_Age&gt;D28),1,0)</f>
        <v>0</v>
      </c>
      <c r="CZ28" s="1" t="n">
        <f aca="false">RR27</f>
        <v>0</v>
      </c>
      <c r="DA28" s="1" t="n">
        <f aca="false">CX28*MIN(Slot9_Cost,CZ28)</f>
        <v>0</v>
      </c>
      <c r="DB28" s="1" t="n">
        <f aca="false">CX28*Slot9_SpendLike*MIN(Slot9_Cost-DA28,CT28)</f>
        <v>0</v>
      </c>
      <c r="DC28" s="1" t="n">
        <f aca="false">DA28+DB28</f>
        <v>0</v>
      </c>
      <c r="DD28" s="1" t="n">
        <f aca="false">CT28-DB28+CX28*IF(Slot9_SpendLike=1,CZ28-DA28,IF(Slot9_PotFree=1,CZ28,0))</f>
        <v>0</v>
      </c>
      <c r="DE28" s="1" t="n">
        <f aca="false">CU28+CX28*Slot9_BufPot*CZ28</f>
        <v>0</v>
      </c>
      <c r="DF28" s="1" t="n">
        <f aca="false">IF(AND(CX28=1,Slot9_IsMfree=1),IF(DC28&gt;=Slot9_Cost-1,0,MAX(0,CV28-DC28)),CV28)</f>
        <v>0</v>
      </c>
      <c r="DG28" s="1" t="n">
        <f aca="false">CX28*(Slot9_Cost-DC28)</f>
        <v>0</v>
      </c>
      <c r="DH28" s="1" t="n">
        <f aca="false">IF(AND(Slot10_On=1,D28=Slot10_Age),1,0)</f>
        <v>0</v>
      </c>
      <c r="DI28" s="1" t="n">
        <f aca="false">IF(AND(Slot10_On=1,Slot10_Age&gt;D28),1,0)</f>
        <v>0</v>
      </c>
      <c r="DJ28" s="1" t="n">
        <f aca="false">RV27</f>
        <v>0</v>
      </c>
      <c r="DK28" s="1" t="n">
        <f aca="false">DH28*MIN(Slot10_Cost,DJ28)</f>
        <v>0</v>
      </c>
      <c r="DL28" s="1" t="n">
        <f aca="false">DH28*Slot10_SpendLike*MIN(Slot10_Cost-DK28,DD28)</f>
        <v>0</v>
      </c>
      <c r="DM28" s="1" t="n">
        <f aca="false">DK28+DL28</f>
        <v>0</v>
      </c>
      <c r="DN28" s="1" t="n">
        <f aca="false">DD28-DL28+DH28*IF(Slot10_SpendLike=1,DJ28-DK28,IF(Slot10_PotFree=1,DJ28,0))</f>
        <v>0</v>
      </c>
      <c r="DO28" s="1" t="n">
        <f aca="false">DE28+DH28*Slot10_BufPot*DJ28</f>
        <v>0</v>
      </c>
      <c r="DP28" s="1" t="n">
        <f aca="false">IF(AND(DH28=1,Slot10_IsMfree=1),IF(DM28&gt;=Slot10_Cost-1,0,MAX(0,DF28-DM28)),DF28)</f>
        <v>0</v>
      </c>
      <c r="DQ28" s="1" t="n">
        <f aca="false">DH28*(Slot10_Cost-DM28)</f>
        <v>0</v>
      </c>
      <c r="DR28" s="1" t="n">
        <f aca="false">IF(AND(Slot11_On=1,D28=Slot11_Age),1,0)</f>
        <v>0</v>
      </c>
      <c r="DS28" s="1" t="n">
        <f aca="false">IF(AND(Slot11_On=1,Slot11_Age&gt;D28),1,0)</f>
        <v>0</v>
      </c>
      <c r="DT28" s="1" t="n">
        <f aca="false">RZ27</f>
        <v>0</v>
      </c>
      <c r="DU28" s="1" t="n">
        <f aca="false">DR28*MIN(Slot11_Cost,DT28)</f>
        <v>0</v>
      </c>
      <c r="DV28" s="1" t="n">
        <f aca="false">DR28*Slot11_SpendLike*MIN(Slot11_Cost-DU28,DN28)</f>
        <v>0</v>
      </c>
      <c r="DW28" s="1" t="n">
        <f aca="false">DU28+DV28</f>
        <v>0</v>
      </c>
      <c r="DX28" s="1" t="n">
        <f aca="false">DN28-DV28+DR28*IF(Slot11_SpendLike=1,DT28-DU28,IF(Slot11_PotFree=1,DT28,0))</f>
        <v>0</v>
      </c>
      <c r="DY28" s="1" t="n">
        <f aca="false">DO28+DR28*Slot11_BufPot*DT28</f>
        <v>0</v>
      </c>
      <c r="DZ28" s="1" t="n">
        <f aca="false">IF(AND(DR28=1,Slot11_IsMfree=1),IF(DW28&gt;=Slot11_Cost-1,0,MAX(0,DP28-DW28)),DP28)</f>
        <v>0</v>
      </c>
      <c r="EA28" s="1" t="n">
        <f aca="false">DR28*(Slot11_Cost-DW28)</f>
        <v>0</v>
      </c>
      <c r="EB28" s="1" t="n">
        <f aca="false">IF(AND(Slot12_On=1,D28=Slot12_Age),1,0)</f>
        <v>0</v>
      </c>
      <c r="EC28" s="1" t="n">
        <f aca="false">IF(AND(Slot12_On=1,Slot12_Age&gt;D28),1,0)</f>
        <v>0</v>
      </c>
      <c r="ED28" s="1" t="n">
        <f aca="false">SD27</f>
        <v>0</v>
      </c>
      <c r="EE28" s="1" t="n">
        <f aca="false">EB28*MIN(Slot12_Cost,ED28)</f>
        <v>0</v>
      </c>
      <c r="EF28" s="1" t="n">
        <f aca="false">EB28*Slot12_SpendLike*MIN(Slot12_Cost-EE28,DX28)</f>
        <v>0</v>
      </c>
      <c r="EG28" s="1" t="n">
        <f aca="false">EE28+EF28</f>
        <v>0</v>
      </c>
      <c r="EH28" s="1" t="n">
        <f aca="false">DX28-EF28+EB28*IF(Slot12_SpendLike=1,ED28-EE28,IF(Slot12_PotFree=1,ED28,0))</f>
        <v>0</v>
      </c>
      <c r="EI28" s="1" t="n">
        <f aca="false">DY28+EB28*Slot12_BufPot*ED28</f>
        <v>0</v>
      </c>
      <c r="EJ28" s="1" t="n">
        <f aca="false">IF(AND(EB28=1,Slot12_IsMfree=1),IF(EG28&gt;=Slot12_Cost-1,0,MAX(0,DZ28-EG28)),DZ28)</f>
        <v>0</v>
      </c>
      <c r="EK28" s="1" t="n">
        <f aca="false">EB28*(Slot12_Cost-EG28)</f>
        <v>0</v>
      </c>
      <c r="EL28" s="1" t="n">
        <f aca="false">IF(AND(Slot13_On=1,D28=Slot13_Age),1,0)</f>
        <v>0</v>
      </c>
      <c r="EM28" s="1" t="n">
        <f aca="false">IF(AND(Slot13_On=1,Slot13_Age&gt;D28),1,0)</f>
        <v>0</v>
      </c>
      <c r="EN28" s="1" t="n">
        <f aca="false">SH27</f>
        <v>0</v>
      </c>
      <c r="EO28" s="1" t="n">
        <f aca="false">EL28*MIN(Slot13_Cost,EN28)</f>
        <v>0</v>
      </c>
      <c r="EP28" s="1" t="n">
        <f aca="false">EL28*Slot13_SpendLike*MIN(Slot13_Cost-EO28,EH28)</f>
        <v>0</v>
      </c>
      <c r="EQ28" s="1" t="n">
        <f aca="false">EO28+EP28</f>
        <v>0</v>
      </c>
      <c r="ER28" s="1" t="n">
        <f aca="false">EH28-EP28+EL28*IF(Slot13_SpendLike=1,EN28-EO28,IF(Slot13_PotFree=1,EN28,0))</f>
        <v>0</v>
      </c>
      <c r="ES28" s="1" t="n">
        <f aca="false">EI28+EL28*Slot13_BufPot*EN28</f>
        <v>0</v>
      </c>
      <c r="ET28" s="1" t="n">
        <f aca="false">IF(AND(EL28=1,Slot13_IsMfree=1),IF(EQ28&gt;=Slot13_Cost-1,0,MAX(0,EJ28-EQ28)),EJ28)</f>
        <v>0</v>
      </c>
      <c r="EU28" s="1" t="n">
        <f aca="false">EL28*(Slot13_Cost-EQ28)</f>
        <v>0</v>
      </c>
      <c r="EV28" s="1" t="n">
        <f aca="false">IF(AND(Slot14_On=1,D28=Slot14_Age),1,0)</f>
        <v>0</v>
      </c>
      <c r="EW28" s="1" t="n">
        <f aca="false">IF(AND(Slot14_On=1,Slot14_Age&gt;D28),1,0)</f>
        <v>0</v>
      </c>
      <c r="EX28" s="1" t="n">
        <f aca="false">SL27</f>
        <v>0</v>
      </c>
      <c r="EY28" s="1" t="n">
        <f aca="false">EV28*MIN(Slot14_Cost,EX28)</f>
        <v>0</v>
      </c>
      <c r="EZ28" s="1" t="n">
        <f aca="false">EV28*Slot14_SpendLike*MIN(Slot14_Cost-EY28,ER28)</f>
        <v>0</v>
      </c>
      <c r="FA28" s="1" t="n">
        <f aca="false">EY28+EZ28</f>
        <v>0</v>
      </c>
      <c r="FB28" s="1" t="n">
        <f aca="false">ER28-EZ28+EV28*IF(Slot14_SpendLike=1,EX28-EY28,IF(Slot14_PotFree=1,EX28,0))</f>
        <v>0</v>
      </c>
      <c r="FC28" s="1" t="n">
        <f aca="false">ES28+EV28*Slot14_BufPot*EX28</f>
        <v>0</v>
      </c>
      <c r="FD28" s="1" t="n">
        <f aca="false">IF(AND(EV28=1,Slot14_IsMfree=1),IF(FA28&gt;=Slot14_Cost-1,0,MAX(0,ET28-FA28)),ET28)</f>
        <v>0</v>
      </c>
      <c r="FE28" s="1" t="n">
        <f aca="false">EV28*(Slot14_Cost-FA28)</f>
        <v>0</v>
      </c>
      <c r="FF28" s="1" t="n">
        <f aca="false">IF(AND(Slot15_On=1,D28=Slot15_Age),1,0)</f>
        <v>0</v>
      </c>
      <c r="FG28" s="1" t="n">
        <f aca="false">IF(AND(Slot15_On=1,Slot15_Age&gt;D28),1,0)</f>
        <v>0</v>
      </c>
      <c r="FH28" s="1" t="n">
        <f aca="false">SP27</f>
        <v>0</v>
      </c>
      <c r="FI28" s="1" t="n">
        <f aca="false">FF28*MIN(Slot15_Cost,FH28)</f>
        <v>0</v>
      </c>
      <c r="FJ28" s="1" t="n">
        <f aca="false">FF28*Slot15_SpendLike*MIN(Slot15_Cost-FI28,FB28)</f>
        <v>0</v>
      </c>
      <c r="FK28" s="1" t="n">
        <f aca="false">FI28+FJ28</f>
        <v>0</v>
      </c>
      <c r="FL28" s="1" t="n">
        <f aca="false">FB28-FJ28+FF28*IF(Slot15_SpendLike=1,FH28-FI28,IF(Slot15_PotFree=1,FH28,0))</f>
        <v>0</v>
      </c>
      <c r="FM28" s="1" t="n">
        <f aca="false">FC28+FF28*Slot15_BufPot*FH28</f>
        <v>0</v>
      </c>
      <c r="FN28" s="1" t="n">
        <f aca="false">IF(AND(FF28=1,Slot15_IsMfree=1),IF(FK28&gt;=Slot15_Cost-1,0,MAX(0,FD28-FK28)),FD28)</f>
        <v>0</v>
      </c>
      <c r="FO28" s="1" t="n">
        <f aca="false">FF28*(Slot15_Cost-FK28)</f>
        <v>0</v>
      </c>
      <c r="FP28" s="1" t="n">
        <f aca="false">IF(AND(Slot16_On=1,D28=Slot16_Age),1,0)</f>
        <v>0</v>
      </c>
      <c r="FQ28" s="1" t="n">
        <f aca="false">IF(AND(Slot16_On=1,Slot16_Age&gt;D28),1,0)</f>
        <v>0</v>
      </c>
      <c r="FR28" s="1" t="n">
        <f aca="false">ST27</f>
        <v>0</v>
      </c>
      <c r="FS28" s="1" t="n">
        <f aca="false">FP28*MIN(Slot16_Cost,FR28)</f>
        <v>0</v>
      </c>
      <c r="FT28" s="1" t="n">
        <f aca="false">FP28*Slot16_SpendLike*MIN(Slot16_Cost-FS28,FL28)</f>
        <v>0</v>
      </c>
      <c r="FU28" s="1" t="n">
        <f aca="false">FS28+FT28</f>
        <v>0</v>
      </c>
      <c r="FV28" s="1" t="n">
        <f aca="false">FL28-FT28+FP28*IF(Slot16_SpendLike=1,FR28-FS28,IF(Slot16_PotFree=1,FR28,0))</f>
        <v>0</v>
      </c>
      <c r="FW28" s="1" t="n">
        <f aca="false">FM28+FP28*Slot16_BufPot*FR28</f>
        <v>0</v>
      </c>
      <c r="FX28" s="1" t="n">
        <f aca="false">IF(AND(FP28=1,Slot16_IsMfree=1),IF(FU28&gt;=Slot16_Cost-1,0,MAX(0,FN28-FU28)),FN28)</f>
        <v>0</v>
      </c>
      <c r="FY28" s="1" t="n">
        <f aca="false">FP28*(Slot16_Cost-FU28)</f>
        <v>0</v>
      </c>
      <c r="FZ28" s="1" t="n">
        <f aca="false">IF(AND(Slot17_On=1,D28=Slot17_Age),1,0)</f>
        <v>0</v>
      </c>
      <c r="GA28" s="1" t="n">
        <f aca="false">IF(AND(Slot17_On=1,Slot17_Age&gt;D28),1,0)</f>
        <v>0</v>
      </c>
      <c r="GB28" s="1" t="n">
        <f aca="false">SX27</f>
        <v>0</v>
      </c>
      <c r="GC28" s="1" t="n">
        <f aca="false">FZ28*MIN(Slot17_Cost,GB28)</f>
        <v>0</v>
      </c>
      <c r="GD28" s="1" t="n">
        <f aca="false">FZ28*Slot17_SpendLike*MIN(Slot17_Cost-GC28,FV28)</f>
        <v>0</v>
      </c>
      <c r="GE28" s="1" t="n">
        <f aca="false">GC28+GD28</f>
        <v>0</v>
      </c>
      <c r="GF28" s="1" t="n">
        <f aca="false">FV28-GD28+FZ28*IF(Slot17_SpendLike=1,GB28-GC28,IF(Slot17_PotFree=1,GB28,0))</f>
        <v>0</v>
      </c>
      <c r="GG28" s="1" t="n">
        <f aca="false">FW28+FZ28*Slot17_BufPot*GB28</f>
        <v>0</v>
      </c>
      <c r="GH28" s="1" t="n">
        <f aca="false">IF(AND(FZ28=1,Slot17_IsMfree=1),IF(GE28&gt;=Slot17_Cost-1,0,MAX(0,FX28-GE28)),FX28)</f>
        <v>0</v>
      </c>
      <c r="GI28" s="1" t="n">
        <f aca="false">FZ28*(Slot17_Cost-GE28)</f>
        <v>0</v>
      </c>
      <c r="GJ28" s="1" t="n">
        <f aca="false">IF(AND(Slot18_On=1,D28=Slot18_Age),1,0)</f>
        <v>0</v>
      </c>
      <c r="GK28" s="1" t="n">
        <f aca="false">IF(AND(Slot18_On=1,Slot18_Age&gt;D28),1,0)</f>
        <v>0</v>
      </c>
      <c r="GL28" s="1" t="n">
        <f aca="false">TB27</f>
        <v>0</v>
      </c>
      <c r="GM28" s="1" t="n">
        <f aca="false">GJ28*MIN(Slot18_Cost,GL28)</f>
        <v>0</v>
      </c>
      <c r="GN28" s="1" t="n">
        <f aca="false">GJ28*Slot18_SpendLike*MIN(Slot18_Cost-GM28,GF28)</f>
        <v>0</v>
      </c>
      <c r="GO28" s="1" t="n">
        <f aca="false">GM28+GN28</f>
        <v>0</v>
      </c>
      <c r="GP28" s="1" t="n">
        <f aca="false">GF28-GN28+GJ28*IF(Slot18_SpendLike=1,GL28-GM28,IF(Slot18_PotFree=1,GL28,0))</f>
        <v>0</v>
      </c>
      <c r="GQ28" s="1" t="n">
        <f aca="false">GG28+GJ28*Slot18_BufPot*GL28</f>
        <v>0</v>
      </c>
      <c r="GR28" s="1" t="n">
        <f aca="false">IF(AND(GJ28=1,Slot18_IsMfree=1),IF(GO28&gt;=Slot18_Cost-1,0,MAX(0,GH28-GO28)),GH28)</f>
        <v>0</v>
      </c>
      <c r="GS28" s="1" t="n">
        <f aca="false">GJ28*(Slot18_Cost-GO28)</f>
        <v>0</v>
      </c>
      <c r="GT28" s="1" t="n">
        <f aca="false">IF(AND(Slot19_On=1,D28=Slot19_Age),1,0)</f>
        <v>0</v>
      </c>
      <c r="GU28" s="1" t="n">
        <f aca="false">IF(AND(Slot19_On=1,Slot19_Age&gt;D28),1,0)</f>
        <v>0</v>
      </c>
      <c r="GV28" s="1" t="n">
        <f aca="false">TF27</f>
        <v>0</v>
      </c>
      <c r="GW28" s="1" t="n">
        <f aca="false">GT28*MIN(Slot19_Cost,GV28)</f>
        <v>0</v>
      </c>
      <c r="GX28" s="1" t="n">
        <f aca="false">GT28*Slot19_SpendLike*MIN(Slot19_Cost-GW28,GP28)</f>
        <v>0</v>
      </c>
      <c r="GY28" s="1" t="n">
        <f aca="false">GW28+GX28</f>
        <v>0</v>
      </c>
      <c r="GZ28" s="1" t="n">
        <f aca="false">GP28-GX28+GT28*IF(Slot19_SpendLike=1,GV28-GW28,IF(Slot19_PotFree=1,GV28,0))</f>
        <v>0</v>
      </c>
      <c r="HA28" s="1" t="n">
        <f aca="false">GQ28+GT28*Slot19_BufPot*GV28</f>
        <v>0</v>
      </c>
      <c r="HB28" s="1" t="n">
        <f aca="false">IF(AND(GT28=1,Slot19_IsMfree=1),IF(GY28&gt;=Slot19_Cost-1,0,MAX(0,GR28-GY28)),GR28)</f>
        <v>0</v>
      </c>
      <c r="HC28" s="1" t="n">
        <f aca="false">GT28*(Slot19_Cost-GY28)</f>
        <v>0</v>
      </c>
      <c r="HD28" s="1" t="n">
        <f aca="false">IF(AND(Slot20_On=1,D28=Slot20_Age),1,0)</f>
        <v>0</v>
      </c>
      <c r="HE28" s="1" t="n">
        <f aca="false">IF(AND(Slot20_On=1,Slot20_Age&gt;D28),1,0)</f>
        <v>0</v>
      </c>
      <c r="HF28" s="1" t="n">
        <f aca="false">TJ27</f>
        <v>0</v>
      </c>
      <c r="HG28" s="1" t="n">
        <f aca="false">HD28*MIN(Slot20_Cost,HF28)</f>
        <v>0</v>
      </c>
      <c r="HH28" s="1" t="n">
        <f aca="false">HD28*Slot20_SpendLike*MIN(Slot20_Cost-HG28,GZ28)</f>
        <v>0</v>
      </c>
      <c r="HI28" s="1" t="n">
        <f aca="false">HG28+HH28</f>
        <v>0</v>
      </c>
      <c r="HJ28" s="1" t="n">
        <f aca="false">GZ28-HH28+HD28*IF(Slot20_SpendLike=1,HF28-HG28,IF(Slot20_PotFree=1,HF28,0))</f>
        <v>0</v>
      </c>
      <c r="HK28" s="1" t="n">
        <f aca="false">HA28+HD28*Slot20_BufPot*HF28</f>
        <v>0</v>
      </c>
      <c r="HL28" s="1" t="n">
        <f aca="false">IF(AND(HD28=1,Slot20_IsMfree=1),IF(HI28&gt;=Slot20_Cost-1,0,MAX(0,HB28-HI28)),HB28)</f>
        <v>0</v>
      </c>
      <c r="HM28" s="1" t="n">
        <f aca="false">HD28*(Slot20_Cost-HI28)</f>
        <v>0</v>
      </c>
      <c r="HN28" s="1" t="n">
        <f aca="false">U28*Slot1_SpendLike*Z28+AF28*Slot2_SpendLike*AK28+AP28*Slot3_SpendLike*AU28+AZ28*Slot4_SpendLike*BE28+BJ28*Slot5_SpendLike*BO28+BT28*Slot6_SpendLike*BY28+CD28*Slot7_SpendLike*CI28+CN28*Slot8_SpendLike*CS28+CX28*Slot9_SpendLike*DC28+DH28*Slot10_SpendLike*DM28+DR28*Slot11_SpendLike*DW28+EB28*Slot12_SpendLike*EG28+EL28*Slot13_SpendLike*EQ28+EV28*Slot14_SpendLike*FA28+FF28*Slot15_SpendLike*FK28+FP28*Slot16_SpendLike*FU28+FZ28*Slot17_SpendLike*GE28+GJ28*Slot18_SpendLike*GO28+GT28*Slot19_SpendLike*GY28+HD28*Slot20_SpendLike*HI28</f>
        <v>0</v>
      </c>
      <c r="HO28" s="1" t="n">
        <f aca="false">AD28+AO28+AY28+BI28+BS28+CC28+CM28+CW28+DG28+DQ28+EA28+EK28+EU28+FE28+FO28+FY28+GI28+GS28+HC28+HM28</f>
        <v>0</v>
      </c>
      <c r="HP28" s="1" t="n">
        <f aca="false">U28*Slot1_Cost+AF28*Slot2_Cost+AP28*Slot3_Cost+AZ28*Slot4_Cost+BJ28*Slot5_Cost+BT28*Slot6_Cost+CD28*Slot7_Cost+CN28*Slot8_Cost+CX28*Slot9_Cost+DH28*Slot10_Cost+DR28*Slot11_Cost+EB28*Slot12_Cost+EL28*Slot13_Cost+EV28*Slot14_Cost+FF28*Slot15_Cost+FP28*Slot16_Cost+FZ28*Slot17_Cost+GJ28*Slot18_Cost+GT28*Slot19_Cost+HD28*Slot20_Cost</f>
        <v>0</v>
      </c>
      <c r="HQ28" s="1" t="n">
        <f aca="false">HL28</f>
        <v>0</v>
      </c>
      <c r="HR28" s="1" t="n">
        <f aca="false">G28-H28-R28</f>
        <v>0</v>
      </c>
      <c r="HS28" s="1" t="n">
        <f aca="false">IF(B28=0,IF(AND(Has_q6=1,In_q6=4),PR_ShareVaries*(MAX(0,HR28)/12),MIN(IF(Has_q6=1,CHOOSE(In_q6+1,PR_SaveB1,PR_SaveB2,PR_SaveB3,PR_SaveB4,0),AS_NoAnswer),AS_SaveShare*(MAX(0,HR28)/12))),HS27)</f>
        <v>0</v>
      </c>
      <c r="HT28" s="1" t="n">
        <f aca="false">IF(HR28&gt;=0,1,0)</f>
        <v>1</v>
      </c>
      <c r="HU28" s="1" t="n">
        <f aca="false">MAX(0,HR28/12/E28)</f>
        <v>0</v>
      </c>
      <c r="HV28" s="1" t="n">
        <f aca="false">IF(AND(Has_q6=1,In_q6=4),PR_ShareVaries*(HU28),MIN(IF(Has_q6=1,CHOOSE(In_q6+1,PR_SaveB1,PR_SaveB2,PR_SaveB3,PR_SaveB4,0),AS_NoAnswer),AS_SaveShare*(HU28)))</f>
        <v>0</v>
      </c>
      <c r="HW28" s="1" t="n">
        <f aca="false">IF(Has_saveM=1,IF(In_saveUp="Yes",1,IF(In_saveUp="No",0,IF(In_saveM&gt;=HS28-0.5,1,0))),0)</f>
        <v>0</v>
      </c>
      <c r="HX28" s="1" t="n">
        <f aca="false">IF(Has_saveM=1,MIN(HU28,IF(HW28=1,MAX(In_saveM,HV28),MIN(In_saveM,HV28))),HV28)</f>
        <v>0</v>
      </c>
      <c r="HY28" s="1" t="n">
        <f aca="false">IF(F28=1,HX28*12*E28,0)</f>
        <v>0</v>
      </c>
      <c r="HZ28" s="1" t="n">
        <f aca="false">MAX(0,HY28+IF(AND(WI_Retire=0,WI_M&lt;0,F28=1),WI_M*12*E28,0))</f>
        <v>0</v>
      </c>
      <c r="IA28" s="1" t="n">
        <f aca="false">Slot1_IsWG*V28+Slot2_IsWG*AG28+Slot3_IsWG*AQ28+Slot4_IsWG*BA28+Slot5_IsWG*BK28+Slot6_IsWG*BU28+Slot7_IsWG*CE28+Slot8_IsWG*CO28+Slot9_IsWG*CY28+Slot10_IsWG*DI28+Slot11_IsWG*DS28+Slot12_IsWG*EC28+Slot13_IsWG*EM28+Slot14_IsWG*EW28+Slot15_IsWG*FG28+Slot16_IsWG*FQ28+Slot17_IsWG*GA28+Slot18_IsWG*GK28+Slot19_IsWG*GU28+Slot20_IsWG*HE28</f>
        <v>0</v>
      </c>
      <c r="IB28" s="1" t="n">
        <f aca="false">IF(AND(WI_Retire=0,WI_M&gt;0,F28=1,IA28&gt;=1),WI_M*12*E28,0)</f>
        <v>0</v>
      </c>
      <c r="IC28" s="1" t="n">
        <f aca="false">IF(HT28=1,MIN(HZ28,HR28),0)</f>
        <v>0</v>
      </c>
      <c r="ID28" s="1" t="n">
        <f aca="false">IF(HT28=1,MIN(IB28,HR28-IC28),0)</f>
        <v>0</v>
      </c>
      <c r="IE28" s="1" t="n">
        <f aca="false">IF(V28=1,IF(ABS((1+AS_Wage)/(1+Slot1_Rate)-1)&lt;0.000000000001,(Slot1_Age-D28)*(1+Slot1_Rate)^(Slot1_Age-D28),(1+Slot1_Rate)^(Slot1_Age-D28)*(1-((1+AS_Wage)/(1+Slot1_Rate))^(Slot1_Age-D28))/(1-(1+AS_Wage)/(1+Slot1_Rate))),1)</f>
        <v>1</v>
      </c>
      <c r="IF28" s="1" t="n">
        <f aca="false">IF(AND(HT28=1,ID28&gt;0,Slot1_IsWG=1,V28=1),MAX(0,(Slot1_Cost-W28*(1+Slot1_Rate)^(Slot1_Age-D28))/IE28),0)</f>
        <v>0</v>
      </c>
      <c r="IG28" s="1" t="n">
        <f aca="false">IF(AND(HT28=1,ID28&gt;0,Slot1_IsWG=1,V28=1),MIN(ID28,IF28),0)</f>
        <v>0</v>
      </c>
      <c r="IH28" s="1" t="n">
        <f aca="false">W28+IG28</f>
        <v>0</v>
      </c>
      <c r="II28" s="1" t="n">
        <f aca="false">IF(V28=1,MAX(0,(Slot1_Cost-IH28*(1+Slot1_Rate)^(Slot1_Age-D28))/IE28),0)</f>
        <v>0</v>
      </c>
      <c r="IJ28" s="1" t="n">
        <f aca="false">IF(V28=1,MAX(0,(Slot1_Cost-W28*(1+Slot1_Rate)^(Slot1_Age-D28))/IE28),0)</f>
        <v>0</v>
      </c>
      <c r="IK28" s="1" t="n">
        <f aca="false">IF(AND(HT28=1,V28=1),MIN(IC28,II28),0)</f>
        <v>0</v>
      </c>
      <c r="IL28" s="1" t="n">
        <f aca="false">IC28-IK28</f>
        <v>0</v>
      </c>
      <c r="IM28" s="1" t="n">
        <f aca="false">IF(AG28=1,IF(ABS((1+AS_Wage)/(1+Slot2_Rate)-1)&lt;0.000000000001,(Slot2_Age-D28)*(1+Slot2_Rate)^(Slot2_Age-D28),(1+Slot2_Rate)^(Slot2_Age-D28)*(1-((1+AS_Wage)/(1+Slot2_Rate))^(Slot2_Age-D28))/(1-(1+AS_Wage)/(1+Slot2_Rate))),1)</f>
        <v>1</v>
      </c>
      <c r="IN28" s="1" t="n">
        <f aca="false">IF(AND(HT28=1,ID28&gt;0,Slot2_IsWG=1,AG28=1),MAX(0,(Slot2_Cost-AH28*(1+Slot2_Rate)^(Slot2_Age-D28))/IM28),0)</f>
        <v>0</v>
      </c>
      <c r="IO28" s="1" t="n">
        <f aca="false">IF(AND(HT28=1,ID28&gt;0,Slot2_IsWG=1,AG28=1),MIN(ID28,IN28),0)</f>
        <v>0</v>
      </c>
      <c r="IP28" s="1" t="n">
        <f aca="false">AH28+IO28</f>
        <v>0</v>
      </c>
      <c r="IQ28" s="1" t="n">
        <f aca="false">IF(AG28=1,MAX(0,(Slot2_Cost-IP28*(1+Slot2_Rate)^(Slot2_Age-D28))/IM28),0)</f>
        <v>0</v>
      </c>
      <c r="IR28" s="1" t="n">
        <f aca="false">IF(AG28=1,MAX(0,(Slot2_Cost-AH28*(1+Slot2_Rate)^(Slot2_Age-D28))/IM28),0)</f>
        <v>0</v>
      </c>
      <c r="IS28" s="1" t="n">
        <f aca="false">IF(AND(HT28=1,AG28=1),MIN(IL28,IQ28),0)</f>
        <v>0</v>
      </c>
      <c r="IT28" s="1" t="n">
        <f aca="false">IL28-IS28</f>
        <v>0</v>
      </c>
      <c r="IU28" s="1" t="n">
        <f aca="false">IF(AQ28=1,IF(ABS((1+AS_Wage)/(1+Slot3_Rate)-1)&lt;0.000000000001,(Slot3_Age-D28)*(1+Slot3_Rate)^(Slot3_Age-D28),(1+Slot3_Rate)^(Slot3_Age-D28)*(1-((1+AS_Wage)/(1+Slot3_Rate))^(Slot3_Age-D28))/(1-(1+AS_Wage)/(1+Slot3_Rate))),1)</f>
        <v>1</v>
      </c>
      <c r="IV28" s="1" t="n">
        <f aca="false">IF(AND(HT28=1,ID28&gt;0,Slot3_IsWG=1,AQ28=1),MAX(0,(Slot3_Cost-AR28*(1+Slot3_Rate)^(Slot3_Age-D28))/IU28),0)</f>
        <v>0</v>
      </c>
      <c r="IW28" s="1" t="n">
        <f aca="false">IF(AND(HT28=1,ID28&gt;0,Slot3_IsWG=1,AQ28=1),MIN(ID28,IV28),0)</f>
        <v>0</v>
      </c>
      <c r="IX28" s="1" t="n">
        <f aca="false">AR28+IW28</f>
        <v>0</v>
      </c>
      <c r="IY28" s="1" t="n">
        <f aca="false">IF(AQ28=1,MAX(0,(Slot3_Cost-IX28*(1+Slot3_Rate)^(Slot3_Age-D28))/IU28),0)</f>
        <v>0</v>
      </c>
      <c r="IZ28" s="1" t="n">
        <f aca="false">IF(AQ28=1,MAX(0,(Slot3_Cost-AR28*(1+Slot3_Rate)^(Slot3_Age-D28))/IU28),0)</f>
        <v>0</v>
      </c>
      <c r="JA28" s="1" t="n">
        <f aca="false">IF(AND(HT28=1,AQ28=1),MIN(IT28,IY28),0)</f>
        <v>0</v>
      </c>
      <c r="JB28" s="1" t="n">
        <f aca="false">IT28-JA28</f>
        <v>0</v>
      </c>
      <c r="JC28" s="1" t="n">
        <f aca="false">IF(BA28=1,IF(ABS((1+AS_Wage)/(1+Slot4_Rate)-1)&lt;0.000000000001,(Slot4_Age-D28)*(1+Slot4_Rate)^(Slot4_Age-D28),(1+Slot4_Rate)^(Slot4_Age-D28)*(1-((1+AS_Wage)/(1+Slot4_Rate))^(Slot4_Age-D28))/(1-(1+AS_Wage)/(1+Slot4_Rate))),1)</f>
        <v>1</v>
      </c>
      <c r="JD28" s="1" t="n">
        <f aca="false">IF(AND(HT28=1,ID28&gt;0,Slot4_IsWG=1,BA28=1),MAX(0,(Slot4_Cost-BB28*(1+Slot4_Rate)^(Slot4_Age-D28))/JC28),0)</f>
        <v>0</v>
      </c>
      <c r="JE28" s="1" t="n">
        <f aca="false">IF(AND(HT28=1,ID28&gt;0,Slot4_IsWG=1,BA28=1),MIN(ID28,JD28),0)</f>
        <v>0</v>
      </c>
      <c r="JF28" s="1" t="n">
        <f aca="false">BB28+JE28</f>
        <v>0</v>
      </c>
      <c r="JG28" s="1" t="n">
        <f aca="false">IF(BA28=1,MAX(0,(Slot4_Cost-JF28*(1+Slot4_Rate)^(Slot4_Age-D28))/JC28),0)</f>
        <v>0</v>
      </c>
      <c r="JH28" s="1" t="n">
        <f aca="false">IF(BA28=1,MAX(0,(Slot4_Cost-BB28*(1+Slot4_Rate)^(Slot4_Age-D28))/JC28),0)</f>
        <v>0</v>
      </c>
      <c r="JI28" s="1" t="n">
        <f aca="false">IF(AND(HT28=1,BA28=1),MIN(JB28,JG28),0)</f>
        <v>0</v>
      </c>
      <c r="JJ28" s="1" t="n">
        <f aca="false">JB28-JI28</f>
        <v>0</v>
      </c>
      <c r="JK28" s="1" t="n">
        <f aca="false">IF(BK28=1,IF(ABS((1+AS_Wage)/(1+Slot5_Rate)-1)&lt;0.000000000001,(Slot5_Age-D28)*(1+Slot5_Rate)^(Slot5_Age-D28),(1+Slot5_Rate)^(Slot5_Age-D28)*(1-((1+AS_Wage)/(1+Slot5_Rate))^(Slot5_Age-D28))/(1-(1+AS_Wage)/(1+Slot5_Rate))),1)</f>
        <v>1</v>
      </c>
      <c r="JL28" s="1" t="n">
        <f aca="false">IF(AND(HT28=1,ID28&gt;0,Slot5_IsWG=1,BK28=1),MAX(0,(Slot5_Cost-BL28*(1+Slot5_Rate)^(Slot5_Age-D28))/JK28),0)</f>
        <v>0</v>
      </c>
      <c r="JM28" s="1" t="n">
        <f aca="false">IF(AND(HT28=1,ID28&gt;0,Slot5_IsWG=1,BK28=1),MIN(ID28,JL28),0)</f>
        <v>0</v>
      </c>
      <c r="JN28" s="1" t="n">
        <f aca="false">BL28+JM28</f>
        <v>0</v>
      </c>
      <c r="JO28" s="1" t="n">
        <f aca="false">IF(BK28=1,MAX(0,(Slot5_Cost-JN28*(1+Slot5_Rate)^(Slot5_Age-D28))/JK28),0)</f>
        <v>0</v>
      </c>
      <c r="JP28" s="1" t="n">
        <f aca="false">IF(BK28=1,MAX(0,(Slot5_Cost-BL28*(1+Slot5_Rate)^(Slot5_Age-D28))/JK28),0)</f>
        <v>0</v>
      </c>
      <c r="JQ28" s="1" t="n">
        <f aca="false">IF(AND(HT28=1,BK28=1),MIN(JJ28,JO28),0)</f>
        <v>0</v>
      </c>
      <c r="JR28" s="1" t="n">
        <f aca="false">JJ28-JQ28</f>
        <v>0</v>
      </c>
      <c r="JS28" s="1" t="n">
        <f aca="false">IF(BU28=1,IF(ABS((1+AS_Wage)/(1+Slot6_Rate)-1)&lt;0.000000000001,(Slot6_Age-D28)*(1+Slot6_Rate)^(Slot6_Age-D28),(1+Slot6_Rate)^(Slot6_Age-D28)*(1-((1+AS_Wage)/(1+Slot6_Rate))^(Slot6_Age-D28))/(1-(1+AS_Wage)/(1+Slot6_Rate))),1)</f>
        <v>1</v>
      </c>
      <c r="JT28" s="1" t="n">
        <f aca="false">IF(AND(HT28=1,ID28&gt;0,Slot6_IsWG=1,BU28=1),MAX(0,(Slot6_Cost-BV28*(1+Slot6_Rate)^(Slot6_Age-D28))/JS28),0)</f>
        <v>0</v>
      </c>
      <c r="JU28" s="1" t="n">
        <f aca="false">IF(AND(HT28=1,ID28&gt;0,Slot6_IsWG=1,BU28=1),MIN(ID28,JT28),0)</f>
        <v>0</v>
      </c>
      <c r="JV28" s="1" t="n">
        <f aca="false">BV28+JU28</f>
        <v>0</v>
      </c>
      <c r="JW28" s="1" t="n">
        <f aca="false">IF(BU28=1,MAX(0,(Slot6_Cost-JV28*(1+Slot6_Rate)^(Slot6_Age-D28))/JS28),0)</f>
        <v>0</v>
      </c>
      <c r="JX28" s="1" t="n">
        <f aca="false">IF(BU28=1,MAX(0,(Slot6_Cost-BV28*(1+Slot6_Rate)^(Slot6_Age-D28))/JS28),0)</f>
        <v>0</v>
      </c>
      <c r="JY28" s="1" t="n">
        <f aca="false">IF(AND(HT28=1,BU28=1),MIN(JR28,JW28),0)</f>
        <v>0</v>
      </c>
      <c r="JZ28" s="1" t="n">
        <f aca="false">JR28-JY28</f>
        <v>0</v>
      </c>
      <c r="KA28" s="1" t="n">
        <f aca="false">IF(CE28=1,IF(ABS((1+AS_Wage)/(1+Slot7_Rate)-1)&lt;0.000000000001,(Slot7_Age-D28)*(1+Slot7_Rate)^(Slot7_Age-D28),(1+Slot7_Rate)^(Slot7_Age-D28)*(1-((1+AS_Wage)/(1+Slot7_Rate))^(Slot7_Age-D28))/(1-(1+AS_Wage)/(1+Slot7_Rate))),1)</f>
        <v>1</v>
      </c>
      <c r="KB28" s="1" t="n">
        <f aca="false">IF(AND(HT28=1,ID28&gt;0,Slot7_IsWG=1,CE28=1),MAX(0,(Slot7_Cost-CF28*(1+Slot7_Rate)^(Slot7_Age-D28))/KA28),0)</f>
        <v>0</v>
      </c>
      <c r="KC28" s="1" t="n">
        <f aca="false">IF(AND(HT28=1,ID28&gt;0,Slot7_IsWG=1,CE28=1),MIN(ID28,KB28),0)</f>
        <v>0</v>
      </c>
      <c r="KD28" s="1" t="n">
        <f aca="false">CF28+KC28</f>
        <v>0</v>
      </c>
      <c r="KE28" s="1" t="n">
        <f aca="false">IF(CE28=1,MAX(0,(Slot7_Cost-KD28*(1+Slot7_Rate)^(Slot7_Age-D28))/KA28),0)</f>
        <v>0</v>
      </c>
      <c r="KF28" s="1" t="n">
        <f aca="false">IF(CE28=1,MAX(0,(Slot7_Cost-CF28*(1+Slot7_Rate)^(Slot7_Age-D28))/KA28),0)</f>
        <v>0</v>
      </c>
      <c r="KG28" s="1" t="n">
        <f aca="false">IF(AND(HT28=1,CE28=1),MIN(JZ28,KE28),0)</f>
        <v>0</v>
      </c>
      <c r="KH28" s="1" t="n">
        <f aca="false">JZ28-KG28</f>
        <v>0</v>
      </c>
      <c r="KI28" s="1" t="n">
        <f aca="false">IF(CO28=1,IF(ABS((1+AS_Wage)/(1+Slot8_Rate)-1)&lt;0.000000000001,(Slot8_Age-D28)*(1+Slot8_Rate)^(Slot8_Age-D28),(1+Slot8_Rate)^(Slot8_Age-D28)*(1-((1+AS_Wage)/(1+Slot8_Rate))^(Slot8_Age-D28))/(1-(1+AS_Wage)/(1+Slot8_Rate))),1)</f>
        <v>1</v>
      </c>
      <c r="KJ28" s="1" t="n">
        <f aca="false">IF(AND(HT28=1,ID28&gt;0,Slot8_IsWG=1,CO28=1),MAX(0,(Slot8_Cost-CP28*(1+Slot8_Rate)^(Slot8_Age-D28))/KI28),0)</f>
        <v>0</v>
      </c>
      <c r="KK28" s="1" t="n">
        <f aca="false">IF(AND(HT28=1,ID28&gt;0,Slot8_IsWG=1,CO28=1),MIN(ID28,KJ28),0)</f>
        <v>0</v>
      </c>
      <c r="KL28" s="1" t="n">
        <f aca="false">CP28+KK28</f>
        <v>0</v>
      </c>
      <c r="KM28" s="1" t="n">
        <f aca="false">IF(CO28=1,MAX(0,(Slot8_Cost-KL28*(1+Slot8_Rate)^(Slot8_Age-D28))/KI28),0)</f>
        <v>0</v>
      </c>
      <c r="KN28" s="1" t="n">
        <f aca="false">IF(CO28=1,MAX(0,(Slot8_Cost-CP28*(1+Slot8_Rate)^(Slot8_Age-D28))/KI28),0)</f>
        <v>0</v>
      </c>
      <c r="KO28" s="1" t="n">
        <f aca="false">IF(AND(HT28=1,CO28=1),MIN(KH28,KM28),0)</f>
        <v>0</v>
      </c>
      <c r="KP28" s="1" t="n">
        <f aca="false">KH28-KO28</f>
        <v>0</v>
      </c>
      <c r="KQ28" s="1" t="n">
        <f aca="false">IF(CY28=1,IF(ABS((1+AS_Wage)/(1+Slot9_Rate)-1)&lt;0.000000000001,(Slot9_Age-D28)*(1+Slot9_Rate)^(Slot9_Age-D28),(1+Slot9_Rate)^(Slot9_Age-D28)*(1-((1+AS_Wage)/(1+Slot9_Rate))^(Slot9_Age-D28))/(1-(1+AS_Wage)/(1+Slot9_Rate))),1)</f>
        <v>1</v>
      </c>
      <c r="KR28" s="1" t="n">
        <f aca="false">IF(AND(HT28=1,ID28&gt;0,Slot9_IsWG=1,CY28=1),MAX(0,(Slot9_Cost-CZ28*(1+Slot9_Rate)^(Slot9_Age-D28))/KQ28),0)</f>
        <v>0</v>
      </c>
      <c r="KS28" s="1" t="n">
        <f aca="false">IF(AND(HT28=1,ID28&gt;0,Slot9_IsWG=1,CY28=1),MIN(ID28,KR28),0)</f>
        <v>0</v>
      </c>
      <c r="KT28" s="1" t="n">
        <f aca="false">CZ28+KS28</f>
        <v>0</v>
      </c>
      <c r="KU28" s="1" t="n">
        <f aca="false">IF(CY28=1,MAX(0,(Slot9_Cost-KT28*(1+Slot9_Rate)^(Slot9_Age-D28))/KQ28),0)</f>
        <v>0</v>
      </c>
      <c r="KV28" s="1" t="n">
        <f aca="false">IF(CY28=1,MAX(0,(Slot9_Cost-CZ28*(1+Slot9_Rate)^(Slot9_Age-D28))/KQ28),0)</f>
        <v>0</v>
      </c>
      <c r="KW28" s="1" t="n">
        <f aca="false">IF(AND(HT28=1,CY28=1),MIN(KP28,KU28),0)</f>
        <v>0</v>
      </c>
      <c r="KX28" s="1" t="n">
        <f aca="false">KP28-KW28</f>
        <v>0</v>
      </c>
      <c r="KY28" s="1" t="n">
        <f aca="false">IF(DI28=1,IF(ABS((1+AS_Wage)/(1+Slot10_Rate)-1)&lt;0.000000000001,(Slot10_Age-D28)*(1+Slot10_Rate)^(Slot10_Age-D28),(1+Slot10_Rate)^(Slot10_Age-D28)*(1-((1+AS_Wage)/(1+Slot10_Rate))^(Slot10_Age-D28))/(1-(1+AS_Wage)/(1+Slot10_Rate))),1)</f>
        <v>1</v>
      </c>
      <c r="KZ28" s="1" t="n">
        <f aca="false">IF(AND(HT28=1,ID28&gt;0,Slot10_IsWG=1,DI28=1),MAX(0,(Slot10_Cost-DJ28*(1+Slot10_Rate)^(Slot10_Age-D28))/KY28),0)</f>
        <v>0</v>
      </c>
      <c r="LA28" s="1" t="n">
        <f aca="false">IF(AND(HT28=1,ID28&gt;0,Slot10_IsWG=1,DI28=1),MIN(ID28,KZ28),0)</f>
        <v>0</v>
      </c>
      <c r="LB28" s="1" t="n">
        <f aca="false">DJ28+LA28</f>
        <v>0</v>
      </c>
      <c r="LC28" s="1" t="n">
        <f aca="false">IF(DI28=1,MAX(0,(Slot10_Cost-LB28*(1+Slot10_Rate)^(Slot10_Age-D28))/KY28),0)</f>
        <v>0</v>
      </c>
      <c r="LD28" s="1" t="n">
        <f aca="false">IF(DI28=1,MAX(0,(Slot10_Cost-DJ28*(1+Slot10_Rate)^(Slot10_Age-D28))/KY28),0)</f>
        <v>0</v>
      </c>
      <c r="LE28" s="1" t="n">
        <f aca="false">IF(AND(HT28=1,DI28=1),MIN(KX28,LC28),0)</f>
        <v>0</v>
      </c>
      <c r="LF28" s="1" t="n">
        <f aca="false">KX28-LE28</f>
        <v>0</v>
      </c>
      <c r="LG28" s="1" t="n">
        <f aca="false">IF(DS28=1,IF(ABS((1+AS_Wage)/(1+Slot11_Rate)-1)&lt;0.000000000001,(Slot11_Age-D28)*(1+Slot11_Rate)^(Slot11_Age-D28),(1+Slot11_Rate)^(Slot11_Age-D28)*(1-((1+AS_Wage)/(1+Slot11_Rate))^(Slot11_Age-D28))/(1-(1+AS_Wage)/(1+Slot11_Rate))),1)</f>
        <v>1</v>
      </c>
      <c r="LH28" s="1" t="n">
        <f aca="false">IF(AND(HT28=1,ID28&gt;0,Slot11_IsWG=1,DS28=1),MAX(0,(Slot11_Cost-DT28*(1+Slot11_Rate)^(Slot11_Age-D28))/LG28),0)</f>
        <v>0</v>
      </c>
      <c r="LI28" s="1" t="n">
        <f aca="false">IF(AND(HT28=1,ID28&gt;0,Slot11_IsWG=1,DS28=1),MIN(ID28,LH28),0)</f>
        <v>0</v>
      </c>
      <c r="LJ28" s="1" t="n">
        <f aca="false">DT28+LI28</f>
        <v>0</v>
      </c>
      <c r="LK28" s="1" t="n">
        <f aca="false">IF(DS28=1,MAX(0,(Slot11_Cost-LJ28*(1+Slot11_Rate)^(Slot11_Age-D28))/LG28),0)</f>
        <v>0</v>
      </c>
      <c r="LL28" s="1" t="n">
        <f aca="false">IF(DS28=1,MAX(0,(Slot11_Cost-DT28*(1+Slot11_Rate)^(Slot11_Age-D28))/LG28),0)</f>
        <v>0</v>
      </c>
      <c r="LM28" s="1" t="n">
        <f aca="false">IF(AND(HT28=1,DS28=1),MIN(LF28,LK28),0)</f>
        <v>0</v>
      </c>
      <c r="LN28" s="1" t="n">
        <f aca="false">LF28-LM28</f>
        <v>0</v>
      </c>
      <c r="LO28" s="1" t="n">
        <f aca="false">IF(EC28=1,IF(ABS((1+AS_Wage)/(1+Slot12_Rate)-1)&lt;0.000000000001,(Slot12_Age-D28)*(1+Slot12_Rate)^(Slot12_Age-D28),(1+Slot12_Rate)^(Slot12_Age-D28)*(1-((1+AS_Wage)/(1+Slot12_Rate))^(Slot12_Age-D28))/(1-(1+AS_Wage)/(1+Slot12_Rate))),1)</f>
        <v>1</v>
      </c>
      <c r="LP28" s="1" t="n">
        <f aca="false">IF(AND(HT28=1,ID28&gt;0,Slot12_IsWG=1,EC28=1),MAX(0,(Slot12_Cost-ED28*(1+Slot12_Rate)^(Slot12_Age-D28))/LO28),0)</f>
        <v>0</v>
      </c>
      <c r="LQ28" s="1" t="n">
        <f aca="false">IF(AND(HT28=1,ID28&gt;0,Slot12_IsWG=1,EC28=1),MIN(ID28,LP28),0)</f>
        <v>0</v>
      </c>
      <c r="LR28" s="1" t="n">
        <f aca="false">ED28+LQ28</f>
        <v>0</v>
      </c>
      <c r="LS28" s="1" t="n">
        <f aca="false">IF(EC28=1,MAX(0,(Slot12_Cost-LR28*(1+Slot12_Rate)^(Slot12_Age-D28))/LO28),0)</f>
        <v>0</v>
      </c>
      <c r="LT28" s="1" t="n">
        <f aca="false">IF(EC28=1,MAX(0,(Slot12_Cost-ED28*(1+Slot12_Rate)^(Slot12_Age-D28))/LO28),0)</f>
        <v>0</v>
      </c>
      <c r="LU28" s="1" t="n">
        <f aca="false">IF(AND(HT28=1,EC28=1),MIN(LN28,LS28),0)</f>
        <v>0</v>
      </c>
      <c r="LV28" s="1" t="n">
        <f aca="false">LN28-LU28</f>
        <v>0</v>
      </c>
      <c r="LW28" s="1" t="n">
        <f aca="false">IF(EM28=1,IF(ABS((1+AS_Wage)/(1+Slot13_Rate)-1)&lt;0.000000000001,(Slot13_Age-D28)*(1+Slot13_Rate)^(Slot13_Age-D28),(1+Slot13_Rate)^(Slot13_Age-D28)*(1-((1+AS_Wage)/(1+Slot13_Rate))^(Slot13_Age-D28))/(1-(1+AS_Wage)/(1+Slot13_Rate))),1)</f>
        <v>1</v>
      </c>
      <c r="LX28" s="1" t="n">
        <f aca="false">IF(AND(HT28=1,ID28&gt;0,Slot13_IsWG=1,EM28=1),MAX(0,(Slot13_Cost-EN28*(1+Slot13_Rate)^(Slot13_Age-D28))/LW28),0)</f>
        <v>0</v>
      </c>
      <c r="LY28" s="1" t="n">
        <f aca="false">IF(AND(HT28=1,ID28&gt;0,Slot13_IsWG=1,EM28=1),MIN(ID28,LX28),0)</f>
        <v>0</v>
      </c>
      <c r="LZ28" s="1" t="n">
        <f aca="false">EN28+LY28</f>
        <v>0</v>
      </c>
      <c r="MA28" s="1" t="n">
        <f aca="false">IF(EM28=1,MAX(0,(Slot13_Cost-LZ28*(1+Slot13_Rate)^(Slot13_Age-D28))/LW28),0)</f>
        <v>0</v>
      </c>
      <c r="MB28" s="1" t="n">
        <f aca="false">IF(EM28=1,MAX(0,(Slot13_Cost-EN28*(1+Slot13_Rate)^(Slot13_Age-D28))/LW28),0)</f>
        <v>0</v>
      </c>
      <c r="MC28" s="1" t="n">
        <f aca="false">IF(AND(HT28=1,EM28=1),MIN(LV28,MA28),0)</f>
        <v>0</v>
      </c>
      <c r="MD28" s="1" t="n">
        <f aca="false">LV28-MC28</f>
        <v>0</v>
      </c>
      <c r="ME28" s="1" t="n">
        <f aca="false">IF(EW28=1,IF(ABS((1+AS_Wage)/(1+Slot14_Rate)-1)&lt;0.000000000001,(Slot14_Age-D28)*(1+Slot14_Rate)^(Slot14_Age-D28),(1+Slot14_Rate)^(Slot14_Age-D28)*(1-((1+AS_Wage)/(1+Slot14_Rate))^(Slot14_Age-D28))/(1-(1+AS_Wage)/(1+Slot14_Rate))),1)</f>
        <v>1</v>
      </c>
      <c r="MF28" s="1" t="n">
        <f aca="false">IF(AND(HT28=1,ID28&gt;0,Slot14_IsWG=1,EW28=1),MAX(0,(Slot14_Cost-EX28*(1+Slot14_Rate)^(Slot14_Age-D28))/ME28),0)</f>
        <v>0</v>
      </c>
      <c r="MG28" s="1" t="n">
        <f aca="false">IF(AND(HT28=1,ID28&gt;0,Slot14_IsWG=1,EW28=1),MIN(ID28,MF28),0)</f>
        <v>0</v>
      </c>
      <c r="MH28" s="1" t="n">
        <f aca="false">EX28+MG28</f>
        <v>0</v>
      </c>
      <c r="MI28" s="1" t="n">
        <f aca="false">IF(EW28=1,MAX(0,(Slot14_Cost-MH28*(1+Slot14_Rate)^(Slot14_Age-D28))/ME28),0)</f>
        <v>0</v>
      </c>
      <c r="MJ28" s="1" t="n">
        <f aca="false">IF(EW28=1,MAX(0,(Slot14_Cost-EX28*(1+Slot14_Rate)^(Slot14_Age-D28))/ME28),0)</f>
        <v>0</v>
      </c>
      <c r="MK28" s="1" t="n">
        <f aca="false">IF(AND(HT28=1,EW28=1),MIN(MD28,MI28),0)</f>
        <v>0</v>
      </c>
      <c r="ML28" s="1" t="n">
        <f aca="false">MD28-MK28</f>
        <v>0</v>
      </c>
      <c r="MM28" s="1" t="n">
        <f aca="false">IF(FG28=1,IF(ABS((1+AS_Wage)/(1+Slot15_Rate)-1)&lt;0.000000000001,(Slot15_Age-D28)*(1+Slot15_Rate)^(Slot15_Age-D28),(1+Slot15_Rate)^(Slot15_Age-D28)*(1-((1+AS_Wage)/(1+Slot15_Rate))^(Slot15_Age-D28))/(1-(1+AS_Wage)/(1+Slot15_Rate))),1)</f>
        <v>1</v>
      </c>
      <c r="MN28" s="1" t="n">
        <f aca="false">IF(AND(HT28=1,ID28&gt;0,Slot15_IsWG=1,FG28=1),MAX(0,(Slot15_Cost-FH28*(1+Slot15_Rate)^(Slot15_Age-D28))/MM28),0)</f>
        <v>0</v>
      </c>
      <c r="MO28" s="1" t="n">
        <f aca="false">IF(AND(HT28=1,ID28&gt;0,Slot15_IsWG=1,FG28=1),MIN(ID28,MN28),0)</f>
        <v>0</v>
      </c>
      <c r="MP28" s="1" t="n">
        <f aca="false">FH28+MO28</f>
        <v>0</v>
      </c>
      <c r="MQ28" s="1" t="n">
        <f aca="false">IF(FG28=1,MAX(0,(Slot15_Cost-MP28*(1+Slot15_Rate)^(Slot15_Age-D28))/MM28),0)</f>
        <v>0</v>
      </c>
      <c r="MR28" s="1" t="n">
        <f aca="false">IF(FG28=1,MAX(0,(Slot15_Cost-FH28*(1+Slot15_Rate)^(Slot15_Age-D28))/MM28),0)</f>
        <v>0</v>
      </c>
      <c r="MS28" s="1" t="n">
        <f aca="false">IF(AND(HT28=1,FG28=1),MIN(ML28,MQ28),0)</f>
        <v>0</v>
      </c>
      <c r="MT28" s="1" t="n">
        <f aca="false">ML28-MS28</f>
        <v>0</v>
      </c>
      <c r="MU28" s="1" t="n">
        <f aca="false">IF(FQ28=1,IF(ABS((1+AS_Wage)/(1+Slot16_Rate)-1)&lt;0.000000000001,(Slot16_Age-D28)*(1+Slot16_Rate)^(Slot16_Age-D28),(1+Slot16_Rate)^(Slot16_Age-D28)*(1-((1+AS_Wage)/(1+Slot16_Rate))^(Slot16_Age-D28))/(1-(1+AS_Wage)/(1+Slot16_Rate))),1)</f>
        <v>1</v>
      </c>
      <c r="MV28" s="1" t="n">
        <f aca="false">IF(AND(HT28=1,ID28&gt;0,Slot16_IsWG=1,FQ28=1),MAX(0,(Slot16_Cost-FR28*(1+Slot16_Rate)^(Slot16_Age-D28))/MU28),0)</f>
        <v>0</v>
      </c>
      <c r="MW28" s="1" t="n">
        <f aca="false">IF(AND(HT28=1,ID28&gt;0,Slot16_IsWG=1,FQ28=1),MIN(ID28,MV28),0)</f>
        <v>0</v>
      </c>
      <c r="MX28" s="1" t="n">
        <f aca="false">FR28+MW28</f>
        <v>0</v>
      </c>
      <c r="MY28" s="1" t="n">
        <f aca="false">IF(FQ28=1,MAX(0,(Slot16_Cost-MX28*(1+Slot16_Rate)^(Slot16_Age-D28))/MU28),0)</f>
        <v>0</v>
      </c>
      <c r="MZ28" s="1" t="n">
        <f aca="false">IF(FQ28=1,MAX(0,(Slot16_Cost-FR28*(1+Slot16_Rate)^(Slot16_Age-D28))/MU28),0)</f>
        <v>0</v>
      </c>
      <c r="NA28" s="1" t="n">
        <f aca="false">IF(AND(HT28=1,FQ28=1),MIN(MT28,MY28),0)</f>
        <v>0</v>
      </c>
      <c r="NB28" s="1" t="n">
        <f aca="false">MT28-NA28</f>
        <v>0</v>
      </c>
      <c r="NC28" s="1" t="n">
        <f aca="false">IF(GA28=1,IF(ABS((1+AS_Wage)/(1+Slot17_Rate)-1)&lt;0.000000000001,(Slot17_Age-D28)*(1+Slot17_Rate)^(Slot17_Age-D28),(1+Slot17_Rate)^(Slot17_Age-D28)*(1-((1+AS_Wage)/(1+Slot17_Rate))^(Slot17_Age-D28))/(1-(1+AS_Wage)/(1+Slot17_Rate))),1)</f>
        <v>1</v>
      </c>
      <c r="ND28" s="1" t="n">
        <f aca="false">IF(AND(HT28=1,ID28&gt;0,Slot17_IsWG=1,GA28=1),MAX(0,(Slot17_Cost-GB28*(1+Slot17_Rate)^(Slot17_Age-D28))/NC28),0)</f>
        <v>0</v>
      </c>
      <c r="NE28" s="1" t="n">
        <f aca="false">IF(AND(HT28=1,ID28&gt;0,Slot17_IsWG=1,GA28=1),MIN(ID28,ND28),0)</f>
        <v>0</v>
      </c>
      <c r="NF28" s="1" t="n">
        <f aca="false">GB28+NE28</f>
        <v>0</v>
      </c>
      <c r="NG28" s="1" t="n">
        <f aca="false">IF(GA28=1,MAX(0,(Slot17_Cost-NF28*(1+Slot17_Rate)^(Slot17_Age-D28))/NC28),0)</f>
        <v>0</v>
      </c>
      <c r="NH28" s="1" t="n">
        <f aca="false">IF(GA28=1,MAX(0,(Slot17_Cost-GB28*(1+Slot17_Rate)^(Slot17_Age-D28))/NC28),0)</f>
        <v>0</v>
      </c>
      <c r="NI28" s="1" t="n">
        <f aca="false">IF(AND(HT28=1,GA28=1),MIN(NB28,NG28),0)</f>
        <v>0</v>
      </c>
      <c r="NJ28" s="1" t="n">
        <f aca="false">NB28-NI28</f>
        <v>0</v>
      </c>
      <c r="NK28" s="1" t="n">
        <f aca="false">IF(GK28=1,IF(ABS((1+AS_Wage)/(1+Slot18_Rate)-1)&lt;0.000000000001,(Slot18_Age-D28)*(1+Slot18_Rate)^(Slot18_Age-D28),(1+Slot18_Rate)^(Slot18_Age-D28)*(1-((1+AS_Wage)/(1+Slot18_Rate))^(Slot18_Age-D28))/(1-(1+AS_Wage)/(1+Slot18_Rate))),1)</f>
        <v>1</v>
      </c>
      <c r="NL28" s="1" t="n">
        <f aca="false">IF(AND(HT28=1,ID28&gt;0,Slot18_IsWG=1,GK28=1),MAX(0,(Slot18_Cost-GL28*(1+Slot18_Rate)^(Slot18_Age-D28))/NK28),0)</f>
        <v>0</v>
      </c>
      <c r="NM28" s="1" t="n">
        <f aca="false">IF(AND(HT28=1,ID28&gt;0,Slot18_IsWG=1,GK28=1),MIN(ID28,NL28),0)</f>
        <v>0</v>
      </c>
      <c r="NN28" s="1" t="n">
        <f aca="false">GL28+NM28</f>
        <v>0</v>
      </c>
      <c r="NO28" s="1" t="n">
        <f aca="false">IF(GK28=1,MAX(0,(Slot18_Cost-NN28*(1+Slot18_Rate)^(Slot18_Age-D28))/NK28),0)</f>
        <v>0</v>
      </c>
      <c r="NP28" s="1" t="n">
        <f aca="false">IF(GK28=1,MAX(0,(Slot18_Cost-GL28*(1+Slot18_Rate)^(Slot18_Age-D28))/NK28),0)</f>
        <v>0</v>
      </c>
      <c r="NQ28" s="1" t="n">
        <f aca="false">IF(AND(HT28=1,GK28=1),MIN(NJ28,NO28),0)</f>
        <v>0</v>
      </c>
      <c r="NR28" s="1" t="n">
        <f aca="false">NJ28-NQ28</f>
        <v>0</v>
      </c>
      <c r="NS28" s="1" t="n">
        <f aca="false">IF(GU28=1,IF(ABS((1+AS_Wage)/(1+Slot19_Rate)-1)&lt;0.000000000001,(Slot19_Age-D28)*(1+Slot19_Rate)^(Slot19_Age-D28),(1+Slot19_Rate)^(Slot19_Age-D28)*(1-((1+AS_Wage)/(1+Slot19_Rate))^(Slot19_Age-D28))/(1-(1+AS_Wage)/(1+Slot19_Rate))),1)</f>
        <v>1</v>
      </c>
      <c r="NT28" s="1" t="n">
        <f aca="false">IF(AND(HT28=1,ID28&gt;0,Slot19_IsWG=1,GU28=1),MAX(0,(Slot19_Cost-GV28*(1+Slot19_Rate)^(Slot19_Age-D28))/NS28),0)</f>
        <v>0</v>
      </c>
      <c r="NU28" s="1" t="n">
        <f aca="false">IF(AND(HT28=1,ID28&gt;0,Slot19_IsWG=1,GU28=1),MIN(ID28,NT28),0)</f>
        <v>0</v>
      </c>
      <c r="NV28" s="1" t="n">
        <f aca="false">GV28+NU28</f>
        <v>0</v>
      </c>
      <c r="NW28" s="1" t="n">
        <f aca="false">IF(GU28=1,MAX(0,(Slot19_Cost-NV28*(1+Slot19_Rate)^(Slot19_Age-D28))/NS28),0)</f>
        <v>0</v>
      </c>
      <c r="NX28" s="1" t="n">
        <f aca="false">IF(GU28=1,MAX(0,(Slot19_Cost-GV28*(1+Slot19_Rate)^(Slot19_Age-D28))/NS28),0)</f>
        <v>0</v>
      </c>
      <c r="NY28" s="1" t="n">
        <f aca="false">IF(AND(HT28=1,GU28=1),MIN(NR28,NW28),0)</f>
        <v>0</v>
      </c>
      <c r="NZ28" s="1" t="n">
        <f aca="false">NR28-NY28</f>
        <v>0</v>
      </c>
      <c r="OA28" s="1" t="n">
        <f aca="false">IF(HE28=1,IF(ABS((1+AS_Wage)/(1+Slot20_Rate)-1)&lt;0.000000000001,(Slot20_Age-D28)*(1+Slot20_Rate)^(Slot20_Age-D28),(1+Slot20_Rate)^(Slot20_Age-D28)*(1-((1+AS_Wage)/(1+Slot20_Rate))^(Slot20_Age-D28))/(1-(1+AS_Wage)/(1+Slot20_Rate))),1)</f>
        <v>1</v>
      </c>
      <c r="OB28" s="1" t="n">
        <f aca="false">IF(AND(HT28=1,ID28&gt;0,Slot20_IsWG=1,HE28=1),MAX(0,(Slot20_Cost-HF28*(1+Slot20_Rate)^(Slot20_Age-D28))/OA28),0)</f>
        <v>0</v>
      </c>
      <c r="OC28" s="1" t="n">
        <f aca="false">IF(AND(HT28=1,ID28&gt;0,Slot20_IsWG=1,HE28=1),MIN(ID28,OB28),0)</f>
        <v>0</v>
      </c>
      <c r="OD28" s="1" t="n">
        <f aca="false">HF28+OC28</f>
        <v>0</v>
      </c>
      <c r="OE28" s="1" t="n">
        <f aca="false">IF(HE28=1,MAX(0,(Slot20_Cost-OD28*(1+Slot20_Rate)^(Slot20_Age-D28))/OA28),0)</f>
        <v>0</v>
      </c>
      <c r="OF28" s="1" t="n">
        <f aca="false">IF(HE28=1,MAX(0,(Slot20_Cost-HF28*(1+Slot20_Rate)^(Slot20_Age-D28))/OA28),0)</f>
        <v>0</v>
      </c>
      <c r="OG28" s="1" t="n">
        <f aca="false">IF(AND(HT28=1,HE28=1),MIN(NZ28,OE28),0)</f>
        <v>0</v>
      </c>
      <c r="OH28" s="1" t="n">
        <f aca="false">NZ28-OG28</f>
        <v>0</v>
      </c>
      <c r="OI28" s="1" t="n">
        <f aca="false">ID28-(IG28+IO28+IW28+JE28+JM28+JU28+KC28+KK28+KS28+LA28+LI28+LQ28+LY28+MG28+MO28+MW28+NE28+NM28+NU28+OC28)</f>
        <v>0</v>
      </c>
      <c r="OJ28" s="1" t="n">
        <f aca="false">IF(HT28=1,HR28-IC28-ID28,0)</f>
        <v>0</v>
      </c>
      <c r="OK28" s="1" t="n">
        <f aca="false">IF(HT28=0,-HR28,0)</f>
        <v>0</v>
      </c>
      <c r="OL28" s="1" t="n">
        <f aca="false">MIN(OK28,HJ28)</f>
        <v>0</v>
      </c>
      <c r="OM28" s="1" t="n">
        <f aca="false">OK28-OL28</f>
        <v>0</v>
      </c>
      <c r="ON28" s="1" t="n">
        <f aca="false">MIN(OM28,HK28)</f>
        <v>0</v>
      </c>
      <c r="OO28" s="1" t="n">
        <f aca="false">OM28-ON28</f>
        <v>0</v>
      </c>
      <c r="OP28" s="1" t="n">
        <f aca="false">IF(AND(HT28=0,HE28=1,OO28&gt;0),MIN(OO28,HF28),0)</f>
        <v>0</v>
      </c>
      <c r="OQ28" s="1" t="n">
        <f aca="false">OO28-OP28</f>
        <v>0</v>
      </c>
      <c r="OR28" s="1" t="n">
        <f aca="false">IF(AND(HT28=0,GU28=1,OQ28&gt;0),MIN(OQ28,GV28),0)</f>
        <v>0</v>
      </c>
      <c r="OS28" s="1" t="n">
        <f aca="false">OQ28-OR28</f>
        <v>0</v>
      </c>
      <c r="OT28" s="1" t="n">
        <f aca="false">IF(AND(HT28=0,GK28=1,OS28&gt;0),MIN(OS28,GL28),0)</f>
        <v>0</v>
      </c>
      <c r="OU28" s="1" t="n">
        <f aca="false">OS28-OT28</f>
        <v>0</v>
      </c>
      <c r="OV28" s="1" t="n">
        <f aca="false">IF(AND(HT28=0,GA28=1,OU28&gt;0),MIN(OU28,GB28),0)</f>
        <v>0</v>
      </c>
      <c r="OW28" s="1" t="n">
        <f aca="false">OU28-OV28</f>
        <v>0</v>
      </c>
      <c r="OX28" s="1" t="n">
        <f aca="false">IF(AND(HT28=0,FQ28=1,OW28&gt;0),MIN(OW28,FR28),0)</f>
        <v>0</v>
      </c>
      <c r="OY28" s="1" t="n">
        <f aca="false">OW28-OX28</f>
        <v>0</v>
      </c>
      <c r="OZ28" s="1" t="n">
        <f aca="false">IF(AND(HT28=0,FG28=1,OY28&gt;0),MIN(OY28,FH28),0)</f>
        <v>0</v>
      </c>
      <c r="PA28" s="1" t="n">
        <f aca="false">OY28-OZ28</f>
        <v>0</v>
      </c>
      <c r="PB28" s="1" t="n">
        <f aca="false">IF(AND(HT28=0,EW28=1,PA28&gt;0),MIN(PA28,EX28),0)</f>
        <v>0</v>
      </c>
      <c r="PC28" s="1" t="n">
        <f aca="false">PA28-PB28</f>
        <v>0</v>
      </c>
      <c r="PD28" s="1" t="n">
        <f aca="false">IF(AND(HT28=0,EM28=1,PC28&gt;0),MIN(PC28,EN28),0)</f>
        <v>0</v>
      </c>
      <c r="PE28" s="1" t="n">
        <f aca="false">PC28-PD28</f>
        <v>0</v>
      </c>
      <c r="PF28" s="1" t="n">
        <f aca="false">IF(AND(HT28=0,EC28=1,PE28&gt;0),MIN(PE28,ED28),0)</f>
        <v>0</v>
      </c>
      <c r="PG28" s="1" t="n">
        <f aca="false">PE28-PF28</f>
        <v>0</v>
      </c>
      <c r="PH28" s="1" t="n">
        <f aca="false">IF(AND(HT28=0,DS28=1,PG28&gt;0),MIN(PG28,DT28),0)</f>
        <v>0</v>
      </c>
      <c r="PI28" s="1" t="n">
        <f aca="false">PG28-PH28</f>
        <v>0</v>
      </c>
      <c r="PJ28" s="1" t="n">
        <f aca="false">IF(AND(HT28=0,DI28=1,PI28&gt;0),MIN(PI28,DJ28),0)</f>
        <v>0</v>
      </c>
      <c r="PK28" s="1" t="n">
        <f aca="false">PI28-PJ28</f>
        <v>0</v>
      </c>
      <c r="PL28" s="1" t="n">
        <f aca="false">IF(AND(HT28=0,CY28=1,PK28&gt;0),MIN(PK28,CZ28),0)</f>
        <v>0</v>
      </c>
      <c r="PM28" s="1" t="n">
        <f aca="false">PK28-PL28</f>
        <v>0</v>
      </c>
      <c r="PN28" s="1" t="n">
        <f aca="false">IF(AND(HT28=0,CO28=1,PM28&gt;0),MIN(PM28,CP28),0)</f>
        <v>0</v>
      </c>
      <c r="PO28" s="1" t="n">
        <f aca="false">PM28-PN28</f>
        <v>0</v>
      </c>
      <c r="PP28" s="1" t="n">
        <f aca="false">IF(AND(HT28=0,CE28=1,PO28&gt;0),MIN(PO28,CF28),0)</f>
        <v>0</v>
      </c>
      <c r="PQ28" s="1" t="n">
        <f aca="false">PO28-PP28</f>
        <v>0</v>
      </c>
      <c r="PR28" s="1" t="n">
        <f aca="false">IF(AND(HT28=0,BU28=1,PQ28&gt;0),MIN(PQ28,BV28),0)</f>
        <v>0</v>
      </c>
      <c r="PS28" s="1" t="n">
        <f aca="false">PQ28-PR28</f>
        <v>0</v>
      </c>
      <c r="PT28" s="1" t="n">
        <f aca="false">IF(AND(HT28=0,BK28=1,PS28&gt;0),MIN(PS28,BL28),0)</f>
        <v>0</v>
      </c>
      <c r="PU28" s="1" t="n">
        <f aca="false">PS28-PT28</f>
        <v>0</v>
      </c>
      <c r="PV28" s="1" t="n">
        <f aca="false">IF(AND(HT28=0,BA28=1,PU28&gt;0),MIN(PU28,BB28),0)</f>
        <v>0</v>
      </c>
      <c r="PW28" s="1" t="n">
        <f aca="false">PU28-PV28</f>
        <v>0</v>
      </c>
      <c r="PX28" s="1" t="n">
        <f aca="false">IF(AND(HT28=0,AQ28=1,PW28&gt;0),MIN(PW28,AR28),0)</f>
        <v>0</v>
      </c>
      <c r="PY28" s="1" t="n">
        <f aca="false">PW28-PX28</f>
        <v>0</v>
      </c>
      <c r="PZ28" s="1" t="n">
        <f aca="false">IF(AND(HT28=0,AG28=1,PY28&gt;0),MIN(PY28,AH28),0)</f>
        <v>0</v>
      </c>
      <c r="QA28" s="1" t="n">
        <f aca="false">PY28-PZ28</f>
        <v>0</v>
      </c>
      <c r="QB28" s="1" t="n">
        <f aca="false">IF(AND(HT28=0,V28=1,QA28&gt;0),MIN(QA28,W28),0)</f>
        <v>0</v>
      </c>
      <c r="QC28" s="1" t="n">
        <f aca="false">QA28-QB28</f>
        <v>0</v>
      </c>
      <c r="QD28" s="1" t="n">
        <f aca="false">IF(HT28=0,QC28,0)</f>
        <v>0</v>
      </c>
      <c r="QE28" s="1" t="n">
        <f aca="false">OL28+ON28+QB28+PZ28+PX28+PV28+PT28+PR28+PP28+PN28+PL28+PJ28+PH28+PF28+PD28+PB28+OZ28+OX28+OV28+OT28+OR28+OP28</f>
        <v>0</v>
      </c>
      <c r="QF28" s="1" t="n">
        <f aca="false">IF(HT28=1,HJ28+OI28+OH28+IF(F28=1,0,OJ28),HJ28-OL28)</f>
        <v>0</v>
      </c>
      <c r="QG28" s="1" t="n">
        <f aca="false">HK28-ON28</f>
        <v>0</v>
      </c>
      <c r="QH28" s="1" t="n">
        <f aca="false">IF(HT28=1,IF(F28=1,IC28+ID28,HR28),0)</f>
        <v>0</v>
      </c>
      <c r="QI28" s="1" t="n">
        <f aca="false">IF(HT28=1,IF(F28=1,HR28-IC28-ID28,0),0)</f>
        <v>0</v>
      </c>
      <c r="QJ28" s="1" t="n">
        <f aca="false">QF28*(1+GR)</f>
        <v>0</v>
      </c>
      <c r="QK28" s="1" t="n">
        <f aca="false">QG28*(1+AS_Cash)</f>
        <v>0</v>
      </c>
      <c r="QL28" s="1" t="n">
        <f aca="false">IF(V28=1,IF(HT28=1,IH28+IK28,W28-QB28)*(1+Slot1_Rate),0)</f>
        <v>0</v>
      </c>
      <c r="QM28" s="1" t="n">
        <f aca="false">IF(AND(HT28=1,V28=1),(IG28+IK28)/E28,0)</f>
        <v>0</v>
      </c>
      <c r="QN28" s="1" t="n">
        <f aca="false">IF(B28=0,IG28+IK28,0)</f>
        <v>0</v>
      </c>
      <c r="QO28" s="1" t="n">
        <f aca="false">IF(B28=0,IF(HT28=1,II28,IJ28),0)</f>
        <v>0</v>
      </c>
      <c r="QP28" s="1" t="n">
        <f aca="false">IF(AG28=1,IF(HT28=1,IP28+IS28,AH28-PZ28)*(1+Slot2_Rate),0)</f>
        <v>0</v>
      </c>
      <c r="QQ28" s="1" t="n">
        <f aca="false">IF(AND(HT28=1,AG28=1),(IO28+IS28)/E28,0)</f>
        <v>0</v>
      </c>
      <c r="QR28" s="1" t="n">
        <f aca="false">IF(B28=0,IO28+IS28,0)</f>
        <v>0</v>
      </c>
      <c r="QS28" s="1" t="n">
        <f aca="false">IF(B28=0,IF(HT28=1,IQ28,IR28),0)</f>
        <v>0</v>
      </c>
      <c r="QT28" s="1" t="n">
        <f aca="false">IF(AQ28=1,IF(HT28=1,IX28+JA28,AR28-PX28)*(1+Slot3_Rate),0)</f>
        <v>0</v>
      </c>
      <c r="QU28" s="1" t="n">
        <f aca="false">IF(AND(HT28=1,AQ28=1),(IW28+JA28)/E28,0)</f>
        <v>0</v>
      </c>
      <c r="QV28" s="1" t="n">
        <f aca="false">IF(B28=0,IW28+JA28,0)</f>
        <v>0</v>
      </c>
      <c r="QW28" s="1" t="n">
        <f aca="false">IF(B28=0,IF(HT28=1,IY28,IZ28),0)</f>
        <v>0</v>
      </c>
      <c r="QX28" s="1" t="n">
        <f aca="false">IF(BA28=1,IF(HT28=1,JF28+JI28,BB28-PV28)*(1+Slot4_Rate),0)</f>
        <v>0</v>
      </c>
      <c r="QY28" s="1" t="n">
        <f aca="false">IF(AND(HT28=1,BA28=1),(JE28+JI28)/E28,0)</f>
        <v>0</v>
      </c>
      <c r="QZ28" s="1" t="n">
        <f aca="false">IF(B28=0,JE28+JI28,0)</f>
        <v>0</v>
      </c>
      <c r="RA28" s="1" t="n">
        <f aca="false">IF(B28=0,IF(HT28=1,JG28,JH28),0)</f>
        <v>0</v>
      </c>
      <c r="RB28" s="1" t="n">
        <f aca="false">IF(BK28=1,IF(HT28=1,JN28+JQ28,BL28-PT28)*(1+Slot5_Rate),0)</f>
        <v>0</v>
      </c>
      <c r="RC28" s="1" t="n">
        <f aca="false">IF(AND(HT28=1,BK28=1),(JM28+JQ28)/E28,0)</f>
        <v>0</v>
      </c>
      <c r="RD28" s="1" t="n">
        <f aca="false">IF(B28=0,JM28+JQ28,0)</f>
        <v>0</v>
      </c>
      <c r="RE28" s="1" t="n">
        <f aca="false">IF(B28=0,IF(HT28=1,JO28,JP28),0)</f>
        <v>0</v>
      </c>
      <c r="RF28" s="1" t="n">
        <f aca="false">IF(BU28=1,IF(HT28=1,JV28+JY28,BV28-PR28)*(1+Slot6_Rate),0)</f>
        <v>0</v>
      </c>
      <c r="RG28" s="1" t="n">
        <f aca="false">IF(AND(HT28=1,BU28=1),(JU28+JY28)/E28,0)</f>
        <v>0</v>
      </c>
      <c r="RH28" s="1" t="n">
        <f aca="false">IF(B28=0,JU28+JY28,0)</f>
        <v>0</v>
      </c>
      <c r="RI28" s="1" t="n">
        <f aca="false">IF(B28=0,IF(HT28=1,JW28,JX28),0)</f>
        <v>0</v>
      </c>
      <c r="RJ28" s="1" t="n">
        <f aca="false">IF(CE28=1,IF(HT28=1,KD28+KG28,CF28-PP28)*(1+Slot7_Rate),0)</f>
        <v>0</v>
      </c>
      <c r="RK28" s="1" t="n">
        <f aca="false">IF(AND(HT28=1,CE28=1),(KC28+KG28)/E28,0)</f>
        <v>0</v>
      </c>
      <c r="RL28" s="1" t="n">
        <f aca="false">IF(B28=0,KC28+KG28,0)</f>
        <v>0</v>
      </c>
      <c r="RM28" s="1" t="n">
        <f aca="false">IF(B28=0,IF(HT28=1,KE28,KF28),0)</f>
        <v>0</v>
      </c>
      <c r="RN28" s="1" t="n">
        <f aca="false">IF(CO28=1,IF(HT28=1,KL28+KO28,CP28-PN28)*(1+Slot8_Rate),0)</f>
        <v>0</v>
      </c>
      <c r="RO28" s="1" t="n">
        <f aca="false">IF(AND(HT28=1,CO28=1),(KK28+KO28)/E28,0)</f>
        <v>0</v>
      </c>
      <c r="RP28" s="1" t="n">
        <f aca="false">IF(B28=0,KK28+KO28,0)</f>
        <v>0</v>
      </c>
      <c r="RQ28" s="1" t="n">
        <f aca="false">IF(B28=0,IF(HT28=1,KM28,KN28),0)</f>
        <v>0</v>
      </c>
      <c r="RR28" s="1" t="n">
        <f aca="false">IF(CY28=1,IF(HT28=1,KT28+KW28,CZ28-PL28)*(1+Slot9_Rate),0)</f>
        <v>0</v>
      </c>
      <c r="RS28" s="1" t="n">
        <f aca="false">IF(AND(HT28=1,CY28=1),(KS28+KW28)/E28,0)</f>
        <v>0</v>
      </c>
      <c r="RT28" s="1" t="n">
        <f aca="false">IF(B28=0,KS28+KW28,0)</f>
        <v>0</v>
      </c>
      <c r="RU28" s="1" t="n">
        <f aca="false">IF(B28=0,IF(HT28=1,KU28,KV28),0)</f>
        <v>0</v>
      </c>
      <c r="RV28" s="1" t="n">
        <f aca="false">IF(DI28=1,IF(HT28=1,LB28+LE28,DJ28-PJ28)*(1+Slot10_Rate),0)</f>
        <v>0</v>
      </c>
      <c r="RW28" s="1" t="n">
        <f aca="false">IF(AND(HT28=1,DI28=1),(LA28+LE28)/E28,0)</f>
        <v>0</v>
      </c>
      <c r="RX28" s="1" t="n">
        <f aca="false">IF(B28=0,LA28+LE28,0)</f>
        <v>0</v>
      </c>
      <c r="RY28" s="1" t="n">
        <f aca="false">IF(B28=0,IF(HT28=1,LC28,LD28),0)</f>
        <v>0</v>
      </c>
      <c r="RZ28" s="1" t="n">
        <f aca="false">IF(DS28=1,IF(HT28=1,LJ28+LM28,DT28-PH28)*(1+Slot11_Rate),0)</f>
        <v>0</v>
      </c>
      <c r="SA28" s="1" t="n">
        <f aca="false">IF(AND(HT28=1,DS28=1),(LI28+LM28)/E28,0)</f>
        <v>0</v>
      </c>
      <c r="SB28" s="1" t="n">
        <f aca="false">IF(B28=0,LI28+LM28,0)</f>
        <v>0</v>
      </c>
      <c r="SC28" s="1" t="n">
        <f aca="false">IF(B28=0,IF(HT28=1,LK28,LL28),0)</f>
        <v>0</v>
      </c>
      <c r="SD28" s="1" t="n">
        <f aca="false">IF(EC28=1,IF(HT28=1,LR28+LU28,ED28-PF28)*(1+Slot12_Rate),0)</f>
        <v>0</v>
      </c>
      <c r="SE28" s="1" t="n">
        <f aca="false">IF(AND(HT28=1,EC28=1),(LQ28+LU28)/E28,0)</f>
        <v>0</v>
      </c>
      <c r="SF28" s="1" t="n">
        <f aca="false">IF(B28=0,LQ28+LU28,0)</f>
        <v>0</v>
      </c>
      <c r="SG28" s="1" t="n">
        <f aca="false">IF(B28=0,IF(HT28=1,LS28,LT28),0)</f>
        <v>0</v>
      </c>
      <c r="SH28" s="1" t="n">
        <f aca="false">IF(EM28=1,IF(HT28=1,LZ28+MC28,EN28-PD28)*(1+Slot13_Rate),0)</f>
        <v>0</v>
      </c>
      <c r="SI28" s="1" t="n">
        <f aca="false">IF(AND(HT28=1,EM28=1),(LY28+MC28)/E28,0)</f>
        <v>0</v>
      </c>
      <c r="SJ28" s="1" t="n">
        <f aca="false">IF(B28=0,LY28+MC28,0)</f>
        <v>0</v>
      </c>
      <c r="SK28" s="1" t="n">
        <f aca="false">IF(B28=0,IF(HT28=1,MA28,MB28),0)</f>
        <v>0</v>
      </c>
      <c r="SL28" s="1" t="n">
        <f aca="false">IF(EW28=1,IF(HT28=1,MH28+MK28,EX28-PB28)*(1+Slot14_Rate),0)</f>
        <v>0</v>
      </c>
      <c r="SM28" s="1" t="n">
        <f aca="false">IF(AND(HT28=1,EW28=1),(MG28+MK28)/E28,0)</f>
        <v>0</v>
      </c>
      <c r="SN28" s="1" t="n">
        <f aca="false">IF(B28=0,MG28+MK28,0)</f>
        <v>0</v>
      </c>
      <c r="SO28" s="1" t="n">
        <f aca="false">IF(B28=0,IF(HT28=1,MI28,MJ28),0)</f>
        <v>0</v>
      </c>
      <c r="SP28" s="1" t="n">
        <f aca="false">IF(FG28=1,IF(HT28=1,MP28+MS28,FH28-OZ28)*(1+Slot15_Rate),0)</f>
        <v>0</v>
      </c>
      <c r="SQ28" s="1" t="n">
        <f aca="false">IF(AND(HT28=1,FG28=1),(MO28+MS28)/E28,0)</f>
        <v>0</v>
      </c>
      <c r="SR28" s="1" t="n">
        <f aca="false">IF(B28=0,MO28+MS28,0)</f>
        <v>0</v>
      </c>
      <c r="SS28" s="1" t="n">
        <f aca="false">IF(B28=0,IF(HT28=1,MQ28,MR28),0)</f>
        <v>0</v>
      </c>
      <c r="ST28" s="1" t="n">
        <f aca="false">IF(FQ28=1,IF(HT28=1,MX28+NA28,FR28-OX28)*(1+Slot16_Rate),0)</f>
        <v>0</v>
      </c>
      <c r="SU28" s="1" t="n">
        <f aca="false">IF(AND(HT28=1,FQ28=1),(MW28+NA28)/E28,0)</f>
        <v>0</v>
      </c>
      <c r="SV28" s="1" t="n">
        <f aca="false">IF(B28=0,MW28+NA28,0)</f>
        <v>0</v>
      </c>
      <c r="SW28" s="1" t="n">
        <f aca="false">IF(B28=0,IF(HT28=1,MY28,MZ28),0)</f>
        <v>0</v>
      </c>
      <c r="SX28" s="1" t="n">
        <f aca="false">IF(GA28=1,IF(HT28=1,NF28+NI28,GB28-OV28)*(1+Slot17_Rate),0)</f>
        <v>0</v>
      </c>
      <c r="SY28" s="1" t="n">
        <f aca="false">IF(AND(HT28=1,GA28=1),(NE28+NI28)/E28,0)</f>
        <v>0</v>
      </c>
      <c r="SZ28" s="1" t="n">
        <f aca="false">IF(B28=0,NE28+NI28,0)</f>
        <v>0</v>
      </c>
      <c r="TA28" s="1" t="n">
        <f aca="false">IF(B28=0,IF(HT28=1,NG28,NH28),0)</f>
        <v>0</v>
      </c>
      <c r="TB28" s="1" t="n">
        <f aca="false">IF(GK28=1,IF(HT28=1,NN28+NQ28,GL28-OT28)*(1+Slot18_Rate),0)</f>
        <v>0</v>
      </c>
      <c r="TC28" s="1" t="n">
        <f aca="false">IF(AND(HT28=1,GK28=1),(NM28+NQ28)/E28,0)</f>
        <v>0</v>
      </c>
      <c r="TD28" s="1" t="n">
        <f aca="false">IF(B28=0,NM28+NQ28,0)</f>
        <v>0</v>
      </c>
      <c r="TE28" s="1" t="n">
        <f aca="false">IF(B28=0,IF(HT28=1,NO28,NP28),0)</f>
        <v>0</v>
      </c>
      <c r="TF28" s="1" t="n">
        <f aca="false">IF(GU28=1,IF(HT28=1,NV28+NY28,GV28-OR28)*(1+Slot19_Rate),0)</f>
        <v>0</v>
      </c>
      <c r="TG28" s="1" t="n">
        <f aca="false">IF(AND(HT28=1,GU28=1),(NU28+NY28)/E28,0)</f>
        <v>0</v>
      </c>
      <c r="TH28" s="1" t="n">
        <f aca="false">IF(B28=0,NU28+NY28,0)</f>
        <v>0</v>
      </c>
      <c r="TI28" s="1" t="n">
        <f aca="false">IF(B28=0,IF(HT28=1,NW28,NX28),0)</f>
        <v>0</v>
      </c>
      <c r="TJ28" s="1" t="n">
        <f aca="false">IF(HE28=1,IF(HT28=1,OD28+OG28,HF28-OP28)*(1+Slot20_Rate),0)</f>
        <v>0</v>
      </c>
      <c r="TK28" s="1" t="n">
        <f aca="false">IF(AND(HT28=1,HE28=1),(OC28+OG28)/E28,0)</f>
        <v>0</v>
      </c>
      <c r="TL28" s="1" t="n">
        <f aca="false">IF(B28=0,OC28+OG28,0)</f>
        <v>0</v>
      </c>
      <c r="TM28" s="1" t="n">
        <f aca="false">IF(B28=0,IF(HT28=1,OE28,OF28),0)</f>
        <v>0</v>
      </c>
      <c r="TN28" s="1" t="n">
        <f aca="false">QJ28+QK28+QL28+QP28+QT28+QX28+RB28+RF28+RJ28+RN28+RR28+RV28+RZ28+SD28+SH28+SL28+SP28+ST28+SX28+TB28+TF28+TJ28</f>
        <v>0</v>
      </c>
      <c r="TO28" s="1" t="n">
        <f aca="false">QD28+HO28</f>
        <v>0</v>
      </c>
      <c r="TP28" s="1" t="n">
        <f aca="false">H28+R28</f>
        <v>0</v>
      </c>
      <c r="TQ28" s="1" t="n">
        <f aca="false">1-F28</f>
        <v>0</v>
      </c>
      <c r="TR28" s="1" t="n">
        <f aca="false">IF(AND(RG_Exists=1,F28=0,C28=1),H28,0)</f>
        <v>0</v>
      </c>
      <c r="TS28" s="1" t="n">
        <f aca="false">IF(AND(RG_Exists=1,F28=0,C28=1),H28-MIN(QD28,H28),0)</f>
        <v>0</v>
      </c>
      <c r="TT28" s="1" t="n">
        <f aca="false">'Plan pay &amp; tax'!AD254</f>
        <v>0</v>
      </c>
      <c r="TU28" s="1" t="n">
        <f aca="false">IF(AND(C28=1,QD28&gt;MAX(PR_Short1,TP28*PR_Short2)),1,0)</f>
        <v>0</v>
      </c>
      <c r="TV28" s="1" t="n">
        <f aca="false">MIN(G28,H28+R28)</f>
        <v>0</v>
      </c>
      <c r="TW28" s="1" t="n">
        <f aca="false">QE28+MAX(0,HP28-HO28)</f>
        <v>0</v>
      </c>
      <c r="TX28" s="1" t="n">
        <f aca="false">QD28+HO28</f>
        <v>0</v>
      </c>
      <c r="TY28" s="1" t="n">
        <f aca="false">IF(AND(C28=1,TX28&gt;PR_MinShort),1,0)</f>
        <v>0</v>
      </c>
      <c r="TZ28" s="1" t="n">
        <f aca="false">IF(AND(C28=1,TY28=0,TW28&gt;PR_MinShort),1,0)</f>
        <v>0</v>
      </c>
      <c r="UA28" s="1" t="n">
        <f aca="false">IF(AND(C28=1,QD28&gt;PR_MinShort),1,0)</f>
        <v>0</v>
      </c>
      <c r="UB28" s="1" t="n">
        <f aca="false">IF(AND(C28=1,QE28&gt;1,UI28=0),1,0)</f>
        <v>0</v>
      </c>
      <c r="UC28" s="1" t="str">
        <f aca="false">IF(C28=0,"",IF(UI28=1,"Gap to plan for: short "&amp;"€"&amp;TEXT(ROUND(TO28,0),"#,##0"),IF(QE28&gt;1,"Using savings","Comfortable")))</f>
        <v>Comfortable</v>
      </c>
      <c r="UD28" s="1" t="n">
        <f aca="false">IF(AND(INT(D28/10)*10=90,B28&gt;0),80,INT(D28/10)*10)</f>
        <v>20</v>
      </c>
      <c r="UE28" s="1" t="n">
        <f aca="false">IF(B28=0,1,IF(UD28&lt;&gt;UD27,UE27+1,UE27))</f>
        <v>3</v>
      </c>
      <c r="UF28" s="1" t="n">
        <f aca="false">IF(AND(C28=1,F28=1,QD28&gt;MAX(PR_Short1,TP28*PR_Short2)),1,0)</f>
        <v>0</v>
      </c>
      <c r="UG28" s="1" t="n">
        <f aca="false">TQ28*TU28</f>
        <v>0</v>
      </c>
      <c r="UH28" s="1" t="n">
        <f aca="false">IF(AND(U28=1,Slot1_PctLow=1),1,0)+IF(AND(AF28=1,Slot2_PctLow=1),1,0)+IF(AND(AP28=1,Slot3_PctLow=1),1,0)+IF(AND(AZ28=1,Slot4_PctLow=1),1,0)+IF(AND(BJ28=1,Slot5_PctLow=1),1,0)+IF(AND(BT28=1,Slot6_PctLow=1),1,0)+IF(AND(CD28=1,Slot7_PctLow=1),1,0)+IF(AND(CN28=1,Slot8_PctLow=1),1,0)+IF(AND(CX28=1,Slot9_PctLow=1),1,0)+IF(AND(DH28=1,Slot10_PctLow=1),1,0)+IF(AND(DR28=1,Slot11_PctLow=1),1,0)+IF(AND(EB28=1,Slot12_PctLow=1),1,0)+IF(AND(EL28=1,Slot13_PctLow=1),1,0)+IF(AND(EV28=1,Slot14_PctLow=1),1,0)+IF(AND(FF28=1,Slot15_PctLow=1),1,0)+IF(AND(FP28=1,Slot16_PctLow=1),1,0)+IF(AND(FZ28=1,Slot17_PctLow=1),1,0)+IF(AND(GJ28=1,Slot18_PctLow=1),1,0)+IF(AND(GT28=1,Slot19_PctLow=1),1,0)+IF(AND(HD28=1,Slot20_PctLow=1),1,0)</f>
        <v>0</v>
      </c>
      <c r="UI28" s="1" t="n">
        <f aca="false">IF(C28=1,IF(OR(TU28=1,UH28&gt;0),1,0),0)</f>
        <v>0</v>
      </c>
    </row>
    <row r="29" customFormat="false" ht="15" hidden="false" customHeight="true" outlineLevel="0" collapsed="false">
      <c r="B29" s="1" t="n">
        <v>21</v>
      </c>
      <c r="C29" s="1" t="n">
        <f aca="false">IF(B29&lt;=F_N,1,0)</f>
        <v>1</v>
      </c>
      <c r="D29" s="1" t="n">
        <f aca="false">'Plan pay &amp; tax'!C255</f>
        <v>21</v>
      </c>
      <c r="E29" s="111" t="n">
        <f aca="false">'Plan pay &amp; tax'!E255</f>
        <v>1.51566634389792</v>
      </c>
      <c r="F29" s="1" t="n">
        <f aca="false">'Plan pay &amp; tax'!G255</f>
        <v>1</v>
      </c>
      <c r="G29" s="1" t="n">
        <f aca="false">'Plan pay &amp; tax'!BT255-'Plan pay &amp; tax'!BS255-'Plan pay &amp; tax'!R255</f>
        <v>0</v>
      </c>
      <c r="H29" s="1" t="n">
        <f aca="false">IF(F29=1,F_CostsM*12,IF(RG_Exists=1,RG_Amount,F_CostsM*12*AS_RetireSpend))*E29+F_OneOffY*E29</f>
        <v>0</v>
      </c>
      <c r="I29" s="1" t="n">
        <f aca="false">HQ28</f>
        <v>0</v>
      </c>
      <c r="J29" s="1" t="n">
        <f aca="false">IF(I29&gt;1,'Plan debt months'!AC29,0)</f>
        <v>0</v>
      </c>
      <c r="K29" s="1" t="n">
        <f aca="false">IF(I29&gt;1,'Plan debt months'!AB29,I29)</f>
        <v>0</v>
      </c>
      <c r="L29" s="1" t="n">
        <f aca="false">N28</f>
        <v>0</v>
      </c>
      <c r="M29" s="1" t="n">
        <f aca="false">IF(L29&gt;1,'Plan debt months'!BD29,0)</f>
        <v>0</v>
      </c>
      <c r="N29" s="1" t="n">
        <f aca="false">IF(L29&gt;1,'Plan debt months'!BC29,L29)</f>
        <v>0</v>
      </c>
      <c r="O29" s="1" t="n">
        <f aca="false">Q28</f>
        <v>0</v>
      </c>
      <c r="P29" s="1" t="n">
        <f aca="false">IF(O29&gt;1,'Plan debt months'!CE29,0)</f>
        <v>0</v>
      </c>
      <c r="Q29" s="1" t="n">
        <f aca="false">IF(O29&gt;1,'Plan debt months'!CD29,O29)</f>
        <v>0</v>
      </c>
      <c r="R29" s="1" t="n">
        <f aca="false">J29+M29+P29</f>
        <v>0</v>
      </c>
      <c r="S29" s="1" t="n">
        <f aca="false">QJ28+'Plan pay &amp; tax'!Y255</f>
        <v>0</v>
      </c>
      <c r="T29" s="1" t="n">
        <f aca="false">QJ28</f>
        <v>0</v>
      </c>
      <c r="U29" s="1" t="n">
        <f aca="false">IF(AND(Slot1_On=1,D29=Slot1_Age),1,0)</f>
        <v>0</v>
      </c>
      <c r="V29" s="1" t="n">
        <f aca="false">IF(AND(Slot1_On=1,Slot1_Age&gt;D29),1,0)</f>
        <v>0</v>
      </c>
      <c r="W29" s="1" t="n">
        <f aca="false">QL28</f>
        <v>0</v>
      </c>
      <c r="X29" s="1" t="n">
        <f aca="false">U29*MIN(Slot1_Cost,W29)</f>
        <v>0</v>
      </c>
      <c r="Y29" s="1" t="n">
        <f aca="false">U29*Slot1_SpendLike*MIN(Slot1_Cost-X29,S29)</f>
        <v>0</v>
      </c>
      <c r="Z29" s="1" t="n">
        <f aca="false">X29+Y29</f>
        <v>0</v>
      </c>
      <c r="AA29" s="1" t="n">
        <f aca="false">S29-Y29+U29*IF(Slot1_SpendLike=1,W29-X29,IF(Slot1_PotFree=1,W29,0))</f>
        <v>0</v>
      </c>
      <c r="AB29" s="1" t="n">
        <f aca="false">AE29+U29*Slot1_BufPot*W29</f>
        <v>0</v>
      </c>
      <c r="AC29" s="1" t="n">
        <f aca="false">IF(AND(U29=1,Slot1_IsMfree=1),IF(Z29&gt;=Slot1_Cost-1,0,MAX(0,K29-Z29)),K29)</f>
        <v>0</v>
      </c>
      <c r="AD29" s="1" t="n">
        <f aca="false">U29*(Slot1_Cost-Z29)</f>
        <v>0</v>
      </c>
      <c r="AE29" s="1" t="n">
        <f aca="false">QK28</f>
        <v>0</v>
      </c>
      <c r="AF29" s="1" t="n">
        <f aca="false">IF(AND(Slot2_On=1,D29=Slot2_Age),1,0)</f>
        <v>0</v>
      </c>
      <c r="AG29" s="1" t="n">
        <f aca="false">IF(AND(Slot2_On=1,Slot2_Age&gt;D29),1,0)</f>
        <v>0</v>
      </c>
      <c r="AH29" s="1" t="n">
        <f aca="false">QP28</f>
        <v>0</v>
      </c>
      <c r="AI29" s="1" t="n">
        <f aca="false">AF29*MIN(Slot2_Cost,AH29)</f>
        <v>0</v>
      </c>
      <c r="AJ29" s="1" t="n">
        <f aca="false">AF29*Slot2_SpendLike*MIN(Slot2_Cost-AI29,AA29)</f>
        <v>0</v>
      </c>
      <c r="AK29" s="1" t="n">
        <f aca="false">AI29+AJ29</f>
        <v>0</v>
      </c>
      <c r="AL29" s="1" t="n">
        <f aca="false">AA29-AJ29+AF29*IF(Slot2_SpendLike=1,AH29-AI29,IF(Slot2_PotFree=1,AH29,0))</f>
        <v>0</v>
      </c>
      <c r="AM29" s="1" t="n">
        <f aca="false">AB29+AF29*Slot2_BufPot*AH29</f>
        <v>0</v>
      </c>
      <c r="AN29" s="1" t="n">
        <f aca="false">IF(AND(AF29=1,Slot2_IsMfree=1),IF(AK29&gt;=Slot2_Cost-1,0,MAX(0,AC29-AK29)),AC29)</f>
        <v>0</v>
      </c>
      <c r="AO29" s="1" t="n">
        <f aca="false">AF29*(Slot2_Cost-AK29)</f>
        <v>0</v>
      </c>
      <c r="AP29" s="1" t="n">
        <f aca="false">IF(AND(Slot3_On=1,D29=Slot3_Age),1,0)</f>
        <v>0</v>
      </c>
      <c r="AQ29" s="1" t="n">
        <f aca="false">IF(AND(Slot3_On=1,Slot3_Age&gt;D29),1,0)</f>
        <v>0</v>
      </c>
      <c r="AR29" s="1" t="n">
        <f aca="false">QT28</f>
        <v>0</v>
      </c>
      <c r="AS29" s="1" t="n">
        <f aca="false">AP29*MIN(Slot3_Cost,AR29)</f>
        <v>0</v>
      </c>
      <c r="AT29" s="1" t="n">
        <f aca="false">AP29*Slot3_SpendLike*MIN(Slot3_Cost-AS29,AL29)</f>
        <v>0</v>
      </c>
      <c r="AU29" s="1" t="n">
        <f aca="false">AS29+AT29</f>
        <v>0</v>
      </c>
      <c r="AV29" s="1" t="n">
        <f aca="false">AL29-AT29+AP29*IF(Slot3_SpendLike=1,AR29-AS29,IF(Slot3_PotFree=1,AR29,0))</f>
        <v>0</v>
      </c>
      <c r="AW29" s="1" t="n">
        <f aca="false">AM29+AP29*Slot3_BufPot*AR29</f>
        <v>0</v>
      </c>
      <c r="AX29" s="1" t="n">
        <f aca="false">IF(AND(AP29=1,Slot3_IsMfree=1),IF(AU29&gt;=Slot3_Cost-1,0,MAX(0,AN29-AU29)),AN29)</f>
        <v>0</v>
      </c>
      <c r="AY29" s="1" t="n">
        <f aca="false">AP29*(Slot3_Cost-AU29)</f>
        <v>0</v>
      </c>
      <c r="AZ29" s="1" t="n">
        <f aca="false">IF(AND(Slot4_On=1,D29=Slot4_Age),1,0)</f>
        <v>0</v>
      </c>
      <c r="BA29" s="1" t="n">
        <f aca="false">IF(AND(Slot4_On=1,Slot4_Age&gt;D29),1,0)</f>
        <v>0</v>
      </c>
      <c r="BB29" s="1" t="n">
        <f aca="false">QX28</f>
        <v>0</v>
      </c>
      <c r="BC29" s="1" t="n">
        <f aca="false">AZ29*MIN(Slot4_Cost,BB29)</f>
        <v>0</v>
      </c>
      <c r="BD29" s="1" t="n">
        <f aca="false">AZ29*Slot4_SpendLike*MIN(Slot4_Cost-BC29,AV29)</f>
        <v>0</v>
      </c>
      <c r="BE29" s="1" t="n">
        <f aca="false">BC29+BD29</f>
        <v>0</v>
      </c>
      <c r="BF29" s="1" t="n">
        <f aca="false">AV29-BD29+AZ29*IF(Slot4_SpendLike=1,BB29-BC29,IF(Slot4_PotFree=1,BB29,0))</f>
        <v>0</v>
      </c>
      <c r="BG29" s="1" t="n">
        <f aca="false">AW29+AZ29*Slot4_BufPot*BB29</f>
        <v>0</v>
      </c>
      <c r="BH29" s="1" t="n">
        <f aca="false">IF(AND(AZ29=1,Slot4_IsMfree=1),IF(BE29&gt;=Slot4_Cost-1,0,MAX(0,AX29-BE29)),AX29)</f>
        <v>0</v>
      </c>
      <c r="BI29" s="1" t="n">
        <f aca="false">AZ29*(Slot4_Cost-BE29)</f>
        <v>0</v>
      </c>
      <c r="BJ29" s="1" t="n">
        <f aca="false">IF(AND(Slot5_On=1,D29=Slot5_Age),1,0)</f>
        <v>0</v>
      </c>
      <c r="BK29" s="1" t="n">
        <f aca="false">IF(AND(Slot5_On=1,Slot5_Age&gt;D29),1,0)</f>
        <v>0</v>
      </c>
      <c r="BL29" s="1" t="n">
        <f aca="false">RB28</f>
        <v>0</v>
      </c>
      <c r="BM29" s="1" t="n">
        <f aca="false">BJ29*MIN(Slot5_Cost,BL29)</f>
        <v>0</v>
      </c>
      <c r="BN29" s="1" t="n">
        <f aca="false">BJ29*Slot5_SpendLike*MIN(Slot5_Cost-BM29,BF29)</f>
        <v>0</v>
      </c>
      <c r="BO29" s="1" t="n">
        <f aca="false">BM29+BN29</f>
        <v>0</v>
      </c>
      <c r="BP29" s="1" t="n">
        <f aca="false">BF29-BN29+BJ29*IF(Slot5_SpendLike=1,BL29-BM29,IF(Slot5_PotFree=1,BL29,0))</f>
        <v>0</v>
      </c>
      <c r="BQ29" s="1" t="n">
        <f aca="false">BG29+BJ29*Slot5_BufPot*BL29</f>
        <v>0</v>
      </c>
      <c r="BR29" s="1" t="n">
        <f aca="false">IF(AND(BJ29=1,Slot5_IsMfree=1),IF(BO29&gt;=Slot5_Cost-1,0,MAX(0,BH29-BO29)),BH29)</f>
        <v>0</v>
      </c>
      <c r="BS29" s="1" t="n">
        <f aca="false">BJ29*(Slot5_Cost-BO29)</f>
        <v>0</v>
      </c>
      <c r="BT29" s="1" t="n">
        <f aca="false">IF(AND(Slot6_On=1,D29=Slot6_Age),1,0)</f>
        <v>0</v>
      </c>
      <c r="BU29" s="1" t="n">
        <f aca="false">IF(AND(Slot6_On=1,Slot6_Age&gt;D29),1,0)</f>
        <v>0</v>
      </c>
      <c r="BV29" s="1" t="n">
        <f aca="false">RF28</f>
        <v>0</v>
      </c>
      <c r="BW29" s="1" t="n">
        <f aca="false">BT29*MIN(Slot6_Cost,BV29)</f>
        <v>0</v>
      </c>
      <c r="BX29" s="1" t="n">
        <f aca="false">BT29*Slot6_SpendLike*MIN(Slot6_Cost-BW29,BP29)</f>
        <v>0</v>
      </c>
      <c r="BY29" s="1" t="n">
        <f aca="false">BW29+BX29</f>
        <v>0</v>
      </c>
      <c r="BZ29" s="1" t="n">
        <f aca="false">BP29-BX29+BT29*IF(Slot6_SpendLike=1,BV29-BW29,IF(Slot6_PotFree=1,BV29,0))</f>
        <v>0</v>
      </c>
      <c r="CA29" s="1" t="n">
        <f aca="false">BQ29+BT29*Slot6_BufPot*BV29</f>
        <v>0</v>
      </c>
      <c r="CB29" s="1" t="n">
        <f aca="false">IF(AND(BT29=1,Slot6_IsMfree=1),IF(BY29&gt;=Slot6_Cost-1,0,MAX(0,BR29-BY29)),BR29)</f>
        <v>0</v>
      </c>
      <c r="CC29" s="1" t="n">
        <f aca="false">BT29*(Slot6_Cost-BY29)</f>
        <v>0</v>
      </c>
      <c r="CD29" s="1" t="n">
        <f aca="false">IF(AND(Slot7_On=1,D29=Slot7_Age),1,0)</f>
        <v>0</v>
      </c>
      <c r="CE29" s="1" t="n">
        <f aca="false">IF(AND(Slot7_On=1,Slot7_Age&gt;D29),1,0)</f>
        <v>0</v>
      </c>
      <c r="CF29" s="1" t="n">
        <f aca="false">RJ28</f>
        <v>0</v>
      </c>
      <c r="CG29" s="1" t="n">
        <f aca="false">CD29*MIN(Slot7_Cost,CF29)</f>
        <v>0</v>
      </c>
      <c r="CH29" s="1" t="n">
        <f aca="false">CD29*Slot7_SpendLike*MIN(Slot7_Cost-CG29,BZ29)</f>
        <v>0</v>
      </c>
      <c r="CI29" s="1" t="n">
        <f aca="false">CG29+CH29</f>
        <v>0</v>
      </c>
      <c r="CJ29" s="1" t="n">
        <f aca="false">BZ29-CH29+CD29*IF(Slot7_SpendLike=1,CF29-CG29,IF(Slot7_PotFree=1,CF29,0))</f>
        <v>0</v>
      </c>
      <c r="CK29" s="1" t="n">
        <f aca="false">CA29+CD29*Slot7_BufPot*CF29</f>
        <v>0</v>
      </c>
      <c r="CL29" s="1" t="n">
        <f aca="false">IF(AND(CD29=1,Slot7_IsMfree=1),IF(CI29&gt;=Slot7_Cost-1,0,MAX(0,CB29-CI29)),CB29)</f>
        <v>0</v>
      </c>
      <c r="CM29" s="1" t="n">
        <f aca="false">CD29*(Slot7_Cost-CI29)</f>
        <v>0</v>
      </c>
      <c r="CN29" s="1" t="n">
        <f aca="false">IF(AND(Slot8_On=1,D29=Slot8_Age),1,0)</f>
        <v>0</v>
      </c>
      <c r="CO29" s="1" t="n">
        <f aca="false">IF(AND(Slot8_On=1,Slot8_Age&gt;D29),1,0)</f>
        <v>0</v>
      </c>
      <c r="CP29" s="1" t="n">
        <f aca="false">RN28</f>
        <v>0</v>
      </c>
      <c r="CQ29" s="1" t="n">
        <f aca="false">CN29*MIN(Slot8_Cost,CP29)</f>
        <v>0</v>
      </c>
      <c r="CR29" s="1" t="n">
        <f aca="false">CN29*Slot8_SpendLike*MIN(Slot8_Cost-CQ29,CJ29)</f>
        <v>0</v>
      </c>
      <c r="CS29" s="1" t="n">
        <f aca="false">CQ29+CR29</f>
        <v>0</v>
      </c>
      <c r="CT29" s="1" t="n">
        <f aca="false">CJ29-CR29+CN29*IF(Slot8_SpendLike=1,CP29-CQ29,IF(Slot8_PotFree=1,CP29,0))</f>
        <v>0</v>
      </c>
      <c r="CU29" s="1" t="n">
        <f aca="false">CK29+CN29*Slot8_BufPot*CP29</f>
        <v>0</v>
      </c>
      <c r="CV29" s="1" t="n">
        <f aca="false">IF(AND(CN29=1,Slot8_IsMfree=1),IF(CS29&gt;=Slot8_Cost-1,0,MAX(0,CL29-CS29)),CL29)</f>
        <v>0</v>
      </c>
      <c r="CW29" s="1" t="n">
        <f aca="false">CN29*(Slot8_Cost-CS29)</f>
        <v>0</v>
      </c>
      <c r="CX29" s="1" t="n">
        <f aca="false">IF(AND(Slot9_On=1,D29=Slot9_Age),1,0)</f>
        <v>0</v>
      </c>
      <c r="CY29" s="1" t="n">
        <f aca="false">IF(AND(Slot9_On=1,Slot9_Age&gt;D29),1,0)</f>
        <v>0</v>
      </c>
      <c r="CZ29" s="1" t="n">
        <f aca="false">RR28</f>
        <v>0</v>
      </c>
      <c r="DA29" s="1" t="n">
        <f aca="false">CX29*MIN(Slot9_Cost,CZ29)</f>
        <v>0</v>
      </c>
      <c r="DB29" s="1" t="n">
        <f aca="false">CX29*Slot9_SpendLike*MIN(Slot9_Cost-DA29,CT29)</f>
        <v>0</v>
      </c>
      <c r="DC29" s="1" t="n">
        <f aca="false">DA29+DB29</f>
        <v>0</v>
      </c>
      <c r="DD29" s="1" t="n">
        <f aca="false">CT29-DB29+CX29*IF(Slot9_SpendLike=1,CZ29-DA29,IF(Slot9_PotFree=1,CZ29,0))</f>
        <v>0</v>
      </c>
      <c r="DE29" s="1" t="n">
        <f aca="false">CU29+CX29*Slot9_BufPot*CZ29</f>
        <v>0</v>
      </c>
      <c r="DF29" s="1" t="n">
        <f aca="false">IF(AND(CX29=1,Slot9_IsMfree=1),IF(DC29&gt;=Slot9_Cost-1,0,MAX(0,CV29-DC29)),CV29)</f>
        <v>0</v>
      </c>
      <c r="DG29" s="1" t="n">
        <f aca="false">CX29*(Slot9_Cost-DC29)</f>
        <v>0</v>
      </c>
      <c r="DH29" s="1" t="n">
        <f aca="false">IF(AND(Slot10_On=1,D29=Slot10_Age),1,0)</f>
        <v>0</v>
      </c>
      <c r="DI29" s="1" t="n">
        <f aca="false">IF(AND(Slot10_On=1,Slot10_Age&gt;D29),1,0)</f>
        <v>0</v>
      </c>
      <c r="DJ29" s="1" t="n">
        <f aca="false">RV28</f>
        <v>0</v>
      </c>
      <c r="DK29" s="1" t="n">
        <f aca="false">DH29*MIN(Slot10_Cost,DJ29)</f>
        <v>0</v>
      </c>
      <c r="DL29" s="1" t="n">
        <f aca="false">DH29*Slot10_SpendLike*MIN(Slot10_Cost-DK29,DD29)</f>
        <v>0</v>
      </c>
      <c r="DM29" s="1" t="n">
        <f aca="false">DK29+DL29</f>
        <v>0</v>
      </c>
      <c r="DN29" s="1" t="n">
        <f aca="false">DD29-DL29+DH29*IF(Slot10_SpendLike=1,DJ29-DK29,IF(Slot10_PotFree=1,DJ29,0))</f>
        <v>0</v>
      </c>
      <c r="DO29" s="1" t="n">
        <f aca="false">DE29+DH29*Slot10_BufPot*DJ29</f>
        <v>0</v>
      </c>
      <c r="DP29" s="1" t="n">
        <f aca="false">IF(AND(DH29=1,Slot10_IsMfree=1),IF(DM29&gt;=Slot10_Cost-1,0,MAX(0,DF29-DM29)),DF29)</f>
        <v>0</v>
      </c>
      <c r="DQ29" s="1" t="n">
        <f aca="false">DH29*(Slot10_Cost-DM29)</f>
        <v>0</v>
      </c>
      <c r="DR29" s="1" t="n">
        <f aca="false">IF(AND(Slot11_On=1,D29=Slot11_Age),1,0)</f>
        <v>0</v>
      </c>
      <c r="DS29" s="1" t="n">
        <f aca="false">IF(AND(Slot11_On=1,Slot11_Age&gt;D29),1,0)</f>
        <v>0</v>
      </c>
      <c r="DT29" s="1" t="n">
        <f aca="false">RZ28</f>
        <v>0</v>
      </c>
      <c r="DU29" s="1" t="n">
        <f aca="false">DR29*MIN(Slot11_Cost,DT29)</f>
        <v>0</v>
      </c>
      <c r="DV29" s="1" t="n">
        <f aca="false">DR29*Slot11_SpendLike*MIN(Slot11_Cost-DU29,DN29)</f>
        <v>0</v>
      </c>
      <c r="DW29" s="1" t="n">
        <f aca="false">DU29+DV29</f>
        <v>0</v>
      </c>
      <c r="DX29" s="1" t="n">
        <f aca="false">DN29-DV29+DR29*IF(Slot11_SpendLike=1,DT29-DU29,IF(Slot11_PotFree=1,DT29,0))</f>
        <v>0</v>
      </c>
      <c r="DY29" s="1" t="n">
        <f aca="false">DO29+DR29*Slot11_BufPot*DT29</f>
        <v>0</v>
      </c>
      <c r="DZ29" s="1" t="n">
        <f aca="false">IF(AND(DR29=1,Slot11_IsMfree=1),IF(DW29&gt;=Slot11_Cost-1,0,MAX(0,DP29-DW29)),DP29)</f>
        <v>0</v>
      </c>
      <c r="EA29" s="1" t="n">
        <f aca="false">DR29*(Slot11_Cost-DW29)</f>
        <v>0</v>
      </c>
      <c r="EB29" s="1" t="n">
        <f aca="false">IF(AND(Slot12_On=1,D29=Slot12_Age),1,0)</f>
        <v>0</v>
      </c>
      <c r="EC29" s="1" t="n">
        <f aca="false">IF(AND(Slot12_On=1,Slot12_Age&gt;D29),1,0)</f>
        <v>0</v>
      </c>
      <c r="ED29" s="1" t="n">
        <f aca="false">SD28</f>
        <v>0</v>
      </c>
      <c r="EE29" s="1" t="n">
        <f aca="false">EB29*MIN(Slot12_Cost,ED29)</f>
        <v>0</v>
      </c>
      <c r="EF29" s="1" t="n">
        <f aca="false">EB29*Slot12_SpendLike*MIN(Slot12_Cost-EE29,DX29)</f>
        <v>0</v>
      </c>
      <c r="EG29" s="1" t="n">
        <f aca="false">EE29+EF29</f>
        <v>0</v>
      </c>
      <c r="EH29" s="1" t="n">
        <f aca="false">DX29-EF29+EB29*IF(Slot12_SpendLike=1,ED29-EE29,IF(Slot12_PotFree=1,ED29,0))</f>
        <v>0</v>
      </c>
      <c r="EI29" s="1" t="n">
        <f aca="false">DY29+EB29*Slot12_BufPot*ED29</f>
        <v>0</v>
      </c>
      <c r="EJ29" s="1" t="n">
        <f aca="false">IF(AND(EB29=1,Slot12_IsMfree=1),IF(EG29&gt;=Slot12_Cost-1,0,MAX(0,DZ29-EG29)),DZ29)</f>
        <v>0</v>
      </c>
      <c r="EK29" s="1" t="n">
        <f aca="false">EB29*(Slot12_Cost-EG29)</f>
        <v>0</v>
      </c>
      <c r="EL29" s="1" t="n">
        <f aca="false">IF(AND(Slot13_On=1,D29=Slot13_Age),1,0)</f>
        <v>0</v>
      </c>
      <c r="EM29" s="1" t="n">
        <f aca="false">IF(AND(Slot13_On=1,Slot13_Age&gt;D29),1,0)</f>
        <v>0</v>
      </c>
      <c r="EN29" s="1" t="n">
        <f aca="false">SH28</f>
        <v>0</v>
      </c>
      <c r="EO29" s="1" t="n">
        <f aca="false">EL29*MIN(Slot13_Cost,EN29)</f>
        <v>0</v>
      </c>
      <c r="EP29" s="1" t="n">
        <f aca="false">EL29*Slot13_SpendLike*MIN(Slot13_Cost-EO29,EH29)</f>
        <v>0</v>
      </c>
      <c r="EQ29" s="1" t="n">
        <f aca="false">EO29+EP29</f>
        <v>0</v>
      </c>
      <c r="ER29" s="1" t="n">
        <f aca="false">EH29-EP29+EL29*IF(Slot13_SpendLike=1,EN29-EO29,IF(Slot13_PotFree=1,EN29,0))</f>
        <v>0</v>
      </c>
      <c r="ES29" s="1" t="n">
        <f aca="false">EI29+EL29*Slot13_BufPot*EN29</f>
        <v>0</v>
      </c>
      <c r="ET29" s="1" t="n">
        <f aca="false">IF(AND(EL29=1,Slot13_IsMfree=1),IF(EQ29&gt;=Slot13_Cost-1,0,MAX(0,EJ29-EQ29)),EJ29)</f>
        <v>0</v>
      </c>
      <c r="EU29" s="1" t="n">
        <f aca="false">EL29*(Slot13_Cost-EQ29)</f>
        <v>0</v>
      </c>
      <c r="EV29" s="1" t="n">
        <f aca="false">IF(AND(Slot14_On=1,D29=Slot14_Age),1,0)</f>
        <v>0</v>
      </c>
      <c r="EW29" s="1" t="n">
        <f aca="false">IF(AND(Slot14_On=1,Slot14_Age&gt;D29),1,0)</f>
        <v>0</v>
      </c>
      <c r="EX29" s="1" t="n">
        <f aca="false">SL28</f>
        <v>0</v>
      </c>
      <c r="EY29" s="1" t="n">
        <f aca="false">EV29*MIN(Slot14_Cost,EX29)</f>
        <v>0</v>
      </c>
      <c r="EZ29" s="1" t="n">
        <f aca="false">EV29*Slot14_SpendLike*MIN(Slot14_Cost-EY29,ER29)</f>
        <v>0</v>
      </c>
      <c r="FA29" s="1" t="n">
        <f aca="false">EY29+EZ29</f>
        <v>0</v>
      </c>
      <c r="FB29" s="1" t="n">
        <f aca="false">ER29-EZ29+EV29*IF(Slot14_SpendLike=1,EX29-EY29,IF(Slot14_PotFree=1,EX29,0))</f>
        <v>0</v>
      </c>
      <c r="FC29" s="1" t="n">
        <f aca="false">ES29+EV29*Slot14_BufPot*EX29</f>
        <v>0</v>
      </c>
      <c r="FD29" s="1" t="n">
        <f aca="false">IF(AND(EV29=1,Slot14_IsMfree=1),IF(FA29&gt;=Slot14_Cost-1,0,MAX(0,ET29-FA29)),ET29)</f>
        <v>0</v>
      </c>
      <c r="FE29" s="1" t="n">
        <f aca="false">EV29*(Slot14_Cost-FA29)</f>
        <v>0</v>
      </c>
      <c r="FF29" s="1" t="n">
        <f aca="false">IF(AND(Slot15_On=1,D29=Slot15_Age),1,0)</f>
        <v>0</v>
      </c>
      <c r="FG29" s="1" t="n">
        <f aca="false">IF(AND(Slot15_On=1,Slot15_Age&gt;D29),1,0)</f>
        <v>0</v>
      </c>
      <c r="FH29" s="1" t="n">
        <f aca="false">SP28</f>
        <v>0</v>
      </c>
      <c r="FI29" s="1" t="n">
        <f aca="false">FF29*MIN(Slot15_Cost,FH29)</f>
        <v>0</v>
      </c>
      <c r="FJ29" s="1" t="n">
        <f aca="false">FF29*Slot15_SpendLike*MIN(Slot15_Cost-FI29,FB29)</f>
        <v>0</v>
      </c>
      <c r="FK29" s="1" t="n">
        <f aca="false">FI29+FJ29</f>
        <v>0</v>
      </c>
      <c r="FL29" s="1" t="n">
        <f aca="false">FB29-FJ29+FF29*IF(Slot15_SpendLike=1,FH29-FI29,IF(Slot15_PotFree=1,FH29,0))</f>
        <v>0</v>
      </c>
      <c r="FM29" s="1" t="n">
        <f aca="false">FC29+FF29*Slot15_BufPot*FH29</f>
        <v>0</v>
      </c>
      <c r="FN29" s="1" t="n">
        <f aca="false">IF(AND(FF29=1,Slot15_IsMfree=1),IF(FK29&gt;=Slot15_Cost-1,0,MAX(0,FD29-FK29)),FD29)</f>
        <v>0</v>
      </c>
      <c r="FO29" s="1" t="n">
        <f aca="false">FF29*(Slot15_Cost-FK29)</f>
        <v>0</v>
      </c>
      <c r="FP29" s="1" t="n">
        <f aca="false">IF(AND(Slot16_On=1,D29=Slot16_Age),1,0)</f>
        <v>0</v>
      </c>
      <c r="FQ29" s="1" t="n">
        <f aca="false">IF(AND(Slot16_On=1,Slot16_Age&gt;D29),1,0)</f>
        <v>0</v>
      </c>
      <c r="FR29" s="1" t="n">
        <f aca="false">ST28</f>
        <v>0</v>
      </c>
      <c r="FS29" s="1" t="n">
        <f aca="false">FP29*MIN(Slot16_Cost,FR29)</f>
        <v>0</v>
      </c>
      <c r="FT29" s="1" t="n">
        <f aca="false">FP29*Slot16_SpendLike*MIN(Slot16_Cost-FS29,FL29)</f>
        <v>0</v>
      </c>
      <c r="FU29" s="1" t="n">
        <f aca="false">FS29+FT29</f>
        <v>0</v>
      </c>
      <c r="FV29" s="1" t="n">
        <f aca="false">FL29-FT29+FP29*IF(Slot16_SpendLike=1,FR29-FS29,IF(Slot16_PotFree=1,FR29,0))</f>
        <v>0</v>
      </c>
      <c r="FW29" s="1" t="n">
        <f aca="false">FM29+FP29*Slot16_BufPot*FR29</f>
        <v>0</v>
      </c>
      <c r="FX29" s="1" t="n">
        <f aca="false">IF(AND(FP29=1,Slot16_IsMfree=1),IF(FU29&gt;=Slot16_Cost-1,0,MAX(0,FN29-FU29)),FN29)</f>
        <v>0</v>
      </c>
      <c r="FY29" s="1" t="n">
        <f aca="false">FP29*(Slot16_Cost-FU29)</f>
        <v>0</v>
      </c>
      <c r="FZ29" s="1" t="n">
        <f aca="false">IF(AND(Slot17_On=1,D29=Slot17_Age),1,0)</f>
        <v>0</v>
      </c>
      <c r="GA29" s="1" t="n">
        <f aca="false">IF(AND(Slot17_On=1,Slot17_Age&gt;D29),1,0)</f>
        <v>0</v>
      </c>
      <c r="GB29" s="1" t="n">
        <f aca="false">SX28</f>
        <v>0</v>
      </c>
      <c r="GC29" s="1" t="n">
        <f aca="false">FZ29*MIN(Slot17_Cost,GB29)</f>
        <v>0</v>
      </c>
      <c r="GD29" s="1" t="n">
        <f aca="false">FZ29*Slot17_SpendLike*MIN(Slot17_Cost-GC29,FV29)</f>
        <v>0</v>
      </c>
      <c r="GE29" s="1" t="n">
        <f aca="false">GC29+GD29</f>
        <v>0</v>
      </c>
      <c r="GF29" s="1" t="n">
        <f aca="false">FV29-GD29+FZ29*IF(Slot17_SpendLike=1,GB29-GC29,IF(Slot17_PotFree=1,GB29,0))</f>
        <v>0</v>
      </c>
      <c r="GG29" s="1" t="n">
        <f aca="false">FW29+FZ29*Slot17_BufPot*GB29</f>
        <v>0</v>
      </c>
      <c r="GH29" s="1" t="n">
        <f aca="false">IF(AND(FZ29=1,Slot17_IsMfree=1),IF(GE29&gt;=Slot17_Cost-1,0,MAX(0,FX29-GE29)),FX29)</f>
        <v>0</v>
      </c>
      <c r="GI29" s="1" t="n">
        <f aca="false">FZ29*(Slot17_Cost-GE29)</f>
        <v>0</v>
      </c>
      <c r="GJ29" s="1" t="n">
        <f aca="false">IF(AND(Slot18_On=1,D29=Slot18_Age),1,0)</f>
        <v>0</v>
      </c>
      <c r="GK29" s="1" t="n">
        <f aca="false">IF(AND(Slot18_On=1,Slot18_Age&gt;D29),1,0)</f>
        <v>0</v>
      </c>
      <c r="GL29" s="1" t="n">
        <f aca="false">TB28</f>
        <v>0</v>
      </c>
      <c r="GM29" s="1" t="n">
        <f aca="false">GJ29*MIN(Slot18_Cost,GL29)</f>
        <v>0</v>
      </c>
      <c r="GN29" s="1" t="n">
        <f aca="false">GJ29*Slot18_SpendLike*MIN(Slot18_Cost-GM29,GF29)</f>
        <v>0</v>
      </c>
      <c r="GO29" s="1" t="n">
        <f aca="false">GM29+GN29</f>
        <v>0</v>
      </c>
      <c r="GP29" s="1" t="n">
        <f aca="false">GF29-GN29+GJ29*IF(Slot18_SpendLike=1,GL29-GM29,IF(Slot18_PotFree=1,GL29,0))</f>
        <v>0</v>
      </c>
      <c r="GQ29" s="1" t="n">
        <f aca="false">GG29+GJ29*Slot18_BufPot*GL29</f>
        <v>0</v>
      </c>
      <c r="GR29" s="1" t="n">
        <f aca="false">IF(AND(GJ29=1,Slot18_IsMfree=1),IF(GO29&gt;=Slot18_Cost-1,0,MAX(0,GH29-GO29)),GH29)</f>
        <v>0</v>
      </c>
      <c r="GS29" s="1" t="n">
        <f aca="false">GJ29*(Slot18_Cost-GO29)</f>
        <v>0</v>
      </c>
      <c r="GT29" s="1" t="n">
        <f aca="false">IF(AND(Slot19_On=1,D29=Slot19_Age),1,0)</f>
        <v>0</v>
      </c>
      <c r="GU29" s="1" t="n">
        <f aca="false">IF(AND(Slot19_On=1,Slot19_Age&gt;D29),1,0)</f>
        <v>0</v>
      </c>
      <c r="GV29" s="1" t="n">
        <f aca="false">TF28</f>
        <v>0</v>
      </c>
      <c r="GW29" s="1" t="n">
        <f aca="false">GT29*MIN(Slot19_Cost,GV29)</f>
        <v>0</v>
      </c>
      <c r="GX29" s="1" t="n">
        <f aca="false">GT29*Slot19_SpendLike*MIN(Slot19_Cost-GW29,GP29)</f>
        <v>0</v>
      </c>
      <c r="GY29" s="1" t="n">
        <f aca="false">GW29+GX29</f>
        <v>0</v>
      </c>
      <c r="GZ29" s="1" t="n">
        <f aca="false">GP29-GX29+GT29*IF(Slot19_SpendLike=1,GV29-GW29,IF(Slot19_PotFree=1,GV29,0))</f>
        <v>0</v>
      </c>
      <c r="HA29" s="1" t="n">
        <f aca="false">GQ29+GT29*Slot19_BufPot*GV29</f>
        <v>0</v>
      </c>
      <c r="HB29" s="1" t="n">
        <f aca="false">IF(AND(GT29=1,Slot19_IsMfree=1),IF(GY29&gt;=Slot19_Cost-1,0,MAX(0,GR29-GY29)),GR29)</f>
        <v>0</v>
      </c>
      <c r="HC29" s="1" t="n">
        <f aca="false">GT29*(Slot19_Cost-GY29)</f>
        <v>0</v>
      </c>
      <c r="HD29" s="1" t="n">
        <f aca="false">IF(AND(Slot20_On=1,D29=Slot20_Age),1,0)</f>
        <v>0</v>
      </c>
      <c r="HE29" s="1" t="n">
        <f aca="false">IF(AND(Slot20_On=1,Slot20_Age&gt;D29),1,0)</f>
        <v>0</v>
      </c>
      <c r="HF29" s="1" t="n">
        <f aca="false">TJ28</f>
        <v>0</v>
      </c>
      <c r="HG29" s="1" t="n">
        <f aca="false">HD29*MIN(Slot20_Cost,HF29)</f>
        <v>0</v>
      </c>
      <c r="HH29" s="1" t="n">
        <f aca="false">HD29*Slot20_SpendLike*MIN(Slot20_Cost-HG29,GZ29)</f>
        <v>0</v>
      </c>
      <c r="HI29" s="1" t="n">
        <f aca="false">HG29+HH29</f>
        <v>0</v>
      </c>
      <c r="HJ29" s="1" t="n">
        <f aca="false">GZ29-HH29+HD29*IF(Slot20_SpendLike=1,HF29-HG29,IF(Slot20_PotFree=1,HF29,0))</f>
        <v>0</v>
      </c>
      <c r="HK29" s="1" t="n">
        <f aca="false">HA29+HD29*Slot20_BufPot*HF29</f>
        <v>0</v>
      </c>
      <c r="HL29" s="1" t="n">
        <f aca="false">IF(AND(HD29=1,Slot20_IsMfree=1),IF(HI29&gt;=Slot20_Cost-1,0,MAX(0,HB29-HI29)),HB29)</f>
        <v>0</v>
      </c>
      <c r="HM29" s="1" t="n">
        <f aca="false">HD29*(Slot20_Cost-HI29)</f>
        <v>0</v>
      </c>
      <c r="HN29" s="1" t="n">
        <f aca="false">U29*Slot1_SpendLike*Z29+AF29*Slot2_SpendLike*AK29+AP29*Slot3_SpendLike*AU29+AZ29*Slot4_SpendLike*BE29+BJ29*Slot5_SpendLike*BO29+BT29*Slot6_SpendLike*BY29+CD29*Slot7_SpendLike*CI29+CN29*Slot8_SpendLike*CS29+CX29*Slot9_SpendLike*DC29+DH29*Slot10_SpendLike*DM29+DR29*Slot11_SpendLike*DW29+EB29*Slot12_SpendLike*EG29+EL29*Slot13_SpendLike*EQ29+EV29*Slot14_SpendLike*FA29+FF29*Slot15_SpendLike*FK29+FP29*Slot16_SpendLike*FU29+FZ29*Slot17_SpendLike*GE29+GJ29*Slot18_SpendLike*GO29+GT29*Slot19_SpendLike*GY29+HD29*Slot20_SpendLike*HI29</f>
        <v>0</v>
      </c>
      <c r="HO29" s="1" t="n">
        <f aca="false">AD29+AO29+AY29+BI29+BS29+CC29+CM29+CW29+DG29+DQ29+EA29+EK29+EU29+FE29+FO29+FY29+GI29+GS29+HC29+HM29</f>
        <v>0</v>
      </c>
      <c r="HP29" s="1" t="n">
        <f aca="false">U29*Slot1_Cost+AF29*Slot2_Cost+AP29*Slot3_Cost+AZ29*Slot4_Cost+BJ29*Slot5_Cost+BT29*Slot6_Cost+CD29*Slot7_Cost+CN29*Slot8_Cost+CX29*Slot9_Cost+DH29*Slot10_Cost+DR29*Slot11_Cost+EB29*Slot12_Cost+EL29*Slot13_Cost+EV29*Slot14_Cost+FF29*Slot15_Cost+FP29*Slot16_Cost+FZ29*Slot17_Cost+GJ29*Slot18_Cost+GT29*Slot19_Cost+HD29*Slot20_Cost</f>
        <v>0</v>
      </c>
      <c r="HQ29" s="1" t="n">
        <f aca="false">HL29</f>
        <v>0</v>
      </c>
      <c r="HR29" s="1" t="n">
        <f aca="false">G29-H29-R29</f>
        <v>0</v>
      </c>
      <c r="HS29" s="1" t="n">
        <f aca="false">IF(B29=0,IF(AND(Has_q6=1,In_q6=4),PR_ShareVaries*(MAX(0,HR29)/12),MIN(IF(Has_q6=1,CHOOSE(In_q6+1,PR_SaveB1,PR_SaveB2,PR_SaveB3,PR_SaveB4,0),AS_NoAnswer),AS_SaveShare*(MAX(0,HR29)/12))),HS28)</f>
        <v>0</v>
      </c>
      <c r="HT29" s="1" t="n">
        <f aca="false">IF(HR29&gt;=0,1,0)</f>
        <v>1</v>
      </c>
      <c r="HU29" s="1" t="n">
        <f aca="false">MAX(0,HR29/12/E29)</f>
        <v>0</v>
      </c>
      <c r="HV29" s="1" t="n">
        <f aca="false">IF(AND(Has_q6=1,In_q6=4),PR_ShareVaries*(HU29),MIN(IF(Has_q6=1,CHOOSE(In_q6+1,PR_SaveB1,PR_SaveB2,PR_SaveB3,PR_SaveB4,0),AS_NoAnswer),AS_SaveShare*(HU29)))</f>
        <v>0</v>
      </c>
      <c r="HW29" s="1" t="n">
        <f aca="false">IF(Has_saveM=1,IF(In_saveUp="Yes",1,IF(In_saveUp="No",0,IF(In_saveM&gt;=HS29-0.5,1,0))),0)</f>
        <v>0</v>
      </c>
      <c r="HX29" s="1" t="n">
        <f aca="false">IF(Has_saveM=1,MIN(HU29,IF(HW29=1,MAX(In_saveM,HV29),MIN(In_saveM,HV29))),HV29)</f>
        <v>0</v>
      </c>
      <c r="HY29" s="1" t="n">
        <f aca="false">IF(F29=1,HX29*12*E29,0)</f>
        <v>0</v>
      </c>
      <c r="HZ29" s="1" t="n">
        <f aca="false">MAX(0,HY29+IF(AND(WI_Retire=0,WI_M&lt;0,F29=1),WI_M*12*E29,0))</f>
        <v>0</v>
      </c>
      <c r="IA29" s="1" t="n">
        <f aca="false">Slot1_IsWG*V29+Slot2_IsWG*AG29+Slot3_IsWG*AQ29+Slot4_IsWG*BA29+Slot5_IsWG*BK29+Slot6_IsWG*BU29+Slot7_IsWG*CE29+Slot8_IsWG*CO29+Slot9_IsWG*CY29+Slot10_IsWG*DI29+Slot11_IsWG*DS29+Slot12_IsWG*EC29+Slot13_IsWG*EM29+Slot14_IsWG*EW29+Slot15_IsWG*FG29+Slot16_IsWG*FQ29+Slot17_IsWG*GA29+Slot18_IsWG*GK29+Slot19_IsWG*GU29+Slot20_IsWG*HE29</f>
        <v>0</v>
      </c>
      <c r="IB29" s="1" t="n">
        <f aca="false">IF(AND(WI_Retire=0,WI_M&gt;0,F29=1,IA29&gt;=1),WI_M*12*E29,0)</f>
        <v>0</v>
      </c>
      <c r="IC29" s="1" t="n">
        <f aca="false">IF(HT29=1,MIN(HZ29,HR29),0)</f>
        <v>0</v>
      </c>
      <c r="ID29" s="1" t="n">
        <f aca="false">IF(HT29=1,MIN(IB29,HR29-IC29),0)</f>
        <v>0</v>
      </c>
      <c r="IE29" s="1" t="n">
        <f aca="false">IF(V29=1,IF(ABS((1+AS_Wage)/(1+Slot1_Rate)-1)&lt;0.000000000001,(Slot1_Age-D29)*(1+Slot1_Rate)^(Slot1_Age-D29),(1+Slot1_Rate)^(Slot1_Age-D29)*(1-((1+AS_Wage)/(1+Slot1_Rate))^(Slot1_Age-D29))/(1-(1+AS_Wage)/(1+Slot1_Rate))),1)</f>
        <v>1</v>
      </c>
      <c r="IF29" s="1" t="n">
        <f aca="false">IF(AND(HT29=1,ID29&gt;0,Slot1_IsWG=1,V29=1),MAX(0,(Slot1_Cost-W29*(1+Slot1_Rate)^(Slot1_Age-D29))/IE29),0)</f>
        <v>0</v>
      </c>
      <c r="IG29" s="1" t="n">
        <f aca="false">IF(AND(HT29=1,ID29&gt;0,Slot1_IsWG=1,V29=1),MIN(ID29,IF29),0)</f>
        <v>0</v>
      </c>
      <c r="IH29" s="1" t="n">
        <f aca="false">W29+IG29</f>
        <v>0</v>
      </c>
      <c r="II29" s="1" t="n">
        <f aca="false">IF(V29=1,MAX(0,(Slot1_Cost-IH29*(1+Slot1_Rate)^(Slot1_Age-D29))/IE29),0)</f>
        <v>0</v>
      </c>
      <c r="IJ29" s="1" t="n">
        <f aca="false">IF(V29=1,MAX(0,(Slot1_Cost-W29*(1+Slot1_Rate)^(Slot1_Age-D29))/IE29),0)</f>
        <v>0</v>
      </c>
      <c r="IK29" s="1" t="n">
        <f aca="false">IF(AND(HT29=1,V29=1),MIN(IC29,II29),0)</f>
        <v>0</v>
      </c>
      <c r="IL29" s="1" t="n">
        <f aca="false">IC29-IK29</f>
        <v>0</v>
      </c>
      <c r="IM29" s="1" t="n">
        <f aca="false">IF(AG29=1,IF(ABS((1+AS_Wage)/(1+Slot2_Rate)-1)&lt;0.000000000001,(Slot2_Age-D29)*(1+Slot2_Rate)^(Slot2_Age-D29),(1+Slot2_Rate)^(Slot2_Age-D29)*(1-((1+AS_Wage)/(1+Slot2_Rate))^(Slot2_Age-D29))/(1-(1+AS_Wage)/(1+Slot2_Rate))),1)</f>
        <v>1</v>
      </c>
      <c r="IN29" s="1" t="n">
        <f aca="false">IF(AND(HT29=1,ID29&gt;0,Slot2_IsWG=1,AG29=1),MAX(0,(Slot2_Cost-AH29*(1+Slot2_Rate)^(Slot2_Age-D29))/IM29),0)</f>
        <v>0</v>
      </c>
      <c r="IO29" s="1" t="n">
        <f aca="false">IF(AND(HT29=1,ID29&gt;0,Slot2_IsWG=1,AG29=1),MIN(ID29,IN29),0)</f>
        <v>0</v>
      </c>
      <c r="IP29" s="1" t="n">
        <f aca="false">AH29+IO29</f>
        <v>0</v>
      </c>
      <c r="IQ29" s="1" t="n">
        <f aca="false">IF(AG29=1,MAX(0,(Slot2_Cost-IP29*(1+Slot2_Rate)^(Slot2_Age-D29))/IM29),0)</f>
        <v>0</v>
      </c>
      <c r="IR29" s="1" t="n">
        <f aca="false">IF(AG29=1,MAX(0,(Slot2_Cost-AH29*(1+Slot2_Rate)^(Slot2_Age-D29))/IM29),0)</f>
        <v>0</v>
      </c>
      <c r="IS29" s="1" t="n">
        <f aca="false">IF(AND(HT29=1,AG29=1),MIN(IL29,IQ29),0)</f>
        <v>0</v>
      </c>
      <c r="IT29" s="1" t="n">
        <f aca="false">IL29-IS29</f>
        <v>0</v>
      </c>
      <c r="IU29" s="1" t="n">
        <f aca="false">IF(AQ29=1,IF(ABS((1+AS_Wage)/(1+Slot3_Rate)-1)&lt;0.000000000001,(Slot3_Age-D29)*(1+Slot3_Rate)^(Slot3_Age-D29),(1+Slot3_Rate)^(Slot3_Age-D29)*(1-((1+AS_Wage)/(1+Slot3_Rate))^(Slot3_Age-D29))/(1-(1+AS_Wage)/(1+Slot3_Rate))),1)</f>
        <v>1</v>
      </c>
      <c r="IV29" s="1" t="n">
        <f aca="false">IF(AND(HT29=1,ID29&gt;0,Slot3_IsWG=1,AQ29=1),MAX(0,(Slot3_Cost-AR29*(1+Slot3_Rate)^(Slot3_Age-D29))/IU29),0)</f>
        <v>0</v>
      </c>
      <c r="IW29" s="1" t="n">
        <f aca="false">IF(AND(HT29=1,ID29&gt;0,Slot3_IsWG=1,AQ29=1),MIN(ID29,IV29),0)</f>
        <v>0</v>
      </c>
      <c r="IX29" s="1" t="n">
        <f aca="false">AR29+IW29</f>
        <v>0</v>
      </c>
      <c r="IY29" s="1" t="n">
        <f aca="false">IF(AQ29=1,MAX(0,(Slot3_Cost-IX29*(1+Slot3_Rate)^(Slot3_Age-D29))/IU29),0)</f>
        <v>0</v>
      </c>
      <c r="IZ29" s="1" t="n">
        <f aca="false">IF(AQ29=1,MAX(0,(Slot3_Cost-AR29*(1+Slot3_Rate)^(Slot3_Age-D29))/IU29),0)</f>
        <v>0</v>
      </c>
      <c r="JA29" s="1" t="n">
        <f aca="false">IF(AND(HT29=1,AQ29=1),MIN(IT29,IY29),0)</f>
        <v>0</v>
      </c>
      <c r="JB29" s="1" t="n">
        <f aca="false">IT29-JA29</f>
        <v>0</v>
      </c>
      <c r="JC29" s="1" t="n">
        <f aca="false">IF(BA29=1,IF(ABS((1+AS_Wage)/(1+Slot4_Rate)-1)&lt;0.000000000001,(Slot4_Age-D29)*(1+Slot4_Rate)^(Slot4_Age-D29),(1+Slot4_Rate)^(Slot4_Age-D29)*(1-((1+AS_Wage)/(1+Slot4_Rate))^(Slot4_Age-D29))/(1-(1+AS_Wage)/(1+Slot4_Rate))),1)</f>
        <v>1</v>
      </c>
      <c r="JD29" s="1" t="n">
        <f aca="false">IF(AND(HT29=1,ID29&gt;0,Slot4_IsWG=1,BA29=1),MAX(0,(Slot4_Cost-BB29*(1+Slot4_Rate)^(Slot4_Age-D29))/JC29),0)</f>
        <v>0</v>
      </c>
      <c r="JE29" s="1" t="n">
        <f aca="false">IF(AND(HT29=1,ID29&gt;0,Slot4_IsWG=1,BA29=1),MIN(ID29,JD29),0)</f>
        <v>0</v>
      </c>
      <c r="JF29" s="1" t="n">
        <f aca="false">BB29+JE29</f>
        <v>0</v>
      </c>
      <c r="JG29" s="1" t="n">
        <f aca="false">IF(BA29=1,MAX(0,(Slot4_Cost-JF29*(1+Slot4_Rate)^(Slot4_Age-D29))/JC29),0)</f>
        <v>0</v>
      </c>
      <c r="JH29" s="1" t="n">
        <f aca="false">IF(BA29=1,MAX(0,(Slot4_Cost-BB29*(1+Slot4_Rate)^(Slot4_Age-D29))/JC29),0)</f>
        <v>0</v>
      </c>
      <c r="JI29" s="1" t="n">
        <f aca="false">IF(AND(HT29=1,BA29=1),MIN(JB29,JG29),0)</f>
        <v>0</v>
      </c>
      <c r="JJ29" s="1" t="n">
        <f aca="false">JB29-JI29</f>
        <v>0</v>
      </c>
      <c r="JK29" s="1" t="n">
        <f aca="false">IF(BK29=1,IF(ABS((1+AS_Wage)/(1+Slot5_Rate)-1)&lt;0.000000000001,(Slot5_Age-D29)*(1+Slot5_Rate)^(Slot5_Age-D29),(1+Slot5_Rate)^(Slot5_Age-D29)*(1-((1+AS_Wage)/(1+Slot5_Rate))^(Slot5_Age-D29))/(1-(1+AS_Wage)/(1+Slot5_Rate))),1)</f>
        <v>1</v>
      </c>
      <c r="JL29" s="1" t="n">
        <f aca="false">IF(AND(HT29=1,ID29&gt;0,Slot5_IsWG=1,BK29=1),MAX(0,(Slot5_Cost-BL29*(1+Slot5_Rate)^(Slot5_Age-D29))/JK29),0)</f>
        <v>0</v>
      </c>
      <c r="JM29" s="1" t="n">
        <f aca="false">IF(AND(HT29=1,ID29&gt;0,Slot5_IsWG=1,BK29=1),MIN(ID29,JL29),0)</f>
        <v>0</v>
      </c>
      <c r="JN29" s="1" t="n">
        <f aca="false">BL29+JM29</f>
        <v>0</v>
      </c>
      <c r="JO29" s="1" t="n">
        <f aca="false">IF(BK29=1,MAX(0,(Slot5_Cost-JN29*(1+Slot5_Rate)^(Slot5_Age-D29))/JK29),0)</f>
        <v>0</v>
      </c>
      <c r="JP29" s="1" t="n">
        <f aca="false">IF(BK29=1,MAX(0,(Slot5_Cost-BL29*(1+Slot5_Rate)^(Slot5_Age-D29))/JK29),0)</f>
        <v>0</v>
      </c>
      <c r="JQ29" s="1" t="n">
        <f aca="false">IF(AND(HT29=1,BK29=1),MIN(JJ29,JO29),0)</f>
        <v>0</v>
      </c>
      <c r="JR29" s="1" t="n">
        <f aca="false">JJ29-JQ29</f>
        <v>0</v>
      </c>
      <c r="JS29" s="1" t="n">
        <f aca="false">IF(BU29=1,IF(ABS((1+AS_Wage)/(1+Slot6_Rate)-1)&lt;0.000000000001,(Slot6_Age-D29)*(1+Slot6_Rate)^(Slot6_Age-D29),(1+Slot6_Rate)^(Slot6_Age-D29)*(1-((1+AS_Wage)/(1+Slot6_Rate))^(Slot6_Age-D29))/(1-(1+AS_Wage)/(1+Slot6_Rate))),1)</f>
        <v>1</v>
      </c>
      <c r="JT29" s="1" t="n">
        <f aca="false">IF(AND(HT29=1,ID29&gt;0,Slot6_IsWG=1,BU29=1),MAX(0,(Slot6_Cost-BV29*(1+Slot6_Rate)^(Slot6_Age-D29))/JS29),0)</f>
        <v>0</v>
      </c>
      <c r="JU29" s="1" t="n">
        <f aca="false">IF(AND(HT29=1,ID29&gt;0,Slot6_IsWG=1,BU29=1),MIN(ID29,JT29),0)</f>
        <v>0</v>
      </c>
      <c r="JV29" s="1" t="n">
        <f aca="false">BV29+JU29</f>
        <v>0</v>
      </c>
      <c r="JW29" s="1" t="n">
        <f aca="false">IF(BU29=1,MAX(0,(Slot6_Cost-JV29*(1+Slot6_Rate)^(Slot6_Age-D29))/JS29),0)</f>
        <v>0</v>
      </c>
      <c r="JX29" s="1" t="n">
        <f aca="false">IF(BU29=1,MAX(0,(Slot6_Cost-BV29*(1+Slot6_Rate)^(Slot6_Age-D29))/JS29),0)</f>
        <v>0</v>
      </c>
      <c r="JY29" s="1" t="n">
        <f aca="false">IF(AND(HT29=1,BU29=1),MIN(JR29,JW29),0)</f>
        <v>0</v>
      </c>
      <c r="JZ29" s="1" t="n">
        <f aca="false">JR29-JY29</f>
        <v>0</v>
      </c>
      <c r="KA29" s="1" t="n">
        <f aca="false">IF(CE29=1,IF(ABS((1+AS_Wage)/(1+Slot7_Rate)-1)&lt;0.000000000001,(Slot7_Age-D29)*(1+Slot7_Rate)^(Slot7_Age-D29),(1+Slot7_Rate)^(Slot7_Age-D29)*(1-((1+AS_Wage)/(1+Slot7_Rate))^(Slot7_Age-D29))/(1-(1+AS_Wage)/(1+Slot7_Rate))),1)</f>
        <v>1</v>
      </c>
      <c r="KB29" s="1" t="n">
        <f aca="false">IF(AND(HT29=1,ID29&gt;0,Slot7_IsWG=1,CE29=1),MAX(0,(Slot7_Cost-CF29*(1+Slot7_Rate)^(Slot7_Age-D29))/KA29),0)</f>
        <v>0</v>
      </c>
      <c r="KC29" s="1" t="n">
        <f aca="false">IF(AND(HT29=1,ID29&gt;0,Slot7_IsWG=1,CE29=1),MIN(ID29,KB29),0)</f>
        <v>0</v>
      </c>
      <c r="KD29" s="1" t="n">
        <f aca="false">CF29+KC29</f>
        <v>0</v>
      </c>
      <c r="KE29" s="1" t="n">
        <f aca="false">IF(CE29=1,MAX(0,(Slot7_Cost-KD29*(1+Slot7_Rate)^(Slot7_Age-D29))/KA29),0)</f>
        <v>0</v>
      </c>
      <c r="KF29" s="1" t="n">
        <f aca="false">IF(CE29=1,MAX(0,(Slot7_Cost-CF29*(1+Slot7_Rate)^(Slot7_Age-D29))/KA29),0)</f>
        <v>0</v>
      </c>
      <c r="KG29" s="1" t="n">
        <f aca="false">IF(AND(HT29=1,CE29=1),MIN(JZ29,KE29),0)</f>
        <v>0</v>
      </c>
      <c r="KH29" s="1" t="n">
        <f aca="false">JZ29-KG29</f>
        <v>0</v>
      </c>
      <c r="KI29" s="1" t="n">
        <f aca="false">IF(CO29=1,IF(ABS((1+AS_Wage)/(1+Slot8_Rate)-1)&lt;0.000000000001,(Slot8_Age-D29)*(1+Slot8_Rate)^(Slot8_Age-D29),(1+Slot8_Rate)^(Slot8_Age-D29)*(1-((1+AS_Wage)/(1+Slot8_Rate))^(Slot8_Age-D29))/(1-(1+AS_Wage)/(1+Slot8_Rate))),1)</f>
        <v>1</v>
      </c>
      <c r="KJ29" s="1" t="n">
        <f aca="false">IF(AND(HT29=1,ID29&gt;0,Slot8_IsWG=1,CO29=1),MAX(0,(Slot8_Cost-CP29*(1+Slot8_Rate)^(Slot8_Age-D29))/KI29),0)</f>
        <v>0</v>
      </c>
      <c r="KK29" s="1" t="n">
        <f aca="false">IF(AND(HT29=1,ID29&gt;0,Slot8_IsWG=1,CO29=1),MIN(ID29,KJ29),0)</f>
        <v>0</v>
      </c>
      <c r="KL29" s="1" t="n">
        <f aca="false">CP29+KK29</f>
        <v>0</v>
      </c>
      <c r="KM29" s="1" t="n">
        <f aca="false">IF(CO29=1,MAX(0,(Slot8_Cost-KL29*(1+Slot8_Rate)^(Slot8_Age-D29))/KI29),0)</f>
        <v>0</v>
      </c>
      <c r="KN29" s="1" t="n">
        <f aca="false">IF(CO29=1,MAX(0,(Slot8_Cost-CP29*(1+Slot8_Rate)^(Slot8_Age-D29))/KI29),0)</f>
        <v>0</v>
      </c>
      <c r="KO29" s="1" t="n">
        <f aca="false">IF(AND(HT29=1,CO29=1),MIN(KH29,KM29),0)</f>
        <v>0</v>
      </c>
      <c r="KP29" s="1" t="n">
        <f aca="false">KH29-KO29</f>
        <v>0</v>
      </c>
      <c r="KQ29" s="1" t="n">
        <f aca="false">IF(CY29=1,IF(ABS((1+AS_Wage)/(1+Slot9_Rate)-1)&lt;0.000000000001,(Slot9_Age-D29)*(1+Slot9_Rate)^(Slot9_Age-D29),(1+Slot9_Rate)^(Slot9_Age-D29)*(1-((1+AS_Wage)/(1+Slot9_Rate))^(Slot9_Age-D29))/(1-(1+AS_Wage)/(1+Slot9_Rate))),1)</f>
        <v>1</v>
      </c>
      <c r="KR29" s="1" t="n">
        <f aca="false">IF(AND(HT29=1,ID29&gt;0,Slot9_IsWG=1,CY29=1),MAX(0,(Slot9_Cost-CZ29*(1+Slot9_Rate)^(Slot9_Age-D29))/KQ29),0)</f>
        <v>0</v>
      </c>
      <c r="KS29" s="1" t="n">
        <f aca="false">IF(AND(HT29=1,ID29&gt;0,Slot9_IsWG=1,CY29=1),MIN(ID29,KR29),0)</f>
        <v>0</v>
      </c>
      <c r="KT29" s="1" t="n">
        <f aca="false">CZ29+KS29</f>
        <v>0</v>
      </c>
      <c r="KU29" s="1" t="n">
        <f aca="false">IF(CY29=1,MAX(0,(Slot9_Cost-KT29*(1+Slot9_Rate)^(Slot9_Age-D29))/KQ29),0)</f>
        <v>0</v>
      </c>
      <c r="KV29" s="1" t="n">
        <f aca="false">IF(CY29=1,MAX(0,(Slot9_Cost-CZ29*(1+Slot9_Rate)^(Slot9_Age-D29))/KQ29),0)</f>
        <v>0</v>
      </c>
      <c r="KW29" s="1" t="n">
        <f aca="false">IF(AND(HT29=1,CY29=1),MIN(KP29,KU29),0)</f>
        <v>0</v>
      </c>
      <c r="KX29" s="1" t="n">
        <f aca="false">KP29-KW29</f>
        <v>0</v>
      </c>
      <c r="KY29" s="1" t="n">
        <f aca="false">IF(DI29=1,IF(ABS((1+AS_Wage)/(1+Slot10_Rate)-1)&lt;0.000000000001,(Slot10_Age-D29)*(1+Slot10_Rate)^(Slot10_Age-D29),(1+Slot10_Rate)^(Slot10_Age-D29)*(1-((1+AS_Wage)/(1+Slot10_Rate))^(Slot10_Age-D29))/(1-(1+AS_Wage)/(1+Slot10_Rate))),1)</f>
        <v>1</v>
      </c>
      <c r="KZ29" s="1" t="n">
        <f aca="false">IF(AND(HT29=1,ID29&gt;0,Slot10_IsWG=1,DI29=1),MAX(0,(Slot10_Cost-DJ29*(1+Slot10_Rate)^(Slot10_Age-D29))/KY29),0)</f>
        <v>0</v>
      </c>
      <c r="LA29" s="1" t="n">
        <f aca="false">IF(AND(HT29=1,ID29&gt;0,Slot10_IsWG=1,DI29=1),MIN(ID29,KZ29),0)</f>
        <v>0</v>
      </c>
      <c r="LB29" s="1" t="n">
        <f aca="false">DJ29+LA29</f>
        <v>0</v>
      </c>
      <c r="LC29" s="1" t="n">
        <f aca="false">IF(DI29=1,MAX(0,(Slot10_Cost-LB29*(1+Slot10_Rate)^(Slot10_Age-D29))/KY29),0)</f>
        <v>0</v>
      </c>
      <c r="LD29" s="1" t="n">
        <f aca="false">IF(DI29=1,MAX(0,(Slot10_Cost-DJ29*(1+Slot10_Rate)^(Slot10_Age-D29))/KY29),0)</f>
        <v>0</v>
      </c>
      <c r="LE29" s="1" t="n">
        <f aca="false">IF(AND(HT29=1,DI29=1),MIN(KX29,LC29),0)</f>
        <v>0</v>
      </c>
      <c r="LF29" s="1" t="n">
        <f aca="false">KX29-LE29</f>
        <v>0</v>
      </c>
      <c r="LG29" s="1" t="n">
        <f aca="false">IF(DS29=1,IF(ABS((1+AS_Wage)/(1+Slot11_Rate)-1)&lt;0.000000000001,(Slot11_Age-D29)*(1+Slot11_Rate)^(Slot11_Age-D29),(1+Slot11_Rate)^(Slot11_Age-D29)*(1-((1+AS_Wage)/(1+Slot11_Rate))^(Slot11_Age-D29))/(1-(1+AS_Wage)/(1+Slot11_Rate))),1)</f>
        <v>1</v>
      </c>
      <c r="LH29" s="1" t="n">
        <f aca="false">IF(AND(HT29=1,ID29&gt;0,Slot11_IsWG=1,DS29=1),MAX(0,(Slot11_Cost-DT29*(1+Slot11_Rate)^(Slot11_Age-D29))/LG29),0)</f>
        <v>0</v>
      </c>
      <c r="LI29" s="1" t="n">
        <f aca="false">IF(AND(HT29=1,ID29&gt;0,Slot11_IsWG=1,DS29=1),MIN(ID29,LH29),0)</f>
        <v>0</v>
      </c>
      <c r="LJ29" s="1" t="n">
        <f aca="false">DT29+LI29</f>
        <v>0</v>
      </c>
      <c r="LK29" s="1" t="n">
        <f aca="false">IF(DS29=1,MAX(0,(Slot11_Cost-LJ29*(1+Slot11_Rate)^(Slot11_Age-D29))/LG29),0)</f>
        <v>0</v>
      </c>
      <c r="LL29" s="1" t="n">
        <f aca="false">IF(DS29=1,MAX(0,(Slot11_Cost-DT29*(1+Slot11_Rate)^(Slot11_Age-D29))/LG29),0)</f>
        <v>0</v>
      </c>
      <c r="LM29" s="1" t="n">
        <f aca="false">IF(AND(HT29=1,DS29=1),MIN(LF29,LK29),0)</f>
        <v>0</v>
      </c>
      <c r="LN29" s="1" t="n">
        <f aca="false">LF29-LM29</f>
        <v>0</v>
      </c>
      <c r="LO29" s="1" t="n">
        <f aca="false">IF(EC29=1,IF(ABS((1+AS_Wage)/(1+Slot12_Rate)-1)&lt;0.000000000001,(Slot12_Age-D29)*(1+Slot12_Rate)^(Slot12_Age-D29),(1+Slot12_Rate)^(Slot12_Age-D29)*(1-((1+AS_Wage)/(1+Slot12_Rate))^(Slot12_Age-D29))/(1-(1+AS_Wage)/(1+Slot12_Rate))),1)</f>
        <v>1</v>
      </c>
      <c r="LP29" s="1" t="n">
        <f aca="false">IF(AND(HT29=1,ID29&gt;0,Slot12_IsWG=1,EC29=1),MAX(0,(Slot12_Cost-ED29*(1+Slot12_Rate)^(Slot12_Age-D29))/LO29),0)</f>
        <v>0</v>
      </c>
      <c r="LQ29" s="1" t="n">
        <f aca="false">IF(AND(HT29=1,ID29&gt;0,Slot12_IsWG=1,EC29=1),MIN(ID29,LP29),0)</f>
        <v>0</v>
      </c>
      <c r="LR29" s="1" t="n">
        <f aca="false">ED29+LQ29</f>
        <v>0</v>
      </c>
      <c r="LS29" s="1" t="n">
        <f aca="false">IF(EC29=1,MAX(0,(Slot12_Cost-LR29*(1+Slot12_Rate)^(Slot12_Age-D29))/LO29),0)</f>
        <v>0</v>
      </c>
      <c r="LT29" s="1" t="n">
        <f aca="false">IF(EC29=1,MAX(0,(Slot12_Cost-ED29*(1+Slot12_Rate)^(Slot12_Age-D29))/LO29),0)</f>
        <v>0</v>
      </c>
      <c r="LU29" s="1" t="n">
        <f aca="false">IF(AND(HT29=1,EC29=1),MIN(LN29,LS29),0)</f>
        <v>0</v>
      </c>
      <c r="LV29" s="1" t="n">
        <f aca="false">LN29-LU29</f>
        <v>0</v>
      </c>
      <c r="LW29" s="1" t="n">
        <f aca="false">IF(EM29=1,IF(ABS((1+AS_Wage)/(1+Slot13_Rate)-1)&lt;0.000000000001,(Slot13_Age-D29)*(1+Slot13_Rate)^(Slot13_Age-D29),(1+Slot13_Rate)^(Slot13_Age-D29)*(1-((1+AS_Wage)/(1+Slot13_Rate))^(Slot13_Age-D29))/(1-(1+AS_Wage)/(1+Slot13_Rate))),1)</f>
        <v>1</v>
      </c>
      <c r="LX29" s="1" t="n">
        <f aca="false">IF(AND(HT29=1,ID29&gt;0,Slot13_IsWG=1,EM29=1),MAX(0,(Slot13_Cost-EN29*(1+Slot13_Rate)^(Slot13_Age-D29))/LW29),0)</f>
        <v>0</v>
      </c>
      <c r="LY29" s="1" t="n">
        <f aca="false">IF(AND(HT29=1,ID29&gt;0,Slot13_IsWG=1,EM29=1),MIN(ID29,LX29),0)</f>
        <v>0</v>
      </c>
      <c r="LZ29" s="1" t="n">
        <f aca="false">EN29+LY29</f>
        <v>0</v>
      </c>
      <c r="MA29" s="1" t="n">
        <f aca="false">IF(EM29=1,MAX(0,(Slot13_Cost-LZ29*(1+Slot13_Rate)^(Slot13_Age-D29))/LW29),0)</f>
        <v>0</v>
      </c>
      <c r="MB29" s="1" t="n">
        <f aca="false">IF(EM29=1,MAX(0,(Slot13_Cost-EN29*(1+Slot13_Rate)^(Slot13_Age-D29))/LW29),0)</f>
        <v>0</v>
      </c>
      <c r="MC29" s="1" t="n">
        <f aca="false">IF(AND(HT29=1,EM29=1),MIN(LV29,MA29),0)</f>
        <v>0</v>
      </c>
      <c r="MD29" s="1" t="n">
        <f aca="false">LV29-MC29</f>
        <v>0</v>
      </c>
      <c r="ME29" s="1" t="n">
        <f aca="false">IF(EW29=1,IF(ABS((1+AS_Wage)/(1+Slot14_Rate)-1)&lt;0.000000000001,(Slot14_Age-D29)*(1+Slot14_Rate)^(Slot14_Age-D29),(1+Slot14_Rate)^(Slot14_Age-D29)*(1-((1+AS_Wage)/(1+Slot14_Rate))^(Slot14_Age-D29))/(1-(1+AS_Wage)/(1+Slot14_Rate))),1)</f>
        <v>1</v>
      </c>
      <c r="MF29" s="1" t="n">
        <f aca="false">IF(AND(HT29=1,ID29&gt;0,Slot14_IsWG=1,EW29=1),MAX(0,(Slot14_Cost-EX29*(1+Slot14_Rate)^(Slot14_Age-D29))/ME29),0)</f>
        <v>0</v>
      </c>
      <c r="MG29" s="1" t="n">
        <f aca="false">IF(AND(HT29=1,ID29&gt;0,Slot14_IsWG=1,EW29=1),MIN(ID29,MF29),0)</f>
        <v>0</v>
      </c>
      <c r="MH29" s="1" t="n">
        <f aca="false">EX29+MG29</f>
        <v>0</v>
      </c>
      <c r="MI29" s="1" t="n">
        <f aca="false">IF(EW29=1,MAX(0,(Slot14_Cost-MH29*(1+Slot14_Rate)^(Slot14_Age-D29))/ME29),0)</f>
        <v>0</v>
      </c>
      <c r="MJ29" s="1" t="n">
        <f aca="false">IF(EW29=1,MAX(0,(Slot14_Cost-EX29*(1+Slot14_Rate)^(Slot14_Age-D29))/ME29),0)</f>
        <v>0</v>
      </c>
      <c r="MK29" s="1" t="n">
        <f aca="false">IF(AND(HT29=1,EW29=1),MIN(MD29,MI29),0)</f>
        <v>0</v>
      </c>
      <c r="ML29" s="1" t="n">
        <f aca="false">MD29-MK29</f>
        <v>0</v>
      </c>
      <c r="MM29" s="1" t="n">
        <f aca="false">IF(FG29=1,IF(ABS((1+AS_Wage)/(1+Slot15_Rate)-1)&lt;0.000000000001,(Slot15_Age-D29)*(1+Slot15_Rate)^(Slot15_Age-D29),(1+Slot15_Rate)^(Slot15_Age-D29)*(1-((1+AS_Wage)/(1+Slot15_Rate))^(Slot15_Age-D29))/(1-(1+AS_Wage)/(1+Slot15_Rate))),1)</f>
        <v>1</v>
      </c>
      <c r="MN29" s="1" t="n">
        <f aca="false">IF(AND(HT29=1,ID29&gt;0,Slot15_IsWG=1,FG29=1),MAX(0,(Slot15_Cost-FH29*(1+Slot15_Rate)^(Slot15_Age-D29))/MM29),0)</f>
        <v>0</v>
      </c>
      <c r="MO29" s="1" t="n">
        <f aca="false">IF(AND(HT29=1,ID29&gt;0,Slot15_IsWG=1,FG29=1),MIN(ID29,MN29),0)</f>
        <v>0</v>
      </c>
      <c r="MP29" s="1" t="n">
        <f aca="false">FH29+MO29</f>
        <v>0</v>
      </c>
      <c r="MQ29" s="1" t="n">
        <f aca="false">IF(FG29=1,MAX(0,(Slot15_Cost-MP29*(1+Slot15_Rate)^(Slot15_Age-D29))/MM29),0)</f>
        <v>0</v>
      </c>
      <c r="MR29" s="1" t="n">
        <f aca="false">IF(FG29=1,MAX(0,(Slot15_Cost-FH29*(1+Slot15_Rate)^(Slot15_Age-D29))/MM29),0)</f>
        <v>0</v>
      </c>
      <c r="MS29" s="1" t="n">
        <f aca="false">IF(AND(HT29=1,FG29=1),MIN(ML29,MQ29),0)</f>
        <v>0</v>
      </c>
      <c r="MT29" s="1" t="n">
        <f aca="false">ML29-MS29</f>
        <v>0</v>
      </c>
      <c r="MU29" s="1" t="n">
        <f aca="false">IF(FQ29=1,IF(ABS((1+AS_Wage)/(1+Slot16_Rate)-1)&lt;0.000000000001,(Slot16_Age-D29)*(1+Slot16_Rate)^(Slot16_Age-D29),(1+Slot16_Rate)^(Slot16_Age-D29)*(1-((1+AS_Wage)/(1+Slot16_Rate))^(Slot16_Age-D29))/(1-(1+AS_Wage)/(1+Slot16_Rate))),1)</f>
        <v>1</v>
      </c>
      <c r="MV29" s="1" t="n">
        <f aca="false">IF(AND(HT29=1,ID29&gt;0,Slot16_IsWG=1,FQ29=1),MAX(0,(Slot16_Cost-FR29*(1+Slot16_Rate)^(Slot16_Age-D29))/MU29),0)</f>
        <v>0</v>
      </c>
      <c r="MW29" s="1" t="n">
        <f aca="false">IF(AND(HT29=1,ID29&gt;0,Slot16_IsWG=1,FQ29=1),MIN(ID29,MV29),0)</f>
        <v>0</v>
      </c>
      <c r="MX29" s="1" t="n">
        <f aca="false">FR29+MW29</f>
        <v>0</v>
      </c>
      <c r="MY29" s="1" t="n">
        <f aca="false">IF(FQ29=1,MAX(0,(Slot16_Cost-MX29*(1+Slot16_Rate)^(Slot16_Age-D29))/MU29),0)</f>
        <v>0</v>
      </c>
      <c r="MZ29" s="1" t="n">
        <f aca="false">IF(FQ29=1,MAX(0,(Slot16_Cost-FR29*(1+Slot16_Rate)^(Slot16_Age-D29))/MU29),0)</f>
        <v>0</v>
      </c>
      <c r="NA29" s="1" t="n">
        <f aca="false">IF(AND(HT29=1,FQ29=1),MIN(MT29,MY29),0)</f>
        <v>0</v>
      </c>
      <c r="NB29" s="1" t="n">
        <f aca="false">MT29-NA29</f>
        <v>0</v>
      </c>
      <c r="NC29" s="1" t="n">
        <f aca="false">IF(GA29=1,IF(ABS((1+AS_Wage)/(1+Slot17_Rate)-1)&lt;0.000000000001,(Slot17_Age-D29)*(1+Slot17_Rate)^(Slot17_Age-D29),(1+Slot17_Rate)^(Slot17_Age-D29)*(1-((1+AS_Wage)/(1+Slot17_Rate))^(Slot17_Age-D29))/(1-(1+AS_Wage)/(1+Slot17_Rate))),1)</f>
        <v>1</v>
      </c>
      <c r="ND29" s="1" t="n">
        <f aca="false">IF(AND(HT29=1,ID29&gt;0,Slot17_IsWG=1,GA29=1),MAX(0,(Slot17_Cost-GB29*(1+Slot17_Rate)^(Slot17_Age-D29))/NC29),0)</f>
        <v>0</v>
      </c>
      <c r="NE29" s="1" t="n">
        <f aca="false">IF(AND(HT29=1,ID29&gt;0,Slot17_IsWG=1,GA29=1),MIN(ID29,ND29),0)</f>
        <v>0</v>
      </c>
      <c r="NF29" s="1" t="n">
        <f aca="false">GB29+NE29</f>
        <v>0</v>
      </c>
      <c r="NG29" s="1" t="n">
        <f aca="false">IF(GA29=1,MAX(0,(Slot17_Cost-NF29*(1+Slot17_Rate)^(Slot17_Age-D29))/NC29),0)</f>
        <v>0</v>
      </c>
      <c r="NH29" s="1" t="n">
        <f aca="false">IF(GA29=1,MAX(0,(Slot17_Cost-GB29*(1+Slot17_Rate)^(Slot17_Age-D29))/NC29),0)</f>
        <v>0</v>
      </c>
      <c r="NI29" s="1" t="n">
        <f aca="false">IF(AND(HT29=1,GA29=1),MIN(NB29,NG29),0)</f>
        <v>0</v>
      </c>
      <c r="NJ29" s="1" t="n">
        <f aca="false">NB29-NI29</f>
        <v>0</v>
      </c>
      <c r="NK29" s="1" t="n">
        <f aca="false">IF(GK29=1,IF(ABS((1+AS_Wage)/(1+Slot18_Rate)-1)&lt;0.000000000001,(Slot18_Age-D29)*(1+Slot18_Rate)^(Slot18_Age-D29),(1+Slot18_Rate)^(Slot18_Age-D29)*(1-((1+AS_Wage)/(1+Slot18_Rate))^(Slot18_Age-D29))/(1-(1+AS_Wage)/(1+Slot18_Rate))),1)</f>
        <v>1</v>
      </c>
      <c r="NL29" s="1" t="n">
        <f aca="false">IF(AND(HT29=1,ID29&gt;0,Slot18_IsWG=1,GK29=1),MAX(0,(Slot18_Cost-GL29*(1+Slot18_Rate)^(Slot18_Age-D29))/NK29),0)</f>
        <v>0</v>
      </c>
      <c r="NM29" s="1" t="n">
        <f aca="false">IF(AND(HT29=1,ID29&gt;0,Slot18_IsWG=1,GK29=1),MIN(ID29,NL29),0)</f>
        <v>0</v>
      </c>
      <c r="NN29" s="1" t="n">
        <f aca="false">GL29+NM29</f>
        <v>0</v>
      </c>
      <c r="NO29" s="1" t="n">
        <f aca="false">IF(GK29=1,MAX(0,(Slot18_Cost-NN29*(1+Slot18_Rate)^(Slot18_Age-D29))/NK29),0)</f>
        <v>0</v>
      </c>
      <c r="NP29" s="1" t="n">
        <f aca="false">IF(GK29=1,MAX(0,(Slot18_Cost-GL29*(1+Slot18_Rate)^(Slot18_Age-D29))/NK29),0)</f>
        <v>0</v>
      </c>
      <c r="NQ29" s="1" t="n">
        <f aca="false">IF(AND(HT29=1,GK29=1),MIN(NJ29,NO29),0)</f>
        <v>0</v>
      </c>
      <c r="NR29" s="1" t="n">
        <f aca="false">NJ29-NQ29</f>
        <v>0</v>
      </c>
      <c r="NS29" s="1" t="n">
        <f aca="false">IF(GU29=1,IF(ABS((1+AS_Wage)/(1+Slot19_Rate)-1)&lt;0.000000000001,(Slot19_Age-D29)*(1+Slot19_Rate)^(Slot19_Age-D29),(1+Slot19_Rate)^(Slot19_Age-D29)*(1-((1+AS_Wage)/(1+Slot19_Rate))^(Slot19_Age-D29))/(1-(1+AS_Wage)/(1+Slot19_Rate))),1)</f>
        <v>1</v>
      </c>
      <c r="NT29" s="1" t="n">
        <f aca="false">IF(AND(HT29=1,ID29&gt;0,Slot19_IsWG=1,GU29=1),MAX(0,(Slot19_Cost-GV29*(1+Slot19_Rate)^(Slot19_Age-D29))/NS29),0)</f>
        <v>0</v>
      </c>
      <c r="NU29" s="1" t="n">
        <f aca="false">IF(AND(HT29=1,ID29&gt;0,Slot19_IsWG=1,GU29=1),MIN(ID29,NT29),0)</f>
        <v>0</v>
      </c>
      <c r="NV29" s="1" t="n">
        <f aca="false">GV29+NU29</f>
        <v>0</v>
      </c>
      <c r="NW29" s="1" t="n">
        <f aca="false">IF(GU29=1,MAX(0,(Slot19_Cost-NV29*(1+Slot19_Rate)^(Slot19_Age-D29))/NS29),0)</f>
        <v>0</v>
      </c>
      <c r="NX29" s="1" t="n">
        <f aca="false">IF(GU29=1,MAX(0,(Slot19_Cost-GV29*(1+Slot19_Rate)^(Slot19_Age-D29))/NS29),0)</f>
        <v>0</v>
      </c>
      <c r="NY29" s="1" t="n">
        <f aca="false">IF(AND(HT29=1,GU29=1),MIN(NR29,NW29),0)</f>
        <v>0</v>
      </c>
      <c r="NZ29" s="1" t="n">
        <f aca="false">NR29-NY29</f>
        <v>0</v>
      </c>
      <c r="OA29" s="1" t="n">
        <f aca="false">IF(HE29=1,IF(ABS((1+AS_Wage)/(1+Slot20_Rate)-1)&lt;0.000000000001,(Slot20_Age-D29)*(1+Slot20_Rate)^(Slot20_Age-D29),(1+Slot20_Rate)^(Slot20_Age-D29)*(1-((1+AS_Wage)/(1+Slot20_Rate))^(Slot20_Age-D29))/(1-(1+AS_Wage)/(1+Slot20_Rate))),1)</f>
        <v>1</v>
      </c>
      <c r="OB29" s="1" t="n">
        <f aca="false">IF(AND(HT29=1,ID29&gt;0,Slot20_IsWG=1,HE29=1),MAX(0,(Slot20_Cost-HF29*(1+Slot20_Rate)^(Slot20_Age-D29))/OA29),0)</f>
        <v>0</v>
      </c>
      <c r="OC29" s="1" t="n">
        <f aca="false">IF(AND(HT29=1,ID29&gt;0,Slot20_IsWG=1,HE29=1),MIN(ID29,OB29),0)</f>
        <v>0</v>
      </c>
      <c r="OD29" s="1" t="n">
        <f aca="false">HF29+OC29</f>
        <v>0</v>
      </c>
      <c r="OE29" s="1" t="n">
        <f aca="false">IF(HE29=1,MAX(0,(Slot20_Cost-OD29*(1+Slot20_Rate)^(Slot20_Age-D29))/OA29),0)</f>
        <v>0</v>
      </c>
      <c r="OF29" s="1" t="n">
        <f aca="false">IF(HE29=1,MAX(0,(Slot20_Cost-HF29*(1+Slot20_Rate)^(Slot20_Age-D29))/OA29),0)</f>
        <v>0</v>
      </c>
      <c r="OG29" s="1" t="n">
        <f aca="false">IF(AND(HT29=1,HE29=1),MIN(NZ29,OE29),0)</f>
        <v>0</v>
      </c>
      <c r="OH29" s="1" t="n">
        <f aca="false">NZ29-OG29</f>
        <v>0</v>
      </c>
      <c r="OI29" s="1" t="n">
        <f aca="false">ID29-(IG29+IO29+IW29+JE29+JM29+JU29+KC29+KK29+KS29+LA29+LI29+LQ29+LY29+MG29+MO29+MW29+NE29+NM29+NU29+OC29)</f>
        <v>0</v>
      </c>
      <c r="OJ29" s="1" t="n">
        <f aca="false">IF(HT29=1,HR29-IC29-ID29,0)</f>
        <v>0</v>
      </c>
      <c r="OK29" s="1" t="n">
        <f aca="false">IF(HT29=0,-HR29,0)</f>
        <v>0</v>
      </c>
      <c r="OL29" s="1" t="n">
        <f aca="false">MIN(OK29,HJ29)</f>
        <v>0</v>
      </c>
      <c r="OM29" s="1" t="n">
        <f aca="false">OK29-OL29</f>
        <v>0</v>
      </c>
      <c r="ON29" s="1" t="n">
        <f aca="false">MIN(OM29,HK29)</f>
        <v>0</v>
      </c>
      <c r="OO29" s="1" t="n">
        <f aca="false">OM29-ON29</f>
        <v>0</v>
      </c>
      <c r="OP29" s="1" t="n">
        <f aca="false">IF(AND(HT29=0,HE29=1,OO29&gt;0),MIN(OO29,HF29),0)</f>
        <v>0</v>
      </c>
      <c r="OQ29" s="1" t="n">
        <f aca="false">OO29-OP29</f>
        <v>0</v>
      </c>
      <c r="OR29" s="1" t="n">
        <f aca="false">IF(AND(HT29=0,GU29=1,OQ29&gt;0),MIN(OQ29,GV29),0)</f>
        <v>0</v>
      </c>
      <c r="OS29" s="1" t="n">
        <f aca="false">OQ29-OR29</f>
        <v>0</v>
      </c>
      <c r="OT29" s="1" t="n">
        <f aca="false">IF(AND(HT29=0,GK29=1,OS29&gt;0),MIN(OS29,GL29),0)</f>
        <v>0</v>
      </c>
      <c r="OU29" s="1" t="n">
        <f aca="false">OS29-OT29</f>
        <v>0</v>
      </c>
      <c r="OV29" s="1" t="n">
        <f aca="false">IF(AND(HT29=0,GA29=1,OU29&gt;0),MIN(OU29,GB29),0)</f>
        <v>0</v>
      </c>
      <c r="OW29" s="1" t="n">
        <f aca="false">OU29-OV29</f>
        <v>0</v>
      </c>
      <c r="OX29" s="1" t="n">
        <f aca="false">IF(AND(HT29=0,FQ29=1,OW29&gt;0),MIN(OW29,FR29),0)</f>
        <v>0</v>
      </c>
      <c r="OY29" s="1" t="n">
        <f aca="false">OW29-OX29</f>
        <v>0</v>
      </c>
      <c r="OZ29" s="1" t="n">
        <f aca="false">IF(AND(HT29=0,FG29=1,OY29&gt;0),MIN(OY29,FH29),0)</f>
        <v>0</v>
      </c>
      <c r="PA29" s="1" t="n">
        <f aca="false">OY29-OZ29</f>
        <v>0</v>
      </c>
      <c r="PB29" s="1" t="n">
        <f aca="false">IF(AND(HT29=0,EW29=1,PA29&gt;0),MIN(PA29,EX29),0)</f>
        <v>0</v>
      </c>
      <c r="PC29" s="1" t="n">
        <f aca="false">PA29-PB29</f>
        <v>0</v>
      </c>
      <c r="PD29" s="1" t="n">
        <f aca="false">IF(AND(HT29=0,EM29=1,PC29&gt;0),MIN(PC29,EN29),0)</f>
        <v>0</v>
      </c>
      <c r="PE29" s="1" t="n">
        <f aca="false">PC29-PD29</f>
        <v>0</v>
      </c>
      <c r="PF29" s="1" t="n">
        <f aca="false">IF(AND(HT29=0,EC29=1,PE29&gt;0),MIN(PE29,ED29),0)</f>
        <v>0</v>
      </c>
      <c r="PG29" s="1" t="n">
        <f aca="false">PE29-PF29</f>
        <v>0</v>
      </c>
      <c r="PH29" s="1" t="n">
        <f aca="false">IF(AND(HT29=0,DS29=1,PG29&gt;0),MIN(PG29,DT29),0)</f>
        <v>0</v>
      </c>
      <c r="PI29" s="1" t="n">
        <f aca="false">PG29-PH29</f>
        <v>0</v>
      </c>
      <c r="PJ29" s="1" t="n">
        <f aca="false">IF(AND(HT29=0,DI29=1,PI29&gt;0),MIN(PI29,DJ29),0)</f>
        <v>0</v>
      </c>
      <c r="PK29" s="1" t="n">
        <f aca="false">PI29-PJ29</f>
        <v>0</v>
      </c>
      <c r="PL29" s="1" t="n">
        <f aca="false">IF(AND(HT29=0,CY29=1,PK29&gt;0),MIN(PK29,CZ29),0)</f>
        <v>0</v>
      </c>
      <c r="PM29" s="1" t="n">
        <f aca="false">PK29-PL29</f>
        <v>0</v>
      </c>
      <c r="PN29" s="1" t="n">
        <f aca="false">IF(AND(HT29=0,CO29=1,PM29&gt;0),MIN(PM29,CP29),0)</f>
        <v>0</v>
      </c>
      <c r="PO29" s="1" t="n">
        <f aca="false">PM29-PN29</f>
        <v>0</v>
      </c>
      <c r="PP29" s="1" t="n">
        <f aca="false">IF(AND(HT29=0,CE29=1,PO29&gt;0),MIN(PO29,CF29),0)</f>
        <v>0</v>
      </c>
      <c r="PQ29" s="1" t="n">
        <f aca="false">PO29-PP29</f>
        <v>0</v>
      </c>
      <c r="PR29" s="1" t="n">
        <f aca="false">IF(AND(HT29=0,BU29=1,PQ29&gt;0),MIN(PQ29,BV29),0)</f>
        <v>0</v>
      </c>
      <c r="PS29" s="1" t="n">
        <f aca="false">PQ29-PR29</f>
        <v>0</v>
      </c>
      <c r="PT29" s="1" t="n">
        <f aca="false">IF(AND(HT29=0,BK29=1,PS29&gt;0),MIN(PS29,BL29),0)</f>
        <v>0</v>
      </c>
      <c r="PU29" s="1" t="n">
        <f aca="false">PS29-PT29</f>
        <v>0</v>
      </c>
      <c r="PV29" s="1" t="n">
        <f aca="false">IF(AND(HT29=0,BA29=1,PU29&gt;0),MIN(PU29,BB29),0)</f>
        <v>0</v>
      </c>
      <c r="PW29" s="1" t="n">
        <f aca="false">PU29-PV29</f>
        <v>0</v>
      </c>
      <c r="PX29" s="1" t="n">
        <f aca="false">IF(AND(HT29=0,AQ29=1,PW29&gt;0),MIN(PW29,AR29),0)</f>
        <v>0</v>
      </c>
      <c r="PY29" s="1" t="n">
        <f aca="false">PW29-PX29</f>
        <v>0</v>
      </c>
      <c r="PZ29" s="1" t="n">
        <f aca="false">IF(AND(HT29=0,AG29=1,PY29&gt;0),MIN(PY29,AH29),0)</f>
        <v>0</v>
      </c>
      <c r="QA29" s="1" t="n">
        <f aca="false">PY29-PZ29</f>
        <v>0</v>
      </c>
      <c r="QB29" s="1" t="n">
        <f aca="false">IF(AND(HT29=0,V29=1,QA29&gt;0),MIN(QA29,W29),0)</f>
        <v>0</v>
      </c>
      <c r="QC29" s="1" t="n">
        <f aca="false">QA29-QB29</f>
        <v>0</v>
      </c>
      <c r="QD29" s="1" t="n">
        <f aca="false">IF(HT29=0,QC29,0)</f>
        <v>0</v>
      </c>
      <c r="QE29" s="1" t="n">
        <f aca="false">OL29+ON29+QB29+PZ29+PX29+PV29+PT29+PR29+PP29+PN29+PL29+PJ29+PH29+PF29+PD29+PB29+OZ29+OX29+OV29+OT29+OR29+OP29</f>
        <v>0</v>
      </c>
      <c r="QF29" s="1" t="n">
        <f aca="false">IF(HT29=1,HJ29+OI29+OH29+IF(F29=1,0,OJ29),HJ29-OL29)</f>
        <v>0</v>
      </c>
      <c r="QG29" s="1" t="n">
        <f aca="false">HK29-ON29</f>
        <v>0</v>
      </c>
      <c r="QH29" s="1" t="n">
        <f aca="false">IF(HT29=1,IF(F29=1,IC29+ID29,HR29),0)</f>
        <v>0</v>
      </c>
      <c r="QI29" s="1" t="n">
        <f aca="false">IF(HT29=1,IF(F29=1,HR29-IC29-ID29,0),0)</f>
        <v>0</v>
      </c>
      <c r="QJ29" s="1" t="n">
        <f aca="false">QF29*(1+GR)</f>
        <v>0</v>
      </c>
      <c r="QK29" s="1" t="n">
        <f aca="false">QG29*(1+AS_Cash)</f>
        <v>0</v>
      </c>
      <c r="QL29" s="1" t="n">
        <f aca="false">IF(V29=1,IF(HT29=1,IH29+IK29,W29-QB29)*(1+Slot1_Rate),0)</f>
        <v>0</v>
      </c>
      <c r="QM29" s="1" t="n">
        <f aca="false">IF(AND(HT29=1,V29=1),(IG29+IK29)/E29,0)</f>
        <v>0</v>
      </c>
      <c r="QN29" s="1" t="n">
        <f aca="false">IF(B29=0,IG29+IK29,0)</f>
        <v>0</v>
      </c>
      <c r="QO29" s="1" t="n">
        <f aca="false">IF(B29=0,IF(HT29=1,II29,IJ29),0)</f>
        <v>0</v>
      </c>
      <c r="QP29" s="1" t="n">
        <f aca="false">IF(AG29=1,IF(HT29=1,IP29+IS29,AH29-PZ29)*(1+Slot2_Rate),0)</f>
        <v>0</v>
      </c>
      <c r="QQ29" s="1" t="n">
        <f aca="false">IF(AND(HT29=1,AG29=1),(IO29+IS29)/E29,0)</f>
        <v>0</v>
      </c>
      <c r="QR29" s="1" t="n">
        <f aca="false">IF(B29=0,IO29+IS29,0)</f>
        <v>0</v>
      </c>
      <c r="QS29" s="1" t="n">
        <f aca="false">IF(B29=0,IF(HT29=1,IQ29,IR29),0)</f>
        <v>0</v>
      </c>
      <c r="QT29" s="1" t="n">
        <f aca="false">IF(AQ29=1,IF(HT29=1,IX29+JA29,AR29-PX29)*(1+Slot3_Rate),0)</f>
        <v>0</v>
      </c>
      <c r="QU29" s="1" t="n">
        <f aca="false">IF(AND(HT29=1,AQ29=1),(IW29+JA29)/E29,0)</f>
        <v>0</v>
      </c>
      <c r="QV29" s="1" t="n">
        <f aca="false">IF(B29=0,IW29+JA29,0)</f>
        <v>0</v>
      </c>
      <c r="QW29" s="1" t="n">
        <f aca="false">IF(B29=0,IF(HT29=1,IY29,IZ29),0)</f>
        <v>0</v>
      </c>
      <c r="QX29" s="1" t="n">
        <f aca="false">IF(BA29=1,IF(HT29=1,JF29+JI29,BB29-PV29)*(1+Slot4_Rate),0)</f>
        <v>0</v>
      </c>
      <c r="QY29" s="1" t="n">
        <f aca="false">IF(AND(HT29=1,BA29=1),(JE29+JI29)/E29,0)</f>
        <v>0</v>
      </c>
      <c r="QZ29" s="1" t="n">
        <f aca="false">IF(B29=0,JE29+JI29,0)</f>
        <v>0</v>
      </c>
      <c r="RA29" s="1" t="n">
        <f aca="false">IF(B29=0,IF(HT29=1,JG29,JH29),0)</f>
        <v>0</v>
      </c>
      <c r="RB29" s="1" t="n">
        <f aca="false">IF(BK29=1,IF(HT29=1,JN29+JQ29,BL29-PT29)*(1+Slot5_Rate),0)</f>
        <v>0</v>
      </c>
      <c r="RC29" s="1" t="n">
        <f aca="false">IF(AND(HT29=1,BK29=1),(JM29+JQ29)/E29,0)</f>
        <v>0</v>
      </c>
      <c r="RD29" s="1" t="n">
        <f aca="false">IF(B29=0,JM29+JQ29,0)</f>
        <v>0</v>
      </c>
      <c r="RE29" s="1" t="n">
        <f aca="false">IF(B29=0,IF(HT29=1,JO29,JP29),0)</f>
        <v>0</v>
      </c>
      <c r="RF29" s="1" t="n">
        <f aca="false">IF(BU29=1,IF(HT29=1,JV29+JY29,BV29-PR29)*(1+Slot6_Rate),0)</f>
        <v>0</v>
      </c>
      <c r="RG29" s="1" t="n">
        <f aca="false">IF(AND(HT29=1,BU29=1),(JU29+JY29)/E29,0)</f>
        <v>0</v>
      </c>
      <c r="RH29" s="1" t="n">
        <f aca="false">IF(B29=0,JU29+JY29,0)</f>
        <v>0</v>
      </c>
      <c r="RI29" s="1" t="n">
        <f aca="false">IF(B29=0,IF(HT29=1,JW29,JX29),0)</f>
        <v>0</v>
      </c>
      <c r="RJ29" s="1" t="n">
        <f aca="false">IF(CE29=1,IF(HT29=1,KD29+KG29,CF29-PP29)*(1+Slot7_Rate),0)</f>
        <v>0</v>
      </c>
      <c r="RK29" s="1" t="n">
        <f aca="false">IF(AND(HT29=1,CE29=1),(KC29+KG29)/E29,0)</f>
        <v>0</v>
      </c>
      <c r="RL29" s="1" t="n">
        <f aca="false">IF(B29=0,KC29+KG29,0)</f>
        <v>0</v>
      </c>
      <c r="RM29" s="1" t="n">
        <f aca="false">IF(B29=0,IF(HT29=1,KE29,KF29),0)</f>
        <v>0</v>
      </c>
      <c r="RN29" s="1" t="n">
        <f aca="false">IF(CO29=1,IF(HT29=1,KL29+KO29,CP29-PN29)*(1+Slot8_Rate),0)</f>
        <v>0</v>
      </c>
      <c r="RO29" s="1" t="n">
        <f aca="false">IF(AND(HT29=1,CO29=1),(KK29+KO29)/E29,0)</f>
        <v>0</v>
      </c>
      <c r="RP29" s="1" t="n">
        <f aca="false">IF(B29=0,KK29+KO29,0)</f>
        <v>0</v>
      </c>
      <c r="RQ29" s="1" t="n">
        <f aca="false">IF(B29=0,IF(HT29=1,KM29,KN29),0)</f>
        <v>0</v>
      </c>
      <c r="RR29" s="1" t="n">
        <f aca="false">IF(CY29=1,IF(HT29=1,KT29+KW29,CZ29-PL29)*(1+Slot9_Rate),0)</f>
        <v>0</v>
      </c>
      <c r="RS29" s="1" t="n">
        <f aca="false">IF(AND(HT29=1,CY29=1),(KS29+KW29)/E29,0)</f>
        <v>0</v>
      </c>
      <c r="RT29" s="1" t="n">
        <f aca="false">IF(B29=0,KS29+KW29,0)</f>
        <v>0</v>
      </c>
      <c r="RU29" s="1" t="n">
        <f aca="false">IF(B29=0,IF(HT29=1,KU29,KV29),0)</f>
        <v>0</v>
      </c>
      <c r="RV29" s="1" t="n">
        <f aca="false">IF(DI29=1,IF(HT29=1,LB29+LE29,DJ29-PJ29)*(1+Slot10_Rate),0)</f>
        <v>0</v>
      </c>
      <c r="RW29" s="1" t="n">
        <f aca="false">IF(AND(HT29=1,DI29=1),(LA29+LE29)/E29,0)</f>
        <v>0</v>
      </c>
      <c r="RX29" s="1" t="n">
        <f aca="false">IF(B29=0,LA29+LE29,0)</f>
        <v>0</v>
      </c>
      <c r="RY29" s="1" t="n">
        <f aca="false">IF(B29=0,IF(HT29=1,LC29,LD29),0)</f>
        <v>0</v>
      </c>
      <c r="RZ29" s="1" t="n">
        <f aca="false">IF(DS29=1,IF(HT29=1,LJ29+LM29,DT29-PH29)*(1+Slot11_Rate),0)</f>
        <v>0</v>
      </c>
      <c r="SA29" s="1" t="n">
        <f aca="false">IF(AND(HT29=1,DS29=1),(LI29+LM29)/E29,0)</f>
        <v>0</v>
      </c>
      <c r="SB29" s="1" t="n">
        <f aca="false">IF(B29=0,LI29+LM29,0)</f>
        <v>0</v>
      </c>
      <c r="SC29" s="1" t="n">
        <f aca="false">IF(B29=0,IF(HT29=1,LK29,LL29),0)</f>
        <v>0</v>
      </c>
      <c r="SD29" s="1" t="n">
        <f aca="false">IF(EC29=1,IF(HT29=1,LR29+LU29,ED29-PF29)*(1+Slot12_Rate),0)</f>
        <v>0</v>
      </c>
      <c r="SE29" s="1" t="n">
        <f aca="false">IF(AND(HT29=1,EC29=1),(LQ29+LU29)/E29,0)</f>
        <v>0</v>
      </c>
      <c r="SF29" s="1" t="n">
        <f aca="false">IF(B29=0,LQ29+LU29,0)</f>
        <v>0</v>
      </c>
      <c r="SG29" s="1" t="n">
        <f aca="false">IF(B29=0,IF(HT29=1,LS29,LT29),0)</f>
        <v>0</v>
      </c>
      <c r="SH29" s="1" t="n">
        <f aca="false">IF(EM29=1,IF(HT29=1,LZ29+MC29,EN29-PD29)*(1+Slot13_Rate),0)</f>
        <v>0</v>
      </c>
      <c r="SI29" s="1" t="n">
        <f aca="false">IF(AND(HT29=1,EM29=1),(LY29+MC29)/E29,0)</f>
        <v>0</v>
      </c>
      <c r="SJ29" s="1" t="n">
        <f aca="false">IF(B29=0,LY29+MC29,0)</f>
        <v>0</v>
      </c>
      <c r="SK29" s="1" t="n">
        <f aca="false">IF(B29=0,IF(HT29=1,MA29,MB29),0)</f>
        <v>0</v>
      </c>
      <c r="SL29" s="1" t="n">
        <f aca="false">IF(EW29=1,IF(HT29=1,MH29+MK29,EX29-PB29)*(1+Slot14_Rate),0)</f>
        <v>0</v>
      </c>
      <c r="SM29" s="1" t="n">
        <f aca="false">IF(AND(HT29=1,EW29=1),(MG29+MK29)/E29,0)</f>
        <v>0</v>
      </c>
      <c r="SN29" s="1" t="n">
        <f aca="false">IF(B29=0,MG29+MK29,0)</f>
        <v>0</v>
      </c>
      <c r="SO29" s="1" t="n">
        <f aca="false">IF(B29=0,IF(HT29=1,MI29,MJ29),0)</f>
        <v>0</v>
      </c>
      <c r="SP29" s="1" t="n">
        <f aca="false">IF(FG29=1,IF(HT29=1,MP29+MS29,FH29-OZ29)*(1+Slot15_Rate),0)</f>
        <v>0</v>
      </c>
      <c r="SQ29" s="1" t="n">
        <f aca="false">IF(AND(HT29=1,FG29=1),(MO29+MS29)/E29,0)</f>
        <v>0</v>
      </c>
      <c r="SR29" s="1" t="n">
        <f aca="false">IF(B29=0,MO29+MS29,0)</f>
        <v>0</v>
      </c>
      <c r="SS29" s="1" t="n">
        <f aca="false">IF(B29=0,IF(HT29=1,MQ29,MR29),0)</f>
        <v>0</v>
      </c>
      <c r="ST29" s="1" t="n">
        <f aca="false">IF(FQ29=1,IF(HT29=1,MX29+NA29,FR29-OX29)*(1+Slot16_Rate),0)</f>
        <v>0</v>
      </c>
      <c r="SU29" s="1" t="n">
        <f aca="false">IF(AND(HT29=1,FQ29=1),(MW29+NA29)/E29,0)</f>
        <v>0</v>
      </c>
      <c r="SV29" s="1" t="n">
        <f aca="false">IF(B29=0,MW29+NA29,0)</f>
        <v>0</v>
      </c>
      <c r="SW29" s="1" t="n">
        <f aca="false">IF(B29=0,IF(HT29=1,MY29,MZ29),0)</f>
        <v>0</v>
      </c>
      <c r="SX29" s="1" t="n">
        <f aca="false">IF(GA29=1,IF(HT29=1,NF29+NI29,GB29-OV29)*(1+Slot17_Rate),0)</f>
        <v>0</v>
      </c>
      <c r="SY29" s="1" t="n">
        <f aca="false">IF(AND(HT29=1,GA29=1),(NE29+NI29)/E29,0)</f>
        <v>0</v>
      </c>
      <c r="SZ29" s="1" t="n">
        <f aca="false">IF(B29=0,NE29+NI29,0)</f>
        <v>0</v>
      </c>
      <c r="TA29" s="1" t="n">
        <f aca="false">IF(B29=0,IF(HT29=1,NG29,NH29),0)</f>
        <v>0</v>
      </c>
      <c r="TB29" s="1" t="n">
        <f aca="false">IF(GK29=1,IF(HT29=1,NN29+NQ29,GL29-OT29)*(1+Slot18_Rate),0)</f>
        <v>0</v>
      </c>
      <c r="TC29" s="1" t="n">
        <f aca="false">IF(AND(HT29=1,GK29=1),(NM29+NQ29)/E29,0)</f>
        <v>0</v>
      </c>
      <c r="TD29" s="1" t="n">
        <f aca="false">IF(B29=0,NM29+NQ29,0)</f>
        <v>0</v>
      </c>
      <c r="TE29" s="1" t="n">
        <f aca="false">IF(B29=0,IF(HT29=1,NO29,NP29),0)</f>
        <v>0</v>
      </c>
      <c r="TF29" s="1" t="n">
        <f aca="false">IF(GU29=1,IF(HT29=1,NV29+NY29,GV29-OR29)*(1+Slot19_Rate),0)</f>
        <v>0</v>
      </c>
      <c r="TG29" s="1" t="n">
        <f aca="false">IF(AND(HT29=1,GU29=1),(NU29+NY29)/E29,0)</f>
        <v>0</v>
      </c>
      <c r="TH29" s="1" t="n">
        <f aca="false">IF(B29=0,NU29+NY29,0)</f>
        <v>0</v>
      </c>
      <c r="TI29" s="1" t="n">
        <f aca="false">IF(B29=0,IF(HT29=1,NW29,NX29),0)</f>
        <v>0</v>
      </c>
      <c r="TJ29" s="1" t="n">
        <f aca="false">IF(HE29=1,IF(HT29=1,OD29+OG29,HF29-OP29)*(1+Slot20_Rate),0)</f>
        <v>0</v>
      </c>
      <c r="TK29" s="1" t="n">
        <f aca="false">IF(AND(HT29=1,HE29=1),(OC29+OG29)/E29,0)</f>
        <v>0</v>
      </c>
      <c r="TL29" s="1" t="n">
        <f aca="false">IF(B29=0,OC29+OG29,0)</f>
        <v>0</v>
      </c>
      <c r="TM29" s="1" t="n">
        <f aca="false">IF(B29=0,IF(HT29=1,OE29,OF29),0)</f>
        <v>0</v>
      </c>
      <c r="TN29" s="1" t="n">
        <f aca="false">QJ29+QK29+QL29+QP29+QT29+QX29+RB29+RF29+RJ29+RN29+RR29+RV29+RZ29+SD29+SH29+SL29+SP29+ST29+SX29+TB29+TF29+TJ29</f>
        <v>0</v>
      </c>
      <c r="TO29" s="1" t="n">
        <f aca="false">QD29+HO29</f>
        <v>0</v>
      </c>
      <c r="TP29" s="1" t="n">
        <f aca="false">H29+R29</f>
        <v>0</v>
      </c>
      <c r="TQ29" s="1" t="n">
        <f aca="false">1-F29</f>
        <v>0</v>
      </c>
      <c r="TR29" s="1" t="n">
        <f aca="false">IF(AND(RG_Exists=1,F29=0,C29=1),H29,0)</f>
        <v>0</v>
      </c>
      <c r="TS29" s="1" t="n">
        <f aca="false">IF(AND(RG_Exists=1,F29=0,C29=1),H29-MIN(QD29,H29),0)</f>
        <v>0</v>
      </c>
      <c r="TT29" s="1" t="n">
        <f aca="false">'Plan pay &amp; tax'!AD255</f>
        <v>0</v>
      </c>
      <c r="TU29" s="1" t="n">
        <f aca="false">IF(AND(C29=1,QD29&gt;MAX(PR_Short1,TP29*PR_Short2)),1,0)</f>
        <v>0</v>
      </c>
      <c r="TV29" s="1" t="n">
        <f aca="false">MIN(G29,H29+R29)</f>
        <v>0</v>
      </c>
      <c r="TW29" s="1" t="n">
        <f aca="false">QE29+MAX(0,HP29-HO29)</f>
        <v>0</v>
      </c>
      <c r="TX29" s="1" t="n">
        <f aca="false">QD29+HO29</f>
        <v>0</v>
      </c>
      <c r="TY29" s="1" t="n">
        <f aca="false">IF(AND(C29=1,TX29&gt;PR_MinShort),1,0)</f>
        <v>0</v>
      </c>
      <c r="TZ29" s="1" t="n">
        <f aca="false">IF(AND(C29=1,TY29=0,TW29&gt;PR_MinShort),1,0)</f>
        <v>0</v>
      </c>
      <c r="UA29" s="1" t="n">
        <f aca="false">IF(AND(C29=1,QD29&gt;PR_MinShort),1,0)</f>
        <v>0</v>
      </c>
      <c r="UB29" s="1" t="n">
        <f aca="false">IF(AND(C29=1,QE29&gt;1,UI29=0),1,0)</f>
        <v>0</v>
      </c>
      <c r="UC29" s="1" t="str">
        <f aca="false">IF(C29=0,"",IF(UI29=1,"Gap to plan for: short "&amp;"€"&amp;TEXT(ROUND(TO29,0),"#,##0"),IF(QE29&gt;1,"Using savings","Comfortable")))</f>
        <v>Comfortable</v>
      </c>
      <c r="UD29" s="1" t="n">
        <f aca="false">IF(AND(INT(D29/10)*10=90,B29&gt;0),80,INT(D29/10)*10)</f>
        <v>20</v>
      </c>
      <c r="UE29" s="1" t="n">
        <f aca="false">IF(B29=0,1,IF(UD29&lt;&gt;UD28,UE28+1,UE28))</f>
        <v>3</v>
      </c>
      <c r="UF29" s="1" t="n">
        <f aca="false">IF(AND(C29=1,F29=1,QD29&gt;MAX(PR_Short1,TP29*PR_Short2)),1,0)</f>
        <v>0</v>
      </c>
      <c r="UG29" s="1" t="n">
        <f aca="false">TQ29*TU29</f>
        <v>0</v>
      </c>
      <c r="UH29" s="1" t="n">
        <f aca="false">IF(AND(U29=1,Slot1_PctLow=1),1,0)+IF(AND(AF29=1,Slot2_PctLow=1),1,0)+IF(AND(AP29=1,Slot3_PctLow=1),1,0)+IF(AND(AZ29=1,Slot4_PctLow=1),1,0)+IF(AND(BJ29=1,Slot5_PctLow=1),1,0)+IF(AND(BT29=1,Slot6_PctLow=1),1,0)+IF(AND(CD29=1,Slot7_PctLow=1),1,0)+IF(AND(CN29=1,Slot8_PctLow=1),1,0)+IF(AND(CX29=1,Slot9_PctLow=1),1,0)+IF(AND(DH29=1,Slot10_PctLow=1),1,0)+IF(AND(DR29=1,Slot11_PctLow=1),1,0)+IF(AND(EB29=1,Slot12_PctLow=1),1,0)+IF(AND(EL29=1,Slot13_PctLow=1),1,0)+IF(AND(EV29=1,Slot14_PctLow=1),1,0)+IF(AND(FF29=1,Slot15_PctLow=1),1,0)+IF(AND(FP29=1,Slot16_PctLow=1),1,0)+IF(AND(FZ29=1,Slot17_PctLow=1),1,0)+IF(AND(GJ29=1,Slot18_PctLow=1),1,0)+IF(AND(GT29=1,Slot19_PctLow=1),1,0)+IF(AND(HD29=1,Slot20_PctLow=1),1,0)</f>
        <v>0</v>
      </c>
      <c r="UI29" s="1" t="n">
        <f aca="false">IF(C29=1,IF(OR(TU29=1,UH29&gt;0),1,0),0)</f>
        <v>0</v>
      </c>
    </row>
    <row r="30" customFormat="false" ht="15" hidden="false" customHeight="true" outlineLevel="0" collapsed="false">
      <c r="B30" s="1" t="n">
        <v>22</v>
      </c>
      <c r="C30" s="1" t="n">
        <f aca="false">IF(B30&lt;=F_N,1,0)</f>
        <v>1</v>
      </c>
      <c r="D30" s="1" t="n">
        <f aca="false">'Plan pay &amp; tax'!C256</f>
        <v>22</v>
      </c>
      <c r="E30" s="111" t="n">
        <f aca="false">'Plan pay &amp; tax'!E256</f>
        <v>1.54597967077588</v>
      </c>
      <c r="F30" s="1" t="n">
        <f aca="false">'Plan pay &amp; tax'!G256</f>
        <v>1</v>
      </c>
      <c r="G30" s="1" t="n">
        <f aca="false">'Plan pay &amp; tax'!BT256-'Plan pay &amp; tax'!BS256-'Plan pay &amp; tax'!R256</f>
        <v>0</v>
      </c>
      <c r="H30" s="1" t="n">
        <f aca="false">IF(F30=1,F_CostsM*12,IF(RG_Exists=1,RG_Amount,F_CostsM*12*AS_RetireSpend))*E30+F_OneOffY*E30</f>
        <v>0</v>
      </c>
      <c r="I30" s="1" t="n">
        <f aca="false">HQ29</f>
        <v>0</v>
      </c>
      <c r="J30" s="1" t="n">
        <f aca="false">IF(I30&gt;1,'Plan debt months'!AC30,0)</f>
        <v>0</v>
      </c>
      <c r="K30" s="1" t="n">
        <f aca="false">IF(I30&gt;1,'Plan debt months'!AB30,I30)</f>
        <v>0</v>
      </c>
      <c r="L30" s="1" t="n">
        <f aca="false">N29</f>
        <v>0</v>
      </c>
      <c r="M30" s="1" t="n">
        <f aca="false">IF(L30&gt;1,'Plan debt months'!BD30,0)</f>
        <v>0</v>
      </c>
      <c r="N30" s="1" t="n">
        <f aca="false">IF(L30&gt;1,'Plan debt months'!BC30,L30)</f>
        <v>0</v>
      </c>
      <c r="O30" s="1" t="n">
        <f aca="false">Q29</f>
        <v>0</v>
      </c>
      <c r="P30" s="1" t="n">
        <f aca="false">IF(O30&gt;1,'Plan debt months'!CE30,0)</f>
        <v>0</v>
      </c>
      <c r="Q30" s="1" t="n">
        <f aca="false">IF(O30&gt;1,'Plan debt months'!CD30,O30)</f>
        <v>0</v>
      </c>
      <c r="R30" s="1" t="n">
        <f aca="false">J30+M30+P30</f>
        <v>0</v>
      </c>
      <c r="S30" s="1" t="n">
        <f aca="false">QJ29+'Plan pay &amp; tax'!Y256</f>
        <v>0</v>
      </c>
      <c r="T30" s="1" t="n">
        <f aca="false">QJ29</f>
        <v>0</v>
      </c>
      <c r="U30" s="1" t="n">
        <f aca="false">IF(AND(Slot1_On=1,D30=Slot1_Age),1,0)</f>
        <v>0</v>
      </c>
      <c r="V30" s="1" t="n">
        <f aca="false">IF(AND(Slot1_On=1,Slot1_Age&gt;D30),1,0)</f>
        <v>0</v>
      </c>
      <c r="W30" s="1" t="n">
        <f aca="false">QL29</f>
        <v>0</v>
      </c>
      <c r="X30" s="1" t="n">
        <f aca="false">U30*MIN(Slot1_Cost,W30)</f>
        <v>0</v>
      </c>
      <c r="Y30" s="1" t="n">
        <f aca="false">U30*Slot1_SpendLike*MIN(Slot1_Cost-X30,S30)</f>
        <v>0</v>
      </c>
      <c r="Z30" s="1" t="n">
        <f aca="false">X30+Y30</f>
        <v>0</v>
      </c>
      <c r="AA30" s="1" t="n">
        <f aca="false">S30-Y30+U30*IF(Slot1_SpendLike=1,W30-X30,IF(Slot1_PotFree=1,W30,0))</f>
        <v>0</v>
      </c>
      <c r="AB30" s="1" t="n">
        <f aca="false">AE30+U30*Slot1_BufPot*W30</f>
        <v>0</v>
      </c>
      <c r="AC30" s="1" t="n">
        <f aca="false">IF(AND(U30=1,Slot1_IsMfree=1),IF(Z30&gt;=Slot1_Cost-1,0,MAX(0,K30-Z30)),K30)</f>
        <v>0</v>
      </c>
      <c r="AD30" s="1" t="n">
        <f aca="false">U30*(Slot1_Cost-Z30)</f>
        <v>0</v>
      </c>
      <c r="AE30" s="1" t="n">
        <f aca="false">QK29</f>
        <v>0</v>
      </c>
      <c r="AF30" s="1" t="n">
        <f aca="false">IF(AND(Slot2_On=1,D30=Slot2_Age),1,0)</f>
        <v>0</v>
      </c>
      <c r="AG30" s="1" t="n">
        <f aca="false">IF(AND(Slot2_On=1,Slot2_Age&gt;D30),1,0)</f>
        <v>0</v>
      </c>
      <c r="AH30" s="1" t="n">
        <f aca="false">QP29</f>
        <v>0</v>
      </c>
      <c r="AI30" s="1" t="n">
        <f aca="false">AF30*MIN(Slot2_Cost,AH30)</f>
        <v>0</v>
      </c>
      <c r="AJ30" s="1" t="n">
        <f aca="false">AF30*Slot2_SpendLike*MIN(Slot2_Cost-AI30,AA30)</f>
        <v>0</v>
      </c>
      <c r="AK30" s="1" t="n">
        <f aca="false">AI30+AJ30</f>
        <v>0</v>
      </c>
      <c r="AL30" s="1" t="n">
        <f aca="false">AA30-AJ30+AF30*IF(Slot2_SpendLike=1,AH30-AI30,IF(Slot2_PotFree=1,AH30,0))</f>
        <v>0</v>
      </c>
      <c r="AM30" s="1" t="n">
        <f aca="false">AB30+AF30*Slot2_BufPot*AH30</f>
        <v>0</v>
      </c>
      <c r="AN30" s="1" t="n">
        <f aca="false">IF(AND(AF30=1,Slot2_IsMfree=1),IF(AK30&gt;=Slot2_Cost-1,0,MAX(0,AC30-AK30)),AC30)</f>
        <v>0</v>
      </c>
      <c r="AO30" s="1" t="n">
        <f aca="false">AF30*(Slot2_Cost-AK30)</f>
        <v>0</v>
      </c>
      <c r="AP30" s="1" t="n">
        <f aca="false">IF(AND(Slot3_On=1,D30=Slot3_Age),1,0)</f>
        <v>0</v>
      </c>
      <c r="AQ30" s="1" t="n">
        <f aca="false">IF(AND(Slot3_On=1,Slot3_Age&gt;D30),1,0)</f>
        <v>0</v>
      </c>
      <c r="AR30" s="1" t="n">
        <f aca="false">QT29</f>
        <v>0</v>
      </c>
      <c r="AS30" s="1" t="n">
        <f aca="false">AP30*MIN(Slot3_Cost,AR30)</f>
        <v>0</v>
      </c>
      <c r="AT30" s="1" t="n">
        <f aca="false">AP30*Slot3_SpendLike*MIN(Slot3_Cost-AS30,AL30)</f>
        <v>0</v>
      </c>
      <c r="AU30" s="1" t="n">
        <f aca="false">AS30+AT30</f>
        <v>0</v>
      </c>
      <c r="AV30" s="1" t="n">
        <f aca="false">AL30-AT30+AP30*IF(Slot3_SpendLike=1,AR30-AS30,IF(Slot3_PotFree=1,AR30,0))</f>
        <v>0</v>
      </c>
      <c r="AW30" s="1" t="n">
        <f aca="false">AM30+AP30*Slot3_BufPot*AR30</f>
        <v>0</v>
      </c>
      <c r="AX30" s="1" t="n">
        <f aca="false">IF(AND(AP30=1,Slot3_IsMfree=1),IF(AU30&gt;=Slot3_Cost-1,0,MAX(0,AN30-AU30)),AN30)</f>
        <v>0</v>
      </c>
      <c r="AY30" s="1" t="n">
        <f aca="false">AP30*(Slot3_Cost-AU30)</f>
        <v>0</v>
      </c>
      <c r="AZ30" s="1" t="n">
        <f aca="false">IF(AND(Slot4_On=1,D30=Slot4_Age),1,0)</f>
        <v>0</v>
      </c>
      <c r="BA30" s="1" t="n">
        <f aca="false">IF(AND(Slot4_On=1,Slot4_Age&gt;D30),1,0)</f>
        <v>0</v>
      </c>
      <c r="BB30" s="1" t="n">
        <f aca="false">QX29</f>
        <v>0</v>
      </c>
      <c r="BC30" s="1" t="n">
        <f aca="false">AZ30*MIN(Slot4_Cost,BB30)</f>
        <v>0</v>
      </c>
      <c r="BD30" s="1" t="n">
        <f aca="false">AZ30*Slot4_SpendLike*MIN(Slot4_Cost-BC30,AV30)</f>
        <v>0</v>
      </c>
      <c r="BE30" s="1" t="n">
        <f aca="false">BC30+BD30</f>
        <v>0</v>
      </c>
      <c r="BF30" s="1" t="n">
        <f aca="false">AV30-BD30+AZ30*IF(Slot4_SpendLike=1,BB30-BC30,IF(Slot4_PotFree=1,BB30,0))</f>
        <v>0</v>
      </c>
      <c r="BG30" s="1" t="n">
        <f aca="false">AW30+AZ30*Slot4_BufPot*BB30</f>
        <v>0</v>
      </c>
      <c r="BH30" s="1" t="n">
        <f aca="false">IF(AND(AZ30=1,Slot4_IsMfree=1),IF(BE30&gt;=Slot4_Cost-1,0,MAX(0,AX30-BE30)),AX30)</f>
        <v>0</v>
      </c>
      <c r="BI30" s="1" t="n">
        <f aca="false">AZ30*(Slot4_Cost-BE30)</f>
        <v>0</v>
      </c>
      <c r="BJ30" s="1" t="n">
        <f aca="false">IF(AND(Slot5_On=1,D30=Slot5_Age),1,0)</f>
        <v>0</v>
      </c>
      <c r="BK30" s="1" t="n">
        <f aca="false">IF(AND(Slot5_On=1,Slot5_Age&gt;D30),1,0)</f>
        <v>0</v>
      </c>
      <c r="BL30" s="1" t="n">
        <f aca="false">RB29</f>
        <v>0</v>
      </c>
      <c r="BM30" s="1" t="n">
        <f aca="false">BJ30*MIN(Slot5_Cost,BL30)</f>
        <v>0</v>
      </c>
      <c r="BN30" s="1" t="n">
        <f aca="false">BJ30*Slot5_SpendLike*MIN(Slot5_Cost-BM30,BF30)</f>
        <v>0</v>
      </c>
      <c r="BO30" s="1" t="n">
        <f aca="false">BM30+BN30</f>
        <v>0</v>
      </c>
      <c r="BP30" s="1" t="n">
        <f aca="false">BF30-BN30+BJ30*IF(Slot5_SpendLike=1,BL30-BM30,IF(Slot5_PotFree=1,BL30,0))</f>
        <v>0</v>
      </c>
      <c r="BQ30" s="1" t="n">
        <f aca="false">BG30+BJ30*Slot5_BufPot*BL30</f>
        <v>0</v>
      </c>
      <c r="BR30" s="1" t="n">
        <f aca="false">IF(AND(BJ30=1,Slot5_IsMfree=1),IF(BO30&gt;=Slot5_Cost-1,0,MAX(0,BH30-BO30)),BH30)</f>
        <v>0</v>
      </c>
      <c r="BS30" s="1" t="n">
        <f aca="false">BJ30*(Slot5_Cost-BO30)</f>
        <v>0</v>
      </c>
      <c r="BT30" s="1" t="n">
        <f aca="false">IF(AND(Slot6_On=1,D30=Slot6_Age),1,0)</f>
        <v>0</v>
      </c>
      <c r="BU30" s="1" t="n">
        <f aca="false">IF(AND(Slot6_On=1,Slot6_Age&gt;D30),1,0)</f>
        <v>0</v>
      </c>
      <c r="BV30" s="1" t="n">
        <f aca="false">RF29</f>
        <v>0</v>
      </c>
      <c r="BW30" s="1" t="n">
        <f aca="false">BT30*MIN(Slot6_Cost,BV30)</f>
        <v>0</v>
      </c>
      <c r="BX30" s="1" t="n">
        <f aca="false">BT30*Slot6_SpendLike*MIN(Slot6_Cost-BW30,BP30)</f>
        <v>0</v>
      </c>
      <c r="BY30" s="1" t="n">
        <f aca="false">BW30+BX30</f>
        <v>0</v>
      </c>
      <c r="BZ30" s="1" t="n">
        <f aca="false">BP30-BX30+BT30*IF(Slot6_SpendLike=1,BV30-BW30,IF(Slot6_PotFree=1,BV30,0))</f>
        <v>0</v>
      </c>
      <c r="CA30" s="1" t="n">
        <f aca="false">BQ30+BT30*Slot6_BufPot*BV30</f>
        <v>0</v>
      </c>
      <c r="CB30" s="1" t="n">
        <f aca="false">IF(AND(BT30=1,Slot6_IsMfree=1),IF(BY30&gt;=Slot6_Cost-1,0,MAX(0,BR30-BY30)),BR30)</f>
        <v>0</v>
      </c>
      <c r="CC30" s="1" t="n">
        <f aca="false">BT30*(Slot6_Cost-BY30)</f>
        <v>0</v>
      </c>
      <c r="CD30" s="1" t="n">
        <f aca="false">IF(AND(Slot7_On=1,D30=Slot7_Age),1,0)</f>
        <v>0</v>
      </c>
      <c r="CE30" s="1" t="n">
        <f aca="false">IF(AND(Slot7_On=1,Slot7_Age&gt;D30),1,0)</f>
        <v>0</v>
      </c>
      <c r="CF30" s="1" t="n">
        <f aca="false">RJ29</f>
        <v>0</v>
      </c>
      <c r="CG30" s="1" t="n">
        <f aca="false">CD30*MIN(Slot7_Cost,CF30)</f>
        <v>0</v>
      </c>
      <c r="CH30" s="1" t="n">
        <f aca="false">CD30*Slot7_SpendLike*MIN(Slot7_Cost-CG30,BZ30)</f>
        <v>0</v>
      </c>
      <c r="CI30" s="1" t="n">
        <f aca="false">CG30+CH30</f>
        <v>0</v>
      </c>
      <c r="CJ30" s="1" t="n">
        <f aca="false">BZ30-CH30+CD30*IF(Slot7_SpendLike=1,CF30-CG30,IF(Slot7_PotFree=1,CF30,0))</f>
        <v>0</v>
      </c>
      <c r="CK30" s="1" t="n">
        <f aca="false">CA30+CD30*Slot7_BufPot*CF30</f>
        <v>0</v>
      </c>
      <c r="CL30" s="1" t="n">
        <f aca="false">IF(AND(CD30=1,Slot7_IsMfree=1),IF(CI30&gt;=Slot7_Cost-1,0,MAX(0,CB30-CI30)),CB30)</f>
        <v>0</v>
      </c>
      <c r="CM30" s="1" t="n">
        <f aca="false">CD30*(Slot7_Cost-CI30)</f>
        <v>0</v>
      </c>
      <c r="CN30" s="1" t="n">
        <f aca="false">IF(AND(Slot8_On=1,D30=Slot8_Age),1,0)</f>
        <v>0</v>
      </c>
      <c r="CO30" s="1" t="n">
        <f aca="false">IF(AND(Slot8_On=1,Slot8_Age&gt;D30),1,0)</f>
        <v>0</v>
      </c>
      <c r="CP30" s="1" t="n">
        <f aca="false">RN29</f>
        <v>0</v>
      </c>
      <c r="CQ30" s="1" t="n">
        <f aca="false">CN30*MIN(Slot8_Cost,CP30)</f>
        <v>0</v>
      </c>
      <c r="CR30" s="1" t="n">
        <f aca="false">CN30*Slot8_SpendLike*MIN(Slot8_Cost-CQ30,CJ30)</f>
        <v>0</v>
      </c>
      <c r="CS30" s="1" t="n">
        <f aca="false">CQ30+CR30</f>
        <v>0</v>
      </c>
      <c r="CT30" s="1" t="n">
        <f aca="false">CJ30-CR30+CN30*IF(Slot8_SpendLike=1,CP30-CQ30,IF(Slot8_PotFree=1,CP30,0))</f>
        <v>0</v>
      </c>
      <c r="CU30" s="1" t="n">
        <f aca="false">CK30+CN30*Slot8_BufPot*CP30</f>
        <v>0</v>
      </c>
      <c r="CV30" s="1" t="n">
        <f aca="false">IF(AND(CN30=1,Slot8_IsMfree=1),IF(CS30&gt;=Slot8_Cost-1,0,MAX(0,CL30-CS30)),CL30)</f>
        <v>0</v>
      </c>
      <c r="CW30" s="1" t="n">
        <f aca="false">CN30*(Slot8_Cost-CS30)</f>
        <v>0</v>
      </c>
      <c r="CX30" s="1" t="n">
        <f aca="false">IF(AND(Slot9_On=1,D30=Slot9_Age),1,0)</f>
        <v>0</v>
      </c>
      <c r="CY30" s="1" t="n">
        <f aca="false">IF(AND(Slot9_On=1,Slot9_Age&gt;D30),1,0)</f>
        <v>0</v>
      </c>
      <c r="CZ30" s="1" t="n">
        <f aca="false">RR29</f>
        <v>0</v>
      </c>
      <c r="DA30" s="1" t="n">
        <f aca="false">CX30*MIN(Slot9_Cost,CZ30)</f>
        <v>0</v>
      </c>
      <c r="DB30" s="1" t="n">
        <f aca="false">CX30*Slot9_SpendLike*MIN(Slot9_Cost-DA30,CT30)</f>
        <v>0</v>
      </c>
      <c r="DC30" s="1" t="n">
        <f aca="false">DA30+DB30</f>
        <v>0</v>
      </c>
      <c r="DD30" s="1" t="n">
        <f aca="false">CT30-DB30+CX30*IF(Slot9_SpendLike=1,CZ30-DA30,IF(Slot9_PotFree=1,CZ30,0))</f>
        <v>0</v>
      </c>
      <c r="DE30" s="1" t="n">
        <f aca="false">CU30+CX30*Slot9_BufPot*CZ30</f>
        <v>0</v>
      </c>
      <c r="DF30" s="1" t="n">
        <f aca="false">IF(AND(CX30=1,Slot9_IsMfree=1),IF(DC30&gt;=Slot9_Cost-1,0,MAX(0,CV30-DC30)),CV30)</f>
        <v>0</v>
      </c>
      <c r="DG30" s="1" t="n">
        <f aca="false">CX30*(Slot9_Cost-DC30)</f>
        <v>0</v>
      </c>
      <c r="DH30" s="1" t="n">
        <f aca="false">IF(AND(Slot10_On=1,D30=Slot10_Age),1,0)</f>
        <v>0</v>
      </c>
      <c r="DI30" s="1" t="n">
        <f aca="false">IF(AND(Slot10_On=1,Slot10_Age&gt;D30),1,0)</f>
        <v>0</v>
      </c>
      <c r="DJ30" s="1" t="n">
        <f aca="false">RV29</f>
        <v>0</v>
      </c>
      <c r="DK30" s="1" t="n">
        <f aca="false">DH30*MIN(Slot10_Cost,DJ30)</f>
        <v>0</v>
      </c>
      <c r="DL30" s="1" t="n">
        <f aca="false">DH30*Slot10_SpendLike*MIN(Slot10_Cost-DK30,DD30)</f>
        <v>0</v>
      </c>
      <c r="DM30" s="1" t="n">
        <f aca="false">DK30+DL30</f>
        <v>0</v>
      </c>
      <c r="DN30" s="1" t="n">
        <f aca="false">DD30-DL30+DH30*IF(Slot10_SpendLike=1,DJ30-DK30,IF(Slot10_PotFree=1,DJ30,0))</f>
        <v>0</v>
      </c>
      <c r="DO30" s="1" t="n">
        <f aca="false">DE30+DH30*Slot10_BufPot*DJ30</f>
        <v>0</v>
      </c>
      <c r="DP30" s="1" t="n">
        <f aca="false">IF(AND(DH30=1,Slot10_IsMfree=1),IF(DM30&gt;=Slot10_Cost-1,0,MAX(0,DF30-DM30)),DF30)</f>
        <v>0</v>
      </c>
      <c r="DQ30" s="1" t="n">
        <f aca="false">DH30*(Slot10_Cost-DM30)</f>
        <v>0</v>
      </c>
      <c r="DR30" s="1" t="n">
        <f aca="false">IF(AND(Slot11_On=1,D30=Slot11_Age),1,0)</f>
        <v>0</v>
      </c>
      <c r="DS30" s="1" t="n">
        <f aca="false">IF(AND(Slot11_On=1,Slot11_Age&gt;D30),1,0)</f>
        <v>0</v>
      </c>
      <c r="DT30" s="1" t="n">
        <f aca="false">RZ29</f>
        <v>0</v>
      </c>
      <c r="DU30" s="1" t="n">
        <f aca="false">DR30*MIN(Slot11_Cost,DT30)</f>
        <v>0</v>
      </c>
      <c r="DV30" s="1" t="n">
        <f aca="false">DR30*Slot11_SpendLike*MIN(Slot11_Cost-DU30,DN30)</f>
        <v>0</v>
      </c>
      <c r="DW30" s="1" t="n">
        <f aca="false">DU30+DV30</f>
        <v>0</v>
      </c>
      <c r="DX30" s="1" t="n">
        <f aca="false">DN30-DV30+DR30*IF(Slot11_SpendLike=1,DT30-DU30,IF(Slot11_PotFree=1,DT30,0))</f>
        <v>0</v>
      </c>
      <c r="DY30" s="1" t="n">
        <f aca="false">DO30+DR30*Slot11_BufPot*DT30</f>
        <v>0</v>
      </c>
      <c r="DZ30" s="1" t="n">
        <f aca="false">IF(AND(DR30=1,Slot11_IsMfree=1),IF(DW30&gt;=Slot11_Cost-1,0,MAX(0,DP30-DW30)),DP30)</f>
        <v>0</v>
      </c>
      <c r="EA30" s="1" t="n">
        <f aca="false">DR30*(Slot11_Cost-DW30)</f>
        <v>0</v>
      </c>
      <c r="EB30" s="1" t="n">
        <f aca="false">IF(AND(Slot12_On=1,D30=Slot12_Age),1,0)</f>
        <v>0</v>
      </c>
      <c r="EC30" s="1" t="n">
        <f aca="false">IF(AND(Slot12_On=1,Slot12_Age&gt;D30),1,0)</f>
        <v>0</v>
      </c>
      <c r="ED30" s="1" t="n">
        <f aca="false">SD29</f>
        <v>0</v>
      </c>
      <c r="EE30" s="1" t="n">
        <f aca="false">EB30*MIN(Slot12_Cost,ED30)</f>
        <v>0</v>
      </c>
      <c r="EF30" s="1" t="n">
        <f aca="false">EB30*Slot12_SpendLike*MIN(Slot12_Cost-EE30,DX30)</f>
        <v>0</v>
      </c>
      <c r="EG30" s="1" t="n">
        <f aca="false">EE30+EF30</f>
        <v>0</v>
      </c>
      <c r="EH30" s="1" t="n">
        <f aca="false">DX30-EF30+EB30*IF(Slot12_SpendLike=1,ED30-EE30,IF(Slot12_PotFree=1,ED30,0))</f>
        <v>0</v>
      </c>
      <c r="EI30" s="1" t="n">
        <f aca="false">DY30+EB30*Slot12_BufPot*ED30</f>
        <v>0</v>
      </c>
      <c r="EJ30" s="1" t="n">
        <f aca="false">IF(AND(EB30=1,Slot12_IsMfree=1),IF(EG30&gt;=Slot12_Cost-1,0,MAX(0,DZ30-EG30)),DZ30)</f>
        <v>0</v>
      </c>
      <c r="EK30" s="1" t="n">
        <f aca="false">EB30*(Slot12_Cost-EG30)</f>
        <v>0</v>
      </c>
      <c r="EL30" s="1" t="n">
        <f aca="false">IF(AND(Slot13_On=1,D30=Slot13_Age),1,0)</f>
        <v>0</v>
      </c>
      <c r="EM30" s="1" t="n">
        <f aca="false">IF(AND(Slot13_On=1,Slot13_Age&gt;D30),1,0)</f>
        <v>0</v>
      </c>
      <c r="EN30" s="1" t="n">
        <f aca="false">SH29</f>
        <v>0</v>
      </c>
      <c r="EO30" s="1" t="n">
        <f aca="false">EL30*MIN(Slot13_Cost,EN30)</f>
        <v>0</v>
      </c>
      <c r="EP30" s="1" t="n">
        <f aca="false">EL30*Slot13_SpendLike*MIN(Slot13_Cost-EO30,EH30)</f>
        <v>0</v>
      </c>
      <c r="EQ30" s="1" t="n">
        <f aca="false">EO30+EP30</f>
        <v>0</v>
      </c>
      <c r="ER30" s="1" t="n">
        <f aca="false">EH30-EP30+EL30*IF(Slot13_SpendLike=1,EN30-EO30,IF(Slot13_PotFree=1,EN30,0))</f>
        <v>0</v>
      </c>
      <c r="ES30" s="1" t="n">
        <f aca="false">EI30+EL30*Slot13_BufPot*EN30</f>
        <v>0</v>
      </c>
      <c r="ET30" s="1" t="n">
        <f aca="false">IF(AND(EL30=1,Slot13_IsMfree=1),IF(EQ30&gt;=Slot13_Cost-1,0,MAX(0,EJ30-EQ30)),EJ30)</f>
        <v>0</v>
      </c>
      <c r="EU30" s="1" t="n">
        <f aca="false">EL30*(Slot13_Cost-EQ30)</f>
        <v>0</v>
      </c>
      <c r="EV30" s="1" t="n">
        <f aca="false">IF(AND(Slot14_On=1,D30=Slot14_Age),1,0)</f>
        <v>0</v>
      </c>
      <c r="EW30" s="1" t="n">
        <f aca="false">IF(AND(Slot14_On=1,Slot14_Age&gt;D30),1,0)</f>
        <v>0</v>
      </c>
      <c r="EX30" s="1" t="n">
        <f aca="false">SL29</f>
        <v>0</v>
      </c>
      <c r="EY30" s="1" t="n">
        <f aca="false">EV30*MIN(Slot14_Cost,EX30)</f>
        <v>0</v>
      </c>
      <c r="EZ30" s="1" t="n">
        <f aca="false">EV30*Slot14_SpendLike*MIN(Slot14_Cost-EY30,ER30)</f>
        <v>0</v>
      </c>
      <c r="FA30" s="1" t="n">
        <f aca="false">EY30+EZ30</f>
        <v>0</v>
      </c>
      <c r="FB30" s="1" t="n">
        <f aca="false">ER30-EZ30+EV30*IF(Slot14_SpendLike=1,EX30-EY30,IF(Slot14_PotFree=1,EX30,0))</f>
        <v>0</v>
      </c>
      <c r="FC30" s="1" t="n">
        <f aca="false">ES30+EV30*Slot14_BufPot*EX30</f>
        <v>0</v>
      </c>
      <c r="FD30" s="1" t="n">
        <f aca="false">IF(AND(EV30=1,Slot14_IsMfree=1),IF(FA30&gt;=Slot14_Cost-1,0,MAX(0,ET30-FA30)),ET30)</f>
        <v>0</v>
      </c>
      <c r="FE30" s="1" t="n">
        <f aca="false">EV30*(Slot14_Cost-FA30)</f>
        <v>0</v>
      </c>
      <c r="FF30" s="1" t="n">
        <f aca="false">IF(AND(Slot15_On=1,D30=Slot15_Age),1,0)</f>
        <v>0</v>
      </c>
      <c r="FG30" s="1" t="n">
        <f aca="false">IF(AND(Slot15_On=1,Slot15_Age&gt;D30),1,0)</f>
        <v>0</v>
      </c>
      <c r="FH30" s="1" t="n">
        <f aca="false">SP29</f>
        <v>0</v>
      </c>
      <c r="FI30" s="1" t="n">
        <f aca="false">FF30*MIN(Slot15_Cost,FH30)</f>
        <v>0</v>
      </c>
      <c r="FJ30" s="1" t="n">
        <f aca="false">FF30*Slot15_SpendLike*MIN(Slot15_Cost-FI30,FB30)</f>
        <v>0</v>
      </c>
      <c r="FK30" s="1" t="n">
        <f aca="false">FI30+FJ30</f>
        <v>0</v>
      </c>
      <c r="FL30" s="1" t="n">
        <f aca="false">FB30-FJ30+FF30*IF(Slot15_SpendLike=1,FH30-FI30,IF(Slot15_PotFree=1,FH30,0))</f>
        <v>0</v>
      </c>
      <c r="FM30" s="1" t="n">
        <f aca="false">FC30+FF30*Slot15_BufPot*FH30</f>
        <v>0</v>
      </c>
      <c r="FN30" s="1" t="n">
        <f aca="false">IF(AND(FF30=1,Slot15_IsMfree=1),IF(FK30&gt;=Slot15_Cost-1,0,MAX(0,FD30-FK30)),FD30)</f>
        <v>0</v>
      </c>
      <c r="FO30" s="1" t="n">
        <f aca="false">FF30*(Slot15_Cost-FK30)</f>
        <v>0</v>
      </c>
      <c r="FP30" s="1" t="n">
        <f aca="false">IF(AND(Slot16_On=1,D30=Slot16_Age),1,0)</f>
        <v>0</v>
      </c>
      <c r="FQ30" s="1" t="n">
        <f aca="false">IF(AND(Slot16_On=1,Slot16_Age&gt;D30),1,0)</f>
        <v>0</v>
      </c>
      <c r="FR30" s="1" t="n">
        <f aca="false">ST29</f>
        <v>0</v>
      </c>
      <c r="FS30" s="1" t="n">
        <f aca="false">FP30*MIN(Slot16_Cost,FR30)</f>
        <v>0</v>
      </c>
      <c r="FT30" s="1" t="n">
        <f aca="false">FP30*Slot16_SpendLike*MIN(Slot16_Cost-FS30,FL30)</f>
        <v>0</v>
      </c>
      <c r="FU30" s="1" t="n">
        <f aca="false">FS30+FT30</f>
        <v>0</v>
      </c>
      <c r="FV30" s="1" t="n">
        <f aca="false">FL30-FT30+FP30*IF(Slot16_SpendLike=1,FR30-FS30,IF(Slot16_PotFree=1,FR30,0))</f>
        <v>0</v>
      </c>
      <c r="FW30" s="1" t="n">
        <f aca="false">FM30+FP30*Slot16_BufPot*FR30</f>
        <v>0</v>
      </c>
      <c r="FX30" s="1" t="n">
        <f aca="false">IF(AND(FP30=1,Slot16_IsMfree=1),IF(FU30&gt;=Slot16_Cost-1,0,MAX(0,FN30-FU30)),FN30)</f>
        <v>0</v>
      </c>
      <c r="FY30" s="1" t="n">
        <f aca="false">FP30*(Slot16_Cost-FU30)</f>
        <v>0</v>
      </c>
      <c r="FZ30" s="1" t="n">
        <f aca="false">IF(AND(Slot17_On=1,D30=Slot17_Age),1,0)</f>
        <v>0</v>
      </c>
      <c r="GA30" s="1" t="n">
        <f aca="false">IF(AND(Slot17_On=1,Slot17_Age&gt;D30),1,0)</f>
        <v>0</v>
      </c>
      <c r="GB30" s="1" t="n">
        <f aca="false">SX29</f>
        <v>0</v>
      </c>
      <c r="GC30" s="1" t="n">
        <f aca="false">FZ30*MIN(Slot17_Cost,GB30)</f>
        <v>0</v>
      </c>
      <c r="GD30" s="1" t="n">
        <f aca="false">FZ30*Slot17_SpendLike*MIN(Slot17_Cost-GC30,FV30)</f>
        <v>0</v>
      </c>
      <c r="GE30" s="1" t="n">
        <f aca="false">GC30+GD30</f>
        <v>0</v>
      </c>
      <c r="GF30" s="1" t="n">
        <f aca="false">FV30-GD30+FZ30*IF(Slot17_SpendLike=1,GB30-GC30,IF(Slot17_PotFree=1,GB30,0))</f>
        <v>0</v>
      </c>
      <c r="GG30" s="1" t="n">
        <f aca="false">FW30+FZ30*Slot17_BufPot*GB30</f>
        <v>0</v>
      </c>
      <c r="GH30" s="1" t="n">
        <f aca="false">IF(AND(FZ30=1,Slot17_IsMfree=1),IF(GE30&gt;=Slot17_Cost-1,0,MAX(0,FX30-GE30)),FX30)</f>
        <v>0</v>
      </c>
      <c r="GI30" s="1" t="n">
        <f aca="false">FZ30*(Slot17_Cost-GE30)</f>
        <v>0</v>
      </c>
      <c r="GJ30" s="1" t="n">
        <f aca="false">IF(AND(Slot18_On=1,D30=Slot18_Age),1,0)</f>
        <v>0</v>
      </c>
      <c r="GK30" s="1" t="n">
        <f aca="false">IF(AND(Slot18_On=1,Slot18_Age&gt;D30),1,0)</f>
        <v>0</v>
      </c>
      <c r="GL30" s="1" t="n">
        <f aca="false">TB29</f>
        <v>0</v>
      </c>
      <c r="GM30" s="1" t="n">
        <f aca="false">GJ30*MIN(Slot18_Cost,GL30)</f>
        <v>0</v>
      </c>
      <c r="GN30" s="1" t="n">
        <f aca="false">GJ30*Slot18_SpendLike*MIN(Slot18_Cost-GM30,GF30)</f>
        <v>0</v>
      </c>
      <c r="GO30" s="1" t="n">
        <f aca="false">GM30+GN30</f>
        <v>0</v>
      </c>
      <c r="GP30" s="1" t="n">
        <f aca="false">GF30-GN30+GJ30*IF(Slot18_SpendLike=1,GL30-GM30,IF(Slot18_PotFree=1,GL30,0))</f>
        <v>0</v>
      </c>
      <c r="GQ30" s="1" t="n">
        <f aca="false">GG30+GJ30*Slot18_BufPot*GL30</f>
        <v>0</v>
      </c>
      <c r="GR30" s="1" t="n">
        <f aca="false">IF(AND(GJ30=1,Slot18_IsMfree=1),IF(GO30&gt;=Slot18_Cost-1,0,MAX(0,GH30-GO30)),GH30)</f>
        <v>0</v>
      </c>
      <c r="GS30" s="1" t="n">
        <f aca="false">GJ30*(Slot18_Cost-GO30)</f>
        <v>0</v>
      </c>
      <c r="GT30" s="1" t="n">
        <f aca="false">IF(AND(Slot19_On=1,D30=Slot19_Age),1,0)</f>
        <v>0</v>
      </c>
      <c r="GU30" s="1" t="n">
        <f aca="false">IF(AND(Slot19_On=1,Slot19_Age&gt;D30),1,0)</f>
        <v>0</v>
      </c>
      <c r="GV30" s="1" t="n">
        <f aca="false">TF29</f>
        <v>0</v>
      </c>
      <c r="GW30" s="1" t="n">
        <f aca="false">GT30*MIN(Slot19_Cost,GV30)</f>
        <v>0</v>
      </c>
      <c r="GX30" s="1" t="n">
        <f aca="false">GT30*Slot19_SpendLike*MIN(Slot19_Cost-GW30,GP30)</f>
        <v>0</v>
      </c>
      <c r="GY30" s="1" t="n">
        <f aca="false">GW30+GX30</f>
        <v>0</v>
      </c>
      <c r="GZ30" s="1" t="n">
        <f aca="false">GP30-GX30+GT30*IF(Slot19_SpendLike=1,GV30-GW30,IF(Slot19_PotFree=1,GV30,0))</f>
        <v>0</v>
      </c>
      <c r="HA30" s="1" t="n">
        <f aca="false">GQ30+GT30*Slot19_BufPot*GV30</f>
        <v>0</v>
      </c>
      <c r="HB30" s="1" t="n">
        <f aca="false">IF(AND(GT30=1,Slot19_IsMfree=1),IF(GY30&gt;=Slot19_Cost-1,0,MAX(0,GR30-GY30)),GR30)</f>
        <v>0</v>
      </c>
      <c r="HC30" s="1" t="n">
        <f aca="false">GT30*(Slot19_Cost-GY30)</f>
        <v>0</v>
      </c>
      <c r="HD30" s="1" t="n">
        <f aca="false">IF(AND(Slot20_On=1,D30=Slot20_Age),1,0)</f>
        <v>0</v>
      </c>
      <c r="HE30" s="1" t="n">
        <f aca="false">IF(AND(Slot20_On=1,Slot20_Age&gt;D30),1,0)</f>
        <v>0</v>
      </c>
      <c r="HF30" s="1" t="n">
        <f aca="false">TJ29</f>
        <v>0</v>
      </c>
      <c r="HG30" s="1" t="n">
        <f aca="false">HD30*MIN(Slot20_Cost,HF30)</f>
        <v>0</v>
      </c>
      <c r="HH30" s="1" t="n">
        <f aca="false">HD30*Slot20_SpendLike*MIN(Slot20_Cost-HG30,GZ30)</f>
        <v>0</v>
      </c>
      <c r="HI30" s="1" t="n">
        <f aca="false">HG30+HH30</f>
        <v>0</v>
      </c>
      <c r="HJ30" s="1" t="n">
        <f aca="false">GZ30-HH30+HD30*IF(Slot20_SpendLike=1,HF30-HG30,IF(Slot20_PotFree=1,HF30,0))</f>
        <v>0</v>
      </c>
      <c r="HK30" s="1" t="n">
        <f aca="false">HA30+HD30*Slot20_BufPot*HF30</f>
        <v>0</v>
      </c>
      <c r="HL30" s="1" t="n">
        <f aca="false">IF(AND(HD30=1,Slot20_IsMfree=1),IF(HI30&gt;=Slot20_Cost-1,0,MAX(0,HB30-HI30)),HB30)</f>
        <v>0</v>
      </c>
      <c r="HM30" s="1" t="n">
        <f aca="false">HD30*(Slot20_Cost-HI30)</f>
        <v>0</v>
      </c>
      <c r="HN30" s="1" t="n">
        <f aca="false">U30*Slot1_SpendLike*Z30+AF30*Slot2_SpendLike*AK30+AP30*Slot3_SpendLike*AU30+AZ30*Slot4_SpendLike*BE30+BJ30*Slot5_SpendLike*BO30+BT30*Slot6_SpendLike*BY30+CD30*Slot7_SpendLike*CI30+CN30*Slot8_SpendLike*CS30+CX30*Slot9_SpendLike*DC30+DH30*Slot10_SpendLike*DM30+DR30*Slot11_SpendLike*DW30+EB30*Slot12_SpendLike*EG30+EL30*Slot13_SpendLike*EQ30+EV30*Slot14_SpendLike*FA30+FF30*Slot15_SpendLike*FK30+FP30*Slot16_SpendLike*FU30+FZ30*Slot17_SpendLike*GE30+GJ30*Slot18_SpendLike*GO30+GT30*Slot19_SpendLike*GY30+HD30*Slot20_SpendLike*HI30</f>
        <v>0</v>
      </c>
      <c r="HO30" s="1" t="n">
        <f aca="false">AD30+AO30+AY30+BI30+BS30+CC30+CM30+CW30+DG30+DQ30+EA30+EK30+EU30+FE30+FO30+FY30+GI30+GS30+HC30+HM30</f>
        <v>0</v>
      </c>
      <c r="HP30" s="1" t="n">
        <f aca="false">U30*Slot1_Cost+AF30*Slot2_Cost+AP30*Slot3_Cost+AZ30*Slot4_Cost+BJ30*Slot5_Cost+BT30*Slot6_Cost+CD30*Slot7_Cost+CN30*Slot8_Cost+CX30*Slot9_Cost+DH30*Slot10_Cost+DR30*Slot11_Cost+EB30*Slot12_Cost+EL30*Slot13_Cost+EV30*Slot14_Cost+FF30*Slot15_Cost+FP30*Slot16_Cost+FZ30*Slot17_Cost+GJ30*Slot18_Cost+GT30*Slot19_Cost+HD30*Slot20_Cost</f>
        <v>0</v>
      </c>
      <c r="HQ30" s="1" t="n">
        <f aca="false">HL30</f>
        <v>0</v>
      </c>
      <c r="HR30" s="1" t="n">
        <f aca="false">G30-H30-R30</f>
        <v>0</v>
      </c>
      <c r="HS30" s="1" t="n">
        <f aca="false">IF(B30=0,IF(AND(Has_q6=1,In_q6=4),PR_ShareVaries*(MAX(0,HR30)/12),MIN(IF(Has_q6=1,CHOOSE(In_q6+1,PR_SaveB1,PR_SaveB2,PR_SaveB3,PR_SaveB4,0),AS_NoAnswer),AS_SaveShare*(MAX(0,HR30)/12))),HS29)</f>
        <v>0</v>
      </c>
      <c r="HT30" s="1" t="n">
        <f aca="false">IF(HR30&gt;=0,1,0)</f>
        <v>1</v>
      </c>
      <c r="HU30" s="1" t="n">
        <f aca="false">MAX(0,HR30/12/E30)</f>
        <v>0</v>
      </c>
      <c r="HV30" s="1" t="n">
        <f aca="false">IF(AND(Has_q6=1,In_q6=4),PR_ShareVaries*(HU30),MIN(IF(Has_q6=1,CHOOSE(In_q6+1,PR_SaveB1,PR_SaveB2,PR_SaveB3,PR_SaveB4,0),AS_NoAnswer),AS_SaveShare*(HU30)))</f>
        <v>0</v>
      </c>
      <c r="HW30" s="1" t="n">
        <f aca="false">IF(Has_saveM=1,IF(In_saveUp="Yes",1,IF(In_saveUp="No",0,IF(In_saveM&gt;=HS30-0.5,1,0))),0)</f>
        <v>0</v>
      </c>
      <c r="HX30" s="1" t="n">
        <f aca="false">IF(Has_saveM=1,MIN(HU30,IF(HW30=1,MAX(In_saveM,HV30),MIN(In_saveM,HV30))),HV30)</f>
        <v>0</v>
      </c>
      <c r="HY30" s="1" t="n">
        <f aca="false">IF(F30=1,HX30*12*E30,0)</f>
        <v>0</v>
      </c>
      <c r="HZ30" s="1" t="n">
        <f aca="false">MAX(0,HY30+IF(AND(WI_Retire=0,WI_M&lt;0,F30=1),WI_M*12*E30,0))</f>
        <v>0</v>
      </c>
      <c r="IA30" s="1" t="n">
        <f aca="false">Slot1_IsWG*V30+Slot2_IsWG*AG30+Slot3_IsWG*AQ30+Slot4_IsWG*BA30+Slot5_IsWG*BK30+Slot6_IsWG*BU30+Slot7_IsWG*CE30+Slot8_IsWG*CO30+Slot9_IsWG*CY30+Slot10_IsWG*DI30+Slot11_IsWG*DS30+Slot12_IsWG*EC30+Slot13_IsWG*EM30+Slot14_IsWG*EW30+Slot15_IsWG*FG30+Slot16_IsWG*FQ30+Slot17_IsWG*GA30+Slot18_IsWG*GK30+Slot19_IsWG*GU30+Slot20_IsWG*HE30</f>
        <v>0</v>
      </c>
      <c r="IB30" s="1" t="n">
        <f aca="false">IF(AND(WI_Retire=0,WI_M&gt;0,F30=1,IA30&gt;=1),WI_M*12*E30,0)</f>
        <v>0</v>
      </c>
      <c r="IC30" s="1" t="n">
        <f aca="false">IF(HT30=1,MIN(HZ30,HR30),0)</f>
        <v>0</v>
      </c>
      <c r="ID30" s="1" t="n">
        <f aca="false">IF(HT30=1,MIN(IB30,HR30-IC30),0)</f>
        <v>0</v>
      </c>
      <c r="IE30" s="1" t="n">
        <f aca="false">IF(V30=1,IF(ABS((1+AS_Wage)/(1+Slot1_Rate)-1)&lt;0.000000000001,(Slot1_Age-D30)*(1+Slot1_Rate)^(Slot1_Age-D30),(1+Slot1_Rate)^(Slot1_Age-D30)*(1-((1+AS_Wage)/(1+Slot1_Rate))^(Slot1_Age-D30))/(1-(1+AS_Wage)/(1+Slot1_Rate))),1)</f>
        <v>1</v>
      </c>
      <c r="IF30" s="1" t="n">
        <f aca="false">IF(AND(HT30=1,ID30&gt;0,Slot1_IsWG=1,V30=1),MAX(0,(Slot1_Cost-W30*(1+Slot1_Rate)^(Slot1_Age-D30))/IE30),0)</f>
        <v>0</v>
      </c>
      <c r="IG30" s="1" t="n">
        <f aca="false">IF(AND(HT30=1,ID30&gt;0,Slot1_IsWG=1,V30=1),MIN(ID30,IF30),0)</f>
        <v>0</v>
      </c>
      <c r="IH30" s="1" t="n">
        <f aca="false">W30+IG30</f>
        <v>0</v>
      </c>
      <c r="II30" s="1" t="n">
        <f aca="false">IF(V30=1,MAX(0,(Slot1_Cost-IH30*(1+Slot1_Rate)^(Slot1_Age-D30))/IE30),0)</f>
        <v>0</v>
      </c>
      <c r="IJ30" s="1" t="n">
        <f aca="false">IF(V30=1,MAX(0,(Slot1_Cost-W30*(1+Slot1_Rate)^(Slot1_Age-D30))/IE30),0)</f>
        <v>0</v>
      </c>
      <c r="IK30" s="1" t="n">
        <f aca="false">IF(AND(HT30=1,V30=1),MIN(IC30,II30),0)</f>
        <v>0</v>
      </c>
      <c r="IL30" s="1" t="n">
        <f aca="false">IC30-IK30</f>
        <v>0</v>
      </c>
      <c r="IM30" s="1" t="n">
        <f aca="false">IF(AG30=1,IF(ABS((1+AS_Wage)/(1+Slot2_Rate)-1)&lt;0.000000000001,(Slot2_Age-D30)*(1+Slot2_Rate)^(Slot2_Age-D30),(1+Slot2_Rate)^(Slot2_Age-D30)*(1-((1+AS_Wage)/(1+Slot2_Rate))^(Slot2_Age-D30))/(1-(1+AS_Wage)/(1+Slot2_Rate))),1)</f>
        <v>1</v>
      </c>
      <c r="IN30" s="1" t="n">
        <f aca="false">IF(AND(HT30=1,ID30&gt;0,Slot2_IsWG=1,AG30=1),MAX(0,(Slot2_Cost-AH30*(1+Slot2_Rate)^(Slot2_Age-D30))/IM30),0)</f>
        <v>0</v>
      </c>
      <c r="IO30" s="1" t="n">
        <f aca="false">IF(AND(HT30=1,ID30&gt;0,Slot2_IsWG=1,AG30=1),MIN(ID30,IN30),0)</f>
        <v>0</v>
      </c>
      <c r="IP30" s="1" t="n">
        <f aca="false">AH30+IO30</f>
        <v>0</v>
      </c>
      <c r="IQ30" s="1" t="n">
        <f aca="false">IF(AG30=1,MAX(0,(Slot2_Cost-IP30*(1+Slot2_Rate)^(Slot2_Age-D30))/IM30),0)</f>
        <v>0</v>
      </c>
      <c r="IR30" s="1" t="n">
        <f aca="false">IF(AG30=1,MAX(0,(Slot2_Cost-AH30*(1+Slot2_Rate)^(Slot2_Age-D30))/IM30),0)</f>
        <v>0</v>
      </c>
      <c r="IS30" s="1" t="n">
        <f aca="false">IF(AND(HT30=1,AG30=1),MIN(IL30,IQ30),0)</f>
        <v>0</v>
      </c>
      <c r="IT30" s="1" t="n">
        <f aca="false">IL30-IS30</f>
        <v>0</v>
      </c>
      <c r="IU30" s="1" t="n">
        <f aca="false">IF(AQ30=1,IF(ABS((1+AS_Wage)/(1+Slot3_Rate)-1)&lt;0.000000000001,(Slot3_Age-D30)*(1+Slot3_Rate)^(Slot3_Age-D30),(1+Slot3_Rate)^(Slot3_Age-D30)*(1-((1+AS_Wage)/(1+Slot3_Rate))^(Slot3_Age-D30))/(1-(1+AS_Wage)/(1+Slot3_Rate))),1)</f>
        <v>1</v>
      </c>
      <c r="IV30" s="1" t="n">
        <f aca="false">IF(AND(HT30=1,ID30&gt;0,Slot3_IsWG=1,AQ30=1),MAX(0,(Slot3_Cost-AR30*(1+Slot3_Rate)^(Slot3_Age-D30))/IU30),0)</f>
        <v>0</v>
      </c>
      <c r="IW30" s="1" t="n">
        <f aca="false">IF(AND(HT30=1,ID30&gt;0,Slot3_IsWG=1,AQ30=1),MIN(ID30,IV30),0)</f>
        <v>0</v>
      </c>
      <c r="IX30" s="1" t="n">
        <f aca="false">AR30+IW30</f>
        <v>0</v>
      </c>
      <c r="IY30" s="1" t="n">
        <f aca="false">IF(AQ30=1,MAX(0,(Slot3_Cost-IX30*(1+Slot3_Rate)^(Slot3_Age-D30))/IU30),0)</f>
        <v>0</v>
      </c>
      <c r="IZ30" s="1" t="n">
        <f aca="false">IF(AQ30=1,MAX(0,(Slot3_Cost-AR30*(1+Slot3_Rate)^(Slot3_Age-D30))/IU30),0)</f>
        <v>0</v>
      </c>
      <c r="JA30" s="1" t="n">
        <f aca="false">IF(AND(HT30=1,AQ30=1),MIN(IT30,IY30),0)</f>
        <v>0</v>
      </c>
      <c r="JB30" s="1" t="n">
        <f aca="false">IT30-JA30</f>
        <v>0</v>
      </c>
      <c r="JC30" s="1" t="n">
        <f aca="false">IF(BA30=1,IF(ABS((1+AS_Wage)/(1+Slot4_Rate)-1)&lt;0.000000000001,(Slot4_Age-D30)*(1+Slot4_Rate)^(Slot4_Age-D30),(1+Slot4_Rate)^(Slot4_Age-D30)*(1-((1+AS_Wage)/(1+Slot4_Rate))^(Slot4_Age-D30))/(1-(1+AS_Wage)/(1+Slot4_Rate))),1)</f>
        <v>1</v>
      </c>
      <c r="JD30" s="1" t="n">
        <f aca="false">IF(AND(HT30=1,ID30&gt;0,Slot4_IsWG=1,BA30=1),MAX(0,(Slot4_Cost-BB30*(1+Slot4_Rate)^(Slot4_Age-D30))/JC30),0)</f>
        <v>0</v>
      </c>
      <c r="JE30" s="1" t="n">
        <f aca="false">IF(AND(HT30=1,ID30&gt;0,Slot4_IsWG=1,BA30=1),MIN(ID30,JD30),0)</f>
        <v>0</v>
      </c>
      <c r="JF30" s="1" t="n">
        <f aca="false">BB30+JE30</f>
        <v>0</v>
      </c>
      <c r="JG30" s="1" t="n">
        <f aca="false">IF(BA30=1,MAX(0,(Slot4_Cost-JF30*(1+Slot4_Rate)^(Slot4_Age-D30))/JC30),0)</f>
        <v>0</v>
      </c>
      <c r="JH30" s="1" t="n">
        <f aca="false">IF(BA30=1,MAX(0,(Slot4_Cost-BB30*(1+Slot4_Rate)^(Slot4_Age-D30))/JC30),0)</f>
        <v>0</v>
      </c>
      <c r="JI30" s="1" t="n">
        <f aca="false">IF(AND(HT30=1,BA30=1),MIN(JB30,JG30),0)</f>
        <v>0</v>
      </c>
      <c r="JJ30" s="1" t="n">
        <f aca="false">JB30-JI30</f>
        <v>0</v>
      </c>
      <c r="JK30" s="1" t="n">
        <f aca="false">IF(BK30=1,IF(ABS((1+AS_Wage)/(1+Slot5_Rate)-1)&lt;0.000000000001,(Slot5_Age-D30)*(1+Slot5_Rate)^(Slot5_Age-D30),(1+Slot5_Rate)^(Slot5_Age-D30)*(1-((1+AS_Wage)/(1+Slot5_Rate))^(Slot5_Age-D30))/(1-(1+AS_Wage)/(1+Slot5_Rate))),1)</f>
        <v>1</v>
      </c>
      <c r="JL30" s="1" t="n">
        <f aca="false">IF(AND(HT30=1,ID30&gt;0,Slot5_IsWG=1,BK30=1),MAX(0,(Slot5_Cost-BL30*(1+Slot5_Rate)^(Slot5_Age-D30))/JK30),0)</f>
        <v>0</v>
      </c>
      <c r="JM30" s="1" t="n">
        <f aca="false">IF(AND(HT30=1,ID30&gt;0,Slot5_IsWG=1,BK30=1),MIN(ID30,JL30),0)</f>
        <v>0</v>
      </c>
      <c r="JN30" s="1" t="n">
        <f aca="false">BL30+JM30</f>
        <v>0</v>
      </c>
      <c r="JO30" s="1" t="n">
        <f aca="false">IF(BK30=1,MAX(0,(Slot5_Cost-JN30*(1+Slot5_Rate)^(Slot5_Age-D30))/JK30),0)</f>
        <v>0</v>
      </c>
      <c r="JP30" s="1" t="n">
        <f aca="false">IF(BK30=1,MAX(0,(Slot5_Cost-BL30*(1+Slot5_Rate)^(Slot5_Age-D30))/JK30),0)</f>
        <v>0</v>
      </c>
      <c r="JQ30" s="1" t="n">
        <f aca="false">IF(AND(HT30=1,BK30=1),MIN(JJ30,JO30),0)</f>
        <v>0</v>
      </c>
      <c r="JR30" s="1" t="n">
        <f aca="false">JJ30-JQ30</f>
        <v>0</v>
      </c>
      <c r="JS30" s="1" t="n">
        <f aca="false">IF(BU30=1,IF(ABS((1+AS_Wage)/(1+Slot6_Rate)-1)&lt;0.000000000001,(Slot6_Age-D30)*(1+Slot6_Rate)^(Slot6_Age-D30),(1+Slot6_Rate)^(Slot6_Age-D30)*(1-((1+AS_Wage)/(1+Slot6_Rate))^(Slot6_Age-D30))/(1-(1+AS_Wage)/(1+Slot6_Rate))),1)</f>
        <v>1</v>
      </c>
      <c r="JT30" s="1" t="n">
        <f aca="false">IF(AND(HT30=1,ID30&gt;0,Slot6_IsWG=1,BU30=1),MAX(0,(Slot6_Cost-BV30*(1+Slot6_Rate)^(Slot6_Age-D30))/JS30),0)</f>
        <v>0</v>
      </c>
      <c r="JU30" s="1" t="n">
        <f aca="false">IF(AND(HT30=1,ID30&gt;0,Slot6_IsWG=1,BU30=1),MIN(ID30,JT30),0)</f>
        <v>0</v>
      </c>
      <c r="JV30" s="1" t="n">
        <f aca="false">BV30+JU30</f>
        <v>0</v>
      </c>
      <c r="JW30" s="1" t="n">
        <f aca="false">IF(BU30=1,MAX(0,(Slot6_Cost-JV30*(1+Slot6_Rate)^(Slot6_Age-D30))/JS30),0)</f>
        <v>0</v>
      </c>
      <c r="JX30" s="1" t="n">
        <f aca="false">IF(BU30=1,MAX(0,(Slot6_Cost-BV30*(1+Slot6_Rate)^(Slot6_Age-D30))/JS30),0)</f>
        <v>0</v>
      </c>
      <c r="JY30" s="1" t="n">
        <f aca="false">IF(AND(HT30=1,BU30=1),MIN(JR30,JW30),0)</f>
        <v>0</v>
      </c>
      <c r="JZ30" s="1" t="n">
        <f aca="false">JR30-JY30</f>
        <v>0</v>
      </c>
      <c r="KA30" s="1" t="n">
        <f aca="false">IF(CE30=1,IF(ABS((1+AS_Wage)/(1+Slot7_Rate)-1)&lt;0.000000000001,(Slot7_Age-D30)*(1+Slot7_Rate)^(Slot7_Age-D30),(1+Slot7_Rate)^(Slot7_Age-D30)*(1-((1+AS_Wage)/(1+Slot7_Rate))^(Slot7_Age-D30))/(1-(1+AS_Wage)/(1+Slot7_Rate))),1)</f>
        <v>1</v>
      </c>
      <c r="KB30" s="1" t="n">
        <f aca="false">IF(AND(HT30=1,ID30&gt;0,Slot7_IsWG=1,CE30=1),MAX(0,(Slot7_Cost-CF30*(1+Slot7_Rate)^(Slot7_Age-D30))/KA30),0)</f>
        <v>0</v>
      </c>
      <c r="KC30" s="1" t="n">
        <f aca="false">IF(AND(HT30=1,ID30&gt;0,Slot7_IsWG=1,CE30=1),MIN(ID30,KB30),0)</f>
        <v>0</v>
      </c>
      <c r="KD30" s="1" t="n">
        <f aca="false">CF30+KC30</f>
        <v>0</v>
      </c>
      <c r="KE30" s="1" t="n">
        <f aca="false">IF(CE30=1,MAX(0,(Slot7_Cost-KD30*(1+Slot7_Rate)^(Slot7_Age-D30))/KA30),0)</f>
        <v>0</v>
      </c>
      <c r="KF30" s="1" t="n">
        <f aca="false">IF(CE30=1,MAX(0,(Slot7_Cost-CF30*(1+Slot7_Rate)^(Slot7_Age-D30))/KA30),0)</f>
        <v>0</v>
      </c>
      <c r="KG30" s="1" t="n">
        <f aca="false">IF(AND(HT30=1,CE30=1),MIN(JZ30,KE30),0)</f>
        <v>0</v>
      </c>
      <c r="KH30" s="1" t="n">
        <f aca="false">JZ30-KG30</f>
        <v>0</v>
      </c>
      <c r="KI30" s="1" t="n">
        <f aca="false">IF(CO30=1,IF(ABS((1+AS_Wage)/(1+Slot8_Rate)-1)&lt;0.000000000001,(Slot8_Age-D30)*(1+Slot8_Rate)^(Slot8_Age-D30),(1+Slot8_Rate)^(Slot8_Age-D30)*(1-((1+AS_Wage)/(1+Slot8_Rate))^(Slot8_Age-D30))/(1-(1+AS_Wage)/(1+Slot8_Rate))),1)</f>
        <v>1</v>
      </c>
      <c r="KJ30" s="1" t="n">
        <f aca="false">IF(AND(HT30=1,ID30&gt;0,Slot8_IsWG=1,CO30=1),MAX(0,(Slot8_Cost-CP30*(1+Slot8_Rate)^(Slot8_Age-D30))/KI30),0)</f>
        <v>0</v>
      </c>
      <c r="KK30" s="1" t="n">
        <f aca="false">IF(AND(HT30=1,ID30&gt;0,Slot8_IsWG=1,CO30=1),MIN(ID30,KJ30),0)</f>
        <v>0</v>
      </c>
      <c r="KL30" s="1" t="n">
        <f aca="false">CP30+KK30</f>
        <v>0</v>
      </c>
      <c r="KM30" s="1" t="n">
        <f aca="false">IF(CO30=1,MAX(0,(Slot8_Cost-KL30*(1+Slot8_Rate)^(Slot8_Age-D30))/KI30),0)</f>
        <v>0</v>
      </c>
      <c r="KN30" s="1" t="n">
        <f aca="false">IF(CO30=1,MAX(0,(Slot8_Cost-CP30*(1+Slot8_Rate)^(Slot8_Age-D30))/KI30),0)</f>
        <v>0</v>
      </c>
      <c r="KO30" s="1" t="n">
        <f aca="false">IF(AND(HT30=1,CO30=1),MIN(KH30,KM30),0)</f>
        <v>0</v>
      </c>
      <c r="KP30" s="1" t="n">
        <f aca="false">KH30-KO30</f>
        <v>0</v>
      </c>
      <c r="KQ30" s="1" t="n">
        <f aca="false">IF(CY30=1,IF(ABS((1+AS_Wage)/(1+Slot9_Rate)-1)&lt;0.000000000001,(Slot9_Age-D30)*(1+Slot9_Rate)^(Slot9_Age-D30),(1+Slot9_Rate)^(Slot9_Age-D30)*(1-((1+AS_Wage)/(1+Slot9_Rate))^(Slot9_Age-D30))/(1-(1+AS_Wage)/(1+Slot9_Rate))),1)</f>
        <v>1</v>
      </c>
      <c r="KR30" s="1" t="n">
        <f aca="false">IF(AND(HT30=1,ID30&gt;0,Slot9_IsWG=1,CY30=1),MAX(0,(Slot9_Cost-CZ30*(1+Slot9_Rate)^(Slot9_Age-D30))/KQ30),0)</f>
        <v>0</v>
      </c>
      <c r="KS30" s="1" t="n">
        <f aca="false">IF(AND(HT30=1,ID30&gt;0,Slot9_IsWG=1,CY30=1),MIN(ID30,KR30),0)</f>
        <v>0</v>
      </c>
      <c r="KT30" s="1" t="n">
        <f aca="false">CZ30+KS30</f>
        <v>0</v>
      </c>
      <c r="KU30" s="1" t="n">
        <f aca="false">IF(CY30=1,MAX(0,(Slot9_Cost-KT30*(1+Slot9_Rate)^(Slot9_Age-D30))/KQ30),0)</f>
        <v>0</v>
      </c>
      <c r="KV30" s="1" t="n">
        <f aca="false">IF(CY30=1,MAX(0,(Slot9_Cost-CZ30*(1+Slot9_Rate)^(Slot9_Age-D30))/KQ30),0)</f>
        <v>0</v>
      </c>
      <c r="KW30" s="1" t="n">
        <f aca="false">IF(AND(HT30=1,CY30=1),MIN(KP30,KU30),0)</f>
        <v>0</v>
      </c>
      <c r="KX30" s="1" t="n">
        <f aca="false">KP30-KW30</f>
        <v>0</v>
      </c>
      <c r="KY30" s="1" t="n">
        <f aca="false">IF(DI30=1,IF(ABS((1+AS_Wage)/(1+Slot10_Rate)-1)&lt;0.000000000001,(Slot10_Age-D30)*(1+Slot10_Rate)^(Slot10_Age-D30),(1+Slot10_Rate)^(Slot10_Age-D30)*(1-((1+AS_Wage)/(1+Slot10_Rate))^(Slot10_Age-D30))/(1-(1+AS_Wage)/(1+Slot10_Rate))),1)</f>
        <v>1</v>
      </c>
      <c r="KZ30" s="1" t="n">
        <f aca="false">IF(AND(HT30=1,ID30&gt;0,Slot10_IsWG=1,DI30=1),MAX(0,(Slot10_Cost-DJ30*(1+Slot10_Rate)^(Slot10_Age-D30))/KY30),0)</f>
        <v>0</v>
      </c>
      <c r="LA30" s="1" t="n">
        <f aca="false">IF(AND(HT30=1,ID30&gt;0,Slot10_IsWG=1,DI30=1),MIN(ID30,KZ30),0)</f>
        <v>0</v>
      </c>
      <c r="LB30" s="1" t="n">
        <f aca="false">DJ30+LA30</f>
        <v>0</v>
      </c>
      <c r="LC30" s="1" t="n">
        <f aca="false">IF(DI30=1,MAX(0,(Slot10_Cost-LB30*(1+Slot10_Rate)^(Slot10_Age-D30))/KY30),0)</f>
        <v>0</v>
      </c>
      <c r="LD30" s="1" t="n">
        <f aca="false">IF(DI30=1,MAX(0,(Slot10_Cost-DJ30*(1+Slot10_Rate)^(Slot10_Age-D30))/KY30),0)</f>
        <v>0</v>
      </c>
      <c r="LE30" s="1" t="n">
        <f aca="false">IF(AND(HT30=1,DI30=1),MIN(KX30,LC30),0)</f>
        <v>0</v>
      </c>
      <c r="LF30" s="1" t="n">
        <f aca="false">KX30-LE30</f>
        <v>0</v>
      </c>
      <c r="LG30" s="1" t="n">
        <f aca="false">IF(DS30=1,IF(ABS((1+AS_Wage)/(1+Slot11_Rate)-1)&lt;0.000000000001,(Slot11_Age-D30)*(1+Slot11_Rate)^(Slot11_Age-D30),(1+Slot11_Rate)^(Slot11_Age-D30)*(1-((1+AS_Wage)/(1+Slot11_Rate))^(Slot11_Age-D30))/(1-(1+AS_Wage)/(1+Slot11_Rate))),1)</f>
        <v>1</v>
      </c>
      <c r="LH30" s="1" t="n">
        <f aca="false">IF(AND(HT30=1,ID30&gt;0,Slot11_IsWG=1,DS30=1),MAX(0,(Slot11_Cost-DT30*(1+Slot11_Rate)^(Slot11_Age-D30))/LG30),0)</f>
        <v>0</v>
      </c>
      <c r="LI30" s="1" t="n">
        <f aca="false">IF(AND(HT30=1,ID30&gt;0,Slot11_IsWG=1,DS30=1),MIN(ID30,LH30),0)</f>
        <v>0</v>
      </c>
      <c r="LJ30" s="1" t="n">
        <f aca="false">DT30+LI30</f>
        <v>0</v>
      </c>
      <c r="LK30" s="1" t="n">
        <f aca="false">IF(DS30=1,MAX(0,(Slot11_Cost-LJ30*(1+Slot11_Rate)^(Slot11_Age-D30))/LG30),0)</f>
        <v>0</v>
      </c>
      <c r="LL30" s="1" t="n">
        <f aca="false">IF(DS30=1,MAX(0,(Slot11_Cost-DT30*(1+Slot11_Rate)^(Slot11_Age-D30))/LG30),0)</f>
        <v>0</v>
      </c>
      <c r="LM30" s="1" t="n">
        <f aca="false">IF(AND(HT30=1,DS30=1),MIN(LF30,LK30),0)</f>
        <v>0</v>
      </c>
      <c r="LN30" s="1" t="n">
        <f aca="false">LF30-LM30</f>
        <v>0</v>
      </c>
      <c r="LO30" s="1" t="n">
        <f aca="false">IF(EC30=1,IF(ABS((1+AS_Wage)/(1+Slot12_Rate)-1)&lt;0.000000000001,(Slot12_Age-D30)*(1+Slot12_Rate)^(Slot12_Age-D30),(1+Slot12_Rate)^(Slot12_Age-D30)*(1-((1+AS_Wage)/(1+Slot12_Rate))^(Slot12_Age-D30))/(1-(1+AS_Wage)/(1+Slot12_Rate))),1)</f>
        <v>1</v>
      </c>
      <c r="LP30" s="1" t="n">
        <f aca="false">IF(AND(HT30=1,ID30&gt;0,Slot12_IsWG=1,EC30=1),MAX(0,(Slot12_Cost-ED30*(1+Slot12_Rate)^(Slot12_Age-D30))/LO30),0)</f>
        <v>0</v>
      </c>
      <c r="LQ30" s="1" t="n">
        <f aca="false">IF(AND(HT30=1,ID30&gt;0,Slot12_IsWG=1,EC30=1),MIN(ID30,LP30),0)</f>
        <v>0</v>
      </c>
      <c r="LR30" s="1" t="n">
        <f aca="false">ED30+LQ30</f>
        <v>0</v>
      </c>
      <c r="LS30" s="1" t="n">
        <f aca="false">IF(EC30=1,MAX(0,(Slot12_Cost-LR30*(1+Slot12_Rate)^(Slot12_Age-D30))/LO30),0)</f>
        <v>0</v>
      </c>
      <c r="LT30" s="1" t="n">
        <f aca="false">IF(EC30=1,MAX(0,(Slot12_Cost-ED30*(1+Slot12_Rate)^(Slot12_Age-D30))/LO30),0)</f>
        <v>0</v>
      </c>
      <c r="LU30" s="1" t="n">
        <f aca="false">IF(AND(HT30=1,EC30=1),MIN(LN30,LS30),0)</f>
        <v>0</v>
      </c>
      <c r="LV30" s="1" t="n">
        <f aca="false">LN30-LU30</f>
        <v>0</v>
      </c>
      <c r="LW30" s="1" t="n">
        <f aca="false">IF(EM30=1,IF(ABS((1+AS_Wage)/(1+Slot13_Rate)-1)&lt;0.000000000001,(Slot13_Age-D30)*(1+Slot13_Rate)^(Slot13_Age-D30),(1+Slot13_Rate)^(Slot13_Age-D30)*(1-((1+AS_Wage)/(1+Slot13_Rate))^(Slot13_Age-D30))/(1-(1+AS_Wage)/(1+Slot13_Rate))),1)</f>
        <v>1</v>
      </c>
      <c r="LX30" s="1" t="n">
        <f aca="false">IF(AND(HT30=1,ID30&gt;0,Slot13_IsWG=1,EM30=1),MAX(0,(Slot13_Cost-EN30*(1+Slot13_Rate)^(Slot13_Age-D30))/LW30),0)</f>
        <v>0</v>
      </c>
      <c r="LY30" s="1" t="n">
        <f aca="false">IF(AND(HT30=1,ID30&gt;0,Slot13_IsWG=1,EM30=1),MIN(ID30,LX30),0)</f>
        <v>0</v>
      </c>
      <c r="LZ30" s="1" t="n">
        <f aca="false">EN30+LY30</f>
        <v>0</v>
      </c>
      <c r="MA30" s="1" t="n">
        <f aca="false">IF(EM30=1,MAX(0,(Slot13_Cost-LZ30*(1+Slot13_Rate)^(Slot13_Age-D30))/LW30),0)</f>
        <v>0</v>
      </c>
      <c r="MB30" s="1" t="n">
        <f aca="false">IF(EM30=1,MAX(0,(Slot13_Cost-EN30*(1+Slot13_Rate)^(Slot13_Age-D30))/LW30),0)</f>
        <v>0</v>
      </c>
      <c r="MC30" s="1" t="n">
        <f aca="false">IF(AND(HT30=1,EM30=1),MIN(LV30,MA30),0)</f>
        <v>0</v>
      </c>
      <c r="MD30" s="1" t="n">
        <f aca="false">LV30-MC30</f>
        <v>0</v>
      </c>
      <c r="ME30" s="1" t="n">
        <f aca="false">IF(EW30=1,IF(ABS((1+AS_Wage)/(1+Slot14_Rate)-1)&lt;0.000000000001,(Slot14_Age-D30)*(1+Slot14_Rate)^(Slot14_Age-D30),(1+Slot14_Rate)^(Slot14_Age-D30)*(1-((1+AS_Wage)/(1+Slot14_Rate))^(Slot14_Age-D30))/(1-(1+AS_Wage)/(1+Slot14_Rate))),1)</f>
        <v>1</v>
      </c>
      <c r="MF30" s="1" t="n">
        <f aca="false">IF(AND(HT30=1,ID30&gt;0,Slot14_IsWG=1,EW30=1),MAX(0,(Slot14_Cost-EX30*(1+Slot14_Rate)^(Slot14_Age-D30))/ME30),0)</f>
        <v>0</v>
      </c>
      <c r="MG30" s="1" t="n">
        <f aca="false">IF(AND(HT30=1,ID30&gt;0,Slot14_IsWG=1,EW30=1),MIN(ID30,MF30),0)</f>
        <v>0</v>
      </c>
      <c r="MH30" s="1" t="n">
        <f aca="false">EX30+MG30</f>
        <v>0</v>
      </c>
      <c r="MI30" s="1" t="n">
        <f aca="false">IF(EW30=1,MAX(0,(Slot14_Cost-MH30*(1+Slot14_Rate)^(Slot14_Age-D30))/ME30),0)</f>
        <v>0</v>
      </c>
      <c r="MJ30" s="1" t="n">
        <f aca="false">IF(EW30=1,MAX(0,(Slot14_Cost-EX30*(1+Slot14_Rate)^(Slot14_Age-D30))/ME30),0)</f>
        <v>0</v>
      </c>
      <c r="MK30" s="1" t="n">
        <f aca="false">IF(AND(HT30=1,EW30=1),MIN(MD30,MI30),0)</f>
        <v>0</v>
      </c>
      <c r="ML30" s="1" t="n">
        <f aca="false">MD30-MK30</f>
        <v>0</v>
      </c>
      <c r="MM30" s="1" t="n">
        <f aca="false">IF(FG30=1,IF(ABS((1+AS_Wage)/(1+Slot15_Rate)-1)&lt;0.000000000001,(Slot15_Age-D30)*(1+Slot15_Rate)^(Slot15_Age-D30),(1+Slot15_Rate)^(Slot15_Age-D30)*(1-((1+AS_Wage)/(1+Slot15_Rate))^(Slot15_Age-D30))/(1-(1+AS_Wage)/(1+Slot15_Rate))),1)</f>
        <v>1</v>
      </c>
      <c r="MN30" s="1" t="n">
        <f aca="false">IF(AND(HT30=1,ID30&gt;0,Slot15_IsWG=1,FG30=1),MAX(0,(Slot15_Cost-FH30*(1+Slot15_Rate)^(Slot15_Age-D30))/MM30),0)</f>
        <v>0</v>
      </c>
      <c r="MO30" s="1" t="n">
        <f aca="false">IF(AND(HT30=1,ID30&gt;0,Slot15_IsWG=1,FG30=1),MIN(ID30,MN30),0)</f>
        <v>0</v>
      </c>
      <c r="MP30" s="1" t="n">
        <f aca="false">FH30+MO30</f>
        <v>0</v>
      </c>
      <c r="MQ30" s="1" t="n">
        <f aca="false">IF(FG30=1,MAX(0,(Slot15_Cost-MP30*(1+Slot15_Rate)^(Slot15_Age-D30))/MM30),0)</f>
        <v>0</v>
      </c>
      <c r="MR30" s="1" t="n">
        <f aca="false">IF(FG30=1,MAX(0,(Slot15_Cost-FH30*(1+Slot15_Rate)^(Slot15_Age-D30))/MM30),0)</f>
        <v>0</v>
      </c>
      <c r="MS30" s="1" t="n">
        <f aca="false">IF(AND(HT30=1,FG30=1),MIN(ML30,MQ30),0)</f>
        <v>0</v>
      </c>
      <c r="MT30" s="1" t="n">
        <f aca="false">ML30-MS30</f>
        <v>0</v>
      </c>
      <c r="MU30" s="1" t="n">
        <f aca="false">IF(FQ30=1,IF(ABS((1+AS_Wage)/(1+Slot16_Rate)-1)&lt;0.000000000001,(Slot16_Age-D30)*(1+Slot16_Rate)^(Slot16_Age-D30),(1+Slot16_Rate)^(Slot16_Age-D30)*(1-((1+AS_Wage)/(1+Slot16_Rate))^(Slot16_Age-D30))/(1-(1+AS_Wage)/(1+Slot16_Rate))),1)</f>
        <v>1</v>
      </c>
      <c r="MV30" s="1" t="n">
        <f aca="false">IF(AND(HT30=1,ID30&gt;0,Slot16_IsWG=1,FQ30=1),MAX(0,(Slot16_Cost-FR30*(1+Slot16_Rate)^(Slot16_Age-D30))/MU30),0)</f>
        <v>0</v>
      </c>
      <c r="MW30" s="1" t="n">
        <f aca="false">IF(AND(HT30=1,ID30&gt;0,Slot16_IsWG=1,FQ30=1),MIN(ID30,MV30),0)</f>
        <v>0</v>
      </c>
      <c r="MX30" s="1" t="n">
        <f aca="false">FR30+MW30</f>
        <v>0</v>
      </c>
      <c r="MY30" s="1" t="n">
        <f aca="false">IF(FQ30=1,MAX(0,(Slot16_Cost-MX30*(1+Slot16_Rate)^(Slot16_Age-D30))/MU30),0)</f>
        <v>0</v>
      </c>
      <c r="MZ30" s="1" t="n">
        <f aca="false">IF(FQ30=1,MAX(0,(Slot16_Cost-FR30*(1+Slot16_Rate)^(Slot16_Age-D30))/MU30),0)</f>
        <v>0</v>
      </c>
      <c r="NA30" s="1" t="n">
        <f aca="false">IF(AND(HT30=1,FQ30=1),MIN(MT30,MY30),0)</f>
        <v>0</v>
      </c>
      <c r="NB30" s="1" t="n">
        <f aca="false">MT30-NA30</f>
        <v>0</v>
      </c>
      <c r="NC30" s="1" t="n">
        <f aca="false">IF(GA30=1,IF(ABS((1+AS_Wage)/(1+Slot17_Rate)-1)&lt;0.000000000001,(Slot17_Age-D30)*(1+Slot17_Rate)^(Slot17_Age-D30),(1+Slot17_Rate)^(Slot17_Age-D30)*(1-((1+AS_Wage)/(1+Slot17_Rate))^(Slot17_Age-D30))/(1-(1+AS_Wage)/(1+Slot17_Rate))),1)</f>
        <v>1</v>
      </c>
      <c r="ND30" s="1" t="n">
        <f aca="false">IF(AND(HT30=1,ID30&gt;0,Slot17_IsWG=1,GA30=1),MAX(0,(Slot17_Cost-GB30*(1+Slot17_Rate)^(Slot17_Age-D30))/NC30),0)</f>
        <v>0</v>
      </c>
      <c r="NE30" s="1" t="n">
        <f aca="false">IF(AND(HT30=1,ID30&gt;0,Slot17_IsWG=1,GA30=1),MIN(ID30,ND30),0)</f>
        <v>0</v>
      </c>
      <c r="NF30" s="1" t="n">
        <f aca="false">GB30+NE30</f>
        <v>0</v>
      </c>
      <c r="NG30" s="1" t="n">
        <f aca="false">IF(GA30=1,MAX(0,(Slot17_Cost-NF30*(1+Slot17_Rate)^(Slot17_Age-D30))/NC30),0)</f>
        <v>0</v>
      </c>
      <c r="NH30" s="1" t="n">
        <f aca="false">IF(GA30=1,MAX(0,(Slot17_Cost-GB30*(1+Slot17_Rate)^(Slot17_Age-D30))/NC30),0)</f>
        <v>0</v>
      </c>
      <c r="NI30" s="1" t="n">
        <f aca="false">IF(AND(HT30=1,GA30=1),MIN(NB30,NG30),0)</f>
        <v>0</v>
      </c>
      <c r="NJ30" s="1" t="n">
        <f aca="false">NB30-NI30</f>
        <v>0</v>
      </c>
      <c r="NK30" s="1" t="n">
        <f aca="false">IF(GK30=1,IF(ABS((1+AS_Wage)/(1+Slot18_Rate)-1)&lt;0.000000000001,(Slot18_Age-D30)*(1+Slot18_Rate)^(Slot18_Age-D30),(1+Slot18_Rate)^(Slot18_Age-D30)*(1-((1+AS_Wage)/(1+Slot18_Rate))^(Slot18_Age-D30))/(1-(1+AS_Wage)/(1+Slot18_Rate))),1)</f>
        <v>1</v>
      </c>
      <c r="NL30" s="1" t="n">
        <f aca="false">IF(AND(HT30=1,ID30&gt;0,Slot18_IsWG=1,GK30=1),MAX(0,(Slot18_Cost-GL30*(1+Slot18_Rate)^(Slot18_Age-D30))/NK30),0)</f>
        <v>0</v>
      </c>
      <c r="NM30" s="1" t="n">
        <f aca="false">IF(AND(HT30=1,ID30&gt;0,Slot18_IsWG=1,GK30=1),MIN(ID30,NL30),0)</f>
        <v>0</v>
      </c>
      <c r="NN30" s="1" t="n">
        <f aca="false">GL30+NM30</f>
        <v>0</v>
      </c>
      <c r="NO30" s="1" t="n">
        <f aca="false">IF(GK30=1,MAX(0,(Slot18_Cost-NN30*(1+Slot18_Rate)^(Slot18_Age-D30))/NK30),0)</f>
        <v>0</v>
      </c>
      <c r="NP30" s="1" t="n">
        <f aca="false">IF(GK30=1,MAX(0,(Slot18_Cost-GL30*(1+Slot18_Rate)^(Slot18_Age-D30))/NK30),0)</f>
        <v>0</v>
      </c>
      <c r="NQ30" s="1" t="n">
        <f aca="false">IF(AND(HT30=1,GK30=1),MIN(NJ30,NO30),0)</f>
        <v>0</v>
      </c>
      <c r="NR30" s="1" t="n">
        <f aca="false">NJ30-NQ30</f>
        <v>0</v>
      </c>
      <c r="NS30" s="1" t="n">
        <f aca="false">IF(GU30=1,IF(ABS((1+AS_Wage)/(1+Slot19_Rate)-1)&lt;0.000000000001,(Slot19_Age-D30)*(1+Slot19_Rate)^(Slot19_Age-D30),(1+Slot19_Rate)^(Slot19_Age-D30)*(1-((1+AS_Wage)/(1+Slot19_Rate))^(Slot19_Age-D30))/(1-(1+AS_Wage)/(1+Slot19_Rate))),1)</f>
        <v>1</v>
      </c>
      <c r="NT30" s="1" t="n">
        <f aca="false">IF(AND(HT30=1,ID30&gt;0,Slot19_IsWG=1,GU30=1),MAX(0,(Slot19_Cost-GV30*(1+Slot19_Rate)^(Slot19_Age-D30))/NS30),0)</f>
        <v>0</v>
      </c>
      <c r="NU30" s="1" t="n">
        <f aca="false">IF(AND(HT30=1,ID30&gt;0,Slot19_IsWG=1,GU30=1),MIN(ID30,NT30),0)</f>
        <v>0</v>
      </c>
      <c r="NV30" s="1" t="n">
        <f aca="false">GV30+NU30</f>
        <v>0</v>
      </c>
      <c r="NW30" s="1" t="n">
        <f aca="false">IF(GU30=1,MAX(0,(Slot19_Cost-NV30*(1+Slot19_Rate)^(Slot19_Age-D30))/NS30),0)</f>
        <v>0</v>
      </c>
      <c r="NX30" s="1" t="n">
        <f aca="false">IF(GU30=1,MAX(0,(Slot19_Cost-GV30*(1+Slot19_Rate)^(Slot19_Age-D30))/NS30),0)</f>
        <v>0</v>
      </c>
      <c r="NY30" s="1" t="n">
        <f aca="false">IF(AND(HT30=1,GU30=1),MIN(NR30,NW30),0)</f>
        <v>0</v>
      </c>
      <c r="NZ30" s="1" t="n">
        <f aca="false">NR30-NY30</f>
        <v>0</v>
      </c>
      <c r="OA30" s="1" t="n">
        <f aca="false">IF(HE30=1,IF(ABS((1+AS_Wage)/(1+Slot20_Rate)-1)&lt;0.000000000001,(Slot20_Age-D30)*(1+Slot20_Rate)^(Slot20_Age-D30),(1+Slot20_Rate)^(Slot20_Age-D30)*(1-((1+AS_Wage)/(1+Slot20_Rate))^(Slot20_Age-D30))/(1-(1+AS_Wage)/(1+Slot20_Rate))),1)</f>
        <v>1</v>
      </c>
      <c r="OB30" s="1" t="n">
        <f aca="false">IF(AND(HT30=1,ID30&gt;0,Slot20_IsWG=1,HE30=1),MAX(0,(Slot20_Cost-HF30*(1+Slot20_Rate)^(Slot20_Age-D30))/OA30),0)</f>
        <v>0</v>
      </c>
      <c r="OC30" s="1" t="n">
        <f aca="false">IF(AND(HT30=1,ID30&gt;0,Slot20_IsWG=1,HE30=1),MIN(ID30,OB30),0)</f>
        <v>0</v>
      </c>
      <c r="OD30" s="1" t="n">
        <f aca="false">HF30+OC30</f>
        <v>0</v>
      </c>
      <c r="OE30" s="1" t="n">
        <f aca="false">IF(HE30=1,MAX(0,(Slot20_Cost-OD30*(1+Slot20_Rate)^(Slot20_Age-D30))/OA30),0)</f>
        <v>0</v>
      </c>
      <c r="OF30" s="1" t="n">
        <f aca="false">IF(HE30=1,MAX(0,(Slot20_Cost-HF30*(1+Slot20_Rate)^(Slot20_Age-D30))/OA30),0)</f>
        <v>0</v>
      </c>
      <c r="OG30" s="1" t="n">
        <f aca="false">IF(AND(HT30=1,HE30=1),MIN(NZ30,OE30),0)</f>
        <v>0</v>
      </c>
      <c r="OH30" s="1" t="n">
        <f aca="false">NZ30-OG30</f>
        <v>0</v>
      </c>
      <c r="OI30" s="1" t="n">
        <f aca="false">ID30-(IG30+IO30+IW30+JE30+JM30+JU30+KC30+KK30+KS30+LA30+LI30+LQ30+LY30+MG30+MO30+MW30+NE30+NM30+NU30+OC30)</f>
        <v>0</v>
      </c>
      <c r="OJ30" s="1" t="n">
        <f aca="false">IF(HT30=1,HR30-IC30-ID30,0)</f>
        <v>0</v>
      </c>
      <c r="OK30" s="1" t="n">
        <f aca="false">IF(HT30=0,-HR30,0)</f>
        <v>0</v>
      </c>
      <c r="OL30" s="1" t="n">
        <f aca="false">MIN(OK30,HJ30)</f>
        <v>0</v>
      </c>
      <c r="OM30" s="1" t="n">
        <f aca="false">OK30-OL30</f>
        <v>0</v>
      </c>
      <c r="ON30" s="1" t="n">
        <f aca="false">MIN(OM30,HK30)</f>
        <v>0</v>
      </c>
      <c r="OO30" s="1" t="n">
        <f aca="false">OM30-ON30</f>
        <v>0</v>
      </c>
      <c r="OP30" s="1" t="n">
        <f aca="false">IF(AND(HT30=0,HE30=1,OO30&gt;0),MIN(OO30,HF30),0)</f>
        <v>0</v>
      </c>
      <c r="OQ30" s="1" t="n">
        <f aca="false">OO30-OP30</f>
        <v>0</v>
      </c>
      <c r="OR30" s="1" t="n">
        <f aca="false">IF(AND(HT30=0,GU30=1,OQ30&gt;0),MIN(OQ30,GV30),0)</f>
        <v>0</v>
      </c>
      <c r="OS30" s="1" t="n">
        <f aca="false">OQ30-OR30</f>
        <v>0</v>
      </c>
      <c r="OT30" s="1" t="n">
        <f aca="false">IF(AND(HT30=0,GK30=1,OS30&gt;0),MIN(OS30,GL30),0)</f>
        <v>0</v>
      </c>
      <c r="OU30" s="1" t="n">
        <f aca="false">OS30-OT30</f>
        <v>0</v>
      </c>
      <c r="OV30" s="1" t="n">
        <f aca="false">IF(AND(HT30=0,GA30=1,OU30&gt;0),MIN(OU30,GB30),0)</f>
        <v>0</v>
      </c>
      <c r="OW30" s="1" t="n">
        <f aca="false">OU30-OV30</f>
        <v>0</v>
      </c>
      <c r="OX30" s="1" t="n">
        <f aca="false">IF(AND(HT30=0,FQ30=1,OW30&gt;0),MIN(OW30,FR30),0)</f>
        <v>0</v>
      </c>
      <c r="OY30" s="1" t="n">
        <f aca="false">OW30-OX30</f>
        <v>0</v>
      </c>
      <c r="OZ30" s="1" t="n">
        <f aca="false">IF(AND(HT30=0,FG30=1,OY30&gt;0),MIN(OY30,FH30),0)</f>
        <v>0</v>
      </c>
      <c r="PA30" s="1" t="n">
        <f aca="false">OY30-OZ30</f>
        <v>0</v>
      </c>
      <c r="PB30" s="1" t="n">
        <f aca="false">IF(AND(HT30=0,EW30=1,PA30&gt;0),MIN(PA30,EX30),0)</f>
        <v>0</v>
      </c>
      <c r="PC30" s="1" t="n">
        <f aca="false">PA30-PB30</f>
        <v>0</v>
      </c>
      <c r="PD30" s="1" t="n">
        <f aca="false">IF(AND(HT30=0,EM30=1,PC30&gt;0),MIN(PC30,EN30),0)</f>
        <v>0</v>
      </c>
      <c r="PE30" s="1" t="n">
        <f aca="false">PC30-PD30</f>
        <v>0</v>
      </c>
      <c r="PF30" s="1" t="n">
        <f aca="false">IF(AND(HT30=0,EC30=1,PE30&gt;0),MIN(PE30,ED30),0)</f>
        <v>0</v>
      </c>
      <c r="PG30" s="1" t="n">
        <f aca="false">PE30-PF30</f>
        <v>0</v>
      </c>
      <c r="PH30" s="1" t="n">
        <f aca="false">IF(AND(HT30=0,DS30=1,PG30&gt;0),MIN(PG30,DT30),0)</f>
        <v>0</v>
      </c>
      <c r="PI30" s="1" t="n">
        <f aca="false">PG30-PH30</f>
        <v>0</v>
      </c>
      <c r="PJ30" s="1" t="n">
        <f aca="false">IF(AND(HT30=0,DI30=1,PI30&gt;0),MIN(PI30,DJ30),0)</f>
        <v>0</v>
      </c>
      <c r="PK30" s="1" t="n">
        <f aca="false">PI30-PJ30</f>
        <v>0</v>
      </c>
      <c r="PL30" s="1" t="n">
        <f aca="false">IF(AND(HT30=0,CY30=1,PK30&gt;0),MIN(PK30,CZ30),0)</f>
        <v>0</v>
      </c>
      <c r="PM30" s="1" t="n">
        <f aca="false">PK30-PL30</f>
        <v>0</v>
      </c>
      <c r="PN30" s="1" t="n">
        <f aca="false">IF(AND(HT30=0,CO30=1,PM30&gt;0),MIN(PM30,CP30),0)</f>
        <v>0</v>
      </c>
      <c r="PO30" s="1" t="n">
        <f aca="false">PM30-PN30</f>
        <v>0</v>
      </c>
      <c r="PP30" s="1" t="n">
        <f aca="false">IF(AND(HT30=0,CE30=1,PO30&gt;0),MIN(PO30,CF30),0)</f>
        <v>0</v>
      </c>
      <c r="PQ30" s="1" t="n">
        <f aca="false">PO30-PP30</f>
        <v>0</v>
      </c>
      <c r="PR30" s="1" t="n">
        <f aca="false">IF(AND(HT30=0,BU30=1,PQ30&gt;0),MIN(PQ30,BV30),0)</f>
        <v>0</v>
      </c>
      <c r="PS30" s="1" t="n">
        <f aca="false">PQ30-PR30</f>
        <v>0</v>
      </c>
      <c r="PT30" s="1" t="n">
        <f aca="false">IF(AND(HT30=0,BK30=1,PS30&gt;0),MIN(PS30,BL30),0)</f>
        <v>0</v>
      </c>
      <c r="PU30" s="1" t="n">
        <f aca="false">PS30-PT30</f>
        <v>0</v>
      </c>
      <c r="PV30" s="1" t="n">
        <f aca="false">IF(AND(HT30=0,BA30=1,PU30&gt;0),MIN(PU30,BB30),0)</f>
        <v>0</v>
      </c>
      <c r="PW30" s="1" t="n">
        <f aca="false">PU30-PV30</f>
        <v>0</v>
      </c>
      <c r="PX30" s="1" t="n">
        <f aca="false">IF(AND(HT30=0,AQ30=1,PW30&gt;0),MIN(PW30,AR30),0)</f>
        <v>0</v>
      </c>
      <c r="PY30" s="1" t="n">
        <f aca="false">PW30-PX30</f>
        <v>0</v>
      </c>
      <c r="PZ30" s="1" t="n">
        <f aca="false">IF(AND(HT30=0,AG30=1,PY30&gt;0),MIN(PY30,AH30),0)</f>
        <v>0</v>
      </c>
      <c r="QA30" s="1" t="n">
        <f aca="false">PY30-PZ30</f>
        <v>0</v>
      </c>
      <c r="QB30" s="1" t="n">
        <f aca="false">IF(AND(HT30=0,V30=1,QA30&gt;0),MIN(QA30,W30),0)</f>
        <v>0</v>
      </c>
      <c r="QC30" s="1" t="n">
        <f aca="false">QA30-QB30</f>
        <v>0</v>
      </c>
      <c r="QD30" s="1" t="n">
        <f aca="false">IF(HT30=0,QC30,0)</f>
        <v>0</v>
      </c>
      <c r="QE30" s="1" t="n">
        <f aca="false">OL30+ON30+QB30+PZ30+PX30+PV30+PT30+PR30+PP30+PN30+PL30+PJ30+PH30+PF30+PD30+PB30+OZ30+OX30+OV30+OT30+OR30+OP30</f>
        <v>0</v>
      </c>
      <c r="QF30" s="1" t="n">
        <f aca="false">IF(HT30=1,HJ30+OI30+OH30+IF(F30=1,0,OJ30),HJ30-OL30)</f>
        <v>0</v>
      </c>
      <c r="QG30" s="1" t="n">
        <f aca="false">HK30-ON30</f>
        <v>0</v>
      </c>
      <c r="QH30" s="1" t="n">
        <f aca="false">IF(HT30=1,IF(F30=1,IC30+ID30,HR30),0)</f>
        <v>0</v>
      </c>
      <c r="QI30" s="1" t="n">
        <f aca="false">IF(HT30=1,IF(F30=1,HR30-IC30-ID30,0),0)</f>
        <v>0</v>
      </c>
      <c r="QJ30" s="1" t="n">
        <f aca="false">QF30*(1+GR)</f>
        <v>0</v>
      </c>
      <c r="QK30" s="1" t="n">
        <f aca="false">QG30*(1+AS_Cash)</f>
        <v>0</v>
      </c>
      <c r="QL30" s="1" t="n">
        <f aca="false">IF(V30=1,IF(HT30=1,IH30+IK30,W30-QB30)*(1+Slot1_Rate),0)</f>
        <v>0</v>
      </c>
      <c r="QM30" s="1" t="n">
        <f aca="false">IF(AND(HT30=1,V30=1),(IG30+IK30)/E30,0)</f>
        <v>0</v>
      </c>
      <c r="QN30" s="1" t="n">
        <f aca="false">IF(B30=0,IG30+IK30,0)</f>
        <v>0</v>
      </c>
      <c r="QO30" s="1" t="n">
        <f aca="false">IF(B30=0,IF(HT30=1,II30,IJ30),0)</f>
        <v>0</v>
      </c>
      <c r="QP30" s="1" t="n">
        <f aca="false">IF(AG30=1,IF(HT30=1,IP30+IS30,AH30-PZ30)*(1+Slot2_Rate),0)</f>
        <v>0</v>
      </c>
      <c r="QQ30" s="1" t="n">
        <f aca="false">IF(AND(HT30=1,AG30=1),(IO30+IS30)/E30,0)</f>
        <v>0</v>
      </c>
      <c r="QR30" s="1" t="n">
        <f aca="false">IF(B30=0,IO30+IS30,0)</f>
        <v>0</v>
      </c>
      <c r="QS30" s="1" t="n">
        <f aca="false">IF(B30=0,IF(HT30=1,IQ30,IR30),0)</f>
        <v>0</v>
      </c>
      <c r="QT30" s="1" t="n">
        <f aca="false">IF(AQ30=1,IF(HT30=1,IX30+JA30,AR30-PX30)*(1+Slot3_Rate),0)</f>
        <v>0</v>
      </c>
      <c r="QU30" s="1" t="n">
        <f aca="false">IF(AND(HT30=1,AQ30=1),(IW30+JA30)/E30,0)</f>
        <v>0</v>
      </c>
      <c r="QV30" s="1" t="n">
        <f aca="false">IF(B30=0,IW30+JA30,0)</f>
        <v>0</v>
      </c>
      <c r="QW30" s="1" t="n">
        <f aca="false">IF(B30=0,IF(HT30=1,IY30,IZ30),0)</f>
        <v>0</v>
      </c>
      <c r="QX30" s="1" t="n">
        <f aca="false">IF(BA30=1,IF(HT30=1,JF30+JI30,BB30-PV30)*(1+Slot4_Rate),0)</f>
        <v>0</v>
      </c>
      <c r="QY30" s="1" t="n">
        <f aca="false">IF(AND(HT30=1,BA30=1),(JE30+JI30)/E30,0)</f>
        <v>0</v>
      </c>
      <c r="QZ30" s="1" t="n">
        <f aca="false">IF(B30=0,JE30+JI30,0)</f>
        <v>0</v>
      </c>
      <c r="RA30" s="1" t="n">
        <f aca="false">IF(B30=0,IF(HT30=1,JG30,JH30),0)</f>
        <v>0</v>
      </c>
      <c r="RB30" s="1" t="n">
        <f aca="false">IF(BK30=1,IF(HT30=1,JN30+JQ30,BL30-PT30)*(1+Slot5_Rate),0)</f>
        <v>0</v>
      </c>
      <c r="RC30" s="1" t="n">
        <f aca="false">IF(AND(HT30=1,BK30=1),(JM30+JQ30)/E30,0)</f>
        <v>0</v>
      </c>
      <c r="RD30" s="1" t="n">
        <f aca="false">IF(B30=0,JM30+JQ30,0)</f>
        <v>0</v>
      </c>
      <c r="RE30" s="1" t="n">
        <f aca="false">IF(B30=0,IF(HT30=1,JO30,JP30),0)</f>
        <v>0</v>
      </c>
      <c r="RF30" s="1" t="n">
        <f aca="false">IF(BU30=1,IF(HT30=1,JV30+JY30,BV30-PR30)*(1+Slot6_Rate),0)</f>
        <v>0</v>
      </c>
      <c r="RG30" s="1" t="n">
        <f aca="false">IF(AND(HT30=1,BU30=1),(JU30+JY30)/E30,0)</f>
        <v>0</v>
      </c>
      <c r="RH30" s="1" t="n">
        <f aca="false">IF(B30=0,JU30+JY30,0)</f>
        <v>0</v>
      </c>
      <c r="RI30" s="1" t="n">
        <f aca="false">IF(B30=0,IF(HT30=1,JW30,JX30),0)</f>
        <v>0</v>
      </c>
      <c r="RJ30" s="1" t="n">
        <f aca="false">IF(CE30=1,IF(HT30=1,KD30+KG30,CF30-PP30)*(1+Slot7_Rate),0)</f>
        <v>0</v>
      </c>
      <c r="RK30" s="1" t="n">
        <f aca="false">IF(AND(HT30=1,CE30=1),(KC30+KG30)/E30,0)</f>
        <v>0</v>
      </c>
      <c r="RL30" s="1" t="n">
        <f aca="false">IF(B30=0,KC30+KG30,0)</f>
        <v>0</v>
      </c>
      <c r="RM30" s="1" t="n">
        <f aca="false">IF(B30=0,IF(HT30=1,KE30,KF30),0)</f>
        <v>0</v>
      </c>
      <c r="RN30" s="1" t="n">
        <f aca="false">IF(CO30=1,IF(HT30=1,KL30+KO30,CP30-PN30)*(1+Slot8_Rate),0)</f>
        <v>0</v>
      </c>
      <c r="RO30" s="1" t="n">
        <f aca="false">IF(AND(HT30=1,CO30=1),(KK30+KO30)/E30,0)</f>
        <v>0</v>
      </c>
      <c r="RP30" s="1" t="n">
        <f aca="false">IF(B30=0,KK30+KO30,0)</f>
        <v>0</v>
      </c>
      <c r="RQ30" s="1" t="n">
        <f aca="false">IF(B30=0,IF(HT30=1,KM30,KN30),0)</f>
        <v>0</v>
      </c>
      <c r="RR30" s="1" t="n">
        <f aca="false">IF(CY30=1,IF(HT30=1,KT30+KW30,CZ30-PL30)*(1+Slot9_Rate),0)</f>
        <v>0</v>
      </c>
      <c r="RS30" s="1" t="n">
        <f aca="false">IF(AND(HT30=1,CY30=1),(KS30+KW30)/E30,0)</f>
        <v>0</v>
      </c>
      <c r="RT30" s="1" t="n">
        <f aca="false">IF(B30=0,KS30+KW30,0)</f>
        <v>0</v>
      </c>
      <c r="RU30" s="1" t="n">
        <f aca="false">IF(B30=0,IF(HT30=1,KU30,KV30),0)</f>
        <v>0</v>
      </c>
      <c r="RV30" s="1" t="n">
        <f aca="false">IF(DI30=1,IF(HT30=1,LB30+LE30,DJ30-PJ30)*(1+Slot10_Rate),0)</f>
        <v>0</v>
      </c>
      <c r="RW30" s="1" t="n">
        <f aca="false">IF(AND(HT30=1,DI30=1),(LA30+LE30)/E30,0)</f>
        <v>0</v>
      </c>
      <c r="RX30" s="1" t="n">
        <f aca="false">IF(B30=0,LA30+LE30,0)</f>
        <v>0</v>
      </c>
      <c r="RY30" s="1" t="n">
        <f aca="false">IF(B30=0,IF(HT30=1,LC30,LD30),0)</f>
        <v>0</v>
      </c>
      <c r="RZ30" s="1" t="n">
        <f aca="false">IF(DS30=1,IF(HT30=1,LJ30+LM30,DT30-PH30)*(1+Slot11_Rate),0)</f>
        <v>0</v>
      </c>
      <c r="SA30" s="1" t="n">
        <f aca="false">IF(AND(HT30=1,DS30=1),(LI30+LM30)/E30,0)</f>
        <v>0</v>
      </c>
      <c r="SB30" s="1" t="n">
        <f aca="false">IF(B30=0,LI30+LM30,0)</f>
        <v>0</v>
      </c>
      <c r="SC30" s="1" t="n">
        <f aca="false">IF(B30=0,IF(HT30=1,LK30,LL30),0)</f>
        <v>0</v>
      </c>
      <c r="SD30" s="1" t="n">
        <f aca="false">IF(EC30=1,IF(HT30=1,LR30+LU30,ED30-PF30)*(1+Slot12_Rate),0)</f>
        <v>0</v>
      </c>
      <c r="SE30" s="1" t="n">
        <f aca="false">IF(AND(HT30=1,EC30=1),(LQ30+LU30)/E30,0)</f>
        <v>0</v>
      </c>
      <c r="SF30" s="1" t="n">
        <f aca="false">IF(B30=0,LQ30+LU30,0)</f>
        <v>0</v>
      </c>
      <c r="SG30" s="1" t="n">
        <f aca="false">IF(B30=0,IF(HT30=1,LS30,LT30),0)</f>
        <v>0</v>
      </c>
      <c r="SH30" s="1" t="n">
        <f aca="false">IF(EM30=1,IF(HT30=1,LZ30+MC30,EN30-PD30)*(1+Slot13_Rate),0)</f>
        <v>0</v>
      </c>
      <c r="SI30" s="1" t="n">
        <f aca="false">IF(AND(HT30=1,EM30=1),(LY30+MC30)/E30,0)</f>
        <v>0</v>
      </c>
      <c r="SJ30" s="1" t="n">
        <f aca="false">IF(B30=0,LY30+MC30,0)</f>
        <v>0</v>
      </c>
      <c r="SK30" s="1" t="n">
        <f aca="false">IF(B30=0,IF(HT30=1,MA30,MB30),0)</f>
        <v>0</v>
      </c>
      <c r="SL30" s="1" t="n">
        <f aca="false">IF(EW30=1,IF(HT30=1,MH30+MK30,EX30-PB30)*(1+Slot14_Rate),0)</f>
        <v>0</v>
      </c>
      <c r="SM30" s="1" t="n">
        <f aca="false">IF(AND(HT30=1,EW30=1),(MG30+MK30)/E30,0)</f>
        <v>0</v>
      </c>
      <c r="SN30" s="1" t="n">
        <f aca="false">IF(B30=0,MG30+MK30,0)</f>
        <v>0</v>
      </c>
      <c r="SO30" s="1" t="n">
        <f aca="false">IF(B30=0,IF(HT30=1,MI30,MJ30),0)</f>
        <v>0</v>
      </c>
      <c r="SP30" s="1" t="n">
        <f aca="false">IF(FG30=1,IF(HT30=1,MP30+MS30,FH30-OZ30)*(1+Slot15_Rate),0)</f>
        <v>0</v>
      </c>
      <c r="SQ30" s="1" t="n">
        <f aca="false">IF(AND(HT30=1,FG30=1),(MO30+MS30)/E30,0)</f>
        <v>0</v>
      </c>
      <c r="SR30" s="1" t="n">
        <f aca="false">IF(B30=0,MO30+MS30,0)</f>
        <v>0</v>
      </c>
      <c r="SS30" s="1" t="n">
        <f aca="false">IF(B30=0,IF(HT30=1,MQ30,MR30),0)</f>
        <v>0</v>
      </c>
      <c r="ST30" s="1" t="n">
        <f aca="false">IF(FQ30=1,IF(HT30=1,MX30+NA30,FR30-OX30)*(1+Slot16_Rate),0)</f>
        <v>0</v>
      </c>
      <c r="SU30" s="1" t="n">
        <f aca="false">IF(AND(HT30=1,FQ30=1),(MW30+NA30)/E30,0)</f>
        <v>0</v>
      </c>
      <c r="SV30" s="1" t="n">
        <f aca="false">IF(B30=0,MW30+NA30,0)</f>
        <v>0</v>
      </c>
      <c r="SW30" s="1" t="n">
        <f aca="false">IF(B30=0,IF(HT30=1,MY30,MZ30),0)</f>
        <v>0</v>
      </c>
      <c r="SX30" s="1" t="n">
        <f aca="false">IF(GA30=1,IF(HT30=1,NF30+NI30,GB30-OV30)*(1+Slot17_Rate),0)</f>
        <v>0</v>
      </c>
      <c r="SY30" s="1" t="n">
        <f aca="false">IF(AND(HT30=1,GA30=1),(NE30+NI30)/E30,0)</f>
        <v>0</v>
      </c>
      <c r="SZ30" s="1" t="n">
        <f aca="false">IF(B30=0,NE30+NI30,0)</f>
        <v>0</v>
      </c>
      <c r="TA30" s="1" t="n">
        <f aca="false">IF(B30=0,IF(HT30=1,NG30,NH30),0)</f>
        <v>0</v>
      </c>
      <c r="TB30" s="1" t="n">
        <f aca="false">IF(GK30=1,IF(HT30=1,NN30+NQ30,GL30-OT30)*(1+Slot18_Rate),0)</f>
        <v>0</v>
      </c>
      <c r="TC30" s="1" t="n">
        <f aca="false">IF(AND(HT30=1,GK30=1),(NM30+NQ30)/E30,0)</f>
        <v>0</v>
      </c>
      <c r="TD30" s="1" t="n">
        <f aca="false">IF(B30=0,NM30+NQ30,0)</f>
        <v>0</v>
      </c>
      <c r="TE30" s="1" t="n">
        <f aca="false">IF(B30=0,IF(HT30=1,NO30,NP30),0)</f>
        <v>0</v>
      </c>
      <c r="TF30" s="1" t="n">
        <f aca="false">IF(GU30=1,IF(HT30=1,NV30+NY30,GV30-OR30)*(1+Slot19_Rate),0)</f>
        <v>0</v>
      </c>
      <c r="TG30" s="1" t="n">
        <f aca="false">IF(AND(HT30=1,GU30=1),(NU30+NY30)/E30,0)</f>
        <v>0</v>
      </c>
      <c r="TH30" s="1" t="n">
        <f aca="false">IF(B30=0,NU30+NY30,0)</f>
        <v>0</v>
      </c>
      <c r="TI30" s="1" t="n">
        <f aca="false">IF(B30=0,IF(HT30=1,NW30,NX30),0)</f>
        <v>0</v>
      </c>
      <c r="TJ30" s="1" t="n">
        <f aca="false">IF(HE30=1,IF(HT30=1,OD30+OG30,HF30-OP30)*(1+Slot20_Rate),0)</f>
        <v>0</v>
      </c>
      <c r="TK30" s="1" t="n">
        <f aca="false">IF(AND(HT30=1,HE30=1),(OC30+OG30)/E30,0)</f>
        <v>0</v>
      </c>
      <c r="TL30" s="1" t="n">
        <f aca="false">IF(B30=0,OC30+OG30,0)</f>
        <v>0</v>
      </c>
      <c r="TM30" s="1" t="n">
        <f aca="false">IF(B30=0,IF(HT30=1,OE30,OF30),0)</f>
        <v>0</v>
      </c>
      <c r="TN30" s="1" t="n">
        <f aca="false">QJ30+QK30+QL30+QP30+QT30+QX30+RB30+RF30+RJ30+RN30+RR30+RV30+RZ30+SD30+SH30+SL30+SP30+ST30+SX30+TB30+TF30+TJ30</f>
        <v>0</v>
      </c>
      <c r="TO30" s="1" t="n">
        <f aca="false">QD30+HO30</f>
        <v>0</v>
      </c>
      <c r="TP30" s="1" t="n">
        <f aca="false">H30+R30</f>
        <v>0</v>
      </c>
      <c r="TQ30" s="1" t="n">
        <f aca="false">1-F30</f>
        <v>0</v>
      </c>
      <c r="TR30" s="1" t="n">
        <f aca="false">IF(AND(RG_Exists=1,F30=0,C30=1),H30,0)</f>
        <v>0</v>
      </c>
      <c r="TS30" s="1" t="n">
        <f aca="false">IF(AND(RG_Exists=1,F30=0,C30=1),H30-MIN(QD30,H30),0)</f>
        <v>0</v>
      </c>
      <c r="TT30" s="1" t="n">
        <f aca="false">'Plan pay &amp; tax'!AD256</f>
        <v>0</v>
      </c>
      <c r="TU30" s="1" t="n">
        <f aca="false">IF(AND(C30=1,QD30&gt;MAX(PR_Short1,TP30*PR_Short2)),1,0)</f>
        <v>0</v>
      </c>
      <c r="TV30" s="1" t="n">
        <f aca="false">MIN(G30,H30+R30)</f>
        <v>0</v>
      </c>
      <c r="TW30" s="1" t="n">
        <f aca="false">QE30+MAX(0,HP30-HO30)</f>
        <v>0</v>
      </c>
      <c r="TX30" s="1" t="n">
        <f aca="false">QD30+HO30</f>
        <v>0</v>
      </c>
      <c r="TY30" s="1" t="n">
        <f aca="false">IF(AND(C30=1,TX30&gt;PR_MinShort),1,0)</f>
        <v>0</v>
      </c>
      <c r="TZ30" s="1" t="n">
        <f aca="false">IF(AND(C30=1,TY30=0,TW30&gt;PR_MinShort),1,0)</f>
        <v>0</v>
      </c>
      <c r="UA30" s="1" t="n">
        <f aca="false">IF(AND(C30=1,QD30&gt;PR_MinShort),1,0)</f>
        <v>0</v>
      </c>
      <c r="UB30" s="1" t="n">
        <f aca="false">IF(AND(C30=1,QE30&gt;1,UI30=0),1,0)</f>
        <v>0</v>
      </c>
      <c r="UC30" s="1" t="str">
        <f aca="false">IF(C30=0,"",IF(UI30=1,"Gap to plan for: short "&amp;"€"&amp;TEXT(ROUND(TO30,0),"#,##0"),IF(QE30&gt;1,"Using savings","Comfortable")))</f>
        <v>Comfortable</v>
      </c>
      <c r="UD30" s="1" t="n">
        <f aca="false">IF(AND(INT(D30/10)*10=90,B30&gt;0),80,INT(D30/10)*10)</f>
        <v>20</v>
      </c>
      <c r="UE30" s="1" t="n">
        <f aca="false">IF(B30=0,1,IF(UD30&lt;&gt;UD29,UE29+1,UE29))</f>
        <v>3</v>
      </c>
      <c r="UF30" s="1" t="n">
        <f aca="false">IF(AND(C30=1,F30=1,QD30&gt;MAX(PR_Short1,TP30*PR_Short2)),1,0)</f>
        <v>0</v>
      </c>
      <c r="UG30" s="1" t="n">
        <f aca="false">TQ30*TU30</f>
        <v>0</v>
      </c>
      <c r="UH30" s="1" t="n">
        <f aca="false">IF(AND(U30=1,Slot1_PctLow=1),1,0)+IF(AND(AF30=1,Slot2_PctLow=1),1,0)+IF(AND(AP30=1,Slot3_PctLow=1),1,0)+IF(AND(AZ30=1,Slot4_PctLow=1),1,0)+IF(AND(BJ30=1,Slot5_PctLow=1),1,0)+IF(AND(BT30=1,Slot6_PctLow=1),1,0)+IF(AND(CD30=1,Slot7_PctLow=1),1,0)+IF(AND(CN30=1,Slot8_PctLow=1),1,0)+IF(AND(CX30=1,Slot9_PctLow=1),1,0)+IF(AND(DH30=1,Slot10_PctLow=1),1,0)+IF(AND(DR30=1,Slot11_PctLow=1),1,0)+IF(AND(EB30=1,Slot12_PctLow=1),1,0)+IF(AND(EL30=1,Slot13_PctLow=1),1,0)+IF(AND(EV30=1,Slot14_PctLow=1),1,0)+IF(AND(FF30=1,Slot15_PctLow=1),1,0)+IF(AND(FP30=1,Slot16_PctLow=1),1,0)+IF(AND(FZ30=1,Slot17_PctLow=1),1,0)+IF(AND(GJ30=1,Slot18_PctLow=1),1,0)+IF(AND(GT30=1,Slot19_PctLow=1),1,0)+IF(AND(HD30=1,Slot20_PctLow=1),1,0)</f>
        <v>0</v>
      </c>
      <c r="UI30" s="1" t="n">
        <f aca="false">IF(C30=1,IF(OR(TU30=1,UH30&gt;0),1,0),0)</f>
        <v>0</v>
      </c>
    </row>
    <row r="31" customFormat="false" ht="15" hidden="false" customHeight="true" outlineLevel="0" collapsed="false">
      <c r="B31" s="1" t="n">
        <v>23</v>
      </c>
      <c r="C31" s="1" t="n">
        <f aca="false">IF(B31&lt;=F_N,1,0)</f>
        <v>1</v>
      </c>
      <c r="D31" s="1" t="n">
        <f aca="false">'Plan pay &amp; tax'!C257</f>
        <v>23</v>
      </c>
      <c r="E31" s="111" t="n">
        <f aca="false">'Plan pay &amp; tax'!E257</f>
        <v>1.5768992641914</v>
      </c>
      <c r="F31" s="1" t="n">
        <f aca="false">'Plan pay &amp; tax'!G257</f>
        <v>1</v>
      </c>
      <c r="G31" s="1" t="n">
        <f aca="false">'Plan pay &amp; tax'!BT257-'Plan pay &amp; tax'!BS257-'Plan pay &amp; tax'!R257</f>
        <v>0</v>
      </c>
      <c r="H31" s="1" t="n">
        <f aca="false">IF(F31=1,F_CostsM*12,IF(RG_Exists=1,RG_Amount,F_CostsM*12*AS_RetireSpend))*E31+F_OneOffY*E31</f>
        <v>0</v>
      </c>
      <c r="I31" s="1" t="n">
        <f aca="false">HQ30</f>
        <v>0</v>
      </c>
      <c r="J31" s="1" t="n">
        <f aca="false">IF(I31&gt;1,'Plan debt months'!AC31,0)</f>
        <v>0</v>
      </c>
      <c r="K31" s="1" t="n">
        <f aca="false">IF(I31&gt;1,'Plan debt months'!AB31,I31)</f>
        <v>0</v>
      </c>
      <c r="L31" s="1" t="n">
        <f aca="false">N30</f>
        <v>0</v>
      </c>
      <c r="M31" s="1" t="n">
        <f aca="false">IF(L31&gt;1,'Plan debt months'!BD31,0)</f>
        <v>0</v>
      </c>
      <c r="N31" s="1" t="n">
        <f aca="false">IF(L31&gt;1,'Plan debt months'!BC31,L31)</f>
        <v>0</v>
      </c>
      <c r="O31" s="1" t="n">
        <f aca="false">Q30</f>
        <v>0</v>
      </c>
      <c r="P31" s="1" t="n">
        <f aca="false">IF(O31&gt;1,'Plan debt months'!CE31,0)</f>
        <v>0</v>
      </c>
      <c r="Q31" s="1" t="n">
        <f aca="false">IF(O31&gt;1,'Plan debt months'!CD31,O31)</f>
        <v>0</v>
      </c>
      <c r="R31" s="1" t="n">
        <f aca="false">J31+M31+P31</f>
        <v>0</v>
      </c>
      <c r="S31" s="1" t="n">
        <f aca="false">QJ30+'Plan pay &amp; tax'!Y257</f>
        <v>0</v>
      </c>
      <c r="T31" s="1" t="n">
        <f aca="false">QJ30</f>
        <v>0</v>
      </c>
      <c r="U31" s="1" t="n">
        <f aca="false">IF(AND(Slot1_On=1,D31=Slot1_Age),1,0)</f>
        <v>0</v>
      </c>
      <c r="V31" s="1" t="n">
        <f aca="false">IF(AND(Slot1_On=1,Slot1_Age&gt;D31),1,0)</f>
        <v>0</v>
      </c>
      <c r="W31" s="1" t="n">
        <f aca="false">QL30</f>
        <v>0</v>
      </c>
      <c r="X31" s="1" t="n">
        <f aca="false">U31*MIN(Slot1_Cost,W31)</f>
        <v>0</v>
      </c>
      <c r="Y31" s="1" t="n">
        <f aca="false">U31*Slot1_SpendLike*MIN(Slot1_Cost-X31,S31)</f>
        <v>0</v>
      </c>
      <c r="Z31" s="1" t="n">
        <f aca="false">X31+Y31</f>
        <v>0</v>
      </c>
      <c r="AA31" s="1" t="n">
        <f aca="false">S31-Y31+U31*IF(Slot1_SpendLike=1,W31-X31,IF(Slot1_PotFree=1,W31,0))</f>
        <v>0</v>
      </c>
      <c r="AB31" s="1" t="n">
        <f aca="false">AE31+U31*Slot1_BufPot*W31</f>
        <v>0</v>
      </c>
      <c r="AC31" s="1" t="n">
        <f aca="false">IF(AND(U31=1,Slot1_IsMfree=1),IF(Z31&gt;=Slot1_Cost-1,0,MAX(0,K31-Z31)),K31)</f>
        <v>0</v>
      </c>
      <c r="AD31" s="1" t="n">
        <f aca="false">U31*(Slot1_Cost-Z31)</f>
        <v>0</v>
      </c>
      <c r="AE31" s="1" t="n">
        <f aca="false">QK30</f>
        <v>0</v>
      </c>
      <c r="AF31" s="1" t="n">
        <f aca="false">IF(AND(Slot2_On=1,D31=Slot2_Age),1,0)</f>
        <v>0</v>
      </c>
      <c r="AG31" s="1" t="n">
        <f aca="false">IF(AND(Slot2_On=1,Slot2_Age&gt;D31),1,0)</f>
        <v>0</v>
      </c>
      <c r="AH31" s="1" t="n">
        <f aca="false">QP30</f>
        <v>0</v>
      </c>
      <c r="AI31" s="1" t="n">
        <f aca="false">AF31*MIN(Slot2_Cost,AH31)</f>
        <v>0</v>
      </c>
      <c r="AJ31" s="1" t="n">
        <f aca="false">AF31*Slot2_SpendLike*MIN(Slot2_Cost-AI31,AA31)</f>
        <v>0</v>
      </c>
      <c r="AK31" s="1" t="n">
        <f aca="false">AI31+AJ31</f>
        <v>0</v>
      </c>
      <c r="AL31" s="1" t="n">
        <f aca="false">AA31-AJ31+AF31*IF(Slot2_SpendLike=1,AH31-AI31,IF(Slot2_PotFree=1,AH31,0))</f>
        <v>0</v>
      </c>
      <c r="AM31" s="1" t="n">
        <f aca="false">AB31+AF31*Slot2_BufPot*AH31</f>
        <v>0</v>
      </c>
      <c r="AN31" s="1" t="n">
        <f aca="false">IF(AND(AF31=1,Slot2_IsMfree=1),IF(AK31&gt;=Slot2_Cost-1,0,MAX(0,AC31-AK31)),AC31)</f>
        <v>0</v>
      </c>
      <c r="AO31" s="1" t="n">
        <f aca="false">AF31*(Slot2_Cost-AK31)</f>
        <v>0</v>
      </c>
      <c r="AP31" s="1" t="n">
        <f aca="false">IF(AND(Slot3_On=1,D31=Slot3_Age),1,0)</f>
        <v>0</v>
      </c>
      <c r="AQ31" s="1" t="n">
        <f aca="false">IF(AND(Slot3_On=1,Slot3_Age&gt;D31),1,0)</f>
        <v>0</v>
      </c>
      <c r="AR31" s="1" t="n">
        <f aca="false">QT30</f>
        <v>0</v>
      </c>
      <c r="AS31" s="1" t="n">
        <f aca="false">AP31*MIN(Slot3_Cost,AR31)</f>
        <v>0</v>
      </c>
      <c r="AT31" s="1" t="n">
        <f aca="false">AP31*Slot3_SpendLike*MIN(Slot3_Cost-AS31,AL31)</f>
        <v>0</v>
      </c>
      <c r="AU31" s="1" t="n">
        <f aca="false">AS31+AT31</f>
        <v>0</v>
      </c>
      <c r="AV31" s="1" t="n">
        <f aca="false">AL31-AT31+AP31*IF(Slot3_SpendLike=1,AR31-AS31,IF(Slot3_PotFree=1,AR31,0))</f>
        <v>0</v>
      </c>
      <c r="AW31" s="1" t="n">
        <f aca="false">AM31+AP31*Slot3_BufPot*AR31</f>
        <v>0</v>
      </c>
      <c r="AX31" s="1" t="n">
        <f aca="false">IF(AND(AP31=1,Slot3_IsMfree=1),IF(AU31&gt;=Slot3_Cost-1,0,MAX(0,AN31-AU31)),AN31)</f>
        <v>0</v>
      </c>
      <c r="AY31" s="1" t="n">
        <f aca="false">AP31*(Slot3_Cost-AU31)</f>
        <v>0</v>
      </c>
      <c r="AZ31" s="1" t="n">
        <f aca="false">IF(AND(Slot4_On=1,D31=Slot4_Age),1,0)</f>
        <v>0</v>
      </c>
      <c r="BA31" s="1" t="n">
        <f aca="false">IF(AND(Slot4_On=1,Slot4_Age&gt;D31),1,0)</f>
        <v>0</v>
      </c>
      <c r="BB31" s="1" t="n">
        <f aca="false">QX30</f>
        <v>0</v>
      </c>
      <c r="BC31" s="1" t="n">
        <f aca="false">AZ31*MIN(Slot4_Cost,BB31)</f>
        <v>0</v>
      </c>
      <c r="BD31" s="1" t="n">
        <f aca="false">AZ31*Slot4_SpendLike*MIN(Slot4_Cost-BC31,AV31)</f>
        <v>0</v>
      </c>
      <c r="BE31" s="1" t="n">
        <f aca="false">BC31+BD31</f>
        <v>0</v>
      </c>
      <c r="BF31" s="1" t="n">
        <f aca="false">AV31-BD31+AZ31*IF(Slot4_SpendLike=1,BB31-BC31,IF(Slot4_PotFree=1,BB31,0))</f>
        <v>0</v>
      </c>
      <c r="BG31" s="1" t="n">
        <f aca="false">AW31+AZ31*Slot4_BufPot*BB31</f>
        <v>0</v>
      </c>
      <c r="BH31" s="1" t="n">
        <f aca="false">IF(AND(AZ31=1,Slot4_IsMfree=1),IF(BE31&gt;=Slot4_Cost-1,0,MAX(0,AX31-BE31)),AX31)</f>
        <v>0</v>
      </c>
      <c r="BI31" s="1" t="n">
        <f aca="false">AZ31*(Slot4_Cost-BE31)</f>
        <v>0</v>
      </c>
      <c r="BJ31" s="1" t="n">
        <f aca="false">IF(AND(Slot5_On=1,D31=Slot5_Age),1,0)</f>
        <v>0</v>
      </c>
      <c r="BK31" s="1" t="n">
        <f aca="false">IF(AND(Slot5_On=1,Slot5_Age&gt;D31),1,0)</f>
        <v>0</v>
      </c>
      <c r="BL31" s="1" t="n">
        <f aca="false">RB30</f>
        <v>0</v>
      </c>
      <c r="BM31" s="1" t="n">
        <f aca="false">BJ31*MIN(Slot5_Cost,BL31)</f>
        <v>0</v>
      </c>
      <c r="BN31" s="1" t="n">
        <f aca="false">BJ31*Slot5_SpendLike*MIN(Slot5_Cost-BM31,BF31)</f>
        <v>0</v>
      </c>
      <c r="BO31" s="1" t="n">
        <f aca="false">BM31+BN31</f>
        <v>0</v>
      </c>
      <c r="BP31" s="1" t="n">
        <f aca="false">BF31-BN31+BJ31*IF(Slot5_SpendLike=1,BL31-BM31,IF(Slot5_PotFree=1,BL31,0))</f>
        <v>0</v>
      </c>
      <c r="BQ31" s="1" t="n">
        <f aca="false">BG31+BJ31*Slot5_BufPot*BL31</f>
        <v>0</v>
      </c>
      <c r="BR31" s="1" t="n">
        <f aca="false">IF(AND(BJ31=1,Slot5_IsMfree=1),IF(BO31&gt;=Slot5_Cost-1,0,MAX(0,BH31-BO31)),BH31)</f>
        <v>0</v>
      </c>
      <c r="BS31" s="1" t="n">
        <f aca="false">BJ31*(Slot5_Cost-BO31)</f>
        <v>0</v>
      </c>
      <c r="BT31" s="1" t="n">
        <f aca="false">IF(AND(Slot6_On=1,D31=Slot6_Age),1,0)</f>
        <v>0</v>
      </c>
      <c r="BU31" s="1" t="n">
        <f aca="false">IF(AND(Slot6_On=1,Slot6_Age&gt;D31),1,0)</f>
        <v>0</v>
      </c>
      <c r="BV31" s="1" t="n">
        <f aca="false">RF30</f>
        <v>0</v>
      </c>
      <c r="BW31" s="1" t="n">
        <f aca="false">BT31*MIN(Slot6_Cost,BV31)</f>
        <v>0</v>
      </c>
      <c r="BX31" s="1" t="n">
        <f aca="false">BT31*Slot6_SpendLike*MIN(Slot6_Cost-BW31,BP31)</f>
        <v>0</v>
      </c>
      <c r="BY31" s="1" t="n">
        <f aca="false">BW31+BX31</f>
        <v>0</v>
      </c>
      <c r="BZ31" s="1" t="n">
        <f aca="false">BP31-BX31+BT31*IF(Slot6_SpendLike=1,BV31-BW31,IF(Slot6_PotFree=1,BV31,0))</f>
        <v>0</v>
      </c>
      <c r="CA31" s="1" t="n">
        <f aca="false">BQ31+BT31*Slot6_BufPot*BV31</f>
        <v>0</v>
      </c>
      <c r="CB31" s="1" t="n">
        <f aca="false">IF(AND(BT31=1,Slot6_IsMfree=1),IF(BY31&gt;=Slot6_Cost-1,0,MAX(0,BR31-BY31)),BR31)</f>
        <v>0</v>
      </c>
      <c r="CC31" s="1" t="n">
        <f aca="false">BT31*(Slot6_Cost-BY31)</f>
        <v>0</v>
      </c>
      <c r="CD31" s="1" t="n">
        <f aca="false">IF(AND(Slot7_On=1,D31=Slot7_Age),1,0)</f>
        <v>0</v>
      </c>
      <c r="CE31" s="1" t="n">
        <f aca="false">IF(AND(Slot7_On=1,Slot7_Age&gt;D31),1,0)</f>
        <v>0</v>
      </c>
      <c r="CF31" s="1" t="n">
        <f aca="false">RJ30</f>
        <v>0</v>
      </c>
      <c r="CG31" s="1" t="n">
        <f aca="false">CD31*MIN(Slot7_Cost,CF31)</f>
        <v>0</v>
      </c>
      <c r="CH31" s="1" t="n">
        <f aca="false">CD31*Slot7_SpendLike*MIN(Slot7_Cost-CG31,BZ31)</f>
        <v>0</v>
      </c>
      <c r="CI31" s="1" t="n">
        <f aca="false">CG31+CH31</f>
        <v>0</v>
      </c>
      <c r="CJ31" s="1" t="n">
        <f aca="false">BZ31-CH31+CD31*IF(Slot7_SpendLike=1,CF31-CG31,IF(Slot7_PotFree=1,CF31,0))</f>
        <v>0</v>
      </c>
      <c r="CK31" s="1" t="n">
        <f aca="false">CA31+CD31*Slot7_BufPot*CF31</f>
        <v>0</v>
      </c>
      <c r="CL31" s="1" t="n">
        <f aca="false">IF(AND(CD31=1,Slot7_IsMfree=1),IF(CI31&gt;=Slot7_Cost-1,0,MAX(0,CB31-CI31)),CB31)</f>
        <v>0</v>
      </c>
      <c r="CM31" s="1" t="n">
        <f aca="false">CD31*(Slot7_Cost-CI31)</f>
        <v>0</v>
      </c>
      <c r="CN31" s="1" t="n">
        <f aca="false">IF(AND(Slot8_On=1,D31=Slot8_Age),1,0)</f>
        <v>0</v>
      </c>
      <c r="CO31" s="1" t="n">
        <f aca="false">IF(AND(Slot8_On=1,Slot8_Age&gt;D31),1,0)</f>
        <v>0</v>
      </c>
      <c r="CP31" s="1" t="n">
        <f aca="false">RN30</f>
        <v>0</v>
      </c>
      <c r="CQ31" s="1" t="n">
        <f aca="false">CN31*MIN(Slot8_Cost,CP31)</f>
        <v>0</v>
      </c>
      <c r="CR31" s="1" t="n">
        <f aca="false">CN31*Slot8_SpendLike*MIN(Slot8_Cost-CQ31,CJ31)</f>
        <v>0</v>
      </c>
      <c r="CS31" s="1" t="n">
        <f aca="false">CQ31+CR31</f>
        <v>0</v>
      </c>
      <c r="CT31" s="1" t="n">
        <f aca="false">CJ31-CR31+CN31*IF(Slot8_SpendLike=1,CP31-CQ31,IF(Slot8_PotFree=1,CP31,0))</f>
        <v>0</v>
      </c>
      <c r="CU31" s="1" t="n">
        <f aca="false">CK31+CN31*Slot8_BufPot*CP31</f>
        <v>0</v>
      </c>
      <c r="CV31" s="1" t="n">
        <f aca="false">IF(AND(CN31=1,Slot8_IsMfree=1),IF(CS31&gt;=Slot8_Cost-1,0,MAX(0,CL31-CS31)),CL31)</f>
        <v>0</v>
      </c>
      <c r="CW31" s="1" t="n">
        <f aca="false">CN31*(Slot8_Cost-CS31)</f>
        <v>0</v>
      </c>
      <c r="CX31" s="1" t="n">
        <f aca="false">IF(AND(Slot9_On=1,D31=Slot9_Age),1,0)</f>
        <v>0</v>
      </c>
      <c r="CY31" s="1" t="n">
        <f aca="false">IF(AND(Slot9_On=1,Slot9_Age&gt;D31),1,0)</f>
        <v>0</v>
      </c>
      <c r="CZ31" s="1" t="n">
        <f aca="false">RR30</f>
        <v>0</v>
      </c>
      <c r="DA31" s="1" t="n">
        <f aca="false">CX31*MIN(Slot9_Cost,CZ31)</f>
        <v>0</v>
      </c>
      <c r="DB31" s="1" t="n">
        <f aca="false">CX31*Slot9_SpendLike*MIN(Slot9_Cost-DA31,CT31)</f>
        <v>0</v>
      </c>
      <c r="DC31" s="1" t="n">
        <f aca="false">DA31+DB31</f>
        <v>0</v>
      </c>
      <c r="DD31" s="1" t="n">
        <f aca="false">CT31-DB31+CX31*IF(Slot9_SpendLike=1,CZ31-DA31,IF(Slot9_PotFree=1,CZ31,0))</f>
        <v>0</v>
      </c>
      <c r="DE31" s="1" t="n">
        <f aca="false">CU31+CX31*Slot9_BufPot*CZ31</f>
        <v>0</v>
      </c>
      <c r="DF31" s="1" t="n">
        <f aca="false">IF(AND(CX31=1,Slot9_IsMfree=1),IF(DC31&gt;=Slot9_Cost-1,0,MAX(0,CV31-DC31)),CV31)</f>
        <v>0</v>
      </c>
      <c r="DG31" s="1" t="n">
        <f aca="false">CX31*(Slot9_Cost-DC31)</f>
        <v>0</v>
      </c>
      <c r="DH31" s="1" t="n">
        <f aca="false">IF(AND(Slot10_On=1,D31=Slot10_Age),1,0)</f>
        <v>0</v>
      </c>
      <c r="DI31" s="1" t="n">
        <f aca="false">IF(AND(Slot10_On=1,Slot10_Age&gt;D31),1,0)</f>
        <v>0</v>
      </c>
      <c r="DJ31" s="1" t="n">
        <f aca="false">RV30</f>
        <v>0</v>
      </c>
      <c r="DK31" s="1" t="n">
        <f aca="false">DH31*MIN(Slot10_Cost,DJ31)</f>
        <v>0</v>
      </c>
      <c r="DL31" s="1" t="n">
        <f aca="false">DH31*Slot10_SpendLike*MIN(Slot10_Cost-DK31,DD31)</f>
        <v>0</v>
      </c>
      <c r="DM31" s="1" t="n">
        <f aca="false">DK31+DL31</f>
        <v>0</v>
      </c>
      <c r="DN31" s="1" t="n">
        <f aca="false">DD31-DL31+DH31*IF(Slot10_SpendLike=1,DJ31-DK31,IF(Slot10_PotFree=1,DJ31,0))</f>
        <v>0</v>
      </c>
      <c r="DO31" s="1" t="n">
        <f aca="false">DE31+DH31*Slot10_BufPot*DJ31</f>
        <v>0</v>
      </c>
      <c r="DP31" s="1" t="n">
        <f aca="false">IF(AND(DH31=1,Slot10_IsMfree=1),IF(DM31&gt;=Slot10_Cost-1,0,MAX(0,DF31-DM31)),DF31)</f>
        <v>0</v>
      </c>
      <c r="DQ31" s="1" t="n">
        <f aca="false">DH31*(Slot10_Cost-DM31)</f>
        <v>0</v>
      </c>
      <c r="DR31" s="1" t="n">
        <f aca="false">IF(AND(Slot11_On=1,D31=Slot11_Age),1,0)</f>
        <v>0</v>
      </c>
      <c r="DS31" s="1" t="n">
        <f aca="false">IF(AND(Slot11_On=1,Slot11_Age&gt;D31),1,0)</f>
        <v>0</v>
      </c>
      <c r="DT31" s="1" t="n">
        <f aca="false">RZ30</f>
        <v>0</v>
      </c>
      <c r="DU31" s="1" t="n">
        <f aca="false">DR31*MIN(Slot11_Cost,DT31)</f>
        <v>0</v>
      </c>
      <c r="DV31" s="1" t="n">
        <f aca="false">DR31*Slot11_SpendLike*MIN(Slot11_Cost-DU31,DN31)</f>
        <v>0</v>
      </c>
      <c r="DW31" s="1" t="n">
        <f aca="false">DU31+DV31</f>
        <v>0</v>
      </c>
      <c r="DX31" s="1" t="n">
        <f aca="false">DN31-DV31+DR31*IF(Slot11_SpendLike=1,DT31-DU31,IF(Slot11_PotFree=1,DT31,0))</f>
        <v>0</v>
      </c>
      <c r="DY31" s="1" t="n">
        <f aca="false">DO31+DR31*Slot11_BufPot*DT31</f>
        <v>0</v>
      </c>
      <c r="DZ31" s="1" t="n">
        <f aca="false">IF(AND(DR31=1,Slot11_IsMfree=1),IF(DW31&gt;=Slot11_Cost-1,0,MAX(0,DP31-DW31)),DP31)</f>
        <v>0</v>
      </c>
      <c r="EA31" s="1" t="n">
        <f aca="false">DR31*(Slot11_Cost-DW31)</f>
        <v>0</v>
      </c>
      <c r="EB31" s="1" t="n">
        <f aca="false">IF(AND(Slot12_On=1,D31=Slot12_Age),1,0)</f>
        <v>0</v>
      </c>
      <c r="EC31" s="1" t="n">
        <f aca="false">IF(AND(Slot12_On=1,Slot12_Age&gt;D31),1,0)</f>
        <v>0</v>
      </c>
      <c r="ED31" s="1" t="n">
        <f aca="false">SD30</f>
        <v>0</v>
      </c>
      <c r="EE31" s="1" t="n">
        <f aca="false">EB31*MIN(Slot12_Cost,ED31)</f>
        <v>0</v>
      </c>
      <c r="EF31" s="1" t="n">
        <f aca="false">EB31*Slot12_SpendLike*MIN(Slot12_Cost-EE31,DX31)</f>
        <v>0</v>
      </c>
      <c r="EG31" s="1" t="n">
        <f aca="false">EE31+EF31</f>
        <v>0</v>
      </c>
      <c r="EH31" s="1" t="n">
        <f aca="false">DX31-EF31+EB31*IF(Slot12_SpendLike=1,ED31-EE31,IF(Slot12_PotFree=1,ED31,0))</f>
        <v>0</v>
      </c>
      <c r="EI31" s="1" t="n">
        <f aca="false">DY31+EB31*Slot12_BufPot*ED31</f>
        <v>0</v>
      </c>
      <c r="EJ31" s="1" t="n">
        <f aca="false">IF(AND(EB31=1,Slot12_IsMfree=1),IF(EG31&gt;=Slot12_Cost-1,0,MAX(0,DZ31-EG31)),DZ31)</f>
        <v>0</v>
      </c>
      <c r="EK31" s="1" t="n">
        <f aca="false">EB31*(Slot12_Cost-EG31)</f>
        <v>0</v>
      </c>
      <c r="EL31" s="1" t="n">
        <f aca="false">IF(AND(Slot13_On=1,D31=Slot13_Age),1,0)</f>
        <v>0</v>
      </c>
      <c r="EM31" s="1" t="n">
        <f aca="false">IF(AND(Slot13_On=1,Slot13_Age&gt;D31),1,0)</f>
        <v>0</v>
      </c>
      <c r="EN31" s="1" t="n">
        <f aca="false">SH30</f>
        <v>0</v>
      </c>
      <c r="EO31" s="1" t="n">
        <f aca="false">EL31*MIN(Slot13_Cost,EN31)</f>
        <v>0</v>
      </c>
      <c r="EP31" s="1" t="n">
        <f aca="false">EL31*Slot13_SpendLike*MIN(Slot13_Cost-EO31,EH31)</f>
        <v>0</v>
      </c>
      <c r="EQ31" s="1" t="n">
        <f aca="false">EO31+EP31</f>
        <v>0</v>
      </c>
      <c r="ER31" s="1" t="n">
        <f aca="false">EH31-EP31+EL31*IF(Slot13_SpendLike=1,EN31-EO31,IF(Slot13_PotFree=1,EN31,0))</f>
        <v>0</v>
      </c>
      <c r="ES31" s="1" t="n">
        <f aca="false">EI31+EL31*Slot13_BufPot*EN31</f>
        <v>0</v>
      </c>
      <c r="ET31" s="1" t="n">
        <f aca="false">IF(AND(EL31=1,Slot13_IsMfree=1),IF(EQ31&gt;=Slot13_Cost-1,0,MAX(0,EJ31-EQ31)),EJ31)</f>
        <v>0</v>
      </c>
      <c r="EU31" s="1" t="n">
        <f aca="false">EL31*(Slot13_Cost-EQ31)</f>
        <v>0</v>
      </c>
      <c r="EV31" s="1" t="n">
        <f aca="false">IF(AND(Slot14_On=1,D31=Slot14_Age),1,0)</f>
        <v>0</v>
      </c>
      <c r="EW31" s="1" t="n">
        <f aca="false">IF(AND(Slot14_On=1,Slot14_Age&gt;D31),1,0)</f>
        <v>0</v>
      </c>
      <c r="EX31" s="1" t="n">
        <f aca="false">SL30</f>
        <v>0</v>
      </c>
      <c r="EY31" s="1" t="n">
        <f aca="false">EV31*MIN(Slot14_Cost,EX31)</f>
        <v>0</v>
      </c>
      <c r="EZ31" s="1" t="n">
        <f aca="false">EV31*Slot14_SpendLike*MIN(Slot14_Cost-EY31,ER31)</f>
        <v>0</v>
      </c>
      <c r="FA31" s="1" t="n">
        <f aca="false">EY31+EZ31</f>
        <v>0</v>
      </c>
      <c r="FB31" s="1" t="n">
        <f aca="false">ER31-EZ31+EV31*IF(Slot14_SpendLike=1,EX31-EY31,IF(Slot14_PotFree=1,EX31,0))</f>
        <v>0</v>
      </c>
      <c r="FC31" s="1" t="n">
        <f aca="false">ES31+EV31*Slot14_BufPot*EX31</f>
        <v>0</v>
      </c>
      <c r="FD31" s="1" t="n">
        <f aca="false">IF(AND(EV31=1,Slot14_IsMfree=1),IF(FA31&gt;=Slot14_Cost-1,0,MAX(0,ET31-FA31)),ET31)</f>
        <v>0</v>
      </c>
      <c r="FE31" s="1" t="n">
        <f aca="false">EV31*(Slot14_Cost-FA31)</f>
        <v>0</v>
      </c>
      <c r="FF31" s="1" t="n">
        <f aca="false">IF(AND(Slot15_On=1,D31=Slot15_Age),1,0)</f>
        <v>0</v>
      </c>
      <c r="FG31" s="1" t="n">
        <f aca="false">IF(AND(Slot15_On=1,Slot15_Age&gt;D31),1,0)</f>
        <v>0</v>
      </c>
      <c r="FH31" s="1" t="n">
        <f aca="false">SP30</f>
        <v>0</v>
      </c>
      <c r="FI31" s="1" t="n">
        <f aca="false">FF31*MIN(Slot15_Cost,FH31)</f>
        <v>0</v>
      </c>
      <c r="FJ31" s="1" t="n">
        <f aca="false">FF31*Slot15_SpendLike*MIN(Slot15_Cost-FI31,FB31)</f>
        <v>0</v>
      </c>
      <c r="FK31" s="1" t="n">
        <f aca="false">FI31+FJ31</f>
        <v>0</v>
      </c>
      <c r="FL31" s="1" t="n">
        <f aca="false">FB31-FJ31+FF31*IF(Slot15_SpendLike=1,FH31-FI31,IF(Slot15_PotFree=1,FH31,0))</f>
        <v>0</v>
      </c>
      <c r="FM31" s="1" t="n">
        <f aca="false">FC31+FF31*Slot15_BufPot*FH31</f>
        <v>0</v>
      </c>
      <c r="FN31" s="1" t="n">
        <f aca="false">IF(AND(FF31=1,Slot15_IsMfree=1),IF(FK31&gt;=Slot15_Cost-1,0,MAX(0,FD31-FK31)),FD31)</f>
        <v>0</v>
      </c>
      <c r="FO31" s="1" t="n">
        <f aca="false">FF31*(Slot15_Cost-FK31)</f>
        <v>0</v>
      </c>
      <c r="FP31" s="1" t="n">
        <f aca="false">IF(AND(Slot16_On=1,D31=Slot16_Age),1,0)</f>
        <v>0</v>
      </c>
      <c r="FQ31" s="1" t="n">
        <f aca="false">IF(AND(Slot16_On=1,Slot16_Age&gt;D31),1,0)</f>
        <v>0</v>
      </c>
      <c r="FR31" s="1" t="n">
        <f aca="false">ST30</f>
        <v>0</v>
      </c>
      <c r="FS31" s="1" t="n">
        <f aca="false">FP31*MIN(Slot16_Cost,FR31)</f>
        <v>0</v>
      </c>
      <c r="FT31" s="1" t="n">
        <f aca="false">FP31*Slot16_SpendLike*MIN(Slot16_Cost-FS31,FL31)</f>
        <v>0</v>
      </c>
      <c r="FU31" s="1" t="n">
        <f aca="false">FS31+FT31</f>
        <v>0</v>
      </c>
      <c r="FV31" s="1" t="n">
        <f aca="false">FL31-FT31+FP31*IF(Slot16_SpendLike=1,FR31-FS31,IF(Slot16_PotFree=1,FR31,0))</f>
        <v>0</v>
      </c>
      <c r="FW31" s="1" t="n">
        <f aca="false">FM31+FP31*Slot16_BufPot*FR31</f>
        <v>0</v>
      </c>
      <c r="FX31" s="1" t="n">
        <f aca="false">IF(AND(FP31=1,Slot16_IsMfree=1),IF(FU31&gt;=Slot16_Cost-1,0,MAX(0,FN31-FU31)),FN31)</f>
        <v>0</v>
      </c>
      <c r="FY31" s="1" t="n">
        <f aca="false">FP31*(Slot16_Cost-FU31)</f>
        <v>0</v>
      </c>
      <c r="FZ31" s="1" t="n">
        <f aca="false">IF(AND(Slot17_On=1,D31=Slot17_Age),1,0)</f>
        <v>0</v>
      </c>
      <c r="GA31" s="1" t="n">
        <f aca="false">IF(AND(Slot17_On=1,Slot17_Age&gt;D31),1,0)</f>
        <v>0</v>
      </c>
      <c r="GB31" s="1" t="n">
        <f aca="false">SX30</f>
        <v>0</v>
      </c>
      <c r="GC31" s="1" t="n">
        <f aca="false">FZ31*MIN(Slot17_Cost,GB31)</f>
        <v>0</v>
      </c>
      <c r="GD31" s="1" t="n">
        <f aca="false">FZ31*Slot17_SpendLike*MIN(Slot17_Cost-GC31,FV31)</f>
        <v>0</v>
      </c>
      <c r="GE31" s="1" t="n">
        <f aca="false">GC31+GD31</f>
        <v>0</v>
      </c>
      <c r="GF31" s="1" t="n">
        <f aca="false">FV31-GD31+FZ31*IF(Slot17_SpendLike=1,GB31-GC31,IF(Slot17_PotFree=1,GB31,0))</f>
        <v>0</v>
      </c>
      <c r="GG31" s="1" t="n">
        <f aca="false">FW31+FZ31*Slot17_BufPot*GB31</f>
        <v>0</v>
      </c>
      <c r="GH31" s="1" t="n">
        <f aca="false">IF(AND(FZ31=1,Slot17_IsMfree=1),IF(GE31&gt;=Slot17_Cost-1,0,MAX(0,FX31-GE31)),FX31)</f>
        <v>0</v>
      </c>
      <c r="GI31" s="1" t="n">
        <f aca="false">FZ31*(Slot17_Cost-GE31)</f>
        <v>0</v>
      </c>
      <c r="GJ31" s="1" t="n">
        <f aca="false">IF(AND(Slot18_On=1,D31=Slot18_Age),1,0)</f>
        <v>0</v>
      </c>
      <c r="GK31" s="1" t="n">
        <f aca="false">IF(AND(Slot18_On=1,Slot18_Age&gt;D31),1,0)</f>
        <v>0</v>
      </c>
      <c r="GL31" s="1" t="n">
        <f aca="false">TB30</f>
        <v>0</v>
      </c>
      <c r="GM31" s="1" t="n">
        <f aca="false">GJ31*MIN(Slot18_Cost,GL31)</f>
        <v>0</v>
      </c>
      <c r="GN31" s="1" t="n">
        <f aca="false">GJ31*Slot18_SpendLike*MIN(Slot18_Cost-GM31,GF31)</f>
        <v>0</v>
      </c>
      <c r="GO31" s="1" t="n">
        <f aca="false">GM31+GN31</f>
        <v>0</v>
      </c>
      <c r="GP31" s="1" t="n">
        <f aca="false">GF31-GN31+GJ31*IF(Slot18_SpendLike=1,GL31-GM31,IF(Slot18_PotFree=1,GL31,0))</f>
        <v>0</v>
      </c>
      <c r="GQ31" s="1" t="n">
        <f aca="false">GG31+GJ31*Slot18_BufPot*GL31</f>
        <v>0</v>
      </c>
      <c r="GR31" s="1" t="n">
        <f aca="false">IF(AND(GJ31=1,Slot18_IsMfree=1),IF(GO31&gt;=Slot18_Cost-1,0,MAX(0,GH31-GO31)),GH31)</f>
        <v>0</v>
      </c>
      <c r="GS31" s="1" t="n">
        <f aca="false">GJ31*(Slot18_Cost-GO31)</f>
        <v>0</v>
      </c>
      <c r="GT31" s="1" t="n">
        <f aca="false">IF(AND(Slot19_On=1,D31=Slot19_Age),1,0)</f>
        <v>0</v>
      </c>
      <c r="GU31" s="1" t="n">
        <f aca="false">IF(AND(Slot19_On=1,Slot19_Age&gt;D31),1,0)</f>
        <v>0</v>
      </c>
      <c r="GV31" s="1" t="n">
        <f aca="false">TF30</f>
        <v>0</v>
      </c>
      <c r="GW31" s="1" t="n">
        <f aca="false">GT31*MIN(Slot19_Cost,GV31)</f>
        <v>0</v>
      </c>
      <c r="GX31" s="1" t="n">
        <f aca="false">GT31*Slot19_SpendLike*MIN(Slot19_Cost-GW31,GP31)</f>
        <v>0</v>
      </c>
      <c r="GY31" s="1" t="n">
        <f aca="false">GW31+GX31</f>
        <v>0</v>
      </c>
      <c r="GZ31" s="1" t="n">
        <f aca="false">GP31-GX31+GT31*IF(Slot19_SpendLike=1,GV31-GW31,IF(Slot19_PotFree=1,GV31,0))</f>
        <v>0</v>
      </c>
      <c r="HA31" s="1" t="n">
        <f aca="false">GQ31+GT31*Slot19_BufPot*GV31</f>
        <v>0</v>
      </c>
      <c r="HB31" s="1" t="n">
        <f aca="false">IF(AND(GT31=1,Slot19_IsMfree=1),IF(GY31&gt;=Slot19_Cost-1,0,MAX(0,GR31-GY31)),GR31)</f>
        <v>0</v>
      </c>
      <c r="HC31" s="1" t="n">
        <f aca="false">GT31*(Slot19_Cost-GY31)</f>
        <v>0</v>
      </c>
      <c r="HD31" s="1" t="n">
        <f aca="false">IF(AND(Slot20_On=1,D31=Slot20_Age),1,0)</f>
        <v>0</v>
      </c>
      <c r="HE31" s="1" t="n">
        <f aca="false">IF(AND(Slot20_On=1,Slot20_Age&gt;D31),1,0)</f>
        <v>0</v>
      </c>
      <c r="HF31" s="1" t="n">
        <f aca="false">TJ30</f>
        <v>0</v>
      </c>
      <c r="HG31" s="1" t="n">
        <f aca="false">HD31*MIN(Slot20_Cost,HF31)</f>
        <v>0</v>
      </c>
      <c r="HH31" s="1" t="n">
        <f aca="false">HD31*Slot20_SpendLike*MIN(Slot20_Cost-HG31,GZ31)</f>
        <v>0</v>
      </c>
      <c r="HI31" s="1" t="n">
        <f aca="false">HG31+HH31</f>
        <v>0</v>
      </c>
      <c r="HJ31" s="1" t="n">
        <f aca="false">GZ31-HH31+HD31*IF(Slot20_SpendLike=1,HF31-HG31,IF(Slot20_PotFree=1,HF31,0))</f>
        <v>0</v>
      </c>
      <c r="HK31" s="1" t="n">
        <f aca="false">HA31+HD31*Slot20_BufPot*HF31</f>
        <v>0</v>
      </c>
      <c r="HL31" s="1" t="n">
        <f aca="false">IF(AND(HD31=1,Slot20_IsMfree=1),IF(HI31&gt;=Slot20_Cost-1,0,MAX(0,HB31-HI31)),HB31)</f>
        <v>0</v>
      </c>
      <c r="HM31" s="1" t="n">
        <f aca="false">HD31*(Slot20_Cost-HI31)</f>
        <v>0</v>
      </c>
      <c r="HN31" s="1" t="n">
        <f aca="false">U31*Slot1_SpendLike*Z31+AF31*Slot2_SpendLike*AK31+AP31*Slot3_SpendLike*AU31+AZ31*Slot4_SpendLike*BE31+BJ31*Slot5_SpendLike*BO31+BT31*Slot6_SpendLike*BY31+CD31*Slot7_SpendLike*CI31+CN31*Slot8_SpendLike*CS31+CX31*Slot9_SpendLike*DC31+DH31*Slot10_SpendLike*DM31+DR31*Slot11_SpendLike*DW31+EB31*Slot12_SpendLike*EG31+EL31*Slot13_SpendLike*EQ31+EV31*Slot14_SpendLike*FA31+FF31*Slot15_SpendLike*FK31+FP31*Slot16_SpendLike*FU31+FZ31*Slot17_SpendLike*GE31+GJ31*Slot18_SpendLike*GO31+GT31*Slot19_SpendLike*GY31+HD31*Slot20_SpendLike*HI31</f>
        <v>0</v>
      </c>
      <c r="HO31" s="1" t="n">
        <f aca="false">AD31+AO31+AY31+BI31+BS31+CC31+CM31+CW31+DG31+DQ31+EA31+EK31+EU31+FE31+FO31+FY31+GI31+GS31+HC31+HM31</f>
        <v>0</v>
      </c>
      <c r="HP31" s="1" t="n">
        <f aca="false">U31*Slot1_Cost+AF31*Slot2_Cost+AP31*Slot3_Cost+AZ31*Slot4_Cost+BJ31*Slot5_Cost+BT31*Slot6_Cost+CD31*Slot7_Cost+CN31*Slot8_Cost+CX31*Slot9_Cost+DH31*Slot10_Cost+DR31*Slot11_Cost+EB31*Slot12_Cost+EL31*Slot13_Cost+EV31*Slot14_Cost+FF31*Slot15_Cost+FP31*Slot16_Cost+FZ31*Slot17_Cost+GJ31*Slot18_Cost+GT31*Slot19_Cost+HD31*Slot20_Cost</f>
        <v>0</v>
      </c>
      <c r="HQ31" s="1" t="n">
        <f aca="false">HL31</f>
        <v>0</v>
      </c>
      <c r="HR31" s="1" t="n">
        <f aca="false">G31-H31-R31</f>
        <v>0</v>
      </c>
      <c r="HS31" s="1" t="n">
        <f aca="false">IF(B31=0,IF(AND(Has_q6=1,In_q6=4),PR_ShareVaries*(MAX(0,HR31)/12),MIN(IF(Has_q6=1,CHOOSE(In_q6+1,PR_SaveB1,PR_SaveB2,PR_SaveB3,PR_SaveB4,0),AS_NoAnswer),AS_SaveShare*(MAX(0,HR31)/12))),HS30)</f>
        <v>0</v>
      </c>
      <c r="HT31" s="1" t="n">
        <f aca="false">IF(HR31&gt;=0,1,0)</f>
        <v>1</v>
      </c>
      <c r="HU31" s="1" t="n">
        <f aca="false">MAX(0,HR31/12/E31)</f>
        <v>0</v>
      </c>
      <c r="HV31" s="1" t="n">
        <f aca="false">IF(AND(Has_q6=1,In_q6=4),PR_ShareVaries*(HU31),MIN(IF(Has_q6=1,CHOOSE(In_q6+1,PR_SaveB1,PR_SaveB2,PR_SaveB3,PR_SaveB4,0),AS_NoAnswer),AS_SaveShare*(HU31)))</f>
        <v>0</v>
      </c>
      <c r="HW31" s="1" t="n">
        <f aca="false">IF(Has_saveM=1,IF(In_saveUp="Yes",1,IF(In_saveUp="No",0,IF(In_saveM&gt;=HS31-0.5,1,0))),0)</f>
        <v>0</v>
      </c>
      <c r="HX31" s="1" t="n">
        <f aca="false">IF(Has_saveM=1,MIN(HU31,IF(HW31=1,MAX(In_saveM,HV31),MIN(In_saveM,HV31))),HV31)</f>
        <v>0</v>
      </c>
      <c r="HY31" s="1" t="n">
        <f aca="false">IF(F31=1,HX31*12*E31,0)</f>
        <v>0</v>
      </c>
      <c r="HZ31" s="1" t="n">
        <f aca="false">MAX(0,HY31+IF(AND(WI_Retire=0,WI_M&lt;0,F31=1),WI_M*12*E31,0))</f>
        <v>0</v>
      </c>
      <c r="IA31" s="1" t="n">
        <f aca="false">Slot1_IsWG*V31+Slot2_IsWG*AG31+Slot3_IsWG*AQ31+Slot4_IsWG*BA31+Slot5_IsWG*BK31+Slot6_IsWG*BU31+Slot7_IsWG*CE31+Slot8_IsWG*CO31+Slot9_IsWG*CY31+Slot10_IsWG*DI31+Slot11_IsWG*DS31+Slot12_IsWG*EC31+Slot13_IsWG*EM31+Slot14_IsWG*EW31+Slot15_IsWG*FG31+Slot16_IsWG*FQ31+Slot17_IsWG*GA31+Slot18_IsWG*GK31+Slot19_IsWG*GU31+Slot20_IsWG*HE31</f>
        <v>0</v>
      </c>
      <c r="IB31" s="1" t="n">
        <f aca="false">IF(AND(WI_Retire=0,WI_M&gt;0,F31=1,IA31&gt;=1),WI_M*12*E31,0)</f>
        <v>0</v>
      </c>
      <c r="IC31" s="1" t="n">
        <f aca="false">IF(HT31=1,MIN(HZ31,HR31),0)</f>
        <v>0</v>
      </c>
      <c r="ID31" s="1" t="n">
        <f aca="false">IF(HT31=1,MIN(IB31,HR31-IC31),0)</f>
        <v>0</v>
      </c>
      <c r="IE31" s="1" t="n">
        <f aca="false">IF(V31=1,IF(ABS((1+AS_Wage)/(1+Slot1_Rate)-1)&lt;0.000000000001,(Slot1_Age-D31)*(1+Slot1_Rate)^(Slot1_Age-D31),(1+Slot1_Rate)^(Slot1_Age-D31)*(1-((1+AS_Wage)/(1+Slot1_Rate))^(Slot1_Age-D31))/(1-(1+AS_Wage)/(1+Slot1_Rate))),1)</f>
        <v>1</v>
      </c>
      <c r="IF31" s="1" t="n">
        <f aca="false">IF(AND(HT31=1,ID31&gt;0,Slot1_IsWG=1,V31=1),MAX(0,(Slot1_Cost-W31*(1+Slot1_Rate)^(Slot1_Age-D31))/IE31),0)</f>
        <v>0</v>
      </c>
      <c r="IG31" s="1" t="n">
        <f aca="false">IF(AND(HT31=1,ID31&gt;0,Slot1_IsWG=1,V31=1),MIN(ID31,IF31),0)</f>
        <v>0</v>
      </c>
      <c r="IH31" s="1" t="n">
        <f aca="false">W31+IG31</f>
        <v>0</v>
      </c>
      <c r="II31" s="1" t="n">
        <f aca="false">IF(V31=1,MAX(0,(Slot1_Cost-IH31*(1+Slot1_Rate)^(Slot1_Age-D31))/IE31),0)</f>
        <v>0</v>
      </c>
      <c r="IJ31" s="1" t="n">
        <f aca="false">IF(V31=1,MAX(0,(Slot1_Cost-W31*(1+Slot1_Rate)^(Slot1_Age-D31))/IE31),0)</f>
        <v>0</v>
      </c>
      <c r="IK31" s="1" t="n">
        <f aca="false">IF(AND(HT31=1,V31=1),MIN(IC31,II31),0)</f>
        <v>0</v>
      </c>
      <c r="IL31" s="1" t="n">
        <f aca="false">IC31-IK31</f>
        <v>0</v>
      </c>
      <c r="IM31" s="1" t="n">
        <f aca="false">IF(AG31=1,IF(ABS((1+AS_Wage)/(1+Slot2_Rate)-1)&lt;0.000000000001,(Slot2_Age-D31)*(1+Slot2_Rate)^(Slot2_Age-D31),(1+Slot2_Rate)^(Slot2_Age-D31)*(1-((1+AS_Wage)/(1+Slot2_Rate))^(Slot2_Age-D31))/(1-(1+AS_Wage)/(1+Slot2_Rate))),1)</f>
        <v>1</v>
      </c>
      <c r="IN31" s="1" t="n">
        <f aca="false">IF(AND(HT31=1,ID31&gt;0,Slot2_IsWG=1,AG31=1),MAX(0,(Slot2_Cost-AH31*(1+Slot2_Rate)^(Slot2_Age-D31))/IM31),0)</f>
        <v>0</v>
      </c>
      <c r="IO31" s="1" t="n">
        <f aca="false">IF(AND(HT31=1,ID31&gt;0,Slot2_IsWG=1,AG31=1),MIN(ID31,IN31),0)</f>
        <v>0</v>
      </c>
      <c r="IP31" s="1" t="n">
        <f aca="false">AH31+IO31</f>
        <v>0</v>
      </c>
      <c r="IQ31" s="1" t="n">
        <f aca="false">IF(AG31=1,MAX(0,(Slot2_Cost-IP31*(1+Slot2_Rate)^(Slot2_Age-D31))/IM31),0)</f>
        <v>0</v>
      </c>
      <c r="IR31" s="1" t="n">
        <f aca="false">IF(AG31=1,MAX(0,(Slot2_Cost-AH31*(1+Slot2_Rate)^(Slot2_Age-D31))/IM31),0)</f>
        <v>0</v>
      </c>
      <c r="IS31" s="1" t="n">
        <f aca="false">IF(AND(HT31=1,AG31=1),MIN(IL31,IQ31),0)</f>
        <v>0</v>
      </c>
      <c r="IT31" s="1" t="n">
        <f aca="false">IL31-IS31</f>
        <v>0</v>
      </c>
      <c r="IU31" s="1" t="n">
        <f aca="false">IF(AQ31=1,IF(ABS((1+AS_Wage)/(1+Slot3_Rate)-1)&lt;0.000000000001,(Slot3_Age-D31)*(1+Slot3_Rate)^(Slot3_Age-D31),(1+Slot3_Rate)^(Slot3_Age-D31)*(1-((1+AS_Wage)/(1+Slot3_Rate))^(Slot3_Age-D31))/(1-(1+AS_Wage)/(1+Slot3_Rate))),1)</f>
        <v>1</v>
      </c>
      <c r="IV31" s="1" t="n">
        <f aca="false">IF(AND(HT31=1,ID31&gt;0,Slot3_IsWG=1,AQ31=1),MAX(0,(Slot3_Cost-AR31*(1+Slot3_Rate)^(Slot3_Age-D31))/IU31),0)</f>
        <v>0</v>
      </c>
      <c r="IW31" s="1" t="n">
        <f aca="false">IF(AND(HT31=1,ID31&gt;0,Slot3_IsWG=1,AQ31=1),MIN(ID31,IV31),0)</f>
        <v>0</v>
      </c>
      <c r="IX31" s="1" t="n">
        <f aca="false">AR31+IW31</f>
        <v>0</v>
      </c>
      <c r="IY31" s="1" t="n">
        <f aca="false">IF(AQ31=1,MAX(0,(Slot3_Cost-IX31*(1+Slot3_Rate)^(Slot3_Age-D31))/IU31),0)</f>
        <v>0</v>
      </c>
      <c r="IZ31" s="1" t="n">
        <f aca="false">IF(AQ31=1,MAX(0,(Slot3_Cost-AR31*(1+Slot3_Rate)^(Slot3_Age-D31))/IU31),0)</f>
        <v>0</v>
      </c>
      <c r="JA31" s="1" t="n">
        <f aca="false">IF(AND(HT31=1,AQ31=1),MIN(IT31,IY31),0)</f>
        <v>0</v>
      </c>
      <c r="JB31" s="1" t="n">
        <f aca="false">IT31-JA31</f>
        <v>0</v>
      </c>
      <c r="JC31" s="1" t="n">
        <f aca="false">IF(BA31=1,IF(ABS((1+AS_Wage)/(1+Slot4_Rate)-1)&lt;0.000000000001,(Slot4_Age-D31)*(1+Slot4_Rate)^(Slot4_Age-D31),(1+Slot4_Rate)^(Slot4_Age-D31)*(1-((1+AS_Wage)/(1+Slot4_Rate))^(Slot4_Age-D31))/(1-(1+AS_Wage)/(1+Slot4_Rate))),1)</f>
        <v>1</v>
      </c>
      <c r="JD31" s="1" t="n">
        <f aca="false">IF(AND(HT31=1,ID31&gt;0,Slot4_IsWG=1,BA31=1),MAX(0,(Slot4_Cost-BB31*(1+Slot4_Rate)^(Slot4_Age-D31))/JC31),0)</f>
        <v>0</v>
      </c>
      <c r="JE31" s="1" t="n">
        <f aca="false">IF(AND(HT31=1,ID31&gt;0,Slot4_IsWG=1,BA31=1),MIN(ID31,JD31),0)</f>
        <v>0</v>
      </c>
      <c r="JF31" s="1" t="n">
        <f aca="false">BB31+JE31</f>
        <v>0</v>
      </c>
      <c r="JG31" s="1" t="n">
        <f aca="false">IF(BA31=1,MAX(0,(Slot4_Cost-JF31*(1+Slot4_Rate)^(Slot4_Age-D31))/JC31),0)</f>
        <v>0</v>
      </c>
      <c r="JH31" s="1" t="n">
        <f aca="false">IF(BA31=1,MAX(0,(Slot4_Cost-BB31*(1+Slot4_Rate)^(Slot4_Age-D31))/JC31),0)</f>
        <v>0</v>
      </c>
      <c r="JI31" s="1" t="n">
        <f aca="false">IF(AND(HT31=1,BA31=1),MIN(JB31,JG31),0)</f>
        <v>0</v>
      </c>
      <c r="JJ31" s="1" t="n">
        <f aca="false">JB31-JI31</f>
        <v>0</v>
      </c>
      <c r="JK31" s="1" t="n">
        <f aca="false">IF(BK31=1,IF(ABS((1+AS_Wage)/(1+Slot5_Rate)-1)&lt;0.000000000001,(Slot5_Age-D31)*(1+Slot5_Rate)^(Slot5_Age-D31),(1+Slot5_Rate)^(Slot5_Age-D31)*(1-((1+AS_Wage)/(1+Slot5_Rate))^(Slot5_Age-D31))/(1-(1+AS_Wage)/(1+Slot5_Rate))),1)</f>
        <v>1</v>
      </c>
      <c r="JL31" s="1" t="n">
        <f aca="false">IF(AND(HT31=1,ID31&gt;0,Slot5_IsWG=1,BK31=1),MAX(0,(Slot5_Cost-BL31*(1+Slot5_Rate)^(Slot5_Age-D31))/JK31),0)</f>
        <v>0</v>
      </c>
      <c r="JM31" s="1" t="n">
        <f aca="false">IF(AND(HT31=1,ID31&gt;0,Slot5_IsWG=1,BK31=1),MIN(ID31,JL31),0)</f>
        <v>0</v>
      </c>
      <c r="JN31" s="1" t="n">
        <f aca="false">BL31+JM31</f>
        <v>0</v>
      </c>
      <c r="JO31" s="1" t="n">
        <f aca="false">IF(BK31=1,MAX(0,(Slot5_Cost-JN31*(1+Slot5_Rate)^(Slot5_Age-D31))/JK31),0)</f>
        <v>0</v>
      </c>
      <c r="JP31" s="1" t="n">
        <f aca="false">IF(BK31=1,MAX(0,(Slot5_Cost-BL31*(1+Slot5_Rate)^(Slot5_Age-D31))/JK31),0)</f>
        <v>0</v>
      </c>
      <c r="JQ31" s="1" t="n">
        <f aca="false">IF(AND(HT31=1,BK31=1),MIN(JJ31,JO31),0)</f>
        <v>0</v>
      </c>
      <c r="JR31" s="1" t="n">
        <f aca="false">JJ31-JQ31</f>
        <v>0</v>
      </c>
      <c r="JS31" s="1" t="n">
        <f aca="false">IF(BU31=1,IF(ABS((1+AS_Wage)/(1+Slot6_Rate)-1)&lt;0.000000000001,(Slot6_Age-D31)*(1+Slot6_Rate)^(Slot6_Age-D31),(1+Slot6_Rate)^(Slot6_Age-D31)*(1-((1+AS_Wage)/(1+Slot6_Rate))^(Slot6_Age-D31))/(1-(1+AS_Wage)/(1+Slot6_Rate))),1)</f>
        <v>1</v>
      </c>
      <c r="JT31" s="1" t="n">
        <f aca="false">IF(AND(HT31=1,ID31&gt;0,Slot6_IsWG=1,BU31=1),MAX(0,(Slot6_Cost-BV31*(1+Slot6_Rate)^(Slot6_Age-D31))/JS31),0)</f>
        <v>0</v>
      </c>
      <c r="JU31" s="1" t="n">
        <f aca="false">IF(AND(HT31=1,ID31&gt;0,Slot6_IsWG=1,BU31=1),MIN(ID31,JT31),0)</f>
        <v>0</v>
      </c>
      <c r="JV31" s="1" t="n">
        <f aca="false">BV31+JU31</f>
        <v>0</v>
      </c>
      <c r="JW31" s="1" t="n">
        <f aca="false">IF(BU31=1,MAX(0,(Slot6_Cost-JV31*(1+Slot6_Rate)^(Slot6_Age-D31))/JS31),0)</f>
        <v>0</v>
      </c>
      <c r="JX31" s="1" t="n">
        <f aca="false">IF(BU31=1,MAX(0,(Slot6_Cost-BV31*(1+Slot6_Rate)^(Slot6_Age-D31))/JS31),0)</f>
        <v>0</v>
      </c>
      <c r="JY31" s="1" t="n">
        <f aca="false">IF(AND(HT31=1,BU31=1),MIN(JR31,JW31),0)</f>
        <v>0</v>
      </c>
      <c r="JZ31" s="1" t="n">
        <f aca="false">JR31-JY31</f>
        <v>0</v>
      </c>
      <c r="KA31" s="1" t="n">
        <f aca="false">IF(CE31=1,IF(ABS((1+AS_Wage)/(1+Slot7_Rate)-1)&lt;0.000000000001,(Slot7_Age-D31)*(1+Slot7_Rate)^(Slot7_Age-D31),(1+Slot7_Rate)^(Slot7_Age-D31)*(1-((1+AS_Wage)/(1+Slot7_Rate))^(Slot7_Age-D31))/(1-(1+AS_Wage)/(1+Slot7_Rate))),1)</f>
        <v>1</v>
      </c>
      <c r="KB31" s="1" t="n">
        <f aca="false">IF(AND(HT31=1,ID31&gt;0,Slot7_IsWG=1,CE31=1),MAX(0,(Slot7_Cost-CF31*(1+Slot7_Rate)^(Slot7_Age-D31))/KA31),0)</f>
        <v>0</v>
      </c>
      <c r="KC31" s="1" t="n">
        <f aca="false">IF(AND(HT31=1,ID31&gt;0,Slot7_IsWG=1,CE31=1),MIN(ID31,KB31),0)</f>
        <v>0</v>
      </c>
      <c r="KD31" s="1" t="n">
        <f aca="false">CF31+KC31</f>
        <v>0</v>
      </c>
      <c r="KE31" s="1" t="n">
        <f aca="false">IF(CE31=1,MAX(0,(Slot7_Cost-KD31*(1+Slot7_Rate)^(Slot7_Age-D31))/KA31),0)</f>
        <v>0</v>
      </c>
      <c r="KF31" s="1" t="n">
        <f aca="false">IF(CE31=1,MAX(0,(Slot7_Cost-CF31*(1+Slot7_Rate)^(Slot7_Age-D31))/KA31),0)</f>
        <v>0</v>
      </c>
      <c r="KG31" s="1" t="n">
        <f aca="false">IF(AND(HT31=1,CE31=1),MIN(JZ31,KE31),0)</f>
        <v>0</v>
      </c>
      <c r="KH31" s="1" t="n">
        <f aca="false">JZ31-KG31</f>
        <v>0</v>
      </c>
      <c r="KI31" s="1" t="n">
        <f aca="false">IF(CO31=1,IF(ABS((1+AS_Wage)/(1+Slot8_Rate)-1)&lt;0.000000000001,(Slot8_Age-D31)*(1+Slot8_Rate)^(Slot8_Age-D31),(1+Slot8_Rate)^(Slot8_Age-D31)*(1-((1+AS_Wage)/(1+Slot8_Rate))^(Slot8_Age-D31))/(1-(1+AS_Wage)/(1+Slot8_Rate))),1)</f>
        <v>1</v>
      </c>
      <c r="KJ31" s="1" t="n">
        <f aca="false">IF(AND(HT31=1,ID31&gt;0,Slot8_IsWG=1,CO31=1),MAX(0,(Slot8_Cost-CP31*(1+Slot8_Rate)^(Slot8_Age-D31))/KI31),0)</f>
        <v>0</v>
      </c>
      <c r="KK31" s="1" t="n">
        <f aca="false">IF(AND(HT31=1,ID31&gt;0,Slot8_IsWG=1,CO31=1),MIN(ID31,KJ31),0)</f>
        <v>0</v>
      </c>
      <c r="KL31" s="1" t="n">
        <f aca="false">CP31+KK31</f>
        <v>0</v>
      </c>
      <c r="KM31" s="1" t="n">
        <f aca="false">IF(CO31=1,MAX(0,(Slot8_Cost-KL31*(1+Slot8_Rate)^(Slot8_Age-D31))/KI31),0)</f>
        <v>0</v>
      </c>
      <c r="KN31" s="1" t="n">
        <f aca="false">IF(CO31=1,MAX(0,(Slot8_Cost-CP31*(1+Slot8_Rate)^(Slot8_Age-D31))/KI31),0)</f>
        <v>0</v>
      </c>
      <c r="KO31" s="1" t="n">
        <f aca="false">IF(AND(HT31=1,CO31=1),MIN(KH31,KM31),0)</f>
        <v>0</v>
      </c>
      <c r="KP31" s="1" t="n">
        <f aca="false">KH31-KO31</f>
        <v>0</v>
      </c>
      <c r="KQ31" s="1" t="n">
        <f aca="false">IF(CY31=1,IF(ABS((1+AS_Wage)/(1+Slot9_Rate)-1)&lt;0.000000000001,(Slot9_Age-D31)*(1+Slot9_Rate)^(Slot9_Age-D31),(1+Slot9_Rate)^(Slot9_Age-D31)*(1-((1+AS_Wage)/(1+Slot9_Rate))^(Slot9_Age-D31))/(1-(1+AS_Wage)/(1+Slot9_Rate))),1)</f>
        <v>1</v>
      </c>
      <c r="KR31" s="1" t="n">
        <f aca="false">IF(AND(HT31=1,ID31&gt;0,Slot9_IsWG=1,CY31=1),MAX(0,(Slot9_Cost-CZ31*(1+Slot9_Rate)^(Slot9_Age-D31))/KQ31),0)</f>
        <v>0</v>
      </c>
      <c r="KS31" s="1" t="n">
        <f aca="false">IF(AND(HT31=1,ID31&gt;0,Slot9_IsWG=1,CY31=1),MIN(ID31,KR31),0)</f>
        <v>0</v>
      </c>
      <c r="KT31" s="1" t="n">
        <f aca="false">CZ31+KS31</f>
        <v>0</v>
      </c>
      <c r="KU31" s="1" t="n">
        <f aca="false">IF(CY31=1,MAX(0,(Slot9_Cost-KT31*(1+Slot9_Rate)^(Slot9_Age-D31))/KQ31),0)</f>
        <v>0</v>
      </c>
      <c r="KV31" s="1" t="n">
        <f aca="false">IF(CY31=1,MAX(0,(Slot9_Cost-CZ31*(1+Slot9_Rate)^(Slot9_Age-D31))/KQ31),0)</f>
        <v>0</v>
      </c>
      <c r="KW31" s="1" t="n">
        <f aca="false">IF(AND(HT31=1,CY31=1),MIN(KP31,KU31),0)</f>
        <v>0</v>
      </c>
      <c r="KX31" s="1" t="n">
        <f aca="false">KP31-KW31</f>
        <v>0</v>
      </c>
      <c r="KY31" s="1" t="n">
        <f aca="false">IF(DI31=1,IF(ABS((1+AS_Wage)/(1+Slot10_Rate)-1)&lt;0.000000000001,(Slot10_Age-D31)*(1+Slot10_Rate)^(Slot10_Age-D31),(1+Slot10_Rate)^(Slot10_Age-D31)*(1-((1+AS_Wage)/(1+Slot10_Rate))^(Slot10_Age-D31))/(1-(1+AS_Wage)/(1+Slot10_Rate))),1)</f>
        <v>1</v>
      </c>
      <c r="KZ31" s="1" t="n">
        <f aca="false">IF(AND(HT31=1,ID31&gt;0,Slot10_IsWG=1,DI31=1),MAX(0,(Slot10_Cost-DJ31*(1+Slot10_Rate)^(Slot10_Age-D31))/KY31),0)</f>
        <v>0</v>
      </c>
      <c r="LA31" s="1" t="n">
        <f aca="false">IF(AND(HT31=1,ID31&gt;0,Slot10_IsWG=1,DI31=1),MIN(ID31,KZ31),0)</f>
        <v>0</v>
      </c>
      <c r="LB31" s="1" t="n">
        <f aca="false">DJ31+LA31</f>
        <v>0</v>
      </c>
      <c r="LC31" s="1" t="n">
        <f aca="false">IF(DI31=1,MAX(0,(Slot10_Cost-LB31*(1+Slot10_Rate)^(Slot10_Age-D31))/KY31),0)</f>
        <v>0</v>
      </c>
      <c r="LD31" s="1" t="n">
        <f aca="false">IF(DI31=1,MAX(0,(Slot10_Cost-DJ31*(1+Slot10_Rate)^(Slot10_Age-D31))/KY31),0)</f>
        <v>0</v>
      </c>
      <c r="LE31" s="1" t="n">
        <f aca="false">IF(AND(HT31=1,DI31=1),MIN(KX31,LC31),0)</f>
        <v>0</v>
      </c>
      <c r="LF31" s="1" t="n">
        <f aca="false">KX31-LE31</f>
        <v>0</v>
      </c>
      <c r="LG31" s="1" t="n">
        <f aca="false">IF(DS31=1,IF(ABS((1+AS_Wage)/(1+Slot11_Rate)-1)&lt;0.000000000001,(Slot11_Age-D31)*(1+Slot11_Rate)^(Slot11_Age-D31),(1+Slot11_Rate)^(Slot11_Age-D31)*(1-((1+AS_Wage)/(1+Slot11_Rate))^(Slot11_Age-D31))/(1-(1+AS_Wage)/(1+Slot11_Rate))),1)</f>
        <v>1</v>
      </c>
      <c r="LH31" s="1" t="n">
        <f aca="false">IF(AND(HT31=1,ID31&gt;0,Slot11_IsWG=1,DS31=1),MAX(0,(Slot11_Cost-DT31*(1+Slot11_Rate)^(Slot11_Age-D31))/LG31),0)</f>
        <v>0</v>
      </c>
      <c r="LI31" s="1" t="n">
        <f aca="false">IF(AND(HT31=1,ID31&gt;0,Slot11_IsWG=1,DS31=1),MIN(ID31,LH31),0)</f>
        <v>0</v>
      </c>
      <c r="LJ31" s="1" t="n">
        <f aca="false">DT31+LI31</f>
        <v>0</v>
      </c>
      <c r="LK31" s="1" t="n">
        <f aca="false">IF(DS31=1,MAX(0,(Slot11_Cost-LJ31*(1+Slot11_Rate)^(Slot11_Age-D31))/LG31),0)</f>
        <v>0</v>
      </c>
      <c r="LL31" s="1" t="n">
        <f aca="false">IF(DS31=1,MAX(0,(Slot11_Cost-DT31*(1+Slot11_Rate)^(Slot11_Age-D31))/LG31),0)</f>
        <v>0</v>
      </c>
      <c r="LM31" s="1" t="n">
        <f aca="false">IF(AND(HT31=1,DS31=1),MIN(LF31,LK31),0)</f>
        <v>0</v>
      </c>
      <c r="LN31" s="1" t="n">
        <f aca="false">LF31-LM31</f>
        <v>0</v>
      </c>
      <c r="LO31" s="1" t="n">
        <f aca="false">IF(EC31=1,IF(ABS((1+AS_Wage)/(1+Slot12_Rate)-1)&lt;0.000000000001,(Slot12_Age-D31)*(1+Slot12_Rate)^(Slot12_Age-D31),(1+Slot12_Rate)^(Slot12_Age-D31)*(1-((1+AS_Wage)/(1+Slot12_Rate))^(Slot12_Age-D31))/(1-(1+AS_Wage)/(1+Slot12_Rate))),1)</f>
        <v>1</v>
      </c>
      <c r="LP31" s="1" t="n">
        <f aca="false">IF(AND(HT31=1,ID31&gt;0,Slot12_IsWG=1,EC31=1),MAX(0,(Slot12_Cost-ED31*(1+Slot12_Rate)^(Slot12_Age-D31))/LO31),0)</f>
        <v>0</v>
      </c>
      <c r="LQ31" s="1" t="n">
        <f aca="false">IF(AND(HT31=1,ID31&gt;0,Slot12_IsWG=1,EC31=1),MIN(ID31,LP31),0)</f>
        <v>0</v>
      </c>
      <c r="LR31" s="1" t="n">
        <f aca="false">ED31+LQ31</f>
        <v>0</v>
      </c>
      <c r="LS31" s="1" t="n">
        <f aca="false">IF(EC31=1,MAX(0,(Slot12_Cost-LR31*(1+Slot12_Rate)^(Slot12_Age-D31))/LO31),0)</f>
        <v>0</v>
      </c>
      <c r="LT31" s="1" t="n">
        <f aca="false">IF(EC31=1,MAX(0,(Slot12_Cost-ED31*(1+Slot12_Rate)^(Slot12_Age-D31))/LO31),0)</f>
        <v>0</v>
      </c>
      <c r="LU31" s="1" t="n">
        <f aca="false">IF(AND(HT31=1,EC31=1),MIN(LN31,LS31),0)</f>
        <v>0</v>
      </c>
      <c r="LV31" s="1" t="n">
        <f aca="false">LN31-LU31</f>
        <v>0</v>
      </c>
      <c r="LW31" s="1" t="n">
        <f aca="false">IF(EM31=1,IF(ABS((1+AS_Wage)/(1+Slot13_Rate)-1)&lt;0.000000000001,(Slot13_Age-D31)*(1+Slot13_Rate)^(Slot13_Age-D31),(1+Slot13_Rate)^(Slot13_Age-D31)*(1-((1+AS_Wage)/(1+Slot13_Rate))^(Slot13_Age-D31))/(1-(1+AS_Wage)/(1+Slot13_Rate))),1)</f>
        <v>1</v>
      </c>
      <c r="LX31" s="1" t="n">
        <f aca="false">IF(AND(HT31=1,ID31&gt;0,Slot13_IsWG=1,EM31=1),MAX(0,(Slot13_Cost-EN31*(1+Slot13_Rate)^(Slot13_Age-D31))/LW31),0)</f>
        <v>0</v>
      </c>
      <c r="LY31" s="1" t="n">
        <f aca="false">IF(AND(HT31=1,ID31&gt;0,Slot13_IsWG=1,EM31=1),MIN(ID31,LX31),0)</f>
        <v>0</v>
      </c>
      <c r="LZ31" s="1" t="n">
        <f aca="false">EN31+LY31</f>
        <v>0</v>
      </c>
      <c r="MA31" s="1" t="n">
        <f aca="false">IF(EM31=1,MAX(0,(Slot13_Cost-LZ31*(1+Slot13_Rate)^(Slot13_Age-D31))/LW31),0)</f>
        <v>0</v>
      </c>
      <c r="MB31" s="1" t="n">
        <f aca="false">IF(EM31=1,MAX(0,(Slot13_Cost-EN31*(1+Slot13_Rate)^(Slot13_Age-D31))/LW31),0)</f>
        <v>0</v>
      </c>
      <c r="MC31" s="1" t="n">
        <f aca="false">IF(AND(HT31=1,EM31=1),MIN(LV31,MA31),0)</f>
        <v>0</v>
      </c>
      <c r="MD31" s="1" t="n">
        <f aca="false">LV31-MC31</f>
        <v>0</v>
      </c>
      <c r="ME31" s="1" t="n">
        <f aca="false">IF(EW31=1,IF(ABS((1+AS_Wage)/(1+Slot14_Rate)-1)&lt;0.000000000001,(Slot14_Age-D31)*(1+Slot14_Rate)^(Slot14_Age-D31),(1+Slot14_Rate)^(Slot14_Age-D31)*(1-((1+AS_Wage)/(1+Slot14_Rate))^(Slot14_Age-D31))/(1-(1+AS_Wage)/(1+Slot14_Rate))),1)</f>
        <v>1</v>
      </c>
      <c r="MF31" s="1" t="n">
        <f aca="false">IF(AND(HT31=1,ID31&gt;0,Slot14_IsWG=1,EW31=1),MAX(0,(Slot14_Cost-EX31*(1+Slot14_Rate)^(Slot14_Age-D31))/ME31),0)</f>
        <v>0</v>
      </c>
      <c r="MG31" s="1" t="n">
        <f aca="false">IF(AND(HT31=1,ID31&gt;0,Slot14_IsWG=1,EW31=1),MIN(ID31,MF31),0)</f>
        <v>0</v>
      </c>
      <c r="MH31" s="1" t="n">
        <f aca="false">EX31+MG31</f>
        <v>0</v>
      </c>
      <c r="MI31" s="1" t="n">
        <f aca="false">IF(EW31=1,MAX(0,(Slot14_Cost-MH31*(1+Slot14_Rate)^(Slot14_Age-D31))/ME31),0)</f>
        <v>0</v>
      </c>
      <c r="MJ31" s="1" t="n">
        <f aca="false">IF(EW31=1,MAX(0,(Slot14_Cost-EX31*(1+Slot14_Rate)^(Slot14_Age-D31))/ME31),0)</f>
        <v>0</v>
      </c>
      <c r="MK31" s="1" t="n">
        <f aca="false">IF(AND(HT31=1,EW31=1),MIN(MD31,MI31),0)</f>
        <v>0</v>
      </c>
      <c r="ML31" s="1" t="n">
        <f aca="false">MD31-MK31</f>
        <v>0</v>
      </c>
      <c r="MM31" s="1" t="n">
        <f aca="false">IF(FG31=1,IF(ABS((1+AS_Wage)/(1+Slot15_Rate)-1)&lt;0.000000000001,(Slot15_Age-D31)*(1+Slot15_Rate)^(Slot15_Age-D31),(1+Slot15_Rate)^(Slot15_Age-D31)*(1-((1+AS_Wage)/(1+Slot15_Rate))^(Slot15_Age-D31))/(1-(1+AS_Wage)/(1+Slot15_Rate))),1)</f>
        <v>1</v>
      </c>
      <c r="MN31" s="1" t="n">
        <f aca="false">IF(AND(HT31=1,ID31&gt;0,Slot15_IsWG=1,FG31=1),MAX(0,(Slot15_Cost-FH31*(1+Slot15_Rate)^(Slot15_Age-D31))/MM31),0)</f>
        <v>0</v>
      </c>
      <c r="MO31" s="1" t="n">
        <f aca="false">IF(AND(HT31=1,ID31&gt;0,Slot15_IsWG=1,FG31=1),MIN(ID31,MN31),0)</f>
        <v>0</v>
      </c>
      <c r="MP31" s="1" t="n">
        <f aca="false">FH31+MO31</f>
        <v>0</v>
      </c>
      <c r="MQ31" s="1" t="n">
        <f aca="false">IF(FG31=1,MAX(0,(Slot15_Cost-MP31*(1+Slot15_Rate)^(Slot15_Age-D31))/MM31),0)</f>
        <v>0</v>
      </c>
      <c r="MR31" s="1" t="n">
        <f aca="false">IF(FG31=1,MAX(0,(Slot15_Cost-FH31*(1+Slot15_Rate)^(Slot15_Age-D31))/MM31),0)</f>
        <v>0</v>
      </c>
      <c r="MS31" s="1" t="n">
        <f aca="false">IF(AND(HT31=1,FG31=1),MIN(ML31,MQ31),0)</f>
        <v>0</v>
      </c>
      <c r="MT31" s="1" t="n">
        <f aca="false">ML31-MS31</f>
        <v>0</v>
      </c>
      <c r="MU31" s="1" t="n">
        <f aca="false">IF(FQ31=1,IF(ABS((1+AS_Wage)/(1+Slot16_Rate)-1)&lt;0.000000000001,(Slot16_Age-D31)*(1+Slot16_Rate)^(Slot16_Age-D31),(1+Slot16_Rate)^(Slot16_Age-D31)*(1-((1+AS_Wage)/(1+Slot16_Rate))^(Slot16_Age-D31))/(1-(1+AS_Wage)/(1+Slot16_Rate))),1)</f>
        <v>1</v>
      </c>
      <c r="MV31" s="1" t="n">
        <f aca="false">IF(AND(HT31=1,ID31&gt;0,Slot16_IsWG=1,FQ31=1),MAX(0,(Slot16_Cost-FR31*(1+Slot16_Rate)^(Slot16_Age-D31))/MU31),0)</f>
        <v>0</v>
      </c>
      <c r="MW31" s="1" t="n">
        <f aca="false">IF(AND(HT31=1,ID31&gt;0,Slot16_IsWG=1,FQ31=1),MIN(ID31,MV31),0)</f>
        <v>0</v>
      </c>
      <c r="MX31" s="1" t="n">
        <f aca="false">FR31+MW31</f>
        <v>0</v>
      </c>
      <c r="MY31" s="1" t="n">
        <f aca="false">IF(FQ31=1,MAX(0,(Slot16_Cost-MX31*(1+Slot16_Rate)^(Slot16_Age-D31))/MU31),0)</f>
        <v>0</v>
      </c>
      <c r="MZ31" s="1" t="n">
        <f aca="false">IF(FQ31=1,MAX(0,(Slot16_Cost-FR31*(1+Slot16_Rate)^(Slot16_Age-D31))/MU31),0)</f>
        <v>0</v>
      </c>
      <c r="NA31" s="1" t="n">
        <f aca="false">IF(AND(HT31=1,FQ31=1),MIN(MT31,MY31),0)</f>
        <v>0</v>
      </c>
      <c r="NB31" s="1" t="n">
        <f aca="false">MT31-NA31</f>
        <v>0</v>
      </c>
      <c r="NC31" s="1" t="n">
        <f aca="false">IF(GA31=1,IF(ABS((1+AS_Wage)/(1+Slot17_Rate)-1)&lt;0.000000000001,(Slot17_Age-D31)*(1+Slot17_Rate)^(Slot17_Age-D31),(1+Slot17_Rate)^(Slot17_Age-D31)*(1-((1+AS_Wage)/(1+Slot17_Rate))^(Slot17_Age-D31))/(1-(1+AS_Wage)/(1+Slot17_Rate))),1)</f>
        <v>1</v>
      </c>
      <c r="ND31" s="1" t="n">
        <f aca="false">IF(AND(HT31=1,ID31&gt;0,Slot17_IsWG=1,GA31=1),MAX(0,(Slot17_Cost-GB31*(1+Slot17_Rate)^(Slot17_Age-D31))/NC31),0)</f>
        <v>0</v>
      </c>
      <c r="NE31" s="1" t="n">
        <f aca="false">IF(AND(HT31=1,ID31&gt;0,Slot17_IsWG=1,GA31=1),MIN(ID31,ND31),0)</f>
        <v>0</v>
      </c>
      <c r="NF31" s="1" t="n">
        <f aca="false">GB31+NE31</f>
        <v>0</v>
      </c>
      <c r="NG31" s="1" t="n">
        <f aca="false">IF(GA31=1,MAX(0,(Slot17_Cost-NF31*(1+Slot17_Rate)^(Slot17_Age-D31))/NC31),0)</f>
        <v>0</v>
      </c>
      <c r="NH31" s="1" t="n">
        <f aca="false">IF(GA31=1,MAX(0,(Slot17_Cost-GB31*(1+Slot17_Rate)^(Slot17_Age-D31))/NC31),0)</f>
        <v>0</v>
      </c>
      <c r="NI31" s="1" t="n">
        <f aca="false">IF(AND(HT31=1,GA31=1),MIN(NB31,NG31),0)</f>
        <v>0</v>
      </c>
      <c r="NJ31" s="1" t="n">
        <f aca="false">NB31-NI31</f>
        <v>0</v>
      </c>
      <c r="NK31" s="1" t="n">
        <f aca="false">IF(GK31=1,IF(ABS((1+AS_Wage)/(1+Slot18_Rate)-1)&lt;0.000000000001,(Slot18_Age-D31)*(1+Slot18_Rate)^(Slot18_Age-D31),(1+Slot18_Rate)^(Slot18_Age-D31)*(1-((1+AS_Wage)/(1+Slot18_Rate))^(Slot18_Age-D31))/(1-(1+AS_Wage)/(1+Slot18_Rate))),1)</f>
        <v>1</v>
      </c>
      <c r="NL31" s="1" t="n">
        <f aca="false">IF(AND(HT31=1,ID31&gt;0,Slot18_IsWG=1,GK31=1),MAX(0,(Slot18_Cost-GL31*(1+Slot18_Rate)^(Slot18_Age-D31))/NK31),0)</f>
        <v>0</v>
      </c>
      <c r="NM31" s="1" t="n">
        <f aca="false">IF(AND(HT31=1,ID31&gt;0,Slot18_IsWG=1,GK31=1),MIN(ID31,NL31),0)</f>
        <v>0</v>
      </c>
      <c r="NN31" s="1" t="n">
        <f aca="false">GL31+NM31</f>
        <v>0</v>
      </c>
      <c r="NO31" s="1" t="n">
        <f aca="false">IF(GK31=1,MAX(0,(Slot18_Cost-NN31*(1+Slot18_Rate)^(Slot18_Age-D31))/NK31),0)</f>
        <v>0</v>
      </c>
      <c r="NP31" s="1" t="n">
        <f aca="false">IF(GK31=1,MAX(0,(Slot18_Cost-GL31*(1+Slot18_Rate)^(Slot18_Age-D31))/NK31),0)</f>
        <v>0</v>
      </c>
      <c r="NQ31" s="1" t="n">
        <f aca="false">IF(AND(HT31=1,GK31=1),MIN(NJ31,NO31),0)</f>
        <v>0</v>
      </c>
      <c r="NR31" s="1" t="n">
        <f aca="false">NJ31-NQ31</f>
        <v>0</v>
      </c>
      <c r="NS31" s="1" t="n">
        <f aca="false">IF(GU31=1,IF(ABS((1+AS_Wage)/(1+Slot19_Rate)-1)&lt;0.000000000001,(Slot19_Age-D31)*(1+Slot19_Rate)^(Slot19_Age-D31),(1+Slot19_Rate)^(Slot19_Age-D31)*(1-((1+AS_Wage)/(1+Slot19_Rate))^(Slot19_Age-D31))/(1-(1+AS_Wage)/(1+Slot19_Rate))),1)</f>
        <v>1</v>
      </c>
      <c r="NT31" s="1" t="n">
        <f aca="false">IF(AND(HT31=1,ID31&gt;0,Slot19_IsWG=1,GU31=1),MAX(0,(Slot19_Cost-GV31*(1+Slot19_Rate)^(Slot19_Age-D31))/NS31),0)</f>
        <v>0</v>
      </c>
      <c r="NU31" s="1" t="n">
        <f aca="false">IF(AND(HT31=1,ID31&gt;0,Slot19_IsWG=1,GU31=1),MIN(ID31,NT31),0)</f>
        <v>0</v>
      </c>
      <c r="NV31" s="1" t="n">
        <f aca="false">GV31+NU31</f>
        <v>0</v>
      </c>
      <c r="NW31" s="1" t="n">
        <f aca="false">IF(GU31=1,MAX(0,(Slot19_Cost-NV31*(1+Slot19_Rate)^(Slot19_Age-D31))/NS31),0)</f>
        <v>0</v>
      </c>
      <c r="NX31" s="1" t="n">
        <f aca="false">IF(GU31=1,MAX(0,(Slot19_Cost-GV31*(1+Slot19_Rate)^(Slot19_Age-D31))/NS31),0)</f>
        <v>0</v>
      </c>
      <c r="NY31" s="1" t="n">
        <f aca="false">IF(AND(HT31=1,GU31=1),MIN(NR31,NW31),0)</f>
        <v>0</v>
      </c>
      <c r="NZ31" s="1" t="n">
        <f aca="false">NR31-NY31</f>
        <v>0</v>
      </c>
      <c r="OA31" s="1" t="n">
        <f aca="false">IF(HE31=1,IF(ABS((1+AS_Wage)/(1+Slot20_Rate)-1)&lt;0.000000000001,(Slot20_Age-D31)*(1+Slot20_Rate)^(Slot20_Age-D31),(1+Slot20_Rate)^(Slot20_Age-D31)*(1-((1+AS_Wage)/(1+Slot20_Rate))^(Slot20_Age-D31))/(1-(1+AS_Wage)/(1+Slot20_Rate))),1)</f>
        <v>1</v>
      </c>
      <c r="OB31" s="1" t="n">
        <f aca="false">IF(AND(HT31=1,ID31&gt;0,Slot20_IsWG=1,HE31=1),MAX(0,(Slot20_Cost-HF31*(1+Slot20_Rate)^(Slot20_Age-D31))/OA31),0)</f>
        <v>0</v>
      </c>
      <c r="OC31" s="1" t="n">
        <f aca="false">IF(AND(HT31=1,ID31&gt;0,Slot20_IsWG=1,HE31=1),MIN(ID31,OB31),0)</f>
        <v>0</v>
      </c>
      <c r="OD31" s="1" t="n">
        <f aca="false">HF31+OC31</f>
        <v>0</v>
      </c>
      <c r="OE31" s="1" t="n">
        <f aca="false">IF(HE31=1,MAX(0,(Slot20_Cost-OD31*(1+Slot20_Rate)^(Slot20_Age-D31))/OA31),0)</f>
        <v>0</v>
      </c>
      <c r="OF31" s="1" t="n">
        <f aca="false">IF(HE31=1,MAX(0,(Slot20_Cost-HF31*(1+Slot20_Rate)^(Slot20_Age-D31))/OA31),0)</f>
        <v>0</v>
      </c>
      <c r="OG31" s="1" t="n">
        <f aca="false">IF(AND(HT31=1,HE31=1),MIN(NZ31,OE31),0)</f>
        <v>0</v>
      </c>
      <c r="OH31" s="1" t="n">
        <f aca="false">NZ31-OG31</f>
        <v>0</v>
      </c>
      <c r="OI31" s="1" t="n">
        <f aca="false">ID31-(IG31+IO31+IW31+JE31+JM31+JU31+KC31+KK31+KS31+LA31+LI31+LQ31+LY31+MG31+MO31+MW31+NE31+NM31+NU31+OC31)</f>
        <v>0</v>
      </c>
      <c r="OJ31" s="1" t="n">
        <f aca="false">IF(HT31=1,HR31-IC31-ID31,0)</f>
        <v>0</v>
      </c>
      <c r="OK31" s="1" t="n">
        <f aca="false">IF(HT31=0,-HR31,0)</f>
        <v>0</v>
      </c>
      <c r="OL31" s="1" t="n">
        <f aca="false">MIN(OK31,HJ31)</f>
        <v>0</v>
      </c>
      <c r="OM31" s="1" t="n">
        <f aca="false">OK31-OL31</f>
        <v>0</v>
      </c>
      <c r="ON31" s="1" t="n">
        <f aca="false">MIN(OM31,HK31)</f>
        <v>0</v>
      </c>
      <c r="OO31" s="1" t="n">
        <f aca="false">OM31-ON31</f>
        <v>0</v>
      </c>
      <c r="OP31" s="1" t="n">
        <f aca="false">IF(AND(HT31=0,HE31=1,OO31&gt;0),MIN(OO31,HF31),0)</f>
        <v>0</v>
      </c>
      <c r="OQ31" s="1" t="n">
        <f aca="false">OO31-OP31</f>
        <v>0</v>
      </c>
      <c r="OR31" s="1" t="n">
        <f aca="false">IF(AND(HT31=0,GU31=1,OQ31&gt;0),MIN(OQ31,GV31),0)</f>
        <v>0</v>
      </c>
      <c r="OS31" s="1" t="n">
        <f aca="false">OQ31-OR31</f>
        <v>0</v>
      </c>
      <c r="OT31" s="1" t="n">
        <f aca="false">IF(AND(HT31=0,GK31=1,OS31&gt;0),MIN(OS31,GL31),0)</f>
        <v>0</v>
      </c>
      <c r="OU31" s="1" t="n">
        <f aca="false">OS31-OT31</f>
        <v>0</v>
      </c>
      <c r="OV31" s="1" t="n">
        <f aca="false">IF(AND(HT31=0,GA31=1,OU31&gt;0),MIN(OU31,GB31),0)</f>
        <v>0</v>
      </c>
      <c r="OW31" s="1" t="n">
        <f aca="false">OU31-OV31</f>
        <v>0</v>
      </c>
      <c r="OX31" s="1" t="n">
        <f aca="false">IF(AND(HT31=0,FQ31=1,OW31&gt;0),MIN(OW31,FR31),0)</f>
        <v>0</v>
      </c>
      <c r="OY31" s="1" t="n">
        <f aca="false">OW31-OX31</f>
        <v>0</v>
      </c>
      <c r="OZ31" s="1" t="n">
        <f aca="false">IF(AND(HT31=0,FG31=1,OY31&gt;0),MIN(OY31,FH31),0)</f>
        <v>0</v>
      </c>
      <c r="PA31" s="1" t="n">
        <f aca="false">OY31-OZ31</f>
        <v>0</v>
      </c>
      <c r="PB31" s="1" t="n">
        <f aca="false">IF(AND(HT31=0,EW31=1,PA31&gt;0),MIN(PA31,EX31),0)</f>
        <v>0</v>
      </c>
      <c r="PC31" s="1" t="n">
        <f aca="false">PA31-PB31</f>
        <v>0</v>
      </c>
      <c r="PD31" s="1" t="n">
        <f aca="false">IF(AND(HT31=0,EM31=1,PC31&gt;0),MIN(PC31,EN31),0)</f>
        <v>0</v>
      </c>
      <c r="PE31" s="1" t="n">
        <f aca="false">PC31-PD31</f>
        <v>0</v>
      </c>
      <c r="PF31" s="1" t="n">
        <f aca="false">IF(AND(HT31=0,EC31=1,PE31&gt;0),MIN(PE31,ED31),0)</f>
        <v>0</v>
      </c>
      <c r="PG31" s="1" t="n">
        <f aca="false">PE31-PF31</f>
        <v>0</v>
      </c>
      <c r="PH31" s="1" t="n">
        <f aca="false">IF(AND(HT31=0,DS31=1,PG31&gt;0),MIN(PG31,DT31),0)</f>
        <v>0</v>
      </c>
      <c r="PI31" s="1" t="n">
        <f aca="false">PG31-PH31</f>
        <v>0</v>
      </c>
      <c r="PJ31" s="1" t="n">
        <f aca="false">IF(AND(HT31=0,DI31=1,PI31&gt;0),MIN(PI31,DJ31),0)</f>
        <v>0</v>
      </c>
      <c r="PK31" s="1" t="n">
        <f aca="false">PI31-PJ31</f>
        <v>0</v>
      </c>
      <c r="PL31" s="1" t="n">
        <f aca="false">IF(AND(HT31=0,CY31=1,PK31&gt;0),MIN(PK31,CZ31),0)</f>
        <v>0</v>
      </c>
      <c r="PM31" s="1" t="n">
        <f aca="false">PK31-PL31</f>
        <v>0</v>
      </c>
      <c r="PN31" s="1" t="n">
        <f aca="false">IF(AND(HT31=0,CO31=1,PM31&gt;0),MIN(PM31,CP31),0)</f>
        <v>0</v>
      </c>
      <c r="PO31" s="1" t="n">
        <f aca="false">PM31-PN31</f>
        <v>0</v>
      </c>
      <c r="PP31" s="1" t="n">
        <f aca="false">IF(AND(HT31=0,CE31=1,PO31&gt;0),MIN(PO31,CF31),0)</f>
        <v>0</v>
      </c>
      <c r="PQ31" s="1" t="n">
        <f aca="false">PO31-PP31</f>
        <v>0</v>
      </c>
      <c r="PR31" s="1" t="n">
        <f aca="false">IF(AND(HT31=0,BU31=1,PQ31&gt;0),MIN(PQ31,BV31),0)</f>
        <v>0</v>
      </c>
      <c r="PS31" s="1" t="n">
        <f aca="false">PQ31-PR31</f>
        <v>0</v>
      </c>
      <c r="PT31" s="1" t="n">
        <f aca="false">IF(AND(HT31=0,BK31=1,PS31&gt;0),MIN(PS31,BL31),0)</f>
        <v>0</v>
      </c>
      <c r="PU31" s="1" t="n">
        <f aca="false">PS31-PT31</f>
        <v>0</v>
      </c>
      <c r="PV31" s="1" t="n">
        <f aca="false">IF(AND(HT31=0,BA31=1,PU31&gt;0),MIN(PU31,BB31),0)</f>
        <v>0</v>
      </c>
      <c r="PW31" s="1" t="n">
        <f aca="false">PU31-PV31</f>
        <v>0</v>
      </c>
      <c r="PX31" s="1" t="n">
        <f aca="false">IF(AND(HT31=0,AQ31=1,PW31&gt;0),MIN(PW31,AR31),0)</f>
        <v>0</v>
      </c>
      <c r="PY31" s="1" t="n">
        <f aca="false">PW31-PX31</f>
        <v>0</v>
      </c>
      <c r="PZ31" s="1" t="n">
        <f aca="false">IF(AND(HT31=0,AG31=1,PY31&gt;0),MIN(PY31,AH31),0)</f>
        <v>0</v>
      </c>
      <c r="QA31" s="1" t="n">
        <f aca="false">PY31-PZ31</f>
        <v>0</v>
      </c>
      <c r="QB31" s="1" t="n">
        <f aca="false">IF(AND(HT31=0,V31=1,QA31&gt;0),MIN(QA31,W31),0)</f>
        <v>0</v>
      </c>
      <c r="QC31" s="1" t="n">
        <f aca="false">QA31-QB31</f>
        <v>0</v>
      </c>
      <c r="QD31" s="1" t="n">
        <f aca="false">IF(HT31=0,QC31,0)</f>
        <v>0</v>
      </c>
      <c r="QE31" s="1" t="n">
        <f aca="false">OL31+ON31+QB31+PZ31+PX31+PV31+PT31+PR31+PP31+PN31+PL31+PJ31+PH31+PF31+PD31+PB31+OZ31+OX31+OV31+OT31+OR31+OP31</f>
        <v>0</v>
      </c>
      <c r="QF31" s="1" t="n">
        <f aca="false">IF(HT31=1,HJ31+OI31+OH31+IF(F31=1,0,OJ31),HJ31-OL31)</f>
        <v>0</v>
      </c>
      <c r="QG31" s="1" t="n">
        <f aca="false">HK31-ON31</f>
        <v>0</v>
      </c>
      <c r="QH31" s="1" t="n">
        <f aca="false">IF(HT31=1,IF(F31=1,IC31+ID31,HR31),0)</f>
        <v>0</v>
      </c>
      <c r="QI31" s="1" t="n">
        <f aca="false">IF(HT31=1,IF(F31=1,HR31-IC31-ID31,0),0)</f>
        <v>0</v>
      </c>
      <c r="QJ31" s="1" t="n">
        <f aca="false">QF31*(1+GR)</f>
        <v>0</v>
      </c>
      <c r="QK31" s="1" t="n">
        <f aca="false">QG31*(1+AS_Cash)</f>
        <v>0</v>
      </c>
      <c r="QL31" s="1" t="n">
        <f aca="false">IF(V31=1,IF(HT31=1,IH31+IK31,W31-QB31)*(1+Slot1_Rate),0)</f>
        <v>0</v>
      </c>
      <c r="QM31" s="1" t="n">
        <f aca="false">IF(AND(HT31=1,V31=1),(IG31+IK31)/E31,0)</f>
        <v>0</v>
      </c>
      <c r="QN31" s="1" t="n">
        <f aca="false">IF(B31=0,IG31+IK31,0)</f>
        <v>0</v>
      </c>
      <c r="QO31" s="1" t="n">
        <f aca="false">IF(B31=0,IF(HT31=1,II31,IJ31),0)</f>
        <v>0</v>
      </c>
      <c r="QP31" s="1" t="n">
        <f aca="false">IF(AG31=1,IF(HT31=1,IP31+IS31,AH31-PZ31)*(1+Slot2_Rate),0)</f>
        <v>0</v>
      </c>
      <c r="QQ31" s="1" t="n">
        <f aca="false">IF(AND(HT31=1,AG31=1),(IO31+IS31)/E31,0)</f>
        <v>0</v>
      </c>
      <c r="QR31" s="1" t="n">
        <f aca="false">IF(B31=0,IO31+IS31,0)</f>
        <v>0</v>
      </c>
      <c r="QS31" s="1" t="n">
        <f aca="false">IF(B31=0,IF(HT31=1,IQ31,IR31),0)</f>
        <v>0</v>
      </c>
      <c r="QT31" s="1" t="n">
        <f aca="false">IF(AQ31=1,IF(HT31=1,IX31+JA31,AR31-PX31)*(1+Slot3_Rate),0)</f>
        <v>0</v>
      </c>
      <c r="QU31" s="1" t="n">
        <f aca="false">IF(AND(HT31=1,AQ31=1),(IW31+JA31)/E31,0)</f>
        <v>0</v>
      </c>
      <c r="QV31" s="1" t="n">
        <f aca="false">IF(B31=0,IW31+JA31,0)</f>
        <v>0</v>
      </c>
      <c r="QW31" s="1" t="n">
        <f aca="false">IF(B31=0,IF(HT31=1,IY31,IZ31),0)</f>
        <v>0</v>
      </c>
      <c r="QX31" s="1" t="n">
        <f aca="false">IF(BA31=1,IF(HT31=1,JF31+JI31,BB31-PV31)*(1+Slot4_Rate),0)</f>
        <v>0</v>
      </c>
      <c r="QY31" s="1" t="n">
        <f aca="false">IF(AND(HT31=1,BA31=1),(JE31+JI31)/E31,0)</f>
        <v>0</v>
      </c>
      <c r="QZ31" s="1" t="n">
        <f aca="false">IF(B31=0,JE31+JI31,0)</f>
        <v>0</v>
      </c>
      <c r="RA31" s="1" t="n">
        <f aca="false">IF(B31=0,IF(HT31=1,JG31,JH31),0)</f>
        <v>0</v>
      </c>
      <c r="RB31" s="1" t="n">
        <f aca="false">IF(BK31=1,IF(HT31=1,JN31+JQ31,BL31-PT31)*(1+Slot5_Rate),0)</f>
        <v>0</v>
      </c>
      <c r="RC31" s="1" t="n">
        <f aca="false">IF(AND(HT31=1,BK31=1),(JM31+JQ31)/E31,0)</f>
        <v>0</v>
      </c>
      <c r="RD31" s="1" t="n">
        <f aca="false">IF(B31=0,JM31+JQ31,0)</f>
        <v>0</v>
      </c>
      <c r="RE31" s="1" t="n">
        <f aca="false">IF(B31=0,IF(HT31=1,JO31,JP31),0)</f>
        <v>0</v>
      </c>
      <c r="RF31" s="1" t="n">
        <f aca="false">IF(BU31=1,IF(HT31=1,JV31+JY31,BV31-PR31)*(1+Slot6_Rate),0)</f>
        <v>0</v>
      </c>
      <c r="RG31" s="1" t="n">
        <f aca="false">IF(AND(HT31=1,BU31=1),(JU31+JY31)/E31,0)</f>
        <v>0</v>
      </c>
      <c r="RH31" s="1" t="n">
        <f aca="false">IF(B31=0,JU31+JY31,0)</f>
        <v>0</v>
      </c>
      <c r="RI31" s="1" t="n">
        <f aca="false">IF(B31=0,IF(HT31=1,JW31,JX31),0)</f>
        <v>0</v>
      </c>
      <c r="RJ31" s="1" t="n">
        <f aca="false">IF(CE31=1,IF(HT31=1,KD31+KG31,CF31-PP31)*(1+Slot7_Rate),0)</f>
        <v>0</v>
      </c>
      <c r="RK31" s="1" t="n">
        <f aca="false">IF(AND(HT31=1,CE31=1),(KC31+KG31)/E31,0)</f>
        <v>0</v>
      </c>
      <c r="RL31" s="1" t="n">
        <f aca="false">IF(B31=0,KC31+KG31,0)</f>
        <v>0</v>
      </c>
      <c r="RM31" s="1" t="n">
        <f aca="false">IF(B31=0,IF(HT31=1,KE31,KF31),0)</f>
        <v>0</v>
      </c>
      <c r="RN31" s="1" t="n">
        <f aca="false">IF(CO31=1,IF(HT31=1,KL31+KO31,CP31-PN31)*(1+Slot8_Rate),0)</f>
        <v>0</v>
      </c>
      <c r="RO31" s="1" t="n">
        <f aca="false">IF(AND(HT31=1,CO31=1),(KK31+KO31)/E31,0)</f>
        <v>0</v>
      </c>
      <c r="RP31" s="1" t="n">
        <f aca="false">IF(B31=0,KK31+KO31,0)</f>
        <v>0</v>
      </c>
      <c r="RQ31" s="1" t="n">
        <f aca="false">IF(B31=0,IF(HT31=1,KM31,KN31),0)</f>
        <v>0</v>
      </c>
      <c r="RR31" s="1" t="n">
        <f aca="false">IF(CY31=1,IF(HT31=1,KT31+KW31,CZ31-PL31)*(1+Slot9_Rate),0)</f>
        <v>0</v>
      </c>
      <c r="RS31" s="1" t="n">
        <f aca="false">IF(AND(HT31=1,CY31=1),(KS31+KW31)/E31,0)</f>
        <v>0</v>
      </c>
      <c r="RT31" s="1" t="n">
        <f aca="false">IF(B31=0,KS31+KW31,0)</f>
        <v>0</v>
      </c>
      <c r="RU31" s="1" t="n">
        <f aca="false">IF(B31=0,IF(HT31=1,KU31,KV31),0)</f>
        <v>0</v>
      </c>
      <c r="RV31" s="1" t="n">
        <f aca="false">IF(DI31=1,IF(HT31=1,LB31+LE31,DJ31-PJ31)*(1+Slot10_Rate),0)</f>
        <v>0</v>
      </c>
      <c r="RW31" s="1" t="n">
        <f aca="false">IF(AND(HT31=1,DI31=1),(LA31+LE31)/E31,0)</f>
        <v>0</v>
      </c>
      <c r="RX31" s="1" t="n">
        <f aca="false">IF(B31=0,LA31+LE31,0)</f>
        <v>0</v>
      </c>
      <c r="RY31" s="1" t="n">
        <f aca="false">IF(B31=0,IF(HT31=1,LC31,LD31),0)</f>
        <v>0</v>
      </c>
      <c r="RZ31" s="1" t="n">
        <f aca="false">IF(DS31=1,IF(HT31=1,LJ31+LM31,DT31-PH31)*(1+Slot11_Rate),0)</f>
        <v>0</v>
      </c>
      <c r="SA31" s="1" t="n">
        <f aca="false">IF(AND(HT31=1,DS31=1),(LI31+LM31)/E31,0)</f>
        <v>0</v>
      </c>
      <c r="SB31" s="1" t="n">
        <f aca="false">IF(B31=0,LI31+LM31,0)</f>
        <v>0</v>
      </c>
      <c r="SC31" s="1" t="n">
        <f aca="false">IF(B31=0,IF(HT31=1,LK31,LL31),0)</f>
        <v>0</v>
      </c>
      <c r="SD31" s="1" t="n">
        <f aca="false">IF(EC31=1,IF(HT31=1,LR31+LU31,ED31-PF31)*(1+Slot12_Rate),0)</f>
        <v>0</v>
      </c>
      <c r="SE31" s="1" t="n">
        <f aca="false">IF(AND(HT31=1,EC31=1),(LQ31+LU31)/E31,0)</f>
        <v>0</v>
      </c>
      <c r="SF31" s="1" t="n">
        <f aca="false">IF(B31=0,LQ31+LU31,0)</f>
        <v>0</v>
      </c>
      <c r="SG31" s="1" t="n">
        <f aca="false">IF(B31=0,IF(HT31=1,LS31,LT31),0)</f>
        <v>0</v>
      </c>
      <c r="SH31" s="1" t="n">
        <f aca="false">IF(EM31=1,IF(HT31=1,LZ31+MC31,EN31-PD31)*(1+Slot13_Rate),0)</f>
        <v>0</v>
      </c>
      <c r="SI31" s="1" t="n">
        <f aca="false">IF(AND(HT31=1,EM31=1),(LY31+MC31)/E31,0)</f>
        <v>0</v>
      </c>
      <c r="SJ31" s="1" t="n">
        <f aca="false">IF(B31=0,LY31+MC31,0)</f>
        <v>0</v>
      </c>
      <c r="SK31" s="1" t="n">
        <f aca="false">IF(B31=0,IF(HT31=1,MA31,MB31),0)</f>
        <v>0</v>
      </c>
      <c r="SL31" s="1" t="n">
        <f aca="false">IF(EW31=1,IF(HT31=1,MH31+MK31,EX31-PB31)*(1+Slot14_Rate),0)</f>
        <v>0</v>
      </c>
      <c r="SM31" s="1" t="n">
        <f aca="false">IF(AND(HT31=1,EW31=1),(MG31+MK31)/E31,0)</f>
        <v>0</v>
      </c>
      <c r="SN31" s="1" t="n">
        <f aca="false">IF(B31=0,MG31+MK31,0)</f>
        <v>0</v>
      </c>
      <c r="SO31" s="1" t="n">
        <f aca="false">IF(B31=0,IF(HT31=1,MI31,MJ31),0)</f>
        <v>0</v>
      </c>
      <c r="SP31" s="1" t="n">
        <f aca="false">IF(FG31=1,IF(HT31=1,MP31+MS31,FH31-OZ31)*(1+Slot15_Rate),0)</f>
        <v>0</v>
      </c>
      <c r="SQ31" s="1" t="n">
        <f aca="false">IF(AND(HT31=1,FG31=1),(MO31+MS31)/E31,0)</f>
        <v>0</v>
      </c>
      <c r="SR31" s="1" t="n">
        <f aca="false">IF(B31=0,MO31+MS31,0)</f>
        <v>0</v>
      </c>
      <c r="SS31" s="1" t="n">
        <f aca="false">IF(B31=0,IF(HT31=1,MQ31,MR31),0)</f>
        <v>0</v>
      </c>
      <c r="ST31" s="1" t="n">
        <f aca="false">IF(FQ31=1,IF(HT31=1,MX31+NA31,FR31-OX31)*(1+Slot16_Rate),0)</f>
        <v>0</v>
      </c>
      <c r="SU31" s="1" t="n">
        <f aca="false">IF(AND(HT31=1,FQ31=1),(MW31+NA31)/E31,0)</f>
        <v>0</v>
      </c>
      <c r="SV31" s="1" t="n">
        <f aca="false">IF(B31=0,MW31+NA31,0)</f>
        <v>0</v>
      </c>
      <c r="SW31" s="1" t="n">
        <f aca="false">IF(B31=0,IF(HT31=1,MY31,MZ31),0)</f>
        <v>0</v>
      </c>
      <c r="SX31" s="1" t="n">
        <f aca="false">IF(GA31=1,IF(HT31=1,NF31+NI31,GB31-OV31)*(1+Slot17_Rate),0)</f>
        <v>0</v>
      </c>
      <c r="SY31" s="1" t="n">
        <f aca="false">IF(AND(HT31=1,GA31=1),(NE31+NI31)/E31,0)</f>
        <v>0</v>
      </c>
      <c r="SZ31" s="1" t="n">
        <f aca="false">IF(B31=0,NE31+NI31,0)</f>
        <v>0</v>
      </c>
      <c r="TA31" s="1" t="n">
        <f aca="false">IF(B31=0,IF(HT31=1,NG31,NH31),0)</f>
        <v>0</v>
      </c>
      <c r="TB31" s="1" t="n">
        <f aca="false">IF(GK31=1,IF(HT31=1,NN31+NQ31,GL31-OT31)*(1+Slot18_Rate),0)</f>
        <v>0</v>
      </c>
      <c r="TC31" s="1" t="n">
        <f aca="false">IF(AND(HT31=1,GK31=1),(NM31+NQ31)/E31,0)</f>
        <v>0</v>
      </c>
      <c r="TD31" s="1" t="n">
        <f aca="false">IF(B31=0,NM31+NQ31,0)</f>
        <v>0</v>
      </c>
      <c r="TE31" s="1" t="n">
        <f aca="false">IF(B31=0,IF(HT31=1,NO31,NP31),0)</f>
        <v>0</v>
      </c>
      <c r="TF31" s="1" t="n">
        <f aca="false">IF(GU31=1,IF(HT31=1,NV31+NY31,GV31-OR31)*(1+Slot19_Rate),0)</f>
        <v>0</v>
      </c>
      <c r="TG31" s="1" t="n">
        <f aca="false">IF(AND(HT31=1,GU31=1),(NU31+NY31)/E31,0)</f>
        <v>0</v>
      </c>
      <c r="TH31" s="1" t="n">
        <f aca="false">IF(B31=0,NU31+NY31,0)</f>
        <v>0</v>
      </c>
      <c r="TI31" s="1" t="n">
        <f aca="false">IF(B31=0,IF(HT31=1,NW31,NX31),0)</f>
        <v>0</v>
      </c>
      <c r="TJ31" s="1" t="n">
        <f aca="false">IF(HE31=1,IF(HT31=1,OD31+OG31,HF31-OP31)*(1+Slot20_Rate),0)</f>
        <v>0</v>
      </c>
      <c r="TK31" s="1" t="n">
        <f aca="false">IF(AND(HT31=1,HE31=1),(OC31+OG31)/E31,0)</f>
        <v>0</v>
      </c>
      <c r="TL31" s="1" t="n">
        <f aca="false">IF(B31=0,OC31+OG31,0)</f>
        <v>0</v>
      </c>
      <c r="TM31" s="1" t="n">
        <f aca="false">IF(B31=0,IF(HT31=1,OE31,OF31),0)</f>
        <v>0</v>
      </c>
      <c r="TN31" s="1" t="n">
        <f aca="false">QJ31+QK31+QL31+QP31+QT31+QX31+RB31+RF31+RJ31+RN31+RR31+RV31+RZ31+SD31+SH31+SL31+SP31+ST31+SX31+TB31+TF31+TJ31</f>
        <v>0</v>
      </c>
      <c r="TO31" s="1" t="n">
        <f aca="false">QD31+HO31</f>
        <v>0</v>
      </c>
      <c r="TP31" s="1" t="n">
        <f aca="false">H31+R31</f>
        <v>0</v>
      </c>
      <c r="TQ31" s="1" t="n">
        <f aca="false">1-F31</f>
        <v>0</v>
      </c>
      <c r="TR31" s="1" t="n">
        <f aca="false">IF(AND(RG_Exists=1,F31=0,C31=1),H31,0)</f>
        <v>0</v>
      </c>
      <c r="TS31" s="1" t="n">
        <f aca="false">IF(AND(RG_Exists=1,F31=0,C31=1),H31-MIN(QD31,H31),0)</f>
        <v>0</v>
      </c>
      <c r="TT31" s="1" t="n">
        <f aca="false">'Plan pay &amp; tax'!AD257</f>
        <v>0</v>
      </c>
      <c r="TU31" s="1" t="n">
        <f aca="false">IF(AND(C31=1,QD31&gt;MAX(PR_Short1,TP31*PR_Short2)),1,0)</f>
        <v>0</v>
      </c>
      <c r="TV31" s="1" t="n">
        <f aca="false">MIN(G31,H31+R31)</f>
        <v>0</v>
      </c>
      <c r="TW31" s="1" t="n">
        <f aca="false">QE31+MAX(0,HP31-HO31)</f>
        <v>0</v>
      </c>
      <c r="TX31" s="1" t="n">
        <f aca="false">QD31+HO31</f>
        <v>0</v>
      </c>
      <c r="TY31" s="1" t="n">
        <f aca="false">IF(AND(C31=1,TX31&gt;PR_MinShort),1,0)</f>
        <v>0</v>
      </c>
      <c r="TZ31" s="1" t="n">
        <f aca="false">IF(AND(C31=1,TY31=0,TW31&gt;PR_MinShort),1,0)</f>
        <v>0</v>
      </c>
      <c r="UA31" s="1" t="n">
        <f aca="false">IF(AND(C31=1,QD31&gt;PR_MinShort),1,0)</f>
        <v>0</v>
      </c>
      <c r="UB31" s="1" t="n">
        <f aca="false">IF(AND(C31=1,QE31&gt;1,UI31=0),1,0)</f>
        <v>0</v>
      </c>
      <c r="UC31" s="1" t="str">
        <f aca="false">IF(C31=0,"",IF(UI31=1,"Gap to plan for: short "&amp;"€"&amp;TEXT(ROUND(TO31,0),"#,##0"),IF(QE31&gt;1,"Using savings","Comfortable")))</f>
        <v>Comfortable</v>
      </c>
      <c r="UD31" s="1" t="n">
        <f aca="false">IF(AND(INT(D31/10)*10=90,B31&gt;0),80,INT(D31/10)*10)</f>
        <v>20</v>
      </c>
      <c r="UE31" s="1" t="n">
        <f aca="false">IF(B31=0,1,IF(UD31&lt;&gt;UD30,UE30+1,UE30))</f>
        <v>3</v>
      </c>
      <c r="UF31" s="1" t="n">
        <f aca="false">IF(AND(C31=1,F31=1,QD31&gt;MAX(PR_Short1,TP31*PR_Short2)),1,0)</f>
        <v>0</v>
      </c>
      <c r="UG31" s="1" t="n">
        <f aca="false">TQ31*TU31</f>
        <v>0</v>
      </c>
      <c r="UH31" s="1" t="n">
        <f aca="false">IF(AND(U31=1,Slot1_PctLow=1),1,0)+IF(AND(AF31=1,Slot2_PctLow=1),1,0)+IF(AND(AP31=1,Slot3_PctLow=1),1,0)+IF(AND(AZ31=1,Slot4_PctLow=1),1,0)+IF(AND(BJ31=1,Slot5_PctLow=1),1,0)+IF(AND(BT31=1,Slot6_PctLow=1),1,0)+IF(AND(CD31=1,Slot7_PctLow=1),1,0)+IF(AND(CN31=1,Slot8_PctLow=1),1,0)+IF(AND(CX31=1,Slot9_PctLow=1),1,0)+IF(AND(DH31=1,Slot10_PctLow=1),1,0)+IF(AND(DR31=1,Slot11_PctLow=1),1,0)+IF(AND(EB31=1,Slot12_PctLow=1),1,0)+IF(AND(EL31=1,Slot13_PctLow=1),1,0)+IF(AND(EV31=1,Slot14_PctLow=1),1,0)+IF(AND(FF31=1,Slot15_PctLow=1),1,0)+IF(AND(FP31=1,Slot16_PctLow=1),1,0)+IF(AND(FZ31=1,Slot17_PctLow=1),1,0)+IF(AND(GJ31=1,Slot18_PctLow=1),1,0)+IF(AND(GT31=1,Slot19_PctLow=1),1,0)+IF(AND(HD31=1,Slot20_PctLow=1),1,0)</f>
        <v>0</v>
      </c>
      <c r="UI31" s="1" t="n">
        <f aca="false">IF(C31=1,IF(OR(TU31=1,UH31&gt;0),1,0),0)</f>
        <v>0</v>
      </c>
    </row>
    <row r="32" customFormat="false" ht="15" hidden="false" customHeight="true" outlineLevel="0" collapsed="false">
      <c r="B32" s="1" t="n">
        <v>24</v>
      </c>
      <c r="C32" s="1" t="n">
        <f aca="false">IF(B32&lt;=F_N,1,0)</f>
        <v>1</v>
      </c>
      <c r="D32" s="1" t="n">
        <f aca="false">'Plan pay &amp; tax'!C258</f>
        <v>24</v>
      </c>
      <c r="E32" s="111" t="n">
        <f aca="false">'Plan pay &amp; tax'!E258</f>
        <v>1.60843724947523</v>
      </c>
      <c r="F32" s="1" t="n">
        <f aca="false">'Plan pay &amp; tax'!G258</f>
        <v>1</v>
      </c>
      <c r="G32" s="1" t="n">
        <f aca="false">'Plan pay &amp; tax'!BT258-'Plan pay &amp; tax'!BS258-'Plan pay &amp; tax'!R258</f>
        <v>0</v>
      </c>
      <c r="H32" s="1" t="n">
        <f aca="false">IF(F32=1,F_CostsM*12,IF(RG_Exists=1,RG_Amount,F_CostsM*12*AS_RetireSpend))*E32+F_OneOffY*E32</f>
        <v>0</v>
      </c>
      <c r="I32" s="1" t="n">
        <f aca="false">HQ31</f>
        <v>0</v>
      </c>
      <c r="J32" s="1" t="n">
        <f aca="false">IF(I32&gt;1,'Plan debt months'!AC32,0)</f>
        <v>0</v>
      </c>
      <c r="K32" s="1" t="n">
        <f aca="false">IF(I32&gt;1,'Plan debt months'!AB32,I32)</f>
        <v>0</v>
      </c>
      <c r="L32" s="1" t="n">
        <f aca="false">N31</f>
        <v>0</v>
      </c>
      <c r="M32" s="1" t="n">
        <f aca="false">IF(L32&gt;1,'Plan debt months'!BD32,0)</f>
        <v>0</v>
      </c>
      <c r="N32" s="1" t="n">
        <f aca="false">IF(L32&gt;1,'Plan debt months'!BC32,L32)</f>
        <v>0</v>
      </c>
      <c r="O32" s="1" t="n">
        <f aca="false">Q31</f>
        <v>0</v>
      </c>
      <c r="P32" s="1" t="n">
        <f aca="false">IF(O32&gt;1,'Plan debt months'!CE32,0)</f>
        <v>0</v>
      </c>
      <c r="Q32" s="1" t="n">
        <f aca="false">IF(O32&gt;1,'Plan debt months'!CD32,O32)</f>
        <v>0</v>
      </c>
      <c r="R32" s="1" t="n">
        <f aca="false">J32+M32+P32</f>
        <v>0</v>
      </c>
      <c r="S32" s="1" t="n">
        <f aca="false">QJ31+'Plan pay &amp; tax'!Y258</f>
        <v>0</v>
      </c>
      <c r="T32" s="1" t="n">
        <f aca="false">QJ31</f>
        <v>0</v>
      </c>
      <c r="U32" s="1" t="n">
        <f aca="false">IF(AND(Slot1_On=1,D32=Slot1_Age),1,0)</f>
        <v>0</v>
      </c>
      <c r="V32" s="1" t="n">
        <f aca="false">IF(AND(Slot1_On=1,Slot1_Age&gt;D32),1,0)</f>
        <v>0</v>
      </c>
      <c r="W32" s="1" t="n">
        <f aca="false">QL31</f>
        <v>0</v>
      </c>
      <c r="X32" s="1" t="n">
        <f aca="false">U32*MIN(Slot1_Cost,W32)</f>
        <v>0</v>
      </c>
      <c r="Y32" s="1" t="n">
        <f aca="false">U32*Slot1_SpendLike*MIN(Slot1_Cost-X32,S32)</f>
        <v>0</v>
      </c>
      <c r="Z32" s="1" t="n">
        <f aca="false">X32+Y32</f>
        <v>0</v>
      </c>
      <c r="AA32" s="1" t="n">
        <f aca="false">S32-Y32+U32*IF(Slot1_SpendLike=1,W32-X32,IF(Slot1_PotFree=1,W32,0))</f>
        <v>0</v>
      </c>
      <c r="AB32" s="1" t="n">
        <f aca="false">AE32+U32*Slot1_BufPot*W32</f>
        <v>0</v>
      </c>
      <c r="AC32" s="1" t="n">
        <f aca="false">IF(AND(U32=1,Slot1_IsMfree=1),IF(Z32&gt;=Slot1_Cost-1,0,MAX(0,K32-Z32)),K32)</f>
        <v>0</v>
      </c>
      <c r="AD32" s="1" t="n">
        <f aca="false">U32*(Slot1_Cost-Z32)</f>
        <v>0</v>
      </c>
      <c r="AE32" s="1" t="n">
        <f aca="false">QK31</f>
        <v>0</v>
      </c>
      <c r="AF32" s="1" t="n">
        <f aca="false">IF(AND(Slot2_On=1,D32=Slot2_Age),1,0)</f>
        <v>0</v>
      </c>
      <c r="AG32" s="1" t="n">
        <f aca="false">IF(AND(Slot2_On=1,Slot2_Age&gt;D32),1,0)</f>
        <v>0</v>
      </c>
      <c r="AH32" s="1" t="n">
        <f aca="false">QP31</f>
        <v>0</v>
      </c>
      <c r="AI32" s="1" t="n">
        <f aca="false">AF32*MIN(Slot2_Cost,AH32)</f>
        <v>0</v>
      </c>
      <c r="AJ32" s="1" t="n">
        <f aca="false">AF32*Slot2_SpendLike*MIN(Slot2_Cost-AI32,AA32)</f>
        <v>0</v>
      </c>
      <c r="AK32" s="1" t="n">
        <f aca="false">AI32+AJ32</f>
        <v>0</v>
      </c>
      <c r="AL32" s="1" t="n">
        <f aca="false">AA32-AJ32+AF32*IF(Slot2_SpendLike=1,AH32-AI32,IF(Slot2_PotFree=1,AH32,0))</f>
        <v>0</v>
      </c>
      <c r="AM32" s="1" t="n">
        <f aca="false">AB32+AF32*Slot2_BufPot*AH32</f>
        <v>0</v>
      </c>
      <c r="AN32" s="1" t="n">
        <f aca="false">IF(AND(AF32=1,Slot2_IsMfree=1),IF(AK32&gt;=Slot2_Cost-1,0,MAX(0,AC32-AK32)),AC32)</f>
        <v>0</v>
      </c>
      <c r="AO32" s="1" t="n">
        <f aca="false">AF32*(Slot2_Cost-AK32)</f>
        <v>0</v>
      </c>
      <c r="AP32" s="1" t="n">
        <f aca="false">IF(AND(Slot3_On=1,D32=Slot3_Age),1,0)</f>
        <v>0</v>
      </c>
      <c r="AQ32" s="1" t="n">
        <f aca="false">IF(AND(Slot3_On=1,Slot3_Age&gt;D32),1,0)</f>
        <v>0</v>
      </c>
      <c r="AR32" s="1" t="n">
        <f aca="false">QT31</f>
        <v>0</v>
      </c>
      <c r="AS32" s="1" t="n">
        <f aca="false">AP32*MIN(Slot3_Cost,AR32)</f>
        <v>0</v>
      </c>
      <c r="AT32" s="1" t="n">
        <f aca="false">AP32*Slot3_SpendLike*MIN(Slot3_Cost-AS32,AL32)</f>
        <v>0</v>
      </c>
      <c r="AU32" s="1" t="n">
        <f aca="false">AS32+AT32</f>
        <v>0</v>
      </c>
      <c r="AV32" s="1" t="n">
        <f aca="false">AL32-AT32+AP32*IF(Slot3_SpendLike=1,AR32-AS32,IF(Slot3_PotFree=1,AR32,0))</f>
        <v>0</v>
      </c>
      <c r="AW32" s="1" t="n">
        <f aca="false">AM32+AP32*Slot3_BufPot*AR32</f>
        <v>0</v>
      </c>
      <c r="AX32" s="1" t="n">
        <f aca="false">IF(AND(AP32=1,Slot3_IsMfree=1),IF(AU32&gt;=Slot3_Cost-1,0,MAX(0,AN32-AU32)),AN32)</f>
        <v>0</v>
      </c>
      <c r="AY32" s="1" t="n">
        <f aca="false">AP32*(Slot3_Cost-AU32)</f>
        <v>0</v>
      </c>
      <c r="AZ32" s="1" t="n">
        <f aca="false">IF(AND(Slot4_On=1,D32=Slot4_Age),1,0)</f>
        <v>0</v>
      </c>
      <c r="BA32" s="1" t="n">
        <f aca="false">IF(AND(Slot4_On=1,Slot4_Age&gt;D32),1,0)</f>
        <v>0</v>
      </c>
      <c r="BB32" s="1" t="n">
        <f aca="false">QX31</f>
        <v>0</v>
      </c>
      <c r="BC32" s="1" t="n">
        <f aca="false">AZ32*MIN(Slot4_Cost,BB32)</f>
        <v>0</v>
      </c>
      <c r="BD32" s="1" t="n">
        <f aca="false">AZ32*Slot4_SpendLike*MIN(Slot4_Cost-BC32,AV32)</f>
        <v>0</v>
      </c>
      <c r="BE32" s="1" t="n">
        <f aca="false">BC32+BD32</f>
        <v>0</v>
      </c>
      <c r="BF32" s="1" t="n">
        <f aca="false">AV32-BD32+AZ32*IF(Slot4_SpendLike=1,BB32-BC32,IF(Slot4_PotFree=1,BB32,0))</f>
        <v>0</v>
      </c>
      <c r="BG32" s="1" t="n">
        <f aca="false">AW32+AZ32*Slot4_BufPot*BB32</f>
        <v>0</v>
      </c>
      <c r="BH32" s="1" t="n">
        <f aca="false">IF(AND(AZ32=1,Slot4_IsMfree=1),IF(BE32&gt;=Slot4_Cost-1,0,MAX(0,AX32-BE32)),AX32)</f>
        <v>0</v>
      </c>
      <c r="BI32" s="1" t="n">
        <f aca="false">AZ32*(Slot4_Cost-BE32)</f>
        <v>0</v>
      </c>
      <c r="BJ32" s="1" t="n">
        <f aca="false">IF(AND(Slot5_On=1,D32=Slot5_Age),1,0)</f>
        <v>0</v>
      </c>
      <c r="BK32" s="1" t="n">
        <f aca="false">IF(AND(Slot5_On=1,Slot5_Age&gt;D32),1,0)</f>
        <v>0</v>
      </c>
      <c r="BL32" s="1" t="n">
        <f aca="false">RB31</f>
        <v>0</v>
      </c>
      <c r="BM32" s="1" t="n">
        <f aca="false">BJ32*MIN(Slot5_Cost,BL32)</f>
        <v>0</v>
      </c>
      <c r="BN32" s="1" t="n">
        <f aca="false">BJ32*Slot5_SpendLike*MIN(Slot5_Cost-BM32,BF32)</f>
        <v>0</v>
      </c>
      <c r="BO32" s="1" t="n">
        <f aca="false">BM32+BN32</f>
        <v>0</v>
      </c>
      <c r="BP32" s="1" t="n">
        <f aca="false">BF32-BN32+BJ32*IF(Slot5_SpendLike=1,BL32-BM32,IF(Slot5_PotFree=1,BL32,0))</f>
        <v>0</v>
      </c>
      <c r="BQ32" s="1" t="n">
        <f aca="false">BG32+BJ32*Slot5_BufPot*BL32</f>
        <v>0</v>
      </c>
      <c r="BR32" s="1" t="n">
        <f aca="false">IF(AND(BJ32=1,Slot5_IsMfree=1),IF(BO32&gt;=Slot5_Cost-1,0,MAX(0,BH32-BO32)),BH32)</f>
        <v>0</v>
      </c>
      <c r="BS32" s="1" t="n">
        <f aca="false">BJ32*(Slot5_Cost-BO32)</f>
        <v>0</v>
      </c>
      <c r="BT32" s="1" t="n">
        <f aca="false">IF(AND(Slot6_On=1,D32=Slot6_Age),1,0)</f>
        <v>0</v>
      </c>
      <c r="BU32" s="1" t="n">
        <f aca="false">IF(AND(Slot6_On=1,Slot6_Age&gt;D32),1,0)</f>
        <v>0</v>
      </c>
      <c r="BV32" s="1" t="n">
        <f aca="false">RF31</f>
        <v>0</v>
      </c>
      <c r="BW32" s="1" t="n">
        <f aca="false">BT32*MIN(Slot6_Cost,BV32)</f>
        <v>0</v>
      </c>
      <c r="BX32" s="1" t="n">
        <f aca="false">BT32*Slot6_SpendLike*MIN(Slot6_Cost-BW32,BP32)</f>
        <v>0</v>
      </c>
      <c r="BY32" s="1" t="n">
        <f aca="false">BW32+BX32</f>
        <v>0</v>
      </c>
      <c r="BZ32" s="1" t="n">
        <f aca="false">BP32-BX32+BT32*IF(Slot6_SpendLike=1,BV32-BW32,IF(Slot6_PotFree=1,BV32,0))</f>
        <v>0</v>
      </c>
      <c r="CA32" s="1" t="n">
        <f aca="false">BQ32+BT32*Slot6_BufPot*BV32</f>
        <v>0</v>
      </c>
      <c r="CB32" s="1" t="n">
        <f aca="false">IF(AND(BT32=1,Slot6_IsMfree=1),IF(BY32&gt;=Slot6_Cost-1,0,MAX(0,BR32-BY32)),BR32)</f>
        <v>0</v>
      </c>
      <c r="CC32" s="1" t="n">
        <f aca="false">BT32*(Slot6_Cost-BY32)</f>
        <v>0</v>
      </c>
      <c r="CD32" s="1" t="n">
        <f aca="false">IF(AND(Slot7_On=1,D32=Slot7_Age),1,0)</f>
        <v>0</v>
      </c>
      <c r="CE32" s="1" t="n">
        <f aca="false">IF(AND(Slot7_On=1,Slot7_Age&gt;D32),1,0)</f>
        <v>0</v>
      </c>
      <c r="CF32" s="1" t="n">
        <f aca="false">RJ31</f>
        <v>0</v>
      </c>
      <c r="CG32" s="1" t="n">
        <f aca="false">CD32*MIN(Slot7_Cost,CF32)</f>
        <v>0</v>
      </c>
      <c r="CH32" s="1" t="n">
        <f aca="false">CD32*Slot7_SpendLike*MIN(Slot7_Cost-CG32,BZ32)</f>
        <v>0</v>
      </c>
      <c r="CI32" s="1" t="n">
        <f aca="false">CG32+CH32</f>
        <v>0</v>
      </c>
      <c r="CJ32" s="1" t="n">
        <f aca="false">BZ32-CH32+CD32*IF(Slot7_SpendLike=1,CF32-CG32,IF(Slot7_PotFree=1,CF32,0))</f>
        <v>0</v>
      </c>
      <c r="CK32" s="1" t="n">
        <f aca="false">CA32+CD32*Slot7_BufPot*CF32</f>
        <v>0</v>
      </c>
      <c r="CL32" s="1" t="n">
        <f aca="false">IF(AND(CD32=1,Slot7_IsMfree=1),IF(CI32&gt;=Slot7_Cost-1,0,MAX(0,CB32-CI32)),CB32)</f>
        <v>0</v>
      </c>
      <c r="CM32" s="1" t="n">
        <f aca="false">CD32*(Slot7_Cost-CI32)</f>
        <v>0</v>
      </c>
      <c r="CN32" s="1" t="n">
        <f aca="false">IF(AND(Slot8_On=1,D32=Slot8_Age),1,0)</f>
        <v>0</v>
      </c>
      <c r="CO32" s="1" t="n">
        <f aca="false">IF(AND(Slot8_On=1,Slot8_Age&gt;D32),1,0)</f>
        <v>0</v>
      </c>
      <c r="CP32" s="1" t="n">
        <f aca="false">RN31</f>
        <v>0</v>
      </c>
      <c r="CQ32" s="1" t="n">
        <f aca="false">CN32*MIN(Slot8_Cost,CP32)</f>
        <v>0</v>
      </c>
      <c r="CR32" s="1" t="n">
        <f aca="false">CN32*Slot8_SpendLike*MIN(Slot8_Cost-CQ32,CJ32)</f>
        <v>0</v>
      </c>
      <c r="CS32" s="1" t="n">
        <f aca="false">CQ32+CR32</f>
        <v>0</v>
      </c>
      <c r="CT32" s="1" t="n">
        <f aca="false">CJ32-CR32+CN32*IF(Slot8_SpendLike=1,CP32-CQ32,IF(Slot8_PotFree=1,CP32,0))</f>
        <v>0</v>
      </c>
      <c r="CU32" s="1" t="n">
        <f aca="false">CK32+CN32*Slot8_BufPot*CP32</f>
        <v>0</v>
      </c>
      <c r="CV32" s="1" t="n">
        <f aca="false">IF(AND(CN32=1,Slot8_IsMfree=1),IF(CS32&gt;=Slot8_Cost-1,0,MAX(0,CL32-CS32)),CL32)</f>
        <v>0</v>
      </c>
      <c r="CW32" s="1" t="n">
        <f aca="false">CN32*(Slot8_Cost-CS32)</f>
        <v>0</v>
      </c>
      <c r="CX32" s="1" t="n">
        <f aca="false">IF(AND(Slot9_On=1,D32=Slot9_Age),1,0)</f>
        <v>0</v>
      </c>
      <c r="CY32" s="1" t="n">
        <f aca="false">IF(AND(Slot9_On=1,Slot9_Age&gt;D32),1,0)</f>
        <v>0</v>
      </c>
      <c r="CZ32" s="1" t="n">
        <f aca="false">RR31</f>
        <v>0</v>
      </c>
      <c r="DA32" s="1" t="n">
        <f aca="false">CX32*MIN(Slot9_Cost,CZ32)</f>
        <v>0</v>
      </c>
      <c r="DB32" s="1" t="n">
        <f aca="false">CX32*Slot9_SpendLike*MIN(Slot9_Cost-DA32,CT32)</f>
        <v>0</v>
      </c>
      <c r="DC32" s="1" t="n">
        <f aca="false">DA32+DB32</f>
        <v>0</v>
      </c>
      <c r="DD32" s="1" t="n">
        <f aca="false">CT32-DB32+CX32*IF(Slot9_SpendLike=1,CZ32-DA32,IF(Slot9_PotFree=1,CZ32,0))</f>
        <v>0</v>
      </c>
      <c r="DE32" s="1" t="n">
        <f aca="false">CU32+CX32*Slot9_BufPot*CZ32</f>
        <v>0</v>
      </c>
      <c r="DF32" s="1" t="n">
        <f aca="false">IF(AND(CX32=1,Slot9_IsMfree=1),IF(DC32&gt;=Slot9_Cost-1,0,MAX(0,CV32-DC32)),CV32)</f>
        <v>0</v>
      </c>
      <c r="DG32" s="1" t="n">
        <f aca="false">CX32*(Slot9_Cost-DC32)</f>
        <v>0</v>
      </c>
      <c r="DH32" s="1" t="n">
        <f aca="false">IF(AND(Slot10_On=1,D32=Slot10_Age),1,0)</f>
        <v>0</v>
      </c>
      <c r="DI32" s="1" t="n">
        <f aca="false">IF(AND(Slot10_On=1,Slot10_Age&gt;D32),1,0)</f>
        <v>0</v>
      </c>
      <c r="DJ32" s="1" t="n">
        <f aca="false">RV31</f>
        <v>0</v>
      </c>
      <c r="DK32" s="1" t="n">
        <f aca="false">DH32*MIN(Slot10_Cost,DJ32)</f>
        <v>0</v>
      </c>
      <c r="DL32" s="1" t="n">
        <f aca="false">DH32*Slot10_SpendLike*MIN(Slot10_Cost-DK32,DD32)</f>
        <v>0</v>
      </c>
      <c r="DM32" s="1" t="n">
        <f aca="false">DK32+DL32</f>
        <v>0</v>
      </c>
      <c r="DN32" s="1" t="n">
        <f aca="false">DD32-DL32+DH32*IF(Slot10_SpendLike=1,DJ32-DK32,IF(Slot10_PotFree=1,DJ32,0))</f>
        <v>0</v>
      </c>
      <c r="DO32" s="1" t="n">
        <f aca="false">DE32+DH32*Slot10_BufPot*DJ32</f>
        <v>0</v>
      </c>
      <c r="DP32" s="1" t="n">
        <f aca="false">IF(AND(DH32=1,Slot10_IsMfree=1),IF(DM32&gt;=Slot10_Cost-1,0,MAX(0,DF32-DM32)),DF32)</f>
        <v>0</v>
      </c>
      <c r="DQ32" s="1" t="n">
        <f aca="false">DH32*(Slot10_Cost-DM32)</f>
        <v>0</v>
      </c>
      <c r="DR32" s="1" t="n">
        <f aca="false">IF(AND(Slot11_On=1,D32=Slot11_Age),1,0)</f>
        <v>0</v>
      </c>
      <c r="DS32" s="1" t="n">
        <f aca="false">IF(AND(Slot11_On=1,Slot11_Age&gt;D32),1,0)</f>
        <v>0</v>
      </c>
      <c r="DT32" s="1" t="n">
        <f aca="false">RZ31</f>
        <v>0</v>
      </c>
      <c r="DU32" s="1" t="n">
        <f aca="false">DR32*MIN(Slot11_Cost,DT32)</f>
        <v>0</v>
      </c>
      <c r="DV32" s="1" t="n">
        <f aca="false">DR32*Slot11_SpendLike*MIN(Slot11_Cost-DU32,DN32)</f>
        <v>0</v>
      </c>
      <c r="DW32" s="1" t="n">
        <f aca="false">DU32+DV32</f>
        <v>0</v>
      </c>
      <c r="DX32" s="1" t="n">
        <f aca="false">DN32-DV32+DR32*IF(Slot11_SpendLike=1,DT32-DU32,IF(Slot11_PotFree=1,DT32,0))</f>
        <v>0</v>
      </c>
      <c r="DY32" s="1" t="n">
        <f aca="false">DO32+DR32*Slot11_BufPot*DT32</f>
        <v>0</v>
      </c>
      <c r="DZ32" s="1" t="n">
        <f aca="false">IF(AND(DR32=1,Slot11_IsMfree=1),IF(DW32&gt;=Slot11_Cost-1,0,MAX(0,DP32-DW32)),DP32)</f>
        <v>0</v>
      </c>
      <c r="EA32" s="1" t="n">
        <f aca="false">DR32*(Slot11_Cost-DW32)</f>
        <v>0</v>
      </c>
      <c r="EB32" s="1" t="n">
        <f aca="false">IF(AND(Slot12_On=1,D32=Slot12_Age),1,0)</f>
        <v>0</v>
      </c>
      <c r="EC32" s="1" t="n">
        <f aca="false">IF(AND(Slot12_On=1,Slot12_Age&gt;D32),1,0)</f>
        <v>0</v>
      </c>
      <c r="ED32" s="1" t="n">
        <f aca="false">SD31</f>
        <v>0</v>
      </c>
      <c r="EE32" s="1" t="n">
        <f aca="false">EB32*MIN(Slot12_Cost,ED32)</f>
        <v>0</v>
      </c>
      <c r="EF32" s="1" t="n">
        <f aca="false">EB32*Slot12_SpendLike*MIN(Slot12_Cost-EE32,DX32)</f>
        <v>0</v>
      </c>
      <c r="EG32" s="1" t="n">
        <f aca="false">EE32+EF32</f>
        <v>0</v>
      </c>
      <c r="EH32" s="1" t="n">
        <f aca="false">DX32-EF32+EB32*IF(Slot12_SpendLike=1,ED32-EE32,IF(Slot12_PotFree=1,ED32,0))</f>
        <v>0</v>
      </c>
      <c r="EI32" s="1" t="n">
        <f aca="false">DY32+EB32*Slot12_BufPot*ED32</f>
        <v>0</v>
      </c>
      <c r="EJ32" s="1" t="n">
        <f aca="false">IF(AND(EB32=1,Slot12_IsMfree=1),IF(EG32&gt;=Slot12_Cost-1,0,MAX(0,DZ32-EG32)),DZ32)</f>
        <v>0</v>
      </c>
      <c r="EK32" s="1" t="n">
        <f aca="false">EB32*(Slot12_Cost-EG32)</f>
        <v>0</v>
      </c>
      <c r="EL32" s="1" t="n">
        <f aca="false">IF(AND(Slot13_On=1,D32=Slot13_Age),1,0)</f>
        <v>0</v>
      </c>
      <c r="EM32" s="1" t="n">
        <f aca="false">IF(AND(Slot13_On=1,Slot13_Age&gt;D32),1,0)</f>
        <v>0</v>
      </c>
      <c r="EN32" s="1" t="n">
        <f aca="false">SH31</f>
        <v>0</v>
      </c>
      <c r="EO32" s="1" t="n">
        <f aca="false">EL32*MIN(Slot13_Cost,EN32)</f>
        <v>0</v>
      </c>
      <c r="EP32" s="1" t="n">
        <f aca="false">EL32*Slot13_SpendLike*MIN(Slot13_Cost-EO32,EH32)</f>
        <v>0</v>
      </c>
      <c r="EQ32" s="1" t="n">
        <f aca="false">EO32+EP32</f>
        <v>0</v>
      </c>
      <c r="ER32" s="1" t="n">
        <f aca="false">EH32-EP32+EL32*IF(Slot13_SpendLike=1,EN32-EO32,IF(Slot13_PotFree=1,EN32,0))</f>
        <v>0</v>
      </c>
      <c r="ES32" s="1" t="n">
        <f aca="false">EI32+EL32*Slot13_BufPot*EN32</f>
        <v>0</v>
      </c>
      <c r="ET32" s="1" t="n">
        <f aca="false">IF(AND(EL32=1,Slot13_IsMfree=1),IF(EQ32&gt;=Slot13_Cost-1,0,MAX(0,EJ32-EQ32)),EJ32)</f>
        <v>0</v>
      </c>
      <c r="EU32" s="1" t="n">
        <f aca="false">EL32*(Slot13_Cost-EQ32)</f>
        <v>0</v>
      </c>
      <c r="EV32" s="1" t="n">
        <f aca="false">IF(AND(Slot14_On=1,D32=Slot14_Age),1,0)</f>
        <v>0</v>
      </c>
      <c r="EW32" s="1" t="n">
        <f aca="false">IF(AND(Slot14_On=1,Slot14_Age&gt;D32),1,0)</f>
        <v>0</v>
      </c>
      <c r="EX32" s="1" t="n">
        <f aca="false">SL31</f>
        <v>0</v>
      </c>
      <c r="EY32" s="1" t="n">
        <f aca="false">EV32*MIN(Slot14_Cost,EX32)</f>
        <v>0</v>
      </c>
      <c r="EZ32" s="1" t="n">
        <f aca="false">EV32*Slot14_SpendLike*MIN(Slot14_Cost-EY32,ER32)</f>
        <v>0</v>
      </c>
      <c r="FA32" s="1" t="n">
        <f aca="false">EY32+EZ32</f>
        <v>0</v>
      </c>
      <c r="FB32" s="1" t="n">
        <f aca="false">ER32-EZ32+EV32*IF(Slot14_SpendLike=1,EX32-EY32,IF(Slot14_PotFree=1,EX32,0))</f>
        <v>0</v>
      </c>
      <c r="FC32" s="1" t="n">
        <f aca="false">ES32+EV32*Slot14_BufPot*EX32</f>
        <v>0</v>
      </c>
      <c r="FD32" s="1" t="n">
        <f aca="false">IF(AND(EV32=1,Slot14_IsMfree=1),IF(FA32&gt;=Slot14_Cost-1,0,MAX(0,ET32-FA32)),ET32)</f>
        <v>0</v>
      </c>
      <c r="FE32" s="1" t="n">
        <f aca="false">EV32*(Slot14_Cost-FA32)</f>
        <v>0</v>
      </c>
      <c r="FF32" s="1" t="n">
        <f aca="false">IF(AND(Slot15_On=1,D32=Slot15_Age),1,0)</f>
        <v>0</v>
      </c>
      <c r="FG32" s="1" t="n">
        <f aca="false">IF(AND(Slot15_On=1,Slot15_Age&gt;D32),1,0)</f>
        <v>0</v>
      </c>
      <c r="FH32" s="1" t="n">
        <f aca="false">SP31</f>
        <v>0</v>
      </c>
      <c r="FI32" s="1" t="n">
        <f aca="false">FF32*MIN(Slot15_Cost,FH32)</f>
        <v>0</v>
      </c>
      <c r="FJ32" s="1" t="n">
        <f aca="false">FF32*Slot15_SpendLike*MIN(Slot15_Cost-FI32,FB32)</f>
        <v>0</v>
      </c>
      <c r="FK32" s="1" t="n">
        <f aca="false">FI32+FJ32</f>
        <v>0</v>
      </c>
      <c r="FL32" s="1" t="n">
        <f aca="false">FB32-FJ32+FF32*IF(Slot15_SpendLike=1,FH32-FI32,IF(Slot15_PotFree=1,FH32,0))</f>
        <v>0</v>
      </c>
      <c r="FM32" s="1" t="n">
        <f aca="false">FC32+FF32*Slot15_BufPot*FH32</f>
        <v>0</v>
      </c>
      <c r="FN32" s="1" t="n">
        <f aca="false">IF(AND(FF32=1,Slot15_IsMfree=1),IF(FK32&gt;=Slot15_Cost-1,0,MAX(0,FD32-FK32)),FD32)</f>
        <v>0</v>
      </c>
      <c r="FO32" s="1" t="n">
        <f aca="false">FF32*(Slot15_Cost-FK32)</f>
        <v>0</v>
      </c>
      <c r="FP32" s="1" t="n">
        <f aca="false">IF(AND(Slot16_On=1,D32=Slot16_Age),1,0)</f>
        <v>0</v>
      </c>
      <c r="FQ32" s="1" t="n">
        <f aca="false">IF(AND(Slot16_On=1,Slot16_Age&gt;D32),1,0)</f>
        <v>0</v>
      </c>
      <c r="FR32" s="1" t="n">
        <f aca="false">ST31</f>
        <v>0</v>
      </c>
      <c r="FS32" s="1" t="n">
        <f aca="false">FP32*MIN(Slot16_Cost,FR32)</f>
        <v>0</v>
      </c>
      <c r="FT32" s="1" t="n">
        <f aca="false">FP32*Slot16_SpendLike*MIN(Slot16_Cost-FS32,FL32)</f>
        <v>0</v>
      </c>
      <c r="FU32" s="1" t="n">
        <f aca="false">FS32+FT32</f>
        <v>0</v>
      </c>
      <c r="FV32" s="1" t="n">
        <f aca="false">FL32-FT32+FP32*IF(Slot16_SpendLike=1,FR32-FS32,IF(Slot16_PotFree=1,FR32,0))</f>
        <v>0</v>
      </c>
      <c r="FW32" s="1" t="n">
        <f aca="false">FM32+FP32*Slot16_BufPot*FR32</f>
        <v>0</v>
      </c>
      <c r="FX32" s="1" t="n">
        <f aca="false">IF(AND(FP32=1,Slot16_IsMfree=1),IF(FU32&gt;=Slot16_Cost-1,0,MAX(0,FN32-FU32)),FN32)</f>
        <v>0</v>
      </c>
      <c r="FY32" s="1" t="n">
        <f aca="false">FP32*(Slot16_Cost-FU32)</f>
        <v>0</v>
      </c>
      <c r="FZ32" s="1" t="n">
        <f aca="false">IF(AND(Slot17_On=1,D32=Slot17_Age),1,0)</f>
        <v>0</v>
      </c>
      <c r="GA32" s="1" t="n">
        <f aca="false">IF(AND(Slot17_On=1,Slot17_Age&gt;D32),1,0)</f>
        <v>0</v>
      </c>
      <c r="GB32" s="1" t="n">
        <f aca="false">SX31</f>
        <v>0</v>
      </c>
      <c r="GC32" s="1" t="n">
        <f aca="false">FZ32*MIN(Slot17_Cost,GB32)</f>
        <v>0</v>
      </c>
      <c r="GD32" s="1" t="n">
        <f aca="false">FZ32*Slot17_SpendLike*MIN(Slot17_Cost-GC32,FV32)</f>
        <v>0</v>
      </c>
      <c r="GE32" s="1" t="n">
        <f aca="false">GC32+GD32</f>
        <v>0</v>
      </c>
      <c r="GF32" s="1" t="n">
        <f aca="false">FV32-GD32+FZ32*IF(Slot17_SpendLike=1,GB32-GC32,IF(Slot17_PotFree=1,GB32,0))</f>
        <v>0</v>
      </c>
      <c r="GG32" s="1" t="n">
        <f aca="false">FW32+FZ32*Slot17_BufPot*GB32</f>
        <v>0</v>
      </c>
      <c r="GH32" s="1" t="n">
        <f aca="false">IF(AND(FZ32=1,Slot17_IsMfree=1),IF(GE32&gt;=Slot17_Cost-1,0,MAX(0,FX32-GE32)),FX32)</f>
        <v>0</v>
      </c>
      <c r="GI32" s="1" t="n">
        <f aca="false">FZ32*(Slot17_Cost-GE32)</f>
        <v>0</v>
      </c>
      <c r="GJ32" s="1" t="n">
        <f aca="false">IF(AND(Slot18_On=1,D32=Slot18_Age),1,0)</f>
        <v>0</v>
      </c>
      <c r="GK32" s="1" t="n">
        <f aca="false">IF(AND(Slot18_On=1,Slot18_Age&gt;D32),1,0)</f>
        <v>0</v>
      </c>
      <c r="GL32" s="1" t="n">
        <f aca="false">TB31</f>
        <v>0</v>
      </c>
      <c r="GM32" s="1" t="n">
        <f aca="false">GJ32*MIN(Slot18_Cost,GL32)</f>
        <v>0</v>
      </c>
      <c r="GN32" s="1" t="n">
        <f aca="false">GJ32*Slot18_SpendLike*MIN(Slot18_Cost-GM32,GF32)</f>
        <v>0</v>
      </c>
      <c r="GO32" s="1" t="n">
        <f aca="false">GM32+GN32</f>
        <v>0</v>
      </c>
      <c r="GP32" s="1" t="n">
        <f aca="false">GF32-GN32+GJ32*IF(Slot18_SpendLike=1,GL32-GM32,IF(Slot18_PotFree=1,GL32,0))</f>
        <v>0</v>
      </c>
      <c r="GQ32" s="1" t="n">
        <f aca="false">GG32+GJ32*Slot18_BufPot*GL32</f>
        <v>0</v>
      </c>
      <c r="GR32" s="1" t="n">
        <f aca="false">IF(AND(GJ32=1,Slot18_IsMfree=1),IF(GO32&gt;=Slot18_Cost-1,0,MAX(0,GH32-GO32)),GH32)</f>
        <v>0</v>
      </c>
      <c r="GS32" s="1" t="n">
        <f aca="false">GJ32*(Slot18_Cost-GO32)</f>
        <v>0</v>
      </c>
      <c r="GT32" s="1" t="n">
        <f aca="false">IF(AND(Slot19_On=1,D32=Slot19_Age),1,0)</f>
        <v>0</v>
      </c>
      <c r="GU32" s="1" t="n">
        <f aca="false">IF(AND(Slot19_On=1,Slot19_Age&gt;D32),1,0)</f>
        <v>0</v>
      </c>
      <c r="GV32" s="1" t="n">
        <f aca="false">TF31</f>
        <v>0</v>
      </c>
      <c r="GW32" s="1" t="n">
        <f aca="false">GT32*MIN(Slot19_Cost,GV32)</f>
        <v>0</v>
      </c>
      <c r="GX32" s="1" t="n">
        <f aca="false">GT32*Slot19_SpendLike*MIN(Slot19_Cost-GW32,GP32)</f>
        <v>0</v>
      </c>
      <c r="GY32" s="1" t="n">
        <f aca="false">GW32+GX32</f>
        <v>0</v>
      </c>
      <c r="GZ32" s="1" t="n">
        <f aca="false">GP32-GX32+GT32*IF(Slot19_SpendLike=1,GV32-GW32,IF(Slot19_PotFree=1,GV32,0))</f>
        <v>0</v>
      </c>
      <c r="HA32" s="1" t="n">
        <f aca="false">GQ32+GT32*Slot19_BufPot*GV32</f>
        <v>0</v>
      </c>
      <c r="HB32" s="1" t="n">
        <f aca="false">IF(AND(GT32=1,Slot19_IsMfree=1),IF(GY32&gt;=Slot19_Cost-1,0,MAX(0,GR32-GY32)),GR32)</f>
        <v>0</v>
      </c>
      <c r="HC32" s="1" t="n">
        <f aca="false">GT32*(Slot19_Cost-GY32)</f>
        <v>0</v>
      </c>
      <c r="HD32" s="1" t="n">
        <f aca="false">IF(AND(Slot20_On=1,D32=Slot20_Age),1,0)</f>
        <v>0</v>
      </c>
      <c r="HE32" s="1" t="n">
        <f aca="false">IF(AND(Slot20_On=1,Slot20_Age&gt;D32),1,0)</f>
        <v>0</v>
      </c>
      <c r="HF32" s="1" t="n">
        <f aca="false">TJ31</f>
        <v>0</v>
      </c>
      <c r="HG32" s="1" t="n">
        <f aca="false">HD32*MIN(Slot20_Cost,HF32)</f>
        <v>0</v>
      </c>
      <c r="HH32" s="1" t="n">
        <f aca="false">HD32*Slot20_SpendLike*MIN(Slot20_Cost-HG32,GZ32)</f>
        <v>0</v>
      </c>
      <c r="HI32" s="1" t="n">
        <f aca="false">HG32+HH32</f>
        <v>0</v>
      </c>
      <c r="HJ32" s="1" t="n">
        <f aca="false">GZ32-HH32+HD32*IF(Slot20_SpendLike=1,HF32-HG32,IF(Slot20_PotFree=1,HF32,0))</f>
        <v>0</v>
      </c>
      <c r="HK32" s="1" t="n">
        <f aca="false">HA32+HD32*Slot20_BufPot*HF32</f>
        <v>0</v>
      </c>
      <c r="HL32" s="1" t="n">
        <f aca="false">IF(AND(HD32=1,Slot20_IsMfree=1),IF(HI32&gt;=Slot20_Cost-1,0,MAX(0,HB32-HI32)),HB32)</f>
        <v>0</v>
      </c>
      <c r="HM32" s="1" t="n">
        <f aca="false">HD32*(Slot20_Cost-HI32)</f>
        <v>0</v>
      </c>
      <c r="HN32" s="1" t="n">
        <f aca="false">U32*Slot1_SpendLike*Z32+AF32*Slot2_SpendLike*AK32+AP32*Slot3_SpendLike*AU32+AZ32*Slot4_SpendLike*BE32+BJ32*Slot5_SpendLike*BO32+BT32*Slot6_SpendLike*BY32+CD32*Slot7_SpendLike*CI32+CN32*Slot8_SpendLike*CS32+CX32*Slot9_SpendLike*DC32+DH32*Slot10_SpendLike*DM32+DR32*Slot11_SpendLike*DW32+EB32*Slot12_SpendLike*EG32+EL32*Slot13_SpendLike*EQ32+EV32*Slot14_SpendLike*FA32+FF32*Slot15_SpendLike*FK32+FP32*Slot16_SpendLike*FU32+FZ32*Slot17_SpendLike*GE32+GJ32*Slot18_SpendLike*GO32+GT32*Slot19_SpendLike*GY32+HD32*Slot20_SpendLike*HI32</f>
        <v>0</v>
      </c>
      <c r="HO32" s="1" t="n">
        <f aca="false">AD32+AO32+AY32+BI32+BS32+CC32+CM32+CW32+DG32+DQ32+EA32+EK32+EU32+FE32+FO32+FY32+GI32+GS32+HC32+HM32</f>
        <v>0</v>
      </c>
      <c r="HP32" s="1" t="n">
        <f aca="false">U32*Slot1_Cost+AF32*Slot2_Cost+AP32*Slot3_Cost+AZ32*Slot4_Cost+BJ32*Slot5_Cost+BT32*Slot6_Cost+CD32*Slot7_Cost+CN32*Slot8_Cost+CX32*Slot9_Cost+DH32*Slot10_Cost+DR32*Slot11_Cost+EB32*Slot12_Cost+EL32*Slot13_Cost+EV32*Slot14_Cost+FF32*Slot15_Cost+FP32*Slot16_Cost+FZ32*Slot17_Cost+GJ32*Slot18_Cost+GT32*Slot19_Cost+HD32*Slot20_Cost</f>
        <v>0</v>
      </c>
      <c r="HQ32" s="1" t="n">
        <f aca="false">HL32</f>
        <v>0</v>
      </c>
      <c r="HR32" s="1" t="n">
        <f aca="false">G32-H32-R32</f>
        <v>0</v>
      </c>
      <c r="HS32" s="1" t="n">
        <f aca="false">IF(B32=0,IF(AND(Has_q6=1,In_q6=4),PR_ShareVaries*(MAX(0,HR32)/12),MIN(IF(Has_q6=1,CHOOSE(In_q6+1,PR_SaveB1,PR_SaveB2,PR_SaveB3,PR_SaveB4,0),AS_NoAnswer),AS_SaveShare*(MAX(0,HR32)/12))),HS31)</f>
        <v>0</v>
      </c>
      <c r="HT32" s="1" t="n">
        <f aca="false">IF(HR32&gt;=0,1,0)</f>
        <v>1</v>
      </c>
      <c r="HU32" s="1" t="n">
        <f aca="false">MAX(0,HR32/12/E32)</f>
        <v>0</v>
      </c>
      <c r="HV32" s="1" t="n">
        <f aca="false">IF(AND(Has_q6=1,In_q6=4),PR_ShareVaries*(HU32),MIN(IF(Has_q6=1,CHOOSE(In_q6+1,PR_SaveB1,PR_SaveB2,PR_SaveB3,PR_SaveB4,0),AS_NoAnswer),AS_SaveShare*(HU32)))</f>
        <v>0</v>
      </c>
      <c r="HW32" s="1" t="n">
        <f aca="false">IF(Has_saveM=1,IF(In_saveUp="Yes",1,IF(In_saveUp="No",0,IF(In_saveM&gt;=HS32-0.5,1,0))),0)</f>
        <v>0</v>
      </c>
      <c r="HX32" s="1" t="n">
        <f aca="false">IF(Has_saveM=1,MIN(HU32,IF(HW32=1,MAX(In_saveM,HV32),MIN(In_saveM,HV32))),HV32)</f>
        <v>0</v>
      </c>
      <c r="HY32" s="1" t="n">
        <f aca="false">IF(F32=1,HX32*12*E32,0)</f>
        <v>0</v>
      </c>
      <c r="HZ32" s="1" t="n">
        <f aca="false">MAX(0,HY32+IF(AND(WI_Retire=0,WI_M&lt;0,F32=1),WI_M*12*E32,0))</f>
        <v>0</v>
      </c>
      <c r="IA32" s="1" t="n">
        <f aca="false">Slot1_IsWG*V32+Slot2_IsWG*AG32+Slot3_IsWG*AQ32+Slot4_IsWG*BA32+Slot5_IsWG*BK32+Slot6_IsWG*BU32+Slot7_IsWG*CE32+Slot8_IsWG*CO32+Slot9_IsWG*CY32+Slot10_IsWG*DI32+Slot11_IsWG*DS32+Slot12_IsWG*EC32+Slot13_IsWG*EM32+Slot14_IsWG*EW32+Slot15_IsWG*FG32+Slot16_IsWG*FQ32+Slot17_IsWG*GA32+Slot18_IsWG*GK32+Slot19_IsWG*GU32+Slot20_IsWG*HE32</f>
        <v>0</v>
      </c>
      <c r="IB32" s="1" t="n">
        <f aca="false">IF(AND(WI_Retire=0,WI_M&gt;0,F32=1,IA32&gt;=1),WI_M*12*E32,0)</f>
        <v>0</v>
      </c>
      <c r="IC32" s="1" t="n">
        <f aca="false">IF(HT32=1,MIN(HZ32,HR32),0)</f>
        <v>0</v>
      </c>
      <c r="ID32" s="1" t="n">
        <f aca="false">IF(HT32=1,MIN(IB32,HR32-IC32),0)</f>
        <v>0</v>
      </c>
      <c r="IE32" s="1" t="n">
        <f aca="false">IF(V32=1,IF(ABS((1+AS_Wage)/(1+Slot1_Rate)-1)&lt;0.000000000001,(Slot1_Age-D32)*(1+Slot1_Rate)^(Slot1_Age-D32),(1+Slot1_Rate)^(Slot1_Age-D32)*(1-((1+AS_Wage)/(1+Slot1_Rate))^(Slot1_Age-D32))/(1-(1+AS_Wage)/(1+Slot1_Rate))),1)</f>
        <v>1</v>
      </c>
      <c r="IF32" s="1" t="n">
        <f aca="false">IF(AND(HT32=1,ID32&gt;0,Slot1_IsWG=1,V32=1),MAX(0,(Slot1_Cost-W32*(1+Slot1_Rate)^(Slot1_Age-D32))/IE32),0)</f>
        <v>0</v>
      </c>
      <c r="IG32" s="1" t="n">
        <f aca="false">IF(AND(HT32=1,ID32&gt;0,Slot1_IsWG=1,V32=1),MIN(ID32,IF32),0)</f>
        <v>0</v>
      </c>
      <c r="IH32" s="1" t="n">
        <f aca="false">W32+IG32</f>
        <v>0</v>
      </c>
      <c r="II32" s="1" t="n">
        <f aca="false">IF(V32=1,MAX(0,(Slot1_Cost-IH32*(1+Slot1_Rate)^(Slot1_Age-D32))/IE32),0)</f>
        <v>0</v>
      </c>
      <c r="IJ32" s="1" t="n">
        <f aca="false">IF(V32=1,MAX(0,(Slot1_Cost-W32*(1+Slot1_Rate)^(Slot1_Age-D32))/IE32),0)</f>
        <v>0</v>
      </c>
      <c r="IK32" s="1" t="n">
        <f aca="false">IF(AND(HT32=1,V32=1),MIN(IC32,II32),0)</f>
        <v>0</v>
      </c>
      <c r="IL32" s="1" t="n">
        <f aca="false">IC32-IK32</f>
        <v>0</v>
      </c>
      <c r="IM32" s="1" t="n">
        <f aca="false">IF(AG32=1,IF(ABS((1+AS_Wage)/(1+Slot2_Rate)-1)&lt;0.000000000001,(Slot2_Age-D32)*(1+Slot2_Rate)^(Slot2_Age-D32),(1+Slot2_Rate)^(Slot2_Age-D32)*(1-((1+AS_Wage)/(1+Slot2_Rate))^(Slot2_Age-D32))/(1-(1+AS_Wage)/(1+Slot2_Rate))),1)</f>
        <v>1</v>
      </c>
      <c r="IN32" s="1" t="n">
        <f aca="false">IF(AND(HT32=1,ID32&gt;0,Slot2_IsWG=1,AG32=1),MAX(0,(Slot2_Cost-AH32*(1+Slot2_Rate)^(Slot2_Age-D32))/IM32),0)</f>
        <v>0</v>
      </c>
      <c r="IO32" s="1" t="n">
        <f aca="false">IF(AND(HT32=1,ID32&gt;0,Slot2_IsWG=1,AG32=1),MIN(ID32,IN32),0)</f>
        <v>0</v>
      </c>
      <c r="IP32" s="1" t="n">
        <f aca="false">AH32+IO32</f>
        <v>0</v>
      </c>
      <c r="IQ32" s="1" t="n">
        <f aca="false">IF(AG32=1,MAX(0,(Slot2_Cost-IP32*(1+Slot2_Rate)^(Slot2_Age-D32))/IM32),0)</f>
        <v>0</v>
      </c>
      <c r="IR32" s="1" t="n">
        <f aca="false">IF(AG32=1,MAX(0,(Slot2_Cost-AH32*(1+Slot2_Rate)^(Slot2_Age-D32))/IM32),0)</f>
        <v>0</v>
      </c>
      <c r="IS32" s="1" t="n">
        <f aca="false">IF(AND(HT32=1,AG32=1),MIN(IL32,IQ32),0)</f>
        <v>0</v>
      </c>
      <c r="IT32" s="1" t="n">
        <f aca="false">IL32-IS32</f>
        <v>0</v>
      </c>
      <c r="IU32" s="1" t="n">
        <f aca="false">IF(AQ32=1,IF(ABS((1+AS_Wage)/(1+Slot3_Rate)-1)&lt;0.000000000001,(Slot3_Age-D32)*(1+Slot3_Rate)^(Slot3_Age-D32),(1+Slot3_Rate)^(Slot3_Age-D32)*(1-((1+AS_Wage)/(1+Slot3_Rate))^(Slot3_Age-D32))/(1-(1+AS_Wage)/(1+Slot3_Rate))),1)</f>
        <v>1</v>
      </c>
      <c r="IV32" s="1" t="n">
        <f aca="false">IF(AND(HT32=1,ID32&gt;0,Slot3_IsWG=1,AQ32=1),MAX(0,(Slot3_Cost-AR32*(1+Slot3_Rate)^(Slot3_Age-D32))/IU32),0)</f>
        <v>0</v>
      </c>
      <c r="IW32" s="1" t="n">
        <f aca="false">IF(AND(HT32=1,ID32&gt;0,Slot3_IsWG=1,AQ32=1),MIN(ID32,IV32),0)</f>
        <v>0</v>
      </c>
      <c r="IX32" s="1" t="n">
        <f aca="false">AR32+IW32</f>
        <v>0</v>
      </c>
      <c r="IY32" s="1" t="n">
        <f aca="false">IF(AQ32=1,MAX(0,(Slot3_Cost-IX32*(1+Slot3_Rate)^(Slot3_Age-D32))/IU32),0)</f>
        <v>0</v>
      </c>
      <c r="IZ32" s="1" t="n">
        <f aca="false">IF(AQ32=1,MAX(0,(Slot3_Cost-AR32*(1+Slot3_Rate)^(Slot3_Age-D32))/IU32),0)</f>
        <v>0</v>
      </c>
      <c r="JA32" s="1" t="n">
        <f aca="false">IF(AND(HT32=1,AQ32=1),MIN(IT32,IY32),0)</f>
        <v>0</v>
      </c>
      <c r="JB32" s="1" t="n">
        <f aca="false">IT32-JA32</f>
        <v>0</v>
      </c>
      <c r="JC32" s="1" t="n">
        <f aca="false">IF(BA32=1,IF(ABS((1+AS_Wage)/(1+Slot4_Rate)-1)&lt;0.000000000001,(Slot4_Age-D32)*(1+Slot4_Rate)^(Slot4_Age-D32),(1+Slot4_Rate)^(Slot4_Age-D32)*(1-((1+AS_Wage)/(1+Slot4_Rate))^(Slot4_Age-D32))/(1-(1+AS_Wage)/(1+Slot4_Rate))),1)</f>
        <v>1</v>
      </c>
      <c r="JD32" s="1" t="n">
        <f aca="false">IF(AND(HT32=1,ID32&gt;0,Slot4_IsWG=1,BA32=1),MAX(0,(Slot4_Cost-BB32*(1+Slot4_Rate)^(Slot4_Age-D32))/JC32),0)</f>
        <v>0</v>
      </c>
      <c r="JE32" s="1" t="n">
        <f aca="false">IF(AND(HT32=1,ID32&gt;0,Slot4_IsWG=1,BA32=1),MIN(ID32,JD32),0)</f>
        <v>0</v>
      </c>
      <c r="JF32" s="1" t="n">
        <f aca="false">BB32+JE32</f>
        <v>0</v>
      </c>
      <c r="JG32" s="1" t="n">
        <f aca="false">IF(BA32=1,MAX(0,(Slot4_Cost-JF32*(1+Slot4_Rate)^(Slot4_Age-D32))/JC32),0)</f>
        <v>0</v>
      </c>
      <c r="JH32" s="1" t="n">
        <f aca="false">IF(BA32=1,MAX(0,(Slot4_Cost-BB32*(1+Slot4_Rate)^(Slot4_Age-D32))/JC32),0)</f>
        <v>0</v>
      </c>
      <c r="JI32" s="1" t="n">
        <f aca="false">IF(AND(HT32=1,BA32=1),MIN(JB32,JG32),0)</f>
        <v>0</v>
      </c>
      <c r="JJ32" s="1" t="n">
        <f aca="false">JB32-JI32</f>
        <v>0</v>
      </c>
      <c r="JK32" s="1" t="n">
        <f aca="false">IF(BK32=1,IF(ABS((1+AS_Wage)/(1+Slot5_Rate)-1)&lt;0.000000000001,(Slot5_Age-D32)*(1+Slot5_Rate)^(Slot5_Age-D32),(1+Slot5_Rate)^(Slot5_Age-D32)*(1-((1+AS_Wage)/(1+Slot5_Rate))^(Slot5_Age-D32))/(1-(1+AS_Wage)/(1+Slot5_Rate))),1)</f>
        <v>1</v>
      </c>
      <c r="JL32" s="1" t="n">
        <f aca="false">IF(AND(HT32=1,ID32&gt;0,Slot5_IsWG=1,BK32=1),MAX(0,(Slot5_Cost-BL32*(1+Slot5_Rate)^(Slot5_Age-D32))/JK32),0)</f>
        <v>0</v>
      </c>
      <c r="JM32" s="1" t="n">
        <f aca="false">IF(AND(HT32=1,ID32&gt;0,Slot5_IsWG=1,BK32=1),MIN(ID32,JL32),0)</f>
        <v>0</v>
      </c>
      <c r="JN32" s="1" t="n">
        <f aca="false">BL32+JM32</f>
        <v>0</v>
      </c>
      <c r="JO32" s="1" t="n">
        <f aca="false">IF(BK32=1,MAX(0,(Slot5_Cost-JN32*(1+Slot5_Rate)^(Slot5_Age-D32))/JK32),0)</f>
        <v>0</v>
      </c>
      <c r="JP32" s="1" t="n">
        <f aca="false">IF(BK32=1,MAX(0,(Slot5_Cost-BL32*(1+Slot5_Rate)^(Slot5_Age-D32))/JK32),0)</f>
        <v>0</v>
      </c>
      <c r="JQ32" s="1" t="n">
        <f aca="false">IF(AND(HT32=1,BK32=1),MIN(JJ32,JO32),0)</f>
        <v>0</v>
      </c>
      <c r="JR32" s="1" t="n">
        <f aca="false">JJ32-JQ32</f>
        <v>0</v>
      </c>
      <c r="JS32" s="1" t="n">
        <f aca="false">IF(BU32=1,IF(ABS((1+AS_Wage)/(1+Slot6_Rate)-1)&lt;0.000000000001,(Slot6_Age-D32)*(1+Slot6_Rate)^(Slot6_Age-D32),(1+Slot6_Rate)^(Slot6_Age-D32)*(1-((1+AS_Wage)/(1+Slot6_Rate))^(Slot6_Age-D32))/(1-(1+AS_Wage)/(1+Slot6_Rate))),1)</f>
        <v>1</v>
      </c>
      <c r="JT32" s="1" t="n">
        <f aca="false">IF(AND(HT32=1,ID32&gt;0,Slot6_IsWG=1,BU32=1),MAX(0,(Slot6_Cost-BV32*(1+Slot6_Rate)^(Slot6_Age-D32))/JS32),0)</f>
        <v>0</v>
      </c>
      <c r="JU32" s="1" t="n">
        <f aca="false">IF(AND(HT32=1,ID32&gt;0,Slot6_IsWG=1,BU32=1),MIN(ID32,JT32),0)</f>
        <v>0</v>
      </c>
      <c r="JV32" s="1" t="n">
        <f aca="false">BV32+JU32</f>
        <v>0</v>
      </c>
      <c r="JW32" s="1" t="n">
        <f aca="false">IF(BU32=1,MAX(0,(Slot6_Cost-JV32*(1+Slot6_Rate)^(Slot6_Age-D32))/JS32),0)</f>
        <v>0</v>
      </c>
      <c r="JX32" s="1" t="n">
        <f aca="false">IF(BU32=1,MAX(0,(Slot6_Cost-BV32*(1+Slot6_Rate)^(Slot6_Age-D32))/JS32),0)</f>
        <v>0</v>
      </c>
      <c r="JY32" s="1" t="n">
        <f aca="false">IF(AND(HT32=1,BU32=1),MIN(JR32,JW32),0)</f>
        <v>0</v>
      </c>
      <c r="JZ32" s="1" t="n">
        <f aca="false">JR32-JY32</f>
        <v>0</v>
      </c>
      <c r="KA32" s="1" t="n">
        <f aca="false">IF(CE32=1,IF(ABS((1+AS_Wage)/(1+Slot7_Rate)-1)&lt;0.000000000001,(Slot7_Age-D32)*(1+Slot7_Rate)^(Slot7_Age-D32),(1+Slot7_Rate)^(Slot7_Age-D32)*(1-((1+AS_Wage)/(1+Slot7_Rate))^(Slot7_Age-D32))/(1-(1+AS_Wage)/(1+Slot7_Rate))),1)</f>
        <v>1</v>
      </c>
      <c r="KB32" s="1" t="n">
        <f aca="false">IF(AND(HT32=1,ID32&gt;0,Slot7_IsWG=1,CE32=1),MAX(0,(Slot7_Cost-CF32*(1+Slot7_Rate)^(Slot7_Age-D32))/KA32),0)</f>
        <v>0</v>
      </c>
      <c r="KC32" s="1" t="n">
        <f aca="false">IF(AND(HT32=1,ID32&gt;0,Slot7_IsWG=1,CE32=1),MIN(ID32,KB32),0)</f>
        <v>0</v>
      </c>
      <c r="KD32" s="1" t="n">
        <f aca="false">CF32+KC32</f>
        <v>0</v>
      </c>
      <c r="KE32" s="1" t="n">
        <f aca="false">IF(CE32=1,MAX(0,(Slot7_Cost-KD32*(1+Slot7_Rate)^(Slot7_Age-D32))/KA32),0)</f>
        <v>0</v>
      </c>
      <c r="KF32" s="1" t="n">
        <f aca="false">IF(CE32=1,MAX(0,(Slot7_Cost-CF32*(1+Slot7_Rate)^(Slot7_Age-D32))/KA32),0)</f>
        <v>0</v>
      </c>
      <c r="KG32" s="1" t="n">
        <f aca="false">IF(AND(HT32=1,CE32=1),MIN(JZ32,KE32),0)</f>
        <v>0</v>
      </c>
      <c r="KH32" s="1" t="n">
        <f aca="false">JZ32-KG32</f>
        <v>0</v>
      </c>
      <c r="KI32" s="1" t="n">
        <f aca="false">IF(CO32=1,IF(ABS((1+AS_Wage)/(1+Slot8_Rate)-1)&lt;0.000000000001,(Slot8_Age-D32)*(1+Slot8_Rate)^(Slot8_Age-D32),(1+Slot8_Rate)^(Slot8_Age-D32)*(1-((1+AS_Wage)/(1+Slot8_Rate))^(Slot8_Age-D32))/(1-(1+AS_Wage)/(1+Slot8_Rate))),1)</f>
        <v>1</v>
      </c>
      <c r="KJ32" s="1" t="n">
        <f aca="false">IF(AND(HT32=1,ID32&gt;0,Slot8_IsWG=1,CO32=1),MAX(0,(Slot8_Cost-CP32*(1+Slot8_Rate)^(Slot8_Age-D32))/KI32),0)</f>
        <v>0</v>
      </c>
      <c r="KK32" s="1" t="n">
        <f aca="false">IF(AND(HT32=1,ID32&gt;0,Slot8_IsWG=1,CO32=1),MIN(ID32,KJ32),0)</f>
        <v>0</v>
      </c>
      <c r="KL32" s="1" t="n">
        <f aca="false">CP32+KK32</f>
        <v>0</v>
      </c>
      <c r="KM32" s="1" t="n">
        <f aca="false">IF(CO32=1,MAX(0,(Slot8_Cost-KL32*(1+Slot8_Rate)^(Slot8_Age-D32))/KI32),0)</f>
        <v>0</v>
      </c>
      <c r="KN32" s="1" t="n">
        <f aca="false">IF(CO32=1,MAX(0,(Slot8_Cost-CP32*(1+Slot8_Rate)^(Slot8_Age-D32))/KI32),0)</f>
        <v>0</v>
      </c>
      <c r="KO32" s="1" t="n">
        <f aca="false">IF(AND(HT32=1,CO32=1),MIN(KH32,KM32),0)</f>
        <v>0</v>
      </c>
      <c r="KP32" s="1" t="n">
        <f aca="false">KH32-KO32</f>
        <v>0</v>
      </c>
      <c r="KQ32" s="1" t="n">
        <f aca="false">IF(CY32=1,IF(ABS((1+AS_Wage)/(1+Slot9_Rate)-1)&lt;0.000000000001,(Slot9_Age-D32)*(1+Slot9_Rate)^(Slot9_Age-D32),(1+Slot9_Rate)^(Slot9_Age-D32)*(1-((1+AS_Wage)/(1+Slot9_Rate))^(Slot9_Age-D32))/(1-(1+AS_Wage)/(1+Slot9_Rate))),1)</f>
        <v>1</v>
      </c>
      <c r="KR32" s="1" t="n">
        <f aca="false">IF(AND(HT32=1,ID32&gt;0,Slot9_IsWG=1,CY32=1),MAX(0,(Slot9_Cost-CZ32*(1+Slot9_Rate)^(Slot9_Age-D32))/KQ32),0)</f>
        <v>0</v>
      </c>
      <c r="KS32" s="1" t="n">
        <f aca="false">IF(AND(HT32=1,ID32&gt;0,Slot9_IsWG=1,CY32=1),MIN(ID32,KR32),0)</f>
        <v>0</v>
      </c>
      <c r="KT32" s="1" t="n">
        <f aca="false">CZ32+KS32</f>
        <v>0</v>
      </c>
      <c r="KU32" s="1" t="n">
        <f aca="false">IF(CY32=1,MAX(0,(Slot9_Cost-KT32*(1+Slot9_Rate)^(Slot9_Age-D32))/KQ32),0)</f>
        <v>0</v>
      </c>
      <c r="KV32" s="1" t="n">
        <f aca="false">IF(CY32=1,MAX(0,(Slot9_Cost-CZ32*(1+Slot9_Rate)^(Slot9_Age-D32))/KQ32),0)</f>
        <v>0</v>
      </c>
      <c r="KW32" s="1" t="n">
        <f aca="false">IF(AND(HT32=1,CY32=1),MIN(KP32,KU32),0)</f>
        <v>0</v>
      </c>
      <c r="KX32" s="1" t="n">
        <f aca="false">KP32-KW32</f>
        <v>0</v>
      </c>
      <c r="KY32" s="1" t="n">
        <f aca="false">IF(DI32=1,IF(ABS((1+AS_Wage)/(1+Slot10_Rate)-1)&lt;0.000000000001,(Slot10_Age-D32)*(1+Slot10_Rate)^(Slot10_Age-D32),(1+Slot10_Rate)^(Slot10_Age-D32)*(1-((1+AS_Wage)/(1+Slot10_Rate))^(Slot10_Age-D32))/(1-(1+AS_Wage)/(1+Slot10_Rate))),1)</f>
        <v>1</v>
      </c>
      <c r="KZ32" s="1" t="n">
        <f aca="false">IF(AND(HT32=1,ID32&gt;0,Slot10_IsWG=1,DI32=1),MAX(0,(Slot10_Cost-DJ32*(1+Slot10_Rate)^(Slot10_Age-D32))/KY32),0)</f>
        <v>0</v>
      </c>
      <c r="LA32" s="1" t="n">
        <f aca="false">IF(AND(HT32=1,ID32&gt;0,Slot10_IsWG=1,DI32=1),MIN(ID32,KZ32),0)</f>
        <v>0</v>
      </c>
      <c r="LB32" s="1" t="n">
        <f aca="false">DJ32+LA32</f>
        <v>0</v>
      </c>
      <c r="LC32" s="1" t="n">
        <f aca="false">IF(DI32=1,MAX(0,(Slot10_Cost-LB32*(1+Slot10_Rate)^(Slot10_Age-D32))/KY32),0)</f>
        <v>0</v>
      </c>
      <c r="LD32" s="1" t="n">
        <f aca="false">IF(DI32=1,MAX(0,(Slot10_Cost-DJ32*(1+Slot10_Rate)^(Slot10_Age-D32))/KY32),0)</f>
        <v>0</v>
      </c>
      <c r="LE32" s="1" t="n">
        <f aca="false">IF(AND(HT32=1,DI32=1),MIN(KX32,LC32),0)</f>
        <v>0</v>
      </c>
      <c r="LF32" s="1" t="n">
        <f aca="false">KX32-LE32</f>
        <v>0</v>
      </c>
      <c r="LG32" s="1" t="n">
        <f aca="false">IF(DS32=1,IF(ABS((1+AS_Wage)/(1+Slot11_Rate)-1)&lt;0.000000000001,(Slot11_Age-D32)*(1+Slot11_Rate)^(Slot11_Age-D32),(1+Slot11_Rate)^(Slot11_Age-D32)*(1-((1+AS_Wage)/(1+Slot11_Rate))^(Slot11_Age-D32))/(1-(1+AS_Wage)/(1+Slot11_Rate))),1)</f>
        <v>1</v>
      </c>
      <c r="LH32" s="1" t="n">
        <f aca="false">IF(AND(HT32=1,ID32&gt;0,Slot11_IsWG=1,DS32=1),MAX(0,(Slot11_Cost-DT32*(1+Slot11_Rate)^(Slot11_Age-D32))/LG32),0)</f>
        <v>0</v>
      </c>
      <c r="LI32" s="1" t="n">
        <f aca="false">IF(AND(HT32=1,ID32&gt;0,Slot11_IsWG=1,DS32=1),MIN(ID32,LH32),0)</f>
        <v>0</v>
      </c>
      <c r="LJ32" s="1" t="n">
        <f aca="false">DT32+LI32</f>
        <v>0</v>
      </c>
      <c r="LK32" s="1" t="n">
        <f aca="false">IF(DS32=1,MAX(0,(Slot11_Cost-LJ32*(1+Slot11_Rate)^(Slot11_Age-D32))/LG32),0)</f>
        <v>0</v>
      </c>
      <c r="LL32" s="1" t="n">
        <f aca="false">IF(DS32=1,MAX(0,(Slot11_Cost-DT32*(1+Slot11_Rate)^(Slot11_Age-D32))/LG32),0)</f>
        <v>0</v>
      </c>
      <c r="LM32" s="1" t="n">
        <f aca="false">IF(AND(HT32=1,DS32=1),MIN(LF32,LK32),0)</f>
        <v>0</v>
      </c>
      <c r="LN32" s="1" t="n">
        <f aca="false">LF32-LM32</f>
        <v>0</v>
      </c>
      <c r="LO32" s="1" t="n">
        <f aca="false">IF(EC32=1,IF(ABS((1+AS_Wage)/(1+Slot12_Rate)-1)&lt;0.000000000001,(Slot12_Age-D32)*(1+Slot12_Rate)^(Slot12_Age-D32),(1+Slot12_Rate)^(Slot12_Age-D32)*(1-((1+AS_Wage)/(1+Slot12_Rate))^(Slot12_Age-D32))/(1-(1+AS_Wage)/(1+Slot12_Rate))),1)</f>
        <v>1</v>
      </c>
      <c r="LP32" s="1" t="n">
        <f aca="false">IF(AND(HT32=1,ID32&gt;0,Slot12_IsWG=1,EC32=1),MAX(0,(Slot12_Cost-ED32*(1+Slot12_Rate)^(Slot12_Age-D32))/LO32),0)</f>
        <v>0</v>
      </c>
      <c r="LQ32" s="1" t="n">
        <f aca="false">IF(AND(HT32=1,ID32&gt;0,Slot12_IsWG=1,EC32=1),MIN(ID32,LP32),0)</f>
        <v>0</v>
      </c>
      <c r="LR32" s="1" t="n">
        <f aca="false">ED32+LQ32</f>
        <v>0</v>
      </c>
      <c r="LS32" s="1" t="n">
        <f aca="false">IF(EC32=1,MAX(0,(Slot12_Cost-LR32*(1+Slot12_Rate)^(Slot12_Age-D32))/LO32),0)</f>
        <v>0</v>
      </c>
      <c r="LT32" s="1" t="n">
        <f aca="false">IF(EC32=1,MAX(0,(Slot12_Cost-ED32*(1+Slot12_Rate)^(Slot12_Age-D32))/LO32),0)</f>
        <v>0</v>
      </c>
      <c r="LU32" s="1" t="n">
        <f aca="false">IF(AND(HT32=1,EC32=1),MIN(LN32,LS32),0)</f>
        <v>0</v>
      </c>
      <c r="LV32" s="1" t="n">
        <f aca="false">LN32-LU32</f>
        <v>0</v>
      </c>
      <c r="LW32" s="1" t="n">
        <f aca="false">IF(EM32=1,IF(ABS((1+AS_Wage)/(1+Slot13_Rate)-1)&lt;0.000000000001,(Slot13_Age-D32)*(1+Slot13_Rate)^(Slot13_Age-D32),(1+Slot13_Rate)^(Slot13_Age-D32)*(1-((1+AS_Wage)/(1+Slot13_Rate))^(Slot13_Age-D32))/(1-(1+AS_Wage)/(1+Slot13_Rate))),1)</f>
        <v>1</v>
      </c>
      <c r="LX32" s="1" t="n">
        <f aca="false">IF(AND(HT32=1,ID32&gt;0,Slot13_IsWG=1,EM32=1),MAX(0,(Slot13_Cost-EN32*(1+Slot13_Rate)^(Slot13_Age-D32))/LW32),0)</f>
        <v>0</v>
      </c>
      <c r="LY32" s="1" t="n">
        <f aca="false">IF(AND(HT32=1,ID32&gt;0,Slot13_IsWG=1,EM32=1),MIN(ID32,LX32),0)</f>
        <v>0</v>
      </c>
      <c r="LZ32" s="1" t="n">
        <f aca="false">EN32+LY32</f>
        <v>0</v>
      </c>
      <c r="MA32" s="1" t="n">
        <f aca="false">IF(EM32=1,MAX(0,(Slot13_Cost-LZ32*(1+Slot13_Rate)^(Slot13_Age-D32))/LW32),0)</f>
        <v>0</v>
      </c>
      <c r="MB32" s="1" t="n">
        <f aca="false">IF(EM32=1,MAX(0,(Slot13_Cost-EN32*(1+Slot13_Rate)^(Slot13_Age-D32))/LW32),0)</f>
        <v>0</v>
      </c>
      <c r="MC32" s="1" t="n">
        <f aca="false">IF(AND(HT32=1,EM32=1),MIN(LV32,MA32),0)</f>
        <v>0</v>
      </c>
      <c r="MD32" s="1" t="n">
        <f aca="false">LV32-MC32</f>
        <v>0</v>
      </c>
      <c r="ME32" s="1" t="n">
        <f aca="false">IF(EW32=1,IF(ABS((1+AS_Wage)/(1+Slot14_Rate)-1)&lt;0.000000000001,(Slot14_Age-D32)*(1+Slot14_Rate)^(Slot14_Age-D32),(1+Slot14_Rate)^(Slot14_Age-D32)*(1-((1+AS_Wage)/(1+Slot14_Rate))^(Slot14_Age-D32))/(1-(1+AS_Wage)/(1+Slot14_Rate))),1)</f>
        <v>1</v>
      </c>
      <c r="MF32" s="1" t="n">
        <f aca="false">IF(AND(HT32=1,ID32&gt;0,Slot14_IsWG=1,EW32=1),MAX(0,(Slot14_Cost-EX32*(1+Slot14_Rate)^(Slot14_Age-D32))/ME32),0)</f>
        <v>0</v>
      </c>
      <c r="MG32" s="1" t="n">
        <f aca="false">IF(AND(HT32=1,ID32&gt;0,Slot14_IsWG=1,EW32=1),MIN(ID32,MF32),0)</f>
        <v>0</v>
      </c>
      <c r="MH32" s="1" t="n">
        <f aca="false">EX32+MG32</f>
        <v>0</v>
      </c>
      <c r="MI32" s="1" t="n">
        <f aca="false">IF(EW32=1,MAX(0,(Slot14_Cost-MH32*(1+Slot14_Rate)^(Slot14_Age-D32))/ME32),0)</f>
        <v>0</v>
      </c>
      <c r="MJ32" s="1" t="n">
        <f aca="false">IF(EW32=1,MAX(0,(Slot14_Cost-EX32*(1+Slot14_Rate)^(Slot14_Age-D32))/ME32),0)</f>
        <v>0</v>
      </c>
      <c r="MK32" s="1" t="n">
        <f aca="false">IF(AND(HT32=1,EW32=1),MIN(MD32,MI32),0)</f>
        <v>0</v>
      </c>
      <c r="ML32" s="1" t="n">
        <f aca="false">MD32-MK32</f>
        <v>0</v>
      </c>
      <c r="MM32" s="1" t="n">
        <f aca="false">IF(FG32=1,IF(ABS((1+AS_Wage)/(1+Slot15_Rate)-1)&lt;0.000000000001,(Slot15_Age-D32)*(1+Slot15_Rate)^(Slot15_Age-D32),(1+Slot15_Rate)^(Slot15_Age-D32)*(1-((1+AS_Wage)/(1+Slot15_Rate))^(Slot15_Age-D32))/(1-(1+AS_Wage)/(1+Slot15_Rate))),1)</f>
        <v>1</v>
      </c>
      <c r="MN32" s="1" t="n">
        <f aca="false">IF(AND(HT32=1,ID32&gt;0,Slot15_IsWG=1,FG32=1),MAX(0,(Slot15_Cost-FH32*(1+Slot15_Rate)^(Slot15_Age-D32))/MM32),0)</f>
        <v>0</v>
      </c>
      <c r="MO32" s="1" t="n">
        <f aca="false">IF(AND(HT32=1,ID32&gt;0,Slot15_IsWG=1,FG32=1),MIN(ID32,MN32),0)</f>
        <v>0</v>
      </c>
      <c r="MP32" s="1" t="n">
        <f aca="false">FH32+MO32</f>
        <v>0</v>
      </c>
      <c r="MQ32" s="1" t="n">
        <f aca="false">IF(FG32=1,MAX(0,(Slot15_Cost-MP32*(1+Slot15_Rate)^(Slot15_Age-D32))/MM32),0)</f>
        <v>0</v>
      </c>
      <c r="MR32" s="1" t="n">
        <f aca="false">IF(FG32=1,MAX(0,(Slot15_Cost-FH32*(1+Slot15_Rate)^(Slot15_Age-D32))/MM32),0)</f>
        <v>0</v>
      </c>
      <c r="MS32" s="1" t="n">
        <f aca="false">IF(AND(HT32=1,FG32=1),MIN(ML32,MQ32),0)</f>
        <v>0</v>
      </c>
      <c r="MT32" s="1" t="n">
        <f aca="false">ML32-MS32</f>
        <v>0</v>
      </c>
      <c r="MU32" s="1" t="n">
        <f aca="false">IF(FQ32=1,IF(ABS((1+AS_Wage)/(1+Slot16_Rate)-1)&lt;0.000000000001,(Slot16_Age-D32)*(1+Slot16_Rate)^(Slot16_Age-D32),(1+Slot16_Rate)^(Slot16_Age-D32)*(1-((1+AS_Wage)/(1+Slot16_Rate))^(Slot16_Age-D32))/(1-(1+AS_Wage)/(1+Slot16_Rate))),1)</f>
        <v>1</v>
      </c>
      <c r="MV32" s="1" t="n">
        <f aca="false">IF(AND(HT32=1,ID32&gt;0,Slot16_IsWG=1,FQ32=1),MAX(0,(Slot16_Cost-FR32*(1+Slot16_Rate)^(Slot16_Age-D32))/MU32),0)</f>
        <v>0</v>
      </c>
      <c r="MW32" s="1" t="n">
        <f aca="false">IF(AND(HT32=1,ID32&gt;0,Slot16_IsWG=1,FQ32=1),MIN(ID32,MV32),0)</f>
        <v>0</v>
      </c>
      <c r="MX32" s="1" t="n">
        <f aca="false">FR32+MW32</f>
        <v>0</v>
      </c>
      <c r="MY32" s="1" t="n">
        <f aca="false">IF(FQ32=1,MAX(0,(Slot16_Cost-MX32*(1+Slot16_Rate)^(Slot16_Age-D32))/MU32),0)</f>
        <v>0</v>
      </c>
      <c r="MZ32" s="1" t="n">
        <f aca="false">IF(FQ32=1,MAX(0,(Slot16_Cost-FR32*(1+Slot16_Rate)^(Slot16_Age-D32))/MU32),0)</f>
        <v>0</v>
      </c>
      <c r="NA32" s="1" t="n">
        <f aca="false">IF(AND(HT32=1,FQ32=1),MIN(MT32,MY32),0)</f>
        <v>0</v>
      </c>
      <c r="NB32" s="1" t="n">
        <f aca="false">MT32-NA32</f>
        <v>0</v>
      </c>
      <c r="NC32" s="1" t="n">
        <f aca="false">IF(GA32=1,IF(ABS((1+AS_Wage)/(1+Slot17_Rate)-1)&lt;0.000000000001,(Slot17_Age-D32)*(1+Slot17_Rate)^(Slot17_Age-D32),(1+Slot17_Rate)^(Slot17_Age-D32)*(1-((1+AS_Wage)/(1+Slot17_Rate))^(Slot17_Age-D32))/(1-(1+AS_Wage)/(1+Slot17_Rate))),1)</f>
        <v>1</v>
      </c>
      <c r="ND32" s="1" t="n">
        <f aca="false">IF(AND(HT32=1,ID32&gt;0,Slot17_IsWG=1,GA32=1),MAX(0,(Slot17_Cost-GB32*(1+Slot17_Rate)^(Slot17_Age-D32))/NC32),0)</f>
        <v>0</v>
      </c>
      <c r="NE32" s="1" t="n">
        <f aca="false">IF(AND(HT32=1,ID32&gt;0,Slot17_IsWG=1,GA32=1),MIN(ID32,ND32),0)</f>
        <v>0</v>
      </c>
      <c r="NF32" s="1" t="n">
        <f aca="false">GB32+NE32</f>
        <v>0</v>
      </c>
      <c r="NG32" s="1" t="n">
        <f aca="false">IF(GA32=1,MAX(0,(Slot17_Cost-NF32*(1+Slot17_Rate)^(Slot17_Age-D32))/NC32),0)</f>
        <v>0</v>
      </c>
      <c r="NH32" s="1" t="n">
        <f aca="false">IF(GA32=1,MAX(0,(Slot17_Cost-GB32*(1+Slot17_Rate)^(Slot17_Age-D32))/NC32),0)</f>
        <v>0</v>
      </c>
      <c r="NI32" s="1" t="n">
        <f aca="false">IF(AND(HT32=1,GA32=1),MIN(NB32,NG32),0)</f>
        <v>0</v>
      </c>
      <c r="NJ32" s="1" t="n">
        <f aca="false">NB32-NI32</f>
        <v>0</v>
      </c>
      <c r="NK32" s="1" t="n">
        <f aca="false">IF(GK32=1,IF(ABS((1+AS_Wage)/(1+Slot18_Rate)-1)&lt;0.000000000001,(Slot18_Age-D32)*(1+Slot18_Rate)^(Slot18_Age-D32),(1+Slot18_Rate)^(Slot18_Age-D32)*(1-((1+AS_Wage)/(1+Slot18_Rate))^(Slot18_Age-D32))/(1-(1+AS_Wage)/(1+Slot18_Rate))),1)</f>
        <v>1</v>
      </c>
      <c r="NL32" s="1" t="n">
        <f aca="false">IF(AND(HT32=1,ID32&gt;0,Slot18_IsWG=1,GK32=1),MAX(0,(Slot18_Cost-GL32*(1+Slot18_Rate)^(Slot18_Age-D32))/NK32),0)</f>
        <v>0</v>
      </c>
      <c r="NM32" s="1" t="n">
        <f aca="false">IF(AND(HT32=1,ID32&gt;0,Slot18_IsWG=1,GK32=1),MIN(ID32,NL32),0)</f>
        <v>0</v>
      </c>
      <c r="NN32" s="1" t="n">
        <f aca="false">GL32+NM32</f>
        <v>0</v>
      </c>
      <c r="NO32" s="1" t="n">
        <f aca="false">IF(GK32=1,MAX(0,(Slot18_Cost-NN32*(1+Slot18_Rate)^(Slot18_Age-D32))/NK32),0)</f>
        <v>0</v>
      </c>
      <c r="NP32" s="1" t="n">
        <f aca="false">IF(GK32=1,MAX(0,(Slot18_Cost-GL32*(1+Slot18_Rate)^(Slot18_Age-D32))/NK32),0)</f>
        <v>0</v>
      </c>
      <c r="NQ32" s="1" t="n">
        <f aca="false">IF(AND(HT32=1,GK32=1),MIN(NJ32,NO32),0)</f>
        <v>0</v>
      </c>
      <c r="NR32" s="1" t="n">
        <f aca="false">NJ32-NQ32</f>
        <v>0</v>
      </c>
      <c r="NS32" s="1" t="n">
        <f aca="false">IF(GU32=1,IF(ABS((1+AS_Wage)/(1+Slot19_Rate)-1)&lt;0.000000000001,(Slot19_Age-D32)*(1+Slot19_Rate)^(Slot19_Age-D32),(1+Slot19_Rate)^(Slot19_Age-D32)*(1-((1+AS_Wage)/(1+Slot19_Rate))^(Slot19_Age-D32))/(1-(1+AS_Wage)/(1+Slot19_Rate))),1)</f>
        <v>1</v>
      </c>
      <c r="NT32" s="1" t="n">
        <f aca="false">IF(AND(HT32=1,ID32&gt;0,Slot19_IsWG=1,GU32=1),MAX(0,(Slot19_Cost-GV32*(1+Slot19_Rate)^(Slot19_Age-D32))/NS32),0)</f>
        <v>0</v>
      </c>
      <c r="NU32" s="1" t="n">
        <f aca="false">IF(AND(HT32=1,ID32&gt;0,Slot19_IsWG=1,GU32=1),MIN(ID32,NT32),0)</f>
        <v>0</v>
      </c>
      <c r="NV32" s="1" t="n">
        <f aca="false">GV32+NU32</f>
        <v>0</v>
      </c>
      <c r="NW32" s="1" t="n">
        <f aca="false">IF(GU32=1,MAX(0,(Slot19_Cost-NV32*(1+Slot19_Rate)^(Slot19_Age-D32))/NS32),0)</f>
        <v>0</v>
      </c>
      <c r="NX32" s="1" t="n">
        <f aca="false">IF(GU32=1,MAX(0,(Slot19_Cost-GV32*(1+Slot19_Rate)^(Slot19_Age-D32))/NS32),0)</f>
        <v>0</v>
      </c>
      <c r="NY32" s="1" t="n">
        <f aca="false">IF(AND(HT32=1,GU32=1),MIN(NR32,NW32),0)</f>
        <v>0</v>
      </c>
      <c r="NZ32" s="1" t="n">
        <f aca="false">NR32-NY32</f>
        <v>0</v>
      </c>
      <c r="OA32" s="1" t="n">
        <f aca="false">IF(HE32=1,IF(ABS((1+AS_Wage)/(1+Slot20_Rate)-1)&lt;0.000000000001,(Slot20_Age-D32)*(1+Slot20_Rate)^(Slot20_Age-D32),(1+Slot20_Rate)^(Slot20_Age-D32)*(1-((1+AS_Wage)/(1+Slot20_Rate))^(Slot20_Age-D32))/(1-(1+AS_Wage)/(1+Slot20_Rate))),1)</f>
        <v>1</v>
      </c>
      <c r="OB32" s="1" t="n">
        <f aca="false">IF(AND(HT32=1,ID32&gt;0,Slot20_IsWG=1,HE32=1),MAX(0,(Slot20_Cost-HF32*(1+Slot20_Rate)^(Slot20_Age-D32))/OA32),0)</f>
        <v>0</v>
      </c>
      <c r="OC32" s="1" t="n">
        <f aca="false">IF(AND(HT32=1,ID32&gt;0,Slot20_IsWG=1,HE32=1),MIN(ID32,OB32),0)</f>
        <v>0</v>
      </c>
      <c r="OD32" s="1" t="n">
        <f aca="false">HF32+OC32</f>
        <v>0</v>
      </c>
      <c r="OE32" s="1" t="n">
        <f aca="false">IF(HE32=1,MAX(0,(Slot20_Cost-OD32*(1+Slot20_Rate)^(Slot20_Age-D32))/OA32),0)</f>
        <v>0</v>
      </c>
      <c r="OF32" s="1" t="n">
        <f aca="false">IF(HE32=1,MAX(0,(Slot20_Cost-HF32*(1+Slot20_Rate)^(Slot20_Age-D32))/OA32),0)</f>
        <v>0</v>
      </c>
      <c r="OG32" s="1" t="n">
        <f aca="false">IF(AND(HT32=1,HE32=1),MIN(NZ32,OE32),0)</f>
        <v>0</v>
      </c>
      <c r="OH32" s="1" t="n">
        <f aca="false">NZ32-OG32</f>
        <v>0</v>
      </c>
      <c r="OI32" s="1" t="n">
        <f aca="false">ID32-(IG32+IO32+IW32+JE32+JM32+JU32+KC32+KK32+KS32+LA32+LI32+LQ32+LY32+MG32+MO32+MW32+NE32+NM32+NU32+OC32)</f>
        <v>0</v>
      </c>
      <c r="OJ32" s="1" t="n">
        <f aca="false">IF(HT32=1,HR32-IC32-ID32,0)</f>
        <v>0</v>
      </c>
      <c r="OK32" s="1" t="n">
        <f aca="false">IF(HT32=0,-HR32,0)</f>
        <v>0</v>
      </c>
      <c r="OL32" s="1" t="n">
        <f aca="false">MIN(OK32,HJ32)</f>
        <v>0</v>
      </c>
      <c r="OM32" s="1" t="n">
        <f aca="false">OK32-OL32</f>
        <v>0</v>
      </c>
      <c r="ON32" s="1" t="n">
        <f aca="false">MIN(OM32,HK32)</f>
        <v>0</v>
      </c>
      <c r="OO32" s="1" t="n">
        <f aca="false">OM32-ON32</f>
        <v>0</v>
      </c>
      <c r="OP32" s="1" t="n">
        <f aca="false">IF(AND(HT32=0,HE32=1,OO32&gt;0),MIN(OO32,HF32),0)</f>
        <v>0</v>
      </c>
      <c r="OQ32" s="1" t="n">
        <f aca="false">OO32-OP32</f>
        <v>0</v>
      </c>
      <c r="OR32" s="1" t="n">
        <f aca="false">IF(AND(HT32=0,GU32=1,OQ32&gt;0),MIN(OQ32,GV32),0)</f>
        <v>0</v>
      </c>
      <c r="OS32" s="1" t="n">
        <f aca="false">OQ32-OR32</f>
        <v>0</v>
      </c>
      <c r="OT32" s="1" t="n">
        <f aca="false">IF(AND(HT32=0,GK32=1,OS32&gt;0),MIN(OS32,GL32),0)</f>
        <v>0</v>
      </c>
      <c r="OU32" s="1" t="n">
        <f aca="false">OS32-OT32</f>
        <v>0</v>
      </c>
      <c r="OV32" s="1" t="n">
        <f aca="false">IF(AND(HT32=0,GA32=1,OU32&gt;0),MIN(OU32,GB32),0)</f>
        <v>0</v>
      </c>
      <c r="OW32" s="1" t="n">
        <f aca="false">OU32-OV32</f>
        <v>0</v>
      </c>
      <c r="OX32" s="1" t="n">
        <f aca="false">IF(AND(HT32=0,FQ32=1,OW32&gt;0),MIN(OW32,FR32),0)</f>
        <v>0</v>
      </c>
      <c r="OY32" s="1" t="n">
        <f aca="false">OW32-OX32</f>
        <v>0</v>
      </c>
      <c r="OZ32" s="1" t="n">
        <f aca="false">IF(AND(HT32=0,FG32=1,OY32&gt;0),MIN(OY32,FH32),0)</f>
        <v>0</v>
      </c>
      <c r="PA32" s="1" t="n">
        <f aca="false">OY32-OZ32</f>
        <v>0</v>
      </c>
      <c r="PB32" s="1" t="n">
        <f aca="false">IF(AND(HT32=0,EW32=1,PA32&gt;0),MIN(PA32,EX32),0)</f>
        <v>0</v>
      </c>
      <c r="PC32" s="1" t="n">
        <f aca="false">PA32-PB32</f>
        <v>0</v>
      </c>
      <c r="PD32" s="1" t="n">
        <f aca="false">IF(AND(HT32=0,EM32=1,PC32&gt;0),MIN(PC32,EN32),0)</f>
        <v>0</v>
      </c>
      <c r="PE32" s="1" t="n">
        <f aca="false">PC32-PD32</f>
        <v>0</v>
      </c>
      <c r="PF32" s="1" t="n">
        <f aca="false">IF(AND(HT32=0,EC32=1,PE32&gt;0),MIN(PE32,ED32),0)</f>
        <v>0</v>
      </c>
      <c r="PG32" s="1" t="n">
        <f aca="false">PE32-PF32</f>
        <v>0</v>
      </c>
      <c r="PH32" s="1" t="n">
        <f aca="false">IF(AND(HT32=0,DS32=1,PG32&gt;0),MIN(PG32,DT32),0)</f>
        <v>0</v>
      </c>
      <c r="PI32" s="1" t="n">
        <f aca="false">PG32-PH32</f>
        <v>0</v>
      </c>
      <c r="PJ32" s="1" t="n">
        <f aca="false">IF(AND(HT32=0,DI32=1,PI32&gt;0),MIN(PI32,DJ32),0)</f>
        <v>0</v>
      </c>
      <c r="PK32" s="1" t="n">
        <f aca="false">PI32-PJ32</f>
        <v>0</v>
      </c>
      <c r="PL32" s="1" t="n">
        <f aca="false">IF(AND(HT32=0,CY32=1,PK32&gt;0),MIN(PK32,CZ32),0)</f>
        <v>0</v>
      </c>
      <c r="PM32" s="1" t="n">
        <f aca="false">PK32-PL32</f>
        <v>0</v>
      </c>
      <c r="PN32" s="1" t="n">
        <f aca="false">IF(AND(HT32=0,CO32=1,PM32&gt;0),MIN(PM32,CP32),0)</f>
        <v>0</v>
      </c>
      <c r="PO32" s="1" t="n">
        <f aca="false">PM32-PN32</f>
        <v>0</v>
      </c>
      <c r="PP32" s="1" t="n">
        <f aca="false">IF(AND(HT32=0,CE32=1,PO32&gt;0),MIN(PO32,CF32),0)</f>
        <v>0</v>
      </c>
      <c r="PQ32" s="1" t="n">
        <f aca="false">PO32-PP32</f>
        <v>0</v>
      </c>
      <c r="PR32" s="1" t="n">
        <f aca="false">IF(AND(HT32=0,BU32=1,PQ32&gt;0),MIN(PQ32,BV32),0)</f>
        <v>0</v>
      </c>
      <c r="PS32" s="1" t="n">
        <f aca="false">PQ32-PR32</f>
        <v>0</v>
      </c>
      <c r="PT32" s="1" t="n">
        <f aca="false">IF(AND(HT32=0,BK32=1,PS32&gt;0),MIN(PS32,BL32),0)</f>
        <v>0</v>
      </c>
      <c r="PU32" s="1" t="n">
        <f aca="false">PS32-PT32</f>
        <v>0</v>
      </c>
      <c r="PV32" s="1" t="n">
        <f aca="false">IF(AND(HT32=0,BA32=1,PU32&gt;0),MIN(PU32,BB32),0)</f>
        <v>0</v>
      </c>
      <c r="PW32" s="1" t="n">
        <f aca="false">PU32-PV32</f>
        <v>0</v>
      </c>
      <c r="PX32" s="1" t="n">
        <f aca="false">IF(AND(HT32=0,AQ32=1,PW32&gt;0),MIN(PW32,AR32),0)</f>
        <v>0</v>
      </c>
      <c r="PY32" s="1" t="n">
        <f aca="false">PW32-PX32</f>
        <v>0</v>
      </c>
      <c r="PZ32" s="1" t="n">
        <f aca="false">IF(AND(HT32=0,AG32=1,PY32&gt;0),MIN(PY32,AH32),0)</f>
        <v>0</v>
      </c>
      <c r="QA32" s="1" t="n">
        <f aca="false">PY32-PZ32</f>
        <v>0</v>
      </c>
      <c r="QB32" s="1" t="n">
        <f aca="false">IF(AND(HT32=0,V32=1,QA32&gt;0),MIN(QA32,W32),0)</f>
        <v>0</v>
      </c>
      <c r="QC32" s="1" t="n">
        <f aca="false">QA32-QB32</f>
        <v>0</v>
      </c>
      <c r="QD32" s="1" t="n">
        <f aca="false">IF(HT32=0,QC32,0)</f>
        <v>0</v>
      </c>
      <c r="QE32" s="1" t="n">
        <f aca="false">OL32+ON32+QB32+PZ32+PX32+PV32+PT32+PR32+PP32+PN32+PL32+PJ32+PH32+PF32+PD32+PB32+OZ32+OX32+OV32+OT32+OR32+OP32</f>
        <v>0</v>
      </c>
      <c r="QF32" s="1" t="n">
        <f aca="false">IF(HT32=1,HJ32+OI32+OH32+IF(F32=1,0,OJ32),HJ32-OL32)</f>
        <v>0</v>
      </c>
      <c r="QG32" s="1" t="n">
        <f aca="false">HK32-ON32</f>
        <v>0</v>
      </c>
      <c r="QH32" s="1" t="n">
        <f aca="false">IF(HT32=1,IF(F32=1,IC32+ID32,HR32),0)</f>
        <v>0</v>
      </c>
      <c r="QI32" s="1" t="n">
        <f aca="false">IF(HT32=1,IF(F32=1,HR32-IC32-ID32,0),0)</f>
        <v>0</v>
      </c>
      <c r="QJ32" s="1" t="n">
        <f aca="false">QF32*(1+GR)</f>
        <v>0</v>
      </c>
      <c r="QK32" s="1" t="n">
        <f aca="false">QG32*(1+AS_Cash)</f>
        <v>0</v>
      </c>
      <c r="QL32" s="1" t="n">
        <f aca="false">IF(V32=1,IF(HT32=1,IH32+IK32,W32-QB32)*(1+Slot1_Rate),0)</f>
        <v>0</v>
      </c>
      <c r="QM32" s="1" t="n">
        <f aca="false">IF(AND(HT32=1,V32=1),(IG32+IK32)/E32,0)</f>
        <v>0</v>
      </c>
      <c r="QN32" s="1" t="n">
        <f aca="false">IF(B32=0,IG32+IK32,0)</f>
        <v>0</v>
      </c>
      <c r="QO32" s="1" t="n">
        <f aca="false">IF(B32=0,IF(HT32=1,II32,IJ32),0)</f>
        <v>0</v>
      </c>
      <c r="QP32" s="1" t="n">
        <f aca="false">IF(AG32=1,IF(HT32=1,IP32+IS32,AH32-PZ32)*(1+Slot2_Rate),0)</f>
        <v>0</v>
      </c>
      <c r="QQ32" s="1" t="n">
        <f aca="false">IF(AND(HT32=1,AG32=1),(IO32+IS32)/E32,0)</f>
        <v>0</v>
      </c>
      <c r="QR32" s="1" t="n">
        <f aca="false">IF(B32=0,IO32+IS32,0)</f>
        <v>0</v>
      </c>
      <c r="QS32" s="1" t="n">
        <f aca="false">IF(B32=0,IF(HT32=1,IQ32,IR32),0)</f>
        <v>0</v>
      </c>
      <c r="QT32" s="1" t="n">
        <f aca="false">IF(AQ32=1,IF(HT32=1,IX32+JA32,AR32-PX32)*(1+Slot3_Rate),0)</f>
        <v>0</v>
      </c>
      <c r="QU32" s="1" t="n">
        <f aca="false">IF(AND(HT32=1,AQ32=1),(IW32+JA32)/E32,0)</f>
        <v>0</v>
      </c>
      <c r="QV32" s="1" t="n">
        <f aca="false">IF(B32=0,IW32+JA32,0)</f>
        <v>0</v>
      </c>
      <c r="QW32" s="1" t="n">
        <f aca="false">IF(B32=0,IF(HT32=1,IY32,IZ32),0)</f>
        <v>0</v>
      </c>
      <c r="QX32" s="1" t="n">
        <f aca="false">IF(BA32=1,IF(HT32=1,JF32+JI32,BB32-PV32)*(1+Slot4_Rate),0)</f>
        <v>0</v>
      </c>
      <c r="QY32" s="1" t="n">
        <f aca="false">IF(AND(HT32=1,BA32=1),(JE32+JI32)/E32,0)</f>
        <v>0</v>
      </c>
      <c r="QZ32" s="1" t="n">
        <f aca="false">IF(B32=0,JE32+JI32,0)</f>
        <v>0</v>
      </c>
      <c r="RA32" s="1" t="n">
        <f aca="false">IF(B32=0,IF(HT32=1,JG32,JH32),0)</f>
        <v>0</v>
      </c>
      <c r="RB32" s="1" t="n">
        <f aca="false">IF(BK32=1,IF(HT32=1,JN32+JQ32,BL32-PT32)*(1+Slot5_Rate),0)</f>
        <v>0</v>
      </c>
      <c r="RC32" s="1" t="n">
        <f aca="false">IF(AND(HT32=1,BK32=1),(JM32+JQ32)/E32,0)</f>
        <v>0</v>
      </c>
      <c r="RD32" s="1" t="n">
        <f aca="false">IF(B32=0,JM32+JQ32,0)</f>
        <v>0</v>
      </c>
      <c r="RE32" s="1" t="n">
        <f aca="false">IF(B32=0,IF(HT32=1,JO32,JP32),0)</f>
        <v>0</v>
      </c>
      <c r="RF32" s="1" t="n">
        <f aca="false">IF(BU32=1,IF(HT32=1,JV32+JY32,BV32-PR32)*(1+Slot6_Rate),0)</f>
        <v>0</v>
      </c>
      <c r="RG32" s="1" t="n">
        <f aca="false">IF(AND(HT32=1,BU32=1),(JU32+JY32)/E32,0)</f>
        <v>0</v>
      </c>
      <c r="RH32" s="1" t="n">
        <f aca="false">IF(B32=0,JU32+JY32,0)</f>
        <v>0</v>
      </c>
      <c r="RI32" s="1" t="n">
        <f aca="false">IF(B32=0,IF(HT32=1,JW32,JX32),0)</f>
        <v>0</v>
      </c>
      <c r="RJ32" s="1" t="n">
        <f aca="false">IF(CE32=1,IF(HT32=1,KD32+KG32,CF32-PP32)*(1+Slot7_Rate),0)</f>
        <v>0</v>
      </c>
      <c r="RK32" s="1" t="n">
        <f aca="false">IF(AND(HT32=1,CE32=1),(KC32+KG32)/E32,0)</f>
        <v>0</v>
      </c>
      <c r="RL32" s="1" t="n">
        <f aca="false">IF(B32=0,KC32+KG32,0)</f>
        <v>0</v>
      </c>
      <c r="RM32" s="1" t="n">
        <f aca="false">IF(B32=0,IF(HT32=1,KE32,KF32),0)</f>
        <v>0</v>
      </c>
      <c r="RN32" s="1" t="n">
        <f aca="false">IF(CO32=1,IF(HT32=1,KL32+KO32,CP32-PN32)*(1+Slot8_Rate),0)</f>
        <v>0</v>
      </c>
      <c r="RO32" s="1" t="n">
        <f aca="false">IF(AND(HT32=1,CO32=1),(KK32+KO32)/E32,0)</f>
        <v>0</v>
      </c>
      <c r="RP32" s="1" t="n">
        <f aca="false">IF(B32=0,KK32+KO32,0)</f>
        <v>0</v>
      </c>
      <c r="RQ32" s="1" t="n">
        <f aca="false">IF(B32=0,IF(HT32=1,KM32,KN32),0)</f>
        <v>0</v>
      </c>
      <c r="RR32" s="1" t="n">
        <f aca="false">IF(CY32=1,IF(HT32=1,KT32+KW32,CZ32-PL32)*(1+Slot9_Rate),0)</f>
        <v>0</v>
      </c>
      <c r="RS32" s="1" t="n">
        <f aca="false">IF(AND(HT32=1,CY32=1),(KS32+KW32)/E32,0)</f>
        <v>0</v>
      </c>
      <c r="RT32" s="1" t="n">
        <f aca="false">IF(B32=0,KS32+KW32,0)</f>
        <v>0</v>
      </c>
      <c r="RU32" s="1" t="n">
        <f aca="false">IF(B32=0,IF(HT32=1,KU32,KV32),0)</f>
        <v>0</v>
      </c>
      <c r="RV32" s="1" t="n">
        <f aca="false">IF(DI32=1,IF(HT32=1,LB32+LE32,DJ32-PJ32)*(1+Slot10_Rate),0)</f>
        <v>0</v>
      </c>
      <c r="RW32" s="1" t="n">
        <f aca="false">IF(AND(HT32=1,DI32=1),(LA32+LE32)/E32,0)</f>
        <v>0</v>
      </c>
      <c r="RX32" s="1" t="n">
        <f aca="false">IF(B32=0,LA32+LE32,0)</f>
        <v>0</v>
      </c>
      <c r="RY32" s="1" t="n">
        <f aca="false">IF(B32=0,IF(HT32=1,LC32,LD32),0)</f>
        <v>0</v>
      </c>
      <c r="RZ32" s="1" t="n">
        <f aca="false">IF(DS32=1,IF(HT32=1,LJ32+LM32,DT32-PH32)*(1+Slot11_Rate),0)</f>
        <v>0</v>
      </c>
      <c r="SA32" s="1" t="n">
        <f aca="false">IF(AND(HT32=1,DS32=1),(LI32+LM32)/E32,0)</f>
        <v>0</v>
      </c>
      <c r="SB32" s="1" t="n">
        <f aca="false">IF(B32=0,LI32+LM32,0)</f>
        <v>0</v>
      </c>
      <c r="SC32" s="1" t="n">
        <f aca="false">IF(B32=0,IF(HT32=1,LK32,LL32),0)</f>
        <v>0</v>
      </c>
      <c r="SD32" s="1" t="n">
        <f aca="false">IF(EC32=1,IF(HT32=1,LR32+LU32,ED32-PF32)*(1+Slot12_Rate),0)</f>
        <v>0</v>
      </c>
      <c r="SE32" s="1" t="n">
        <f aca="false">IF(AND(HT32=1,EC32=1),(LQ32+LU32)/E32,0)</f>
        <v>0</v>
      </c>
      <c r="SF32" s="1" t="n">
        <f aca="false">IF(B32=0,LQ32+LU32,0)</f>
        <v>0</v>
      </c>
      <c r="SG32" s="1" t="n">
        <f aca="false">IF(B32=0,IF(HT32=1,LS32,LT32),0)</f>
        <v>0</v>
      </c>
      <c r="SH32" s="1" t="n">
        <f aca="false">IF(EM32=1,IF(HT32=1,LZ32+MC32,EN32-PD32)*(1+Slot13_Rate),0)</f>
        <v>0</v>
      </c>
      <c r="SI32" s="1" t="n">
        <f aca="false">IF(AND(HT32=1,EM32=1),(LY32+MC32)/E32,0)</f>
        <v>0</v>
      </c>
      <c r="SJ32" s="1" t="n">
        <f aca="false">IF(B32=0,LY32+MC32,0)</f>
        <v>0</v>
      </c>
      <c r="SK32" s="1" t="n">
        <f aca="false">IF(B32=0,IF(HT32=1,MA32,MB32),0)</f>
        <v>0</v>
      </c>
      <c r="SL32" s="1" t="n">
        <f aca="false">IF(EW32=1,IF(HT32=1,MH32+MK32,EX32-PB32)*(1+Slot14_Rate),0)</f>
        <v>0</v>
      </c>
      <c r="SM32" s="1" t="n">
        <f aca="false">IF(AND(HT32=1,EW32=1),(MG32+MK32)/E32,0)</f>
        <v>0</v>
      </c>
      <c r="SN32" s="1" t="n">
        <f aca="false">IF(B32=0,MG32+MK32,0)</f>
        <v>0</v>
      </c>
      <c r="SO32" s="1" t="n">
        <f aca="false">IF(B32=0,IF(HT32=1,MI32,MJ32),0)</f>
        <v>0</v>
      </c>
      <c r="SP32" s="1" t="n">
        <f aca="false">IF(FG32=1,IF(HT32=1,MP32+MS32,FH32-OZ32)*(1+Slot15_Rate),0)</f>
        <v>0</v>
      </c>
      <c r="SQ32" s="1" t="n">
        <f aca="false">IF(AND(HT32=1,FG32=1),(MO32+MS32)/E32,0)</f>
        <v>0</v>
      </c>
      <c r="SR32" s="1" t="n">
        <f aca="false">IF(B32=0,MO32+MS32,0)</f>
        <v>0</v>
      </c>
      <c r="SS32" s="1" t="n">
        <f aca="false">IF(B32=0,IF(HT32=1,MQ32,MR32),0)</f>
        <v>0</v>
      </c>
      <c r="ST32" s="1" t="n">
        <f aca="false">IF(FQ32=1,IF(HT32=1,MX32+NA32,FR32-OX32)*(1+Slot16_Rate),0)</f>
        <v>0</v>
      </c>
      <c r="SU32" s="1" t="n">
        <f aca="false">IF(AND(HT32=1,FQ32=1),(MW32+NA32)/E32,0)</f>
        <v>0</v>
      </c>
      <c r="SV32" s="1" t="n">
        <f aca="false">IF(B32=0,MW32+NA32,0)</f>
        <v>0</v>
      </c>
      <c r="SW32" s="1" t="n">
        <f aca="false">IF(B32=0,IF(HT32=1,MY32,MZ32),0)</f>
        <v>0</v>
      </c>
      <c r="SX32" s="1" t="n">
        <f aca="false">IF(GA32=1,IF(HT32=1,NF32+NI32,GB32-OV32)*(1+Slot17_Rate),0)</f>
        <v>0</v>
      </c>
      <c r="SY32" s="1" t="n">
        <f aca="false">IF(AND(HT32=1,GA32=1),(NE32+NI32)/E32,0)</f>
        <v>0</v>
      </c>
      <c r="SZ32" s="1" t="n">
        <f aca="false">IF(B32=0,NE32+NI32,0)</f>
        <v>0</v>
      </c>
      <c r="TA32" s="1" t="n">
        <f aca="false">IF(B32=0,IF(HT32=1,NG32,NH32),0)</f>
        <v>0</v>
      </c>
      <c r="TB32" s="1" t="n">
        <f aca="false">IF(GK32=1,IF(HT32=1,NN32+NQ32,GL32-OT32)*(1+Slot18_Rate),0)</f>
        <v>0</v>
      </c>
      <c r="TC32" s="1" t="n">
        <f aca="false">IF(AND(HT32=1,GK32=1),(NM32+NQ32)/E32,0)</f>
        <v>0</v>
      </c>
      <c r="TD32" s="1" t="n">
        <f aca="false">IF(B32=0,NM32+NQ32,0)</f>
        <v>0</v>
      </c>
      <c r="TE32" s="1" t="n">
        <f aca="false">IF(B32=0,IF(HT32=1,NO32,NP32),0)</f>
        <v>0</v>
      </c>
      <c r="TF32" s="1" t="n">
        <f aca="false">IF(GU32=1,IF(HT32=1,NV32+NY32,GV32-OR32)*(1+Slot19_Rate),0)</f>
        <v>0</v>
      </c>
      <c r="TG32" s="1" t="n">
        <f aca="false">IF(AND(HT32=1,GU32=1),(NU32+NY32)/E32,0)</f>
        <v>0</v>
      </c>
      <c r="TH32" s="1" t="n">
        <f aca="false">IF(B32=0,NU32+NY32,0)</f>
        <v>0</v>
      </c>
      <c r="TI32" s="1" t="n">
        <f aca="false">IF(B32=0,IF(HT32=1,NW32,NX32),0)</f>
        <v>0</v>
      </c>
      <c r="TJ32" s="1" t="n">
        <f aca="false">IF(HE32=1,IF(HT32=1,OD32+OG32,HF32-OP32)*(1+Slot20_Rate),0)</f>
        <v>0</v>
      </c>
      <c r="TK32" s="1" t="n">
        <f aca="false">IF(AND(HT32=1,HE32=1),(OC32+OG32)/E32,0)</f>
        <v>0</v>
      </c>
      <c r="TL32" s="1" t="n">
        <f aca="false">IF(B32=0,OC32+OG32,0)</f>
        <v>0</v>
      </c>
      <c r="TM32" s="1" t="n">
        <f aca="false">IF(B32=0,IF(HT32=1,OE32,OF32),0)</f>
        <v>0</v>
      </c>
      <c r="TN32" s="1" t="n">
        <f aca="false">QJ32+QK32+QL32+QP32+QT32+QX32+RB32+RF32+RJ32+RN32+RR32+RV32+RZ32+SD32+SH32+SL32+SP32+ST32+SX32+TB32+TF32+TJ32</f>
        <v>0</v>
      </c>
      <c r="TO32" s="1" t="n">
        <f aca="false">QD32+HO32</f>
        <v>0</v>
      </c>
      <c r="TP32" s="1" t="n">
        <f aca="false">H32+R32</f>
        <v>0</v>
      </c>
      <c r="TQ32" s="1" t="n">
        <f aca="false">1-F32</f>
        <v>0</v>
      </c>
      <c r="TR32" s="1" t="n">
        <f aca="false">IF(AND(RG_Exists=1,F32=0,C32=1),H32,0)</f>
        <v>0</v>
      </c>
      <c r="TS32" s="1" t="n">
        <f aca="false">IF(AND(RG_Exists=1,F32=0,C32=1),H32-MIN(QD32,H32),0)</f>
        <v>0</v>
      </c>
      <c r="TT32" s="1" t="n">
        <f aca="false">'Plan pay &amp; tax'!AD258</f>
        <v>0</v>
      </c>
      <c r="TU32" s="1" t="n">
        <f aca="false">IF(AND(C32=1,QD32&gt;MAX(PR_Short1,TP32*PR_Short2)),1,0)</f>
        <v>0</v>
      </c>
      <c r="TV32" s="1" t="n">
        <f aca="false">MIN(G32,H32+R32)</f>
        <v>0</v>
      </c>
      <c r="TW32" s="1" t="n">
        <f aca="false">QE32+MAX(0,HP32-HO32)</f>
        <v>0</v>
      </c>
      <c r="TX32" s="1" t="n">
        <f aca="false">QD32+HO32</f>
        <v>0</v>
      </c>
      <c r="TY32" s="1" t="n">
        <f aca="false">IF(AND(C32=1,TX32&gt;PR_MinShort),1,0)</f>
        <v>0</v>
      </c>
      <c r="TZ32" s="1" t="n">
        <f aca="false">IF(AND(C32=1,TY32=0,TW32&gt;PR_MinShort),1,0)</f>
        <v>0</v>
      </c>
      <c r="UA32" s="1" t="n">
        <f aca="false">IF(AND(C32=1,QD32&gt;PR_MinShort),1,0)</f>
        <v>0</v>
      </c>
      <c r="UB32" s="1" t="n">
        <f aca="false">IF(AND(C32=1,QE32&gt;1,UI32=0),1,0)</f>
        <v>0</v>
      </c>
      <c r="UC32" s="1" t="str">
        <f aca="false">IF(C32=0,"",IF(UI32=1,"Gap to plan for: short "&amp;"€"&amp;TEXT(ROUND(TO32,0),"#,##0"),IF(QE32&gt;1,"Using savings","Comfortable")))</f>
        <v>Comfortable</v>
      </c>
      <c r="UD32" s="1" t="n">
        <f aca="false">IF(AND(INT(D32/10)*10=90,B32&gt;0),80,INT(D32/10)*10)</f>
        <v>20</v>
      </c>
      <c r="UE32" s="1" t="n">
        <f aca="false">IF(B32=0,1,IF(UD32&lt;&gt;UD31,UE31+1,UE31))</f>
        <v>3</v>
      </c>
      <c r="UF32" s="1" t="n">
        <f aca="false">IF(AND(C32=1,F32=1,QD32&gt;MAX(PR_Short1,TP32*PR_Short2)),1,0)</f>
        <v>0</v>
      </c>
      <c r="UG32" s="1" t="n">
        <f aca="false">TQ32*TU32</f>
        <v>0</v>
      </c>
      <c r="UH32" s="1" t="n">
        <f aca="false">IF(AND(U32=1,Slot1_PctLow=1),1,0)+IF(AND(AF32=1,Slot2_PctLow=1),1,0)+IF(AND(AP32=1,Slot3_PctLow=1),1,0)+IF(AND(AZ32=1,Slot4_PctLow=1),1,0)+IF(AND(BJ32=1,Slot5_PctLow=1),1,0)+IF(AND(BT32=1,Slot6_PctLow=1),1,0)+IF(AND(CD32=1,Slot7_PctLow=1),1,0)+IF(AND(CN32=1,Slot8_PctLow=1),1,0)+IF(AND(CX32=1,Slot9_PctLow=1),1,0)+IF(AND(DH32=1,Slot10_PctLow=1),1,0)+IF(AND(DR32=1,Slot11_PctLow=1),1,0)+IF(AND(EB32=1,Slot12_PctLow=1),1,0)+IF(AND(EL32=1,Slot13_PctLow=1),1,0)+IF(AND(EV32=1,Slot14_PctLow=1),1,0)+IF(AND(FF32=1,Slot15_PctLow=1),1,0)+IF(AND(FP32=1,Slot16_PctLow=1),1,0)+IF(AND(FZ32=1,Slot17_PctLow=1),1,0)+IF(AND(GJ32=1,Slot18_PctLow=1),1,0)+IF(AND(GT32=1,Slot19_PctLow=1),1,0)+IF(AND(HD32=1,Slot20_PctLow=1),1,0)</f>
        <v>0</v>
      </c>
      <c r="UI32" s="1" t="n">
        <f aca="false">IF(C32=1,IF(OR(TU32=1,UH32&gt;0),1,0),0)</f>
        <v>0</v>
      </c>
    </row>
    <row r="33" customFormat="false" ht="15" hidden="false" customHeight="true" outlineLevel="0" collapsed="false">
      <c r="B33" s="1" t="n">
        <v>25</v>
      </c>
      <c r="C33" s="1" t="n">
        <f aca="false">IF(B33&lt;=F_N,1,0)</f>
        <v>1</v>
      </c>
      <c r="D33" s="1" t="n">
        <f aca="false">'Plan pay &amp; tax'!C259</f>
        <v>25</v>
      </c>
      <c r="E33" s="111" t="n">
        <f aca="false">'Plan pay &amp; tax'!E259</f>
        <v>1.64060599446473</v>
      </c>
      <c r="F33" s="1" t="n">
        <f aca="false">'Plan pay &amp; tax'!G259</f>
        <v>1</v>
      </c>
      <c r="G33" s="1" t="n">
        <f aca="false">'Plan pay &amp; tax'!BT259-'Plan pay &amp; tax'!BS259-'Plan pay &amp; tax'!R259</f>
        <v>0</v>
      </c>
      <c r="H33" s="1" t="n">
        <f aca="false">IF(F33=1,F_CostsM*12,IF(RG_Exists=1,RG_Amount,F_CostsM*12*AS_RetireSpend))*E33+F_OneOffY*E33</f>
        <v>0</v>
      </c>
      <c r="I33" s="1" t="n">
        <f aca="false">HQ32</f>
        <v>0</v>
      </c>
      <c r="J33" s="1" t="n">
        <f aca="false">IF(I33&gt;1,'Plan debt months'!AC33,0)</f>
        <v>0</v>
      </c>
      <c r="K33" s="1" t="n">
        <f aca="false">IF(I33&gt;1,'Plan debt months'!AB33,I33)</f>
        <v>0</v>
      </c>
      <c r="L33" s="1" t="n">
        <f aca="false">N32</f>
        <v>0</v>
      </c>
      <c r="M33" s="1" t="n">
        <f aca="false">IF(L33&gt;1,'Plan debt months'!BD33,0)</f>
        <v>0</v>
      </c>
      <c r="N33" s="1" t="n">
        <f aca="false">IF(L33&gt;1,'Plan debt months'!BC33,L33)</f>
        <v>0</v>
      </c>
      <c r="O33" s="1" t="n">
        <f aca="false">Q32</f>
        <v>0</v>
      </c>
      <c r="P33" s="1" t="n">
        <f aca="false">IF(O33&gt;1,'Plan debt months'!CE33,0)</f>
        <v>0</v>
      </c>
      <c r="Q33" s="1" t="n">
        <f aca="false">IF(O33&gt;1,'Plan debt months'!CD33,O33)</f>
        <v>0</v>
      </c>
      <c r="R33" s="1" t="n">
        <f aca="false">J33+M33+P33</f>
        <v>0</v>
      </c>
      <c r="S33" s="1" t="n">
        <f aca="false">QJ32+'Plan pay &amp; tax'!Y259</f>
        <v>0</v>
      </c>
      <c r="T33" s="1" t="n">
        <f aca="false">QJ32</f>
        <v>0</v>
      </c>
      <c r="U33" s="1" t="n">
        <f aca="false">IF(AND(Slot1_On=1,D33=Slot1_Age),1,0)</f>
        <v>0</v>
      </c>
      <c r="V33" s="1" t="n">
        <f aca="false">IF(AND(Slot1_On=1,Slot1_Age&gt;D33),1,0)</f>
        <v>0</v>
      </c>
      <c r="W33" s="1" t="n">
        <f aca="false">QL32</f>
        <v>0</v>
      </c>
      <c r="X33" s="1" t="n">
        <f aca="false">U33*MIN(Slot1_Cost,W33)</f>
        <v>0</v>
      </c>
      <c r="Y33" s="1" t="n">
        <f aca="false">U33*Slot1_SpendLike*MIN(Slot1_Cost-X33,S33)</f>
        <v>0</v>
      </c>
      <c r="Z33" s="1" t="n">
        <f aca="false">X33+Y33</f>
        <v>0</v>
      </c>
      <c r="AA33" s="1" t="n">
        <f aca="false">S33-Y33+U33*IF(Slot1_SpendLike=1,W33-X33,IF(Slot1_PotFree=1,W33,0))</f>
        <v>0</v>
      </c>
      <c r="AB33" s="1" t="n">
        <f aca="false">AE33+U33*Slot1_BufPot*W33</f>
        <v>0</v>
      </c>
      <c r="AC33" s="1" t="n">
        <f aca="false">IF(AND(U33=1,Slot1_IsMfree=1),IF(Z33&gt;=Slot1_Cost-1,0,MAX(0,K33-Z33)),K33)</f>
        <v>0</v>
      </c>
      <c r="AD33" s="1" t="n">
        <f aca="false">U33*(Slot1_Cost-Z33)</f>
        <v>0</v>
      </c>
      <c r="AE33" s="1" t="n">
        <f aca="false">QK32</f>
        <v>0</v>
      </c>
      <c r="AF33" s="1" t="n">
        <f aca="false">IF(AND(Slot2_On=1,D33=Slot2_Age),1,0)</f>
        <v>0</v>
      </c>
      <c r="AG33" s="1" t="n">
        <f aca="false">IF(AND(Slot2_On=1,Slot2_Age&gt;D33),1,0)</f>
        <v>0</v>
      </c>
      <c r="AH33" s="1" t="n">
        <f aca="false">QP32</f>
        <v>0</v>
      </c>
      <c r="AI33" s="1" t="n">
        <f aca="false">AF33*MIN(Slot2_Cost,AH33)</f>
        <v>0</v>
      </c>
      <c r="AJ33" s="1" t="n">
        <f aca="false">AF33*Slot2_SpendLike*MIN(Slot2_Cost-AI33,AA33)</f>
        <v>0</v>
      </c>
      <c r="AK33" s="1" t="n">
        <f aca="false">AI33+AJ33</f>
        <v>0</v>
      </c>
      <c r="AL33" s="1" t="n">
        <f aca="false">AA33-AJ33+AF33*IF(Slot2_SpendLike=1,AH33-AI33,IF(Slot2_PotFree=1,AH33,0))</f>
        <v>0</v>
      </c>
      <c r="AM33" s="1" t="n">
        <f aca="false">AB33+AF33*Slot2_BufPot*AH33</f>
        <v>0</v>
      </c>
      <c r="AN33" s="1" t="n">
        <f aca="false">IF(AND(AF33=1,Slot2_IsMfree=1),IF(AK33&gt;=Slot2_Cost-1,0,MAX(0,AC33-AK33)),AC33)</f>
        <v>0</v>
      </c>
      <c r="AO33" s="1" t="n">
        <f aca="false">AF33*(Slot2_Cost-AK33)</f>
        <v>0</v>
      </c>
      <c r="AP33" s="1" t="n">
        <f aca="false">IF(AND(Slot3_On=1,D33=Slot3_Age),1,0)</f>
        <v>0</v>
      </c>
      <c r="AQ33" s="1" t="n">
        <f aca="false">IF(AND(Slot3_On=1,Slot3_Age&gt;D33),1,0)</f>
        <v>0</v>
      </c>
      <c r="AR33" s="1" t="n">
        <f aca="false">QT32</f>
        <v>0</v>
      </c>
      <c r="AS33" s="1" t="n">
        <f aca="false">AP33*MIN(Slot3_Cost,AR33)</f>
        <v>0</v>
      </c>
      <c r="AT33" s="1" t="n">
        <f aca="false">AP33*Slot3_SpendLike*MIN(Slot3_Cost-AS33,AL33)</f>
        <v>0</v>
      </c>
      <c r="AU33" s="1" t="n">
        <f aca="false">AS33+AT33</f>
        <v>0</v>
      </c>
      <c r="AV33" s="1" t="n">
        <f aca="false">AL33-AT33+AP33*IF(Slot3_SpendLike=1,AR33-AS33,IF(Slot3_PotFree=1,AR33,0))</f>
        <v>0</v>
      </c>
      <c r="AW33" s="1" t="n">
        <f aca="false">AM33+AP33*Slot3_BufPot*AR33</f>
        <v>0</v>
      </c>
      <c r="AX33" s="1" t="n">
        <f aca="false">IF(AND(AP33=1,Slot3_IsMfree=1),IF(AU33&gt;=Slot3_Cost-1,0,MAX(0,AN33-AU33)),AN33)</f>
        <v>0</v>
      </c>
      <c r="AY33" s="1" t="n">
        <f aca="false">AP33*(Slot3_Cost-AU33)</f>
        <v>0</v>
      </c>
      <c r="AZ33" s="1" t="n">
        <f aca="false">IF(AND(Slot4_On=1,D33=Slot4_Age),1,0)</f>
        <v>0</v>
      </c>
      <c r="BA33" s="1" t="n">
        <f aca="false">IF(AND(Slot4_On=1,Slot4_Age&gt;D33),1,0)</f>
        <v>0</v>
      </c>
      <c r="BB33" s="1" t="n">
        <f aca="false">QX32</f>
        <v>0</v>
      </c>
      <c r="BC33" s="1" t="n">
        <f aca="false">AZ33*MIN(Slot4_Cost,BB33)</f>
        <v>0</v>
      </c>
      <c r="BD33" s="1" t="n">
        <f aca="false">AZ33*Slot4_SpendLike*MIN(Slot4_Cost-BC33,AV33)</f>
        <v>0</v>
      </c>
      <c r="BE33" s="1" t="n">
        <f aca="false">BC33+BD33</f>
        <v>0</v>
      </c>
      <c r="BF33" s="1" t="n">
        <f aca="false">AV33-BD33+AZ33*IF(Slot4_SpendLike=1,BB33-BC33,IF(Slot4_PotFree=1,BB33,0))</f>
        <v>0</v>
      </c>
      <c r="BG33" s="1" t="n">
        <f aca="false">AW33+AZ33*Slot4_BufPot*BB33</f>
        <v>0</v>
      </c>
      <c r="BH33" s="1" t="n">
        <f aca="false">IF(AND(AZ33=1,Slot4_IsMfree=1),IF(BE33&gt;=Slot4_Cost-1,0,MAX(0,AX33-BE33)),AX33)</f>
        <v>0</v>
      </c>
      <c r="BI33" s="1" t="n">
        <f aca="false">AZ33*(Slot4_Cost-BE33)</f>
        <v>0</v>
      </c>
      <c r="BJ33" s="1" t="n">
        <f aca="false">IF(AND(Slot5_On=1,D33=Slot5_Age),1,0)</f>
        <v>0</v>
      </c>
      <c r="BK33" s="1" t="n">
        <f aca="false">IF(AND(Slot5_On=1,Slot5_Age&gt;D33),1,0)</f>
        <v>0</v>
      </c>
      <c r="BL33" s="1" t="n">
        <f aca="false">RB32</f>
        <v>0</v>
      </c>
      <c r="BM33" s="1" t="n">
        <f aca="false">BJ33*MIN(Slot5_Cost,BL33)</f>
        <v>0</v>
      </c>
      <c r="BN33" s="1" t="n">
        <f aca="false">BJ33*Slot5_SpendLike*MIN(Slot5_Cost-BM33,BF33)</f>
        <v>0</v>
      </c>
      <c r="BO33" s="1" t="n">
        <f aca="false">BM33+BN33</f>
        <v>0</v>
      </c>
      <c r="BP33" s="1" t="n">
        <f aca="false">BF33-BN33+BJ33*IF(Slot5_SpendLike=1,BL33-BM33,IF(Slot5_PotFree=1,BL33,0))</f>
        <v>0</v>
      </c>
      <c r="BQ33" s="1" t="n">
        <f aca="false">BG33+BJ33*Slot5_BufPot*BL33</f>
        <v>0</v>
      </c>
      <c r="BR33" s="1" t="n">
        <f aca="false">IF(AND(BJ33=1,Slot5_IsMfree=1),IF(BO33&gt;=Slot5_Cost-1,0,MAX(0,BH33-BO33)),BH33)</f>
        <v>0</v>
      </c>
      <c r="BS33" s="1" t="n">
        <f aca="false">BJ33*(Slot5_Cost-BO33)</f>
        <v>0</v>
      </c>
      <c r="BT33" s="1" t="n">
        <f aca="false">IF(AND(Slot6_On=1,D33=Slot6_Age),1,0)</f>
        <v>0</v>
      </c>
      <c r="BU33" s="1" t="n">
        <f aca="false">IF(AND(Slot6_On=1,Slot6_Age&gt;D33),1,0)</f>
        <v>0</v>
      </c>
      <c r="BV33" s="1" t="n">
        <f aca="false">RF32</f>
        <v>0</v>
      </c>
      <c r="BW33" s="1" t="n">
        <f aca="false">BT33*MIN(Slot6_Cost,BV33)</f>
        <v>0</v>
      </c>
      <c r="BX33" s="1" t="n">
        <f aca="false">BT33*Slot6_SpendLike*MIN(Slot6_Cost-BW33,BP33)</f>
        <v>0</v>
      </c>
      <c r="BY33" s="1" t="n">
        <f aca="false">BW33+BX33</f>
        <v>0</v>
      </c>
      <c r="BZ33" s="1" t="n">
        <f aca="false">BP33-BX33+BT33*IF(Slot6_SpendLike=1,BV33-BW33,IF(Slot6_PotFree=1,BV33,0))</f>
        <v>0</v>
      </c>
      <c r="CA33" s="1" t="n">
        <f aca="false">BQ33+BT33*Slot6_BufPot*BV33</f>
        <v>0</v>
      </c>
      <c r="CB33" s="1" t="n">
        <f aca="false">IF(AND(BT33=1,Slot6_IsMfree=1),IF(BY33&gt;=Slot6_Cost-1,0,MAX(0,BR33-BY33)),BR33)</f>
        <v>0</v>
      </c>
      <c r="CC33" s="1" t="n">
        <f aca="false">BT33*(Slot6_Cost-BY33)</f>
        <v>0</v>
      </c>
      <c r="CD33" s="1" t="n">
        <f aca="false">IF(AND(Slot7_On=1,D33=Slot7_Age),1,0)</f>
        <v>0</v>
      </c>
      <c r="CE33" s="1" t="n">
        <f aca="false">IF(AND(Slot7_On=1,Slot7_Age&gt;D33),1,0)</f>
        <v>0</v>
      </c>
      <c r="CF33" s="1" t="n">
        <f aca="false">RJ32</f>
        <v>0</v>
      </c>
      <c r="CG33" s="1" t="n">
        <f aca="false">CD33*MIN(Slot7_Cost,CF33)</f>
        <v>0</v>
      </c>
      <c r="CH33" s="1" t="n">
        <f aca="false">CD33*Slot7_SpendLike*MIN(Slot7_Cost-CG33,BZ33)</f>
        <v>0</v>
      </c>
      <c r="CI33" s="1" t="n">
        <f aca="false">CG33+CH33</f>
        <v>0</v>
      </c>
      <c r="CJ33" s="1" t="n">
        <f aca="false">BZ33-CH33+CD33*IF(Slot7_SpendLike=1,CF33-CG33,IF(Slot7_PotFree=1,CF33,0))</f>
        <v>0</v>
      </c>
      <c r="CK33" s="1" t="n">
        <f aca="false">CA33+CD33*Slot7_BufPot*CF33</f>
        <v>0</v>
      </c>
      <c r="CL33" s="1" t="n">
        <f aca="false">IF(AND(CD33=1,Slot7_IsMfree=1),IF(CI33&gt;=Slot7_Cost-1,0,MAX(0,CB33-CI33)),CB33)</f>
        <v>0</v>
      </c>
      <c r="CM33" s="1" t="n">
        <f aca="false">CD33*(Slot7_Cost-CI33)</f>
        <v>0</v>
      </c>
      <c r="CN33" s="1" t="n">
        <f aca="false">IF(AND(Slot8_On=1,D33=Slot8_Age),1,0)</f>
        <v>0</v>
      </c>
      <c r="CO33" s="1" t="n">
        <f aca="false">IF(AND(Slot8_On=1,Slot8_Age&gt;D33),1,0)</f>
        <v>0</v>
      </c>
      <c r="CP33" s="1" t="n">
        <f aca="false">RN32</f>
        <v>0</v>
      </c>
      <c r="CQ33" s="1" t="n">
        <f aca="false">CN33*MIN(Slot8_Cost,CP33)</f>
        <v>0</v>
      </c>
      <c r="CR33" s="1" t="n">
        <f aca="false">CN33*Slot8_SpendLike*MIN(Slot8_Cost-CQ33,CJ33)</f>
        <v>0</v>
      </c>
      <c r="CS33" s="1" t="n">
        <f aca="false">CQ33+CR33</f>
        <v>0</v>
      </c>
      <c r="CT33" s="1" t="n">
        <f aca="false">CJ33-CR33+CN33*IF(Slot8_SpendLike=1,CP33-CQ33,IF(Slot8_PotFree=1,CP33,0))</f>
        <v>0</v>
      </c>
      <c r="CU33" s="1" t="n">
        <f aca="false">CK33+CN33*Slot8_BufPot*CP33</f>
        <v>0</v>
      </c>
      <c r="CV33" s="1" t="n">
        <f aca="false">IF(AND(CN33=1,Slot8_IsMfree=1),IF(CS33&gt;=Slot8_Cost-1,0,MAX(0,CL33-CS33)),CL33)</f>
        <v>0</v>
      </c>
      <c r="CW33" s="1" t="n">
        <f aca="false">CN33*(Slot8_Cost-CS33)</f>
        <v>0</v>
      </c>
      <c r="CX33" s="1" t="n">
        <f aca="false">IF(AND(Slot9_On=1,D33=Slot9_Age),1,0)</f>
        <v>0</v>
      </c>
      <c r="CY33" s="1" t="n">
        <f aca="false">IF(AND(Slot9_On=1,Slot9_Age&gt;D33),1,0)</f>
        <v>0</v>
      </c>
      <c r="CZ33" s="1" t="n">
        <f aca="false">RR32</f>
        <v>0</v>
      </c>
      <c r="DA33" s="1" t="n">
        <f aca="false">CX33*MIN(Slot9_Cost,CZ33)</f>
        <v>0</v>
      </c>
      <c r="DB33" s="1" t="n">
        <f aca="false">CX33*Slot9_SpendLike*MIN(Slot9_Cost-DA33,CT33)</f>
        <v>0</v>
      </c>
      <c r="DC33" s="1" t="n">
        <f aca="false">DA33+DB33</f>
        <v>0</v>
      </c>
      <c r="DD33" s="1" t="n">
        <f aca="false">CT33-DB33+CX33*IF(Slot9_SpendLike=1,CZ33-DA33,IF(Slot9_PotFree=1,CZ33,0))</f>
        <v>0</v>
      </c>
      <c r="DE33" s="1" t="n">
        <f aca="false">CU33+CX33*Slot9_BufPot*CZ33</f>
        <v>0</v>
      </c>
      <c r="DF33" s="1" t="n">
        <f aca="false">IF(AND(CX33=1,Slot9_IsMfree=1),IF(DC33&gt;=Slot9_Cost-1,0,MAX(0,CV33-DC33)),CV33)</f>
        <v>0</v>
      </c>
      <c r="DG33" s="1" t="n">
        <f aca="false">CX33*(Slot9_Cost-DC33)</f>
        <v>0</v>
      </c>
      <c r="DH33" s="1" t="n">
        <f aca="false">IF(AND(Slot10_On=1,D33=Slot10_Age),1,0)</f>
        <v>0</v>
      </c>
      <c r="DI33" s="1" t="n">
        <f aca="false">IF(AND(Slot10_On=1,Slot10_Age&gt;D33),1,0)</f>
        <v>0</v>
      </c>
      <c r="DJ33" s="1" t="n">
        <f aca="false">RV32</f>
        <v>0</v>
      </c>
      <c r="DK33" s="1" t="n">
        <f aca="false">DH33*MIN(Slot10_Cost,DJ33)</f>
        <v>0</v>
      </c>
      <c r="DL33" s="1" t="n">
        <f aca="false">DH33*Slot10_SpendLike*MIN(Slot10_Cost-DK33,DD33)</f>
        <v>0</v>
      </c>
      <c r="DM33" s="1" t="n">
        <f aca="false">DK33+DL33</f>
        <v>0</v>
      </c>
      <c r="DN33" s="1" t="n">
        <f aca="false">DD33-DL33+DH33*IF(Slot10_SpendLike=1,DJ33-DK33,IF(Slot10_PotFree=1,DJ33,0))</f>
        <v>0</v>
      </c>
      <c r="DO33" s="1" t="n">
        <f aca="false">DE33+DH33*Slot10_BufPot*DJ33</f>
        <v>0</v>
      </c>
      <c r="DP33" s="1" t="n">
        <f aca="false">IF(AND(DH33=1,Slot10_IsMfree=1),IF(DM33&gt;=Slot10_Cost-1,0,MAX(0,DF33-DM33)),DF33)</f>
        <v>0</v>
      </c>
      <c r="DQ33" s="1" t="n">
        <f aca="false">DH33*(Slot10_Cost-DM33)</f>
        <v>0</v>
      </c>
      <c r="DR33" s="1" t="n">
        <f aca="false">IF(AND(Slot11_On=1,D33=Slot11_Age),1,0)</f>
        <v>0</v>
      </c>
      <c r="DS33" s="1" t="n">
        <f aca="false">IF(AND(Slot11_On=1,Slot11_Age&gt;D33),1,0)</f>
        <v>0</v>
      </c>
      <c r="DT33" s="1" t="n">
        <f aca="false">RZ32</f>
        <v>0</v>
      </c>
      <c r="DU33" s="1" t="n">
        <f aca="false">DR33*MIN(Slot11_Cost,DT33)</f>
        <v>0</v>
      </c>
      <c r="DV33" s="1" t="n">
        <f aca="false">DR33*Slot11_SpendLike*MIN(Slot11_Cost-DU33,DN33)</f>
        <v>0</v>
      </c>
      <c r="DW33" s="1" t="n">
        <f aca="false">DU33+DV33</f>
        <v>0</v>
      </c>
      <c r="DX33" s="1" t="n">
        <f aca="false">DN33-DV33+DR33*IF(Slot11_SpendLike=1,DT33-DU33,IF(Slot11_PotFree=1,DT33,0))</f>
        <v>0</v>
      </c>
      <c r="DY33" s="1" t="n">
        <f aca="false">DO33+DR33*Slot11_BufPot*DT33</f>
        <v>0</v>
      </c>
      <c r="DZ33" s="1" t="n">
        <f aca="false">IF(AND(DR33=1,Slot11_IsMfree=1),IF(DW33&gt;=Slot11_Cost-1,0,MAX(0,DP33-DW33)),DP33)</f>
        <v>0</v>
      </c>
      <c r="EA33" s="1" t="n">
        <f aca="false">DR33*(Slot11_Cost-DW33)</f>
        <v>0</v>
      </c>
      <c r="EB33" s="1" t="n">
        <f aca="false">IF(AND(Slot12_On=1,D33=Slot12_Age),1,0)</f>
        <v>0</v>
      </c>
      <c r="EC33" s="1" t="n">
        <f aca="false">IF(AND(Slot12_On=1,Slot12_Age&gt;D33),1,0)</f>
        <v>0</v>
      </c>
      <c r="ED33" s="1" t="n">
        <f aca="false">SD32</f>
        <v>0</v>
      </c>
      <c r="EE33" s="1" t="n">
        <f aca="false">EB33*MIN(Slot12_Cost,ED33)</f>
        <v>0</v>
      </c>
      <c r="EF33" s="1" t="n">
        <f aca="false">EB33*Slot12_SpendLike*MIN(Slot12_Cost-EE33,DX33)</f>
        <v>0</v>
      </c>
      <c r="EG33" s="1" t="n">
        <f aca="false">EE33+EF33</f>
        <v>0</v>
      </c>
      <c r="EH33" s="1" t="n">
        <f aca="false">DX33-EF33+EB33*IF(Slot12_SpendLike=1,ED33-EE33,IF(Slot12_PotFree=1,ED33,0))</f>
        <v>0</v>
      </c>
      <c r="EI33" s="1" t="n">
        <f aca="false">DY33+EB33*Slot12_BufPot*ED33</f>
        <v>0</v>
      </c>
      <c r="EJ33" s="1" t="n">
        <f aca="false">IF(AND(EB33=1,Slot12_IsMfree=1),IF(EG33&gt;=Slot12_Cost-1,0,MAX(0,DZ33-EG33)),DZ33)</f>
        <v>0</v>
      </c>
      <c r="EK33" s="1" t="n">
        <f aca="false">EB33*(Slot12_Cost-EG33)</f>
        <v>0</v>
      </c>
      <c r="EL33" s="1" t="n">
        <f aca="false">IF(AND(Slot13_On=1,D33=Slot13_Age),1,0)</f>
        <v>0</v>
      </c>
      <c r="EM33" s="1" t="n">
        <f aca="false">IF(AND(Slot13_On=1,Slot13_Age&gt;D33),1,0)</f>
        <v>0</v>
      </c>
      <c r="EN33" s="1" t="n">
        <f aca="false">SH32</f>
        <v>0</v>
      </c>
      <c r="EO33" s="1" t="n">
        <f aca="false">EL33*MIN(Slot13_Cost,EN33)</f>
        <v>0</v>
      </c>
      <c r="EP33" s="1" t="n">
        <f aca="false">EL33*Slot13_SpendLike*MIN(Slot13_Cost-EO33,EH33)</f>
        <v>0</v>
      </c>
      <c r="EQ33" s="1" t="n">
        <f aca="false">EO33+EP33</f>
        <v>0</v>
      </c>
      <c r="ER33" s="1" t="n">
        <f aca="false">EH33-EP33+EL33*IF(Slot13_SpendLike=1,EN33-EO33,IF(Slot13_PotFree=1,EN33,0))</f>
        <v>0</v>
      </c>
      <c r="ES33" s="1" t="n">
        <f aca="false">EI33+EL33*Slot13_BufPot*EN33</f>
        <v>0</v>
      </c>
      <c r="ET33" s="1" t="n">
        <f aca="false">IF(AND(EL33=1,Slot13_IsMfree=1),IF(EQ33&gt;=Slot13_Cost-1,0,MAX(0,EJ33-EQ33)),EJ33)</f>
        <v>0</v>
      </c>
      <c r="EU33" s="1" t="n">
        <f aca="false">EL33*(Slot13_Cost-EQ33)</f>
        <v>0</v>
      </c>
      <c r="EV33" s="1" t="n">
        <f aca="false">IF(AND(Slot14_On=1,D33=Slot14_Age),1,0)</f>
        <v>0</v>
      </c>
      <c r="EW33" s="1" t="n">
        <f aca="false">IF(AND(Slot14_On=1,Slot14_Age&gt;D33),1,0)</f>
        <v>0</v>
      </c>
      <c r="EX33" s="1" t="n">
        <f aca="false">SL32</f>
        <v>0</v>
      </c>
      <c r="EY33" s="1" t="n">
        <f aca="false">EV33*MIN(Slot14_Cost,EX33)</f>
        <v>0</v>
      </c>
      <c r="EZ33" s="1" t="n">
        <f aca="false">EV33*Slot14_SpendLike*MIN(Slot14_Cost-EY33,ER33)</f>
        <v>0</v>
      </c>
      <c r="FA33" s="1" t="n">
        <f aca="false">EY33+EZ33</f>
        <v>0</v>
      </c>
      <c r="FB33" s="1" t="n">
        <f aca="false">ER33-EZ33+EV33*IF(Slot14_SpendLike=1,EX33-EY33,IF(Slot14_PotFree=1,EX33,0))</f>
        <v>0</v>
      </c>
      <c r="FC33" s="1" t="n">
        <f aca="false">ES33+EV33*Slot14_BufPot*EX33</f>
        <v>0</v>
      </c>
      <c r="FD33" s="1" t="n">
        <f aca="false">IF(AND(EV33=1,Slot14_IsMfree=1),IF(FA33&gt;=Slot14_Cost-1,0,MAX(0,ET33-FA33)),ET33)</f>
        <v>0</v>
      </c>
      <c r="FE33" s="1" t="n">
        <f aca="false">EV33*(Slot14_Cost-FA33)</f>
        <v>0</v>
      </c>
      <c r="FF33" s="1" t="n">
        <f aca="false">IF(AND(Slot15_On=1,D33=Slot15_Age),1,0)</f>
        <v>0</v>
      </c>
      <c r="FG33" s="1" t="n">
        <f aca="false">IF(AND(Slot15_On=1,Slot15_Age&gt;D33),1,0)</f>
        <v>0</v>
      </c>
      <c r="FH33" s="1" t="n">
        <f aca="false">SP32</f>
        <v>0</v>
      </c>
      <c r="FI33" s="1" t="n">
        <f aca="false">FF33*MIN(Slot15_Cost,FH33)</f>
        <v>0</v>
      </c>
      <c r="FJ33" s="1" t="n">
        <f aca="false">FF33*Slot15_SpendLike*MIN(Slot15_Cost-FI33,FB33)</f>
        <v>0</v>
      </c>
      <c r="FK33" s="1" t="n">
        <f aca="false">FI33+FJ33</f>
        <v>0</v>
      </c>
      <c r="FL33" s="1" t="n">
        <f aca="false">FB33-FJ33+FF33*IF(Slot15_SpendLike=1,FH33-FI33,IF(Slot15_PotFree=1,FH33,0))</f>
        <v>0</v>
      </c>
      <c r="FM33" s="1" t="n">
        <f aca="false">FC33+FF33*Slot15_BufPot*FH33</f>
        <v>0</v>
      </c>
      <c r="FN33" s="1" t="n">
        <f aca="false">IF(AND(FF33=1,Slot15_IsMfree=1),IF(FK33&gt;=Slot15_Cost-1,0,MAX(0,FD33-FK33)),FD33)</f>
        <v>0</v>
      </c>
      <c r="FO33" s="1" t="n">
        <f aca="false">FF33*(Slot15_Cost-FK33)</f>
        <v>0</v>
      </c>
      <c r="FP33" s="1" t="n">
        <f aca="false">IF(AND(Slot16_On=1,D33=Slot16_Age),1,0)</f>
        <v>0</v>
      </c>
      <c r="FQ33" s="1" t="n">
        <f aca="false">IF(AND(Slot16_On=1,Slot16_Age&gt;D33),1,0)</f>
        <v>0</v>
      </c>
      <c r="FR33" s="1" t="n">
        <f aca="false">ST32</f>
        <v>0</v>
      </c>
      <c r="FS33" s="1" t="n">
        <f aca="false">FP33*MIN(Slot16_Cost,FR33)</f>
        <v>0</v>
      </c>
      <c r="FT33" s="1" t="n">
        <f aca="false">FP33*Slot16_SpendLike*MIN(Slot16_Cost-FS33,FL33)</f>
        <v>0</v>
      </c>
      <c r="FU33" s="1" t="n">
        <f aca="false">FS33+FT33</f>
        <v>0</v>
      </c>
      <c r="FV33" s="1" t="n">
        <f aca="false">FL33-FT33+FP33*IF(Slot16_SpendLike=1,FR33-FS33,IF(Slot16_PotFree=1,FR33,0))</f>
        <v>0</v>
      </c>
      <c r="FW33" s="1" t="n">
        <f aca="false">FM33+FP33*Slot16_BufPot*FR33</f>
        <v>0</v>
      </c>
      <c r="FX33" s="1" t="n">
        <f aca="false">IF(AND(FP33=1,Slot16_IsMfree=1),IF(FU33&gt;=Slot16_Cost-1,0,MAX(0,FN33-FU33)),FN33)</f>
        <v>0</v>
      </c>
      <c r="FY33" s="1" t="n">
        <f aca="false">FP33*(Slot16_Cost-FU33)</f>
        <v>0</v>
      </c>
      <c r="FZ33" s="1" t="n">
        <f aca="false">IF(AND(Slot17_On=1,D33=Slot17_Age),1,0)</f>
        <v>0</v>
      </c>
      <c r="GA33" s="1" t="n">
        <f aca="false">IF(AND(Slot17_On=1,Slot17_Age&gt;D33),1,0)</f>
        <v>0</v>
      </c>
      <c r="GB33" s="1" t="n">
        <f aca="false">SX32</f>
        <v>0</v>
      </c>
      <c r="GC33" s="1" t="n">
        <f aca="false">FZ33*MIN(Slot17_Cost,GB33)</f>
        <v>0</v>
      </c>
      <c r="GD33" s="1" t="n">
        <f aca="false">FZ33*Slot17_SpendLike*MIN(Slot17_Cost-GC33,FV33)</f>
        <v>0</v>
      </c>
      <c r="GE33" s="1" t="n">
        <f aca="false">GC33+GD33</f>
        <v>0</v>
      </c>
      <c r="GF33" s="1" t="n">
        <f aca="false">FV33-GD33+FZ33*IF(Slot17_SpendLike=1,GB33-GC33,IF(Slot17_PotFree=1,GB33,0))</f>
        <v>0</v>
      </c>
      <c r="GG33" s="1" t="n">
        <f aca="false">FW33+FZ33*Slot17_BufPot*GB33</f>
        <v>0</v>
      </c>
      <c r="GH33" s="1" t="n">
        <f aca="false">IF(AND(FZ33=1,Slot17_IsMfree=1),IF(GE33&gt;=Slot17_Cost-1,0,MAX(0,FX33-GE33)),FX33)</f>
        <v>0</v>
      </c>
      <c r="GI33" s="1" t="n">
        <f aca="false">FZ33*(Slot17_Cost-GE33)</f>
        <v>0</v>
      </c>
      <c r="GJ33" s="1" t="n">
        <f aca="false">IF(AND(Slot18_On=1,D33=Slot18_Age),1,0)</f>
        <v>0</v>
      </c>
      <c r="GK33" s="1" t="n">
        <f aca="false">IF(AND(Slot18_On=1,Slot18_Age&gt;D33),1,0)</f>
        <v>0</v>
      </c>
      <c r="GL33" s="1" t="n">
        <f aca="false">TB32</f>
        <v>0</v>
      </c>
      <c r="GM33" s="1" t="n">
        <f aca="false">GJ33*MIN(Slot18_Cost,GL33)</f>
        <v>0</v>
      </c>
      <c r="GN33" s="1" t="n">
        <f aca="false">GJ33*Slot18_SpendLike*MIN(Slot18_Cost-GM33,GF33)</f>
        <v>0</v>
      </c>
      <c r="GO33" s="1" t="n">
        <f aca="false">GM33+GN33</f>
        <v>0</v>
      </c>
      <c r="GP33" s="1" t="n">
        <f aca="false">GF33-GN33+GJ33*IF(Slot18_SpendLike=1,GL33-GM33,IF(Slot18_PotFree=1,GL33,0))</f>
        <v>0</v>
      </c>
      <c r="GQ33" s="1" t="n">
        <f aca="false">GG33+GJ33*Slot18_BufPot*GL33</f>
        <v>0</v>
      </c>
      <c r="GR33" s="1" t="n">
        <f aca="false">IF(AND(GJ33=1,Slot18_IsMfree=1),IF(GO33&gt;=Slot18_Cost-1,0,MAX(0,GH33-GO33)),GH33)</f>
        <v>0</v>
      </c>
      <c r="GS33" s="1" t="n">
        <f aca="false">GJ33*(Slot18_Cost-GO33)</f>
        <v>0</v>
      </c>
      <c r="GT33" s="1" t="n">
        <f aca="false">IF(AND(Slot19_On=1,D33=Slot19_Age),1,0)</f>
        <v>0</v>
      </c>
      <c r="GU33" s="1" t="n">
        <f aca="false">IF(AND(Slot19_On=1,Slot19_Age&gt;D33),1,0)</f>
        <v>0</v>
      </c>
      <c r="GV33" s="1" t="n">
        <f aca="false">TF32</f>
        <v>0</v>
      </c>
      <c r="GW33" s="1" t="n">
        <f aca="false">GT33*MIN(Slot19_Cost,GV33)</f>
        <v>0</v>
      </c>
      <c r="GX33" s="1" t="n">
        <f aca="false">GT33*Slot19_SpendLike*MIN(Slot19_Cost-GW33,GP33)</f>
        <v>0</v>
      </c>
      <c r="GY33" s="1" t="n">
        <f aca="false">GW33+GX33</f>
        <v>0</v>
      </c>
      <c r="GZ33" s="1" t="n">
        <f aca="false">GP33-GX33+GT33*IF(Slot19_SpendLike=1,GV33-GW33,IF(Slot19_PotFree=1,GV33,0))</f>
        <v>0</v>
      </c>
      <c r="HA33" s="1" t="n">
        <f aca="false">GQ33+GT33*Slot19_BufPot*GV33</f>
        <v>0</v>
      </c>
      <c r="HB33" s="1" t="n">
        <f aca="false">IF(AND(GT33=1,Slot19_IsMfree=1),IF(GY33&gt;=Slot19_Cost-1,0,MAX(0,GR33-GY33)),GR33)</f>
        <v>0</v>
      </c>
      <c r="HC33" s="1" t="n">
        <f aca="false">GT33*(Slot19_Cost-GY33)</f>
        <v>0</v>
      </c>
      <c r="HD33" s="1" t="n">
        <f aca="false">IF(AND(Slot20_On=1,D33=Slot20_Age),1,0)</f>
        <v>0</v>
      </c>
      <c r="HE33" s="1" t="n">
        <f aca="false">IF(AND(Slot20_On=1,Slot20_Age&gt;D33),1,0)</f>
        <v>0</v>
      </c>
      <c r="HF33" s="1" t="n">
        <f aca="false">TJ32</f>
        <v>0</v>
      </c>
      <c r="HG33" s="1" t="n">
        <f aca="false">HD33*MIN(Slot20_Cost,HF33)</f>
        <v>0</v>
      </c>
      <c r="HH33" s="1" t="n">
        <f aca="false">HD33*Slot20_SpendLike*MIN(Slot20_Cost-HG33,GZ33)</f>
        <v>0</v>
      </c>
      <c r="HI33" s="1" t="n">
        <f aca="false">HG33+HH33</f>
        <v>0</v>
      </c>
      <c r="HJ33" s="1" t="n">
        <f aca="false">GZ33-HH33+HD33*IF(Slot20_SpendLike=1,HF33-HG33,IF(Slot20_PotFree=1,HF33,0))</f>
        <v>0</v>
      </c>
      <c r="HK33" s="1" t="n">
        <f aca="false">HA33+HD33*Slot20_BufPot*HF33</f>
        <v>0</v>
      </c>
      <c r="HL33" s="1" t="n">
        <f aca="false">IF(AND(HD33=1,Slot20_IsMfree=1),IF(HI33&gt;=Slot20_Cost-1,0,MAX(0,HB33-HI33)),HB33)</f>
        <v>0</v>
      </c>
      <c r="HM33" s="1" t="n">
        <f aca="false">HD33*(Slot20_Cost-HI33)</f>
        <v>0</v>
      </c>
      <c r="HN33" s="1" t="n">
        <f aca="false">U33*Slot1_SpendLike*Z33+AF33*Slot2_SpendLike*AK33+AP33*Slot3_SpendLike*AU33+AZ33*Slot4_SpendLike*BE33+BJ33*Slot5_SpendLike*BO33+BT33*Slot6_SpendLike*BY33+CD33*Slot7_SpendLike*CI33+CN33*Slot8_SpendLike*CS33+CX33*Slot9_SpendLike*DC33+DH33*Slot10_SpendLike*DM33+DR33*Slot11_SpendLike*DW33+EB33*Slot12_SpendLike*EG33+EL33*Slot13_SpendLike*EQ33+EV33*Slot14_SpendLike*FA33+FF33*Slot15_SpendLike*FK33+FP33*Slot16_SpendLike*FU33+FZ33*Slot17_SpendLike*GE33+GJ33*Slot18_SpendLike*GO33+GT33*Slot19_SpendLike*GY33+HD33*Slot20_SpendLike*HI33</f>
        <v>0</v>
      </c>
      <c r="HO33" s="1" t="n">
        <f aca="false">AD33+AO33+AY33+BI33+BS33+CC33+CM33+CW33+DG33+DQ33+EA33+EK33+EU33+FE33+FO33+FY33+GI33+GS33+HC33+HM33</f>
        <v>0</v>
      </c>
      <c r="HP33" s="1" t="n">
        <f aca="false">U33*Slot1_Cost+AF33*Slot2_Cost+AP33*Slot3_Cost+AZ33*Slot4_Cost+BJ33*Slot5_Cost+BT33*Slot6_Cost+CD33*Slot7_Cost+CN33*Slot8_Cost+CX33*Slot9_Cost+DH33*Slot10_Cost+DR33*Slot11_Cost+EB33*Slot12_Cost+EL33*Slot13_Cost+EV33*Slot14_Cost+FF33*Slot15_Cost+FP33*Slot16_Cost+FZ33*Slot17_Cost+GJ33*Slot18_Cost+GT33*Slot19_Cost+HD33*Slot20_Cost</f>
        <v>0</v>
      </c>
      <c r="HQ33" s="1" t="n">
        <f aca="false">HL33</f>
        <v>0</v>
      </c>
      <c r="HR33" s="1" t="n">
        <f aca="false">G33-H33-R33</f>
        <v>0</v>
      </c>
      <c r="HS33" s="1" t="n">
        <f aca="false">IF(B33=0,IF(AND(Has_q6=1,In_q6=4),PR_ShareVaries*(MAX(0,HR33)/12),MIN(IF(Has_q6=1,CHOOSE(In_q6+1,PR_SaveB1,PR_SaveB2,PR_SaveB3,PR_SaveB4,0),AS_NoAnswer),AS_SaveShare*(MAX(0,HR33)/12))),HS32)</f>
        <v>0</v>
      </c>
      <c r="HT33" s="1" t="n">
        <f aca="false">IF(HR33&gt;=0,1,0)</f>
        <v>1</v>
      </c>
      <c r="HU33" s="1" t="n">
        <f aca="false">MAX(0,HR33/12/E33)</f>
        <v>0</v>
      </c>
      <c r="HV33" s="1" t="n">
        <f aca="false">IF(AND(Has_q6=1,In_q6=4),PR_ShareVaries*(HU33),MIN(IF(Has_q6=1,CHOOSE(In_q6+1,PR_SaveB1,PR_SaveB2,PR_SaveB3,PR_SaveB4,0),AS_NoAnswer),AS_SaveShare*(HU33)))</f>
        <v>0</v>
      </c>
      <c r="HW33" s="1" t="n">
        <f aca="false">IF(Has_saveM=1,IF(In_saveUp="Yes",1,IF(In_saveUp="No",0,IF(In_saveM&gt;=HS33-0.5,1,0))),0)</f>
        <v>0</v>
      </c>
      <c r="HX33" s="1" t="n">
        <f aca="false">IF(Has_saveM=1,MIN(HU33,IF(HW33=1,MAX(In_saveM,HV33),MIN(In_saveM,HV33))),HV33)</f>
        <v>0</v>
      </c>
      <c r="HY33" s="1" t="n">
        <f aca="false">IF(F33=1,HX33*12*E33,0)</f>
        <v>0</v>
      </c>
      <c r="HZ33" s="1" t="n">
        <f aca="false">MAX(0,HY33+IF(AND(WI_Retire=0,WI_M&lt;0,F33=1),WI_M*12*E33,0))</f>
        <v>0</v>
      </c>
      <c r="IA33" s="1" t="n">
        <f aca="false">Slot1_IsWG*V33+Slot2_IsWG*AG33+Slot3_IsWG*AQ33+Slot4_IsWG*BA33+Slot5_IsWG*BK33+Slot6_IsWG*BU33+Slot7_IsWG*CE33+Slot8_IsWG*CO33+Slot9_IsWG*CY33+Slot10_IsWG*DI33+Slot11_IsWG*DS33+Slot12_IsWG*EC33+Slot13_IsWG*EM33+Slot14_IsWG*EW33+Slot15_IsWG*FG33+Slot16_IsWG*FQ33+Slot17_IsWG*GA33+Slot18_IsWG*GK33+Slot19_IsWG*GU33+Slot20_IsWG*HE33</f>
        <v>0</v>
      </c>
      <c r="IB33" s="1" t="n">
        <f aca="false">IF(AND(WI_Retire=0,WI_M&gt;0,F33=1,IA33&gt;=1),WI_M*12*E33,0)</f>
        <v>0</v>
      </c>
      <c r="IC33" s="1" t="n">
        <f aca="false">IF(HT33=1,MIN(HZ33,HR33),0)</f>
        <v>0</v>
      </c>
      <c r="ID33" s="1" t="n">
        <f aca="false">IF(HT33=1,MIN(IB33,HR33-IC33),0)</f>
        <v>0</v>
      </c>
      <c r="IE33" s="1" t="n">
        <f aca="false">IF(V33=1,IF(ABS((1+AS_Wage)/(1+Slot1_Rate)-1)&lt;0.000000000001,(Slot1_Age-D33)*(1+Slot1_Rate)^(Slot1_Age-D33),(1+Slot1_Rate)^(Slot1_Age-D33)*(1-((1+AS_Wage)/(1+Slot1_Rate))^(Slot1_Age-D33))/(1-(1+AS_Wage)/(1+Slot1_Rate))),1)</f>
        <v>1</v>
      </c>
      <c r="IF33" s="1" t="n">
        <f aca="false">IF(AND(HT33=1,ID33&gt;0,Slot1_IsWG=1,V33=1),MAX(0,(Slot1_Cost-W33*(1+Slot1_Rate)^(Slot1_Age-D33))/IE33),0)</f>
        <v>0</v>
      </c>
      <c r="IG33" s="1" t="n">
        <f aca="false">IF(AND(HT33=1,ID33&gt;0,Slot1_IsWG=1,V33=1),MIN(ID33,IF33),0)</f>
        <v>0</v>
      </c>
      <c r="IH33" s="1" t="n">
        <f aca="false">W33+IG33</f>
        <v>0</v>
      </c>
      <c r="II33" s="1" t="n">
        <f aca="false">IF(V33=1,MAX(0,(Slot1_Cost-IH33*(1+Slot1_Rate)^(Slot1_Age-D33))/IE33),0)</f>
        <v>0</v>
      </c>
      <c r="IJ33" s="1" t="n">
        <f aca="false">IF(V33=1,MAX(0,(Slot1_Cost-W33*(1+Slot1_Rate)^(Slot1_Age-D33))/IE33),0)</f>
        <v>0</v>
      </c>
      <c r="IK33" s="1" t="n">
        <f aca="false">IF(AND(HT33=1,V33=1),MIN(IC33,II33),0)</f>
        <v>0</v>
      </c>
      <c r="IL33" s="1" t="n">
        <f aca="false">IC33-IK33</f>
        <v>0</v>
      </c>
      <c r="IM33" s="1" t="n">
        <f aca="false">IF(AG33=1,IF(ABS((1+AS_Wage)/(1+Slot2_Rate)-1)&lt;0.000000000001,(Slot2_Age-D33)*(1+Slot2_Rate)^(Slot2_Age-D33),(1+Slot2_Rate)^(Slot2_Age-D33)*(1-((1+AS_Wage)/(1+Slot2_Rate))^(Slot2_Age-D33))/(1-(1+AS_Wage)/(1+Slot2_Rate))),1)</f>
        <v>1</v>
      </c>
      <c r="IN33" s="1" t="n">
        <f aca="false">IF(AND(HT33=1,ID33&gt;0,Slot2_IsWG=1,AG33=1),MAX(0,(Slot2_Cost-AH33*(1+Slot2_Rate)^(Slot2_Age-D33))/IM33),0)</f>
        <v>0</v>
      </c>
      <c r="IO33" s="1" t="n">
        <f aca="false">IF(AND(HT33=1,ID33&gt;0,Slot2_IsWG=1,AG33=1),MIN(ID33,IN33),0)</f>
        <v>0</v>
      </c>
      <c r="IP33" s="1" t="n">
        <f aca="false">AH33+IO33</f>
        <v>0</v>
      </c>
      <c r="IQ33" s="1" t="n">
        <f aca="false">IF(AG33=1,MAX(0,(Slot2_Cost-IP33*(1+Slot2_Rate)^(Slot2_Age-D33))/IM33),0)</f>
        <v>0</v>
      </c>
      <c r="IR33" s="1" t="n">
        <f aca="false">IF(AG33=1,MAX(0,(Slot2_Cost-AH33*(1+Slot2_Rate)^(Slot2_Age-D33))/IM33),0)</f>
        <v>0</v>
      </c>
      <c r="IS33" s="1" t="n">
        <f aca="false">IF(AND(HT33=1,AG33=1),MIN(IL33,IQ33),0)</f>
        <v>0</v>
      </c>
      <c r="IT33" s="1" t="n">
        <f aca="false">IL33-IS33</f>
        <v>0</v>
      </c>
      <c r="IU33" s="1" t="n">
        <f aca="false">IF(AQ33=1,IF(ABS((1+AS_Wage)/(1+Slot3_Rate)-1)&lt;0.000000000001,(Slot3_Age-D33)*(1+Slot3_Rate)^(Slot3_Age-D33),(1+Slot3_Rate)^(Slot3_Age-D33)*(1-((1+AS_Wage)/(1+Slot3_Rate))^(Slot3_Age-D33))/(1-(1+AS_Wage)/(1+Slot3_Rate))),1)</f>
        <v>1</v>
      </c>
      <c r="IV33" s="1" t="n">
        <f aca="false">IF(AND(HT33=1,ID33&gt;0,Slot3_IsWG=1,AQ33=1),MAX(0,(Slot3_Cost-AR33*(1+Slot3_Rate)^(Slot3_Age-D33))/IU33),0)</f>
        <v>0</v>
      </c>
      <c r="IW33" s="1" t="n">
        <f aca="false">IF(AND(HT33=1,ID33&gt;0,Slot3_IsWG=1,AQ33=1),MIN(ID33,IV33),0)</f>
        <v>0</v>
      </c>
      <c r="IX33" s="1" t="n">
        <f aca="false">AR33+IW33</f>
        <v>0</v>
      </c>
      <c r="IY33" s="1" t="n">
        <f aca="false">IF(AQ33=1,MAX(0,(Slot3_Cost-IX33*(1+Slot3_Rate)^(Slot3_Age-D33))/IU33),0)</f>
        <v>0</v>
      </c>
      <c r="IZ33" s="1" t="n">
        <f aca="false">IF(AQ33=1,MAX(0,(Slot3_Cost-AR33*(1+Slot3_Rate)^(Slot3_Age-D33))/IU33),0)</f>
        <v>0</v>
      </c>
      <c r="JA33" s="1" t="n">
        <f aca="false">IF(AND(HT33=1,AQ33=1),MIN(IT33,IY33),0)</f>
        <v>0</v>
      </c>
      <c r="JB33" s="1" t="n">
        <f aca="false">IT33-JA33</f>
        <v>0</v>
      </c>
      <c r="JC33" s="1" t="n">
        <f aca="false">IF(BA33=1,IF(ABS((1+AS_Wage)/(1+Slot4_Rate)-1)&lt;0.000000000001,(Slot4_Age-D33)*(1+Slot4_Rate)^(Slot4_Age-D33),(1+Slot4_Rate)^(Slot4_Age-D33)*(1-((1+AS_Wage)/(1+Slot4_Rate))^(Slot4_Age-D33))/(1-(1+AS_Wage)/(1+Slot4_Rate))),1)</f>
        <v>1</v>
      </c>
      <c r="JD33" s="1" t="n">
        <f aca="false">IF(AND(HT33=1,ID33&gt;0,Slot4_IsWG=1,BA33=1),MAX(0,(Slot4_Cost-BB33*(1+Slot4_Rate)^(Slot4_Age-D33))/JC33),0)</f>
        <v>0</v>
      </c>
      <c r="JE33" s="1" t="n">
        <f aca="false">IF(AND(HT33=1,ID33&gt;0,Slot4_IsWG=1,BA33=1),MIN(ID33,JD33),0)</f>
        <v>0</v>
      </c>
      <c r="JF33" s="1" t="n">
        <f aca="false">BB33+JE33</f>
        <v>0</v>
      </c>
      <c r="JG33" s="1" t="n">
        <f aca="false">IF(BA33=1,MAX(0,(Slot4_Cost-JF33*(1+Slot4_Rate)^(Slot4_Age-D33))/JC33),0)</f>
        <v>0</v>
      </c>
      <c r="JH33" s="1" t="n">
        <f aca="false">IF(BA33=1,MAX(0,(Slot4_Cost-BB33*(1+Slot4_Rate)^(Slot4_Age-D33))/JC33),0)</f>
        <v>0</v>
      </c>
      <c r="JI33" s="1" t="n">
        <f aca="false">IF(AND(HT33=1,BA33=1),MIN(JB33,JG33),0)</f>
        <v>0</v>
      </c>
      <c r="JJ33" s="1" t="n">
        <f aca="false">JB33-JI33</f>
        <v>0</v>
      </c>
      <c r="JK33" s="1" t="n">
        <f aca="false">IF(BK33=1,IF(ABS((1+AS_Wage)/(1+Slot5_Rate)-1)&lt;0.000000000001,(Slot5_Age-D33)*(1+Slot5_Rate)^(Slot5_Age-D33),(1+Slot5_Rate)^(Slot5_Age-D33)*(1-((1+AS_Wage)/(1+Slot5_Rate))^(Slot5_Age-D33))/(1-(1+AS_Wage)/(1+Slot5_Rate))),1)</f>
        <v>1</v>
      </c>
      <c r="JL33" s="1" t="n">
        <f aca="false">IF(AND(HT33=1,ID33&gt;0,Slot5_IsWG=1,BK33=1),MAX(0,(Slot5_Cost-BL33*(1+Slot5_Rate)^(Slot5_Age-D33))/JK33),0)</f>
        <v>0</v>
      </c>
      <c r="JM33" s="1" t="n">
        <f aca="false">IF(AND(HT33=1,ID33&gt;0,Slot5_IsWG=1,BK33=1),MIN(ID33,JL33),0)</f>
        <v>0</v>
      </c>
      <c r="JN33" s="1" t="n">
        <f aca="false">BL33+JM33</f>
        <v>0</v>
      </c>
      <c r="JO33" s="1" t="n">
        <f aca="false">IF(BK33=1,MAX(0,(Slot5_Cost-JN33*(1+Slot5_Rate)^(Slot5_Age-D33))/JK33),0)</f>
        <v>0</v>
      </c>
      <c r="JP33" s="1" t="n">
        <f aca="false">IF(BK33=1,MAX(0,(Slot5_Cost-BL33*(1+Slot5_Rate)^(Slot5_Age-D33))/JK33),0)</f>
        <v>0</v>
      </c>
      <c r="JQ33" s="1" t="n">
        <f aca="false">IF(AND(HT33=1,BK33=1),MIN(JJ33,JO33),0)</f>
        <v>0</v>
      </c>
      <c r="JR33" s="1" t="n">
        <f aca="false">JJ33-JQ33</f>
        <v>0</v>
      </c>
      <c r="JS33" s="1" t="n">
        <f aca="false">IF(BU33=1,IF(ABS((1+AS_Wage)/(1+Slot6_Rate)-1)&lt;0.000000000001,(Slot6_Age-D33)*(1+Slot6_Rate)^(Slot6_Age-D33),(1+Slot6_Rate)^(Slot6_Age-D33)*(1-((1+AS_Wage)/(1+Slot6_Rate))^(Slot6_Age-D33))/(1-(1+AS_Wage)/(1+Slot6_Rate))),1)</f>
        <v>1</v>
      </c>
      <c r="JT33" s="1" t="n">
        <f aca="false">IF(AND(HT33=1,ID33&gt;0,Slot6_IsWG=1,BU33=1),MAX(0,(Slot6_Cost-BV33*(1+Slot6_Rate)^(Slot6_Age-D33))/JS33),0)</f>
        <v>0</v>
      </c>
      <c r="JU33" s="1" t="n">
        <f aca="false">IF(AND(HT33=1,ID33&gt;0,Slot6_IsWG=1,BU33=1),MIN(ID33,JT33),0)</f>
        <v>0</v>
      </c>
      <c r="JV33" s="1" t="n">
        <f aca="false">BV33+JU33</f>
        <v>0</v>
      </c>
      <c r="JW33" s="1" t="n">
        <f aca="false">IF(BU33=1,MAX(0,(Slot6_Cost-JV33*(1+Slot6_Rate)^(Slot6_Age-D33))/JS33),0)</f>
        <v>0</v>
      </c>
      <c r="JX33" s="1" t="n">
        <f aca="false">IF(BU33=1,MAX(0,(Slot6_Cost-BV33*(1+Slot6_Rate)^(Slot6_Age-D33))/JS33),0)</f>
        <v>0</v>
      </c>
      <c r="JY33" s="1" t="n">
        <f aca="false">IF(AND(HT33=1,BU33=1),MIN(JR33,JW33),0)</f>
        <v>0</v>
      </c>
      <c r="JZ33" s="1" t="n">
        <f aca="false">JR33-JY33</f>
        <v>0</v>
      </c>
      <c r="KA33" s="1" t="n">
        <f aca="false">IF(CE33=1,IF(ABS((1+AS_Wage)/(1+Slot7_Rate)-1)&lt;0.000000000001,(Slot7_Age-D33)*(1+Slot7_Rate)^(Slot7_Age-D33),(1+Slot7_Rate)^(Slot7_Age-D33)*(1-((1+AS_Wage)/(1+Slot7_Rate))^(Slot7_Age-D33))/(1-(1+AS_Wage)/(1+Slot7_Rate))),1)</f>
        <v>1</v>
      </c>
      <c r="KB33" s="1" t="n">
        <f aca="false">IF(AND(HT33=1,ID33&gt;0,Slot7_IsWG=1,CE33=1),MAX(0,(Slot7_Cost-CF33*(1+Slot7_Rate)^(Slot7_Age-D33))/KA33),0)</f>
        <v>0</v>
      </c>
      <c r="KC33" s="1" t="n">
        <f aca="false">IF(AND(HT33=1,ID33&gt;0,Slot7_IsWG=1,CE33=1),MIN(ID33,KB33),0)</f>
        <v>0</v>
      </c>
      <c r="KD33" s="1" t="n">
        <f aca="false">CF33+KC33</f>
        <v>0</v>
      </c>
      <c r="KE33" s="1" t="n">
        <f aca="false">IF(CE33=1,MAX(0,(Slot7_Cost-KD33*(1+Slot7_Rate)^(Slot7_Age-D33))/KA33),0)</f>
        <v>0</v>
      </c>
      <c r="KF33" s="1" t="n">
        <f aca="false">IF(CE33=1,MAX(0,(Slot7_Cost-CF33*(1+Slot7_Rate)^(Slot7_Age-D33))/KA33),0)</f>
        <v>0</v>
      </c>
      <c r="KG33" s="1" t="n">
        <f aca="false">IF(AND(HT33=1,CE33=1),MIN(JZ33,KE33),0)</f>
        <v>0</v>
      </c>
      <c r="KH33" s="1" t="n">
        <f aca="false">JZ33-KG33</f>
        <v>0</v>
      </c>
      <c r="KI33" s="1" t="n">
        <f aca="false">IF(CO33=1,IF(ABS((1+AS_Wage)/(1+Slot8_Rate)-1)&lt;0.000000000001,(Slot8_Age-D33)*(1+Slot8_Rate)^(Slot8_Age-D33),(1+Slot8_Rate)^(Slot8_Age-D33)*(1-((1+AS_Wage)/(1+Slot8_Rate))^(Slot8_Age-D33))/(1-(1+AS_Wage)/(1+Slot8_Rate))),1)</f>
        <v>1</v>
      </c>
      <c r="KJ33" s="1" t="n">
        <f aca="false">IF(AND(HT33=1,ID33&gt;0,Slot8_IsWG=1,CO33=1),MAX(0,(Slot8_Cost-CP33*(1+Slot8_Rate)^(Slot8_Age-D33))/KI33),0)</f>
        <v>0</v>
      </c>
      <c r="KK33" s="1" t="n">
        <f aca="false">IF(AND(HT33=1,ID33&gt;0,Slot8_IsWG=1,CO33=1),MIN(ID33,KJ33),0)</f>
        <v>0</v>
      </c>
      <c r="KL33" s="1" t="n">
        <f aca="false">CP33+KK33</f>
        <v>0</v>
      </c>
      <c r="KM33" s="1" t="n">
        <f aca="false">IF(CO33=1,MAX(0,(Slot8_Cost-KL33*(1+Slot8_Rate)^(Slot8_Age-D33))/KI33),0)</f>
        <v>0</v>
      </c>
      <c r="KN33" s="1" t="n">
        <f aca="false">IF(CO33=1,MAX(0,(Slot8_Cost-CP33*(1+Slot8_Rate)^(Slot8_Age-D33))/KI33),0)</f>
        <v>0</v>
      </c>
      <c r="KO33" s="1" t="n">
        <f aca="false">IF(AND(HT33=1,CO33=1),MIN(KH33,KM33),0)</f>
        <v>0</v>
      </c>
      <c r="KP33" s="1" t="n">
        <f aca="false">KH33-KO33</f>
        <v>0</v>
      </c>
      <c r="KQ33" s="1" t="n">
        <f aca="false">IF(CY33=1,IF(ABS((1+AS_Wage)/(1+Slot9_Rate)-1)&lt;0.000000000001,(Slot9_Age-D33)*(1+Slot9_Rate)^(Slot9_Age-D33),(1+Slot9_Rate)^(Slot9_Age-D33)*(1-((1+AS_Wage)/(1+Slot9_Rate))^(Slot9_Age-D33))/(1-(1+AS_Wage)/(1+Slot9_Rate))),1)</f>
        <v>1</v>
      </c>
      <c r="KR33" s="1" t="n">
        <f aca="false">IF(AND(HT33=1,ID33&gt;0,Slot9_IsWG=1,CY33=1),MAX(0,(Slot9_Cost-CZ33*(1+Slot9_Rate)^(Slot9_Age-D33))/KQ33),0)</f>
        <v>0</v>
      </c>
      <c r="KS33" s="1" t="n">
        <f aca="false">IF(AND(HT33=1,ID33&gt;0,Slot9_IsWG=1,CY33=1),MIN(ID33,KR33),0)</f>
        <v>0</v>
      </c>
      <c r="KT33" s="1" t="n">
        <f aca="false">CZ33+KS33</f>
        <v>0</v>
      </c>
      <c r="KU33" s="1" t="n">
        <f aca="false">IF(CY33=1,MAX(0,(Slot9_Cost-KT33*(1+Slot9_Rate)^(Slot9_Age-D33))/KQ33),0)</f>
        <v>0</v>
      </c>
      <c r="KV33" s="1" t="n">
        <f aca="false">IF(CY33=1,MAX(0,(Slot9_Cost-CZ33*(1+Slot9_Rate)^(Slot9_Age-D33))/KQ33),0)</f>
        <v>0</v>
      </c>
      <c r="KW33" s="1" t="n">
        <f aca="false">IF(AND(HT33=1,CY33=1),MIN(KP33,KU33),0)</f>
        <v>0</v>
      </c>
      <c r="KX33" s="1" t="n">
        <f aca="false">KP33-KW33</f>
        <v>0</v>
      </c>
      <c r="KY33" s="1" t="n">
        <f aca="false">IF(DI33=1,IF(ABS((1+AS_Wage)/(1+Slot10_Rate)-1)&lt;0.000000000001,(Slot10_Age-D33)*(1+Slot10_Rate)^(Slot10_Age-D33),(1+Slot10_Rate)^(Slot10_Age-D33)*(1-((1+AS_Wage)/(1+Slot10_Rate))^(Slot10_Age-D33))/(1-(1+AS_Wage)/(1+Slot10_Rate))),1)</f>
        <v>1</v>
      </c>
      <c r="KZ33" s="1" t="n">
        <f aca="false">IF(AND(HT33=1,ID33&gt;0,Slot10_IsWG=1,DI33=1),MAX(0,(Slot10_Cost-DJ33*(1+Slot10_Rate)^(Slot10_Age-D33))/KY33),0)</f>
        <v>0</v>
      </c>
      <c r="LA33" s="1" t="n">
        <f aca="false">IF(AND(HT33=1,ID33&gt;0,Slot10_IsWG=1,DI33=1),MIN(ID33,KZ33),0)</f>
        <v>0</v>
      </c>
      <c r="LB33" s="1" t="n">
        <f aca="false">DJ33+LA33</f>
        <v>0</v>
      </c>
      <c r="LC33" s="1" t="n">
        <f aca="false">IF(DI33=1,MAX(0,(Slot10_Cost-LB33*(1+Slot10_Rate)^(Slot10_Age-D33))/KY33),0)</f>
        <v>0</v>
      </c>
      <c r="LD33" s="1" t="n">
        <f aca="false">IF(DI33=1,MAX(0,(Slot10_Cost-DJ33*(1+Slot10_Rate)^(Slot10_Age-D33))/KY33),0)</f>
        <v>0</v>
      </c>
      <c r="LE33" s="1" t="n">
        <f aca="false">IF(AND(HT33=1,DI33=1),MIN(KX33,LC33),0)</f>
        <v>0</v>
      </c>
      <c r="LF33" s="1" t="n">
        <f aca="false">KX33-LE33</f>
        <v>0</v>
      </c>
      <c r="LG33" s="1" t="n">
        <f aca="false">IF(DS33=1,IF(ABS((1+AS_Wage)/(1+Slot11_Rate)-1)&lt;0.000000000001,(Slot11_Age-D33)*(1+Slot11_Rate)^(Slot11_Age-D33),(1+Slot11_Rate)^(Slot11_Age-D33)*(1-((1+AS_Wage)/(1+Slot11_Rate))^(Slot11_Age-D33))/(1-(1+AS_Wage)/(1+Slot11_Rate))),1)</f>
        <v>1</v>
      </c>
      <c r="LH33" s="1" t="n">
        <f aca="false">IF(AND(HT33=1,ID33&gt;0,Slot11_IsWG=1,DS33=1),MAX(0,(Slot11_Cost-DT33*(1+Slot11_Rate)^(Slot11_Age-D33))/LG33),0)</f>
        <v>0</v>
      </c>
      <c r="LI33" s="1" t="n">
        <f aca="false">IF(AND(HT33=1,ID33&gt;0,Slot11_IsWG=1,DS33=1),MIN(ID33,LH33),0)</f>
        <v>0</v>
      </c>
      <c r="LJ33" s="1" t="n">
        <f aca="false">DT33+LI33</f>
        <v>0</v>
      </c>
      <c r="LK33" s="1" t="n">
        <f aca="false">IF(DS33=1,MAX(0,(Slot11_Cost-LJ33*(1+Slot11_Rate)^(Slot11_Age-D33))/LG33),0)</f>
        <v>0</v>
      </c>
      <c r="LL33" s="1" t="n">
        <f aca="false">IF(DS33=1,MAX(0,(Slot11_Cost-DT33*(1+Slot11_Rate)^(Slot11_Age-D33))/LG33),0)</f>
        <v>0</v>
      </c>
      <c r="LM33" s="1" t="n">
        <f aca="false">IF(AND(HT33=1,DS33=1),MIN(LF33,LK33),0)</f>
        <v>0</v>
      </c>
      <c r="LN33" s="1" t="n">
        <f aca="false">LF33-LM33</f>
        <v>0</v>
      </c>
      <c r="LO33" s="1" t="n">
        <f aca="false">IF(EC33=1,IF(ABS((1+AS_Wage)/(1+Slot12_Rate)-1)&lt;0.000000000001,(Slot12_Age-D33)*(1+Slot12_Rate)^(Slot12_Age-D33),(1+Slot12_Rate)^(Slot12_Age-D33)*(1-((1+AS_Wage)/(1+Slot12_Rate))^(Slot12_Age-D33))/(1-(1+AS_Wage)/(1+Slot12_Rate))),1)</f>
        <v>1</v>
      </c>
      <c r="LP33" s="1" t="n">
        <f aca="false">IF(AND(HT33=1,ID33&gt;0,Slot12_IsWG=1,EC33=1),MAX(0,(Slot12_Cost-ED33*(1+Slot12_Rate)^(Slot12_Age-D33))/LO33),0)</f>
        <v>0</v>
      </c>
      <c r="LQ33" s="1" t="n">
        <f aca="false">IF(AND(HT33=1,ID33&gt;0,Slot12_IsWG=1,EC33=1),MIN(ID33,LP33),0)</f>
        <v>0</v>
      </c>
      <c r="LR33" s="1" t="n">
        <f aca="false">ED33+LQ33</f>
        <v>0</v>
      </c>
      <c r="LS33" s="1" t="n">
        <f aca="false">IF(EC33=1,MAX(0,(Slot12_Cost-LR33*(1+Slot12_Rate)^(Slot12_Age-D33))/LO33),0)</f>
        <v>0</v>
      </c>
      <c r="LT33" s="1" t="n">
        <f aca="false">IF(EC33=1,MAX(0,(Slot12_Cost-ED33*(1+Slot12_Rate)^(Slot12_Age-D33))/LO33),0)</f>
        <v>0</v>
      </c>
      <c r="LU33" s="1" t="n">
        <f aca="false">IF(AND(HT33=1,EC33=1),MIN(LN33,LS33),0)</f>
        <v>0</v>
      </c>
      <c r="LV33" s="1" t="n">
        <f aca="false">LN33-LU33</f>
        <v>0</v>
      </c>
      <c r="LW33" s="1" t="n">
        <f aca="false">IF(EM33=1,IF(ABS((1+AS_Wage)/(1+Slot13_Rate)-1)&lt;0.000000000001,(Slot13_Age-D33)*(1+Slot13_Rate)^(Slot13_Age-D33),(1+Slot13_Rate)^(Slot13_Age-D33)*(1-((1+AS_Wage)/(1+Slot13_Rate))^(Slot13_Age-D33))/(1-(1+AS_Wage)/(1+Slot13_Rate))),1)</f>
        <v>1</v>
      </c>
      <c r="LX33" s="1" t="n">
        <f aca="false">IF(AND(HT33=1,ID33&gt;0,Slot13_IsWG=1,EM33=1),MAX(0,(Slot13_Cost-EN33*(1+Slot13_Rate)^(Slot13_Age-D33))/LW33),0)</f>
        <v>0</v>
      </c>
      <c r="LY33" s="1" t="n">
        <f aca="false">IF(AND(HT33=1,ID33&gt;0,Slot13_IsWG=1,EM33=1),MIN(ID33,LX33),0)</f>
        <v>0</v>
      </c>
      <c r="LZ33" s="1" t="n">
        <f aca="false">EN33+LY33</f>
        <v>0</v>
      </c>
      <c r="MA33" s="1" t="n">
        <f aca="false">IF(EM33=1,MAX(0,(Slot13_Cost-LZ33*(1+Slot13_Rate)^(Slot13_Age-D33))/LW33),0)</f>
        <v>0</v>
      </c>
      <c r="MB33" s="1" t="n">
        <f aca="false">IF(EM33=1,MAX(0,(Slot13_Cost-EN33*(1+Slot13_Rate)^(Slot13_Age-D33))/LW33),0)</f>
        <v>0</v>
      </c>
      <c r="MC33" s="1" t="n">
        <f aca="false">IF(AND(HT33=1,EM33=1),MIN(LV33,MA33),0)</f>
        <v>0</v>
      </c>
      <c r="MD33" s="1" t="n">
        <f aca="false">LV33-MC33</f>
        <v>0</v>
      </c>
      <c r="ME33" s="1" t="n">
        <f aca="false">IF(EW33=1,IF(ABS((1+AS_Wage)/(1+Slot14_Rate)-1)&lt;0.000000000001,(Slot14_Age-D33)*(1+Slot14_Rate)^(Slot14_Age-D33),(1+Slot14_Rate)^(Slot14_Age-D33)*(1-((1+AS_Wage)/(1+Slot14_Rate))^(Slot14_Age-D33))/(1-(1+AS_Wage)/(1+Slot14_Rate))),1)</f>
        <v>1</v>
      </c>
      <c r="MF33" s="1" t="n">
        <f aca="false">IF(AND(HT33=1,ID33&gt;0,Slot14_IsWG=1,EW33=1),MAX(0,(Slot14_Cost-EX33*(1+Slot14_Rate)^(Slot14_Age-D33))/ME33),0)</f>
        <v>0</v>
      </c>
      <c r="MG33" s="1" t="n">
        <f aca="false">IF(AND(HT33=1,ID33&gt;0,Slot14_IsWG=1,EW33=1),MIN(ID33,MF33),0)</f>
        <v>0</v>
      </c>
      <c r="MH33" s="1" t="n">
        <f aca="false">EX33+MG33</f>
        <v>0</v>
      </c>
      <c r="MI33" s="1" t="n">
        <f aca="false">IF(EW33=1,MAX(0,(Slot14_Cost-MH33*(1+Slot14_Rate)^(Slot14_Age-D33))/ME33),0)</f>
        <v>0</v>
      </c>
      <c r="MJ33" s="1" t="n">
        <f aca="false">IF(EW33=1,MAX(0,(Slot14_Cost-EX33*(1+Slot14_Rate)^(Slot14_Age-D33))/ME33),0)</f>
        <v>0</v>
      </c>
      <c r="MK33" s="1" t="n">
        <f aca="false">IF(AND(HT33=1,EW33=1),MIN(MD33,MI33),0)</f>
        <v>0</v>
      </c>
      <c r="ML33" s="1" t="n">
        <f aca="false">MD33-MK33</f>
        <v>0</v>
      </c>
      <c r="MM33" s="1" t="n">
        <f aca="false">IF(FG33=1,IF(ABS((1+AS_Wage)/(1+Slot15_Rate)-1)&lt;0.000000000001,(Slot15_Age-D33)*(1+Slot15_Rate)^(Slot15_Age-D33),(1+Slot15_Rate)^(Slot15_Age-D33)*(1-((1+AS_Wage)/(1+Slot15_Rate))^(Slot15_Age-D33))/(1-(1+AS_Wage)/(1+Slot15_Rate))),1)</f>
        <v>1</v>
      </c>
      <c r="MN33" s="1" t="n">
        <f aca="false">IF(AND(HT33=1,ID33&gt;0,Slot15_IsWG=1,FG33=1),MAX(0,(Slot15_Cost-FH33*(1+Slot15_Rate)^(Slot15_Age-D33))/MM33),0)</f>
        <v>0</v>
      </c>
      <c r="MO33" s="1" t="n">
        <f aca="false">IF(AND(HT33=1,ID33&gt;0,Slot15_IsWG=1,FG33=1),MIN(ID33,MN33),0)</f>
        <v>0</v>
      </c>
      <c r="MP33" s="1" t="n">
        <f aca="false">FH33+MO33</f>
        <v>0</v>
      </c>
      <c r="MQ33" s="1" t="n">
        <f aca="false">IF(FG33=1,MAX(0,(Slot15_Cost-MP33*(1+Slot15_Rate)^(Slot15_Age-D33))/MM33),0)</f>
        <v>0</v>
      </c>
      <c r="MR33" s="1" t="n">
        <f aca="false">IF(FG33=1,MAX(0,(Slot15_Cost-FH33*(1+Slot15_Rate)^(Slot15_Age-D33))/MM33),0)</f>
        <v>0</v>
      </c>
      <c r="MS33" s="1" t="n">
        <f aca="false">IF(AND(HT33=1,FG33=1),MIN(ML33,MQ33),0)</f>
        <v>0</v>
      </c>
      <c r="MT33" s="1" t="n">
        <f aca="false">ML33-MS33</f>
        <v>0</v>
      </c>
      <c r="MU33" s="1" t="n">
        <f aca="false">IF(FQ33=1,IF(ABS((1+AS_Wage)/(1+Slot16_Rate)-1)&lt;0.000000000001,(Slot16_Age-D33)*(1+Slot16_Rate)^(Slot16_Age-D33),(1+Slot16_Rate)^(Slot16_Age-D33)*(1-((1+AS_Wage)/(1+Slot16_Rate))^(Slot16_Age-D33))/(1-(1+AS_Wage)/(1+Slot16_Rate))),1)</f>
        <v>1</v>
      </c>
      <c r="MV33" s="1" t="n">
        <f aca="false">IF(AND(HT33=1,ID33&gt;0,Slot16_IsWG=1,FQ33=1),MAX(0,(Slot16_Cost-FR33*(1+Slot16_Rate)^(Slot16_Age-D33))/MU33),0)</f>
        <v>0</v>
      </c>
      <c r="MW33" s="1" t="n">
        <f aca="false">IF(AND(HT33=1,ID33&gt;0,Slot16_IsWG=1,FQ33=1),MIN(ID33,MV33),0)</f>
        <v>0</v>
      </c>
      <c r="MX33" s="1" t="n">
        <f aca="false">FR33+MW33</f>
        <v>0</v>
      </c>
      <c r="MY33" s="1" t="n">
        <f aca="false">IF(FQ33=1,MAX(0,(Slot16_Cost-MX33*(1+Slot16_Rate)^(Slot16_Age-D33))/MU33),0)</f>
        <v>0</v>
      </c>
      <c r="MZ33" s="1" t="n">
        <f aca="false">IF(FQ33=1,MAX(0,(Slot16_Cost-FR33*(1+Slot16_Rate)^(Slot16_Age-D33))/MU33),0)</f>
        <v>0</v>
      </c>
      <c r="NA33" s="1" t="n">
        <f aca="false">IF(AND(HT33=1,FQ33=1),MIN(MT33,MY33),0)</f>
        <v>0</v>
      </c>
      <c r="NB33" s="1" t="n">
        <f aca="false">MT33-NA33</f>
        <v>0</v>
      </c>
      <c r="NC33" s="1" t="n">
        <f aca="false">IF(GA33=1,IF(ABS((1+AS_Wage)/(1+Slot17_Rate)-1)&lt;0.000000000001,(Slot17_Age-D33)*(1+Slot17_Rate)^(Slot17_Age-D33),(1+Slot17_Rate)^(Slot17_Age-D33)*(1-((1+AS_Wage)/(1+Slot17_Rate))^(Slot17_Age-D33))/(1-(1+AS_Wage)/(1+Slot17_Rate))),1)</f>
        <v>1</v>
      </c>
      <c r="ND33" s="1" t="n">
        <f aca="false">IF(AND(HT33=1,ID33&gt;0,Slot17_IsWG=1,GA33=1),MAX(0,(Slot17_Cost-GB33*(1+Slot17_Rate)^(Slot17_Age-D33))/NC33),0)</f>
        <v>0</v>
      </c>
      <c r="NE33" s="1" t="n">
        <f aca="false">IF(AND(HT33=1,ID33&gt;0,Slot17_IsWG=1,GA33=1),MIN(ID33,ND33),0)</f>
        <v>0</v>
      </c>
      <c r="NF33" s="1" t="n">
        <f aca="false">GB33+NE33</f>
        <v>0</v>
      </c>
      <c r="NG33" s="1" t="n">
        <f aca="false">IF(GA33=1,MAX(0,(Slot17_Cost-NF33*(1+Slot17_Rate)^(Slot17_Age-D33))/NC33),0)</f>
        <v>0</v>
      </c>
      <c r="NH33" s="1" t="n">
        <f aca="false">IF(GA33=1,MAX(0,(Slot17_Cost-GB33*(1+Slot17_Rate)^(Slot17_Age-D33))/NC33),0)</f>
        <v>0</v>
      </c>
      <c r="NI33" s="1" t="n">
        <f aca="false">IF(AND(HT33=1,GA33=1),MIN(NB33,NG33),0)</f>
        <v>0</v>
      </c>
      <c r="NJ33" s="1" t="n">
        <f aca="false">NB33-NI33</f>
        <v>0</v>
      </c>
      <c r="NK33" s="1" t="n">
        <f aca="false">IF(GK33=1,IF(ABS((1+AS_Wage)/(1+Slot18_Rate)-1)&lt;0.000000000001,(Slot18_Age-D33)*(1+Slot18_Rate)^(Slot18_Age-D33),(1+Slot18_Rate)^(Slot18_Age-D33)*(1-((1+AS_Wage)/(1+Slot18_Rate))^(Slot18_Age-D33))/(1-(1+AS_Wage)/(1+Slot18_Rate))),1)</f>
        <v>1</v>
      </c>
      <c r="NL33" s="1" t="n">
        <f aca="false">IF(AND(HT33=1,ID33&gt;0,Slot18_IsWG=1,GK33=1),MAX(0,(Slot18_Cost-GL33*(1+Slot18_Rate)^(Slot18_Age-D33))/NK33),0)</f>
        <v>0</v>
      </c>
      <c r="NM33" s="1" t="n">
        <f aca="false">IF(AND(HT33=1,ID33&gt;0,Slot18_IsWG=1,GK33=1),MIN(ID33,NL33),0)</f>
        <v>0</v>
      </c>
      <c r="NN33" s="1" t="n">
        <f aca="false">GL33+NM33</f>
        <v>0</v>
      </c>
      <c r="NO33" s="1" t="n">
        <f aca="false">IF(GK33=1,MAX(0,(Slot18_Cost-NN33*(1+Slot18_Rate)^(Slot18_Age-D33))/NK33),0)</f>
        <v>0</v>
      </c>
      <c r="NP33" s="1" t="n">
        <f aca="false">IF(GK33=1,MAX(0,(Slot18_Cost-GL33*(1+Slot18_Rate)^(Slot18_Age-D33))/NK33),0)</f>
        <v>0</v>
      </c>
      <c r="NQ33" s="1" t="n">
        <f aca="false">IF(AND(HT33=1,GK33=1),MIN(NJ33,NO33),0)</f>
        <v>0</v>
      </c>
      <c r="NR33" s="1" t="n">
        <f aca="false">NJ33-NQ33</f>
        <v>0</v>
      </c>
      <c r="NS33" s="1" t="n">
        <f aca="false">IF(GU33=1,IF(ABS((1+AS_Wage)/(1+Slot19_Rate)-1)&lt;0.000000000001,(Slot19_Age-D33)*(1+Slot19_Rate)^(Slot19_Age-D33),(1+Slot19_Rate)^(Slot19_Age-D33)*(1-((1+AS_Wage)/(1+Slot19_Rate))^(Slot19_Age-D33))/(1-(1+AS_Wage)/(1+Slot19_Rate))),1)</f>
        <v>1</v>
      </c>
      <c r="NT33" s="1" t="n">
        <f aca="false">IF(AND(HT33=1,ID33&gt;0,Slot19_IsWG=1,GU33=1),MAX(0,(Slot19_Cost-GV33*(1+Slot19_Rate)^(Slot19_Age-D33))/NS33),0)</f>
        <v>0</v>
      </c>
      <c r="NU33" s="1" t="n">
        <f aca="false">IF(AND(HT33=1,ID33&gt;0,Slot19_IsWG=1,GU33=1),MIN(ID33,NT33),0)</f>
        <v>0</v>
      </c>
      <c r="NV33" s="1" t="n">
        <f aca="false">GV33+NU33</f>
        <v>0</v>
      </c>
      <c r="NW33" s="1" t="n">
        <f aca="false">IF(GU33=1,MAX(0,(Slot19_Cost-NV33*(1+Slot19_Rate)^(Slot19_Age-D33))/NS33),0)</f>
        <v>0</v>
      </c>
      <c r="NX33" s="1" t="n">
        <f aca="false">IF(GU33=1,MAX(0,(Slot19_Cost-GV33*(1+Slot19_Rate)^(Slot19_Age-D33))/NS33),0)</f>
        <v>0</v>
      </c>
      <c r="NY33" s="1" t="n">
        <f aca="false">IF(AND(HT33=1,GU33=1),MIN(NR33,NW33),0)</f>
        <v>0</v>
      </c>
      <c r="NZ33" s="1" t="n">
        <f aca="false">NR33-NY33</f>
        <v>0</v>
      </c>
      <c r="OA33" s="1" t="n">
        <f aca="false">IF(HE33=1,IF(ABS((1+AS_Wage)/(1+Slot20_Rate)-1)&lt;0.000000000001,(Slot20_Age-D33)*(1+Slot20_Rate)^(Slot20_Age-D33),(1+Slot20_Rate)^(Slot20_Age-D33)*(1-((1+AS_Wage)/(1+Slot20_Rate))^(Slot20_Age-D33))/(1-(1+AS_Wage)/(1+Slot20_Rate))),1)</f>
        <v>1</v>
      </c>
      <c r="OB33" s="1" t="n">
        <f aca="false">IF(AND(HT33=1,ID33&gt;0,Slot20_IsWG=1,HE33=1),MAX(0,(Slot20_Cost-HF33*(1+Slot20_Rate)^(Slot20_Age-D33))/OA33),0)</f>
        <v>0</v>
      </c>
      <c r="OC33" s="1" t="n">
        <f aca="false">IF(AND(HT33=1,ID33&gt;0,Slot20_IsWG=1,HE33=1),MIN(ID33,OB33),0)</f>
        <v>0</v>
      </c>
      <c r="OD33" s="1" t="n">
        <f aca="false">HF33+OC33</f>
        <v>0</v>
      </c>
      <c r="OE33" s="1" t="n">
        <f aca="false">IF(HE33=1,MAX(0,(Slot20_Cost-OD33*(1+Slot20_Rate)^(Slot20_Age-D33))/OA33),0)</f>
        <v>0</v>
      </c>
      <c r="OF33" s="1" t="n">
        <f aca="false">IF(HE33=1,MAX(0,(Slot20_Cost-HF33*(1+Slot20_Rate)^(Slot20_Age-D33))/OA33),0)</f>
        <v>0</v>
      </c>
      <c r="OG33" s="1" t="n">
        <f aca="false">IF(AND(HT33=1,HE33=1),MIN(NZ33,OE33),0)</f>
        <v>0</v>
      </c>
      <c r="OH33" s="1" t="n">
        <f aca="false">NZ33-OG33</f>
        <v>0</v>
      </c>
      <c r="OI33" s="1" t="n">
        <f aca="false">ID33-(IG33+IO33+IW33+JE33+JM33+JU33+KC33+KK33+KS33+LA33+LI33+LQ33+LY33+MG33+MO33+MW33+NE33+NM33+NU33+OC33)</f>
        <v>0</v>
      </c>
      <c r="OJ33" s="1" t="n">
        <f aca="false">IF(HT33=1,HR33-IC33-ID33,0)</f>
        <v>0</v>
      </c>
      <c r="OK33" s="1" t="n">
        <f aca="false">IF(HT33=0,-HR33,0)</f>
        <v>0</v>
      </c>
      <c r="OL33" s="1" t="n">
        <f aca="false">MIN(OK33,HJ33)</f>
        <v>0</v>
      </c>
      <c r="OM33" s="1" t="n">
        <f aca="false">OK33-OL33</f>
        <v>0</v>
      </c>
      <c r="ON33" s="1" t="n">
        <f aca="false">MIN(OM33,HK33)</f>
        <v>0</v>
      </c>
      <c r="OO33" s="1" t="n">
        <f aca="false">OM33-ON33</f>
        <v>0</v>
      </c>
      <c r="OP33" s="1" t="n">
        <f aca="false">IF(AND(HT33=0,HE33=1,OO33&gt;0),MIN(OO33,HF33),0)</f>
        <v>0</v>
      </c>
      <c r="OQ33" s="1" t="n">
        <f aca="false">OO33-OP33</f>
        <v>0</v>
      </c>
      <c r="OR33" s="1" t="n">
        <f aca="false">IF(AND(HT33=0,GU33=1,OQ33&gt;0),MIN(OQ33,GV33),0)</f>
        <v>0</v>
      </c>
      <c r="OS33" s="1" t="n">
        <f aca="false">OQ33-OR33</f>
        <v>0</v>
      </c>
      <c r="OT33" s="1" t="n">
        <f aca="false">IF(AND(HT33=0,GK33=1,OS33&gt;0),MIN(OS33,GL33),0)</f>
        <v>0</v>
      </c>
      <c r="OU33" s="1" t="n">
        <f aca="false">OS33-OT33</f>
        <v>0</v>
      </c>
      <c r="OV33" s="1" t="n">
        <f aca="false">IF(AND(HT33=0,GA33=1,OU33&gt;0),MIN(OU33,GB33),0)</f>
        <v>0</v>
      </c>
      <c r="OW33" s="1" t="n">
        <f aca="false">OU33-OV33</f>
        <v>0</v>
      </c>
      <c r="OX33" s="1" t="n">
        <f aca="false">IF(AND(HT33=0,FQ33=1,OW33&gt;0),MIN(OW33,FR33),0)</f>
        <v>0</v>
      </c>
      <c r="OY33" s="1" t="n">
        <f aca="false">OW33-OX33</f>
        <v>0</v>
      </c>
      <c r="OZ33" s="1" t="n">
        <f aca="false">IF(AND(HT33=0,FG33=1,OY33&gt;0),MIN(OY33,FH33),0)</f>
        <v>0</v>
      </c>
      <c r="PA33" s="1" t="n">
        <f aca="false">OY33-OZ33</f>
        <v>0</v>
      </c>
      <c r="PB33" s="1" t="n">
        <f aca="false">IF(AND(HT33=0,EW33=1,PA33&gt;0),MIN(PA33,EX33),0)</f>
        <v>0</v>
      </c>
      <c r="PC33" s="1" t="n">
        <f aca="false">PA33-PB33</f>
        <v>0</v>
      </c>
      <c r="PD33" s="1" t="n">
        <f aca="false">IF(AND(HT33=0,EM33=1,PC33&gt;0),MIN(PC33,EN33),0)</f>
        <v>0</v>
      </c>
      <c r="PE33" s="1" t="n">
        <f aca="false">PC33-PD33</f>
        <v>0</v>
      </c>
      <c r="PF33" s="1" t="n">
        <f aca="false">IF(AND(HT33=0,EC33=1,PE33&gt;0),MIN(PE33,ED33),0)</f>
        <v>0</v>
      </c>
      <c r="PG33" s="1" t="n">
        <f aca="false">PE33-PF33</f>
        <v>0</v>
      </c>
      <c r="PH33" s="1" t="n">
        <f aca="false">IF(AND(HT33=0,DS33=1,PG33&gt;0),MIN(PG33,DT33),0)</f>
        <v>0</v>
      </c>
      <c r="PI33" s="1" t="n">
        <f aca="false">PG33-PH33</f>
        <v>0</v>
      </c>
      <c r="PJ33" s="1" t="n">
        <f aca="false">IF(AND(HT33=0,DI33=1,PI33&gt;0),MIN(PI33,DJ33),0)</f>
        <v>0</v>
      </c>
      <c r="PK33" s="1" t="n">
        <f aca="false">PI33-PJ33</f>
        <v>0</v>
      </c>
      <c r="PL33" s="1" t="n">
        <f aca="false">IF(AND(HT33=0,CY33=1,PK33&gt;0),MIN(PK33,CZ33),0)</f>
        <v>0</v>
      </c>
      <c r="PM33" s="1" t="n">
        <f aca="false">PK33-PL33</f>
        <v>0</v>
      </c>
      <c r="PN33" s="1" t="n">
        <f aca="false">IF(AND(HT33=0,CO33=1,PM33&gt;0),MIN(PM33,CP33),0)</f>
        <v>0</v>
      </c>
      <c r="PO33" s="1" t="n">
        <f aca="false">PM33-PN33</f>
        <v>0</v>
      </c>
      <c r="PP33" s="1" t="n">
        <f aca="false">IF(AND(HT33=0,CE33=1,PO33&gt;0),MIN(PO33,CF33),0)</f>
        <v>0</v>
      </c>
      <c r="PQ33" s="1" t="n">
        <f aca="false">PO33-PP33</f>
        <v>0</v>
      </c>
      <c r="PR33" s="1" t="n">
        <f aca="false">IF(AND(HT33=0,BU33=1,PQ33&gt;0),MIN(PQ33,BV33),0)</f>
        <v>0</v>
      </c>
      <c r="PS33" s="1" t="n">
        <f aca="false">PQ33-PR33</f>
        <v>0</v>
      </c>
      <c r="PT33" s="1" t="n">
        <f aca="false">IF(AND(HT33=0,BK33=1,PS33&gt;0),MIN(PS33,BL33),0)</f>
        <v>0</v>
      </c>
      <c r="PU33" s="1" t="n">
        <f aca="false">PS33-PT33</f>
        <v>0</v>
      </c>
      <c r="PV33" s="1" t="n">
        <f aca="false">IF(AND(HT33=0,BA33=1,PU33&gt;0),MIN(PU33,BB33),0)</f>
        <v>0</v>
      </c>
      <c r="PW33" s="1" t="n">
        <f aca="false">PU33-PV33</f>
        <v>0</v>
      </c>
      <c r="PX33" s="1" t="n">
        <f aca="false">IF(AND(HT33=0,AQ33=1,PW33&gt;0),MIN(PW33,AR33),0)</f>
        <v>0</v>
      </c>
      <c r="PY33" s="1" t="n">
        <f aca="false">PW33-PX33</f>
        <v>0</v>
      </c>
      <c r="PZ33" s="1" t="n">
        <f aca="false">IF(AND(HT33=0,AG33=1,PY33&gt;0),MIN(PY33,AH33),0)</f>
        <v>0</v>
      </c>
      <c r="QA33" s="1" t="n">
        <f aca="false">PY33-PZ33</f>
        <v>0</v>
      </c>
      <c r="QB33" s="1" t="n">
        <f aca="false">IF(AND(HT33=0,V33=1,QA33&gt;0),MIN(QA33,W33),0)</f>
        <v>0</v>
      </c>
      <c r="QC33" s="1" t="n">
        <f aca="false">QA33-QB33</f>
        <v>0</v>
      </c>
      <c r="QD33" s="1" t="n">
        <f aca="false">IF(HT33=0,QC33,0)</f>
        <v>0</v>
      </c>
      <c r="QE33" s="1" t="n">
        <f aca="false">OL33+ON33+QB33+PZ33+PX33+PV33+PT33+PR33+PP33+PN33+PL33+PJ33+PH33+PF33+PD33+PB33+OZ33+OX33+OV33+OT33+OR33+OP33</f>
        <v>0</v>
      </c>
      <c r="QF33" s="1" t="n">
        <f aca="false">IF(HT33=1,HJ33+OI33+OH33+IF(F33=1,0,OJ33),HJ33-OL33)</f>
        <v>0</v>
      </c>
      <c r="QG33" s="1" t="n">
        <f aca="false">HK33-ON33</f>
        <v>0</v>
      </c>
      <c r="QH33" s="1" t="n">
        <f aca="false">IF(HT33=1,IF(F33=1,IC33+ID33,HR33),0)</f>
        <v>0</v>
      </c>
      <c r="QI33" s="1" t="n">
        <f aca="false">IF(HT33=1,IF(F33=1,HR33-IC33-ID33,0),0)</f>
        <v>0</v>
      </c>
      <c r="QJ33" s="1" t="n">
        <f aca="false">QF33*(1+GR)</f>
        <v>0</v>
      </c>
      <c r="QK33" s="1" t="n">
        <f aca="false">QG33*(1+AS_Cash)</f>
        <v>0</v>
      </c>
      <c r="QL33" s="1" t="n">
        <f aca="false">IF(V33=1,IF(HT33=1,IH33+IK33,W33-QB33)*(1+Slot1_Rate),0)</f>
        <v>0</v>
      </c>
      <c r="QM33" s="1" t="n">
        <f aca="false">IF(AND(HT33=1,V33=1),(IG33+IK33)/E33,0)</f>
        <v>0</v>
      </c>
      <c r="QN33" s="1" t="n">
        <f aca="false">IF(B33=0,IG33+IK33,0)</f>
        <v>0</v>
      </c>
      <c r="QO33" s="1" t="n">
        <f aca="false">IF(B33=0,IF(HT33=1,II33,IJ33),0)</f>
        <v>0</v>
      </c>
      <c r="QP33" s="1" t="n">
        <f aca="false">IF(AG33=1,IF(HT33=1,IP33+IS33,AH33-PZ33)*(1+Slot2_Rate),0)</f>
        <v>0</v>
      </c>
      <c r="QQ33" s="1" t="n">
        <f aca="false">IF(AND(HT33=1,AG33=1),(IO33+IS33)/E33,0)</f>
        <v>0</v>
      </c>
      <c r="QR33" s="1" t="n">
        <f aca="false">IF(B33=0,IO33+IS33,0)</f>
        <v>0</v>
      </c>
      <c r="QS33" s="1" t="n">
        <f aca="false">IF(B33=0,IF(HT33=1,IQ33,IR33),0)</f>
        <v>0</v>
      </c>
      <c r="QT33" s="1" t="n">
        <f aca="false">IF(AQ33=1,IF(HT33=1,IX33+JA33,AR33-PX33)*(1+Slot3_Rate),0)</f>
        <v>0</v>
      </c>
      <c r="QU33" s="1" t="n">
        <f aca="false">IF(AND(HT33=1,AQ33=1),(IW33+JA33)/E33,0)</f>
        <v>0</v>
      </c>
      <c r="QV33" s="1" t="n">
        <f aca="false">IF(B33=0,IW33+JA33,0)</f>
        <v>0</v>
      </c>
      <c r="QW33" s="1" t="n">
        <f aca="false">IF(B33=0,IF(HT33=1,IY33,IZ33),0)</f>
        <v>0</v>
      </c>
      <c r="QX33" s="1" t="n">
        <f aca="false">IF(BA33=1,IF(HT33=1,JF33+JI33,BB33-PV33)*(1+Slot4_Rate),0)</f>
        <v>0</v>
      </c>
      <c r="QY33" s="1" t="n">
        <f aca="false">IF(AND(HT33=1,BA33=1),(JE33+JI33)/E33,0)</f>
        <v>0</v>
      </c>
      <c r="QZ33" s="1" t="n">
        <f aca="false">IF(B33=0,JE33+JI33,0)</f>
        <v>0</v>
      </c>
      <c r="RA33" s="1" t="n">
        <f aca="false">IF(B33=0,IF(HT33=1,JG33,JH33),0)</f>
        <v>0</v>
      </c>
      <c r="RB33" s="1" t="n">
        <f aca="false">IF(BK33=1,IF(HT33=1,JN33+JQ33,BL33-PT33)*(1+Slot5_Rate),0)</f>
        <v>0</v>
      </c>
      <c r="RC33" s="1" t="n">
        <f aca="false">IF(AND(HT33=1,BK33=1),(JM33+JQ33)/E33,0)</f>
        <v>0</v>
      </c>
      <c r="RD33" s="1" t="n">
        <f aca="false">IF(B33=0,JM33+JQ33,0)</f>
        <v>0</v>
      </c>
      <c r="RE33" s="1" t="n">
        <f aca="false">IF(B33=0,IF(HT33=1,JO33,JP33),0)</f>
        <v>0</v>
      </c>
      <c r="RF33" s="1" t="n">
        <f aca="false">IF(BU33=1,IF(HT33=1,JV33+JY33,BV33-PR33)*(1+Slot6_Rate),0)</f>
        <v>0</v>
      </c>
      <c r="RG33" s="1" t="n">
        <f aca="false">IF(AND(HT33=1,BU33=1),(JU33+JY33)/E33,0)</f>
        <v>0</v>
      </c>
      <c r="RH33" s="1" t="n">
        <f aca="false">IF(B33=0,JU33+JY33,0)</f>
        <v>0</v>
      </c>
      <c r="RI33" s="1" t="n">
        <f aca="false">IF(B33=0,IF(HT33=1,JW33,JX33),0)</f>
        <v>0</v>
      </c>
      <c r="RJ33" s="1" t="n">
        <f aca="false">IF(CE33=1,IF(HT33=1,KD33+KG33,CF33-PP33)*(1+Slot7_Rate),0)</f>
        <v>0</v>
      </c>
      <c r="RK33" s="1" t="n">
        <f aca="false">IF(AND(HT33=1,CE33=1),(KC33+KG33)/E33,0)</f>
        <v>0</v>
      </c>
      <c r="RL33" s="1" t="n">
        <f aca="false">IF(B33=0,KC33+KG33,0)</f>
        <v>0</v>
      </c>
      <c r="RM33" s="1" t="n">
        <f aca="false">IF(B33=0,IF(HT33=1,KE33,KF33),0)</f>
        <v>0</v>
      </c>
      <c r="RN33" s="1" t="n">
        <f aca="false">IF(CO33=1,IF(HT33=1,KL33+KO33,CP33-PN33)*(1+Slot8_Rate),0)</f>
        <v>0</v>
      </c>
      <c r="RO33" s="1" t="n">
        <f aca="false">IF(AND(HT33=1,CO33=1),(KK33+KO33)/E33,0)</f>
        <v>0</v>
      </c>
      <c r="RP33" s="1" t="n">
        <f aca="false">IF(B33=0,KK33+KO33,0)</f>
        <v>0</v>
      </c>
      <c r="RQ33" s="1" t="n">
        <f aca="false">IF(B33=0,IF(HT33=1,KM33,KN33),0)</f>
        <v>0</v>
      </c>
      <c r="RR33" s="1" t="n">
        <f aca="false">IF(CY33=1,IF(HT33=1,KT33+KW33,CZ33-PL33)*(1+Slot9_Rate),0)</f>
        <v>0</v>
      </c>
      <c r="RS33" s="1" t="n">
        <f aca="false">IF(AND(HT33=1,CY33=1),(KS33+KW33)/E33,0)</f>
        <v>0</v>
      </c>
      <c r="RT33" s="1" t="n">
        <f aca="false">IF(B33=0,KS33+KW33,0)</f>
        <v>0</v>
      </c>
      <c r="RU33" s="1" t="n">
        <f aca="false">IF(B33=0,IF(HT33=1,KU33,KV33),0)</f>
        <v>0</v>
      </c>
      <c r="RV33" s="1" t="n">
        <f aca="false">IF(DI33=1,IF(HT33=1,LB33+LE33,DJ33-PJ33)*(1+Slot10_Rate),0)</f>
        <v>0</v>
      </c>
      <c r="RW33" s="1" t="n">
        <f aca="false">IF(AND(HT33=1,DI33=1),(LA33+LE33)/E33,0)</f>
        <v>0</v>
      </c>
      <c r="RX33" s="1" t="n">
        <f aca="false">IF(B33=0,LA33+LE33,0)</f>
        <v>0</v>
      </c>
      <c r="RY33" s="1" t="n">
        <f aca="false">IF(B33=0,IF(HT33=1,LC33,LD33),0)</f>
        <v>0</v>
      </c>
      <c r="RZ33" s="1" t="n">
        <f aca="false">IF(DS33=1,IF(HT33=1,LJ33+LM33,DT33-PH33)*(1+Slot11_Rate),0)</f>
        <v>0</v>
      </c>
      <c r="SA33" s="1" t="n">
        <f aca="false">IF(AND(HT33=1,DS33=1),(LI33+LM33)/E33,0)</f>
        <v>0</v>
      </c>
      <c r="SB33" s="1" t="n">
        <f aca="false">IF(B33=0,LI33+LM33,0)</f>
        <v>0</v>
      </c>
      <c r="SC33" s="1" t="n">
        <f aca="false">IF(B33=0,IF(HT33=1,LK33,LL33),0)</f>
        <v>0</v>
      </c>
      <c r="SD33" s="1" t="n">
        <f aca="false">IF(EC33=1,IF(HT33=1,LR33+LU33,ED33-PF33)*(1+Slot12_Rate),0)</f>
        <v>0</v>
      </c>
      <c r="SE33" s="1" t="n">
        <f aca="false">IF(AND(HT33=1,EC33=1),(LQ33+LU33)/E33,0)</f>
        <v>0</v>
      </c>
      <c r="SF33" s="1" t="n">
        <f aca="false">IF(B33=0,LQ33+LU33,0)</f>
        <v>0</v>
      </c>
      <c r="SG33" s="1" t="n">
        <f aca="false">IF(B33=0,IF(HT33=1,LS33,LT33),0)</f>
        <v>0</v>
      </c>
      <c r="SH33" s="1" t="n">
        <f aca="false">IF(EM33=1,IF(HT33=1,LZ33+MC33,EN33-PD33)*(1+Slot13_Rate),0)</f>
        <v>0</v>
      </c>
      <c r="SI33" s="1" t="n">
        <f aca="false">IF(AND(HT33=1,EM33=1),(LY33+MC33)/E33,0)</f>
        <v>0</v>
      </c>
      <c r="SJ33" s="1" t="n">
        <f aca="false">IF(B33=0,LY33+MC33,0)</f>
        <v>0</v>
      </c>
      <c r="SK33" s="1" t="n">
        <f aca="false">IF(B33=0,IF(HT33=1,MA33,MB33),0)</f>
        <v>0</v>
      </c>
      <c r="SL33" s="1" t="n">
        <f aca="false">IF(EW33=1,IF(HT33=1,MH33+MK33,EX33-PB33)*(1+Slot14_Rate),0)</f>
        <v>0</v>
      </c>
      <c r="SM33" s="1" t="n">
        <f aca="false">IF(AND(HT33=1,EW33=1),(MG33+MK33)/E33,0)</f>
        <v>0</v>
      </c>
      <c r="SN33" s="1" t="n">
        <f aca="false">IF(B33=0,MG33+MK33,0)</f>
        <v>0</v>
      </c>
      <c r="SO33" s="1" t="n">
        <f aca="false">IF(B33=0,IF(HT33=1,MI33,MJ33),0)</f>
        <v>0</v>
      </c>
      <c r="SP33" s="1" t="n">
        <f aca="false">IF(FG33=1,IF(HT33=1,MP33+MS33,FH33-OZ33)*(1+Slot15_Rate),0)</f>
        <v>0</v>
      </c>
      <c r="SQ33" s="1" t="n">
        <f aca="false">IF(AND(HT33=1,FG33=1),(MO33+MS33)/E33,0)</f>
        <v>0</v>
      </c>
      <c r="SR33" s="1" t="n">
        <f aca="false">IF(B33=0,MO33+MS33,0)</f>
        <v>0</v>
      </c>
      <c r="SS33" s="1" t="n">
        <f aca="false">IF(B33=0,IF(HT33=1,MQ33,MR33),0)</f>
        <v>0</v>
      </c>
      <c r="ST33" s="1" t="n">
        <f aca="false">IF(FQ33=1,IF(HT33=1,MX33+NA33,FR33-OX33)*(1+Slot16_Rate),0)</f>
        <v>0</v>
      </c>
      <c r="SU33" s="1" t="n">
        <f aca="false">IF(AND(HT33=1,FQ33=1),(MW33+NA33)/E33,0)</f>
        <v>0</v>
      </c>
      <c r="SV33" s="1" t="n">
        <f aca="false">IF(B33=0,MW33+NA33,0)</f>
        <v>0</v>
      </c>
      <c r="SW33" s="1" t="n">
        <f aca="false">IF(B33=0,IF(HT33=1,MY33,MZ33),0)</f>
        <v>0</v>
      </c>
      <c r="SX33" s="1" t="n">
        <f aca="false">IF(GA33=1,IF(HT33=1,NF33+NI33,GB33-OV33)*(1+Slot17_Rate),0)</f>
        <v>0</v>
      </c>
      <c r="SY33" s="1" t="n">
        <f aca="false">IF(AND(HT33=1,GA33=1),(NE33+NI33)/E33,0)</f>
        <v>0</v>
      </c>
      <c r="SZ33" s="1" t="n">
        <f aca="false">IF(B33=0,NE33+NI33,0)</f>
        <v>0</v>
      </c>
      <c r="TA33" s="1" t="n">
        <f aca="false">IF(B33=0,IF(HT33=1,NG33,NH33),0)</f>
        <v>0</v>
      </c>
      <c r="TB33" s="1" t="n">
        <f aca="false">IF(GK33=1,IF(HT33=1,NN33+NQ33,GL33-OT33)*(1+Slot18_Rate),0)</f>
        <v>0</v>
      </c>
      <c r="TC33" s="1" t="n">
        <f aca="false">IF(AND(HT33=1,GK33=1),(NM33+NQ33)/E33,0)</f>
        <v>0</v>
      </c>
      <c r="TD33" s="1" t="n">
        <f aca="false">IF(B33=0,NM33+NQ33,0)</f>
        <v>0</v>
      </c>
      <c r="TE33" s="1" t="n">
        <f aca="false">IF(B33=0,IF(HT33=1,NO33,NP33),0)</f>
        <v>0</v>
      </c>
      <c r="TF33" s="1" t="n">
        <f aca="false">IF(GU33=1,IF(HT33=1,NV33+NY33,GV33-OR33)*(1+Slot19_Rate),0)</f>
        <v>0</v>
      </c>
      <c r="TG33" s="1" t="n">
        <f aca="false">IF(AND(HT33=1,GU33=1),(NU33+NY33)/E33,0)</f>
        <v>0</v>
      </c>
      <c r="TH33" s="1" t="n">
        <f aca="false">IF(B33=0,NU33+NY33,0)</f>
        <v>0</v>
      </c>
      <c r="TI33" s="1" t="n">
        <f aca="false">IF(B33=0,IF(HT33=1,NW33,NX33),0)</f>
        <v>0</v>
      </c>
      <c r="TJ33" s="1" t="n">
        <f aca="false">IF(HE33=1,IF(HT33=1,OD33+OG33,HF33-OP33)*(1+Slot20_Rate),0)</f>
        <v>0</v>
      </c>
      <c r="TK33" s="1" t="n">
        <f aca="false">IF(AND(HT33=1,HE33=1),(OC33+OG33)/E33,0)</f>
        <v>0</v>
      </c>
      <c r="TL33" s="1" t="n">
        <f aca="false">IF(B33=0,OC33+OG33,0)</f>
        <v>0</v>
      </c>
      <c r="TM33" s="1" t="n">
        <f aca="false">IF(B33=0,IF(HT33=1,OE33,OF33),0)</f>
        <v>0</v>
      </c>
      <c r="TN33" s="1" t="n">
        <f aca="false">QJ33+QK33+QL33+QP33+QT33+QX33+RB33+RF33+RJ33+RN33+RR33+RV33+RZ33+SD33+SH33+SL33+SP33+ST33+SX33+TB33+TF33+TJ33</f>
        <v>0</v>
      </c>
      <c r="TO33" s="1" t="n">
        <f aca="false">QD33+HO33</f>
        <v>0</v>
      </c>
      <c r="TP33" s="1" t="n">
        <f aca="false">H33+R33</f>
        <v>0</v>
      </c>
      <c r="TQ33" s="1" t="n">
        <f aca="false">1-F33</f>
        <v>0</v>
      </c>
      <c r="TR33" s="1" t="n">
        <f aca="false">IF(AND(RG_Exists=1,F33=0,C33=1),H33,0)</f>
        <v>0</v>
      </c>
      <c r="TS33" s="1" t="n">
        <f aca="false">IF(AND(RG_Exists=1,F33=0,C33=1),H33-MIN(QD33,H33),0)</f>
        <v>0</v>
      </c>
      <c r="TT33" s="1" t="n">
        <f aca="false">'Plan pay &amp; tax'!AD259</f>
        <v>0</v>
      </c>
      <c r="TU33" s="1" t="n">
        <f aca="false">IF(AND(C33=1,QD33&gt;MAX(PR_Short1,TP33*PR_Short2)),1,0)</f>
        <v>0</v>
      </c>
      <c r="TV33" s="1" t="n">
        <f aca="false">MIN(G33,H33+R33)</f>
        <v>0</v>
      </c>
      <c r="TW33" s="1" t="n">
        <f aca="false">QE33+MAX(0,HP33-HO33)</f>
        <v>0</v>
      </c>
      <c r="TX33" s="1" t="n">
        <f aca="false">QD33+HO33</f>
        <v>0</v>
      </c>
      <c r="TY33" s="1" t="n">
        <f aca="false">IF(AND(C33=1,TX33&gt;PR_MinShort),1,0)</f>
        <v>0</v>
      </c>
      <c r="TZ33" s="1" t="n">
        <f aca="false">IF(AND(C33=1,TY33=0,TW33&gt;PR_MinShort),1,0)</f>
        <v>0</v>
      </c>
      <c r="UA33" s="1" t="n">
        <f aca="false">IF(AND(C33=1,QD33&gt;PR_MinShort),1,0)</f>
        <v>0</v>
      </c>
      <c r="UB33" s="1" t="n">
        <f aca="false">IF(AND(C33=1,QE33&gt;1,UI33=0),1,0)</f>
        <v>0</v>
      </c>
      <c r="UC33" s="1" t="str">
        <f aca="false">IF(C33=0,"",IF(UI33=1,"Gap to plan for: short "&amp;"€"&amp;TEXT(ROUND(TO33,0),"#,##0"),IF(QE33&gt;1,"Using savings","Comfortable")))</f>
        <v>Comfortable</v>
      </c>
      <c r="UD33" s="1" t="n">
        <f aca="false">IF(AND(INT(D33/10)*10=90,B33&gt;0),80,INT(D33/10)*10)</f>
        <v>20</v>
      </c>
      <c r="UE33" s="1" t="n">
        <f aca="false">IF(B33=0,1,IF(UD33&lt;&gt;UD32,UE32+1,UE32))</f>
        <v>3</v>
      </c>
      <c r="UF33" s="1" t="n">
        <f aca="false">IF(AND(C33=1,F33=1,QD33&gt;MAX(PR_Short1,TP33*PR_Short2)),1,0)</f>
        <v>0</v>
      </c>
      <c r="UG33" s="1" t="n">
        <f aca="false">TQ33*TU33</f>
        <v>0</v>
      </c>
      <c r="UH33" s="1" t="n">
        <f aca="false">IF(AND(U33=1,Slot1_PctLow=1),1,0)+IF(AND(AF33=1,Slot2_PctLow=1),1,0)+IF(AND(AP33=1,Slot3_PctLow=1),1,0)+IF(AND(AZ33=1,Slot4_PctLow=1),1,0)+IF(AND(BJ33=1,Slot5_PctLow=1),1,0)+IF(AND(BT33=1,Slot6_PctLow=1),1,0)+IF(AND(CD33=1,Slot7_PctLow=1),1,0)+IF(AND(CN33=1,Slot8_PctLow=1),1,0)+IF(AND(CX33=1,Slot9_PctLow=1),1,0)+IF(AND(DH33=1,Slot10_PctLow=1),1,0)+IF(AND(DR33=1,Slot11_PctLow=1),1,0)+IF(AND(EB33=1,Slot12_PctLow=1),1,0)+IF(AND(EL33=1,Slot13_PctLow=1),1,0)+IF(AND(EV33=1,Slot14_PctLow=1),1,0)+IF(AND(FF33=1,Slot15_PctLow=1),1,0)+IF(AND(FP33=1,Slot16_PctLow=1),1,0)+IF(AND(FZ33=1,Slot17_PctLow=1),1,0)+IF(AND(GJ33=1,Slot18_PctLow=1),1,0)+IF(AND(GT33=1,Slot19_PctLow=1),1,0)+IF(AND(HD33=1,Slot20_PctLow=1),1,0)</f>
        <v>0</v>
      </c>
      <c r="UI33" s="1" t="n">
        <f aca="false">IF(C33=1,IF(OR(TU33=1,UH33&gt;0),1,0),0)</f>
        <v>0</v>
      </c>
    </row>
    <row r="34" customFormat="false" ht="15" hidden="false" customHeight="true" outlineLevel="0" collapsed="false">
      <c r="B34" s="1" t="n">
        <v>26</v>
      </c>
      <c r="C34" s="1" t="n">
        <f aca="false">IF(B34&lt;=F_N,1,0)</f>
        <v>1</v>
      </c>
      <c r="D34" s="1" t="n">
        <f aca="false">'Plan pay &amp; tax'!C260</f>
        <v>26</v>
      </c>
      <c r="E34" s="111" t="n">
        <f aca="false">'Plan pay &amp; tax'!E260</f>
        <v>1.67341811435403</v>
      </c>
      <c r="F34" s="1" t="n">
        <f aca="false">'Plan pay &amp; tax'!G260</f>
        <v>1</v>
      </c>
      <c r="G34" s="1" t="n">
        <f aca="false">'Plan pay &amp; tax'!BT260-'Plan pay &amp; tax'!BS260-'Plan pay &amp; tax'!R260</f>
        <v>0</v>
      </c>
      <c r="H34" s="1" t="n">
        <f aca="false">IF(F34=1,F_CostsM*12,IF(RG_Exists=1,RG_Amount,F_CostsM*12*AS_RetireSpend))*E34+F_OneOffY*E34</f>
        <v>0</v>
      </c>
      <c r="I34" s="1" t="n">
        <f aca="false">HQ33</f>
        <v>0</v>
      </c>
      <c r="J34" s="1" t="n">
        <f aca="false">IF(I34&gt;1,'Plan debt months'!AC34,0)</f>
        <v>0</v>
      </c>
      <c r="K34" s="1" t="n">
        <f aca="false">IF(I34&gt;1,'Plan debt months'!AB34,I34)</f>
        <v>0</v>
      </c>
      <c r="L34" s="1" t="n">
        <f aca="false">N33</f>
        <v>0</v>
      </c>
      <c r="M34" s="1" t="n">
        <f aca="false">IF(L34&gt;1,'Plan debt months'!BD34,0)</f>
        <v>0</v>
      </c>
      <c r="N34" s="1" t="n">
        <f aca="false">IF(L34&gt;1,'Plan debt months'!BC34,L34)</f>
        <v>0</v>
      </c>
      <c r="O34" s="1" t="n">
        <f aca="false">Q33</f>
        <v>0</v>
      </c>
      <c r="P34" s="1" t="n">
        <f aca="false">IF(O34&gt;1,'Plan debt months'!CE34,0)</f>
        <v>0</v>
      </c>
      <c r="Q34" s="1" t="n">
        <f aca="false">IF(O34&gt;1,'Plan debt months'!CD34,O34)</f>
        <v>0</v>
      </c>
      <c r="R34" s="1" t="n">
        <f aca="false">J34+M34+P34</f>
        <v>0</v>
      </c>
      <c r="S34" s="1" t="n">
        <f aca="false">QJ33+'Plan pay &amp; tax'!Y260</f>
        <v>0</v>
      </c>
      <c r="T34" s="1" t="n">
        <f aca="false">QJ33</f>
        <v>0</v>
      </c>
      <c r="U34" s="1" t="n">
        <f aca="false">IF(AND(Slot1_On=1,D34=Slot1_Age),1,0)</f>
        <v>0</v>
      </c>
      <c r="V34" s="1" t="n">
        <f aca="false">IF(AND(Slot1_On=1,Slot1_Age&gt;D34),1,0)</f>
        <v>0</v>
      </c>
      <c r="W34" s="1" t="n">
        <f aca="false">QL33</f>
        <v>0</v>
      </c>
      <c r="X34" s="1" t="n">
        <f aca="false">U34*MIN(Slot1_Cost,W34)</f>
        <v>0</v>
      </c>
      <c r="Y34" s="1" t="n">
        <f aca="false">U34*Slot1_SpendLike*MIN(Slot1_Cost-X34,S34)</f>
        <v>0</v>
      </c>
      <c r="Z34" s="1" t="n">
        <f aca="false">X34+Y34</f>
        <v>0</v>
      </c>
      <c r="AA34" s="1" t="n">
        <f aca="false">S34-Y34+U34*IF(Slot1_SpendLike=1,W34-X34,IF(Slot1_PotFree=1,W34,0))</f>
        <v>0</v>
      </c>
      <c r="AB34" s="1" t="n">
        <f aca="false">AE34+U34*Slot1_BufPot*W34</f>
        <v>0</v>
      </c>
      <c r="AC34" s="1" t="n">
        <f aca="false">IF(AND(U34=1,Slot1_IsMfree=1),IF(Z34&gt;=Slot1_Cost-1,0,MAX(0,K34-Z34)),K34)</f>
        <v>0</v>
      </c>
      <c r="AD34" s="1" t="n">
        <f aca="false">U34*(Slot1_Cost-Z34)</f>
        <v>0</v>
      </c>
      <c r="AE34" s="1" t="n">
        <f aca="false">QK33</f>
        <v>0</v>
      </c>
      <c r="AF34" s="1" t="n">
        <f aca="false">IF(AND(Slot2_On=1,D34=Slot2_Age),1,0)</f>
        <v>0</v>
      </c>
      <c r="AG34" s="1" t="n">
        <f aca="false">IF(AND(Slot2_On=1,Slot2_Age&gt;D34),1,0)</f>
        <v>0</v>
      </c>
      <c r="AH34" s="1" t="n">
        <f aca="false">QP33</f>
        <v>0</v>
      </c>
      <c r="AI34" s="1" t="n">
        <f aca="false">AF34*MIN(Slot2_Cost,AH34)</f>
        <v>0</v>
      </c>
      <c r="AJ34" s="1" t="n">
        <f aca="false">AF34*Slot2_SpendLike*MIN(Slot2_Cost-AI34,AA34)</f>
        <v>0</v>
      </c>
      <c r="AK34" s="1" t="n">
        <f aca="false">AI34+AJ34</f>
        <v>0</v>
      </c>
      <c r="AL34" s="1" t="n">
        <f aca="false">AA34-AJ34+AF34*IF(Slot2_SpendLike=1,AH34-AI34,IF(Slot2_PotFree=1,AH34,0))</f>
        <v>0</v>
      </c>
      <c r="AM34" s="1" t="n">
        <f aca="false">AB34+AF34*Slot2_BufPot*AH34</f>
        <v>0</v>
      </c>
      <c r="AN34" s="1" t="n">
        <f aca="false">IF(AND(AF34=1,Slot2_IsMfree=1),IF(AK34&gt;=Slot2_Cost-1,0,MAX(0,AC34-AK34)),AC34)</f>
        <v>0</v>
      </c>
      <c r="AO34" s="1" t="n">
        <f aca="false">AF34*(Slot2_Cost-AK34)</f>
        <v>0</v>
      </c>
      <c r="AP34" s="1" t="n">
        <f aca="false">IF(AND(Slot3_On=1,D34=Slot3_Age),1,0)</f>
        <v>0</v>
      </c>
      <c r="AQ34" s="1" t="n">
        <f aca="false">IF(AND(Slot3_On=1,Slot3_Age&gt;D34),1,0)</f>
        <v>0</v>
      </c>
      <c r="AR34" s="1" t="n">
        <f aca="false">QT33</f>
        <v>0</v>
      </c>
      <c r="AS34" s="1" t="n">
        <f aca="false">AP34*MIN(Slot3_Cost,AR34)</f>
        <v>0</v>
      </c>
      <c r="AT34" s="1" t="n">
        <f aca="false">AP34*Slot3_SpendLike*MIN(Slot3_Cost-AS34,AL34)</f>
        <v>0</v>
      </c>
      <c r="AU34" s="1" t="n">
        <f aca="false">AS34+AT34</f>
        <v>0</v>
      </c>
      <c r="AV34" s="1" t="n">
        <f aca="false">AL34-AT34+AP34*IF(Slot3_SpendLike=1,AR34-AS34,IF(Slot3_PotFree=1,AR34,0))</f>
        <v>0</v>
      </c>
      <c r="AW34" s="1" t="n">
        <f aca="false">AM34+AP34*Slot3_BufPot*AR34</f>
        <v>0</v>
      </c>
      <c r="AX34" s="1" t="n">
        <f aca="false">IF(AND(AP34=1,Slot3_IsMfree=1),IF(AU34&gt;=Slot3_Cost-1,0,MAX(0,AN34-AU34)),AN34)</f>
        <v>0</v>
      </c>
      <c r="AY34" s="1" t="n">
        <f aca="false">AP34*(Slot3_Cost-AU34)</f>
        <v>0</v>
      </c>
      <c r="AZ34" s="1" t="n">
        <f aca="false">IF(AND(Slot4_On=1,D34=Slot4_Age),1,0)</f>
        <v>0</v>
      </c>
      <c r="BA34" s="1" t="n">
        <f aca="false">IF(AND(Slot4_On=1,Slot4_Age&gt;D34),1,0)</f>
        <v>0</v>
      </c>
      <c r="BB34" s="1" t="n">
        <f aca="false">QX33</f>
        <v>0</v>
      </c>
      <c r="BC34" s="1" t="n">
        <f aca="false">AZ34*MIN(Slot4_Cost,BB34)</f>
        <v>0</v>
      </c>
      <c r="BD34" s="1" t="n">
        <f aca="false">AZ34*Slot4_SpendLike*MIN(Slot4_Cost-BC34,AV34)</f>
        <v>0</v>
      </c>
      <c r="BE34" s="1" t="n">
        <f aca="false">BC34+BD34</f>
        <v>0</v>
      </c>
      <c r="BF34" s="1" t="n">
        <f aca="false">AV34-BD34+AZ34*IF(Slot4_SpendLike=1,BB34-BC34,IF(Slot4_PotFree=1,BB34,0))</f>
        <v>0</v>
      </c>
      <c r="BG34" s="1" t="n">
        <f aca="false">AW34+AZ34*Slot4_BufPot*BB34</f>
        <v>0</v>
      </c>
      <c r="BH34" s="1" t="n">
        <f aca="false">IF(AND(AZ34=1,Slot4_IsMfree=1),IF(BE34&gt;=Slot4_Cost-1,0,MAX(0,AX34-BE34)),AX34)</f>
        <v>0</v>
      </c>
      <c r="BI34" s="1" t="n">
        <f aca="false">AZ34*(Slot4_Cost-BE34)</f>
        <v>0</v>
      </c>
      <c r="BJ34" s="1" t="n">
        <f aca="false">IF(AND(Slot5_On=1,D34=Slot5_Age),1,0)</f>
        <v>0</v>
      </c>
      <c r="BK34" s="1" t="n">
        <f aca="false">IF(AND(Slot5_On=1,Slot5_Age&gt;D34),1,0)</f>
        <v>0</v>
      </c>
      <c r="BL34" s="1" t="n">
        <f aca="false">RB33</f>
        <v>0</v>
      </c>
      <c r="BM34" s="1" t="n">
        <f aca="false">BJ34*MIN(Slot5_Cost,BL34)</f>
        <v>0</v>
      </c>
      <c r="BN34" s="1" t="n">
        <f aca="false">BJ34*Slot5_SpendLike*MIN(Slot5_Cost-BM34,BF34)</f>
        <v>0</v>
      </c>
      <c r="BO34" s="1" t="n">
        <f aca="false">BM34+BN34</f>
        <v>0</v>
      </c>
      <c r="BP34" s="1" t="n">
        <f aca="false">BF34-BN34+BJ34*IF(Slot5_SpendLike=1,BL34-BM34,IF(Slot5_PotFree=1,BL34,0))</f>
        <v>0</v>
      </c>
      <c r="BQ34" s="1" t="n">
        <f aca="false">BG34+BJ34*Slot5_BufPot*BL34</f>
        <v>0</v>
      </c>
      <c r="BR34" s="1" t="n">
        <f aca="false">IF(AND(BJ34=1,Slot5_IsMfree=1),IF(BO34&gt;=Slot5_Cost-1,0,MAX(0,BH34-BO34)),BH34)</f>
        <v>0</v>
      </c>
      <c r="BS34" s="1" t="n">
        <f aca="false">BJ34*(Slot5_Cost-BO34)</f>
        <v>0</v>
      </c>
      <c r="BT34" s="1" t="n">
        <f aca="false">IF(AND(Slot6_On=1,D34=Slot6_Age),1,0)</f>
        <v>0</v>
      </c>
      <c r="BU34" s="1" t="n">
        <f aca="false">IF(AND(Slot6_On=1,Slot6_Age&gt;D34),1,0)</f>
        <v>0</v>
      </c>
      <c r="BV34" s="1" t="n">
        <f aca="false">RF33</f>
        <v>0</v>
      </c>
      <c r="BW34" s="1" t="n">
        <f aca="false">BT34*MIN(Slot6_Cost,BV34)</f>
        <v>0</v>
      </c>
      <c r="BX34" s="1" t="n">
        <f aca="false">BT34*Slot6_SpendLike*MIN(Slot6_Cost-BW34,BP34)</f>
        <v>0</v>
      </c>
      <c r="BY34" s="1" t="n">
        <f aca="false">BW34+BX34</f>
        <v>0</v>
      </c>
      <c r="BZ34" s="1" t="n">
        <f aca="false">BP34-BX34+BT34*IF(Slot6_SpendLike=1,BV34-BW34,IF(Slot6_PotFree=1,BV34,0))</f>
        <v>0</v>
      </c>
      <c r="CA34" s="1" t="n">
        <f aca="false">BQ34+BT34*Slot6_BufPot*BV34</f>
        <v>0</v>
      </c>
      <c r="CB34" s="1" t="n">
        <f aca="false">IF(AND(BT34=1,Slot6_IsMfree=1),IF(BY34&gt;=Slot6_Cost-1,0,MAX(0,BR34-BY34)),BR34)</f>
        <v>0</v>
      </c>
      <c r="CC34" s="1" t="n">
        <f aca="false">BT34*(Slot6_Cost-BY34)</f>
        <v>0</v>
      </c>
      <c r="CD34" s="1" t="n">
        <f aca="false">IF(AND(Slot7_On=1,D34=Slot7_Age),1,0)</f>
        <v>0</v>
      </c>
      <c r="CE34" s="1" t="n">
        <f aca="false">IF(AND(Slot7_On=1,Slot7_Age&gt;D34),1,0)</f>
        <v>0</v>
      </c>
      <c r="CF34" s="1" t="n">
        <f aca="false">RJ33</f>
        <v>0</v>
      </c>
      <c r="CG34" s="1" t="n">
        <f aca="false">CD34*MIN(Slot7_Cost,CF34)</f>
        <v>0</v>
      </c>
      <c r="CH34" s="1" t="n">
        <f aca="false">CD34*Slot7_SpendLike*MIN(Slot7_Cost-CG34,BZ34)</f>
        <v>0</v>
      </c>
      <c r="CI34" s="1" t="n">
        <f aca="false">CG34+CH34</f>
        <v>0</v>
      </c>
      <c r="CJ34" s="1" t="n">
        <f aca="false">BZ34-CH34+CD34*IF(Slot7_SpendLike=1,CF34-CG34,IF(Slot7_PotFree=1,CF34,0))</f>
        <v>0</v>
      </c>
      <c r="CK34" s="1" t="n">
        <f aca="false">CA34+CD34*Slot7_BufPot*CF34</f>
        <v>0</v>
      </c>
      <c r="CL34" s="1" t="n">
        <f aca="false">IF(AND(CD34=1,Slot7_IsMfree=1),IF(CI34&gt;=Slot7_Cost-1,0,MAX(0,CB34-CI34)),CB34)</f>
        <v>0</v>
      </c>
      <c r="CM34" s="1" t="n">
        <f aca="false">CD34*(Slot7_Cost-CI34)</f>
        <v>0</v>
      </c>
      <c r="CN34" s="1" t="n">
        <f aca="false">IF(AND(Slot8_On=1,D34=Slot8_Age),1,0)</f>
        <v>0</v>
      </c>
      <c r="CO34" s="1" t="n">
        <f aca="false">IF(AND(Slot8_On=1,Slot8_Age&gt;D34),1,0)</f>
        <v>0</v>
      </c>
      <c r="CP34" s="1" t="n">
        <f aca="false">RN33</f>
        <v>0</v>
      </c>
      <c r="CQ34" s="1" t="n">
        <f aca="false">CN34*MIN(Slot8_Cost,CP34)</f>
        <v>0</v>
      </c>
      <c r="CR34" s="1" t="n">
        <f aca="false">CN34*Slot8_SpendLike*MIN(Slot8_Cost-CQ34,CJ34)</f>
        <v>0</v>
      </c>
      <c r="CS34" s="1" t="n">
        <f aca="false">CQ34+CR34</f>
        <v>0</v>
      </c>
      <c r="CT34" s="1" t="n">
        <f aca="false">CJ34-CR34+CN34*IF(Slot8_SpendLike=1,CP34-CQ34,IF(Slot8_PotFree=1,CP34,0))</f>
        <v>0</v>
      </c>
      <c r="CU34" s="1" t="n">
        <f aca="false">CK34+CN34*Slot8_BufPot*CP34</f>
        <v>0</v>
      </c>
      <c r="CV34" s="1" t="n">
        <f aca="false">IF(AND(CN34=1,Slot8_IsMfree=1),IF(CS34&gt;=Slot8_Cost-1,0,MAX(0,CL34-CS34)),CL34)</f>
        <v>0</v>
      </c>
      <c r="CW34" s="1" t="n">
        <f aca="false">CN34*(Slot8_Cost-CS34)</f>
        <v>0</v>
      </c>
      <c r="CX34" s="1" t="n">
        <f aca="false">IF(AND(Slot9_On=1,D34=Slot9_Age),1,0)</f>
        <v>0</v>
      </c>
      <c r="CY34" s="1" t="n">
        <f aca="false">IF(AND(Slot9_On=1,Slot9_Age&gt;D34),1,0)</f>
        <v>0</v>
      </c>
      <c r="CZ34" s="1" t="n">
        <f aca="false">RR33</f>
        <v>0</v>
      </c>
      <c r="DA34" s="1" t="n">
        <f aca="false">CX34*MIN(Slot9_Cost,CZ34)</f>
        <v>0</v>
      </c>
      <c r="DB34" s="1" t="n">
        <f aca="false">CX34*Slot9_SpendLike*MIN(Slot9_Cost-DA34,CT34)</f>
        <v>0</v>
      </c>
      <c r="DC34" s="1" t="n">
        <f aca="false">DA34+DB34</f>
        <v>0</v>
      </c>
      <c r="DD34" s="1" t="n">
        <f aca="false">CT34-DB34+CX34*IF(Slot9_SpendLike=1,CZ34-DA34,IF(Slot9_PotFree=1,CZ34,0))</f>
        <v>0</v>
      </c>
      <c r="DE34" s="1" t="n">
        <f aca="false">CU34+CX34*Slot9_BufPot*CZ34</f>
        <v>0</v>
      </c>
      <c r="DF34" s="1" t="n">
        <f aca="false">IF(AND(CX34=1,Slot9_IsMfree=1),IF(DC34&gt;=Slot9_Cost-1,0,MAX(0,CV34-DC34)),CV34)</f>
        <v>0</v>
      </c>
      <c r="DG34" s="1" t="n">
        <f aca="false">CX34*(Slot9_Cost-DC34)</f>
        <v>0</v>
      </c>
      <c r="DH34" s="1" t="n">
        <f aca="false">IF(AND(Slot10_On=1,D34=Slot10_Age),1,0)</f>
        <v>0</v>
      </c>
      <c r="DI34" s="1" t="n">
        <f aca="false">IF(AND(Slot10_On=1,Slot10_Age&gt;D34),1,0)</f>
        <v>0</v>
      </c>
      <c r="DJ34" s="1" t="n">
        <f aca="false">RV33</f>
        <v>0</v>
      </c>
      <c r="DK34" s="1" t="n">
        <f aca="false">DH34*MIN(Slot10_Cost,DJ34)</f>
        <v>0</v>
      </c>
      <c r="DL34" s="1" t="n">
        <f aca="false">DH34*Slot10_SpendLike*MIN(Slot10_Cost-DK34,DD34)</f>
        <v>0</v>
      </c>
      <c r="DM34" s="1" t="n">
        <f aca="false">DK34+DL34</f>
        <v>0</v>
      </c>
      <c r="DN34" s="1" t="n">
        <f aca="false">DD34-DL34+DH34*IF(Slot10_SpendLike=1,DJ34-DK34,IF(Slot10_PotFree=1,DJ34,0))</f>
        <v>0</v>
      </c>
      <c r="DO34" s="1" t="n">
        <f aca="false">DE34+DH34*Slot10_BufPot*DJ34</f>
        <v>0</v>
      </c>
      <c r="DP34" s="1" t="n">
        <f aca="false">IF(AND(DH34=1,Slot10_IsMfree=1),IF(DM34&gt;=Slot10_Cost-1,0,MAX(0,DF34-DM34)),DF34)</f>
        <v>0</v>
      </c>
      <c r="DQ34" s="1" t="n">
        <f aca="false">DH34*(Slot10_Cost-DM34)</f>
        <v>0</v>
      </c>
      <c r="DR34" s="1" t="n">
        <f aca="false">IF(AND(Slot11_On=1,D34=Slot11_Age),1,0)</f>
        <v>0</v>
      </c>
      <c r="DS34" s="1" t="n">
        <f aca="false">IF(AND(Slot11_On=1,Slot11_Age&gt;D34),1,0)</f>
        <v>0</v>
      </c>
      <c r="DT34" s="1" t="n">
        <f aca="false">RZ33</f>
        <v>0</v>
      </c>
      <c r="DU34" s="1" t="n">
        <f aca="false">DR34*MIN(Slot11_Cost,DT34)</f>
        <v>0</v>
      </c>
      <c r="DV34" s="1" t="n">
        <f aca="false">DR34*Slot11_SpendLike*MIN(Slot11_Cost-DU34,DN34)</f>
        <v>0</v>
      </c>
      <c r="DW34" s="1" t="n">
        <f aca="false">DU34+DV34</f>
        <v>0</v>
      </c>
      <c r="DX34" s="1" t="n">
        <f aca="false">DN34-DV34+DR34*IF(Slot11_SpendLike=1,DT34-DU34,IF(Slot11_PotFree=1,DT34,0))</f>
        <v>0</v>
      </c>
      <c r="DY34" s="1" t="n">
        <f aca="false">DO34+DR34*Slot11_BufPot*DT34</f>
        <v>0</v>
      </c>
      <c r="DZ34" s="1" t="n">
        <f aca="false">IF(AND(DR34=1,Slot11_IsMfree=1),IF(DW34&gt;=Slot11_Cost-1,0,MAX(0,DP34-DW34)),DP34)</f>
        <v>0</v>
      </c>
      <c r="EA34" s="1" t="n">
        <f aca="false">DR34*(Slot11_Cost-DW34)</f>
        <v>0</v>
      </c>
      <c r="EB34" s="1" t="n">
        <f aca="false">IF(AND(Slot12_On=1,D34=Slot12_Age),1,0)</f>
        <v>0</v>
      </c>
      <c r="EC34" s="1" t="n">
        <f aca="false">IF(AND(Slot12_On=1,Slot12_Age&gt;D34),1,0)</f>
        <v>0</v>
      </c>
      <c r="ED34" s="1" t="n">
        <f aca="false">SD33</f>
        <v>0</v>
      </c>
      <c r="EE34" s="1" t="n">
        <f aca="false">EB34*MIN(Slot12_Cost,ED34)</f>
        <v>0</v>
      </c>
      <c r="EF34" s="1" t="n">
        <f aca="false">EB34*Slot12_SpendLike*MIN(Slot12_Cost-EE34,DX34)</f>
        <v>0</v>
      </c>
      <c r="EG34" s="1" t="n">
        <f aca="false">EE34+EF34</f>
        <v>0</v>
      </c>
      <c r="EH34" s="1" t="n">
        <f aca="false">DX34-EF34+EB34*IF(Slot12_SpendLike=1,ED34-EE34,IF(Slot12_PotFree=1,ED34,0))</f>
        <v>0</v>
      </c>
      <c r="EI34" s="1" t="n">
        <f aca="false">DY34+EB34*Slot12_BufPot*ED34</f>
        <v>0</v>
      </c>
      <c r="EJ34" s="1" t="n">
        <f aca="false">IF(AND(EB34=1,Slot12_IsMfree=1),IF(EG34&gt;=Slot12_Cost-1,0,MAX(0,DZ34-EG34)),DZ34)</f>
        <v>0</v>
      </c>
      <c r="EK34" s="1" t="n">
        <f aca="false">EB34*(Slot12_Cost-EG34)</f>
        <v>0</v>
      </c>
      <c r="EL34" s="1" t="n">
        <f aca="false">IF(AND(Slot13_On=1,D34=Slot13_Age),1,0)</f>
        <v>0</v>
      </c>
      <c r="EM34" s="1" t="n">
        <f aca="false">IF(AND(Slot13_On=1,Slot13_Age&gt;D34),1,0)</f>
        <v>0</v>
      </c>
      <c r="EN34" s="1" t="n">
        <f aca="false">SH33</f>
        <v>0</v>
      </c>
      <c r="EO34" s="1" t="n">
        <f aca="false">EL34*MIN(Slot13_Cost,EN34)</f>
        <v>0</v>
      </c>
      <c r="EP34" s="1" t="n">
        <f aca="false">EL34*Slot13_SpendLike*MIN(Slot13_Cost-EO34,EH34)</f>
        <v>0</v>
      </c>
      <c r="EQ34" s="1" t="n">
        <f aca="false">EO34+EP34</f>
        <v>0</v>
      </c>
      <c r="ER34" s="1" t="n">
        <f aca="false">EH34-EP34+EL34*IF(Slot13_SpendLike=1,EN34-EO34,IF(Slot13_PotFree=1,EN34,0))</f>
        <v>0</v>
      </c>
      <c r="ES34" s="1" t="n">
        <f aca="false">EI34+EL34*Slot13_BufPot*EN34</f>
        <v>0</v>
      </c>
      <c r="ET34" s="1" t="n">
        <f aca="false">IF(AND(EL34=1,Slot13_IsMfree=1),IF(EQ34&gt;=Slot13_Cost-1,0,MAX(0,EJ34-EQ34)),EJ34)</f>
        <v>0</v>
      </c>
      <c r="EU34" s="1" t="n">
        <f aca="false">EL34*(Slot13_Cost-EQ34)</f>
        <v>0</v>
      </c>
      <c r="EV34" s="1" t="n">
        <f aca="false">IF(AND(Slot14_On=1,D34=Slot14_Age),1,0)</f>
        <v>0</v>
      </c>
      <c r="EW34" s="1" t="n">
        <f aca="false">IF(AND(Slot14_On=1,Slot14_Age&gt;D34),1,0)</f>
        <v>0</v>
      </c>
      <c r="EX34" s="1" t="n">
        <f aca="false">SL33</f>
        <v>0</v>
      </c>
      <c r="EY34" s="1" t="n">
        <f aca="false">EV34*MIN(Slot14_Cost,EX34)</f>
        <v>0</v>
      </c>
      <c r="EZ34" s="1" t="n">
        <f aca="false">EV34*Slot14_SpendLike*MIN(Slot14_Cost-EY34,ER34)</f>
        <v>0</v>
      </c>
      <c r="FA34" s="1" t="n">
        <f aca="false">EY34+EZ34</f>
        <v>0</v>
      </c>
      <c r="FB34" s="1" t="n">
        <f aca="false">ER34-EZ34+EV34*IF(Slot14_SpendLike=1,EX34-EY34,IF(Slot14_PotFree=1,EX34,0))</f>
        <v>0</v>
      </c>
      <c r="FC34" s="1" t="n">
        <f aca="false">ES34+EV34*Slot14_BufPot*EX34</f>
        <v>0</v>
      </c>
      <c r="FD34" s="1" t="n">
        <f aca="false">IF(AND(EV34=1,Slot14_IsMfree=1),IF(FA34&gt;=Slot14_Cost-1,0,MAX(0,ET34-FA34)),ET34)</f>
        <v>0</v>
      </c>
      <c r="FE34" s="1" t="n">
        <f aca="false">EV34*(Slot14_Cost-FA34)</f>
        <v>0</v>
      </c>
      <c r="FF34" s="1" t="n">
        <f aca="false">IF(AND(Slot15_On=1,D34=Slot15_Age),1,0)</f>
        <v>0</v>
      </c>
      <c r="FG34" s="1" t="n">
        <f aca="false">IF(AND(Slot15_On=1,Slot15_Age&gt;D34),1,0)</f>
        <v>0</v>
      </c>
      <c r="FH34" s="1" t="n">
        <f aca="false">SP33</f>
        <v>0</v>
      </c>
      <c r="FI34" s="1" t="n">
        <f aca="false">FF34*MIN(Slot15_Cost,FH34)</f>
        <v>0</v>
      </c>
      <c r="FJ34" s="1" t="n">
        <f aca="false">FF34*Slot15_SpendLike*MIN(Slot15_Cost-FI34,FB34)</f>
        <v>0</v>
      </c>
      <c r="FK34" s="1" t="n">
        <f aca="false">FI34+FJ34</f>
        <v>0</v>
      </c>
      <c r="FL34" s="1" t="n">
        <f aca="false">FB34-FJ34+FF34*IF(Slot15_SpendLike=1,FH34-FI34,IF(Slot15_PotFree=1,FH34,0))</f>
        <v>0</v>
      </c>
      <c r="FM34" s="1" t="n">
        <f aca="false">FC34+FF34*Slot15_BufPot*FH34</f>
        <v>0</v>
      </c>
      <c r="FN34" s="1" t="n">
        <f aca="false">IF(AND(FF34=1,Slot15_IsMfree=1),IF(FK34&gt;=Slot15_Cost-1,0,MAX(0,FD34-FK34)),FD34)</f>
        <v>0</v>
      </c>
      <c r="FO34" s="1" t="n">
        <f aca="false">FF34*(Slot15_Cost-FK34)</f>
        <v>0</v>
      </c>
      <c r="FP34" s="1" t="n">
        <f aca="false">IF(AND(Slot16_On=1,D34=Slot16_Age),1,0)</f>
        <v>0</v>
      </c>
      <c r="FQ34" s="1" t="n">
        <f aca="false">IF(AND(Slot16_On=1,Slot16_Age&gt;D34),1,0)</f>
        <v>0</v>
      </c>
      <c r="FR34" s="1" t="n">
        <f aca="false">ST33</f>
        <v>0</v>
      </c>
      <c r="FS34" s="1" t="n">
        <f aca="false">FP34*MIN(Slot16_Cost,FR34)</f>
        <v>0</v>
      </c>
      <c r="FT34" s="1" t="n">
        <f aca="false">FP34*Slot16_SpendLike*MIN(Slot16_Cost-FS34,FL34)</f>
        <v>0</v>
      </c>
      <c r="FU34" s="1" t="n">
        <f aca="false">FS34+FT34</f>
        <v>0</v>
      </c>
      <c r="FV34" s="1" t="n">
        <f aca="false">FL34-FT34+FP34*IF(Slot16_SpendLike=1,FR34-FS34,IF(Slot16_PotFree=1,FR34,0))</f>
        <v>0</v>
      </c>
      <c r="FW34" s="1" t="n">
        <f aca="false">FM34+FP34*Slot16_BufPot*FR34</f>
        <v>0</v>
      </c>
      <c r="FX34" s="1" t="n">
        <f aca="false">IF(AND(FP34=1,Slot16_IsMfree=1),IF(FU34&gt;=Slot16_Cost-1,0,MAX(0,FN34-FU34)),FN34)</f>
        <v>0</v>
      </c>
      <c r="FY34" s="1" t="n">
        <f aca="false">FP34*(Slot16_Cost-FU34)</f>
        <v>0</v>
      </c>
      <c r="FZ34" s="1" t="n">
        <f aca="false">IF(AND(Slot17_On=1,D34=Slot17_Age),1,0)</f>
        <v>0</v>
      </c>
      <c r="GA34" s="1" t="n">
        <f aca="false">IF(AND(Slot17_On=1,Slot17_Age&gt;D34),1,0)</f>
        <v>0</v>
      </c>
      <c r="GB34" s="1" t="n">
        <f aca="false">SX33</f>
        <v>0</v>
      </c>
      <c r="GC34" s="1" t="n">
        <f aca="false">FZ34*MIN(Slot17_Cost,GB34)</f>
        <v>0</v>
      </c>
      <c r="GD34" s="1" t="n">
        <f aca="false">FZ34*Slot17_SpendLike*MIN(Slot17_Cost-GC34,FV34)</f>
        <v>0</v>
      </c>
      <c r="GE34" s="1" t="n">
        <f aca="false">GC34+GD34</f>
        <v>0</v>
      </c>
      <c r="GF34" s="1" t="n">
        <f aca="false">FV34-GD34+FZ34*IF(Slot17_SpendLike=1,GB34-GC34,IF(Slot17_PotFree=1,GB34,0))</f>
        <v>0</v>
      </c>
      <c r="GG34" s="1" t="n">
        <f aca="false">FW34+FZ34*Slot17_BufPot*GB34</f>
        <v>0</v>
      </c>
      <c r="GH34" s="1" t="n">
        <f aca="false">IF(AND(FZ34=1,Slot17_IsMfree=1),IF(GE34&gt;=Slot17_Cost-1,0,MAX(0,FX34-GE34)),FX34)</f>
        <v>0</v>
      </c>
      <c r="GI34" s="1" t="n">
        <f aca="false">FZ34*(Slot17_Cost-GE34)</f>
        <v>0</v>
      </c>
      <c r="GJ34" s="1" t="n">
        <f aca="false">IF(AND(Slot18_On=1,D34=Slot18_Age),1,0)</f>
        <v>0</v>
      </c>
      <c r="GK34" s="1" t="n">
        <f aca="false">IF(AND(Slot18_On=1,Slot18_Age&gt;D34),1,0)</f>
        <v>0</v>
      </c>
      <c r="GL34" s="1" t="n">
        <f aca="false">TB33</f>
        <v>0</v>
      </c>
      <c r="GM34" s="1" t="n">
        <f aca="false">GJ34*MIN(Slot18_Cost,GL34)</f>
        <v>0</v>
      </c>
      <c r="GN34" s="1" t="n">
        <f aca="false">GJ34*Slot18_SpendLike*MIN(Slot18_Cost-GM34,GF34)</f>
        <v>0</v>
      </c>
      <c r="GO34" s="1" t="n">
        <f aca="false">GM34+GN34</f>
        <v>0</v>
      </c>
      <c r="GP34" s="1" t="n">
        <f aca="false">GF34-GN34+GJ34*IF(Slot18_SpendLike=1,GL34-GM34,IF(Slot18_PotFree=1,GL34,0))</f>
        <v>0</v>
      </c>
      <c r="GQ34" s="1" t="n">
        <f aca="false">GG34+GJ34*Slot18_BufPot*GL34</f>
        <v>0</v>
      </c>
      <c r="GR34" s="1" t="n">
        <f aca="false">IF(AND(GJ34=1,Slot18_IsMfree=1),IF(GO34&gt;=Slot18_Cost-1,0,MAX(0,GH34-GO34)),GH34)</f>
        <v>0</v>
      </c>
      <c r="GS34" s="1" t="n">
        <f aca="false">GJ34*(Slot18_Cost-GO34)</f>
        <v>0</v>
      </c>
      <c r="GT34" s="1" t="n">
        <f aca="false">IF(AND(Slot19_On=1,D34=Slot19_Age),1,0)</f>
        <v>0</v>
      </c>
      <c r="GU34" s="1" t="n">
        <f aca="false">IF(AND(Slot19_On=1,Slot19_Age&gt;D34),1,0)</f>
        <v>0</v>
      </c>
      <c r="GV34" s="1" t="n">
        <f aca="false">TF33</f>
        <v>0</v>
      </c>
      <c r="GW34" s="1" t="n">
        <f aca="false">GT34*MIN(Slot19_Cost,GV34)</f>
        <v>0</v>
      </c>
      <c r="GX34" s="1" t="n">
        <f aca="false">GT34*Slot19_SpendLike*MIN(Slot19_Cost-GW34,GP34)</f>
        <v>0</v>
      </c>
      <c r="GY34" s="1" t="n">
        <f aca="false">GW34+GX34</f>
        <v>0</v>
      </c>
      <c r="GZ34" s="1" t="n">
        <f aca="false">GP34-GX34+GT34*IF(Slot19_SpendLike=1,GV34-GW34,IF(Slot19_PotFree=1,GV34,0))</f>
        <v>0</v>
      </c>
      <c r="HA34" s="1" t="n">
        <f aca="false">GQ34+GT34*Slot19_BufPot*GV34</f>
        <v>0</v>
      </c>
      <c r="HB34" s="1" t="n">
        <f aca="false">IF(AND(GT34=1,Slot19_IsMfree=1),IF(GY34&gt;=Slot19_Cost-1,0,MAX(0,GR34-GY34)),GR34)</f>
        <v>0</v>
      </c>
      <c r="HC34" s="1" t="n">
        <f aca="false">GT34*(Slot19_Cost-GY34)</f>
        <v>0</v>
      </c>
      <c r="HD34" s="1" t="n">
        <f aca="false">IF(AND(Slot20_On=1,D34=Slot20_Age),1,0)</f>
        <v>0</v>
      </c>
      <c r="HE34" s="1" t="n">
        <f aca="false">IF(AND(Slot20_On=1,Slot20_Age&gt;D34),1,0)</f>
        <v>0</v>
      </c>
      <c r="HF34" s="1" t="n">
        <f aca="false">TJ33</f>
        <v>0</v>
      </c>
      <c r="HG34" s="1" t="n">
        <f aca="false">HD34*MIN(Slot20_Cost,HF34)</f>
        <v>0</v>
      </c>
      <c r="HH34" s="1" t="n">
        <f aca="false">HD34*Slot20_SpendLike*MIN(Slot20_Cost-HG34,GZ34)</f>
        <v>0</v>
      </c>
      <c r="HI34" s="1" t="n">
        <f aca="false">HG34+HH34</f>
        <v>0</v>
      </c>
      <c r="HJ34" s="1" t="n">
        <f aca="false">GZ34-HH34+HD34*IF(Slot20_SpendLike=1,HF34-HG34,IF(Slot20_PotFree=1,HF34,0))</f>
        <v>0</v>
      </c>
      <c r="HK34" s="1" t="n">
        <f aca="false">HA34+HD34*Slot20_BufPot*HF34</f>
        <v>0</v>
      </c>
      <c r="HL34" s="1" t="n">
        <f aca="false">IF(AND(HD34=1,Slot20_IsMfree=1),IF(HI34&gt;=Slot20_Cost-1,0,MAX(0,HB34-HI34)),HB34)</f>
        <v>0</v>
      </c>
      <c r="HM34" s="1" t="n">
        <f aca="false">HD34*(Slot20_Cost-HI34)</f>
        <v>0</v>
      </c>
      <c r="HN34" s="1" t="n">
        <f aca="false">U34*Slot1_SpendLike*Z34+AF34*Slot2_SpendLike*AK34+AP34*Slot3_SpendLike*AU34+AZ34*Slot4_SpendLike*BE34+BJ34*Slot5_SpendLike*BO34+BT34*Slot6_SpendLike*BY34+CD34*Slot7_SpendLike*CI34+CN34*Slot8_SpendLike*CS34+CX34*Slot9_SpendLike*DC34+DH34*Slot10_SpendLike*DM34+DR34*Slot11_SpendLike*DW34+EB34*Slot12_SpendLike*EG34+EL34*Slot13_SpendLike*EQ34+EV34*Slot14_SpendLike*FA34+FF34*Slot15_SpendLike*FK34+FP34*Slot16_SpendLike*FU34+FZ34*Slot17_SpendLike*GE34+GJ34*Slot18_SpendLike*GO34+GT34*Slot19_SpendLike*GY34+HD34*Slot20_SpendLike*HI34</f>
        <v>0</v>
      </c>
      <c r="HO34" s="1" t="n">
        <f aca="false">AD34+AO34+AY34+BI34+BS34+CC34+CM34+CW34+DG34+DQ34+EA34+EK34+EU34+FE34+FO34+FY34+GI34+GS34+HC34+HM34</f>
        <v>0</v>
      </c>
      <c r="HP34" s="1" t="n">
        <f aca="false">U34*Slot1_Cost+AF34*Slot2_Cost+AP34*Slot3_Cost+AZ34*Slot4_Cost+BJ34*Slot5_Cost+BT34*Slot6_Cost+CD34*Slot7_Cost+CN34*Slot8_Cost+CX34*Slot9_Cost+DH34*Slot10_Cost+DR34*Slot11_Cost+EB34*Slot12_Cost+EL34*Slot13_Cost+EV34*Slot14_Cost+FF34*Slot15_Cost+FP34*Slot16_Cost+FZ34*Slot17_Cost+GJ34*Slot18_Cost+GT34*Slot19_Cost+HD34*Slot20_Cost</f>
        <v>0</v>
      </c>
      <c r="HQ34" s="1" t="n">
        <f aca="false">HL34</f>
        <v>0</v>
      </c>
      <c r="HR34" s="1" t="n">
        <f aca="false">G34-H34-R34</f>
        <v>0</v>
      </c>
      <c r="HS34" s="1" t="n">
        <f aca="false">IF(B34=0,IF(AND(Has_q6=1,In_q6=4),PR_ShareVaries*(MAX(0,HR34)/12),MIN(IF(Has_q6=1,CHOOSE(In_q6+1,PR_SaveB1,PR_SaveB2,PR_SaveB3,PR_SaveB4,0),AS_NoAnswer),AS_SaveShare*(MAX(0,HR34)/12))),HS33)</f>
        <v>0</v>
      </c>
      <c r="HT34" s="1" t="n">
        <f aca="false">IF(HR34&gt;=0,1,0)</f>
        <v>1</v>
      </c>
      <c r="HU34" s="1" t="n">
        <f aca="false">MAX(0,HR34/12/E34)</f>
        <v>0</v>
      </c>
      <c r="HV34" s="1" t="n">
        <f aca="false">IF(AND(Has_q6=1,In_q6=4),PR_ShareVaries*(HU34),MIN(IF(Has_q6=1,CHOOSE(In_q6+1,PR_SaveB1,PR_SaveB2,PR_SaveB3,PR_SaveB4,0),AS_NoAnswer),AS_SaveShare*(HU34)))</f>
        <v>0</v>
      </c>
      <c r="HW34" s="1" t="n">
        <f aca="false">IF(Has_saveM=1,IF(In_saveUp="Yes",1,IF(In_saveUp="No",0,IF(In_saveM&gt;=HS34-0.5,1,0))),0)</f>
        <v>0</v>
      </c>
      <c r="HX34" s="1" t="n">
        <f aca="false">IF(Has_saveM=1,MIN(HU34,IF(HW34=1,MAX(In_saveM,HV34),MIN(In_saveM,HV34))),HV34)</f>
        <v>0</v>
      </c>
      <c r="HY34" s="1" t="n">
        <f aca="false">IF(F34=1,HX34*12*E34,0)</f>
        <v>0</v>
      </c>
      <c r="HZ34" s="1" t="n">
        <f aca="false">MAX(0,HY34+IF(AND(WI_Retire=0,WI_M&lt;0,F34=1),WI_M*12*E34,0))</f>
        <v>0</v>
      </c>
      <c r="IA34" s="1" t="n">
        <f aca="false">Slot1_IsWG*V34+Slot2_IsWG*AG34+Slot3_IsWG*AQ34+Slot4_IsWG*BA34+Slot5_IsWG*BK34+Slot6_IsWG*BU34+Slot7_IsWG*CE34+Slot8_IsWG*CO34+Slot9_IsWG*CY34+Slot10_IsWG*DI34+Slot11_IsWG*DS34+Slot12_IsWG*EC34+Slot13_IsWG*EM34+Slot14_IsWG*EW34+Slot15_IsWG*FG34+Slot16_IsWG*FQ34+Slot17_IsWG*GA34+Slot18_IsWG*GK34+Slot19_IsWG*GU34+Slot20_IsWG*HE34</f>
        <v>0</v>
      </c>
      <c r="IB34" s="1" t="n">
        <f aca="false">IF(AND(WI_Retire=0,WI_M&gt;0,F34=1,IA34&gt;=1),WI_M*12*E34,0)</f>
        <v>0</v>
      </c>
      <c r="IC34" s="1" t="n">
        <f aca="false">IF(HT34=1,MIN(HZ34,HR34),0)</f>
        <v>0</v>
      </c>
      <c r="ID34" s="1" t="n">
        <f aca="false">IF(HT34=1,MIN(IB34,HR34-IC34),0)</f>
        <v>0</v>
      </c>
      <c r="IE34" s="1" t="n">
        <f aca="false">IF(V34=1,IF(ABS((1+AS_Wage)/(1+Slot1_Rate)-1)&lt;0.000000000001,(Slot1_Age-D34)*(1+Slot1_Rate)^(Slot1_Age-D34),(1+Slot1_Rate)^(Slot1_Age-D34)*(1-((1+AS_Wage)/(1+Slot1_Rate))^(Slot1_Age-D34))/(1-(1+AS_Wage)/(1+Slot1_Rate))),1)</f>
        <v>1</v>
      </c>
      <c r="IF34" s="1" t="n">
        <f aca="false">IF(AND(HT34=1,ID34&gt;0,Slot1_IsWG=1,V34=1),MAX(0,(Slot1_Cost-W34*(1+Slot1_Rate)^(Slot1_Age-D34))/IE34),0)</f>
        <v>0</v>
      </c>
      <c r="IG34" s="1" t="n">
        <f aca="false">IF(AND(HT34=1,ID34&gt;0,Slot1_IsWG=1,V34=1),MIN(ID34,IF34),0)</f>
        <v>0</v>
      </c>
      <c r="IH34" s="1" t="n">
        <f aca="false">W34+IG34</f>
        <v>0</v>
      </c>
      <c r="II34" s="1" t="n">
        <f aca="false">IF(V34=1,MAX(0,(Slot1_Cost-IH34*(1+Slot1_Rate)^(Slot1_Age-D34))/IE34),0)</f>
        <v>0</v>
      </c>
      <c r="IJ34" s="1" t="n">
        <f aca="false">IF(V34=1,MAX(0,(Slot1_Cost-W34*(1+Slot1_Rate)^(Slot1_Age-D34))/IE34),0)</f>
        <v>0</v>
      </c>
      <c r="IK34" s="1" t="n">
        <f aca="false">IF(AND(HT34=1,V34=1),MIN(IC34,II34),0)</f>
        <v>0</v>
      </c>
      <c r="IL34" s="1" t="n">
        <f aca="false">IC34-IK34</f>
        <v>0</v>
      </c>
      <c r="IM34" s="1" t="n">
        <f aca="false">IF(AG34=1,IF(ABS((1+AS_Wage)/(1+Slot2_Rate)-1)&lt;0.000000000001,(Slot2_Age-D34)*(1+Slot2_Rate)^(Slot2_Age-D34),(1+Slot2_Rate)^(Slot2_Age-D34)*(1-((1+AS_Wage)/(1+Slot2_Rate))^(Slot2_Age-D34))/(1-(1+AS_Wage)/(1+Slot2_Rate))),1)</f>
        <v>1</v>
      </c>
      <c r="IN34" s="1" t="n">
        <f aca="false">IF(AND(HT34=1,ID34&gt;0,Slot2_IsWG=1,AG34=1),MAX(0,(Slot2_Cost-AH34*(1+Slot2_Rate)^(Slot2_Age-D34))/IM34),0)</f>
        <v>0</v>
      </c>
      <c r="IO34" s="1" t="n">
        <f aca="false">IF(AND(HT34=1,ID34&gt;0,Slot2_IsWG=1,AG34=1),MIN(ID34,IN34),0)</f>
        <v>0</v>
      </c>
      <c r="IP34" s="1" t="n">
        <f aca="false">AH34+IO34</f>
        <v>0</v>
      </c>
      <c r="IQ34" s="1" t="n">
        <f aca="false">IF(AG34=1,MAX(0,(Slot2_Cost-IP34*(1+Slot2_Rate)^(Slot2_Age-D34))/IM34),0)</f>
        <v>0</v>
      </c>
      <c r="IR34" s="1" t="n">
        <f aca="false">IF(AG34=1,MAX(0,(Slot2_Cost-AH34*(1+Slot2_Rate)^(Slot2_Age-D34))/IM34),0)</f>
        <v>0</v>
      </c>
      <c r="IS34" s="1" t="n">
        <f aca="false">IF(AND(HT34=1,AG34=1),MIN(IL34,IQ34),0)</f>
        <v>0</v>
      </c>
      <c r="IT34" s="1" t="n">
        <f aca="false">IL34-IS34</f>
        <v>0</v>
      </c>
      <c r="IU34" s="1" t="n">
        <f aca="false">IF(AQ34=1,IF(ABS((1+AS_Wage)/(1+Slot3_Rate)-1)&lt;0.000000000001,(Slot3_Age-D34)*(1+Slot3_Rate)^(Slot3_Age-D34),(1+Slot3_Rate)^(Slot3_Age-D34)*(1-((1+AS_Wage)/(1+Slot3_Rate))^(Slot3_Age-D34))/(1-(1+AS_Wage)/(1+Slot3_Rate))),1)</f>
        <v>1</v>
      </c>
      <c r="IV34" s="1" t="n">
        <f aca="false">IF(AND(HT34=1,ID34&gt;0,Slot3_IsWG=1,AQ34=1),MAX(0,(Slot3_Cost-AR34*(1+Slot3_Rate)^(Slot3_Age-D34))/IU34),0)</f>
        <v>0</v>
      </c>
      <c r="IW34" s="1" t="n">
        <f aca="false">IF(AND(HT34=1,ID34&gt;0,Slot3_IsWG=1,AQ34=1),MIN(ID34,IV34),0)</f>
        <v>0</v>
      </c>
      <c r="IX34" s="1" t="n">
        <f aca="false">AR34+IW34</f>
        <v>0</v>
      </c>
      <c r="IY34" s="1" t="n">
        <f aca="false">IF(AQ34=1,MAX(0,(Slot3_Cost-IX34*(1+Slot3_Rate)^(Slot3_Age-D34))/IU34),0)</f>
        <v>0</v>
      </c>
      <c r="IZ34" s="1" t="n">
        <f aca="false">IF(AQ34=1,MAX(0,(Slot3_Cost-AR34*(1+Slot3_Rate)^(Slot3_Age-D34))/IU34),0)</f>
        <v>0</v>
      </c>
      <c r="JA34" s="1" t="n">
        <f aca="false">IF(AND(HT34=1,AQ34=1),MIN(IT34,IY34),0)</f>
        <v>0</v>
      </c>
      <c r="JB34" s="1" t="n">
        <f aca="false">IT34-JA34</f>
        <v>0</v>
      </c>
      <c r="JC34" s="1" t="n">
        <f aca="false">IF(BA34=1,IF(ABS((1+AS_Wage)/(1+Slot4_Rate)-1)&lt;0.000000000001,(Slot4_Age-D34)*(1+Slot4_Rate)^(Slot4_Age-D34),(1+Slot4_Rate)^(Slot4_Age-D34)*(1-((1+AS_Wage)/(1+Slot4_Rate))^(Slot4_Age-D34))/(1-(1+AS_Wage)/(1+Slot4_Rate))),1)</f>
        <v>1</v>
      </c>
      <c r="JD34" s="1" t="n">
        <f aca="false">IF(AND(HT34=1,ID34&gt;0,Slot4_IsWG=1,BA34=1),MAX(0,(Slot4_Cost-BB34*(1+Slot4_Rate)^(Slot4_Age-D34))/JC34),0)</f>
        <v>0</v>
      </c>
      <c r="JE34" s="1" t="n">
        <f aca="false">IF(AND(HT34=1,ID34&gt;0,Slot4_IsWG=1,BA34=1),MIN(ID34,JD34),0)</f>
        <v>0</v>
      </c>
      <c r="JF34" s="1" t="n">
        <f aca="false">BB34+JE34</f>
        <v>0</v>
      </c>
      <c r="JG34" s="1" t="n">
        <f aca="false">IF(BA34=1,MAX(0,(Slot4_Cost-JF34*(1+Slot4_Rate)^(Slot4_Age-D34))/JC34),0)</f>
        <v>0</v>
      </c>
      <c r="JH34" s="1" t="n">
        <f aca="false">IF(BA34=1,MAX(0,(Slot4_Cost-BB34*(1+Slot4_Rate)^(Slot4_Age-D34))/JC34),0)</f>
        <v>0</v>
      </c>
      <c r="JI34" s="1" t="n">
        <f aca="false">IF(AND(HT34=1,BA34=1),MIN(JB34,JG34),0)</f>
        <v>0</v>
      </c>
      <c r="JJ34" s="1" t="n">
        <f aca="false">JB34-JI34</f>
        <v>0</v>
      </c>
      <c r="JK34" s="1" t="n">
        <f aca="false">IF(BK34=1,IF(ABS((1+AS_Wage)/(1+Slot5_Rate)-1)&lt;0.000000000001,(Slot5_Age-D34)*(1+Slot5_Rate)^(Slot5_Age-D34),(1+Slot5_Rate)^(Slot5_Age-D34)*(1-((1+AS_Wage)/(1+Slot5_Rate))^(Slot5_Age-D34))/(1-(1+AS_Wage)/(1+Slot5_Rate))),1)</f>
        <v>1</v>
      </c>
      <c r="JL34" s="1" t="n">
        <f aca="false">IF(AND(HT34=1,ID34&gt;0,Slot5_IsWG=1,BK34=1),MAX(0,(Slot5_Cost-BL34*(1+Slot5_Rate)^(Slot5_Age-D34))/JK34),0)</f>
        <v>0</v>
      </c>
      <c r="JM34" s="1" t="n">
        <f aca="false">IF(AND(HT34=1,ID34&gt;0,Slot5_IsWG=1,BK34=1),MIN(ID34,JL34),0)</f>
        <v>0</v>
      </c>
      <c r="JN34" s="1" t="n">
        <f aca="false">BL34+JM34</f>
        <v>0</v>
      </c>
      <c r="JO34" s="1" t="n">
        <f aca="false">IF(BK34=1,MAX(0,(Slot5_Cost-JN34*(1+Slot5_Rate)^(Slot5_Age-D34))/JK34),0)</f>
        <v>0</v>
      </c>
      <c r="JP34" s="1" t="n">
        <f aca="false">IF(BK34=1,MAX(0,(Slot5_Cost-BL34*(1+Slot5_Rate)^(Slot5_Age-D34))/JK34),0)</f>
        <v>0</v>
      </c>
      <c r="JQ34" s="1" t="n">
        <f aca="false">IF(AND(HT34=1,BK34=1),MIN(JJ34,JO34),0)</f>
        <v>0</v>
      </c>
      <c r="JR34" s="1" t="n">
        <f aca="false">JJ34-JQ34</f>
        <v>0</v>
      </c>
      <c r="JS34" s="1" t="n">
        <f aca="false">IF(BU34=1,IF(ABS((1+AS_Wage)/(1+Slot6_Rate)-1)&lt;0.000000000001,(Slot6_Age-D34)*(1+Slot6_Rate)^(Slot6_Age-D34),(1+Slot6_Rate)^(Slot6_Age-D34)*(1-((1+AS_Wage)/(1+Slot6_Rate))^(Slot6_Age-D34))/(1-(1+AS_Wage)/(1+Slot6_Rate))),1)</f>
        <v>1</v>
      </c>
      <c r="JT34" s="1" t="n">
        <f aca="false">IF(AND(HT34=1,ID34&gt;0,Slot6_IsWG=1,BU34=1),MAX(0,(Slot6_Cost-BV34*(1+Slot6_Rate)^(Slot6_Age-D34))/JS34),0)</f>
        <v>0</v>
      </c>
      <c r="JU34" s="1" t="n">
        <f aca="false">IF(AND(HT34=1,ID34&gt;0,Slot6_IsWG=1,BU34=1),MIN(ID34,JT34),0)</f>
        <v>0</v>
      </c>
      <c r="JV34" s="1" t="n">
        <f aca="false">BV34+JU34</f>
        <v>0</v>
      </c>
      <c r="JW34" s="1" t="n">
        <f aca="false">IF(BU34=1,MAX(0,(Slot6_Cost-JV34*(1+Slot6_Rate)^(Slot6_Age-D34))/JS34),0)</f>
        <v>0</v>
      </c>
      <c r="JX34" s="1" t="n">
        <f aca="false">IF(BU34=1,MAX(0,(Slot6_Cost-BV34*(1+Slot6_Rate)^(Slot6_Age-D34))/JS34),0)</f>
        <v>0</v>
      </c>
      <c r="JY34" s="1" t="n">
        <f aca="false">IF(AND(HT34=1,BU34=1),MIN(JR34,JW34),0)</f>
        <v>0</v>
      </c>
      <c r="JZ34" s="1" t="n">
        <f aca="false">JR34-JY34</f>
        <v>0</v>
      </c>
      <c r="KA34" s="1" t="n">
        <f aca="false">IF(CE34=1,IF(ABS((1+AS_Wage)/(1+Slot7_Rate)-1)&lt;0.000000000001,(Slot7_Age-D34)*(1+Slot7_Rate)^(Slot7_Age-D34),(1+Slot7_Rate)^(Slot7_Age-D34)*(1-((1+AS_Wage)/(1+Slot7_Rate))^(Slot7_Age-D34))/(1-(1+AS_Wage)/(1+Slot7_Rate))),1)</f>
        <v>1</v>
      </c>
      <c r="KB34" s="1" t="n">
        <f aca="false">IF(AND(HT34=1,ID34&gt;0,Slot7_IsWG=1,CE34=1),MAX(0,(Slot7_Cost-CF34*(1+Slot7_Rate)^(Slot7_Age-D34))/KA34),0)</f>
        <v>0</v>
      </c>
      <c r="KC34" s="1" t="n">
        <f aca="false">IF(AND(HT34=1,ID34&gt;0,Slot7_IsWG=1,CE34=1),MIN(ID34,KB34),0)</f>
        <v>0</v>
      </c>
      <c r="KD34" s="1" t="n">
        <f aca="false">CF34+KC34</f>
        <v>0</v>
      </c>
      <c r="KE34" s="1" t="n">
        <f aca="false">IF(CE34=1,MAX(0,(Slot7_Cost-KD34*(1+Slot7_Rate)^(Slot7_Age-D34))/KA34),0)</f>
        <v>0</v>
      </c>
      <c r="KF34" s="1" t="n">
        <f aca="false">IF(CE34=1,MAX(0,(Slot7_Cost-CF34*(1+Slot7_Rate)^(Slot7_Age-D34))/KA34),0)</f>
        <v>0</v>
      </c>
      <c r="KG34" s="1" t="n">
        <f aca="false">IF(AND(HT34=1,CE34=1),MIN(JZ34,KE34),0)</f>
        <v>0</v>
      </c>
      <c r="KH34" s="1" t="n">
        <f aca="false">JZ34-KG34</f>
        <v>0</v>
      </c>
      <c r="KI34" s="1" t="n">
        <f aca="false">IF(CO34=1,IF(ABS((1+AS_Wage)/(1+Slot8_Rate)-1)&lt;0.000000000001,(Slot8_Age-D34)*(1+Slot8_Rate)^(Slot8_Age-D34),(1+Slot8_Rate)^(Slot8_Age-D34)*(1-((1+AS_Wage)/(1+Slot8_Rate))^(Slot8_Age-D34))/(1-(1+AS_Wage)/(1+Slot8_Rate))),1)</f>
        <v>1</v>
      </c>
      <c r="KJ34" s="1" t="n">
        <f aca="false">IF(AND(HT34=1,ID34&gt;0,Slot8_IsWG=1,CO34=1),MAX(0,(Slot8_Cost-CP34*(1+Slot8_Rate)^(Slot8_Age-D34))/KI34),0)</f>
        <v>0</v>
      </c>
      <c r="KK34" s="1" t="n">
        <f aca="false">IF(AND(HT34=1,ID34&gt;0,Slot8_IsWG=1,CO34=1),MIN(ID34,KJ34),0)</f>
        <v>0</v>
      </c>
      <c r="KL34" s="1" t="n">
        <f aca="false">CP34+KK34</f>
        <v>0</v>
      </c>
      <c r="KM34" s="1" t="n">
        <f aca="false">IF(CO34=1,MAX(0,(Slot8_Cost-KL34*(1+Slot8_Rate)^(Slot8_Age-D34))/KI34),0)</f>
        <v>0</v>
      </c>
      <c r="KN34" s="1" t="n">
        <f aca="false">IF(CO34=1,MAX(0,(Slot8_Cost-CP34*(1+Slot8_Rate)^(Slot8_Age-D34))/KI34),0)</f>
        <v>0</v>
      </c>
      <c r="KO34" s="1" t="n">
        <f aca="false">IF(AND(HT34=1,CO34=1),MIN(KH34,KM34),0)</f>
        <v>0</v>
      </c>
      <c r="KP34" s="1" t="n">
        <f aca="false">KH34-KO34</f>
        <v>0</v>
      </c>
      <c r="KQ34" s="1" t="n">
        <f aca="false">IF(CY34=1,IF(ABS((1+AS_Wage)/(1+Slot9_Rate)-1)&lt;0.000000000001,(Slot9_Age-D34)*(1+Slot9_Rate)^(Slot9_Age-D34),(1+Slot9_Rate)^(Slot9_Age-D34)*(1-((1+AS_Wage)/(1+Slot9_Rate))^(Slot9_Age-D34))/(1-(1+AS_Wage)/(1+Slot9_Rate))),1)</f>
        <v>1</v>
      </c>
      <c r="KR34" s="1" t="n">
        <f aca="false">IF(AND(HT34=1,ID34&gt;0,Slot9_IsWG=1,CY34=1),MAX(0,(Slot9_Cost-CZ34*(1+Slot9_Rate)^(Slot9_Age-D34))/KQ34),0)</f>
        <v>0</v>
      </c>
      <c r="KS34" s="1" t="n">
        <f aca="false">IF(AND(HT34=1,ID34&gt;0,Slot9_IsWG=1,CY34=1),MIN(ID34,KR34),0)</f>
        <v>0</v>
      </c>
      <c r="KT34" s="1" t="n">
        <f aca="false">CZ34+KS34</f>
        <v>0</v>
      </c>
      <c r="KU34" s="1" t="n">
        <f aca="false">IF(CY34=1,MAX(0,(Slot9_Cost-KT34*(1+Slot9_Rate)^(Slot9_Age-D34))/KQ34),0)</f>
        <v>0</v>
      </c>
      <c r="KV34" s="1" t="n">
        <f aca="false">IF(CY34=1,MAX(0,(Slot9_Cost-CZ34*(1+Slot9_Rate)^(Slot9_Age-D34))/KQ34),0)</f>
        <v>0</v>
      </c>
      <c r="KW34" s="1" t="n">
        <f aca="false">IF(AND(HT34=1,CY34=1),MIN(KP34,KU34),0)</f>
        <v>0</v>
      </c>
      <c r="KX34" s="1" t="n">
        <f aca="false">KP34-KW34</f>
        <v>0</v>
      </c>
      <c r="KY34" s="1" t="n">
        <f aca="false">IF(DI34=1,IF(ABS((1+AS_Wage)/(1+Slot10_Rate)-1)&lt;0.000000000001,(Slot10_Age-D34)*(1+Slot10_Rate)^(Slot10_Age-D34),(1+Slot10_Rate)^(Slot10_Age-D34)*(1-((1+AS_Wage)/(1+Slot10_Rate))^(Slot10_Age-D34))/(1-(1+AS_Wage)/(1+Slot10_Rate))),1)</f>
        <v>1</v>
      </c>
      <c r="KZ34" s="1" t="n">
        <f aca="false">IF(AND(HT34=1,ID34&gt;0,Slot10_IsWG=1,DI34=1),MAX(0,(Slot10_Cost-DJ34*(1+Slot10_Rate)^(Slot10_Age-D34))/KY34),0)</f>
        <v>0</v>
      </c>
      <c r="LA34" s="1" t="n">
        <f aca="false">IF(AND(HT34=1,ID34&gt;0,Slot10_IsWG=1,DI34=1),MIN(ID34,KZ34),0)</f>
        <v>0</v>
      </c>
      <c r="LB34" s="1" t="n">
        <f aca="false">DJ34+LA34</f>
        <v>0</v>
      </c>
      <c r="LC34" s="1" t="n">
        <f aca="false">IF(DI34=1,MAX(0,(Slot10_Cost-LB34*(1+Slot10_Rate)^(Slot10_Age-D34))/KY34),0)</f>
        <v>0</v>
      </c>
      <c r="LD34" s="1" t="n">
        <f aca="false">IF(DI34=1,MAX(0,(Slot10_Cost-DJ34*(1+Slot10_Rate)^(Slot10_Age-D34))/KY34),0)</f>
        <v>0</v>
      </c>
      <c r="LE34" s="1" t="n">
        <f aca="false">IF(AND(HT34=1,DI34=1),MIN(KX34,LC34),0)</f>
        <v>0</v>
      </c>
      <c r="LF34" s="1" t="n">
        <f aca="false">KX34-LE34</f>
        <v>0</v>
      </c>
      <c r="LG34" s="1" t="n">
        <f aca="false">IF(DS34=1,IF(ABS((1+AS_Wage)/(1+Slot11_Rate)-1)&lt;0.000000000001,(Slot11_Age-D34)*(1+Slot11_Rate)^(Slot11_Age-D34),(1+Slot11_Rate)^(Slot11_Age-D34)*(1-((1+AS_Wage)/(1+Slot11_Rate))^(Slot11_Age-D34))/(1-(1+AS_Wage)/(1+Slot11_Rate))),1)</f>
        <v>1</v>
      </c>
      <c r="LH34" s="1" t="n">
        <f aca="false">IF(AND(HT34=1,ID34&gt;0,Slot11_IsWG=1,DS34=1),MAX(0,(Slot11_Cost-DT34*(1+Slot11_Rate)^(Slot11_Age-D34))/LG34),0)</f>
        <v>0</v>
      </c>
      <c r="LI34" s="1" t="n">
        <f aca="false">IF(AND(HT34=1,ID34&gt;0,Slot11_IsWG=1,DS34=1),MIN(ID34,LH34),0)</f>
        <v>0</v>
      </c>
      <c r="LJ34" s="1" t="n">
        <f aca="false">DT34+LI34</f>
        <v>0</v>
      </c>
      <c r="LK34" s="1" t="n">
        <f aca="false">IF(DS34=1,MAX(0,(Slot11_Cost-LJ34*(1+Slot11_Rate)^(Slot11_Age-D34))/LG34),0)</f>
        <v>0</v>
      </c>
      <c r="LL34" s="1" t="n">
        <f aca="false">IF(DS34=1,MAX(0,(Slot11_Cost-DT34*(1+Slot11_Rate)^(Slot11_Age-D34))/LG34),0)</f>
        <v>0</v>
      </c>
      <c r="LM34" s="1" t="n">
        <f aca="false">IF(AND(HT34=1,DS34=1),MIN(LF34,LK34),0)</f>
        <v>0</v>
      </c>
      <c r="LN34" s="1" t="n">
        <f aca="false">LF34-LM34</f>
        <v>0</v>
      </c>
      <c r="LO34" s="1" t="n">
        <f aca="false">IF(EC34=1,IF(ABS((1+AS_Wage)/(1+Slot12_Rate)-1)&lt;0.000000000001,(Slot12_Age-D34)*(1+Slot12_Rate)^(Slot12_Age-D34),(1+Slot12_Rate)^(Slot12_Age-D34)*(1-((1+AS_Wage)/(1+Slot12_Rate))^(Slot12_Age-D34))/(1-(1+AS_Wage)/(1+Slot12_Rate))),1)</f>
        <v>1</v>
      </c>
      <c r="LP34" s="1" t="n">
        <f aca="false">IF(AND(HT34=1,ID34&gt;0,Slot12_IsWG=1,EC34=1),MAX(0,(Slot12_Cost-ED34*(1+Slot12_Rate)^(Slot12_Age-D34))/LO34),0)</f>
        <v>0</v>
      </c>
      <c r="LQ34" s="1" t="n">
        <f aca="false">IF(AND(HT34=1,ID34&gt;0,Slot12_IsWG=1,EC34=1),MIN(ID34,LP34),0)</f>
        <v>0</v>
      </c>
      <c r="LR34" s="1" t="n">
        <f aca="false">ED34+LQ34</f>
        <v>0</v>
      </c>
      <c r="LS34" s="1" t="n">
        <f aca="false">IF(EC34=1,MAX(0,(Slot12_Cost-LR34*(1+Slot12_Rate)^(Slot12_Age-D34))/LO34),0)</f>
        <v>0</v>
      </c>
      <c r="LT34" s="1" t="n">
        <f aca="false">IF(EC34=1,MAX(0,(Slot12_Cost-ED34*(1+Slot12_Rate)^(Slot12_Age-D34))/LO34),0)</f>
        <v>0</v>
      </c>
      <c r="LU34" s="1" t="n">
        <f aca="false">IF(AND(HT34=1,EC34=1),MIN(LN34,LS34),0)</f>
        <v>0</v>
      </c>
      <c r="LV34" s="1" t="n">
        <f aca="false">LN34-LU34</f>
        <v>0</v>
      </c>
      <c r="LW34" s="1" t="n">
        <f aca="false">IF(EM34=1,IF(ABS((1+AS_Wage)/(1+Slot13_Rate)-1)&lt;0.000000000001,(Slot13_Age-D34)*(1+Slot13_Rate)^(Slot13_Age-D34),(1+Slot13_Rate)^(Slot13_Age-D34)*(1-((1+AS_Wage)/(1+Slot13_Rate))^(Slot13_Age-D34))/(1-(1+AS_Wage)/(1+Slot13_Rate))),1)</f>
        <v>1</v>
      </c>
      <c r="LX34" s="1" t="n">
        <f aca="false">IF(AND(HT34=1,ID34&gt;0,Slot13_IsWG=1,EM34=1),MAX(0,(Slot13_Cost-EN34*(1+Slot13_Rate)^(Slot13_Age-D34))/LW34),0)</f>
        <v>0</v>
      </c>
      <c r="LY34" s="1" t="n">
        <f aca="false">IF(AND(HT34=1,ID34&gt;0,Slot13_IsWG=1,EM34=1),MIN(ID34,LX34),0)</f>
        <v>0</v>
      </c>
      <c r="LZ34" s="1" t="n">
        <f aca="false">EN34+LY34</f>
        <v>0</v>
      </c>
      <c r="MA34" s="1" t="n">
        <f aca="false">IF(EM34=1,MAX(0,(Slot13_Cost-LZ34*(1+Slot13_Rate)^(Slot13_Age-D34))/LW34),0)</f>
        <v>0</v>
      </c>
      <c r="MB34" s="1" t="n">
        <f aca="false">IF(EM34=1,MAX(0,(Slot13_Cost-EN34*(1+Slot13_Rate)^(Slot13_Age-D34))/LW34),0)</f>
        <v>0</v>
      </c>
      <c r="MC34" s="1" t="n">
        <f aca="false">IF(AND(HT34=1,EM34=1),MIN(LV34,MA34),0)</f>
        <v>0</v>
      </c>
      <c r="MD34" s="1" t="n">
        <f aca="false">LV34-MC34</f>
        <v>0</v>
      </c>
      <c r="ME34" s="1" t="n">
        <f aca="false">IF(EW34=1,IF(ABS((1+AS_Wage)/(1+Slot14_Rate)-1)&lt;0.000000000001,(Slot14_Age-D34)*(1+Slot14_Rate)^(Slot14_Age-D34),(1+Slot14_Rate)^(Slot14_Age-D34)*(1-((1+AS_Wage)/(1+Slot14_Rate))^(Slot14_Age-D34))/(1-(1+AS_Wage)/(1+Slot14_Rate))),1)</f>
        <v>1</v>
      </c>
      <c r="MF34" s="1" t="n">
        <f aca="false">IF(AND(HT34=1,ID34&gt;0,Slot14_IsWG=1,EW34=1),MAX(0,(Slot14_Cost-EX34*(1+Slot14_Rate)^(Slot14_Age-D34))/ME34),0)</f>
        <v>0</v>
      </c>
      <c r="MG34" s="1" t="n">
        <f aca="false">IF(AND(HT34=1,ID34&gt;0,Slot14_IsWG=1,EW34=1),MIN(ID34,MF34),0)</f>
        <v>0</v>
      </c>
      <c r="MH34" s="1" t="n">
        <f aca="false">EX34+MG34</f>
        <v>0</v>
      </c>
      <c r="MI34" s="1" t="n">
        <f aca="false">IF(EW34=1,MAX(0,(Slot14_Cost-MH34*(1+Slot14_Rate)^(Slot14_Age-D34))/ME34),0)</f>
        <v>0</v>
      </c>
      <c r="MJ34" s="1" t="n">
        <f aca="false">IF(EW34=1,MAX(0,(Slot14_Cost-EX34*(1+Slot14_Rate)^(Slot14_Age-D34))/ME34),0)</f>
        <v>0</v>
      </c>
      <c r="MK34" s="1" t="n">
        <f aca="false">IF(AND(HT34=1,EW34=1),MIN(MD34,MI34),0)</f>
        <v>0</v>
      </c>
      <c r="ML34" s="1" t="n">
        <f aca="false">MD34-MK34</f>
        <v>0</v>
      </c>
      <c r="MM34" s="1" t="n">
        <f aca="false">IF(FG34=1,IF(ABS((1+AS_Wage)/(1+Slot15_Rate)-1)&lt;0.000000000001,(Slot15_Age-D34)*(1+Slot15_Rate)^(Slot15_Age-D34),(1+Slot15_Rate)^(Slot15_Age-D34)*(1-((1+AS_Wage)/(1+Slot15_Rate))^(Slot15_Age-D34))/(1-(1+AS_Wage)/(1+Slot15_Rate))),1)</f>
        <v>1</v>
      </c>
      <c r="MN34" s="1" t="n">
        <f aca="false">IF(AND(HT34=1,ID34&gt;0,Slot15_IsWG=1,FG34=1),MAX(0,(Slot15_Cost-FH34*(1+Slot15_Rate)^(Slot15_Age-D34))/MM34),0)</f>
        <v>0</v>
      </c>
      <c r="MO34" s="1" t="n">
        <f aca="false">IF(AND(HT34=1,ID34&gt;0,Slot15_IsWG=1,FG34=1),MIN(ID34,MN34),0)</f>
        <v>0</v>
      </c>
      <c r="MP34" s="1" t="n">
        <f aca="false">FH34+MO34</f>
        <v>0</v>
      </c>
      <c r="MQ34" s="1" t="n">
        <f aca="false">IF(FG34=1,MAX(0,(Slot15_Cost-MP34*(1+Slot15_Rate)^(Slot15_Age-D34))/MM34),0)</f>
        <v>0</v>
      </c>
      <c r="MR34" s="1" t="n">
        <f aca="false">IF(FG34=1,MAX(0,(Slot15_Cost-FH34*(1+Slot15_Rate)^(Slot15_Age-D34))/MM34),0)</f>
        <v>0</v>
      </c>
      <c r="MS34" s="1" t="n">
        <f aca="false">IF(AND(HT34=1,FG34=1),MIN(ML34,MQ34),0)</f>
        <v>0</v>
      </c>
      <c r="MT34" s="1" t="n">
        <f aca="false">ML34-MS34</f>
        <v>0</v>
      </c>
      <c r="MU34" s="1" t="n">
        <f aca="false">IF(FQ34=1,IF(ABS((1+AS_Wage)/(1+Slot16_Rate)-1)&lt;0.000000000001,(Slot16_Age-D34)*(1+Slot16_Rate)^(Slot16_Age-D34),(1+Slot16_Rate)^(Slot16_Age-D34)*(1-((1+AS_Wage)/(1+Slot16_Rate))^(Slot16_Age-D34))/(1-(1+AS_Wage)/(1+Slot16_Rate))),1)</f>
        <v>1</v>
      </c>
      <c r="MV34" s="1" t="n">
        <f aca="false">IF(AND(HT34=1,ID34&gt;0,Slot16_IsWG=1,FQ34=1),MAX(0,(Slot16_Cost-FR34*(1+Slot16_Rate)^(Slot16_Age-D34))/MU34),0)</f>
        <v>0</v>
      </c>
      <c r="MW34" s="1" t="n">
        <f aca="false">IF(AND(HT34=1,ID34&gt;0,Slot16_IsWG=1,FQ34=1),MIN(ID34,MV34),0)</f>
        <v>0</v>
      </c>
      <c r="MX34" s="1" t="n">
        <f aca="false">FR34+MW34</f>
        <v>0</v>
      </c>
      <c r="MY34" s="1" t="n">
        <f aca="false">IF(FQ34=1,MAX(0,(Slot16_Cost-MX34*(1+Slot16_Rate)^(Slot16_Age-D34))/MU34),0)</f>
        <v>0</v>
      </c>
      <c r="MZ34" s="1" t="n">
        <f aca="false">IF(FQ34=1,MAX(0,(Slot16_Cost-FR34*(1+Slot16_Rate)^(Slot16_Age-D34))/MU34),0)</f>
        <v>0</v>
      </c>
      <c r="NA34" s="1" t="n">
        <f aca="false">IF(AND(HT34=1,FQ34=1),MIN(MT34,MY34),0)</f>
        <v>0</v>
      </c>
      <c r="NB34" s="1" t="n">
        <f aca="false">MT34-NA34</f>
        <v>0</v>
      </c>
      <c r="NC34" s="1" t="n">
        <f aca="false">IF(GA34=1,IF(ABS((1+AS_Wage)/(1+Slot17_Rate)-1)&lt;0.000000000001,(Slot17_Age-D34)*(1+Slot17_Rate)^(Slot17_Age-D34),(1+Slot17_Rate)^(Slot17_Age-D34)*(1-((1+AS_Wage)/(1+Slot17_Rate))^(Slot17_Age-D34))/(1-(1+AS_Wage)/(1+Slot17_Rate))),1)</f>
        <v>1</v>
      </c>
      <c r="ND34" s="1" t="n">
        <f aca="false">IF(AND(HT34=1,ID34&gt;0,Slot17_IsWG=1,GA34=1),MAX(0,(Slot17_Cost-GB34*(1+Slot17_Rate)^(Slot17_Age-D34))/NC34),0)</f>
        <v>0</v>
      </c>
      <c r="NE34" s="1" t="n">
        <f aca="false">IF(AND(HT34=1,ID34&gt;0,Slot17_IsWG=1,GA34=1),MIN(ID34,ND34),0)</f>
        <v>0</v>
      </c>
      <c r="NF34" s="1" t="n">
        <f aca="false">GB34+NE34</f>
        <v>0</v>
      </c>
      <c r="NG34" s="1" t="n">
        <f aca="false">IF(GA34=1,MAX(0,(Slot17_Cost-NF34*(1+Slot17_Rate)^(Slot17_Age-D34))/NC34),0)</f>
        <v>0</v>
      </c>
      <c r="NH34" s="1" t="n">
        <f aca="false">IF(GA34=1,MAX(0,(Slot17_Cost-GB34*(1+Slot17_Rate)^(Slot17_Age-D34))/NC34),0)</f>
        <v>0</v>
      </c>
      <c r="NI34" s="1" t="n">
        <f aca="false">IF(AND(HT34=1,GA34=1),MIN(NB34,NG34),0)</f>
        <v>0</v>
      </c>
      <c r="NJ34" s="1" t="n">
        <f aca="false">NB34-NI34</f>
        <v>0</v>
      </c>
      <c r="NK34" s="1" t="n">
        <f aca="false">IF(GK34=1,IF(ABS((1+AS_Wage)/(1+Slot18_Rate)-1)&lt;0.000000000001,(Slot18_Age-D34)*(1+Slot18_Rate)^(Slot18_Age-D34),(1+Slot18_Rate)^(Slot18_Age-D34)*(1-((1+AS_Wage)/(1+Slot18_Rate))^(Slot18_Age-D34))/(1-(1+AS_Wage)/(1+Slot18_Rate))),1)</f>
        <v>1</v>
      </c>
      <c r="NL34" s="1" t="n">
        <f aca="false">IF(AND(HT34=1,ID34&gt;0,Slot18_IsWG=1,GK34=1),MAX(0,(Slot18_Cost-GL34*(1+Slot18_Rate)^(Slot18_Age-D34))/NK34),0)</f>
        <v>0</v>
      </c>
      <c r="NM34" s="1" t="n">
        <f aca="false">IF(AND(HT34=1,ID34&gt;0,Slot18_IsWG=1,GK34=1),MIN(ID34,NL34),0)</f>
        <v>0</v>
      </c>
      <c r="NN34" s="1" t="n">
        <f aca="false">GL34+NM34</f>
        <v>0</v>
      </c>
      <c r="NO34" s="1" t="n">
        <f aca="false">IF(GK34=1,MAX(0,(Slot18_Cost-NN34*(1+Slot18_Rate)^(Slot18_Age-D34))/NK34),0)</f>
        <v>0</v>
      </c>
      <c r="NP34" s="1" t="n">
        <f aca="false">IF(GK34=1,MAX(0,(Slot18_Cost-GL34*(1+Slot18_Rate)^(Slot18_Age-D34))/NK34),0)</f>
        <v>0</v>
      </c>
      <c r="NQ34" s="1" t="n">
        <f aca="false">IF(AND(HT34=1,GK34=1),MIN(NJ34,NO34),0)</f>
        <v>0</v>
      </c>
      <c r="NR34" s="1" t="n">
        <f aca="false">NJ34-NQ34</f>
        <v>0</v>
      </c>
      <c r="NS34" s="1" t="n">
        <f aca="false">IF(GU34=1,IF(ABS((1+AS_Wage)/(1+Slot19_Rate)-1)&lt;0.000000000001,(Slot19_Age-D34)*(1+Slot19_Rate)^(Slot19_Age-D34),(1+Slot19_Rate)^(Slot19_Age-D34)*(1-((1+AS_Wage)/(1+Slot19_Rate))^(Slot19_Age-D34))/(1-(1+AS_Wage)/(1+Slot19_Rate))),1)</f>
        <v>1</v>
      </c>
      <c r="NT34" s="1" t="n">
        <f aca="false">IF(AND(HT34=1,ID34&gt;0,Slot19_IsWG=1,GU34=1),MAX(0,(Slot19_Cost-GV34*(1+Slot19_Rate)^(Slot19_Age-D34))/NS34),0)</f>
        <v>0</v>
      </c>
      <c r="NU34" s="1" t="n">
        <f aca="false">IF(AND(HT34=1,ID34&gt;0,Slot19_IsWG=1,GU34=1),MIN(ID34,NT34),0)</f>
        <v>0</v>
      </c>
      <c r="NV34" s="1" t="n">
        <f aca="false">GV34+NU34</f>
        <v>0</v>
      </c>
      <c r="NW34" s="1" t="n">
        <f aca="false">IF(GU34=1,MAX(0,(Slot19_Cost-NV34*(1+Slot19_Rate)^(Slot19_Age-D34))/NS34),0)</f>
        <v>0</v>
      </c>
      <c r="NX34" s="1" t="n">
        <f aca="false">IF(GU34=1,MAX(0,(Slot19_Cost-GV34*(1+Slot19_Rate)^(Slot19_Age-D34))/NS34),0)</f>
        <v>0</v>
      </c>
      <c r="NY34" s="1" t="n">
        <f aca="false">IF(AND(HT34=1,GU34=1),MIN(NR34,NW34),0)</f>
        <v>0</v>
      </c>
      <c r="NZ34" s="1" t="n">
        <f aca="false">NR34-NY34</f>
        <v>0</v>
      </c>
      <c r="OA34" s="1" t="n">
        <f aca="false">IF(HE34=1,IF(ABS((1+AS_Wage)/(1+Slot20_Rate)-1)&lt;0.000000000001,(Slot20_Age-D34)*(1+Slot20_Rate)^(Slot20_Age-D34),(1+Slot20_Rate)^(Slot20_Age-D34)*(1-((1+AS_Wage)/(1+Slot20_Rate))^(Slot20_Age-D34))/(1-(1+AS_Wage)/(1+Slot20_Rate))),1)</f>
        <v>1</v>
      </c>
      <c r="OB34" s="1" t="n">
        <f aca="false">IF(AND(HT34=1,ID34&gt;0,Slot20_IsWG=1,HE34=1),MAX(0,(Slot20_Cost-HF34*(1+Slot20_Rate)^(Slot20_Age-D34))/OA34),0)</f>
        <v>0</v>
      </c>
      <c r="OC34" s="1" t="n">
        <f aca="false">IF(AND(HT34=1,ID34&gt;0,Slot20_IsWG=1,HE34=1),MIN(ID34,OB34),0)</f>
        <v>0</v>
      </c>
      <c r="OD34" s="1" t="n">
        <f aca="false">HF34+OC34</f>
        <v>0</v>
      </c>
      <c r="OE34" s="1" t="n">
        <f aca="false">IF(HE34=1,MAX(0,(Slot20_Cost-OD34*(1+Slot20_Rate)^(Slot20_Age-D34))/OA34),0)</f>
        <v>0</v>
      </c>
      <c r="OF34" s="1" t="n">
        <f aca="false">IF(HE34=1,MAX(0,(Slot20_Cost-HF34*(1+Slot20_Rate)^(Slot20_Age-D34))/OA34),0)</f>
        <v>0</v>
      </c>
      <c r="OG34" s="1" t="n">
        <f aca="false">IF(AND(HT34=1,HE34=1),MIN(NZ34,OE34),0)</f>
        <v>0</v>
      </c>
      <c r="OH34" s="1" t="n">
        <f aca="false">NZ34-OG34</f>
        <v>0</v>
      </c>
      <c r="OI34" s="1" t="n">
        <f aca="false">ID34-(IG34+IO34+IW34+JE34+JM34+JU34+KC34+KK34+KS34+LA34+LI34+LQ34+LY34+MG34+MO34+MW34+NE34+NM34+NU34+OC34)</f>
        <v>0</v>
      </c>
      <c r="OJ34" s="1" t="n">
        <f aca="false">IF(HT34=1,HR34-IC34-ID34,0)</f>
        <v>0</v>
      </c>
      <c r="OK34" s="1" t="n">
        <f aca="false">IF(HT34=0,-HR34,0)</f>
        <v>0</v>
      </c>
      <c r="OL34" s="1" t="n">
        <f aca="false">MIN(OK34,HJ34)</f>
        <v>0</v>
      </c>
      <c r="OM34" s="1" t="n">
        <f aca="false">OK34-OL34</f>
        <v>0</v>
      </c>
      <c r="ON34" s="1" t="n">
        <f aca="false">MIN(OM34,HK34)</f>
        <v>0</v>
      </c>
      <c r="OO34" s="1" t="n">
        <f aca="false">OM34-ON34</f>
        <v>0</v>
      </c>
      <c r="OP34" s="1" t="n">
        <f aca="false">IF(AND(HT34=0,HE34=1,OO34&gt;0),MIN(OO34,HF34),0)</f>
        <v>0</v>
      </c>
      <c r="OQ34" s="1" t="n">
        <f aca="false">OO34-OP34</f>
        <v>0</v>
      </c>
      <c r="OR34" s="1" t="n">
        <f aca="false">IF(AND(HT34=0,GU34=1,OQ34&gt;0),MIN(OQ34,GV34),0)</f>
        <v>0</v>
      </c>
      <c r="OS34" s="1" t="n">
        <f aca="false">OQ34-OR34</f>
        <v>0</v>
      </c>
      <c r="OT34" s="1" t="n">
        <f aca="false">IF(AND(HT34=0,GK34=1,OS34&gt;0),MIN(OS34,GL34),0)</f>
        <v>0</v>
      </c>
      <c r="OU34" s="1" t="n">
        <f aca="false">OS34-OT34</f>
        <v>0</v>
      </c>
      <c r="OV34" s="1" t="n">
        <f aca="false">IF(AND(HT34=0,GA34=1,OU34&gt;0),MIN(OU34,GB34),0)</f>
        <v>0</v>
      </c>
      <c r="OW34" s="1" t="n">
        <f aca="false">OU34-OV34</f>
        <v>0</v>
      </c>
      <c r="OX34" s="1" t="n">
        <f aca="false">IF(AND(HT34=0,FQ34=1,OW34&gt;0),MIN(OW34,FR34),0)</f>
        <v>0</v>
      </c>
      <c r="OY34" s="1" t="n">
        <f aca="false">OW34-OX34</f>
        <v>0</v>
      </c>
      <c r="OZ34" s="1" t="n">
        <f aca="false">IF(AND(HT34=0,FG34=1,OY34&gt;0),MIN(OY34,FH34),0)</f>
        <v>0</v>
      </c>
      <c r="PA34" s="1" t="n">
        <f aca="false">OY34-OZ34</f>
        <v>0</v>
      </c>
      <c r="PB34" s="1" t="n">
        <f aca="false">IF(AND(HT34=0,EW34=1,PA34&gt;0),MIN(PA34,EX34),0)</f>
        <v>0</v>
      </c>
      <c r="PC34" s="1" t="n">
        <f aca="false">PA34-PB34</f>
        <v>0</v>
      </c>
      <c r="PD34" s="1" t="n">
        <f aca="false">IF(AND(HT34=0,EM34=1,PC34&gt;0),MIN(PC34,EN34),0)</f>
        <v>0</v>
      </c>
      <c r="PE34" s="1" t="n">
        <f aca="false">PC34-PD34</f>
        <v>0</v>
      </c>
      <c r="PF34" s="1" t="n">
        <f aca="false">IF(AND(HT34=0,EC34=1,PE34&gt;0),MIN(PE34,ED34),0)</f>
        <v>0</v>
      </c>
      <c r="PG34" s="1" t="n">
        <f aca="false">PE34-PF34</f>
        <v>0</v>
      </c>
      <c r="PH34" s="1" t="n">
        <f aca="false">IF(AND(HT34=0,DS34=1,PG34&gt;0),MIN(PG34,DT34),0)</f>
        <v>0</v>
      </c>
      <c r="PI34" s="1" t="n">
        <f aca="false">PG34-PH34</f>
        <v>0</v>
      </c>
      <c r="PJ34" s="1" t="n">
        <f aca="false">IF(AND(HT34=0,DI34=1,PI34&gt;0),MIN(PI34,DJ34),0)</f>
        <v>0</v>
      </c>
      <c r="PK34" s="1" t="n">
        <f aca="false">PI34-PJ34</f>
        <v>0</v>
      </c>
      <c r="PL34" s="1" t="n">
        <f aca="false">IF(AND(HT34=0,CY34=1,PK34&gt;0),MIN(PK34,CZ34),0)</f>
        <v>0</v>
      </c>
      <c r="PM34" s="1" t="n">
        <f aca="false">PK34-PL34</f>
        <v>0</v>
      </c>
      <c r="PN34" s="1" t="n">
        <f aca="false">IF(AND(HT34=0,CO34=1,PM34&gt;0),MIN(PM34,CP34),0)</f>
        <v>0</v>
      </c>
      <c r="PO34" s="1" t="n">
        <f aca="false">PM34-PN34</f>
        <v>0</v>
      </c>
      <c r="PP34" s="1" t="n">
        <f aca="false">IF(AND(HT34=0,CE34=1,PO34&gt;0),MIN(PO34,CF34),0)</f>
        <v>0</v>
      </c>
      <c r="PQ34" s="1" t="n">
        <f aca="false">PO34-PP34</f>
        <v>0</v>
      </c>
      <c r="PR34" s="1" t="n">
        <f aca="false">IF(AND(HT34=0,BU34=1,PQ34&gt;0),MIN(PQ34,BV34),0)</f>
        <v>0</v>
      </c>
      <c r="PS34" s="1" t="n">
        <f aca="false">PQ34-PR34</f>
        <v>0</v>
      </c>
      <c r="PT34" s="1" t="n">
        <f aca="false">IF(AND(HT34=0,BK34=1,PS34&gt;0),MIN(PS34,BL34),0)</f>
        <v>0</v>
      </c>
      <c r="PU34" s="1" t="n">
        <f aca="false">PS34-PT34</f>
        <v>0</v>
      </c>
      <c r="PV34" s="1" t="n">
        <f aca="false">IF(AND(HT34=0,BA34=1,PU34&gt;0),MIN(PU34,BB34),0)</f>
        <v>0</v>
      </c>
      <c r="PW34" s="1" t="n">
        <f aca="false">PU34-PV34</f>
        <v>0</v>
      </c>
      <c r="PX34" s="1" t="n">
        <f aca="false">IF(AND(HT34=0,AQ34=1,PW34&gt;0),MIN(PW34,AR34),0)</f>
        <v>0</v>
      </c>
      <c r="PY34" s="1" t="n">
        <f aca="false">PW34-PX34</f>
        <v>0</v>
      </c>
      <c r="PZ34" s="1" t="n">
        <f aca="false">IF(AND(HT34=0,AG34=1,PY34&gt;0),MIN(PY34,AH34),0)</f>
        <v>0</v>
      </c>
      <c r="QA34" s="1" t="n">
        <f aca="false">PY34-PZ34</f>
        <v>0</v>
      </c>
      <c r="QB34" s="1" t="n">
        <f aca="false">IF(AND(HT34=0,V34=1,QA34&gt;0),MIN(QA34,W34),0)</f>
        <v>0</v>
      </c>
      <c r="QC34" s="1" t="n">
        <f aca="false">QA34-QB34</f>
        <v>0</v>
      </c>
      <c r="QD34" s="1" t="n">
        <f aca="false">IF(HT34=0,QC34,0)</f>
        <v>0</v>
      </c>
      <c r="QE34" s="1" t="n">
        <f aca="false">OL34+ON34+QB34+PZ34+PX34+PV34+PT34+PR34+PP34+PN34+PL34+PJ34+PH34+PF34+PD34+PB34+OZ34+OX34+OV34+OT34+OR34+OP34</f>
        <v>0</v>
      </c>
      <c r="QF34" s="1" t="n">
        <f aca="false">IF(HT34=1,HJ34+OI34+OH34+IF(F34=1,0,OJ34),HJ34-OL34)</f>
        <v>0</v>
      </c>
      <c r="QG34" s="1" t="n">
        <f aca="false">HK34-ON34</f>
        <v>0</v>
      </c>
      <c r="QH34" s="1" t="n">
        <f aca="false">IF(HT34=1,IF(F34=1,IC34+ID34,HR34),0)</f>
        <v>0</v>
      </c>
      <c r="QI34" s="1" t="n">
        <f aca="false">IF(HT34=1,IF(F34=1,HR34-IC34-ID34,0),0)</f>
        <v>0</v>
      </c>
      <c r="QJ34" s="1" t="n">
        <f aca="false">QF34*(1+GR)</f>
        <v>0</v>
      </c>
      <c r="QK34" s="1" t="n">
        <f aca="false">QG34*(1+AS_Cash)</f>
        <v>0</v>
      </c>
      <c r="QL34" s="1" t="n">
        <f aca="false">IF(V34=1,IF(HT34=1,IH34+IK34,W34-QB34)*(1+Slot1_Rate),0)</f>
        <v>0</v>
      </c>
      <c r="QM34" s="1" t="n">
        <f aca="false">IF(AND(HT34=1,V34=1),(IG34+IK34)/E34,0)</f>
        <v>0</v>
      </c>
      <c r="QN34" s="1" t="n">
        <f aca="false">IF(B34=0,IG34+IK34,0)</f>
        <v>0</v>
      </c>
      <c r="QO34" s="1" t="n">
        <f aca="false">IF(B34=0,IF(HT34=1,II34,IJ34),0)</f>
        <v>0</v>
      </c>
      <c r="QP34" s="1" t="n">
        <f aca="false">IF(AG34=1,IF(HT34=1,IP34+IS34,AH34-PZ34)*(1+Slot2_Rate),0)</f>
        <v>0</v>
      </c>
      <c r="QQ34" s="1" t="n">
        <f aca="false">IF(AND(HT34=1,AG34=1),(IO34+IS34)/E34,0)</f>
        <v>0</v>
      </c>
      <c r="QR34" s="1" t="n">
        <f aca="false">IF(B34=0,IO34+IS34,0)</f>
        <v>0</v>
      </c>
      <c r="QS34" s="1" t="n">
        <f aca="false">IF(B34=0,IF(HT34=1,IQ34,IR34),0)</f>
        <v>0</v>
      </c>
      <c r="QT34" s="1" t="n">
        <f aca="false">IF(AQ34=1,IF(HT34=1,IX34+JA34,AR34-PX34)*(1+Slot3_Rate),0)</f>
        <v>0</v>
      </c>
      <c r="QU34" s="1" t="n">
        <f aca="false">IF(AND(HT34=1,AQ34=1),(IW34+JA34)/E34,0)</f>
        <v>0</v>
      </c>
      <c r="QV34" s="1" t="n">
        <f aca="false">IF(B34=0,IW34+JA34,0)</f>
        <v>0</v>
      </c>
      <c r="QW34" s="1" t="n">
        <f aca="false">IF(B34=0,IF(HT34=1,IY34,IZ34),0)</f>
        <v>0</v>
      </c>
      <c r="QX34" s="1" t="n">
        <f aca="false">IF(BA34=1,IF(HT34=1,JF34+JI34,BB34-PV34)*(1+Slot4_Rate),0)</f>
        <v>0</v>
      </c>
      <c r="QY34" s="1" t="n">
        <f aca="false">IF(AND(HT34=1,BA34=1),(JE34+JI34)/E34,0)</f>
        <v>0</v>
      </c>
      <c r="QZ34" s="1" t="n">
        <f aca="false">IF(B34=0,JE34+JI34,0)</f>
        <v>0</v>
      </c>
      <c r="RA34" s="1" t="n">
        <f aca="false">IF(B34=0,IF(HT34=1,JG34,JH34),0)</f>
        <v>0</v>
      </c>
      <c r="RB34" s="1" t="n">
        <f aca="false">IF(BK34=1,IF(HT34=1,JN34+JQ34,BL34-PT34)*(1+Slot5_Rate),0)</f>
        <v>0</v>
      </c>
      <c r="RC34" s="1" t="n">
        <f aca="false">IF(AND(HT34=1,BK34=1),(JM34+JQ34)/E34,0)</f>
        <v>0</v>
      </c>
      <c r="RD34" s="1" t="n">
        <f aca="false">IF(B34=0,JM34+JQ34,0)</f>
        <v>0</v>
      </c>
      <c r="RE34" s="1" t="n">
        <f aca="false">IF(B34=0,IF(HT34=1,JO34,JP34),0)</f>
        <v>0</v>
      </c>
      <c r="RF34" s="1" t="n">
        <f aca="false">IF(BU34=1,IF(HT34=1,JV34+JY34,BV34-PR34)*(1+Slot6_Rate),0)</f>
        <v>0</v>
      </c>
      <c r="RG34" s="1" t="n">
        <f aca="false">IF(AND(HT34=1,BU34=1),(JU34+JY34)/E34,0)</f>
        <v>0</v>
      </c>
      <c r="RH34" s="1" t="n">
        <f aca="false">IF(B34=0,JU34+JY34,0)</f>
        <v>0</v>
      </c>
      <c r="RI34" s="1" t="n">
        <f aca="false">IF(B34=0,IF(HT34=1,JW34,JX34),0)</f>
        <v>0</v>
      </c>
      <c r="RJ34" s="1" t="n">
        <f aca="false">IF(CE34=1,IF(HT34=1,KD34+KG34,CF34-PP34)*(1+Slot7_Rate),0)</f>
        <v>0</v>
      </c>
      <c r="RK34" s="1" t="n">
        <f aca="false">IF(AND(HT34=1,CE34=1),(KC34+KG34)/E34,0)</f>
        <v>0</v>
      </c>
      <c r="RL34" s="1" t="n">
        <f aca="false">IF(B34=0,KC34+KG34,0)</f>
        <v>0</v>
      </c>
      <c r="RM34" s="1" t="n">
        <f aca="false">IF(B34=0,IF(HT34=1,KE34,KF34),0)</f>
        <v>0</v>
      </c>
      <c r="RN34" s="1" t="n">
        <f aca="false">IF(CO34=1,IF(HT34=1,KL34+KO34,CP34-PN34)*(1+Slot8_Rate),0)</f>
        <v>0</v>
      </c>
      <c r="RO34" s="1" t="n">
        <f aca="false">IF(AND(HT34=1,CO34=1),(KK34+KO34)/E34,0)</f>
        <v>0</v>
      </c>
      <c r="RP34" s="1" t="n">
        <f aca="false">IF(B34=0,KK34+KO34,0)</f>
        <v>0</v>
      </c>
      <c r="RQ34" s="1" t="n">
        <f aca="false">IF(B34=0,IF(HT34=1,KM34,KN34),0)</f>
        <v>0</v>
      </c>
      <c r="RR34" s="1" t="n">
        <f aca="false">IF(CY34=1,IF(HT34=1,KT34+KW34,CZ34-PL34)*(1+Slot9_Rate),0)</f>
        <v>0</v>
      </c>
      <c r="RS34" s="1" t="n">
        <f aca="false">IF(AND(HT34=1,CY34=1),(KS34+KW34)/E34,0)</f>
        <v>0</v>
      </c>
      <c r="RT34" s="1" t="n">
        <f aca="false">IF(B34=0,KS34+KW34,0)</f>
        <v>0</v>
      </c>
      <c r="RU34" s="1" t="n">
        <f aca="false">IF(B34=0,IF(HT34=1,KU34,KV34),0)</f>
        <v>0</v>
      </c>
      <c r="RV34" s="1" t="n">
        <f aca="false">IF(DI34=1,IF(HT34=1,LB34+LE34,DJ34-PJ34)*(1+Slot10_Rate),0)</f>
        <v>0</v>
      </c>
      <c r="RW34" s="1" t="n">
        <f aca="false">IF(AND(HT34=1,DI34=1),(LA34+LE34)/E34,0)</f>
        <v>0</v>
      </c>
      <c r="RX34" s="1" t="n">
        <f aca="false">IF(B34=0,LA34+LE34,0)</f>
        <v>0</v>
      </c>
      <c r="RY34" s="1" t="n">
        <f aca="false">IF(B34=0,IF(HT34=1,LC34,LD34),0)</f>
        <v>0</v>
      </c>
      <c r="RZ34" s="1" t="n">
        <f aca="false">IF(DS34=1,IF(HT34=1,LJ34+LM34,DT34-PH34)*(1+Slot11_Rate),0)</f>
        <v>0</v>
      </c>
      <c r="SA34" s="1" t="n">
        <f aca="false">IF(AND(HT34=1,DS34=1),(LI34+LM34)/E34,0)</f>
        <v>0</v>
      </c>
      <c r="SB34" s="1" t="n">
        <f aca="false">IF(B34=0,LI34+LM34,0)</f>
        <v>0</v>
      </c>
      <c r="SC34" s="1" t="n">
        <f aca="false">IF(B34=0,IF(HT34=1,LK34,LL34),0)</f>
        <v>0</v>
      </c>
      <c r="SD34" s="1" t="n">
        <f aca="false">IF(EC34=1,IF(HT34=1,LR34+LU34,ED34-PF34)*(1+Slot12_Rate),0)</f>
        <v>0</v>
      </c>
      <c r="SE34" s="1" t="n">
        <f aca="false">IF(AND(HT34=1,EC34=1),(LQ34+LU34)/E34,0)</f>
        <v>0</v>
      </c>
      <c r="SF34" s="1" t="n">
        <f aca="false">IF(B34=0,LQ34+LU34,0)</f>
        <v>0</v>
      </c>
      <c r="SG34" s="1" t="n">
        <f aca="false">IF(B34=0,IF(HT34=1,LS34,LT34),0)</f>
        <v>0</v>
      </c>
      <c r="SH34" s="1" t="n">
        <f aca="false">IF(EM34=1,IF(HT34=1,LZ34+MC34,EN34-PD34)*(1+Slot13_Rate),0)</f>
        <v>0</v>
      </c>
      <c r="SI34" s="1" t="n">
        <f aca="false">IF(AND(HT34=1,EM34=1),(LY34+MC34)/E34,0)</f>
        <v>0</v>
      </c>
      <c r="SJ34" s="1" t="n">
        <f aca="false">IF(B34=0,LY34+MC34,0)</f>
        <v>0</v>
      </c>
      <c r="SK34" s="1" t="n">
        <f aca="false">IF(B34=0,IF(HT34=1,MA34,MB34),0)</f>
        <v>0</v>
      </c>
      <c r="SL34" s="1" t="n">
        <f aca="false">IF(EW34=1,IF(HT34=1,MH34+MK34,EX34-PB34)*(1+Slot14_Rate),0)</f>
        <v>0</v>
      </c>
      <c r="SM34" s="1" t="n">
        <f aca="false">IF(AND(HT34=1,EW34=1),(MG34+MK34)/E34,0)</f>
        <v>0</v>
      </c>
      <c r="SN34" s="1" t="n">
        <f aca="false">IF(B34=0,MG34+MK34,0)</f>
        <v>0</v>
      </c>
      <c r="SO34" s="1" t="n">
        <f aca="false">IF(B34=0,IF(HT34=1,MI34,MJ34),0)</f>
        <v>0</v>
      </c>
      <c r="SP34" s="1" t="n">
        <f aca="false">IF(FG34=1,IF(HT34=1,MP34+MS34,FH34-OZ34)*(1+Slot15_Rate),0)</f>
        <v>0</v>
      </c>
      <c r="SQ34" s="1" t="n">
        <f aca="false">IF(AND(HT34=1,FG34=1),(MO34+MS34)/E34,0)</f>
        <v>0</v>
      </c>
      <c r="SR34" s="1" t="n">
        <f aca="false">IF(B34=0,MO34+MS34,0)</f>
        <v>0</v>
      </c>
      <c r="SS34" s="1" t="n">
        <f aca="false">IF(B34=0,IF(HT34=1,MQ34,MR34),0)</f>
        <v>0</v>
      </c>
      <c r="ST34" s="1" t="n">
        <f aca="false">IF(FQ34=1,IF(HT34=1,MX34+NA34,FR34-OX34)*(1+Slot16_Rate),0)</f>
        <v>0</v>
      </c>
      <c r="SU34" s="1" t="n">
        <f aca="false">IF(AND(HT34=1,FQ34=1),(MW34+NA34)/E34,0)</f>
        <v>0</v>
      </c>
      <c r="SV34" s="1" t="n">
        <f aca="false">IF(B34=0,MW34+NA34,0)</f>
        <v>0</v>
      </c>
      <c r="SW34" s="1" t="n">
        <f aca="false">IF(B34=0,IF(HT34=1,MY34,MZ34),0)</f>
        <v>0</v>
      </c>
      <c r="SX34" s="1" t="n">
        <f aca="false">IF(GA34=1,IF(HT34=1,NF34+NI34,GB34-OV34)*(1+Slot17_Rate),0)</f>
        <v>0</v>
      </c>
      <c r="SY34" s="1" t="n">
        <f aca="false">IF(AND(HT34=1,GA34=1),(NE34+NI34)/E34,0)</f>
        <v>0</v>
      </c>
      <c r="SZ34" s="1" t="n">
        <f aca="false">IF(B34=0,NE34+NI34,0)</f>
        <v>0</v>
      </c>
      <c r="TA34" s="1" t="n">
        <f aca="false">IF(B34=0,IF(HT34=1,NG34,NH34),0)</f>
        <v>0</v>
      </c>
      <c r="TB34" s="1" t="n">
        <f aca="false">IF(GK34=1,IF(HT34=1,NN34+NQ34,GL34-OT34)*(1+Slot18_Rate),0)</f>
        <v>0</v>
      </c>
      <c r="TC34" s="1" t="n">
        <f aca="false">IF(AND(HT34=1,GK34=1),(NM34+NQ34)/E34,0)</f>
        <v>0</v>
      </c>
      <c r="TD34" s="1" t="n">
        <f aca="false">IF(B34=0,NM34+NQ34,0)</f>
        <v>0</v>
      </c>
      <c r="TE34" s="1" t="n">
        <f aca="false">IF(B34=0,IF(HT34=1,NO34,NP34),0)</f>
        <v>0</v>
      </c>
      <c r="TF34" s="1" t="n">
        <f aca="false">IF(GU34=1,IF(HT34=1,NV34+NY34,GV34-OR34)*(1+Slot19_Rate),0)</f>
        <v>0</v>
      </c>
      <c r="TG34" s="1" t="n">
        <f aca="false">IF(AND(HT34=1,GU34=1),(NU34+NY34)/E34,0)</f>
        <v>0</v>
      </c>
      <c r="TH34" s="1" t="n">
        <f aca="false">IF(B34=0,NU34+NY34,0)</f>
        <v>0</v>
      </c>
      <c r="TI34" s="1" t="n">
        <f aca="false">IF(B34=0,IF(HT34=1,NW34,NX34),0)</f>
        <v>0</v>
      </c>
      <c r="TJ34" s="1" t="n">
        <f aca="false">IF(HE34=1,IF(HT34=1,OD34+OG34,HF34-OP34)*(1+Slot20_Rate),0)</f>
        <v>0</v>
      </c>
      <c r="TK34" s="1" t="n">
        <f aca="false">IF(AND(HT34=1,HE34=1),(OC34+OG34)/E34,0)</f>
        <v>0</v>
      </c>
      <c r="TL34" s="1" t="n">
        <f aca="false">IF(B34=0,OC34+OG34,0)</f>
        <v>0</v>
      </c>
      <c r="TM34" s="1" t="n">
        <f aca="false">IF(B34=0,IF(HT34=1,OE34,OF34),0)</f>
        <v>0</v>
      </c>
      <c r="TN34" s="1" t="n">
        <f aca="false">QJ34+QK34+QL34+QP34+QT34+QX34+RB34+RF34+RJ34+RN34+RR34+RV34+RZ34+SD34+SH34+SL34+SP34+ST34+SX34+TB34+TF34+TJ34</f>
        <v>0</v>
      </c>
      <c r="TO34" s="1" t="n">
        <f aca="false">QD34+HO34</f>
        <v>0</v>
      </c>
      <c r="TP34" s="1" t="n">
        <f aca="false">H34+R34</f>
        <v>0</v>
      </c>
      <c r="TQ34" s="1" t="n">
        <f aca="false">1-F34</f>
        <v>0</v>
      </c>
      <c r="TR34" s="1" t="n">
        <f aca="false">IF(AND(RG_Exists=1,F34=0,C34=1),H34,0)</f>
        <v>0</v>
      </c>
      <c r="TS34" s="1" t="n">
        <f aca="false">IF(AND(RG_Exists=1,F34=0,C34=1),H34-MIN(QD34,H34),0)</f>
        <v>0</v>
      </c>
      <c r="TT34" s="1" t="n">
        <f aca="false">'Plan pay &amp; tax'!AD260</f>
        <v>0</v>
      </c>
      <c r="TU34" s="1" t="n">
        <f aca="false">IF(AND(C34=1,QD34&gt;MAX(PR_Short1,TP34*PR_Short2)),1,0)</f>
        <v>0</v>
      </c>
      <c r="TV34" s="1" t="n">
        <f aca="false">MIN(G34,H34+R34)</f>
        <v>0</v>
      </c>
      <c r="TW34" s="1" t="n">
        <f aca="false">QE34+MAX(0,HP34-HO34)</f>
        <v>0</v>
      </c>
      <c r="TX34" s="1" t="n">
        <f aca="false">QD34+HO34</f>
        <v>0</v>
      </c>
      <c r="TY34" s="1" t="n">
        <f aca="false">IF(AND(C34=1,TX34&gt;PR_MinShort),1,0)</f>
        <v>0</v>
      </c>
      <c r="TZ34" s="1" t="n">
        <f aca="false">IF(AND(C34=1,TY34=0,TW34&gt;PR_MinShort),1,0)</f>
        <v>0</v>
      </c>
      <c r="UA34" s="1" t="n">
        <f aca="false">IF(AND(C34=1,QD34&gt;PR_MinShort),1,0)</f>
        <v>0</v>
      </c>
      <c r="UB34" s="1" t="n">
        <f aca="false">IF(AND(C34=1,QE34&gt;1,UI34=0),1,0)</f>
        <v>0</v>
      </c>
      <c r="UC34" s="1" t="str">
        <f aca="false">IF(C34=0,"",IF(UI34=1,"Gap to plan for: short "&amp;"€"&amp;TEXT(ROUND(TO34,0),"#,##0"),IF(QE34&gt;1,"Using savings","Comfortable")))</f>
        <v>Comfortable</v>
      </c>
      <c r="UD34" s="1" t="n">
        <f aca="false">IF(AND(INT(D34/10)*10=90,B34&gt;0),80,INT(D34/10)*10)</f>
        <v>20</v>
      </c>
      <c r="UE34" s="1" t="n">
        <f aca="false">IF(B34=0,1,IF(UD34&lt;&gt;UD33,UE33+1,UE33))</f>
        <v>3</v>
      </c>
      <c r="UF34" s="1" t="n">
        <f aca="false">IF(AND(C34=1,F34=1,QD34&gt;MAX(PR_Short1,TP34*PR_Short2)),1,0)</f>
        <v>0</v>
      </c>
      <c r="UG34" s="1" t="n">
        <f aca="false">TQ34*TU34</f>
        <v>0</v>
      </c>
      <c r="UH34" s="1" t="n">
        <f aca="false">IF(AND(U34=1,Slot1_PctLow=1),1,0)+IF(AND(AF34=1,Slot2_PctLow=1),1,0)+IF(AND(AP34=1,Slot3_PctLow=1),1,0)+IF(AND(AZ34=1,Slot4_PctLow=1),1,0)+IF(AND(BJ34=1,Slot5_PctLow=1),1,0)+IF(AND(BT34=1,Slot6_PctLow=1),1,0)+IF(AND(CD34=1,Slot7_PctLow=1),1,0)+IF(AND(CN34=1,Slot8_PctLow=1),1,0)+IF(AND(CX34=1,Slot9_PctLow=1),1,0)+IF(AND(DH34=1,Slot10_PctLow=1),1,0)+IF(AND(DR34=1,Slot11_PctLow=1),1,0)+IF(AND(EB34=1,Slot12_PctLow=1),1,0)+IF(AND(EL34=1,Slot13_PctLow=1),1,0)+IF(AND(EV34=1,Slot14_PctLow=1),1,0)+IF(AND(FF34=1,Slot15_PctLow=1),1,0)+IF(AND(FP34=1,Slot16_PctLow=1),1,0)+IF(AND(FZ34=1,Slot17_PctLow=1),1,0)+IF(AND(GJ34=1,Slot18_PctLow=1),1,0)+IF(AND(GT34=1,Slot19_PctLow=1),1,0)+IF(AND(HD34=1,Slot20_PctLow=1),1,0)</f>
        <v>0</v>
      </c>
      <c r="UI34" s="1" t="n">
        <f aca="false">IF(C34=1,IF(OR(TU34=1,UH34&gt;0),1,0),0)</f>
        <v>0</v>
      </c>
    </row>
    <row r="35" customFormat="false" ht="15" hidden="false" customHeight="true" outlineLevel="0" collapsed="false">
      <c r="B35" s="1" t="n">
        <v>27</v>
      </c>
      <c r="C35" s="1" t="n">
        <f aca="false">IF(B35&lt;=F_N,1,0)</f>
        <v>1</v>
      </c>
      <c r="D35" s="1" t="n">
        <f aca="false">'Plan pay &amp; tax'!C261</f>
        <v>27</v>
      </c>
      <c r="E35" s="111" t="n">
        <f aca="false">'Plan pay &amp; tax'!E261</f>
        <v>1.70688647664111</v>
      </c>
      <c r="F35" s="1" t="n">
        <f aca="false">'Plan pay &amp; tax'!G261</f>
        <v>1</v>
      </c>
      <c r="G35" s="1" t="n">
        <f aca="false">'Plan pay &amp; tax'!BT261-'Plan pay &amp; tax'!BS261-'Plan pay &amp; tax'!R261</f>
        <v>0</v>
      </c>
      <c r="H35" s="1" t="n">
        <f aca="false">IF(F35=1,F_CostsM*12,IF(RG_Exists=1,RG_Amount,F_CostsM*12*AS_RetireSpend))*E35+F_OneOffY*E35</f>
        <v>0</v>
      </c>
      <c r="I35" s="1" t="n">
        <f aca="false">HQ34</f>
        <v>0</v>
      </c>
      <c r="J35" s="1" t="n">
        <f aca="false">IF(I35&gt;1,'Plan debt months'!AC35,0)</f>
        <v>0</v>
      </c>
      <c r="K35" s="1" t="n">
        <f aca="false">IF(I35&gt;1,'Plan debt months'!AB35,I35)</f>
        <v>0</v>
      </c>
      <c r="L35" s="1" t="n">
        <f aca="false">N34</f>
        <v>0</v>
      </c>
      <c r="M35" s="1" t="n">
        <f aca="false">IF(L35&gt;1,'Plan debt months'!BD35,0)</f>
        <v>0</v>
      </c>
      <c r="N35" s="1" t="n">
        <f aca="false">IF(L35&gt;1,'Plan debt months'!BC35,L35)</f>
        <v>0</v>
      </c>
      <c r="O35" s="1" t="n">
        <f aca="false">Q34</f>
        <v>0</v>
      </c>
      <c r="P35" s="1" t="n">
        <f aca="false">IF(O35&gt;1,'Plan debt months'!CE35,0)</f>
        <v>0</v>
      </c>
      <c r="Q35" s="1" t="n">
        <f aca="false">IF(O35&gt;1,'Plan debt months'!CD35,O35)</f>
        <v>0</v>
      </c>
      <c r="R35" s="1" t="n">
        <f aca="false">J35+M35+P35</f>
        <v>0</v>
      </c>
      <c r="S35" s="1" t="n">
        <f aca="false">QJ34+'Plan pay &amp; tax'!Y261</f>
        <v>0</v>
      </c>
      <c r="T35" s="1" t="n">
        <f aca="false">QJ34</f>
        <v>0</v>
      </c>
      <c r="U35" s="1" t="n">
        <f aca="false">IF(AND(Slot1_On=1,D35=Slot1_Age),1,0)</f>
        <v>0</v>
      </c>
      <c r="V35" s="1" t="n">
        <f aca="false">IF(AND(Slot1_On=1,Slot1_Age&gt;D35),1,0)</f>
        <v>0</v>
      </c>
      <c r="W35" s="1" t="n">
        <f aca="false">QL34</f>
        <v>0</v>
      </c>
      <c r="X35" s="1" t="n">
        <f aca="false">U35*MIN(Slot1_Cost,W35)</f>
        <v>0</v>
      </c>
      <c r="Y35" s="1" t="n">
        <f aca="false">U35*Slot1_SpendLike*MIN(Slot1_Cost-X35,S35)</f>
        <v>0</v>
      </c>
      <c r="Z35" s="1" t="n">
        <f aca="false">X35+Y35</f>
        <v>0</v>
      </c>
      <c r="AA35" s="1" t="n">
        <f aca="false">S35-Y35+U35*IF(Slot1_SpendLike=1,W35-X35,IF(Slot1_PotFree=1,W35,0))</f>
        <v>0</v>
      </c>
      <c r="AB35" s="1" t="n">
        <f aca="false">AE35+U35*Slot1_BufPot*W35</f>
        <v>0</v>
      </c>
      <c r="AC35" s="1" t="n">
        <f aca="false">IF(AND(U35=1,Slot1_IsMfree=1),IF(Z35&gt;=Slot1_Cost-1,0,MAX(0,K35-Z35)),K35)</f>
        <v>0</v>
      </c>
      <c r="AD35" s="1" t="n">
        <f aca="false">U35*(Slot1_Cost-Z35)</f>
        <v>0</v>
      </c>
      <c r="AE35" s="1" t="n">
        <f aca="false">QK34</f>
        <v>0</v>
      </c>
      <c r="AF35" s="1" t="n">
        <f aca="false">IF(AND(Slot2_On=1,D35=Slot2_Age),1,0)</f>
        <v>0</v>
      </c>
      <c r="AG35" s="1" t="n">
        <f aca="false">IF(AND(Slot2_On=1,Slot2_Age&gt;D35),1,0)</f>
        <v>0</v>
      </c>
      <c r="AH35" s="1" t="n">
        <f aca="false">QP34</f>
        <v>0</v>
      </c>
      <c r="AI35" s="1" t="n">
        <f aca="false">AF35*MIN(Slot2_Cost,AH35)</f>
        <v>0</v>
      </c>
      <c r="AJ35" s="1" t="n">
        <f aca="false">AF35*Slot2_SpendLike*MIN(Slot2_Cost-AI35,AA35)</f>
        <v>0</v>
      </c>
      <c r="AK35" s="1" t="n">
        <f aca="false">AI35+AJ35</f>
        <v>0</v>
      </c>
      <c r="AL35" s="1" t="n">
        <f aca="false">AA35-AJ35+AF35*IF(Slot2_SpendLike=1,AH35-AI35,IF(Slot2_PotFree=1,AH35,0))</f>
        <v>0</v>
      </c>
      <c r="AM35" s="1" t="n">
        <f aca="false">AB35+AF35*Slot2_BufPot*AH35</f>
        <v>0</v>
      </c>
      <c r="AN35" s="1" t="n">
        <f aca="false">IF(AND(AF35=1,Slot2_IsMfree=1),IF(AK35&gt;=Slot2_Cost-1,0,MAX(0,AC35-AK35)),AC35)</f>
        <v>0</v>
      </c>
      <c r="AO35" s="1" t="n">
        <f aca="false">AF35*(Slot2_Cost-AK35)</f>
        <v>0</v>
      </c>
      <c r="AP35" s="1" t="n">
        <f aca="false">IF(AND(Slot3_On=1,D35=Slot3_Age),1,0)</f>
        <v>0</v>
      </c>
      <c r="AQ35" s="1" t="n">
        <f aca="false">IF(AND(Slot3_On=1,Slot3_Age&gt;D35),1,0)</f>
        <v>0</v>
      </c>
      <c r="AR35" s="1" t="n">
        <f aca="false">QT34</f>
        <v>0</v>
      </c>
      <c r="AS35" s="1" t="n">
        <f aca="false">AP35*MIN(Slot3_Cost,AR35)</f>
        <v>0</v>
      </c>
      <c r="AT35" s="1" t="n">
        <f aca="false">AP35*Slot3_SpendLike*MIN(Slot3_Cost-AS35,AL35)</f>
        <v>0</v>
      </c>
      <c r="AU35" s="1" t="n">
        <f aca="false">AS35+AT35</f>
        <v>0</v>
      </c>
      <c r="AV35" s="1" t="n">
        <f aca="false">AL35-AT35+AP35*IF(Slot3_SpendLike=1,AR35-AS35,IF(Slot3_PotFree=1,AR35,0))</f>
        <v>0</v>
      </c>
      <c r="AW35" s="1" t="n">
        <f aca="false">AM35+AP35*Slot3_BufPot*AR35</f>
        <v>0</v>
      </c>
      <c r="AX35" s="1" t="n">
        <f aca="false">IF(AND(AP35=1,Slot3_IsMfree=1),IF(AU35&gt;=Slot3_Cost-1,0,MAX(0,AN35-AU35)),AN35)</f>
        <v>0</v>
      </c>
      <c r="AY35" s="1" t="n">
        <f aca="false">AP35*(Slot3_Cost-AU35)</f>
        <v>0</v>
      </c>
      <c r="AZ35" s="1" t="n">
        <f aca="false">IF(AND(Slot4_On=1,D35=Slot4_Age),1,0)</f>
        <v>0</v>
      </c>
      <c r="BA35" s="1" t="n">
        <f aca="false">IF(AND(Slot4_On=1,Slot4_Age&gt;D35),1,0)</f>
        <v>0</v>
      </c>
      <c r="BB35" s="1" t="n">
        <f aca="false">QX34</f>
        <v>0</v>
      </c>
      <c r="BC35" s="1" t="n">
        <f aca="false">AZ35*MIN(Slot4_Cost,BB35)</f>
        <v>0</v>
      </c>
      <c r="BD35" s="1" t="n">
        <f aca="false">AZ35*Slot4_SpendLike*MIN(Slot4_Cost-BC35,AV35)</f>
        <v>0</v>
      </c>
      <c r="BE35" s="1" t="n">
        <f aca="false">BC35+BD35</f>
        <v>0</v>
      </c>
      <c r="BF35" s="1" t="n">
        <f aca="false">AV35-BD35+AZ35*IF(Slot4_SpendLike=1,BB35-BC35,IF(Slot4_PotFree=1,BB35,0))</f>
        <v>0</v>
      </c>
      <c r="BG35" s="1" t="n">
        <f aca="false">AW35+AZ35*Slot4_BufPot*BB35</f>
        <v>0</v>
      </c>
      <c r="BH35" s="1" t="n">
        <f aca="false">IF(AND(AZ35=1,Slot4_IsMfree=1),IF(BE35&gt;=Slot4_Cost-1,0,MAX(0,AX35-BE35)),AX35)</f>
        <v>0</v>
      </c>
      <c r="BI35" s="1" t="n">
        <f aca="false">AZ35*(Slot4_Cost-BE35)</f>
        <v>0</v>
      </c>
      <c r="BJ35" s="1" t="n">
        <f aca="false">IF(AND(Slot5_On=1,D35=Slot5_Age),1,0)</f>
        <v>0</v>
      </c>
      <c r="BK35" s="1" t="n">
        <f aca="false">IF(AND(Slot5_On=1,Slot5_Age&gt;D35),1,0)</f>
        <v>0</v>
      </c>
      <c r="BL35" s="1" t="n">
        <f aca="false">RB34</f>
        <v>0</v>
      </c>
      <c r="BM35" s="1" t="n">
        <f aca="false">BJ35*MIN(Slot5_Cost,BL35)</f>
        <v>0</v>
      </c>
      <c r="BN35" s="1" t="n">
        <f aca="false">BJ35*Slot5_SpendLike*MIN(Slot5_Cost-BM35,BF35)</f>
        <v>0</v>
      </c>
      <c r="BO35" s="1" t="n">
        <f aca="false">BM35+BN35</f>
        <v>0</v>
      </c>
      <c r="BP35" s="1" t="n">
        <f aca="false">BF35-BN35+BJ35*IF(Slot5_SpendLike=1,BL35-BM35,IF(Slot5_PotFree=1,BL35,0))</f>
        <v>0</v>
      </c>
      <c r="BQ35" s="1" t="n">
        <f aca="false">BG35+BJ35*Slot5_BufPot*BL35</f>
        <v>0</v>
      </c>
      <c r="BR35" s="1" t="n">
        <f aca="false">IF(AND(BJ35=1,Slot5_IsMfree=1),IF(BO35&gt;=Slot5_Cost-1,0,MAX(0,BH35-BO35)),BH35)</f>
        <v>0</v>
      </c>
      <c r="BS35" s="1" t="n">
        <f aca="false">BJ35*(Slot5_Cost-BO35)</f>
        <v>0</v>
      </c>
      <c r="BT35" s="1" t="n">
        <f aca="false">IF(AND(Slot6_On=1,D35=Slot6_Age),1,0)</f>
        <v>0</v>
      </c>
      <c r="BU35" s="1" t="n">
        <f aca="false">IF(AND(Slot6_On=1,Slot6_Age&gt;D35),1,0)</f>
        <v>0</v>
      </c>
      <c r="BV35" s="1" t="n">
        <f aca="false">RF34</f>
        <v>0</v>
      </c>
      <c r="BW35" s="1" t="n">
        <f aca="false">BT35*MIN(Slot6_Cost,BV35)</f>
        <v>0</v>
      </c>
      <c r="BX35" s="1" t="n">
        <f aca="false">BT35*Slot6_SpendLike*MIN(Slot6_Cost-BW35,BP35)</f>
        <v>0</v>
      </c>
      <c r="BY35" s="1" t="n">
        <f aca="false">BW35+BX35</f>
        <v>0</v>
      </c>
      <c r="BZ35" s="1" t="n">
        <f aca="false">BP35-BX35+BT35*IF(Slot6_SpendLike=1,BV35-BW35,IF(Slot6_PotFree=1,BV35,0))</f>
        <v>0</v>
      </c>
      <c r="CA35" s="1" t="n">
        <f aca="false">BQ35+BT35*Slot6_BufPot*BV35</f>
        <v>0</v>
      </c>
      <c r="CB35" s="1" t="n">
        <f aca="false">IF(AND(BT35=1,Slot6_IsMfree=1),IF(BY35&gt;=Slot6_Cost-1,0,MAX(0,BR35-BY35)),BR35)</f>
        <v>0</v>
      </c>
      <c r="CC35" s="1" t="n">
        <f aca="false">BT35*(Slot6_Cost-BY35)</f>
        <v>0</v>
      </c>
      <c r="CD35" s="1" t="n">
        <f aca="false">IF(AND(Slot7_On=1,D35=Slot7_Age),1,0)</f>
        <v>0</v>
      </c>
      <c r="CE35" s="1" t="n">
        <f aca="false">IF(AND(Slot7_On=1,Slot7_Age&gt;D35),1,0)</f>
        <v>0</v>
      </c>
      <c r="CF35" s="1" t="n">
        <f aca="false">RJ34</f>
        <v>0</v>
      </c>
      <c r="CG35" s="1" t="n">
        <f aca="false">CD35*MIN(Slot7_Cost,CF35)</f>
        <v>0</v>
      </c>
      <c r="CH35" s="1" t="n">
        <f aca="false">CD35*Slot7_SpendLike*MIN(Slot7_Cost-CG35,BZ35)</f>
        <v>0</v>
      </c>
      <c r="CI35" s="1" t="n">
        <f aca="false">CG35+CH35</f>
        <v>0</v>
      </c>
      <c r="CJ35" s="1" t="n">
        <f aca="false">BZ35-CH35+CD35*IF(Slot7_SpendLike=1,CF35-CG35,IF(Slot7_PotFree=1,CF35,0))</f>
        <v>0</v>
      </c>
      <c r="CK35" s="1" t="n">
        <f aca="false">CA35+CD35*Slot7_BufPot*CF35</f>
        <v>0</v>
      </c>
      <c r="CL35" s="1" t="n">
        <f aca="false">IF(AND(CD35=1,Slot7_IsMfree=1),IF(CI35&gt;=Slot7_Cost-1,0,MAX(0,CB35-CI35)),CB35)</f>
        <v>0</v>
      </c>
      <c r="CM35" s="1" t="n">
        <f aca="false">CD35*(Slot7_Cost-CI35)</f>
        <v>0</v>
      </c>
      <c r="CN35" s="1" t="n">
        <f aca="false">IF(AND(Slot8_On=1,D35=Slot8_Age),1,0)</f>
        <v>0</v>
      </c>
      <c r="CO35" s="1" t="n">
        <f aca="false">IF(AND(Slot8_On=1,Slot8_Age&gt;D35),1,0)</f>
        <v>0</v>
      </c>
      <c r="CP35" s="1" t="n">
        <f aca="false">RN34</f>
        <v>0</v>
      </c>
      <c r="CQ35" s="1" t="n">
        <f aca="false">CN35*MIN(Slot8_Cost,CP35)</f>
        <v>0</v>
      </c>
      <c r="CR35" s="1" t="n">
        <f aca="false">CN35*Slot8_SpendLike*MIN(Slot8_Cost-CQ35,CJ35)</f>
        <v>0</v>
      </c>
      <c r="CS35" s="1" t="n">
        <f aca="false">CQ35+CR35</f>
        <v>0</v>
      </c>
      <c r="CT35" s="1" t="n">
        <f aca="false">CJ35-CR35+CN35*IF(Slot8_SpendLike=1,CP35-CQ35,IF(Slot8_PotFree=1,CP35,0))</f>
        <v>0</v>
      </c>
      <c r="CU35" s="1" t="n">
        <f aca="false">CK35+CN35*Slot8_BufPot*CP35</f>
        <v>0</v>
      </c>
      <c r="CV35" s="1" t="n">
        <f aca="false">IF(AND(CN35=1,Slot8_IsMfree=1),IF(CS35&gt;=Slot8_Cost-1,0,MAX(0,CL35-CS35)),CL35)</f>
        <v>0</v>
      </c>
      <c r="CW35" s="1" t="n">
        <f aca="false">CN35*(Slot8_Cost-CS35)</f>
        <v>0</v>
      </c>
      <c r="CX35" s="1" t="n">
        <f aca="false">IF(AND(Slot9_On=1,D35=Slot9_Age),1,0)</f>
        <v>0</v>
      </c>
      <c r="CY35" s="1" t="n">
        <f aca="false">IF(AND(Slot9_On=1,Slot9_Age&gt;D35),1,0)</f>
        <v>0</v>
      </c>
      <c r="CZ35" s="1" t="n">
        <f aca="false">RR34</f>
        <v>0</v>
      </c>
      <c r="DA35" s="1" t="n">
        <f aca="false">CX35*MIN(Slot9_Cost,CZ35)</f>
        <v>0</v>
      </c>
      <c r="DB35" s="1" t="n">
        <f aca="false">CX35*Slot9_SpendLike*MIN(Slot9_Cost-DA35,CT35)</f>
        <v>0</v>
      </c>
      <c r="DC35" s="1" t="n">
        <f aca="false">DA35+DB35</f>
        <v>0</v>
      </c>
      <c r="DD35" s="1" t="n">
        <f aca="false">CT35-DB35+CX35*IF(Slot9_SpendLike=1,CZ35-DA35,IF(Slot9_PotFree=1,CZ35,0))</f>
        <v>0</v>
      </c>
      <c r="DE35" s="1" t="n">
        <f aca="false">CU35+CX35*Slot9_BufPot*CZ35</f>
        <v>0</v>
      </c>
      <c r="DF35" s="1" t="n">
        <f aca="false">IF(AND(CX35=1,Slot9_IsMfree=1),IF(DC35&gt;=Slot9_Cost-1,0,MAX(0,CV35-DC35)),CV35)</f>
        <v>0</v>
      </c>
      <c r="DG35" s="1" t="n">
        <f aca="false">CX35*(Slot9_Cost-DC35)</f>
        <v>0</v>
      </c>
      <c r="DH35" s="1" t="n">
        <f aca="false">IF(AND(Slot10_On=1,D35=Slot10_Age),1,0)</f>
        <v>0</v>
      </c>
      <c r="DI35" s="1" t="n">
        <f aca="false">IF(AND(Slot10_On=1,Slot10_Age&gt;D35),1,0)</f>
        <v>0</v>
      </c>
      <c r="DJ35" s="1" t="n">
        <f aca="false">RV34</f>
        <v>0</v>
      </c>
      <c r="DK35" s="1" t="n">
        <f aca="false">DH35*MIN(Slot10_Cost,DJ35)</f>
        <v>0</v>
      </c>
      <c r="DL35" s="1" t="n">
        <f aca="false">DH35*Slot10_SpendLike*MIN(Slot10_Cost-DK35,DD35)</f>
        <v>0</v>
      </c>
      <c r="DM35" s="1" t="n">
        <f aca="false">DK35+DL35</f>
        <v>0</v>
      </c>
      <c r="DN35" s="1" t="n">
        <f aca="false">DD35-DL35+DH35*IF(Slot10_SpendLike=1,DJ35-DK35,IF(Slot10_PotFree=1,DJ35,0))</f>
        <v>0</v>
      </c>
      <c r="DO35" s="1" t="n">
        <f aca="false">DE35+DH35*Slot10_BufPot*DJ35</f>
        <v>0</v>
      </c>
      <c r="DP35" s="1" t="n">
        <f aca="false">IF(AND(DH35=1,Slot10_IsMfree=1),IF(DM35&gt;=Slot10_Cost-1,0,MAX(0,DF35-DM35)),DF35)</f>
        <v>0</v>
      </c>
      <c r="DQ35" s="1" t="n">
        <f aca="false">DH35*(Slot10_Cost-DM35)</f>
        <v>0</v>
      </c>
      <c r="DR35" s="1" t="n">
        <f aca="false">IF(AND(Slot11_On=1,D35=Slot11_Age),1,0)</f>
        <v>0</v>
      </c>
      <c r="DS35" s="1" t="n">
        <f aca="false">IF(AND(Slot11_On=1,Slot11_Age&gt;D35),1,0)</f>
        <v>0</v>
      </c>
      <c r="DT35" s="1" t="n">
        <f aca="false">RZ34</f>
        <v>0</v>
      </c>
      <c r="DU35" s="1" t="n">
        <f aca="false">DR35*MIN(Slot11_Cost,DT35)</f>
        <v>0</v>
      </c>
      <c r="DV35" s="1" t="n">
        <f aca="false">DR35*Slot11_SpendLike*MIN(Slot11_Cost-DU35,DN35)</f>
        <v>0</v>
      </c>
      <c r="DW35" s="1" t="n">
        <f aca="false">DU35+DV35</f>
        <v>0</v>
      </c>
      <c r="DX35" s="1" t="n">
        <f aca="false">DN35-DV35+DR35*IF(Slot11_SpendLike=1,DT35-DU35,IF(Slot11_PotFree=1,DT35,0))</f>
        <v>0</v>
      </c>
      <c r="DY35" s="1" t="n">
        <f aca="false">DO35+DR35*Slot11_BufPot*DT35</f>
        <v>0</v>
      </c>
      <c r="DZ35" s="1" t="n">
        <f aca="false">IF(AND(DR35=1,Slot11_IsMfree=1),IF(DW35&gt;=Slot11_Cost-1,0,MAX(0,DP35-DW35)),DP35)</f>
        <v>0</v>
      </c>
      <c r="EA35" s="1" t="n">
        <f aca="false">DR35*(Slot11_Cost-DW35)</f>
        <v>0</v>
      </c>
      <c r="EB35" s="1" t="n">
        <f aca="false">IF(AND(Slot12_On=1,D35=Slot12_Age),1,0)</f>
        <v>0</v>
      </c>
      <c r="EC35" s="1" t="n">
        <f aca="false">IF(AND(Slot12_On=1,Slot12_Age&gt;D35),1,0)</f>
        <v>0</v>
      </c>
      <c r="ED35" s="1" t="n">
        <f aca="false">SD34</f>
        <v>0</v>
      </c>
      <c r="EE35" s="1" t="n">
        <f aca="false">EB35*MIN(Slot12_Cost,ED35)</f>
        <v>0</v>
      </c>
      <c r="EF35" s="1" t="n">
        <f aca="false">EB35*Slot12_SpendLike*MIN(Slot12_Cost-EE35,DX35)</f>
        <v>0</v>
      </c>
      <c r="EG35" s="1" t="n">
        <f aca="false">EE35+EF35</f>
        <v>0</v>
      </c>
      <c r="EH35" s="1" t="n">
        <f aca="false">DX35-EF35+EB35*IF(Slot12_SpendLike=1,ED35-EE35,IF(Slot12_PotFree=1,ED35,0))</f>
        <v>0</v>
      </c>
      <c r="EI35" s="1" t="n">
        <f aca="false">DY35+EB35*Slot12_BufPot*ED35</f>
        <v>0</v>
      </c>
      <c r="EJ35" s="1" t="n">
        <f aca="false">IF(AND(EB35=1,Slot12_IsMfree=1),IF(EG35&gt;=Slot12_Cost-1,0,MAX(0,DZ35-EG35)),DZ35)</f>
        <v>0</v>
      </c>
      <c r="EK35" s="1" t="n">
        <f aca="false">EB35*(Slot12_Cost-EG35)</f>
        <v>0</v>
      </c>
      <c r="EL35" s="1" t="n">
        <f aca="false">IF(AND(Slot13_On=1,D35=Slot13_Age),1,0)</f>
        <v>0</v>
      </c>
      <c r="EM35" s="1" t="n">
        <f aca="false">IF(AND(Slot13_On=1,Slot13_Age&gt;D35),1,0)</f>
        <v>0</v>
      </c>
      <c r="EN35" s="1" t="n">
        <f aca="false">SH34</f>
        <v>0</v>
      </c>
      <c r="EO35" s="1" t="n">
        <f aca="false">EL35*MIN(Slot13_Cost,EN35)</f>
        <v>0</v>
      </c>
      <c r="EP35" s="1" t="n">
        <f aca="false">EL35*Slot13_SpendLike*MIN(Slot13_Cost-EO35,EH35)</f>
        <v>0</v>
      </c>
      <c r="EQ35" s="1" t="n">
        <f aca="false">EO35+EP35</f>
        <v>0</v>
      </c>
      <c r="ER35" s="1" t="n">
        <f aca="false">EH35-EP35+EL35*IF(Slot13_SpendLike=1,EN35-EO35,IF(Slot13_PotFree=1,EN35,0))</f>
        <v>0</v>
      </c>
      <c r="ES35" s="1" t="n">
        <f aca="false">EI35+EL35*Slot13_BufPot*EN35</f>
        <v>0</v>
      </c>
      <c r="ET35" s="1" t="n">
        <f aca="false">IF(AND(EL35=1,Slot13_IsMfree=1),IF(EQ35&gt;=Slot13_Cost-1,0,MAX(0,EJ35-EQ35)),EJ35)</f>
        <v>0</v>
      </c>
      <c r="EU35" s="1" t="n">
        <f aca="false">EL35*(Slot13_Cost-EQ35)</f>
        <v>0</v>
      </c>
      <c r="EV35" s="1" t="n">
        <f aca="false">IF(AND(Slot14_On=1,D35=Slot14_Age),1,0)</f>
        <v>0</v>
      </c>
      <c r="EW35" s="1" t="n">
        <f aca="false">IF(AND(Slot14_On=1,Slot14_Age&gt;D35),1,0)</f>
        <v>0</v>
      </c>
      <c r="EX35" s="1" t="n">
        <f aca="false">SL34</f>
        <v>0</v>
      </c>
      <c r="EY35" s="1" t="n">
        <f aca="false">EV35*MIN(Slot14_Cost,EX35)</f>
        <v>0</v>
      </c>
      <c r="EZ35" s="1" t="n">
        <f aca="false">EV35*Slot14_SpendLike*MIN(Slot14_Cost-EY35,ER35)</f>
        <v>0</v>
      </c>
      <c r="FA35" s="1" t="n">
        <f aca="false">EY35+EZ35</f>
        <v>0</v>
      </c>
      <c r="FB35" s="1" t="n">
        <f aca="false">ER35-EZ35+EV35*IF(Slot14_SpendLike=1,EX35-EY35,IF(Slot14_PotFree=1,EX35,0))</f>
        <v>0</v>
      </c>
      <c r="FC35" s="1" t="n">
        <f aca="false">ES35+EV35*Slot14_BufPot*EX35</f>
        <v>0</v>
      </c>
      <c r="FD35" s="1" t="n">
        <f aca="false">IF(AND(EV35=1,Slot14_IsMfree=1),IF(FA35&gt;=Slot14_Cost-1,0,MAX(0,ET35-FA35)),ET35)</f>
        <v>0</v>
      </c>
      <c r="FE35" s="1" t="n">
        <f aca="false">EV35*(Slot14_Cost-FA35)</f>
        <v>0</v>
      </c>
      <c r="FF35" s="1" t="n">
        <f aca="false">IF(AND(Slot15_On=1,D35=Slot15_Age),1,0)</f>
        <v>0</v>
      </c>
      <c r="FG35" s="1" t="n">
        <f aca="false">IF(AND(Slot15_On=1,Slot15_Age&gt;D35),1,0)</f>
        <v>0</v>
      </c>
      <c r="FH35" s="1" t="n">
        <f aca="false">SP34</f>
        <v>0</v>
      </c>
      <c r="FI35" s="1" t="n">
        <f aca="false">FF35*MIN(Slot15_Cost,FH35)</f>
        <v>0</v>
      </c>
      <c r="FJ35" s="1" t="n">
        <f aca="false">FF35*Slot15_SpendLike*MIN(Slot15_Cost-FI35,FB35)</f>
        <v>0</v>
      </c>
      <c r="FK35" s="1" t="n">
        <f aca="false">FI35+FJ35</f>
        <v>0</v>
      </c>
      <c r="FL35" s="1" t="n">
        <f aca="false">FB35-FJ35+FF35*IF(Slot15_SpendLike=1,FH35-FI35,IF(Slot15_PotFree=1,FH35,0))</f>
        <v>0</v>
      </c>
      <c r="FM35" s="1" t="n">
        <f aca="false">FC35+FF35*Slot15_BufPot*FH35</f>
        <v>0</v>
      </c>
      <c r="FN35" s="1" t="n">
        <f aca="false">IF(AND(FF35=1,Slot15_IsMfree=1),IF(FK35&gt;=Slot15_Cost-1,0,MAX(0,FD35-FK35)),FD35)</f>
        <v>0</v>
      </c>
      <c r="FO35" s="1" t="n">
        <f aca="false">FF35*(Slot15_Cost-FK35)</f>
        <v>0</v>
      </c>
      <c r="FP35" s="1" t="n">
        <f aca="false">IF(AND(Slot16_On=1,D35=Slot16_Age),1,0)</f>
        <v>0</v>
      </c>
      <c r="FQ35" s="1" t="n">
        <f aca="false">IF(AND(Slot16_On=1,Slot16_Age&gt;D35),1,0)</f>
        <v>0</v>
      </c>
      <c r="FR35" s="1" t="n">
        <f aca="false">ST34</f>
        <v>0</v>
      </c>
      <c r="FS35" s="1" t="n">
        <f aca="false">FP35*MIN(Slot16_Cost,FR35)</f>
        <v>0</v>
      </c>
      <c r="FT35" s="1" t="n">
        <f aca="false">FP35*Slot16_SpendLike*MIN(Slot16_Cost-FS35,FL35)</f>
        <v>0</v>
      </c>
      <c r="FU35" s="1" t="n">
        <f aca="false">FS35+FT35</f>
        <v>0</v>
      </c>
      <c r="FV35" s="1" t="n">
        <f aca="false">FL35-FT35+FP35*IF(Slot16_SpendLike=1,FR35-FS35,IF(Slot16_PotFree=1,FR35,0))</f>
        <v>0</v>
      </c>
      <c r="FW35" s="1" t="n">
        <f aca="false">FM35+FP35*Slot16_BufPot*FR35</f>
        <v>0</v>
      </c>
      <c r="FX35" s="1" t="n">
        <f aca="false">IF(AND(FP35=1,Slot16_IsMfree=1),IF(FU35&gt;=Slot16_Cost-1,0,MAX(0,FN35-FU35)),FN35)</f>
        <v>0</v>
      </c>
      <c r="FY35" s="1" t="n">
        <f aca="false">FP35*(Slot16_Cost-FU35)</f>
        <v>0</v>
      </c>
      <c r="FZ35" s="1" t="n">
        <f aca="false">IF(AND(Slot17_On=1,D35=Slot17_Age),1,0)</f>
        <v>0</v>
      </c>
      <c r="GA35" s="1" t="n">
        <f aca="false">IF(AND(Slot17_On=1,Slot17_Age&gt;D35),1,0)</f>
        <v>0</v>
      </c>
      <c r="GB35" s="1" t="n">
        <f aca="false">SX34</f>
        <v>0</v>
      </c>
      <c r="GC35" s="1" t="n">
        <f aca="false">FZ35*MIN(Slot17_Cost,GB35)</f>
        <v>0</v>
      </c>
      <c r="GD35" s="1" t="n">
        <f aca="false">FZ35*Slot17_SpendLike*MIN(Slot17_Cost-GC35,FV35)</f>
        <v>0</v>
      </c>
      <c r="GE35" s="1" t="n">
        <f aca="false">GC35+GD35</f>
        <v>0</v>
      </c>
      <c r="GF35" s="1" t="n">
        <f aca="false">FV35-GD35+FZ35*IF(Slot17_SpendLike=1,GB35-GC35,IF(Slot17_PotFree=1,GB35,0))</f>
        <v>0</v>
      </c>
      <c r="GG35" s="1" t="n">
        <f aca="false">FW35+FZ35*Slot17_BufPot*GB35</f>
        <v>0</v>
      </c>
      <c r="GH35" s="1" t="n">
        <f aca="false">IF(AND(FZ35=1,Slot17_IsMfree=1),IF(GE35&gt;=Slot17_Cost-1,0,MAX(0,FX35-GE35)),FX35)</f>
        <v>0</v>
      </c>
      <c r="GI35" s="1" t="n">
        <f aca="false">FZ35*(Slot17_Cost-GE35)</f>
        <v>0</v>
      </c>
      <c r="GJ35" s="1" t="n">
        <f aca="false">IF(AND(Slot18_On=1,D35=Slot18_Age),1,0)</f>
        <v>0</v>
      </c>
      <c r="GK35" s="1" t="n">
        <f aca="false">IF(AND(Slot18_On=1,Slot18_Age&gt;D35),1,0)</f>
        <v>0</v>
      </c>
      <c r="GL35" s="1" t="n">
        <f aca="false">TB34</f>
        <v>0</v>
      </c>
      <c r="GM35" s="1" t="n">
        <f aca="false">GJ35*MIN(Slot18_Cost,GL35)</f>
        <v>0</v>
      </c>
      <c r="GN35" s="1" t="n">
        <f aca="false">GJ35*Slot18_SpendLike*MIN(Slot18_Cost-GM35,GF35)</f>
        <v>0</v>
      </c>
      <c r="GO35" s="1" t="n">
        <f aca="false">GM35+GN35</f>
        <v>0</v>
      </c>
      <c r="GP35" s="1" t="n">
        <f aca="false">GF35-GN35+GJ35*IF(Slot18_SpendLike=1,GL35-GM35,IF(Slot18_PotFree=1,GL35,0))</f>
        <v>0</v>
      </c>
      <c r="GQ35" s="1" t="n">
        <f aca="false">GG35+GJ35*Slot18_BufPot*GL35</f>
        <v>0</v>
      </c>
      <c r="GR35" s="1" t="n">
        <f aca="false">IF(AND(GJ35=1,Slot18_IsMfree=1),IF(GO35&gt;=Slot18_Cost-1,0,MAX(0,GH35-GO35)),GH35)</f>
        <v>0</v>
      </c>
      <c r="GS35" s="1" t="n">
        <f aca="false">GJ35*(Slot18_Cost-GO35)</f>
        <v>0</v>
      </c>
      <c r="GT35" s="1" t="n">
        <f aca="false">IF(AND(Slot19_On=1,D35=Slot19_Age),1,0)</f>
        <v>0</v>
      </c>
      <c r="GU35" s="1" t="n">
        <f aca="false">IF(AND(Slot19_On=1,Slot19_Age&gt;D35),1,0)</f>
        <v>0</v>
      </c>
      <c r="GV35" s="1" t="n">
        <f aca="false">TF34</f>
        <v>0</v>
      </c>
      <c r="GW35" s="1" t="n">
        <f aca="false">GT35*MIN(Slot19_Cost,GV35)</f>
        <v>0</v>
      </c>
      <c r="GX35" s="1" t="n">
        <f aca="false">GT35*Slot19_SpendLike*MIN(Slot19_Cost-GW35,GP35)</f>
        <v>0</v>
      </c>
      <c r="GY35" s="1" t="n">
        <f aca="false">GW35+GX35</f>
        <v>0</v>
      </c>
      <c r="GZ35" s="1" t="n">
        <f aca="false">GP35-GX35+GT35*IF(Slot19_SpendLike=1,GV35-GW35,IF(Slot19_PotFree=1,GV35,0))</f>
        <v>0</v>
      </c>
      <c r="HA35" s="1" t="n">
        <f aca="false">GQ35+GT35*Slot19_BufPot*GV35</f>
        <v>0</v>
      </c>
      <c r="HB35" s="1" t="n">
        <f aca="false">IF(AND(GT35=1,Slot19_IsMfree=1),IF(GY35&gt;=Slot19_Cost-1,0,MAX(0,GR35-GY35)),GR35)</f>
        <v>0</v>
      </c>
      <c r="HC35" s="1" t="n">
        <f aca="false">GT35*(Slot19_Cost-GY35)</f>
        <v>0</v>
      </c>
      <c r="HD35" s="1" t="n">
        <f aca="false">IF(AND(Slot20_On=1,D35=Slot20_Age),1,0)</f>
        <v>0</v>
      </c>
      <c r="HE35" s="1" t="n">
        <f aca="false">IF(AND(Slot20_On=1,Slot20_Age&gt;D35),1,0)</f>
        <v>0</v>
      </c>
      <c r="HF35" s="1" t="n">
        <f aca="false">TJ34</f>
        <v>0</v>
      </c>
      <c r="HG35" s="1" t="n">
        <f aca="false">HD35*MIN(Slot20_Cost,HF35)</f>
        <v>0</v>
      </c>
      <c r="HH35" s="1" t="n">
        <f aca="false">HD35*Slot20_SpendLike*MIN(Slot20_Cost-HG35,GZ35)</f>
        <v>0</v>
      </c>
      <c r="HI35" s="1" t="n">
        <f aca="false">HG35+HH35</f>
        <v>0</v>
      </c>
      <c r="HJ35" s="1" t="n">
        <f aca="false">GZ35-HH35+HD35*IF(Slot20_SpendLike=1,HF35-HG35,IF(Slot20_PotFree=1,HF35,0))</f>
        <v>0</v>
      </c>
      <c r="HK35" s="1" t="n">
        <f aca="false">HA35+HD35*Slot20_BufPot*HF35</f>
        <v>0</v>
      </c>
      <c r="HL35" s="1" t="n">
        <f aca="false">IF(AND(HD35=1,Slot20_IsMfree=1),IF(HI35&gt;=Slot20_Cost-1,0,MAX(0,HB35-HI35)),HB35)</f>
        <v>0</v>
      </c>
      <c r="HM35" s="1" t="n">
        <f aca="false">HD35*(Slot20_Cost-HI35)</f>
        <v>0</v>
      </c>
      <c r="HN35" s="1" t="n">
        <f aca="false">U35*Slot1_SpendLike*Z35+AF35*Slot2_SpendLike*AK35+AP35*Slot3_SpendLike*AU35+AZ35*Slot4_SpendLike*BE35+BJ35*Slot5_SpendLike*BO35+BT35*Slot6_SpendLike*BY35+CD35*Slot7_SpendLike*CI35+CN35*Slot8_SpendLike*CS35+CX35*Slot9_SpendLike*DC35+DH35*Slot10_SpendLike*DM35+DR35*Slot11_SpendLike*DW35+EB35*Slot12_SpendLike*EG35+EL35*Slot13_SpendLike*EQ35+EV35*Slot14_SpendLike*FA35+FF35*Slot15_SpendLike*FK35+FP35*Slot16_SpendLike*FU35+FZ35*Slot17_SpendLike*GE35+GJ35*Slot18_SpendLike*GO35+GT35*Slot19_SpendLike*GY35+HD35*Slot20_SpendLike*HI35</f>
        <v>0</v>
      </c>
      <c r="HO35" s="1" t="n">
        <f aca="false">AD35+AO35+AY35+BI35+BS35+CC35+CM35+CW35+DG35+DQ35+EA35+EK35+EU35+FE35+FO35+FY35+GI35+GS35+HC35+HM35</f>
        <v>0</v>
      </c>
      <c r="HP35" s="1" t="n">
        <f aca="false">U35*Slot1_Cost+AF35*Slot2_Cost+AP35*Slot3_Cost+AZ35*Slot4_Cost+BJ35*Slot5_Cost+BT35*Slot6_Cost+CD35*Slot7_Cost+CN35*Slot8_Cost+CX35*Slot9_Cost+DH35*Slot10_Cost+DR35*Slot11_Cost+EB35*Slot12_Cost+EL35*Slot13_Cost+EV35*Slot14_Cost+FF35*Slot15_Cost+FP35*Slot16_Cost+FZ35*Slot17_Cost+GJ35*Slot18_Cost+GT35*Slot19_Cost+HD35*Slot20_Cost</f>
        <v>0</v>
      </c>
      <c r="HQ35" s="1" t="n">
        <f aca="false">HL35</f>
        <v>0</v>
      </c>
      <c r="HR35" s="1" t="n">
        <f aca="false">G35-H35-R35</f>
        <v>0</v>
      </c>
      <c r="HS35" s="1" t="n">
        <f aca="false">IF(B35=0,IF(AND(Has_q6=1,In_q6=4),PR_ShareVaries*(MAX(0,HR35)/12),MIN(IF(Has_q6=1,CHOOSE(In_q6+1,PR_SaveB1,PR_SaveB2,PR_SaveB3,PR_SaveB4,0),AS_NoAnswer),AS_SaveShare*(MAX(0,HR35)/12))),HS34)</f>
        <v>0</v>
      </c>
      <c r="HT35" s="1" t="n">
        <f aca="false">IF(HR35&gt;=0,1,0)</f>
        <v>1</v>
      </c>
      <c r="HU35" s="1" t="n">
        <f aca="false">MAX(0,HR35/12/E35)</f>
        <v>0</v>
      </c>
      <c r="HV35" s="1" t="n">
        <f aca="false">IF(AND(Has_q6=1,In_q6=4),PR_ShareVaries*(HU35),MIN(IF(Has_q6=1,CHOOSE(In_q6+1,PR_SaveB1,PR_SaveB2,PR_SaveB3,PR_SaveB4,0),AS_NoAnswer),AS_SaveShare*(HU35)))</f>
        <v>0</v>
      </c>
      <c r="HW35" s="1" t="n">
        <f aca="false">IF(Has_saveM=1,IF(In_saveUp="Yes",1,IF(In_saveUp="No",0,IF(In_saveM&gt;=HS35-0.5,1,0))),0)</f>
        <v>0</v>
      </c>
      <c r="HX35" s="1" t="n">
        <f aca="false">IF(Has_saveM=1,MIN(HU35,IF(HW35=1,MAX(In_saveM,HV35),MIN(In_saveM,HV35))),HV35)</f>
        <v>0</v>
      </c>
      <c r="HY35" s="1" t="n">
        <f aca="false">IF(F35=1,HX35*12*E35,0)</f>
        <v>0</v>
      </c>
      <c r="HZ35" s="1" t="n">
        <f aca="false">MAX(0,HY35+IF(AND(WI_Retire=0,WI_M&lt;0,F35=1),WI_M*12*E35,0))</f>
        <v>0</v>
      </c>
      <c r="IA35" s="1" t="n">
        <f aca="false">Slot1_IsWG*V35+Slot2_IsWG*AG35+Slot3_IsWG*AQ35+Slot4_IsWG*BA35+Slot5_IsWG*BK35+Slot6_IsWG*BU35+Slot7_IsWG*CE35+Slot8_IsWG*CO35+Slot9_IsWG*CY35+Slot10_IsWG*DI35+Slot11_IsWG*DS35+Slot12_IsWG*EC35+Slot13_IsWG*EM35+Slot14_IsWG*EW35+Slot15_IsWG*FG35+Slot16_IsWG*FQ35+Slot17_IsWG*GA35+Slot18_IsWG*GK35+Slot19_IsWG*GU35+Slot20_IsWG*HE35</f>
        <v>0</v>
      </c>
      <c r="IB35" s="1" t="n">
        <f aca="false">IF(AND(WI_Retire=0,WI_M&gt;0,F35=1,IA35&gt;=1),WI_M*12*E35,0)</f>
        <v>0</v>
      </c>
      <c r="IC35" s="1" t="n">
        <f aca="false">IF(HT35=1,MIN(HZ35,HR35),0)</f>
        <v>0</v>
      </c>
      <c r="ID35" s="1" t="n">
        <f aca="false">IF(HT35=1,MIN(IB35,HR35-IC35),0)</f>
        <v>0</v>
      </c>
      <c r="IE35" s="1" t="n">
        <f aca="false">IF(V35=1,IF(ABS((1+AS_Wage)/(1+Slot1_Rate)-1)&lt;0.000000000001,(Slot1_Age-D35)*(1+Slot1_Rate)^(Slot1_Age-D35),(1+Slot1_Rate)^(Slot1_Age-D35)*(1-((1+AS_Wage)/(1+Slot1_Rate))^(Slot1_Age-D35))/(1-(1+AS_Wage)/(1+Slot1_Rate))),1)</f>
        <v>1</v>
      </c>
      <c r="IF35" s="1" t="n">
        <f aca="false">IF(AND(HT35=1,ID35&gt;0,Slot1_IsWG=1,V35=1),MAX(0,(Slot1_Cost-W35*(1+Slot1_Rate)^(Slot1_Age-D35))/IE35),0)</f>
        <v>0</v>
      </c>
      <c r="IG35" s="1" t="n">
        <f aca="false">IF(AND(HT35=1,ID35&gt;0,Slot1_IsWG=1,V35=1),MIN(ID35,IF35),0)</f>
        <v>0</v>
      </c>
      <c r="IH35" s="1" t="n">
        <f aca="false">W35+IG35</f>
        <v>0</v>
      </c>
      <c r="II35" s="1" t="n">
        <f aca="false">IF(V35=1,MAX(0,(Slot1_Cost-IH35*(1+Slot1_Rate)^(Slot1_Age-D35))/IE35),0)</f>
        <v>0</v>
      </c>
      <c r="IJ35" s="1" t="n">
        <f aca="false">IF(V35=1,MAX(0,(Slot1_Cost-W35*(1+Slot1_Rate)^(Slot1_Age-D35))/IE35),0)</f>
        <v>0</v>
      </c>
      <c r="IK35" s="1" t="n">
        <f aca="false">IF(AND(HT35=1,V35=1),MIN(IC35,II35),0)</f>
        <v>0</v>
      </c>
      <c r="IL35" s="1" t="n">
        <f aca="false">IC35-IK35</f>
        <v>0</v>
      </c>
      <c r="IM35" s="1" t="n">
        <f aca="false">IF(AG35=1,IF(ABS((1+AS_Wage)/(1+Slot2_Rate)-1)&lt;0.000000000001,(Slot2_Age-D35)*(1+Slot2_Rate)^(Slot2_Age-D35),(1+Slot2_Rate)^(Slot2_Age-D35)*(1-((1+AS_Wage)/(1+Slot2_Rate))^(Slot2_Age-D35))/(1-(1+AS_Wage)/(1+Slot2_Rate))),1)</f>
        <v>1</v>
      </c>
      <c r="IN35" s="1" t="n">
        <f aca="false">IF(AND(HT35=1,ID35&gt;0,Slot2_IsWG=1,AG35=1),MAX(0,(Slot2_Cost-AH35*(1+Slot2_Rate)^(Slot2_Age-D35))/IM35),0)</f>
        <v>0</v>
      </c>
      <c r="IO35" s="1" t="n">
        <f aca="false">IF(AND(HT35=1,ID35&gt;0,Slot2_IsWG=1,AG35=1),MIN(ID35,IN35),0)</f>
        <v>0</v>
      </c>
      <c r="IP35" s="1" t="n">
        <f aca="false">AH35+IO35</f>
        <v>0</v>
      </c>
      <c r="IQ35" s="1" t="n">
        <f aca="false">IF(AG35=1,MAX(0,(Slot2_Cost-IP35*(1+Slot2_Rate)^(Slot2_Age-D35))/IM35),0)</f>
        <v>0</v>
      </c>
      <c r="IR35" s="1" t="n">
        <f aca="false">IF(AG35=1,MAX(0,(Slot2_Cost-AH35*(1+Slot2_Rate)^(Slot2_Age-D35))/IM35),0)</f>
        <v>0</v>
      </c>
      <c r="IS35" s="1" t="n">
        <f aca="false">IF(AND(HT35=1,AG35=1),MIN(IL35,IQ35),0)</f>
        <v>0</v>
      </c>
      <c r="IT35" s="1" t="n">
        <f aca="false">IL35-IS35</f>
        <v>0</v>
      </c>
      <c r="IU35" s="1" t="n">
        <f aca="false">IF(AQ35=1,IF(ABS((1+AS_Wage)/(1+Slot3_Rate)-1)&lt;0.000000000001,(Slot3_Age-D35)*(1+Slot3_Rate)^(Slot3_Age-D35),(1+Slot3_Rate)^(Slot3_Age-D35)*(1-((1+AS_Wage)/(1+Slot3_Rate))^(Slot3_Age-D35))/(1-(1+AS_Wage)/(1+Slot3_Rate))),1)</f>
        <v>1</v>
      </c>
      <c r="IV35" s="1" t="n">
        <f aca="false">IF(AND(HT35=1,ID35&gt;0,Slot3_IsWG=1,AQ35=1),MAX(0,(Slot3_Cost-AR35*(1+Slot3_Rate)^(Slot3_Age-D35))/IU35),0)</f>
        <v>0</v>
      </c>
      <c r="IW35" s="1" t="n">
        <f aca="false">IF(AND(HT35=1,ID35&gt;0,Slot3_IsWG=1,AQ35=1),MIN(ID35,IV35),0)</f>
        <v>0</v>
      </c>
      <c r="IX35" s="1" t="n">
        <f aca="false">AR35+IW35</f>
        <v>0</v>
      </c>
      <c r="IY35" s="1" t="n">
        <f aca="false">IF(AQ35=1,MAX(0,(Slot3_Cost-IX35*(1+Slot3_Rate)^(Slot3_Age-D35))/IU35),0)</f>
        <v>0</v>
      </c>
      <c r="IZ35" s="1" t="n">
        <f aca="false">IF(AQ35=1,MAX(0,(Slot3_Cost-AR35*(1+Slot3_Rate)^(Slot3_Age-D35))/IU35),0)</f>
        <v>0</v>
      </c>
      <c r="JA35" s="1" t="n">
        <f aca="false">IF(AND(HT35=1,AQ35=1),MIN(IT35,IY35),0)</f>
        <v>0</v>
      </c>
      <c r="JB35" s="1" t="n">
        <f aca="false">IT35-JA35</f>
        <v>0</v>
      </c>
      <c r="JC35" s="1" t="n">
        <f aca="false">IF(BA35=1,IF(ABS((1+AS_Wage)/(1+Slot4_Rate)-1)&lt;0.000000000001,(Slot4_Age-D35)*(1+Slot4_Rate)^(Slot4_Age-D35),(1+Slot4_Rate)^(Slot4_Age-D35)*(1-((1+AS_Wage)/(1+Slot4_Rate))^(Slot4_Age-D35))/(1-(1+AS_Wage)/(1+Slot4_Rate))),1)</f>
        <v>1</v>
      </c>
      <c r="JD35" s="1" t="n">
        <f aca="false">IF(AND(HT35=1,ID35&gt;0,Slot4_IsWG=1,BA35=1),MAX(0,(Slot4_Cost-BB35*(1+Slot4_Rate)^(Slot4_Age-D35))/JC35),0)</f>
        <v>0</v>
      </c>
      <c r="JE35" s="1" t="n">
        <f aca="false">IF(AND(HT35=1,ID35&gt;0,Slot4_IsWG=1,BA35=1),MIN(ID35,JD35),0)</f>
        <v>0</v>
      </c>
      <c r="JF35" s="1" t="n">
        <f aca="false">BB35+JE35</f>
        <v>0</v>
      </c>
      <c r="JG35" s="1" t="n">
        <f aca="false">IF(BA35=1,MAX(0,(Slot4_Cost-JF35*(1+Slot4_Rate)^(Slot4_Age-D35))/JC35),0)</f>
        <v>0</v>
      </c>
      <c r="JH35" s="1" t="n">
        <f aca="false">IF(BA35=1,MAX(0,(Slot4_Cost-BB35*(1+Slot4_Rate)^(Slot4_Age-D35))/JC35),0)</f>
        <v>0</v>
      </c>
      <c r="JI35" s="1" t="n">
        <f aca="false">IF(AND(HT35=1,BA35=1),MIN(JB35,JG35),0)</f>
        <v>0</v>
      </c>
      <c r="JJ35" s="1" t="n">
        <f aca="false">JB35-JI35</f>
        <v>0</v>
      </c>
      <c r="JK35" s="1" t="n">
        <f aca="false">IF(BK35=1,IF(ABS((1+AS_Wage)/(1+Slot5_Rate)-1)&lt;0.000000000001,(Slot5_Age-D35)*(1+Slot5_Rate)^(Slot5_Age-D35),(1+Slot5_Rate)^(Slot5_Age-D35)*(1-((1+AS_Wage)/(1+Slot5_Rate))^(Slot5_Age-D35))/(1-(1+AS_Wage)/(1+Slot5_Rate))),1)</f>
        <v>1</v>
      </c>
      <c r="JL35" s="1" t="n">
        <f aca="false">IF(AND(HT35=1,ID35&gt;0,Slot5_IsWG=1,BK35=1),MAX(0,(Slot5_Cost-BL35*(1+Slot5_Rate)^(Slot5_Age-D35))/JK35),0)</f>
        <v>0</v>
      </c>
      <c r="JM35" s="1" t="n">
        <f aca="false">IF(AND(HT35=1,ID35&gt;0,Slot5_IsWG=1,BK35=1),MIN(ID35,JL35),0)</f>
        <v>0</v>
      </c>
      <c r="JN35" s="1" t="n">
        <f aca="false">BL35+JM35</f>
        <v>0</v>
      </c>
      <c r="JO35" s="1" t="n">
        <f aca="false">IF(BK35=1,MAX(0,(Slot5_Cost-JN35*(1+Slot5_Rate)^(Slot5_Age-D35))/JK35),0)</f>
        <v>0</v>
      </c>
      <c r="JP35" s="1" t="n">
        <f aca="false">IF(BK35=1,MAX(0,(Slot5_Cost-BL35*(1+Slot5_Rate)^(Slot5_Age-D35))/JK35),0)</f>
        <v>0</v>
      </c>
      <c r="JQ35" s="1" t="n">
        <f aca="false">IF(AND(HT35=1,BK35=1),MIN(JJ35,JO35),0)</f>
        <v>0</v>
      </c>
      <c r="JR35" s="1" t="n">
        <f aca="false">JJ35-JQ35</f>
        <v>0</v>
      </c>
      <c r="JS35" s="1" t="n">
        <f aca="false">IF(BU35=1,IF(ABS((1+AS_Wage)/(1+Slot6_Rate)-1)&lt;0.000000000001,(Slot6_Age-D35)*(1+Slot6_Rate)^(Slot6_Age-D35),(1+Slot6_Rate)^(Slot6_Age-D35)*(1-((1+AS_Wage)/(1+Slot6_Rate))^(Slot6_Age-D35))/(1-(1+AS_Wage)/(1+Slot6_Rate))),1)</f>
        <v>1</v>
      </c>
      <c r="JT35" s="1" t="n">
        <f aca="false">IF(AND(HT35=1,ID35&gt;0,Slot6_IsWG=1,BU35=1),MAX(0,(Slot6_Cost-BV35*(1+Slot6_Rate)^(Slot6_Age-D35))/JS35),0)</f>
        <v>0</v>
      </c>
      <c r="JU35" s="1" t="n">
        <f aca="false">IF(AND(HT35=1,ID35&gt;0,Slot6_IsWG=1,BU35=1),MIN(ID35,JT35),0)</f>
        <v>0</v>
      </c>
      <c r="JV35" s="1" t="n">
        <f aca="false">BV35+JU35</f>
        <v>0</v>
      </c>
      <c r="JW35" s="1" t="n">
        <f aca="false">IF(BU35=1,MAX(0,(Slot6_Cost-JV35*(1+Slot6_Rate)^(Slot6_Age-D35))/JS35),0)</f>
        <v>0</v>
      </c>
      <c r="JX35" s="1" t="n">
        <f aca="false">IF(BU35=1,MAX(0,(Slot6_Cost-BV35*(1+Slot6_Rate)^(Slot6_Age-D35))/JS35),0)</f>
        <v>0</v>
      </c>
      <c r="JY35" s="1" t="n">
        <f aca="false">IF(AND(HT35=1,BU35=1),MIN(JR35,JW35),0)</f>
        <v>0</v>
      </c>
      <c r="JZ35" s="1" t="n">
        <f aca="false">JR35-JY35</f>
        <v>0</v>
      </c>
      <c r="KA35" s="1" t="n">
        <f aca="false">IF(CE35=1,IF(ABS((1+AS_Wage)/(1+Slot7_Rate)-1)&lt;0.000000000001,(Slot7_Age-D35)*(1+Slot7_Rate)^(Slot7_Age-D35),(1+Slot7_Rate)^(Slot7_Age-D35)*(1-((1+AS_Wage)/(1+Slot7_Rate))^(Slot7_Age-D35))/(1-(1+AS_Wage)/(1+Slot7_Rate))),1)</f>
        <v>1</v>
      </c>
      <c r="KB35" s="1" t="n">
        <f aca="false">IF(AND(HT35=1,ID35&gt;0,Slot7_IsWG=1,CE35=1),MAX(0,(Slot7_Cost-CF35*(1+Slot7_Rate)^(Slot7_Age-D35))/KA35),0)</f>
        <v>0</v>
      </c>
      <c r="KC35" s="1" t="n">
        <f aca="false">IF(AND(HT35=1,ID35&gt;0,Slot7_IsWG=1,CE35=1),MIN(ID35,KB35),0)</f>
        <v>0</v>
      </c>
      <c r="KD35" s="1" t="n">
        <f aca="false">CF35+KC35</f>
        <v>0</v>
      </c>
      <c r="KE35" s="1" t="n">
        <f aca="false">IF(CE35=1,MAX(0,(Slot7_Cost-KD35*(1+Slot7_Rate)^(Slot7_Age-D35))/KA35),0)</f>
        <v>0</v>
      </c>
      <c r="KF35" s="1" t="n">
        <f aca="false">IF(CE35=1,MAX(0,(Slot7_Cost-CF35*(1+Slot7_Rate)^(Slot7_Age-D35))/KA35),0)</f>
        <v>0</v>
      </c>
      <c r="KG35" s="1" t="n">
        <f aca="false">IF(AND(HT35=1,CE35=1),MIN(JZ35,KE35),0)</f>
        <v>0</v>
      </c>
      <c r="KH35" s="1" t="n">
        <f aca="false">JZ35-KG35</f>
        <v>0</v>
      </c>
      <c r="KI35" s="1" t="n">
        <f aca="false">IF(CO35=1,IF(ABS((1+AS_Wage)/(1+Slot8_Rate)-1)&lt;0.000000000001,(Slot8_Age-D35)*(1+Slot8_Rate)^(Slot8_Age-D35),(1+Slot8_Rate)^(Slot8_Age-D35)*(1-((1+AS_Wage)/(1+Slot8_Rate))^(Slot8_Age-D35))/(1-(1+AS_Wage)/(1+Slot8_Rate))),1)</f>
        <v>1</v>
      </c>
      <c r="KJ35" s="1" t="n">
        <f aca="false">IF(AND(HT35=1,ID35&gt;0,Slot8_IsWG=1,CO35=1),MAX(0,(Slot8_Cost-CP35*(1+Slot8_Rate)^(Slot8_Age-D35))/KI35),0)</f>
        <v>0</v>
      </c>
      <c r="KK35" s="1" t="n">
        <f aca="false">IF(AND(HT35=1,ID35&gt;0,Slot8_IsWG=1,CO35=1),MIN(ID35,KJ35),0)</f>
        <v>0</v>
      </c>
      <c r="KL35" s="1" t="n">
        <f aca="false">CP35+KK35</f>
        <v>0</v>
      </c>
      <c r="KM35" s="1" t="n">
        <f aca="false">IF(CO35=1,MAX(0,(Slot8_Cost-KL35*(1+Slot8_Rate)^(Slot8_Age-D35))/KI35),0)</f>
        <v>0</v>
      </c>
      <c r="KN35" s="1" t="n">
        <f aca="false">IF(CO35=1,MAX(0,(Slot8_Cost-CP35*(1+Slot8_Rate)^(Slot8_Age-D35))/KI35),0)</f>
        <v>0</v>
      </c>
      <c r="KO35" s="1" t="n">
        <f aca="false">IF(AND(HT35=1,CO35=1),MIN(KH35,KM35),0)</f>
        <v>0</v>
      </c>
      <c r="KP35" s="1" t="n">
        <f aca="false">KH35-KO35</f>
        <v>0</v>
      </c>
      <c r="KQ35" s="1" t="n">
        <f aca="false">IF(CY35=1,IF(ABS((1+AS_Wage)/(1+Slot9_Rate)-1)&lt;0.000000000001,(Slot9_Age-D35)*(1+Slot9_Rate)^(Slot9_Age-D35),(1+Slot9_Rate)^(Slot9_Age-D35)*(1-((1+AS_Wage)/(1+Slot9_Rate))^(Slot9_Age-D35))/(1-(1+AS_Wage)/(1+Slot9_Rate))),1)</f>
        <v>1</v>
      </c>
      <c r="KR35" s="1" t="n">
        <f aca="false">IF(AND(HT35=1,ID35&gt;0,Slot9_IsWG=1,CY35=1),MAX(0,(Slot9_Cost-CZ35*(1+Slot9_Rate)^(Slot9_Age-D35))/KQ35),0)</f>
        <v>0</v>
      </c>
      <c r="KS35" s="1" t="n">
        <f aca="false">IF(AND(HT35=1,ID35&gt;0,Slot9_IsWG=1,CY35=1),MIN(ID35,KR35),0)</f>
        <v>0</v>
      </c>
      <c r="KT35" s="1" t="n">
        <f aca="false">CZ35+KS35</f>
        <v>0</v>
      </c>
      <c r="KU35" s="1" t="n">
        <f aca="false">IF(CY35=1,MAX(0,(Slot9_Cost-KT35*(1+Slot9_Rate)^(Slot9_Age-D35))/KQ35),0)</f>
        <v>0</v>
      </c>
      <c r="KV35" s="1" t="n">
        <f aca="false">IF(CY35=1,MAX(0,(Slot9_Cost-CZ35*(1+Slot9_Rate)^(Slot9_Age-D35))/KQ35),0)</f>
        <v>0</v>
      </c>
      <c r="KW35" s="1" t="n">
        <f aca="false">IF(AND(HT35=1,CY35=1),MIN(KP35,KU35),0)</f>
        <v>0</v>
      </c>
      <c r="KX35" s="1" t="n">
        <f aca="false">KP35-KW35</f>
        <v>0</v>
      </c>
      <c r="KY35" s="1" t="n">
        <f aca="false">IF(DI35=1,IF(ABS((1+AS_Wage)/(1+Slot10_Rate)-1)&lt;0.000000000001,(Slot10_Age-D35)*(1+Slot10_Rate)^(Slot10_Age-D35),(1+Slot10_Rate)^(Slot10_Age-D35)*(1-((1+AS_Wage)/(1+Slot10_Rate))^(Slot10_Age-D35))/(1-(1+AS_Wage)/(1+Slot10_Rate))),1)</f>
        <v>1</v>
      </c>
      <c r="KZ35" s="1" t="n">
        <f aca="false">IF(AND(HT35=1,ID35&gt;0,Slot10_IsWG=1,DI35=1),MAX(0,(Slot10_Cost-DJ35*(1+Slot10_Rate)^(Slot10_Age-D35))/KY35),0)</f>
        <v>0</v>
      </c>
      <c r="LA35" s="1" t="n">
        <f aca="false">IF(AND(HT35=1,ID35&gt;0,Slot10_IsWG=1,DI35=1),MIN(ID35,KZ35),0)</f>
        <v>0</v>
      </c>
      <c r="LB35" s="1" t="n">
        <f aca="false">DJ35+LA35</f>
        <v>0</v>
      </c>
      <c r="LC35" s="1" t="n">
        <f aca="false">IF(DI35=1,MAX(0,(Slot10_Cost-LB35*(1+Slot10_Rate)^(Slot10_Age-D35))/KY35),0)</f>
        <v>0</v>
      </c>
      <c r="LD35" s="1" t="n">
        <f aca="false">IF(DI35=1,MAX(0,(Slot10_Cost-DJ35*(1+Slot10_Rate)^(Slot10_Age-D35))/KY35),0)</f>
        <v>0</v>
      </c>
      <c r="LE35" s="1" t="n">
        <f aca="false">IF(AND(HT35=1,DI35=1),MIN(KX35,LC35),0)</f>
        <v>0</v>
      </c>
      <c r="LF35" s="1" t="n">
        <f aca="false">KX35-LE35</f>
        <v>0</v>
      </c>
      <c r="LG35" s="1" t="n">
        <f aca="false">IF(DS35=1,IF(ABS((1+AS_Wage)/(1+Slot11_Rate)-1)&lt;0.000000000001,(Slot11_Age-D35)*(1+Slot11_Rate)^(Slot11_Age-D35),(1+Slot11_Rate)^(Slot11_Age-D35)*(1-((1+AS_Wage)/(1+Slot11_Rate))^(Slot11_Age-D35))/(1-(1+AS_Wage)/(1+Slot11_Rate))),1)</f>
        <v>1</v>
      </c>
      <c r="LH35" s="1" t="n">
        <f aca="false">IF(AND(HT35=1,ID35&gt;0,Slot11_IsWG=1,DS35=1),MAX(0,(Slot11_Cost-DT35*(1+Slot11_Rate)^(Slot11_Age-D35))/LG35),0)</f>
        <v>0</v>
      </c>
      <c r="LI35" s="1" t="n">
        <f aca="false">IF(AND(HT35=1,ID35&gt;0,Slot11_IsWG=1,DS35=1),MIN(ID35,LH35),0)</f>
        <v>0</v>
      </c>
      <c r="LJ35" s="1" t="n">
        <f aca="false">DT35+LI35</f>
        <v>0</v>
      </c>
      <c r="LK35" s="1" t="n">
        <f aca="false">IF(DS35=1,MAX(0,(Slot11_Cost-LJ35*(1+Slot11_Rate)^(Slot11_Age-D35))/LG35),0)</f>
        <v>0</v>
      </c>
      <c r="LL35" s="1" t="n">
        <f aca="false">IF(DS35=1,MAX(0,(Slot11_Cost-DT35*(1+Slot11_Rate)^(Slot11_Age-D35))/LG35),0)</f>
        <v>0</v>
      </c>
      <c r="LM35" s="1" t="n">
        <f aca="false">IF(AND(HT35=1,DS35=1),MIN(LF35,LK35),0)</f>
        <v>0</v>
      </c>
      <c r="LN35" s="1" t="n">
        <f aca="false">LF35-LM35</f>
        <v>0</v>
      </c>
      <c r="LO35" s="1" t="n">
        <f aca="false">IF(EC35=1,IF(ABS((1+AS_Wage)/(1+Slot12_Rate)-1)&lt;0.000000000001,(Slot12_Age-D35)*(1+Slot12_Rate)^(Slot12_Age-D35),(1+Slot12_Rate)^(Slot12_Age-D35)*(1-((1+AS_Wage)/(1+Slot12_Rate))^(Slot12_Age-D35))/(1-(1+AS_Wage)/(1+Slot12_Rate))),1)</f>
        <v>1</v>
      </c>
      <c r="LP35" s="1" t="n">
        <f aca="false">IF(AND(HT35=1,ID35&gt;0,Slot12_IsWG=1,EC35=1),MAX(0,(Slot12_Cost-ED35*(1+Slot12_Rate)^(Slot12_Age-D35))/LO35),0)</f>
        <v>0</v>
      </c>
      <c r="LQ35" s="1" t="n">
        <f aca="false">IF(AND(HT35=1,ID35&gt;0,Slot12_IsWG=1,EC35=1),MIN(ID35,LP35),0)</f>
        <v>0</v>
      </c>
      <c r="LR35" s="1" t="n">
        <f aca="false">ED35+LQ35</f>
        <v>0</v>
      </c>
      <c r="LS35" s="1" t="n">
        <f aca="false">IF(EC35=1,MAX(0,(Slot12_Cost-LR35*(1+Slot12_Rate)^(Slot12_Age-D35))/LO35),0)</f>
        <v>0</v>
      </c>
      <c r="LT35" s="1" t="n">
        <f aca="false">IF(EC35=1,MAX(0,(Slot12_Cost-ED35*(1+Slot12_Rate)^(Slot12_Age-D35))/LO35),0)</f>
        <v>0</v>
      </c>
      <c r="LU35" s="1" t="n">
        <f aca="false">IF(AND(HT35=1,EC35=1),MIN(LN35,LS35),0)</f>
        <v>0</v>
      </c>
      <c r="LV35" s="1" t="n">
        <f aca="false">LN35-LU35</f>
        <v>0</v>
      </c>
      <c r="LW35" s="1" t="n">
        <f aca="false">IF(EM35=1,IF(ABS((1+AS_Wage)/(1+Slot13_Rate)-1)&lt;0.000000000001,(Slot13_Age-D35)*(1+Slot13_Rate)^(Slot13_Age-D35),(1+Slot13_Rate)^(Slot13_Age-D35)*(1-((1+AS_Wage)/(1+Slot13_Rate))^(Slot13_Age-D35))/(1-(1+AS_Wage)/(1+Slot13_Rate))),1)</f>
        <v>1</v>
      </c>
      <c r="LX35" s="1" t="n">
        <f aca="false">IF(AND(HT35=1,ID35&gt;0,Slot13_IsWG=1,EM35=1),MAX(0,(Slot13_Cost-EN35*(1+Slot13_Rate)^(Slot13_Age-D35))/LW35),0)</f>
        <v>0</v>
      </c>
      <c r="LY35" s="1" t="n">
        <f aca="false">IF(AND(HT35=1,ID35&gt;0,Slot13_IsWG=1,EM35=1),MIN(ID35,LX35),0)</f>
        <v>0</v>
      </c>
      <c r="LZ35" s="1" t="n">
        <f aca="false">EN35+LY35</f>
        <v>0</v>
      </c>
      <c r="MA35" s="1" t="n">
        <f aca="false">IF(EM35=1,MAX(0,(Slot13_Cost-LZ35*(1+Slot13_Rate)^(Slot13_Age-D35))/LW35),0)</f>
        <v>0</v>
      </c>
      <c r="MB35" s="1" t="n">
        <f aca="false">IF(EM35=1,MAX(0,(Slot13_Cost-EN35*(1+Slot13_Rate)^(Slot13_Age-D35))/LW35),0)</f>
        <v>0</v>
      </c>
      <c r="MC35" s="1" t="n">
        <f aca="false">IF(AND(HT35=1,EM35=1),MIN(LV35,MA35),0)</f>
        <v>0</v>
      </c>
      <c r="MD35" s="1" t="n">
        <f aca="false">LV35-MC35</f>
        <v>0</v>
      </c>
      <c r="ME35" s="1" t="n">
        <f aca="false">IF(EW35=1,IF(ABS((1+AS_Wage)/(1+Slot14_Rate)-1)&lt;0.000000000001,(Slot14_Age-D35)*(1+Slot14_Rate)^(Slot14_Age-D35),(1+Slot14_Rate)^(Slot14_Age-D35)*(1-((1+AS_Wage)/(1+Slot14_Rate))^(Slot14_Age-D35))/(1-(1+AS_Wage)/(1+Slot14_Rate))),1)</f>
        <v>1</v>
      </c>
      <c r="MF35" s="1" t="n">
        <f aca="false">IF(AND(HT35=1,ID35&gt;0,Slot14_IsWG=1,EW35=1),MAX(0,(Slot14_Cost-EX35*(1+Slot14_Rate)^(Slot14_Age-D35))/ME35),0)</f>
        <v>0</v>
      </c>
      <c r="MG35" s="1" t="n">
        <f aca="false">IF(AND(HT35=1,ID35&gt;0,Slot14_IsWG=1,EW35=1),MIN(ID35,MF35),0)</f>
        <v>0</v>
      </c>
      <c r="MH35" s="1" t="n">
        <f aca="false">EX35+MG35</f>
        <v>0</v>
      </c>
      <c r="MI35" s="1" t="n">
        <f aca="false">IF(EW35=1,MAX(0,(Slot14_Cost-MH35*(1+Slot14_Rate)^(Slot14_Age-D35))/ME35),0)</f>
        <v>0</v>
      </c>
      <c r="MJ35" s="1" t="n">
        <f aca="false">IF(EW35=1,MAX(0,(Slot14_Cost-EX35*(1+Slot14_Rate)^(Slot14_Age-D35))/ME35),0)</f>
        <v>0</v>
      </c>
      <c r="MK35" s="1" t="n">
        <f aca="false">IF(AND(HT35=1,EW35=1),MIN(MD35,MI35),0)</f>
        <v>0</v>
      </c>
      <c r="ML35" s="1" t="n">
        <f aca="false">MD35-MK35</f>
        <v>0</v>
      </c>
      <c r="MM35" s="1" t="n">
        <f aca="false">IF(FG35=1,IF(ABS((1+AS_Wage)/(1+Slot15_Rate)-1)&lt;0.000000000001,(Slot15_Age-D35)*(1+Slot15_Rate)^(Slot15_Age-D35),(1+Slot15_Rate)^(Slot15_Age-D35)*(1-((1+AS_Wage)/(1+Slot15_Rate))^(Slot15_Age-D35))/(1-(1+AS_Wage)/(1+Slot15_Rate))),1)</f>
        <v>1</v>
      </c>
      <c r="MN35" s="1" t="n">
        <f aca="false">IF(AND(HT35=1,ID35&gt;0,Slot15_IsWG=1,FG35=1),MAX(0,(Slot15_Cost-FH35*(1+Slot15_Rate)^(Slot15_Age-D35))/MM35),0)</f>
        <v>0</v>
      </c>
      <c r="MO35" s="1" t="n">
        <f aca="false">IF(AND(HT35=1,ID35&gt;0,Slot15_IsWG=1,FG35=1),MIN(ID35,MN35),0)</f>
        <v>0</v>
      </c>
      <c r="MP35" s="1" t="n">
        <f aca="false">FH35+MO35</f>
        <v>0</v>
      </c>
      <c r="MQ35" s="1" t="n">
        <f aca="false">IF(FG35=1,MAX(0,(Slot15_Cost-MP35*(1+Slot15_Rate)^(Slot15_Age-D35))/MM35),0)</f>
        <v>0</v>
      </c>
      <c r="MR35" s="1" t="n">
        <f aca="false">IF(FG35=1,MAX(0,(Slot15_Cost-FH35*(1+Slot15_Rate)^(Slot15_Age-D35))/MM35),0)</f>
        <v>0</v>
      </c>
      <c r="MS35" s="1" t="n">
        <f aca="false">IF(AND(HT35=1,FG35=1),MIN(ML35,MQ35),0)</f>
        <v>0</v>
      </c>
      <c r="MT35" s="1" t="n">
        <f aca="false">ML35-MS35</f>
        <v>0</v>
      </c>
      <c r="MU35" s="1" t="n">
        <f aca="false">IF(FQ35=1,IF(ABS((1+AS_Wage)/(1+Slot16_Rate)-1)&lt;0.000000000001,(Slot16_Age-D35)*(1+Slot16_Rate)^(Slot16_Age-D35),(1+Slot16_Rate)^(Slot16_Age-D35)*(1-((1+AS_Wage)/(1+Slot16_Rate))^(Slot16_Age-D35))/(1-(1+AS_Wage)/(1+Slot16_Rate))),1)</f>
        <v>1</v>
      </c>
      <c r="MV35" s="1" t="n">
        <f aca="false">IF(AND(HT35=1,ID35&gt;0,Slot16_IsWG=1,FQ35=1),MAX(0,(Slot16_Cost-FR35*(1+Slot16_Rate)^(Slot16_Age-D35))/MU35),0)</f>
        <v>0</v>
      </c>
      <c r="MW35" s="1" t="n">
        <f aca="false">IF(AND(HT35=1,ID35&gt;0,Slot16_IsWG=1,FQ35=1),MIN(ID35,MV35),0)</f>
        <v>0</v>
      </c>
      <c r="MX35" s="1" t="n">
        <f aca="false">FR35+MW35</f>
        <v>0</v>
      </c>
      <c r="MY35" s="1" t="n">
        <f aca="false">IF(FQ35=1,MAX(0,(Slot16_Cost-MX35*(1+Slot16_Rate)^(Slot16_Age-D35))/MU35),0)</f>
        <v>0</v>
      </c>
      <c r="MZ35" s="1" t="n">
        <f aca="false">IF(FQ35=1,MAX(0,(Slot16_Cost-FR35*(1+Slot16_Rate)^(Slot16_Age-D35))/MU35),0)</f>
        <v>0</v>
      </c>
      <c r="NA35" s="1" t="n">
        <f aca="false">IF(AND(HT35=1,FQ35=1),MIN(MT35,MY35),0)</f>
        <v>0</v>
      </c>
      <c r="NB35" s="1" t="n">
        <f aca="false">MT35-NA35</f>
        <v>0</v>
      </c>
      <c r="NC35" s="1" t="n">
        <f aca="false">IF(GA35=1,IF(ABS((1+AS_Wage)/(1+Slot17_Rate)-1)&lt;0.000000000001,(Slot17_Age-D35)*(1+Slot17_Rate)^(Slot17_Age-D35),(1+Slot17_Rate)^(Slot17_Age-D35)*(1-((1+AS_Wage)/(1+Slot17_Rate))^(Slot17_Age-D35))/(1-(1+AS_Wage)/(1+Slot17_Rate))),1)</f>
        <v>1</v>
      </c>
      <c r="ND35" s="1" t="n">
        <f aca="false">IF(AND(HT35=1,ID35&gt;0,Slot17_IsWG=1,GA35=1),MAX(0,(Slot17_Cost-GB35*(1+Slot17_Rate)^(Slot17_Age-D35))/NC35),0)</f>
        <v>0</v>
      </c>
      <c r="NE35" s="1" t="n">
        <f aca="false">IF(AND(HT35=1,ID35&gt;0,Slot17_IsWG=1,GA35=1),MIN(ID35,ND35),0)</f>
        <v>0</v>
      </c>
      <c r="NF35" s="1" t="n">
        <f aca="false">GB35+NE35</f>
        <v>0</v>
      </c>
      <c r="NG35" s="1" t="n">
        <f aca="false">IF(GA35=1,MAX(0,(Slot17_Cost-NF35*(1+Slot17_Rate)^(Slot17_Age-D35))/NC35),0)</f>
        <v>0</v>
      </c>
      <c r="NH35" s="1" t="n">
        <f aca="false">IF(GA35=1,MAX(0,(Slot17_Cost-GB35*(1+Slot17_Rate)^(Slot17_Age-D35))/NC35),0)</f>
        <v>0</v>
      </c>
      <c r="NI35" s="1" t="n">
        <f aca="false">IF(AND(HT35=1,GA35=1),MIN(NB35,NG35),0)</f>
        <v>0</v>
      </c>
      <c r="NJ35" s="1" t="n">
        <f aca="false">NB35-NI35</f>
        <v>0</v>
      </c>
      <c r="NK35" s="1" t="n">
        <f aca="false">IF(GK35=1,IF(ABS((1+AS_Wage)/(1+Slot18_Rate)-1)&lt;0.000000000001,(Slot18_Age-D35)*(1+Slot18_Rate)^(Slot18_Age-D35),(1+Slot18_Rate)^(Slot18_Age-D35)*(1-((1+AS_Wage)/(1+Slot18_Rate))^(Slot18_Age-D35))/(1-(1+AS_Wage)/(1+Slot18_Rate))),1)</f>
        <v>1</v>
      </c>
      <c r="NL35" s="1" t="n">
        <f aca="false">IF(AND(HT35=1,ID35&gt;0,Slot18_IsWG=1,GK35=1),MAX(0,(Slot18_Cost-GL35*(1+Slot18_Rate)^(Slot18_Age-D35))/NK35),0)</f>
        <v>0</v>
      </c>
      <c r="NM35" s="1" t="n">
        <f aca="false">IF(AND(HT35=1,ID35&gt;0,Slot18_IsWG=1,GK35=1),MIN(ID35,NL35),0)</f>
        <v>0</v>
      </c>
      <c r="NN35" s="1" t="n">
        <f aca="false">GL35+NM35</f>
        <v>0</v>
      </c>
      <c r="NO35" s="1" t="n">
        <f aca="false">IF(GK35=1,MAX(0,(Slot18_Cost-NN35*(1+Slot18_Rate)^(Slot18_Age-D35))/NK35),0)</f>
        <v>0</v>
      </c>
      <c r="NP35" s="1" t="n">
        <f aca="false">IF(GK35=1,MAX(0,(Slot18_Cost-GL35*(1+Slot18_Rate)^(Slot18_Age-D35))/NK35),0)</f>
        <v>0</v>
      </c>
      <c r="NQ35" s="1" t="n">
        <f aca="false">IF(AND(HT35=1,GK35=1),MIN(NJ35,NO35),0)</f>
        <v>0</v>
      </c>
      <c r="NR35" s="1" t="n">
        <f aca="false">NJ35-NQ35</f>
        <v>0</v>
      </c>
      <c r="NS35" s="1" t="n">
        <f aca="false">IF(GU35=1,IF(ABS((1+AS_Wage)/(1+Slot19_Rate)-1)&lt;0.000000000001,(Slot19_Age-D35)*(1+Slot19_Rate)^(Slot19_Age-D35),(1+Slot19_Rate)^(Slot19_Age-D35)*(1-((1+AS_Wage)/(1+Slot19_Rate))^(Slot19_Age-D35))/(1-(1+AS_Wage)/(1+Slot19_Rate))),1)</f>
        <v>1</v>
      </c>
      <c r="NT35" s="1" t="n">
        <f aca="false">IF(AND(HT35=1,ID35&gt;0,Slot19_IsWG=1,GU35=1),MAX(0,(Slot19_Cost-GV35*(1+Slot19_Rate)^(Slot19_Age-D35))/NS35),0)</f>
        <v>0</v>
      </c>
      <c r="NU35" s="1" t="n">
        <f aca="false">IF(AND(HT35=1,ID35&gt;0,Slot19_IsWG=1,GU35=1),MIN(ID35,NT35),0)</f>
        <v>0</v>
      </c>
      <c r="NV35" s="1" t="n">
        <f aca="false">GV35+NU35</f>
        <v>0</v>
      </c>
      <c r="NW35" s="1" t="n">
        <f aca="false">IF(GU35=1,MAX(0,(Slot19_Cost-NV35*(1+Slot19_Rate)^(Slot19_Age-D35))/NS35),0)</f>
        <v>0</v>
      </c>
      <c r="NX35" s="1" t="n">
        <f aca="false">IF(GU35=1,MAX(0,(Slot19_Cost-GV35*(1+Slot19_Rate)^(Slot19_Age-D35))/NS35),0)</f>
        <v>0</v>
      </c>
      <c r="NY35" s="1" t="n">
        <f aca="false">IF(AND(HT35=1,GU35=1),MIN(NR35,NW35),0)</f>
        <v>0</v>
      </c>
      <c r="NZ35" s="1" t="n">
        <f aca="false">NR35-NY35</f>
        <v>0</v>
      </c>
      <c r="OA35" s="1" t="n">
        <f aca="false">IF(HE35=1,IF(ABS((1+AS_Wage)/(1+Slot20_Rate)-1)&lt;0.000000000001,(Slot20_Age-D35)*(1+Slot20_Rate)^(Slot20_Age-D35),(1+Slot20_Rate)^(Slot20_Age-D35)*(1-((1+AS_Wage)/(1+Slot20_Rate))^(Slot20_Age-D35))/(1-(1+AS_Wage)/(1+Slot20_Rate))),1)</f>
        <v>1</v>
      </c>
      <c r="OB35" s="1" t="n">
        <f aca="false">IF(AND(HT35=1,ID35&gt;0,Slot20_IsWG=1,HE35=1),MAX(0,(Slot20_Cost-HF35*(1+Slot20_Rate)^(Slot20_Age-D35))/OA35),0)</f>
        <v>0</v>
      </c>
      <c r="OC35" s="1" t="n">
        <f aca="false">IF(AND(HT35=1,ID35&gt;0,Slot20_IsWG=1,HE35=1),MIN(ID35,OB35),0)</f>
        <v>0</v>
      </c>
      <c r="OD35" s="1" t="n">
        <f aca="false">HF35+OC35</f>
        <v>0</v>
      </c>
      <c r="OE35" s="1" t="n">
        <f aca="false">IF(HE35=1,MAX(0,(Slot20_Cost-OD35*(1+Slot20_Rate)^(Slot20_Age-D35))/OA35),0)</f>
        <v>0</v>
      </c>
      <c r="OF35" s="1" t="n">
        <f aca="false">IF(HE35=1,MAX(0,(Slot20_Cost-HF35*(1+Slot20_Rate)^(Slot20_Age-D35))/OA35),0)</f>
        <v>0</v>
      </c>
      <c r="OG35" s="1" t="n">
        <f aca="false">IF(AND(HT35=1,HE35=1),MIN(NZ35,OE35),0)</f>
        <v>0</v>
      </c>
      <c r="OH35" s="1" t="n">
        <f aca="false">NZ35-OG35</f>
        <v>0</v>
      </c>
      <c r="OI35" s="1" t="n">
        <f aca="false">ID35-(IG35+IO35+IW35+JE35+JM35+JU35+KC35+KK35+KS35+LA35+LI35+LQ35+LY35+MG35+MO35+MW35+NE35+NM35+NU35+OC35)</f>
        <v>0</v>
      </c>
      <c r="OJ35" s="1" t="n">
        <f aca="false">IF(HT35=1,HR35-IC35-ID35,0)</f>
        <v>0</v>
      </c>
      <c r="OK35" s="1" t="n">
        <f aca="false">IF(HT35=0,-HR35,0)</f>
        <v>0</v>
      </c>
      <c r="OL35" s="1" t="n">
        <f aca="false">MIN(OK35,HJ35)</f>
        <v>0</v>
      </c>
      <c r="OM35" s="1" t="n">
        <f aca="false">OK35-OL35</f>
        <v>0</v>
      </c>
      <c r="ON35" s="1" t="n">
        <f aca="false">MIN(OM35,HK35)</f>
        <v>0</v>
      </c>
      <c r="OO35" s="1" t="n">
        <f aca="false">OM35-ON35</f>
        <v>0</v>
      </c>
      <c r="OP35" s="1" t="n">
        <f aca="false">IF(AND(HT35=0,HE35=1,OO35&gt;0),MIN(OO35,HF35),0)</f>
        <v>0</v>
      </c>
      <c r="OQ35" s="1" t="n">
        <f aca="false">OO35-OP35</f>
        <v>0</v>
      </c>
      <c r="OR35" s="1" t="n">
        <f aca="false">IF(AND(HT35=0,GU35=1,OQ35&gt;0),MIN(OQ35,GV35),0)</f>
        <v>0</v>
      </c>
      <c r="OS35" s="1" t="n">
        <f aca="false">OQ35-OR35</f>
        <v>0</v>
      </c>
      <c r="OT35" s="1" t="n">
        <f aca="false">IF(AND(HT35=0,GK35=1,OS35&gt;0),MIN(OS35,GL35),0)</f>
        <v>0</v>
      </c>
      <c r="OU35" s="1" t="n">
        <f aca="false">OS35-OT35</f>
        <v>0</v>
      </c>
      <c r="OV35" s="1" t="n">
        <f aca="false">IF(AND(HT35=0,GA35=1,OU35&gt;0),MIN(OU35,GB35),0)</f>
        <v>0</v>
      </c>
      <c r="OW35" s="1" t="n">
        <f aca="false">OU35-OV35</f>
        <v>0</v>
      </c>
      <c r="OX35" s="1" t="n">
        <f aca="false">IF(AND(HT35=0,FQ35=1,OW35&gt;0),MIN(OW35,FR35),0)</f>
        <v>0</v>
      </c>
      <c r="OY35" s="1" t="n">
        <f aca="false">OW35-OX35</f>
        <v>0</v>
      </c>
      <c r="OZ35" s="1" t="n">
        <f aca="false">IF(AND(HT35=0,FG35=1,OY35&gt;0),MIN(OY35,FH35),0)</f>
        <v>0</v>
      </c>
      <c r="PA35" s="1" t="n">
        <f aca="false">OY35-OZ35</f>
        <v>0</v>
      </c>
      <c r="PB35" s="1" t="n">
        <f aca="false">IF(AND(HT35=0,EW35=1,PA35&gt;0),MIN(PA35,EX35),0)</f>
        <v>0</v>
      </c>
      <c r="PC35" s="1" t="n">
        <f aca="false">PA35-PB35</f>
        <v>0</v>
      </c>
      <c r="PD35" s="1" t="n">
        <f aca="false">IF(AND(HT35=0,EM35=1,PC35&gt;0),MIN(PC35,EN35),0)</f>
        <v>0</v>
      </c>
      <c r="PE35" s="1" t="n">
        <f aca="false">PC35-PD35</f>
        <v>0</v>
      </c>
      <c r="PF35" s="1" t="n">
        <f aca="false">IF(AND(HT35=0,EC35=1,PE35&gt;0),MIN(PE35,ED35),0)</f>
        <v>0</v>
      </c>
      <c r="PG35" s="1" t="n">
        <f aca="false">PE35-PF35</f>
        <v>0</v>
      </c>
      <c r="PH35" s="1" t="n">
        <f aca="false">IF(AND(HT35=0,DS35=1,PG35&gt;0),MIN(PG35,DT35),0)</f>
        <v>0</v>
      </c>
      <c r="PI35" s="1" t="n">
        <f aca="false">PG35-PH35</f>
        <v>0</v>
      </c>
      <c r="PJ35" s="1" t="n">
        <f aca="false">IF(AND(HT35=0,DI35=1,PI35&gt;0),MIN(PI35,DJ35),0)</f>
        <v>0</v>
      </c>
      <c r="PK35" s="1" t="n">
        <f aca="false">PI35-PJ35</f>
        <v>0</v>
      </c>
      <c r="PL35" s="1" t="n">
        <f aca="false">IF(AND(HT35=0,CY35=1,PK35&gt;0),MIN(PK35,CZ35),0)</f>
        <v>0</v>
      </c>
      <c r="PM35" s="1" t="n">
        <f aca="false">PK35-PL35</f>
        <v>0</v>
      </c>
      <c r="PN35" s="1" t="n">
        <f aca="false">IF(AND(HT35=0,CO35=1,PM35&gt;0),MIN(PM35,CP35),0)</f>
        <v>0</v>
      </c>
      <c r="PO35" s="1" t="n">
        <f aca="false">PM35-PN35</f>
        <v>0</v>
      </c>
      <c r="PP35" s="1" t="n">
        <f aca="false">IF(AND(HT35=0,CE35=1,PO35&gt;0),MIN(PO35,CF35),0)</f>
        <v>0</v>
      </c>
      <c r="PQ35" s="1" t="n">
        <f aca="false">PO35-PP35</f>
        <v>0</v>
      </c>
      <c r="PR35" s="1" t="n">
        <f aca="false">IF(AND(HT35=0,BU35=1,PQ35&gt;0),MIN(PQ35,BV35),0)</f>
        <v>0</v>
      </c>
      <c r="PS35" s="1" t="n">
        <f aca="false">PQ35-PR35</f>
        <v>0</v>
      </c>
      <c r="PT35" s="1" t="n">
        <f aca="false">IF(AND(HT35=0,BK35=1,PS35&gt;0),MIN(PS35,BL35),0)</f>
        <v>0</v>
      </c>
      <c r="PU35" s="1" t="n">
        <f aca="false">PS35-PT35</f>
        <v>0</v>
      </c>
      <c r="PV35" s="1" t="n">
        <f aca="false">IF(AND(HT35=0,BA35=1,PU35&gt;0),MIN(PU35,BB35),0)</f>
        <v>0</v>
      </c>
      <c r="PW35" s="1" t="n">
        <f aca="false">PU35-PV35</f>
        <v>0</v>
      </c>
      <c r="PX35" s="1" t="n">
        <f aca="false">IF(AND(HT35=0,AQ35=1,PW35&gt;0),MIN(PW35,AR35),0)</f>
        <v>0</v>
      </c>
      <c r="PY35" s="1" t="n">
        <f aca="false">PW35-PX35</f>
        <v>0</v>
      </c>
      <c r="PZ35" s="1" t="n">
        <f aca="false">IF(AND(HT35=0,AG35=1,PY35&gt;0),MIN(PY35,AH35),0)</f>
        <v>0</v>
      </c>
      <c r="QA35" s="1" t="n">
        <f aca="false">PY35-PZ35</f>
        <v>0</v>
      </c>
      <c r="QB35" s="1" t="n">
        <f aca="false">IF(AND(HT35=0,V35=1,QA35&gt;0),MIN(QA35,W35),0)</f>
        <v>0</v>
      </c>
      <c r="QC35" s="1" t="n">
        <f aca="false">QA35-QB35</f>
        <v>0</v>
      </c>
      <c r="QD35" s="1" t="n">
        <f aca="false">IF(HT35=0,QC35,0)</f>
        <v>0</v>
      </c>
      <c r="QE35" s="1" t="n">
        <f aca="false">OL35+ON35+QB35+PZ35+PX35+PV35+PT35+PR35+PP35+PN35+PL35+PJ35+PH35+PF35+PD35+PB35+OZ35+OX35+OV35+OT35+OR35+OP35</f>
        <v>0</v>
      </c>
      <c r="QF35" s="1" t="n">
        <f aca="false">IF(HT35=1,HJ35+OI35+OH35+IF(F35=1,0,OJ35),HJ35-OL35)</f>
        <v>0</v>
      </c>
      <c r="QG35" s="1" t="n">
        <f aca="false">HK35-ON35</f>
        <v>0</v>
      </c>
      <c r="QH35" s="1" t="n">
        <f aca="false">IF(HT35=1,IF(F35=1,IC35+ID35,HR35),0)</f>
        <v>0</v>
      </c>
      <c r="QI35" s="1" t="n">
        <f aca="false">IF(HT35=1,IF(F35=1,HR35-IC35-ID35,0),0)</f>
        <v>0</v>
      </c>
      <c r="QJ35" s="1" t="n">
        <f aca="false">QF35*(1+GR)</f>
        <v>0</v>
      </c>
      <c r="QK35" s="1" t="n">
        <f aca="false">QG35*(1+AS_Cash)</f>
        <v>0</v>
      </c>
      <c r="QL35" s="1" t="n">
        <f aca="false">IF(V35=1,IF(HT35=1,IH35+IK35,W35-QB35)*(1+Slot1_Rate),0)</f>
        <v>0</v>
      </c>
      <c r="QM35" s="1" t="n">
        <f aca="false">IF(AND(HT35=1,V35=1),(IG35+IK35)/E35,0)</f>
        <v>0</v>
      </c>
      <c r="QN35" s="1" t="n">
        <f aca="false">IF(B35=0,IG35+IK35,0)</f>
        <v>0</v>
      </c>
      <c r="QO35" s="1" t="n">
        <f aca="false">IF(B35=0,IF(HT35=1,II35,IJ35),0)</f>
        <v>0</v>
      </c>
      <c r="QP35" s="1" t="n">
        <f aca="false">IF(AG35=1,IF(HT35=1,IP35+IS35,AH35-PZ35)*(1+Slot2_Rate),0)</f>
        <v>0</v>
      </c>
      <c r="QQ35" s="1" t="n">
        <f aca="false">IF(AND(HT35=1,AG35=1),(IO35+IS35)/E35,0)</f>
        <v>0</v>
      </c>
      <c r="QR35" s="1" t="n">
        <f aca="false">IF(B35=0,IO35+IS35,0)</f>
        <v>0</v>
      </c>
      <c r="QS35" s="1" t="n">
        <f aca="false">IF(B35=0,IF(HT35=1,IQ35,IR35),0)</f>
        <v>0</v>
      </c>
      <c r="QT35" s="1" t="n">
        <f aca="false">IF(AQ35=1,IF(HT35=1,IX35+JA35,AR35-PX35)*(1+Slot3_Rate),0)</f>
        <v>0</v>
      </c>
      <c r="QU35" s="1" t="n">
        <f aca="false">IF(AND(HT35=1,AQ35=1),(IW35+JA35)/E35,0)</f>
        <v>0</v>
      </c>
      <c r="QV35" s="1" t="n">
        <f aca="false">IF(B35=0,IW35+JA35,0)</f>
        <v>0</v>
      </c>
      <c r="QW35" s="1" t="n">
        <f aca="false">IF(B35=0,IF(HT35=1,IY35,IZ35),0)</f>
        <v>0</v>
      </c>
      <c r="QX35" s="1" t="n">
        <f aca="false">IF(BA35=1,IF(HT35=1,JF35+JI35,BB35-PV35)*(1+Slot4_Rate),0)</f>
        <v>0</v>
      </c>
      <c r="QY35" s="1" t="n">
        <f aca="false">IF(AND(HT35=1,BA35=1),(JE35+JI35)/E35,0)</f>
        <v>0</v>
      </c>
      <c r="QZ35" s="1" t="n">
        <f aca="false">IF(B35=0,JE35+JI35,0)</f>
        <v>0</v>
      </c>
      <c r="RA35" s="1" t="n">
        <f aca="false">IF(B35=0,IF(HT35=1,JG35,JH35),0)</f>
        <v>0</v>
      </c>
      <c r="RB35" s="1" t="n">
        <f aca="false">IF(BK35=1,IF(HT35=1,JN35+JQ35,BL35-PT35)*(1+Slot5_Rate),0)</f>
        <v>0</v>
      </c>
      <c r="RC35" s="1" t="n">
        <f aca="false">IF(AND(HT35=1,BK35=1),(JM35+JQ35)/E35,0)</f>
        <v>0</v>
      </c>
      <c r="RD35" s="1" t="n">
        <f aca="false">IF(B35=0,JM35+JQ35,0)</f>
        <v>0</v>
      </c>
      <c r="RE35" s="1" t="n">
        <f aca="false">IF(B35=0,IF(HT35=1,JO35,JP35),0)</f>
        <v>0</v>
      </c>
      <c r="RF35" s="1" t="n">
        <f aca="false">IF(BU35=1,IF(HT35=1,JV35+JY35,BV35-PR35)*(1+Slot6_Rate),0)</f>
        <v>0</v>
      </c>
      <c r="RG35" s="1" t="n">
        <f aca="false">IF(AND(HT35=1,BU35=1),(JU35+JY35)/E35,0)</f>
        <v>0</v>
      </c>
      <c r="RH35" s="1" t="n">
        <f aca="false">IF(B35=0,JU35+JY35,0)</f>
        <v>0</v>
      </c>
      <c r="RI35" s="1" t="n">
        <f aca="false">IF(B35=0,IF(HT35=1,JW35,JX35),0)</f>
        <v>0</v>
      </c>
      <c r="RJ35" s="1" t="n">
        <f aca="false">IF(CE35=1,IF(HT35=1,KD35+KG35,CF35-PP35)*(1+Slot7_Rate),0)</f>
        <v>0</v>
      </c>
      <c r="RK35" s="1" t="n">
        <f aca="false">IF(AND(HT35=1,CE35=1),(KC35+KG35)/E35,0)</f>
        <v>0</v>
      </c>
      <c r="RL35" s="1" t="n">
        <f aca="false">IF(B35=0,KC35+KG35,0)</f>
        <v>0</v>
      </c>
      <c r="RM35" s="1" t="n">
        <f aca="false">IF(B35=0,IF(HT35=1,KE35,KF35),0)</f>
        <v>0</v>
      </c>
      <c r="RN35" s="1" t="n">
        <f aca="false">IF(CO35=1,IF(HT35=1,KL35+KO35,CP35-PN35)*(1+Slot8_Rate),0)</f>
        <v>0</v>
      </c>
      <c r="RO35" s="1" t="n">
        <f aca="false">IF(AND(HT35=1,CO35=1),(KK35+KO35)/E35,0)</f>
        <v>0</v>
      </c>
      <c r="RP35" s="1" t="n">
        <f aca="false">IF(B35=0,KK35+KO35,0)</f>
        <v>0</v>
      </c>
      <c r="RQ35" s="1" t="n">
        <f aca="false">IF(B35=0,IF(HT35=1,KM35,KN35),0)</f>
        <v>0</v>
      </c>
      <c r="RR35" s="1" t="n">
        <f aca="false">IF(CY35=1,IF(HT35=1,KT35+KW35,CZ35-PL35)*(1+Slot9_Rate),0)</f>
        <v>0</v>
      </c>
      <c r="RS35" s="1" t="n">
        <f aca="false">IF(AND(HT35=1,CY35=1),(KS35+KW35)/E35,0)</f>
        <v>0</v>
      </c>
      <c r="RT35" s="1" t="n">
        <f aca="false">IF(B35=0,KS35+KW35,0)</f>
        <v>0</v>
      </c>
      <c r="RU35" s="1" t="n">
        <f aca="false">IF(B35=0,IF(HT35=1,KU35,KV35),0)</f>
        <v>0</v>
      </c>
      <c r="RV35" s="1" t="n">
        <f aca="false">IF(DI35=1,IF(HT35=1,LB35+LE35,DJ35-PJ35)*(1+Slot10_Rate),0)</f>
        <v>0</v>
      </c>
      <c r="RW35" s="1" t="n">
        <f aca="false">IF(AND(HT35=1,DI35=1),(LA35+LE35)/E35,0)</f>
        <v>0</v>
      </c>
      <c r="RX35" s="1" t="n">
        <f aca="false">IF(B35=0,LA35+LE35,0)</f>
        <v>0</v>
      </c>
      <c r="RY35" s="1" t="n">
        <f aca="false">IF(B35=0,IF(HT35=1,LC35,LD35),0)</f>
        <v>0</v>
      </c>
      <c r="RZ35" s="1" t="n">
        <f aca="false">IF(DS35=1,IF(HT35=1,LJ35+LM35,DT35-PH35)*(1+Slot11_Rate),0)</f>
        <v>0</v>
      </c>
      <c r="SA35" s="1" t="n">
        <f aca="false">IF(AND(HT35=1,DS35=1),(LI35+LM35)/E35,0)</f>
        <v>0</v>
      </c>
      <c r="SB35" s="1" t="n">
        <f aca="false">IF(B35=0,LI35+LM35,0)</f>
        <v>0</v>
      </c>
      <c r="SC35" s="1" t="n">
        <f aca="false">IF(B35=0,IF(HT35=1,LK35,LL35),0)</f>
        <v>0</v>
      </c>
      <c r="SD35" s="1" t="n">
        <f aca="false">IF(EC35=1,IF(HT35=1,LR35+LU35,ED35-PF35)*(1+Slot12_Rate),0)</f>
        <v>0</v>
      </c>
      <c r="SE35" s="1" t="n">
        <f aca="false">IF(AND(HT35=1,EC35=1),(LQ35+LU35)/E35,0)</f>
        <v>0</v>
      </c>
      <c r="SF35" s="1" t="n">
        <f aca="false">IF(B35=0,LQ35+LU35,0)</f>
        <v>0</v>
      </c>
      <c r="SG35" s="1" t="n">
        <f aca="false">IF(B35=0,IF(HT35=1,LS35,LT35),0)</f>
        <v>0</v>
      </c>
      <c r="SH35" s="1" t="n">
        <f aca="false">IF(EM35=1,IF(HT35=1,LZ35+MC35,EN35-PD35)*(1+Slot13_Rate),0)</f>
        <v>0</v>
      </c>
      <c r="SI35" s="1" t="n">
        <f aca="false">IF(AND(HT35=1,EM35=1),(LY35+MC35)/E35,0)</f>
        <v>0</v>
      </c>
      <c r="SJ35" s="1" t="n">
        <f aca="false">IF(B35=0,LY35+MC35,0)</f>
        <v>0</v>
      </c>
      <c r="SK35" s="1" t="n">
        <f aca="false">IF(B35=0,IF(HT35=1,MA35,MB35),0)</f>
        <v>0</v>
      </c>
      <c r="SL35" s="1" t="n">
        <f aca="false">IF(EW35=1,IF(HT35=1,MH35+MK35,EX35-PB35)*(1+Slot14_Rate),0)</f>
        <v>0</v>
      </c>
      <c r="SM35" s="1" t="n">
        <f aca="false">IF(AND(HT35=1,EW35=1),(MG35+MK35)/E35,0)</f>
        <v>0</v>
      </c>
      <c r="SN35" s="1" t="n">
        <f aca="false">IF(B35=0,MG35+MK35,0)</f>
        <v>0</v>
      </c>
      <c r="SO35" s="1" t="n">
        <f aca="false">IF(B35=0,IF(HT35=1,MI35,MJ35),0)</f>
        <v>0</v>
      </c>
      <c r="SP35" s="1" t="n">
        <f aca="false">IF(FG35=1,IF(HT35=1,MP35+MS35,FH35-OZ35)*(1+Slot15_Rate),0)</f>
        <v>0</v>
      </c>
      <c r="SQ35" s="1" t="n">
        <f aca="false">IF(AND(HT35=1,FG35=1),(MO35+MS35)/E35,0)</f>
        <v>0</v>
      </c>
      <c r="SR35" s="1" t="n">
        <f aca="false">IF(B35=0,MO35+MS35,0)</f>
        <v>0</v>
      </c>
      <c r="SS35" s="1" t="n">
        <f aca="false">IF(B35=0,IF(HT35=1,MQ35,MR35),0)</f>
        <v>0</v>
      </c>
      <c r="ST35" s="1" t="n">
        <f aca="false">IF(FQ35=1,IF(HT35=1,MX35+NA35,FR35-OX35)*(1+Slot16_Rate),0)</f>
        <v>0</v>
      </c>
      <c r="SU35" s="1" t="n">
        <f aca="false">IF(AND(HT35=1,FQ35=1),(MW35+NA35)/E35,0)</f>
        <v>0</v>
      </c>
      <c r="SV35" s="1" t="n">
        <f aca="false">IF(B35=0,MW35+NA35,0)</f>
        <v>0</v>
      </c>
      <c r="SW35" s="1" t="n">
        <f aca="false">IF(B35=0,IF(HT35=1,MY35,MZ35),0)</f>
        <v>0</v>
      </c>
      <c r="SX35" s="1" t="n">
        <f aca="false">IF(GA35=1,IF(HT35=1,NF35+NI35,GB35-OV35)*(1+Slot17_Rate),0)</f>
        <v>0</v>
      </c>
      <c r="SY35" s="1" t="n">
        <f aca="false">IF(AND(HT35=1,GA35=1),(NE35+NI35)/E35,0)</f>
        <v>0</v>
      </c>
      <c r="SZ35" s="1" t="n">
        <f aca="false">IF(B35=0,NE35+NI35,0)</f>
        <v>0</v>
      </c>
      <c r="TA35" s="1" t="n">
        <f aca="false">IF(B35=0,IF(HT35=1,NG35,NH35),0)</f>
        <v>0</v>
      </c>
      <c r="TB35" s="1" t="n">
        <f aca="false">IF(GK35=1,IF(HT35=1,NN35+NQ35,GL35-OT35)*(1+Slot18_Rate),0)</f>
        <v>0</v>
      </c>
      <c r="TC35" s="1" t="n">
        <f aca="false">IF(AND(HT35=1,GK35=1),(NM35+NQ35)/E35,0)</f>
        <v>0</v>
      </c>
      <c r="TD35" s="1" t="n">
        <f aca="false">IF(B35=0,NM35+NQ35,0)</f>
        <v>0</v>
      </c>
      <c r="TE35" s="1" t="n">
        <f aca="false">IF(B35=0,IF(HT35=1,NO35,NP35),0)</f>
        <v>0</v>
      </c>
      <c r="TF35" s="1" t="n">
        <f aca="false">IF(GU35=1,IF(HT35=1,NV35+NY35,GV35-OR35)*(1+Slot19_Rate),0)</f>
        <v>0</v>
      </c>
      <c r="TG35" s="1" t="n">
        <f aca="false">IF(AND(HT35=1,GU35=1),(NU35+NY35)/E35,0)</f>
        <v>0</v>
      </c>
      <c r="TH35" s="1" t="n">
        <f aca="false">IF(B35=0,NU35+NY35,0)</f>
        <v>0</v>
      </c>
      <c r="TI35" s="1" t="n">
        <f aca="false">IF(B35=0,IF(HT35=1,NW35,NX35),0)</f>
        <v>0</v>
      </c>
      <c r="TJ35" s="1" t="n">
        <f aca="false">IF(HE35=1,IF(HT35=1,OD35+OG35,HF35-OP35)*(1+Slot20_Rate),0)</f>
        <v>0</v>
      </c>
      <c r="TK35" s="1" t="n">
        <f aca="false">IF(AND(HT35=1,HE35=1),(OC35+OG35)/E35,0)</f>
        <v>0</v>
      </c>
      <c r="TL35" s="1" t="n">
        <f aca="false">IF(B35=0,OC35+OG35,0)</f>
        <v>0</v>
      </c>
      <c r="TM35" s="1" t="n">
        <f aca="false">IF(B35=0,IF(HT35=1,OE35,OF35),0)</f>
        <v>0</v>
      </c>
      <c r="TN35" s="1" t="n">
        <f aca="false">QJ35+QK35+QL35+QP35+QT35+QX35+RB35+RF35+RJ35+RN35+RR35+RV35+RZ35+SD35+SH35+SL35+SP35+ST35+SX35+TB35+TF35+TJ35</f>
        <v>0</v>
      </c>
      <c r="TO35" s="1" t="n">
        <f aca="false">QD35+HO35</f>
        <v>0</v>
      </c>
      <c r="TP35" s="1" t="n">
        <f aca="false">H35+R35</f>
        <v>0</v>
      </c>
      <c r="TQ35" s="1" t="n">
        <f aca="false">1-F35</f>
        <v>0</v>
      </c>
      <c r="TR35" s="1" t="n">
        <f aca="false">IF(AND(RG_Exists=1,F35=0,C35=1),H35,0)</f>
        <v>0</v>
      </c>
      <c r="TS35" s="1" t="n">
        <f aca="false">IF(AND(RG_Exists=1,F35=0,C35=1),H35-MIN(QD35,H35),0)</f>
        <v>0</v>
      </c>
      <c r="TT35" s="1" t="n">
        <f aca="false">'Plan pay &amp; tax'!AD261</f>
        <v>0</v>
      </c>
      <c r="TU35" s="1" t="n">
        <f aca="false">IF(AND(C35=1,QD35&gt;MAX(PR_Short1,TP35*PR_Short2)),1,0)</f>
        <v>0</v>
      </c>
      <c r="TV35" s="1" t="n">
        <f aca="false">MIN(G35,H35+R35)</f>
        <v>0</v>
      </c>
      <c r="TW35" s="1" t="n">
        <f aca="false">QE35+MAX(0,HP35-HO35)</f>
        <v>0</v>
      </c>
      <c r="TX35" s="1" t="n">
        <f aca="false">QD35+HO35</f>
        <v>0</v>
      </c>
      <c r="TY35" s="1" t="n">
        <f aca="false">IF(AND(C35=1,TX35&gt;PR_MinShort),1,0)</f>
        <v>0</v>
      </c>
      <c r="TZ35" s="1" t="n">
        <f aca="false">IF(AND(C35=1,TY35=0,TW35&gt;PR_MinShort),1,0)</f>
        <v>0</v>
      </c>
      <c r="UA35" s="1" t="n">
        <f aca="false">IF(AND(C35=1,QD35&gt;PR_MinShort),1,0)</f>
        <v>0</v>
      </c>
      <c r="UB35" s="1" t="n">
        <f aca="false">IF(AND(C35=1,QE35&gt;1,UI35=0),1,0)</f>
        <v>0</v>
      </c>
      <c r="UC35" s="1" t="str">
        <f aca="false">IF(C35=0,"",IF(UI35=1,"Gap to plan for: short "&amp;"€"&amp;TEXT(ROUND(TO35,0),"#,##0"),IF(QE35&gt;1,"Using savings","Comfortable")))</f>
        <v>Comfortable</v>
      </c>
      <c r="UD35" s="1" t="n">
        <f aca="false">IF(AND(INT(D35/10)*10=90,B35&gt;0),80,INT(D35/10)*10)</f>
        <v>20</v>
      </c>
      <c r="UE35" s="1" t="n">
        <f aca="false">IF(B35=0,1,IF(UD35&lt;&gt;UD34,UE34+1,UE34))</f>
        <v>3</v>
      </c>
      <c r="UF35" s="1" t="n">
        <f aca="false">IF(AND(C35=1,F35=1,QD35&gt;MAX(PR_Short1,TP35*PR_Short2)),1,0)</f>
        <v>0</v>
      </c>
      <c r="UG35" s="1" t="n">
        <f aca="false">TQ35*TU35</f>
        <v>0</v>
      </c>
      <c r="UH35" s="1" t="n">
        <f aca="false">IF(AND(U35=1,Slot1_PctLow=1),1,0)+IF(AND(AF35=1,Slot2_PctLow=1),1,0)+IF(AND(AP35=1,Slot3_PctLow=1),1,0)+IF(AND(AZ35=1,Slot4_PctLow=1),1,0)+IF(AND(BJ35=1,Slot5_PctLow=1),1,0)+IF(AND(BT35=1,Slot6_PctLow=1),1,0)+IF(AND(CD35=1,Slot7_PctLow=1),1,0)+IF(AND(CN35=1,Slot8_PctLow=1),1,0)+IF(AND(CX35=1,Slot9_PctLow=1),1,0)+IF(AND(DH35=1,Slot10_PctLow=1),1,0)+IF(AND(DR35=1,Slot11_PctLow=1),1,0)+IF(AND(EB35=1,Slot12_PctLow=1),1,0)+IF(AND(EL35=1,Slot13_PctLow=1),1,0)+IF(AND(EV35=1,Slot14_PctLow=1),1,0)+IF(AND(FF35=1,Slot15_PctLow=1),1,0)+IF(AND(FP35=1,Slot16_PctLow=1),1,0)+IF(AND(FZ35=1,Slot17_PctLow=1),1,0)+IF(AND(GJ35=1,Slot18_PctLow=1),1,0)+IF(AND(GT35=1,Slot19_PctLow=1),1,0)+IF(AND(HD35=1,Slot20_PctLow=1),1,0)</f>
        <v>0</v>
      </c>
      <c r="UI35" s="1" t="n">
        <f aca="false">IF(C35=1,IF(OR(TU35=1,UH35&gt;0),1,0),0)</f>
        <v>0</v>
      </c>
    </row>
    <row r="36" customFormat="false" ht="15" hidden="false" customHeight="true" outlineLevel="0" collapsed="false">
      <c r="B36" s="1" t="n">
        <v>28</v>
      </c>
      <c r="C36" s="1" t="n">
        <f aca="false">IF(B36&lt;=F_N,1,0)</f>
        <v>1</v>
      </c>
      <c r="D36" s="1" t="n">
        <f aca="false">'Plan pay &amp; tax'!C262</f>
        <v>28</v>
      </c>
      <c r="E36" s="111" t="n">
        <f aca="false">'Plan pay &amp; tax'!E262</f>
        <v>1.74102420617393</v>
      </c>
      <c r="F36" s="1" t="n">
        <f aca="false">'Plan pay &amp; tax'!G262</f>
        <v>1</v>
      </c>
      <c r="G36" s="1" t="n">
        <f aca="false">'Plan pay &amp; tax'!BT262-'Plan pay &amp; tax'!BS262-'Plan pay &amp; tax'!R262</f>
        <v>0</v>
      </c>
      <c r="H36" s="1" t="n">
        <f aca="false">IF(F36=1,F_CostsM*12,IF(RG_Exists=1,RG_Amount,F_CostsM*12*AS_RetireSpend))*E36+F_OneOffY*E36</f>
        <v>0</v>
      </c>
      <c r="I36" s="1" t="n">
        <f aca="false">HQ35</f>
        <v>0</v>
      </c>
      <c r="J36" s="1" t="n">
        <f aca="false">IF(I36&gt;1,'Plan debt months'!AC36,0)</f>
        <v>0</v>
      </c>
      <c r="K36" s="1" t="n">
        <f aca="false">IF(I36&gt;1,'Plan debt months'!AB36,I36)</f>
        <v>0</v>
      </c>
      <c r="L36" s="1" t="n">
        <f aca="false">N35</f>
        <v>0</v>
      </c>
      <c r="M36" s="1" t="n">
        <f aca="false">IF(L36&gt;1,'Plan debt months'!BD36,0)</f>
        <v>0</v>
      </c>
      <c r="N36" s="1" t="n">
        <f aca="false">IF(L36&gt;1,'Plan debt months'!BC36,L36)</f>
        <v>0</v>
      </c>
      <c r="O36" s="1" t="n">
        <f aca="false">Q35</f>
        <v>0</v>
      </c>
      <c r="P36" s="1" t="n">
        <f aca="false">IF(O36&gt;1,'Plan debt months'!CE36,0)</f>
        <v>0</v>
      </c>
      <c r="Q36" s="1" t="n">
        <f aca="false">IF(O36&gt;1,'Plan debt months'!CD36,O36)</f>
        <v>0</v>
      </c>
      <c r="R36" s="1" t="n">
        <f aca="false">J36+M36+P36</f>
        <v>0</v>
      </c>
      <c r="S36" s="1" t="n">
        <f aca="false">QJ35+'Plan pay &amp; tax'!Y262</f>
        <v>0</v>
      </c>
      <c r="T36" s="1" t="n">
        <f aca="false">QJ35</f>
        <v>0</v>
      </c>
      <c r="U36" s="1" t="n">
        <f aca="false">IF(AND(Slot1_On=1,D36=Slot1_Age),1,0)</f>
        <v>0</v>
      </c>
      <c r="V36" s="1" t="n">
        <f aca="false">IF(AND(Slot1_On=1,Slot1_Age&gt;D36),1,0)</f>
        <v>0</v>
      </c>
      <c r="W36" s="1" t="n">
        <f aca="false">QL35</f>
        <v>0</v>
      </c>
      <c r="X36" s="1" t="n">
        <f aca="false">U36*MIN(Slot1_Cost,W36)</f>
        <v>0</v>
      </c>
      <c r="Y36" s="1" t="n">
        <f aca="false">U36*Slot1_SpendLike*MIN(Slot1_Cost-X36,S36)</f>
        <v>0</v>
      </c>
      <c r="Z36" s="1" t="n">
        <f aca="false">X36+Y36</f>
        <v>0</v>
      </c>
      <c r="AA36" s="1" t="n">
        <f aca="false">S36-Y36+U36*IF(Slot1_SpendLike=1,W36-X36,IF(Slot1_PotFree=1,W36,0))</f>
        <v>0</v>
      </c>
      <c r="AB36" s="1" t="n">
        <f aca="false">AE36+U36*Slot1_BufPot*W36</f>
        <v>0</v>
      </c>
      <c r="AC36" s="1" t="n">
        <f aca="false">IF(AND(U36=1,Slot1_IsMfree=1),IF(Z36&gt;=Slot1_Cost-1,0,MAX(0,K36-Z36)),K36)</f>
        <v>0</v>
      </c>
      <c r="AD36" s="1" t="n">
        <f aca="false">U36*(Slot1_Cost-Z36)</f>
        <v>0</v>
      </c>
      <c r="AE36" s="1" t="n">
        <f aca="false">QK35</f>
        <v>0</v>
      </c>
      <c r="AF36" s="1" t="n">
        <f aca="false">IF(AND(Slot2_On=1,D36=Slot2_Age),1,0)</f>
        <v>0</v>
      </c>
      <c r="AG36" s="1" t="n">
        <f aca="false">IF(AND(Slot2_On=1,Slot2_Age&gt;D36),1,0)</f>
        <v>0</v>
      </c>
      <c r="AH36" s="1" t="n">
        <f aca="false">QP35</f>
        <v>0</v>
      </c>
      <c r="AI36" s="1" t="n">
        <f aca="false">AF36*MIN(Slot2_Cost,AH36)</f>
        <v>0</v>
      </c>
      <c r="AJ36" s="1" t="n">
        <f aca="false">AF36*Slot2_SpendLike*MIN(Slot2_Cost-AI36,AA36)</f>
        <v>0</v>
      </c>
      <c r="AK36" s="1" t="n">
        <f aca="false">AI36+AJ36</f>
        <v>0</v>
      </c>
      <c r="AL36" s="1" t="n">
        <f aca="false">AA36-AJ36+AF36*IF(Slot2_SpendLike=1,AH36-AI36,IF(Slot2_PotFree=1,AH36,0))</f>
        <v>0</v>
      </c>
      <c r="AM36" s="1" t="n">
        <f aca="false">AB36+AF36*Slot2_BufPot*AH36</f>
        <v>0</v>
      </c>
      <c r="AN36" s="1" t="n">
        <f aca="false">IF(AND(AF36=1,Slot2_IsMfree=1),IF(AK36&gt;=Slot2_Cost-1,0,MAX(0,AC36-AK36)),AC36)</f>
        <v>0</v>
      </c>
      <c r="AO36" s="1" t="n">
        <f aca="false">AF36*(Slot2_Cost-AK36)</f>
        <v>0</v>
      </c>
      <c r="AP36" s="1" t="n">
        <f aca="false">IF(AND(Slot3_On=1,D36=Slot3_Age),1,0)</f>
        <v>0</v>
      </c>
      <c r="AQ36" s="1" t="n">
        <f aca="false">IF(AND(Slot3_On=1,Slot3_Age&gt;D36),1,0)</f>
        <v>0</v>
      </c>
      <c r="AR36" s="1" t="n">
        <f aca="false">QT35</f>
        <v>0</v>
      </c>
      <c r="AS36" s="1" t="n">
        <f aca="false">AP36*MIN(Slot3_Cost,AR36)</f>
        <v>0</v>
      </c>
      <c r="AT36" s="1" t="n">
        <f aca="false">AP36*Slot3_SpendLike*MIN(Slot3_Cost-AS36,AL36)</f>
        <v>0</v>
      </c>
      <c r="AU36" s="1" t="n">
        <f aca="false">AS36+AT36</f>
        <v>0</v>
      </c>
      <c r="AV36" s="1" t="n">
        <f aca="false">AL36-AT36+AP36*IF(Slot3_SpendLike=1,AR36-AS36,IF(Slot3_PotFree=1,AR36,0))</f>
        <v>0</v>
      </c>
      <c r="AW36" s="1" t="n">
        <f aca="false">AM36+AP36*Slot3_BufPot*AR36</f>
        <v>0</v>
      </c>
      <c r="AX36" s="1" t="n">
        <f aca="false">IF(AND(AP36=1,Slot3_IsMfree=1),IF(AU36&gt;=Slot3_Cost-1,0,MAX(0,AN36-AU36)),AN36)</f>
        <v>0</v>
      </c>
      <c r="AY36" s="1" t="n">
        <f aca="false">AP36*(Slot3_Cost-AU36)</f>
        <v>0</v>
      </c>
      <c r="AZ36" s="1" t="n">
        <f aca="false">IF(AND(Slot4_On=1,D36=Slot4_Age),1,0)</f>
        <v>0</v>
      </c>
      <c r="BA36" s="1" t="n">
        <f aca="false">IF(AND(Slot4_On=1,Slot4_Age&gt;D36),1,0)</f>
        <v>0</v>
      </c>
      <c r="BB36" s="1" t="n">
        <f aca="false">QX35</f>
        <v>0</v>
      </c>
      <c r="BC36" s="1" t="n">
        <f aca="false">AZ36*MIN(Slot4_Cost,BB36)</f>
        <v>0</v>
      </c>
      <c r="BD36" s="1" t="n">
        <f aca="false">AZ36*Slot4_SpendLike*MIN(Slot4_Cost-BC36,AV36)</f>
        <v>0</v>
      </c>
      <c r="BE36" s="1" t="n">
        <f aca="false">BC36+BD36</f>
        <v>0</v>
      </c>
      <c r="BF36" s="1" t="n">
        <f aca="false">AV36-BD36+AZ36*IF(Slot4_SpendLike=1,BB36-BC36,IF(Slot4_PotFree=1,BB36,0))</f>
        <v>0</v>
      </c>
      <c r="BG36" s="1" t="n">
        <f aca="false">AW36+AZ36*Slot4_BufPot*BB36</f>
        <v>0</v>
      </c>
      <c r="BH36" s="1" t="n">
        <f aca="false">IF(AND(AZ36=1,Slot4_IsMfree=1),IF(BE36&gt;=Slot4_Cost-1,0,MAX(0,AX36-BE36)),AX36)</f>
        <v>0</v>
      </c>
      <c r="BI36" s="1" t="n">
        <f aca="false">AZ36*(Slot4_Cost-BE36)</f>
        <v>0</v>
      </c>
      <c r="BJ36" s="1" t="n">
        <f aca="false">IF(AND(Slot5_On=1,D36=Slot5_Age),1,0)</f>
        <v>0</v>
      </c>
      <c r="BK36" s="1" t="n">
        <f aca="false">IF(AND(Slot5_On=1,Slot5_Age&gt;D36),1,0)</f>
        <v>0</v>
      </c>
      <c r="BL36" s="1" t="n">
        <f aca="false">RB35</f>
        <v>0</v>
      </c>
      <c r="BM36" s="1" t="n">
        <f aca="false">BJ36*MIN(Slot5_Cost,BL36)</f>
        <v>0</v>
      </c>
      <c r="BN36" s="1" t="n">
        <f aca="false">BJ36*Slot5_SpendLike*MIN(Slot5_Cost-BM36,BF36)</f>
        <v>0</v>
      </c>
      <c r="BO36" s="1" t="n">
        <f aca="false">BM36+BN36</f>
        <v>0</v>
      </c>
      <c r="BP36" s="1" t="n">
        <f aca="false">BF36-BN36+BJ36*IF(Slot5_SpendLike=1,BL36-BM36,IF(Slot5_PotFree=1,BL36,0))</f>
        <v>0</v>
      </c>
      <c r="BQ36" s="1" t="n">
        <f aca="false">BG36+BJ36*Slot5_BufPot*BL36</f>
        <v>0</v>
      </c>
      <c r="BR36" s="1" t="n">
        <f aca="false">IF(AND(BJ36=1,Slot5_IsMfree=1),IF(BO36&gt;=Slot5_Cost-1,0,MAX(0,BH36-BO36)),BH36)</f>
        <v>0</v>
      </c>
      <c r="BS36" s="1" t="n">
        <f aca="false">BJ36*(Slot5_Cost-BO36)</f>
        <v>0</v>
      </c>
      <c r="BT36" s="1" t="n">
        <f aca="false">IF(AND(Slot6_On=1,D36=Slot6_Age),1,0)</f>
        <v>0</v>
      </c>
      <c r="BU36" s="1" t="n">
        <f aca="false">IF(AND(Slot6_On=1,Slot6_Age&gt;D36),1,0)</f>
        <v>0</v>
      </c>
      <c r="BV36" s="1" t="n">
        <f aca="false">RF35</f>
        <v>0</v>
      </c>
      <c r="BW36" s="1" t="n">
        <f aca="false">BT36*MIN(Slot6_Cost,BV36)</f>
        <v>0</v>
      </c>
      <c r="BX36" s="1" t="n">
        <f aca="false">BT36*Slot6_SpendLike*MIN(Slot6_Cost-BW36,BP36)</f>
        <v>0</v>
      </c>
      <c r="BY36" s="1" t="n">
        <f aca="false">BW36+BX36</f>
        <v>0</v>
      </c>
      <c r="BZ36" s="1" t="n">
        <f aca="false">BP36-BX36+BT36*IF(Slot6_SpendLike=1,BV36-BW36,IF(Slot6_PotFree=1,BV36,0))</f>
        <v>0</v>
      </c>
      <c r="CA36" s="1" t="n">
        <f aca="false">BQ36+BT36*Slot6_BufPot*BV36</f>
        <v>0</v>
      </c>
      <c r="CB36" s="1" t="n">
        <f aca="false">IF(AND(BT36=1,Slot6_IsMfree=1),IF(BY36&gt;=Slot6_Cost-1,0,MAX(0,BR36-BY36)),BR36)</f>
        <v>0</v>
      </c>
      <c r="CC36" s="1" t="n">
        <f aca="false">BT36*(Slot6_Cost-BY36)</f>
        <v>0</v>
      </c>
      <c r="CD36" s="1" t="n">
        <f aca="false">IF(AND(Slot7_On=1,D36=Slot7_Age),1,0)</f>
        <v>0</v>
      </c>
      <c r="CE36" s="1" t="n">
        <f aca="false">IF(AND(Slot7_On=1,Slot7_Age&gt;D36),1,0)</f>
        <v>0</v>
      </c>
      <c r="CF36" s="1" t="n">
        <f aca="false">RJ35</f>
        <v>0</v>
      </c>
      <c r="CG36" s="1" t="n">
        <f aca="false">CD36*MIN(Slot7_Cost,CF36)</f>
        <v>0</v>
      </c>
      <c r="CH36" s="1" t="n">
        <f aca="false">CD36*Slot7_SpendLike*MIN(Slot7_Cost-CG36,BZ36)</f>
        <v>0</v>
      </c>
      <c r="CI36" s="1" t="n">
        <f aca="false">CG36+CH36</f>
        <v>0</v>
      </c>
      <c r="CJ36" s="1" t="n">
        <f aca="false">BZ36-CH36+CD36*IF(Slot7_SpendLike=1,CF36-CG36,IF(Slot7_PotFree=1,CF36,0))</f>
        <v>0</v>
      </c>
      <c r="CK36" s="1" t="n">
        <f aca="false">CA36+CD36*Slot7_BufPot*CF36</f>
        <v>0</v>
      </c>
      <c r="CL36" s="1" t="n">
        <f aca="false">IF(AND(CD36=1,Slot7_IsMfree=1),IF(CI36&gt;=Slot7_Cost-1,0,MAX(0,CB36-CI36)),CB36)</f>
        <v>0</v>
      </c>
      <c r="CM36" s="1" t="n">
        <f aca="false">CD36*(Slot7_Cost-CI36)</f>
        <v>0</v>
      </c>
      <c r="CN36" s="1" t="n">
        <f aca="false">IF(AND(Slot8_On=1,D36=Slot8_Age),1,0)</f>
        <v>0</v>
      </c>
      <c r="CO36" s="1" t="n">
        <f aca="false">IF(AND(Slot8_On=1,Slot8_Age&gt;D36),1,0)</f>
        <v>0</v>
      </c>
      <c r="CP36" s="1" t="n">
        <f aca="false">RN35</f>
        <v>0</v>
      </c>
      <c r="CQ36" s="1" t="n">
        <f aca="false">CN36*MIN(Slot8_Cost,CP36)</f>
        <v>0</v>
      </c>
      <c r="CR36" s="1" t="n">
        <f aca="false">CN36*Slot8_SpendLike*MIN(Slot8_Cost-CQ36,CJ36)</f>
        <v>0</v>
      </c>
      <c r="CS36" s="1" t="n">
        <f aca="false">CQ36+CR36</f>
        <v>0</v>
      </c>
      <c r="CT36" s="1" t="n">
        <f aca="false">CJ36-CR36+CN36*IF(Slot8_SpendLike=1,CP36-CQ36,IF(Slot8_PotFree=1,CP36,0))</f>
        <v>0</v>
      </c>
      <c r="CU36" s="1" t="n">
        <f aca="false">CK36+CN36*Slot8_BufPot*CP36</f>
        <v>0</v>
      </c>
      <c r="CV36" s="1" t="n">
        <f aca="false">IF(AND(CN36=1,Slot8_IsMfree=1),IF(CS36&gt;=Slot8_Cost-1,0,MAX(0,CL36-CS36)),CL36)</f>
        <v>0</v>
      </c>
      <c r="CW36" s="1" t="n">
        <f aca="false">CN36*(Slot8_Cost-CS36)</f>
        <v>0</v>
      </c>
      <c r="CX36" s="1" t="n">
        <f aca="false">IF(AND(Slot9_On=1,D36=Slot9_Age),1,0)</f>
        <v>0</v>
      </c>
      <c r="CY36" s="1" t="n">
        <f aca="false">IF(AND(Slot9_On=1,Slot9_Age&gt;D36),1,0)</f>
        <v>0</v>
      </c>
      <c r="CZ36" s="1" t="n">
        <f aca="false">RR35</f>
        <v>0</v>
      </c>
      <c r="DA36" s="1" t="n">
        <f aca="false">CX36*MIN(Slot9_Cost,CZ36)</f>
        <v>0</v>
      </c>
      <c r="DB36" s="1" t="n">
        <f aca="false">CX36*Slot9_SpendLike*MIN(Slot9_Cost-DA36,CT36)</f>
        <v>0</v>
      </c>
      <c r="DC36" s="1" t="n">
        <f aca="false">DA36+DB36</f>
        <v>0</v>
      </c>
      <c r="DD36" s="1" t="n">
        <f aca="false">CT36-DB36+CX36*IF(Slot9_SpendLike=1,CZ36-DA36,IF(Slot9_PotFree=1,CZ36,0))</f>
        <v>0</v>
      </c>
      <c r="DE36" s="1" t="n">
        <f aca="false">CU36+CX36*Slot9_BufPot*CZ36</f>
        <v>0</v>
      </c>
      <c r="DF36" s="1" t="n">
        <f aca="false">IF(AND(CX36=1,Slot9_IsMfree=1),IF(DC36&gt;=Slot9_Cost-1,0,MAX(0,CV36-DC36)),CV36)</f>
        <v>0</v>
      </c>
      <c r="DG36" s="1" t="n">
        <f aca="false">CX36*(Slot9_Cost-DC36)</f>
        <v>0</v>
      </c>
      <c r="DH36" s="1" t="n">
        <f aca="false">IF(AND(Slot10_On=1,D36=Slot10_Age),1,0)</f>
        <v>0</v>
      </c>
      <c r="DI36" s="1" t="n">
        <f aca="false">IF(AND(Slot10_On=1,Slot10_Age&gt;D36),1,0)</f>
        <v>0</v>
      </c>
      <c r="DJ36" s="1" t="n">
        <f aca="false">RV35</f>
        <v>0</v>
      </c>
      <c r="DK36" s="1" t="n">
        <f aca="false">DH36*MIN(Slot10_Cost,DJ36)</f>
        <v>0</v>
      </c>
      <c r="DL36" s="1" t="n">
        <f aca="false">DH36*Slot10_SpendLike*MIN(Slot10_Cost-DK36,DD36)</f>
        <v>0</v>
      </c>
      <c r="DM36" s="1" t="n">
        <f aca="false">DK36+DL36</f>
        <v>0</v>
      </c>
      <c r="DN36" s="1" t="n">
        <f aca="false">DD36-DL36+DH36*IF(Slot10_SpendLike=1,DJ36-DK36,IF(Slot10_PotFree=1,DJ36,0))</f>
        <v>0</v>
      </c>
      <c r="DO36" s="1" t="n">
        <f aca="false">DE36+DH36*Slot10_BufPot*DJ36</f>
        <v>0</v>
      </c>
      <c r="DP36" s="1" t="n">
        <f aca="false">IF(AND(DH36=1,Slot10_IsMfree=1),IF(DM36&gt;=Slot10_Cost-1,0,MAX(0,DF36-DM36)),DF36)</f>
        <v>0</v>
      </c>
      <c r="DQ36" s="1" t="n">
        <f aca="false">DH36*(Slot10_Cost-DM36)</f>
        <v>0</v>
      </c>
      <c r="DR36" s="1" t="n">
        <f aca="false">IF(AND(Slot11_On=1,D36=Slot11_Age),1,0)</f>
        <v>0</v>
      </c>
      <c r="DS36" s="1" t="n">
        <f aca="false">IF(AND(Slot11_On=1,Slot11_Age&gt;D36),1,0)</f>
        <v>0</v>
      </c>
      <c r="DT36" s="1" t="n">
        <f aca="false">RZ35</f>
        <v>0</v>
      </c>
      <c r="DU36" s="1" t="n">
        <f aca="false">DR36*MIN(Slot11_Cost,DT36)</f>
        <v>0</v>
      </c>
      <c r="DV36" s="1" t="n">
        <f aca="false">DR36*Slot11_SpendLike*MIN(Slot11_Cost-DU36,DN36)</f>
        <v>0</v>
      </c>
      <c r="DW36" s="1" t="n">
        <f aca="false">DU36+DV36</f>
        <v>0</v>
      </c>
      <c r="DX36" s="1" t="n">
        <f aca="false">DN36-DV36+DR36*IF(Slot11_SpendLike=1,DT36-DU36,IF(Slot11_PotFree=1,DT36,0))</f>
        <v>0</v>
      </c>
      <c r="DY36" s="1" t="n">
        <f aca="false">DO36+DR36*Slot11_BufPot*DT36</f>
        <v>0</v>
      </c>
      <c r="DZ36" s="1" t="n">
        <f aca="false">IF(AND(DR36=1,Slot11_IsMfree=1),IF(DW36&gt;=Slot11_Cost-1,0,MAX(0,DP36-DW36)),DP36)</f>
        <v>0</v>
      </c>
      <c r="EA36" s="1" t="n">
        <f aca="false">DR36*(Slot11_Cost-DW36)</f>
        <v>0</v>
      </c>
      <c r="EB36" s="1" t="n">
        <f aca="false">IF(AND(Slot12_On=1,D36=Slot12_Age),1,0)</f>
        <v>0</v>
      </c>
      <c r="EC36" s="1" t="n">
        <f aca="false">IF(AND(Slot12_On=1,Slot12_Age&gt;D36),1,0)</f>
        <v>0</v>
      </c>
      <c r="ED36" s="1" t="n">
        <f aca="false">SD35</f>
        <v>0</v>
      </c>
      <c r="EE36" s="1" t="n">
        <f aca="false">EB36*MIN(Slot12_Cost,ED36)</f>
        <v>0</v>
      </c>
      <c r="EF36" s="1" t="n">
        <f aca="false">EB36*Slot12_SpendLike*MIN(Slot12_Cost-EE36,DX36)</f>
        <v>0</v>
      </c>
      <c r="EG36" s="1" t="n">
        <f aca="false">EE36+EF36</f>
        <v>0</v>
      </c>
      <c r="EH36" s="1" t="n">
        <f aca="false">DX36-EF36+EB36*IF(Slot12_SpendLike=1,ED36-EE36,IF(Slot12_PotFree=1,ED36,0))</f>
        <v>0</v>
      </c>
      <c r="EI36" s="1" t="n">
        <f aca="false">DY36+EB36*Slot12_BufPot*ED36</f>
        <v>0</v>
      </c>
      <c r="EJ36" s="1" t="n">
        <f aca="false">IF(AND(EB36=1,Slot12_IsMfree=1),IF(EG36&gt;=Slot12_Cost-1,0,MAX(0,DZ36-EG36)),DZ36)</f>
        <v>0</v>
      </c>
      <c r="EK36" s="1" t="n">
        <f aca="false">EB36*(Slot12_Cost-EG36)</f>
        <v>0</v>
      </c>
      <c r="EL36" s="1" t="n">
        <f aca="false">IF(AND(Slot13_On=1,D36=Slot13_Age),1,0)</f>
        <v>0</v>
      </c>
      <c r="EM36" s="1" t="n">
        <f aca="false">IF(AND(Slot13_On=1,Slot13_Age&gt;D36),1,0)</f>
        <v>0</v>
      </c>
      <c r="EN36" s="1" t="n">
        <f aca="false">SH35</f>
        <v>0</v>
      </c>
      <c r="EO36" s="1" t="n">
        <f aca="false">EL36*MIN(Slot13_Cost,EN36)</f>
        <v>0</v>
      </c>
      <c r="EP36" s="1" t="n">
        <f aca="false">EL36*Slot13_SpendLike*MIN(Slot13_Cost-EO36,EH36)</f>
        <v>0</v>
      </c>
      <c r="EQ36" s="1" t="n">
        <f aca="false">EO36+EP36</f>
        <v>0</v>
      </c>
      <c r="ER36" s="1" t="n">
        <f aca="false">EH36-EP36+EL36*IF(Slot13_SpendLike=1,EN36-EO36,IF(Slot13_PotFree=1,EN36,0))</f>
        <v>0</v>
      </c>
      <c r="ES36" s="1" t="n">
        <f aca="false">EI36+EL36*Slot13_BufPot*EN36</f>
        <v>0</v>
      </c>
      <c r="ET36" s="1" t="n">
        <f aca="false">IF(AND(EL36=1,Slot13_IsMfree=1),IF(EQ36&gt;=Slot13_Cost-1,0,MAX(0,EJ36-EQ36)),EJ36)</f>
        <v>0</v>
      </c>
      <c r="EU36" s="1" t="n">
        <f aca="false">EL36*(Slot13_Cost-EQ36)</f>
        <v>0</v>
      </c>
      <c r="EV36" s="1" t="n">
        <f aca="false">IF(AND(Slot14_On=1,D36=Slot14_Age),1,0)</f>
        <v>0</v>
      </c>
      <c r="EW36" s="1" t="n">
        <f aca="false">IF(AND(Slot14_On=1,Slot14_Age&gt;D36),1,0)</f>
        <v>0</v>
      </c>
      <c r="EX36" s="1" t="n">
        <f aca="false">SL35</f>
        <v>0</v>
      </c>
      <c r="EY36" s="1" t="n">
        <f aca="false">EV36*MIN(Slot14_Cost,EX36)</f>
        <v>0</v>
      </c>
      <c r="EZ36" s="1" t="n">
        <f aca="false">EV36*Slot14_SpendLike*MIN(Slot14_Cost-EY36,ER36)</f>
        <v>0</v>
      </c>
      <c r="FA36" s="1" t="n">
        <f aca="false">EY36+EZ36</f>
        <v>0</v>
      </c>
      <c r="FB36" s="1" t="n">
        <f aca="false">ER36-EZ36+EV36*IF(Slot14_SpendLike=1,EX36-EY36,IF(Slot14_PotFree=1,EX36,0))</f>
        <v>0</v>
      </c>
      <c r="FC36" s="1" t="n">
        <f aca="false">ES36+EV36*Slot14_BufPot*EX36</f>
        <v>0</v>
      </c>
      <c r="FD36" s="1" t="n">
        <f aca="false">IF(AND(EV36=1,Slot14_IsMfree=1),IF(FA36&gt;=Slot14_Cost-1,0,MAX(0,ET36-FA36)),ET36)</f>
        <v>0</v>
      </c>
      <c r="FE36" s="1" t="n">
        <f aca="false">EV36*(Slot14_Cost-FA36)</f>
        <v>0</v>
      </c>
      <c r="FF36" s="1" t="n">
        <f aca="false">IF(AND(Slot15_On=1,D36=Slot15_Age),1,0)</f>
        <v>0</v>
      </c>
      <c r="FG36" s="1" t="n">
        <f aca="false">IF(AND(Slot15_On=1,Slot15_Age&gt;D36),1,0)</f>
        <v>0</v>
      </c>
      <c r="FH36" s="1" t="n">
        <f aca="false">SP35</f>
        <v>0</v>
      </c>
      <c r="FI36" s="1" t="n">
        <f aca="false">FF36*MIN(Slot15_Cost,FH36)</f>
        <v>0</v>
      </c>
      <c r="FJ36" s="1" t="n">
        <f aca="false">FF36*Slot15_SpendLike*MIN(Slot15_Cost-FI36,FB36)</f>
        <v>0</v>
      </c>
      <c r="FK36" s="1" t="n">
        <f aca="false">FI36+FJ36</f>
        <v>0</v>
      </c>
      <c r="FL36" s="1" t="n">
        <f aca="false">FB36-FJ36+FF36*IF(Slot15_SpendLike=1,FH36-FI36,IF(Slot15_PotFree=1,FH36,0))</f>
        <v>0</v>
      </c>
      <c r="FM36" s="1" t="n">
        <f aca="false">FC36+FF36*Slot15_BufPot*FH36</f>
        <v>0</v>
      </c>
      <c r="FN36" s="1" t="n">
        <f aca="false">IF(AND(FF36=1,Slot15_IsMfree=1),IF(FK36&gt;=Slot15_Cost-1,0,MAX(0,FD36-FK36)),FD36)</f>
        <v>0</v>
      </c>
      <c r="FO36" s="1" t="n">
        <f aca="false">FF36*(Slot15_Cost-FK36)</f>
        <v>0</v>
      </c>
      <c r="FP36" s="1" t="n">
        <f aca="false">IF(AND(Slot16_On=1,D36=Slot16_Age),1,0)</f>
        <v>0</v>
      </c>
      <c r="FQ36" s="1" t="n">
        <f aca="false">IF(AND(Slot16_On=1,Slot16_Age&gt;D36),1,0)</f>
        <v>0</v>
      </c>
      <c r="FR36" s="1" t="n">
        <f aca="false">ST35</f>
        <v>0</v>
      </c>
      <c r="FS36" s="1" t="n">
        <f aca="false">FP36*MIN(Slot16_Cost,FR36)</f>
        <v>0</v>
      </c>
      <c r="FT36" s="1" t="n">
        <f aca="false">FP36*Slot16_SpendLike*MIN(Slot16_Cost-FS36,FL36)</f>
        <v>0</v>
      </c>
      <c r="FU36" s="1" t="n">
        <f aca="false">FS36+FT36</f>
        <v>0</v>
      </c>
      <c r="FV36" s="1" t="n">
        <f aca="false">FL36-FT36+FP36*IF(Slot16_SpendLike=1,FR36-FS36,IF(Slot16_PotFree=1,FR36,0))</f>
        <v>0</v>
      </c>
      <c r="FW36" s="1" t="n">
        <f aca="false">FM36+FP36*Slot16_BufPot*FR36</f>
        <v>0</v>
      </c>
      <c r="FX36" s="1" t="n">
        <f aca="false">IF(AND(FP36=1,Slot16_IsMfree=1),IF(FU36&gt;=Slot16_Cost-1,0,MAX(0,FN36-FU36)),FN36)</f>
        <v>0</v>
      </c>
      <c r="FY36" s="1" t="n">
        <f aca="false">FP36*(Slot16_Cost-FU36)</f>
        <v>0</v>
      </c>
      <c r="FZ36" s="1" t="n">
        <f aca="false">IF(AND(Slot17_On=1,D36=Slot17_Age),1,0)</f>
        <v>0</v>
      </c>
      <c r="GA36" s="1" t="n">
        <f aca="false">IF(AND(Slot17_On=1,Slot17_Age&gt;D36),1,0)</f>
        <v>0</v>
      </c>
      <c r="GB36" s="1" t="n">
        <f aca="false">SX35</f>
        <v>0</v>
      </c>
      <c r="GC36" s="1" t="n">
        <f aca="false">FZ36*MIN(Slot17_Cost,GB36)</f>
        <v>0</v>
      </c>
      <c r="GD36" s="1" t="n">
        <f aca="false">FZ36*Slot17_SpendLike*MIN(Slot17_Cost-GC36,FV36)</f>
        <v>0</v>
      </c>
      <c r="GE36" s="1" t="n">
        <f aca="false">GC36+GD36</f>
        <v>0</v>
      </c>
      <c r="GF36" s="1" t="n">
        <f aca="false">FV36-GD36+FZ36*IF(Slot17_SpendLike=1,GB36-GC36,IF(Slot17_PotFree=1,GB36,0))</f>
        <v>0</v>
      </c>
      <c r="GG36" s="1" t="n">
        <f aca="false">FW36+FZ36*Slot17_BufPot*GB36</f>
        <v>0</v>
      </c>
      <c r="GH36" s="1" t="n">
        <f aca="false">IF(AND(FZ36=1,Slot17_IsMfree=1),IF(GE36&gt;=Slot17_Cost-1,0,MAX(0,FX36-GE36)),FX36)</f>
        <v>0</v>
      </c>
      <c r="GI36" s="1" t="n">
        <f aca="false">FZ36*(Slot17_Cost-GE36)</f>
        <v>0</v>
      </c>
      <c r="GJ36" s="1" t="n">
        <f aca="false">IF(AND(Slot18_On=1,D36=Slot18_Age),1,0)</f>
        <v>0</v>
      </c>
      <c r="GK36" s="1" t="n">
        <f aca="false">IF(AND(Slot18_On=1,Slot18_Age&gt;D36),1,0)</f>
        <v>0</v>
      </c>
      <c r="GL36" s="1" t="n">
        <f aca="false">TB35</f>
        <v>0</v>
      </c>
      <c r="GM36" s="1" t="n">
        <f aca="false">GJ36*MIN(Slot18_Cost,GL36)</f>
        <v>0</v>
      </c>
      <c r="GN36" s="1" t="n">
        <f aca="false">GJ36*Slot18_SpendLike*MIN(Slot18_Cost-GM36,GF36)</f>
        <v>0</v>
      </c>
      <c r="GO36" s="1" t="n">
        <f aca="false">GM36+GN36</f>
        <v>0</v>
      </c>
      <c r="GP36" s="1" t="n">
        <f aca="false">GF36-GN36+GJ36*IF(Slot18_SpendLike=1,GL36-GM36,IF(Slot18_PotFree=1,GL36,0))</f>
        <v>0</v>
      </c>
      <c r="GQ36" s="1" t="n">
        <f aca="false">GG36+GJ36*Slot18_BufPot*GL36</f>
        <v>0</v>
      </c>
      <c r="GR36" s="1" t="n">
        <f aca="false">IF(AND(GJ36=1,Slot18_IsMfree=1),IF(GO36&gt;=Slot18_Cost-1,0,MAX(0,GH36-GO36)),GH36)</f>
        <v>0</v>
      </c>
      <c r="GS36" s="1" t="n">
        <f aca="false">GJ36*(Slot18_Cost-GO36)</f>
        <v>0</v>
      </c>
      <c r="GT36" s="1" t="n">
        <f aca="false">IF(AND(Slot19_On=1,D36=Slot19_Age),1,0)</f>
        <v>0</v>
      </c>
      <c r="GU36" s="1" t="n">
        <f aca="false">IF(AND(Slot19_On=1,Slot19_Age&gt;D36),1,0)</f>
        <v>0</v>
      </c>
      <c r="GV36" s="1" t="n">
        <f aca="false">TF35</f>
        <v>0</v>
      </c>
      <c r="GW36" s="1" t="n">
        <f aca="false">GT36*MIN(Slot19_Cost,GV36)</f>
        <v>0</v>
      </c>
      <c r="GX36" s="1" t="n">
        <f aca="false">GT36*Slot19_SpendLike*MIN(Slot19_Cost-GW36,GP36)</f>
        <v>0</v>
      </c>
      <c r="GY36" s="1" t="n">
        <f aca="false">GW36+GX36</f>
        <v>0</v>
      </c>
      <c r="GZ36" s="1" t="n">
        <f aca="false">GP36-GX36+GT36*IF(Slot19_SpendLike=1,GV36-GW36,IF(Slot19_PotFree=1,GV36,0))</f>
        <v>0</v>
      </c>
      <c r="HA36" s="1" t="n">
        <f aca="false">GQ36+GT36*Slot19_BufPot*GV36</f>
        <v>0</v>
      </c>
      <c r="HB36" s="1" t="n">
        <f aca="false">IF(AND(GT36=1,Slot19_IsMfree=1),IF(GY36&gt;=Slot19_Cost-1,0,MAX(0,GR36-GY36)),GR36)</f>
        <v>0</v>
      </c>
      <c r="HC36" s="1" t="n">
        <f aca="false">GT36*(Slot19_Cost-GY36)</f>
        <v>0</v>
      </c>
      <c r="HD36" s="1" t="n">
        <f aca="false">IF(AND(Slot20_On=1,D36=Slot20_Age),1,0)</f>
        <v>0</v>
      </c>
      <c r="HE36" s="1" t="n">
        <f aca="false">IF(AND(Slot20_On=1,Slot20_Age&gt;D36),1,0)</f>
        <v>0</v>
      </c>
      <c r="HF36" s="1" t="n">
        <f aca="false">TJ35</f>
        <v>0</v>
      </c>
      <c r="HG36" s="1" t="n">
        <f aca="false">HD36*MIN(Slot20_Cost,HF36)</f>
        <v>0</v>
      </c>
      <c r="HH36" s="1" t="n">
        <f aca="false">HD36*Slot20_SpendLike*MIN(Slot20_Cost-HG36,GZ36)</f>
        <v>0</v>
      </c>
      <c r="HI36" s="1" t="n">
        <f aca="false">HG36+HH36</f>
        <v>0</v>
      </c>
      <c r="HJ36" s="1" t="n">
        <f aca="false">GZ36-HH36+HD36*IF(Slot20_SpendLike=1,HF36-HG36,IF(Slot20_PotFree=1,HF36,0))</f>
        <v>0</v>
      </c>
      <c r="HK36" s="1" t="n">
        <f aca="false">HA36+HD36*Slot20_BufPot*HF36</f>
        <v>0</v>
      </c>
      <c r="HL36" s="1" t="n">
        <f aca="false">IF(AND(HD36=1,Slot20_IsMfree=1),IF(HI36&gt;=Slot20_Cost-1,0,MAX(0,HB36-HI36)),HB36)</f>
        <v>0</v>
      </c>
      <c r="HM36" s="1" t="n">
        <f aca="false">HD36*(Slot20_Cost-HI36)</f>
        <v>0</v>
      </c>
      <c r="HN36" s="1" t="n">
        <f aca="false">U36*Slot1_SpendLike*Z36+AF36*Slot2_SpendLike*AK36+AP36*Slot3_SpendLike*AU36+AZ36*Slot4_SpendLike*BE36+BJ36*Slot5_SpendLike*BO36+BT36*Slot6_SpendLike*BY36+CD36*Slot7_SpendLike*CI36+CN36*Slot8_SpendLike*CS36+CX36*Slot9_SpendLike*DC36+DH36*Slot10_SpendLike*DM36+DR36*Slot11_SpendLike*DW36+EB36*Slot12_SpendLike*EG36+EL36*Slot13_SpendLike*EQ36+EV36*Slot14_SpendLike*FA36+FF36*Slot15_SpendLike*FK36+FP36*Slot16_SpendLike*FU36+FZ36*Slot17_SpendLike*GE36+GJ36*Slot18_SpendLike*GO36+GT36*Slot19_SpendLike*GY36+HD36*Slot20_SpendLike*HI36</f>
        <v>0</v>
      </c>
      <c r="HO36" s="1" t="n">
        <f aca="false">AD36+AO36+AY36+BI36+BS36+CC36+CM36+CW36+DG36+DQ36+EA36+EK36+EU36+FE36+FO36+FY36+GI36+GS36+HC36+HM36</f>
        <v>0</v>
      </c>
      <c r="HP36" s="1" t="n">
        <f aca="false">U36*Slot1_Cost+AF36*Slot2_Cost+AP36*Slot3_Cost+AZ36*Slot4_Cost+BJ36*Slot5_Cost+BT36*Slot6_Cost+CD36*Slot7_Cost+CN36*Slot8_Cost+CX36*Slot9_Cost+DH36*Slot10_Cost+DR36*Slot11_Cost+EB36*Slot12_Cost+EL36*Slot13_Cost+EV36*Slot14_Cost+FF36*Slot15_Cost+FP36*Slot16_Cost+FZ36*Slot17_Cost+GJ36*Slot18_Cost+GT36*Slot19_Cost+HD36*Slot20_Cost</f>
        <v>0</v>
      </c>
      <c r="HQ36" s="1" t="n">
        <f aca="false">HL36</f>
        <v>0</v>
      </c>
      <c r="HR36" s="1" t="n">
        <f aca="false">G36-H36-R36</f>
        <v>0</v>
      </c>
      <c r="HS36" s="1" t="n">
        <f aca="false">IF(B36=0,IF(AND(Has_q6=1,In_q6=4),PR_ShareVaries*(MAX(0,HR36)/12),MIN(IF(Has_q6=1,CHOOSE(In_q6+1,PR_SaveB1,PR_SaveB2,PR_SaveB3,PR_SaveB4,0),AS_NoAnswer),AS_SaveShare*(MAX(0,HR36)/12))),HS35)</f>
        <v>0</v>
      </c>
      <c r="HT36" s="1" t="n">
        <f aca="false">IF(HR36&gt;=0,1,0)</f>
        <v>1</v>
      </c>
      <c r="HU36" s="1" t="n">
        <f aca="false">MAX(0,HR36/12/E36)</f>
        <v>0</v>
      </c>
      <c r="HV36" s="1" t="n">
        <f aca="false">IF(AND(Has_q6=1,In_q6=4),PR_ShareVaries*(HU36),MIN(IF(Has_q6=1,CHOOSE(In_q6+1,PR_SaveB1,PR_SaveB2,PR_SaveB3,PR_SaveB4,0),AS_NoAnswer),AS_SaveShare*(HU36)))</f>
        <v>0</v>
      </c>
      <c r="HW36" s="1" t="n">
        <f aca="false">IF(Has_saveM=1,IF(In_saveUp="Yes",1,IF(In_saveUp="No",0,IF(In_saveM&gt;=HS36-0.5,1,0))),0)</f>
        <v>0</v>
      </c>
      <c r="HX36" s="1" t="n">
        <f aca="false">IF(Has_saveM=1,MIN(HU36,IF(HW36=1,MAX(In_saveM,HV36),MIN(In_saveM,HV36))),HV36)</f>
        <v>0</v>
      </c>
      <c r="HY36" s="1" t="n">
        <f aca="false">IF(F36=1,HX36*12*E36,0)</f>
        <v>0</v>
      </c>
      <c r="HZ36" s="1" t="n">
        <f aca="false">MAX(0,HY36+IF(AND(WI_Retire=0,WI_M&lt;0,F36=1),WI_M*12*E36,0))</f>
        <v>0</v>
      </c>
      <c r="IA36" s="1" t="n">
        <f aca="false">Slot1_IsWG*V36+Slot2_IsWG*AG36+Slot3_IsWG*AQ36+Slot4_IsWG*BA36+Slot5_IsWG*BK36+Slot6_IsWG*BU36+Slot7_IsWG*CE36+Slot8_IsWG*CO36+Slot9_IsWG*CY36+Slot10_IsWG*DI36+Slot11_IsWG*DS36+Slot12_IsWG*EC36+Slot13_IsWG*EM36+Slot14_IsWG*EW36+Slot15_IsWG*FG36+Slot16_IsWG*FQ36+Slot17_IsWG*GA36+Slot18_IsWG*GK36+Slot19_IsWG*GU36+Slot20_IsWG*HE36</f>
        <v>0</v>
      </c>
      <c r="IB36" s="1" t="n">
        <f aca="false">IF(AND(WI_Retire=0,WI_M&gt;0,F36=1,IA36&gt;=1),WI_M*12*E36,0)</f>
        <v>0</v>
      </c>
      <c r="IC36" s="1" t="n">
        <f aca="false">IF(HT36=1,MIN(HZ36,HR36),0)</f>
        <v>0</v>
      </c>
      <c r="ID36" s="1" t="n">
        <f aca="false">IF(HT36=1,MIN(IB36,HR36-IC36),0)</f>
        <v>0</v>
      </c>
      <c r="IE36" s="1" t="n">
        <f aca="false">IF(V36=1,IF(ABS((1+AS_Wage)/(1+Slot1_Rate)-1)&lt;0.000000000001,(Slot1_Age-D36)*(1+Slot1_Rate)^(Slot1_Age-D36),(1+Slot1_Rate)^(Slot1_Age-D36)*(1-((1+AS_Wage)/(1+Slot1_Rate))^(Slot1_Age-D36))/(1-(1+AS_Wage)/(1+Slot1_Rate))),1)</f>
        <v>1</v>
      </c>
      <c r="IF36" s="1" t="n">
        <f aca="false">IF(AND(HT36=1,ID36&gt;0,Slot1_IsWG=1,V36=1),MAX(0,(Slot1_Cost-W36*(1+Slot1_Rate)^(Slot1_Age-D36))/IE36),0)</f>
        <v>0</v>
      </c>
      <c r="IG36" s="1" t="n">
        <f aca="false">IF(AND(HT36=1,ID36&gt;0,Slot1_IsWG=1,V36=1),MIN(ID36,IF36),0)</f>
        <v>0</v>
      </c>
      <c r="IH36" s="1" t="n">
        <f aca="false">W36+IG36</f>
        <v>0</v>
      </c>
      <c r="II36" s="1" t="n">
        <f aca="false">IF(V36=1,MAX(0,(Slot1_Cost-IH36*(1+Slot1_Rate)^(Slot1_Age-D36))/IE36),0)</f>
        <v>0</v>
      </c>
      <c r="IJ36" s="1" t="n">
        <f aca="false">IF(V36=1,MAX(0,(Slot1_Cost-W36*(1+Slot1_Rate)^(Slot1_Age-D36))/IE36),0)</f>
        <v>0</v>
      </c>
      <c r="IK36" s="1" t="n">
        <f aca="false">IF(AND(HT36=1,V36=1),MIN(IC36,II36),0)</f>
        <v>0</v>
      </c>
      <c r="IL36" s="1" t="n">
        <f aca="false">IC36-IK36</f>
        <v>0</v>
      </c>
      <c r="IM36" s="1" t="n">
        <f aca="false">IF(AG36=1,IF(ABS((1+AS_Wage)/(1+Slot2_Rate)-1)&lt;0.000000000001,(Slot2_Age-D36)*(1+Slot2_Rate)^(Slot2_Age-D36),(1+Slot2_Rate)^(Slot2_Age-D36)*(1-((1+AS_Wage)/(1+Slot2_Rate))^(Slot2_Age-D36))/(1-(1+AS_Wage)/(1+Slot2_Rate))),1)</f>
        <v>1</v>
      </c>
      <c r="IN36" s="1" t="n">
        <f aca="false">IF(AND(HT36=1,ID36&gt;0,Slot2_IsWG=1,AG36=1),MAX(0,(Slot2_Cost-AH36*(1+Slot2_Rate)^(Slot2_Age-D36))/IM36),0)</f>
        <v>0</v>
      </c>
      <c r="IO36" s="1" t="n">
        <f aca="false">IF(AND(HT36=1,ID36&gt;0,Slot2_IsWG=1,AG36=1),MIN(ID36,IN36),0)</f>
        <v>0</v>
      </c>
      <c r="IP36" s="1" t="n">
        <f aca="false">AH36+IO36</f>
        <v>0</v>
      </c>
      <c r="IQ36" s="1" t="n">
        <f aca="false">IF(AG36=1,MAX(0,(Slot2_Cost-IP36*(1+Slot2_Rate)^(Slot2_Age-D36))/IM36),0)</f>
        <v>0</v>
      </c>
      <c r="IR36" s="1" t="n">
        <f aca="false">IF(AG36=1,MAX(0,(Slot2_Cost-AH36*(1+Slot2_Rate)^(Slot2_Age-D36))/IM36),0)</f>
        <v>0</v>
      </c>
      <c r="IS36" s="1" t="n">
        <f aca="false">IF(AND(HT36=1,AG36=1),MIN(IL36,IQ36),0)</f>
        <v>0</v>
      </c>
      <c r="IT36" s="1" t="n">
        <f aca="false">IL36-IS36</f>
        <v>0</v>
      </c>
      <c r="IU36" s="1" t="n">
        <f aca="false">IF(AQ36=1,IF(ABS((1+AS_Wage)/(1+Slot3_Rate)-1)&lt;0.000000000001,(Slot3_Age-D36)*(1+Slot3_Rate)^(Slot3_Age-D36),(1+Slot3_Rate)^(Slot3_Age-D36)*(1-((1+AS_Wage)/(1+Slot3_Rate))^(Slot3_Age-D36))/(1-(1+AS_Wage)/(1+Slot3_Rate))),1)</f>
        <v>1</v>
      </c>
      <c r="IV36" s="1" t="n">
        <f aca="false">IF(AND(HT36=1,ID36&gt;0,Slot3_IsWG=1,AQ36=1),MAX(0,(Slot3_Cost-AR36*(1+Slot3_Rate)^(Slot3_Age-D36))/IU36),0)</f>
        <v>0</v>
      </c>
      <c r="IW36" s="1" t="n">
        <f aca="false">IF(AND(HT36=1,ID36&gt;0,Slot3_IsWG=1,AQ36=1),MIN(ID36,IV36),0)</f>
        <v>0</v>
      </c>
      <c r="IX36" s="1" t="n">
        <f aca="false">AR36+IW36</f>
        <v>0</v>
      </c>
      <c r="IY36" s="1" t="n">
        <f aca="false">IF(AQ36=1,MAX(0,(Slot3_Cost-IX36*(1+Slot3_Rate)^(Slot3_Age-D36))/IU36),0)</f>
        <v>0</v>
      </c>
      <c r="IZ36" s="1" t="n">
        <f aca="false">IF(AQ36=1,MAX(0,(Slot3_Cost-AR36*(1+Slot3_Rate)^(Slot3_Age-D36))/IU36),0)</f>
        <v>0</v>
      </c>
      <c r="JA36" s="1" t="n">
        <f aca="false">IF(AND(HT36=1,AQ36=1),MIN(IT36,IY36),0)</f>
        <v>0</v>
      </c>
      <c r="JB36" s="1" t="n">
        <f aca="false">IT36-JA36</f>
        <v>0</v>
      </c>
      <c r="JC36" s="1" t="n">
        <f aca="false">IF(BA36=1,IF(ABS((1+AS_Wage)/(1+Slot4_Rate)-1)&lt;0.000000000001,(Slot4_Age-D36)*(1+Slot4_Rate)^(Slot4_Age-D36),(1+Slot4_Rate)^(Slot4_Age-D36)*(1-((1+AS_Wage)/(1+Slot4_Rate))^(Slot4_Age-D36))/(1-(1+AS_Wage)/(1+Slot4_Rate))),1)</f>
        <v>1</v>
      </c>
      <c r="JD36" s="1" t="n">
        <f aca="false">IF(AND(HT36=1,ID36&gt;0,Slot4_IsWG=1,BA36=1),MAX(0,(Slot4_Cost-BB36*(1+Slot4_Rate)^(Slot4_Age-D36))/JC36),0)</f>
        <v>0</v>
      </c>
      <c r="JE36" s="1" t="n">
        <f aca="false">IF(AND(HT36=1,ID36&gt;0,Slot4_IsWG=1,BA36=1),MIN(ID36,JD36),0)</f>
        <v>0</v>
      </c>
      <c r="JF36" s="1" t="n">
        <f aca="false">BB36+JE36</f>
        <v>0</v>
      </c>
      <c r="JG36" s="1" t="n">
        <f aca="false">IF(BA36=1,MAX(0,(Slot4_Cost-JF36*(1+Slot4_Rate)^(Slot4_Age-D36))/JC36),0)</f>
        <v>0</v>
      </c>
      <c r="JH36" s="1" t="n">
        <f aca="false">IF(BA36=1,MAX(0,(Slot4_Cost-BB36*(1+Slot4_Rate)^(Slot4_Age-D36))/JC36),0)</f>
        <v>0</v>
      </c>
      <c r="JI36" s="1" t="n">
        <f aca="false">IF(AND(HT36=1,BA36=1),MIN(JB36,JG36),0)</f>
        <v>0</v>
      </c>
      <c r="JJ36" s="1" t="n">
        <f aca="false">JB36-JI36</f>
        <v>0</v>
      </c>
      <c r="JK36" s="1" t="n">
        <f aca="false">IF(BK36=1,IF(ABS((1+AS_Wage)/(1+Slot5_Rate)-1)&lt;0.000000000001,(Slot5_Age-D36)*(1+Slot5_Rate)^(Slot5_Age-D36),(1+Slot5_Rate)^(Slot5_Age-D36)*(1-((1+AS_Wage)/(1+Slot5_Rate))^(Slot5_Age-D36))/(1-(1+AS_Wage)/(1+Slot5_Rate))),1)</f>
        <v>1</v>
      </c>
      <c r="JL36" s="1" t="n">
        <f aca="false">IF(AND(HT36=1,ID36&gt;0,Slot5_IsWG=1,BK36=1),MAX(0,(Slot5_Cost-BL36*(1+Slot5_Rate)^(Slot5_Age-D36))/JK36),0)</f>
        <v>0</v>
      </c>
      <c r="JM36" s="1" t="n">
        <f aca="false">IF(AND(HT36=1,ID36&gt;0,Slot5_IsWG=1,BK36=1),MIN(ID36,JL36),0)</f>
        <v>0</v>
      </c>
      <c r="JN36" s="1" t="n">
        <f aca="false">BL36+JM36</f>
        <v>0</v>
      </c>
      <c r="JO36" s="1" t="n">
        <f aca="false">IF(BK36=1,MAX(0,(Slot5_Cost-JN36*(1+Slot5_Rate)^(Slot5_Age-D36))/JK36),0)</f>
        <v>0</v>
      </c>
      <c r="JP36" s="1" t="n">
        <f aca="false">IF(BK36=1,MAX(0,(Slot5_Cost-BL36*(1+Slot5_Rate)^(Slot5_Age-D36))/JK36),0)</f>
        <v>0</v>
      </c>
      <c r="JQ36" s="1" t="n">
        <f aca="false">IF(AND(HT36=1,BK36=1),MIN(JJ36,JO36),0)</f>
        <v>0</v>
      </c>
      <c r="JR36" s="1" t="n">
        <f aca="false">JJ36-JQ36</f>
        <v>0</v>
      </c>
      <c r="JS36" s="1" t="n">
        <f aca="false">IF(BU36=1,IF(ABS((1+AS_Wage)/(1+Slot6_Rate)-1)&lt;0.000000000001,(Slot6_Age-D36)*(1+Slot6_Rate)^(Slot6_Age-D36),(1+Slot6_Rate)^(Slot6_Age-D36)*(1-((1+AS_Wage)/(1+Slot6_Rate))^(Slot6_Age-D36))/(1-(1+AS_Wage)/(1+Slot6_Rate))),1)</f>
        <v>1</v>
      </c>
      <c r="JT36" s="1" t="n">
        <f aca="false">IF(AND(HT36=1,ID36&gt;0,Slot6_IsWG=1,BU36=1),MAX(0,(Slot6_Cost-BV36*(1+Slot6_Rate)^(Slot6_Age-D36))/JS36),0)</f>
        <v>0</v>
      </c>
      <c r="JU36" s="1" t="n">
        <f aca="false">IF(AND(HT36=1,ID36&gt;0,Slot6_IsWG=1,BU36=1),MIN(ID36,JT36),0)</f>
        <v>0</v>
      </c>
      <c r="JV36" s="1" t="n">
        <f aca="false">BV36+JU36</f>
        <v>0</v>
      </c>
      <c r="JW36" s="1" t="n">
        <f aca="false">IF(BU36=1,MAX(0,(Slot6_Cost-JV36*(1+Slot6_Rate)^(Slot6_Age-D36))/JS36),0)</f>
        <v>0</v>
      </c>
      <c r="JX36" s="1" t="n">
        <f aca="false">IF(BU36=1,MAX(0,(Slot6_Cost-BV36*(1+Slot6_Rate)^(Slot6_Age-D36))/JS36),0)</f>
        <v>0</v>
      </c>
      <c r="JY36" s="1" t="n">
        <f aca="false">IF(AND(HT36=1,BU36=1),MIN(JR36,JW36),0)</f>
        <v>0</v>
      </c>
      <c r="JZ36" s="1" t="n">
        <f aca="false">JR36-JY36</f>
        <v>0</v>
      </c>
      <c r="KA36" s="1" t="n">
        <f aca="false">IF(CE36=1,IF(ABS((1+AS_Wage)/(1+Slot7_Rate)-1)&lt;0.000000000001,(Slot7_Age-D36)*(1+Slot7_Rate)^(Slot7_Age-D36),(1+Slot7_Rate)^(Slot7_Age-D36)*(1-((1+AS_Wage)/(1+Slot7_Rate))^(Slot7_Age-D36))/(1-(1+AS_Wage)/(1+Slot7_Rate))),1)</f>
        <v>1</v>
      </c>
      <c r="KB36" s="1" t="n">
        <f aca="false">IF(AND(HT36=1,ID36&gt;0,Slot7_IsWG=1,CE36=1),MAX(0,(Slot7_Cost-CF36*(1+Slot7_Rate)^(Slot7_Age-D36))/KA36),0)</f>
        <v>0</v>
      </c>
      <c r="KC36" s="1" t="n">
        <f aca="false">IF(AND(HT36=1,ID36&gt;0,Slot7_IsWG=1,CE36=1),MIN(ID36,KB36),0)</f>
        <v>0</v>
      </c>
      <c r="KD36" s="1" t="n">
        <f aca="false">CF36+KC36</f>
        <v>0</v>
      </c>
      <c r="KE36" s="1" t="n">
        <f aca="false">IF(CE36=1,MAX(0,(Slot7_Cost-KD36*(1+Slot7_Rate)^(Slot7_Age-D36))/KA36),0)</f>
        <v>0</v>
      </c>
      <c r="KF36" s="1" t="n">
        <f aca="false">IF(CE36=1,MAX(0,(Slot7_Cost-CF36*(1+Slot7_Rate)^(Slot7_Age-D36))/KA36),0)</f>
        <v>0</v>
      </c>
      <c r="KG36" s="1" t="n">
        <f aca="false">IF(AND(HT36=1,CE36=1),MIN(JZ36,KE36),0)</f>
        <v>0</v>
      </c>
      <c r="KH36" s="1" t="n">
        <f aca="false">JZ36-KG36</f>
        <v>0</v>
      </c>
      <c r="KI36" s="1" t="n">
        <f aca="false">IF(CO36=1,IF(ABS((1+AS_Wage)/(1+Slot8_Rate)-1)&lt;0.000000000001,(Slot8_Age-D36)*(1+Slot8_Rate)^(Slot8_Age-D36),(1+Slot8_Rate)^(Slot8_Age-D36)*(1-((1+AS_Wage)/(1+Slot8_Rate))^(Slot8_Age-D36))/(1-(1+AS_Wage)/(1+Slot8_Rate))),1)</f>
        <v>1</v>
      </c>
      <c r="KJ36" s="1" t="n">
        <f aca="false">IF(AND(HT36=1,ID36&gt;0,Slot8_IsWG=1,CO36=1),MAX(0,(Slot8_Cost-CP36*(1+Slot8_Rate)^(Slot8_Age-D36))/KI36),0)</f>
        <v>0</v>
      </c>
      <c r="KK36" s="1" t="n">
        <f aca="false">IF(AND(HT36=1,ID36&gt;0,Slot8_IsWG=1,CO36=1),MIN(ID36,KJ36),0)</f>
        <v>0</v>
      </c>
      <c r="KL36" s="1" t="n">
        <f aca="false">CP36+KK36</f>
        <v>0</v>
      </c>
      <c r="KM36" s="1" t="n">
        <f aca="false">IF(CO36=1,MAX(0,(Slot8_Cost-KL36*(1+Slot8_Rate)^(Slot8_Age-D36))/KI36),0)</f>
        <v>0</v>
      </c>
      <c r="KN36" s="1" t="n">
        <f aca="false">IF(CO36=1,MAX(0,(Slot8_Cost-CP36*(1+Slot8_Rate)^(Slot8_Age-D36))/KI36),0)</f>
        <v>0</v>
      </c>
      <c r="KO36" s="1" t="n">
        <f aca="false">IF(AND(HT36=1,CO36=1),MIN(KH36,KM36),0)</f>
        <v>0</v>
      </c>
      <c r="KP36" s="1" t="n">
        <f aca="false">KH36-KO36</f>
        <v>0</v>
      </c>
      <c r="KQ36" s="1" t="n">
        <f aca="false">IF(CY36=1,IF(ABS((1+AS_Wage)/(1+Slot9_Rate)-1)&lt;0.000000000001,(Slot9_Age-D36)*(1+Slot9_Rate)^(Slot9_Age-D36),(1+Slot9_Rate)^(Slot9_Age-D36)*(1-((1+AS_Wage)/(1+Slot9_Rate))^(Slot9_Age-D36))/(1-(1+AS_Wage)/(1+Slot9_Rate))),1)</f>
        <v>1</v>
      </c>
      <c r="KR36" s="1" t="n">
        <f aca="false">IF(AND(HT36=1,ID36&gt;0,Slot9_IsWG=1,CY36=1),MAX(0,(Slot9_Cost-CZ36*(1+Slot9_Rate)^(Slot9_Age-D36))/KQ36),0)</f>
        <v>0</v>
      </c>
      <c r="KS36" s="1" t="n">
        <f aca="false">IF(AND(HT36=1,ID36&gt;0,Slot9_IsWG=1,CY36=1),MIN(ID36,KR36),0)</f>
        <v>0</v>
      </c>
      <c r="KT36" s="1" t="n">
        <f aca="false">CZ36+KS36</f>
        <v>0</v>
      </c>
      <c r="KU36" s="1" t="n">
        <f aca="false">IF(CY36=1,MAX(0,(Slot9_Cost-KT36*(1+Slot9_Rate)^(Slot9_Age-D36))/KQ36),0)</f>
        <v>0</v>
      </c>
      <c r="KV36" s="1" t="n">
        <f aca="false">IF(CY36=1,MAX(0,(Slot9_Cost-CZ36*(1+Slot9_Rate)^(Slot9_Age-D36))/KQ36),0)</f>
        <v>0</v>
      </c>
      <c r="KW36" s="1" t="n">
        <f aca="false">IF(AND(HT36=1,CY36=1),MIN(KP36,KU36),0)</f>
        <v>0</v>
      </c>
      <c r="KX36" s="1" t="n">
        <f aca="false">KP36-KW36</f>
        <v>0</v>
      </c>
      <c r="KY36" s="1" t="n">
        <f aca="false">IF(DI36=1,IF(ABS((1+AS_Wage)/(1+Slot10_Rate)-1)&lt;0.000000000001,(Slot10_Age-D36)*(1+Slot10_Rate)^(Slot10_Age-D36),(1+Slot10_Rate)^(Slot10_Age-D36)*(1-((1+AS_Wage)/(1+Slot10_Rate))^(Slot10_Age-D36))/(1-(1+AS_Wage)/(1+Slot10_Rate))),1)</f>
        <v>1</v>
      </c>
      <c r="KZ36" s="1" t="n">
        <f aca="false">IF(AND(HT36=1,ID36&gt;0,Slot10_IsWG=1,DI36=1),MAX(0,(Slot10_Cost-DJ36*(1+Slot10_Rate)^(Slot10_Age-D36))/KY36),0)</f>
        <v>0</v>
      </c>
      <c r="LA36" s="1" t="n">
        <f aca="false">IF(AND(HT36=1,ID36&gt;0,Slot10_IsWG=1,DI36=1),MIN(ID36,KZ36),0)</f>
        <v>0</v>
      </c>
      <c r="LB36" s="1" t="n">
        <f aca="false">DJ36+LA36</f>
        <v>0</v>
      </c>
      <c r="LC36" s="1" t="n">
        <f aca="false">IF(DI36=1,MAX(0,(Slot10_Cost-LB36*(1+Slot10_Rate)^(Slot10_Age-D36))/KY36),0)</f>
        <v>0</v>
      </c>
      <c r="LD36" s="1" t="n">
        <f aca="false">IF(DI36=1,MAX(0,(Slot10_Cost-DJ36*(1+Slot10_Rate)^(Slot10_Age-D36))/KY36),0)</f>
        <v>0</v>
      </c>
      <c r="LE36" s="1" t="n">
        <f aca="false">IF(AND(HT36=1,DI36=1),MIN(KX36,LC36),0)</f>
        <v>0</v>
      </c>
      <c r="LF36" s="1" t="n">
        <f aca="false">KX36-LE36</f>
        <v>0</v>
      </c>
      <c r="LG36" s="1" t="n">
        <f aca="false">IF(DS36=1,IF(ABS((1+AS_Wage)/(1+Slot11_Rate)-1)&lt;0.000000000001,(Slot11_Age-D36)*(1+Slot11_Rate)^(Slot11_Age-D36),(1+Slot11_Rate)^(Slot11_Age-D36)*(1-((1+AS_Wage)/(1+Slot11_Rate))^(Slot11_Age-D36))/(1-(1+AS_Wage)/(1+Slot11_Rate))),1)</f>
        <v>1</v>
      </c>
      <c r="LH36" s="1" t="n">
        <f aca="false">IF(AND(HT36=1,ID36&gt;0,Slot11_IsWG=1,DS36=1),MAX(0,(Slot11_Cost-DT36*(1+Slot11_Rate)^(Slot11_Age-D36))/LG36),0)</f>
        <v>0</v>
      </c>
      <c r="LI36" s="1" t="n">
        <f aca="false">IF(AND(HT36=1,ID36&gt;0,Slot11_IsWG=1,DS36=1),MIN(ID36,LH36),0)</f>
        <v>0</v>
      </c>
      <c r="LJ36" s="1" t="n">
        <f aca="false">DT36+LI36</f>
        <v>0</v>
      </c>
      <c r="LK36" s="1" t="n">
        <f aca="false">IF(DS36=1,MAX(0,(Slot11_Cost-LJ36*(1+Slot11_Rate)^(Slot11_Age-D36))/LG36),0)</f>
        <v>0</v>
      </c>
      <c r="LL36" s="1" t="n">
        <f aca="false">IF(DS36=1,MAX(0,(Slot11_Cost-DT36*(1+Slot11_Rate)^(Slot11_Age-D36))/LG36),0)</f>
        <v>0</v>
      </c>
      <c r="LM36" s="1" t="n">
        <f aca="false">IF(AND(HT36=1,DS36=1),MIN(LF36,LK36),0)</f>
        <v>0</v>
      </c>
      <c r="LN36" s="1" t="n">
        <f aca="false">LF36-LM36</f>
        <v>0</v>
      </c>
      <c r="LO36" s="1" t="n">
        <f aca="false">IF(EC36=1,IF(ABS((1+AS_Wage)/(1+Slot12_Rate)-1)&lt;0.000000000001,(Slot12_Age-D36)*(1+Slot12_Rate)^(Slot12_Age-D36),(1+Slot12_Rate)^(Slot12_Age-D36)*(1-((1+AS_Wage)/(1+Slot12_Rate))^(Slot12_Age-D36))/(1-(1+AS_Wage)/(1+Slot12_Rate))),1)</f>
        <v>1</v>
      </c>
      <c r="LP36" s="1" t="n">
        <f aca="false">IF(AND(HT36=1,ID36&gt;0,Slot12_IsWG=1,EC36=1),MAX(0,(Slot12_Cost-ED36*(1+Slot12_Rate)^(Slot12_Age-D36))/LO36),0)</f>
        <v>0</v>
      </c>
      <c r="LQ36" s="1" t="n">
        <f aca="false">IF(AND(HT36=1,ID36&gt;0,Slot12_IsWG=1,EC36=1),MIN(ID36,LP36),0)</f>
        <v>0</v>
      </c>
      <c r="LR36" s="1" t="n">
        <f aca="false">ED36+LQ36</f>
        <v>0</v>
      </c>
      <c r="LS36" s="1" t="n">
        <f aca="false">IF(EC36=1,MAX(0,(Slot12_Cost-LR36*(1+Slot12_Rate)^(Slot12_Age-D36))/LO36),0)</f>
        <v>0</v>
      </c>
      <c r="LT36" s="1" t="n">
        <f aca="false">IF(EC36=1,MAX(0,(Slot12_Cost-ED36*(1+Slot12_Rate)^(Slot12_Age-D36))/LO36),0)</f>
        <v>0</v>
      </c>
      <c r="LU36" s="1" t="n">
        <f aca="false">IF(AND(HT36=1,EC36=1),MIN(LN36,LS36),0)</f>
        <v>0</v>
      </c>
      <c r="LV36" s="1" t="n">
        <f aca="false">LN36-LU36</f>
        <v>0</v>
      </c>
      <c r="LW36" s="1" t="n">
        <f aca="false">IF(EM36=1,IF(ABS((1+AS_Wage)/(1+Slot13_Rate)-1)&lt;0.000000000001,(Slot13_Age-D36)*(1+Slot13_Rate)^(Slot13_Age-D36),(1+Slot13_Rate)^(Slot13_Age-D36)*(1-((1+AS_Wage)/(1+Slot13_Rate))^(Slot13_Age-D36))/(1-(1+AS_Wage)/(1+Slot13_Rate))),1)</f>
        <v>1</v>
      </c>
      <c r="LX36" s="1" t="n">
        <f aca="false">IF(AND(HT36=1,ID36&gt;0,Slot13_IsWG=1,EM36=1),MAX(0,(Slot13_Cost-EN36*(1+Slot13_Rate)^(Slot13_Age-D36))/LW36),0)</f>
        <v>0</v>
      </c>
      <c r="LY36" s="1" t="n">
        <f aca="false">IF(AND(HT36=1,ID36&gt;0,Slot13_IsWG=1,EM36=1),MIN(ID36,LX36),0)</f>
        <v>0</v>
      </c>
      <c r="LZ36" s="1" t="n">
        <f aca="false">EN36+LY36</f>
        <v>0</v>
      </c>
      <c r="MA36" s="1" t="n">
        <f aca="false">IF(EM36=1,MAX(0,(Slot13_Cost-LZ36*(1+Slot13_Rate)^(Slot13_Age-D36))/LW36),0)</f>
        <v>0</v>
      </c>
      <c r="MB36" s="1" t="n">
        <f aca="false">IF(EM36=1,MAX(0,(Slot13_Cost-EN36*(1+Slot13_Rate)^(Slot13_Age-D36))/LW36),0)</f>
        <v>0</v>
      </c>
      <c r="MC36" s="1" t="n">
        <f aca="false">IF(AND(HT36=1,EM36=1),MIN(LV36,MA36),0)</f>
        <v>0</v>
      </c>
      <c r="MD36" s="1" t="n">
        <f aca="false">LV36-MC36</f>
        <v>0</v>
      </c>
      <c r="ME36" s="1" t="n">
        <f aca="false">IF(EW36=1,IF(ABS((1+AS_Wage)/(1+Slot14_Rate)-1)&lt;0.000000000001,(Slot14_Age-D36)*(1+Slot14_Rate)^(Slot14_Age-D36),(1+Slot14_Rate)^(Slot14_Age-D36)*(1-((1+AS_Wage)/(1+Slot14_Rate))^(Slot14_Age-D36))/(1-(1+AS_Wage)/(1+Slot14_Rate))),1)</f>
        <v>1</v>
      </c>
      <c r="MF36" s="1" t="n">
        <f aca="false">IF(AND(HT36=1,ID36&gt;0,Slot14_IsWG=1,EW36=1),MAX(0,(Slot14_Cost-EX36*(1+Slot14_Rate)^(Slot14_Age-D36))/ME36),0)</f>
        <v>0</v>
      </c>
      <c r="MG36" s="1" t="n">
        <f aca="false">IF(AND(HT36=1,ID36&gt;0,Slot14_IsWG=1,EW36=1),MIN(ID36,MF36),0)</f>
        <v>0</v>
      </c>
      <c r="MH36" s="1" t="n">
        <f aca="false">EX36+MG36</f>
        <v>0</v>
      </c>
      <c r="MI36" s="1" t="n">
        <f aca="false">IF(EW36=1,MAX(0,(Slot14_Cost-MH36*(1+Slot14_Rate)^(Slot14_Age-D36))/ME36),0)</f>
        <v>0</v>
      </c>
      <c r="MJ36" s="1" t="n">
        <f aca="false">IF(EW36=1,MAX(0,(Slot14_Cost-EX36*(1+Slot14_Rate)^(Slot14_Age-D36))/ME36),0)</f>
        <v>0</v>
      </c>
      <c r="MK36" s="1" t="n">
        <f aca="false">IF(AND(HT36=1,EW36=1),MIN(MD36,MI36),0)</f>
        <v>0</v>
      </c>
      <c r="ML36" s="1" t="n">
        <f aca="false">MD36-MK36</f>
        <v>0</v>
      </c>
      <c r="MM36" s="1" t="n">
        <f aca="false">IF(FG36=1,IF(ABS((1+AS_Wage)/(1+Slot15_Rate)-1)&lt;0.000000000001,(Slot15_Age-D36)*(1+Slot15_Rate)^(Slot15_Age-D36),(1+Slot15_Rate)^(Slot15_Age-D36)*(1-((1+AS_Wage)/(1+Slot15_Rate))^(Slot15_Age-D36))/(1-(1+AS_Wage)/(1+Slot15_Rate))),1)</f>
        <v>1</v>
      </c>
      <c r="MN36" s="1" t="n">
        <f aca="false">IF(AND(HT36=1,ID36&gt;0,Slot15_IsWG=1,FG36=1),MAX(0,(Slot15_Cost-FH36*(1+Slot15_Rate)^(Slot15_Age-D36))/MM36),0)</f>
        <v>0</v>
      </c>
      <c r="MO36" s="1" t="n">
        <f aca="false">IF(AND(HT36=1,ID36&gt;0,Slot15_IsWG=1,FG36=1),MIN(ID36,MN36),0)</f>
        <v>0</v>
      </c>
      <c r="MP36" s="1" t="n">
        <f aca="false">FH36+MO36</f>
        <v>0</v>
      </c>
      <c r="MQ36" s="1" t="n">
        <f aca="false">IF(FG36=1,MAX(0,(Slot15_Cost-MP36*(1+Slot15_Rate)^(Slot15_Age-D36))/MM36),0)</f>
        <v>0</v>
      </c>
      <c r="MR36" s="1" t="n">
        <f aca="false">IF(FG36=1,MAX(0,(Slot15_Cost-FH36*(1+Slot15_Rate)^(Slot15_Age-D36))/MM36),0)</f>
        <v>0</v>
      </c>
      <c r="MS36" s="1" t="n">
        <f aca="false">IF(AND(HT36=1,FG36=1),MIN(ML36,MQ36),0)</f>
        <v>0</v>
      </c>
      <c r="MT36" s="1" t="n">
        <f aca="false">ML36-MS36</f>
        <v>0</v>
      </c>
      <c r="MU36" s="1" t="n">
        <f aca="false">IF(FQ36=1,IF(ABS((1+AS_Wage)/(1+Slot16_Rate)-1)&lt;0.000000000001,(Slot16_Age-D36)*(1+Slot16_Rate)^(Slot16_Age-D36),(1+Slot16_Rate)^(Slot16_Age-D36)*(1-((1+AS_Wage)/(1+Slot16_Rate))^(Slot16_Age-D36))/(1-(1+AS_Wage)/(1+Slot16_Rate))),1)</f>
        <v>1</v>
      </c>
      <c r="MV36" s="1" t="n">
        <f aca="false">IF(AND(HT36=1,ID36&gt;0,Slot16_IsWG=1,FQ36=1),MAX(0,(Slot16_Cost-FR36*(1+Slot16_Rate)^(Slot16_Age-D36))/MU36),0)</f>
        <v>0</v>
      </c>
      <c r="MW36" s="1" t="n">
        <f aca="false">IF(AND(HT36=1,ID36&gt;0,Slot16_IsWG=1,FQ36=1),MIN(ID36,MV36),0)</f>
        <v>0</v>
      </c>
      <c r="MX36" s="1" t="n">
        <f aca="false">FR36+MW36</f>
        <v>0</v>
      </c>
      <c r="MY36" s="1" t="n">
        <f aca="false">IF(FQ36=1,MAX(0,(Slot16_Cost-MX36*(1+Slot16_Rate)^(Slot16_Age-D36))/MU36),0)</f>
        <v>0</v>
      </c>
      <c r="MZ36" s="1" t="n">
        <f aca="false">IF(FQ36=1,MAX(0,(Slot16_Cost-FR36*(1+Slot16_Rate)^(Slot16_Age-D36))/MU36),0)</f>
        <v>0</v>
      </c>
      <c r="NA36" s="1" t="n">
        <f aca="false">IF(AND(HT36=1,FQ36=1),MIN(MT36,MY36),0)</f>
        <v>0</v>
      </c>
      <c r="NB36" s="1" t="n">
        <f aca="false">MT36-NA36</f>
        <v>0</v>
      </c>
      <c r="NC36" s="1" t="n">
        <f aca="false">IF(GA36=1,IF(ABS((1+AS_Wage)/(1+Slot17_Rate)-1)&lt;0.000000000001,(Slot17_Age-D36)*(1+Slot17_Rate)^(Slot17_Age-D36),(1+Slot17_Rate)^(Slot17_Age-D36)*(1-((1+AS_Wage)/(1+Slot17_Rate))^(Slot17_Age-D36))/(1-(1+AS_Wage)/(1+Slot17_Rate))),1)</f>
        <v>1</v>
      </c>
      <c r="ND36" s="1" t="n">
        <f aca="false">IF(AND(HT36=1,ID36&gt;0,Slot17_IsWG=1,GA36=1),MAX(0,(Slot17_Cost-GB36*(1+Slot17_Rate)^(Slot17_Age-D36))/NC36),0)</f>
        <v>0</v>
      </c>
      <c r="NE36" s="1" t="n">
        <f aca="false">IF(AND(HT36=1,ID36&gt;0,Slot17_IsWG=1,GA36=1),MIN(ID36,ND36),0)</f>
        <v>0</v>
      </c>
      <c r="NF36" s="1" t="n">
        <f aca="false">GB36+NE36</f>
        <v>0</v>
      </c>
      <c r="NG36" s="1" t="n">
        <f aca="false">IF(GA36=1,MAX(0,(Slot17_Cost-NF36*(1+Slot17_Rate)^(Slot17_Age-D36))/NC36),0)</f>
        <v>0</v>
      </c>
      <c r="NH36" s="1" t="n">
        <f aca="false">IF(GA36=1,MAX(0,(Slot17_Cost-GB36*(1+Slot17_Rate)^(Slot17_Age-D36))/NC36),0)</f>
        <v>0</v>
      </c>
      <c r="NI36" s="1" t="n">
        <f aca="false">IF(AND(HT36=1,GA36=1),MIN(NB36,NG36),0)</f>
        <v>0</v>
      </c>
      <c r="NJ36" s="1" t="n">
        <f aca="false">NB36-NI36</f>
        <v>0</v>
      </c>
      <c r="NK36" s="1" t="n">
        <f aca="false">IF(GK36=1,IF(ABS((1+AS_Wage)/(1+Slot18_Rate)-1)&lt;0.000000000001,(Slot18_Age-D36)*(1+Slot18_Rate)^(Slot18_Age-D36),(1+Slot18_Rate)^(Slot18_Age-D36)*(1-((1+AS_Wage)/(1+Slot18_Rate))^(Slot18_Age-D36))/(1-(1+AS_Wage)/(1+Slot18_Rate))),1)</f>
        <v>1</v>
      </c>
      <c r="NL36" s="1" t="n">
        <f aca="false">IF(AND(HT36=1,ID36&gt;0,Slot18_IsWG=1,GK36=1),MAX(0,(Slot18_Cost-GL36*(1+Slot18_Rate)^(Slot18_Age-D36))/NK36),0)</f>
        <v>0</v>
      </c>
      <c r="NM36" s="1" t="n">
        <f aca="false">IF(AND(HT36=1,ID36&gt;0,Slot18_IsWG=1,GK36=1),MIN(ID36,NL36),0)</f>
        <v>0</v>
      </c>
      <c r="NN36" s="1" t="n">
        <f aca="false">GL36+NM36</f>
        <v>0</v>
      </c>
      <c r="NO36" s="1" t="n">
        <f aca="false">IF(GK36=1,MAX(0,(Slot18_Cost-NN36*(1+Slot18_Rate)^(Slot18_Age-D36))/NK36),0)</f>
        <v>0</v>
      </c>
      <c r="NP36" s="1" t="n">
        <f aca="false">IF(GK36=1,MAX(0,(Slot18_Cost-GL36*(1+Slot18_Rate)^(Slot18_Age-D36))/NK36),0)</f>
        <v>0</v>
      </c>
      <c r="NQ36" s="1" t="n">
        <f aca="false">IF(AND(HT36=1,GK36=1),MIN(NJ36,NO36),0)</f>
        <v>0</v>
      </c>
      <c r="NR36" s="1" t="n">
        <f aca="false">NJ36-NQ36</f>
        <v>0</v>
      </c>
      <c r="NS36" s="1" t="n">
        <f aca="false">IF(GU36=1,IF(ABS((1+AS_Wage)/(1+Slot19_Rate)-1)&lt;0.000000000001,(Slot19_Age-D36)*(1+Slot19_Rate)^(Slot19_Age-D36),(1+Slot19_Rate)^(Slot19_Age-D36)*(1-((1+AS_Wage)/(1+Slot19_Rate))^(Slot19_Age-D36))/(1-(1+AS_Wage)/(1+Slot19_Rate))),1)</f>
        <v>1</v>
      </c>
      <c r="NT36" s="1" t="n">
        <f aca="false">IF(AND(HT36=1,ID36&gt;0,Slot19_IsWG=1,GU36=1),MAX(0,(Slot19_Cost-GV36*(1+Slot19_Rate)^(Slot19_Age-D36))/NS36),0)</f>
        <v>0</v>
      </c>
      <c r="NU36" s="1" t="n">
        <f aca="false">IF(AND(HT36=1,ID36&gt;0,Slot19_IsWG=1,GU36=1),MIN(ID36,NT36),0)</f>
        <v>0</v>
      </c>
      <c r="NV36" s="1" t="n">
        <f aca="false">GV36+NU36</f>
        <v>0</v>
      </c>
      <c r="NW36" s="1" t="n">
        <f aca="false">IF(GU36=1,MAX(0,(Slot19_Cost-NV36*(1+Slot19_Rate)^(Slot19_Age-D36))/NS36),0)</f>
        <v>0</v>
      </c>
      <c r="NX36" s="1" t="n">
        <f aca="false">IF(GU36=1,MAX(0,(Slot19_Cost-GV36*(1+Slot19_Rate)^(Slot19_Age-D36))/NS36),0)</f>
        <v>0</v>
      </c>
      <c r="NY36" s="1" t="n">
        <f aca="false">IF(AND(HT36=1,GU36=1),MIN(NR36,NW36),0)</f>
        <v>0</v>
      </c>
      <c r="NZ36" s="1" t="n">
        <f aca="false">NR36-NY36</f>
        <v>0</v>
      </c>
      <c r="OA36" s="1" t="n">
        <f aca="false">IF(HE36=1,IF(ABS((1+AS_Wage)/(1+Slot20_Rate)-1)&lt;0.000000000001,(Slot20_Age-D36)*(1+Slot20_Rate)^(Slot20_Age-D36),(1+Slot20_Rate)^(Slot20_Age-D36)*(1-((1+AS_Wage)/(1+Slot20_Rate))^(Slot20_Age-D36))/(1-(1+AS_Wage)/(1+Slot20_Rate))),1)</f>
        <v>1</v>
      </c>
      <c r="OB36" s="1" t="n">
        <f aca="false">IF(AND(HT36=1,ID36&gt;0,Slot20_IsWG=1,HE36=1),MAX(0,(Slot20_Cost-HF36*(1+Slot20_Rate)^(Slot20_Age-D36))/OA36),0)</f>
        <v>0</v>
      </c>
      <c r="OC36" s="1" t="n">
        <f aca="false">IF(AND(HT36=1,ID36&gt;0,Slot20_IsWG=1,HE36=1),MIN(ID36,OB36),0)</f>
        <v>0</v>
      </c>
      <c r="OD36" s="1" t="n">
        <f aca="false">HF36+OC36</f>
        <v>0</v>
      </c>
      <c r="OE36" s="1" t="n">
        <f aca="false">IF(HE36=1,MAX(0,(Slot20_Cost-OD36*(1+Slot20_Rate)^(Slot20_Age-D36))/OA36),0)</f>
        <v>0</v>
      </c>
      <c r="OF36" s="1" t="n">
        <f aca="false">IF(HE36=1,MAX(0,(Slot20_Cost-HF36*(1+Slot20_Rate)^(Slot20_Age-D36))/OA36),0)</f>
        <v>0</v>
      </c>
      <c r="OG36" s="1" t="n">
        <f aca="false">IF(AND(HT36=1,HE36=1),MIN(NZ36,OE36),0)</f>
        <v>0</v>
      </c>
      <c r="OH36" s="1" t="n">
        <f aca="false">NZ36-OG36</f>
        <v>0</v>
      </c>
      <c r="OI36" s="1" t="n">
        <f aca="false">ID36-(IG36+IO36+IW36+JE36+JM36+JU36+KC36+KK36+KS36+LA36+LI36+LQ36+LY36+MG36+MO36+MW36+NE36+NM36+NU36+OC36)</f>
        <v>0</v>
      </c>
      <c r="OJ36" s="1" t="n">
        <f aca="false">IF(HT36=1,HR36-IC36-ID36,0)</f>
        <v>0</v>
      </c>
      <c r="OK36" s="1" t="n">
        <f aca="false">IF(HT36=0,-HR36,0)</f>
        <v>0</v>
      </c>
      <c r="OL36" s="1" t="n">
        <f aca="false">MIN(OK36,HJ36)</f>
        <v>0</v>
      </c>
      <c r="OM36" s="1" t="n">
        <f aca="false">OK36-OL36</f>
        <v>0</v>
      </c>
      <c r="ON36" s="1" t="n">
        <f aca="false">MIN(OM36,HK36)</f>
        <v>0</v>
      </c>
      <c r="OO36" s="1" t="n">
        <f aca="false">OM36-ON36</f>
        <v>0</v>
      </c>
      <c r="OP36" s="1" t="n">
        <f aca="false">IF(AND(HT36=0,HE36=1,OO36&gt;0),MIN(OO36,HF36),0)</f>
        <v>0</v>
      </c>
      <c r="OQ36" s="1" t="n">
        <f aca="false">OO36-OP36</f>
        <v>0</v>
      </c>
      <c r="OR36" s="1" t="n">
        <f aca="false">IF(AND(HT36=0,GU36=1,OQ36&gt;0),MIN(OQ36,GV36),0)</f>
        <v>0</v>
      </c>
      <c r="OS36" s="1" t="n">
        <f aca="false">OQ36-OR36</f>
        <v>0</v>
      </c>
      <c r="OT36" s="1" t="n">
        <f aca="false">IF(AND(HT36=0,GK36=1,OS36&gt;0),MIN(OS36,GL36),0)</f>
        <v>0</v>
      </c>
      <c r="OU36" s="1" t="n">
        <f aca="false">OS36-OT36</f>
        <v>0</v>
      </c>
      <c r="OV36" s="1" t="n">
        <f aca="false">IF(AND(HT36=0,GA36=1,OU36&gt;0),MIN(OU36,GB36),0)</f>
        <v>0</v>
      </c>
      <c r="OW36" s="1" t="n">
        <f aca="false">OU36-OV36</f>
        <v>0</v>
      </c>
      <c r="OX36" s="1" t="n">
        <f aca="false">IF(AND(HT36=0,FQ36=1,OW36&gt;0),MIN(OW36,FR36),0)</f>
        <v>0</v>
      </c>
      <c r="OY36" s="1" t="n">
        <f aca="false">OW36-OX36</f>
        <v>0</v>
      </c>
      <c r="OZ36" s="1" t="n">
        <f aca="false">IF(AND(HT36=0,FG36=1,OY36&gt;0),MIN(OY36,FH36),0)</f>
        <v>0</v>
      </c>
      <c r="PA36" s="1" t="n">
        <f aca="false">OY36-OZ36</f>
        <v>0</v>
      </c>
      <c r="PB36" s="1" t="n">
        <f aca="false">IF(AND(HT36=0,EW36=1,PA36&gt;0),MIN(PA36,EX36),0)</f>
        <v>0</v>
      </c>
      <c r="PC36" s="1" t="n">
        <f aca="false">PA36-PB36</f>
        <v>0</v>
      </c>
      <c r="PD36" s="1" t="n">
        <f aca="false">IF(AND(HT36=0,EM36=1,PC36&gt;0),MIN(PC36,EN36),0)</f>
        <v>0</v>
      </c>
      <c r="PE36" s="1" t="n">
        <f aca="false">PC36-PD36</f>
        <v>0</v>
      </c>
      <c r="PF36" s="1" t="n">
        <f aca="false">IF(AND(HT36=0,EC36=1,PE36&gt;0),MIN(PE36,ED36),0)</f>
        <v>0</v>
      </c>
      <c r="PG36" s="1" t="n">
        <f aca="false">PE36-PF36</f>
        <v>0</v>
      </c>
      <c r="PH36" s="1" t="n">
        <f aca="false">IF(AND(HT36=0,DS36=1,PG36&gt;0),MIN(PG36,DT36),0)</f>
        <v>0</v>
      </c>
      <c r="PI36" s="1" t="n">
        <f aca="false">PG36-PH36</f>
        <v>0</v>
      </c>
      <c r="PJ36" s="1" t="n">
        <f aca="false">IF(AND(HT36=0,DI36=1,PI36&gt;0),MIN(PI36,DJ36),0)</f>
        <v>0</v>
      </c>
      <c r="PK36" s="1" t="n">
        <f aca="false">PI36-PJ36</f>
        <v>0</v>
      </c>
      <c r="PL36" s="1" t="n">
        <f aca="false">IF(AND(HT36=0,CY36=1,PK36&gt;0),MIN(PK36,CZ36),0)</f>
        <v>0</v>
      </c>
      <c r="PM36" s="1" t="n">
        <f aca="false">PK36-PL36</f>
        <v>0</v>
      </c>
      <c r="PN36" s="1" t="n">
        <f aca="false">IF(AND(HT36=0,CO36=1,PM36&gt;0),MIN(PM36,CP36),0)</f>
        <v>0</v>
      </c>
      <c r="PO36" s="1" t="n">
        <f aca="false">PM36-PN36</f>
        <v>0</v>
      </c>
      <c r="PP36" s="1" t="n">
        <f aca="false">IF(AND(HT36=0,CE36=1,PO36&gt;0),MIN(PO36,CF36),0)</f>
        <v>0</v>
      </c>
      <c r="PQ36" s="1" t="n">
        <f aca="false">PO36-PP36</f>
        <v>0</v>
      </c>
      <c r="PR36" s="1" t="n">
        <f aca="false">IF(AND(HT36=0,BU36=1,PQ36&gt;0),MIN(PQ36,BV36),0)</f>
        <v>0</v>
      </c>
      <c r="PS36" s="1" t="n">
        <f aca="false">PQ36-PR36</f>
        <v>0</v>
      </c>
      <c r="PT36" s="1" t="n">
        <f aca="false">IF(AND(HT36=0,BK36=1,PS36&gt;0),MIN(PS36,BL36),0)</f>
        <v>0</v>
      </c>
      <c r="PU36" s="1" t="n">
        <f aca="false">PS36-PT36</f>
        <v>0</v>
      </c>
      <c r="PV36" s="1" t="n">
        <f aca="false">IF(AND(HT36=0,BA36=1,PU36&gt;0),MIN(PU36,BB36),0)</f>
        <v>0</v>
      </c>
      <c r="PW36" s="1" t="n">
        <f aca="false">PU36-PV36</f>
        <v>0</v>
      </c>
      <c r="PX36" s="1" t="n">
        <f aca="false">IF(AND(HT36=0,AQ36=1,PW36&gt;0),MIN(PW36,AR36),0)</f>
        <v>0</v>
      </c>
      <c r="PY36" s="1" t="n">
        <f aca="false">PW36-PX36</f>
        <v>0</v>
      </c>
      <c r="PZ36" s="1" t="n">
        <f aca="false">IF(AND(HT36=0,AG36=1,PY36&gt;0),MIN(PY36,AH36),0)</f>
        <v>0</v>
      </c>
      <c r="QA36" s="1" t="n">
        <f aca="false">PY36-PZ36</f>
        <v>0</v>
      </c>
      <c r="QB36" s="1" t="n">
        <f aca="false">IF(AND(HT36=0,V36=1,QA36&gt;0),MIN(QA36,W36),0)</f>
        <v>0</v>
      </c>
      <c r="QC36" s="1" t="n">
        <f aca="false">QA36-QB36</f>
        <v>0</v>
      </c>
      <c r="QD36" s="1" t="n">
        <f aca="false">IF(HT36=0,QC36,0)</f>
        <v>0</v>
      </c>
      <c r="QE36" s="1" t="n">
        <f aca="false">OL36+ON36+QB36+PZ36+PX36+PV36+PT36+PR36+PP36+PN36+PL36+PJ36+PH36+PF36+PD36+PB36+OZ36+OX36+OV36+OT36+OR36+OP36</f>
        <v>0</v>
      </c>
      <c r="QF36" s="1" t="n">
        <f aca="false">IF(HT36=1,HJ36+OI36+OH36+IF(F36=1,0,OJ36),HJ36-OL36)</f>
        <v>0</v>
      </c>
      <c r="QG36" s="1" t="n">
        <f aca="false">HK36-ON36</f>
        <v>0</v>
      </c>
      <c r="QH36" s="1" t="n">
        <f aca="false">IF(HT36=1,IF(F36=1,IC36+ID36,HR36),0)</f>
        <v>0</v>
      </c>
      <c r="QI36" s="1" t="n">
        <f aca="false">IF(HT36=1,IF(F36=1,HR36-IC36-ID36,0),0)</f>
        <v>0</v>
      </c>
      <c r="QJ36" s="1" t="n">
        <f aca="false">QF36*(1+GR)</f>
        <v>0</v>
      </c>
      <c r="QK36" s="1" t="n">
        <f aca="false">QG36*(1+AS_Cash)</f>
        <v>0</v>
      </c>
      <c r="QL36" s="1" t="n">
        <f aca="false">IF(V36=1,IF(HT36=1,IH36+IK36,W36-QB36)*(1+Slot1_Rate),0)</f>
        <v>0</v>
      </c>
      <c r="QM36" s="1" t="n">
        <f aca="false">IF(AND(HT36=1,V36=1),(IG36+IK36)/E36,0)</f>
        <v>0</v>
      </c>
      <c r="QN36" s="1" t="n">
        <f aca="false">IF(B36=0,IG36+IK36,0)</f>
        <v>0</v>
      </c>
      <c r="QO36" s="1" t="n">
        <f aca="false">IF(B36=0,IF(HT36=1,II36,IJ36),0)</f>
        <v>0</v>
      </c>
      <c r="QP36" s="1" t="n">
        <f aca="false">IF(AG36=1,IF(HT36=1,IP36+IS36,AH36-PZ36)*(1+Slot2_Rate),0)</f>
        <v>0</v>
      </c>
      <c r="QQ36" s="1" t="n">
        <f aca="false">IF(AND(HT36=1,AG36=1),(IO36+IS36)/E36,0)</f>
        <v>0</v>
      </c>
      <c r="QR36" s="1" t="n">
        <f aca="false">IF(B36=0,IO36+IS36,0)</f>
        <v>0</v>
      </c>
      <c r="QS36" s="1" t="n">
        <f aca="false">IF(B36=0,IF(HT36=1,IQ36,IR36),0)</f>
        <v>0</v>
      </c>
      <c r="QT36" s="1" t="n">
        <f aca="false">IF(AQ36=1,IF(HT36=1,IX36+JA36,AR36-PX36)*(1+Slot3_Rate),0)</f>
        <v>0</v>
      </c>
      <c r="QU36" s="1" t="n">
        <f aca="false">IF(AND(HT36=1,AQ36=1),(IW36+JA36)/E36,0)</f>
        <v>0</v>
      </c>
      <c r="QV36" s="1" t="n">
        <f aca="false">IF(B36=0,IW36+JA36,0)</f>
        <v>0</v>
      </c>
      <c r="QW36" s="1" t="n">
        <f aca="false">IF(B36=0,IF(HT36=1,IY36,IZ36),0)</f>
        <v>0</v>
      </c>
      <c r="QX36" s="1" t="n">
        <f aca="false">IF(BA36=1,IF(HT36=1,JF36+JI36,BB36-PV36)*(1+Slot4_Rate),0)</f>
        <v>0</v>
      </c>
      <c r="QY36" s="1" t="n">
        <f aca="false">IF(AND(HT36=1,BA36=1),(JE36+JI36)/E36,0)</f>
        <v>0</v>
      </c>
      <c r="QZ36" s="1" t="n">
        <f aca="false">IF(B36=0,JE36+JI36,0)</f>
        <v>0</v>
      </c>
      <c r="RA36" s="1" t="n">
        <f aca="false">IF(B36=0,IF(HT36=1,JG36,JH36),0)</f>
        <v>0</v>
      </c>
      <c r="RB36" s="1" t="n">
        <f aca="false">IF(BK36=1,IF(HT36=1,JN36+JQ36,BL36-PT36)*(1+Slot5_Rate),0)</f>
        <v>0</v>
      </c>
      <c r="RC36" s="1" t="n">
        <f aca="false">IF(AND(HT36=1,BK36=1),(JM36+JQ36)/E36,0)</f>
        <v>0</v>
      </c>
      <c r="RD36" s="1" t="n">
        <f aca="false">IF(B36=0,JM36+JQ36,0)</f>
        <v>0</v>
      </c>
      <c r="RE36" s="1" t="n">
        <f aca="false">IF(B36=0,IF(HT36=1,JO36,JP36),0)</f>
        <v>0</v>
      </c>
      <c r="RF36" s="1" t="n">
        <f aca="false">IF(BU36=1,IF(HT36=1,JV36+JY36,BV36-PR36)*(1+Slot6_Rate),0)</f>
        <v>0</v>
      </c>
      <c r="RG36" s="1" t="n">
        <f aca="false">IF(AND(HT36=1,BU36=1),(JU36+JY36)/E36,0)</f>
        <v>0</v>
      </c>
      <c r="RH36" s="1" t="n">
        <f aca="false">IF(B36=0,JU36+JY36,0)</f>
        <v>0</v>
      </c>
      <c r="RI36" s="1" t="n">
        <f aca="false">IF(B36=0,IF(HT36=1,JW36,JX36),0)</f>
        <v>0</v>
      </c>
      <c r="RJ36" s="1" t="n">
        <f aca="false">IF(CE36=1,IF(HT36=1,KD36+KG36,CF36-PP36)*(1+Slot7_Rate),0)</f>
        <v>0</v>
      </c>
      <c r="RK36" s="1" t="n">
        <f aca="false">IF(AND(HT36=1,CE36=1),(KC36+KG36)/E36,0)</f>
        <v>0</v>
      </c>
      <c r="RL36" s="1" t="n">
        <f aca="false">IF(B36=0,KC36+KG36,0)</f>
        <v>0</v>
      </c>
      <c r="RM36" s="1" t="n">
        <f aca="false">IF(B36=0,IF(HT36=1,KE36,KF36),0)</f>
        <v>0</v>
      </c>
      <c r="RN36" s="1" t="n">
        <f aca="false">IF(CO36=1,IF(HT36=1,KL36+KO36,CP36-PN36)*(1+Slot8_Rate),0)</f>
        <v>0</v>
      </c>
      <c r="RO36" s="1" t="n">
        <f aca="false">IF(AND(HT36=1,CO36=1),(KK36+KO36)/E36,0)</f>
        <v>0</v>
      </c>
      <c r="RP36" s="1" t="n">
        <f aca="false">IF(B36=0,KK36+KO36,0)</f>
        <v>0</v>
      </c>
      <c r="RQ36" s="1" t="n">
        <f aca="false">IF(B36=0,IF(HT36=1,KM36,KN36),0)</f>
        <v>0</v>
      </c>
      <c r="RR36" s="1" t="n">
        <f aca="false">IF(CY36=1,IF(HT36=1,KT36+KW36,CZ36-PL36)*(1+Slot9_Rate),0)</f>
        <v>0</v>
      </c>
      <c r="RS36" s="1" t="n">
        <f aca="false">IF(AND(HT36=1,CY36=1),(KS36+KW36)/E36,0)</f>
        <v>0</v>
      </c>
      <c r="RT36" s="1" t="n">
        <f aca="false">IF(B36=0,KS36+KW36,0)</f>
        <v>0</v>
      </c>
      <c r="RU36" s="1" t="n">
        <f aca="false">IF(B36=0,IF(HT36=1,KU36,KV36),0)</f>
        <v>0</v>
      </c>
      <c r="RV36" s="1" t="n">
        <f aca="false">IF(DI36=1,IF(HT36=1,LB36+LE36,DJ36-PJ36)*(1+Slot10_Rate),0)</f>
        <v>0</v>
      </c>
      <c r="RW36" s="1" t="n">
        <f aca="false">IF(AND(HT36=1,DI36=1),(LA36+LE36)/E36,0)</f>
        <v>0</v>
      </c>
      <c r="RX36" s="1" t="n">
        <f aca="false">IF(B36=0,LA36+LE36,0)</f>
        <v>0</v>
      </c>
      <c r="RY36" s="1" t="n">
        <f aca="false">IF(B36=0,IF(HT36=1,LC36,LD36),0)</f>
        <v>0</v>
      </c>
      <c r="RZ36" s="1" t="n">
        <f aca="false">IF(DS36=1,IF(HT36=1,LJ36+LM36,DT36-PH36)*(1+Slot11_Rate),0)</f>
        <v>0</v>
      </c>
      <c r="SA36" s="1" t="n">
        <f aca="false">IF(AND(HT36=1,DS36=1),(LI36+LM36)/E36,0)</f>
        <v>0</v>
      </c>
      <c r="SB36" s="1" t="n">
        <f aca="false">IF(B36=0,LI36+LM36,0)</f>
        <v>0</v>
      </c>
      <c r="SC36" s="1" t="n">
        <f aca="false">IF(B36=0,IF(HT36=1,LK36,LL36),0)</f>
        <v>0</v>
      </c>
      <c r="SD36" s="1" t="n">
        <f aca="false">IF(EC36=1,IF(HT36=1,LR36+LU36,ED36-PF36)*(1+Slot12_Rate),0)</f>
        <v>0</v>
      </c>
      <c r="SE36" s="1" t="n">
        <f aca="false">IF(AND(HT36=1,EC36=1),(LQ36+LU36)/E36,0)</f>
        <v>0</v>
      </c>
      <c r="SF36" s="1" t="n">
        <f aca="false">IF(B36=0,LQ36+LU36,0)</f>
        <v>0</v>
      </c>
      <c r="SG36" s="1" t="n">
        <f aca="false">IF(B36=0,IF(HT36=1,LS36,LT36),0)</f>
        <v>0</v>
      </c>
      <c r="SH36" s="1" t="n">
        <f aca="false">IF(EM36=1,IF(HT36=1,LZ36+MC36,EN36-PD36)*(1+Slot13_Rate),0)</f>
        <v>0</v>
      </c>
      <c r="SI36" s="1" t="n">
        <f aca="false">IF(AND(HT36=1,EM36=1),(LY36+MC36)/E36,0)</f>
        <v>0</v>
      </c>
      <c r="SJ36" s="1" t="n">
        <f aca="false">IF(B36=0,LY36+MC36,0)</f>
        <v>0</v>
      </c>
      <c r="SK36" s="1" t="n">
        <f aca="false">IF(B36=0,IF(HT36=1,MA36,MB36),0)</f>
        <v>0</v>
      </c>
      <c r="SL36" s="1" t="n">
        <f aca="false">IF(EW36=1,IF(HT36=1,MH36+MK36,EX36-PB36)*(1+Slot14_Rate),0)</f>
        <v>0</v>
      </c>
      <c r="SM36" s="1" t="n">
        <f aca="false">IF(AND(HT36=1,EW36=1),(MG36+MK36)/E36,0)</f>
        <v>0</v>
      </c>
      <c r="SN36" s="1" t="n">
        <f aca="false">IF(B36=0,MG36+MK36,0)</f>
        <v>0</v>
      </c>
      <c r="SO36" s="1" t="n">
        <f aca="false">IF(B36=0,IF(HT36=1,MI36,MJ36),0)</f>
        <v>0</v>
      </c>
      <c r="SP36" s="1" t="n">
        <f aca="false">IF(FG36=1,IF(HT36=1,MP36+MS36,FH36-OZ36)*(1+Slot15_Rate),0)</f>
        <v>0</v>
      </c>
      <c r="SQ36" s="1" t="n">
        <f aca="false">IF(AND(HT36=1,FG36=1),(MO36+MS36)/E36,0)</f>
        <v>0</v>
      </c>
      <c r="SR36" s="1" t="n">
        <f aca="false">IF(B36=0,MO36+MS36,0)</f>
        <v>0</v>
      </c>
      <c r="SS36" s="1" t="n">
        <f aca="false">IF(B36=0,IF(HT36=1,MQ36,MR36),0)</f>
        <v>0</v>
      </c>
      <c r="ST36" s="1" t="n">
        <f aca="false">IF(FQ36=1,IF(HT36=1,MX36+NA36,FR36-OX36)*(1+Slot16_Rate),0)</f>
        <v>0</v>
      </c>
      <c r="SU36" s="1" t="n">
        <f aca="false">IF(AND(HT36=1,FQ36=1),(MW36+NA36)/E36,0)</f>
        <v>0</v>
      </c>
      <c r="SV36" s="1" t="n">
        <f aca="false">IF(B36=0,MW36+NA36,0)</f>
        <v>0</v>
      </c>
      <c r="SW36" s="1" t="n">
        <f aca="false">IF(B36=0,IF(HT36=1,MY36,MZ36),0)</f>
        <v>0</v>
      </c>
      <c r="SX36" s="1" t="n">
        <f aca="false">IF(GA36=1,IF(HT36=1,NF36+NI36,GB36-OV36)*(1+Slot17_Rate),0)</f>
        <v>0</v>
      </c>
      <c r="SY36" s="1" t="n">
        <f aca="false">IF(AND(HT36=1,GA36=1),(NE36+NI36)/E36,0)</f>
        <v>0</v>
      </c>
      <c r="SZ36" s="1" t="n">
        <f aca="false">IF(B36=0,NE36+NI36,0)</f>
        <v>0</v>
      </c>
      <c r="TA36" s="1" t="n">
        <f aca="false">IF(B36=0,IF(HT36=1,NG36,NH36),0)</f>
        <v>0</v>
      </c>
      <c r="TB36" s="1" t="n">
        <f aca="false">IF(GK36=1,IF(HT36=1,NN36+NQ36,GL36-OT36)*(1+Slot18_Rate),0)</f>
        <v>0</v>
      </c>
      <c r="TC36" s="1" t="n">
        <f aca="false">IF(AND(HT36=1,GK36=1),(NM36+NQ36)/E36,0)</f>
        <v>0</v>
      </c>
      <c r="TD36" s="1" t="n">
        <f aca="false">IF(B36=0,NM36+NQ36,0)</f>
        <v>0</v>
      </c>
      <c r="TE36" s="1" t="n">
        <f aca="false">IF(B36=0,IF(HT36=1,NO36,NP36),0)</f>
        <v>0</v>
      </c>
      <c r="TF36" s="1" t="n">
        <f aca="false">IF(GU36=1,IF(HT36=1,NV36+NY36,GV36-OR36)*(1+Slot19_Rate),0)</f>
        <v>0</v>
      </c>
      <c r="TG36" s="1" t="n">
        <f aca="false">IF(AND(HT36=1,GU36=1),(NU36+NY36)/E36,0)</f>
        <v>0</v>
      </c>
      <c r="TH36" s="1" t="n">
        <f aca="false">IF(B36=0,NU36+NY36,0)</f>
        <v>0</v>
      </c>
      <c r="TI36" s="1" t="n">
        <f aca="false">IF(B36=0,IF(HT36=1,NW36,NX36),0)</f>
        <v>0</v>
      </c>
      <c r="TJ36" s="1" t="n">
        <f aca="false">IF(HE36=1,IF(HT36=1,OD36+OG36,HF36-OP36)*(1+Slot20_Rate),0)</f>
        <v>0</v>
      </c>
      <c r="TK36" s="1" t="n">
        <f aca="false">IF(AND(HT36=1,HE36=1),(OC36+OG36)/E36,0)</f>
        <v>0</v>
      </c>
      <c r="TL36" s="1" t="n">
        <f aca="false">IF(B36=0,OC36+OG36,0)</f>
        <v>0</v>
      </c>
      <c r="TM36" s="1" t="n">
        <f aca="false">IF(B36=0,IF(HT36=1,OE36,OF36),0)</f>
        <v>0</v>
      </c>
      <c r="TN36" s="1" t="n">
        <f aca="false">QJ36+QK36+QL36+QP36+QT36+QX36+RB36+RF36+RJ36+RN36+RR36+RV36+RZ36+SD36+SH36+SL36+SP36+ST36+SX36+TB36+TF36+TJ36</f>
        <v>0</v>
      </c>
      <c r="TO36" s="1" t="n">
        <f aca="false">QD36+HO36</f>
        <v>0</v>
      </c>
      <c r="TP36" s="1" t="n">
        <f aca="false">H36+R36</f>
        <v>0</v>
      </c>
      <c r="TQ36" s="1" t="n">
        <f aca="false">1-F36</f>
        <v>0</v>
      </c>
      <c r="TR36" s="1" t="n">
        <f aca="false">IF(AND(RG_Exists=1,F36=0,C36=1),H36,0)</f>
        <v>0</v>
      </c>
      <c r="TS36" s="1" t="n">
        <f aca="false">IF(AND(RG_Exists=1,F36=0,C36=1),H36-MIN(QD36,H36),0)</f>
        <v>0</v>
      </c>
      <c r="TT36" s="1" t="n">
        <f aca="false">'Plan pay &amp; tax'!AD262</f>
        <v>0</v>
      </c>
      <c r="TU36" s="1" t="n">
        <f aca="false">IF(AND(C36=1,QD36&gt;MAX(PR_Short1,TP36*PR_Short2)),1,0)</f>
        <v>0</v>
      </c>
      <c r="TV36" s="1" t="n">
        <f aca="false">MIN(G36,H36+R36)</f>
        <v>0</v>
      </c>
      <c r="TW36" s="1" t="n">
        <f aca="false">QE36+MAX(0,HP36-HO36)</f>
        <v>0</v>
      </c>
      <c r="TX36" s="1" t="n">
        <f aca="false">QD36+HO36</f>
        <v>0</v>
      </c>
      <c r="TY36" s="1" t="n">
        <f aca="false">IF(AND(C36=1,TX36&gt;PR_MinShort),1,0)</f>
        <v>0</v>
      </c>
      <c r="TZ36" s="1" t="n">
        <f aca="false">IF(AND(C36=1,TY36=0,TW36&gt;PR_MinShort),1,0)</f>
        <v>0</v>
      </c>
      <c r="UA36" s="1" t="n">
        <f aca="false">IF(AND(C36=1,QD36&gt;PR_MinShort),1,0)</f>
        <v>0</v>
      </c>
      <c r="UB36" s="1" t="n">
        <f aca="false">IF(AND(C36=1,QE36&gt;1,UI36=0),1,0)</f>
        <v>0</v>
      </c>
      <c r="UC36" s="1" t="str">
        <f aca="false">IF(C36=0,"",IF(UI36=1,"Gap to plan for: short "&amp;"€"&amp;TEXT(ROUND(TO36,0),"#,##0"),IF(QE36&gt;1,"Using savings","Comfortable")))</f>
        <v>Comfortable</v>
      </c>
      <c r="UD36" s="1" t="n">
        <f aca="false">IF(AND(INT(D36/10)*10=90,B36&gt;0),80,INT(D36/10)*10)</f>
        <v>20</v>
      </c>
      <c r="UE36" s="1" t="n">
        <f aca="false">IF(B36=0,1,IF(UD36&lt;&gt;UD35,UE35+1,UE35))</f>
        <v>3</v>
      </c>
      <c r="UF36" s="1" t="n">
        <f aca="false">IF(AND(C36=1,F36=1,QD36&gt;MAX(PR_Short1,TP36*PR_Short2)),1,0)</f>
        <v>0</v>
      </c>
      <c r="UG36" s="1" t="n">
        <f aca="false">TQ36*TU36</f>
        <v>0</v>
      </c>
      <c r="UH36" s="1" t="n">
        <f aca="false">IF(AND(U36=1,Slot1_PctLow=1),1,0)+IF(AND(AF36=1,Slot2_PctLow=1),1,0)+IF(AND(AP36=1,Slot3_PctLow=1),1,0)+IF(AND(AZ36=1,Slot4_PctLow=1),1,0)+IF(AND(BJ36=1,Slot5_PctLow=1),1,0)+IF(AND(BT36=1,Slot6_PctLow=1),1,0)+IF(AND(CD36=1,Slot7_PctLow=1),1,0)+IF(AND(CN36=1,Slot8_PctLow=1),1,0)+IF(AND(CX36=1,Slot9_PctLow=1),1,0)+IF(AND(DH36=1,Slot10_PctLow=1),1,0)+IF(AND(DR36=1,Slot11_PctLow=1),1,0)+IF(AND(EB36=1,Slot12_PctLow=1),1,0)+IF(AND(EL36=1,Slot13_PctLow=1),1,0)+IF(AND(EV36=1,Slot14_PctLow=1),1,0)+IF(AND(FF36=1,Slot15_PctLow=1),1,0)+IF(AND(FP36=1,Slot16_PctLow=1),1,0)+IF(AND(FZ36=1,Slot17_PctLow=1),1,0)+IF(AND(GJ36=1,Slot18_PctLow=1),1,0)+IF(AND(GT36=1,Slot19_PctLow=1),1,0)+IF(AND(HD36=1,Slot20_PctLow=1),1,0)</f>
        <v>0</v>
      </c>
      <c r="UI36" s="1" t="n">
        <f aca="false">IF(C36=1,IF(OR(TU36=1,UH36&gt;0),1,0),0)</f>
        <v>0</v>
      </c>
    </row>
    <row r="37" customFormat="false" ht="15" hidden="false" customHeight="true" outlineLevel="0" collapsed="false">
      <c r="B37" s="1" t="n">
        <v>29</v>
      </c>
      <c r="C37" s="1" t="n">
        <f aca="false">IF(B37&lt;=F_N,1,0)</f>
        <v>1</v>
      </c>
      <c r="D37" s="1" t="n">
        <f aca="false">'Plan pay &amp; tax'!C263</f>
        <v>29</v>
      </c>
      <c r="E37" s="111" t="n">
        <f aca="false">'Plan pay &amp; tax'!E263</f>
        <v>1.77584469029741</v>
      </c>
      <c r="F37" s="1" t="n">
        <f aca="false">'Plan pay &amp; tax'!G263</f>
        <v>1</v>
      </c>
      <c r="G37" s="1" t="n">
        <f aca="false">'Plan pay &amp; tax'!BT263-'Plan pay &amp; tax'!BS263-'Plan pay &amp; tax'!R263</f>
        <v>0</v>
      </c>
      <c r="H37" s="1" t="n">
        <f aca="false">IF(F37=1,F_CostsM*12,IF(RG_Exists=1,RG_Amount,F_CostsM*12*AS_RetireSpend))*E37+F_OneOffY*E37</f>
        <v>0</v>
      </c>
      <c r="I37" s="1" t="n">
        <f aca="false">HQ36</f>
        <v>0</v>
      </c>
      <c r="J37" s="1" t="n">
        <f aca="false">IF(I37&gt;1,'Plan debt months'!AC37,0)</f>
        <v>0</v>
      </c>
      <c r="K37" s="1" t="n">
        <f aca="false">IF(I37&gt;1,'Plan debt months'!AB37,I37)</f>
        <v>0</v>
      </c>
      <c r="L37" s="1" t="n">
        <f aca="false">N36</f>
        <v>0</v>
      </c>
      <c r="M37" s="1" t="n">
        <f aca="false">IF(L37&gt;1,'Plan debt months'!BD37,0)</f>
        <v>0</v>
      </c>
      <c r="N37" s="1" t="n">
        <f aca="false">IF(L37&gt;1,'Plan debt months'!BC37,L37)</f>
        <v>0</v>
      </c>
      <c r="O37" s="1" t="n">
        <f aca="false">Q36</f>
        <v>0</v>
      </c>
      <c r="P37" s="1" t="n">
        <f aca="false">IF(O37&gt;1,'Plan debt months'!CE37,0)</f>
        <v>0</v>
      </c>
      <c r="Q37" s="1" t="n">
        <f aca="false">IF(O37&gt;1,'Plan debt months'!CD37,O37)</f>
        <v>0</v>
      </c>
      <c r="R37" s="1" t="n">
        <f aca="false">J37+M37+P37</f>
        <v>0</v>
      </c>
      <c r="S37" s="1" t="n">
        <f aca="false">QJ36+'Plan pay &amp; tax'!Y263</f>
        <v>0</v>
      </c>
      <c r="T37" s="1" t="n">
        <f aca="false">QJ36</f>
        <v>0</v>
      </c>
      <c r="U37" s="1" t="n">
        <f aca="false">IF(AND(Slot1_On=1,D37=Slot1_Age),1,0)</f>
        <v>0</v>
      </c>
      <c r="V37" s="1" t="n">
        <f aca="false">IF(AND(Slot1_On=1,Slot1_Age&gt;D37),1,0)</f>
        <v>0</v>
      </c>
      <c r="W37" s="1" t="n">
        <f aca="false">QL36</f>
        <v>0</v>
      </c>
      <c r="X37" s="1" t="n">
        <f aca="false">U37*MIN(Slot1_Cost,W37)</f>
        <v>0</v>
      </c>
      <c r="Y37" s="1" t="n">
        <f aca="false">U37*Slot1_SpendLike*MIN(Slot1_Cost-X37,S37)</f>
        <v>0</v>
      </c>
      <c r="Z37" s="1" t="n">
        <f aca="false">X37+Y37</f>
        <v>0</v>
      </c>
      <c r="AA37" s="1" t="n">
        <f aca="false">S37-Y37+U37*IF(Slot1_SpendLike=1,W37-X37,IF(Slot1_PotFree=1,W37,0))</f>
        <v>0</v>
      </c>
      <c r="AB37" s="1" t="n">
        <f aca="false">AE37+U37*Slot1_BufPot*W37</f>
        <v>0</v>
      </c>
      <c r="AC37" s="1" t="n">
        <f aca="false">IF(AND(U37=1,Slot1_IsMfree=1),IF(Z37&gt;=Slot1_Cost-1,0,MAX(0,K37-Z37)),K37)</f>
        <v>0</v>
      </c>
      <c r="AD37" s="1" t="n">
        <f aca="false">U37*(Slot1_Cost-Z37)</f>
        <v>0</v>
      </c>
      <c r="AE37" s="1" t="n">
        <f aca="false">QK36</f>
        <v>0</v>
      </c>
      <c r="AF37" s="1" t="n">
        <f aca="false">IF(AND(Slot2_On=1,D37=Slot2_Age),1,0)</f>
        <v>0</v>
      </c>
      <c r="AG37" s="1" t="n">
        <f aca="false">IF(AND(Slot2_On=1,Slot2_Age&gt;D37),1,0)</f>
        <v>0</v>
      </c>
      <c r="AH37" s="1" t="n">
        <f aca="false">QP36</f>
        <v>0</v>
      </c>
      <c r="AI37" s="1" t="n">
        <f aca="false">AF37*MIN(Slot2_Cost,AH37)</f>
        <v>0</v>
      </c>
      <c r="AJ37" s="1" t="n">
        <f aca="false">AF37*Slot2_SpendLike*MIN(Slot2_Cost-AI37,AA37)</f>
        <v>0</v>
      </c>
      <c r="AK37" s="1" t="n">
        <f aca="false">AI37+AJ37</f>
        <v>0</v>
      </c>
      <c r="AL37" s="1" t="n">
        <f aca="false">AA37-AJ37+AF37*IF(Slot2_SpendLike=1,AH37-AI37,IF(Slot2_PotFree=1,AH37,0))</f>
        <v>0</v>
      </c>
      <c r="AM37" s="1" t="n">
        <f aca="false">AB37+AF37*Slot2_BufPot*AH37</f>
        <v>0</v>
      </c>
      <c r="AN37" s="1" t="n">
        <f aca="false">IF(AND(AF37=1,Slot2_IsMfree=1),IF(AK37&gt;=Slot2_Cost-1,0,MAX(0,AC37-AK37)),AC37)</f>
        <v>0</v>
      </c>
      <c r="AO37" s="1" t="n">
        <f aca="false">AF37*(Slot2_Cost-AK37)</f>
        <v>0</v>
      </c>
      <c r="AP37" s="1" t="n">
        <f aca="false">IF(AND(Slot3_On=1,D37=Slot3_Age),1,0)</f>
        <v>0</v>
      </c>
      <c r="AQ37" s="1" t="n">
        <f aca="false">IF(AND(Slot3_On=1,Slot3_Age&gt;D37),1,0)</f>
        <v>0</v>
      </c>
      <c r="AR37" s="1" t="n">
        <f aca="false">QT36</f>
        <v>0</v>
      </c>
      <c r="AS37" s="1" t="n">
        <f aca="false">AP37*MIN(Slot3_Cost,AR37)</f>
        <v>0</v>
      </c>
      <c r="AT37" s="1" t="n">
        <f aca="false">AP37*Slot3_SpendLike*MIN(Slot3_Cost-AS37,AL37)</f>
        <v>0</v>
      </c>
      <c r="AU37" s="1" t="n">
        <f aca="false">AS37+AT37</f>
        <v>0</v>
      </c>
      <c r="AV37" s="1" t="n">
        <f aca="false">AL37-AT37+AP37*IF(Slot3_SpendLike=1,AR37-AS37,IF(Slot3_PotFree=1,AR37,0))</f>
        <v>0</v>
      </c>
      <c r="AW37" s="1" t="n">
        <f aca="false">AM37+AP37*Slot3_BufPot*AR37</f>
        <v>0</v>
      </c>
      <c r="AX37" s="1" t="n">
        <f aca="false">IF(AND(AP37=1,Slot3_IsMfree=1),IF(AU37&gt;=Slot3_Cost-1,0,MAX(0,AN37-AU37)),AN37)</f>
        <v>0</v>
      </c>
      <c r="AY37" s="1" t="n">
        <f aca="false">AP37*(Slot3_Cost-AU37)</f>
        <v>0</v>
      </c>
      <c r="AZ37" s="1" t="n">
        <f aca="false">IF(AND(Slot4_On=1,D37=Slot4_Age),1,0)</f>
        <v>0</v>
      </c>
      <c r="BA37" s="1" t="n">
        <f aca="false">IF(AND(Slot4_On=1,Slot4_Age&gt;D37),1,0)</f>
        <v>0</v>
      </c>
      <c r="BB37" s="1" t="n">
        <f aca="false">QX36</f>
        <v>0</v>
      </c>
      <c r="BC37" s="1" t="n">
        <f aca="false">AZ37*MIN(Slot4_Cost,BB37)</f>
        <v>0</v>
      </c>
      <c r="BD37" s="1" t="n">
        <f aca="false">AZ37*Slot4_SpendLike*MIN(Slot4_Cost-BC37,AV37)</f>
        <v>0</v>
      </c>
      <c r="BE37" s="1" t="n">
        <f aca="false">BC37+BD37</f>
        <v>0</v>
      </c>
      <c r="BF37" s="1" t="n">
        <f aca="false">AV37-BD37+AZ37*IF(Slot4_SpendLike=1,BB37-BC37,IF(Slot4_PotFree=1,BB37,0))</f>
        <v>0</v>
      </c>
      <c r="BG37" s="1" t="n">
        <f aca="false">AW37+AZ37*Slot4_BufPot*BB37</f>
        <v>0</v>
      </c>
      <c r="BH37" s="1" t="n">
        <f aca="false">IF(AND(AZ37=1,Slot4_IsMfree=1),IF(BE37&gt;=Slot4_Cost-1,0,MAX(0,AX37-BE37)),AX37)</f>
        <v>0</v>
      </c>
      <c r="BI37" s="1" t="n">
        <f aca="false">AZ37*(Slot4_Cost-BE37)</f>
        <v>0</v>
      </c>
      <c r="BJ37" s="1" t="n">
        <f aca="false">IF(AND(Slot5_On=1,D37=Slot5_Age),1,0)</f>
        <v>0</v>
      </c>
      <c r="BK37" s="1" t="n">
        <f aca="false">IF(AND(Slot5_On=1,Slot5_Age&gt;D37),1,0)</f>
        <v>0</v>
      </c>
      <c r="BL37" s="1" t="n">
        <f aca="false">RB36</f>
        <v>0</v>
      </c>
      <c r="BM37" s="1" t="n">
        <f aca="false">BJ37*MIN(Slot5_Cost,BL37)</f>
        <v>0</v>
      </c>
      <c r="BN37" s="1" t="n">
        <f aca="false">BJ37*Slot5_SpendLike*MIN(Slot5_Cost-BM37,BF37)</f>
        <v>0</v>
      </c>
      <c r="BO37" s="1" t="n">
        <f aca="false">BM37+BN37</f>
        <v>0</v>
      </c>
      <c r="BP37" s="1" t="n">
        <f aca="false">BF37-BN37+BJ37*IF(Slot5_SpendLike=1,BL37-BM37,IF(Slot5_PotFree=1,BL37,0))</f>
        <v>0</v>
      </c>
      <c r="BQ37" s="1" t="n">
        <f aca="false">BG37+BJ37*Slot5_BufPot*BL37</f>
        <v>0</v>
      </c>
      <c r="BR37" s="1" t="n">
        <f aca="false">IF(AND(BJ37=1,Slot5_IsMfree=1),IF(BO37&gt;=Slot5_Cost-1,0,MAX(0,BH37-BO37)),BH37)</f>
        <v>0</v>
      </c>
      <c r="BS37" s="1" t="n">
        <f aca="false">BJ37*(Slot5_Cost-BO37)</f>
        <v>0</v>
      </c>
      <c r="BT37" s="1" t="n">
        <f aca="false">IF(AND(Slot6_On=1,D37=Slot6_Age),1,0)</f>
        <v>0</v>
      </c>
      <c r="BU37" s="1" t="n">
        <f aca="false">IF(AND(Slot6_On=1,Slot6_Age&gt;D37),1,0)</f>
        <v>0</v>
      </c>
      <c r="BV37" s="1" t="n">
        <f aca="false">RF36</f>
        <v>0</v>
      </c>
      <c r="BW37" s="1" t="n">
        <f aca="false">BT37*MIN(Slot6_Cost,BV37)</f>
        <v>0</v>
      </c>
      <c r="BX37" s="1" t="n">
        <f aca="false">BT37*Slot6_SpendLike*MIN(Slot6_Cost-BW37,BP37)</f>
        <v>0</v>
      </c>
      <c r="BY37" s="1" t="n">
        <f aca="false">BW37+BX37</f>
        <v>0</v>
      </c>
      <c r="BZ37" s="1" t="n">
        <f aca="false">BP37-BX37+BT37*IF(Slot6_SpendLike=1,BV37-BW37,IF(Slot6_PotFree=1,BV37,0))</f>
        <v>0</v>
      </c>
      <c r="CA37" s="1" t="n">
        <f aca="false">BQ37+BT37*Slot6_BufPot*BV37</f>
        <v>0</v>
      </c>
      <c r="CB37" s="1" t="n">
        <f aca="false">IF(AND(BT37=1,Slot6_IsMfree=1),IF(BY37&gt;=Slot6_Cost-1,0,MAX(0,BR37-BY37)),BR37)</f>
        <v>0</v>
      </c>
      <c r="CC37" s="1" t="n">
        <f aca="false">BT37*(Slot6_Cost-BY37)</f>
        <v>0</v>
      </c>
      <c r="CD37" s="1" t="n">
        <f aca="false">IF(AND(Slot7_On=1,D37=Slot7_Age),1,0)</f>
        <v>0</v>
      </c>
      <c r="CE37" s="1" t="n">
        <f aca="false">IF(AND(Slot7_On=1,Slot7_Age&gt;D37),1,0)</f>
        <v>0</v>
      </c>
      <c r="CF37" s="1" t="n">
        <f aca="false">RJ36</f>
        <v>0</v>
      </c>
      <c r="CG37" s="1" t="n">
        <f aca="false">CD37*MIN(Slot7_Cost,CF37)</f>
        <v>0</v>
      </c>
      <c r="CH37" s="1" t="n">
        <f aca="false">CD37*Slot7_SpendLike*MIN(Slot7_Cost-CG37,BZ37)</f>
        <v>0</v>
      </c>
      <c r="CI37" s="1" t="n">
        <f aca="false">CG37+CH37</f>
        <v>0</v>
      </c>
      <c r="CJ37" s="1" t="n">
        <f aca="false">BZ37-CH37+CD37*IF(Slot7_SpendLike=1,CF37-CG37,IF(Slot7_PotFree=1,CF37,0))</f>
        <v>0</v>
      </c>
      <c r="CK37" s="1" t="n">
        <f aca="false">CA37+CD37*Slot7_BufPot*CF37</f>
        <v>0</v>
      </c>
      <c r="CL37" s="1" t="n">
        <f aca="false">IF(AND(CD37=1,Slot7_IsMfree=1),IF(CI37&gt;=Slot7_Cost-1,0,MAX(0,CB37-CI37)),CB37)</f>
        <v>0</v>
      </c>
      <c r="CM37" s="1" t="n">
        <f aca="false">CD37*(Slot7_Cost-CI37)</f>
        <v>0</v>
      </c>
      <c r="CN37" s="1" t="n">
        <f aca="false">IF(AND(Slot8_On=1,D37=Slot8_Age),1,0)</f>
        <v>0</v>
      </c>
      <c r="CO37" s="1" t="n">
        <f aca="false">IF(AND(Slot8_On=1,Slot8_Age&gt;D37),1,0)</f>
        <v>0</v>
      </c>
      <c r="CP37" s="1" t="n">
        <f aca="false">RN36</f>
        <v>0</v>
      </c>
      <c r="CQ37" s="1" t="n">
        <f aca="false">CN37*MIN(Slot8_Cost,CP37)</f>
        <v>0</v>
      </c>
      <c r="CR37" s="1" t="n">
        <f aca="false">CN37*Slot8_SpendLike*MIN(Slot8_Cost-CQ37,CJ37)</f>
        <v>0</v>
      </c>
      <c r="CS37" s="1" t="n">
        <f aca="false">CQ37+CR37</f>
        <v>0</v>
      </c>
      <c r="CT37" s="1" t="n">
        <f aca="false">CJ37-CR37+CN37*IF(Slot8_SpendLike=1,CP37-CQ37,IF(Slot8_PotFree=1,CP37,0))</f>
        <v>0</v>
      </c>
      <c r="CU37" s="1" t="n">
        <f aca="false">CK37+CN37*Slot8_BufPot*CP37</f>
        <v>0</v>
      </c>
      <c r="CV37" s="1" t="n">
        <f aca="false">IF(AND(CN37=1,Slot8_IsMfree=1),IF(CS37&gt;=Slot8_Cost-1,0,MAX(0,CL37-CS37)),CL37)</f>
        <v>0</v>
      </c>
      <c r="CW37" s="1" t="n">
        <f aca="false">CN37*(Slot8_Cost-CS37)</f>
        <v>0</v>
      </c>
      <c r="CX37" s="1" t="n">
        <f aca="false">IF(AND(Slot9_On=1,D37=Slot9_Age),1,0)</f>
        <v>0</v>
      </c>
      <c r="CY37" s="1" t="n">
        <f aca="false">IF(AND(Slot9_On=1,Slot9_Age&gt;D37),1,0)</f>
        <v>0</v>
      </c>
      <c r="CZ37" s="1" t="n">
        <f aca="false">RR36</f>
        <v>0</v>
      </c>
      <c r="DA37" s="1" t="n">
        <f aca="false">CX37*MIN(Slot9_Cost,CZ37)</f>
        <v>0</v>
      </c>
      <c r="DB37" s="1" t="n">
        <f aca="false">CX37*Slot9_SpendLike*MIN(Slot9_Cost-DA37,CT37)</f>
        <v>0</v>
      </c>
      <c r="DC37" s="1" t="n">
        <f aca="false">DA37+DB37</f>
        <v>0</v>
      </c>
      <c r="DD37" s="1" t="n">
        <f aca="false">CT37-DB37+CX37*IF(Slot9_SpendLike=1,CZ37-DA37,IF(Slot9_PotFree=1,CZ37,0))</f>
        <v>0</v>
      </c>
      <c r="DE37" s="1" t="n">
        <f aca="false">CU37+CX37*Slot9_BufPot*CZ37</f>
        <v>0</v>
      </c>
      <c r="DF37" s="1" t="n">
        <f aca="false">IF(AND(CX37=1,Slot9_IsMfree=1),IF(DC37&gt;=Slot9_Cost-1,0,MAX(0,CV37-DC37)),CV37)</f>
        <v>0</v>
      </c>
      <c r="DG37" s="1" t="n">
        <f aca="false">CX37*(Slot9_Cost-DC37)</f>
        <v>0</v>
      </c>
      <c r="DH37" s="1" t="n">
        <f aca="false">IF(AND(Slot10_On=1,D37=Slot10_Age),1,0)</f>
        <v>0</v>
      </c>
      <c r="DI37" s="1" t="n">
        <f aca="false">IF(AND(Slot10_On=1,Slot10_Age&gt;D37),1,0)</f>
        <v>0</v>
      </c>
      <c r="DJ37" s="1" t="n">
        <f aca="false">RV36</f>
        <v>0</v>
      </c>
      <c r="DK37" s="1" t="n">
        <f aca="false">DH37*MIN(Slot10_Cost,DJ37)</f>
        <v>0</v>
      </c>
      <c r="DL37" s="1" t="n">
        <f aca="false">DH37*Slot10_SpendLike*MIN(Slot10_Cost-DK37,DD37)</f>
        <v>0</v>
      </c>
      <c r="DM37" s="1" t="n">
        <f aca="false">DK37+DL37</f>
        <v>0</v>
      </c>
      <c r="DN37" s="1" t="n">
        <f aca="false">DD37-DL37+DH37*IF(Slot10_SpendLike=1,DJ37-DK37,IF(Slot10_PotFree=1,DJ37,0))</f>
        <v>0</v>
      </c>
      <c r="DO37" s="1" t="n">
        <f aca="false">DE37+DH37*Slot10_BufPot*DJ37</f>
        <v>0</v>
      </c>
      <c r="DP37" s="1" t="n">
        <f aca="false">IF(AND(DH37=1,Slot10_IsMfree=1),IF(DM37&gt;=Slot10_Cost-1,0,MAX(0,DF37-DM37)),DF37)</f>
        <v>0</v>
      </c>
      <c r="DQ37" s="1" t="n">
        <f aca="false">DH37*(Slot10_Cost-DM37)</f>
        <v>0</v>
      </c>
      <c r="DR37" s="1" t="n">
        <f aca="false">IF(AND(Slot11_On=1,D37=Slot11_Age),1,0)</f>
        <v>0</v>
      </c>
      <c r="DS37" s="1" t="n">
        <f aca="false">IF(AND(Slot11_On=1,Slot11_Age&gt;D37),1,0)</f>
        <v>0</v>
      </c>
      <c r="DT37" s="1" t="n">
        <f aca="false">RZ36</f>
        <v>0</v>
      </c>
      <c r="DU37" s="1" t="n">
        <f aca="false">DR37*MIN(Slot11_Cost,DT37)</f>
        <v>0</v>
      </c>
      <c r="DV37" s="1" t="n">
        <f aca="false">DR37*Slot11_SpendLike*MIN(Slot11_Cost-DU37,DN37)</f>
        <v>0</v>
      </c>
      <c r="DW37" s="1" t="n">
        <f aca="false">DU37+DV37</f>
        <v>0</v>
      </c>
      <c r="DX37" s="1" t="n">
        <f aca="false">DN37-DV37+DR37*IF(Slot11_SpendLike=1,DT37-DU37,IF(Slot11_PotFree=1,DT37,0))</f>
        <v>0</v>
      </c>
      <c r="DY37" s="1" t="n">
        <f aca="false">DO37+DR37*Slot11_BufPot*DT37</f>
        <v>0</v>
      </c>
      <c r="DZ37" s="1" t="n">
        <f aca="false">IF(AND(DR37=1,Slot11_IsMfree=1),IF(DW37&gt;=Slot11_Cost-1,0,MAX(0,DP37-DW37)),DP37)</f>
        <v>0</v>
      </c>
      <c r="EA37" s="1" t="n">
        <f aca="false">DR37*(Slot11_Cost-DW37)</f>
        <v>0</v>
      </c>
      <c r="EB37" s="1" t="n">
        <f aca="false">IF(AND(Slot12_On=1,D37=Slot12_Age),1,0)</f>
        <v>0</v>
      </c>
      <c r="EC37" s="1" t="n">
        <f aca="false">IF(AND(Slot12_On=1,Slot12_Age&gt;D37),1,0)</f>
        <v>0</v>
      </c>
      <c r="ED37" s="1" t="n">
        <f aca="false">SD36</f>
        <v>0</v>
      </c>
      <c r="EE37" s="1" t="n">
        <f aca="false">EB37*MIN(Slot12_Cost,ED37)</f>
        <v>0</v>
      </c>
      <c r="EF37" s="1" t="n">
        <f aca="false">EB37*Slot12_SpendLike*MIN(Slot12_Cost-EE37,DX37)</f>
        <v>0</v>
      </c>
      <c r="EG37" s="1" t="n">
        <f aca="false">EE37+EF37</f>
        <v>0</v>
      </c>
      <c r="EH37" s="1" t="n">
        <f aca="false">DX37-EF37+EB37*IF(Slot12_SpendLike=1,ED37-EE37,IF(Slot12_PotFree=1,ED37,0))</f>
        <v>0</v>
      </c>
      <c r="EI37" s="1" t="n">
        <f aca="false">DY37+EB37*Slot12_BufPot*ED37</f>
        <v>0</v>
      </c>
      <c r="EJ37" s="1" t="n">
        <f aca="false">IF(AND(EB37=1,Slot12_IsMfree=1),IF(EG37&gt;=Slot12_Cost-1,0,MAX(0,DZ37-EG37)),DZ37)</f>
        <v>0</v>
      </c>
      <c r="EK37" s="1" t="n">
        <f aca="false">EB37*(Slot12_Cost-EG37)</f>
        <v>0</v>
      </c>
      <c r="EL37" s="1" t="n">
        <f aca="false">IF(AND(Slot13_On=1,D37=Slot13_Age),1,0)</f>
        <v>0</v>
      </c>
      <c r="EM37" s="1" t="n">
        <f aca="false">IF(AND(Slot13_On=1,Slot13_Age&gt;D37),1,0)</f>
        <v>0</v>
      </c>
      <c r="EN37" s="1" t="n">
        <f aca="false">SH36</f>
        <v>0</v>
      </c>
      <c r="EO37" s="1" t="n">
        <f aca="false">EL37*MIN(Slot13_Cost,EN37)</f>
        <v>0</v>
      </c>
      <c r="EP37" s="1" t="n">
        <f aca="false">EL37*Slot13_SpendLike*MIN(Slot13_Cost-EO37,EH37)</f>
        <v>0</v>
      </c>
      <c r="EQ37" s="1" t="n">
        <f aca="false">EO37+EP37</f>
        <v>0</v>
      </c>
      <c r="ER37" s="1" t="n">
        <f aca="false">EH37-EP37+EL37*IF(Slot13_SpendLike=1,EN37-EO37,IF(Slot13_PotFree=1,EN37,0))</f>
        <v>0</v>
      </c>
      <c r="ES37" s="1" t="n">
        <f aca="false">EI37+EL37*Slot13_BufPot*EN37</f>
        <v>0</v>
      </c>
      <c r="ET37" s="1" t="n">
        <f aca="false">IF(AND(EL37=1,Slot13_IsMfree=1),IF(EQ37&gt;=Slot13_Cost-1,0,MAX(0,EJ37-EQ37)),EJ37)</f>
        <v>0</v>
      </c>
      <c r="EU37" s="1" t="n">
        <f aca="false">EL37*(Slot13_Cost-EQ37)</f>
        <v>0</v>
      </c>
      <c r="EV37" s="1" t="n">
        <f aca="false">IF(AND(Slot14_On=1,D37=Slot14_Age),1,0)</f>
        <v>0</v>
      </c>
      <c r="EW37" s="1" t="n">
        <f aca="false">IF(AND(Slot14_On=1,Slot14_Age&gt;D37),1,0)</f>
        <v>0</v>
      </c>
      <c r="EX37" s="1" t="n">
        <f aca="false">SL36</f>
        <v>0</v>
      </c>
      <c r="EY37" s="1" t="n">
        <f aca="false">EV37*MIN(Slot14_Cost,EX37)</f>
        <v>0</v>
      </c>
      <c r="EZ37" s="1" t="n">
        <f aca="false">EV37*Slot14_SpendLike*MIN(Slot14_Cost-EY37,ER37)</f>
        <v>0</v>
      </c>
      <c r="FA37" s="1" t="n">
        <f aca="false">EY37+EZ37</f>
        <v>0</v>
      </c>
      <c r="FB37" s="1" t="n">
        <f aca="false">ER37-EZ37+EV37*IF(Slot14_SpendLike=1,EX37-EY37,IF(Slot14_PotFree=1,EX37,0))</f>
        <v>0</v>
      </c>
      <c r="FC37" s="1" t="n">
        <f aca="false">ES37+EV37*Slot14_BufPot*EX37</f>
        <v>0</v>
      </c>
      <c r="FD37" s="1" t="n">
        <f aca="false">IF(AND(EV37=1,Slot14_IsMfree=1),IF(FA37&gt;=Slot14_Cost-1,0,MAX(0,ET37-FA37)),ET37)</f>
        <v>0</v>
      </c>
      <c r="FE37" s="1" t="n">
        <f aca="false">EV37*(Slot14_Cost-FA37)</f>
        <v>0</v>
      </c>
      <c r="FF37" s="1" t="n">
        <f aca="false">IF(AND(Slot15_On=1,D37=Slot15_Age),1,0)</f>
        <v>0</v>
      </c>
      <c r="FG37" s="1" t="n">
        <f aca="false">IF(AND(Slot15_On=1,Slot15_Age&gt;D37),1,0)</f>
        <v>0</v>
      </c>
      <c r="FH37" s="1" t="n">
        <f aca="false">SP36</f>
        <v>0</v>
      </c>
      <c r="FI37" s="1" t="n">
        <f aca="false">FF37*MIN(Slot15_Cost,FH37)</f>
        <v>0</v>
      </c>
      <c r="FJ37" s="1" t="n">
        <f aca="false">FF37*Slot15_SpendLike*MIN(Slot15_Cost-FI37,FB37)</f>
        <v>0</v>
      </c>
      <c r="FK37" s="1" t="n">
        <f aca="false">FI37+FJ37</f>
        <v>0</v>
      </c>
      <c r="FL37" s="1" t="n">
        <f aca="false">FB37-FJ37+FF37*IF(Slot15_SpendLike=1,FH37-FI37,IF(Slot15_PotFree=1,FH37,0))</f>
        <v>0</v>
      </c>
      <c r="FM37" s="1" t="n">
        <f aca="false">FC37+FF37*Slot15_BufPot*FH37</f>
        <v>0</v>
      </c>
      <c r="FN37" s="1" t="n">
        <f aca="false">IF(AND(FF37=1,Slot15_IsMfree=1),IF(FK37&gt;=Slot15_Cost-1,0,MAX(0,FD37-FK37)),FD37)</f>
        <v>0</v>
      </c>
      <c r="FO37" s="1" t="n">
        <f aca="false">FF37*(Slot15_Cost-FK37)</f>
        <v>0</v>
      </c>
      <c r="FP37" s="1" t="n">
        <f aca="false">IF(AND(Slot16_On=1,D37=Slot16_Age),1,0)</f>
        <v>0</v>
      </c>
      <c r="FQ37" s="1" t="n">
        <f aca="false">IF(AND(Slot16_On=1,Slot16_Age&gt;D37),1,0)</f>
        <v>0</v>
      </c>
      <c r="FR37" s="1" t="n">
        <f aca="false">ST36</f>
        <v>0</v>
      </c>
      <c r="FS37" s="1" t="n">
        <f aca="false">FP37*MIN(Slot16_Cost,FR37)</f>
        <v>0</v>
      </c>
      <c r="FT37" s="1" t="n">
        <f aca="false">FP37*Slot16_SpendLike*MIN(Slot16_Cost-FS37,FL37)</f>
        <v>0</v>
      </c>
      <c r="FU37" s="1" t="n">
        <f aca="false">FS37+FT37</f>
        <v>0</v>
      </c>
      <c r="FV37" s="1" t="n">
        <f aca="false">FL37-FT37+FP37*IF(Slot16_SpendLike=1,FR37-FS37,IF(Slot16_PotFree=1,FR37,0))</f>
        <v>0</v>
      </c>
      <c r="FW37" s="1" t="n">
        <f aca="false">FM37+FP37*Slot16_BufPot*FR37</f>
        <v>0</v>
      </c>
      <c r="FX37" s="1" t="n">
        <f aca="false">IF(AND(FP37=1,Slot16_IsMfree=1),IF(FU37&gt;=Slot16_Cost-1,0,MAX(0,FN37-FU37)),FN37)</f>
        <v>0</v>
      </c>
      <c r="FY37" s="1" t="n">
        <f aca="false">FP37*(Slot16_Cost-FU37)</f>
        <v>0</v>
      </c>
      <c r="FZ37" s="1" t="n">
        <f aca="false">IF(AND(Slot17_On=1,D37=Slot17_Age),1,0)</f>
        <v>0</v>
      </c>
      <c r="GA37" s="1" t="n">
        <f aca="false">IF(AND(Slot17_On=1,Slot17_Age&gt;D37),1,0)</f>
        <v>0</v>
      </c>
      <c r="GB37" s="1" t="n">
        <f aca="false">SX36</f>
        <v>0</v>
      </c>
      <c r="GC37" s="1" t="n">
        <f aca="false">FZ37*MIN(Slot17_Cost,GB37)</f>
        <v>0</v>
      </c>
      <c r="GD37" s="1" t="n">
        <f aca="false">FZ37*Slot17_SpendLike*MIN(Slot17_Cost-GC37,FV37)</f>
        <v>0</v>
      </c>
      <c r="GE37" s="1" t="n">
        <f aca="false">GC37+GD37</f>
        <v>0</v>
      </c>
      <c r="GF37" s="1" t="n">
        <f aca="false">FV37-GD37+FZ37*IF(Slot17_SpendLike=1,GB37-GC37,IF(Slot17_PotFree=1,GB37,0))</f>
        <v>0</v>
      </c>
      <c r="GG37" s="1" t="n">
        <f aca="false">FW37+FZ37*Slot17_BufPot*GB37</f>
        <v>0</v>
      </c>
      <c r="GH37" s="1" t="n">
        <f aca="false">IF(AND(FZ37=1,Slot17_IsMfree=1),IF(GE37&gt;=Slot17_Cost-1,0,MAX(0,FX37-GE37)),FX37)</f>
        <v>0</v>
      </c>
      <c r="GI37" s="1" t="n">
        <f aca="false">FZ37*(Slot17_Cost-GE37)</f>
        <v>0</v>
      </c>
      <c r="GJ37" s="1" t="n">
        <f aca="false">IF(AND(Slot18_On=1,D37=Slot18_Age),1,0)</f>
        <v>0</v>
      </c>
      <c r="GK37" s="1" t="n">
        <f aca="false">IF(AND(Slot18_On=1,Slot18_Age&gt;D37),1,0)</f>
        <v>0</v>
      </c>
      <c r="GL37" s="1" t="n">
        <f aca="false">TB36</f>
        <v>0</v>
      </c>
      <c r="GM37" s="1" t="n">
        <f aca="false">GJ37*MIN(Slot18_Cost,GL37)</f>
        <v>0</v>
      </c>
      <c r="GN37" s="1" t="n">
        <f aca="false">GJ37*Slot18_SpendLike*MIN(Slot18_Cost-GM37,GF37)</f>
        <v>0</v>
      </c>
      <c r="GO37" s="1" t="n">
        <f aca="false">GM37+GN37</f>
        <v>0</v>
      </c>
      <c r="GP37" s="1" t="n">
        <f aca="false">GF37-GN37+GJ37*IF(Slot18_SpendLike=1,GL37-GM37,IF(Slot18_PotFree=1,GL37,0))</f>
        <v>0</v>
      </c>
      <c r="GQ37" s="1" t="n">
        <f aca="false">GG37+GJ37*Slot18_BufPot*GL37</f>
        <v>0</v>
      </c>
      <c r="GR37" s="1" t="n">
        <f aca="false">IF(AND(GJ37=1,Slot18_IsMfree=1),IF(GO37&gt;=Slot18_Cost-1,0,MAX(0,GH37-GO37)),GH37)</f>
        <v>0</v>
      </c>
      <c r="GS37" s="1" t="n">
        <f aca="false">GJ37*(Slot18_Cost-GO37)</f>
        <v>0</v>
      </c>
      <c r="GT37" s="1" t="n">
        <f aca="false">IF(AND(Slot19_On=1,D37=Slot19_Age),1,0)</f>
        <v>0</v>
      </c>
      <c r="GU37" s="1" t="n">
        <f aca="false">IF(AND(Slot19_On=1,Slot19_Age&gt;D37),1,0)</f>
        <v>0</v>
      </c>
      <c r="GV37" s="1" t="n">
        <f aca="false">TF36</f>
        <v>0</v>
      </c>
      <c r="GW37" s="1" t="n">
        <f aca="false">GT37*MIN(Slot19_Cost,GV37)</f>
        <v>0</v>
      </c>
      <c r="GX37" s="1" t="n">
        <f aca="false">GT37*Slot19_SpendLike*MIN(Slot19_Cost-GW37,GP37)</f>
        <v>0</v>
      </c>
      <c r="GY37" s="1" t="n">
        <f aca="false">GW37+GX37</f>
        <v>0</v>
      </c>
      <c r="GZ37" s="1" t="n">
        <f aca="false">GP37-GX37+GT37*IF(Slot19_SpendLike=1,GV37-GW37,IF(Slot19_PotFree=1,GV37,0))</f>
        <v>0</v>
      </c>
      <c r="HA37" s="1" t="n">
        <f aca="false">GQ37+GT37*Slot19_BufPot*GV37</f>
        <v>0</v>
      </c>
      <c r="HB37" s="1" t="n">
        <f aca="false">IF(AND(GT37=1,Slot19_IsMfree=1),IF(GY37&gt;=Slot19_Cost-1,0,MAX(0,GR37-GY37)),GR37)</f>
        <v>0</v>
      </c>
      <c r="HC37" s="1" t="n">
        <f aca="false">GT37*(Slot19_Cost-GY37)</f>
        <v>0</v>
      </c>
      <c r="HD37" s="1" t="n">
        <f aca="false">IF(AND(Slot20_On=1,D37=Slot20_Age),1,0)</f>
        <v>0</v>
      </c>
      <c r="HE37" s="1" t="n">
        <f aca="false">IF(AND(Slot20_On=1,Slot20_Age&gt;D37),1,0)</f>
        <v>0</v>
      </c>
      <c r="HF37" s="1" t="n">
        <f aca="false">TJ36</f>
        <v>0</v>
      </c>
      <c r="HG37" s="1" t="n">
        <f aca="false">HD37*MIN(Slot20_Cost,HF37)</f>
        <v>0</v>
      </c>
      <c r="HH37" s="1" t="n">
        <f aca="false">HD37*Slot20_SpendLike*MIN(Slot20_Cost-HG37,GZ37)</f>
        <v>0</v>
      </c>
      <c r="HI37" s="1" t="n">
        <f aca="false">HG37+HH37</f>
        <v>0</v>
      </c>
      <c r="HJ37" s="1" t="n">
        <f aca="false">GZ37-HH37+HD37*IF(Slot20_SpendLike=1,HF37-HG37,IF(Slot20_PotFree=1,HF37,0))</f>
        <v>0</v>
      </c>
      <c r="HK37" s="1" t="n">
        <f aca="false">HA37+HD37*Slot20_BufPot*HF37</f>
        <v>0</v>
      </c>
      <c r="HL37" s="1" t="n">
        <f aca="false">IF(AND(HD37=1,Slot20_IsMfree=1),IF(HI37&gt;=Slot20_Cost-1,0,MAX(0,HB37-HI37)),HB37)</f>
        <v>0</v>
      </c>
      <c r="HM37" s="1" t="n">
        <f aca="false">HD37*(Slot20_Cost-HI37)</f>
        <v>0</v>
      </c>
      <c r="HN37" s="1" t="n">
        <f aca="false">U37*Slot1_SpendLike*Z37+AF37*Slot2_SpendLike*AK37+AP37*Slot3_SpendLike*AU37+AZ37*Slot4_SpendLike*BE37+BJ37*Slot5_SpendLike*BO37+BT37*Slot6_SpendLike*BY37+CD37*Slot7_SpendLike*CI37+CN37*Slot8_SpendLike*CS37+CX37*Slot9_SpendLike*DC37+DH37*Slot10_SpendLike*DM37+DR37*Slot11_SpendLike*DW37+EB37*Slot12_SpendLike*EG37+EL37*Slot13_SpendLike*EQ37+EV37*Slot14_SpendLike*FA37+FF37*Slot15_SpendLike*FK37+FP37*Slot16_SpendLike*FU37+FZ37*Slot17_SpendLike*GE37+GJ37*Slot18_SpendLike*GO37+GT37*Slot19_SpendLike*GY37+HD37*Slot20_SpendLike*HI37</f>
        <v>0</v>
      </c>
      <c r="HO37" s="1" t="n">
        <f aca="false">AD37+AO37+AY37+BI37+BS37+CC37+CM37+CW37+DG37+DQ37+EA37+EK37+EU37+FE37+FO37+FY37+GI37+GS37+HC37+HM37</f>
        <v>0</v>
      </c>
      <c r="HP37" s="1" t="n">
        <f aca="false">U37*Slot1_Cost+AF37*Slot2_Cost+AP37*Slot3_Cost+AZ37*Slot4_Cost+BJ37*Slot5_Cost+BT37*Slot6_Cost+CD37*Slot7_Cost+CN37*Slot8_Cost+CX37*Slot9_Cost+DH37*Slot10_Cost+DR37*Slot11_Cost+EB37*Slot12_Cost+EL37*Slot13_Cost+EV37*Slot14_Cost+FF37*Slot15_Cost+FP37*Slot16_Cost+FZ37*Slot17_Cost+GJ37*Slot18_Cost+GT37*Slot19_Cost+HD37*Slot20_Cost</f>
        <v>0</v>
      </c>
      <c r="HQ37" s="1" t="n">
        <f aca="false">HL37</f>
        <v>0</v>
      </c>
      <c r="HR37" s="1" t="n">
        <f aca="false">G37-H37-R37</f>
        <v>0</v>
      </c>
      <c r="HS37" s="1" t="n">
        <f aca="false">IF(B37=0,IF(AND(Has_q6=1,In_q6=4),PR_ShareVaries*(MAX(0,HR37)/12),MIN(IF(Has_q6=1,CHOOSE(In_q6+1,PR_SaveB1,PR_SaveB2,PR_SaveB3,PR_SaveB4,0),AS_NoAnswer),AS_SaveShare*(MAX(0,HR37)/12))),HS36)</f>
        <v>0</v>
      </c>
      <c r="HT37" s="1" t="n">
        <f aca="false">IF(HR37&gt;=0,1,0)</f>
        <v>1</v>
      </c>
      <c r="HU37" s="1" t="n">
        <f aca="false">MAX(0,HR37/12/E37)</f>
        <v>0</v>
      </c>
      <c r="HV37" s="1" t="n">
        <f aca="false">IF(AND(Has_q6=1,In_q6=4),PR_ShareVaries*(HU37),MIN(IF(Has_q6=1,CHOOSE(In_q6+1,PR_SaveB1,PR_SaveB2,PR_SaveB3,PR_SaveB4,0),AS_NoAnswer),AS_SaveShare*(HU37)))</f>
        <v>0</v>
      </c>
      <c r="HW37" s="1" t="n">
        <f aca="false">IF(Has_saveM=1,IF(In_saveUp="Yes",1,IF(In_saveUp="No",0,IF(In_saveM&gt;=HS37-0.5,1,0))),0)</f>
        <v>0</v>
      </c>
      <c r="HX37" s="1" t="n">
        <f aca="false">IF(Has_saveM=1,MIN(HU37,IF(HW37=1,MAX(In_saveM,HV37),MIN(In_saveM,HV37))),HV37)</f>
        <v>0</v>
      </c>
      <c r="HY37" s="1" t="n">
        <f aca="false">IF(F37=1,HX37*12*E37,0)</f>
        <v>0</v>
      </c>
      <c r="HZ37" s="1" t="n">
        <f aca="false">MAX(0,HY37+IF(AND(WI_Retire=0,WI_M&lt;0,F37=1),WI_M*12*E37,0))</f>
        <v>0</v>
      </c>
      <c r="IA37" s="1" t="n">
        <f aca="false">Slot1_IsWG*V37+Slot2_IsWG*AG37+Slot3_IsWG*AQ37+Slot4_IsWG*BA37+Slot5_IsWG*BK37+Slot6_IsWG*BU37+Slot7_IsWG*CE37+Slot8_IsWG*CO37+Slot9_IsWG*CY37+Slot10_IsWG*DI37+Slot11_IsWG*DS37+Slot12_IsWG*EC37+Slot13_IsWG*EM37+Slot14_IsWG*EW37+Slot15_IsWG*FG37+Slot16_IsWG*FQ37+Slot17_IsWG*GA37+Slot18_IsWG*GK37+Slot19_IsWG*GU37+Slot20_IsWG*HE37</f>
        <v>0</v>
      </c>
      <c r="IB37" s="1" t="n">
        <f aca="false">IF(AND(WI_Retire=0,WI_M&gt;0,F37=1,IA37&gt;=1),WI_M*12*E37,0)</f>
        <v>0</v>
      </c>
      <c r="IC37" s="1" t="n">
        <f aca="false">IF(HT37=1,MIN(HZ37,HR37),0)</f>
        <v>0</v>
      </c>
      <c r="ID37" s="1" t="n">
        <f aca="false">IF(HT37=1,MIN(IB37,HR37-IC37),0)</f>
        <v>0</v>
      </c>
      <c r="IE37" s="1" t="n">
        <f aca="false">IF(V37=1,IF(ABS((1+AS_Wage)/(1+Slot1_Rate)-1)&lt;0.000000000001,(Slot1_Age-D37)*(1+Slot1_Rate)^(Slot1_Age-D37),(1+Slot1_Rate)^(Slot1_Age-D37)*(1-((1+AS_Wage)/(1+Slot1_Rate))^(Slot1_Age-D37))/(1-(1+AS_Wage)/(1+Slot1_Rate))),1)</f>
        <v>1</v>
      </c>
      <c r="IF37" s="1" t="n">
        <f aca="false">IF(AND(HT37=1,ID37&gt;0,Slot1_IsWG=1,V37=1),MAX(0,(Slot1_Cost-W37*(1+Slot1_Rate)^(Slot1_Age-D37))/IE37),0)</f>
        <v>0</v>
      </c>
      <c r="IG37" s="1" t="n">
        <f aca="false">IF(AND(HT37=1,ID37&gt;0,Slot1_IsWG=1,V37=1),MIN(ID37,IF37),0)</f>
        <v>0</v>
      </c>
      <c r="IH37" s="1" t="n">
        <f aca="false">W37+IG37</f>
        <v>0</v>
      </c>
      <c r="II37" s="1" t="n">
        <f aca="false">IF(V37=1,MAX(0,(Slot1_Cost-IH37*(1+Slot1_Rate)^(Slot1_Age-D37))/IE37),0)</f>
        <v>0</v>
      </c>
      <c r="IJ37" s="1" t="n">
        <f aca="false">IF(V37=1,MAX(0,(Slot1_Cost-W37*(1+Slot1_Rate)^(Slot1_Age-D37))/IE37),0)</f>
        <v>0</v>
      </c>
      <c r="IK37" s="1" t="n">
        <f aca="false">IF(AND(HT37=1,V37=1),MIN(IC37,II37),0)</f>
        <v>0</v>
      </c>
      <c r="IL37" s="1" t="n">
        <f aca="false">IC37-IK37</f>
        <v>0</v>
      </c>
      <c r="IM37" s="1" t="n">
        <f aca="false">IF(AG37=1,IF(ABS((1+AS_Wage)/(1+Slot2_Rate)-1)&lt;0.000000000001,(Slot2_Age-D37)*(1+Slot2_Rate)^(Slot2_Age-D37),(1+Slot2_Rate)^(Slot2_Age-D37)*(1-((1+AS_Wage)/(1+Slot2_Rate))^(Slot2_Age-D37))/(1-(1+AS_Wage)/(1+Slot2_Rate))),1)</f>
        <v>1</v>
      </c>
      <c r="IN37" s="1" t="n">
        <f aca="false">IF(AND(HT37=1,ID37&gt;0,Slot2_IsWG=1,AG37=1),MAX(0,(Slot2_Cost-AH37*(1+Slot2_Rate)^(Slot2_Age-D37))/IM37),0)</f>
        <v>0</v>
      </c>
      <c r="IO37" s="1" t="n">
        <f aca="false">IF(AND(HT37=1,ID37&gt;0,Slot2_IsWG=1,AG37=1),MIN(ID37,IN37),0)</f>
        <v>0</v>
      </c>
      <c r="IP37" s="1" t="n">
        <f aca="false">AH37+IO37</f>
        <v>0</v>
      </c>
      <c r="IQ37" s="1" t="n">
        <f aca="false">IF(AG37=1,MAX(0,(Slot2_Cost-IP37*(1+Slot2_Rate)^(Slot2_Age-D37))/IM37),0)</f>
        <v>0</v>
      </c>
      <c r="IR37" s="1" t="n">
        <f aca="false">IF(AG37=1,MAX(0,(Slot2_Cost-AH37*(1+Slot2_Rate)^(Slot2_Age-D37))/IM37),0)</f>
        <v>0</v>
      </c>
      <c r="IS37" s="1" t="n">
        <f aca="false">IF(AND(HT37=1,AG37=1),MIN(IL37,IQ37),0)</f>
        <v>0</v>
      </c>
      <c r="IT37" s="1" t="n">
        <f aca="false">IL37-IS37</f>
        <v>0</v>
      </c>
      <c r="IU37" s="1" t="n">
        <f aca="false">IF(AQ37=1,IF(ABS((1+AS_Wage)/(1+Slot3_Rate)-1)&lt;0.000000000001,(Slot3_Age-D37)*(1+Slot3_Rate)^(Slot3_Age-D37),(1+Slot3_Rate)^(Slot3_Age-D37)*(1-((1+AS_Wage)/(1+Slot3_Rate))^(Slot3_Age-D37))/(1-(1+AS_Wage)/(1+Slot3_Rate))),1)</f>
        <v>1</v>
      </c>
      <c r="IV37" s="1" t="n">
        <f aca="false">IF(AND(HT37=1,ID37&gt;0,Slot3_IsWG=1,AQ37=1),MAX(0,(Slot3_Cost-AR37*(1+Slot3_Rate)^(Slot3_Age-D37))/IU37),0)</f>
        <v>0</v>
      </c>
      <c r="IW37" s="1" t="n">
        <f aca="false">IF(AND(HT37=1,ID37&gt;0,Slot3_IsWG=1,AQ37=1),MIN(ID37,IV37),0)</f>
        <v>0</v>
      </c>
      <c r="IX37" s="1" t="n">
        <f aca="false">AR37+IW37</f>
        <v>0</v>
      </c>
      <c r="IY37" s="1" t="n">
        <f aca="false">IF(AQ37=1,MAX(0,(Slot3_Cost-IX37*(1+Slot3_Rate)^(Slot3_Age-D37))/IU37),0)</f>
        <v>0</v>
      </c>
      <c r="IZ37" s="1" t="n">
        <f aca="false">IF(AQ37=1,MAX(0,(Slot3_Cost-AR37*(1+Slot3_Rate)^(Slot3_Age-D37))/IU37),0)</f>
        <v>0</v>
      </c>
      <c r="JA37" s="1" t="n">
        <f aca="false">IF(AND(HT37=1,AQ37=1),MIN(IT37,IY37),0)</f>
        <v>0</v>
      </c>
      <c r="JB37" s="1" t="n">
        <f aca="false">IT37-JA37</f>
        <v>0</v>
      </c>
      <c r="JC37" s="1" t="n">
        <f aca="false">IF(BA37=1,IF(ABS((1+AS_Wage)/(1+Slot4_Rate)-1)&lt;0.000000000001,(Slot4_Age-D37)*(1+Slot4_Rate)^(Slot4_Age-D37),(1+Slot4_Rate)^(Slot4_Age-D37)*(1-((1+AS_Wage)/(1+Slot4_Rate))^(Slot4_Age-D37))/(1-(1+AS_Wage)/(1+Slot4_Rate))),1)</f>
        <v>1</v>
      </c>
      <c r="JD37" s="1" t="n">
        <f aca="false">IF(AND(HT37=1,ID37&gt;0,Slot4_IsWG=1,BA37=1),MAX(0,(Slot4_Cost-BB37*(1+Slot4_Rate)^(Slot4_Age-D37))/JC37),0)</f>
        <v>0</v>
      </c>
      <c r="JE37" s="1" t="n">
        <f aca="false">IF(AND(HT37=1,ID37&gt;0,Slot4_IsWG=1,BA37=1),MIN(ID37,JD37),0)</f>
        <v>0</v>
      </c>
      <c r="JF37" s="1" t="n">
        <f aca="false">BB37+JE37</f>
        <v>0</v>
      </c>
      <c r="JG37" s="1" t="n">
        <f aca="false">IF(BA37=1,MAX(0,(Slot4_Cost-JF37*(1+Slot4_Rate)^(Slot4_Age-D37))/JC37),0)</f>
        <v>0</v>
      </c>
      <c r="JH37" s="1" t="n">
        <f aca="false">IF(BA37=1,MAX(0,(Slot4_Cost-BB37*(1+Slot4_Rate)^(Slot4_Age-D37))/JC37),0)</f>
        <v>0</v>
      </c>
      <c r="JI37" s="1" t="n">
        <f aca="false">IF(AND(HT37=1,BA37=1),MIN(JB37,JG37),0)</f>
        <v>0</v>
      </c>
      <c r="JJ37" s="1" t="n">
        <f aca="false">JB37-JI37</f>
        <v>0</v>
      </c>
      <c r="JK37" s="1" t="n">
        <f aca="false">IF(BK37=1,IF(ABS((1+AS_Wage)/(1+Slot5_Rate)-1)&lt;0.000000000001,(Slot5_Age-D37)*(1+Slot5_Rate)^(Slot5_Age-D37),(1+Slot5_Rate)^(Slot5_Age-D37)*(1-((1+AS_Wage)/(1+Slot5_Rate))^(Slot5_Age-D37))/(1-(1+AS_Wage)/(1+Slot5_Rate))),1)</f>
        <v>1</v>
      </c>
      <c r="JL37" s="1" t="n">
        <f aca="false">IF(AND(HT37=1,ID37&gt;0,Slot5_IsWG=1,BK37=1),MAX(0,(Slot5_Cost-BL37*(1+Slot5_Rate)^(Slot5_Age-D37))/JK37),0)</f>
        <v>0</v>
      </c>
      <c r="JM37" s="1" t="n">
        <f aca="false">IF(AND(HT37=1,ID37&gt;0,Slot5_IsWG=1,BK37=1),MIN(ID37,JL37),0)</f>
        <v>0</v>
      </c>
      <c r="JN37" s="1" t="n">
        <f aca="false">BL37+JM37</f>
        <v>0</v>
      </c>
      <c r="JO37" s="1" t="n">
        <f aca="false">IF(BK37=1,MAX(0,(Slot5_Cost-JN37*(1+Slot5_Rate)^(Slot5_Age-D37))/JK37),0)</f>
        <v>0</v>
      </c>
      <c r="JP37" s="1" t="n">
        <f aca="false">IF(BK37=1,MAX(0,(Slot5_Cost-BL37*(1+Slot5_Rate)^(Slot5_Age-D37))/JK37),0)</f>
        <v>0</v>
      </c>
      <c r="JQ37" s="1" t="n">
        <f aca="false">IF(AND(HT37=1,BK37=1),MIN(JJ37,JO37),0)</f>
        <v>0</v>
      </c>
      <c r="JR37" s="1" t="n">
        <f aca="false">JJ37-JQ37</f>
        <v>0</v>
      </c>
      <c r="JS37" s="1" t="n">
        <f aca="false">IF(BU37=1,IF(ABS((1+AS_Wage)/(1+Slot6_Rate)-1)&lt;0.000000000001,(Slot6_Age-D37)*(1+Slot6_Rate)^(Slot6_Age-D37),(1+Slot6_Rate)^(Slot6_Age-D37)*(1-((1+AS_Wage)/(1+Slot6_Rate))^(Slot6_Age-D37))/(1-(1+AS_Wage)/(1+Slot6_Rate))),1)</f>
        <v>1</v>
      </c>
      <c r="JT37" s="1" t="n">
        <f aca="false">IF(AND(HT37=1,ID37&gt;0,Slot6_IsWG=1,BU37=1),MAX(0,(Slot6_Cost-BV37*(1+Slot6_Rate)^(Slot6_Age-D37))/JS37),0)</f>
        <v>0</v>
      </c>
      <c r="JU37" s="1" t="n">
        <f aca="false">IF(AND(HT37=1,ID37&gt;0,Slot6_IsWG=1,BU37=1),MIN(ID37,JT37),0)</f>
        <v>0</v>
      </c>
      <c r="JV37" s="1" t="n">
        <f aca="false">BV37+JU37</f>
        <v>0</v>
      </c>
      <c r="JW37" s="1" t="n">
        <f aca="false">IF(BU37=1,MAX(0,(Slot6_Cost-JV37*(1+Slot6_Rate)^(Slot6_Age-D37))/JS37),0)</f>
        <v>0</v>
      </c>
      <c r="JX37" s="1" t="n">
        <f aca="false">IF(BU37=1,MAX(0,(Slot6_Cost-BV37*(1+Slot6_Rate)^(Slot6_Age-D37))/JS37),0)</f>
        <v>0</v>
      </c>
      <c r="JY37" s="1" t="n">
        <f aca="false">IF(AND(HT37=1,BU37=1),MIN(JR37,JW37),0)</f>
        <v>0</v>
      </c>
      <c r="JZ37" s="1" t="n">
        <f aca="false">JR37-JY37</f>
        <v>0</v>
      </c>
      <c r="KA37" s="1" t="n">
        <f aca="false">IF(CE37=1,IF(ABS((1+AS_Wage)/(1+Slot7_Rate)-1)&lt;0.000000000001,(Slot7_Age-D37)*(1+Slot7_Rate)^(Slot7_Age-D37),(1+Slot7_Rate)^(Slot7_Age-D37)*(1-((1+AS_Wage)/(1+Slot7_Rate))^(Slot7_Age-D37))/(1-(1+AS_Wage)/(1+Slot7_Rate))),1)</f>
        <v>1</v>
      </c>
      <c r="KB37" s="1" t="n">
        <f aca="false">IF(AND(HT37=1,ID37&gt;0,Slot7_IsWG=1,CE37=1),MAX(0,(Slot7_Cost-CF37*(1+Slot7_Rate)^(Slot7_Age-D37))/KA37),0)</f>
        <v>0</v>
      </c>
      <c r="KC37" s="1" t="n">
        <f aca="false">IF(AND(HT37=1,ID37&gt;0,Slot7_IsWG=1,CE37=1),MIN(ID37,KB37),0)</f>
        <v>0</v>
      </c>
      <c r="KD37" s="1" t="n">
        <f aca="false">CF37+KC37</f>
        <v>0</v>
      </c>
      <c r="KE37" s="1" t="n">
        <f aca="false">IF(CE37=1,MAX(0,(Slot7_Cost-KD37*(1+Slot7_Rate)^(Slot7_Age-D37))/KA37),0)</f>
        <v>0</v>
      </c>
      <c r="KF37" s="1" t="n">
        <f aca="false">IF(CE37=1,MAX(0,(Slot7_Cost-CF37*(1+Slot7_Rate)^(Slot7_Age-D37))/KA37),0)</f>
        <v>0</v>
      </c>
      <c r="KG37" s="1" t="n">
        <f aca="false">IF(AND(HT37=1,CE37=1),MIN(JZ37,KE37),0)</f>
        <v>0</v>
      </c>
      <c r="KH37" s="1" t="n">
        <f aca="false">JZ37-KG37</f>
        <v>0</v>
      </c>
      <c r="KI37" s="1" t="n">
        <f aca="false">IF(CO37=1,IF(ABS((1+AS_Wage)/(1+Slot8_Rate)-1)&lt;0.000000000001,(Slot8_Age-D37)*(1+Slot8_Rate)^(Slot8_Age-D37),(1+Slot8_Rate)^(Slot8_Age-D37)*(1-((1+AS_Wage)/(1+Slot8_Rate))^(Slot8_Age-D37))/(1-(1+AS_Wage)/(1+Slot8_Rate))),1)</f>
        <v>1</v>
      </c>
      <c r="KJ37" s="1" t="n">
        <f aca="false">IF(AND(HT37=1,ID37&gt;0,Slot8_IsWG=1,CO37=1),MAX(0,(Slot8_Cost-CP37*(1+Slot8_Rate)^(Slot8_Age-D37))/KI37),0)</f>
        <v>0</v>
      </c>
      <c r="KK37" s="1" t="n">
        <f aca="false">IF(AND(HT37=1,ID37&gt;0,Slot8_IsWG=1,CO37=1),MIN(ID37,KJ37),0)</f>
        <v>0</v>
      </c>
      <c r="KL37" s="1" t="n">
        <f aca="false">CP37+KK37</f>
        <v>0</v>
      </c>
      <c r="KM37" s="1" t="n">
        <f aca="false">IF(CO37=1,MAX(0,(Slot8_Cost-KL37*(1+Slot8_Rate)^(Slot8_Age-D37))/KI37),0)</f>
        <v>0</v>
      </c>
      <c r="KN37" s="1" t="n">
        <f aca="false">IF(CO37=1,MAX(0,(Slot8_Cost-CP37*(1+Slot8_Rate)^(Slot8_Age-D37))/KI37),0)</f>
        <v>0</v>
      </c>
      <c r="KO37" s="1" t="n">
        <f aca="false">IF(AND(HT37=1,CO37=1),MIN(KH37,KM37),0)</f>
        <v>0</v>
      </c>
      <c r="KP37" s="1" t="n">
        <f aca="false">KH37-KO37</f>
        <v>0</v>
      </c>
      <c r="KQ37" s="1" t="n">
        <f aca="false">IF(CY37=1,IF(ABS((1+AS_Wage)/(1+Slot9_Rate)-1)&lt;0.000000000001,(Slot9_Age-D37)*(1+Slot9_Rate)^(Slot9_Age-D37),(1+Slot9_Rate)^(Slot9_Age-D37)*(1-((1+AS_Wage)/(1+Slot9_Rate))^(Slot9_Age-D37))/(1-(1+AS_Wage)/(1+Slot9_Rate))),1)</f>
        <v>1</v>
      </c>
      <c r="KR37" s="1" t="n">
        <f aca="false">IF(AND(HT37=1,ID37&gt;0,Slot9_IsWG=1,CY37=1),MAX(0,(Slot9_Cost-CZ37*(1+Slot9_Rate)^(Slot9_Age-D37))/KQ37),0)</f>
        <v>0</v>
      </c>
      <c r="KS37" s="1" t="n">
        <f aca="false">IF(AND(HT37=1,ID37&gt;0,Slot9_IsWG=1,CY37=1),MIN(ID37,KR37),0)</f>
        <v>0</v>
      </c>
      <c r="KT37" s="1" t="n">
        <f aca="false">CZ37+KS37</f>
        <v>0</v>
      </c>
      <c r="KU37" s="1" t="n">
        <f aca="false">IF(CY37=1,MAX(0,(Slot9_Cost-KT37*(1+Slot9_Rate)^(Slot9_Age-D37))/KQ37),0)</f>
        <v>0</v>
      </c>
      <c r="KV37" s="1" t="n">
        <f aca="false">IF(CY37=1,MAX(0,(Slot9_Cost-CZ37*(1+Slot9_Rate)^(Slot9_Age-D37))/KQ37),0)</f>
        <v>0</v>
      </c>
      <c r="KW37" s="1" t="n">
        <f aca="false">IF(AND(HT37=1,CY37=1),MIN(KP37,KU37),0)</f>
        <v>0</v>
      </c>
      <c r="KX37" s="1" t="n">
        <f aca="false">KP37-KW37</f>
        <v>0</v>
      </c>
      <c r="KY37" s="1" t="n">
        <f aca="false">IF(DI37=1,IF(ABS((1+AS_Wage)/(1+Slot10_Rate)-1)&lt;0.000000000001,(Slot10_Age-D37)*(1+Slot10_Rate)^(Slot10_Age-D37),(1+Slot10_Rate)^(Slot10_Age-D37)*(1-((1+AS_Wage)/(1+Slot10_Rate))^(Slot10_Age-D37))/(1-(1+AS_Wage)/(1+Slot10_Rate))),1)</f>
        <v>1</v>
      </c>
      <c r="KZ37" s="1" t="n">
        <f aca="false">IF(AND(HT37=1,ID37&gt;0,Slot10_IsWG=1,DI37=1),MAX(0,(Slot10_Cost-DJ37*(1+Slot10_Rate)^(Slot10_Age-D37))/KY37),0)</f>
        <v>0</v>
      </c>
      <c r="LA37" s="1" t="n">
        <f aca="false">IF(AND(HT37=1,ID37&gt;0,Slot10_IsWG=1,DI37=1),MIN(ID37,KZ37),0)</f>
        <v>0</v>
      </c>
      <c r="LB37" s="1" t="n">
        <f aca="false">DJ37+LA37</f>
        <v>0</v>
      </c>
      <c r="LC37" s="1" t="n">
        <f aca="false">IF(DI37=1,MAX(0,(Slot10_Cost-LB37*(1+Slot10_Rate)^(Slot10_Age-D37))/KY37),0)</f>
        <v>0</v>
      </c>
      <c r="LD37" s="1" t="n">
        <f aca="false">IF(DI37=1,MAX(0,(Slot10_Cost-DJ37*(1+Slot10_Rate)^(Slot10_Age-D37))/KY37),0)</f>
        <v>0</v>
      </c>
      <c r="LE37" s="1" t="n">
        <f aca="false">IF(AND(HT37=1,DI37=1),MIN(KX37,LC37),0)</f>
        <v>0</v>
      </c>
      <c r="LF37" s="1" t="n">
        <f aca="false">KX37-LE37</f>
        <v>0</v>
      </c>
      <c r="LG37" s="1" t="n">
        <f aca="false">IF(DS37=1,IF(ABS((1+AS_Wage)/(1+Slot11_Rate)-1)&lt;0.000000000001,(Slot11_Age-D37)*(1+Slot11_Rate)^(Slot11_Age-D37),(1+Slot11_Rate)^(Slot11_Age-D37)*(1-((1+AS_Wage)/(1+Slot11_Rate))^(Slot11_Age-D37))/(1-(1+AS_Wage)/(1+Slot11_Rate))),1)</f>
        <v>1</v>
      </c>
      <c r="LH37" s="1" t="n">
        <f aca="false">IF(AND(HT37=1,ID37&gt;0,Slot11_IsWG=1,DS37=1),MAX(0,(Slot11_Cost-DT37*(1+Slot11_Rate)^(Slot11_Age-D37))/LG37),0)</f>
        <v>0</v>
      </c>
      <c r="LI37" s="1" t="n">
        <f aca="false">IF(AND(HT37=1,ID37&gt;0,Slot11_IsWG=1,DS37=1),MIN(ID37,LH37),0)</f>
        <v>0</v>
      </c>
      <c r="LJ37" s="1" t="n">
        <f aca="false">DT37+LI37</f>
        <v>0</v>
      </c>
      <c r="LK37" s="1" t="n">
        <f aca="false">IF(DS37=1,MAX(0,(Slot11_Cost-LJ37*(1+Slot11_Rate)^(Slot11_Age-D37))/LG37),0)</f>
        <v>0</v>
      </c>
      <c r="LL37" s="1" t="n">
        <f aca="false">IF(DS37=1,MAX(0,(Slot11_Cost-DT37*(1+Slot11_Rate)^(Slot11_Age-D37))/LG37),0)</f>
        <v>0</v>
      </c>
      <c r="LM37" s="1" t="n">
        <f aca="false">IF(AND(HT37=1,DS37=1),MIN(LF37,LK37),0)</f>
        <v>0</v>
      </c>
      <c r="LN37" s="1" t="n">
        <f aca="false">LF37-LM37</f>
        <v>0</v>
      </c>
      <c r="LO37" s="1" t="n">
        <f aca="false">IF(EC37=1,IF(ABS((1+AS_Wage)/(1+Slot12_Rate)-1)&lt;0.000000000001,(Slot12_Age-D37)*(1+Slot12_Rate)^(Slot12_Age-D37),(1+Slot12_Rate)^(Slot12_Age-D37)*(1-((1+AS_Wage)/(1+Slot12_Rate))^(Slot12_Age-D37))/(1-(1+AS_Wage)/(1+Slot12_Rate))),1)</f>
        <v>1</v>
      </c>
      <c r="LP37" s="1" t="n">
        <f aca="false">IF(AND(HT37=1,ID37&gt;0,Slot12_IsWG=1,EC37=1),MAX(0,(Slot12_Cost-ED37*(1+Slot12_Rate)^(Slot12_Age-D37))/LO37),0)</f>
        <v>0</v>
      </c>
      <c r="LQ37" s="1" t="n">
        <f aca="false">IF(AND(HT37=1,ID37&gt;0,Slot12_IsWG=1,EC37=1),MIN(ID37,LP37),0)</f>
        <v>0</v>
      </c>
      <c r="LR37" s="1" t="n">
        <f aca="false">ED37+LQ37</f>
        <v>0</v>
      </c>
      <c r="LS37" s="1" t="n">
        <f aca="false">IF(EC37=1,MAX(0,(Slot12_Cost-LR37*(1+Slot12_Rate)^(Slot12_Age-D37))/LO37),0)</f>
        <v>0</v>
      </c>
      <c r="LT37" s="1" t="n">
        <f aca="false">IF(EC37=1,MAX(0,(Slot12_Cost-ED37*(1+Slot12_Rate)^(Slot12_Age-D37))/LO37),0)</f>
        <v>0</v>
      </c>
      <c r="LU37" s="1" t="n">
        <f aca="false">IF(AND(HT37=1,EC37=1),MIN(LN37,LS37),0)</f>
        <v>0</v>
      </c>
      <c r="LV37" s="1" t="n">
        <f aca="false">LN37-LU37</f>
        <v>0</v>
      </c>
      <c r="LW37" s="1" t="n">
        <f aca="false">IF(EM37=1,IF(ABS((1+AS_Wage)/(1+Slot13_Rate)-1)&lt;0.000000000001,(Slot13_Age-D37)*(1+Slot13_Rate)^(Slot13_Age-D37),(1+Slot13_Rate)^(Slot13_Age-D37)*(1-((1+AS_Wage)/(1+Slot13_Rate))^(Slot13_Age-D37))/(1-(1+AS_Wage)/(1+Slot13_Rate))),1)</f>
        <v>1</v>
      </c>
      <c r="LX37" s="1" t="n">
        <f aca="false">IF(AND(HT37=1,ID37&gt;0,Slot13_IsWG=1,EM37=1),MAX(0,(Slot13_Cost-EN37*(1+Slot13_Rate)^(Slot13_Age-D37))/LW37),0)</f>
        <v>0</v>
      </c>
      <c r="LY37" s="1" t="n">
        <f aca="false">IF(AND(HT37=1,ID37&gt;0,Slot13_IsWG=1,EM37=1),MIN(ID37,LX37),0)</f>
        <v>0</v>
      </c>
      <c r="LZ37" s="1" t="n">
        <f aca="false">EN37+LY37</f>
        <v>0</v>
      </c>
      <c r="MA37" s="1" t="n">
        <f aca="false">IF(EM37=1,MAX(0,(Slot13_Cost-LZ37*(1+Slot13_Rate)^(Slot13_Age-D37))/LW37),0)</f>
        <v>0</v>
      </c>
      <c r="MB37" s="1" t="n">
        <f aca="false">IF(EM37=1,MAX(0,(Slot13_Cost-EN37*(1+Slot13_Rate)^(Slot13_Age-D37))/LW37),0)</f>
        <v>0</v>
      </c>
      <c r="MC37" s="1" t="n">
        <f aca="false">IF(AND(HT37=1,EM37=1),MIN(LV37,MA37),0)</f>
        <v>0</v>
      </c>
      <c r="MD37" s="1" t="n">
        <f aca="false">LV37-MC37</f>
        <v>0</v>
      </c>
      <c r="ME37" s="1" t="n">
        <f aca="false">IF(EW37=1,IF(ABS((1+AS_Wage)/(1+Slot14_Rate)-1)&lt;0.000000000001,(Slot14_Age-D37)*(1+Slot14_Rate)^(Slot14_Age-D37),(1+Slot14_Rate)^(Slot14_Age-D37)*(1-((1+AS_Wage)/(1+Slot14_Rate))^(Slot14_Age-D37))/(1-(1+AS_Wage)/(1+Slot14_Rate))),1)</f>
        <v>1</v>
      </c>
      <c r="MF37" s="1" t="n">
        <f aca="false">IF(AND(HT37=1,ID37&gt;0,Slot14_IsWG=1,EW37=1),MAX(0,(Slot14_Cost-EX37*(1+Slot14_Rate)^(Slot14_Age-D37))/ME37),0)</f>
        <v>0</v>
      </c>
      <c r="MG37" s="1" t="n">
        <f aca="false">IF(AND(HT37=1,ID37&gt;0,Slot14_IsWG=1,EW37=1),MIN(ID37,MF37),0)</f>
        <v>0</v>
      </c>
      <c r="MH37" s="1" t="n">
        <f aca="false">EX37+MG37</f>
        <v>0</v>
      </c>
      <c r="MI37" s="1" t="n">
        <f aca="false">IF(EW37=1,MAX(0,(Slot14_Cost-MH37*(1+Slot14_Rate)^(Slot14_Age-D37))/ME37),0)</f>
        <v>0</v>
      </c>
      <c r="MJ37" s="1" t="n">
        <f aca="false">IF(EW37=1,MAX(0,(Slot14_Cost-EX37*(1+Slot14_Rate)^(Slot14_Age-D37))/ME37),0)</f>
        <v>0</v>
      </c>
      <c r="MK37" s="1" t="n">
        <f aca="false">IF(AND(HT37=1,EW37=1),MIN(MD37,MI37),0)</f>
        <v>0</v>
      </c>
      <c r="ML37" s="1" t="n">
        <f aca="false">MD37-MK37</f>
        <v>0</v>
      </c>
      <c r="MM37" s="1" t="n">
        <f aca="false">IF(FG37=1,IF(ABS((1+AS_Wage)/(1+Slot15_Rate)-1)&lt;0.000000000001,(Slot15_Age-D37)*(1+Slot15_Rate)^(Slot15_Age-D37),(1+Slot15_Rate)^(Slot15_Age-D37)*(1-((1+AS_Wage)/(1+Slot15_Rate))^(Slot15_Age-D37))/(1-(1+AS_Wage)/(1+Slot15_Rate))),1)</f>
        <v>1</v>
      </c>
      <c r="MN37" s="1" t="n">
        <f aca="false">IF(AND(HT37=1,ID37&gt;0,Slot15_IsWG=1,FG37=1),MAX(0,(Slot15_Cost-FH37*(1+Slot15_Rate)^(Slot15_Age-D37))/MM37),0)</f>
        <v>0</v>
      </c>
      <c r="MO37" s="1" t="n">
        <f aca="false">IF(AND(HT37=1,ID37&gt;0,Slot15_IsWG=1,FG37=1),MIN(ID37,MN37),0)</f>
        <v>0</v>
      </c>
      <c r="MP37" s="1" t="n">
        <f aca="false">FH37+MO37</f>
        <v>0</v>
      </c>
      <c r="MQ37" s="1" t="n">
        <f aca="false">IF(FG37=1,MAX(0,(Slot15_Cost-MP37*(1+Slot15_Rate)^(Slot15_Age-D37))/MM37),0)</f>
        <v>0</v>
      </c>
      <c r="MR37" s="1" t="n">
        <f aca="false">IF(FG37=1,MAX(0,(Slot15_Cost-FH37*(1+Slot15_Rate)^(Slot15_Age-D37))/MM37),0)</f>
        <v>0</v>
      </c>
      <c r="MS37" s="1" t="n">
        <f aca="false">IF(AND(HT37=1,FG37=1),MIN(ML37,MQ37),0)</f>
        <v>0</v>
      </c>
      <c r="MT37" s="1" t="n">
        <f aca="false">ML37-MS37</f>
        <v>0</v>
      </c>
      <c r="MU37" s="1" t="n">
        <f aca="false">IF(FQ37=1,IF(ABS((1+AS_Wage)/(1+Slot16_Rate)-1)&lt;0.000000000001,(Slot16_Age-D37)*(1+Slot16_Rate)^(Slot16_Age-D37),(1+Slot16_Rate)^(Slot16_Age-D37)*(1-((1+AS_Wage)/(1+Slot16_Rate))^(Slot16_Age-D37))/(1-(1+AS_Wage)/(1+Slot16_Rate))),1)</f>
        <v>1</v>
      </c>
      <c r="MV37" s="1" t="n">
        <f aca="false">IF(AND(HT37=1,ID37&gt;0,Slot16_IsWG=1,FQ37=1),MAX(0,(Slot16_Cost-FR37*(1+Slot16_Rate)^(Slot16_Age-D37))/MU37),0)</f>
        <v>0</v>
      </c>
      <c r="MW37" s="1" t="n">
        <f aca="false">IF(AND(HT37=1,ID37&gt;0,Slot16_IsWG=1,FQ37=1),MIN(ID37,MV37),0)</f>
        <v>0</v>
      </c>
      <c r="MX37" s="1" t="n">
        <f aca="false">FR37+MW37</f>
        <v>0</v>
      </c>
      <c r="MY37" s="1" t="n">
        <f aca="false">IF(FQ37=1,MAX(0,(Slot16_Cost-MX37*(1+Slot16_Rate)^(Slot16_Age-D37))/MU37),0)</f>
        <v>0</v>
      </c>
      <c r="MZ37" s="1" t="n">
        <f aca="false">IF(FQ37=1,MAX(0,(Slot16_Cost-FR37*(1+Slot16_Rate)^(Slot16_Age-D37))/MU37),0)</f>
        <v>0</v>
      </c>
      <c r="NA37" s="1" t="n">
        <f aca="false">IF(AND(HT37=1,FQ37=1),MIN(MT37,MY37),0)</f>
        <v>0</v>
      </c>
      <c r="NB37" s="1" t="n">
        <f aca="false">MT37-NA37</f>
        <v>0</v>
      </c>
      <c r="NC37" s="1" t="n">
        <f aca="false">IF(GA37=1,IF(ABS((1+AS_Wage)/(1+Slot17_Rate)-1)&lt;0.000000000001,(Slot17_Age-D37)*(1+Slot17_Rate)^(Slot17_Age-D37),(1+Slot17_Rate)^(Slot17_Age-D37)*(1-((1+AS_Wage)/(1+Slot17_Rate))^(Slot17_Age-D37))/(1-(1+AS_Wage)/(1+Slot17_Rate))),1)</f>
        <v>1</v>
      </c>
      <c r="ND37" s="1" t="n">
        <f aca="false">IF(AND(HT37=1,ID37&gt;0,Slot17_IsWG=1,GA37=1),MAX(0,(Slot17_Cost-GB37*(1+Slot17_Rate)^(Slot17_Age-D37))/NC37),0)</f>
        <v>0</v>
      </c>
      <c r="NE37" s="1" t="n">
        <f aca="false">IF(AND(HT37=1,ID37&gt;0,Slot17_IsWG=1,GA37=1),MIN(ID37,ND37),0)</f>
        <v>0</v>
      </c>
      <c r="NF37" s="1" t="n">
        <f aca="false">GB37+NE37</f>
        <v>0</v>
      </c>
      <c r="NG37" s="1" t="n">
        <f aca="false">IF(GA37=1,MAX(0,(Slot17_Cost-NF37*(1+Slot17_Rate)^(Slot17_Age-D37))/NC37),0)</f>
        <v>0</v>
      </c>
      <c r="NH37" s="1" t="n">
        <f aca="false">IF(GA37=1,MAX(0,(Slot17_Cost-GB37*(1+Slot17_Rate)^(Slot17_Age-D37))/NC37),0)</f>
        <v>0</v>
      </c>
      <c r="NI37" s="1" t="n">
        <f aca="false">IF(AND(HT37=1,GA37=1),MIN(NB37,NG37),0)</f>
        <v>0</v>
      </c>
      <c r="NJ37" s="1" t="n">
        <f aca="false">NB37-NI37</f>
        <v>0</v>
      </c>
      <c r="NK37" s="1" t="n">
        <f aca="false">IF(GK37=1,IF(ABS((1+AS_Wage)/(1+Slot18_Rate)-1)&lt;0.000000000001,(Slot18_Age-D37)*(1+Slot18_Rate)^(Slot18_Age-D37),(1+Slot18_Rate)^(Slot18_Age-D37)*(1-((1+AS_Wage)/(1+Slot18_Rate))^(Slot18_Age-D37))/(1-(1+AS_Wage)/(1+Slot18_Rate))),1)</f>
        <v>1</v>
      </c>
      <c r="NL37" s="1" t="n">
        <f aca="false">IF(AND(HT37=1,ID37&gt;0,Slot18_IsWG=1,GK37=1),MAX(0,(Slot18_Cost-GL37*(1+Slot18_Rate)^(Slot18_Age-D37))/NK37),0)</f>
        <v>0</v>
      </c>
      <c r="NM37" s="1" t="n">
        <f aca="false">IF(AND(HT37=1,ID37&gt;0,Slot18_IsWG=1,GK37=1),MIN(ID37,NL37),0)</f>
        <v>0</v>
      </c>
      <c r="NN37" s="1" t="n">
        <f aca="false">GL37+NM37</f>
        <v>0</v>
      </c>
      <c r="NO37" s="1" t="n">
        <f aca="false">IF(GK37=1,MAX(0,(Slot18_Cost-NN37*(1+Slot18_Rate)^(Slot18_Age-D37))/NK37),0)</f>
        <v>0</v>
      </c>
      <c r="NP37" s="1" t="n">
        <f aca="false">IF(GK37=1,MAX(0,(Slot18_Cost-GL37*(1+Slot18_Rate)^(Slot18_Age-D37))/NK37),0)</f>
        <v>0</v>
      </c>
      <c r="NQ37" s="1" t="n">
        <f aca="false">IF(AND(HT37=1,GK37=1),MIN(NJ37,NO37),0)</f>
        <v>0</v>
      </c>
      <c r="NR37" s="1" t="n">
        <f aca="false">NJ37-NQ37</f>
        <v>0</v>
      </c>
      <c r="NS37" s="1" t="n">
        <f aca="false">IF(GU37=1,IF(ABS((1+AS_Wage)/(1+Slot19_Rate)-1)&lt;0.000000000001,(Slot19_Age-D37)*(1+Slot19_Rate)^(Slot19_Age-D37),(1+Slot19_Rate)^(Slot19_Age-D37)*(1-((1+AS_Wage)/(1+Slot19_Rate))^(Slot19_Age-D37))/(1-(1+AS_Wage)/(1+Slot19_Rate))),1)</f>
        <v>1</v>
      </c>
      <c r="NT37" s="1" t="n">
        <f aca="false">IF(AND(HT37=1,ID37&gt;0,Slot19_IsWG=1,GU37=1),MAX(0,(Slot19_Cost-GV37*(1+Slot19_Rate)^(Slot19_Age-D37))/NS37),0)</f>
        <v>0</v>
      </c>
      <c r="NU37" s="1" t="n">
        <f aca="false">IF(AND(HT37=1,ID37&gt;0,Slot19_IsWG=1,GU37=1),MIN(ID37,NT37),0)</f>
        <v>0</v>
      </c>
      <c r="NV37" s="1" t="n">
        <f aca="false">GV37+NU37</f>
        <v>0</v>
      </c>
      <c r="NW37" s="1" t="n">
        <f aca="false">IF(GU37=1,MAX(0,(Slot19_Cost-NV37*(1+Slot19_Rate)^(Slot19_Age-D37))/NS37),0)</f>
        <v>0</v>
      </c>
      <c r="NX37" s="1" t="n">
        <f aca="false">IF(GU37=1,MAX(0,(Slot19_Cost-GV37*(1+Slot19_Rate)^(Slot19_Age-D37))/NS37),0)</f>
        <v>0</v>
      </c>
      <c r="NY37" s="1" t="n">
        <f aca="false">IF(AND(HT37=1,GU37=1),MIN(NR37,NW37),0)</f>
        <v>0</v>
      </c>
      <c r="NZ37" s="1" t="n">
        <f aca="false">NR37-NY37</f>
        <v>0</v>
      </c>
      <c r="OA37" s="1" t="n">
        <f aca="false">IF(HE37=1,IF(ABS((1+AS_Wage)/(1+Slot20_Rate)-1)&lt;0.000000000001,(Slot20_Age-D37)*(1+Slot20_Rate)^(Slot20_Age-D37),(1+Slot20_Rate)^(Slot20_Age-D37)*(1-((1+AS_Wage)/(1+Slot20_Rate))^(Slot20_Age-D37))/(1-(1+AS_Wage)/(1+Slot20_Rate))),1)</f>
        <v>1</v>
      </c>
      <c r="OB37" s="1" t="n">
        <f aca="false">IF(AND(HT37=1,ID37&gt;0,Slot20_IsWG=1,HE37=1),MAX(0,(Slot20_Cost-HF37*(1+Slot20_Rate)^(Slot20_Age-D37))/OA37),0)</f>
        <v>0</v>
      </c>
      <c r="OC37" s="1" t="n">
        <f aca="false">IF(AND(HT37=1,ID37&gt;0,Slot20_IsWG=1,HE37=1),MIN(ID37,OB37),0)</f>
        <v>0</v>
      </c>
      <c r="OD37" s="1" t="n">
        <f aca="false">HF37+OC37</f>
        <v>0</v>
      </c>
      <c r="OE37" s="1" t="n">
        <f aca="false">IF(HE37=1,MAX(0,(Slot20_Cost-OD37*(1+Slot20_Rate)^(Slot20_Age-D37))/OA37),0)</f>
        <v>0</v>
      </c>
      <c r="OF37" s="1" t="n">
        <f aca="false">IF(HE37=1,MAX(0,(Slot20_Cost-HF37*(1+Slot20_Rate)^(Slot20_Age-D37))/OA37),0)</f>
        <v>0</v>
      </c>
      <c r="OG37" s="1" t="n">
        <f aca="false">IF(AND(HT37=1,HE37=1),MIN(NZ37,OE37),0)</f>
        <v>0</v>
      </c>
      <c r="OH37" s="1" t="n">
        <f aca="false">NZ37-OG37</f>
        <v>0</v>
      </c>
      <c r="OI37" s="1" t="n">
        <f aca="false">ID37-(IG37+IO37+IW37+JE37+JM37+JU37+KC37+KK37+KS37+LA37+LI37+LQ37+LY37+MG37+MO37+MW37+NE37+NM37+NU37+OC37)</f>
        <v>0</v>
      </c>
      <c r="OJ37" s="1" t="n">
        <f aca="false">IF(HT37=1,HR37-IC37-ID37,0)</f>
        <v>0</v>
      </c>
      <c r="OK37" s="1" t="n">
        <f aca="false">IF(HT37=0,-HR37,0)</f>
        <v>0</v>
      </c>
      <c r="OL37" s="1" t="n">
        <f aca="false">MIN(OK37,HJ37)</f>
        <v>0</v>
      </c>
      <c r="OM37" s="1" t="n">
        <f aca="false">OK37-OL37</f>
        <v>0</v>
      </c>
      <c r="ON37" s="1" t="n">
        <f aca="false">MIN(OM37,HK37)</f>
        <v>0</v>
      </c>
      <c r="OO37" s="1" t="n">
        <f aca="false">OM37-ON37</f>
        <v>0</v>
      </c>
      <c r="OP37" s="1" t="n">
        <f aca="false">IF(AND(HT37=0,HE37=1,OO37&gt;0),MIN(OO37,HF37),0)</f>
        <v>0</v>
      </c>
      <c r="OQ37" s="1" t="n">
        <f aca="false">OO37-OP37</f>
        <v>0</v>
      </c>
      <c r="OR37" s="1" t="n">
        <f aca="false">IF(AND(HT37=0,GU37=1,OQ37&gt;0),MIN(OQ37,GV37),0)</f>
        <v>0</v>
      </c>
      <c r="OS37" s="1" t="n">
        <f aca="false">OQ37-OR37</f>
        <v>0</v>
      </c>
      <c r="OT37" s="1" t="n">
        <f aca="false">IF(AND(HT37=0,GK37=1,OS37&gt;0),MIN(OS37,GL37),0)</f>
        <v>0</v>
      </c>
      <c r="OU37" s="1" t="n">
        <f aca="false">OS37-OT37</f>
        <v>0</v>
      </c>
      <c r="OV37" s="1" t="n">
        <f aca="false">IF(AND(HT37=0,GA37=1,OU37&gt;0),MIN(OU37,GB37),0)</f>
        <v>0</v>
      </c>
      <c r="OW37" s="1" t="n">
        <f aca="false">OU37-OV37</f>
        <v>0</v>
      </c>
      <c r="OX37" s="1" t="n">
        <f aca="false">IF(AND(HT37=0,FQ37=1,OW37&gt;0),MIN(OW37,FR37),0)</f>
        <v>0</v>
      </c>
      <c r="OY37" s="1" t="n">
        <f aca="false">OW37-OX37</f>
        <v>0</v>
      </c>
      <c r="OZ37" s="1" t="n">
        <f aca="false">IF(AND(HT37=0,FG37=1,OY37&gt;0),MIN(OY37,FH37),0)</f>
        <v>0</v>
      </c>
      <c r="PA37" s="1" t="n">
        <f aca="false">OY37-OZ37</f>
        <v>0</v>
      </c>
      <c r="PB37" s="1" t="n">
        <f aca="false">IF(AND(HT37=0,EW37=1,PA37&gt;0),MIN(PA37,EX37),0)</f>
        <v>0</v>
      </c>
      <c r="PC37" s="1" t="n">
        <f aca="false">PA37-PB37</f>
        <v>0</v>
      </c>
      <c r="PD37" s="1" t="n">
        <f aca="false">IF(AND(HT37=0,EM37=1,PC37&gt;0),MIN(PC37,EN37),0)</f>
        <v>0</v>
      </c>
      <c r="PE37" s="1" t="n">
        <f aca="false">PC37-PD37</f>
        <v>0</v>
      </c>
      <c r="PF37" s="1" t="n">
        <f aca="false">IF(AND(HT37=0,EC37=1,PE37&gt;0),MIN(PE37,ED37),0)</f>
        <v>0</v>
      </c>
      <c r="PG37" s="1" t="n">
        <f aca="false">PE37-PF37</f>
        <v>0</v>
      </c>
      <c r="PH37" s="1" t="n">
        <f aca="false">IF(AND(HT37=0,DS37=1,PG37&gt;0),MIN(PG37,DT37),0)</f>
        <v>0</v>
      </c>
      <c r="PI37" s="1" t="n">
        <f aca="false">PG37-PH37</f>
        <v>0</v>
      </c>
      <c r="PJ37" s="1" t="n">
        <f aca="false">IF(AND(HT37=0,DI37=1,PI37&gt;0),MIN(PI37,DJ37),0)</f>
        <v>0</v>
      </c>
      <c r="PK37" s="1" t="n">
        <f aca="false">PI37-PJ37</f>
        <v>0</v>
      </c>
      <c r="PL37" s="1" t="n">
        <f aca="false">IF(AND(HT37=0,CY37=1,PK37&gt;0),MIN(PK37,CZ37),0)</f>
        <v>0</v>
      </c>
      <c r="PM37" s="1" t="n">
        <f aca="false">PK37-PL37</f>
        <v>0</v>
      </c>
      <c r="PN37" s="1" t="n">
        <f aca="false">IF(AND(HT37=0,CO37=1,PM37&gt;0),MIN(PM37,CP37),0)</f>
        <v>0</v>
      </c>
      <c r="PO37" s="1" t="n">
        <f aca="false">PM37-PN37</f>
        <v>0</v>
      </c>
      <c r="PP37" s="1" t="n">
        <f aca="false">IF(AND(HT37=0,CE37=1,PO37&gt;0),MIN(PO37,CF37),0)</f>
        <v>0</v>
      </c>
      <c r="PQ37" s="1" t="n">
        <f aca="false">PO37-PP37</f>
        <v>0</v>
      </c>
      <c r="PR37" s="1" t="n">
        <f aca="false">IF(AND(HT37=0,BU37=1,PQ37&gt;0),MIN(PQ37,BV37),0)</f>
        <v>0</v>
      </c>
      <c r="PS37" s="1" t="n">
        <f aca="false">PQ37-PR37</f>
        <v>0</v>
      </c>
      <c r="PT37" s="1" t="n">
        <f aca="false">IF(AND(HT37=0,BK37=1,PS37&gt;0),MIN(PS37,BL37),0)</f>
        <v>0</v>
      </c>
      <c r="PU37" s="1" t="n">
        <f aca="false">PS37-PT37</f>
        <v>0</v>
      </c>
      <c r="PV37" s="1" t="n">
        <f aca="false">IF(AND(HT37=0,BA37=1,PU37&gt;0),MIN(PU37,BB37),0)</f>
        <v>0</v>
      </c>
      <c r="PW37" s="1" t="n">
        <f aca="false">PU37-PV37</f>
        <v>0</v>
      </c>
      <c r="PX37" s="1" t="n">
        <f aca="false">IF(AND(HT37=0,AQ37=1,PW37&gt;0),MIN(PW37,AR37),0)</f>
        <v>0</v>
      </c>
      <c r="PY37" s="1" t="n">
        <f aca="false">PW37-PX37</f>
        <v>0</v>
      </c>
      <c r="PZ37" s="1" t="n">
        <f aca="false">IF(AND(HT37=0,AG37=1,PY37&gt;0),MIN(PY37,AH37),0)</f>
        <v>0</v>
      </c>
      <c r="QA37" s="1" t="n">
        <f aca="false">PY37-PZ37</f>
        <v>0</v>
      </c>
      <c r="QB37" s="1" t="n">
        <f aca="false">IF(AND(HT37=0,V37=1,QA37&gt;0),MIN(QA37,W37),0)</f>
        <v>0</v>
      </c>
      <c r="QC37" s="1" t="n">
        <f aca="false">QA37-QB37</f>
        <v>0</v>
      </c>
      <c r="QD37" s="1" t="n">
        <f aca="false">IF(HT37=0,QC37,0)</f>
        <v>0</v>
      </c>
      <c r="QE37" s="1" t="n">
        <f aca="false">OL37+ON37+QB37+PZ37+PX37+PV37+PT37+PR37+PP37+PN37+PL37+PJ37+PH37+PF37+PD37+PB37+OZ37+OX37+OV37+OT37+OR37+OP37</f>
        <v>0</v>
      </c>
      <c r="QF37" s="1" t="n">
        <f aca="false">IF(HT37=1,HJ37+OI37+OH37+IF(F37=1,0,OJ37),HJ37-OL37)</f>
        <v>0</v>
      </c>
      <c r="QG37" s="1" t="n">
        <f aca="false">HK37-ON37</f>
        <v>0</v>
      </c>
      <c r="QH37" s="1" t="n">
        <f aca="false">IF(HT37=1,IF(F37=1,IC37+ID37,HR37),0)</f>
        <v>0</v>
      </c>
      <c r="QI37" s="1" t="n">
        <f aca="false">IF(HT37=1,IF(F37=1,HR37-IC37-ID37,0),0)</f>
        <v>0</v>
      </c>
      <c r="QJ37" s="1" t="n">
        <f aca="false">QF37*(1+GR)</f>
        <v>0</v>
      </c>
      <c r="QK37" s="1" t="n">
        <f aca="false">QG37*(1+AS_Cash)</f>
        <v>0</v>
      </c>
      <c r="QL37" s="1" t="n">
        <f aca="false">IF(V37=1,IF(HT37=1,IH37+IK37,W37-QB37)*(1+Slot1_Rate),0)</f>
        <v>0</v>
      </c>
      <c r="QM37" s="1" t="n">
        <f aca="false">IF(AND(HT37=1,V37=1),(IG37+IK37)/E37,0)</f>
        <v>0</v>
      </c>
      <c r="QN37" s="1" t="n">
        <f aca="false">IF(B37=0,IG37+IK37,0)</f>
        <v>0</v>
      </c>
      <c r="QO37" s="1" t="n">
        <f aca="false">IF(B37=0,IF(HT37=1,II37,IJ37),0)</f>
        <v>0</v>
      </c>
      <c r="QP37" s="1" t="n">
        <f aca="false">IF(AG37=1,IF(HT37=1,IP37+IS37,AH37-PZ37)*(1+Slot2_Rate),0)</f>
        <v>0</v>
      </c>
      <c r="QQ37" s="1" t="n">
        <f aca="false">IF(AND(HT37=1,AG37=1),(IO37+IS37)/E37,0)</f>
        <v>0</v>
      </c>
      <c r="QR37" s="1" t="n">
        <f aca="false">IF(B37=0,IO37+IS37,0)</f>
        <v>0</v>
      </c>
      <c r="QS37" s="1" t="n">
        <f aca="false">IF(B37=0,IF(HT37=1,IQ37,IR37),0)</f>
        <v>0</v>
      </c>
      <c r="QT37" s="1" t="n">
        <f aca="false">IF(AQ37=1,IF(HT37=1,IX37+JA37,AR37-PX37)*(1+Slot3_Rate),0)</f>
        <v>0</v>
      </c>
      <c r="QU37" s="1" t="n">
        <f aca="false">IF(AND(HT37=1,AQ37=1),(IW37+JA37)/E37,0)</f>
        <v>0</v>
      </c>
      <c r="QV37" s="1" t="n">
        <f aca="false">IF(B37=0,IW37+JA37,0)</f>
        <v>0</v>
      </c>
      <c r="QW37" s="1" t="n">
        <f aca="false">IF(B37=0,IF(HT37=1,IY37,IZ37),0)</f>
        <v>0</v>
      </c>
      <c r="QX37" s="1" t="n">
        <f aca="false">IF(BA37=1,IF(HT37=1,JF37+JI37,BB37-PV37)*(1+Slot4_Rate),0)</f>
        <v>0</v>
      </c>
      <c r="QY37" s="1" t="n">
        <f aca="false">IF(AND(HT37=1,BA37=1),(JE37+JI37)/E37,0)</f>
        <v>0</v>
      </c>
      <c r="QZ37" s="1" t="n">
        <f aca="false">IF(B37=0,JE37+JI37,0)</f>
        <v>0</v>
      </c>
      <c r="RA37" s="1" t="n">
        <f aca="false">IF(B37=0,IF(HT37=1,JG37,JH37),0)</f>
        <v>0</v>
      </c>
      <c r="RB37" s="1" t="n">
        <f aca="false">IF(BK37=1,IF(HT37=1,JN37+JQ37,BL37-PT37)*(1+Slot5_Rate),0)</f>
        <v>0</v>
      </c>
      <c r="RC37" s="1" t="n">
        <f aca="false">IF(AND(HT37=1,BK37=1),(JM37+JQ37)/E37,0)</f>
        <v>0</v>
      </c>
      <c r="RD37" s="1" t="n">
        <f aca="false">IF(B37=0,JM37+JQ37,0)</f>
        <v>0</v>
      </c>
      <c r="RE37" s="1" t="n">
        <f aca="false">IF(B37=0,IF(HT37=1,JO37,JP37),0)</f>
        <v>0</v>
      </c>
      <c r="RF37" s="1" t="n">
        <f aca="false">IF(BU37=1,IF(HT37=1,JV37+JY37,BV37-PR37)*(1+Slot6_Rate),0)</f>
        <v>0</v>
      </c>
      <c r="RG37" s="1" t="n">
        <f aca="false">IF(AND(HT37=1,BU37=1),(JU37+JY37)/E37,0)</f>
        <v>0</v>
      </c>
      <c r="RH37" s="1" t="n">
        <f aca="false">IF(B37=0,JU37+JY37,0)</f>
        <v>0</v>
      </c>
      <c r="RI37" s="1" t="n">
        <f aca="false">IF(B37=0,IF(HT37=1,JW37,JX37),0)</f>
        <v>0</v>
      </c>
      <c r="RJ37" s="1" t="n">
        <f aca="false">IF(CE37=1,IF(HT37=1,KD37+KG37,CF37-PP37)*(1+Slot7_Rate),0)</f>
        <v>0</v>
      </c>
      <c r="RK37" s="1" t="n">
        <f aca="false">IF(AND(HT37=1,CE37=1),(KC37+KG37)/E37,0)</f>
        <v>0</v>
      </c>
      <c r="RL37" s="1" t="n">
        <f aca="false">IF(B37=0,KC37+KG37,0)</f>
        <v>0</v>
      </c>
      <c r="RM37" s="1" t="n">
        <f aca="false">IF(B37=0,IF(HT37=1,KE37,KF37),0)</f>
        <v>0</v>
      </c>
      <c r="RN37" s="1" t="n">
        <f aca="false">IF(CO37=1,IF(HT37=1,KL37+KO37,CP37-PN37)*(1+Slot8_Rate),0)</f>
        <v>0</v>
      </c>
      <c r="RO37" s="1" t="n">
        <f aca="false">IF(AND(HT37=1,CO37=1),(KK37+KO37)/E37,0)</f>
        <v>0</v>
      </c>
      <c r="RP37" s="1" t="n">
        <f aca="false">IF(B37=0,KK37+KO37,0)</f>
        <v>0</v>
      </c>
      <c r="RQ37" s="1" t="n">
        <f aca="false">IF(B37=0,IF(HT37=1,KM37,KN37),0)</f>
        <v>0</v>
      </c>
      <c r="RR37" s="1" t="n">
        <f aca="false">IF(CY37=1,IF(HT37=1,KT37+KW37,CZ37-PL37)*(1+Slot9_Rate),0)</f>
        <v>0</v>
      </c>
      <c r="RS37" s="1" t="n">
        <f aca="false">IF(AND(HT37=1,CY37=1),(KS37+KW37)/E37,0)</f>
        <v>0</v>
      </c>
      <c r="RT37" s="1" t="n">
        <f aca="false">IF(B37=0,KS37+KW37,0)</f>
        <v>0</v>
      </c>
      <c r="RU37" s="1" t="n">
        <f aca="false">IF(B37=0,IF(HT37=1,KU37,KV37),0)</f>
        <v>0</v>
      </c>
      <c r="RV37" s="1" t="n">
        <f aca="false">IF(DI37=1,IF(HT37=1,LB37+LE37,DJ37-PJ37)*(1+Slot10_Rate),0)</f>
        <v>0</v>
      </c>
      <c r="RW37" s="1" t="n">
        <f aca="false">IF(AND(HT37=1,DI37=1),(LA37+LE37)/E37,0)</f>
        <v>0</v>
      </c>
      <c r="RX37" s="1" t="n">
        <f aca="false">IF(B37=0,LA37+LE37,0)</f>
        <v>0</v>
      </c>
      <c r="RY37" s="1" t="n">
        <f aca="false">IF(B37=0,IF(HT37=1,LC37,LD37),0)</f>
        <v>0</v>
      </c>
      <c r="RZ37" s="1" t="n">
        <f aca="false">IF(DS37=1,IF(HT37=1,LJ37+LM37,DT37-PH37)*(1+Slot11_Rate),0)</f>
        <v>0</v>
      </c>
      <c r="SA37" s="1" t="n">
        <f aca="false">IF(AND(HT37=1,DS37=1),(LI37+LM37)/E37,0)</f>
        <v>0</v>
      </c>
      <c r="SB37" s="1" t="n">
        <f aca="false">IF(B37=0,LI37+LM37,0)</f>
        <v>0</v>
      </c>
      <c r="SC37" s="1" t="n">
        <f aca="false">IF(B37=0,IF(HT37=1,LK37,LL37),0)</f>
        <v>0</v>
      </c>
      <c r="SD37" s="1" t="n">
        <f aca="false">IF(EC37=1,IF(HT37=1,LR37+LU37,ED37-PF37)*(1+Slot12_Rate),0)</f>
        <v>0</v>
      </c>
      <c r="SE37" s="1" t="n">
        <f aca="false">IF(AND(HT37=1,EC37=1),(LQ37+LU37)/E37,0)</f>
        <v>0</v>
      </c>
      <c r="SF37" s="1" t="n">
        <f aca="false">IF(B37=0,LQ37+LU37,0)</f>
        <v>0</v>
      </c>
      <c r="SG37" s="1" t="n">
        <f aca="false">IF(B37=0,IF(HT37=1,LS37,LT37),0)</f>
        <v>0</v>
      </c>
      <c r="SH37" s="1" t="n">
        <f aca="false">IF(EM37=1,IF(HT37=1,LZ37+MC37,EN37-PD37)*(1+Slot13_Rate),0)</f>
        <v>0</v>
      </c>
      <c r="SI37" s="1" t="n">
        <f aca="false">IF(AND(HT37=1,EM37=1),(LY37+MC37)/E37,0)</f>
        <v>0</v>
      </c>
      <c r="SJ37" s="1" t="n">
        <f aca="false">IF(B37=0,LY37+MC37,0)</f>
        <v>0</v>
      </c>
      <c r="SK37" s="1" t="n">
        <f aca="false">IF(B37=0,IF(HT37=1,MA37,MB37),0)</f>
        <v>0</v>
      </c>
      <c r="SL37" s="1" t="n">
        <f aca="false">IF(EW37=1,IF(HT37=1,MH37+MK37,EX37-PB37)*(1+Slot14_Rate),0)</f>
        <v>0</v>
      </c>
      <c r="SM37" s="1" t="n">
        <f aca="false">IF(AND(HT37=1,EW37=1),(MG37+MK37)/E37,0)</f>
        <v>0</v>
      </c>
      <c r="SN37" s="1" t="n">
        <f aca="false">IF(B37=0,MG37+MK37,0)</f>
        <v>0</v>
      </c>
      <c r="SO37" s="1" t="n">
        <f aca="false">IF(B37=0,IF(HT37=1,MI37,MJ37),0)</f>
        <v>0</v>
      </c>
      <c r="SP37" s="1" t="n">
        <f aca="false">IF(FG37=1,IF(HT37=1,MP37+MS37,FH37-OZ37)*(1+Slot15_Rate),0)</f>
        <v>0</v>
      </c>
      <c r="SQ37" s="1" t="n">
        <f aca="false">IF(AND(HT37=1,FG37=1),(MO37+MS37)/E37,0)</f>
        <v>0</v>
      </c>
      <c r="SR37" s="1" t="n">
        <f aca="false">IF(B37=0,MO37+MS37,0)</f>
        <v>0</v>
      </c>
      <c r="SS37" s="1" t="n">
        <f aca="false">IF(B37=0,IF(HT37=1,MQ37,MR37),0)</f>
        <v>0</v>
      </c>
      <c r="ST37" s="1" t="n">
        <f aca="false">IF(FQ37=1,IF(HT37=1,MX37+NA37,FR37-OX37)*(1+Slot16_Rate),0)</f>
        <v>0</v>
      </c>
      <c r="SU37" s="1" t="n">
        <f aca="false">IF(AND(HT37=1,FQ37=1),(MW37+NA37)/E37,0)</f>
        <v>0</v>
      </c>
      <c r="SV37" s="1" t="n">
        <f aca="false">IF(B37=0,MW37+NA37,0)</f>
        <v>0</v>
      </c>
      <c r="SW37" s="1" t="n">
        <f aca="false">IF(B37=0,IF(HT37=1,MY37,MZ37),0)</f>
        <v>0</v>
      </c>
      <c r="SX37" s="1" t="n">
        <f aca="false">IF(GA37=1,IF(HT37=1,NF37+NI37,GB37-OV37)*(1+Slot17_Rate),0)</f>
        <v>0</v>
      </c>
      <c r="SY37" s="1" t="n">
        <f aca="false">IF(AND(HT37=1,GA37=1),(NE37+NI37)/E37,0)</f>
        <v>0</v>
      </c>
      <c r="SZ37" s="1" t="n">
        <f aca="false">IF(B37=0,NE37+NI37,0)</f>
        <v>0</v>
      </c>
      <c r="TA37" s="1" t="n">
        <f aca="false">IF(B37=0,IF(HT37=1,NG37,NH37),0)</f>
        <v>0</v>
      </c>
      <c r="TB37" s="1" t="n">
        <f aca="false">IF(GK37=1,IF(HT37=1,NN37+NQ37,GL37-OT37)*(1+Slot18_Rate),0)</f>
        <v>0</v>
      </c>
      <c r="TC37" s="1" t="n">
        <f aca="false">IF(AND(HT37=1,GK37=1),(NM37+NQ37)/E37,0)</f>
        <v>0</v>
      </c>
      <c r="TD37" s="1" t="n">
        <f aca="false">IF(B37=0,NM37+NQ37,0)</f>
        <v>0</v>
      </c>
      <c r="TE37" s="1" t="n">
        <f aca="false">IF(B37=0,IF(HT37=1,NO37,NP37),0)</f>
        <v>0</v>
      </c>
      <c r="TF37" s="1" t="n">
        <f aca="false">IF(GU37=1,IF(HT37=1,NV37+NY37,GV37-OR37)*(1+Slot19_Rate),0)</f>
        <v>0</v>
      </c>
      <c r="TG37" s="1" t="n">
        <f aca="false">IF(AND(HT37=1,GU37=1),(NU37+NY37)/E37,0)</f>
        <v>0</v>
      </c>
      <c r="TH37" s="1" t="n">
        <f aca="false">IF(B37=0,NU37+NY37,0)</f>
        <v>0</v>
      </c>
      <c r="TI37" s="1" t="n">
        <f aca="false">IF(B37=0,IF(HT37=1,NW37,NX37),0)</f>
        <v>0</v>
      </c>
      <c r="TJ37" s="1" t="n">
        <f aca="false">IF(HE37=1,IF(HT37=1,OD37+OG37,HF37-OP37)*(1+Slot20_Rate),0)</f>
        <v>0</v>
      </c>
      <c r="TK37" s="1" t="n">
        <f aca="false">IF(AND(HT37=1,HE37=1),(OC37+OG37)/E37,0)</f>
        <v>0</v>
      </c>
      <c r="TL37" s="1" t="n">
        <f aca="false">IF(B37=0,OC37+OG37,0)</f>
        <v>0</v>
      </c>
      <c r="TM37" s="1" t="n">
        <f aca="false">IF(B37=0,IF(HT37=1,OE37,OF37),0)</f>
        <v>0</v>
      </c>
      <c r="TN37" s="1" t="n">
        <f aca="false">QJ37+QK37+QL37+QP37+QT37+QX37+RB37+RF37+RJ37+RN37+RR37+RV37+RZ37+SD37+SH37+SL37+SP37+ST37+SX37+TB37+TF37+TJ37</f>
        <v>0</v>
      </c>
      <c r="TO37" s="1" t="n">
        <f aca="false">QD37+HO37</f>
        <v>0</v>
      </c>
      <c r="TP37" s="1" t="n">
        <f aca="false">H37+R37</f>
        <v>0</v>
      </c>
      <c r="TQ37" s="1" t="n">
        <f aca="false">1-F37</f>
        <v>0</v>
      </c>
      <c r="TR37" s="1" t="n">
        <f aca="false">IF(AND(RG_Exists=1,F37=0,C37=1),H37,0)</f>
        <v>0</v>
      </c>
      <c r="TS37" s="1" t="n">
        <f aca="false">IF(AND(RG_Exists=1,F37=0,C37=1),H37-MIN(QD37,H37),0)</f>
        <v>0</v>
      </c>
      <c r="TT37" s="1" t="n">
        <f aca="false">'Plan pay &amp; tax'!AD263</f>
        <v>0</v>
      </c>
      <c r="TU37" s="1" t="n">
        <f aca="false">IF(AND(C37=1,QD37&gt;MAX(PR_Short1,TP37*PR_Short2)),1,0)</f>
        <v>0</v>
      </c>
      <c r="TV37" s="1" t="n">
        <f aca="false">MIN(G37,H37+R37)</f>
        <v>0</v>
      </c>
      <c r="TW37" s="1" t="n">
        <f aca="false">QE37+MAX(0,HP37-HO37)</f>
        <v>0</v>
      </c>
      <c r="TX37" s="1" t="n">
        <f aca="false">QD37+HO37</f>
        <v>0</v>
      </c>
      <c r="TY37" s="1" t="n">
        <f aca="false">IF(AND(C37=1,TX37&gt;PR_MinShort),1,0)</f>
        <v>0</v>
      </c>
      <c r="TZ37" s="1" t="n">
        <f aca="false">IF(AND(C37=1,TY37=0,TW37&gt;PR_MinShort),1,0)</f>
        <v>0</v>
      </c>
      <c r="UA37" s="1" t="n">
        <f aca="false">IF(AND(C37=1,QD37&gt;PR_MinShort),1,0)</f>
        <v>0</v>
      </c>
      <c r="UB37" s="1" t="n">
        <f aca="false">IF(AND(C37=1,QE37&gt;1,UI37=0),1,0)</f>
        <v>0</v>
      </c>
      <c r="UC37" s="1" t="str">
        <f aca="false">IF(C37=0,"",IF(UI37=1,"Gap to plan for: short "&amp;"€"&amp;TEXT(ROUND(TO37,0),"#,##0"),IF(QE37&gt;1,"Using savings","Comfortable")))</f>
        <v>Comfortable</v>
      </c>
      <c r="UD37" s="1" t="n">
        <f aca="false">IF(AND(INT(D37/10)*10=90,B37&gt;0),80,INT(D37/10)*10)</f>
        <v>20</v>
      </c>
      <c r="UE37" s="1" t="n">
        <f aca="false">IF(B37=0,1,IF(UD37&lt;&gt;UD36,UE36+1,UE36))</f>
        <v>3</v>
      </c>
      <c r="UF37" s="1" t="n">
        <f aca="false">IF(AND(C37=1,F37=1,QD37&gt;MAX(PR_Short1,TP37*PR_Short2)),1,0)</f>
        <v>0</v>
      </c>
      <c r="UG37" s="1" t="n">
        <f aca="false">TQ37*TU37</f>
        <v>0</v>
      </c>
      <c r="UH37" s="1" t="n">
        <f aca="false">IF(AND(U37=1,Slot1_PctLow=1),1,0)+IF(AND(AF37=1,Slot2_PctLow=1),1,0)+IF(AND(AP37=1,Slot3_PctLow=1),1,0)+IF(AND(AZ37=1,Slot4_PctLow=1),1,0)+IF(AND(BJ37=1,Slot5_PctLow=1),1,0)+IF(AND(BT37=1,Slot6_PctLow=1),1,0)+IF(AND(CD37=1,Slot7_PctLow=1),1,0)+IF(AND(CN37=1,Slot8_PctLow=1),1,0)+IF(AND(CX37=1,Slot9_PctLow=1),1,0)+IF(AND(DH37=1,Slot10_PctLow=1),1,0)+IF(AND(DR37=1,Slot11_PctLow=1),1,0)+IF(AND(EB37=1,Slot12_PctLow=1),1,0)+IF(AND(EL37=1,Slot13_PctLow=1),1,0)+IF(AND(EV37=1,Slot14_PctLow=1),1,0)+IF(AND(FF37=1,Slot15_PctLow=1),1,0)+IF(AND(FP37=1,Slot16_PctLow=1),1,0)+IF(AND(FZ37=1,Slot17_PctLow=1),1,0)+IF(AND(GJ37=1,Slot18_PctLow=1),1,0)+IF(AND(GT37=1,Slot19_PctLow=1),1,0)+IF(AND(HD37=1,Slot20_PctLow=1),1,0)</f>
        <v>0</v>
      </c>
      <c r="UI37" s="1" t="n">
        <f aca="false">IF(C37=1,IF(OR(TU37=1,UH37&gt;0),1,0),0)</f>
        <v>0</v>
      </c>
    </row>
    <row r="38" customFormat="false" ht="15" hidden="false" customHeight="true" outlineLevel="0" collapsed="false">
      <c r="B38" s="1" t="n">
        <v>30</v>
      </c>
      <c r="C38" s="1" t="n">
        <f aca="false">IF(B38&lt;=F_N,1,0)</f>
        <v>1</v>
      </c>
      <c r="D38" s="1" t="n">
        <f aca="false">'Plan pay &amp; tax'!C264</f>
        <v>30</v>
      </c>
      <c r="E38" s="111" t="n">
        <f aca="false">'Plan pay &amp; tax'!E264</f>
        <v>1.81136158410335</v>
      </c>
      <c r="F38" s="1" t="n">
        <f aca="false">'Plan pay &amp; tax'!G264</f>
        <v>1</v>
      </c>
      <c r="G38" s="1" t="n">
        <f aca="false">'Plan pay &amp; tax'!BT264-'Plan pay &amp; tax'!BS264-'Plan pay &amp; tax'!R264</f>
        <v>0</v>
      </c>
      <c r="H38" s="1" t="n">
        <f aca="false">IF(F38=1,F_CostsM*12,IF(RG_Exists=1,RG_Amount,F_CostsM*12*AS_RetireSpend))*E38+F_OneOffY*E38</f>
        <v>0</v>
      </c>
      <c r="I38" s="1" t="n">
        <f aca="false">HQ37</f>
        <v>0</v>
      </c>
      <c r="J38" s="1" t="n">
        <f aca="false">IF(I38&gt;1,'Plan debt months'!AC38,0)</f>
        <v>0</v>
      </c>
      <c r="K38" s="1" t="n">
        <f aca="false">IF(I38&gt;1,'Plan debt months'!AB38,I38)</f>
        <v>0</v>
      </c>
      <c r="L38" s="1" t="n">
        <f aca="false">N37</f>
        <v>0</v>
      </c>
      <c r="M38" s="1" t="n">
        <f aca="false">IF(L38&gt;1,'Plan debt months'!BD38,0)</f>
        <v>0</v>
      </c>
      <c r="N38" s="1" t="n">
        <f aca="false">IF(L38&gt;1,'Plan debt months'!BC38,L38)</f>
        <v>0</v>
      </c>
      <c r="O38" s="1" t="n">
        <f aca="false">Q37</f>
        <v>0</v>
      </c>
      <c r="P38" s="1" t="n">
        <f aca="false">IF(O38&gt;1,'Plan debt months'!CE38,0)</f>
        <v>0</v>
      </c>
      <c r="Q38" s="1" t="n">
        <f aca="false">IF(O38&gt;1,'Plan debt months'!CD38,O38)</f>
        <v>0</v>
      </c>
      <c r="R38" s="1" t="n">
        <f aca="false">J38+M38+P38</f>
        <v>0</v>
      </c>
      <c r="S38" s="1" t="n">
        <f aca="false">QJ37+'Plan pay &amp; tax'!Y264</f>
        <v>0</v>
      </c>
      <c r="T38" s="1" t="n">
        <f aca="false">QJ37</f>
        <v>0</v>
      </c>
      <c r="U38" s="1" t="n">
        <f aca="false">IF(AND(Slot1_On=1,D38=Slot1_Age),1,0)</f>
        <v>0</v>
      </c>
      <c r="V38" s="1" t="n">
        <f aca="false">IF(AND(Slot1_On=1,Slot1_Age&gt;D38),1,0)</f>
        <v>0</v>
      </c>
      <c r="W38" s="1" t="n">
        <f aca="false">QL37</f>
        <v>0</v>
      </c>
      <c r="X38" s="1" t="n">
        <f aca="false">U38*MIN(Slot1_Cost,W38)</f>
        <v>0</v>
      </c>
      <c r="Y38" s="1" t="n">
        <f aca="false">U38*Slot1_SpendLike*MIN(Slot1_Cost-X38,S38)</f>
        <v>0</v>
      </c>
      <c r="Z38" s="1" t="n">
        <f aca="false">X38+Y38</f>
        <v>0</v>
      </c>
      <c r="AA38" s="1" t="n">
        <f aca="false">S38-Y38+U38*IF(Slot1_SpendLike=1,W38-X38,IF(Slot1_PotFree=1,W38,0))</f>
        <v>0</v>
      </c>
      <c r="AB38" s="1" t="n">
        <f aca="false">AE38+U38*Slot1_BufPot*W38</f>
        <v>0</v>
      </c>
      <c r="AC38" s="1" t="n">
        <f aca="false">IF(AND(U38=1,Slot1_IsMfree=1),IF(Z38&gt;=Slot1_Cost-1,0,MAX(0,K38-Z38)),K38)</f>
        <v>0</v>
      </c>
      <c r="AD38" s="1" t="n">
        <f aca="false">U38*(Slot1_Cost-Z38)</f>
        <v>0</v>
      </c>
      <c r="AE38" s="1" t="n">
        <f aca="false">QK37</f>
        <v>0</v>
      </c>
      <c r="AF38" s="1" t="n">
        <f aca="false">IF(AND(Slot2_On=1,D38=Slot2_Age),1,0)</f>
        <v>0</v>
      </c>
      <c r="AG38" s="1" t="n">
        <f aca="false">IF(AND(Slot2_On=1,Slot2_Age&gt;D38),1,0)</f>
        <v>0</v>
      </c>
      <c r="AH38" s="1" t="n">
        <f aca="false">QP37</f>
        <v>0</v>
      </c>
      <c r="AI38" s="1" t="n">
        <f aca="false">AF38*MIN(Slot2_Cost,AH38)</f>
        <v>0</v>
      </c>
      <c r="AJ38" s="1" t="n">
        <f aca="false">AF38*Slot2_SpendLike*MIN(Slot2_Cost-AI38,AA38)</f>
        <v>0</v>
      </c>
      <c r="AK38" s="1" t="n">
        <f aca="false">AI38+AJ38</f>
        <v>0</v>
      </c>
      <c r="AL38" s="1" t="n">
        <f aca="false">AA38-AJ38+AF38*IF(Slot2_SpendLike=1,AH38-AI38,IF(Slot2_PotFree=1,AH38,0))</f>
        <v>0</v>
      </c>
      <c r="AM38" s="1" t="n">
        <f aca="false">AB38+AF38*Slot2_BufPot*AH38</f>
        <v>0</v>
      </c>
      <c r="AN38" s="1" t="n">
        <f aca="false">IF(AND(AF38=1,Slot2_IsMfree=1),IF(AK38&gt;=Slot2_Cost-1,0,MAX(0,AC38-AK38)),AC38)</f>
        <v>0</v>
      </c>
      <c r="AO38" s="1" t="n">
        <f aca="false">AF38*(Slot2_Cost-AK38)</f>
        <v>0</v>
      </c>
      <c r="AP38" s="1" t="n">
        <f aca="false">IF(AND(Slot3_On=1,D38=Slot3_Age),1,0)</f>
        <v>0</v>
      </c>
      <c r="AQ38" s="1" t="n">
        <f aca="false">IF(AND(Slot3_On=1,Slot3_Age&gt;D38),1,0)</f>
        <v>0</v>
      </c>
      <c r="AR38" s="1" t="n">
        <f aca="false">QT37</f>
        <v>0</v>
      </c>
      <c r="AS38" s="1" t="n">
        <f aca="false">AP38*MIN(Slot3_Cost,AR38)</f>
        <v>0</v>
      </c>
      <c r="AT38" s="1" t="n">
        <f aca="false">AP38*Slot3_SpendLike*MIN(Slot3_Cost-AS38,AL38)</f>
        <v>0</v>
      </c>
      <c r="AU38" s="1" t="n">
        <f aca="false">AS38+AT38</f>
        <v>0</v>
      </c>
      <c r="AV38" s="1" t="n">
        <f aca="false">AL38-AT38+AP38*IF(Slot3_SpendLike=1,AR38-AS38,IF(Slot3_PotFree=1,AR38,0))</f>
        <v>0</v>
      </c>
      <c r="AW38" s="1" t="n">
        <f aca="false">AM38+AP38*Slot3_BufPot*AR38</f>
        <v>0</v>
      </c>
      <c r="AX38" s="1" t="n">
        <f aca="false">IF(AND(AP38=1,Slot3_IsMfree=1),IF(AU38&gt;=Slot3_Cost-1,0,MAX(0,AN38-AU38)),AN38)</f>
        <v>0</v>
      </c>
      <c r="AY38" s="1" t="n">
        <f aca="false">AP38*(Slot3_Cost-AU38)</f>
        <v>0</v>
      </c>
      <c r="AZ38" s="1" t="n">
        <f aca="false">IF(AND(Slot4_On=1,D38=Slot4_Age),1,0)</f>
        <v>0</v>
      </c>
      <c r="BA38" s="1" t="n">
        <f aca="false">IF(AND(Slot4_On=1,Slot4_Age&gt;D38),1,0)</f>
        <v>0</v>
      </c>
      <c r="BB38" s="1" t="n">
        <f aca="false">QX37</f>
        <v>0</v>
      </c>
      <c r="BC38" s="1" t="n">
        <f aca="false">AZ38*MIN(Slot4_Cost,BB38)</f>
        <v>0</v>
      </c>
      <c r="BD38" s="1" t="n">
        <f aca="false">AZ38*Slot4_SpendLike*MIN(Slot4_Cost-BC38,AV38)</f>
        <v>0</v>
      </c>
      <c r="BE38" s="1" t="n">
        <f aca="false">BC38+BD38</f>
        <v>0</v>
      </c>
      <c r="BF38" s="1" t="n">
        <f aca="false">AV38-BD38+AZ38*IF(Slot4_SpendLike=1,BB38-BC38,IF(Slot4_PotFree=1,BB38,0))</f>
        <v>0</v>
      </c>
      <c r="BG38" s="1" t="n">
        <f aca="false">AW38+AZ38*Slot4_BufPot*BB38</f>
        <v>0</v>
      </c>
      <c r="BH38" s="1" t="n">
        <f aca="false">IF(AND(AZ38=1,Slot4_IsMfree=1),IF(BE38&gt;=Slot4_Cost-1,0,MAX(0,AX38-BE38)),AX38)</f>
        <v>0</v>
      </c>
      <c r="BI38" s="1" t="n">
        <f aca="false">AZ38*(Slot4_Cost-BE38)</f>
        <v>0</v>
      </c>
      <c r="BJ38" s="1" t="n">
        <f aca="false">IF(AND(Slot5_On=1,D38=Slot5_Age),1,0)</f>
        <v>0</v>
      </c>
      <c r="BK38" s="1" t="n">
        <f aca="false">IF(AND(Slot5_On=1,Slot5_Age&gt;D38),1,0)</f>
        <v>0</v>
      </c>
      <c r="BL38" s="1" t="n">
        <f aca="false">RB37</f>
        <v>0</v>
      </c>
      <c r="BM38" s="1" t="n">
        <f aca="false">BJ38*MIN(Slot5_Cost,BL38)</f>
        <v>0</v>
      </c>
      <c r="BN38" s="1" t="n">
        <f aca="false">BJ38*Slot5_SpendLike*MIN(Slot5_Cost-BM38,BF38)</f>
        <v>0</v>
      </c>
      <c r="BO38" s="1" t="n">
        <f aca="false">BM38+BN38</f>
        <v>0</v>
      </c>
      <c r="BP38" s="1" t="n">
        <f aca="false">BF38-BN38+BJ38*IF(Slot5_SpendLike=1,BL38-BM38,IF(Slot5_PotFree=1,BL38,0))</f>
        <v>0</v>
      </c>
      <c r="BQ38" s="1" t="n">
        <f aca="false">BG38+BJ38*Slot5_BufPot*BL38</f>
        <v>0</v>
      </c>
      <c r="BR38" s="1" t="n">
        <f aca="false">IF(AND(BJ38=1,Slot5_IsMfree=1),IF(BO38&gt;=Slot5_Cost-1,0,MAX(0,BH38-BO38)),BH38)</f>
        <v>0</v>
      </c>
      <c r="BS38" s="1" t="n">
        <f aca="false">BJ38*(Slot5_Cost-BO38)</f>
        <v>0</v>
      </c>
      <c r="BT38" s="1" t="n">
        <f aca="false">IF(AND(Slot6_On=1,D38=Slot6_Age),1,0)</f>
        <v>0</v>
      </c>
      <c r="BU38" s="1" t="n">
        <f aca="false">IF(AND(Slot6_On=1,Slot6_Age&gt;D38),1,0)</f>
        <v>0</v>
      </c>
      <c r="BV38" s="1" t="n">
        <f aca="false">RF37</f>
        <v>0</v>
      </c>
      <c r="BW38" s="1" t="n">
        <f aca="false">BT38*MIN(Slot6_Cost,BV38)</f>
        <v>0</v>
      </c>
      <c r="BX38" s="1" t="n">
        <f aca="false">BT38*Slot6_SpendLike*MIN(Slot6_Cost-BW38,BP38)</f>
        <v>0</v>
      </c>
      <c r="BY38" s="1" t="n">
        <f aca="false">BW38+BX38</f>
        <v>0</v>
      </c>
      <c r="BZ38" s="1" t="n">
        <f aca="false">BP38-BX38+BT38*IF(Slot6_SpendLike=1,BV38-BW38,IF(Slot6_PotFree=1,BV38,0))</f>
        <v>0</v>
      </c>
      <c r="CA38" s="1" t="n">
        <f aca="false">BQ38+BT38*Slot6_BufPot*BV38</f>
        <v>0</v>
      </c>
      <c r="CB38" s="1" t="n">
        <f aca="false">IF(AND(BT38=1,Slot6_IsMfree=1),IF(BY38&gt;=Slot6_Cost-1,0,MAX(0,BR38-BY38)),BR38)</f>
        <v>0</v>
      </c>
      <c r="CC38" s="1" t="n">
        <f aca="false">BT38*(Slot6_Cost-BY38)</f>
        <v>0</v>
      </c>
      <c r="CD38" s="1" t="n">
        <f aca="false">IF(AND(Slot7_On=1,D38=Slot7_Age),1,0)</f>
        <v>0</v>
      </c>
      <c r="CE38" s="1" t="n">
        <f aca="false">IF(AND(Slot7_On=1,Slot7_Age&gt;D38),1,0)</f>
        <v>0</v>
      </c>
      <c r="CF38" s="1" t="n">
        <f aca="false">RJ37</f>
        <v>0</v>
      </c>
      <c r="CG38" s="1" t="n">
        <f aca="false">CD38*MIN(Slot7_Cost,CF38)</f>
        <v>0</v>
      </c>
      <c r="CH38" s="1" t="n">
        <f aca="false">CD38*Slot7_SpendLike*MIN(Slot7_Cost-CG38,BZ38)</f>
        <v>0</v>
      </c>
      <c r="CI38" s="1" t="n">
        <f aca="false">CG38+CH38</f>
        <v>0</v>
      </c>
      <c r="CJ38" s="1" t="n">
        <f aca="false">BZ38-CH38+CD38*IF(Slot7_SpendLike=1,CF38-CG38,IF(Slot7_PotFree=1,CF38,0))</f>
        <v>0</v>
      </c>
      <c r="CK38" s="1" t="n">
        <f aca="false">CA38+CD38*Slot7_BufPot*CF38</f>
        <v>0</v>
      </c>
      <c r="CL38" s="1" t="n">
        <f aca="false">IF(AND(CD38=1,Slot7_IsMfree=1),IF(CI38&gt;=Slot7_Cost-1,0,MAX(0,CB38-CI38)),CB38)</f>
        <v>0</v>
      </c>
      <c r="CM38" s="1" t="n">
        <f aca="false">CD38*(Slot7_Cost-CI38)</f>
        <v>0</v>
      </c>
      <c r="CN38" s="1" t="n">
        <f aca="false">IF(AND(Slot8_On=1,D38=Slot8_Age),1,0)</f>
        <v>0</v>
      </c>
      <c r="CO38" s="1" t="n">
        <f aca="false">IF(AND(Slot8_On=1,Slot8_Age&gt;D38),1,0)</f>
        <v>0</v>
      </c>
      <c r="CP38" s="1" t="n">
        <f aca="false">RN37</f>
        <v>0</v>
      </c>
      <c r="CQ38" s="1" t="n">
        <f aca="false">CN38*MIN(Slot8_Cost,CP38)</f>
        <v>0</v>
      </c>
      <c r="CR38" s="1" t="n">
        <f aca="false">CN38*Slot8_SpendLike*MIN(Slot8_Cost-CQ38,CJ38)</f>
        <v>0</v>
      </c>
      <c r="CS38" s="1" t="n">
        <f aca="false">CQ38+CR38</f>
        <v>0</v>
      </c>
      <c r="CT38" s="1" t="n">
        <f aca="false">CJ38-CR38+CN38*IF(Slot8_SpendLike=1,CP38-CQ38,IF(Slot8_PotFree=1,CP38,0))</f>
        <v>0</v>
      </c>
      <c r="CU38" s="1" t="n">
        <f aca="false">CK38+CN38*Slot8_BufPot*CP38</f>
        <v>0</v>
      </c>
      <c r="CV38" s="1" t="n">
        <f aca="false">IF(AND(CN38=1,Slot8_IsMfree=1),IF(CS38&gt;=Slot8_Cost-1,0,MAX(0,CL38-CS38)),CL38)</f>
        <v>0</v>
      </c>
      <c r="CW38" s="1" t="n">
        <f aca="false">CN38*(Slot8_Cost-CS38)</f>
        <v>0</v>
      </c>
      <c r="CX38" s="1" t="n">
        <f aca="false">IF(AND(Slot9_On=1,D38=Slot9_Age),1,0)</f>
        <v>0</v>
      </c>
      <c r="CY38" s="1" t="n">
        <f aca="false">IF(AND(Slot9_On=1,Slot9_Age&gt;D38),1,0)</f>
        <v>0</v>
      </c>
      <c r="CZ38" s="1" t="n">
        <f aca="false">RR37</f>
        <v>0</v>
      </c>
      <c r="DA38" s="1" t="n">
        <f aca="false">CX38*MIN(Slot9_Cost,CZ38)</f>
        <v>0</v>
      </c>
      <c r="DB38" s="1" t="n">
        <f aca="false">CX38*Slot9_SpendLike*MIN(Slot9_Cost-DA38,CT38)</f>
        <v>0</v>
      </c>
      <c r="DC38" s="1" t="n">
        <f aca="false">DA38+DB38</f>
        <v>0</v>
      </c>
      <c r="DD38" s="1" t="n">
        <f aca="false">CT38-DB38+CX38*IF(Slot9_SpendLike=1,CZ38-DA38,IF(Slot9_PotFree=1,CZ38,0))</f>
        <v>0</v>
      </c>
      <c r="DE38" s="1" t="n">
        <f aca="false">CU38+CX38*Slot9_BufPot*CZ38</f>
        <v>0</v>
      </c>
      <c r="DF38" s="1" t="n">
        <f aca="false">IF(AND(CX38=1,Slot9_IsMfree=1),IF(DC38&gt;=Slot9_Cost-1,0,MAX(0,CV38-DC38)),CV38)</f>
        <v>0</v>
      </c>
      <c r="DG38" s="1" t="n">
        <f aca="false">CX38*(Slot9_Cost-DC38)</f>
        <v>0</v>
      </c>
      <c r="DH38" s="1" t="n">
        <f aca="false">IF(AND(Slot10_On=1,D38=Slot10_Age),1,0)</f>
        <v>0</v>
      </c>
      <c r="DI38" s="1" t="n">
        <f aca="false">IF(AND(Slot10_On=1,Slot10_Age&gt;D38),1,0)</f>
        <v>0</v>
      </c>
      <c r="DJ38" s="1" t="n">
        <f aca="false">RV37</f>
        <v>0</v>
      </c>
      <c r="DK38" s="1" t="n">
        <f aca="false">DH38*MIN(Slot10_Cost,DJ38)</f>
        <v>0</v>
      </c>
      <c r="DL38" s="1" t="n">
        <f aca="false">DH38*Slot10_SpendLike*MIN(Slot10_Cost-DK38,DD38)</f>
        <v>0</v>
      </c>
      <c r="DM38" s="1" t="n">
        <f aca="false">DK38+DL38</f>
        <v>0</v>
      </c>
      <c r="DN38" s="1" t="n">
        <f aca="false">DD38-DL38+DH38*IF(Slot10_SpendLike=1,DJ38-DK38,IF(Slot10_PotFree=1,DJ38,0))</f>
        <v>0</v>
      </c>
      <c r="DO38" s="1" t="n">
        <f aca="false">DE38+DH38*Slot10_BufPot*DJ38</f>
        <v>0</v>
      </c>
      <c r="DP38" s="1" t="n">
        <f aca="false">IF(AND(DH38=1,Slot10_IsMfree=1),IF(DM38&gt;=Slot10_Cost-1,0,MAX(0,DF38-DM38)),DF38)</f>
        <v>0</v>
      </c>
      <c r="DQ38" s="1" t="n">
        <f aca="false">DH38*(Slot10_Cost-DM38)</f>
        <v>0</v>
      </c>
      <c r="DR38" s="1" t="n">
        <f aca="false">IF(AND(Slot11_On=1,D38=Slot11_Age),1,0)</f>
        <v>0</v>
      </c>
      <c r="DS38" s="1" t="n">
        <f aca="false">IF(AND(Slot11_On=1,Slot11_Age&gt;D38),1,0)</f>
        <v>0</v>
      </c>
      <c r="DT38" s="1" t="n">
        <f aca="false">RZ37</f>
        <v>0</v>
      </c>
      <c r="DU38" s="1" t="n">
        <f aca="false">DR38*MIN(Slot11_Cost,DT38)</f>
        <v>0</v>
      </c>
      <c r="DV38" s="1" t="n">
        <f aca="false">DR38*Slot11_SpendLike*MIN(Slot11_Cost-DU38,DN38)</f>
        <v>0</v>
      </c>
      <c r="DW38" s="1" t="n">
        <f aca="false">DU38+DV38</f>
        <v>0</v>
      </c>
      <c r="DX38" s="1" t="n">
        <f aca="false">DN38-DV38+DR38*IF(Slot11_SpendLike=1,DT38-DU38,IF(Slot11_PotFree=1,DT38,0))</f>
        <v>0</v>
      </c>
      <c r="DY38" s="1" t="n">
        <f aca="false">DO38+DR38*Slot11_BufPot*DT38</f>
        <v>0</v>
      </c>
      <c r="DZ38" s="1" t="n">
        <f aca="false">IF(AND(DR38=1,Slot11_IsMfree=1),IF(DW38&gt;=Slot11_Cost-1,0,MAX(0,DP38-DW38)),DP38)</f>
        <v>0</v>
      </c>
      <c r="EA38" s="1" t="n">
        <f aca="false">DR38*(Slot11_Cost-DW38)</f>
        <v>0</v>
      </c>
      <c r="EB38" s="1" t="n">
        <f aca="false">IF(AND(Slot12_On=1,D38=Slot12_Age),1,0)</f>
        <v>0</v>
      </c>
      <c r="EC38" s="1" t="n">
        <f aca="false">IF(AND(Slot12_On=1,Slot12_Age&gt;D38),1,0)</f>
        <v>0</v>
      </c>
      <c r="ED38" s="1" t="n">
        <f aca="false">SD37</f>
        <v>0</v>
      </c>
      <c r="EE38" s="1" t="n">
        <f aca="false">EB38*MIN(Slot12_Cost,ED38)</f>
        <v>0</v>
      </c>
      <c r="EF38" s="1" t="n">
        <f aca="false">EB38*Slot12_SpendLike*MIN(Slot12_Cost-EE38,DX38)</f>
        <v>0</v>
      </c>
      <c r="EG38" s="1" t="n">
        <f aca="false">EE38+EF38</f>
        <v>0</v>
      </c>
      <c r="EH38" s="1" t="n">
        <f aca="false">DX38-EF38+EB38*IF(Slot12_SpendLike=1,ED38-EE38,IF(Slot12_PotFree=1,ED38,0))</f>
        <v>0</v>
      </c>
      <c r="EI38" s="1" t="n">
        <f aca="false">DY38+EB38*Slot12_BufPot*ED38</f>
        <v>0</v>
      </c>
      <c r="EJ38" s="1" t="n">
        <f aca="false">IF(AND(EB38=1,Slot12_IsMfree=1),IF(EG38&gt;=Slot12_Cost-1,0,MAX(0,DZ38-EG38)),DZ38)</f>
        <v>0</v>
      </c>
      <c r="EK38" s="1" t="n">
        <f aca="false">EB38*(Slot12_Cost-EG38)</f>
        <v>0</v>
      </c>
      <c r="EL38" s="1" t="n">
        <f aca="false">IF(AND(Slot13_On=1,D38=Slot13_Age),1,0)</f>
        <v>0</v>
      </c>
      <c r="EM38" s="1" t="n">
        <f aca="false">IF(AND(Slot13_On=1,Slot13_Age&gt;D38),1,0)</f>
        <v>0</v>
      </c>
      <c r="EN38" s="1" t="n">
        <f aca="false">SH37</f>
        <v>0</v>
      </c>
      <c r="EO38" s="1" t="n">
        <f aca="false">EL38*MIN(Slot13_Cost,EN38)</f>
        <v>0</v>
      </c>
      <c r="EP38" s="1" t="n">
        <f aca="false">EL38*Slot13_SpendLike*MIN(Slot13_Cost-EO38,EH38)</f>
        <v>0</v>
      </c>
      <c r="EQ38" s="1" t="n">
        <f aca="false">EO38+EP38</f>
        <v>0</v>
      </c>
      <c r="ER38" s="1" t="n">
        <f aca="false">EH38-EP38+EL38*IF(Slot13_SpendLike=1,EN38-EO38,IF(Slot13_PotFree=1,EN38,0))</f>
        <v>0</v>
      </c>
      <c r="ES38" s="1" t="n">
        <f aca="false">EI38+EL38*Slot13_BufPot*EN38</f>
        <v>0</v>
      </c>
      <c r="ET38" s="1" t="n">
        <f aca="false">IF(AND(EL38=1,Slot13_IsMfree=1),IF(EQ38&gt;=Slot13_Cost-1,0,MAX(0,EJ38-EQ38)),EJ38)</f>
        <v>0</v>
      </c>
      <c r="EU38" s="1" t="n">
        <f aca="false">EL38*(Slot13_Cost-EQ38)</f>
        <v>0</v>
      </c>
      <c r="EV38" s="1" t="n">
        <f aca="false">IF(AND(Slot14_On=1,D38=Slot14_Age),1,0)</f>
        <v>0</v>
      </c>
      <c r="EW38" s="1" t="n">
        <f aca="false">IF(AND(Slot14_On=1,Slot14_Age&gt;D38),1,0)</f>
        <v>0</v>
      </c>
      <c r="EX38" s="1" t="n">
        <f aca="false">SL37</f>
        <v>0</v>
      </c>
      <c r="EY38" s="1" t="n">
        <f aca="false">EV38*MIN(Slot14_Cost,EX38)</f>
        <v>0</v>
      </c>
      <c r="EZ38" s="1" t="n">
        <f aca="false">EV38*Slot14_SpendLike*MIN(Slot14_Cost-EY38,ER38)</f>
        <v>0</v>
      </c>
      <c r="FA38" s="1" t="n">
        <f aca="false">EY38+EZ38</f>
        <v>0</v>
      </c>
      <c r="FB38" s="1" t="n">
        <f aca="false">ER38-EZ38+EV38*IF(Slot14_SpendLike=1,EX38-EY38,IF(Slot14_PotFree=1,EX38,0))</f>
        <v>0</v>
      </c>
      <c r="FC38" s="1" t="n">
        <f aca="false">ES38+EV38*Slot14_BufPot*EX38</f>
        <v>0</v>
      </c>
      <c r="FD38" s="1" t="n">
        <f aca="false">IF(AND(EV38=1,Slot14_IsMfree=1),IF(FA38&gt;=Slot14_Cost-1,0,MAX(0,ET38-FA38)),ET38)</f>
        <v>0</v>
      </c>
      <c r="FE38" s="1" t="n">
        <f aca="false">EV38*(Slot14_Cost-FA38)</f>
        <v>0</v>
      </c>
      <c r="FF38" s="1" t="n">
        <f aca="false">IF(AND(Slot15_On=1,D38=Slot15_Age),1,0)</f>
        <v>0</v>
      </c>
      <c r="FG38" s="1" t="n">
        <f aca="false">IF(AND(Slot15_On=1,Slot15_Age&gt;D38),1,0)</f>
        <v>0</v>
      </c>
      <c r="FH38" s="1" t="n">
        <f aca="false">SP37</f>
        <v>0</v>
      </c>
      <c r="FI38" s="1" t="n">
        <f aca="false">FF38*MIN(Slot15_Cost,FH38)</f>
        <v>0</v>
      </c>
      <c r="FJ38" s="1" t="n">
        <f aca="false">FF38*Slot15_SpendLike*MIN(Slot15_Cost-FI38,FB38)</f>
        <v>0</v>
      </c>
      <c r="FK38" s="1" t="n">
        <f aca="false">FI38+FJ38</f>
        <v>0</v>
      </c>
      <c r="FL38" s="1" t="n">
        <f aca="false">FB38-FJ38+FF38*IF(Slot15_SpendLike=1,FH38-FI38,IF(Slot15_PotFree=1,FH38,0))</f>
        <v>0</v>
      </c>
      <c r="FM38" s="1" t="n">
        <f aca="false">FC38+FF38*Slot15_BufPot*FH38</f>
        <v>0</v>
      </c>
      <c r="FN38" s="1" t="n">
        <f aca="false">IF(AND(FF38=1,Slot15_IsMfree=1),IF(FK38&gt;=Slot15_Cost-1,0,MAX(0,FD38-FK38)),FD38)</f>
        <v>0</v>
      </c>
      <c r="FO38" s="1" t="n">
        <f aca="false">FF38*(Slot15_Cost-FK38)</f>
        <v>0</v>
      </c>
      <c r="FP38" s="1" t="n">
        <f aca="false">IF(AND(Slot16_On=1,D38=Slot16_Age),1,0)</f>
        <v>0</v>
      </c>
      <c r="FQ38" s="1" t="n">
        <f aca="false">IF(AND(Slot16_On=1,Slot16_Age&gt;D38),1,0)</f>
        <v>0</v>
      </c>
      <c r="FR38" s="1" t="n">
        <f aca="false">ST37</f>
        <v>0</v>
      </c>
      <c r="FS38" s="1" t="n">
        <f aca="false">FP38*MIN(Slot16_Cost,FR38)</f>
        <v>0</v>
      </c>
      <c r="FT38" s="1" t="n">
        <f aca="false">FP38*Slot16_SpendLike*MIN(Slot16_Cost-FS38,FL38)</f>
        <v>0</v>
      </c>
      <c r="FU38" s="1" t="n">
        <f aca="false">FS38+FT38</f>
        <v>0</v>
      </c>
      <c r="FV38" s="1" t="n">
        <f aca="false">FL38-FT38+FP38*IF(Slot16_SpendLike=1,FR38-FS38,IF(Slot16_PotFree=1,FR38,0))</f>
        <v>0</v>
      </c>
      <c r="FW38" s="1" t="n">
        <f aca="false">FM38+FP38*Slot16_BufPot*FR38</f>
        <v>0</v>
      </c>
      <c r="FX38" s="1" t="n">
        <f aca="false">IF(AND(FP38=1,Slot16_IsMfree=1),IF(FU38&gt;=Slot16_Cost-1,0,MAX(0,FN38-FU38)),FN38)</f>
        <v>0</v>
      </c>
      <c r="FY38" s="1" t="n">
        <f aca="false">FP38*(Slot16_Cost-FU38)</f>
        <v>0</v>
      </c>
      <c r="FZ38" s="1" t="n">
        <f aca="false">IF(AND(Slot17_On=1,D38=Slot17_Age),1,0)</f>
        <v>0</v>
      </c>
      <c r="GA38" s="1" t="n">
        <f aca="false">IF(AND(Slot17_On=1,Slot17_Age&gt;D38),1,0)</f>
        <v>0</v>
      </c>
      <c r="GB38" s="1" t="n">
        <f aca="false">SX37</f>
        <v>0</v>
      </c>
      <c r="GC38" s="1" t="n">
        <f aca="false">FZ38*MIN(Slot17_Cost,GB38)</f>
        <v>0</v>
      </c>
      <c r="GD38" s="1" t="n">
        <f aca="false">FZ38*Slot17_SpendLike*MIN(Slot17_Cost-GC38,FV38)</f>
        <v>0</v>
      </c>
      <c r="GE38" s="1" t="n">
        <f aca="false">GC38+GD38</f>
        <v>0</v>
      </c>
      <c r="GF38" s="1" t="n">
        <f aca="false">FV38-GD38+FZ38*IF(Slot17_SpendLike=1,GB38-GC38,IF(Slot17_PotFree=1,GB38,0))</f>
        <v>0</v>
      </c>
      <c r="GG38" s="1" t="n">
        <f aca="false">FW38+FZ38*Slot17_BufPot*GB38</f>
        <v>0</v>
      </c>
      <c r="GH38" s="1" t="n">
        <f aca="false">IF(AND(FZ38=1,Slot17_IsMfree=1),IF(GE38&gt;=Slot17_Cost-1,0,MAX(0,FX38-GE38)),FX38)</f>
        <v>0</v>
      </c>
      <c r="GI38" s="1" t="n">
        <f aca="false">FZ38*(Slot17_Cost-GE38)</f>
        <v>0</v>
      </c>
      <c r="GJ38" s="1" t="n">
        <f aca="false">IF(AND(Slot18_On=1,D38=Slot18_Age),1,0)</f>
        <v>0</v>
      </c>
      <c r="GK38" s="1" t="n">
        <f aca="false">IF(AND(Slot18_On=1,Slot18_Age&gt;D38),1,0)</f>
        <v>0</v>
      </c>
      <c r="GL38" s="1" t="n">
        <f aca="false">TB37</f>
        <v>0</v>
      </c>
      <c r="GM38" s="1" t="n">
        <f aca="false">GJ38*MIN(Slot18_Cost,GL38)</f>
        <v>0</v>
      </c>
      <c r="GN38" s="1" t="n">
        <f aca="false">GJ38*Slot18_SpendLike*MIN(Slot18_Cost-GM38,GF38)</f>
        <v>0</v>
      </c>
      <c r="GO38" s="1" t="n">
        <f aca="false">GM38+GN38</f>
        <v>0</v>
      </c>
      <c r="GP38" s="1" t="n">
        <f aca="false">GF38-GN38+GJ38*IF(Slot18_SpendLike=1,GL38-GM38,IF(Slot18_PotFree=1,GL38,0))</f>
        <v>0</v>
      </c>
      <c r="GQ38" s="1" t="n">
        <f aca="false">GG38+GJ38*Slot18_BufPot*GL38</f>
        <v>0</v>
      </c>
      <c r="GR38" s="1" t="n">
        <f aca="false">IF(AND(GJ38=1,Slot18_IsMfree=1),IF(GO38&gt;=Slot18_Cost-1,0,MAX(0,GH38-GO38)),GH38)</f>
        <v>0</v>
      </c>
      <c r="GS38" s="1" t="n">
        <f aca="false">GJ38*(Slot18_Cost-GO38)</f>
        <v>0</v>
      </c>
      <c r="GT38" s="1" t="n">
        <f aca="false">IF(AND(Slot19_On=1,D38=Slot19_Age),1,0)</f>
        <v>0</v>
      </c>
      <c r="GU38" s="1" t="n">
        <f aca="false">IF(AND(Slot19_On=1,Slot19_Age&gt;D38),1,0)</f>
        <v>0</v>
      </c>
      <c r="GV38" s="1" t="n">
        <f aca="false">TF37</f>
        <v>0</v>
      </c>
      <c r="GW38" s="1" t="n">
        <f aca="false">GT38*MIN(Slot19_Cost,GV38)</f>
        <v>0</v>
      </c>
      <c r="GX38" s="1" t="n">
        <f aca="false">GT38*Slot19_SpendLike*MIN(Slot19_Cost-GW38,GP38)</f>
        <v>0</v>
      </c>
      <c r="GY38" s="1" t="n">
        <f aca="false">GW38+GX38</f>
        <v>0</v>
      </c>
      <c r="GZ38" s="1" t="n">
        <f aca="false">GP38-GX38+GT38*IF(Slot19_SpendLike=1,GV38-GW38,IF(Slot19_PotFree=1,GV38,0))</f>
        <v>0</v>
      </c>
      <c r="HA38" s="1" t="n">
        <f aca="false">GQ38+GT38*Slot19_BufPot*GV38</f>
        <v>0</v>
      </c>
      <c r="HB38" s="1" t="n">
        <f aca="false">IF(AND(GT38=1,Slot19_IsMfree=1),IF(GY38&gt;=Slot19_Cost-1,0,MAX(0,GR38-GY38)),GR38)</f>
        <v>0</v>
      </c>
      <c r="HC38" s="1" t="n">
        <f aca="false">GT38*(Slot19_Cost-GY38)</f>
        <v>0</v>
      </c>
      <c r="HD38" s="1" t="n">
        <f aca="false">IF(AND(Slot20_On=1,D38=Slot20_Age),1,0)</f>
        <v>0</v>
      </c>
      <c r="HE38" s="1" t="n">
        <f aca="false">IF(AND(Slot20_On=1,Slot20_Age&gt;D38),1,0)</f>
        <v>0</v>
      </c>
      <c r="HF38" s="1" t="n">
        <f aca="false">TJ37</f>
        <v>0</v>
      </c>
      <c r="HG38" s="1" t="n">
        <f aca="false">HD38*MIN(Slot20_Cost,HF38)</f>
        <v>0</v>
      </c>
      <c r="HH38" s="1" t="n">
        <f aca="false">HD38*Slot20_SpendLike*MIN(Slot20_Cost-HG38,GZ38)</f>
        <v>0</v>
      </c>
      <c r="HI38" s="1" t="n">
        <f aca="false">HG38+HH38</f>
        <v>0</v>
      </c>
      <c r="HJ38" s="1" t="n">
        <f aca="false">GZ38-HH38+HD38*IF(Slot20_SpendLike=1,HF38-HG38,IF(Slot20_PotFree=1,HF38,0))</f>
        <v>0</v>
      </c>
      <c r="HK38" s="1" t="n">
        <f aca="false">HA38+HD38*Slot20_BufPot*HF38</f>
        <v>0</v>
      </c>
      <c r="HL38" s="1" t="n">
        <f aca="false">IF(AND(HD38=1,Slot20_IsMfree=1),IF(HI38&gt;=Slot20_Cost-1,0,MAX(0,HB38-HI38)),HB38)</f>
        <v>0</v>
      </c>
      <c r="HM38" s="1" t="n">
        <f aca="false">HD38*(Slot20_Cost-HI38)</f>
        <v>0</v>
      </c>
      <c r="HN38" s="1" t="n">
        <f aca="false">U38*Slot1_SpendLike*Z38+AF38*Slot2_SpendLike*AK38+AP38*Slot3_SpendLike*AU38+AZ38*Slot4_SpendLike*BE38+BJ38*Slot5_SpendLike*BO38+BT38*Slot6_SpendLike*BY38+CD38*Slot7_SpendLike*CI38+CN38*Slot8_SpendLike*CS38+CX38*Slot9_SpendLike*DC38+DH38*Slot10_SpendLike*DM38+DR38*Slot11_SpendLike*DW38+EB38*Slot12_SpendLike*EG38+EL38*Slot13_SpendLike*EQ38+EV38*Slot14_SpendLike*FA38+FF38*Slot15_SpendLike*FK38+FP38*Slot16_SpendLike*FU38+FZ38*Slot17_SpendLike*GE38+GJ38*Slot18_SpendLike*GO38+GT38*Slot19_SpendLike*GY38+HD38*Slot20_SpendLike*HI38</f>
        <v>0</v>
      </c>
      <c r="HO38" s="1" t="n">
        <f aca="false">AD38+AO38+AY38+BI38+BS38+CC38+CM38+CW38+DG38+DQ38+EA38+EK38+EU38+FE38+FO38+FY38+GI38+GS38+HC38+HM38</f>
        <v>0</v>
      </c>
      <c r="HP38" s="1" t="n">
        <f aca="false">U38*Slot1_Cost+AF38*Slot2_Cost+AP38*Slot3_Cost+AZ38*Slot4_Cost+BJ38*Slot5_Cost+BT38*Slot6_Cost+CD38*Slot7_Cost+CN38*Slot8_Cost+CX38*Slot9_Cost+DH38*Slot10_Cost+DR38*Slot11_Cost+EB38*Slot12_Cost+EL38*Slot13_Cost+EV38*Slot14_Cost+FF38*Slot15_Cost+FP38*Slot16_Cost+FZ38*Slot17_Cost+GJ38*Slot18_Cost+GT38*Slot19_Cost+HD38*Slot20_Cost</f>
        <v>0</v>
      </c>
      <c r="HQ38" s="1" t="n">
        <f aca="false">HL38</f>
        <v>0</v>
      </c>
      <c r="HR38" s="1" t="n">
        <f aca="false">G38-H38-R38</f>
        <v>0</v>
      </c>
      <c r="HS38" s="1" t="n">
        <f aca="false">IF(B38=0,IF(AND(Has_q6=1,In_q6=4),PR_ShareVaries*(MAX(0,HR38)/12),MIN(IF(Has_q6=1,CHOOSE(In_q6+1,PR_SaveB1,PR_SaveB2,PR_SaveB3,PR_SaveB4,0),AS_NoAnswer),AS_SaveShare*(MAX(0,HR38)/12))),HS37)</f>
        <v>0</v>
      </c>
      <c r="HT38" s="1" t="n">
        <f aca="false">IF(HR38&gt;=0,1,0)</f>
        <v>1</v>
      </c>
      <c r="HU38" s="1" t="n">
        <f aca="false">MAX(0,HR38/12/E38)</f>
        <v>0</v>
      </c>
      <c r="HV38" s="1" t="n">
        <f aca="false">IF(AND(Has_q6=1,In_q6=4),PR_ShareVaries*(HU38),MIN(IF(Has_q6=1,CHOOSE(In_q6+1,PR_SaveB1,PR_SaveB2,PR_SaveB3,PR_SaveB4,0),AS_NoAnswer),AS_SaveShare*(HU38)))</f>
        <v>0</v>
      </c>
      <c r="HW38" s="1" t="n">
        <f aca="false">IF(Has_saveM=1,IF(In_saveUp="Yes",1,IF(In_saveUp="No",0,IF(In_saveM&gt;=HS38-0.5,1,0))),0)</f>
        <v>0</v>
      </c>
      <c r="HX38" s="1" t="n">
        <f aca="false">IF(Has_saveM=1,MIN(HU38,IF(HW38=1,MAX(In_saveM,HV38),MIN(In_saveM,HV38))),HV38)</f>
        <v>0</v>
      </c>
      <c r="HY38" s="1" t="n">
        <f aca="false">IF(F38=1,HX38*12*E38,0)</f>
        <v>0</v>
      </c>
      <c r="HZ38" s="1" t="n">
        <f aca="false">MAX(0,HY38+IF(AND(WI_Retire=0,WI_M&lt;0,F38=1),WI_M*12*E38,0))</f>
        <v>0</v>
      </c>
      <c r="IA38" s="1" t="n">
        <f aca="false">Slot1_IsWG*V38+Slot2_IsWG*AG38+Slot3_IsWG*AQ38+Slot4_IsWG*BA38+Slot5_IsWG*BK38+Slot6_IsWG*BU38+Slot7_IsWG*CE38+Slot8_IsWG*CO38+Slot9_IsWG*CY38+Slot10_IsWG*DI38+Slot11_IsWG*DS38+Slot12_IsWG*EC38+Slot13_IsWG*EM38+Slot14_IsWG*EW38+Slot15_IsWG*FG38+Slot16_IsWG*FQ38+Slot17_IsWG*GA38+Slot18_IsWG*GK38+Slot19_IsWG*GU38+Slot20_IsWG*HE38</f>
        <v>0</v>
      </c>
      <c r="IB38" s="1" t="n">
        <f aca="false">IF(AND(WI_Retire=0,WI_M&gt;0,F38=1,IA38&gt;=1),WI_M*12*E38,0)</f>
        <v>0</v>
      </c>
      <c r="IC38" s="1" t="n">
        <f aca="false">IF(HT38=1,MIN(HZ38,HR38),0)</f>
        <v>0</v>
      </c>
      <c r="ID38" s="1" t="n">
        <f aca="false">IF(HT38=1,MIN(IB38,HR38-IC38),0)</f>
        <v>0</v>
      </c>
      <c r="IE38" s="1" t="n">
        <f aca="false">IF(V38=1,IF(ABS((1+AS_Wage)/(1+Slot1_Rate)-1)&lt;0.000000000001,(Slot1_Age-D38)*(1+Slot1_Rate)^(Slot1_Age-D38),(1+Slot1_Rate)^(Slot1_Age-D38)*(1-((1+AS_Wage)/(1+Slot1_Rate))^(Slot1_Age-D38))/(1-(1+AS_Wage)/(1+Slot1_Rate))),1)</f>
        <v>1</v>
      </c>
      <c r="IF38" s="1" t="n">
        <f aca="false">IF(AND(HT38=1,ID38&gt;0,Slot1_IsWG=1,V38=1),MAX(0,(Slot1_Cost-W38*(1+Slot1_Rate)^(Slot1_Age-D38))/IE38),0)</f>
        <v>0</v>
      </c>
      <c r="IG38" s="1" t="n">
        <f aca="false">IF(AND(HT38=1,ID38&gt;0,Slot1_IsWG=1,V38=1),MIN(ID38,IF38),0)</f>
        <v>0</v>
      </c>
      <c r="IH38" s="1" t="n">
        <f aca="false">W38+IG38</f>
        <v>0</v>
      </c>
      <c r="II38" s="1" t="n">
        <f aca="false">IF(V38=1,MAX(0,(Slot1_Cost-IH38*(1+Slot1_Rate)^(Slot1_Age-D38))/IE38),0)</f>
        <v>0</v>
      </c>
      <c r="IJ38" s="1" t="n">
        <f aca="false">IF(V38=1,MAX(0,(Slot1_Cost-W38*(1+Slot1_Rate)^(Slot1_Age-D38))/IE38),0)</f>
        <v>0</v>
      </c>
      <c r="IK38" s="1" t="n">
        <f aca="false">IF(AND(HT38=1,V38=1),MIN(IC38,II38),0)</f>
        <v>0</v>
      </c>
      <c r="IL38" s="1" t="n">
        <f aca="false">IC38-IK38</f>
        <v>0</v>
      </c>
      <c r="IM38" s="1" t="n">
        <f aca="false">IF(AG38=1,IF(ABS((1+AS_Wage)/(1+Slot2_Rate)-1)&lt;0.000000000001,(Slot2_Age-D38)*(1+Slot2_Rate)^(Slot2_Age-D38),(1+Slot2_Rate)^(Slot2_Age-D38)*(1-((1+AS_Wage)/(1+Slot2_Rate))^(Slot2_Age-D38))/(1-(1+AS_Wage)/(1+Slot2_Rate))),1)</f>
        <v>1</v>
      </c>
      <c r="IN38" s="1" t="n">
        <f aca="false">IF(AND(HT38=1,ID38&gt;0,Slot2_IsWG=1,AG38=1),MAX(0,(Slot2_Cost-AH38*(1+Slot2_Rate)^(Slot2_Age-D38))/IM38),0)</f>
        <v>0</v>
      </c>
      <c r="IO38" s="1" t="n">
        <f aca="false">IF(AND(HT38=1,ID38&gt;0,Slot2_IsWG=1,AG38=1),MIN(ID38,IN38),0)</f>
        <v>0</v>
      </c>
      <c r="IP38" s="1" t="n">
        <f aca="false">AH38+IO38</f>
        <v>0</v>
      </c>
      <c r="IQ38" s="1" t="n">
        <f aca="false">IF(AG38=1,MAX(0,(Slot2_Cost-IP38*(1+Slot2_Rate)^(Slot2_Age-D38))/IM38),0)</f>
        <v>0</v>
      </c>
      <c r="IR38" s="1" t="n">
        <f aca="false">IF(AG38=1,MAX(0,(Slot2_Cost-AH38*(1+Slot2_Rate)^(Slot2_Age-D38))/IM38),0)</f>
        <v>0</v>
      </c>
      <c r="IS38" s="1" t="n">
        <f aca="false">IF(AND(HT38=1,AG38=1),MIN(IL38,IQ38),0)</f>
        <v>0</v>
      </c>
      <c r="IT38" s="1" t="n">
        <f aca="false">IL38-IS38</f>
        <v>0</v>
      </c>
      <c r="IU38" s="1" t="n">
        <f aca="false">IF(AQ38=1,IF(ABS((1+AS_Wage)/(1+Slot3_Rate)-1)&lt;0.000000000001,(Slot3_Age-D38)*(1+Slot3_Rate)^(Slot3_Age-D38),(1+Slot3_Rate)^(Slot3_Age-D38)*(1-((1+AS_Wage)/(1+Slot3_Rate))^(Slot3_Age-D38))/(1-(1+AS_Wage)/(1+Slot3_Rate))),1)</f>
        <v>1</v>
      </c>
      <c r="IV38" s="1" t="n">
        <f aca="false">IF(AND(HT38=1,ID38&gt;0,Slot3_IsWG=1,AQ38=1),MAX(0,(Slot3_Cost-AR38*(1+Slot3_Rate)^(Slot3_Age-D38))/IU38),0)</f>
        <v>0</v>
      </c>
      <c r="IW38" s="1" t="n">
        <f aca="false">IF(AND(HT38=1,ID38&gt;0,Slot3_IsWG=1,AQ38=1),MIN(ID38,IV38),0)</f>
        <v>0</v>
      </c>
      <c r="IX38" s="1" t="n">
        <f aca="false">AR38+IW38</f>
        <v>0</v>
      </c>
      <c r="IY38" s="1" t="n">
        <f aca="false">IF(AQ38=1,MAX(0,(Slot3_Cost-IX38*(1+Slot3_Rate)^(Slot3_Age-D38))/IU38),0)</f>
        <v>0</v>
      </c>
      <c r="IZ38" s="1" t="n">
        <f aca="false">IF(AQ38=1,MAX(0,(Slot3_Cost-AR38*(1+Slot3_Rate)^(Slot3_Age-D38))/IU38),0)</f>
        <v>0</v>
      </c>
      <c r="JA38" s="1" t="n">
        <f aca="false">IF(AND(HT38=1,AQ38=1),MIN(IT38,IY38),0)</f>
        <v>0</v>
      </c>
      <c r="JB38" s="1" t="n">
        <f aca="false">IT38-JA38</f>
        <v>0</v>
      </c>
      <c r="JC38" s="1" t="n">
        <f aca="false">IF(BA38=1,IF(ABS((1+AS_Wage)/(1+Slot4_Rate)-1)&lt;0.000000000001,(Slot4_Age-D38)*(1+Slot4_Rate)^(Slot4_Age-D38),(1+Slot4_Rate)^(Slot4_Age-D38)*(1-((1+AS_Wage)/(1+Slot4_Rate))^(Slot4_Age-D38))/(1-(1+AS_Wage)/(1+Slot4_Rate))),1)</f>
        <v>1</v>
      </c>
      <c r="JD38" s="1" t="n">
        <f aca="false">IF(AND(HT38=1,ID38&gt;0,Slot4_IsWG=1,BA38=1),MAX(0,(Slot4_Cost-BB38*(1+Slot4_Rate)^(Slot4_Age-D38))/JC38),0)</f>
        <v>0</v>
      </c>
      <c r="JE38" s="1" t="n">
        <f aca="false">IF(AND(HT38=1,ID38&gt;0,Slot4_IsWG=1,BA38=1),MIN(ID38,JD38),0)</f>
        <v>0</v>
      </c>
      <c r="JF38" s="1" t="n">
        <f aca="false">BB38+JE38</f>
        <v>0</v>
      </c>
      <c r="JG38" s="1" t="n">
        <f aca="false">IF(BA38=1,MAX(0,(Slot4_Cost-JF38*(1+Slot4_Rate)^(Slot4_Age-D38))/JC38),0)</f>
        <v>0</v>
      </c>
      <c r="JH38" s="1" t="n">
        <f aca="false">IF(BA38=1,MAX(0,(Slot4_Cost-BB38*(1+Slot4_Rate)^(Slot4_Age-D38))/JC38),0)</f>
        <v>0</v>
      </c>
      <c r="JI38" s="1" t="n">
        <f aca="false">IF(AND(HT38=1,BA38=1),MIN(JB38,JG38),0)</f>
        <v>0</v>
      </c>
      <c r="JJ38" s="1" t="n">
        <f aca="false">JB38-JI38</f>
        <v>0</v>
      </c>
      <c r="JK38" s="1" t="n">
        <f aca="false">IF(BK38=1,IF(ABS((1+AS_Wage)/(1+Slot5_Rate)-1)&lt;0.000000000001,(Slot5_Age-D38)*(1+Slot5_Rate)^(Slot5_Age-D38),(1+Slot5_Rate)^(Slot5_Age-D38)*(1-((1+AS_Wage)/(1+Slot5_Rate))^(Slot5_Age-D38))/(1-(1+AS_Wage)/(1+Slot5_Rate))),1)</f>
        <v>1</v>
      </c>
      <c r="JL38" s="1" t="n">
        <f aca="false">IF(AND(HT38=1,ID38&gt;0,Slot5_IsWG=1,BK38=1),MAX(0,(Slot5_Cost-BL38*(1+Slot5_Rate)^(Slot5_Age-D38))/JK38),0)</f>
        <v>0</v>
      </c>
      <c r="JM38" s="1" t="n">
        <f aca="false">IF(AND(HT38=1,ID38&gt;0,Slot5_IsWG=1,BK38=1),MIN(ID38,JL38),0)</f>
        <v>0</v>
      </c>
      <c r="JN38" s="1" t="n">
        <f aca="false">BL38+JM38</f>
        <v>0</v>
      </c>
      <c r="JO38" s="1" t="n">
        <f aca="false">IF(BK38=1,MAX(0,(Slot5_Cost-JN38*(1+Slot5_Rate)^(Slot5_Age-D38))/JK38),0)</f>
        <v>0</v>
      </c>
      <c r="JP38" s="1" t="n">
        <f aca="false">IF(BK38=1,MAX(0,(Slot5_Cost-BL38*(1+Slot5_Rate)^(Slot5_Age-D38))/JK38),0)</f>
        <v>0</v>
      </c>
      <c r="JQ38" s="1" t="n">
        <f aca="false">IF(AND(HT38=1,BK38=1),MIN(JJ38,JO38),0)</f>
        <v>0</v>
      </c>
      <c r="JR38" s="1" t="n">
        <f aca="false">JJ38-JQ38</f>
        <v>0</v>
      </c>
      <c r="JS38" s="1" t="n">
        <f aca="false">IF(BU38=1,IF(ABS((1+AS_Wage)/(1+Slot6_Rate)-1)&lt;0.000000000001,(Slot6_Age-D38)*(1+Slot6_Rate)^(Slot6_Age-D38),(1+Slot6_Rate)^(Slot6_Age-D38)*(1-((1+AS_Wage)/(1+Slot6_Rate))^(Slot6_Age-D38))/(1-(1+AS_Wage)/(1+Slot6_Rate))),1)</f>
        <v>1</v>
      </c>
      <c r="JT38" s="1" t="n">
        <f aca="false">IF(AND(HT38=1,ID38&gt;0,Slot6_IsWG=1,BU38=1),MAX(0,(Slot6_Cost-BV38*(1+Slot6_Rate)^(Slot6_Age-D38))/JS38),0)</f>
        <v>0</v>
      </c>
      <c r="JU38" s="1" t="n">
        <f aca="false">IF(AND(HT38=1,ID38&gt;0,Slot6_IsWG=1,BU38=1),MIN(ID38,JT38),0)</f>
        <v>0</v>
      </c>
      <c r="JV38" s="1" t="n">
        <f aca="false">BV38+JU38</f>
        <v>0</v>
      </c>
      <c r="JW38" s="1" t="n">
        <f aca="false">IF(BU38=1,MAX(0,(Slot6_Cost-JV38*(1+Slot6_Rate)^(Slot6_Age-D38))/JS38),0)</f>
        <v>0</v>
      </c>
      <c r="JX38" s="1" t="n">
        <f aca="false">IF(BU38=1,MAX(0,(Slot6_Cost-BV38*(1+Slot6_Rate)^(Slot6_Age-D38))/JS38),0)</f>
        <v>0</v>
      </c>
      <c r="JY38" s="1" t="n">
        <f aca="false">IF(AND(HT38=1,BU38=1),MIN(JR38,JW38),0)</f>
        <v>0</v>
      </c>
      <c r="JZ38" s="1" t="n">
        <f aca="false">JR38-JY38</f>
        <v>0</v>
      </c>
      <c r="KA38" s="1" t="n">
        <f aca="false">IF(CE38=1,IF(ABS((1+AS_Wage)/(1+Slot7_Rate)-1)&lt;0.000000000001,(Slot7_Age-D38)*(1+Slot7_Rate)^(Slot7_Age-D38),(1+Slot7_Rate)^(Slot7_Age-D38)*(1-((1+AS_Wage)/(1+Slot7_Rate))^(Slot7_Age-D38))/(1-(1+AS_Wage)/(1+Slot7_Rate))),1)</f>
        <v>1</v>
      </c>
      <c r="KB38" s="1" t="n">
        <f aca="false">IF(AND(HT38=1,ID38&gt;0,Slot7_IsWG=1,CE38=1),MAX(0,(Slot7_Cost-CF38*(1+Slot7_Rate)^(Slot7_Age-D38))/KA38),0)</f>
        <v>0</v>
      </c>
      <c r="KC38" s="1" t="n">
        <f aca="false">IF(AND(HT38=1,ID38&gt;0,Slot7_IsWG=1,CE38=1),MIN(ID38,KB38),0)</f>
        <v>0</v>
      </c>
      <c r="KD38" s="1" t="n">
        <f aca="false">CF38+KC38</f>
        <v>0</v>
      </c>
      <c r="KE38" s="1" t="n">
        <f aca="false">IF(CE38=1,MAX(0,(Slot7_Cost-KD38*(1+Slot7_Rate)^(Slot7_Age-D38))/KA38),0)</f>
        <v>0</v>
      </c>
      <c r="KF38" s="1" t="n">
        <f aca="false">IF(CE38=1,MAX(0,(Slot7_Cost-CF38*(1+Slot7_Rate)^(Slot7_Age-D38))/KA38),0)</f>
        <v>0</v>
      </c>
      <c r="KG38" s="1" t="n">
        <f aca="false">IF(AND(HT38=1,CE38=1),MIN(JZ38,KE38),0)</f>
        <v>0</v>
      </c>
      <c r="KH38" s="1" t="n">
        <f aca="false">JZ38-KG38</f>
        <v>0</v>
      </c>
      <c r="KI38" s="1" t="n">
        <f aca="false">IF(CO38=1,IF(ABS((1+AS_Wage)/(1+Slot8_Rate)-1)&lt;0.000000000001,(Slot8_Age-D38)*(1+Slot8_Rate)^(Slot8_Age-D38),(1+Slot8_Rate)^(Slot8_Age-D38)*(1-((1+AS_Wage)/(1+Slot8_Rate))^(Slot8_Age-D38))/(1-(1+AS_Wage)/(1+Slot8_Rate))),1)</f>
        <v>1</v>
      </c>
      <c r="KJ38" s="1" t="n">
        <f aca="false">IF(AND(HT38=1,ID38&gt;0,Slot8_IsWG=1,CO38=1),MAX(0,(Slot8_Cost-CP38*(1+Slot8_Rate)^(Slot8_Age-D38))/KI38),0)</f>
        <v>0</v>
      </c>
      <c r="KK38" s="1" t="n">
        <f aca="false">IF(AND(HT38=1,ID38&gt;0,Slot8_IsWG=1,CO38=1),MIN(ID38,KJ38),0)</f>
        <v>0</v>
      </c>
      <c r="KL38" s="1" t="n">
        <f aca="false">CP38+KK38</f>
        <v>0</v>
      </c>
      <c r="KM38" s="1" t="n">
        <f aca="false">IF(CO38=1,MAX(0,(Slot8_Cost-KL38*(1+Slot8_Rate)^(Slot8_Age-D38))/KI38),0)</f>
        <v>0</v>
      </c>
      <c r="KN38" s="1" t="n">
        <f aca="false">IF(CO38=1,MAX(0,(Slot8_Cost-CP38*(1+Slot8_Rate)^(Slot8_Age-D38))/KI38),0)</f>
        <v>0</v>
      </c>
      <c r="KO38" s="1" t="n">
        <f aca="false">IF(AND(HT38=1,CO38=1),MIN(KH38,KM38),0)</f>
        <v>0</v>
      </c>
      <c r="KP38" s="1" t="n">
        <f aca="false">KH38-KO38</f>
        <v>0</v>
      </c>
      <c r="KQ38" s="1" t="n">
        <f aca="false">IF(CY38=1,IF(ABS((1+AS_Wage)/(1+Slot9_Rate)-1)&lt;0.000000000001,(Slot9_Age-D38)*(1+Slot9_Rate)^(Slot9_Age-D38),(1+Slot9_Rate)^(Slot9_Age-D38)*(1-((1+AS_Wage)/(1+Slot9_Rate))^(Slot9_Age-D38))/(1-(1+AS_Wage)/(1+Slot9_Rate))),1)</f>
        <v>1</v>
      </c>
      <c r="KR38" s="1" t="n">
        <f aca="false">IF(AND(HT38=1,ID38&gt;0,Slot9_IsWG=1,CY38=1),MAX(0,(Slot9_Cost-CZ38*(1+Slot9_Rate)^(Slot9_Age-D38))/KQ38),0)</f>
        <v>0</v>
      </c>
      <c r="KS38" s="1" t="n">
        <f aca="false">IF(AND(HT38=1,ID38&gt;0,Slot9_IsWG=1,CY38=1),MIN(ID38,KR38),0)</f>
        <v>0</v>
      </c>
      <c r="KT38" s="1" t="n">
        <f aca="false">CZ38+KS38</f>
        <v>0</v>
      </c>
      <c r="KU38" s="1" t="n">
        <f aca="false">IF(CY38=1,MAX(0,(Slot9_Cost-KT38*(1+Slot9_Rate)^(Slot9_Age-D38))/KQ38),0)</f>
        <v>0</v>
      </c>
      <c r="KV38" s="1" t="n">
        <f aca="false">IF(CY38=1,MAX(0,(Slot9_Cost-CZ38*(1+Slot9_Rate)^(Slot9_Age-D38))/KQ38),0)</f>
        <v>0</v>
      </c>
      <c r="KW38" s="1" t="n">
        <f aca="false">IF(AND(HT38=1,CY38=1),MIN(KP38,KU38),0)</f>
        <v>0</v>
      </c>
      <c r="KX38" s="1" t="n">
        <f aca="false">KP38-KW38</f>
        <v>0</v>
      </c>
      <c r="KY38" s="1" t="n">
        <f aca="false">IF(DI38=1,IF(ABS((1+AS_Wage)/(1+Slot10_Rate)-1)&lt;0.000000000001,(Slot10_Age-D38)*(1+Slot10_Rate)^(Slot10_Age-D38),(1+Slot10_Rate)^(Slot10_Age-D38)*(1-((1+AS_Wage)/(1+Slot10_Rate))^(Slot10_Age-D38))/(1-(1+AS_Wage)/(1+Slot10_Rate))),1)</f>
        <v>1</v>
      </c>
      <c r="KZ38" s="1" t="n">
        <f aca="false">IF(AND(HT38=1,ID38&gt;0,Slot10_IsWG=1,DI38=1),MAX(0,(Slot10_Cost-DJ38*(1+Slot10_Rate)^(Slot10_Age-D38))/KY38),0)</f>
        <v>0</v>
      </c>
      <c r="LA38" s="1" t="n">
        <f aca="false">IF(AND(HT38=1,ID38&gt;0,Slot10_IsWG=1,DI38=1),MIN(ID38,KZ38),0)</f>
        <v>0</v>
      </c>
      <c r="LB38" s="1" t="n">
        <f aca="false">DJ38+LA38</f>
        <v>0</v>
      </c>
      <c r="LC38" s="1" t="n">
        <f aca="false">IF(DI38=1,MAX(0,(Slot10_Cost-LB38*(1+Slot10_Rate)^(Slot10_Age-D38))/KY38),0)</f>
        <v>0</v>
      </c>
      <c r="LD38" s="1" t="n">
        <f aca="false">IF(DI38=1,MAX(0,(Slot10_Cost-DJ38*(1+Slot10_Rate)^(Slot10_Age-D38))/KY38),0)</f>
        <v>0</v>
      </c>
      <c r="LE38" s="1" t="n">
        <f aca="false">IF(AND(HT38=1,DI38=1),MIN(KX38,LC38),0)</f>
        <v>0</v>
      </c>
      <c r="LF38" s="1" t="n">
        <f aca="false">KX38-LE38</f>
        <v>0</v>
      </c>
      <c r="LG38" s="1" t="n">
        <f aca="false">IF(DS38=1,IF(ABS((1+AS_Wage)/(1+Slot11_Rate)-1)&lt;0.000000000001,(Slot11_Age-D38)*(1+Slot11_Rate)^(Slot11_Age-D38),(1+Slot11_Rate)^(Slot11_Age-D38)*(1-((1+AS_Wage)/(1+Slot11_Rate))^(Slot11_Age-D38))/(1-(1+AS_Wage)/(1+Slot11_Rate))),1)</f>
        <v>1</v>
      </c>
      <c r="LH38" s="1" t="n">
        <f aca="false">IF(AND(HT38=1,ID38&gt;0,Slot11_IsWG=1,DS38=1),MAX(0,(Slot11_Cost-DT38*(1+Slot11_Rate)^(Slot11_Age-D38))/LG38),0)</f>
        <v>0</v>
      </c>
      <c r="LI38" s="1" t="n">
        <f aca="false">IF(AND(HT38=1,ID38&gt;0,Slot11_IsWG=1,DS38=1),MIN(ID38,LH38),0)</f>
        <v>0</v>
      </c>
      <c r="LJ38" s="1" t="n">
        <f aca="false">DT38+LI38</f>
        <v>0</v>
      </c>
      <c r="LK38" s="1" t="n">
        <f aca="false">IF(DS38=1,MAX(0,(Slot11_Cost-LJ38*(1+Slot11_Rate)^(Slot11_Age-D38))/LG38),0)</f>
        <v>0</v>
      </c>
      <c r="LL38" s="1" t="n">
        <f aca="false">IF(DS38=1,MAX(0,(Slot11_Cost-DT38*(1+Slot11_Rate)^(Slot11_Age-D38))/LG38),0)</f>
        <v>0</v>
      </c>
      <c r="LM38" s="1" t="n">
        <f aca="false">IF(AND(HT38=1,DS38=1),MIN(LF38,LK38),0)</f>
        <v>0</v>
      </c>
      <c r="LN38" s="1" t="n">
        <f aca="false">LF38-LM38</f>
        <v>0</v>
      </c>
      <c r="LO38" s="1" t="n">
        <f aca="false">IF(EC38=1,IF(ABS((1+AS_Wage)/(1+Slot12_Rate)-1)&lt;0.000000000001,(Slot12_Age-D38)*(1+Slot12_Rate)^(Slot12_Age-D38),(1+Slot12_Rate)^(Slot12_Age-D38)*(1-((1+AS_Wage)/(1+Slot12_Rate))^(Slot12_Age-D38))/(1-(1+AS_Wage)/(1+Slot12_Rate))),1)</f>
        <v>1</v>
      </c>
      <c r="LP38" s="1" t="n">
        <f aca="false">IF(AND(HT38=1,ID38&gt;0,Slot12_IsWG=1,EC38=1),MAX(0,(Slot12_Cost-ED38*(1+Slot12_Rate)^(Slot12_Age-D38))/LO38),0)</f>
        <v>0</v>
      </c>
      <c r="LQ38" s="1" t="n">
        <f aca="false">IF(AND(HT38=1,ID38&gt;0,Slot12_IsWG=1,EC38=1),MIN(ID38,LP38),0)</f>
        <v>0</v>
      </c>
      <c r="LR38" s="1" t="n">
        <f aca="false">ED38+LQ38</f>
        <v>0</v>
      </c>
      <c r="LS38" s="1" t="n">
        <f aca="false">IF(EC38=1,MAX(0,(Slot12_Cost-LR38*(1+Slot12_Rate)^(Slot12_Age-D38))/LO38),0)</f>
        <v>0</v>
      </c>
      <c r="LT38" s="1" t="n">
        <f aca="false">IF(EC38=1,MAX(0,(Slot12_Cost-ED38*(1+Slot12_Rate)^(Slot12_Age-D38))/LO38),0)</f>
        <v>0</v>
      </c>
      <c r="LU38" s="1" t="n">
        <f aca="false">IF(AND(HT38=1,EC38=1),MIN(LN38,LS38),0)</f>
        <v>0</v>
      </c>
      <c r="LV38" s="1" t="n">
        <f aca="false">LN38-LU38</f>
        <v>0</v>
      </c>
      <c r="LW38" s="1" t="n">
        <f aca="false">IF(EM38=1,IF(ABS((1+AS_Wage)/(1+Slot13_Rate)-1)&lt;0.000000000001,(Slot13_Age-D38)*(1+Slot13_Rate)^(Slot13_Age-D38),(1+Slot13_Rate)^(Slot13_Age-D38)*(1-((1+AS_Wage)/(1+Slot13_Rate))^(Slot13_Age-D38))/(1-(1+AS_Wage)/(1+Slot13_Rate))),1)</f>
        <v>1</v>
      </c>
      <c r="LX38" s="1" t="n">
        <f aca="false">IF(AND(HT38=1,ID38&gt;0,Slot13_IsWG=1,EM38=1),MAX(0,(Slot13_Cost-EN38*(1+Slot13_Rate)^(Slot13_Age-D38))/LW38),0)</f>
        <v>0</v>
      </c>
      <c r="LY38" s="1" t="n">
        <f aca="false">IF(AND(HT38=1,ID38&gt;0,Slot13_IsWG=1,EM38=1),MIN(ID38,LX38),0)</f>
        <v>0</v>
      </c>
      <c r="LZ38" s="1" t="n">
        <f aca="false">EN38+LY38</f>
        <v>0</v>
      </c>
      <c r="MA38" s="1" t="n">
        <f aca="false">IF(EM38=1,MAX(0,(Slot13_Cost-LZ38*(1+Slot13_Rate)^(Slot13_Age-D38))/LW38),0)</f>
        <v>0</v>
      </c>
      <c r="MB38" s="1" t="n">
        <f aca="false">IF(EM38=1,MAX(0,(Slot13_Cost-EN38*(1+Slot13_Rate)^(Slot13_Age-D38))/LW38),0)</f>
        <v>0</v>
      </c>
      <c r="MC38" s="1" t="n">
        <f aca="false">IF(AND(HT38=1,EM38=1),MIN(LV38,MA38),0)</f>
        <v>0</v>
      </c>
      <c r="MD38" s="1" t="n">
        <f aca="false">LV38-MC38</f>
        <v>0</v>
      </c>
      <c r="ME38" s="1" t="n">
        <f aca="false">IF(EW38=1,IF(ABS((1+AS_Wage)/(1+Slot14_Rate)-1)&lt;0.000000000001,(Slot14_Age-D38)*(1+Slot14_Rate)^(Slot14_Age-D38),(1+Slot14_Rate)^(Slot14_Age-D38)*(1-((1+AS_Wage)/(1+Slot14_Rate))^(Slot14_Age-D38))/(1-(1+AS_Wage)/(1+Slot14_Rate))),1)</f>
        <v>1</v>
      </c>
      <c r="MF38" s="1" t="n">
        <f aca="false">IF(AND(HT38=1,ID38&gt;0,Slot14_IsWG=1,EW38=1),MAX(0,(Slot14_Cost-EX38*(1+Slot14_Rate)^(Slot14_Age-D38))/ME38),0)</f>
        <v>0</v>
      </c>
      <c r="MG38" s="1" t="n">
        <f aca="false">IF(AND(HT38=1,ID38&gt;0,Slot14_IsWG=1,EW38=1),MIN(ID38,MF38),0)</f>
        <v>0</v>
      </c>
      <c r="MH38" s="1" t="n">
        <f aca="false">EX38+MG38</f>
        <v>0</v>
      </c>
      <c r="MI38" s="1" t="n">
        <f aca="false">IF(EW38=1,MAX(0,(Slot14_Cost-MH38*(1+Slot14_Rate)^(Slot14_Age-D38))/ME38),0)</f>
        <v>0</v>
      </c>
      <c r="MJ38" s="1" t="n">
        <f aca="false">IF(EW38=1,MAX(0,(Slot14_Cost-EX38*(1+Slot14_Rate)^(Slot14_Age-D38))/ME38),0)</f>
        <v>0</v>
      </c>
      <c r="MK38" s="1" t="n">
        <f aca="false">IF(AND(HT38=1,EW38=1),MIN(MD38,MI38),0)</f>
        <v>0</v>
      </c>
      <c r="ML38" s="1" t="n">
        <f aca="false">MD38-MK38</f>
        <v>0</v>
      </c>
      <c r="MM38" s="1" t="n">
        <f aca="false">IF(FG38=1,IF(ABS((1+AS_Wage)/(1+Slot15_Rate)-1)&lt;0.000000000001,(Slot15_Age-D38)*(1+Slot15_Rate)^(Slot15_Age-D38),(1+Slot15_Rate)^(Slot15_Age-D38)*(1-((1+AS_Wage)/(1+Slot15_Rate))^(Slot15_Age-D38))/(1-(1+AS_Wage)/(1+Slot15_Rate))),1)</f>
        <v>1</v>
      </c>
      <c r="MN38" s="1" t="n">
        <f aca="false">IF(AND(HT38=1,ID38&gt;0,Slot15_IsWG=1,FG38=1),MAX(0,(Slot15_Cost-FH38*(1+Slot15_Rate)^(Slot15_Age-D38))/MM38),0)</f>
        <v>0</v>
      </c>
      <c r="MO38" s="1" t="n">
        <f aca="false">IF(AND(HT38=1,ID38&gt;0,Slot15_IsWG=1,FG38=1),MIN(ID38,MN38),0)</f>
        <v>0</v>
      </c>
      <c r="MP38" s="1" t="n">
        <f aca="false">FH38+MO38</f>
        <v>0</v>
      </c>
      <c r="MQ38" s="1" t="n">
        <f aca="false">IF(FG38=1,MAX(0,(Slot15_Cost-MP38*(1+Slot15_Rate)^(Slot15_Age-D38))/MM38),0)</f>
        <v>0</v>
      </c>
      <c r="MR38" s="1" t="n">
        <f aca="false">IF(FG38=1,MAX(0,(Slot15_Cost-FH38*(1+Slot15_Rate)^(Slot15_Age-D38))/MM38),0)</f>
        <v>0</v>
      </c>
      <c r="MS38" s="1" t="n">
        <f aca="false">IF(AND(HT38=1,FG38=1),MIN(ML38,MQ38),0)</f>
        <v>0</v>
      </c>
      <c r="MT38" s="1" t="n">
        <f aca="false">ML38-MS38</f>
        <v>0</v>
      </c>
      <c r="MU38" s="1" t="n">
        <f aca="false">IF(FQ38=1,IF(ABS((1+AS_Wage)/(1+Slot16_Rate)-1)&lt;0.000000000001,(Slot16_Age-D38)*(1+Slot16_Rate)^(Slot16_Age-D38),(1+Slot16_Rate)^(Slot16_Age-D38)*(1-((1+AS_Wage)/(1+Slot16_Rate))^(Slot16_Age-D38))/(1-(1+AS_Wage)/(1+Slot16_Rate))),1)</f>
        <v>1</v>
      </c>
      <c r="MV38" s="1" t="n">
        <f aca="false">IF(AND(HT38=1,ID38&gt;0,Slot16_IsWG=1,FQ38=1),MAX(0,(Slot16_Cost-FR38*(1+Slot16_Rate)^(Slot16_Age-D38))/MU38),0)</f>
        <v>0</v>
      </c>
      <c r="MW38" s="1" t="n">
        <f aca="false">IF(AND(HT38=1,ID38&gt;0,Slot16_IsWG=1,FQ38=1),MIN(ID38,MV38),0)</f>
        <v>0</v>
      </c>
      <c r="MX38" s="1" t="n">
        <f aca="false">FR38+MW38</f>
        <v>0</v>
      </c>
      <c r="MY38" s="1" t="n">
        <f aca="false">IF(FQ38=1,MAX(0,(Slot16_Cost-MX38*(1+Slot16_Rate)^(Slot16_Age-D38))/MU38),0)</f>
        <v>0</v>
      </c>
      <c r="MZ38" s="1" t="n">
        <f aca="false">IF(FQ38=1,MAX(0,(Slot16_Cost-FR38*(1+Slot16_Rate)^(Slot16_Age-D38))/MU38),0)</f>
        <v>0</v>
      </c>
      <c r="NA38" s="1" t="n">
        <f aca="false">IF(AND(HT38=1,FQ38=1),MIN(MT38,MY38),0)</f>
        <v>0</v>
      </c>
      <c r="NB38" s="1" t="n">
        <f aca="false">MT38-NA38</f>
        <v>0</v>
      </c>
      <c r="NC38" s="1" t="n">
        <f aca="false">IF(GA38=1,IF(ABS((1+AS_Wage)/(1+Slot17_Rate)-1)&lt;0.000000000001,(Slot17_Age-D38)*(1+Slot17_Rate)^(Slot17_Age-D38),(1+Slot17_Rate)^(Slot17_Age-D38)*(1-((1+AS_Wage)/(1+Slot17_Rate))^(Slot17_Age-D38))/(1-(1+AS_Wage)/(1+Slot17_Rate))),1)</f>
        <v>1</v>
      </c>
      <c r="ND38" s="1" t="n">
        <f aca="false">IF(AND(HT38=1,ID38&gt;0,Slot17_IsWG=1,GA38=1),MAX(0,(Slot17_Cost-GB38*(1+Slot17_Rate)^(Slot17_Age-D38))/NC38),0)</f>
        <v>0</v>
      </c>
      <c r="NE38" s="1" t="n">
        <f aca="false">IF(AND(HT38=1,ID38&gt;0,Slot17_IsWG=1,GA38=1),MIN(ID38,ND38),0)</f>
        <v>0</v>
      </c>
      <c r="NF38" s="1" t="n">
        <f aca="false">GB38+NE38</f>
        <v>0</v>
      </c>
      <c r="NG38" s="1" t="n">
        <f aca="false">IF(GA38=1,MAX(0,(Slot17_Cost-NF38*(1+Slot17_Rate)^(Slot17_Age-D38))/NC38),0)</f>
        <v>0</v>
      </c>
      <c r="NH38" s="1" t="n">
        <f aca="false">IF(GA38=1,MAX(0,(Slot17_Cost-GB38*(1+Slot17_Rate)^(Slot17_Age-D38))/NC38),0)</f>
        <v>0</v>
      </c>
      <c r="NI38" s="1" t="n">
        <f aca="false">IF(AND(HT38=1,GA38=1),MIN(NB38,NG38),0)</f>
        <v>0</v>
      </c>
      <c r="NJ38" s="1" t="n">
        <f aca="false">NB38-NI38</f>
        <v>0</v>
      </c>
      <c r="NK38" s="1" t="n">
        <f aca="false">IF(GK38=1,IF(ABS((1+AS_Wage)/(1+Slot18_Rate)-1)&lt;0.000000000001,(Slot18_Age-D38)*(1+Slot18_Rate)^(Slot18_Age-D38),(1+Slot18_Rate)^(Slot18_Age-D38)*(1-((1+AS_Wage)/(1+Slot18_Rate))^(Slot18_Age-D38))/(1-(1+AS_Wage)/(1+Slot18_Rate))),1)</f>
        <v>1</v>
      </c>
      <c r="NL38" s="1" t="n">
        <f aca="false">IF(AND(HT38=1,ID38&gt;0,Slot18_IsWG=1,GK38=1),MAX(0,(Slot18_Cost-GL38*(1+Slot18_Rate)^(Slot18_Age-D38))/NK38),0)</f>
        <v>0</v>
      </c>
      <c r="NM38" s="1" t="n">
        <f aca="false">IF(AND(HT38=1,ID38&gt;0,Slot18_IsWG=1,GK38=1),MIN(ID38,NL38),0)</f>
        <v>0</v>
      </c>
      <c r="NN38" s="1" t="n">
        <f aca="false">GL38+NM38</f>
        <v>0</v>
      </c>
      <c r="NO38" s="1" t="n">
        <f aca="false">IF(GK38=1,MAX(0,(Slot18_Cost-NN38*(1+Slot18_Rate)^(Slot18_Age-D38))/NK38),0)</f>
        <v>0</v>
      </c>
      <c r="NP38" s="1" t="n">
        <f aca="false">IF(GK38=1,MAX(0,(Slot18_Cost-GL38*(1+Slot18_Rate)^(Slot18_Age-D38))/NK38),0)</f>
        <v>0</v>
      </c>
      <c r="NQ38" s="1" t="n">
        <f aca="false">IF(AND(HT38=1,GK38=1),MIN(NJ38,NO38),0)</f>
        <v>0</v>
      </c>
      <c r="NR38" s="1" t="n">
        <f aca="false">NJ38-NQ38</f>
        <v>0</v>
      </c>
      <c r="NS38" s="1" t="n">
        <f aca="false">IF(GU38=1,IF(ABS((1+AS_Wage)/(1+Slot19_Rate)-1)&lt;0.000000000001,(Slot19_Age-D38)*(1+Slot19_Rate)^(Slot19_Age-D38),(1+Slot19_Rate)^(Slot19_Age-D38)*(1-((1+AS_Wage)/(1+Slot19_Rate))^(Slot19_Age-D38))/(1-(1+AS_Wage)/(1+Slot19_Rate))),1)</f>
        <v>1</v>
      </c>
      <c r="NT38" s="1" t="n">
        <f aca="false">IF(AND(HT38=1,ID38&gt;0,Slot19_IsWG=1,GU38=1),MAX(0,(Slot19_Cost-GV38*(1+Slot19_Rate)^(Slot19_Age-D38))/NS38),0)</f>
        <v>0</v>
      </c>
      <c r="NU38" s="1" t="n">
        <f aca="false">IF(AND(HT38=1,ID38&gt;0,Slot19_IsWG=1,GU38=1),MIN(ID38,NT38),0)</f>
        <v>0</v>
      </c>
      <c r="NV38" s="1" t="n">
        <f aca="false">GV38+NU38</f>
        <v>0</v>
      </c>
      <c r="NW38" s="1" t="n">
        <f aca="false">IF(GU38=1,MAX(0,(Slot19_Cost-NV38*(1+Slot19_Rate)^(Slot19_Age-D38))/NS38),0)</f>
        <v>0</v>
      </c>
      <c r="NX38" s="1" t="n">
        <f aca="false">IF(GU38=1,MAX(0,(Slot19_Cost-GV38*(1+Slot19_Rate)^(Slot19_Age-D38))/NS38),0)</f>
        <v>0</v>
      </c>
      <c r="NY38" s="1" t="n">
        <f aca="false">IF(AND(HT38=1,GU38=1),MIN(NR38,NW38),0)</f>
        <v>0</v>
      </c>
      <c r="NZ38" s="1" t="n">
        <f aca="false">NR38-NY38</f>
        <v>0</v>
      </c>
      <c r="OA38" s="1" t="n">
        <f aca="false">IF(HE38=1,IF(ABS((1+AS_Wage)/(1+Slot20_Rate)-1)&lt;0.000000000001,(Slot20_Age-D38)*(1+Slot20_Rate)^(Slot20_Age-D38),(1+Slot20_Rate)^(Slot20_Age-D38)*(1-((1+AS_Wage)/(1+Slot20_Rate))^(Slot20_Age-D38))/(1-(1+AS_Wage)/(1+Slot20_Rate))),1)</f>
        <v>1</v>
      </c>
      <c r="OB38" s="1" t="n">
        <f aca="false">IF(AND(HT38=1,ID38&gt;0,Slot20_IsWG=1,HE38=1),MAX(0,(Slot20_Cost-HF38*(1+Slot20_Rate)^(Slot20_Age-D38))/OA38),0)</f>
        <v>0</v>
      </c>
      <c r="OC38" s="1" t="n">
        <f aca="false">IF(AND(HT38=1,ID38&gt;0,Slot20_IsWG=1,HE38=1),MIN(ID38,OB38),0)</f>
        <v>0</v>
      </c>
      <c r="OD38" s="1" t="n">
        <f aca="false">HF38+OC38</f>
        <v>0</v>
      </c>
      <c r="OE38" s="1" t="n">
        <f aca="false">IF(HE38=1,MAX(0,(Slot20_Cost-OD38*(1+Slot20_Rate)^(Slot20_Age-D38))/OA38),0)</f>
        <v>0</v>
      </c>
      <c r="OF38" s="1" t="n">
        <f aca="false">IF(HE38=1,MAX(0,(Slot20_Cost-HF38*(1+Slot20_Rate)^(Slot20_Age-D38))/OA38),0)</f>
        <v>0</v>
      </c>
      <c r="OG38" s="1" t="n">
        <f aca="false">IF(AND(HT38=1,HE38=1),MIN(NZ38,OE38),0)</f>
        <v>0</v>
      </c>
      <c r="OH38" s="1" t="n">
        <f aca="false">NZ38-OG38</f>
        <v>0</v>
      </c>
      <c r="OI38" s="1" t="n">
        <f aca="false">ID38-(IG38+IO38+IW38+JE38+JM38+JU38+KC38+KK38+KS38+LA38+LI38+LQ38+LY38+MG38+MO38+MW38+NE38+NM38+NU38+OC38)</f>
        <v>0</v>
      </c>
      <c r="OJ38" s="1" t="n">
        <f aca="false">IF(HT38=1,HR38-IC38-ID38,0)</f>
        <v>0</v>
      </c>
      <c r="OK38" s="1" t="n">
        <f aca="false">IF(HT38=0,-HR38,0)</f>
        <v>0</v>
      </c>
      <c r="OL38" s="1" t="n">
        <f aca="false">MIN(OK38,HJ38)</f>
        <v>0</v>
      </c>
      <c r="OM38" s="1" t="n">
        <f aca="false">OK38-OL38</f>
        <v>0</v>
      </c>
      <c r="ON38" s="1" t="n">
        <f aca="false">MIN(OM38,HK38)</f>
        <v>0</v>
      </c>
      <c r="OO38" s="1" t="n">
        <f aca="false">OM38-ON38</f>
        <v>0</v>
      </c>
      <c r="OP38" s="1" t="n">
        <f aca="false">IF(AND(HT38=0,HE38=1,OO38&gt;0),MIN(OO38,HF38),0)</f>
        <v>0</v>
      </c>
      <c r="OQ38" s="1" t="n">
        <f aca="false">OO38-OP38</f>
        <v>0</v>
      </c>
      <c r="OR38" s="1" t="n">
        <f aca="false">IF(AND(HT38=0,GU38=1,OQ38&gt;0),MIN(OQ38,GV38),0)</f>
        <v>0</v>
      </c>
      <c r="OS38" s="1" t="n">
        <f aca="false">OQ38-OR38</f>
        <v>0</v>
      </c>
      <c r="OT38" s="1" t="n">
        <f aca="false">IF(AND(HT38=0,GK38=1,OS38&gt;0),MIN(OS38,GL38),0)</f>
        <v>0</v>
      </c>
      <c r="OU38" s="1" t="n">
        <f aca="false">OS38-OT38</f>
        <v>0</v>
      </c>
      <c r="OV38" s="1" t="n">
        <f aca="false">IF(AND(HT38=0,GA38=1,OU38&gt;0),MIN(OU38,GB38),0)</f>
        <v>0</v>
      </c>
      <c r="OW38" s="1" t="n">
        <f aca="false">OU38-OV38</f>
        <v>0</v>
      </c>
      <c r="OX38" s="1" t="n">
        <f aca="false">IF(AND(HT38=0,FQ38=1,OW38&gt;0),MIN(OW38,FR38),0)</f>
        <v>0</v>
      </c>
      <c r="OY38" s="1" t="n">
        <f aca="false">OW38-OX38</f>
        <v>0</v>
      </c>
      <c r="OZ38" s="1" t="n">
        <f aca="false">IF(AND(HT38=0,FG38=1,OY38&gt;0),MIN(OY38,FH38),0)</f>
        <v>0</v>
      </c>
      <c r="PA38" s="1" t="n">
        <f aca="false">OY38-OZ38</f>
        <v>0</v>
      </c>
      <c r="PB38" s="1" t="n">
        <f aca="false">IF(AND(HT38=0,EW38=1,PA38&gt;0),MIN(PA38,EX38),0)</f>
        <v>0</v>
      </c>
      <c r="PC38" s="1" t="n">
        <f aca="false">PA38-PB38</f>
        <v>0</v>
      </c>
      <c r="PD38" s="1" t="n">
        <f aca="false">IF(AND(HT38=0,EM38=1,PC38&gt;0),MIN(PC38,EN38),0)</f>
        <v>0</v>
      </c>
      <c r="PE38" s="1" t="n">
        <f aca="false">PC38-PD38</f>
        <v>0</v>
      </c>
      <c r="PF38" s="1" t="n">
        <f aca="false">IF(AND(HT38=0,EC38=1,PE38&gt;0),MIN(PE38,ED38),0)</f>
        <v>0</v>
      </c>
      <c r="PG38" s="1" t="n">
        <f aca="false">PE38-PF38</f>
        <v>0</v>
      </c>
      <c r="PH38" s="1" t="n">
        <f aca="false">IF(AND(HT38=0,DS38=1,PG38&gt;0),MIN(PG38,DT38),0)</f>
        <v>0</v>
      </c>
      <c r="PI38" s="1" t="n">
        <f aca="false">PG38-PH38</f>
        <v>0</v>
      </c>
      <c r="PJ38" s="1" t="n">
        <f aca="false">IF(AND(HT38=0,DI38=1,PI38&gt;0),MIN(PI38,DJ38),0)</f>
        <v>0</v>
      </c>
      <c r="PK38" s="1" t="n">
        <f aca="false">PI38-PJ38</f>
        <v>0</v>
      </c>
      <c r="PL38" s="1" t="n">
        <f aca="false">IF(AND(HT38=0,CY38=1,PK38&gt;0),MIN(PK38,CZ38),0)</f>
        <v>0</v>
      </c>
      <c r="PM38" s="1" t="n">
        <f aca="false">PK38-PL38</f>
        <v>0</v>
      </c>
      <c r="PN38" s="1" t="n">
        <f aca="false">IF(AND(HT38=0,CO38=1,PM38&gt;0),MIN(PM38,CP38),0)</f>
        <v>0</v>
      </c>
      <c r="PO38" s="1" t="n">
        <f aca="false">PM38-PN38</f>
        <v>0</v>
      </c>
      <c r="PP38" s="1" t="n">
        <f aca="false">IF(AND(HT38=0,CE38=1,PO38&gt;0),MIN(PO38,CF38),0)</f>
        <v>0</v>
      </c>
      <c r="PQ38" s="1" t="n">
        <f aca="false">PO38-PP38</f>
        <v>0</v>
      </c>
      <c r="PR38" s="1" t="n">
        <f aca="false">IF(AND(HT38=0,BU38=1,PQ38&gt;0),MIN(PQ38,BV38),0)</f>
        <v>0</v>
      </c>
      <c r="PS38" s="1" t="n">
        <f aca="false">PQ38-PR38</f>
        <v>0</v>
      </c>
      <c r="PT38" s="1" t="n">
        <f aca="false">IF(AND(HT38=0,BK38=1,PS38&gt;0),MIN(PS38,BL38),0)</f>
        <v>0</v>
      </c>
      <c r="PU38" s="1" t="n">
        <f aca="false">PS38-PT38</f>
        <v>0</v>
      </c>
      <c r="PV38" s="1" t="n">
        <f aca="false">IF(AND(HT38=0,BA38=1,PU38&gt;0),MIN(PU38,BB38),0)</f>
        <v>0</v>
      </c>
      <c r="PW38" s="1" t="n">
        <f aca="false">PU38-PV38</f>
        <v>0</v>
      </c>
      <c r="PX38" s="1" t="n">
        <f aca="false">IF(AND(HT38=0,AQ38=1,PW38&gt;0),MIN(PW38,AR38),0)</f>
        <v>0</v>
      </c>
      <c r="PY38" s="1" t="n">
        <f aca="false">PW38-PX38</f>
        <v>0</v>
      </c>
      <c r="PZ38" s="1" t="n">
        <f aca="false">IF(AND(HT38=0,AG38=1,PY38&gt;0),MIN(PY38,AH38),0)</f>
        <v>0</v>
      </c>
      <c r="QA38" s="1" t="n">
        <f aca="false">PY38-PZ38</f>
        <v>0</v>
      </c>
      <c r="QB38" s="1" t="n">
        <f aca="false">IF(AND(HT38=0,V38=1,QA38&gt;0),MIN(QA38,W38),0)</f>
        <v>0</v>
      </c>
      <c r="QC38" s="1" t="n">
        <f aca="false">QA38-QB38</f>
        <v>0</v>
      </c>
      <c r="QD38" s="1" t="n">
        <f aca="false">IF(HT38=0,QC38,0)</f>
        <v>0</v>
      </c>
      <c r="QE38" s="1" t="n">
        <f aca="false">OL38+ON38+QB38+PZ38+PX38+PV38+PT38+PR38+PP38+PN38+PL38+PJ38+PH38+PF38+PD38+PB38+OZ38+OX38+OV38+OT38+OR38+OP38</f>
        <v>0</v>
      </c>
      <c r="QF38" s="1" t="n">
        <f aca="false">IF(HT38=1,HJ38+OI38+OH38+IF(F38=1,0,OJ38),HJ38-OL38)</f>
        <v>0</v>
      </c>
      <c r="QG38" s="1" t="n">
        <f aca="false">HK38-ON38</f>
        <v>0</v>
      </c>
      <c r="QH38" s="1" t="n">
        <f aca="false">IF(HT38=1,IF(F38=1,IC38+ID38,HR38),0)</f>
        <v>0</v>
      </c>
      <c r="QI38" s="1" t="n">
        <f aca="false">IF(HT38=1,IF(F38=1,HR38-IC38-ID38,0),0)</f>
        <v>0</v>
      </c>
      <c r="QJ38" s="1" t="n">
        <f aca="false">QF38*(1+GR)</f>
        <v>0</v>
      </c>
      <c r="QK38" s="1" t="n">
        <f aca="false">QG38*(1+AS_Cash)</f>
        <v>0</v>
      </c>
      <c r="QL38" s="1" t="n">
        <f aca="false">IF(V38=1,IF(HT38=1,IH38+IK38,W38-QB38)*(1+Slot1_Rate),0)</f>
        <v>0</v>
      </c>
      <c r="QM38" s="1" t="n">
        <f aca="false">IF(AND(HT38=1,V38=1),(IG38+IK38)/E38,0)</f>
        <v>0</v>
      </c>
      <c r="QN38" s="1" t="n">
        <f aca="false">IF(B38=0,IG38+IK38,0)</f>
        <v>0</v>
      </c>
      <c r="QO38" s="1" t="n">
        <f aca="false">IF(B38=0,IF(HT38=1,II38,IJ38),0)</f>
        <v>0</v>
      </c>
      <c r="QP38" s="1" t="n">
        <f aca="false">IF(AG38=1,IF(HT38=1,IP38+IS38,AH38-PZ38)*(1+Slot2_Rate),0)</f>
        <v>0</v>
      </c>
      <c r="QQ38" s="1" t="n">
        <f aca="false">IF(AND(HT38=1,AG38=1),(IO38+IS38)/E38,0)</f>
        <v>0</v>
      </c>
      <c r="QR38" s="1" t="n">
        <f aca="false">IF(B38=0,IO38+IS38,0)</f>
        <v>0</v>
      </c>
      <c r="QS38" s="1" t="n">
        <f aca="false">IF(B38=0,IF(HT38=1,IQ38,IR38),0)</f>
        <v>0</v>
      </c>
      <c r="QT38" s="1" t="n">
        <f aca="false">IF(AQ38=1,IF(HT38=1,IX38+JA38,AR38-PX38)*(1+Slot3_Rate),0)</f>
        <v>0</v>
      </c>
      <c r="QU38" s="1" t="n">
        <f aca="false">IF(AND(HT38=1,AQ38=1),(IW38+JA38)/E38,0)</f>
        <v>0</v>
      </c>
      <c r="QV38" s="1" t="n">
        <f aca="false">IF(B38=0,IW38+JA38,0)</f>
        <v>0</v>
      </c>
      <c r="QW38" s="1" t="n">
        <f aca="false">IF(B38=0,IF(HT38=1,IY38,IZ38),0)</f>
        <v>0</v>
      </c>
      <c r="QX38" s="1" t="n">
        <f aca="false">IF(BA38=1,IF(HT38=1,JF38+JI38,BB38-PV38)*(1+Slot4_Rate),0)</f>
        <v>0</v>
      </c>
      <c r="QY38" s="1" t="n">
        <f aca="false">IF(AND(HT38=1,BA38=1),(JE38+JI38)/E38,0)</f>
        <v>0</v>
      </c>
      <c r="QZ38" s="1" t="n">
        <f aca="false">IF(B38=0,JE38+JI38,0)</f>
        <v>0</v>
      </c>
      <c r="RA38" s="1" t="n">
        <f aca="false">IF(B38=0,IF(HT38=1,JG38,JH38),0)</f>
        <v>0</v>
      </c>
      <c r="RB38" s="1" t="n">
        <f aca="false">IF(BK38=1,IF(HT38=1,JN38+JQ38,BL38-PT38)*(1+Slot5_Rate),0)</f>
        <v>0</v>
      </c>
      <c r="RC38" s="1" t="n">
        <f aca="false">IF(AND(HT38=1,BK38=1),(JM38+JQ38)/E38,0)</f>
        <v>0</v>
      </c>
      <c r="RD38" s="1" t="n">
        <f aca="false">IF(B38=0,JM38+JQ38,0)</f>
        <v>0</v>
      </c>
      <c r="RE38" s="1" t="n">
        <f aca="false">IF(B38=0,IF(HT38=1,JO38,JP38),0)</f>
        <v>0</v>
      </c>
      <c r="RF38" s="1" t="n">
        <f aca="false">IF(BU38=1,IF(HT38=1,JV38+JY38,BV38-PR38)*(1+Slot6_Rate),0)</f>
        <v>0</v>
      </c>
      <c r="RG38" s="1" t="n">
        <f aca="false">IF(AND(HT38=1,BU38=1),(JU38+JY38)/E38,0)</f>
        <v>0</v>
      </c>
      <c r="RH38" s="1" t="n">
        <f aca="false">IF(B38=0,JU38+JY38,0)</f>
        <v>0</v>
      </c>
      <c r="RI38" s="1" t="n">
        <f aca="false">IF(B38=0,IF(HT38=1,JW38,JX38),0)</f>
        <v>0</v>
      </c>
      <c r="RJ38" s="1" t="n">
        <f aca="false">IF(CE38=1,IF(HT38=1,KD38+KG38,CF38-PP38)*(1+Slot7_Rate),0)</f>
        <v>0</v>
      </c>
      <c r="RK38" s="1" t="n">
        <f aca="false">IF(AND(HT38=1,CE38=1),(KC38+KG38)/E38,0)</f>
        <v>0</v>
      </c>
      <c r="RL38" s="1" t="n">
        <f aca="false">IF(B38=0,KC38+KG38,0)</f>
        <v>0</v>
      </c>
      <c r="RM38" s="1" t="n">
        <f aca="false">IF(B38=0,IF(HT38=1,KE38,KF38),0)</f>
        <v>0</v>
      </c>
      <c r="RN38" s="1" t="n">
        <f aca="false">IF(CO38=1,IF(HT38=1,KL38+KO38,CP38-PN38)*(1+Slot8_Rate),0)</f>
        <v>0</v>
      </c>
      <c r="RO38" s="1" t="n">
        <f aca="false">IF(AND(HT38=1,CO38=1),(KK38+KO38)/E38,0)</f>
        <v>0</v>
      </c>
      <c r="RP38" s="1" t="n">
        <f aca="false">IF(B38=0,KK38+KO38,0)</f>
        <v>0</v>
      </c>
      <c r="RQ38" s="1" t="n">
        <f aca="false">IF(B38=0,IF(HT38=1,KM38,KN38),0)</f>
        <v>0</v>
      </c>
      <c r="RR38" s="1" t="n">
        <f aca="false">IF(CY38=1,IF(HT38=1,KT38+KW38,CZ38-PL38)*(1+Slot9_Rate),0)</f>
        <v>0</v>
      </c>
      <c r="RS38" s="1" t="n">
        <f aca="false">IF(AND(HT38=1,CY38=1),(KS38+KW38)/E38,0)</f>
        <v>0</v>
      </c>
      <c r="RT38" s="1" t="n">
        <f aca="false">IF(B38=0,KS38+KW38,0)</f>
        <v>0</v>
      </c>
      <c r="RU38" s="1" t="n">
        <f aca="false">IF(B38=0,IF(HT38=1,KU38,KV38),0)</f>
        <v>0</v>
      </c>
      <c r="RV38" s="1" t="n">
        <f aca="false">IF(DI38=1,IF(HT38=1,LB38+LE38,DJ38-PJ38)*(1+Slot10_Rate),0)</f>
        <v>0</v>
      </c>
      <c r="RW38" s="1" t="n">
        <f aca="false">IF(AND(HT38=1,DI38=1),(LA38+LE38)/E38,0)</f>
        <v>0</v>
      </c>
      <c r="RX38" s="1" t="n">
        <f aca="false">IF(B38=0,LA38+LE38,0)</f>
        <v>0</v>
      </c>
      <c r="RY38" s="1" t="n">
        <f aca="false">IF(B38=0,IF(HT38=1,LC38,LD38),0)</f>
        <v>0</v>
      </c>
      <c r="RZ38" s="1" t="n">
        <f aca="false">IF(DS38=1,IF(HT38=1,LJ38+LM38,DT38-PH38)*(1+Slot11_Rate),0)</f>
        <v>0</v>
      </c>
      <c r="SA38" s="1" t="n">
        <f aca="false">IF(AND(HT38=1,DS38=1),(LI38+LM38)/E38,0)</f>
        <v>0</v>
      </c>
      <c r="SB38" s="1" t="n">
        <f aca="false">IF(B38=0,LI38+LM38,0)</f>
        <v>0</v>
      </c>
      <c r="SC38" s="1" t="n">
        <f aca="false">IF(B38=0,IF(HT38=1,LK38,LL38),0)</f>
        <v>0</v>
      </c>
      <c r="SD38" s="1" t="n">
        <f aca="false">IF(EC38=1,IF(HT38=1,LR38+LU38,ED38-PF38)*(1+Slot12_Rate),0)</f>
        <v>0</v>
      </c>
      <c r="SE38" s="1" t="n">
        <f aca="false">IF(AND(HT38=1,EC38=1),(LQ38+LU38)/E38,0)</f>
        <v>0</v>
      </c>
      <c r="SF38" s="1" t="n">
        <f aca="false">IF(B38=0,LQ38+LU38,0)</f>
        <v>0</v>
      </c>
      <c r="SG38" s="1" t="n">
        <f aca="false">IF(B38=0,IF(HT38=1,LS38,LT38),0)</f>
        <v>0</v>
      </c>
      <c r="SH38" s="1" t="n">
        <f aca="false">IF(EM38=1,IF(HT38=1,LZ38+MC38,EN38-PD38)*(1+Slot13_Rate),0)</f>
        <v>0</v>
      </c>
      <c r="SI38" s="1" t="n">
        <f aca="false">IF(AND(HT38=1,EM38=1),(LY38+MC38)/E38,0)</f>
        <v>0</v>
      </c>
      <c r="SJ38" s="1" t="n">
        <f aca="false">IF(B38=0,LY38+MC38,0)</f>
        <v>0</v>
      </c>
      <c r="SK38" s="1" t="n">
        <f aca="false">IF(B38=0,IF(HT38=1,MA38,MB38),0)</f>
        <v>0</v>
      </c>
      <c r="SL38" s="1" t="n">
        <f aca="false">IF(EW38=1,IF(HT38=1,MH38+MK38,EX38-PB38)*(1+Slot14_Rate),0)</f>
        <v>0</v>
      </c>
      <c r="SM38" s="1" t="n">
        <f aca="false">IF(AND(HT38=1,EW38=1),(MG38+MK38)/E38,0)</f>
        <v>0</v>
      </c>
      <c r="SN38" s="1" t="n">
        <f aca="false">IF(B38=0,MG38+MK38,0)</f>
        <v>0</v>
      </c>
      <c r="SO38" s="1" t="n">
        <f aca="false">IF(B38=0,IF(HT38=1,MI38,MJ38),0)</f>
        <v>0</v>
      </c>
      <c r="SP38" s="1" t="n">
        <f aca="false">IF(FG38=1,IF(HT38=1,MP38+MS38,FH38-OZ38)*(1+Slot15_Rate),0)</f>
        <v>0</v>
      </c>
      <c r="SQ38" s="1" t="n">
        <f aca="false">IF(AND(HT38=1,FG38=1),(MO38+MS38)/E38,0)</f>
        <v>0</v>
      </c>
      <c r="SR38" s="1" t="n">
        <f aca="false">IF(B38=0,MO38+MS38,0)</f>
        <v>0</v>
      </c>
      <c r="SS38" s="1" t="n">
        <f aca="false">IF(B38=0,IF(HT38=1,MQ38,MR38),0)</f>
        <v>0</v>
      </c>
      <c r="ST38" s="1" t="n">
        <f aca="false">IF(FQ38=1,IF(HT38=1,MX38+NA38,FR38-OX38)*(1+Slot16_Rate),0)</f>
        <v>0</v>
      </c>
      <c r="SU38" s="1" t="n">
        <f aca="false">IF(AND(HT38=1,FQ38=1),(MW38+NA38)/E38,0)</f>
        <v>0</v>
      </c>
      <c r="SV38" s="1" t="n">
        <f aca="false">IF(B38=0,MW38+NA38,0)</f>
        <v>0</v>
      </c>
      <c r="SW38" s="1" t="n">
        <f aca="false">IF(B38=0,IF(HT38=1,MY38,MZ38),0)</f>
        <v>0</v>
      </c>
      <c r="SX38" s="1" t="n">
        <f aca="false">IF(GA38=1,IF(HT38=1,NF38+NI38,GB38-OV38)*(1+Slot17_Rate),0)</f>
        <v>0</v>
      </c>
      <c r="SY38" s="1" t="n">
        <f aca="false">IF(AND(HT38=1,GA38=1),(NE38+NI38)/E38,0)</f>
        <v>0</v>
      </c>
      <c r="SZ38" s="1" t="n">
        <f aca="false">IF(B38=0,NE38+NI38,0)</f>
        <v>0</v>
      </c>
      <c r="TA38" s="1" t="n">
        <f aca="false">IF(B38=0,IF(HT38=1,NG38,NH38),0)</f>
        <v>0</v>
      </c>
      <c r="TB38" s="1" t="n">
        <f aca="false">IF(GK38=1,IF(HT38=1,NN38+NQ38,GL38-OT38)*(1+Slot18_Rate),0)</f>
        <v>0</v>
      </c>
      <c r="TC38" s="1" t="n">
        <f aca="false">IF(AND(HT38=1,GK38=1),(NM38+NQ38)/E38,0)</f>
        <v>0</v>
      </c>
      <c r="TD38" s="1" t="n">
        <f aca="false">IF(B38=0,NM38+NQ38,0)</f>
        <v>0</v>
      </c>
      <c r="TE38" s="1" t="n">
        <f aca="false">IF(B38=0,IF(HT38=1,NO38,NP38),0)</f>
        <v>0</v>
      </c>
      <c r="TF38" s="1" t="n">
        <f aca="false">IF(GU38=1,IF(HT38=1,NV38+NY38,GV38-OR38)*(1+Slot19_Rate),0)</f>
        <v>0</v>
      </c>
      <c r="TG38" s="1" t="n">
        <f aca="false">IF(AND(HT38=1,GU38=1),(NU38+NY38)/E38,0)</f>
        <v>0</v>
      </c>
      <c r="TH38" s="1" t="n">
        <f aca="false">IF(B38=0,NU38+NY38,0)</f>
        <v>0</v>
      </c>
      <c r="TI38" s="1" t="n">
        <f aca="false">IF(B38=0,IF(HT38=1,NW38,NX38),0)</f>
        <v>0</v>
      </c>
      <c r="TJ38" s="1" t="n">
        <f aca="false">IF(HE38=1,IF(HT38=1,OD38+OG38,HF38-OP38)*(1+Slot20_Rate),0)</f>
        <v>0</v>
      </c>
      <c r="TK38" s="1" t="n">
        <f aca="false">IF(AND(HT38=1,HE38=1),(OC38+OG38)/E38,0)</f>
        <v>0</v>
      </c>
      <c r="TL38" s="1" t="n">
        <f aca="false">IF(B38=0,OC38+OG38,0)</f>
        <v>0</v>
      </c>
      <c r="TM38" s="1" t="n">
        <f aca="false">IF(B38=0,IF(HT38=1,OE38,OF38),0)</f>
        <v>0</v>
      </c>
      <c r="TN38" s="1" t="n">
        <f aca="false">QJ38+QK38+QL38+QP38+QT38+QX38+RB38+RF38+RJ38+RN38+RR38+RV38+RZ38+SD38+SH38+SL38+SP38+ST38+SX38+TB38+TF38+TJ38</f>
        <v>0</v>
      </c>
      <c r="TO38" s="1" t="n">
        <f aca="false">QD38+HO38</f>
        <v>0</v>
      </c>
      <c r="TP38" s="1" t="n">
        <f aca="false">H38+R38</f>
        <v>0</v>
      </c>
      <c r="TQ38" s="1" t="n">
        <f aca="false">1-F38</f>
        <v>0</v>
      </c>
      <c r="TR38" s="1" t="n">
        <f aca="false">IF(AND(RG_Exists=1,F38=0,C38=1),H38,0)</f>
        <v>0</v>
      </c>
      <c r="TS38" s="1" t="n">
        <f aca="false">IF(AND(RG_Exists=1,F38=0,C38=1),H38-MIN(QD38,H38),0)</f>
        <v>0</v>
      </c>
      <c r="TT38" s="1" t="n">
        <f aca="false">'Plan pay &amp; tax'!AD264</f>
        <v>0</v>
      </c>
      <c r="TU38" s="1" t="n">
        <f aca="false">IF(AND(C38=1,QD38&gt;MAX(PR_Short1,TP38*PR_Short2)),1,0)</f>
        <v>0</v>
      </c>
      <c r="TV38" s="1" t="n">
        <f aca="false">MIN(G38,H38+R38)</f>
        <v>0</v>
      </c>
      <c r="TW38" s="1" t="n">
        <f aca="false">QE38+MAX(0,HP38-HO38)</f>
        <v>0</v>
      </c>
      <c r="TX38" s="1" t="n">
        <f aca="false">QD38+HO38</f>
        <v>0</v>
      </c>
      <c r="TY38" s="1" t="n">
        <f aca="false">IF(AND(C38=1,TX38&gt;PR_MinShort),1,0)</f>
        <v>0</v>
      </c>
      <c r="TZ38" s="1" t="n">
        <f aca="false">IF(AND(C38=1,TY38=0,TW38&gt;PR_MinShort),1,0)</f>
        <v>0</v>
      </c>
      <c r="UA38" s="1" t="n">
        <f aca="false">IF(AND(C38=1,QD38&gt;PR_MinShort),1,0)</f>
        <v>0</v>
      </c>
      <c r="UB38" s="1" t="n">
        <f aca="false">IF(AND(C38=1,QE38&gt;1,UI38=0),1,0)</f>
        <v>0</v>
      </c>
      <c r="UC38" s="1" t="str">
        <f aca="false">IF(C38=0,"",IF(UI38=1,"Gap to plan for: short "&amp;"€"&amp;TEXT(ROUND(TO38,0),"#,##0"),IF(QE38&gt;1,"Using savings","Comfortable")))</f>
        <v>Comfortable</v>
      </c>
      <c r="UD38" s="1" t="n">
        <f aca="false">IF(AND(INT(D38/10)*10=90,B38&gt;0),80,INT(D38/10)*10)</f>
        <v>30</v>
      </c>
      <c r="UE38" s="1" t="n">
        <f aca="false">IF(B38=0,1,IF(UD38&lt;&gt;UD37,UE37+1,UE37))</f>
        <v>4</v>
      </c>
      <c r="UF38" s="1" t="n">
        <f aca="false">IF(AND(C38=1,F38=1,QD38&gt;MAX(PR_Short1,TP38*PR_Short2)),1,0)</f>
        <v>0</v>
      </c>
      <c r="UG38" s="1" t="n">
        <f aca="false">TQ38*TU38</f>
        <v>0</v>
      </c>
      <c r="UH38" s="1" t="n">
        <f aca="false">IF(AND(U38=1,Slot1_PctLow=1),1,0)+IF(AND(AF38=1,Slot2_PctLow=1),1,0)+IF(AND(AP38=1,Slot3_PctLow=1),1,0)+IF(AND(AZ38=1,Slot4_PctLow=1),1,0)+IF(AND(BJ38=1,Slot5_PctLow=1),1,0)+IF(AND(BT38=1,Slot6_PctLow=1),1,0)+IF(AND(CD38=1,Slot7_PctLow=1),1,0)+IF(AND(CN38=1,Slot8_PctLow=1),1,0)+IF(AND(CX38=1,Slot9_PctLow=1),1,0)+IF(AND(DH38=1,Slot10_PctLow=1),1,0)+IF(AND(DR38=1,Slot11_PctLow=1),1,0)+IF(AND(EB38=1,Slot12_PctLow=1),1,0)+IF(AND(EL38=1,Slot13_PctLow=1),1,0)+IF(AND(EV38=1,Slot14_PctLow=1),1,0)+IF(AND(FF38=1,Slot15_PctLow=1),1,0)+IF(AND(FP38=1,Slot16_PctLow=1),1,0)+IF(AND(FZ38=1,Slot17_PctLow=1),1,0)+IF(AND(GJ38=1,Slot18_PctLow=1),1,0)+IF(AND(GT38=1,Slot19_PctLow=1),1,0)+IF(AND(HD38=1,Slot20_PctLow=1),1,0)</f>
        <v>0</v>
      </c>
      <c r="UI38" s="1" t="n">
        <f aca="false">IF(C38=1,IF(OR(TU38=1,UH38&gt;0),1,0),0)</f>
        <v>0</v>
      </c>
    </row>
    <row r="39" customFormat="false" ht="15" hidden="false" customHeight="true" outlineLevel="0" collapsed="false">
      <c r="B39" s="1" t="n">
        <v>31</v>
      </c>
      <c r="C39" s="1" t="n">
        <f aca="false">IF(B39&lt;=F_N,1,0)</f>
        <v>1</v>
      </c>
      <c r="D39" s="1" t="n">
        <f aca="false">'Plan pay &amp; tax'!C265</f>
        <v>31</v>
      </c>
      <c r="E39" s="111" t="n">
        <f aca="false">'Plan pay &amp; tax'!E265</f>
        <v>1.84758881578542</v>
      </c>
      <c r="F39" s="1" t="n">
        <f aca="false">'Plan pay &amp; tax'!G265</f>
        <v>1</v>
      </c>
      <c r="G39" s="1" t="n">
        <f aca="false">'Plan pay &amp; tax'!BT265-'Plan pay &amp; tax'!BS265-'Plan pay &amp; tax'!R265</f>
        <v>0</v>
      </c>
      <c r="H39" s="1" t="n">
        <f aca="false">IF(F39=1,F_CostsM*12,IF(RG_Exists=1,RG_Amount,F_CostsM*12*AS_RetireSpend))*E39+F_OneOffY*E39</f>
        <v>0</v>
      </c>
      <c r="I39" s="1" t="n">
        <f aca="false">HQ38</f>
        <v>0</v>
      </c>
      <c r="J39" s="1" t="n">
        <f aca="false">IF(I39&gt;1,'Plan debt months'!AC39,0)</f>
        <v>0</v>
      </c>
      <c r="K39" s="1" t="n">
        <f aca="false">IF(I39&gt;1,'Plan debt months'!AB39,I39)</f>
        <v>0</v>
      </c>
      <c r="L39" s="1" t="n">
        <f aca="false">N38</f>
        <v>0</v>
      </c>
      <c r="M39" s="1" t="n">
        <f aca="false">IF(L39&gt;1,'Plan debt months'!BD39,0)</f>
        <v>0</v>
      </c>
      <c r="N39" s="1" t="n">
        <f aca="false">IF(L39&gt;1,'Plan debt months'!BC39,L39)</f>
        <v>0</v>
      </c>
      <c r="O39" s="1" t="n">
        <f aca="false">Q38</f>
        <v>0</v>
      </c>
      <c r="P39" s="1" t="n">
        <f aca="false">IF(O39&gt;1,'Plan debt months'!CE39,0)</f>
        <v>0</v>
      </c>
      <c r="Q39" s="1" t="n">
        <f aca="false">IF(O39&gt;1,'Plan debt months'!CD39,O39)</f>
        <v>0</v>
      </c>
      <c r="R39" s="1" t="n">
        <f aca="false">J39+M39+P39</f>
        <v>0</v>
      </c>
      <c r="S39" s="1" t="n">
        <f aca="false">QJ38+'Plan pay &amp; tax'!Y265</f>
        <v>0</v>
      </c>
      <c r="T39" s="1" t="n">
        <f aca="false">QJ38</f>
        <v>0</v>
      </c>
      <c r="U39" s="1" t="n">
        <f aca="false">IF(AND(Slot1_On=1,D39=Slot1_Age),1,0)</f>
        <v>0</v>
      </c>
      <c r="V39" s="1" t="n">
        <f aca="false">IF(AND(Slot1_On=1,Slot1_Age&gt;D39),1,0)</f>
        <v>0</v>
      </c>
      <c r="W39" s="1" t="n">
        <f aca="false">QL38</f>
        <v>0</v>
      </c>
      <c r="X39" s="1" t="n">
        <f aca="false">U39*MIN(Slot1_Cost,W39)</f>
        <v>0</v>
      </c>
      <c r="Y39" s="1" t="n">
        <f aca="false">U39*Slot1_SpendLike*MIN(Slot1_Cost-X39,S39)</f>
        <v>0</v>
      </c>
      <c r="Z39" s="1" t="n">
        <f aca="false">X39+Y39</f>
        <v>0</v>
      </c>
      <c r="AA39" s="1" t="n">
        <f aca="false">S39-Y39+U39*IF(Slot1_SpendLike=1,W39-X39,IF(Slot1_PotFree=1,W39,0))</f>
        <v>0</v>
      </c>
      <c r="AB39" s="1" t="n">
        <f aca="false">AE39+U39*Slot1_BufPot*W39</f>
        <v>0</v>
      </c>
      <c r="AC39" s="1" t="n">
        <f aca="false">IF(AND(U39=1,Slot1_IsMfree=1),IF(Z39&gt;=Slot1_Cost-1,0,MAX(0,K39-Z39)),K39)</f>
        <v>0</v>
      </c>
      <c r="AD39" s="1" t="n">
        <f aca="false">U39*(Slot1_Cost-Z39)</f>
        <v>0</v>
      </c>
      <c r="AE39" s="1" t="n">
        <f aca="false">QK38</f>
        <v>0</v>
      </c>
      <c r="AF39" s="1" t="n">
        <f aca="false">IF(AND(Slot2_On=1,D39=Slot2_Age),1,0)</f>
        <v>0</v>
      </c>
      <c r="AG39" s="1" t="n">
        <f aca="false">IF(AND(Slot2_On=1,Slot2_Age&gt;D39),1,0)</f>
        <v>0</v>
      </c>
      <c r="AH39" s="1" t="n">
        <f aca="false">QP38</f>
        <v>0</v>
      </c>
      <c r="AI39" s="1" t="n">
        <f aca="false">AF39*MIN(Slot2_Cost,AH39)</f>
        <v>0</v>
      </c>
      <c r="AJ39" s="1" t="n">
        <f aca="false">AF39*Slot2_SpendLike*MIN(Slot2_Cost-AI39,AA39)</f>
        <v>0</v>
      </c>
      <c r="AK39" s="1" t="n">
        <f aca="false">AI39+AJ39</f>
        <v>0</v>
      </c>
      <c r="AL39" s="1" t="n">
        <f aca="false">AA39-AJ39+AF39*IF(Slot2_SpendLike=1,AH39-AI39,IF(Slot2_PotFree=1,AH39,0))</f>
        <v>0</v>
      </c>
      <c r="AM39" s="1" t="n">
        <f aca="false">AB39+AF39*Slot2_BufPot*AH39</f>
        <v>0</v>
      </c>
      <c r="AN39" s="1" t="n">
        <f aca="false">IF(AND(AF39=1,Slot2_IsMfree=1),IF(AK39&gt;=Slot2_Cost-1,0,MAX(0,AC39-AK39)),AC39)</f>
        <v>0</v>
      </c>
      <c r="AO39" s="1" t="n">
        <f aca="false">AF39*(Slot2_Cost-AK39)</f>
        <v>0</v>
      </c>
      <c r="AP39" s="1" t="n">
        <f aca="false">IF(AND(Slot3_On=1,D39=Slot3_Age),1,0)</f>
        <v>0</v>
      </c>
      <c r="AQ39" s="1" t="n">
        <f aca="false">IF(AND(Slot3_On=1,Slot3_Age&gt;D39),1,0)</f>
        <v>0</v>
      </c>
      <c r="AR39" s="1" t="n">
        <f aca="false">QT38</f>
        <v>0</v>
      </c>
      <c r="AS39" s="1" t="n">
        <f aca="false">AP39*MIN(Slot3_Cost,AR39)</f>
        <v>0</v>
      </c>
      <c r="AT39" s="1" t="n">
        <f aca="false">AP39*Slot3_SpendLike*MIN(Slot3_Cost-AS39,AL39)</f>
        <v>0</v>
      </c>
      <c r="AU39" s="1" t="n">
        <f aca="false">AS39+AT39</f>
        <v>0</v>
      </c>
      <c r="AV39" s="1" t="n">
        <f aca="false">AL39-AT39+AP39*IF(Slot3_SpendLike=1,AR39-AS39,IF(Slot3_PotFree=1,AR39,0))</f>
        <v>0</v>
      </c>
      <c r="AW39" s="1" t="n">
        <f aca="false">AM39+AP39*Slot3_BufPot*AR39</f>
        <v>0</v>
      </c>
      <c r="AX39" s="1" t="n">
        <f aca="false">IF(AND(AP39=1,Slot3_IsMfree=1),IF(AU39&gt;=Slot3_Cost-1,0,MAX(0,AN39-AU39)),AN39)</f>
        <v>0</v>
      </c>
      <c r="AY39" s="1" t="n">
        <f aca="false">AP39*(Slot3_Cost-AU39)</f>
        <v>0</v>
      </c>
      <c r="AZ39" s="1" t="n">
        <f aca="false">IF(AND(Slot4_On=1,D39=Slot4_Age),1,0)</f>
        <v>0</v>
      </c>
      <c r="BA39" s="1" t="n">
        <f aca="false">IF(AND(Slot4_On=1,Slot4_Age&gt;D39),1,0)</f>
        <v>0</v>
      </c>
      <c r="BB39" s="1" t="n">
        <f aca="false">QX38</f>
        <v>0</v>
      </c>
      <c r="BC39" s="1" t="n">
        <f aca="false">AZ39*MIN(Slot4_Cost,BB39)</f>
        <v>0</v>
      </c>
      <c r="BD39" s="1" t="n">
        <f aca="false">AZ39*Slot4_SpendLike*MIN(Slot4_Cost-BC39,AV39)</f>
        <v>0</v>
      </c>
      <c r="BE39" s="1" t="n">
        <f aca="false">BC39+BD39</f>
        <v>0</v>
      </c>
      <c r="BF39" s="1" t="n">
        <f aca="false">AV39-BD39+AZ39*IF(Slot4_SpendLike=1,BB39-BC39,IF(Slot4_PotFree=1,BB39,0))</f>
        <v>0</v>
      </c>
      <c r="BG39" s="1" t="n">
        <f aca="false">AW39+AZ39*Slot4_BufPot*BB39</f>
        <v>0</v>
      </c>
      <c r="BH39" s="1" t="n">
        <f aca="false">IF(AND(AZ39=1,Slot4_IsMfree=1),IF(BE39&gt;=Slot4_Cost-1,0,MAX(0,AX39-BE39)),AX39)</f>
        <v>0</v>
      </c>
      <c r="BI39" s="1" t="n">
        <f aca="false">AZ39*(Slot4_Cost-BE39)</f>
        <v>0</v>
      </c>
      <c r="BJ39" s="1" t="n">
        <f aca="false">IF(AND(Slot5_On=1,D39=Slot5_Age),1,0)</f>
        <v>0</v>
      </c>
      <c r="BK39" s="1" t="n">
        <f aca="false">IF(AND(Slot5_On=1,Slot5_Age&gt;D39),1,0)</f>
        <v>0</v>
      </c>
      <c r="BL39" s="1" t="n">
        <f aca="false">RB38</f>
        <v>0</v>
      </c>
      <c r="BM39" s="1" t="n">
        <f aca="false">BJ39*MIN(Slot5_Cost,BL39)</f>
        <v>0</v>
      </c>
      <c r="BN39" s="1" t="n">
        <f aca="false">BJ39*Slot5_SpendLike*MIN(Slot5_Cost-BM39,BF39)</f>
        <v>0</v>
      </c>
      <c r="BO39" s="1" t="n">
        <f aca="false">BM39+BN39</f>
        <v>0</v>
      </c>
      <c r="BP39" s="1" t="n">
        <f aca="false">BF39-BN39+BJ39*IF(Slot5_SpendLike=1,BL39-BM39,IF(Slot5_PotFree=1,BL39,0))</f>
        <v>0</v>
      </c>
      <c r="BQ39" s="1" t="n">
        <f aca="false">BG39+BJ39*Slot5_BufPot*BL39</f>
        <v>0</v>
      </c>
      <c r="BR39" s="1" t="n">
        <f aca="false">IF(AND(BJ39=1,Slot5_IsMfree=1),IF(BO39&gt;=Slot5_Cost-1,0,MAX(0,BH39-BO39)),BH39)</f>
        <v>0</v>
      </c>
      <c r="BS39" s="1" t="n">
        <f aca="false">BJ39*(Slot5_Cost-BO39)</f>
        <v>0</v>
      </c>
      <c r="BT39" s="1" t="n">
        <f aca="false">IF(AND(Slot6_On=1,D39=Slot6_Age),1,0)</f>
        <v>0</v>
      </c>
      <c r="BU39" s="1" t="n">
        <f aca="false">IF(AND(Slot6_On=1,Slot6_Age&gt;D39),1,0)</f>
        <v>0</v>
      </c>
      <c r="BV39" s="1" t="n">
        <f aca="false">RF38</f>
        <v>0</v>
      </c>
      <c r="BW39" s="1" t="n">
        <f aca="false">BT39*MIN(Slot6_Cost,BV39)</f>
        <v>0</v>
      </c>
      <c r="BX39" s="1" t="n">
        <f aca="false">BT39*Slot6_SpendLike*MIN(Slot6_Cost-BW39,BP39)</f>
        <v>0</v>
      </c>
      <c r="BY39" s="1" t="n">
        <f aca="false">BW39+BX39</f>
        <v>0</v>
      </c>
      <c r="BZ39" s="1" t="n">
        <f aca="false">BP39-BX39+BT39*IF(Slot6_SpendLike=1,BV39-BW39,IF(Slot6_PotFree=1,BV39,0))</f>
        <v>0</v>
      </c>
      <c r="CA39" s="1" t="n">
        <f aca="false">BQ39+BT39*Slot6_BufPot*BV39</f>
        <v>0</v>
      </c>
      <c r="CB39" s="1" t="n">
        <f aca="false">IF(AND(BT39=1,Slot6_IsMfree=1),IF(BY39&gt;=Slot6_Cost-1,0,MAX(0,BR39-BY39)),BR39)</f>
        <v>0</v>
      </c>
      <c r="CC39" s="1" t="n">
        <f aca="false">BT39*(Slot6_Cost-BY39)</f>
        <v>0</v>
      </c>
      <c r="CD39" s="1" t="n">
        <f aca="false">IF(AND(Slot7_On=1,D39=Slot7_Age),1,0)</f>
        <v>0</v>
      </c>
      <c r="CE39" s="1" t="n">
        <f aca="false">IF(AND(Slot7_On=1,Slot7_Age&gt;D39),1,0)</f>
        <v>0</v>
      </c>
      <c r="CF39" s="1" t="n">
        <f aca="false">RJ38</f>
        <v>0</v>
      </c>
      <c r="CG39" s="1" t="n">
        <f aca="false">CD39*MIN(Slot7_Cost,CF39)</f>
        <v>0</v>
      </c>
      <c r="CH39" s="1" t="n">
        <f aca="false">CD39*Slot7_SpendLike*MIN(Slot7_Cost-CG39,BZ39)</f>
        <v>0</v>
      </c>
      <c r="CI39" s="1" t="n">
        <f aca="false">CG39+CH39</f>
        <v>0</v>
      </c>
      <c r="CJ39" s="1" t="n">
        <f aca="false">BZ39-CH39+CD39*IF(Slot7_SpendLike=1,CF39-CG39,IF(Slot7_PotFree=1,CF39,0))</f>
        <v>0</v>
      </c>
      <c r="CK39" s="1" t="n">
        <f aca="false">CA39+CD39*Slot7_BufPot*CF39</f>
        <v>0</v>
      </c>
      <c r="CL39" s="1" t="n">
        <f aca="false">IF(AND(CD39=1,Slot7_IsMfree=1),IF(CI39&gt;=Slot7_Cost-1,0,MAX(0,CB39-CI39)),CB39)</f>
        <v>0</v>
      </c>
      <c r="CM39" s="1" t="n">
        <f aca="false">CD39*(Slot7_Cost-CI39)</f>
        <v>0</v>
      </c>
      <c r="CN39" s="1" t="n">
        <f aca="false">IF(AND(Slot8_On=1,D39=Slot8_Age),1,0)</f>
        <v>0</v>
      </c>
      <c r="CO39" s="1" t="n">
        <f aca="false">IF(AND(Slot8_On=1,Slot8_Age&gt;D39),1,0)</f>
        <v>0</v>
      </c>
      <c r="CP39" s="1" t="n">
        <f aca="false">RN38</f>
        <v>0</v>
      </c>
      <c r="CQ39" s="1" t="n">
        <f aca="false">CN39*MIN(Slot8_Cost,CP39)</f>
        <v>0</v>
      </c>
      <c r="CR39" s="1" t="n">
        <f aca="false">CN39*Slot8_SpendLike*MIN(Slot8_Cost-CQ39,CJ39)</f>
        <v>0</v>
      </c>
      <c r="CS39" s="1" t="n">
        <f aca="false">CQ39+CR39</f>
        <v>0</v>
      </c>
      <c r="CT39" s="1" t="n">
        <f aca="false">CJ39-CR39+CN39*IF(Slot8_SpendLike=1,CP39-CQ39,IF(Slot8_PotFree=1,CP39,0))</f>
        <v>0</v>
      </c>
      <c r="CU39" s="1" t="n">
        <f aca="false">CK39+CN39*Slot8_BufPot*CP39</f>
        <v>0</v>
      </c>
      <c r="CV39" s="1" t="n">
        <f aca="false">IF(AND(CN39=1,Slot8_IsMfree=1),IF(CS39&gt;=Slot8_Cost-1,0,MAX(0,CL39-CS39)),CL39)</f>
        <v>0</v>
      </c>
      <c r="CW39" s="1" t="n">
        <f aca="false">CN39*(Slot8_Cost-CS39)</f>
        <v>0</v>
      </c>
      <c r="CX39" s="1" t="n">
        <f aca="false">IF(AND(Slot9_On=1,D39=Slot9_Age),1,0)</f>
        <v>0</v>
      </c>
      <c r="CY39" s="1" t="n">
        <f aca="false">IF(AND(Slot9_On=1,Slot9_Age&gt;D39),1,0)</f>
        <v>0</v>
      </c>
      <c r="CZ39" s="1" t="n">
        <f aca="false">RR38</f>
        <v>0</v>
      </c>
      <c r="DA39" s="1" t="n">
        <f aca="false">CX39*MIN(Slot9_Cost,CZ39)</f>
        <v>0</v>
      </c>
      <c r="DB39" s="1" t="n">
        <f aca="false">CX39*Slot9_SpendLike*MIN(Slot9_Cost-DA39,CT39)</f>
        <v>0</v>
      </c>
      <c r="DC39" s="1" t="n">
        <f aca="false">DA39+DB39</f>
        <v>0</v>
      </c>
      <c r="DD39" s="1" t="n">
        <f aca="false">CT39-DB39+CX39*IF(Slot9_SpendLike=1,CZ39-DA39,IF(Slot9_PotFree=1,CZ39,0))</f>
        <v>0</v>
      </c>
      <c r="DE39" s="1" t="n">
        <f aca="false">CU39+CX39*Slot9_BufPot*CZ39</f>
        <v>0</v>
      </c>
      <c r="DF39" s="1" t="n">
        <f aca="false">IF(AND(CX39=1,Slot9_IsMfree=1),IF(DC39&gt;=Slot9_Cost-1,0,MAX(0,CV39-DC39)),CV39)</f>
        <v>0</v>
      </c>
      <c r="DG39" s="1" t="n">
        <f aca="false">CX39*(Slot9_Cost-DC39)</f>
        <v>0</v>
      </c>
      <c r="DH39" s="1" t="n">
        <f aca="false">IF(AND(Slot10_On=1,D39=Slot10_Age),1,0)</f>
        <v>0</v>
      </c>
      <c r="DI39" s="1" t="n">
        <f aca="false">IF(AND(Slot10_On=1,Slot10_Age&gt;D39),1,0)</f>
        <v>0</v>
      </c>
      <c r="DJ39" s="1" t="n">
        <f aca="false">RV38</f>
        <v>0</v>
      </c>
      <c r="DK39" s="1" t="n">
        <f aca="false">DH39*MIN(Slot10_Cost,DJ39)</f>
        <v>0</v>
      </c>
      <c r="DL39" s="1" t="n">
        <f aca="false">DH39*Slot10_SpendLike*MIN(Slot10_Cost-DK39,DD39)</f>
        <v>0</v>
      </c>
      <c r="DM39" s="1" t="n">
        <f aca="false">DK39+DL39</f>
        <v>0</v>
      </c>
      <c r="DN39" s="1" t="n">
        <f aca="false">DD39-DL39+DH39*IF(Slot10_SpendLike=1,DJ39-DK39,IF(Slot10_PotFree=1,DJ39,0))</f>
        <v>0</v>
      </c>
      <c r="DO39" s="1" t="n">
        <f aca="false">DE39+DH39*Slot10_BufPot*DJ39</f>
        <v>0</v>
      </c>
      <c r="DP39" s="1" t="n">
        <f aca="false">IF(AND(DH39=1,Slot10_IsMfree=1),IF(DM39&gt;=Slot10_Cost-1,0,MAX(0,DF39-DM39)),DF39)</f>
        <v>0</v>
      </c>
      <c r="DQ39" s="1" t="n">
        <f aca="false">DH39*(Slot10_Cost-DM39)</f>
        <v>0</v>
      </c>
      <c r="DR39" s="1" t="n">
        <f aca="false">IF(AND(Slot11_On=1,D39=Slot11_Age),1,0)</f>
        <v>0</v>
      </c>
      <c r="DS39" s="1" t="n">
        <f aca="false">IF(AND(Slot11_On=1,Slot11_Age&gt;D39),1,0)</f>
        <v>0</v>
      </c>
      <c r="DT39" s="1" t="n">
        <f aca="false">RZ38</f>
        <v>0</v>
      </c>
      <c r="DU39" s="1" t="n">
        <f aca="false">DR39*MIN(Slot11_Cost,DT39)</f>
        <v>0</v>
      </c>
      <c r="DV39" s="1" t="n">
        <f aca="false">DR39*Slot11_SpendLike*MIN(Slot11_Cost-DU39,DN39)</f>
        <v>0</v>
      </c>
      <c r="DW39" s="1" t="n">
        <f aca="false">DU39+DV39</f>
        <v>0</v>
      </c>
      <c r="DX39" s="1" t="n">
        <f aca="false">DN39-DV39+DR39*IF(Slot11_SpendLike=1,DT39-DU39,IF(Slot11_PotFree=1,DT39,0))</f>
        <v>0</v>
      </c>
      <c r="DY39" s="1" t="n">
        <f aca="false">DO39+DR39*Slot11_BufPot*DT39</f>
        <v>0</v>
      </c>
      <c r="DZ39" s="1" t="n">
        <f aca="false">IF(AND(DR39=1,Slot11_IsMfree=1),IF(DW39&gt;=Slot11_Cost-1,0,MAX(0,DP39-DW39)),DP39)</f>
        <v>0</v>
      </c>
      <c r="EA39" s="1" t="n">
        <f aca="false">DR39*(Slot11_Cost-DW39)</f>
        <v>0</v>
      </c>
      <c r="EB39" s="1" t="n">
        <f aca="false">IF(AND(Slot12_On=1,D39=Slot12_Age),1,0)</f>
        <v>0</v>
      </c>
      <c r="EC39" s="1" t="n">
        <f aca="false">IF(AND(Slot12_On=1,Slot12_Age&gt;D39),1,0)</f>
        <v>0</v>
      </c>
      <c r="ED39" s="1" t="n">
        <f aca="false">SD38</f>
        <v>0</v>
      </c>
      <c r="EE39" s="1" t="n">
        <f aca="false">EB39*MIN(Slot12_Cost,ED39)</f>
        <v>0</v>
      </c>
      <c r="EF39" s="1" t="n">
        <f aca="false">EB39*Slot12_SpendLike*MIN(Slot12_Cost-EE39,DX39)</f>
        <v>0</v>
      </c>
      <c r="EG39" s="1" t="n">
        <f aca="false">EE39+EF39</f>
        <v>0</v>
      </c>
      <c r="EH39" s="1" t="n">
        <f aca="false">DX39-EF39+EB39*IF(Slot12_SpendLike=1,ED39-EE39,IF(Slot12_PotFree=1,ED39,0))</f>
        <v>0</v>
      </c>
      <c r="EI39" s="1" t="n">
        <f aca="false">DY39+EB39*Slot12_BufPot*ED39</f>
        <v>0</v>
      </c>
      <c r="EJ39" s="1" t="n">
        <f aca="false">IF(AND(EB39=1,Slot12_IsMfree=1),IF(EG39&gt;=Slot12_Cost-1,0,MAX(0,DZ39-EG39)),DZ39)</f>
        <v>0</v>
      </c>
      <c r="EK39" s="1" t="n">
        <f aca="false">EB39*(Slot12_Cost-EG39)</f>
        <v>0</v>
      </c>
      <c r="EL39" s="1" t="n">
        <f aca="false">IF(AND(Slot13_On=1,D39=Slot13_Age),1,0)</f>
        <v>0</v>
      </c>
      <c r="EM39" s="1" t="n">
        <f aca="false">IF(AND(Slot13_On=1,Slot13_Age&gt;D39),1,0)</f>
        <v>0</v>
      </c>
      <c r="EN39" s="1" t="n">
        <f aca="false">SH38</f>
        <v>0</v>
      </c>
      <c r="EO39" s="1" t="n">
        <f aca="false">EL39*MIN(Slot13_Cost,EN39)</f>
        <v>0</v>
      </c>
      <c r="EP39" s="1" t="n">
        <f aca="false">EL39*Slot13_SpendLike*MIN(Slot13_Cost-EO39,EH39)</f>
        <v>0</v>
      </c>
      <c r="EQ39" s="1" t="n">
        <f aca="false">EO39+EP39</f>
        <v>0</v>
      </c>
      <c r="ER39" s="1" t="n">
        <f aca="false">EH39-EP39+EL39*IF(Slot13_SpendLike=1,EN39-EO39,IF(Slot13_PotFree=1,EN39,0))</f>
        <v>0</v>
      </c>
      <c r="ES39" s="1" t="n">
        <f aca="false">EI39+EL39*Slot13_BufPot*EN39</f>
        <v>0</v>
      </c>
      <c r="ET39" s="1" t="n">
        <f aca="false">IF(AND(EL39=1,Slot13_IsMfree=1),IF(EQ39&gt;=Slot13_Cost-1,0,MAX(0,EJ39-EQ39)),EJ39)</f>
        <v>0</v>
      </c>
      <c r="EU39" s="1" t="n">
        <f aca="false">EL39*(Slot13_Cost-EQ39)</f>
        <v>0</v>
      </c>
      <c r="EV39" s="1" t="n">
        <f aca="false">IF(AND(Slot14_On=1,D39=Slot14_Age),1,0)</f>
        <v>0</v>
      </c>
      <c r="EW39" s="1" t="n">
        <f aca="false">IF(AND(Slot14_On=1,Slot14_Age&gt;D39),1,0)</f>
        <v>0</v>
      </c>
      <c r="EX39" s="1" t="n">
        <f aca="false">SL38</f>
        <v>0</v>
      </c>
      <c r="EY39" s="1" t="n">
        <f aca="false">EV39*MIN(Slot14_Cost,EX39)</f>
        <v>0</v>
      </c>
      <c r="EZ39" s="1" t="n">
        <f aca="false">EV39*Slot14_SpendLike*MIN(Slot14_Cost-EY39,ER39)</f>
        <v>0</v>
      </c>
      <c r="FA39" s="1" t="n">
        <f aca="false">EY39+EZ39</f>
        <v>0</v>
      </c>
      <c r="FB39" s="1" t="n">
        <f aca="false">ER39-EZ39+EV39*IF(Slot14_SpendLike=1,EX39-EY39,IF(Slot14_PotFree=1,EX39,0))</f>
        <v>0</v>
      </c>
      <c r="FC39" s="1" t="n">
        <f aca="false">ES39+EV39*Slot14_BufPot*EX39</f>
        <v>0</v>
      </c>
      <c r="FD39" s="1" t="n">
        <f aca="false">IF(AND(EV39=1,Slot14_IsMfree=1),IF(FA39&gt;=Slot14_Cost-1,0,MAX(0,ET39-FA39)),ET39)</f>
        <v>0</v>
      </c>
      <c r="FE39" s="1" t="n">
        <f aca="false">EV39*(Slot14_Cost-FA39)</f>
        <v>0</v>
      </c>
      <c r="FF39" s="1" t="n">
        <f aca="false">IF(AND(Slot15_On=1,D39=Slot15_Age),1,0)</f>
        <v>0</v>
      </c>
      <c r="FG39" s="1" t="n">
        <f aca="false">IF(AND(Slot15_On=1,Slot15_Age&gt;D39),1,0)</f>
        <v>0</v>
      </c>
      <c r="FH39" s="1" t="n">
        <f aca="false">SP38</f>
        <v>0</v>
      </c>
      <c r="FI39" s="1" t="n">
        <f aca="false">FF39*MIN(Slot15_Cost,FH39)</f>
        <v>0</v>
      </c>
      <c r="FJ39" s="1" t="n">
        <f aca="false">FF39*Slot15_SpendLike*MIN(Slot15_Cost-FI39,FB39)</f>
        <v>0</v>
      </c>
      <c r="FK39" s="1" t="n">
        <f aca="false">FI39+FJ39</f>
        <v>0</v>
      </c>
      <c r="FL39" s="1" t="n">
        <f aca="false">FB39-FJ39+FF39*IF(Slot15_SpendLike=1,FH39-FI39,IF(Slot15_PotFree=1,FH39,0))</f>
        <v>0</v>
      </c>
      <c r="FM39" s="1" t="n">
        <f aca="false">FC39+FF39*Slot15_BufPot*FH39</f>
        <v>0</v>
      </c>
      <c r="FN39" s="1" t="n">
        <f aca="false">IF(AND(FF39=1,Slot15_IsMfree=1),IF(FK39&gt;=Slot15_Cost-1,0,MAX(0,FD39-FK39)),FD39)</f>
        <v>0</v>
      </c>
      <c r="FO39" s="1" t="n">
        <f aca="false">FF39*(Slot15_Cost-FK39)</f>
        <v>0</v>
      </c>
      <c r="FP39" s="1" t="n">
        <f aca="false">IF(AND(Slot16_On=1,D39=Slot16_Age),1,0)</f>
        <v>0</v>
      </c>
      <c r="FQ39" s="1" t="n">
        <f aca="false">IF(AND(Slot16_On=1,Slot16_Age&gt;D39),1,0)</f>
        <v>0</v>
      </c>
      <c r="FR39" s="1" t="n">
        <f aca="false">ST38</f>
        <v>0</v>
      </c>
      <c r="FS39" s="1" t="n">
        <f aca="false">FP39*MIN(Slot16_Cost,FR39)</f>
        <v>0</v>
      </c>
      <c r="FT39" s="1" t="n">
        <f aca="false">FP39*Slot16_SpendLike*MIN(Slot16_Cost-FS39,FL39)</f>
        <v>0</v>
      </c>
      <c r="FU39" s="1" t="n">
        <f aca="false">FS39+FT39</f>
        <v>0</v>
      </c>
      <c r="FV39" s="1" t="n">
        <f aca="false">FL39-FT39+FP39*IF(Slot16_SpendLike=1,FR39-FS39,IF(Slot16_PotFree=1,FR39,0))</f>
        <v>0</v>
      </c>
      <c r="FW39" s="1" t="n">
        <f aca="false">FM39+FP39*Slot16_BufPot*FR39</f>
        <v>0</v>
      </c>
      <c r="FX39" s="1" t="n">
        <f aca="false">IF(AND(FP39=1,Slot16_IsMfree=1),IF(FU39&gt;=Slot16_Cost-1,0,MAX(0,FN39-FU39)),FN39)</f>
        <v>0</v>
      </c>
      <c r="FY39" s="1" t="n">
        <f aca="false">FP39*(Slot16_Cost-FU39)</f>
        <v>0</v>
      </c>
      <c r="FZ39" s="1" t="n">
        <f aca="false">IF(AND(Slot17_On=1,D39=Slot17_Age),1,0)</f>
        <v>0</v>
      </c>
      <c r="GA39" s="1" t="n">
        <f aca="false">IF(AND(Slot17_On=1,Slot17_Age&gt;D39),1,0)</f>
        <v>0</v>
      </c>
      <c r="GB39" s="1" t="n">
        <f aca="false">SX38</f>
        <v>0</v>
      </c>
      <c r="GC39" s="1" t="n">
        <f aca="false">FZ39*MIN(Slot17_Cost,GB39)</f>
        <v>0</v>
      </c>
      <c r="GD39" s="1" t="n">
        <f aca="false">FZ39*Slot17_SpendLike*MIN(Slot17_Cost-GC39,FV39)</f>
        <v>0</v>
      </c>
      <c r="GE39" s="1" t="n">
        <f aca="false">GC39+GD39</f>
        <v>0</v>
      </c>
      <c r="GF39" s="1" t="n">
        <f aca="false">FV39-GD39+FZ39*IF(Slot17_SpendLike=1,GB39-GC39,IF(Slot17_PotFree=1,GB39,0))</f>
        <v>0</v>
      </c>
      <c r="GG39" s="1" t="n">
        <f aca="false">FW39+FZ39*Slot17_BufPot*GB39</f>
        <v>0</v>
      </c>
      <c r="GH39" s="1" t="n">
        <f aca="false">IF(AND(FZ39=1,Slot17_IsMfree=1),IF(GE39&gt;=Slot17_Cost-1,0,MAX(0,FX39-GE39)),FX39)</f>
        <v>0</v>
      </c>
      <c r="GI39" s="1" t="n">
        <f aca="false">FZ39*(Slot17_Cost-GE39)</f>
        <v>0</v>
      </c>
      <c r="GJ39" s="1" t="n">
        <f aca="false">IF(AND(Slot18_On=1,D39=Slot18_Age),1,0)</f>
        <v>0</v>
      </c>
      <c r="GK39" s="1" t="n">
        <f aca="false">IF(AND(Slot18_On=1,Slot18_Age&gt;D39),1,0)</f>
        <v>0</v>
      </c>
      <c r="GL39" s="1" t="n">
        <f aca="false">TB38</f>
        <v>0</v>
      </c>
      <c r="GM39" s="1" t="n">
        <f aca="false">GJ39*MIN(Slot18_Cost,GL39)</f>
        <v>0</v>
      </c>
      <c r="GN39" s="1" t="n">
        <f aca="false">GJ39*Slot18_SpendLike*MIN(Slot18_Cost-GM39,GF39)</f>
        <v>0</v>
      </c>
      <c r="GO39" s="1" t="n">
        <f aca="false">GM39+GN39</f>
        <v>0</v>
      </c>
      <c r="GP39" s="1" t="n">
        <f aca="false">GF39-GN39+GJ39*IF(Slot18_SpendLike=1,GL39-GM39,IF(Slot18_PotFree=1,GL39,0))</f>
        <v>0</v>
      </c>
      <c r="GQ39" s="1" t="n">
        <f aca="false">GG39+GJ39*Slot18_BufPot*GL39</f>
        <v>0</v>
      </c>
      <c r="GR39" s="1" t="n">
        <f aca="false">IF(AND(GJ39=1,Slot18_IsMfree=1),IF(GO39&gt;=Slot18_Cost-1,0,MAX(0,GH39-GO39)),GH39)</f>
        <v>0</v>
      </c>
      <c r="GS39" s="1" t="n">
        <f aca="false">GJ39*(Slot18_Cost-GO39)</f>
        <v>0</v>
      </c>
      <c r="GT39" s="1" t="n">
        <f aca="false">IF(AND(Slot19_On=1,D39=Slot19_Age),1,0)</f>
        <v>0</v>
      </c>
      <c r="GU39" s="1" t="n">
        <f aca="false">IF(AND(Slot19_On=1,Slot19_Age&gt;D39),1,0)</f>
        <v>0</v>
      </c>
      <c r="GV39" s="1" t="n">
        <f aca="false">TF38</f>
        <v>0</v>
      </c>
      <c r="GW39" s="1" t="n">
        <f aca="false">GT39*MIN(Slot19_Cost,GV39)</f>
        <v>0</v>
      </c>
      <c r="GX39" s="1" t="n">
        <f aca="false">GT39*Slot19_SpendLike*MIN(Slot19_Cost-GW39,GP39)</f>
        <v>0</v>
      </c>
      <c r="GY39" s="1" t="n">
        <f aca="false">GW39+GX39</f>
        <v>0</v>
      </c>
      <c r="GZ39" s="1" t="n">
        <f aca="false">GP39-GX39+GT39*IF(Slot19_SpendLike=1,GV39-GW39,IF(Slot19_PotFree=1,GV39,0))</f>
        <v>0</v>
      </c>
      <c r="HA39" s="1" t="n">
        <f aca="false">GQ39+GT39*Slot19_BufPot*GV39</f>
        <v>0</v>
      </c>
      <c r="HB39" s="1" t="n">
        <f aca="false">IF(AND(GT39=1,Slot19_IsMfree=1),IF(GY39&gt;=Slot19_Cost-1,0,MAX(0,GR39-GY39)),GR39)</f>
        <v>0</v>
      </c>
      <c r="HC39" s="1" t="n">
        <f aca="false">GT39*(Slot19_Cost-GY39)</f>
        <v>0</v>
      </c>
      <c r="HD39" s="1" t="n">
        <f aca="false">IF(AND(Slot20_On=1,D39=Slot20_Age),1,0)</f>
        <v>0</v>
      </c>
      <c r="HE39" s="1" t="n">
        <f aca="false">IF(AND(Slot20_On=1,Slot20_Age&gt;D39),1,0)</f>
        <v>0</v>
      </c>
      <c r="HF39" s="1" t="n">
        <f aca="false">TJ38</f>
        <v>0</v>
      </c>
      <c r="HG39" s="1" t="n">
        <f aca="false">HD39*MIN(Slot20_Cost,HF39)</f>
        <v>0</v>
      </c>
      <c r="HH39" s="1" t="n">
        <f aca="false">HD39*Slot20_SpendLike*MIN(Slot20_Cost-HG39,GZ39)</f>
        <v>0</v>
      </c>
      <c r="HI39" s="1" t="n">
        <f aca="false">HG39+HH39</f>
        <v>0</v>
      </c>
      <c r="HJ39" s="1" t="n">
        <f aca="false">GZ39-HH39+HD39*IF(Slot20_SpendLike=1,HF39-HG39,IF(Slot20_PotFree=1,HF39,0))</f>
        <v>0</v>
      </c>
      <c r="HK39" s="1" t="n">
        <f aca="false">HA39+HD39*Slot20_BufPot*HF39</f>
        <v>0</v>
      </c>
      <c r="HL39" s="1" t="n">
        <f aca="false">IF(AND(HD39=1,Slot20_IsMfree=1),IF(HI39&gt;=Slot20_Cost-1,0,MAX(0,HB39-HI39)),HB39)</f>
        <v>0</v>
      </c>
      <c r="HM39" s="1" t="n">
        <f aca="false">HD39*(Slot20_Cost-HI39)</f>
        <v>0</v>
      </c>
      <c r="HN39" s="1" t="n">
        <f aca="false">U39*Slot1_SpendLike*Z39+AF39*Slot2_SpendLike*AK39+AP39*Slot3_SpendLike*AU39+AZ39*Slot4_SpendLike*BE39+BJ39*Slot5_SpendLike*BO39+BT39*Slot6_SpendLike*BY39+CD39*Slot7_SpendLike*CI39+CN39*Slot8_SpendLike*CS39+CX39*Slot9_SpendLike*DC39+DH39*Slot10_SpendLike*DM39+DR39*Slot11_SpendLike*DW39+EB39*Slot12_SpendLike*EG39+EL39*Slot13_SpendLike*EQ39+EV39*Slot14_SpendLike*FA39+FF39*Slot15_SpendLike*FK39+FP39*Slot16_SpendLike*FU39+FZ39*Slot17_SpendLike*GE39+GJ39*Slot18_SpendLike*GO39+GT39*Slot19_SpendLike*GY39+HD39*Slot20_SpendLike*HI39</f>
        <v>0</v>
      </c>
      <c r="HO39" s="1" t="n">
        <f aca="false">AD39+AO39+AY39+BI39+BS39+CC39+CM39+CW39+DG39+DQ39+EA39+EK39+EU39+FE39+FO39+FY39+GI39+GS39+HC39+HM39</f>
        <v>0</v>
      </c>
      <c r="HP39" s="1" t="n">
        <f aca="false">U39*Slot1_Cost+AF39*Slot2_Cost+AP39*Slot3_Cost+AZ39*Slot4_Cost+BJ39*Slot5_Cost+BT39*Slot6_Cost+CD39*Slot7_Cost+CN39*Slot8_Cost+CX39*Slot9_Cost+DH39*Slot10_Cost+DR39*Slot11_Cost+EB39*Slot12_Cost+EL39*Slot13_Cost+EV39*Slot14_Cost+FF39*Slot15_Cost+FP39*Slot16_Cost+FZ39*Slot17_Cost+GJ39*Slot18_Cost+GT39*Slot19_Cost+HD39*Slot20_Cost</f>
        <v>0</v>
      </c>
      <c r="HQ39" s="1" t="n">
        <f aca="false">HL39</f>
        <v>0</v>
      </c>
      <c r="HR39" s="1" t="n">
        <f aca="false">G39-H39-R39</f>
        <v>0</v>
      </c>
      <c r="HS39" s="1" t="n">
        <f aca="false">IF(B39=0,IF(AND(Has_q6=1,In_q6=4),PR_ShareVaries*(MAX(0,HR39)/12),MIN(IF(Has_q6=1,CHOOSE(In_q6+1,PR_SaveB1,PR_SaveB2,PR_SaveB3,PR_SaveB4,0),AS_NoAnswer),AS_SaveShare*(MAX(0,HR39)/12))),HS38)</f>
        <v>0</v>
      </c>
      <c r="HT39" s="1" t="n">
        <f aca="false">IF(HR39&gt;=0,1,0)</f>
        <v>1</v>
      </c>
      <c r="HU39" s="1" t="n">
        <f aca="false">MAX(0,HR39/12/E39)</f>
        <v>0</v>
      </c>
      <c r="HV39" s="1" t="n">
        <f aca="false">IF(AND(Has_q6=1,In_q6=4),PR_ShareVaries*(HU39),MIN(IF(Has_q6=1,CHOOSE(In_q6+1,PR_SaveB1,PR_SaveB2,PR_SaveB3,PR_SaveB4,0),AS_NoAnswer),AS_SaveShare*(HU39)))</f>
        <v>0</v>
      </c>
      <c r="HW39" s="1" t="n">
        <f aca="false">IF(Has_saveM=1,IF(In_saveUp="Yes",1,IF(In_saveUp="No",0,IF(In_saveM&gt;=HS39-0.5,1,0))),0)</f>
        <v>0</v>
      </c>
      <c r="HX39" s="1" t="n">
        <f aca="false">IF(Has_saveM=1,MIN(HU39,IF(HW39=1,MAX(In_saveM,HV39),MIN(In_saveM,HV39))),HV39)</f>
        <v>0</v>
      </c>
      <c r="HY39" s="1" t="n">
        <f aca="false">IF(F39=1,HX39*12*E39,0)</f>
        <v>0</v>
      </c>
      <c r="HZ39" s="1" t="n">
        <f aca="false">MAX(0,HY39+IF(AND(WI_Retire=0,WI_M&lt;0,F39=1),WI_M*12*E39,0))</f>
        <v>0</v>
      </c>
      <c r="IA39" s="1" t="n">
        <f aca="false">Slot1_IsWG*V39+Slot2_IsWG*AG39+Slot3_IsWG*AQ39+Slot4_IsWG*BA39+Slot5_IsWG*BK39+Slot6_IsWG*BU39+Slot7_IsWG*CE39+Slot8_IsWG*CO39+Slot9_IsWG*CY39+Slot10_IsWG*DI39+Slot11_IsWG*DS39+Slot12_IsWG*EC39+Slot13_IsWG*EM39+Slot14_IsWG*EW39+Slot15_IsWG*FG39+Slot16_IsWG*FQ39+Slot17_IsWG*GA39+Slot18_IsWG*GK39+Slot19_IsWG*GU39+Slot20_IsWG*HE39</f>
        <v>0</v>
      </c>
      <c r="IB39" s="1" t="n">
        <f aca="false">IF(AND(WI_Retire=0,WI_M&gt;0,F39=1,IA39&gt;=1),WI_M*12*E39,0)</f>
        <v>0</v>
      </c>
      <c r="IC39" s="1" t="n">
        <f aca="false">IF(HT39=1,MIN(HZ39,HR39),0)</f>
        <v>0</v>
      </c>
      <c r="ID39" s="1" t="n">
        <f aca="false">IF(HT39=1,MIN(IB39,HR39-IC39),0)</f>
        <v>0</v>
      </c>
      <c r="IE39" s="1" t="n">
        <f aca="false">IF(V39=1,IF(ABS((1+AS_Wage)/(1+Slot1_Rate)-1)&lt;0.000000000001,(Slot1_Age-D39)*(1+Slot1_Rate)^(Slot1_Age-D39),(1+Slot1_Rate)^(Slot1_Age-D39)*(1-((1+AS_Wage)/(1+Slot1_Rate))^(Slot1_Age-D39))/(1-(1+AS_Wage)/(1+Slot1_Rate))),1)</f>
        <v>1</v>
      </c>
      <c r="IF39" s="1" t="n">
        <f aca="false">IF(AND(HT39=1,ID39&gt;0,Slot1_IsWG=1,V39=1),MAX(0,(Slot1_Cost-W39*(1+Slot1_Rate)^(Slot1_Age-D39))/IE39),0)</f>
        <v>0</v>
      </c>
      <c r="IG39" s="1" t="n">
        <f aca="false">IF(AND(HT39=1,ID39&gt;0,Slot1_IsWG=1,V39=1),MIN(ID39,IF39),0)</f>
        <v>0</v>
      </c>
      <c r="IH39" s="1" t="n">
        <f aca="false">W39+IG39</f>
        <v>0</v>
      </c>
      <c r="II39" s="1" t="n">
        <f aca="false">IF(V39=1,MAX(0,(Slot1_Cost-IH39*(1+Slot1_Rate)^(Slot1_Age-D39))/IE39),0)</f>
        <v>0</v>
      </c>
      <c r="IJ39" s="1" t="n">
        <f aca="false">IF(V39=1,MAX(0,(Slot1_Cost-W39*(1+Slot1_Rate)^(Slot1_Age-D39))/IE39),0)</f>
        <v>0</v>
      </c>
      <c r="IK39" s="1" t="n">
        <f aca="false">IF(AND(HT39=1,V39=1),MIN(IC39,II39),0)</f>
        <v>0</v>
      </c>
      <c r="IL39" s="1" t="n">
        <f aca="false">IC39-IK39</f>
        <v>0</v>
      </c>
      <c r="IM39" s="1" t="n">
        <f aca="false">IF(AG39=1,IF(ABS((1+AS_Wage)/(1+Slot2_Rate)-1)&lt;0.000000000001,(Slot2_Age-D39)*(1+Slot2_Rate)^(Slot2_Age-D39),(1+Slot2_Rate)^(Slot2_Age-D39)*(1-((1+AS_Wage)/(1+Slot2_Rate))^(Slot2_Age-D39))/(1-(1+AS_Wage)/(1+Slot2_Rate))),1)</f>
        <v>1</v>
      </c>
      <c r="IN39" s="1" t="n">
        <f aca="false">IF(AND(HT39=1,ID39&gt;0,Slot2_IsWG=1,AG39=1),MAX(0,(Slot2_Cost-AH39*(1+Slot2_Rate)^(Slot2_Age-D39))/IM39),0)</f>
        <v>0</v>
      </c>
      <c r="IO39" s="1" t="n">
        <f aca="false">IF(AND(HT39=1,ID39&gt;0,Slot2_IsWG=1,AG39=1),MIN(ID39,IN39),0)</f>
        <v>0</v>
      </c>
      <c r="IP39" s="1" t="n">
        <f aca="false">AH39+IO39</f>
        <v>0</v>
      </c>
      <c r="IQ39" s="1" t="n">
        <f aca="false">IF(AG39=1,MAX(0,(Slot2_Cost-IP39*(1+Slot2_Rate)^(Slot2_Age-D39))/IM39),0)</f>
        <v>0</v>
      </c>
      <c r="IR39" s="1" t="n">
        <f aca="false">IF(AG39=1,MAX(0,(Slot2_Cost-AH39*(1+Slot2_Rate)^(Slot2_Age-D39))/IM39),0)</f>
        <v>0</v>
      </c>
      <c r="IS39" s="1" t="n">
        <f aca="false">IF(AND(HT39=1,AG39=1),MIN(IL39,IQ39),0)</f>
        <v>0</v>
      </c>
      <c r="IT39" s="1" t="n">
        <f aca="false">IL39-IS39</f>
        <v>0</v>
      </c>
      <c r="IU39" s="1" t="n">
        <f aca="false">IF(AQ39=1,IF(ABS((1+AS_Wage)/(1+Slot3_Rate)-1)&lt;0.000000000001,(Slot3_Age-D39)*(1+Slot3_Rate)^(Slot3_Age-D39),(1+Slot3_Rate)^(Slot3_Age-D39)*(1-((1+AS_Wage)/(1+Slot3_Rate))^(Slot3_Age-D39))/(1-(1+AS_Wage)/(1+Slot3_Rate))),1)</f>
        <v>1</v>
      </c>
      <c r="IV39" s="1" t="n">
        <f aca="false">IF(AND(HT39=1,ID39&gt;0,Slot3_IsWG=1,AQ39=1),MAX(0,(Slot3_Cost-AR39*(1+Slot3_Rate)^(Slot3_Age-D39))/IU39),0)</f>
        <v>0</v>
      </c>
      <c r="IW39" s="1" t="n">
        <f aca="false">IF(AND(HT39=1,ID39&gt;0,Slot3_IsWG=1,AQ39=1),MIN(ID39,IV39),0)</f>
        <v>0</v>
      </c>
      <c r="IX39" s="1" t="n">
        <f aca="false">AR39+IW39</f>
        <v>0</v>
      </c>
      <c r="IY39" s="1" t="n">
        <f aca="false">IF(AQ39=1,MAX(0,(Slot3_Cost-IX39*(1+Slot3_Rate)^(Slot3_Age-D39))/IU39),0)</f>
        <v>0</v>
      </c>
      <c r="IZ39" s="1" t="n">
        <f aca="false">IF(AQ39=1,MAX(0,(Slot3_Cost-AR39*(1+Slot3_Rate)^(Slot3_Age-D39))/IU39),0)</f>
        <v>0</v>
      </c>
      <c r="JA39" s="1" t="n">
        <f aca="false">IF(AND(HT39=1,AQ39=1),MIN(IT39,IY39),0)</f>
        <v>0</v>
      </c>
      <c r="JB39" s="1" t="n">
        <f aca="false">IT39-JA39</f>
        <v>0</v>
      </c>
      <c r="JC39" s="1" t="n">
        <f aca="false">IF(BA39=1,IF(ABS((1+AS_Wage)/(1+Slot4_Rate)-1)&lt;0.000000000001,(Slot4_Age-D39)*(1+Slot4_Rate)^(Slot4_Age-D39),(1+Slot4_Rate)^(Slot4_Age-D39)*(1-((1+AS_Wage)/(1+Slot4_Rate))^(Slot4_Age-D39))/(1-(1+AS_Wage)/(1+Slot4_Rate))),1)</f>
        <v>1</v>
      </c>
      <c r="JD39" s="1" t="n">
        <f aca="false">IF(AND(HT39=1,ID39&gt;0,Slot4_IsWG=1,BA39=1),MAX(0,(Slot4_Cost-BB39*(1+Slot4_Rate)^(Slot4_Age-D39))/JC39),0)</f>
        <v>0</v>
      </c>
      <c r="JE39" s="1" t="n">
        <f aca="false">IF(AND(HT39=1,ID39&gt;0,Slot4_IsWG=1,BA39=1),MIN(ID39,JD39),0)</f>
        <v>0</v>
      </c>
      <c r="JF39" s="1" t="n">
        <f aca="false">BB39+JE39</f>
        <v>0</v>
      </c>
      <c r="JG39" s="1" t="n">
        <f aca="false">IF(BA39=1,MAX(0,(Slot4_Cost-JF39*(1+Slot4_Rate)^(Slot4_Age-D39))/JC39),0)</f>
        <v>0</v>
      </c>
      <c r="JH39" s="1" t="n">
        <f aca="false">IF(BA39=1,MAX(0,(Slot4_Cost-BB39*(1+Slot4_Rate)^(Slot4_Age-D39))/JC39),0)</f>
        <v>0</v>
      </c>
      <c r="JI39" s="1" t="n">
        <f aca="false">IF(AND(HT39=1,BA39=1),MIN(JB39,JG39),0)</f>
        <v>0</v>
      </c>
      <c r="JJ39" s="1" t="n">
        <f aca="false">JB39-JI39</f>
        <v>0</v>
      </c>
      <c r="JK39" s="1" t="n">
        <f aca="false">IF(BK39=1,IF(ABS((1+AS_Wage)/(1+Slot5_Rate)-1)&lt;0.000000000001,(Slot5_Age-D39)*(1+Slot5_Rate)^(Slot5_Age-D39),(1+Slot5_Rate)^(Slot5_Age-D39)*(1-((1+AS_Wage)/(1+Slot5_Rate))^(Slot5_Age-D39))/(1-(1+AS_Wage)/(1+Slot5_Rate))),1)</f>
        <v>1</v>
      </c>
      <c r="JL39" s="1" t="n">
        <f aca="false">IF(AND(HT39=1,ID39&gt;0,Slot5_IsWG=1,BK39=1),MAX(0,(Slot5_Cost-BL39*(1+Slot5_Rate)^(Slot5_Age-D39))/JK39),0)</f>
        <v>0</v>
      </c>
      <c r="JM39" s="1" t="n">
        <f aca="false">IF(AND(HT39=1,ID39&gt;0,Slot5_IsWG=1,BK39=1),MIN(ID39,JL39),0)</f>
        <v>0</v>
      </c>
      <c r="JN39" s="1" t="n">
        <f aca="false">BL39+JM39</f>
        <v>0</v>
      </c>
      <c r="JO39" s="1" t="n">
        <f aca="false">IF(BK39=1,MAX(0,(Slot5_Cost-JN39*(1+Slot5_Rate)^(Slot5_Age-D39))/JK39),0)</f>
        <v>0</v>
      </c>
      <c r="JP39" s="1" t="n">
        <f aca="false">IF(BK39=1,MAX(0,(Slot5_Cost-BL39*(1+Slot5_Rate)^(Slot5_Age-D39))/JK39),0)</f>
        <v>0</v>
      </c>
      <c r="JQ39" s="1" t="n">
        <f aca="false">IF(AND(HT39=1,BK39=1),MIN(JJ39,JO39),0)</f>
        <v>0</v>
      </c>
      <c r="JR39" s="1" t="n">
        <f aca="false">JJ39-JQ39</f>
        <v>0</v>
      </c>
      <c r="JS39" s="1" t="n">
        <f aca="false">IF(BU39=1,IF(ABS((1+AS_Wage)/(1+Slot6_Rate)-1)&lt;0.000000000001,(Slot6_Age-D39)*(1+Slot6_Rate)^(Slot6_Age-D39),(1+Slot6_Rate)^(Slot6_Age-D39)*(1-((1+AS_Wage)/(1+Slot6_Rate))^(Slot6_Age-D39))/(1-(1+AS_Wage)/(1+Slot6_Rate))),1)</f>
        <v>1</v>
      </c>
      <c r="JT39" s="1" t="n">
        <f aca="false">IF(AND(HT39=1,ID39&gt;0,Slot6_IsWG=1,BU39=1),MAX(0,(Slot6_Cost-BV39*(1+Slot6_Rate)^(Slot6_Age-D39))/JS39),0)</f>
        <v>0</v>
      </c>
      <c r="JU39" s="1" t="n">
        <f aca="false">IF(AND(HT39=1,ID39&gt;0,Slot6_IsWG=1,BU39=1),MIN(ID39,JT39),0)</f>
        <v>0</v>
      </c>
      <c r="JV39" s="1" t="n">
        <f aca="false">BV39+JU39</f>
        <v>0</v>
      </c>
      <c r="JW39" s="1" t="n">
        <f aca="false">IF(BU39=1,MAX(0,(Slot6_Cost-JV39*(1+Slot6_Rate)^(Slot6_Age-D39))/JS39),0)</f>
        <v>0</v>
      </c>
      <c r="JX39" s="1" t="n">
        <f aca="false">IF(BU39=1,MAX(0,(Slot6_Cost-BV39*(1+Slot6_Rate)^(Slot6_Age-D39))/JS39),0)</f>
        <v>0</v>
      </c>
      <c r="JY39" s="1" t="n">
        <f aca="false">IF(AND(HT39=1,BU39=1),MIN(JR39,JW39),0)</f>
        <v>0</v>
      </c>
      <c r="JZ39" s="1" t="n">
        <f aca="false">JR39-JY39</f>
        <v>0</v>
      </c>
      <c r="KA39" s="1" t="n">
        <f aca="false">IF(CE39=1,IF(ABS((1+AS_Wage)/(1+Slot7_Rate)-1)&lt;0.000000000001,(Slot7_Age-D39)*(1+Slot7_Rate)^(Slot7_Age-D39),(1+Slot7_Rate)^(Slot7_Age-D39)*(1-((1+AS_Wage)/(1+Slot7_Rate))^(Slot7_Age-D39))/(1-(1+AS_Wage)/(1+Slot7_Rate))),1)</f>
        <v>1</v>
      </c>
      <c r="KB39" s="1" t="n">
        <f aca="false">IF(AND(HT39=1,ID39&gt;0,Slot7_IsWG=1,CE39=1),MAX(0,(Slot7_Cost-CF39*(1+Slot7_Rate)^(Slot7_Age-D39))/KA39),0)</f>
        <v>0</v>
      </c>
      <c r="KC39" s="1" t="n">
        <f aca="false">IF(AND(HT39=1,ID39&gt;0,Slot7_IsWG=1,CE39=1),MIN(ID39,KB39),0)</f>
        <v>0</v>
      </c>
      <c r="KD39" s="1" t="n">
        <f aca="false">CF39+KC39</f>
        <v>0</v>
      </c>
      <c r="KE39" s="1" t="n">
        <f aca="false">IF(CE39=1,MAX(0,(Slot7_Cost-KD39*(1+Slot7_Rate)^(Slot7_Age-D39))/KA39),0)</f>
        <v>0</v>
      </c>
      <c r="KF39" s="1" t="n">
        <f aca="false">IF(CE39=1,MAX(0,(Slot7_Cost-CF39*(1+Slot7_Rate)^(Slot7_Age-D39))/KA39),0)</f>
        <v>0</v>
      </c>
      <c r="KG39" s="1" t="n">
        <f aca="false">IF(AND(HT39=1,CE39=1),MIN(JZ39,KE39),0)</f>
        <v>0</v>
      </c>
      <c r="KH39" s="1" t="n">
        <f aca="false">JZ39-KG39</f>
        <v>0</v>
      </c>
      <c r="KI39" s="1" t="n">
        <f aca="false">IF(CO39=1,IF(ABS((1+AS_Wage)/(1+Slot8_Rate)-1)&lt;0.000000000001,(Slot8_Age-D39)*(1+Slot8_Rate)^(Slot8_Age-D39),(1+Slot8_Rate)^(Slot8_Age-D39)*(1-((1+AS_Wage)/(1+Slot8_Rate))^(Slot8_Age-D39))/(1-(1+AS_Wage)/(1+Slot8_Rate))),1)</f>
        <v>1</v>
      </c>
      <c r="KJ39" s="1" t="n">
        <f aca="false">IF(AND(HT39=1,ID39&gt;0,Slot8_IsWG=1,CO39=1),MAX(0,(Slot8_Cost-CP39*(1+Slot8_Rate)^(Slot8_Age-D39))/KI39),0)</f>
        <v>0</v>
      </c>
      <c r="KK39" s="1" t="n">
        <f aca="false">IF(AND(HT39=1,ID39&gt;0,Slot8_IsWG=1,CO39=1),MIN(ID39,KJ39),0)</f>
        <v>0</v>
      </c>
      <c r="KL39" s="1" t="n">
        <f aca="false">CP39+KK39</f>
        <v>0</v>
      </c>
      <c r="KM39" s="1" t="n">
        <f aca="false">IF(CO39=1,MAX(0,(Slot8_Cost-KL39*(1+Slot8_Rate)^(Slot8_Age-D39))/KI39),0)</f>
        <v>0</v>
      </c>
      <c r="KN39" s="1" t="n">
        <f aca="false">IF(CO39=1,MAX(0,(Slot8_Cost-CP39*(1+Slot8_Rate)^(Slot8_Age-D39))/KI39),0)</f>
        <v>0</v>
      </c>
      <c r="KO39" s="1" t="n">
        <f aca="false">IF(AND(HT39=1,CO39=1),MIN(KH39,KM39),0)</f>
        <v>0</v>
      </c>
      <c r="KP39" s="1" t="n">
        <f aca="false">KH39-KO39</f>
        <v>0</v>
      </c>
      <c r="KQ39" s="1" t="n">
        <f aca="false">IF(CY39=1,IF(ABS((1+AS_Wage)/(1+Slot9_Rate)-1)&lt;0.000000000001,(Slot9_Age-D39)*(1+Slot9_Rate)^(Slot9_Age-D39),(1+Slot9_Rate)^(Slot9_Age-D39)*(1-((1+AS_Wage)/(1+Slot9_Rate))^(Slot9_Age-D39))/(1-(1+AS_Wage)/(1+Slot9_Rate))),1)</f>
        <v>1</v>
      </c>
      <c r="KR39" s="1" t="n">
        <f aca="false">IF(AND(HT39=1,ID39&gt;0,Slot9_IsWG=1,CY39=1),MAX(0,(Slot9_Cost-CZ39*(1+Slot9_Rate)^(Slot9_Age-D39))/KQ39),0)</f>
        <v>0</v>
      </c>
      <c r="KS39" s="1" t="n">
        <f aca="false">IF(AND(HT39=1,ID39&gt;0,Slot9_IsWG=1,CY39=1),MIN(ID39,KR39),0)</f>
        <v>0</v>
      </c>
      <c r="KT39" s="1" t="n">
        <f aca="false">CZ39+KS39</f>
        <v>0</v>
      </c>
      <c r="KU39" s="1" t="n">
        <f aca="false">IF(CY39=1,MAX(0,(Slot9_Cost-KT39*(1+Slot9_Rate)^(Slot9_Age-D39))/KQ39),0)</f>
        <v>0</v>
      </c>
      <c r="KV39" s="1" t="n">
        <f aca="false">IF(CY39=1,MAX(0,(Slot9_Cost-CZ39*(1+Slot9_Rate)^(Slot9_Age-D39))/KQ39),0)</f>
        <v>0</v>
      </c>
      <c r="KW39" s="1" t="n">
        <f aca="false">IF(AND(HT39=1,CY39=1),MIN(KP39,KU39),0)</f>
        <v>0</v>
      </c>
      <c r="KX39" s="1" t="n">
        <f aca="false">KP39-KW39</f>
        <v>0</v>
      </c>
      <c r="KY39" s="1" t="n">
        <f aca="false">IF(DI39=1,IF(ABS((1+AS_Wage)/(1+Slot10_Rate)-1)&lt;0.000000000001,(Slot10_Age-D39)*(1+Slot10_Rate)^(Slot10_Age-D39),(1+Slot10_Rate)^(Slot10_Age-D39)*(1-((1+AS_Wage)/(1+Slot10_Rate))^(Slot10_Age-D39))/(1-(1+AS_Wage)/(1+Slot10_Rate))),1)</f>
        <v>1</v>
      </c>
      <c r="KZ39" s="1" t="n">
        <f aca="false">IF(AND(HT39=1,ID39&gt;0,Slot10_IsWG=1,DI39=1),MAX(0,(Slot10_Cost-DJ39*(1+Slot10_Rate)^(Slot10_Age-D39))/KY39),0)</f>
        <v>0</v>
      </c>
      <c r="LA39" s="1" t="n">
        <f aca="false">IF(AND(HT39=1,ID39&gt;0,Slot10_IsWG=1,DI39=1),MIN(ID39,KZ39),0)</f>
        <v>0</v>
      </c>
      <c r="LB39" s="1" t="n">
        <f aca="false">DJ39+LA39</f>
        <v>0</v>
      </c>
      <c r="LC39" s="1" t="n">
        <f aca="false">IF(DI39=1,MAX(0,(Slot10_Cost-LB39*(1+Slot10_Rate)^(Slot10_Age-D39))/KY39),0)</f>
        <v>0</v>
      </c>
      <c r="LD39" s="1" t="n">
        <f aca="false">IF(DI39=1,MAX(0,(Slot10_Cost-DJ39*(1+Slot10_Rate)^(Slot10_Age-D39))/KY39),0)</f>
        <v>0</v>
      </c>
      <c r="LE39" s="1" t="n">
        <f aca="false">IF(AND(HT39=1,DI39=1),MIN(KX39,LC39),0)</f>
        <v>0</v>
      </c>
      <c r="LF39" s="1" t="n">
        <f aca="false">KX39-LE39</f>
        <v>0</v>
      </c>
      <c r="LG39" s="1" t="n">
        <f aca="false">IF(DS39=1,IF(ABS((1+AS_Wage)/(1+Slot11_Rate)-1)&lt;0.000000000001,(Slot11_Age-D39)*(1+Slot11_Rate)^(Slot11_Age-D39),(1+Slot11_Rate)^(Slot11_Age-D39)*(1-((1+AS_Wage)/(1+Slot11_Rate))^(Slot11_Age-D39))/(1-(1+AS_Wage)/(1+Slot11_Rate))),1)</f>
        <v>1</v>
      </c>
      <c r="LH39" s="1" t="n">
        <f aca="false">IF(AND(HT39=1,ID39&gt;0,Slot11_IsWG=1,DS39=1),MAX(0,(Slot11_Cost-DT39*(1+Slot11_Rate)^(Slot11_Age-D39))/LG39),0)</f>
        <v>0</v>
      </c>
      <c r="LI39" s="1" t="n">
        <f aca="false">IF(AND(HT39=1,ID39&gt;0,Slot11_IsWG=1,DS39=1),MIN(ID39,LH39),0)</f>
        <v>0</v>
      </c>
      <c r="LJ39" s="1" t="n">
        <f aca="false">DT39+LI39</f>
        <v>0</v>
      </c>
      <c r="LK39" s="1" t="n">
        <f aca="false">IF(DS39=1,MAX(0,(Slot11_Cost-LJ39*(1+Slot11_Rate)^(Slot11_Age-D39))/LG39),0)</f>
        <v>0</v>
      </c>
      <c r="LL39" s="1" t="n">
        <f aca="false">IF(DS39=1,MAX(0,(Slot11_Cost-DT39*(1+Slot11_Rate)^(Slot11_Age-D39))/LG39),0)</f>
        <v>0</v>
      </c>
      <c r="LM39" s="1" t="n">
        <f aca="false">IF(AND(HT39=1,DS39=1),MIN(LF39,LK39),0)</f>
        <v>0</v>
      </c>
      <c r="LN39" s="1" t="n">
        <f aca="false">LF39-LM39</f>
        <v>0</v>
      </c>
      <c r="LO39" s="1" t="n">
        <f aca="false">IF(EC39=1,IF(ABS((1+AS_Wage)/(1+Slot12_Rate)-1)&lt;0.000000000001,(Slot12_Age-D39)*(1+Slot12_Rate)^(Slot12_Age-D39),(1+Slot12_Rate)^(Slot12_Age-D39)*(1-((1+AS_Wage)/(1+Slot12_Rate))^(Slot12_Age-D39))/(1-(1+AS_Wage)/(1+Slot12_Rate))),1)</f>
        <v>1</v>
      </c>
      <c r="LP39" s="1" t="n">
        <f aca="false">IF(AND(HT39=1,ID39&gt;0,Slot12_IsWG=1,EC39=1),MAX(0,(Slot12_Cost-ED39*(1+Slot12_Rate)^(Slot12_Age-D39))/LO39),0)</f>
        <v>0</v>
      </c>
      <c r="LQ39" s="1" t="n">
        <f aca="false">IF(AND(HT39=1,ID39&gt;0,Slot12_IsWG=1,EC39=1),MIN(ID39,LP39),0)</f>
        <v>0</v>
      </c>
      <c r="LR39" s="1" t="n">
        <f aca="false">ED39+LQ39</f>
        <v>0</v>
      </c>
      <c r="LS39" s="1" t="n">
        <f aca="false">IF(EC39=1,MAX(0,(Slot12_Cost-LR39*(1+Slot12_Rate)^(Slot12_Age-D39))/LO39),0)</f>
        <v>0</v>
      </c>
      <c r="LT39" s="1" t="n">
        <f aca="false">IF(EC39=1,MAX(0,(Slot12_Cost-ED39*(1+Slot12_Rate)^(Slot12_Age-D39))/LO39),0)</f>
        <v>0</v>
      </c>
      <c r="LU39" s="1" t="n">
        <f aca="false">IF(AND(HT39=1,EC39=1),MIN(LN39,LS39),0)</f>
        <v>0</v>
      </c>
      <c r="LV39" s="1" t="n">
        <f aca="false">LN39-LU39</f>
        <v>0</v>
      </c>
      <c r="LW39" s="1" t="n">
        <f aca="false">IF(EM39=1,IF(ABS((1+AS_Wage)/(1+Slot13_Rate)-1)&lt;0.000000000001,(Slot13_Age-D39)*(1+Slot13_Rate)^(Slot13_Age-D39),(1+Slot13_Rate)^(Slot13_Age-D39)*(1-((1+AS_Wage)/(1+Slot13_Rate))^(Slot13_Age-D39))/(1-(1+AS_Wage)/(1+Slot13_Rate))),1)</f>
        <v>1</v>
      </c>
      <c r="LX39" s="1" t="n">
        <f aca="false">IF(AND(HT39=1,ID39&gt;0,Slot13_IsWG=1,EM39=1),MAX(0,(Slot13_Cost-EN39*(1+Slot13_Rate)^(Slot13_Age-D39))/LW39),0)</f>
        <v>0</v>
      </c>
      <c r="LY39" s="1" t="n">
        <f aca="false">IF(AND(HT39=1,ID39&gt;0,Slot13_IsWG=1,EM39=1),MIN(ID39,LX39),0)</f>
        <v>0</v>
      </c>
      <c r="LZ39" s="1" t="n">
        <f aca="false">EN39+LY39</f>
        <v>0</v>
      </c>
      <c r="MA39" s="1" t="n">
        <f aca="false">IF(EM39=1,MAX(0,(Slot13_Cost-LZ39*(1+Slot13_Rate)^(Slot13_Age-D39))/LW39),0)</f>
        <v>0</v>
      </c>
      <c r="MB39" s="1" t="n">
        <f aca="false">IF(EM39=1,MAX(0,(Slot13_Cost-EN39*(1+Slot13_Rate)^(Slot13_Age-D39))/LW39),0)</f>
        <v>0</v>
      </c>
      <c r="MC39" s="1" t="n">
        <f aca="false">IF(AND(HT39=1,EM39=1),MIN(LV39,MA39),0)</f>
        <v>0</v>
      </c>
      <c r="MD39" s="1" t="n">
        <f aca="false">LV39-MC39</f>
        <v>0</v>
      </c>
      <c r="ME39" s="1" t="n">
        <f aca="false">IF(EW39=1,IF(ABS((1+AS_Wage)/(1+Slot14_Rate)-1)&lt;0.000000000001,(Slot14_Age-D39)*(1+Slot14_Rate)^(Slot14_Age-D39),(1+Slot14_Rate)^(Slot14_Age-D39)*(1-((1+AS_Wage)/(1+Slot14_Rate))^(Slot14_Age-D39))/(1-(1+AS_Wage)/(1+Slot14_Rate))),1)</f>
        <v>1</v>
      </c>
      <c r="MF39" s="1" t="n">
        <f aca="false">IF(AND(HT39=1,ID39&gt;0,Slot14_IsWG=1,EW39=1),MAX(0,(Slot14_Cost-EX39*(1+Slot14_Rate)^(Slot14_Age-D39))/ME39),0)</f>
        <v>0</v>
      </c>
      <c r="MG39" s="1" t="n">
        <f aca="false">IF(AND(HT39=1,ID39&gt;0,Slot14_IsWG=1,EW39=1),MIN(ID39,MF39),0)</f>
        <v>0</v>
      </c>
      <c r="MH39" s="1" t="n">
        <f aca="false">EX39+MG39</f>
        <v>0</v>
      </c>
      <c r="MI39" s="1" t="n">
        <f aca="false">IF(EW39=1,MAX(0,(Slot14_Cost-MH39*(1+Slot14_Rate)^(Slot14_Age-D39))/ME39),0)</f>
        <v>0</v>
      </c>
      <c r="MJ39" s="1" t="n">
        <f aca="false">IF(EW39=1,MAX(0,(Slot14_Cost-EX39*(1+Slot14_Rate)^(Slot14_Age-D39))/ME39),0)</f>
        <v>0</v>
      </c>
      <c r="MK39" s="1" t="n">
        <f aca="false">IF(AND(HT39=1,EW39=1),MIN(MD39,MI39),0)</f>
        <v>0</v>
      </c>
      <c r="ML39" s="1" t="n">
        <f aca="false">MD39-MK39</f>
        <v>0</v>
      </c>
      <c r="MM39" s="1" t="n">
        <f aca="false">IF(FG39=1,IF(ABS((1+AS_Wage)/(1+Slot15_Rate)-1)&lt;0.000000000001,(Slot15_Age-D39)*(1+Slot15_Rate)^(Slot15_Age-D39),(1+Slot15_Rate)^(Slot15_Age-D39)*(1-((1+AS_Wage)/(1+Slot15_Rate))^(Slot15_Age-D39))/(1-(1+AS_Wage)/(1+Slot15_Rate))),1)</f>
        <v>1</v>
      </c>
      <c r="MN39" s="1" t="n">
        <f aca="false">IF(AND(HT39=1,ID39&gt;0,Slot15_IsWG=1,FG39=1),MAX(0,(Slot15_Cost-FH39*(1+Slot15_Rate)^(Slot15_Age-D39))/MM39),0)</f>
        <v>0</v>
      </c>
      <c r="MO39" s="1" t="n">
        <f aca="false">IF(AND(HT39=1,ID39&gt;0,Slot15_IsWG=1,FG39=1),MIN(ID39,MN39),0)</f>
        <v>0</v>
      </c>
      <c r="MP39" s="1" t="n">
        <f aca="false">FH39+MO39</f>
        <v>0</v>
      </c>
      <c r="MQ39" s="1" t="n">
        <f aca="false">IF(FG39=1,MAX(0,(Slot15_Cost-MP39*(1+Slot15_Rate)^(Slot15_Age-D39))/MM39),0)</f>
        <v>0</v>
      </c>
      <c r="MR39" s="1" t="n">
        <f aca="false">IF(FG39=1,MAX(0,(Slot15_Cost-FH39*(1+Slot15_Rate)^(Slot15_Age-D39))/MM39),0)</f>
        <v>0</v>
      </c>
      <c r="MS39" s="1" t="n">
        <f aca="false">IF(AND(HT39=1,FG39=1),MIN(ML39,MQ39),0)</f>
        <v>0</v>
      </c>
      <c r="MT39" s="1" t="n">
        <f aca="false">ML39-MS39</f>
        <v>0</v>
      </c>
      <c r="MU39" s="1" t="n">
        <f aca="false">IF(FQ39=1,IF(ABS((1+AS_Wage)/(1+Slot16_Rate)-1)&lt;0.000000000001,(Slot16_Age-D39)*(1+Slot16_Rate)^(Slot16_Age-D39),(1+Slot16_Rate)^(Slot16_Age-D39)*(1-((1+AS_Wage)/(1+Slot16_Rate))^(Slot16_Age-D39))/(1-(1+AS_Wage)/(1+Slot16_Rate))),1)</f>
        <v>1</v>
      </c>
      <c r="MV39" s="1" t="n">
        <f aca="false">IF(AND(HT39=1,ID39&gt;0,Slot16_IsWG=1,FQ39=1),MAX(0,(Slot16_Cost-FR39*(1+Slot16_Rate)^(Slot16_Age-D39))/MU39),0)</f>
        <v>0</v>
      </c>
      <c r="MW39" s="1" t="n">
        <f aca="false">IF(AND(HT39=1,ID39&gt;0,Slot16_IsWG=1,FQ39=1),MIN(ID39,MV39),0)</f>
        <v>0</v>
      </c>
      <c r="MX39" s="1" t="n">
        <f aca="false">FR39+MW39</f>
        <v>0</v>
      </c>
      <c r="MY39" s="1" t="n">
        <f aca="false">IF(FQ39=1,MAX(0,(Slot16_Cost-MX39*(1+Slot16_Rate)^(Slot16_Age-D39))/MU39),0)</f>
        <v>0</v>
      </c>
      <c r="MZ39" s="1" t="n">
        <f aca="false">IF(FQ39=1,MAX(0,(Slot16_Cost-FR39*(1+Slot16_Rate)^(Slot16_Age-D39))/MU39),0)</f>
        <v>0</v>
      </c>
      <c r="NA39" s="1" t="n">
        <f aca="false">IF(AND(HT39=1,FQ39=1),MIN(MT39,MY39),0)</f>
        <v>0</v>
      </c>
      <c r="NB39" s="1" t="n">
        <f aca="false">MT39-NA39</f>
        <v>0</v>
      </c>
      <c r="NC39" s="1" t="n">
        <f aca="false">IF(GA39=1,IF(ABS((1+AS_Wage)/(1+Slot17_Rate)-1)&lt;0.000000000001,(Slot17_Age-D39)*(1+Slot17_Rate)^(Slot17_Age-D39),(1+Slot17_Rate)^(Slot17_Age-D39)*(1-((1+AS_Wage)/(1+Slot17_Rate))^(Slot17_Age-D39))/(1-(1+AS_Wage)/(1+Slot17_Rate))),1)</f>
        <v>1</v>
      </c>
      <c r="ND39" s="1" t="n">
        <f aca="false">IF(AND(HT39=1,ID39&gt;0,Slot17_IsWG=1,GA39=1),MAX(0,(Slot17_Cost-GB39*(1+Slot17_Rate)^(Slot17_Age-D39))/NC39),0)</f>
        <v>0</v>
      </c>
      <c r="NE39" s="1" t="n">
        <f aca="false">IF(AND(HT39=1,ID39&gt;0,Slot17_IsWG=1,GA39=1),MIN(ID39,ND39),0)</f>
        <v>0</v>
      </c>
      <c r="NF39" s="1" t="n">
        <f aca="false">GB39+NE39</f>
        <v>0</v>
      </c>
      <c r="NG39" s="1" t="n">
        <f aca="false">IF(GA39=1,MAX(0,(Slot17_Cost-NF39*(1+Slot17_Rate)^(Slot17_Age-D39))/NC39),0)</f>
        <v>0</v>
      </c>
      <c r="NH39" s="1" t="n">
        <f aca="false">IF(GA39=1,MAX(0,(Slot17_Cost-GB39*(1+Slot17_Rate)^(Slot17_Age-D39))/NC39),0)</f>
        <v>0</v>
      </c>
      <c r="NI39" s="1" t="n">
        <f aca="false">IF(AND(HT39=1,GA39=1),MIN(NB39,NG39),0)</f>
        <v>0</v>
      </c>
      <c r="NJ39" s="1" t="n">
        <f aca="false">NB39-NI39</f>
        <v>0</v>
      </c>
      <c r="NK39" s="1" t="n">
        <f aca="false">IF(GK39=1,IF(ABS((1+AS_Wage)/(1+Slot18_Rate)-1)&lt;0.000000000001,(Slot18_Age-D39)*(1+Slot18_Rate)^(Slot18_Age-D39),(1+Slot18_Rate)^(Slot18_Age-D39)*(1-((1+AS_Wage)/(1+Slot18_Rate))^(Slot18_Age-D39))/(1-(1+AS_Wage)/(1+Slot18_Rate))),1)</f>
        <v>1</v>
      </c>
      <c r="NL39" s="1" t="n">
        <f aca="false">IF(AND(HT39=1,ID39&gt;0,Slot18_IsWG=1,GK39=1),MAX(0,(Slot18_Cost-GL39*(1+Slot18_Rate)^(Slot18_Age-D39))/NK39),0)</f>
        <v>0</v>
      </c>
      <c r="NM39" s="1" t="n">
        <f aca="false">IF(AND(HT39=1,ID39&gt;0,Slot18_IsWG=1,GK39=1),MIN(ID39,NL39),0)</f>
        <v>0</v>
      </c>
      <c r="NN39" s="1" t="n">
        <f aca="false">GL39+NM39</f>
        <v>0</v>
      </c>
      <c r="NO39" s="1" t="n">
        <f aca="false">IF(GK39=1,MAX(0,(Slot18_Cost-NN39*(1+Slot18_Rate)^(Slot18_Age-D39))/NK39),0)</f>
        <v>0</v>
      </c>
      <c r="NP39" s="1" t="n">
        <f aca="false">IF(GK39=1,MAX(0,(Slot18_Cost-GL39*(1+Slot18_Rate)^(Slot18_Age-D39))/NK39),0)</f>
        <v>0</v>
      </c>
      <c r="NQ39" s="1" t="n">
        <f aca="false">IF(AND(HT39=1,GK39=1),MIN(NJ39,NO39),0)</f>
        <v>0</v>
      </c>
      <c r="NR39" s="1" t="n">
        <f aca="false">NJ39-NQ39</f>
        <v>0</v>
      </c>
      <c r="NS39" s="1" t="n">
        <f aca="false">IF(GU39=1,IF(ABS((1+AS_Wage)/(1+Slot19_Rate)-1)&lt;0.000000000001,(Slot19_Age-D39)*(1+Slot19_Rate)^(Slot19_Age-D39),(1+Slot19_Rate)^(Slot19_Age-D39)*(1-((1+AS_Wage)/(1+Slot19_Rate))^(Slot19_Age-D39))/(1-(1+AS_Wage)/(1+Slot19_Rate))),1)</f>
        <v>1</v>
      </c>
      <c r="NT39" s="1" t="n">
        <f aca="false">IF(AND(HT39=1,ID39&gt;0,Slot19_IsWG=1,GU39=1),MAX(0,(Slot19_Cost-GV39*(1+Slot19_Rate)^(Slot19_Age-D39))/NS39),0)</f>
        <v>0</v>
      </c>
      <c r="NU39" s="1" t="n">
        <f aca="false">IF(AND(HT39=1,ID39&gt;0,Slot19_IsWG=1,GU39=1),MIN(ID39,NT39),0)</f>
        <v>0</v>
      </c>
      <c r="NV39" s="1" t="n">
        <f aca="false">GV39+NU39</f>
        <v>0</v>
      </c>
      <c r="NW39" s="1" t="n">
        <f aca="false">IF(GU39=1,MAX(0,(Slot19_Cost-NV39*(1+Slot19_Rate)^(Slot19_Age-D39))/NS39),0)</f>
        <v>0</v>
      </c>
      <c r="NX39" s="1" t="n">
        <f aca="false">IF(GU39=1,MAX(0,(Slot19_Cost-GV39*(1+Slot19_Rate)^(Slot19_Age-D39))/NS39),0)</f>
        <v>0</v>
      </c>
      <c r="NY39" s="1" t="n">
        <f aca="false">IF(AND(HT39=1,GU39=1),MIN(NR39,NW39),0)</f>
        <v>0</v>
      </c>
      <c r="NZ39" s="1" t="n">
        <f aca="false">NR39-NY39</f>
        <v>0</v>
      </c>
      <c r="OA39" s="1" t="n">
        <f aca="false">IF(HE39=1,IF(ABS((1+AS_Wage)/(1+Slot20_Rate)-1)&lt;0.000000000001,(Slot20_Age-D39)*(1+Slot20_Rate)^(Slot20_Age-D39),(1+Slot20_Rate)^(Slot20_Age-D39)*(1-((1+AS_Wage)/(1+Slot20_Rate))^(Slot20_Age-D39))/(1-(1+AS_Wage)/(1+Slot20_Rate))),1)</f>
        <v>1</v>
      </c>
      <c r="OB39" s="1" t="n">
        <f aca="false">IF(AND(HT39=1,ID39&gt;0,Slot20_IsWG=1,HE39=1),MAX(0,(Slot20_Cost-HF39*(1+Slot20_Rate)^(Slot20_Age-D39))/OA39),0)</f>
        <v>0</v>
      </c>
      <c r="OC39" s="1" t="n">
        <f aca="false">IF(AND(HT39=1,ID39&gt;0,Slot20_IsWG=1,HE39=1),MIN(ID39,OB39),0)</f>
        <v>0</v>
      </c>
      <c r="OD39" s="1" t="n">
        <f aca="false">HF39+OC39</f>
        <v>0</v>
      </c>
      <c r="OE39" s="1" t="n">
        <f aca="false">IF(HE39=1,MAX(0,(Slot20_Cost-OD39*(1+Slot20_Rate)^(Slot20_Age-D39))/OA39),0)</f>
        <v>0</v>
      </c>
      <c r="OF39" s="1" t="n">
        <f aca="false">IF(HE39=1,MAX(0,(Slot20_Cost-HF39*(1+Slot20_Rate)^(Slot20_Age-D39))/OA39),0)</f>
        <v>0</v>
      </c>
      <c r="OG39" s="1" t="n">
        <f aca="false">IF(AND(HT39=1,HE39=1),MIN(NZ39,OE39),0)</f>
        <v>0</v>
      </c>
      <c r="OH39" s="1" t="n">
        <f aca="false">NZ39-OG39</f>
        <v>0</v>
      </c>
      <c r="OI39" s="1" t="n">
        <f aca="false">ID39-(IG39+IO39+IW39+JE39+JM39+JU39+KC39+KK39+KS39+LA39+LI39+LQ39+LY39+MG39+MO39+MW39+NE39+NM39+NU39+OC39)</f>
        <v>0</v>
      </c>
      <c r="OJ39" s="1" t="n">
        <f aca="false">IF(HT39=1,HR39-IC39-ID39,0)</f>
        <v>0</v>
      </c>
      <c r="OK39" s="1" t="n">
        <f aca="false">IF(HT39=0,-HR39,0)</f>
        <v>0</v>
      </c>
      <c r="OL39" s="1" t="n">
        <f aca="false">MIN(OK39,HJ39)</f>
        <v>0</v>
      </c>
      <c r="OM39" s="1" t="n">
        <f aca="false">OK39-OL39</f>
        <v>0</v>
      </c>
      <c r="ON39" s="1" t="n">
        <f aca="false">MIN(OM39,HK39)</f>
        <v>0</v>
      </c>
      <c r="OO39" s="1" t="n">
        <f aca="false">OM39-ON39</f>
        <v>0</v>
      </c>
      <c r="OP39" s="1" t="n">
        <f aca="false">IF(AND(HT39=0,HE39=1,OO39&gt;0),MIN(OO39,HF39),0)</f>
        <v>0</v>
      </c>
      <c r="OQ39" s="1" t="n">
        <f aca="false">OO39-OP39</f>
        <v>0</v>
      </c>
      <c r="OR39" s="1" t="n">
        <f aca="false">IF(AND(HT39=0,GU39=1,OQ39&gt;0),MIN(OQ39,GV39),0)</f>
        <v>0</v>
      </c>
      <c r="OS39" s="1" t="n">
        <f aca="false">OQ39-OR39</f>
        <v>0</v>
      </c>
      <c r="OT39" s="1" t="n">
        <f aca="false">IF(AND(HT39=0,GK39=1,OS39&gt;0),MIN(OS39,GL39),0)</f>
        <v>0</v>
      </c>
      <c r="OU39" s="1" t="n">
        <f aca="false">OS39-OT39</f>
        <v>0</v>
      </c>
      <c r="OV39" s="1" t="n">
        <f aca="false">IF(AND(HT39=0,GA39=1,OU39&gt;0),MIN(OU39,GB39),0)</f>
        <v>0</v>
      </c>
      <c r="OW39" s="1" t="n">
        <f aca="false">OU39-OV39</f>
        <v>0</v>
      </c>
      <c r="OX39" s="1" t="n">
        <f aca="false">IF(AND(HT39=0,FQ39=1,OW39&gt;0),MIN(OW39,FR39),0)</f>
        <v>0</v>
      </c>
      <c r="OY39" s="1" t="n">
        <f aca="false">OW39-OX39</f>
        <v>0</v>
      </c>
      <c r="OZ39" s="1" t="n">
        <f aca="false">IF(AND(HT39=0,FG39=1,OY39&gt;0),MIN(OY39,FH39),0)</f>
        <v>0</v>
      </c>
      <c r="PA39" s="1" t="n">
        <f aca="false">OY39-OZ39</f>
        <v>0</v>
      </c>
      <c r="PB39" s="1" t="n">
        <f aca="false">IF(AND(HT39=0,EW39=1,PA39&gt;0),MIN(PA39,EX39),0)</f>
        <v>0</v>
      </c>
      <c r="PC39" s="1" t="n">
        <f aca="false">PA39-PB39</f>
        <v>0</v>
      </c>
      <c r="PD39" s="1" t="n">
        <f aca="false">IF(AND(HT39=0,EM39=1,PC39&gt;0),MIN(PC39,EN39),0)</f>
        <v>0</v>
      </c>
      <c r="PE39" s="1" t="n">
        <f aca="false">PC39-PD39</f>
        <v>0</v>
      </c>
      <c r="PF39" s="1" t="n">
        <f aca="false">IF(AND(HT39=0,EC39=1,PE39&gt;0),MIN(PE39,ED39),0)</f>
        <v>0</v>
      </c>
      <c r="PG39" s="1" t="n">
        <f aca="false">PE39-PF39</f>
        <v>0</v>
      </c>
      <c r="PH39" s="1" t="n">
        <f aca="false">IF(AND(HT39=0,DS39=1,PG39&gt;0),MIN(PG39,DT39),0)</f>
        <v>0</v>
      </c>
      <c r="PI39" s="1" t="n">
        <f aca="false">PG39-PH39</f>
        <v>0</v>
      </c>
      <c r="PJ39" s="1" t="n">
        <f aca="false">IF(AND(HT39=0,DI39=1,PI39&gt;0),MIN(PI39,DJ39),0)</f>
        <v>0</v>
      </c>
      <c r="PK39" s="1" t="n">
        <f aca="false">PI39-PJ39</f>
        <v>0</v>
      </c>
      <c r="PL39" s="1" t="n">
        <f aca="false">IF(AND(HT39=0,CY39=1,PK39&gt;0),MIN(PK39,CZ39),0)</f>
        <v>0</v>
      </c>
      <c r="PM39" s="1" t="n">
        <f aca="false">PK39-PL39</f>
        <v>0</v>
      </c>
      <c r="PN39" s="1" t="n">
        <f aca="false">IF(AND(HT39=0,CO39=1,PM39&gt;0),MIN(PM39,CP39),0)</f>
        <v>0</v>
      </c>
      <c r="PO39" s="1" t="n">
        <f aca="false">PM39-PN39</f>
        <v>0</v>
      </c>
      <c r="PP39" s="1" t="n">
        <f aca="false">IF(AND(HT39=0,CE39=1,PO39&gt;0),MIN(PO39,CF39),0)</f>
        <v>0</v>
      </c>
      <c r="PQ39" s="1" t="n">
        <f aca="false">PO39-PP39</f>
        <v>0</v>
      </c>
      <c r="PR39" s="1" t="n">
        <f aca="false">IF(AND(HT39=0,BU39=1,PQ39&gt;0),MIN(PQ39,BV39),0)</f>
        <v>0</v>
      </c>
      <c r="PS39" s="1" t="n">
        <f aca="false">PQ39-PR39</f>
        <v>0</v>
      </c>
      <c r="PT39" s="1" t="n">
        <f aca="false">IF(AND(HT39=0,BK39=1,PS39&gt;0),MIN(PS39,BL39),0)</f>
        <v>0</v>
      </c>
      <c r="PU39" s="1" t="n">
        <f aca="false">PS39-PT39</f>
        <v>0</v>
      </c>
      <c r="PV39" s="1" t="n">
        <f aca="false">IF(AND(HT39=0,BA39=1,PU39&gt;0),MIN(PU39,BB39),0)</f>
        <v>0</v>
      </c>
      <c r="PW39" s="1" t="n">
        <f aca="false">PU39-PV39</f>
        <v>0</v>
      </c>
      <c r="PX39" s="1" t="n">
        <f aca="false">IF(AND(HT39=0,AQ39=1,PW39&gt;0),MIN(PW39,AR39),0)</f>
        <v>0</v>
      </c>
      <c r="PY39" s="1" t="n">
        <f aca="false">PW39-PX39</f>
        <v>0</v>
      </c>
      <c r="PZ39" s="1" t="n">
        <f aca="false">IF(AND(HT39=0,AG39=1,PY39&gt;0),MIN(PY39,AH39),0)</f>
        <v>0</v>
      </c>
      <c r="QA39" s="1" t="n">
        <f aca="false">PY39-PZ39</f>
        <v>0</v>
      </c>
      <c r="QB39" s="1" t="n">
        <f aca="false">IF(AND(HT39=0,V39=1,QA39&gt;0),MIN(QA39,W39),0)</f>
        <v>0</v>
      </c>
      <c r="QC39" s="1" t="n">
        <f aca="false">QA39-QB39</f>
        <v>0</v>
      </c>
      <c r="QD39" s="1" t="n">
        <f aca="false">IF(HT39=0,QC39,0)</f>
        <v>0</v>
      </c>
      <c r="QE39" s="1" t="n">
        <f aca="false">OL39+ON39+QB39+PZ39+PX39+PV39+PT39+PR39+PP39+PN39+PL39+PJ39+PH39+PF39+PD39+PB39+OZ39+OX39+OV39+OT39+OR39+OP39</f>
        <v>0</v>
      </c>
      <c r="QF39" s="1" t="n">
        <f aca="false">IF(HT39=1,HJ39+OI39+OH39+IF(F39=1,0,OJ39),HJ39-OL39)</f>
        <v>0</v>
      </c>
      <c r="QG39" s="1" t="n">
        <f aca="false">HK39-ON39</f>
        <v>0</v>
      </c>
      <c r="QH39" s="1" t="n">
        <f aca="false">IF(HT39=1,IF(F39=1,IC39+ID39,HR39),0)</f>
        <v>0</v>
      </c>
      <c r="QI39" s="1" t="n">
        <f aca="false">IF(HT39=1,IF(F39=1,HR39-IC39-ID39,0),0)</f>
        <v>0</v>
      </c>
      <c r="QJ39" s="1" t="n">
        <f aca="false">QF39*(1+GR)</f>
        <v>0</v>
      </c>
      <c r="QK39" s="1" t="n">
        <f aca="false">QG39*(1+AS_Cash)</f>
        <v>0</v>
      </c>
      <c r="QL39" s="1" t="n">
        <f aca="false">IF(V39=1,IF(HT39=1,IH39+IK39,W39-QB39)*(1+Slot1_Rate),0)</f>
        <v>0</v>
      </c>
      <c r="QM39" s="1" t="n">
        <f aca="false">IF(AND(HT39=1,V39=1),(IG39+IK39)/E39,0)</f>
        <v>0</v>
      </c>
      <c r="QN39" s="1" t="n">
        <f aca="false">IF(B39=0,IG39+IK39,0)</f>
        <v>0</v>
      </c>
      <c r="QO39" s="1" t="n">
        <f aca="false">IF(B39=0,IF(HT39=1,II39,IJ39),0)</f>
        <v>0</v>
      </c>
      <c r="QP39" s="1" t="n">
        <f aca="false">IF(AG39=1,IF(HT39=1,IP39+IS39,AH39-PZ39)*(1+Slot2_Rate),0)</f>
        <v>0</v>
      </c>
      <c r="QQ39" s="1" t="n">
        <f aca="false">IF(AND(HT39=1,AG39=1),(IO39+IS39)/E39,0)</f>
        <v>0</v>
      </c>
      <c r="QR39" s="1" t="n">
        <f aca="false">IF(B39=0,IO39+IS39,0)</f>
        <v>0</v>
      </c>
      <c r="QS39" s="1" t="n">
        <f aca="false">IF(B39=0,IF(HT39=1,IQ39,IR39),0)</f>
        <v>0</v>
      </c>
      <c r="QT39" s="1" t="n">
        <f aca="false">IF(AQ39=1,IF(HT39=1,IX39+JA39,AR39-PX39)*(1+Slot3_Rate),0)</f>
        <v>0</v>
      </c>
      <c r="QU39" s="1" t="n">
        <f aca="false">IF(AND(HT39=1,AQ39=1),(IW39+JA39)/E39,0)</f>
        <v>0</v>
      </c>
      <c r="QV39" s="1" t="n">
        <f aca="false">IF(B39=0,IW39+JA39,0)</f>
        <v>0</v>
      </c>
      <c r="QW39" s="1" t="n">
        <f aca="false">IF(B39=0,IF(HT39=1,IY39,IZ39),0)</f>
        <v>0</v>
      </c>
      <c r="QX39" s="1" t="n">
        <f aca="false">IF(BA39=1,IF(HT39=1,JF39+JI39,BB39-PV39)*(1+Slot4_Rate),0)</f>
        <v>0</v>
      </c>
      <c r="QY39" s="1" t="n">
        <f aca="false">IF(AND(HT39=1,BA39=1),(JE39+JI39)/E39,0)</f>
        <v>0</v>
      </c>
      <c r="QZ39" s="1" t="n">
        <f aca="false">IF(B39=0,JE39+JI39,0)</f>
        <v>0</v>
      </c>
      <c r="RA39" s="1" t="n">
        <f aca="false">IF(B39=0,IF(HT39=1,JG39,JH39),0)</f>
        <v>0</v>
      </c>
      <c r="RB39" s="1" t="n">
        <f aca="false">IF(BK39=1,IF(HT39=1,JN39+JQ39,BL39-PT39)*(1+Slot5_Rate),0)</f>
        <v>0</v>
      </c>
      <c r="RC39" s="1" t="n">
        <f aca="false">IF(AND(HT39=1,BK39=1),(JM39+JQ39)/E39,0)</f>
        <v>0</v>
      </c>
      <c r="RD39" s="1" t="n">
        <f aca="false">IF(B39=0,JM39+JQ39,0)</f>
        <v>0</v>
      </c>
      <c r="RE39" s="1" t="n">
        <f aca="false">IF(B39=0,IF(HT39=1,JO39,JP39),0)</f>
        <v>0</v>
      </c>
      <c r="RF39" s="1" t="n">
        <f aca="false">IF(BU39=1,IF(HT39=1,JV39+JY39,BV39-PR39)*(1+Slot6_Rate),0)</f>
        <v>0</v>
      </c>
      <c r="RG39" s="1" t="n">
        <f aca="false">IF(AND(HT39=1,BU39=1),(JU39+JY39)/E39,0)</f>
        <v>0</v>
      </c>
      <c r="RH39" s="1" t="n">
        <f aca="false">IF(B39=0,JU39+JY39,0)</f>
        <v>0</v>
      </c>
      <c r="RI39" s="1" t="n">
        <f aca="false">IF(B39=0,IF(HT39=1,JW39,JX39),0)</f>
        <v>0</v>
      </c>
      <c r="RJ39" s="1" t="n">
        <f aca="false">IF(CE39=1,IF(HT39=1,KD39+KG39,CF39-PP39)*(1+Slot7_Rate),0)</f>
        <v>0</v>
      </c>
      <c r="RK39" s="1" t="n">
        <f aca="false">IF(AND(HT39=1,CE39=1),(KC39+KG39)/E39,0)</f>
        <v>0</v>
      </c>
      <c r="RL39" s="1" t="n">
        <f aca="false">IF(B39=0,KC39+KG39,0)</f>
        <v>0</v>
      </c>
      <c r="RM39" s="1" t="n">
        <f aca="false">IF(B39=0,IF(HT39=1,KE39,KF39),0)</f>
        <v>0</v>
      </c>
      <c r="RN39" s="1" t="n">
        <f aca="false">IF(CO39=1,IF(HT39=1,KL39+KO39,CP39-PN39)*(1+Slot8_Rate),0)</f>
        <v>0</v>
      </c>
      <c r="RO39" s="1" t="n">
        <f aca="false">IF(AND(HT39=1,CO39=1),(KK39+KO39)/E39,0)</f>
        <v>0</v>
      </c>
      <c r="RP39" s="1" t="n">
        <f aca="false">IF(B39=0,KK39+KO39,0)</f>
        <v>0</v>
      </c>
      <c r="RQ39" s="1" t="n">
        <f aca="false">IF(B39=0,IF(HT39=1,KM39,KN39),0)</f>
        <v>0</v>
      </c>
      <c r="RR39" s="1" t="n">
        <f aca="false">IF(CY39=1,IF(HT39=1,KT39+KW39,CZ39-PL39)*(1+Slot9_Rate),0)</f>
        <v>0</v>
      </c>
      <c r="RS39" s="1" t="n">
        <f aca="false">IF(AND(HT39=1,CY39=1),(KS39+KW39)/E39,0)</f>
        <v>0</v>
      </c>
      <c r="RT39" s="1" t="n">
        <f aca="false">IF(B39=0,KS39+KW39,0)</f>
        <v>0</v>
      </c>
      <c r="RU39" s="1" t="n">
        <f aca="false">IF(B39=0,IF(HT39=1,KU39,KV39),0)</f>
        <v>0</v>
      </c>
      <c r="RV39" s="1" t="n">
        <f aca="false">IF(DI39=1,IF(HT39=1,LB39+LE39,DJ39-PJ39)*(1+Slot10_Rate),0)</f>
        <v>0</v>
      </c>
      <c r="RW39" s="1" t="n">
        <f aca="false">IF(AND(HT39=1,DI39=1),(LA39+LE39)/E39,0)</f>
        <v>0</v>
      </c>
      <c r="RX39" s="1" t="n">
        <f aca="false">IF(B39=0,LA39+LE39,0)</f>
        <v>0</v>
      </c>
      <c r="RY39" s="1" t="n">
        <f aca="false">IF(B39=0,IF(HT39=1,LC39,LD39),0)</f>
        <v>0</v>
      </c>
      <c r="RZ39" s="1" t="n">
        <f aca="false">IF(DS39=1,IF(HT39=1,LJ39+LM39,DT39-PH39)*(1+Slot11_Rate),0)</f>
        <v>0</v>
      </c>
      <c r="SA39" s="1" t="n">
        <f aca="false">IF(AND(HT39=1,DS39=1),(LI39+LM39)/E39,0)</f>
        <v>0</v>
      </c>
      <c r="SB39" s="1" t="n">
        <f aca="false">IF(B39=0,LI39+LM39,0)</f>
        <v>0</v>
      </c>
      <c r="SC39" s="1" t="n">
        <f aca="false">IF(B39=0,IF(HT39=1,LK39,LL39),0)</f>
        <v>0</v>
      </c>
      <c r="SD39" s="1" t="n">
        <f aca="false">IF(EC39=1,IF(HT39=1,LR39+LU39,ED39-PF39)*(1+Slot12_Rate),0)</f>
        <v>0</v>
      </c>
      <c r="SE39" s="1" t="n">
        <f aca="false">IF(AND(HT39=1,EC39=1),(LQ39+LU39)/E39,0)</f>
        <v>0</v>
      </c>
      <c r="SF39" s="1" t="n">
        <f aca="false">IF(B39=0,LQ39+LU39,0)</f>
        <v>0</v>
      </c>
      <c r="SG39" s="1" t="n">
        <f aca="false">IF(B39=0,IF(HT39=1,LS39,LT39),0)</f>
        <v>0</v>
      </c>
      <c r="SH39" s="1" t="n">
        <f aca="false">IF(EM39=1,IF(HT39=1,LZ39+MC39,EN39-PD39)*(1+Slot13_Rate),0)</f>
        <v>0</v>
      </c>
      <c r="SI39" s="1" t="n">
        <f aca="false">IF(AND(HT39=1,EM39=1),(LY39+MC39)/E39,0)</f>
        <v>0</v>
      </c>
      <c r="SJ39" s="1" t="n">
        <f aca="false">IF(B39=0,LY39+MC39,0)</f>
        <v>0</v>
      </c>
      <c r="SK39" s="1" t="n">
        <f aca="false">IF(B39=0,IF(HT39=1,MA39,MB39),0)</f>
        <v>0</v>
      </c>
      <c r="SL39" s="1" t="n">
        <f aca="false">IF(EW39=1,IF(HT39=1,MH39+MK39,EX39-PB39)*(1+Slot14_Rate),0)</f>
        <v>0</v>
      </c>
      <c r="SM39" s="1" t="n">
        <f aca="false">IF(AND(HT39=1,EW39=1),(MG39+MK39)/E39,0)</f>
        <v>0</v>
      </c>
      <c r="SN39" s="1" t="n">
        <f aca="false">IF(B39=0,MG39+MK39,0)</f>
        <v>0</v>
      </c>
      <c r="SO39" s="1" t="n">
        <f aca="false">IF(B39=0,IF(HT39=1,MI39,MJ39),0)</f>
        <v>0</v>
      </c>
      <c r="SP39" s="1" t="n">
        <f aca="false">IF(FG39=1,IF(HT39=1,MP39+MS39,FH39-OZ39)*(1+Slot15_Rate),0)</f>
        <v>0</v>
      </c>
      <c r="SQ39" s="1" t="n">
        <f aca="false">IF(AND(HT39=1,FG39=1),(MO39+MS39)/E39,0)</f>
        <v>0</v>
      </c>
      <c r="SR39" s="1" t="n">
        <f aca="false">IF(B39=0,MO39+MS39,0)</f>
        <v>0</v>
      </c>
      <c r="SS39" s="1" t="n">
        <f aca="false">IF(B39=0,IF(HT39=1,MQ39,MR39),0)</f>
        <v>0</v>
      </c>
      <c r="ST39" s="1" t="n">
        <f aca="false">IF(FQ39=1,IF(HT39=1,MX39+NA39,FR39-OX39)*(1+Slot16_Rate),0)</f>
        <v>0</v>
      </c>
      <c r="SU39" s="1" t="n">
        <f aca="false">IF(AND(HT39=1,FQ39=1),(MW39+NA39)/E39,0)</f>
        <v>0</v>
      </c>
      <c r="SV39" s="1" t="n">
        <f aca="false">IF(B39=0,MW39+NA39,0)</f>
        <v>0</v>
      </c>
      <c r="SW39" s="1" t="n">
        <f aca="false">IF(B39=0,IF(HT39=1,MY39,MZ39),0)</f>
        <v>0</v>
      </c>
      <c r="SX39" s="1" t="n">
        <f aca="false">IF(GA39=1,IF(HT39=1,NF39+NI39,GB39-OV39)*(1+Slot17_Rate),0)</f>
        <v>0</v>
      </c>
      <c r="SY39" s="1" t="n">
        <f aca="false">IF(AND(HT39=1,GA39=1),(NE39+NI39)/E39,0)</f>
        <v>0</v>
      </c>
      <c r="SZ39" s="1" t="n">
        <f aca="false">IF(B39=0,NE39+NI39,0)</f>
        <v>0</v>
      </c>
      <c r="TA39" s="1" t="n">
        <f aca="false">IF(B39=0,IF(HT39=1,NG39,NH39),0)</f>
        <v>0</v>
      </c>
      <c r="TB39" s="1" t="n">
        <f aca="false">IF(GK39=1,IF(HT39=1,NN39+NQ39,GL39-OT39)*(1+Slot18_Rate),0)</f>
        <v>0</v>
      </c>
      <c r="TC39" s="1" t="n">
        <f aca="false">IF(AND(HT39=1,GK39=1),(NM39+NQ39)/E39,0)</f>
        <v>0</v>
      </c>
      <c r="TD39" s="1" t="n">
        <f aca="false">IF(B39=0,NM39+NQ39,0)</f>
        <v>0</v>
      </c>
      <c r="TE39" s="1" t="n">
        <f aca="false">IF(B39=0,IF(HT39=1,NO39,NP39),0)</f>
        <v>0</v>
      </c>
      <c r="TF39" s="1" t="n">
        <f aca="false">IF(GU39=1,IF(HT39=1,NV39+NY39,GV39-OR39)*(1+Slot19_Rate),0)</f>
        <v>0</v>
      </c>
      <c r="TG39" s="1" t="n">
        <f aca="false">IF(AND(HT39=1,GU39=1),(NU39+NY39)/E39,0)</f>
        <v>0</v>
      </c>
      <c r="TH39" s="1" t="n">
        <f aca="false">IF(B39=0,NU39+NY39,0)</f>
        <v>0</v>
      </c>
      <c r="TI39" s="1" t="n">
        <f aca="false">IF(B39=0,IF(HT39=1,NW39,NX39),0)</f>
        <v>0</v>
      </c>
      <c r="TJ39" s="1" t="n">
        <f aca="false">IF(HE39=1,IF(HT39=1,OD39+OG39,HF39-OP39)*(1+Slot20_Rate),0)</f>
        <v>0</v>
      </c>
      <c r="TK39" s="1" t="n">
        <f aca="false">IF(AND(HT39=1,HE39=1),(OC39+OG39)/E39,0)</f>
        <v>0</v>
      </c>
      <c r="TL39" s="1" t="n">
        <f aca="false">IF(B39=0,OC39+OG39,0)</f>
        <v>0</v>
      </c>
      <c r="TM39" s="1" t="n">
        <f aca="false">IF(B39=0,IF(HT39=1,OE39,OF39),0)</f>
        <v>0</v>
      </c>
      <c r="TN39" s="1" t="n">
        <f aca="false">QJ39+QK39+QL39+QP39+QT39+QX39+RB39+RF39+RJ39+RN39+RR39+RV39+RZ39+SD39+SH39+SL39+SP39+ST39+SX39+TB39+TF39+TJ39</f>
        <v>0</v>
      </c>
      <c r="TO39" s="1" t="n">
        <f aca="false">QD39+HO39</f>
        <v>0</v>
      </c>
      <c r="TP39" s="1" t="n">
        <f aca="false">H39+R39</f>
        <v>0</v>
      </c>
      <c r="TQ39" s="1" t="n">
        <f aca="false">1-F39</f>
        <v>0</v>
      </c>
      <c r="TR39" s="1" t="n">
        <f aca="false">IF(AND(RG_Exists=1,F39=0,C39=1),H39,0)</f>
        <v>0</v>
      </c>
      <c r="TS39" s="1" t="n">
        <f aca="false">IF(AND(RG_Exists=1,F39=0,C39=1),H39-MIN(QD39,H39),0)</f>
        <v>0</v>
      </c>
      <c r="TT39" s="1" t="n">
        <f aca="false">'Plan pay &amp; tax'!AD265</f>
        <v>0</v>
      </c>
      <c r="TU39" s="1" t="n">
        <f aca="false">IF(AND(C39=1,QD39&gt;MAX(PR_Short1,TP39*PR_Short2)),1,0)</f>
        <v>0</v>
      </c>
      <c r="TV39" s="1" t="n">
        <f aca="false">MIN(G39,H39+R39)</f>
        <v>0</v>
      </c>
      <c r="TW39" s="1" t="n">
        <f aca="false">QE39+MAX(0,HP39-HO39)</f>
        <v>0</v>
      </c>
      <c r="TX39" s="1" t="n">
        <f aca="false">QD39+HO39</f>
        <v>0</v>
      </c>
      <c r="TY39" s="1" t="n">
        <f aca="false">IF(AND(C39=1,TX39&gt;PR_MinShort),1,0)</f>
        <v>0</v>
      </c>
      <c r="TZ39" s="1" t="n">
        <f aca="false">IF(AND(C39=1,TY39=0,TW39&gt;PR_MinShort),1,0)</f>
        <v>0</v>
      </c>
      <c r="UA39" s="1" t="n">
        <f aca="false">IF(AND(C39=1,QD39&gt;PR_MinShort),1,0)</f>
        <v>0</v>
      </c>
      <c r="UB39" s="1" t="n">
        <f aca="false">IF(AND(C39=1,QE39&gt;1,UI39=0),1,0)</f>
        <v>0</v>
      </c>
      <c r="UC39" s="1" t="str">
        <f aca="false">IF(C39=0,"",IF(UI39=1,"Gap to plan for: short "&amp;"€"&amp;TEXT(ROUND(TO39,0),"#,##0"),IF(QE39&gt;1,"Using savings","Comfortable")))</f>
        <v>Comfortable</v>
      </c>
      <c r="UD39" s="1" t="n">
        <f aca="false">IF(AND(INT(D39/10)*10=90,B39&gt;0),80,INT(D39/10)*10)</f>
        <v>30</v>
      </c>
      <c r="UE39" s="1" t="n">
        <f aca="false">IF(B39=0,1,IF(UD39&lt;&gt;UD38,UE38+1,UE38))</f>
        <v>4</v>
      </c>
      <c r="UF39" s="1" t="n">
        <f aca="false">IF(AND(C39=1,F39=1,QD39&gt;MAX(PR_Short1,TP39*PR_Short2)),1,0)</f>
        <v>0</v>
      </c>
      <c r="UG39" s="1" t="n">
        <f aca="false">TQ39*TU39</f>
        <v>0</v>
      </c>
      <c r="UH39" s="1" t="n">
        <f aca="false">IF(AND(U39=1,Slot1_PctLow=1),1,0)+IF(AND(AF39=1,Slot2_PctLow=1),1,0)+IF(AND(AP39=1,Slot3_PctLow=1),1,0)+IF(AND(AZ39=1,Slot4_PctLow=1),1,0)+IF(AND(BJ39=1,Slot5_PctLow=1),1,0)+IF(AND(BT39=1,Slot6_PctLow=1),1,0)+IF(AND(CD39=1,Slot7_PctLow=1),1,0)+IF(AND(CN39=1,Slot8_PctLow=1),1,0)+IF(AND(CX39=1,Slot9_PctLow=1),1,0)+IF(AND(DH39=1,Slot10_PctLow=1),1,0)+IF(AND(DR39=1,Slot11_PctLow=1),1,0)+IF(AND(EB39=1,Slot12_PctLow=1),1,0)+IF(AND(EL39=1,Slot13_PctLow=1),1,0)+IF(AND(EV39=1,Slot14_PctLow=1),1,0)+IF(AND(FF39=1,Slot15_PctLow=1),1,0)+IF(AND(FP39=1,Slot16_PctLow=1),1,0)+IF(AND(FZ39=1,Slot17_PctLow=1),1,0)+IF(AND(GJ39=1,Slot18_PctLow=1),1,0)+IF(AND(GT39=1,Slot19_PctLow=1),1,0)+IF(AND(HD39=1,Slot20_PctLow=1),1,0)</f>
        <v>0</v>
      </c>
      <c r="UI39" s="1" t="n">
        <f aca="false">IF(C39=1,IF(OR(TU39=1,UH39&gt;0),1,0),0)</f>
        <v>0</v>
      </c>
    </row>
    <row r="40" customFormat="false" ht="15" hidden="false" customHeight="true" outlineLevel="0" collapsed="false">
      <c r="B40" s="1" t="n">
        <v>32</v>
      </c>
      <c r="C40" s="1" t="n">
        <f aca="false">IF(B40&lt;=F_N,1,0)</f>
        <v>1</v>
      </c>
      <c r="D40" s="1" t="n">
        <f aca="false">'Plan pay &amp; tax'!C266</f>
        <v>32</v>
      </c>
      <c r="E40" s="111" t="n">
        <f aca="false">'Plan pay &amp; tax'!E266</f>
        <v>1.88454059210113</v>
      </c>
      <c r="F40" s="1" t="n">
        <f aca="false">'Plan pay &amp; tax'!G266</f>
        <v>1</v>
      </c>
      <c r="G40" s="1" t="n">
        <f aca="false">'Plan pay &amp; tax'!BT266-'Plan pay &amp; tax'!BS266-'Plan pay &amp; tax'!R266</f>
        <v>0</v>
      </c>
      <c r="H40" s="1" t="n">
        <f aca="false">IF(F40=1,F_CostsM*12,IF(RG_Exists=1,RG_Amount,F_CostsM*12*AS_RetireSpend))*E40+F_OneOffY*E40</f>
        <v>0</v>
      </c>
      <c r="I40" s="1" t="n">
        <f aca="false">HQ39</f>
        <v>0</v>
      </c>
      <c r="J40" s="1" t="n">
        <f aca="false">IF(I40&gt;1,'Plan debt months'!AC40,0)</f>
        <v>0</v>
      </c>
      <c r="K40" s="1" t="n">
        <f aca="false">IF(I40&gt;1,'Plan debt months'!AB40,I40)</f>
        <v>0</v>
      </c>
      <c r="L40" s="1" t="n">
        <f aca="false">N39</f>
        <v>0</v>
      </c>
      <c r="M40" s="1" t="n">
        <f aca="false">IF(L40&gt;1,'Plan debt months'!BD40,0)</f>
        <v>0</v>
      </c>
      <c r="N40" s="1" t="n">
        <f aca="false">IF(L40&gt;1,'Plan debt months'!BC40,L40)</f>
        <v>0</v>
      </c>
      <c r="O40" s="1" t="n">
        <f aca="false">Q39</f>
        <v>0</v>
      </c>
      <c r="P40" s="1" t="n">
        <f aca="false">IF(O40&gt;1,'Plan debt months'!CE40,0)</f>
        <v>0</v>
      </c>
      <c r="Q40" s="1" t="n">
        <f aca="false">IF(O40&gt;1,'Plan debt months'!CD40,O40)</f>
        <v>0</v>
      </c>
      <c r="R40" s="1" t="n">
        <f aca="false">J40+M40+P40</f>
        <v>0</v>
      </c>
      <c r="S40" s="1" t="n">
        <f aca="false">QJ39+'Plan pay &amp; tax'!Y266</f>
        <v>0</v>
      </c>
      <c r="T40" s="1" t="n">
        <f aca="false">QJ39</f>
        <v>0</v>
      </c>
      <c r="U40" s="1" t="n">
        <f aca="false">IF(AND(Slot1_On=1,D40=Slot1_Age),1,0)</f>
        <v>0</v>
      </c>
      <c r="V40" s="1" t="n">
        <f aca="false">IF(AND(Slot1_On=1,Slot1_Age&gt;D40),1,0)</f>
        <v>0</v>
      </c>
      <c r="W40" s="1" t="n">
        <f aca="false">QL39</f>
        <v>0</v>
      </c>
      <c r="X40" s="1" t="n">
        <f aca="false">U40*MIN(Slot1_Cost,W40)</f>
        <v>0</v>
      </c>
      <c r="Y40" s="1" t="n">
        <f aca="false">U40*Slot1_SpendLike*MIN(Slot1_Cost-X40,S40)</f>
        <v>0</v>
      </c>
      <c r="Z40" s="1" t="n">
        <f aca="false">X40+Y40</f>
        <v>0</v>
      </c>
      <c r="AA40" s="1" t="n">
        <f aca="false">S40-Y40+U40*IF(Slot1_SpendLike=1,W40-X40,IF(Slot1_PotFree=1,W40,0))</f>
        <v>0</v>
      </c>
      <c r="AB40" s="1" t="n">
        <f aca="false">AE40+U40*Slot1_BufPot*W40</f>
        <v>0</v>
      </c>
      <c r="AC40" s="1" t="n">
        <f aca="false">IF(AND(U40=1,Slot1_IsMfree=1),IF(Z40&gt;=Slot1_Cost-1,0,MAX(0,K40-Z40)),K40)</f>
        <v>0</v>
      </c>
      <c r="AD40" s="1" t="n">
        <f aca="false">U40*(Slot1_Cost-Z40)</f>
        <v>0</v>
      </c>
      <c r="AE40" s="1" t="n">
        <f aca="false">QK39</f>
        <v>0</v>
      </c>
      <c r="AF40" s="1" t="n">
        <f aca="false">IF(AND(Slot2_On=1,D40=Slot2_Age),1,0)</f>
        <v>0</v>
      </c>
      <c r="AG40" s="1" t="n">
        <f aca="false">IF(AND(Slot2_On=1,Slot2_Age&gt;D40),1,0)</f>
        <v>0</v>
      </c>
      <c r="AH40" s="1" t="n">
        <f aca="false">QP39</f>
        <v>0</v>
      </c>
      <c r="AI40" s="1" t="n">
        <f aca="false">AF40*MIN(Slot2_Cost,AH40)</f>
        <v>0</v>
      </c>
      <c r="AJ40" s="1" t="n">
        <f aca="false">AF40*Slot2_SpendLike*MIN(Slot2_Cost-AI40,AA40)</f>
        <v>0</v>
      </c>
      <c r="AK40" s="1" t="n">
        <f aca="false">AI40+AJ40</f>
        <v>0</v>
      </c>
      <c r="AL40" s="1" t="n">
        <f aca="false">AA40-AJ40+AF40*IF(Slot2_SpendLike=1,AH40-AI40,IF(Slot2_PotFree=1,AH40,0))</f>
        <v>0</v>
      </c>
      <c r="AM40" s="1" t="n">
        <f aca="false">AB40+AF40*Slot2_BufPot*AH40</f>
        <v>0</v>
      </c>
      <c r="AN40" s="1" t="n">
        <f aca="false">IF(AND(AF40=1,Slot2_IsMfree=1),IF(AK40&gt;=Slot2_Cost-1,0,MAX(0,AC40-AK40)),AC40)</f>
        <v>0</v>
      </c>
      <c r="AO40" s="1" t="n">
        <f aca="false">AF40*(Slot2_Cost-AK40)</f>
        <v>0</v>
      </c>
      <c r="AP40" s="1" t="n">
        <f aca="false">IF(AND(Slot3_On=1,D40=Slot3_Age),1,0)</f>
        <v>0</v>
      </c>
      <c r="AQ40" s="1" t="n">
        <f aca="false">IF(AND(Slot3_On=1,Slot3_Age&gt;D40),1,0)</f>
        <v>0</v>
      </c>
      <c r="AR40" s="1" t="n">
        <f aca="false">QT39</f>
        <v>0</v>
      </c>
      <c r="AS40" s="1" t="n">
        <f aca="false">AP40*MIN(Slot3_Cost,AR40)</f>
        <v>0</v>
      </c>
      <c r="AT40" s="1" t="n">
        <f aca="false">AP40*Slot3_SpendLike*MIN(Slot3_Cost-AS40,AL40)</f>
        <v>0</v>
      </c>
      <c r="AU40" s="1" t="n">
        <f aca="false">AS40+AT40</f>
        <v>0</v>
      </c>
      <c r="AV40" s="1" t="n">
        <f aca="false">AL40-AT40+AP40*IF(Slot3_SpendLike=1,AR40-AS40,IF(Slot3_PotFree=1,AR40,0))</f>
        <v>0</v>
      </c>
      <c r="AW40" s="1" t="n">
        <f aca="false">AM40+AP40*Slot3_BufPot*AR40</f>
        <v>0</v>
      </c>
      <c r="AX40" s="1" t="n">
        <f aca="false">IF(AND(AP40=1,Slot3_IsMfree=1),IF(AU40&gt;=Slot3_Cost-1,0,MAX(0,AN40-AU40)),AN40)</f>
        <v>0</v>
      </c>
      <c r="AY40" s="1" t="n">
        <f aca="false">AP40*(Slot3_Cost-AU40)</f>
        <v>0</v>
      </c>
      <c r="AZ40" s="1" t="n">
        <f aca="false">IF(AND(Slot4_On=1,D40=Slot4_Age),1,0)</f>
        <v>0</v>
      </c>
      <c r="BA40" s="1" t="n">
        <f aca="false">IF(AND(Slot4_On=1,Slot4_Age&gt;D40),1,0)</f>
        <v>0</v>
      </c>
      <c r="BB40" s="1" t="n">
        <f aca="false">QX39</f>
        <v>0</v>
      </c>
      <c r="BC40" s="1" t="n">
        <f aca="false">AZ40*MIN(Slot4_Cost,BB40)</f>
        <v>0</v>
      </c>
      <c r="BD40" s="1" t="n">
        <f aca="false">AZ40*Slot4_SpendLike*MIN(Slot4_Cost-BC40,AV40)</f>
        <v>0</v>
      </c>
      <c r="BE40" s="1" t="n">
        <f aca="false">BC40+BD40</f>
        <v>0</v>
      </c>
      <c r="BF40" s="1" t="n">
        <f aca="false">AV40-BD40+AZ40*IF(Slot4_SpendLike=1,BB40-BC40,IF(Slot4_PotFree=1,BB40,0))</f>
        <v>0</v>
      </c>
      <c r="BG40" s="1" t="n">
        <f aca="false">AW40+AZ40*Slot4_BufPot*BB40</f>
        <v>0</v>
      </c>
      <c r="BH40" s="1" t="n">
        <f aca="false">IF(AND(AZ40=1,Slot4_IsMfree=1),IF(BE40&gt;=Slot4_Cost-1,0,MAX(0,AX40-BE40)),AX40)</f>
        <v>0</v>
      </c>
      <c r="BI40" s="1" t="n">
        <f aca="false">AZ40*(Slot4_Cost-BE40)</f>
        <v>0</v>
      </c>
      <c r="BJ40" s="1" t="n">
        <f aca="false">IF(AND(Slot5_On=1,D40=Slot5_Age),1,0)</f>
        <v>0</v>
      </c>
      <c r="BK40" s="1" t="n">
        <f aca="false">IF(AND(Slot5_On=1,Slot5_Age&gt;D40),1,0)</f>
        <v>0</v>
      </c>
      <c r="BL40" s="1" t="n">
        <f aca="false">RB39</f>
        <v>0</v>
      </c>
      <c r="BM40" s="1" t="n">
        <f aca="false">BJ40*MIN(Slot5_Cost,BL40)</f>
        <v>0</v>
      </c>
      <c r="BN40" s="1" t="n">
        <f aca="false">BJ40*Slot5_SpendLike*MIN(Slot5_Cost-BM40,BF40)</f>
        <v>0</v>
      </c>
      <c r="BO40" s="1" t="n">
        <f aca="false">BM40+BN40</f>
        <v>0</v>
      </c>
      <c r="BP40" s="1" t="n">
        <f aca="false">BF40-BN40+BJ40*IF(Slot5_SpendLike=1,BL40-BM40,IF(Slot5_PotFree=1,BL40,0))</f>
        <v>0</v>
      </c>
      <c r="BQ40" s="1" t="n">
        <f aca="false">BG40+BJ40*Slot5_BufPot*BL40</f>
        <v>0</v>
      </c>
      <c r="BR40" s="1" t="n">
        <f aca="false">IF(AND(BJ40=1,Slot5_IsMfree=1),IF(BO40&gt;=Slot5_Cost-1,0,MAX(0,BH40-BO40)),BH40)</f>
        <v>0</v>
      </c>
      <c r="BS40" s="1" t="n">
        <f aca="false">BJ40*(Slot5_Cost-BO40)</f>
        <v>0</v>
      </c>
      <c r="BT40" s="1" t="n">
        <f aca="false">IF(AND(Slot6_On=1,D40=Slot6_Age),1,0)</f>
        <v>0</v>
      </c>
      <c r="BU40" s="1" t="n">
        <f aca="false">IF(AND(Slot6_On=1,Slot6_Age&gt;D40),1,0)</f>
        <v>0</v>
      </c>
      <c r="BV40" s="1" t="n">
        <f aca="false">RF39</f>
        <v>0</v>
      </c>
      <c r="BW40" s="1" t="n">
        <f aca="false">BT40*MIN(Slot6_Cost,BV40)</f>
        <v>0</v>
      </c>
      <c r="BX40" s="1" t="n">
        <f aca="false">BT40*Slot6_SpendLike*MIN(Slot6_Cost-BW40,BP40)</f>
        <v>0</v>
      </c>
      <c r="BY40" s="1" t="n">
        <f aca="false">BW40+BX40</f>
        <v>0</v>
      </c>
      <c r="BZ40" s="1" t="n">
        <f aca="false">BP40-BX40+BT40*IF(Slot6_SpendLike=1,BV40-BW40,IF(Slot6_PotFree=1,BV40,0))</f>
        <v>0</v>
      </c>
      <c r="CA40" s="1" t="n">
        <f aca="false">BQ40+BT40*Slot6_BufPot*BV40</f>
        <v>0</v>
      </c>
      <c r="CB40" s="1" t="n">
        <f aca="false">IF(AND(BT40=1,Slot6_IsMfree=1),IF(BY40&gt;=Slot6_Cost-1,0,MAX(0,BR40-BY40)),BR40)</f>
        <v>0</v>
      </c>
      <c r="CC40" s="1" t="n">
        <f aca="false">BT40*(Slot6_Cost-BY40)</f>
        <v>0</v>
      </c>
      <c r="CD40" s="1" t="n">
        <f aca="false">IF(AND(Slot7_On=1,D40=Slot7_Age),1,0)</f>
        <v>0</v>
      </c>
      <c r="CE40" s="1" t="n">
        <f aca="false">IF(AND(Slot7_On=1,Slot7_Age&gt;D40),1,0)</f>
        <v>0</v>
      </c>
      <c r="CF40" s="1" t="n">
        <f aca="false">RJ39</f>
        <v>0</v>
      </c>
      <c r="CG40" s="1" t="n">
        <f aca="false">CD40*MIN(Slot7_Cost,CF40)</f>
        <v>0</v>
      </c>
      <c r="CH40" s="1" t="n">
        <f aca="false">CD40*Slot7_SpendLike*MIN(Slot7_Cost-CG40,BZ40)</f>
        <v>0</v>
      </c>
      <c r="CI40" s="1" t="n">
        <f aca="false">CG40+CH40</f>
        <v>0</v>
      </c>
      <c r="CJ40" s="1" t="n">
        <f aca="false">BZ40-CH40+CD40*IF(Slot7_SpendLike=1,CF40-CG40,IF(Slot7_PotFree=1,CF40,0))</f>
        <v>0</v>
      </c>
      <c r="CK40" s="1" t="n">
        <f aca="false">CA40+CD40*Slot7_BufPot*CF40</f>
        <v>0</v>
      </c>
      <c r="CL40" s="1" t="n">
        <f aca="false">IF(AND(CD40=1,Slot7_IsMfree=1),IF(CI40&gt;=Slot7_Cost-1,0,MAX(0,CB40-CI40)),CB40)</f>
        <v>0</v>
      </c>
      <c r="CM40" s="1" t="n">
        <f aca="false">CD40*(Slot7_Cost-CI40)</f>
        <v>0</v>
      </c>
      <c r="CN40" s="1" t="n">
        <f aca="false">IF(AND(Slot8_On=1,D40=Slot8_Age),1,0)</f>
        <v>0</v>
      </c>
      <c r="CO40" s="1" t="n">
        <f aca="false">IF(AND(Slot8_On=1,Slot8_Age&gt;D40),1,0)</f>
        <v>0</v>
      </c>
      <c r="CP40" s="1" t="n">
        <f aca="false">RN39</f>
        <v>0</v>
      </c>
      <c r="CQ40" s="1" t="n">
        <f aca="false">CN40*MIN(Slot8_Cost,CP40)</f>
        <v>0</v>
      </c>
      <c r="CR40" s="1" t="n">
        <f aca="false">CN40*Slot8_SpendLike*MIN(Slot8_Cost-CQ40,CJ40)</f>
        <v>0</v>
      </c>
      <c r="CS40" s="1" t="n">
        <f aca="false">CQ40+CR40</f>
        <v>0</v>
      </c>
      <c r="CT40" s="1" t="n">
        <f aca="false">CJ40-CR40+CN40*IF(Slot8_SpendLike=1,CP40-CQ40,IF(Slot8_PotFree=1,CP40,0))</f>
        <v>0</v>
      </c>
      <c r="CU40" s="1" t="n">
        <f aca="false">CK40+CN40*Slot8_BufPot*CP40</f>
        <v>0</v>
      </c>
      <c r="CV40" s="1" t="n">
        <f aca="false">IF(AND(CN40=1,Slot8_IsMfree=1),IF(CS40&gt;=Slot8_Cost-1,0,MAX(0,CL40-CS40)),CL40)</f>
        <v>0</v>
      </c>
      <c r="CW40" s="1" t="n">
        <f aca="false">CN40*(Slot8_Cost-CS40)</f>
        <v>0</v>
      </c>
      <c r="CX40" s="1" t="n">
        <f aca="false">IF(AND(Slot9_On=1,D40=Slot9_Age),1,0)</f>
        <v>0</v>
      </c>
      <c r="CY40" s="1" t="n">
        <f aca="false">IF(AND(Slot9_On=1,Slot9_Age&gt;D40),1,0)</f>
        <v>0</v>
      </c>
      <c r="CZ40" s="1" t="n">
        <f aca="false">RR39</f>
        <v>0</v>
      </c>
      <c r="DA40" s="1" t="n">
        <f aca="false">CX40*MIN(Slot9_Cost,CZ40)</f>
        <v>0</v>
      </c>
      <c r="DB40" s="1" t="n">
        <f aca="false">CX40*Slot9_SpendLike*MIN(Slot9_Cost-DA40,CT40)</f>
        <v>0</v>
      </c>
      <c r="DC40" s="1" t="n">
        <f aca="false">DA40+DB40</f>
        <v>0</v>
      </c>
      <c r="DD40" s="1" t="n">
        <f aca="false">CT40-DB40+CX40*IF(Slot9_SpendLike=1,CZ40-DA40,IF(Slot9_PotFree=1,CZ40,0))</f>
        <v>0</v>
      </c>
      <c r="DE40" s="1" t="n">
        <f aca="false">CU40+CX40*Slot9_BufPot*CZ40</f>
        <v>0</v>
      </c>
      <c r="DF40" s="1" t="n">
        <f aca="false">IF(AND(CX40=1,Slot9_IsMfree=1),IF(DC40&gt;=Slot9_Cost-1,0,MAX(0,CV40-DC40)),CV40)</f>
        <v>0</v>
      </c>
      <c r="DG40" s="1" t="n">
        <f aca="false">CX40*(Slot9_Cost-DC40)</f>
        <v>0</v>
      </c>
      <c r="DH40" s="1" t="n">
        <f aca="false">IF(AND(Slot10_On=1,D40=Slot10_Age),1,0)</f>
        <v>0</v>
      </c>
      <c r="DI40" s="1" t="n">
        <f aca="false">IF(AND(Slot10_On=1,Slot10_Age&gt;D40),1,0)</f>
        <v>0</v>
      </c>
      <c r="DJ40" s="1" t="n">
        <f aca="false">RV39</f>
        <v>0</v>
      </c>
      <c r="DK40" s="1" t="n">
        <f aca="false">DH40*MIN(Slot10_Cost,DJ40)</f>
        <v>0</v>
      </c>
      <c r="DL40" s="1" t="n">
        <f aca="false">DH40*Slot10_SpendLike*MIN(Slot10_Cost-DK40,DD40)</f>
        <v>0</v>
      </c>
      <c r="DM40" s="1" t="n">
        <f aca="false">DK40+DL40</f>
        <v>0</v>
      </c>
      <c r="DN40" s="1" t="n">
        <f aca="false">DD40-DL40+DH40*IF(Slot10_SpendLike=1,DJ40-DK40,IF(Slot10_PotFree=1,DJ40,0))</f>
        <v>0</v>
      </c>
      <c r="DO40" s="1" t="n">
        <f aca="false">DE40+DH40*Slot10_BufPot*DJ40</f>
        <v>0</v>
      </c>
      <c r="DP40" s="1" t="n">
        <f aca="false">IF(AND(DH40=1,Slot10_IsMfree=1),IF(DM40&gt;=Slot10_Cost-1,0,MAX(0,DF40-DM40)),DF40)</f>
        <v>0</v>
      </c>
      <c r="DQ40" s="1" t="n">
        <f aca="false">DH40*(Slot10_Cost-DM40)</f>
        <v>0</v>
      </c>
      <c r="DR40" s="1" t="n">
        <f aca="false">IF(AND(Slot11_On=1,D40=Slot11_Age),1,0)</f>
        <v>0</v>
      </c>
      <c r="DS40" s="1" t="n">
        <f aca="false">IF(AND(Slot11_On=1,Slot11_Age&gt;D40),1,0)</f>
        <v>0</v>
      </c>
      <c r="DT40" s="1" t="n">
        <f aca="false">RZ39</f>
        <v>0</v>
      </c>
      <c r="DU40" s="1" t="n">
        <f aca="false">DR40*MIN(Slot11_Cost,DT40)</f>
        <v>0</v>
      </c>
      <c r="DV40" s="1" t="n">
        <f aca="false">DR40*Slot11_SpendLike*MIN(Slot11_Cost-DU40,DN40)</f>
        <v>0</v>
      </c>
      <c r="DW40" s="1" t="n">
        <f aca="false">DU40+DV40</f>
        <v>0</v>
      </c>
      <c r="DX40" s="1" t="n">
        <f aca="false">DN40-DV40+DR40*IF(Slot11_SpendLike=1,DT40-DU40,IF(Slot11_PotFree=1,DT40,0))</f>
        <v>0</v>
      </c>
      <c r="DY40" s="1" t="n">
        <f aca="false">DO40+DR40*Slot11_BufPot*DT40</f>
        <v>0</v>
      </c>
      <c r="DZ40" s="1" t="n">
        <f aca="false">IF(AND(DR40=1,Slot11_IsMfree=1),IF(DW40&gt;=Slot11_Cost-1,0,MAX(0,DP40-DW40)),DP40)</f>
        <v>0</v>
      </c>
      <c r="EA40" s="1" t="n">
        <f aca="false">DR40*(Slot11_Cost-DW40)</f>
        <v>0</v>
      </c>
      <c r="EB40" s="1" t="n">
        <f aca="false">IF(AND(Slot12_On=1,D40=Slot12_Age),1,0)</f>
        <v>0</v>
      </c>
      <c r="EC40" s="1" t="n">
        <f aca="false">IF(AND(Slot12_On=1,Slot12_Age&gt;D40),1,0)</f>
        <v>0</v>
      </c>
      <c r="ED40" s="1" t="n">
        <f aca="false">SD39</f>
        <v>0</v>
      </c>
      <c r="EE40" s="1" t="n">
        <f aca="false">EB40*MIN(Slot12_Cost,ED40)</f>
        <v>0</v>
      </c>
      <c r="EF40" s="1" t="n">
        <f aca="false">EB40*Slot12_SpendLike*MIN(Slot12_Cost-EE40,DX40)</f>
        <v>0</v>
      </c>
      <c r="EG40" s="1" t="n">
        <f aca="false">EE40+EF40</f>
        <v>0</v>
      </c>
      <c r="EH40" s="1" t="n">
        <f aca="false">DX40-EF40+EB40*IF(Slot12_SpendLike=1,ED40-EE40,IF(Slot12_PotFree=1,ED40,0))</f>
        <v>0</v>
      </c>
      <c r="EI40" s="1" t="n">
        <f aca="false">DY40+EB40*Slot12_BufPot*ED40</f>
        <v>0</v>
      </c>
      <c r="EJ40" s="1" t="n">
        <f aca="false">IF(AND(EB40=1,Slot12_IsMfree=1),IF(EG40&gt;=Slot12_Cost-1,0,MAX(0,DZ40-EG40)),DZ40)</f>
        <v>0</v>
      </c>
      <c r="EK40" s="1" t="n">
        <f aca="false">EB40*(Slot12_Cost-EG40)</f>
        <v>0</v>
      </c>
      <c r="EL40" s="1" t="n">
        <f aca="false">IF(AND(Slot13_On=1,D40=Slot13_Age),1,0)</f>
        <v>0</v>
      </c>
      <c r="EM40" s="1" t="n">
        <f aca="false">IF(AND(Slot13_On=1,Slot13_Age&gt;D40),1,0)</f>
        <v>0</v>
      </c>
      <c r="EN40" s="1" t="n">
        <f aca="false">SH39</f>
        <v>0</v>
      </c>
      <c r="EO40" s="1" t="n">
        <f aca="false">EL40*MIN(Slot13_Cost,EN40)</f>
        <v>0</v>
      </c>
      <c r="EP40" s="1" t="n">
        <f aca="false">EL40*Slot13_SpendLike*MIN(Slot13_Cost-EO40,EH40)</f>
        <v>0</v>
      </c>
      <c r="EQ40" s="1" t="n">
        <f aca="false">EO40+EP40</f>
        <v>0</v>
      </c>
      <c r="ER40" s="1" t="n">
        <f aca="false">EH40-EP40+EL40*IF(Slot13_SpendLike=1,EN40-EO40,IF(Slot13_PotFree=1,EN40,0))</f>
        <v>0</v>
      </c>
      <c r="ES40" s="1" t="n">
        <f aca="false">EI40+EL40*Slot13_BufPot*EN40</f>
        <v>0</v>
      </c>
      <c r="ET40" s="1" t="n">
        <f aca="false">IF(AND(EL40=1,Slot13_IsMfree=1),IF(EQ40&gt;=Slot13_Cost-1,0,MAX(0,EJ40-EQ40)),EJ40)</f>
        <v>0</v>
      </c>
      <c r="EU40" s="1" t="n">
        <f aca="false">EL40*(Slot13_Cost-EQ40)</f>
        <v>0</v>
      </c>
      <c r="EV40" s="1" t="n">
        <f aca="false">IF(AND(Slot14_On=1,D40=Slot14_Age),1,0)</f>
        <v>0</v>
      </c>
      <c r="EW40" s="1" t="n">
        <f aca="false">IF(AND(Slot14_On=1,Slot14_Age&gt;D40),1,0)</f>
        <v>0</v>
      </c>
      <c r="EX40" s="1" t="n">
        <f aca="false">SL39</f>
        <v>0</v>
      </c>
      <c r="EY40" s="1" t="n">
        <f aca="false">EV40*MIN(Slot14_Cost,EX40)</f>
        <v>0</v>
      </c>
      <c r="EZ40" s="1" t="n">
        <f aca="false">EV40*Slot14_SpendLike*MIN(Slot14_Cost-EY40,ER40)</f>
        <v>0</v>
      </c>
      <c r="FA40" s="1" t="n">
        <f aca="false">EY40+EZ40</f>
        <v>0</v>
      </c>
      <c r="FB40" s="1" t="n">
        <f aca="false">ER40-EZ40+EV40*IF(Slot14_SpendLike=1,EX40-EY40,IF(Slot14_PotFree=1,EX40,0))</f>
        <v>0</v>
      </c>
      <c r="FC40" s="1" t="n">
        <f aca="false">ES40+EV40*Slot14_BufPot*EX40</f>
        <v>0</v>
      </c>
      <c r="FD40" s="1" t="n">
        <f aca="false">IF(AND(EV40=1,Slot14_IsMfree=1),IF(FA40&gt;=Slot14_Cost-1,0,MAX(0,ET40-FA40)),ET40)</f>
        <v>0</v>
      </c>
      <c r="FE40" s="1" t="n">
        <f aca="false">EV40*(Slot14_Cost-FA40)</f>
        <v>0</v>
      </c>
      <c r="FF40" s="1" t="n">
        <f aca="false">IF(AND(Slot15_On=1,D40=Slot15_Age),1,0)</f>
        <v>0</v>
      </c>
      <c r="FG40" s="1" t="n">
        <f aca="false">IF(AND(Slot15_On=1,Slot15_Age&gt;D40),1,0)</f>
        <v>0</v>
      </c>
      <c r="FH40" s="1" t="n">
        <f aca="false">SP39</f>
        <v>0</v>
      </c>
      <c r="FI40" s="1" t="n">
        <f aca="false">FF40*MIN(Slot15_Cost,FH40)</f>
        <v>0</v>
      </c>
      <c r="FJ40" s="1" t="n">
        <f aca="false">FF40*Slot15_SpendLike*MIN(Slot15_Cost-FI40,FB40)</f>
        <v>0</v>
      </c>
      <c r="FK40" s="1" t="n">
        <f aca="false">FI40+FJ40</f>
        <v>0</v>
      </c>
      <c r="FL40" s="1" t="n">
        <f aca="false">FB40-FJ40+FF40*IF(Slot15_SpendLike=1,FH40-FI40,IF(Slot15_PotFree=1,FH40,0))</f>
        <v>0</v>
      </c>
      <c r="FM40" s="1" t="n">
        <f aca="false">FC40+FF40*Slot15_BufPot*FH40</f>
        <v>0</v>
      </c>
      <c r="FN40" s="1" t="n">
        <f aca="false">IF(AND(FF40=1,Slot15_IsMfree=1),IF(FK40&gt;=Slot15_Cost-1,0,MAX(0,FD40-FK40)),FD40)</f>
        <v>0</v>
      </c>
      <c r="FO40" s="1" t="n">
        <f aca="false">FF40*(Slot15_Cost-FK40)</f>
        <v>0</v>
      </c>
      <c r="FP40" s="1" t="n">
        <f aca="false">IF(AND(Slot16_On=1,D40=Slot16_Age),1,0)</f>
        <v>0</v>
      </c>
      <c r="FQ40" s="1" t="n">
        <f aca="false">IF(AND(Slot16_On=1,Slot16_Age&gt;D40),1,0)</f>
        <v>0</v>
      </c>
      <c r="FR40" s="1" t="n">
        <f aca="false">ST39</f>
        <v>0</v>
      </c>
      <c r="FS40" s="1" t="n">
        <f aca="false">FP40*MIN(Slot16_Cost,FR40)</f>
        <v>0</v>
      </c>
      <c r="FT40" s="1" t="n">
        <f aca="false">FP40*Slot16_SpendLike*MIN(Slot16_Cost-FS40,FL40)</f>
        <v>0</v>
      </c>
      <c r="FU40" s="1" t="n">
        <f aca="false">FS40+FT40</f>
        <v>0</v>
      </c>
      <c r="FV40" s="1" t="n">
        <f aca="false">FL40-FT40+FP40*IF(Slot16_SpendLike=1,FR40-FS40,IF(Slot16_PotFree=1,FR40,0))</f>
        <v>0</v>
      </c>
      <c r="FW40" s="1" t="n">
        <f aca="false">FM40+FP40*Slot16_BufPot*FR40</f>
        <v>0</v>
      </c>
      <c r="FX40" s="1" t="n">
        <f aca="false">IF(AND(FP40=1,Slot16_IsMfree=1),IF(FU40&gt;=Slot16_Cost-1,0,MAX(0,FN40-FU40)),FN40)</f>
        <v>0</v>
      </c>
      <c r="FY40" s="1" t="n">
        <f aca="false">FP40*(Slot16_Cost-FU40)</f>
        <v>0</v>
      </c>
      <c r="FZ40" s="1" t="n">
        <f aca="false">IF(AND(Slot17_On=1,D40=Slot17_Age),1,0)</f>
        <v>0</v>
      </c>
      <c r="GA40" s="1" t="n">
        <f aca="false">IF(AND(Slot17_On=1,Slot17_Age&gt;D40),1,0)</f>
        <v>0</v>
      </c>
      <c r="GB40" s="1" t="n">
        <f aca="false">SX39</f>
        <v>0</v>
      </c>
      <c r="GC40" s="1" t="n">
        <f aca="false">FZ40*MIN(Slot17_Cost,GB40)</f>
        <v>0</v>
      </c>
      <c r="GD40" s="1" t="n">
        <f aca="false">FZ40*Slot17_SpendLike*MIN(Slot17_Cost-GC40,FV40)</f>
        <v>0</v>
      </c>
      <c r="GE40" s="1" t="n">
        <f aca="false">GC40+GD40</f>
        <v>0</v>
      </c>
      <c r="GF40" s="1" t="n">
        <f aca="false">FV40-GD40+FZ40*IF(Slot17_SpendLike=1,GB40-GC40,IF(Slot17_PotFree=1,GB40,0))</f>
        <v>0</v>
      </c>
      <c r="GG40" s="1" t="n">
        <f aca="false">FW40+FZ40*Slot17_BufPot*GB40</f>
        <v>0</v>
      </c>
      <c r="GH40" s="1" t="n">
        <f aca="false">IF(AND(FZ40=1,Slot17_IsMfree=1),IF(GE40&gt;=Slot17_Cost-1,0,MAX(0,FX40-GE40)),FX40)</f>
        <v>0</v>
      </c>
      <c r="GI40" s="1" t="n">
        <f aca="false">FZ40*(Slot17_Cost-GE40)</f>
        <v>0</v>
      </c>
      <c r="GJ40" s="1" t="n">
        <f aca="false">IF(AND(Slot18_On=1,D40=Slot18_Age),1,0)</f>
        <v>0</v>
      </c>
      <c r="GK40" s="1" t="n">
        <f aca="false">IF(AND(Slot18_On=1,Slot18_Age&gt;D40),1,0)</f>
        <v>0</v>
      </c>
      <c r="GL40" s="1" t="n">
        <f aca="false">TB39</f>
        <v>0</v>
      </c>
      <c r="GM40" s="1" t="n">
        <f aca="false">GJ40*MIN(Slot18_Cost,GL40)</f>
        <v>0</v>
      </c>
      <c r="GN40" s="1" t="n">
        <f aca="false">GJ40*Slot18_SpendLike*MIN(Slot18_Cost-GM40,GF40)</f>
        <v>0</v>
      </c>
      <c r="GO40" s="1" t="n">
        <f aca="false">GM40+GN40</f>
        <v>0</v>
      </c>
      <c r="GP40" s="1" t="n">
        <f aca="false">GF40-GN40+GJ40*IF(Slot18_SpendLike=1,GL40-GM40,IF(Slot18_PotFree=1,GL40,0))</f>
        <v>0</v>
      </c>
      <c r="GQ40" s="1" t="n">
        <f aca="false">GG40+GJ40*Slot18_BufPot*GL40</f>
        <v>0</v>
      </c>
      <c r="GR40" s="1" t="n">
        <f aca="false">IF(AND(GJ40=1,Slot18_IsMfree=1),IF(GO40&gt;=Slot18_Cost-1,0,MAX(0,GH40-GO40)),GH40)</f>
        <v>0</v>
      </c>
      <c r="GS40" s="1" t="n">
        <f aca="false">GJ40*(Slot18_Cost-GO40)</f>
        <v>0</v>
      </c>
      <c r="GT40" s="1" t="n">
        <f aca="false">IF(AND(Slot19_On=1,D40=Slot19_Age),1,0)</f>
        <v>0</v>
      </c>
      <c r="GU40" s="1" t="n">
        <f aca="false">IF(AND(Slot19_On=1,Slot19_Age&gt;D40),1,0)</f>
        <v>0</v>
      </c>
      <c r="GV40" s="1" t="n">
        <f aca="false">TF39</f>
        <v>0</v>
      </c>
      <c r="GW40" s="1" t="n">
        <f aca="false">GT40*MIN(Slot19_Cost,GV40)</f>
        <v>0</v>
      </c>
      <c r="GX40" s="1" t="n">
        <f aca="false">GT40*Slot19_SpendLike*MIN(Slot19_Cost-GW40,GP40)</f>
        <v>0</v>
      </c>
      <c r="GY40" s="1" t="n">
        <f aca="false">GW40+GX40</f>
        <v>0</v>
      </c>
      <c r="GZ40" s="1" t="n">
        <f aca="false">GP40-GX40+GT40*IF(Slot19_SpendLike=1,GV40-GW40,IF(Slot19_PotFree=1,GV40,0))</f>
        <v>0</v>
      </c>
      <c r="HA40" s="1" t="n">
        <f aca="false">GQ40+GT40*Slot19_BufPot*GV40</f>
        <v>0</v>
      </c>
      <c r="HB40" s="1" t="n">
        <f aca="false">IF(AND(GT40=1,Slot19_IsMfree=1),IF(GY40&gt;=Slot19_Cost-1,0,MAX(0,GR40-GY40)),GR40)</f>
        <v>0</v>
      </c>
      <c r="HC40" s="1" t="n">
        <f aca="false">GT40*(Slot19_Cost-GY40)</f>
        <v>0</v>
      </c>
      <c r="HD40" s="1" t="n">
        <f aca="false">IF(AND(Slot20_On=1,D40=Slot20_Age),1,0)</f>
        <v>0</v>
      </c>
      <c r="HE40" s="1" t="n">
        <f aca="false">IF(AND(Slot20_On=1,Slot20_Age&gt;D40),1,0)</f>
        <v>0</v>
      </c>
      <c r="HF40" s="1" t="n">
        <f aca="false">TJ39</f>
        <v>0</v>
      </c>
      <c r="HG40" s="1" t="n">
        <f aca="false">HD40*MIN(Slot20_Cost,HF40)</f>
        <v>0</v>
      </c>
      <c r="HH40" s="1" t="n">
        <f aca="false">HD40*Slot20_SpendLike*MIN(Slot20_Cost-HG40,GZ40)</f>
        <v>0</v>
      </c>
      <c r="HI40" s="1" t="n">
        <f aca="false">HG40+HH40</f>
        <v>0</v>
      </c>
      <c r="HJ40" s="1" t="n">
        <f aca="false">GZ40-HH40+HD40*IF(Slot20_SpendLike=1,HF40-HG40,IF(Slot20_PotFree=1,HF40,0))</f>
        <v>0</v>
      </c>
      <c r="HK40" s="1" t="n">
        <f aca="false">HA40+HD40*Slot20_BufPot*HF40</f>
        <v>0</v>
      </c>
      <c r="HL40" s="1" t="n">
        <f aca="false">IF(AND(HD40=1,Slot20_IsMfree=1),IF(HI40&gt;=Slot20_Cost-1,0,MAX(0,HB40-HI40)),HB40)</f>
        <v>0</v>
      </c>
      <c r="HM40" s="1" t="n">
        <f aca="false">HD40*(Slot20_Cost-HI40)</f>
        <v>0</v>
      </c>
      <c r="HN40" s="1" t="n">
        <f aca="false">U40*Slot1_SpendLike*Z40+AF40*Slot2_SpendLike*AK40+AP40*Slot3_SpendLike*AU40+AZ40*Slot4_SpendLike*BE40+BJ40*Slot5_SpendLike*BO40+BT40*Slot6_SpendLike*BY40+CD40*Slot7_SpendLike*CI40+CN40*Slot8_SpendLike*CS40+CX40*Slot9_SpendLike*DC40+DH40*Slot10_SpendLike*DM40+DR40*Slot11_SpendLike*DW40+EB40*Slot12_SpendLike*EG40+EL40*Slot13_SpendLike*EQ40+EV40*Slot14_SpendLike*FA40+FF40*Slot15_SpendLike*FK40+FP40*Slot16_SpendLike*FU40+FZ40*Slot17_SpendLike*GE40+GJ40*Slot18_SpendLike*GO40+GT40*Slot19_SpendLike*GY40+HD40*Slot20_SpendLike*HI40</f>
        <v>0</v>
      </c>
      <c r="HO40" s="1" t="n">
        <f aca="false">AD40+AO40+AY40+BI40+BS40+CC40+CM40+CW40+DG40+DQ40+EA40+EK40+EU40+FE40+FO40+FY40+GI40+GS40+HC40+HM40</f>
        <v>0</v>
      </c>
      <c r="HP40" s="1" t="n">
        <f aca="false">U40*Slot1_Cost+AF40*Slot2_Cost+AP40*Slot3_Cost+AZ40*Slot4_Cost+BJ40*Slot5_Cost+BT40*Slot6_Cost+CD40*Slot7_Cost+CN40*Slot8_Cost+CX40*Slot9_Cost+DH40*Slot10_Cost+DR40*Slot11_Cost+EB40*Slot12_Cost+EL40*Slot13_Cost+EV40*Slot14_Cost+FF40*Slot15_Cost+FP40*Slot16_Cost+FZ40*Slot17_Cost+GJ40*Slot18_Cost+GT40*Slot19_Cost+HD40*Slot20_Cost</f>
        <v>0</v>
      </c>
      <c r="HQ40" s="1" t="n">
        <f aca="false">HL40</f>
        <v>0</v>
      </c>
      <c r="HR40" s="1" t="n">
        <f aca="false">G40-H40-R40</f>
        <v>0</v>
      </c>
      <c r="HS40" s="1" t="n">
        <f aca="false">IF(B40=0,IF(AND(Has_q6=1,In_q6=4),PR_ShareVaries*(MAX(0,HR40)/12),MIN(IF(Has_q6=1,CHOOSE(In_q6+1,PR_SaveB1,PR_SaveB2,PR_SaveB3,PR_SaveB4,0),AS_NoAnswer),AS_SaveShare*(MAX(0,HR40)/12))),HS39)</f>
        <v>0</v>
      </c>
      <c r="HT40" s="1" t="n">
        <f aca="false">IF(HR40&gt;=0,1,0)</f>
        <v>1</v>
      </c>
      <c r="HU40" s="1" t="n">
        <f aca="false">MAX(0,HR40/12/E40)</f>
        <v>0</v>
      </c>
      <c r="HV40" s="1" t="n">
        <f aca="false">IF(AND(Has_q6=1,In_q6=4),PR_ShareVaries*(HU40),MIN(IF(Has_q6=1,CHOOSE(In_q6+1,PR_SaveB1,PR_SaveB2,PR_SaveB3,PR_SaveB4,0),AS_NoAnswer),AS_SaveShare*(HU40)))</f>
        <v>0</v>
      </c>
      <c r="HW40" s="1" t="n">
        <f aca="false">IF(Has_saveM=1,IF(In_saveUp="Yes",1,IF(In_saveUp="No",0,IF(In_saveM&gt;=HS40-0.5,1,0))),0)</f>
        <v>0</v>
      </c>
      <c r="HX40" s="1" t="n">
        <f aca="false">IF(Has_saveM=1,MIN(HU40,IF(HW40=1,MAX(In_saveM,HV40),MIN(In_saveM,HV40))),HV40)</f>
        <v>0</v>
      </c>
      <c r="HY40" s="1" t="n">
        <f aca="false">IF(F40=1,HX40*12*E40,0)</f>
        <v>0</v>
      </c>
      <c r="HZ40" s="1" t="n">
        <f aca="false">MAX(0,HY40+IF(AND(WI_Retire=0,WI_M&lt;0,F40=1),WI_M*12*E40,0))</f>
        <v>0</v>
      </c>
      <c r="IA40" s="1" t="n">
        <f aca="false">Slot1_IsWG*V40+Slot2_IsWG*AG40+Slot3_IsWG*AQ40+Slot4_IsWG*BA40+Slot5_IsWG*BK40+Slot6_IsWG*BU40+Slot7_IsWG*CE40+Slot8_IsWG*CO40+Slot9_IsWG*CY40+Slot10_IsWG*DI40+Slot11_IsWG*DS40+Slot12_IsWG*EC40+Slot13_IsWG*EM40+Slot14_IsWG*EW40+Slot15_IsWG*FG40+Slot16_IsWG*FQ40+Slot17_IsWG*GA40+Slot18_IsWG*GK40+Slot19_IsWG*GU40+Slot20_IsWG*HE40</f>
        <v>0</v>
      </c>
      <c r="IB40" s="1" t="n">
        <f aca="false">IF(AND(WI_Retire=0,WI_M&gt;0,F40=1,IA40&gt;=1),WI_M*12*E40,0)</f>
        <v>0</v>
      </c>
      <c r="IC40" s="1" t="n">
        <f aca="false">IF(HT40=1,MIN(HZ40,HR40),0)</f>
        <v>0</v>
      </c>
      <c r="ID40" s="1" t="n">
        <f aca="false">IF(HT40=1,MIN(IB40,HR40-IC40),0)</f>
        <v>0</v>
      </c>
      <c r="IE40" s="1" t="n">
        <f aca="false">IF(V40=1,IF(ABS((1+AS_Wage)/(1+Slot1_Rate)-1)&lt;0.000000000001,(Slot1_Age-D40)*(1+Slot1_Rate)^(Slot1_Age-D40),(1+Slot1_Rate)^(Slot1_Age-D40)*(1-((1+AS_Wage)/(1+Slot1_Rate))^(Slot1_Age-D40))/(1-(1+AS_Wage)/(1+Slot1_Rate))),1)</f>
        <v>1</v>
      </c>
      <c r="IF40" s="1" t="n">
        <f aca="false">IF(AND(HT40=1,ID40&gt;0,Slot1_IsWG=1,V40=1),MAX(0,(Slot1_Cost-W40*(1+Slot1_Rate)^(Slot1_Age-D40))/IE40),0)</f>
        <v>0</v>
      </c>
      <c r="IG40" s="1" t="n">
        <f aca="false">IF(AND(HT40=1,ID40&gt;0,Slot1_IsWG=1,V40=1),MIN(ID40,IF40),0)</f>
        <v>0</v>
      </c>
      <c r="IH40" s="1" t="n">
        <f aca="false">W40+IG40</f>
        <v>0</v>
      </c>
      <c r="II40" s="1" t="n">
        <f aca="false">IF(V40=1,MAX(0,(Slot1_Cost-IH40*(1+Slot1_Rate)^(Slot1_Age-D40))/IE40),0)</f>
        <v>0</v>
      </c>
      <c r="IJ40" s="1" t="n">
        <f aca="false">IF(V40=1,MAX(0,(Slot1_Cost-W40*(1+Slot1_Rate)^(Slot1_Age-D40))/IE40),0)</f>
        <v>0</v>
      </c>
      <c r="IK40" s="1" t="n">
        <f aca="false">IF(AND(HT40=1,V40=1),MIN(IC40,II40),0)</f>
        <v>0</v>
      </c>
      <c r="IL40" s="1" t="n">
        <f aca="false">IC40-IK40</f>
        <v>0</v>
      </c>
      <c r="IM40" s="1" t="n">
        <f aca="false">IF(AG40=1,IF(ABS((1+AS_Wage)/(1+Slot2_Rate)-1)&lt;0.000000000001,(Slot2_Age-D40)*(1+Slot2_Rate)^(Slot2_Age-D40),(1+Slot2_Rate)^(Slot2_Age-D40)*(1-((1+AS_Wage)/(1+Slot2_Rate))^(Slot2_Age-D40))/(1-(1+AS_Wage)/(1+Slot2_Rate))),1)</f>
        <v>1</v>
      </c>
      <c r="IN40" s="1" t="n">
        <f aca="false">IF(AND(HT40=1,ID40&gt;0,Slot2_IsWG=1,AG40=1),MAX(0,(Slot2_Cost-AH40*(1+Slot2_Rate)^(Slot2_Age-D40))/IM40),0)</f>
        <v>0</v>
      </c>
      <c r="IO40" s="1" t="n">
        <f aca="false">IF(AND(HT40=1,ID40&gt;0,Slot2_IsWG=1,AG40=1),MIN(ID40,IN40),0)</f>
        <v>0</v>
      </c>
      <c r="IP40" s="1" t="n">
        <f aca="false">AH40+IO40</f>
        <v>0</v>
      </c>
      <c r="IQ40" s="1" t="n">
        <f aca="false">IF(AG40=1,MAX(0,(Slot2_Cost-IP40*(1+Slot2_Rate)^(Slot2_Age-D40))/IM40),0)</f>
        <v>0</v>
      </c>
      <c r="IR40" s="1" t="n">
        <f aca="false">IF(AG40=1,MAX(0,(Slot2_Cost-AH40*(1+Slot2_Rate)^(Slot2_Age-D40))/IM40),0)</f>
        <v>0</v>
      </c>
      <c r="IS40" s="1" t="n">
        <f aca="false">IF(AND(HT40=1,AG40=1),MIN(IL40,IQ40),0)</f>
        <v>0</v>
      </c>
      <c r="IT40" s="1" t="n">
        <f aca="false">IL40-IS40</f>
        <v>0</v>
      </c>
      <c r="IU40" s="1" t="n">
        <f aca="false">IF(AQ40=1,IF(ABS((1+AS_Wage)/(1+Slot3_Rate)-1)&lt;0.000000000001,(Slot3_Age-D40)*(1+Slot3_Rate)^(Slot3_Age-D40),(1+Slot3_Rate)^(Slot3_Age-D40)*(1-((1+AS_Wage)/(1+Slot3_Rate))^(Slot3_Age-D40))/(1-(1+AS_Wage)/(1+Slot3_Rate))),1)</f>
        <v>1</v>
      </c>
      <c r="IV40" s="1" t="n">
        <f aca="false">IF(AND(HT40=1,ID40&gt;0,Slot3_IsWG=1,AQ40=1),MAX(0,(Slot3_Cost-AR40*(1+Slot3_Rate)^(Slot3_Age-D40))/IU40),0)</f>
        <v>0</v>
      </c>
      <c r="IW40" s="1" t="n">
        <f aca="false">IF(AND(HT40=1,ID40&gt;0,Slot3_IsWG=1,AQ40=1),MIN(ID40,IV40),0)</f>
        <v>0</v>
      </c>
      <c r="IX40" s="1" t="n">
        <f aca="false">AR40+IW40</f>
        <v>0</v>
      </c>
      <c r="IY40" s="1" t="n">
        <f aca="false">IF(AQ40=1,MAX(0,(Slot3_Cost-IX40*(1+Slot3_Rate)^(Slot3_Age-D40))/IU40),0)</f>
        <v>0</v>
      </c>
      <c r="IZ40" s="1" t="n">
        <f aca="false">IF(AQ40=1,MAX(0,(Slot3_Cost-AR40*(1+Slot3_Rate)^(Slot3_Age-D40))/IU40),0)</f>
        <v>0</v>
      </c>
      <c r="JA40" s="1" t="n">
        <f aca="false">IF(AND(HT40=1,AQ40=1),MIN(IT40,IY40),0)</f>
        <v>0</v>
      </c>
      <c r="JB40" s="1" t="n">
        <f aca="false">IT40-JA40</f>
        <v>0</v>
      </c>
      <c r="JC40" s="1" t="n">
        <f aca="false">IF(BA40=1,IF(ABS((1+AS_Wage)/(1+Slot4_Rate)-1)&lt;0.000000000001,(Slot4_Age-D40)*(1+Slot4_Rate)^(Slot4_Age-D40),(1+Slot4_Rate)^(Slot4_Age-D40)*(1-((1+AS_Wage)/(1+Slot4_Rate))^(Slot4_Age-D40))/(1-(1+AS_Wage)/(1+Slot4_Rate))),1)</f>
        <v>1</v>
      </c>
      <c r="JD40" s="1" t="n">
        <f aca="false">IF(AND(HT40=1,ID40&gt;0,Slot4_IsWG=1,BA40=1),MAX(0,(Slot4_Cost-BB40*(1+Slot4_Rate)^(Slot4_Age-D40))/JC40),0)</f>
        <v>0</v>
      </c>
      <c r="JE40" s="1" t="n">
        <f aca="false">IF(AND(HT40=1,ID40&gt;0,Slot4_IsWG=1,BA40=1),MIN(ID40,JD40),0)</f>
        <v>0</v>
      </c>
      <c r="JF40" s="1" t="n">
        <f aca="false">BB40+JE40</f>
        <v>0</v>
      </c>
      <c r="JG40" s="1" t="n">
        <f aca="false">IF(BA40=1,MAX(0,(Slot4_Cost-JF40*(1+Slot4_Rate)^(Slot4_Age-D40))/JC40),0)</f>
        <v>0</v>
      </c>
      <c r="JH40" s="1" t="n">
        <f aca="false">IF(BA40=1,MAX(0,(Slot4_Cost-BB40*(1+Slot4_Rate)^(Slot4_Age-D40))/JC40),0)</f>
        <v>0</v>
      </c>
      <c r="JI40" s="1" t="n">
        <f aca="false">IF(AND(HT40=1,BA40=1),MIN(JB40,JG40),0)</f>
        <v>0</v>
      </c>
      <c r="JJ40" s="1" t="n">
        <f aca="false">JB40-JI40</f>
        <v>0</v>
      </c>
      <c r="JK40" s="1" t="n">
        <f aca="false">IF(BK40=1,IF(ABS((1+AS_Wage)/(1+Slot5_Rate)-1)&lt;0.000000000001,(Slot5_Age-D40)*(1+Slot5_Rate)^(Slot5_Age-D40),(1+Slot5_Rate)^(Slot5_Age-D40)*(1-((1+AS_Wage)/(1+Slot5_Rate))^(Slot5_Age-D40))/(1-(1+AS_Wage)/(1+Slot5_Rate))),1)</f>
        <v>1</v>
      </c>
      <c r="JL40" s="1" t="n">
        <f aca="false">IF(AND(HT40=1,ID40&gt;0,Slot5_IsWG=1,BK40=1),MAX(0,(Slot5_Cost-BL40*(1+Slot5_Rate)^(Slot5_Age-D40))/JK40),0)</f>
        <v>0</v>
      </c>
      <c r="JM40" s="1" t="n">
        <f aca="false">IF(AND(HT40=1,ID40&gt;0,Slot5_IsWG=1,BK40=1),MIN(ID40,JL40),0)</f>
        <v>0</v>
      </c>
      <c r="JN40" s="1" t="n">
        <f aca="false">BL40+JM40</f>
        <v>0</v>
      </c>
      <c r="JO40" s="1" t="n">
        <f aca="false">IF(BK40=1,MAX(0,(Slot5_Cost-JN40*(1+Slot5_Rate)^(Slot5_Age-D40))/JK40),0)</f>
        <v>0</v>
      </c>
      <c r="JP40" s="1" t="n">
        <f aca="false">IF(BK40=1,MAX(0,(Slot5_Cost-BL40*(1+Slot5_Rate)^(Slot5_Age-D40))/JK40),0)</f>
        <v>0</v>
      </c>
      <c r="JQ40" s="1" t="n">
        <f aca="false">IF(AND(HT40=1,BK40=1),MIN(JJ40,JO40),0)</f>
        <v>0</v>
      </c>
      <c r="JR40" s="1" t="n">
        <f aca="false">JJ40-JQ40</f>
        <v>0</v>
      </c>
      <c r="JS40" s="1" t="n">
        <f aca="false">IF(BU40=1,IF(ABS((1+AS_Wage)/(1+Slot6_Rate)-1)&lt;0.000000000001,(Slot6_Age-D40)*(1+Slot6_Rate)^(Slot6_Age-D40),(1+Slot6_Rate)^(Slot6_Age-D40)*(1-((1+AS_Wage)/(1+Slot6_Rate))^(Slot6_Age-D40))/(1-(1+AS_Wage)/(1+Slot6_Rate))),1)</f>
        <v>1</v>
      </c>
      <c r="JT40" s="1" t="n">
        <f aca="false">IF(AND(HT40=1,ID40&gt;0,Slot6_IsWG=1,BU40=1),MAX(0,(Slot6_Cost-BV40*(1+Slot6_Rate)^(Slot6_Age-D40))/JS40),0)</f>
        <v>0</v>
      </c>
      <c r="JU40" s="1" t="n">
        <f aca="false">IF(AND(HT40=1,ID40&gt;0,Slot6_IsWG=1,BU40=1),MIN(ID40,JT40),0)</f>
        <v>0</v>
      </c>
      <c r="JV40" s="1" t="n">
        <f aca="false">BV40+JU40</f>
        <v>0</v>
      </c>
      <c r="JW40" s="1" t="n">
        <f aca="false">IF(BU40=1,MAX(0,(Slot6_Cost-JV40*(1+Slot6_Rate)^(Slot6_Age-D40))/JS40),0)</f>
        <v>0</v>
      </c>
      <c r="JX40" s="1" t="n">
        <f aca="false">IF(BU40=1,MAX(0,(Slot6_Cost-BV40*(1+Slot6_Rate)^(Slot6_Age-D40))/JS40),0)</f>
        <v>0</v>
      </c>
      <c r="JY40" s="1" t="n">
        <f aca="false">IF(AND(HT40=1,BU40=1),MIN(JR40,JW40),0)</f>
        <v>0</v>
      </c>
      <c r="JZ40" s="1" t="n">
        <f aca="false">JR40-JY40</f>
        <v>0</v>
      </c>
      <c r="KA40" s="1" t="n">
        <f aca="false">IF(CE40=1,IF(ABS((1+AS_Wage)/(1+Slot7_Rate)-1)&lt;0.000000000001,(Slot7_Age-D40)*(1+Slot7_Rate)^(Slot7_Age-D40),(1+Slot7_Rate)^(Slot7_Age-D40)*(1-((1+AS_Wage)/(1+Slot7_Rate))^(Slot7_Age-D40))/(1-(1+AS_Wage)/(1+Slot7_Rate))),1)</f>
        <v>1</v>
      </c>
      <c r="KB40" s="1" t="n">
        <f aca="false">IF(AND(HT40=1,ID40&gt;0,Slot7_IsWG=1,CE40=1),MAX(0,(Slot7_Cost-CF40*(1+Slot7_Rate)^(Slot7_Age-D40))/KA40),0)</f>
        <v>0</v>
      </c>
      <c r="KC40" s="1" t="n">
        <f aca="false">IF(AND(HT40=1,ID40&gt;0,Slot7_IsWG=1,CE40=1),MIN(ID40,KB40),0)</f>
        <v>0</v>
      </c>
      <c r="KD40" s="1" t="n">
        <f aca="false">CF40+KC40</f>
        <v>0</v>
      </c>
      <c r="KE40" s="1" t="n">
        <f aca="false">IF(CE40=1,MAX(0,(Slot7_Cost-KD40*(1+Slot7_Rate)^(Slot7_Age-D40))/KA40),0)</f>
        <v>0</v>
      </c>
      <c r="KF40" s="1" t="n">
        <f aca="false">IF(CE40=1,MAX(0,(Slot7_Cost-CF40*(1+Slot7_Rate)^(Slot7_Age-D40))/KA40),0)</f>
        <v>0</v>
      </c>
      <c r="KG40" s="1" t="n">
        <f aca="false">IF(AND(HT40=1,CE40=1),MIN(JZ40,KE40),0)</f>
        <v>0</v>
      </c>
      <c r="KH40" s="1" t="n">
        <f aca="false">JZ40-KG40</f>
        <v>0</v>
      </c>
      <c r="KI40" s="1" t="n">
        <f aca="false">IF(CO40=1,IF(ABS((1+AS_Wage)/(1+Slot8_Rate)-1)&lt;0.000000000001,(Slot8_Age-D40)*(1+Slot8_Rate)^(Slot8_Age-D40),(1+Slot8_Rate)^(Slot8_Age-D40)*(1-((1+AS_Wage)/(1+Slot8_Rate))^(Slot8_Age-D40))/(1-(1+AS_Wage)/(1+Slot8_Rate))),1)</f>
        <v>1</v>
      </c>
      <c r="KJ40" s="1" t="n">
        <f aca="false">IF(AND(HT40=1,ID40&gt;0,Slot8_IsWG=1,CO40=1),MAX(0,(Slot8_Cost-CP40*(1+Slot8_Rate)^(Slot8_Age-D40))/KI40),0)</f>
        <v>0</v>
      </c>
      <c r="KK40" s="1" t="n">
        <f aca="false">IF(AND(HT40=1,ID40&gt;0,Slot8_IsWG=1,CO40=1),MIN(ID40,KJ40),0)</f>
        <v>0</v>
      </c>
      <c r="KL40" s="1" t="n">
        <f aca="false">CP40+KK40</f>
        <v>0</v>
      </c>
      <c r="KM40" s="1" t="n">
        <f aca="false">IF(CO40=1,MAX(0,(Slot8_Cost-KL40*(1+Slot8_Rate)^(Slot8_Age-D40))/KI40),0)</f>
        <v>0</v>
      </c>
      <c r="KN40" s="1" t="n">
        <f aca="false">IF(CO40=1,MAX(0,(Slot8_Cost-CP40*(1+Slot8_Rate)^(Slot8_Age-D40))/KI40),0)</f>
        <v>0</v>
      </c>
      <c r="KO40" s="1" t="n">
        <f aca="false">IF(AND(HT40=1,CO40=1),MIN(KH40,KM40),0)</f>
        <v>0</v>
      </c>
      <c r="KP40" s="1" t="n">
        <f aca="false">KH40-KO40</f>
        <v>0</v>
      </c>
      <c r="KQ40" s="1" t="n">
        <f aca="false">IF(CY40=1,IF(ABS((1+AS_Wage)/(1+Slot9_Rate)-1)&lt;0.000000000001,(Slot9_Age-D40)*(1+Slot9_Rate)^(Slot9_Age-D40),(1+Slot9_Rate)^(Slot9_Age-D40)*(1-((1+AS_Wage)/(1+Slot9_Rate))^(Slot9_Age-D40))/(1-(1+AS_Wage)/(1+Slot9_Rate))),1)</f>
        <v>1</v>
      </c>
      <c r="KR40" s="1" t="n">
        <f aca="false">IF(AND(HT40=1,ID40&gt;0,Slot9_IsWG=1,CY40=1),MAX(0,(Slot9_Cost-CZ40*(1+Slot9_Rate)^(Slot9_Age-D40))/KQ40),0)</f>
        <v>0</v>
      </c>
      <c r="KS40" s="1" t="n">
        <f aca="false">IF(AND(HT40=1,ID40&gt;0,Slot9_IsWG=1,CY40=1),MIN(ID40,KR40),0)</f>
        <v>0</v>
      </c>
      <c r="KT40" s="1" t="n">
        <f aca="false">CZ40+KS40</f>
        <v>0</v>
      </c>
      <c r="KU40" s="1" t="n">
        <f aca="false">IF(CY40=1,MAX(0,(Slot9_Cost-KT40*(1+Slot9_Rate)^(Slot9_Age-D40))/KQ40),0)</f>
        <v>0</v>
      </c>
      <c r="KV40" s="1" t="n">
        <f aca="false">IF(CY40=1,MAX(0,(Slot9_Cost-CZ40*(1+Slot9_Rate)^(Slot9_Age-D40))/KQ40),0)</f>
        <v>0</v>
      </c>
      <c r="KW40" s="1" t="n">
        <f aca="false">IF(AND(HT40=1,CY40=1),MIN(KP40,KU40),0)</f>
        <v>0</v>
      </c>
      <c r="KX40" s="1" t="n">
        <f aca="false">KP40-KW40</f>
        <v>0</v>
      </c>
      <c r="KY40" s="1" t="n">
        <f aca="false">IF(DI40=1,IF(ABS((1+AS_Wage)/(1+Slot10_Rate)-1)&lt;0.000000000001,(Slot10_Age-D40)*(1+Slot10_Rate)^(Slot10_Age-D40),(1+Slot10_Rate)^(Slot10_Age-D40)*(1-((1+AS_Wage)/(1+Slot10_Rate))^(Slot10_Age-D40))/(1-(1+AS_Wage)/(1+Slot10_Rate))),1)</f>
        <v>1</v>
      </c>
      <c r="KZ40" s="1" t="n">
        <f aca="false">IF(AND(HT40=1,ID40&gt;0,Slot10_IsWG=1,DI40=1),MAX(0,(Slot10_Cost-DJ40*(1+Slot10_Rate)^(Slot10_Age-D40))/KY40),0)</f>
        <v>0</v>
      </c>
      <c r="LA40" s="1" t="n">
        <f aca="false">IF(AND(HT40=1,ID40&gt;0,Slot10_IsWG=1,DI40=1),MIN(ID40,KZ40),0)</f>
        <v>0</v>
      </c>
      <c r="LB40" s="1" t="n">
        <f aca="false">DJ40+LA40</f>
        <v>0</v>
      </c>
      <c r="LC40" s="1" t="n">
        <f aca="false">IF(DI40=1,MAX(0,(Slot10_Cost-LB40*(1+Slot10_Rate)^(Slot10_Age-D40))/KY40),0)</f>
        <v>0</v>
      </c>
      <c r="LD40" s="1" t="n">
        <f aca="false">IF(DI40=1,MAX(0,(Slot10_Cost-DJ40*(1+Slot10_Rate)^(Slot10_Age-D40))/KY40),0)</f>
        <v>0</v>
      </c>
      <c r="LE40" s="1" t="n">
        <f aca="false">IF(AND(HT40=1,DI40=1),MIN(KX40,LC40),0)</f>
        <v>0</v>
      </c>
      <c r="LF40" s="1" t="n">
        <f aca="false">KX40-LE40</f>
        <v>0</v>
      </c>
      <c r="LG40" s="1" t="n">
        <f aca="false">IF(DS40=1,IF(ABS((1+AS_Wage)/(1+Slot11_Rate)-1)&lt;0.000000000001,(Slot11_Age-D40)*(1+Slot11_Rate)^(Slot11_Age-D40),(1+Slot11_Rate)^(Slot11_Age-D40)*(1-((1+AS_Wage)/(1+Slot11_Rate))^(Slot11_Age-D40))/(1-(1+AS_Wage)/(1+Slot11_Rate))),1)</f>
        <v>1</v>
      </c>
      <c r="LH40" s="1" t="n">
        <f aca="false">IF(AND(HT40=1,ID40&gt;0,Slot11_IsWG=1,DS40=1),MAX(0,(Slot11_Cost-DT40*(1+Slot11_Rate)^(Slot11_Age-D40))/LG40),0)</f>
        <v>0</v>
      </c>
      <c r="LI40" s="1" t="n">
        <f aca="false">IF(AND(HT40=1,ID40&gt;0,Slot11_IsWG=1,DS40=1),MIN(ID40,LH40),0)</f>
        <v>0</v>
      </c>
      <c r="LJ40" s="1" t="n">
        <f aca="false">DT40+LI40</f>
        <v>0</v>
      </c>
      <c r="LK40" s="1" t="n">
        <f aca="false">IF(DS40=1,MAX(0,(Slot11_Cost-LJ40*(1+Slot11_Rate)^(Slot11_Age-D40))/LG40),0)</f>
        <v>0</v>
      </c>
      <c r="LL40" s="1" t="n">
        <f aca="false">IF(DS40=1,MAX(0,(Slot11_Cost-DT40*(1+Slot11_Rate)^(Slot11_Age-D40))/LG40),0)</f>
        <v>0</v>
      </c>
      <c r="LM40" s="1" t="n">
        <f aca="false">IF(AND(HT40=1,DS40=1),MIN(LF40,LK40),0)</f>
        <v>0</v>
      </c>
      <c r="LN40" s="1" t="n">
        <f aca="false">LF40-LM40</f>
        <v>0</v>
      </c>
      <c r="LO40" s="1" t="n">
        <f aca="false">IF(EC40=1,IF(ABS((1+AS_Wage)/(1+Slot12_Rate)-1)&lt;0.000000000001,(Slot12_Age-D40)*(1+Slot12_Rate)^(Slot12_Age-D40),(1+Slot12_Rate)^(Slot12_Age-D40)*(1-((1+AS_Wage)/(1+Slot12_Rate))^(Slot12_Age-D40))/(1-(1+AS_Wage)/(1+Slot12_Rate))),1)</f>
        <v>1</v>
      </c>
      <c r="LP40" s="1" t="n">
        <f aca="false">IF(AND(HT40=1,ID40&gt;0,Slot12_IsWG=1,EC40=1),MAX(0,(Slot12_Cost-ED40*(1+Slot12_Rate)^(Slot12_Age-D40))/LO40),0)</f>
        <v>0</v>
      </c>
      <c r="LQ40" s="1" t="n">
        <f aca="false">IF(AND(HT40=1,ID40&gt;0,Slot12_IsWG=1,EC40=1),MIN(ID40,LP40),0)</f>
        <v>0</v>
      </c>
      <c r="LR40" s="1" t="n">
        <f aca="false">ED40+LQ40</f>
        <v>0</v>
      </c>
      <c r="LS40" s="1" t="n">
        <f aca="false">IF(EC40=1,MAX(0,(Slot12_Cost-LR40*(1+Slot12_Rate)^(Slot12_Age-D40))/LO40),0)</f>
        <v>0</v>
      </c>
      <c r="LT40" s="1" t="n">
        <f aca="false">IF(EC40=1,MAX(0,(Slot12_Cost-ED40*(1+Slot12_Rate)^(Slot12_Age-D40))/LO40),0)</f>
        <v>0</v>
      </c>
      <c r="LU40" s="1" t="n">
        <f aca="false">IF(AND(HT40=1,EC40=1),MIN(LN40,LS40),0)</f>
        <v>0</v>
      </c>
      <c r="LV40" s="1" t="n">
        <f aca="false">LN40-LU40</f>
        <v>0</v>
      </c>
      <c r="LW40" s="1" t="n">
        <f aca="false">IF(EM40=1,IF(ABS((1+AS_Wage)/(1+Slot13_Rate)-1)&lt;0.000000000001,(Slot13_Age-D40)*(1+Slot13_Rate)^(Slot13_Age-D40),(1+Slot13_Rate)^(Slot13_Age-D40)*(1-((1+AS_Wage)/(1+Slot13_Rate))^(Slot13_Age-D40))/(1-(1+AS_Wage)/(1+Slot13_Rate))),1)</f>
        <v>1</v>
      </c>
      <c r="LX40" s="1" t="n">
        <f aca="false">IF(AND(HT40=1,ID40&gt;0,Slot13_IsWG=1,EM40=1),MAX(0,(Slot13_Cost-EN40*(1+Slot13_Rate)^(Slot13_Age-D40))/LW40),0)</f>
        <v>0</v>
      </c>
      <c r="LY40" s="1" t="n">
        <f aca="false">IF(AND(HT40=1,ID40&gt;0,Slot13_IsWG=1,EM40=1),MIN(ID40,LX40),0)</f>
        <v>0</v>
      </c>
      <c r="LZ40" s="1" t="n">
        <f aca="false">EN40+LY40</f>
        <v>0</v>
      </c>
      <c r="MA40" s="1" t="n">
        <f aca="false">IF(EM40=1,MAX(0,(Slot13_Cost-LZ40*(1+Slot13_Rate)^(Slot13_Age-D40))/LW40),0)</f>
        <v>0</v>
      </c>
      <c r="MB40" s="1" t="n">
        <f aca="false">IF(EM40=1,MAX(0,(Slot13_Cost-EN40*(1+Slot13_Rate)^(Slot13_Age-D40))/LW40),0)</f>
        <v>0</v>
      </c>
      <c r="MC40" s="1" t="n">
        <f aca="false">IF(AND(HT40=1,EM40=1),MIN(LV40,MA40),0)</f>
        <v>0</v>
      </c>
      <c r="MD40" s="1" t="n">
        <f aca="false">LV40-MC40</f>
        <v>0</v>
      </c>
      <c r="ME40" s="1" t="n">
        <f aca="false">IF(EW40=1,IF(ABS((1+AS_Wage)/(1+Slot14_Rate)-1)&lt;0.000000000001,(Slot14_Age-D40)*(1+Slot14_Rate)^(Slot14_Age-D40),(1+Slot14_Rate)^(Slot14_Age-D40)*(1-((1+AS_Wage)/(1+Slot14_Rate))^(Slot14_Age-D40))/(1-(1+AS_Wage)/(1+Slot14_Rate))),1)</f>
        <v>1</v>
      </c>
      <c r="MF40" s="1" t="n">
        <f aca="false">IF(AND(HT40=1,ID40&gt;0,Slot14_IsWG=1,EW40=1),MAX(0,(Slot14_Cost-EX40*(1+Slot14_Rate)^(Slot14_Age-D40))/ME40),0)</f>
        <v>0</v>
      </c>
      <c r="MG40" s="1" t="n">
        <f aca="false">IF(AND(HT40=1,ID40&gt;0,Slot14_IsWG=1,EW40=1),MIN(ID40,MF40),0)</f>
        <v>0</v>
      </c>
      <c r="MH40" s="1" t="n">
        <f aca="false">EX40+MG40</f>
        <v>0</v>
      </c>
      <c r="MI40" s="1" t="n">
        <f aca="false">IF(EW40=1,MAX(0,(Slot14_Cost-MH40*(1+Slot14_Rate)^(Slot14_Age-D40))/ME40),0)</f>
        <v>0</v>
      </c>
      <c r="MJ40" s="1" t="n">
        <f aca="false">IF(EW40=1,MAX(0,(Slot14_Cost-EX40*(1+Slot14_Rate)^(Slot14_Age-D40))/ME40),0)</f>
        <v>0</v>
      </c>
      <c r="MK40" s="1" t="n">
        <f aca="false">IF(AND(HT40=1,EW40=1),MIN(MD40,MI40),0)</f>
        <v>0</v>
      </c>
      <c r="ML40" s="1" t="n">
        <f aca="false">MD40-MK40</f>
        <v>0</v>
      </c>
      <c r="MM40" s="1" t="n">
        <f aca="false">IF(FG40=1,IF(ABS((1+AS_Wage)/(1+Slot15_Rate)-1)&lt;0.000000000001,(Slot15_Age-D40)*(1+Slot15_Rate)^(Slot15_Age-D40),(1+Slot15_Rate)^(Slot15_Age-D40)*(1-((1+AS_Wage)/(1+Slot15_Rate))^(Slot15_Age-D40))/(1-(1+AS_Wage)/(1+Slot15_Rate))),1)</f>
        <v>1</v>
      </c>
      <c r="MN40" s="1" t="n">
        <f aca="false">IF(AND(HT40=1,ID40&gt;0,Slot15_IsWG=1,FG40=1),MAX(0,(Slot15_Cost-FH40*(1+Slot15_Rate)^(Slot15_Age-D40))/MM40),0)</f>
        <v>0</v>
      </c>
      <c r="MO40" s="1" t="n">
        <f aca="false">IF(AND(HT40=1,ID40&gt;0,Slot15_IsWG=1,FG40=1),MIN(ID40,MN40),0)</f>
        <v>0</v>
      </c>
      <c r="MP40" s="1" t="n">
        <f aca="false">FH40+MO40</f>
        <v>0</v>
      </c>
      <c r="MQ40" s="1" t="n">
        <f aca="false">IF(FG40=1,MAX(0,(Slot15_Cost-MP40*(1+Slot15_Rate)^(Slot15_Age-D40))/MM40),0)</f>
        <v>0</v>
      </c>
      <c r="MR40" s="1" t="n">
        <f aca="false">IF(FG40=1,MAX(0,(Slot15_Cost-FH40*(1+Slot15_Rate)^(Slot15_Age-D40))/MM40),0)</f>
        <v>0</v>
      </c>
      <c r="MS40" s="1" t="n">
        <f aca="false">IF(AND(HT40=1,FG40=1),MIN(ML40,MQ40),0)</f>
        <v>0</v>
      </c>
      <c r="MT40" s="1" t="n">
        <f aca="false">ML40-MS40</f>
        <v>0</v>
      </c>
      <c r="MU40" s="1" t="n">
        <f aca="false">IF(FQ40=1,IF(ABS((1+AS_Wage)/(1+Slot16_Rate)-1)&lt;0.000000000001,(Slot16_Age-D40)*(1+Slot16_Rate)^(Slot16_Age-D40),(1+Slot16_Rate)^(Slot16_Age-D40)*(1-((1+AS_Wage)/(1+Slot16_Rate))^(Slot16_Age-D40))/(1-(1+AS_Wage)/(1+Slot16_Rate))),1)</f>
        <v>1</v>
      </c>
      <c r="MV40" s="1" t="n">
        <f aca="false">IF(AND(HT40=1,ID40&gt;0,Slot16_IsWG=1,FQ40=1),MAX(0,(Slot16_Cost-FR40*(1+Slot16_Rate)^(Slot16_Age-D40))/MU40),0)</f>
        <v>0</v>
      </c>
      <c r="MW40" s="1" t="n">
        <f aca="false">IF(AND(HT40=1,ID40&gt;0,Slot16_IsWG=1,FQ40=1),MIN(ID40,MV40),0)</f>
        <v>0</v>
      </c>
      <c r="MX40" s="1" t="n">
        <f aca="false">FR40+MW40</f>
        <v>0</v>
      </c>
      <c r="MY40" s="1" t="n">
        <f aca="false">IF(FQ40=1,MAX(0,(Slot16_Cost-MX40*(1+Slot16_Rate)^(Slot16_Age-D40))/MU40),0)</f>
        <v>0</v>
      </c>
      <c r="MZ40" s="1" t="n">
        <f aca="false">IF(FQ40=1,MAX(0,(Slot16_Cost-FR40*(1+Slot16_Rate)^(Slot16_Age-D40))/MU40),0)</f>
        <v>0</v>
      </c>
      <c r="NA40" s="1" t="n">
        <f aca="false">IF(AND(HT40=1,FQ40=1),MIN(MT40,MY40),0)</f>
        <v>0</v>
      </c>
      <c r="NB40" s="1" t="n">
        <f aca="false">MT40-NA40</f>
        <v>0</v>
      </c>
      <c r="NC40" s="1" t="n">
        <f aca="false">IF(GA40=1,IF(ABS((1+AS_Wage)/(1+Slot17_Rate)-1)&lt;0.000000000001,(Slot17_Age-D40)*(1+Slot17_Rate)^(Slot17_Age-D40),(1+Slot17_Rate)^(Slot17_Age-D40)*(1-((1+AS_Wage)/(1+Slot17_Rate))^(Slot17_Age-D40))/(1-(1+AS_Wage)/(1+Slot17_Rate))),1)</f>
        <v>1</v>
      </c>
      <c r="ND40" s="1" t="n">
        <f aca="false">IF(AND(HT40=1,ID40&gt;0,Slot17_IsWG=1,GA40=1),MAX(0,(Slot17_Cost-GB40*(1+Slot17_Rate)^(Slot17_Age-D40))/NC40),0)</f>
        <v>0</v>
      </c>
      <c r="NE40" s="1" t="n">
        <f aca="false">IF(AND(HT40=1,ID40&gt;0,Slot17_IsWG=1,GA40=1),MIN(ID40,ND40),0)</f>
        <v>0</v>
      </c>
      <c r="NF40" s="1" t="n">
        <f aca="false">GB40+NE40</f>
        <v>0</v>
      </c>
      <c r="NG40" s="1" t="n">
        <f aca="false">IF(GA40=1,MAX(0,(Slot17_Cost-NF40*(1+Slot17_Rate)^(Slot17_Age-D40))/NC40),0)</f>
        <v>0</v>
      </c>
      <c r="NH40" s="1" t="n">
        <f aca="false">IF(GA40=1,MAX(0,(Slot17_Cost-GB40*(1+Slot17_Rate)^(Slot17_Age-D40))/NC40),0)</f>
        <v>0</v>
      </c>
      <c r="NI40" s="1" t="n">
        <f aca="false">IF(AND(HT40=1,GA40=1),MIN(NB40,NG40),0)</f>
        <v>0</v>
      </c>
      <c r="NJ40" s="1" t="n">
        <f aca="false">NB40-NI40</f>
        <v>0</v>
      </c>
      <c r="NK40" s="1" t="n">
        <f aca="false">IF(GK40=1,IF(ABS((1+AS_Wage)/(1+Slot18_Rate)-1)&lt;0.000000000001,(Slot18_Age-D40)*(1+Slot18_Rate)^(Slot18_Age-D40),(1+Slot18_Rate)^(Slot18_Age-D40)*(1-((1+AS_Wage)/(1+Slot18_Rate))^(Slot18_Age-D40))/(1-(1+AS_Wage)/(1+Slot18_Rate))),1)</f>
        <v>1</v>
      </c>
      <c r="NL40" s="1" t="n">
        <f aca="false">IF(AND(HT40=1,ID40&gt;0,Slot18_IsWG=1,GK40=1),MAX(0,(Slot18_Cost-GL40*(1+Slot18_Rate)^(Slot18_Age-D40))/NK40),0)</f>
        <v>0</v>
      </c>
      <c r="NM40" s="1" t="n">
        <f aca="false">IF(AND(HT40=1,ID40&gt;0,Slot18_IsWG=1,GK40=1),MIN(ID40,NL40),0)</f>
        <v>0</v>
      </c>
      <c r="NN40" s="1" t="n">
        <f aca="false">GL40+NM40</f>
        <v>0</v>
      </c>
      <c r="NO40" s="1" t="n">
        <f aca="false">IF(GK40=1,MAX(0,(Slot18_Cost-NN40*(1+Slot18_Rate)^(Slot18_Age-D40))/NK40),0)</f>
        <v>0</v>
      </c>
      <c r="NP40" s="1" t="n">
        <f aca="false">IF(GK40=1,MAX(0,(Slot18_Cost-GL40*(1+Slot18_Rate)^(Slot18_Age-D40))/NK40),0)</f>
        <v>0</v>
      </c>
      <c r="NQ40" s="1" t="n">
        <f aca="false">IF(AND(HT40=1,GK40=1),MIN(NJ40,NO40),0)</f>
        <v>0</v>
      </c>
      <c r="NR40" s="1" t="n">
        <f aca="false">NJ40-NQ40</f>
        <v>0</v>
      </c>
      <c r="NS40" s="1" t="n">
        <f aca="false">IF(GU40=1,IF(ABS((1+AS_Wage)/(1+Slot19_Rate)-1)&lt;0.000000000001,(Slot19_Age-D40)*(1+Slot19_Rate)^(Slot19_Age-D40),(1+Slot19_Rate)^(Slot19_Age-D40)*(1-((1+AS_Wage)/(1+Slot19_Rate))^(Slot19_Age-D40))/(1-(1+AS_Wage)/(1+Slot19_Rate))),1)</f>
        <v>1</v>
      </c>
      <c r="NT40" s="1" t="n">
        <f aca="false">IF(AND(HT40=1,ID40&gt;0,Slot19_IsWG=1,GU40=1),MAX(0,(Slot19_Cost-GV40*(1+Slot19_Rate)^(Slot19_Age-D40))/NS40),0)</f>
        <v>0</v>
      </c>
      <c r="NU40" s="1" t="n">
        <f aca="false">IF(AND(HT40=1,ID40&gt;0,Slot19_IsWG=1,GU40=1),MIN(ID40,NT40),0)</f>
        <v>0</v>
      </c>
      <c r="NV40" s="1" t="n">
        <f aca="false">GV40+NU40</f>
        <v>0</v>
      </c>
      <c r="NW40" s="1" t="n">
        <f aca="false">IF(GU40=1,MAX(0,(Slot19_Cost-NV40*(1+Slot19_Rate)^(Slot19_Age-D40))/NS40),0)</f>
        <v>0</v>
      </c>
      <c r="NX40" s="1" t="n">
        <f aca="false">IF(GU40=1,MAX(0,(Slot19_Cost-GV40*(1+Slot19_Rate)^(Slot19_Age-D40))/NS40),0)</f>
        <v>0</v>
      </c>
      <c r="NY40" s="1" t="n">
        <f aca="false">IF(AND(HT40=1,GU40=1),MIN(NR40,NW40),0)</f>
        <v>0</v>
      </c>
      <c r="NZ40" s="1" t="n">
        <f aca="false">NR40-NY40</f>
        <v>0</v>
      </c>
      <c r="OA40" s="1" t="n">
        <f aca="false">IF(HE40=1,IF(ABS((1+AS_Wage)/(1+Slot20_Rate)-1)&lt;0.000000000001,(Slot20_Age-D40)*(1+Slot20_Rate)^(Slot20_Age-D40),(1+Slot20_Rate)^(Slot20_Age-D40)*(1-((1+AS_Wage)/(1+Slot20_Rate))^(Slot20_Age-D40))/(1-(1+AS_Wage)/(1+Slot20_Rate))),1)</f>
        <v>1</v>
      </c>
      <c r="OB40" s="1" t="n">
        <f aca="false">IF(AND(HT40=1,ID40&gt;0,Slot20_IsWG=1,HE40=1),MAX(0,(Slot20_Cost-HF40*(1+Slot20_Rate)^(Slot20_Age-D40))/OA40),0)</f>
        <v>0</v>
      </c>
      <c r="OC40" s="1" t="n">
        <f aca="false">IF(AND(HT40=1,ID40&gt;0,Slot20_IsWG=1,HE40=1),MIN(ID40,OB40),0)</f>
        <v>0</v>
      </c>
      <c r="OD40" s="1" t="n">
        <f aca="false">HF40+OC40</f>
        <v>0</v>
      </c>
      <c r="OE40" s="1" t="n">
        <f aca="false">IF(HE40=1,MAX(0,(Slot20_Cost-OD40*(1+Slot20_Rate)^(Slot20_Age-D40))/OA40),0)</f>
        <v>0</v>
      </c>
      <c r="OF40" s="1" t="n">
        <f aca="false">IF(HE40=1,MAX(0,(Slot20_Cost-HF40*(1+Slot20_Rate)^(Slot20_Age-D40))/OA40),0)</f>
        <v>0</v>
      </c>
      <c r="OG40" s="1" t="n">
        <f aca="false">IF(AND(HT40=1,HE40=1),MIN(NZ40,OE40),0)</f>
        <v>0</v>
      </c>
      <c r="OH40" s="1" t="n">
        <f aca="false">NZ40-OG40</f>
        <v>0</v>
      </c>
      <c r="OI40" s="1" t="n">
        <f aca="false">ID40-(IG40+IO40+IW40+JE40+JM40+JU40+KC40+KK40+KS40+LA40+LI40+LQ40+LY40+MG40+MO40+MW40+NE40+NM40+NU40+OC40)</f>
        <v>0</v>
      </c>
      <c r="OJ40" s="1" t="n">
        <f aca="false">IF(HT40=1,HR40-IC40-ID40,0)</f>
        <v>0</v>
      </c>
      <c r="OK40" s="1" t="n">
        <f aca="false">IF(HT40=0,-HR40,0)</f>
        <v>0</v>
      </c>
      <c r="OL40" s="1" t="n">
        <f aca="false">MIN(OK40,HJ40)</f>
        <v>0</v>
      </c>
      <c r="OM40" s="1" t="n">
        <f aca="false">OK40-OL40</f>
        <v>0</v>
      </c>
      <c r="ON40" s="1" t="n">
        <f aca="false">MIN(OM40,HK40)</f>
        <v>0</v>
      </c>
      <c r="OO40" s="1" t="n">
        <f aca="false">OM40-ON40</f>
        <v>0</v>
      </c>
      <c r="OP40" s="1" t="n">
        <f aca="false">IF(AND(HT40=0,HE40=1,OO40&gt;0),MIN(OO40,HF40),0)</f>
        <v>0</v>
      </c>
      <c r="OQ40" s="1" t="n">
        <f aca="false">OO40-OP40</f>
        <v>0</v>
      </c>
      <c r="OR40" s="1" t="n">
        <f aca="false">IF(AND(HT40=0,GU40=1,OQ40&gt;0),MIN(OQ40,GV40),0)</f>
        <v>0</v>
      </c>
      <c r="OS40" s="1" t="n">
        <f aca="false">OQ40-OR40</f>
        <v>0</v>
      </c>
      <c r="OT40" s="1" t="n">
        <f aca="false">IF(AND(HT40=0,GK40=1,OS40&gt;0),MIN(OS40,GL40),0)</f>
        <v>0</v>
      </c>
      <c r="OU40" s="1" t="n">
        <f aca="false">OS40-OT40</f>
        <v>0</v>
      </c>
      <c r="OV40" s="1" t="n">
        <f aca="false">IF(AND(HT40=0,GA40=1,OU40&gt;0),MIN(OU40,GB40),0)</f>
        <v>0</v>
      </c>
      <c r="OW40" s="1" t="n">
        <f aca="false">OU40-OV40</f>
        <v>0</v>
      </c>
      <c r="OX40" s="1" t="n">
        <f aca="false">IF(AND(HT40=0,FQ40=1,OW40&gt;0),MIN(OW40,FR40),0)</f>
        <v>0</v>
      </c>
      <c r="OY40" s="1" t="n">
        <f aca="false">OW40-OX40</f>
        <v>0</v>
      </c>
      <c r="OZ40" s="1" t="n">
        <f aca="false">IF(AND(HT40=0,FG40=1,OY40&gt;0),MIN(OY40,FH40),0)</f>
        <v>0</v>
      </c>
      <c r="PA40" s="1" t="n">
        <f aca="false">OY40-OZ40</f>
        <v>0</v>
      </c>
      <c r="PB40" s="1" t="n">
        <f aca="false">IF(AND(HT40=0,EW40=1,PA40&gt;0),MIN(PA40,EX40),0)</f>
        <v>0</v>
      </c>
      <c r="PC40" s="1" t="n">
        <f aca="false">PA40-PB40</f>
        <v>0</v>
      </c>
      <c r="PD40" s="1" t="n">
        <f aca="false">IF(AND(HT40=0,EM40=1,PC40&gt;0),MIN(PC40,EN40),0)</f>
        <v>0</v>
      </c>
      <c r="PE40" s="1" t="n">
        <f aca="false">PC40-PD40</f>
        <v>0</v>
      </c>
      <c r="PF40" s="1" t="n">
        <f aca="false">IF(AND(HT40=0,EC40=1,PE40&gt;0),MIN(PE40,ED40),0)</f>
        <v>0</v>
      </c>
      <c r="PG40" s="1" t="n">
        <f aca="false">PE40-PF40</f>
        <v>0</v>
      </c>
      <c r="PH40" s="1" t="n">
        <f aca="false">IF(AND(HT40=0,DS40=1,PG40&gt;0),MIN(PG40,DT40),0)</f>
        <v>0</v>
      </c>
      <c r="PI40" s="1" t="n">
        <f aca="false">PG40-PH40</f>
        <v>0</v>
      </c>
      <c r="PJ40" s="1" t="n">
        <f aca="false">IF(AND(HT40=0,DI40=1,PI40&gt;0),MIN(PI40,DJ40),0)</f>
        <v>0</v>
      </c>
      <c r="PK40" s="1" t="n">
        <f aca="false">PI40-PJ40</f>
        <v>0</v>
      </c>
      <c r="PL40" s="1" t="n">
        <f aca="false">IF(AND(HT40=0,CY40=1,PK40&gt;0),MIN(PK40,CZ40),0)</f>
        <v>0</v>
      </c>
      <c r="PM40" s="1" t="n">
        <f aca="false">PK40-PL40</f>
        <v>0</v>
      </c>
      <c r="PN40" s="1" t="n">
        <f aca="false">IF(AND(HT40=0,CO40=1,PM40&gt;0),MIN(PM40,CP40),0)</f>
        <v>0</v>
      </c>
      <c r="PO40" s="1" t="n">
        <f aca="false">PM40-PN40</f>
        <v>0</v>
      </c>
      <c r="PP40" s="1" t="n">
        <f aca="false">IF(AND(HT40=0,CE40=1,PO40&gt;0),MIN(PO40,CF40),0)</f>
        <v>0</v>
      </c>
      <c r="PQ40" s="1" t="n">
        <f aca="false">PO40-PP40</f>
        <v>0</v>
      </c>
      <c r="PR40" s="1" t="n">
        <f aca="false">IF(AND(HT40=0,BU40=1,PQ40&gt;0),MIN(PQ40,BV40),0)</f>
        <v>0</v>
      </c>
      <c r="PS40" s="1" t="n">
        <f aca="false">PQ40-PR40</f>
        <v>0</v>
      </c>
      <c r="PT40" s="1" t="n">
        <f aca="false">IF(AND(HT40=0,BK40=1,PS40&gt;0),MIN(PS40,BL40),0)</f>
        <v>0</v>
      </c>
      <c r="PU40" s="1" t="n">
        <f aca="false">PS40-PT40</f>
        <v>0</v>
      </c>
      <c r="PV40" s="1" t="n">
        <f aca="false">IF(AND(HT40=0,BA40=1,PU40&gt;0),MIN(PU40,BB40),0)</f>
        <v>0</v>
      </c>
      <c r="PW40" s="1" t="n">
        <f aca="false">PU40-PV40</f>
        <v>0</v>
      </c>
      <c r="PX40" s="1" t="n">
        <f aca="false">IF(AND(HT40=0,AQ40=1,PW40&gt;0),MIN(PW40,AR40),0)</f>
        <v>0</v>
      </c>
      <c r="PY40" s="1" t="n">
        <f aca="false">PW40-PX40</f>
        <v>0</v>
      </c>
      <c r="PZ40" s="1" t="n">
        <f aca="false">IF(AND(HT40=0,AG40=1,PY40&gt;0),MIN(PY40,AH40),0)</f>
        <v>0</v>
      </c>
      <c r="QA40" s="1" t="n">
        <f aca="false">PY40-PZ40</f>
        <v>0</v>
      </c>
      <c r="QB40" s="1" t="n">
        <f aca="false">IF(AND(HT40=0,V40=1,QA40&gt;0),MIN(QA40,W40),0)</f>
        <v>0</v>
      </c>
      <c r="QC40" s="1" t="n">
        <f aca="false">QA40-QB40</f>
        <v>0</v>
      </c>
      <c r="QD40" s="1" t="n">
        <f aca="false">IF(HT40=0,QC40,0)</f>
        <v>0</v>
      </c>
      <c r="QE40" s="1" t="n">
        <f aca="false">OL40+ON40+QB40+PZ40+PX40+PV40+PT40+PR40+PP40+PN40+PL40+PJ40+PH40+PF40+PD40+PB40+OZ40+OX40+OV40+OT40+OR40+OP40</f>
        <v>0</v>
      </c>
      <c r="QF40" s="1" t="n">
        <f aca="false">IF(HT40=1,HJ40+OI40+OH40+IF(F40=1,0,OJ40),HJ40-OL40)</f>
        <v>0</v>
      </c>
      <c r="QG40" s="1" t="n">
        <f aca="false">HK40-ON40</f>
        <v>0</v>
      </c>
      <c r="QH40" s="1" t="n">
        <f aca="false">IF(HT40=1,IF(F40=1,IC40+ID40,HR40),0)</f>
        <v>0</v>
      </c>
      <c r="QI40" s="1" t="n">
        <f aca="false">IF(HT40=1,IF(F40=1,HR40-IC40-ID40,0),0)</f>
        <v>0</v>
      </c>
      <c r="QJ40" s="1" t="n">
        <f aca="false">QF40*(1+GR)</f>
        <v>0</v>
      </c>
      <c r="QK40" s="1" t="n">
        <f aca="false">QG40*(1+AS_Cash)</f>
        <v>0</v>
      </c>
      <c r="QL40" s="1" t="n">
        <f aca="false">IF(V40=1,IF(HT40=1,IH40+IK40,W40-QB40)*(1+Slot1_Rate),0)</f>
        <v>0</v>
      </c>
      <c r="QM40" s="1" t="n">
        <f aca="false">IF(AND(HT40=1,V40=1),(IG40+IK40)/E40,0)</f>
        <v>0</v>
      </c>
      <c r="QN40" s="1" t="n">
        <f aca="false">IF(B40=0,IG40+IK40,0)</f>
        <v>0</v>
      </c>
      <c r="QO40" s="1" t="n">
        <f aca="false">IF(B40=0,IF(HT40=1,II40,IJ40),0)</f>
        <v>0</v>
      </c>
      <c r="QP40" s="1" t="n">
        <f aca="false">IF(AG40=1,IF(HT40=1,IP40+IS40,AH40-PZ40)*(1+Slot2_Rate),0)</f>
        <v>0</v>
      </c>
      <c r="QQ40" s="1" t="n">
        <f aca="false">IF(AND(HT40=1,AG40=1),(IO40+IS40)/E40,0)</f>
        <v>0</v>
      </c>
      <c r="QR40" s="1" t="n">
        <f aca="false">IF(B40=0,IO40+IS40,0)</f>
        <v>0</v>
      </c>
      <c r="QS40" s="1" t="n">
        <f aca="false">IF(B40=0,IF(HT40=1,IQ40,IR40),0)</f>
        <v>0</v>
      </c>
      <c r="QT40" s="1" t="n">
        <f aca="false">IF(AQ40=1,IF(HT40=1,IX40+JA40,AR40-PX40)*(1+Slot3_Rate),0)</f>
        <v>0</v>
      </c>
      <c r="QU40" s="1" t="n">
        <f aca="false">IF(AND(HT40=1,AQ40=1),(IW40+JA40)/E40,0)</f>
        <v>0</v>
      </c>
      <c r="QV40" s="1" t="n">
        <f aca="false">IF(B40=0,IW40+JA40,0)</f>
        <v>0</v>
      </c>
      <c r="QW40" s="1" t="n">
        <f aca="false">IF(B40=0,IF(HT40=1,IY40,IZ40),0)</f>
        <v>0</v>
      </c>
      <c r="QX40" s="1" t="n">
        <f aca="false">IF(BA40=1,IF(HT40=1,JF40+JI40,BB40-PV40)*(1+Slot4_Rate),0)</f>
        <v>0</v>
      </c>
      <c r="QY40" s="1" t="n">
        <f aca="false">IF(AND(HT40=1,BA40=1),(JE40+JI40)/E40,0)</f>
        <v>0</v>
      </c>
      <c r="QZ40" s="1" t="n">
        <f aca="false">IF(B40=0,JE40+JI40,0)</f>
        <v>0</v>
      </c>
      <c r="RA40" s="1" t="n">
        <f aca="false">IF(B40=0,IF(HT40=1,JG40,JH40),0)</f>
        <v>0</v>
      </c>
      <c r="RB40" s="1" t="n">
        <f aca="false">IF(BK40=1,IF(HT40=1,JN40+JQ40,BL40-PT40)*(1+Slot5_Rate),0)</f>
        <v>0</v>
      </c>
      <c r="RC40" s="1" t="n">
        <f aca="false">IF(AND(HT40=1,BK40=1),(JM40+JQ40)/E40,0)</f>
        <v>0</v>
      </c>
      <c r="RD40" s="1" t="n">
        <f aca="false">IF(B40=0,JM40+JQ40,0)</f>
        <v>0</v>
      </c>
      <c r="RE40" s="1" t="n">
        <f aca="false">IF(B40=0,IF(HT40=1,JO40,JP40),0)</f>
        <v>0</v>
      </c>
      <c r="RF40" s="1" t="n">
        <f aca="false">IF(BU40=1,IF(HT40=1,JV40+JY40,BV40-PR40)*(1+Slot6_Rate),0)</f>
        <v>0</v>
      </c>
      <c r="RG40" s="1" t="n">
        <f aca="false">IF(AND(HT40=1,BU40=1),(JU40+JY40)/E40,0)</f>
        <v>0</v>
      </c>
      <c r="RH40" s="1" t="n">
        <f aca="false">IF(B40=0,JU40+JY40,0)</f>
        <v>0</v>
      </c>
      <c r="RI40" s="1" t="n">
        <f aca="false">IF(B40=0,IF(HT40=1,JW40,JX40),0)</f>
        <v>0</v>
      </c>
      <c r="RJ40" s="1" t="n">
        <f aca="false">IF(CE40=1,IF(HT40=1,KD40+KG40,CF40-PP40)*(1+Slot7_Rate),0)</f>
        <v>0</v>
      </c>
      <c r="RK40" s="1" t="n">
        <f aca="false">IF(AND(HT40=1,CE40=1),(KC40+KG40)/E40,0)</f>
        <v>0</v>
      </c>
      <c r="RL40" s="1" t="n">
        <f aca="false">IF(B40=0,KC40+KG40,0)</f>
        <v>0</v>
      </c>
      <c r="RM40" s="1" t="n">
        <f aca="false">IF(B40=0,IF(HT40=1,KE40,KF40),0)</f>
        <v>0</v>
      </c>
      <c r="RN40" s="1" t="n">
        <f aca="false">IF(CO40=1,IF(HT40=1,KL40+KO40,CP40-PN40)*(1+Slot8_Rate),0)</f>
        <v>0</v>
      </c>
      <c r="RO40" s="1" t="n">
        <f aca="false">IF(AND(HT40=1,CO40=1),(KK40+KO40)/E40,0)</f>
        <v>0</v>
      </c>
      <c r="RP40" s="1" t="n">
        <f aca="false">IF(B40=0,KK40+KO40,0)</f>
        <v>0</v>
      </c>
      <c r="RQ40" s="1" t="n">
        <f aca="false">IF(B40=0,IF(HT40=1,KM40,KN40),0)</f>
        <v>0</v>
      </c>
      <c r="RR40" s="1" t="n">
        <f aca="false">IF(CY40=1,IF(HT40=1,KT40+KW40,CZ40-PL40)*(1+Slot9_Rate),0)</f>
        <v>0</v>
      </c>
      <c r="RS40" s="1" t="n">
        <f aca="false">IF(AND(HT40=1,CY40=1),(KS40+KW40)/E40,0)</f>
        <v>0</v>
      </c>
      <c r="RT40" s="1" t="n">
        <f aca="false">IF(B40=0,KS40+KW40,0)</f>
        <v>0</v>
      </c>
      <c r="RU40" s="1" t="n">
        <f aca="false">IF(B40=0,IF(HT40=1,KU40,KV40),0)</f>
        <v>0</v>
      </c>
      <c r="RV40" s="1" t="n">
        <f aca="false">IF(DI40=1,IF(HT40=1,LB40+LE40,DJ40-PJ40)*(1+Slot10_Rate),0)</f>
        <v>0</v>
      </c>
      <c r="RW40" s="1" t="n">
        <f aca="false">IF(AND(HT40=1,DI40=1),(LA40+LE40)/E40,0)</f>
        <v>0</v>
      </c>
      <c r="RX40" s="1" t="n">
        <f aca="false">IF(B40=0,LA40+LE40,0)</f>
        <v>0</v>
      </c>
      <c r="RY40" s="1" t="n">
        <f aca="false">IF(B40=0,IF(HT40=1,LC40,LD40),0)</f>
        <v>0</v>
      </c>
      <c r="RZ40" s="1" t="n">
        <f aca="false">IF(DS40=1,IF(HT40=1,LJ40+LM40,DT40-PH40)*(1+Slot11_Rate),0)</f>
        <v>0</v>
      </c>
      <c r="SA40" s="1" t="n">
        <f aca="false">IF(AND(HT40=1,DS40=1),(LI40+LM40)/E40,0)</f>
        <v>0</v>
      </c>
      <c r="SB40" s="1" t="n">
        <f aca="false">IF(B40=0,LI40+LM40,0)</f>
        <v>0</v>
      </c>
      <c r="SC40" s="1" t="n">
        <f aca="false">IF(B40=0,IF(HT40=1,LK40,LL40),0)</f>
        <v>0</v>
      </c>
      <c r="SD40" s="1" t="n">
        <f aca="false">IF(EC40=1,IF(HT40=1,LR40+LU40,ED40-PF40)*(1+Slot12_Rate),0)</f>
        <v>0</v>
      </c>
      <c r="SE40" s="1" t="n">
        <f aca="false">IF(AND(HT40=1,EC40=1),(LQ40+LU40)/E40,0)</f>
        <v>0</v>
      </c>
      <c r="SF40" s="1" t="n">
        <f aca="false">IF(B40=0,LQ40+LU40,0)</f>
        <v>0</v>
      </c>
      <c r="SG40" s="1" t="n">
        <f aca="false">IF(B40=0,IF(HT40=1,LS40,LT40),0)</f>
        <v>0</v>
      </c>
      <c r="SH40" s="1" t="n">
        <f aca="false">IF(EM40=1,IF(HT40=1,LZ40+MC40,EN40-PD40)*(1+Slot13_Rate),0)</f>
        <v>0</v>
      </c>
      <c r="SI40" s="1" t="n">
        <f aca="false">IF(AND(HT40=1,EM40=1),(LY40+MC40)/E40,0)</f>
        <v>0</v>
      </c>
      <c r="SJ40" s="1" t="n">
        <f aca="false">IF(B40=0,LY40+MC40,0)</f>
        <v>0</v>
      </c>
      <c r="SK40" s="1" t="n">
        <f aca="false">IF(B40=0,IF(HT40=1,MA40,MB40),0)</f>
        <v>0</v>
      </c>
      <c r="SL40" s="1" t="n">
        <f aca="false">IF(EW40=1,IF(HT40=1,MH40+MK40,EX40-PB40)*(1+Slot14_Rate),0)</f>
        <v>0</v>
      </c>
      <c r="SM40" s="1" t="n">
        <f aca="false">IF(AND(HT40=1,EW40=1),(MG40+MK40)/E40,0)</f>
        <v>0</v>
      </c>
      <c r="SN40" s="1" t="n">
        <f aca="false">IF(B40=0,MG40+MK40,0)</f>
        <v>0</v>
      </c>
      <c r="SO40" s="1" t="n">
        <f aca="false">IF(B40=0,IF(HT40=1,MI40,MJ40),0)</f>
        <v>0</v>
      </c>
      <c r="SP40" s="1" t="n">
        <f aca="false">IF(FG40=1,IF(HT40=1,MP40+MS40,FH40-OZ40)*(1+Slot15_Rate),0)</f>
        <v>0</v>
      </c>
      <c r="SQ40" s="1" t="n">
        <f aca="false">IF(AND(HT40=1,FG40=1),(MO40+MS40)/E40,0)</f>
        <v>0</v>
      </c>
      <c r="SR40" s="1" t="n">
        <f aca="false">IF(B40=0,MO40+MS40,0)</f>
        <v>0</v>
      </c>
      <c r="SS40" s="1" t="n">
        <f aca="false">IF(B40=0,IF(HT40=1,MQ40,MR40),0)</f>
        <v>0</v>
      </c>
      <c r="ST40" s="1" t="n">
        <f aca="false">IF(FQ40=1,IF(HT40=1,MX40+NA40,FR40-OX40)*(1+Slot16_Rate),0)</f>
        <v>0</v>
      </c>
      <c r="SU40" s="1" t="n">
        <f aca="false">IF(AND(HT40=1,FQ40=1),(MW40+NA40)/E40,0)</f>
        <v>0</v>
      </c>
      <c r="SV40" s="1" t="n">
        <f aca="false">IF(B40=0,MW40+NA40,0)</f>
        <v>0</v>
      </c>
      <c r="SW40" s="1" t="n">
        <f aca="false">IF(B40=0,IF(HT40=1,MY40,MZ40),0)</f>
        <v>0</v>
      </c>
      <c r="SX40" s="1" t="n">
        <f aca="false">IF(GA40=1,IF(HT40=1,NF40+NI40,GB40-OV40)*(1+Slot17_Rate),0)</f>
        <v>0</v>
      </c>
      <c r="SY40" s="1" t="n">
        <f aca="false">IF(AND(HT40=1,GA40=1),(NE40+NI40)/E40,0)</f>
        <v>0</v>
      </c>
      <c r="SZ40" s="1" t="n">
        <f aca="false">IF(B40=0,NE40+NI40,0)</f>
        <v>0</v>
      </c>
      <c r="TA40" s="1" t="n">
        <f aca="false">IF(B40=0,IF(HT40=1,NG40,NH40),0)</f>
        <v>0</v>
      </c>
      <c r="TB40" s="1" t="n">
        <f aca="false">IF(GK40=1,IF(HT40=1,NN40+NQ40,GL40-OT40)*(1+Slot18_Rate),0)</f>
        <v>0</v>
      </c>
      <c r="TC40" s="1" t="n">
        <f aca="false">IF(AND(HT40=1,GK40=1),(NM40+NQ40)/E40,0)</f>
        <v>0</v>
      </c>
      <c r="TD40" s="1" t="n">
        <f aca="false">IF(B40=0,NM40+NQ40,0)</f>
        <v>0</v>
      </c>
      <c r="TE40" s="1" t="n">
        <f aca="false">IF(B40=0,IF(HT40=1,NO40,NP40),0)</f>
        <v>0</v>
      </c>
      <c r="TF40" s="1" t="n">
        <f aca="false">IF(GU40=1,IF(HT40=1,NV40+NY40,GV40-OR40)*(1+Slot19_Rate),0)</f>
        <v>0</v>
      </c>
      <c r="TG40" s="1" t="n">
        <f aca="false">IF(AND(HT40=1,GU40=1),(NU40+NY40)/E40,0)</f>
        <v>0</v>
      </c>
      <c r="TH40" s="1" t="n">
        <f aca="false">IF(B40=0,NU40+NY40,0)</f>
        <v>0</v>
      </c>
      <c r="TI40" s="1" t="n">
        <f aca="false">IF(B40=0,IF(HT40=1,NW40,NX40),0)</f>
        <v>0</v>
      </c>
      <c r="TJ40" s="1" t="n">
        <f aca="false">IF(HE40=1,IF(HT40=1,OD40+OG40,HF40-OP40)*(1+Slot20_Rate),0)</f>
        <v>0</v>
      </c>
      <c r="TK40" s="1" t="n">
        <f aca="false">IF(AND(HT40=1,HE40=1),(OC40+OG40)/E40,0)</f>
        <v>0</v>
      </c>
      <c r="TL40" s="1" t="n">
        <f aca="false">IF(B40=0,OC40+OG40,0)</f>
        <v>0</v>
      </c>
      <c r="TM40" s="1" t="n">
        <f aca="false">IF(B40=0,IF(HT40=1,OE40,OF40),0)</f>
        <v>0</v>
      </c>
      <c r="TN40" s="1" t="n">
        <f aca="false">QJ40+QK40+QL40+QP40+QT40+QX40+RB40+RF40+RJ40+RN40+RR40+RV40+RZ40+SD40+SH40+SL40+SP40+ST40+SX40+TB40+TF40+TJ40</f>
        <v>0</v>
      </c>
      <c r="TO40" s="1" t="n">
        <f aca="false">QD40+HO40</f>
        <v>0</v>
      </c>
      <c r="TP40" s="1" t="n">
        <f aca="false">H40+R40</f>
        <v>0</v>
      </c>
      <c r="TQ40" s="1" t="n">
        <f aca="false">1-F40</f>
        <v>0</v>
      </c>
      <c r="TR40" s="1" t="n">
        <f aca="false">IF(AND(RG_Exists=1,F40=0,C40=1),H40,0)</f>
        <v>0</v>
      </c>
      <c r="TS40" s="1" t="n">
        <f aca="false">IF(AND(RG_Exists=1,F40=0,C40=1),H40-MIN(QD40,H40),0)</f>
        <v>0</v>
      </c>
      <c r="TT40" s="1" t="n">
        <f aca="false">'Plan pay &amp; tax'!AD266</f>
        <v>0</v>
      </c>
      <c r="TU40" s="1" t="n">
        <f aca="false">IF(AND(C40=1,QD40&gt;MAX(PR_Short1,TP40*PR_Short2)),1,0)</f>
        <v>0</v>
      </c>
      <c r="TV40" s="1" t="n">
        <f aca="false">MIN(G40,H40+R40)</f>
        <v>0</v>
      </c>
      <c r="TW40" s="1" t="n">
        <f aca="false">QE40+MAX(0,HP40-HO40)</f>
        <v>0</v>
      </c>
      <c r="TX40" s="1" t="n">
        <f aca="false">QD40+HO40</f>
        <v>0</v>
      </c>
      <c r="TY40" s="1" t="n">
        <f aca="false">IF(AND(C40=1,TX40&gt;PR_MinShort),1,0)</f>
        <v>0</v>
      </c>
      <c r="TZ40" s="1" t="n">
        <f aca="false">IF(AND(C40=1,TY40=0,TW40&gt;PR_MinShort),1,0)</f>
        <v>0</v>
      </c>
      <c r="UA40" s="1" t="n">
        <f aca="false">IF(AND(C40=1,QD40&gt;PR_MinShort),1,0)</f>
        <v>0</v>
      </c>
      <c r="UB40" s="1" t="n">
        <f aca="false">IF(AND(C40=1,QE40&gt;1,UI40=0),1,0)</f>
        <v>0</v>
      </c>
      <c r="UC40" s="1" t="str">
        <f aca="false">IF(C40=0,"",IF(UI40=1,"Gap to plan for: short "&amp;"€"&amp;TEXT(ROUND(TO40,0),"#,##0"),IF(QE40&gt;1,"Using savings","Comfortable")))</f>
        <v>Comfortable</v>
      </c>
      <c r="UD40" s="1" t="n">
        <f aca="false">IF(AND(INT(D40/10)*10=90,B40&gt;0),80,INT(D40/10)*10)</f>
        <v>30</v>
      </c>
      <c r="UE40" s="1" t="n">
        <f aca="false">IF(B40=0,1,IF(UD40&lt;&gt;UD39,UE39+1,UE39))</f>
        <v>4</v>
      </c>
      <c r="UF40" s="1" t="n">
        <f aca="false">IF(AND(C40=1,F40=1,QD40&gt;MAX(PR_Short1,TP40*PR_Short2)),1,0)</f>
        <v>0</v>
      </c>
      <c r="UG40" s="1" t="n">
        <f aca="false">TQ40*TU40</f>
        <v>0</v>
      </c>
      <c r="UH40" s="1" t="n">
        <f aca="false">IF(AND(U40=1,Slot1_PctLow=1),1,0)+IF(AND(AF40=1,Slot2_PctLow=1),1,0)+IF(AND(AP40=1,Slot3_PctLow=1),1,0)+IF(AND(AZ40=1,Slot4_PctLow=1),1,0)+IF(AND(BJ40=1,Slot5_PctLow=1),1,0)+IF(AND(BT40=1,Slot6_PctLow=1),1,0)+IF(AND(CD40=1,Slot7_PctLow=1),1,0)+IF(AND(CN40=1,Slot8_PctLow=1),1,0)+IF(AND(CX40=1,Slot9_PctLow=1),1,0)+IF(AND(DH40=1,Slot10_PctLow=1),1,0)+IF(AND(DR40=1,Slot11_PctLow=1),1,0)+IF(AND(EB40=1,Slot12_PctLow=1),1,0)+IF(AND(EL40=1,Slot13_PctLow=1),1,0)+IF(AND(EV40=1,Slot14_PctLow=1),1,0)+IF(AND(FF40=1,Slot15_PctLow=1),1,0)+IF(AND(FP40=1,Slot16_PctLow=1),1,0)+IF(AND(FZ40=1,Slot17_PctLow=1),1,0)+IF(AND(GJ40=1,Slot18_PctLow=1),1,0)+IF(AND(GT40=1,Slot19_PctLow=1),1,0)+IF(AND(HD40=1,Slot20_PctLow=1),1,0)</f>
        <v>0</v>
      </c>
      <c r="UI40" s="1" t="n">
        <f aca="false">IF(C40=1,IF(OR(TU40=1,UH40&gt;0),1,0),0)</f>
        <v>0</v>
      </c>
    </row>
    <row r="41" customFormat="false" ht="15" hidden="false" customHeight="true" outlineLevel="0" collapsed="false">
      <c r="B41" s="1" t="n">
        <v>33</v>
      </c>
      <c r="C41" s="1" t="n">
        <f aca="false">IF(B41&lt;=F_N,1,0)</f>
        <v>1</v>
      </c>
      <c r="D41" s="1" t="n">
        <f aca="false">'Plan pay &amp; tax'!C267</f>
        <v>33</v>
      </c>
      <c r="E41" s="111" t="n">
        <f aca="false">'Plan pay &amp; tax'!E267</f>
        <v>1.92223140394315</v>
      </c>
      <c r="F41" s="1" t="n">
        <f aca="false">'Plan pay &amp; tax'!G267</f>
        <v>1</v>
      </c>
      <c r="G41" s="1" t="n">
        <f aca="false">'Plan pay &amp; tax'!BT267-'Plan pay &amp; tax'!BS267-'Plan pay &amp; tax'!R267</f>
        <v>0</v>
      </c>
      <c r="H41" s="1" t="n">
        <f aca="false">IF(F41=1,F_CostsM*12,IF(RG_Exists=1,RG_Amount,F_CostsM*12*AS_RetireSpend))*E41+F_OneOffY*E41</f>
        <v>0</v>
      </c>
      <c r="I41" s="1" t="n">
        <f aca="false">HQ40</f>
        <v>0</v>
      </c>
      <c r="J41" s="1" t="n">
        <f aca="false">IF(I41&gt;1,'Plan debt months'!AC41,0)</f>
        <v>0</v>
      </c>
      <c r="K41" s="1" t="n">
        <f aca="false">IF(I41&gt;1,'Plan debt months'!AB41,I41)</f>
        <v>0</v>
      </c>
      <c r="L41" s="1" t="n">
        <f aca="false">N40</f>
        <v>0</v>
      </c>
      <c r="M41" s="1" t="n">
        <f aca="false">IF(L41&gt;1,'Plan debt months'!BD41,0)</f>
        <v>0</v>
      </c>
      <c r="N41" s="1" t="n">
        <f aca="false">IF(L41&gt;1,'Plan debt months'!BC41,L41)</f>
        <v>0</v>
      </c>
      <c r="O41" s="1" t="n">
        <f aca="false">Q40</f>
        <v>0</v>
      </c>
      <c r="P41" s="1" t="n">
        <f aca="false">IF(O41&gt;1,'Plan debt months'!CE41,0)</f>
        <v>0</v>
      </c>
      <c r="Q41" s="1" t="n">
        <f aca="false">IF(O41&gt;1,'Plan debt months'!CD41,O41)</f>
        <v>0</v>
      </c>
      <c r="R41" s="1" t="n">
        <f aca="false">J41+M41+P41</f>
        <v>0</v>
      </c>
      <c r="S41" s="1" t="n">
        <f aca="false">QJ40+'Plan pay &amp; tax'!Y267</f>
        <v>0</v>
      </c>
      <c r="T41" s="1" t="n">
        <f aca="false">QJ40</f>
        <v>0</v>
      </c>
      <c r="U41" s="1" t="n">
        <f aca="false">IF(AND(Slot1_On=1,D41=Slot1_Age),1,0)</f>
        <v>0</v>
      </c>
      <c r="V41" s="1" t="n">
        <f aca="false">IF(AND(Slot1_On=1,Slot1_Age&gt;D41),1,0)</f>
        <v>0</v>
      </c>
      <c r="W41" s="1" t="n">
        <f aca="false">QL40</f>
        <v>0</v>
      </c>
      <c r="X41" s="1" t="n">
        <f aca="false">U41*MIN(Slot1_Cost,W41)</f>
        <v>0</v>
      </c>
      <c r="Y41" s="1" t="n">
        <f aca="false">U41*Slot1_SpendLike*MIN(Slot1_Cost-X41,S41)</f>
        <v>0</v>
      </c>
      <c r="Z41" s="1" t="n">
        <f aca="false">X41+Y41</f>
        <v>0</v>
      </c>
      <c r="AA41" s="1" t="n">
        <f aca="false">S41-Y41+U41*IF(Slot1_SpendLike=1,W41-X41,IF(Slot1_PotFree=1,W41,0))</f>
        <v>0</v>
      </c>
      <c r="AB41" s="1" t="n">
        <f aca="false">AE41+U41*Slot1_BufPot*W41</f>
        <v>0</v>
      </c>
      <c r="AC41" s="1" t="n">
        <f aca="false">IF(AND(U41=1,Slot1_IsMfree=1),IF(Z41&gt;=Slot1_Cost-1,0,MAX(0,K41-Z41)),K41)</f>
        <v>0</v>
      </c>
      <c r="AD41" s="1" t="n">
        <f aca="false">U41*(Slot1_Cost-Z41)</f>
        <v>0</v>
      </c>
      <c r="AE41" s="1" t="n">
        <f aca="false">QK40</f>
        <v>0</v>
      </c>
      <c r="AF41" s="1" t="n">
        <f aca="false">IF(AND(Slot2_On=1,D41=Slot2_Age),1,0)</f>
        <v>0</v>
      </c>
      <c r="AG41" s="1" t="n">
        <f aca="false">IF(AND(Slot2_On=1,Slot2_Age&gt;D41),1,0)</f>
        <v>0</v>
      </c>
      <c r="AH41" s="1" t="n">
        <f aca="false">QP40</f>
        <v>0</v>
      </c>
      <c r="AI41" s="1" t="n">
        <f aca="false">AF41*MIN(Slot2_Cost,AH41)</f>
        <v>0</v>
      </c>
      <c r="AJ41" s="1" t="n">
        <f aca="false">AF41*Slot2_SpendLike*MIN(Slot2_Cost-AI41,AA41)</f>
        <v>0</v>
      </c>
      <c r="AK41" s="1" t="n">
        <f aca="false">AI41+AJ41</f>
        <v>0</v>
      </c>
      <c r="AL41" s="1" t="n">
        <f aca="false">AA41-AJ41+AF41*IF(Slot2_SpendLike=1,AH41-AI41,IF(Slot2_PotFree=1,AH41,0))</f>
        <v>0</v>
      </c>
      <c r="AM41" s="1" t="n">
        <f aca="false">AB41+AF41*Slot2_BufPot*AH41</f>
        <v>0</v>
      </c>
      <c r="AN41" s="1" t="n">
        <f aca="false">IF(AND(AF41=1,Slot2_IsMfree=1),IF(AK41&gt;=Slot2_Cost-1,0,MAX(0,AC41-AK41)),AC41)</f>
        <v>0</v>
      </c>
      <c r="AO41" s="1" t="n">
        <f aca="false">AF41*(Slot2_Cost-AK41)</f>
        <v>0</v>
      </c>
      <c r="AP41" s="1" t="n">
        <f aca="false">IF(AND(Slot3_On=1,D41=Slot3_Age),1,0)</f>
        <v>0</v>
      </c>
      <c r="AQ41" s="1" t="n">
        <f aca="false">IF(AND(Slot3_On=1,Slot3_Age&gt;D41),1,0)</f>
        <v>0</v>
      </c>
      <c r="AR41" s="1" t="n">
        <f aca="false">QT40</f>
        <v>0</v>
      </c>
      <c r="AS41" s="1" t="n">
        <f aca="false">AP41*MIN(Slot3_Cost,AR41)</f>
        <v>0</v>
      </c>
      <c r="AT41" s="1" t="n">
        <f aca="false">AP41*Slot3_SpendLike*MIN(Slot3_Cost-AS41,AL41)</f>
        <v>0</v>
      </c>
      <c r="AU41" s="1" t="n">
        <f aca="false">AS41+AT41</f>
        <v>0</v>
      </c>
      <c r="AV41" s="1" t="n">
        <f aca="false">AL41-AT41+AP41*IF(Slot3_SpendLike=1,AR41-AS41,IF(Slot3_PotFree=1,AR41,0))</f>
        <v>0</v>
      </c>
      <c r="AW41" s="1" t="n">
        <f aca="false">AM41+AP41*Slot3_BufPot*AR41</f>
        <v>0</v>
      </c>
      <c r="AX41" s="1" t="n">
        <f aca="false">IF(AND(AP41=1,Slot3_IsMfree=1),IF(AU41&gt;=Slot3_Cost-1,0,MAX(0,AN41-AU41)),AN41)</f>
        <v>0</v>
      </c>
      <c r="AY41" s="1" t="n">
        <f aca="false">AP41*(Slot3_Cost-AU41)</f>
        <v>0</v>
      </c>
      <c r="AZ41" s="1" t="n">
        <f aca="false">IF(AND(Slot4_On=1,D41=Slot4_Age),1,0)</f>
        <v>0</v>
      </c>
      <c r="BA41" s="1" t="n">
        <f aca="false">IF(AND(Slot4_On=1,Slot4_Age&gt;D41),1,0)</f>
        <v>0</v>
      </c>
      <c r="BB41" s="1" t="n">
        <f aca="false">QX40</f>
        <v>0</v>
      </c>
      <c r="BC41" s="1" t="n">
        <f aca="false">AZ41*MIN(Slot4_Cost,BB41)</f>
        <v>0</v>
      </c>
      <c r="BD41" s="1" t="n">
        <f aca="false">AZ41*Slot4_SpendLike*MIN(Slot4_Cost-BC41,AV41)</f>
        <v>0</v>
      </c>
      <c r="BE41" s="1" t="n">
        <f aca="false">BC41+BD41</f>
        <v>0</v>
      </c>
      <c r="BF41" s="1" t="n">
        <f aca="false">AV41-BD41+AZ41*IF(Slot4_SpendLike=1,BB41-BC41,IF(Slot4_PotFree=1,BB41,0))</f>
        <v>0</v>
      </c>
      <c r="BG41" s="1" t="n">
        <f aca="false">AW41+AZ41*Slot4_BufPot*BB41</f>
        <v>0</v>
      </c>
      <c r="BH41" s="1" t="n">
        <f aca="false">IF(AND(AZ41=1,Slot4_IsMfree=1),IF(BE41&gt;=Slot4_Cost-1,0,MAX(0,AX41-BE41)),AX41)</f>
        <v>0</v>
      </c>
      <c r="BI41" s="1" t="n">
        <f aca="false">AZ41*(Slot4_Cost-BE41)</f>
        <v>0</v>
      </c>
      <c r="BJ41" s="1" t="n">
        <f aca="false">IF(AND(Slot5_On=1,D41=Slot5_Age),1,0)</f>
        <v>0</v>
      </c>
      <c r="BK41" s="1" t="n">
        <f aca="false">IF(AND(Slot5_On=1,Slot5_Age&gt;D41),1,0)</f>
        <v>0</v>
      </c>
      <c r="BL41" s="1" t="n">
        <f aca="false">RB40</f>
        <v>0</v>
      </c>
      <c r="BM41" s="1" t="n">
        <f aca="false">BJ41*MIN(Slot5_Cost,BL41)</f>
        <v>0</v>
      </c>
      <c r="BN41" s="1" t="n">
        <f aca="false">BJ41*Slot5_SpendLike*MIN(Slot5_Cost-BM41,BF41)</f>
        <v>0</v>
      </c>
      <c r="BO41" s="1" t="n">
        <f aca="false">BM41+BN41</f>
        <v>0</v>
      </c>
      <c r="BP41" s="1" t="n">
        <f aca="false">BF41-BN41+BJ41*IF(Slot5_SpendLike=1,BL41-BM41,IF(Slot5_PotFree=1,BL41,0))</f>
        <v>0</v>
      </c>
      <c r="BQ41" s="1" t="n">
        <f aca="false">BG41+BJ41*Slot5_BufPot*BL41</f>
        <v>0</v>
      </c>
      <c r="BR41" s="1" t="n">
        <f aca="false">IF(AND(BJ41=1,Slot5_IsMfree=1),IF(BO41&gt;=Slot5_Cost-1,0,MAX(0,BH41-BO41)),BH41)</f>
        <v>0</v>
      </c>
      <c r="BS41" s="1" t="n">
        <f aca="false">BJ41*(Slot5_Cost-BO41)</f>
        <v>0</v>
      </c>
      <c r="BT41" s="1" t="n">
        <f aca="false">IF(AND(Slot6_On=1,D41=Slot6_Age),1,0)</f>
        <v>0</v>
      </c>
      <c r="BU41" s="1" t="n">
        <f aca="false">IF(AND(Slot6_On=1,Slot6_Age&gt;D41),1,0)</f>
        <v>0</v>
      </c>
      <c r="BV41" s="1" t="n">
        <f aca="false">RF40</f>
        <v>0</v>
      </c>
      <c r="BW41" s="1" t="n">
        <f aca="false">BT41*MIN(Slot6_Cost,BV41)</f>
        <v>0</v>
      </c>
      <c r="BX41" s="1" t="n">
        <f aca="false">BT41*Slot6_SpendLike*MIN(Slot6_Cost-BW41,BP41)</f>
        <v>0</v>
      </c>
      <c r="BY41" s="1" t="n">
        <f aca="false">BW41+BX41</f>
        <v>0</v>
      </c>
      <c r="BZ41" s="1" t="n">
        <f aca="false">BP41-BX41+BT41*IF(Slot6_SpendLike=1,BV41-BW41,IF(Slot6_PotFree=1,BV41,0))</f>
        <v>0</v>
      </c>
      <c r="CA41" s="1" t="n">
        <f aca="false">BQ41+BT41*Slot6_BufPot*BV41</f>
        <v>0</v>
      </c>
      <c r="CB41" s="1" t="n">
        <f aca="false">IF(AND(BT41=1,Slot6_IsMfree=1),IF(BY41&gt;=Slot6_Cost-1,0,MAX(0,BR41-BY41)),BR41)</f>
        <v>0</v>
      </c>
      <c r="CC41" s="1" t="n">
        <f aca="false">BT41*(Slot6_Cost-BY41)</f>
        <v>0</v>
      </c>
      <c r="CD41" s="1" t="n">
        <f aca="false">IF(AND(Slot7_On=1,D41=Slot7_Age),1,0)</f>
        <v>0</v>
      </c>
      <c r="CE41" s="1" t="n">
        <f aca="false">IF(AND(Slot7_On=1,Slot7_Age&gt;D41),1,0)</f>
        <v>0</v>
      </c>
      <c r="CF41" s="1" t="n">
        <f aca="false">RJ40</f>
        <v>0</v>
      </c>
      <c r="CG41" s="1" t="n">
        <f aca="false">CD41*MIN(Slot7_Cost,CF41)</f>
        <v>0</v>
      </c>
      <c r="CH41" s="1" t="n">
        <f aca="false">CD41*Slot7_SpendLike*MIN(Slot7_Cost-CG41,BZ41)</f>
        <v>0</v>
      </c>
      <c r="CI41" s="1" t="n">
        <f aca="false">CG41+CH41</f>
        <v>0</v>
      </c>
      <c r="CJ41" s="1" t="n">
        <f aca="false">BZ41-CH41+CD41*IF(Slot7_SpendLike=1,CF41-CG41,IF(Slot7_PotFree=1,CF41,0))</f>
        <v>0</v>
      </c>
      <c r="CK41" s="1" t="n">
        <f aca="false">CA41+CD41*Slot7_BufPot*CF41</f>
        <v>0</v>
      </c>
      <c r="CL41" s="1" t="n">
        <f aca="false">IF(AND(CD41=1,Slot7_IsMfree=1),IF(CI41&gt;=Slot7_Cost-1,0,MAX(0,CB41-CI41)),CB41)</f>
        <v>0</v>
      </c>
      <c r="CM41" s="1" t="n">
        <f aca="false">CD41*(Slot7_Cost-CI41)</f>
        <v>0</v>
      </c>
      <c r="CN41" s="1" t="n">
        <f aca="false">IF(AND(Slot8_On=1,D41=Slot8_Age),1,0)</f>
        <v>0</v>
      </c>
      <c r="CO41" s="1" t="n">
        <f aca="false">IF(AND(Slot8_On=1,Slot8_Age&gt;D41),1,0)</f>
        <v>0</v>
      </c>
      <c r="CP41" s="1" t="n">
        <f aca="false">RN40</f>
        <v>0</v>
      </c>
      <c r="CQ41" s="1" t="n">
        <f aca="false">CN41*MIN(Slot8_Cost,CP41)</f>
        <v>0</v>
      </c>
      <c r="CR41" s="1" t="n">
        <f aca="false">CN41*Slot8_SpendLike*MIN(Slot8_Cost-CQ41,CJ41)</f>
        <v>0</v>
      </c>
      <c r="CS41" s="1" t="n">
        <f aca="false">CQ41+CR41</f>
        <v>0</v>
      </c>
      <c r="CT41" s="1" t="n">
        <f aca="false">CJ41-CR41+CN41*IF(Slot8_SpendLike=1,CP41-CQ41,IF(Slot8_PotFree=1,CP41,0))</f>
        <v>0</v>
      </c>
      <c r="CU41" s="1" t="n">
        <f aca="false">CK41+CN41*Slot8_BufPot*CP41</f>
        <v>0</v>
      </c>
      <c r="CV41" s="1" t="n">
        <f aca="false">IF(AND(CN41=1,Slot8_IsMfree=1),IF(CS41&gt;=Slot8_Cost-1,0,MAX(0,CL41-CS41)),CL41)</f>
        <v>0</v>
      </c>
      <c r="CW41" s="1" t="n">
        <f aca="false">CN41*(Slot8_Cost-CS41)</f>
        <v>0</v>
      </c>
      <c r="CX41" s="1" t="n">
        <f aca="false">IF(AND(Slot9_On=1,D41=Slot9_Age),1,0)</f>
        <v>0</v>
      </c>
      <c r="CY41" s="1" t="n">
        <f aca="false">IF(AND(Slot9_On=1,Slot9_Age&gt;D41),1,0)</f>
        <v>0</v>
      </c>
      <c r="CZ41" s="1" t="n">
        <f aca="false">RR40</f>
        <v>0</v>
      </c>
      <c r="DA41" s="1" t="n">
        <f aca="false">CX41*MIN(Slot9_Cost,CZ41)</f>
        <v>0</v>
      </c>
      <c r="DB41" s="1" t="n">
        <f aca="false">CX41*Slot9_SpendLike*MIN(Slot9_Cost-DA41,CT41)</f>
        <v>0</v>
      </c>
      <c r="DC41" s="1" t="n">
        <f aca="false">DA41+DB41</f>
        <v>0</v>
      </c>
      <c r="DD41" s="1" t="n">
        <f aca="false">CT41-DB41+CX41*IF(Slot9_SpendLike=1,CZ41-DA41,IF(Slot9_PotFree=1,CZ41,0))</f>
        <v>0</v>
      </c>
      <c r="DE41" s="1" t="n">
        <f aca="false">CU41+CX41*Slot9_BufPot*CZ41</f>
        <v>0</v>
      </c>
      <c r="DF41" s="1" t="n">
        <f aca="false">IF(AND(CX41=1,Slot9_IsMfree=1),IF(DC41&gt;=Slot9_Cost-1,0,MAX(0,CV41-DC41)),CV41)</f>
        <v>0</v>
      </c>
      <c r="DG41" s="1" t="n">
        <f aca="false">CX41*(Slot9_Cost-DC41)</f>
        <v>0</v>
      </c>
      <c r="DH41" s="1" t="n">
        <f aca="false">IF(AND(Slot10_On=1,D41=Slot10_Age),1,0)</f>
        <v>0</v>
      </c>
      <c r="DI41" s="1" t="n">
        <f aca="false">IF(AND(Slot10_On=1,Slot10_Age&gt;D41),1,0)</f>
        <v>0</v>
      </c>
      <c r="DJ41" s="1" t="n">
        <f aca="false">RV40</f>
        <v>0</v>
      </c>
      <c r="DK41" s="1" t="n">
        <f aca="false">DH41*MIN(Slot10_Cost,DJ41)</f>
        <v>0</v>
      </c>
      <c r="DL41" s="1" t="n">
        <f aca="false">DH41*Slot10_SpendLike*MIN(Slot10_Cost-DK41,DD41)</f>
        <v>0</v>
      </c>
      <c r="DM41" s="1" t="n">
        <f aca="false">DK41+DL41</f>
        <v>0</v>
      </c>
      <c r="DN41" s="1" t="n">
        <f aca="false">DD41-DL41+DH41*IF(Slot10_SpendLike=1,DJ41-DK41,IF(Slot10_PotFree=1,DJ41,0))</f>
        <v>0</v>
      </c>
      <c r="DO41" s="1" t="n">
        <f aca="false">DE41+DH41*Slot10_BufPot*DJ41</f>
        <v>0</v>
      </c>
      <c r="DP41" s="1" t="n">
        <f aca="false">IF(AND(DH41=1,Slot10_IsMfree=1),IF(DM41&gt;=Slot10_Cost-1,0,MAX(0,DF41-DM41)),DF41)</f>
        <v>0</v>
      </c>
      <c r="DQ41" s="1" t="n">
        <f aca="false">DH41*(Slot10_Cost-DM41)</f>
        <v>0</v>
      </c>
      <c r="DR41" s="1" t="n">
        <f aca="false">IF(AND(Slot11_On=1,D41=Slot11_Age),1,0)</f>
        <v>0</v>
      </c>
      <c r="DS41" s="1" t="n">
        <f aca="false">IF(AND(Slot11_On=1,Slot11_Age&gt;D41),1,0)</f>
        <v>0</v>
      </c>
      <c r="DT41" s="1" t="n">
        <f aca="false">RZ40</f>
        <v>0</v>
      </c>
      <c r="DU41" s="1" t="n">
        <f aca="false">DR41*MIN(Slot11_Cost,DT41)</f>
        <v>0</v>
      </c>
      <c r="DV41" s="1" t="n">
        <f aca="false">DR41*Slot11_SpendLike*MIN(Slot11_Cost-DU41,DN41)</f>
        <v>0</v>
      </c>
      <c r="DW41" s="1" t="n">
        <f aca="false">DU41+DV41</f>
        <v>0</v>
      </c>
      <c r="DX41" s="1" t="n">
        <f aca="false">DN41-DV41+DR41*IF(Slot11_SpendLike=1,DT41-DU41,IF(Slot11_PotFree=1,DT41,0))</f>
        <v>0</v>
      </c>
      <c r="DY41" s="1" t="n">
        <f aca="false">DO41+DR41*Slot11_BufPot*DT41</f>
        <v>0</v>
      </c>
      <c r="DZ41" s="1" t="n">
        <f aca="false">IF(AND(DR41=1,Slot11_IsMfree=1),IF(DW41&gt;=Slot11_Cost-1,0,MAX(0,DP41-DW41)),DP41)</f>
        <v>0</v>
      </c>
      <c r="EA41" s="1" t="n">
        <f aca="false">DR41*(Slot11_Cost-DW41)</f>
        <v>0</v>
      </c>
      <c r="EB41" s="1" t="n">
        <f aca="false">IF(AND(Slot12_On=1,D41=Slot12_Age),1,0)</f>
        <v>0</v>
      </c>
      <c r="EC41" s="1" t="n">
        <f aca="false">IF(AND(Slot12_On=1,Slot12_Age&gt;D41),1,0)</f>
        <v>0</v>
      </c>
      <c r="ED41" s="1" t="n">
        <f aca="false">SD40</f>
        <v>0</v>
      </c>
      <c r="EE41" s="1" t="n">
        <f aca="false">EB41*MIN(Slot12_Cost,ED41)</f>
        <v>0</v>
      </c>
      <c r="EF41" s="1" t="n">
        <f aca="false">EB41*Slot12_SpendLike*MIN(Slot12_Cost-EE41,DX41)</f>
        <v>0</v>
      </c>
      <c r="EG41" s="1" t="n">
        <f aca="false">EE41+EF41</f>
        <v>0</v>
      </c>
      <c r="EH41" s="1" t="n">
        <f aca="false">DX41-EF41+EB41*IF(Slot12_SpendLike=1,ED41-EE41,IF(Slot12_PotFree=1,ED41,0))</f>
        <v>0</v>
      </c>
      <c r="EI41" s="1" t="n">
        <f aca="false">DY41+EB41*Slot12_BufPot*ED41</f>
        <v>0</v>
      </c>
      <c r="EJ41" s="1" t="n">
        <f aca="false">IF(AND(EB41=1,Slot12_IsMfree=1),IF(EG41&gt;=Slot12_Cost-1,0,MAX(0,DZ41-EG41)),DZ41)</f>
        <v>0</v>
      </c>
      <c r="EK41" s="1" t="n">
        <f aca="false">EB41*(Slot12_Cost-EG41)</f>
        <v>0</v>
      </c>
      <c r="EL41" s="1" t="n">
        <f aca="false">IF(AND(Slot13_On=1,D41=Slot13_Age),1,0)</f>
        <v>0</v>
      </c>
      <c r="EM41" s="1" t="n">
        <f aca="false">IF(AND(Slot13_On=1,Slot13_Age&gt;D41),1,0)</f>
        <v>0</v>
      </c>
      <c r="EN41" s="1" t="n">
        <f aca="false">SH40</f>
        <v>0</v>
      </c>
      <c r="EO41" s="1" t="n">
        <f aca="false">EL41*MIN(Slot13_Cost,EN41)</f>
        <v>0</v>
      </c>
      <c r="EP41" s="1" t="n">
        <f aca="false">EL41*Slot13_SpendLike*MIN(Slot13_Cost-EO41,EH41)</f>
        <v>0</v>
      </c>
      <c r="EQ41" s="1" t="n">
        <f aca="false">EO41+EP41</f>
        <v>0</v>
      </c>
      <c r="ER41" s="1" t="n">
        <f aca="false">EH41-EP41+EL41*IF(Slot13_SpendLike=1,EN41-EO41,IF(Slot13_PotFree=1,EN41,0))</f>
        <v>0</v>
      </c>
      <c r="ES41" s="1" t="n">
        <f aca="false">EI41+EL41*Slot13_BufPot*EN41</f>
        <v>0</v>
      </c>
      <c r="ET41" s="1" t="n">
        <f aca="false">IF(AND(EL41=1,Slot13_IsMfree=1),IF(EQ41&gt;=Slot13_Cost-1,0,MAX(0,EJ41-EQ41)),EJ41)</f>
        <v>0</v>
      </c>
      <c r="EU41" s="1" t="n">
        <f aca="false">EL41*(Slot13_Cost-EQ41)</f>
        <v>0</v>
      </c>
      <c r="EV41" s="1" t="n">
        <f aca="false">IF(AND(Slot14_On=1,D41=Slot14_Age),1,0)</f>
        <v>0</v>
      </c>
      <c r="EW41" s="1" t="n">
        <f aca="false">IF(AND(Slot14_On=1,Slot14_Age&gt;D41),1,0)</f>
        <v>0</v>
      </c>
      <c r="EX41" s="1" t="n">
        <f aca="false">SL40</f>
        <v>0</v>
      </c>
      <c r="EY41" s="1" t="n">
        <f aca="false">EV41*MIN(Slot14_Cost,EX41)</f>
        <v>0</v>
      </c>
      <c r="EZ41" s="1" t="n">
        <f aca="false">EV41*Slot14_SpendLike*MIN(Slot14_Cost-EY41,ER41)</f>
        <v>0</v>
      </c>
      <c r="FA41" s="1" t="n">
        <f aca="false">EY41+EZ41</f>
        <v>0</v>
      </c>
      <c r="FB41" s="1" t="n">
        <f aca="false">ER41-EZ41+EV41*IF(Slot14_SpendLike=1,EX41-EY41,IF(Slot14_PotFree=1,EX41,0))</f>
        <v>0</v>
      </c>
      <c r="FC41" s="1" t="n">
        <f aca="false">ES41+EV41*Slot14_BufPot*EX41</f>
        <v>0</v>
      </c>
      <c r="FD41" s="1" t="n">
        <f aca="false">IF(AND(EV41=1,Slot14_IsMfree=1),IF(FA41&gt;=Slot14_Cost-1,0,MAX(0,ET41-FA41)),ET41)</f>
        <v>0</v>
      </c>
      <c r="FE41" s="1" t="n">
        <f aca="false">EV41*(Slot14_Cost-FA41)</f>
        <v>0</v>
      </c>
      <c r="FF41" s="1" t="n">
        <f aca="false">IF(AND(Slot15_On=1,D41=Slot15_Age),1,0)</f>
        <v>0</v>
      </c>
      <c r="FG41" s="1" t="n">
        <f aca="false">IF(AND(Slot15_On=1,Slot15_Age&gt;D41),1,0)</f>
        <v>0</v>
      </c>
      <c r="FH41" s="1" t="n">
        <f aca="false">SP40</f>
        <v>0</v>
      </c>
      <c r="FI41" s="1" t="n">
        <f aca="false">FF41*MIN(Slot15_Cost,FH41)</f>
        <v>0</v>
      </c>
      <c r="FJ41" s="1" t="n">
        <f aca="false">FF41*Slot15_SpendLike*MIN(Slot15_Cost-FI41,FB41)</f>
        <v>0</v>
      </c>
      <c r="FK41" s="1" t="n">
        <f aca="false">FI41+FJ41</f>
        <v>0</v>
      </c>
      <c r="FL41" s="1" t="n">
        <f aca="false">FB41-FJ41+FF41*IF(Slot15_SpendLike=1,FH41-FI41,IF(Slot15_PotFree=1,FH41,0))</f>
        <v>0</v>
      </c>
      <c r="FM41" s="1" t="n">
        <f aca="false">FC41+FF41*Slot15_BufPot*FH41</f>
        <v>0</v>
      </c>
      <c r="FN41" s="1" t="n">
        <f aca="false">IF(AND(FF41=1,Slot15_IsMfree=1),IF(FK41&gt;=Slot15_Cost-1,0,MAX(0,FD41-FK41)),FD41)</f>
        <v>0</v>
      </c>
      <c r="FO41" s="1" t="n">
        <f aca="false">FF41*(Slot15_Cost-FK41)</f>
        <v>0</v>
      </c>
      <c r="FP41" s="1" t="n">
        <f aca="false">IF(AND(Slot16_On=1,D41=Slot16_Age),1,0)</f>
        <v>0</v>
      </c>
      <c r="FQ41" s="1" t="n">
        <f aca="false">IF(AND(Slot16_On=1,Slot16_Age&gt;D41),1,0)</f>
        <v>0</v>
      </c>
      <c r="FR41" s="1" t="n">
        <f aca="false">ST40</f>
        <v>0</v>
      </c>
      <c r="FS41" s="1" t="n">
        <f aca="false">FP41*MIN(Slot16_Cost,FR41)</f>
        <v>0</v>
      </c>
      <c r="FT41" s="1" t="n">
        <f aca="false">FP41*Slot16_SpendLike*MIN(Slot16_Cost-FS41,FL41)</f>
        <v>0</v>
      </c>
      <c r="FU41" s="1" t="n">
        <f aca="false">FS41+FT41</f>
        <v>0</v>
      </c>
      <c r="FV41" s="1" t="n">
        <f aca="false">FL41-FT41+FP41*IF(Slot16_SpendLike=1,FR41-FS41,IF(Slot16_PotFree=1,FR41,0))</f>
        <v>0</v>
      </c>
      <c r="FW41" s="1" t="n">
        <f aca="false">FM41+FP41*Slot16_BufPot*FR41</f>
        <v>0</v>
      </c>
      <c r="FX41" s="1" t="n">
        <f aca="false">IF(AND(FP41=1,Slot16_IsMfree=1),IF(FU41&gt;=Slot16_Cost-1,0,MAX(0,FN41-FU41)),FN41)</f>
        <v>0</v>
      </c>
      <c r="FY41" s="1" t="n">
        <f aca="false">FP41*(Slot16_Cost-FU41)</f>
        <v>0</v>
      </c>
      <c r="FZ41" s="1" t="n">
        <f aca="false">IF(AND(Slot17_On=1,D41=Slot17_Age),1,0)</f>
        <v>0</v>
      </c>
      <c r="GA41" s="1" t="n">
        <f aca="false">IF(AND(Slot17_On=1,Slot17_Age&gt;D41),1,0)</f>
        <v>0</v>
      </c>
      <c r="GB41" s="1" t="n">
        <f aca="false">SX40</f>
        <v>0</v>
      </c>
      <c r="GC41" s="1" t="n">
        <f aca="false">FZ41*MIN(Slot17_Cost,GB41)</f>
        <v>0</v>
      </c>
      <c r="GD41" s="1" t="n">
        <f aca="false">FZ41*Slot17_SpendLike*MIN(Slot17_Cost-GC41,FV41)</f>
        <v>0</v>
      </c>
      <c r="GE41" s="1" t="n">
        <f aca="false">GC41+GD41</f>
        <v>0</v>
      </c>
      <c r="GF41" s="1" t="n">
        <f aca="false">FV41-GD41+FZ41*IF(Slot17_SpendLike=1,GB41-GC41,IF(Slot17_PotFree=1,GB41,0))</f>
        <v>0</v>
      </c>
      <c r="GG41" s="1" t="n">
        <f aca="false">FW41+FZ41*Slot17_BufPot*GB41</f>
        <v>0</v>
      </c>
      <c r="GH41" s="1" t="n">
        <f aca="false">IF(AND(FZ41=1,Slot17_IsMfree=1),IF(GE41&gt;=Slot17_Cost-1,0,MAX(0,FX41-GE41)),FX41)</f>
        <v>0</v>
      </c>
      <c r="GI41" s="1" t="n">
        <f aca="false">FZ41*(Slot17_Cost-GE41)</f>
        <v>0</v>
      </c>
      <c r="GJ41" s="1" t="n">
        <f aca="false">IF(AND(Slot18_On=1,D41=Slot18_Age),1,0)</f>
        <v>0</v>
      </c>
      <c r="GK41" s="1" t="n">
        <f aca="false">IF(AND(Slot18_On=1,Slot18_Age&gt;D41),1,0)</f>
        <v>0</v>
      </c>
      <c r="GL41" s="1" t="n">
        <f aca="false">TB40</f>
        <v>0</v>
      </c>
      <c r="GM41" s="1" t="n">
        <f aca="false">GJ41*MIN(Slot18_Cost,GL41)</f>
        <v>0</v>
      </c>
      <c r="GN41" s="1" t="n">
        <f aca="false">GJ41*Slot18_SpendLike*MIN(Slot18_Cost-GM41,GF41)</f>
        <v>0</v>
      </c>
      <c r="GO41" s="1" t="n">
        <f aca="false">GM41+GN41</f>
        <v>0</v>
      </c>
      <c r="GP41" s="1" t="n">
        <f aca="false">GF41-GN41+GJ41*IF(Slot18_SpendLike=1,GL41-GM41,IF(Slot18_PotFree=1,GL41,0))</f>
        <v>0</v>
      </c>
      <c r="GQ41" s="1" t="n">
        <f aca="false">GG41+GJ41*Slot18_BufPot*GL41</f>
        <v>0</v>
      </c>
      <c r="GR41" s="1" t="n">
        <f aca="false">IF(AND(GJ41=1,Slot18_IsMfree=1),IF(GO41&gt;=Slot18_Cost-1,0,MAX(0,GH41-GO41)),GH41)</f>
        <v>0</v>
      </c>
      <c r="GS41" s="1" t="n">
        <f aca="false">GJ41*(Slot18_Cost-GO41)</f>
        <v>0</v>
      </c>
      <c r="GT41" s="1" t="n">
        <f aca="false">IF(AND(Slot19_On=1,D41=Slot19_Age),1,0)</f>
        <v>0</v>
      </c>
      <c r="GU41" s="1" t="n">
        <f aca="false">IF(AND(Slot19_On=1,Slot19_Age&gt;D41),1,0)</f>
        <v>0</v>
      </c>
      <c r="GV41" s="1" t="n">
        <f aca="false">TF40</f>
        <v>0</v>
      </c>
      <c r="GW41" s="1" t="n">
        <f aca="false">GT41*MIN(Slot19_Cost,GV41)</f>
        <v>0</v>
      </c>
      <c r="GX41" s="1" t="n">
        <f aca="false">GT41*Slot19_SpendLike*MIN(Slot19_Cost-GW41,GP41)</f>
        <v>0</v>
      </c>
      <c r="GY41" s="1" t="n">
        <f aca="false">GW41+GX41</f>
        <v>0</v>
      </c>
      <c r="GZ41" s="1" t="n">
        <f aca="false">GP41-GX41+GT41*IF(Slot19_SpendLike=1,GV41-GW41,IF(Slot19_PotFree=1,GV41,0))</f>
        <v>0</v>
      </c>
      <c r="HA41" s="1" t="n">
        <f aca="false">GQ41+GT41*Slot19_BufPot*GV41</f>
        <v>0</v>
      </c>
      <c r="HB41" s="1" t="n">
        <f aca="false">IF(AND(GT41=1,Slot19_IsMfree=1),IF(GY41&gt;=Slot19_Cost-1,0,MAX(0,GR41-GY41)),GR41)</f>
        <v>0</v>
      </c>
      <c r="HC41" s="1" t="n">
        <f aca="false">GT41*(Slot19_Cost-GY41)</f>
        <v>0</v>
      </c>
      <c r="HD41" s="1" t="n">
        <f aca="false">IF(AND(Slot20_On=1,D41=Slot20_Age),1,0)</f>
        <v>0</v>
      </c>
      <c r="HE41" s="1" t="n">
        <f aca="false">IF(AND(Slot20_On=1,Slot20_Age&gt;D41),1,0)</f>
        <v>0</v>
      </c>
      <c r="HF41" s="1" t="n">
        <f aca="false">TJ40</f>
        <v>0</v>
      </c>
      <c r="HG41" s="1" t="n">
        <f aca="false">HD41*MIN(Slot20_Cost,HF41)</f>
        <v>0</v>
      </c>
      <c r="HH41" s="1" t="n">
        <f aca="false">HD41*Slot20_SpendLike*MIN(Slot20_Cost-HG41,GZ41)</f>
        <v>0</v>
      </c>
      <c r="HI41" s="1" t="n">
        <f aca="false">HG41+HH41</f>
        <v>0</v>
      </c>
      <c r="HJ41" s="1" t="n">
        <f aca="false">GZ41-HH41+HD41*IF(Slot20_SpendLike=1,HF41-HG41,IF(Slot20_PotFree=1,HF41,0))</f>
        <v>0</v>
      </c>
      <c r="HK41" s="1" t="n">
        <f aca="false">HA41+HD41*Slot20_BufPot*HF41</f>
        <v>0</v>
      </c>
      <c r="HL41" s="1" t="n">
        <f aca="false">IF(AND(HD41=1,Slot20_IsMfree=1),IF(HI41&gt;=Slot20_Cost-1,0,MAX(0,HB41-HI41)),HB41)</f>
        <v>0</v>
      </c>
      <c r="HM41" s="1" t="n">
        <f aca="false">HD41*(Slot20_Cost-HI41)</f>
        <v>0</v>
      </c>
      <c r="HN41" s="1" t="n">
        <f aca="false">U41*Slot1_SpendLike*Z41+AF41*Slot2_SpendLike*AK41+AP41*Slot3_SpendLike*AU41+AZ41*Slot4_SpendLike*BE41+BJ41*Slot5_SpendLike*BO41+BT41*Slot6_SpendLike*BY41+CD41*Slot7_SpendLike*CI41+CN41*Slot8_SpendLike*CS41+CX41*Slot9_SpendLike*DC41+DH41*Slot10_SpendLike*DM41+DR41*Slot11_SpendLike*DW41+EB41*Slot12_SpendLike*EG41+EL41*Slot13_SpendLike*EQ41+EV41*Slot14_SpendLike*FA41+FF41*Slot15_SpendLike*FK41+FP41*Slot16_SpendLike*FU41+FZ41*Slot17_SpendLike*GE41+GJ41*Slot18_SpendLike*GO41+GT41*Slot19_SpendLike*GY41+HD41*Slot20_SpendLike*HI41</f>
        <v>0</v>
      </c>
      <c r="HO41" s="1" t="n">
        <f aca="false">AD41+AO41+AY41+BI41+BS41+CC41+CM41+CW41+DG41+DQ41+EA41+EK41+EU41+FE41+FO41+FY41+GI41+GS41+HC41+HM41</f>
        <v>0</v>
      </c>
      <c r="HP41" s="1" t="n">
        <f aca="false">U41*Slot1_Cost+AF41*Slot2_Cost+AP41*Slot3_Cost+AZ41*Slot4_Cost+BJ41*Slot5_Cost+BT41*Slot6_Cost+CD41*Slot7_Cost+CN41*Slot8_Cost+CX41*Slot9_Cost+DH41*Slot10_Cost+DR41*Slot11_Cost+EB41*Slot12_Cost+EL41*Slot13_Cost+EV41*Slot14_Cost+FF41*Slot15_Cost+FP41*Slot16_Cost+FZ41*Slot17_Cost+GJ41*Slot18_Cost+GT41*Slot19_Cost+HD41*Slot20_Cost</f>
        <v>0</v>
      </c>
      <c r="HQ41" s="1" t="n">
        <f aca="false">HL41</f>
        <v>0</v>
      </c>
      <c r="HR41" s="1" t="n">
        <f aca="false">G41-H41-R41</f>
        <v>0</v>
      </c>
      <c r="HS41" s="1" t="n">
        <f aca="false">IF(B41=0,IF(AND(Has_q6=1,In_q6=4),PR_ShareVaries*(MAX(0,HR41)/12),MIN(IF(Has_q6=1,CHOOSE(In_q6+1,PR_SaveB1,PR_SaveB2,PR_SaveB3,PR_SaveB4,0),AS_NoAnswer),AS_SaveShare*(MAX(0,HR41)/12))),HS40)</f>
        <v>0</v>
      </c>
      <c r="HT41" s="1" t="n">
        <f aca="false">IF(HR41&gt;=0,1,0)</f>
        <v>1</v>
      </c>
      <c r="HU41" s="1" t="n">
        <f aca="false">MAX(0,HR41/12/E41)</f>
        <v>0</v>
      </c>
      <c r="HV41" s="1" t="n">
        <f aca="false">IF(AND(Has_q6=1,In_q6=4),PR_ShareVaries*(HU41),MIN(IF(Has_q6=1,CHOOSE(In_q6+1,PR_SaveB1,PR_SaveB2,PR_SaveB3,PR_SaveB4,0),AS_NoAnswer),AS_SaveShare*(HU41)))</f>
        <v>0</v>
      </c>
      <c r="HW41" s="1" t="n">
        <f aca="false">IF(Has_saveM=1,IF(In_saveUp="Yes",1,IF(In_saveUp="No",0,IF(In_saveM&gt;=HS41-0.5,1,0))),0)</f>
        <v>0</v>
      </c>
      <c r="HX41" s="1" t="n">
        <f aca="false">IF(Has_saveM=1,MIN(HU41,IF(HW41=1,MAX(In_saveM,HV41),MIN(In_saveM,HV41))),HV41)</f>
        <v>0</v>
      </c>
      <c r="HY41" s="1" t="n">
        <f aca="false">IF(F41=1,HX41*12*E41,0)</f>
        <v>0</v>
      </c>
      <c r="HZ41" s="1" t="n">
        <f aca="false">MAX(0,HY41+IF(AND(WI_Retire=0,WI_M&lt;0,F41=1),WI_M*12*E41,0))</f>
        <v>0</v>
      </c>
      <c r="IA41" s="1" t="n">
        <f aca="false">Slot1_IsWG*V41+Slot2_IsWG*AG41+Slot3_IsWG*AQ41+Slot4_IsWG*BA41+Slot5_IsWG*BK41+Slot6_IsWG*BU41+Slot7_IsWG*CE41+Slot8_IsWG*CO41+Slot9_IsWG*CY41+Slot10_IsWG*DI41+Slot11_IsWG*DS41+Slot12_IsWG*EC41+Slot13_IsWG*EM41+Slot14_IsWG*EW41+Slot15_IsWG*FG41+Slot16_IsWG*FQ41+Slot17_IsWG*GA41+Slot18_IsWG*GK41+Slot19_IsWG*GU41+Slot20_IsWG*HE41</f>
        <v>0</v>
      </c>
      <c r="IB41" s="1" t="n">
        <f aca="false">IF(AND(WI_Retire=0,WI_M&gt;0,F41=1,IA41&gt;=1),WI_M*12*E41,0)</f>
        <v>0</v>
      </c>
      <c r="IC41" s="1" t="n">
        <f aca="false">IF(HT41=1,MIN(HZ41,HR41),0)</f>
        <v>0</v>
      </c>
      <c r="ID41" s="1" t="n">
        <f aca="false">IF(HT41=1,MIN(IB41,HR41-IC41),0)</f>
        <v>0</v>
      </c>
      <c r="IE41" s="1" t="n">
        <f aca="false">IF(V41=1,IF(ABS((1+AS_Wage)/(1+Slot1_Rate)-1)&lt;0.000000000001,(Slot1_Age-D41)*(1+Slot1_Rate)^(Slot1_Age-D41),(1+Slot1_Rate)^(Slot1_Age-D41)*(1-((1+AS_Wage)/(1+Slot1_Rate))^(Slot1_Age-D41))/(1-(1+AS_Wage)/(1+Slot1_Rate))),1)</f>
        <v>1</v>
      </c>
      <c r="IF41" s="1" t="n">
        <f aca="false">IF(AND(HT41=1,ID41&gt;0,Slot1_IsWG=1,V41=1),MAX(0,(Slot1_Cost-W41*(1+Slot1_Rate)^(Slot1_Age-D41))/IE41),0)</f>
        <v>0</v>
      </c>
      <c r="IG41" s="1" t="n">
        <f aca="false">IF(AND(HT41=1,ID41&gt;0,Slot1_IsWG=1,V41=1),MIN(ID41,IF41),0)</f>
        <v>0</v>
      </c>
      <c r="IH41" s="1" t="n">
        <f aca="false">W41+IG41</f>
        <v>0</v>
      </c>
      <c r="II41" s="1" t="n">
        <f aca="false">IF(V41=1,MAX(0,(Slot1_Cost-IH41*(1+Slot1_Rate)^(Slot1_Age-D41))/IE41),0)</f>
        <v>0</v>
      </c>
      <c r="IJ41" s="1" t="n">
        <f aca="false">IF(V41=1,MAX(0,(Slot1_Cost-W41*(1+Slot1_Rate)^(Slot1_Age-D41))/IE41),0)</f>
        <v>0</v>
      </c>
      <c r="IK41" s="1" t="n">
        <f aca="false">IF(AND(HT41=1,V41=1),MIN(IC41,II41),0)</f>
        <v>0</v>
      </c>
      <c r="IL41" s="1" t="n">
        <f aca="false">IC41-IK41</f>
        <v>0</v>
      </c>
      <c r="IM41" s="1" t="n">
        <f aca="false">IF(AG41=1,IF(ABS((1+AS_Wage)/(1+Slot2_Rate)-1)&lt;0.000000000001,(Slot2_Age-D41)*(1+Slot2_Rate)^(Slot2_Age-D41),(1+Slot2_Rate)^(Slot2_Age-D41)*(1-((1+AS_Wage)/(1+Slot2_Rate))^(Slot2_Age-D41))/(1-(1+AS_Wage)/(1+Slot2_Rate))),1)</f>
        <v>1</v>
      </c>
      <c r="IN41" s="1" t="n">
        <f aca="false">IF(AND(HT41=1,ID41&gt;0,Slot2_IsWG=1,AG41=1),MAX(0,(Slot2_Cost-AH41*(1+Slot2_Rate)^(Slot2_Age-D41))/IM41),0)</f>
        <v>0</v>
      </c>
      <c r="IO41" s="1" t="n">
        <f aca="false">IF(AND(HT41=1,ID41&gt;0,Slot2_IsWG=1,AG41=1),MIN(ID41,IN41),0)</f>
        <v>0</v>
      </c>
      <c r="IP41" s="1" t="n">
        <f aca="false">AH41+IO41</f>
        <v>0</v>
      </c>
      <c r="IQ41" s="1" t="n">
        <f aca="false">IF(AG41=1,MAX(0,(Slot2_Cost-IP41*(1+Slot2_Rate)^(Slot2_Age-D41))/IM41),0)</f>
        <v>0</v>
      </c>
      <c r="IR41" s="1" t="n">
        <f aca="false">IF(AG41=1,MAX(0,(Slot2_Cost-AH41*(1+Slot2_Rate)^(Slot2_Age-D41))/IM41),0)</f>
        <v>0</v>
      </c>
      <c r="IS41" s="1" t="n">
        <f aca="false">IF(AND(HT41=1,AG41=1),MIN(IL41,IQ41),0)</f>
        <v>0</v>
      </c>
      <c r="IT41" s="1" t="n">
        <f aca="false">IL41-IS41</f>
        <v>0</v>
      </c>
      <c r="IU41" s="1" t="n">
        <f aca="false">IF(AQ41=1,IF(ABS((1+AS_Wage)/(1+Slot3_Rate)-1)&lt;0.000000000001,(Slot3_Age-D41)*(1+Slot3_Rate)^(Slot3_Age-D41),(1+Slot3_Rate)^(Slot3_Age-D41)*(1-((1+AS_Wage)/(1+Slot3_Rate))^(Slot3_Age-D41))/(1-(1+AS_Wage)/(1+Slot3_Rate))),1)</f>
        <v>1</v>
      </c>
      <c r="IV41" s="1" t="n">
        <f aca="false">IF(AND(HT41=1,ID41&gt;0,Slot3_IsWG=1,AQ41=1),MAX(0,(Slot3_Cost-AR41*(1+Slot3_Rate)^(Slot3_Age-D41))/IU41),0)</f>
        <v>0</v>
      </c>
      <c r="IW41" s="1" t="n">
        <f aca="false">IF(AND(HT41=1,ID41&gt;0,Slot3_IsWG=1,AQ41=1),MIN(ID41,IV41),0)</f>
        <v>0</v>
      </c>
      <c r="IX41" s="1" t="n">
        <f aca="false">AR41+IW41</f>
        <v>0</v>
      </c>
      <c r="IY41" s="1" t="n">
        <f aca="false">IF(AQ41=1,MAX(0,(Slot3_Cost-IX41*(1+Slot3_Rate)^(Slot3_Age-D41))/IU41),0)</f>
        <v>0</v>
      </c>
      <c r="IZ41" s="1" t="n">
        <f aca="false">IF(AQ41=1,MAX(0,(Slot3_Cost-AR41*(1+Slot3_Rate)^(Slot3_Age-D41))/IU41),0)</f>
        <v>0</v>
      </c>
      <c r="JA41" s="1" t="n">
        <f aca="false">IF(AND(HT41=1,AQ41=1),MIN(IT41,IY41),0)</f>
        <v>0</v>
      </c>
      <c r="JB41" s="1" t="n">
        <f aca="false">IT41-JA41</f>
        <v>0</v>
      </c>
      <c r="JC41" s="1" t="n">
        <f aca="false">IF(BA41=1,IF(ABS((1+AS_Wage)/(1+Slot4_Rate)-1)&lt;0.000000000001,(Slot4_Age-D41)*(1+Slot4_Rate)^(Slot4_Age-D41),(1+Slot4_Rate)^(Slot4_Age-D41)*(1-((1+AS_Wage)/(1+Slot4_Rate))^(Slot4_Age-D41))/(1-(1+AS_Wage)/(1+Slot4_Rate))),1)</f>
        <v>1</v>
      </c>
      <c r="JD41" s="1" t="n">
        <f aca="false">IF(AND(HT41=1,ID41&gt;0,Slot4_IsWG=1,BA41=1),MAX(0,(Slot4_Cost-BB41*(1+Slot4_Rate)^(Slot4_Age-D41))/JC41),0)</f>
        <v>0</v>
      </c>
      <c r="JE41" s="1" t="n">
        <f aca="false">IF(AND(HT41=1,ID41&gt;0,Slot4_IsWG=1,BA41=1),MIN(ID41,JD41),0)</f>
        <v>0</v>
      </c>
      <c r="JF41" s="1" t="n">
        <f aca="false">BB41+JE41</f>
        <v>0</v>
      </c>
      <c r="JG41" s="1" t="n">
        <f aca="false">IF(BA41=1,MAX(0,(Slot4_Cost-JF41*(1+Slot4_Rate)^(Slot4_Age-D41))/JC41),0)</f>
        <v>0</v>
      </c>
      <c r="JH41" s="1" t="n">
        <f aca="false">IF(BA41=1,MAX(0,(Slot4_Cost-BB41*(1+Slot4_Rate)^(Slot4_Age-D41))/JC41),0)</f>
        <v>0</v>
      </c>
      <c r="JI41" s="1" t="n">
        <f aca="false">IF(AND(HT41=1,BA41=1),MIN(JB41,JG41),0)</f>
        <v>0</v>
      </c>
      <c r="JJ41" s="1" t="n">
        <f aca="false">JB41-JI41</f>
        <v>0</v>
      </c>
      <c r="JK41" s="1" t="n">
        <f aca="false">IF(BK41=1,IF(ABS((1+AS_Wage)/(1+Slot5_Rate)-1)&lt;0.000000000001,(Slot5_Age-D41)*(1+Slot5_Rate)^(Slot5_Age-D41),(1+Slot5_Rate)^(Slot5_Age-D41)*(1-((1+AS_Wage)/(1+Slot5_Rate))^(Slot5_Age-D41))/(1-(1+AS_Wage)/(1+Slot5_Rate))),1)</f>
        <v>1</v>
      </c>
      <c r="JL41" s="1" t="n">
        <f aca="false">IF(AND(HT41=1,ID41&gt;0,Slot5_IsWG=1,BK41=1),MAX(0,(Slot5_Cost-BL41*(1+Slot5_Rate)^(Slot5_Age-D41))/JK41),0)</f>
        <v>0</v>
      </c>
      <c r="JM41" s="1" t="n">
        <f aca="false">IF(AND(HT41=1,ID41&gt;0,Slot5_IsWG=1,BK41=1),MIN(ID41,JL41),0)</f>
        <v>0</v>
      </c>
      <c r="JN41" s="1" t="n">
        <f aca="false">BL41+JM41</f>
        <v>0</v>
      </c>
      <c r="JO41" s="1" t="n">
        <f aca="false">IF(BK41=1,MAX(0,(Slot5_Cost-JN41*(1+Slot5_Rate)^(Slot5_Age-D41))/JK41),0)</f>
        <v>0</v>
      </c>
      <c r="JP41" s="1" t="n">
        <f aca="false">IF(BK41=1,MAX(0,(Slot5_Cost-BL41*(1+Slot5_Rate)^(Slot5_Age-D41))/JK41),0)</f>
        <v>0</v>
      </c>
      <c r="JQ41" s="1" t="n">
        <f aca="false">IF(AND(HT41=1,BK41=1),MIN(JJ41,JO41),0)</f>
        <v>0</v>
      </c>
      <c r="JR41" s="1" t="n">
        <f aca="false">JJ41-JQ41</f>
        <v>0</v>
      </c>
      <c r="JS41" s="1" t="n">
        <f aca="false">IF(BU41=1,IF(ABS((1+AS_Wage)/(1+Slot6_Rate)-1)&lt;0.000000000001,(Slot6_Age-D41)*(1+Slot6_Rate)^(Slot6_Age-D41),(1+Slot6_Rate)^(Slot6_Age-D41)*(1-((1+AS_Wage)/(1+Slot6_Rate))^(Slot6_Age-D41))/(1-(1+AS_Wage)/(1+Slot6_Rate))),1)</f>
        <v>1</v>
      </c>
      <c r="JT41" s="1" t="n">
        <f aca="false">IF(AND(HT41=1,ID41&gt;0,Slot6_IsWG=1,BU41=1),MAX(0,(Slot6_Cost-BV41*(1+Slot6_Rate)^(Slot6_Age-D41))/JS41),0)</f>
        <v>0</v>
      </c>
      <c r="JU41" s="1" t="n">
        <f aca="false">IF(AND(HT41=1,ID41&gt;0,Slot6_IsWG=1,BU41=1),MIN(ID41,JT41),0)</f>
        <v>0</v>
      </c>
      <c r="JV41" s="1" t="n">
        <f aca="false">BV41+JU41</f>
        <v>0</v>
      </c>
      <c r="JW41" s="1" t="n">
        <f aca="false">IF(BU41=1,MAX(0,(Slot6_Cost-JV41*(1+Slot6_Rate)^(Slot6_Age-D41))/JS41),0)</f>
        <v>0</v>
      </c>
      <c r="JX41" s="1" t="n">
        <f aca="false">IF(BU41=1,MAX(0,(Slot6_Cost-BV41*(1+Slot6_Rate)^(Slot6_Age-D41))/JS41),0)</f>
        <v>0</v>
      </c>
      <c r="JY41" s="1" t="n">
        <f aca="false">IF(AND(HT41=1,BU41=1),MIN(JR41,JW41),0)</f>
        <v>0</v>
      </c>
      <c r="JZ41" s="1" t="n">
        <f aca="false">JR41-JY41</f>
        <v>0</v>
      </c>
      <c r="KA41" s="1" t="n">
        <f aca="false">IF(CE41=1,IF(ABS((1+AS_Wage)/(1+Slot7_Rate)-1)&lt;0.000000000001,(Slot7_Age-D41)*(1+Slot7_Rate)^(Slot7_Age-D41),(1+Slot7_Rate)^(Slot7_Age-D41)*(1-((1+AS_Wage)/(1+Slot7_Rate))^(Slot7_Age-D41))/(1-(1+AS_Wage)/(1+Slot7_Rate))),1)</f>
        <v>1</v>
      </c>
      <c r="KB41" s="1" t="n">
        <f aca="false">IF(AND(HT41=1,ID41&gt;0,Slot7_IsWG=1,CE41=1),MAX(0,(Slot7_Cost-CF41*(1+Slot7_Rate)^(Slot7_Age-D41))/KA41),0)</f>
        <v>0</v>
      </c>
      <c r="KC41" s="1" t="n">
        <f aca="false">IF(AND(HT41=1,ID41&gt;0,Slot7_IsWG=1,CE41=1),MIN(ID41,KB41),0)</f>
        <v>0</v>
      </c>
      <c r="KD41" s="1" t="n">
        <f aca="false">CF41+KC41</f>
        <v>0</v>
      </c>
      <c r="KE41" s="1" t="n">
        <f aca="false">IF(CE41=1,MAX(0,(Slot7_Cost-KD41*(1+Slot7_Rate)^(Slot7_Age-D41))/KA41),0)</f>
        <v>0</v>
      </c>
      <c r="KF41" s="1" t="n">
        <f aca="false">IF(CE41=1,MAX(0,(Slot7_Cost-CF41*(1+Slot7_Rate)^(Slot7_Age-D41))/KA41),0)</f>
        <v>0</v>
      </c>
      <c r="KG41" s="1" t="n">
        <f aca="false">IF(AND(HT41=1,CE41=1),MIN(JZ41,KE41),0)</f>
        <v>0</v>
      </c>
      <c r="KH41" s="1" t="n">
        <f aca="false">JZ41-KG41</f>
        <v>0</v>
      </c>
      <c r="KI41" s="1" t="n">
        <f aca="false">IF(CO41=1,IF(ABS((1+AS_Wage)/(1+Slot8_Rate)-1)&lt;0.000000000001,(Slot8_Age-D41)*(1+Slot8_Rate)^(Slot8_Age-D41),(1+Slot8_Rate)^(Slot8_Age-D41)*(1-((1+AS_Wage)/(1+Slot8_Rate))^(Slot8_Age-D41))/(1-(1+AS_Wage)/(1+Slot8_Rate))),1)</f>
        <v>1</v>
      </c>
      <c r="KJ41" s="1" t="n">
        <f aca="false">IF(AND(HT41=1,ID41&gt;0,Slot8_IsWG=1,CO41=1),MAX(0,(Slot8_Cost-CP41*(1+Slot8_Rate)^(Slot8_Age-D41))/KI41),0)</f>
        <v>0</v>
      </c>
      <c r="KK41" s="1" t="n">
        <f aca="false">IF(AND(HT41=1,ID41&gt;0,Slot8_IsWG=1,CO41=1),MIN(ID41,KJ41),0)</f>
        <v>0</v>
      </c>
      <c r="KL41" s="1" t="n">
        <f aca="false">CP41+KK41</f>
        <v>0</v>
      </c>
      <c r="KM41" s="1" t="n">
        <f aca="false">IF(CO41=1,MAX(0,(Slot8_Cost-KL41*(1+Slot8_Rate)^(Slot8_Age-D41))/KI41),0)</f>
        <v>0</v>
      </c>
      <c r="KN41" s="1" t="n">
        <f aca="false">IF(CO41=1,MAX(0,(Slot8_Cost-CP41*(1+Slot8_Rate)^(Slot8_Age-D41))/KI41),0)</f>
        <v>0</v>
      </c>
      <c r="KO41" s="1" t="n">
        <f aca="false">IF(AND(HT41=1,CO41=1),MIN(KH41,KM41),0)</f>
        <v>0</v>
      </c>
      <c r="KP41" s="1" t="n">
        <f aca="false">KH41-KO41</f>
        <v>0</v>
      </c>
      <c r="KQ41" s="1" t="n">
        <f aca="false">IF(CY41=1,IF(ABS((1+AS_Wage)/(1+Slot9_Rate)-1)&lt;0.000000000001,(Slot9_Age-D41)*(1+Slot9_Rate)^(Slot9_Age-D41),(1+Slot9_Rate)^(Slot9_Age-D41)*(1-((1+AS_Wage)/(1+Slot9_Rate))^(Slot9_Age-D41))/(1-(1+AS_Wage)/(1+Slot9_Rate))),1)</f>
        <v>1</v>
      </c>
      <c r="KR41" s="1" t="n">
        <f aca="false">IF(AND(HT41=1,ID41&gt;0,Slot9_IsWG=1,CY41=1),MAX(0,(Slot9_Cost-CZ41*(1+Slot9_Rate)^(Slot9_Age-D41))/KQ41),0)</f>
        <v>0</v>
      </c>
      <c r="KS41" s="1" t="n">
        <f aca="false">IF(AND(HT41=1,ID41&gt;0,Slot9_IsWG=1,CY41=1),MIN(ID41,KR41),0)</f>
        <v>0</v>
      </c>
      <c r="KT41" s="1" t="n">
        <f aca="false">CZ41+KS41</f>
        <v>0</v>
      </c>
      <c r="KU41" s="1" t="n">
        <f aca="false">IF(CY41=1,MAX(0,(Slot9_Cost-KT41*(1+Slot9_Rate)^(Slot9_Age-D41))/KQ41),0)</f>
        <v>0</v>
      </c>
      <c r="KV41" s="1" t="n">
        <f aca="false">IF(CY41=1,MAX(0,(Slot9_Cost-CZ41*(1+Slot9_Rate)^(Slot9_Age-D41))/KQ41),0)</f>
        <v>0</v>
      </c>
      <c r="KW41" s="1" t="n">
        <f aca="false">IF(AND(HT41=1,CY41=1),MIN(KP41,KU41),0)</f>
        <v>0</v>
      </c>
      <c r="KX41" s="1" t="n">
        <f aca="false">KP41-KW41</f>
        <v>0</v>
      </c>
      <c r="KY41" s="1" t="n">
        <f aca="false">IF(DI41=1,IF(ABS((1+AS_Wage)/(1+Slot10_Rate)-1)&lt;0.000000000001,(Slot10_Age-D41)*(1+Slot10_Rate)^(Slot10_Age-D41),(1+Slot10_Rate)^(Slot10_Age-D41)*(1-((1+AS_Wage)/(1+Slot10_Rate))^(Slot10_Age-D41))/(1-(1+AS_Wage)/(1+Slot10_Rate))),1)</f>
        <v>1</v>
      </c>
      <c r="KZ41" s="1" t="n">
        <f aca="false">IF(AND(HT41=1,ID41&gt;0,Slot10_IsWG=1,DI41=1),MAX(0,(Slot10_Cost-DJ41*(1+Slot10_Rate)^(Slot10_Age-D41))/KY41),0)</f>
        <v>0</v>
      </c>
      <c r="LA41" s="1" t="n">
        <f aca="false">IF(AND(HT41=1,ID41&gt;0,Slot10_IsWG=1,DI41=1),MIN(ID41,KZ41),0)</f>
        <v>0</v>
      </c>
      <c r="LB41" s="1" t="n">
        <f aca="false">DJ41+LA41</f>
        <v>0</v>
      </c>
      <c r="LC41" s="1" t="n">
        <f aca="false">IF(DI41=1,MAX(0,(Slot10_Cost-LB41*(1+Slot10_Rate)^(Slot10_Age-D41))/KY41),0)</f>
        <v>0</v>
      </c>
      <c r="LD41" s="1" t="n">
        <f aca="false">IF(DI41=1,MAX(0,(Slot10_Cost-DJ41*(1+Slot10_Rate)^(Slot10_Age-D41))/KY41),0)</f>
        <v>0</v>
      </c>
      <c r="LE41" s="1" t="n">
        <f aca="false">IF(AND(HT41=1,DI41=1),MIN(KX41,LC41),0)</f>
        <v>0</v>
      </c>
      <c r="LF41" s="1" t="n">
        <f aca="false">KX41-LE41</f>
        <v>0</v>
      </c>
      <c r="LG41" s="1" t="n">
        <f aca="false">IF(DS41=1,IF(ABS((1+AS_Wage)/(1+Slot11_Rate)-1)&lt;0.000000000001,(Slot11_Age-D41)*(1+Slot11_Rate)^(Slot11_Age-D41),(1+Slot11_Rate)^(Slot11_Age-D41)*(1-((1+AS_Wage)/(1+Slot11_Rate))^(Slot11_Age-D41))/(1-(1+AS_Wage)/(1+Slot11_Rate))),1)</f>
        <v>1</v>
      </c>
      <c r="LH41" s="1" t="n">
        <f aca="false">IF(AND(HT41=1,ID41&gt;0,Slot11_IsWG=1,DS41=1),MAX(0,(Slot11_Cost-DT41*(1+Slot11_Rate)^(Slot11_Age-D41))/LG41),0)</f>
        <v>0</v>
      </c>
      <c r="LI41" s="1" t="n">
        <f aca="false">IF(AND(HT41=1,ID41&gt;0,Slot11_IsWG=1,DS41=1),MIN(ID41,LH41),0)</f>
        <v>0</v>
      </c>
      <c r="LJ41" s="1" t="n">
        <f aca="false">DT41+LI41</f>
        <v>0</v>
      </c>
      <c r="LK41" s="1" t="n">
        <f aca="false">IF(DS41=1,MAX(0,(Slot11_Cost-LJ41*(1+Slot11_Rate)^(Slot11_Age-D41))/LG41),0)</f>
        <v>0</v>
      </c>
      <c r="LL41" s="1" t="n">
        <f aca="false">IF(DS41=1,MAX(0,(Slot11_Cost-DT41*(1+Slot11_Rate)^(Slot11_Age-D41))/LG41),0)</f>
        <v>0</v>
      </c>
      <c r="LM41" s="1" t="n">
        <f aca="false">IF(AND(HT41=1,DS41=1),MIN(LF41,LK41),0)</f>
        <v>0</v>
      </c>
      <c r="LN41" s="1" t="n">
        <f aca="false">LF41-LM41</f>
        <v>0</v>
      </c>
      <c r="LO41" s="1" t="n">
        <f aca="false">IF(EC41=1,IF(ABS((1+AS_Wage)/(1+Slot12_Rate)-1)&lt;0.000000000001,(Slot12_Age-D41)*(1+Slot12_Rate)^(Slot12_Age-D41),(1+Slot12_Rate)^(Slot12_Age-D41)*(1-((1+AS_Wage)/(1+Slot12_Rate))^(Slot12_Age-D41))/(1-(1+AS_Wage)/(1+Slot12_Rate))),1)</f>
        <v>1</v>
      </c>
      <c r="LP41" s="1" t="n">
        <f aca="false">IF(AND(HT41=1,ID41&gt;0,Slot12_IsWG=1,EC41=1),MAX(0,(Slot12_Cost-ED41*(1+Slot12_Rate)^(Slot12_Age-D41))/LO41),0)</f>
        <v>0</v>
      </c>
      <c r="LQ41" s="1" t="n">
        <f aca="false">IF(AND(HT41=1,ID41&gt;0,Slot12_IsWG=1,EC41=1),MIN(ID41,LP41),0)</f>
        <v>0</v>
      </c>
      <c r="LR41" s="1" t="n">
        <f aca="false">ED41+LQ41</f>
        <v>0</v>
      </c>
      <c r="LS41" s="1" t="n">
        <f aca="false">IF(EC41=1,MAX(0,(Slot12_Cost-LR41*(1+Slot12_Rate)^(Slot12_Age-D41))/LO41),0)</f>
        <v>0</v>
      </c>
      <c r="LT41" s="1" t="n">
        <f aca="false">IF(EC41=1,MAX(0,(Slot12_Cost-ED41*(1+Slot12_Rate)^(Slot12_Age-D41))/LO41),0)</f>
        <v>0</v>
      </c>
      <c r="LU41" s="1" t="n">
        <f aca="false">IF(AND(HT41=1,EC41=1),MIN(LN41,LS41),0)</f>
        <v>0</v>
      </c>
      <c r="LV41" s="1" t="n">
        <f aca="false">LN41-LU41</f>
        <v>0</v>
      </c>
      <c r="LW41" s="1" t="n">
        <f aca="false">IF(EM41=1,IF(ABS((1+AS_Wage)/(1+Slot13_Rate)-1)&lt;0.000000000001,(Slot13_Age-D41)*(1+Slot13_Rate)^(Slot13_Age-D41),(1+Slot13_Rate)^(Slot13_Age-D41)*(1-((1+AS_Wage)/(1+Slot13_Rate))^(Slot13_Age-D41))/(1-(1+AS_Wage)/(1+Slot13_Rate))),1)</f>
        <v>1</v>
      </c>
      <c r="LX41" s="1" t="n">
        <f aca="false">IF(AND(HT41=1,ID41&gt;0,Slot13_IsWG=1,EM41=1),MAX(0,(Slot13_Cost-EN41*(1+Slot13_Rate)^(Slot13_Age-D41))/LW41),0)</f>
        <v>0</v>
      </c>
      <c r="LY41" s="1" t="n">
        <f aca="false">IF(AND(HT41=1,ID41&gt;0,Slot13_IsWG=1,EM41=1),MIN(ID41,LX41),0)</f>
        <v>0</v>
      </c>
      <c r="LZ41" s="1" t="n">
        <f aca="false">EN41+LY41</f>
        <v>0</v>
      </c>
      <c r="MA41" s="1" t="n">
        <f aca="false">IF(EM41=1,MAX(0,(Slot13_Cost-LZ41*(1+Slot13_Rate)^(Slot13_Age-D41))/LW41),0)</f>
        <v>0</v>
      </c>
      <c r="MB41" s="1" t="n">
        <f aca="false">IF(EM41=1,MAX(0,(Slot13_Cost-EN41*(1+Slot13_Rate)^(Slot13_Age-D41))/LW41),0)</f>
        <v>0</v>
      </c>
      <c r="MC41" s="1" t="n">
        <f aca="false">IF(AND(HT41=1,EM41=1),MIN(LV41,MA41),0)</f>
        <v>0</v>
      </c>
      <c r="MD41" s="1" t="n">
        <f aca="false">LV41-MC41</f>
        <v>0</v>
      </c>
      <c r="ME41" s="1" t="n">
        <f aca="false">IF(EW41=1,IF(ABS((1+AS_Wage)/(1+Slot14_Rate)-1)&lt;0.000000000001,(Slot14_Age-D41)*(1+Slot14_Rate)^(Slot14_Age-D41),(1+Slot14_Rate)^(Slot14_Age-D41)*(1-((1+AS_Wage)/(1+Slot14_Rate))^(Slot14_Age-D41))/(1-(1+AS_Wage)/(1+Slot14_Rate))),1)</f>
        <v>1</v>
      </c>
      <c r="MF41" s="1" t="n">
        <f aca="false">IF(AND(HT41=1,ID41&gt;0,Slot14_IsWG=1,EW41=1),MAX(0,(Slot14_Cost-EX41*(1+Slot14_Rate)^(Slot14_Age-D41))/ME41),0)</f>
        <v>0</v>
      </c>
      <c r="MG41" s="1" t="n">
        <f aca="false">IF(AND(HT41=1,ID41&gt;0,Slot14_IsWG=1,EW41=1),MIN(ID41,MF41),0)</f>
        <v>0</v>
      </c>
      <c r="MH41" s="1" t="n">
        <f aca="false">EX41+MG41</f>
        <v>0</v>
      </c>
      <c r="MI41" s="1" t="n">
        <f aca="false">IF(EW41=1,MAX(0,(Slot14_Cost-MH41*(1+Slot14_Rate)^(Slot14_Age-D41))/ME41),0)</f>
        <v>0</v>
      </c>
      <c r="MJ41" s="1" t="n">
        <f aca="false">IF(EW41=1,MAX(0,(Slot14_Cost-EX41*(1+Slot14_Rate)^(Slot14_Age-D41))/ME41),0)</f>
        <v>0</v>
      </c>
      <c r="MK41" s="1" t="n">
        <f aca="false">IF(AND(HT41=1,EW41=1),MIN(MD41,MI41),0)</f>
        <v>0</v>
      </c>
      <c r="ML41" s="1" t="n">
        <f aca="false">MD41-MK41</f>
        <v>0</v>
      </c>
      <c r="MM41" s="1" t="n">
        <f aca="false">IF(FG41=1,IF(ABS((1+AS_Wage)/(1+Slot15_Rate)-1)&lt;0.000000000001,(Slot15_Age-D41)*(1+Slot15_Rate)^(Slot15_Age-D41),(1+Slot15_Rate)^(Slot15_Age-D41)*(1-((1+AS_Wage)/(1+Slot15_Rate))^(Slot15_Age-D41))/(1-(1+AS_Wage)/(1+Slot15_Rate))),1)</f>
        <v>1</v>
      </c>
      <c r="MN41" s="1" t="n">
        <f aca="false">IF(AND(HT41=1,ID41&gt;0,Slot15_IsWG=1,FG41=1),MAX(0,(Slot15_Cost-FH41*(1+Slot15_Rate)^(Slot15_Age-D41))/MM41),0)</f>
        <v>0</v>
      </c>
      <c r="MO41" s="1" t="n">
        <f aca="false">IF(AND(HT41=1,ID41&gt;0,Slot15_IsWG=1,FG41=1),MIN(ID41,MN41),0)</f>
        <v>0</v>
      </c>
      <c r="MP41" s="1" t="n">
        <f aca="false">FH41+MO41</f>
        <v>0</v>
      </c>
      <c r="MQ41" s="1" t="n">
        <f aca="false">IF(FG41=1,MAX(0,(Slot15_Cost-MP41*(1+Slot15_Rate)^(Slot15_Age-D41))/MM41),0)</f>
        <v>0</v>
      </c>
      <c r="MR41" s="1" t="n">
        <f aca="false">IF(FG41=1,MAX(0,(Slot15_Cost-FH41*(1+Slot15_Rate)^(Slot15_Age-D41))/MM41),0)</f>
        <v>0</v>
      </c>
      <c r="MS41" s="1" t="n">
        <f aca="false">IF(AND(HT41=1,FG41=1),MIN(ML41,MQ41),0)</f>
        <v>0</v>
      </c>
      <c r="MT41" s="1" t="n">
        <f aca="false">ML41-MS41</f>
        <v>0</v>
      </c>
      <c r="MU41" s="1" t="n">
        <f aca="false">IF(FQ41=1,IF(ABS((1+AS_Wage)/(1+Slot16_Rate)-1)&lt;0.000000000001,(Slot16_Age-D41)*(1+Slot16_Rate)^(Slot16_Age-D41),(1+Slot16_Rate)^(Slot16_Age-D41)*(1-((1+AS_Wage)/(1+Slot16_Rate))^(Slot16_Age-D41))/(1-(1+AS_Wage)/(1+Slot16_Rate))),1)</f>
        <v>1</v>
      </c>
      <c r="MV41" s="1" t="n">
        <f aca="false">IF(AND(HT41=1,ID41&gt;0,Slot16_IsWG=1,FQ41=1),MAX(0,(Slot16_Cost-FR41*(1+Slot16_Rate)^(Slot16_Age-D41))/MU41),0)</f>
        <v>0</v>
      </c>
      <c r="MW41" s="1" t="n">
        <f aca="false">IF(AND(HT41=1,ID41&gt;0,Slot16_IsWG=1,FQ41=1),MIN(ID41,MV41),0)</f>
        <v>0</v>
      </c>
      <c r="MX41" s="1" t="n">
        <f aca="false">FR41+MW41</f>
        <v>0</v>
      </c>
      <c r="MY41" s="1" t="n">
        <f aca="false">IF(FQ41=1,MAX(0,(Slot16_Cost-MX41*(1+Slot16_Rate)^(Slot16_Age-D41))/MU41),0)</f>
        <v>0</v>
      </c>
      <c r="MZ41" s="1" t="n">
        <f aca="false">IF(FQ41=1,MAX(0,(Slot16_Cost-FR41*(1+Slot16_Rate)^(Slot16_Age-D41))/MU41),0)</f>
        <v>0</v>
      </c>
      <c r="NA41" s="1" t="n">
        <f aca="false">IF(AND(HT41=1,FQ41=1),MIN(MT41,MY41),0)</f>
        <v>0</v>
      </c>
      <c r="NB41" s="1" t="n">
        <f aca="false">MT41-NA41</f>
        <v>0</v>
      </c>
      <c r="NC41" s="1" t="n">
        <f aca="false">IF(GA41=1,IF(ABS((1+AS_Wage)/(1+Slot17_Rate)-1)&lt;0.000000000001,(Slot17_Age-D41)*(1+Slot17_Rate)^(Slot17_Age-D41),(1+Slot17_Rate)^(Slot17_Age-D41)*(1-((1+AS_Wage)/(1+Slot17_Rate))^(Slot17_Age-D41))/(1-(1+AS_Wage)/(1+Slot17_Rate))),1)</f>
        <v>1</v>
      </c>
      <c r="ND41" s="1" t="n">
        <f aca="false">IF(AND(HT41=1,ID41&gt;0,Slot17_IsWG=1,GA41=1),MAX(0,(Slot17_Cost-GB41*(1+Slot17_Rate)^(Slot17_Age-D41))/NC41),0)</f>
        <v>0</v>
      </c>
      <c r="NE41" s="1" t="n">
        <f aca="false">IF(AND(HT41=1,ID41&gt;0,Slot17_IsWG=1,GA41=1),MIN(ID41,ND41),0)</f>
        <v>0</v>
      </c>
      <c r="NF41" s="1" t="n">
        <f aca="false">GB41+NE41</f>
        <v>0</v>
      </c>
      <c r="NG41" s="1" t="n">
        <f aca="false">IF(GA41=1,MAX(0,(Slot17_Cost-NF41*(1+Slot17_Rate)^(Slot17_Age-D41))/NC41),0)</f>
        <v>0</v>
      </c>
      <c r="NH41" s="1" t="n">
        <f aca="false">IF(GA41=1,MAX(0,(Slot17_Cost-GB41*(1+Slot17_Rate)^(Slot17_Age-D41))/NC41),0)</f>
        <v>0</v>
      </c>
      <c r="NI41" s="1" t="n">
        <f aca="false">IF(AND(HT41=1,GA41=1),MIN(NB41,NG41),0)</f>
        <v>0</v>
      </c>
      <c r="NJ41" s="1" t="n">
        <f aca="false">NB41-NI41</f>
        <v>0</v>
      </c>
      <c r="NK41" s="1" t="n">
        <f aca="false">IF(GK41=1,IF(ABS((1+AS_Wage)/(1+Slot18_Rate)-1)&lt;0.000000000001,(Slot18_Age-D41)*(1+Slot18_Rate)^(Slot18_Age-D41),(1+Slot18_Rate)^(Slot18_Age-D41)*(1-((1+AS_Wage)/(1+Slot18_Rate))^(Slot18_Age-D41))/(1-(1+AS_Wage)/(1+Slot18_Rate))),1)</f>
        <v>1</v>
      </c>
      <c r="NL41" s="1" t="n">
        <f aca="false">IF(AND(HT41=1,ID41&gt;0,Slot18_IsWG=1,GK41=1),MAX(0,(Slot18_Cost-GL41*(1+Slot18_Rate)^(Slot18_Age-D41))/NK41),0)</f>
        <v>0</v>
      </c>
      <c r="NM41" s="1" t="n">
        <f aca="false">IF(AND(HT41=1,ID41&gt;0,Slot18_IsWG=1,GK41=1),MIN(ID41,NL41),0)</f>
        <v>0</v>
      </c>
      <c r="NN41" s="1" t="n">
        <f aca="false">GL41+NM41</f>
        <v>0</v>
      </c>
      <c r="NO41" s="1" t="n">
        <f aca="false">IF(GK41=1,MAX(0,(Slot18_Cost-NN41*(1+Slot18_Rate)^(Slot18_Age-D41))/NK41),0)</f>
        <v>0</v>
      </c>
      <c r="NP41" s="1" t="n">
        <f aca="false">IF(GK41=1,MAX(0,(Slot18_Cost-GL41*(1+Slot18_Rate)^(Slot18_Age-D41))/NK41),0)</f>
        <v>0</v>
      </c>
      <c r="NQ41" s="1" t="n">
        <f aca="false">IF(AND(HT41=1,GK41=1),MIN(NJ41,NO41),0)</f>
        <v>0</v>
      </c>
      <c r="NR41" s="1" t="n">
        <f aca="false">NJ41-NQ41</f>
        <v>0</v>
      </c>
      <c r="NS41" s="1" t="n">
        <f aca="false">IF(GU41=1,IF(ABS((1+AS_Wage)/(1+Slot19_Rate)-1)&lt;0.000000000001,(Slot19_Age-D41)*(1+Slot19_Rate)^(Slot19_Age-D41),(1+Slot19_Rate)^(Slot19_Age-D41)*(1-((1+AS_Wage)/(1+Slot19_Rate))^(Slot19_Age-D41))/(1-(1+AS_Wage)/(1+Slot19_Rate))),1)</f>
        <v>1</v>
      </c>
      <c r="NT41" s="1" t="n">
        <f aca="false">IF(AND(HT41=1,ID41&gt;0,Slot19_IsWG=1,GU41=1),MAX(0,(Slot19_Cost-GV41*(1+Slot19_Rate)^(Slot19_Age-D41))/NS41),0)</f>
        <v>0</v>
      </c>
      <c r="NU41" s="1" t="n">
        <f aca="false">IF(AND(HT41=1,ID41&gt;0,Slot19_IsWG=1,GU41=1),MIN(ID41,NT41),0)</f>
        <v>0</v>
      </c>
      <c r="NV41" s="1" t="n">
        <f aca="false">GV41+NU41</f>
        <v>0</v>
      </c>
      <c r="NW41" s="1" t="n">
        <f aca="false">IF(GU41=1,MAX(0,(Slot19_Cost-NV41*(1+Slot19_Rate)^(Slot19_Age-D41))/NS41),0)</f>
        <v>0</v>
      </c>
      <c r="NX41" s="1" t="n">
        <f aca="false">IF(GU41=1,MAX(0,(Slot19_Cost-GV41*(1+Slot19_Rate)^(Slot19_Age-D41))/NS41),0)</f>
        <v>0</v>
      </c>
      <c r="NY41" s="1" t="n">
        <f aca="false">IF(AND(HT41=1,GU41=1),MIN(NR41,NW41),0)</f>
        <v>0</v>
      </c>
      <c r="NZ41" s="1" t="n">
        <f aca="false">NR41-NY41</f>
        <v>0</v>
      </c>
      <c r="OA41" s="1" t="n">
        <f aca="false">IF(HE41=1,IF(ABS((1+AS_Wage)/(1+Slot20_Rate)-1)&lt;0.000000000001,(Slot20_Age-D41)*(1+Slot20_Rate)^(Slot20_Age-D41),(1+Slot20_Rate)^(Slot20_Age-D41)*(1-((1+AS_Wage)/(1+Slot20_Rate))^(Slot20_Age-D41))/(1-(1+AS_Wage)/(1+Slot20_Rate))),1)</f>
        <v>1</v>
      </c>
      <c r="OB41" s="1" t="n">
        <f aca="false">IF(AND(HT41=1,ID41&gt;0,Slot20_IsWG=1,HE41=1),MAX(0,(Slot20_Cost-HF41*(1+Slot20_Rate)^(Slot20_Age-D41))/OA41),0)</f>
        <v>0</v>
      </c>
      <c r="OC41" s="1" t="n">
        <f aca="false">IF(AND(HT41=1,ID41&gt;0,Slot20_IsWG=1,HE41=1),MIN(ID41,OB41),0)</f>
        <v>0</v>
      </c>
      <c r="OD41" s="1" t="n">
        <f aca="false">HF41+OC41</f>
        <v>0</v>
      </c>
      <c r="OE41" s="1" t="n">
        <f aca="false">IF(HE41=1,MAX(0,(Slot20_Cost-OD41*(1+Slot20_Rate)^(Slot20_Age-D41))/OA41),0)</f>
        <v>0</v>
      </c>
      <c r="OF41" s="1" t="n">
        <f aca="false">IF(HE41=1,MAX(0,(Slot20_Cost-HF41*(1+Slot20_Rate)^(Slot20_Age-D41))/OA41),0)</f>
        <v>0</v>
      </c>
      <c r="OG41" s="1" t="n">
        <f aca="false">IF(AND(HT41=1,HE41=1),MIN(NZ41,OE41),0)</f>
        <v>0</v>
      </c>
      <c r="OH41" s="1" t="n">
        <f aca="false">NZ41-OG41</f>
        <v>0</v>
      </c>
      <c r="OI41" s="1" t="n">
        <f aca="false">ID41-(IG41+IO41+IW41+JE41+JM41+JU41+KC41+KK41+KS41+LA41+LI41+LQ41+LY41+MG41+MO41+MW41+NE41+NM41+NU41+OC41)</f>
        <v>0</v>
      </c>
      <c r="OJ41" s="1" t="n">
        <f aca="false">IF(HT41=1,HR41-IC41-ID41,0)</f>
        <v>0</v>
      </c>
      <c r="OK41" s="1" t="n">
        <f aca="false">IF(HT41=0,-HR41,0)</f>
        <v>0</v>
      </c>
      <c r="OL41" s="1" t="n">
        <f aca="false">MIN(OK41,HJ41)</f>
        <v>0</v>
      </c>
      <c r="OM41" s="1" t="n">
        <f aca="false">OK41-OL41</f>
        <v>0</v>
      </c>
      <c r="ON41" s="1" t="n">
        <f aca="false">MIN(OM41,HK41)</f>
        <v>0</v>
      </c>
      <c r="OO41" s="1" t="n">
        <f aca="false">OM41-ON41</f>
        <v>0</v>
      </c>
      <c r="OP41" s="1" t="n">
        <f aca="false">IF(AND(HT41=0,HE41=1,OO41&gt;0),MIN(OO41,HF41),0)</f>
        <v>0</v>
      </c>
      <c r="OQ41" s="1" t="n">
        <f aca="false">OO41-OP41</f>
        <v>0</v>
      </c>
      <c r="OR41" s="1" t="n">
        <f aca="false">IF(AND(HT41=0,GU41=1,OQ41&gt;0),MIN(OQ41,GV41),0)</f>
        <v>0</v>
      </c>
      <c r="OS41" s="1" t="n">
        <f aca="false">OQ41-OR41</f>
        <v>0</v>
      </c>
      <c r="OT41" s="1" t="n">
        <f aca="false">IF(AND(HT41=0,GK41=1,OS41&gt;0),MIN(OS41,GL41),0)</f>
        <v>0</v>
      </c>
      <c r="OU41" s="1" t="n">
        <f aca="false">OS41-OT41</f>
        <v>0</v>
      </c>
      <c r="OV41" s="1" t="n">
        <f aca="false">IF(AND(HT41=0,GA41=1,OU41&gt;0),MIN(OU41,GB41),0)</f>
        <v>0</v>
      </c>
      <c r="OW41" s="1" t="n">
        <f aca="false">OU41-OV41</f>
        <v>0</v>
      </c>
      <c r="OX41" s="1" t="n">
        <f aca="false">IF(AND(HT41=0,FQ41=1,OW41&gt;0),MIN(OW41,FR41),0)</f>
        <v>0</v>
      </c>
      <c r="OY41" s="1" t="n">
        <f aca="false">OW41-OX41</f>
        <v>0</v>
      </c>
      <c r="OZ41" s="1" t="n">
        <f aca="false">IF(AND(HT41=0,FG41=1,OY41&gt;0),MIN(OY41,FH41),0)</f>
        <v>0</v>
      </c>
      <c r="PA41" s="1" t="n">
        <f aca="false">OY41-OZ41</f>
        <v>0</v>
      </c>
      <c r="PB41" s="1" t="n">
        <f aca="false">IF(AND(HT41=0,EW41=1,PA41&gt;0),MIN(PA41,EX41),0)</f>
        <v>0</v>
      </c>
      <c r="PC41" s="1" t="n">
        <f aca="false">PA41-PB41</f>
        <v>0</v>
      </c>
      <c r="PD41" s="1" t="n">
        <f aca="false">IF(AND(HT41=0,EM41=1,PC41&gt;0),MIN(PC41,EN41),0)</f>
        <v>0</v>
      </c>
      <c r="PE41" s="1" t="n">
        <f aca="false">PC41-PD41</f>
        <v>0</v>
      </c>
      <c r="PF41" s="1" t="n">
        <f aca="false">IF(AND(HT41=0,EC41=1,PE41&gt;0),MIN(PE41,ED41),0)</f>
        <v>0</v>
      </c>
      <c r="PG41" s="1" t="n">
        <f aca="false">PE41-PF41</f>
        <v>0</v>
      </c>
      <c r="PH41" s="1" t="n">
        <f aca="false">IF(AND(HT41=0,DS41=1,PG41&gt;0),MIN(PG41,DT41),0)</f>
        <v>0</v>
      </c>
      <c r="PI41" s="1" t="n">
        <f aca="false">PG41-PH41</f>
        <v>0</v>
      </c>
      <c r="PJ41" s="1" t="n">
        <f aca="false">IF(AND(HT41=0,DI41=1,PI41&gt;0),MIN(PI41,DJ41),0)</f>
        <v>0</v>
      </c>
      <c r="PK41" s="1" t="n">
        <f aca="false">PI41-PJ41</f>
        <v>0</v>
      </c>
      <c r="PL41" s="1" t="n">
        <f aca="false">IF(AND(HT41=0,CY41=1,PK41&gt;0),MIN(PK41,CZ41),0)</f>
        <v>0</v>
      </c>
      <c r="PM41" s="1" t="n">
        <f aca="false">PK41-PL41</f>
        <v>0</v>
      </c>
      <c r="PN41" s="1" t="n">
        <f aca="false">IF(AND(HT41=0,CO41=1,PM41&gt;0),MIN(PM41,CP41),0)</f>
        <v>0</v>
      </c>
      <c r="PO41" s="1" t="n">
        <f aca="false">PM41-PN41</f>
        <v>0</v>
      </c>
      <c r="PP41" s="1" t="n">
        <f aca="false">IF(AND(HT41=0,CE41=1,PO41&gt;0),MIN(PO41,CF41),0)</f>
        <v>0</v>
      </c>
      <c r="PQ41" s="1" t="n">
        <f aca="false">PO41-PP41</f>
        <v>0</v>
      </c>
      <c r="PR41" s="1" t="n">
        <f aca="false">IF(AND(HT41=0,BU41=1,PQ41&gt;0),MIN(PQ41,BV41),0)</f>
        <v>0</v>
      </c>
      <c r="PS41" s="1" t="n">
        <f aca="false">PQ41-PR41</f>
        <v>0</v>
      </c>
      <c r="PT41" s="1" t="n">
        <f aca="false">IF(AND(HT41=0,BK41=1,PS41&gt;0),MIN(PS41,BL41),0)</f>
        <v>0</v>
      </c>
      <c r="PU41" s="1" t="n">
        <f aca="false">PS41-PT41</f>
        <v>0</v>
      </c>
      <c r="PV41" s="1" t="n">
        <f aca="false">IF(AND(HT41=0,BA41=1,PU41&gt;0),MIN(PU41,BB41),0)</f>
        <v>0</v>
      </c>
      <c r="PW41" s="1" t="n">
        <f aca="false">PU41-PV41</f>
        <v>0</v>
      </c>
      <c r="PX41" s="1" t="n">
        <f aca="false">IF(AND(HT41=0,AQ41=1,PW41&gt;0),MIN(PW41,AR41),0)</f>
        <v>0</v>
      </c>
      <c r="PY41" s="1" t="n">
        <f aca="false">PW41-PX41</f>
        <v>0</v>
      </c>
      <c r="PZ41" s="1" t="n">
        <f aca="false">IF(AND(HT41=0,AG41=1,PY41&gt;0),MIN(PY41,AH41),0)</f>
        <v>0</v>
      </c>
      <c r="QA41" s="1" t="n">
        <f aca="false">PY41-PZ41</f>
        <v>0</v>
      </c>
      <c r="QB41" s="1" t="n">
        <f aca="false">IF(AND(HT41=0,V41=1,QA41&gt;0),MIN(QA41,W41),0)</f>
        <v>0</v>
      </c>
      <c r="QC41" s="1" t="n">
        <f aca="false">QA41-QB41</f>
        <v>0</v>
      </c>
      <c r="QD41" s="1" t="n">
        <f aca="false">IF(HT41=0,QC41,0)</f>
        <v>0</v>
      </c>
      <c r="QE41" s="1" t="n">
        <f aca="false">OL41+ON41+QB41+PZ41+PX41+PV41+PT41+PR41+PP41+PN41+PL41+PJ41+PH41+PF41+PD41+PB41+OZ41+OX41+OV41+OT41+OR41+OP41</f>
        <v>0</v>
      </c>
      <c r="QF41" s="1" t="n">
        <f aca="false">IF(HT41=1,HJ41+OI41+OH41+IF(F41=1,0,OJ41),HJ41-OL41)</f>
        <v>0</v>
      </c>
      <c r="QG41" s="1" t="n">
        <f aca="false">HK41-ON41</f>
        <v>0</v>
      </c>
      <c r="QH41" s="1" t="n">
        <f aca="false">IF(HT41=1,IF(F41=1,IC41+ID41,HR41),0)</f>
        <v>0</v>
      </c>
      <c r="QI41" s="1" t="n">
        <f aca="false">IF(HT41=1,IF(F41=1,HR41-IC41-ID41,0),0)</f>
        <v>0</v>
      </c>
      <c r="QJ41" s="1" t="n">
        <f aca="false">QF41*(1+GR)</f>
        <v>0</v>
      </c>
      <c r="QK41" s="1" t="n">
        <f aca="false">QG41*(1+AS_Cash)</f>
        <v>0</v>
      </c>
      <c r="QL41" s="1" t="n">
        <f aca="false">IF(V41=1,IF(HT41=1,IH41+IK41,W41-QB41)*(1+Slot1_Rate),0)</f>
        <v>0</v>
      </c>
      <c r="QM41" s="1" t="n">
        <f aca="false">IF(AND(HT41=1,V41=1),(IG41+IK41)/E41,0)</f>
        <v>0</v>
      </c>
      <c r="QN41" s="1" t="n">
        <f aca="false">IF(B41=0,IG41+IK41,0)</f>
        <v>0</v>
      </c>
      <c r="QO41" s="1" t="n">
        <f aca="false">IF(B41=0,IF(HT41=1,II41,IJ41),0)</f>
        <v>0</v>
      </c>
      <c r="QP41" s="1" t="n">
        <f aca="false">IF(AG41=1,IF(HT41=1,IP41+IS41,AH41-PZ41)*(1+Slot2_Rate),0)</f>
        <v>0</v>
      </c>
      <c r="QQ41" s="1" t="n">
        <f aca="false">IF(AND(HT41=1,AG41=1),(IO41+IS41)/E41,0)</f>
        <v>0</v>
      </c>
      <c r="QR41" s="1" t="n">
        <f aca="false">IF(B41=0,IO41+IS41,0)</f>
        <v>0</v>
      </c>
      <c r="QS41" s="1" t="n">
        <f aca="false">IF(B41=0,IF(HT41=1,IQ41,IR41),0)</f>
        <v>0</v>
      </c>
      <c r="QT41" s="1" t="n">
        <f aca="false">IF(AQ41=1,IF(HT41=1,IX41+JA41,AR41-PX41)*(1+Slot3_Rate),0)</f>
        <v>0</v>
      </c>
      <c r="QU41" s="1" t="n">
        <f aca="false">IF(AND(HT41=1,AQ41=1),(IW41+JA41)/E41,0)</f>
        <v>0</v>
      </c>
      <c r="QV41" s="1" t="n">
        <f aca="false">IF(B41=0,IW41+JA41,0)</f>
        <v>0</v>
      </c>
      <c r="QW41" s="1" t="n">
        <f aca="false">IF(B41=0,IF(HT41=1,IY41,IZ41),0)</f>
        <v>0</v>
      </c>
      <c r="QX41" s="1" t="n">
        <f aca="false">IF(BA41=1,IF(HT41=1,JF41+JI41,BB41-PV41)*(1+Slot4_Rate),0)</f>
        <v>0</v>
      </c>
      <c r="QY41" s="1" t="n">
        <f aca="false">IF(AND(HT41=1,BA41=1),(JE41+JI41)/E41,0)</f>
        <v>0</v>
      </c>
      <c r="QZ41" s="1" t="n">
        <f aca="false">IF(B41=0,JE41+JI41,0)</f>
        <v>0</v>
      </c>
      <c r="RA41" s="1" t="n">
        <f aca="false">IF(B41=0,IF(HT41=1,JG41,JH41),0)</f>
        <v>0</v>
      </c>
      <c r="RB41" s="1" t="n">
        <f aca="false">IF(BK41=1,IF(HT41=1,JN41+JQ41,BL41-PT41)*(1+Slot5_Rate),0)</f>
        <v>0</v>
      </c>
      <c r="RC41" s="1" t="n">
        <f aca="false">IF(AND(HT41=1,BK41=1),(JM41+JQ41)/E41,0)</f>
        <v>0</v>
      </c>
      <c r="RD41" s="1" t="n">
        <f aca="false">IF(B41=0,JM41+JQ41,0)</f>
        <v>0</v>
      </c>
      <c r="RE41" s="1" t="n">
        <f aca="false">IF(B41=0,IF(HT41=1,JO41,JP41),0)</f>
        <v>0</v>
      </c>
      <c r="RF41" s="1" t="n">
        <f aca="false">IF(BU41=1,IF(HT41=1,JV41+JY41,BV41-PR41)*(1+Slot6_Rate),0)</f>
        <v>0</v>
      </c>
      <c r="RG41" s="1" t="n">
        <f aca="false">IF(AND(HT41=1,BU41=1),(JU41+JY41)/E41,0)</f>
        <v>0</v>
      </c>
      <c r="RH41" s="1" t="n">
        <f aca="false">IF(B41=0,JU41+JY41,0)</f>
        <v>0</v>
      </c>
      <c r="RI41" s="1" t="n">
        <f aca="false">IF(B41=0,IF(HT41=1,JW41,JX41),0)</f>
        <v>0</v>
      </c>
      <c r="RJ41" s="1" t="n">
        <f aca="false">IF(CE41=1,IF(HT41=1,KD41+KG41,CF41-PP41)*(1+Slot7_Rate),0)</f>
        <v>0</v>
      </c>
      <c r="RK41" s="1" t="n">
        <f aca="false">IF(AND(HT41=1,CE41=1),(KC41+KG41)/E41,0)</f>
        <v>0</v>
      </c>
      <c r="RL41" s="1" t="n">
        <f aca="false">IF(B41=0,KC41+KG41,0)</f>
        <v>0</v>
      </c>
      <c r="RM41" s="1" t="n">
        <f aca="false">IF(B41=0,IF(HT41=1,KE41,KF41),0)</f>
        <v>0</v>
      </c>
      <c r="RN41" s="1" t="n">
        <f aca="false">IF(CO41=1,IF(HT41=1,KL41+KO41,CP41-PN41)*(1+Slot8_Rate),0)</f>
        <v>0</v>
      </c>
      <c r="RO41" s="1" t="n">
        <f aca="false">IF(AND(HT41=1,CO41=1),(KK41+KO41)/E41,0)</f>
        <v>0</v>
      </c>
      <c r="RP41" s="1" t="n">
        <f aca="false">IF(B41=0,KK41+KO41,0)</f>
        <v>0</v>
      </c>
      <c r="RQ41" s="1" t="n">
        <f aca="false">IF(B41=0,IF(HT41=1,KM41,KN41),0)</f>
        <v>0</v>
      </c>
      <c r="RR41" s="1" t="n">
        <f aca="false">IF(CY41=1,IF(HT41=1,KT41+KW41,CZ41-PL41)*(1+Slot9_Rate),0)</f>
        <v>0</v>
      </c>
      <c r="RS41" s="1" t="n">
        <f aca="false">IF(AND(HT41=1,CY41=1),(KS41+KW41)/E41,0)</f>
        <v>0</v>
      </c>
      <c r="RT41" s="1" t="n">
        <f aca="false">IF(B41=0,KS41+KW41,0)</f>
        <v>0</v>
      </c>
      <c r="RU41" s="1" t="n">
        <f aca="false">IF(B41=0,IF(HT41=1,KU41,KV41),0)</f>
        <v>0</v>
      </c>
      <c r="RV41" s="1" t="n">
        <f aca="false">IF(DI41=1,IF(HT41=1,LB41+LE41,DJ41-PJ41)*(1+Slot10_Rate),0)</f>
        <v>0</v>
      </c>
      <c r="RW41" s="1" t="n">
        <f aca="false">IF(AND(HT41=1,DI41=1),(LA41+LE41)/E41,0)</f>
        <v>0</v>
      </c>
      <c r="RX41" s="1" t="n">
        <f aca="false">IF(B41=0,LA41+LE41,0)</f>
        <v>0</v>
      </c>
      <c r="RY41" s="1" t="n">
        <f aca="false">IF(B41=0,IF(HT41=1,LC41,LD41),0)</f>
        <v>0</v>
      </c>
      <c r="RZ41" s="1" t="n">
        <f aca="false">IF(DS41=1,IF(HT41=1,LJ41+LM41,DT41-PH41)*(1+Slot11_Rate),0)</f>
        <v>0</v>
      </c>
      <c r="SA41" s="1" t="n">
        <f aca="false">IF(AND(HT41=1,DS41=1),(LI41+LM41)/E41,0)</f>
        <v>0</v>
      </c>
      <c r="SB41" s="1" t="n">
        <f aca="false">IF(B41=0,LI41+LM41,0)</f>
        <v>0</v>
      </c>
      <c r="SC41" s="1" t="n">
        <f aca="false">IF(B41=0,IF(HT41=1,LK41,LL41),0)</f>
        <v>0</v>
      </c>
      <c r="SD41" s="1" t="n">
        <f aca="false">IF(EC41=1,IF(HT41=1,LR41+LU41,ED41-PF41)*(1+Slot12_Rate),0)</f>
        <v>0</v>
      </c>
      <c r="SE41" s="1" t="n">
        <f aca="false">IF(AND(HT41=1,EC41=1),(LQ41+LU41)/E41,0)</f>
        <v>0</v>
      </c>
      <c r="SF41" s="1" t="n">
        <f aca="false">IF(B41=0,LQ41+LU41,0)</f>
        <v>0</v>
      </c>
      <c r="SG41" s="1" t="n">
        <f aca="false">IF(B41=0,IF(HT41=1,LS41,LT41),0)</f>
        <v>0</v>
      </c>
      <c r="SH41" s="1" t="n">
        <f aca="false">IF(EM41=1,IF(HT41=1,LZ41+MC41,EN41-PD41)*(1+Slot13_Rate),0)</f>
        <v>0</v>
      </c>
      <c r="SI41" s="1" t="n">
        <f aca="false">IF(AND(HT41=1,EM41=1),(LY41+MC41)/E41,0)</f>
        <v>0</v>
      </c>
      <c r="SJ41" s="1" t="n">
        <f aca="false">IF(B41=0,LY41+MC41,0)</f>
        <v>0</v>
      </c>
      <c r="SK41" s="1" t="n">
        <f aca="false">IF(B41=0,IF(HT41=1,MA41,MB41),0)</f>
        <v>0</v>
      </c>
      <c r="SL41" s="1" t="n">
        <f aca="false">IF(EW41=1,IF(HT41=1,MH41+MK41,EX41-PB41)*(1+Slot14_Rate),0)</f>
        <v>0</v>
      </c>
      <c r="SM41" s="1" t="n">
        <f aca="false">IF(AND(HT41=1,EW41=1),(MG41+MK41)/E41,0)</f>
        <v>0</v>
      </c>
      <c r="SN41" s="1" t="n">
        <f aca="false">IF(B41=0,MG41+MK41,0)</f>
        <v>0</v>
      </c>
      <c r="SO41" s="1" t="n">
        <f aca="false">IF(B41=0,IF(HT41=1,MI41,MJ41),0)</f>
        <v>0</v>
      </c>
      <c r="SP41" s="1" t="n">
        <f aca="false">IF(FG41=1,IF(HT41=1,MP41+MS41,FH41-OZ41)*(1+Slot15_Rate),0)</f>
        <v>0</v>
      </c>
      <c r="SQ41" s="1" t="n">
        <f aca="false">IF(AND(HT41=1,FG41=1),(MO41+MS41)/E41,0)</f>
        <v>0</v>
      </c>
      <c r="SR41" s="1" t="n">
        <f aca="false">IF(B41=0,MO41+MS41,0)</f>
        <v>0</v>
      </c>
      <c r="SS41" s="1" t="n">
        <f aca="false">IF(B41=0,IF(HT41=1,MQ41,MR41),0)</f>
        <v>0</v>
      </c>
      <c r="ST41" s="1" t="n">
        <f aca="false">IF(FQ41=1,IF(HT41=1,MX41+NA41,FR41-OX41)*(1+Slot16_Rate),0)</f>
        <v>0</v>
      </c>
      <c r="SU41" s="1" t="n">
        <f aca="false">IF(AND(HT41=1,FQ41=1),(MW41+NA41)/E41,0)</f>
        <v>0</v>
      </c>
      <c r="SV41" s="1" t="n">
        <f aca="false">IF(B41=0,MW41+NA41,0)</f>
        <v>0</v>
      </c>
      <c r="SW41" s="1" t="n">
        <f aca="false">IF(B41=0,IF(HT41=1,MY41,MZ41),0)</f>
        <v>0</v>
      </c>
      <c r="SX41" s="1" t="n">
        <f aca="false">IF(GA41=1,IF(HT41=1,NF41+NI41,GB41-OV41)*(1+Slot17_Rate),0)</f>
        <v>0</v>
      </c>
      <c r="SY41" s="1" t="n">
        <f aca="false">IF(AND(HT41=1,GA41=1),(NE41+NI41)/E41,0)</f>
        <v>0</v>
      </c>
      <c r="SZ41" s="1" t="n">
        <f aca="false">IF(B41=0,NE41+NI41,0)</f>
        <v>0</v>
      </c>
      <c r="TA41" s="1" t="n">
        <f aca="false">IF(B41=0,IF(HT41=1,NG41,NH41),0)</f>
        <v>0</v>
      </c>
      <c r="TB41" s="1" t="n">
        <f aca="false">IF(GK41=1,IF(HT41=1,NN41+NQ41,GL41-OT41)*(1+Slot18_Rate),0)</f>
        <v>0</v>
      </c>
      <c r="TC41" s="1" t="n">
        <f aca="false">IF(AND(HT41=1,GK41=1),(NM41+NQ41)/E41,0)</f>
        <v>0</v>
      </c>
      <c r="TD41" s="1" t="n">
        <f aca="false">IF(B41=0,NM41+NQ41,0)</f>
        <v>0</v>
      </c>
      <c r="TE41" s="1" t="n">
        <f aca="false">IF(B41=0,IF(HT41=1,NO41,NP41),0)</f>
        <v>0</v>
      </c>
      <c r="TF41" s="1" t="n">
        <f aca="false">IF(GU41=1,IF(HT41=1,NV41+NY41,GV41-OR41)*(1+Slot19_Rate),0)</f>
        <v>0</v>
      </c>
      <c r="TG41" s="1" t="n">
        <f aca="false">IF(AND(HT41=1,GU41=1),(NU41+NY41)/E41,0)</f>
        <v>0</v>
      </c>
      <c r="TH41" s="1" t="n">
        <f aca="false">IF(B41=0,NU41+NY41,0)</f>
        <v>0</v>
      </c>
      <c r="TI41" s="1" t="n">
        <f aca="false">IF(B41=0,IF(HT41=1,NW41,NX41),0)</f>
        <v>0</v>
      </c>
      <c r="TJ41" s="1" t="n">
        <f aca="false">IF(HE41=1,IF(HT41=1,OD41+OG41,HF41-OP41)*(1+Slot20_Rate),0)</f>
        <v>0</v>
      </c>
      <c r="TK41" s="1" t="n">
        <f aca="false">IF(AND(HT41=1,HE41=1),(OC41+OG41)/E41,0)</f>
        <v>0</v>
      </c>
      <c r="TL41" s="1" t="n">
        <f aca="false">IF(B41=0,OC41+OG41,0)</f>
        <v>0</v>
      </c>
      <c r="TM41" s="1" t="n">
        <f aca="false">IF(B41=0,IF(HT41=1,OE41,OF41),0)</f>
        <v>0</v>
      </c>
      <c r="TN41" s="1" t="n">
        <f aca="false">QJ41+QK41+QL41+QP41+QT41+QX41+RB41+RF41+RJ41+RN41+RR41+RV41+RZ41+SD41+SH41+SL41+SP41+ST41+SX41+TB41+TF41+TJ41</f>
        <v>0</v>
      </c>
      <c r="TO41" s="1" t="n">
        <f aca="false">QD41+HO41</f>
        <v>0</v>
      </c>
      <c r="TP41" s="1" t="n">
        <f aca="false">H41+R41</f>
        <v>0</v>
      </c>
      <c r="TQ41" s="1" t="n">
        <f aca="false">1-F41</f>
        <v>0</v>
      </c>
      <c r="TR41" s="1" t="n">
        <f aca="false">IF(AND(RG_Exists=1,F41=0,C41=1),H41,0)</f>
        <v>0</v>
      </c>
      <c r="TS41" s="1" t="n">
        <f aca="false">IF(AND(RG_Exists=1,F41=0,C41=1),H41-MIN(QD41,H41),0)</f>
        <v>0</v>
      </c>
      <c r="TT41" s="1" t="n">
        <f aca="false">'Plan pay &amp; tax'!AD267</f>
        <v>0</v>
      </c>
      <c r="TU41" s="1" t="n">
        <f aca="false">IF(AND(C41=1,QD41&gt;MAX(PR_Short1,TP41*PR_Short2)),1,0)</f>
        <v>0</v>
      </c>
      <c r="TV41" s="1" t="n">
        <f aca="false">MIN(G41,H41+R41)</f>
        <v>0</v>
      </c>
      <c r="TW41" s="1" t="n">
        <f aca="false">QE41+MAX(0,HP41-HO41)</f>
        <v>0</v>
      </c>
      <c r="TX41" s="1" t="n">
        <f aca="false">QD41+HO41</f>
        <v>0</v>
      </c>
      <c r="TY41" s="1" t="n">
        <f aca="false">IF(AND(C41=1,TX41&gt;PR_MinShort),1,0)</f>
        <v>0</v>
      </c>
      <c r="TZ41" s="1" t="n">
        <f aca="false">IF(AND(C41=1,TY41=0,TW41&gt;PR_MinShort),1,0)</f>
        <v>0</v>
      </c>
      <c r="UA41" s="1" t="n">
        <f aca="false">IF(AND(C41=1,QD41&gt;PR_MinShort),1,0)</f>
        <v>0</v>
      </c>
      <c r="UB41" s="1" t="n">
        <f aca="false">IF(AND(C41=1,QE41&gt;1,UI41=0),1,0)</f>
        <v>0</v>
      </c>
      <c r="UC41" s="1" t="str">
        <f aca="false">IF(C41=0,"",IF(UI41=1,"Gap to plan for: short "&amp;"€"&amp;TEXT(ROUND(TO41,0),"#,##0"),IF(QE41&gt;1,"Using savings","Comfortable")))</f>
        <v>Comfortable</v>
      </c>
      <c r="UD41" s="1" t="n">
        <f aca="false">IF(AND(INT(D41/10)*10=90,B41&gt;0),80,INT(D41/10)*10)</f>
        <v>30</v>
      </c>
      <c r="UE41" s="1" t="n">
        <f aca="false">IF(B41=0,1,IF(UD41&lt;&gt;UD40,UE40+1,UE40))</f>
        <v>4</v>
      </c>
      <c r="UF41" s="1" t="n">
        <f aca="false">IF(AND(C41=1,F41=1,QD41&gt;MAX(PR_Short1,TP41*PR_Short2)),1,0)</f>
        <v>0</v>
      </c>
      <c r="UG41" s="1" t="n">
        <f aca="false">TQ41*TU41</f>
        <v>0</v>
      </c>
      <c r="UH41" s="1" t="n">
        <f aca="false">IF(AND(U41=1,Slot1_PctLow=1),1,0)+IF(AND(AF41=1,Slot2_PctLow=1),1,0)+IF(AND(AP41=1,Slot3_PctLow=1),1,0)+IF(AND(AZ41=1,Slot4_PctLow=1),1,0)+IF(AND(BJ41=1,Slot5_PctLow=1),1,0)+IF(AND(BT41=1,Slot6_PctLow=1),1,0)+IF(AND(CD41=1,Slot7_PctLow=1),1,0)+IF(AND(CN41=1,Slot8_PctLow=1),1,0)+IF(AND(CX41=1,Slot9_PctLow=1),1,0)+IF(AND(DH41=1,Slot10_PctLow=1),1,0)+IF(AND(DR41=1,Slot11_PctLow=1),1,0)+IF(AND(EB41=1,Slot12_PctLow=1),1,0)+IF(AND(EL41=1,Slot13_PctLow=1),1,0)+IF(AND(EV41=1,Slot14_PctLow=1),1,0)+IF(AND(FF41=1,Slot15_PctLow=1),1,0)+IF(AND(FP41=1,Slot16_PctLow=1),1,0)+IF(AND(FZ41=1,Slot17_PctLow=1),1,0)+IF(AND(GJ41=1,Slot18_PctLow=1),1,0)+IF(AND(GT41=1,Slot19_PctLow=1),1,0)+IF(AND(HD41=1,Slot20_PctLow=1),1,0)</f>
        <v>0</v>
      </c>
      <c r="UI41" s="1" t="n">
        <f aca="false">IF(C41=1,IF(OR(TU41=1,UH41&gt;0),1,0),0)</f>
        <v>0</v>
      </c>
    </row>
    <row r="42" customFormat="false" ht="15" hidden="false" customHeight="true" outlineLevel="0" collapsed="false">
      <c r="B42" s="1" t="n">
        <v>34</v>
      </c>
      <c r="C42" s="1" t="n">
        <f aca="false">IF(B42&lt;=F_N,1,0)</f>
        <v>1</v>
      </c>
      <c r="D42" s="1" t="n">
        <f aca="false">'Plan pay &amp; tax'!C268</f>
        <v>34</v>
      </c>
      <c r="E42" s="111" t="n">
        <f aca="false">'Plan pay &amp; tax'!E268</f>
        <v>1.96067603202202</v>
      </c>
      <c r="F42" s="1" t="n">
        <f aca="false">'Plan pay &amp; tax'!G268</f>
        <v>1</v>
      </c>
      <c r="G42" s="1" t="n">
        <f aca="false">'Plan pay &amp; tax'!BT268-'Plan pay &amp; tax'!BS268-'Plan pay &amp; tax'!R268</f>
        <v>0</v>
      </c>
      <c r="H42" s="1" t="n">
        <f aca="false">IF(F42=1,F_CostsM*12,IF(RG_Exists=1,RG_Amount,F_CostsM*12*AS_RetireSpend))*E42+F_OneOffY*E42</f>
        <v>0</v>
      </c>
      <c r="I42" s="1" t="n">
        <f aca="false">HQ41</f>
        <v>0</v>
      </c>
      <c r="J42" s="1" t="n">
        <f aca="false">IF(I42&gt;1,'Plan debt months'!AC42,0)</f>
        <v>0</v>
      </c>
      <c r="K42" s="1" t="n">
        <f aca="false">IF(I42&gt;1,'Plan debt months'!AB42,I42)</f>
        <v>0</v>
      </c>
      <c r="L42" s="1" t="n">
        <f aca="false">N41</f>
        <v>0</v>
      </c>
      <c r="M42" s="1" t="n">
        <f aca="false">IF(L42&gt;1,'Plan debt months'!BD42,0)</f>
        <v>0</v>
      </c>
      <c r="N42" s="1" t="n">
        <f aca="false">IF(L42&gt;1,'Plan debt months'!BC42,L42)</f>
        <v>0</v>
      </c>
      <c r="O42" s="1" t="n">
        <f aca="false">Q41</f>
        <v>0</v>
      </c>
      <c r="P42" s="1" t="n">
        <f aca="false">IF(O42&gt;1,'Plan debt months'!CE42,0)</f>
        <v>0</v>
      </c>
      <c r="Q42" s="1" t="n">
        <f aca="false">IF(O42&gt;1,'Plan debt months'!CD42,O42)</f>
        <v>0</v>
      </c>
      <c r="R42" s="1" t="n">
        <f aca="false">J42+M42+P42</f>
        <v>0</v>
      </c>
      <c r="S42" s="1" t="n">
        <f aca="false">QJ41+'Plan pay &amp; tax'!Y268</f>
        <v>0</v>
      </c>
      <c r="T42" s="1" t="n">
        <f aca="false">QJ41</f>
        <v>0</v>
      </c>
      <c r="U42" s="1" t="n">
        <f aca="false">IF(AND(Slot1_On=1,D42=Slot1_Age),1,0)</f>
        <v>0</v>
      </c>
      <c r="V42" s="1" t="n">
        <f aca="false">IF(AND(Slot1_On=1,Slot1_Age&gt;D42),1,0)</f>
        <v>0</v>
      </c>
      <c r="W42" s="1" t="n">
        <f aca="false">QL41</f>
        <v>0</v>
      </c>
      <c r="X42" s="1" t="n">
        <f aca="false">U42*MIN(Slot1_Cost,W42)</f>
        <v>0</v>
      </c>
      <c r="Y42" s="1" t="n">
        <f aca="false">U42*Slot1_SpendLike*MIN(Slot1_Cost-X42,S42)</f>
        <v>0</v>
      </c>
      <c r="Z42" s="1" t="n">
        <f aca="false">X42+Y42</f>
        <v>0</v>
      </c>
      <c r="AA42" s="1" t="n">
        <f aca="false">S42-Y42+U42*IF(Slot1_SpendLike=1,W42-X42,IF(Slot1_PotFree=1,W42,0))</f>
        <v>0</v>
      </c>
      <c r="AB42" s="1" t="n">
        <f aca="false">AE42+U42*Slot1_BufPot*W42</f>
        <v>0</v>
      </c>
      <c r="AC42" s="1" t="n">
        <f aca="false">IF(AND(U42=1,Slot1_IsMfree=1),IF(Z42&gt;=Slot1_Cost-1,0,MAX(0,K42-Z42)),K42)</f>
        <v>0</v>
      </c>
      <c r="AD42" s="1" t="n">
        <f aca="false">U42*(Slot1_Cost-Z42)</f>
        <v>0</v>
      </c>
      <c r="AE42" s="1" t="n">
        <f aca="false">QK41</f>
        <v>0</v>
      </c>
      <c r="AF42" s="1" t="n">
        <f aca="false">IF(AND(Slot2_On=1,D42=Slot2_Age),1,0)</f>
        <v>0</v>
      </c>
      <c r="AG42" s="1" t="n">
        <f aca="false">IF(AND(Slot2_On=1,Slot2_Age&gt;D42),1,0)</f>
        <v>0</v>
      </c>
      <c r="AH42" s="1" t="n">
        <f aca="false">QP41</f>
        <v>0</v>
      </c>
      <c r="AI42" s="1" t="n">
        <f aca="false">AF42*MIN(Slot2_Cost,AH42)</f>
        <v>0</v>
      </c>
      <c r="AJ42" s="1" t="n">
        <f aca="false">AF42*Slot2_SpendLike*MIN(Slot2_Cost-AI42,AA42)</f>
        <v>0</v>
      </c>
      <c r="AK42" s="1" t="n">
        <f aca="false">AI42+AJ42</f>
        <v>0</v>
      </c>
      <c r="AL42" s="1" t="n">
        <f aca="false">AA42-AJ42+AF42*IF(Slot2_SpendLike=1,AH42-AI42,IF(Slot2_PotFree=1,AH42,0))</f>
        <v>0</v>
      </c>
      <c r="AM42" s="1" t="n">
        <f aca="false">AB42+AF42*Slot2_BufPot*AH42</f>
        <v>0</v>
      </c>
      <c r="AN42" s="1" t="n">
        <f aca="false">IF(AND(AF42=1,Slot2_IsMfree=1),IF(AK42&gt;=Slot2_Cost-1,0,MAX(0,AC42-AK42)),AC42)</f>
        <v>0</v>
      </c>
      <c r="AO42" s="1" t="n">
        <f aca="false">AF42*(Slot2_Cost-AK42)</f>
        <v>0</v>
      </c>
      <c r="AP42" s="1" t="n">
        <f aca="false">IF(AND(Slot3_On=1,D42=Slot3_Age),1,0)</f>
        <v>0</v>
      </c>
      <c r="AQ42" s="1" t="n">
        <f aca="false">IF(AND(Slot3_On=1,Slot3_Age&gt;D42),1,0)</f>
        <v>0</v>
      </c>
      <c r="AR42" s="1" t="n">
        <f aca="false">QT41</f>
        <v>0</v>
      </c>
      <c r="AS42" s="1" t="n">
        <f aca="false">AP42*MIN(Slot3_Cost,AR42)</f>
        <v>0</v>
      </c>
      <c r="AT42" s="1" t="n">
        <f aca="false">AP42*Slot3_SpendLike*MIN(Slot3_Cost-AS42,AL42)</f>
        <v>0</v>
      </c>
      <c r="AU42" s="1" t="n">
        <f aca="false">AS42+AT42</f>
        <v>0</v>
      </c>
      <c r="AV42" s="1" t="n">
        <f aca="false">AL42-AT42+AP42*IF(Slot3_SpendLike=1,AR42-AS42,IF(Slot3_PotFree=1,AR42,0))</f>
        <v>0</v>
      </c>
      <c r="AW42" s="1" t="n">
        <f aca="false">AM42+AP42*Slot3_BufPot*AR42</f>
        <v>0</v>
      </c>
      <c r="AX42" s="1" t="n">
        <f aca="false">IF(AND(AP42=1,Slot3_IsMfree=1),IF(AU42&gt;=Slot3_Cost-1,0,MAX(0,AN42-AU42)),AN42)</f>
        <v>0</v>
      </c>
      <c r="AY42" s="1" t="n">
        <f aca="false">AP42*(Slot3_Cost-AU42)</f>
        <v>0</v>
      </c>
      <c r="AZ42" s="1" t="n">
        <f aca="false">IF(AND(Slot4_On=1,D42=Slot4_Age),1,0)</f>
        <v>0</v>
      </c>
      <c r="BA42" s="1" t="n">
        <f aca="false">IF(AND(Slot4_On=1,Slot4_Age&gt;D42),1,0)</f>
        <v>0</v>
      </c>
      <c r="BB42" s="1" t="n">
        <f aca="false">QX41</f>
        <v>0</v>
      </c>
      <c r="BC42" s="1" t="n">
        <f aca="false">AZ42*MIN(Slot4_Cost,BB42)</f>
        <v>0</v>
      </c>
      <c r="BD42" s="1" t="n">
        <f aca="false">AZ42*Slot4_SpendLike*MIN(Slot4_Cost-BC42,AV42)</f>
        <v>0</v>
      </c>
      <c r="BE42" s="1" t="n">
        <f aca="false">BC42+BD42</f>
        <v>0</v>
      </c>
      <c r="BF42" s="1" t="n">
        <f aca="false">AV42-BD42+AZ42*IF(Slot4_SpendLike=1,BB42-BC42,IF(Slot4_PotFree=1,BB42,0))</f>
        <v>0</v>
      </c>
      <c r="BG42" s="1" t="n">
        <f aca="false">AW42+AZ42*Slot4_BufPot*BB42</f>
        <v>0</v>
      </c>
      <c r="BH42" s="1" t="n">
        <f aca="false">IF(AND(AZ42=1,Slot4_IsMfree=1),IF(BE42&gt;=Slot4_Cost-1,0,MAX(0,AX42-BE42)),AX42)</f>
        <v>0</v>
      </c>
      <c r="BI42" s="1" t="n">
        <f aca="false">AZ42*(Slot4_Cost-BE42)</f>
        <v>0</v>
      </c>
      <c r="BJ42" s="1" t="n">
        <f aca="false">IF(AND(Slot5_On=1,D42=Slot5_Age),1,0)</f>
        <v>0</v>
      </c>
      <c r="BK42" s="1" t="n">
        <f aca="false">IF(AND(Slot5_On=1,Slot5_Age&gt;D42),1,0)</f>
        <v>0</v>
      </c>
      <c r="BL42" s="1" t="n">
        <f aca="false">RB41</f>
        <v>0</v>
      </c>
      <c r="BM42" s="1" t="n">
        <f aca="false">BJ42*MIN(Slot5_Cost,BL42)</f>
        <v>0</v>
      </c>
      <c r="BN42" s="1" t="n">
        <f aca="false">BJ42*Slot5_SpendLike*MIN(Slot5_Cost-BM42,BF42)</f>
        <v>0</v>
      </c>
      <c r="BO42" s="1" t="n">
        <f aca="false">BM42+BN42</f>
        <v>0</v>
      </c>
      <c r="BP42" s="1" t="n">
        <f aca="false">BF42-BN42+BJ42*IF(Slot5_SpendLike=1,BL42-BM42,IF(Slot5_PotFree=1,BL42,0))</f>
        <v>0</v>
      </c>
      <c r="BQ42" s="1" t="n">
        <f aca="false">BG42+BJ42*Slot5_BufPot*BL42</f>
        <v>0</v>
      </c>
      <c r="BR42" s="1" t="n">
        <f aca="false">IF(AND(BJ42=1,Slot5_IsMfree=1),IF(BO42&gt;=Slot5_Cost-1,0,MAX(0,BH42-BO42)),BH42)</f>
        <v>0</v>
      </c>
      <c r="BS42" s="1" t="n">
        <f aca="false">BJ42*(Slot5_Cost-BO42)</f>
        <v>0</v>
      </c>
      <c r="BT42" s="1" t="n">
        <f aca="false">IF(AND(Slot6_On=1,D42=Slot6_Age),1,0)</f>
        <v>0</v>
      </c>
      <c r="BU42" s="1" t="n">
        <f aca="false">IF(AND(Slot6_On=1,Slot6_Age&gt;D42),1,0)</f>
        <v>0</v>
      </c>
      <c r="BV42" s="1" t="n">
        <f aca="false">RF41</f>
        <v>0</v>
      </c>
      <c r="BW42" s="1" t="n">
        <f aca="false">BT42*MIN(Slot6_Cost,BV42)</f>
        <v>0</v>
      </c>
      <c r="BX42" s="1" t="n">
        <f aca="false">BT42*Slot6_SpendLike*MIN(Slot6_Cost-BW42,BP42)</f>
        <v>0</v>
      </c>
      <c r="BY42" s="1" t="n">
        <f aca="false">BW42+BX42</f>
        <v>0</v>
      </c>
      <c r="BZ42" s="1" t="n">
        <f aca="false">BP42-BX42+BT42*IF(Slot6_SpendLike=1,BV42-BW42,IF(Slot6_PotFree=1,BV42,0))</f>
        <v>0</v>
      </c>
      <c r="CA42" s="1" t="n">
        <f aca="false">BQ42+BT42*Slot6_BufPot*BV42</f>
        <v>0</v>
      </c>
      <c r="CB42" s="1" t="n">
        <f aca="false">IF(AND(BT42=1,Slot6_IsMfree=1),IF(BY42&gt;=Slot6_Cost-1,0,MAX(0,BR42-BY42)),BR42)</f>
        <v>0</v>
      </c>
      <c r="CC42" s="1" t="n">
        <f aca="false">BT42*(Slot6_Cost-BY42)</f>
        <v>0</v>
      </c>
      <c r="CD42" s="1" t="n">
        <f aca="false">IF(AND(Slot7_On=1,D42=Slot7_Age),1,0)</f>
        <v>0</v>
      </c>
      <c r="CE42" s="1" t="n">
        <f aca="false">IF(AND(Slot7_On=1,Slot7_Age&gt;D42),1,0)</f>
        <v>0</v>
      </c>
      <c r="CF42" s="1" t="n">
        <f aca="false">RJ41</f>
        <v>0</v>
      </c>
      <c r="CG42" s="1" t="n">
        <f aca="false">CD42*MIN(Slot7_Cost,CF42)</f>
        <v>0</v>
      </c>
      <c r="CH42" s="1" t="n">
        <f aca="false">CD42*Slot7_SpendLike*MIN(Slot7_Cost-CG42,BZ42)</f>
        <v>0</v>
      </c>
      <c r="CI42" s="1" t="n">
        <f aca="false">CG42+CH42</f>
        <v>0</v>
      </c>
      <c r="CJ42" s="1" t="n">
        <f aca="false">BZ42-CH42+CD42*IF(Slot7_SpendLike=1,CF42-CG42,IF(Slot7_PotFree=1,CF42,0))</f>
        <v>0</v>
      </c>
      <c r="CK42" s="1" t="n">
        <f aca="false">CA42+CD42*Slot7_BufPot*CF42</f>
        <v>0</v>
      </c>
      <c r="CL42" s="1" t="n">
        <f aca="false">IF(AND(CD42=1,Slot7_IsMfree=1),IF(CI42&gt;=Slot7_Cost-1,0,MAX(0,CB42-CI42)),CB42)</f>
        <v>0</v>
      </c>
      <c r="CM42" s="1" t="n">
        <f aca="false">CD42*(Slot7_Cost-CI42)</f>
        <v>0</v>
      </c>
      <c r="CN42" s="1" t="n">
        <f aca="false">IF(AND(Slot8_On=1,D42=Slot8_Age),1,0)</f>
        <v>0</v>
      </c>
      <c r="CO42" s="1" t="n">
        <f aca="false">IF(AND(Slot8_On=1,Slot8_Age&gt;D42),1,0)</f>
        <v>0</v>
      </c>
      <c r="CP42" s="1" t="n">
        <f aca="false">RN41</f>
        <v>0</v>
      </c>
      <c r="CQ42" s="1" t="n">
        <f aca="false">CN42*MIN(Slot8_Cost,CP42)</f>
        <v>0</v>
      </c>
      <c r="CR42" s="1" t="n">
        <f aca="false">CN42*Slot8_SpendLike*MIN(Slot8_Cost-CQ42,CJ42)</f>
        <v>0</v>
      </c>
      <c r="CS42" s="1" t="n">
        <f aca="false">CQ42+CR42</f>
        <v>0</v>
      </c>
      <c r="CT42" s="1" t="n">
        <f aca="false">CJ42-CR42+CN42*IF(Slot8_SpendLike=1,CP42-CQ42,IF(Slot8_PotFree=1,CP42,0))</f>
        <v>0</v>
      </c>
      <c r="CU42" s="1" t="n">
        <f aca="false">CK42+CN42*Slot8_BufPot*CP42</f>
        <v>0</v>
      </c>
      <c r="CV42" s="1" t="n">
        <f aca="false">IF(AND(CN42=1,Slot8_IsMfree=1),IF(CS42&gt;=Slot8_Cost-1,0,MAX(0,CL42-CS42)),CL42)</f>
        <v>0</v>
      </c>
      <c r="CW42" s="1" t="n">
        <f aca="false">CN42*(Slot8_Cost-CS42)</f>
        <v>0</v>
      </c>
      <c r="CX42" s="1" t="n">
        <f aca="false">IF(AND(Slot9_On=1,D42=Slot9_Age),1,0)</f>
        <v>0</v>
      </c>
      <c r="CY42" s="1" t="n">
        <f aca="false">IF(AND(Slot9_On=1,Slot9_Age&gt;D42),1,0)</f>
        <v>0</v>
      </c>
      <c r="CZ42" s="1" t="n">
        <f aca="false">RR41</f>
        <v>0</v>
      </c>
      <c r="DA42" s="1" t="n">
        <f aca="false">CX42*MIN(Slot9_Cost,CZ42)</f>
        <v>0</v>
      </c>
      <c r="DB42" s="1" t="n">
        <f aca="false">CX42*Slot9_SpendLike*MIN(Slot9_Cost-DA42,CT42)</f>
        <v>0</v>
      </c>
      <c r="DC42" s="1" t="n">
        <f aca="false">DA42+DB42</f>
        <v>0</v>
      </c>
      <c r="DD42" s="1" t="n">
        <f aca="false">CT42-DB42+CX42*IF(Slot9_SpendLike=1,CZ42-DA42,IF(Slot9_PotFree=1,CZ42,0))</f>
        <v>0</v>
      </c>
      <c r="DE42" s="1" t="n">
        <f aca="false">CU42+CX42*Slot9_BufPot*CZ42</f>
        <v>0</v>
      </c>
      <c r="DF42" s="1" t="n">
        <f aca="false">IF(AND(CX42=1,Slot9_IsMfree=1),IF(DC42&gt;=Slot9_Cost-1,0,MAX(0,CV42-DC42)),CV42)</f>
        <v>0</v>
      </c>
      <c r="DG42" s="1" t="n">
        <f aca="false">CX42*(Slot9_Cost-DC42)</f>
        <v>0</v>
      </c>
      <c r="DH42" s="1" t="n">
        <f aca="false">IF(AND(Slot10_On=1,D42=Slot10_Age),1,0)</f>
        <v>0</v>
      </c>
      <c r="DI42" s="1" t="n">
        <f aca="false">IF(AND(Slot10_On=1,Slot10_Age&gt;D42),1,0)</f>
        <v>0</v>
      </c>
      <c r="DJ42" s="1" t="n">
        <f aca="false">RV41</f>
        <v>0</v>
      </c>
      <c r="DK42" s="1" t="n">
        <f aca="false">DH42*MIN(Slot10_Cost,DJ42)</f>
        <v>0</v>
      </c>
      <c r="DL42" s="1" t="n">
        <f aca="false">DH42*Slot10_SpendLike*MIN(Slot10_Cost-DK42,DD42)</f>
        <v>0</v>
      </c>
      <c r="DM42" s="1" t="n">
        <f aca="false">DK42+DL42</f>
        <v>0</v>
      </c>
      <c r="DN42" s="1" t="n">
        <f aca="false">DD42-DL42+DH42*IF(Slot10_SpendLike=1,DJ42-DK42,IF(Slot10_PotFree=1,DJ42,0))</f>
        <v>0</v>
      </c>
      <c r="DO42" s="1" t="n">
        <f aca="false">DE42+DH42*Slot10_BufPot*DJ42</f>
        <v>0</v>
      </c>
      <c r="DP42" s="1" t="n">
        <f aca="false">IF(AND(DH42=1,Slot10_IsMfree=1),IF(DM42&gt;=Slot10_Cost-1,0,MAX(0,DF42-DM42)),DF42)</f>
        <v>0</v>
      </c>
      <c r="DQ42" s="1" t="n">
        <f aca="false">DH42*(Slot10_Cost-DM42)</f>
        <v>0</v>
      </c>
      <c r="DR42" s="1" t="n">
        <f aca="false">IF(AND(Slot11_On=1,D42=Slot11_Age),1,0)</f>
        <v>0</v>
      </c>
      <c r="DS42" s="1" t="n">
        <f aca="false">IF(AND(Slot11_On=1,Slot11_Age&gt;D42),1,0)</f>
        <v>0</v>
      </c>
      <c r="DT42" s="1" t="n">
        <f aca="false">RZ41</f>
        <v>0</v>
      </c>
      <c r="DU42" s="1" t="n">
        <f aca="false">DR42*MIN(Slot11_Cost,DT42)</f>
        <v>0</v>
      </c>
      <c r="DV42" s="1" t="n">
        <f aca="false">DR42*Slot11_SpendLike*MIN(Slot11_Cost-DU42,DN42)</f>
        <v>0</v>
      </c>
      <c r="DW42" s="1" t="n">
        <f aca="false">DU42+DV42</f>
        <v>0</v>
      </c>
      <c r="DX42" s="1" t="n">
        <f aca="false">DN42-DV42+DR42*IF(Slot11_SpendLike=1,DT42-DU42,IF(Slot11_PotFree=1,DT42,0))</f>
        <v>0</v>
      </c>
      <c r="DY42" s="1" t="n">
        <f aca="false">DO42+DR42*Slot11_BufPot*DT42</f>
        <v>0</v>
      </c>
      <c r="DZ42" s="1" t="n">
        <f aca="false">IF(AND(DR42=1,Slot11_IsMfree=1),IF(DW42&gt;=Slot11_Cost-1,0,MAX(0,DP42-DW42)),DP42)</f>
        <v>0</v>
      </c>
      <c r="EA42" s="1" t="n">
        <f aca="false">DR42*(Slot11_Cost-DW42)</f>
        <v>0</v>
      </c>
      <c r="EB42" s="1" t="n">
        <f aca="false">IF(AND(Slot12_On=1,D42=Slot12_Age),1,0)</f>
        <v>0</v>
      </c>
      <c r="EC42" s="1" t="n">
        <f aca="false">IF(AND(Slot12_On=1,Slot12_Age&gt;D42),1,0)</f>
        <v>0</v>
      </c>
      <c r="ED42" s="1" t="n">
        <f aca="false">SD41</f>
        <v>0</v>
      </c>
      <c r="EE42" s="1" t="n">
        <f aca="false">EB42*MIN(Slot12_Cost,ED42)</f>
        <v>0</v>
      </c>
      <c r="EF42" s="1" t="n">
        <f aca="false">EB42*Slot12_SpendLike*MIN(Slot12_Cost-EE42,DX42)</f>
        <v>0</v>
      </c>
      <c r="EG42" s="1" t="n">
        <f aca="false">EE42+EF42</f>
        <v>0</v>
      </c>
      <c r="EH42" s="1" t="n">
        <f aca="false">DX42-EF42+EB42*IF(Slot12_SpendLike=1,ED42-EE42,IF(Slot12_PotFree=1,ED42,0))</f>
        <v>0</v>
      </c>
      <c r="EI42" s="1" t="n">
        <f aca="false">DY42+EB42*Slot12_BufPot*ED42</f>
        <v>0</v>
      </c>
      <c r="EJ42" s="1" t="n">
        <f aca="false">IF(AND(EB42=1,Slot12_IsMfree=1),IF(EG42&gt;=Slot12_Cost-1,0,MAX(0,DZ42-EG42)),DZ42)</f>
        <v>0</v>
      </c>
      <c r="EK42" s="1" t="n">
        <f aca="false">EB42*(Slot12_Cost-EG42)</f>
        <v>0</v>
      </c>
      <c r="EL42" s="1" t="n">
        <f aca="false">IF(AND(Slot13_On=1,D42=Slot13_Age),1,0)</f>
        <v>0</v>
      </c>
      <c r="EM42" s="1" t="n">
        <f aca="false">IF(AND(Slot13_On=1,Slot13_Age&gt;D42),1,0)</f>
        <v>0</v>
      </c>
      <c r="EN42" s="1" t="n">
        <f aca="false">SH41</f>
        <v>0</v>
      </c>
      <c r="EO42" s="1" t="n">
        <f aca="false">EL42*MIN(Slot13_Cost,EN42)</f>
        <v>0</v>
      </c>
      <c r="EP42" s="1" t="n">
        <f aca="false">EL42*Slot13_SpendLike*MIN(Slot13_Cost-EO42,EH42)</f>
        <v>0</v>
      </c>
      <c r="EQ42" s="1" t="n">
        <f aca="false">EO42+EP42</f>
        <v>0</v>
      </c>
      <c r="ER42" s="1" t="n">
        <f aca="false">EH42-EP42+EL42*IF(Slot13_SpendLike=1,EN42-EO42,IF(Slot13_PotFree=1,EN42,0))</f>
        <v>0</v>
      </c>
      <c r="ES42" s="1" t="n">
        <f aca="false">EI42+EL42*Slot13_BufPot*EN42</f>
        <v>0</v>
      </c>
      <c r="ET42" s="1" t="n">
        <f aca="false">IF(AND(EL42=1,Slot13_IsMfree=1),IF(EQ42&gt;=Slot13_Cost-1,0,MAX(0,EJ42-EQ42)),EJ42)</f>
        <v>0</v>
      </c>
      <c r="EU42" s="1" t="n">
        <f aca="false">EL42*(Slot13_Cost-EQ42)</f>
        <v>0</v>
      </c>
      <c r="EV42" s="1" t="n">
        <f aca="false">IF(AND(Slot14_On=1,D42=Slot14_Age),1,0)</f>
        <v>0</v>
      </c>
      <c r="EW42" s="1" t="n">
        <f aca="false">IF(AND(Slot14_On=1,Slot14_Age&gt;D42),1,0)</f>
        <v>0</v>
      </c>
      <c r="EX42" s="1" t="n">
        <f aca="false">SL41</f>
        <v>0</v>
      </c>
      <c r="EY42" s="1" t="n">
        <f aca="false">EV42*MIN(Slot14_Cost,EX42)</f>
        <v>0</v>
      </c>
      <c r="EZ42" s="1" t="n">
        <f aca="false">EV42*Slot14_SpendLike*MIN(Slot14_Cost-EY42,ER42)</f>
        <v>0</v>
      </c>
      <c r="FA42" s="1" t="n">
        <f aca="false">EY42+EZ42</f>
        <v>0</v>
      </c>
      <c r="FB42" s="1" t="n">
        <f aca="false">ER42-EZ42+EV42*IF(Slot14_SpendLike=1,EX42-EY42,IF(Slot14_PotFree=1,EX42,0))</f>
        <v>0</v>
      </c>
      <c r="FC42" s="1" t="n">
        <f aca="false">ES42+EV42*Slot14_BufPot*EX42</f>
        <v>0</v>
      </c>
      <c r="FD42" s="1" t="n">
        <f aca="false">IF(AND(EV42=1,Slot14_IsMfree=1),IF(FA42&gt;=Slot14_Cost-1,0,MAX(0,ET42-FA42)),ET42)</f>
        <v>0</v>
      </c>
      <c r="FE42" s="1" t="n">
        <f aca="false">EV42*(Slot14_Cost-FA42)</f>
        <v>0</v>
      </c>
      <c r="FF42" s="1" t="n">
        <f aca="false">IF(AND(Slot15_On=1,D42=Slot15_Age),1,0)</f>
        <v>0</v>
      </c>
      <c r="FG42" s="1" t="n">
        <f aca="false">IF(AND(Slot15_On=1,Slot15_Age&gt;D42),1,0)</f>
        <v>0</v>
      </c>
      <c r="FH42" s="1" t="n">
        <f aca="false">SP41</f>
        <v>0</v>
      </c>
      <c r="FI42" s="1" t="n">
        <f aca="false">FF42*MIN(Slot15_Cost,FH42)</f>
        <v>0</v>
      </c>
      <c r="FJ42" s="1" t="n">
        <f aca="false">FF42*Slot15_SpendLike*MIN(Slot15_Cost-FI42,FB42)</f>
        <v>0</v>
      </c>
      <c r="FK42" s="1" t="n">
        <f aca="false">FI42+FJ42</f>
        <v>0</v>
      </c>
      <c r="FL42" s="1" t="n">
        <f aca="false">FB42-FJ42+FF42*IF(Slot15_SpendLike=1,FH42-FI42,IF(Slot15_PotFree=1,FH42,0))</f>
        <v>0</v>
      </c>
      <c r="FM42" s="1" t="n">
        <f aca="false">FC42+FF42*Slot15_BufPot*FH42</f>
        <v>0</v>
      </c>
      <c r="FN42" s="1" t="n">
        <f aca="false">IF(AND(FF42=1,Slot15_IsMfree=1),IF(FK42&gt;=Slot15_Cost-1,0,MAX(0,FD42-FK42)),FD42)</f>
        <v>0</v>
      </c>
      <c r="FO42" s="1" t="n">
        <f aca="false">FF42*(Slot15_Cost-FK42)</f>
        <v>0</v>
      </c>
      <c r="FP42" s="1" t="n">
        <f aca="false">IF(AND(Slot16_On=1,D42=Slot16_Age),1,0)</f>
        <v>0</v>
      </c>
      <c r="FQ42" s="1" t="n">
        <f aca="false">IF(AND(Slot16_On=1,Slot16_Age&gt;D42),1,0)</f>
        <v>0</v>
      </c>
      <c r="FR42" s="1" t="n">
        <f aca="false">ST41</f>
        <v>0</v>
      </c>
      <c r="FS42" s="1" t="n">
        <f aca="false">FP42*MIN(Slot16_Cost,FR42)</f>
        <v>0</v>
      </c>
      <c r="FT42" s="1" t="n">
        <f aca="false">FP42*Slot16_SpendLike*MIN(Slot16_Cost-FS42,FL42)</f>
        <v>0</v>
      </c>
      <c r="FU42" s="1" t="n">
        <f aca="false">FS42+FT42</f>
        <v>0</v>
      </c>
      <c r="FV42" s="1" t="n">
        <f aca="false">FL42-FT42+FP42*IF(Slot16_SpendLike=1,FR42-FS42,IF(Slot16_PotFree=1,FR42,0))</f>
        <v>0</v>
      </c>
      <c r="FW42" s="1" t="n">
        <f aca="false">FM42+FP42*Slot16_BufPot*FR42</f>
        <v>0</v>
      </c>
      <c r="FX42" s="1" t="n">
        <f aca="false">IF(AND(FP42=1,Slot16_IsMfree=1),IF(FU42&gt;=Slot16_Cost-1,0,MAX(0,FN42-FU42)),FN42)</f>
        <v>0</v>
      </c>
      <c r="FY42" s="1" t="n">
        <f aca="false">FP42*(Slot16_Cost-FU42)</f>
        <v>0</v>
      </c>
      <c r="FZ42" s="1" t="n">
        <f aca="false">IF(AND(Slot17_On=1,D42=Slot17_Age),1,0)</f>
        <v>0</v>
      </c>
      <c r="GA42" s="1" t="n">
        <f aca="false">IF(AND(Slot17_On=1,Slot17_Age&gt;D42),1,0)</f>
        <v>0</v>
      </c>
      <c r="GB42" s="1" t="n">
        <f aca="false">SX41</f>
        <v>0</v>
      </c>
      <c r="GC42" s="1" t="n">
        <f aca="false">FZ42*MIN(Slot17_Cost,GB42)</f>
        <v>0</v>
      </c>
      <c r="GD42" s="1" t="n">
        <f aca="false">FZ42*Slot17_SpendLike*MIN(Slot17_Cost-GC42,FV42)</f>
        <v>0</v>
      </c>
      <c r="GE42" s="1" t="n">
        <f aca="false">GC42+GD42</f>
        <v>0</v>
      </c>
      <c r="GF42" s="1" t="n">
        <f aca="false">FV42-GD42+FZ42*IF(Slot17_SpendLike=1,GB42-GC42,IF(Slot17_PotFree=1,GB42,0))</f>
        <v>0</v>
      </c>
      <c r="GG42" s="1" t="n">
        <f aca="false">FW42+FZ42*Slot17_BufPot*GB42</f>
        <v>0</v>
      </c>
      <c r="GH42" s="1" t="n">
        <f aca="false">IF(AND(FZ42=1,Slot17_IsMfree=1),IF(GE42&gt;=Slot17_Cost-1,0,MAX(0,FX42-GE42)),FX42)</f>
        <v>0</v>
      </c>
      <c r="GI42" s="1" t="n">
        <f aca="false">FZ42*(Slot17_Cost-GE42)</f>
        <v>0</v>
      </c>
      <c r="GJ42" s="1" t="n">
        <f aca="false">IF(AND(Slot18_On=1,D42=Slot18_Age),1,0)</f>
        <v>0</v>
      </c>
      <c r="GK42" s="1" t="n">
        <f aca="false">IF(AND(Slot18_On=1,Slot18_Age&gt;D42),1,0)</f>
        <v>0</v>
      </c>
      <c r="GL42" s="1" t="n">
        <f aca="false">TB41</f>
        <v>0</v>
      </c>
      <c r="GM42" s="1" t="n">
        <f aca="false">GJ42*MIN(Slot18_Cost,GL42)</f>
        <v>0</v>
      </c>
      <c r="GN42" s="1" t="n">
        <f aca="false">GJ42*Slot18_SpendLike*MIN(Slot18_Cost-GM42,GF42)</f>
        <v>0</v>
      </c>
      <c r="GO42" s="1" t="n">
        <f aca="false">GM42+GN42</f>
        <v>0</v>
      </c>
      <c r="GP42" s="1" t="n">
        <f aca="false">GF42-GN42+GJ42*IF(Slot18_SpendLike=1,GL42-GM42,IF(Slot18_PotFree=1,GL42,0))</f>
        <v>0</v>
      </c>
      <c r="GQ42" s="1" t="n">
        <f aca="false">GG42+GJ42*Slot18_BufPot*GL42</f>
        <v>0</v>
      </c>
      <c r="GR42" s="1" t="n">
        <f aca="false">IF(AND(GJ42=1,Slot18_IsMfree=1),IF(GO42&gt;=Slot18_Cost-1,0,MAX(0,GH42-GO42)),GH42)</f>
        <v>0</v>
      </c>
      <c r="GS42" s="1" t="n">
        <f aca="false">GJ42*(Slot18_Cost-GO42)</f>
        <v>0</v>
      </c>
      <c r="GT42" s="1" t="n">
        <f aca="false">IF(AND(Slot19_On=1,D42=Slot19_Age),1,0)</f>
        <v>0</v>
      </c>
      <c r="GU42" s="1" t="n">
        <f aca="false">IF(AND(Slot19_On=1,Slot19_Age&gt;D42),1,0)</f>
        <v>0</v>
      </c>
      <c r="GV42" s="1" t="n">
        <f aca="false">TF41</f>
        <v>0</v>
      </c>
      <c r="GW42" s="1" t="n">
        <f aca="false">GT42*MIN(Slot19_Cost,GV42)</f>
        <v>0</v>
      </c>
      <c r="GX42" s="1" t="n">
        <f aca="false">GT42*Slot19_SpendLike*MIN(Slot19_Cost-GW42,GP42)</f>
        <v>0</v>
      </c>
      <c r="GY42" s="1" t="n">
        <f aca="false">GW42+GX42</f>
        <v>0</v>
      </c>
      <c r="GZ42" s="1" t="n">
        <f aca="false">GP42-GX42+GT42*IF(Slot19_SpendLike=1,GV42-GW42,IF(Slot19_PotFree=1,GV42,0))</f>
        <v>0</v>
      </c>
      <c r="HA42" s="1" t="n">
        <f aca="false">GQ42+GT42*Slot19_BufPot*GV42</f>
        <v>0</v>
      </c>
      <c r="HB42" s="1" t="n">
        <f aca="false">IF(AND(GT42=1,Slot19_IsMfree=1),IF(GY42&gt;=Slot19_Cost-1,0,MAX(0,GR42-GY42)),GR42)</f>
        <v>0</v>
      </c>
      <c r="HC42" s="1" t="n">
        <f aca="false">GT42*(Slot19_Cost-GY42)</f>
        <v>0</v>
      </c>
      <c r="HD42" s="1" t="n">
        <f aca="false">IF(AND(Slot20_On=1,D42=Slot20_Age),1,0)</f>
        <v>0</v>
      </c>
      <c r="HE42" s="1" t="n">
        <f aca="false">IF(AND(Slot20_On=1,Slot20_Age&gt;D42),1,0)</f>
        <v>0</v>
      </c>
      <c r="HF42" s="1" t="n">
        <f aca="false">TJ41</f>
        <v>0</v>
      </c>
      <c r="HG42" s="1" t="n">
        <f aca="false">HD42*MIN(Slot20_Cost,HF42)</f>
        <v>0</v>
      </c>
      <c r="HH42" s="1" t="n">
        <f aca="false">HD42*Slot20_SpendLike*MIN(Slot20_Cost-HG42,GZ42)</f>
        <v>0</v>
      </c>
      <c r="HI42" s="1" t="n">
        <f aca="false">HG42+HH42</f>
        <v>0</v>
      </c>
      <c r="HJ42" s="1" t="n">
        <f aca="false">GZ42-HH42+HD42*IF(Slot20_SpendLike=1,HF42-HG42,IF(Slot20_PotFree=1,HF42,0))</f>
        <v>0</v>
      </c>
      <c r="HK42" s="1" t="n">
        <f aca="false">HA42+HD42*Slot20_BufPot*HF42</f>
        <v>0</v>
      </c>
      <c r="HL42" s="1" t="n">
        <f aca="false">IF(AND(HD42=1,Slot20_IsMfree=1),IF(HI42&gt;=Slot20_Cost-1,0,MAX(0,HB42-HI42)),HB42)</f>
        <v>0</v>
      </c>
      <c r="HM42" s="1" t="n">
        <f aca="false">HD42*(Slot20_Cost-HI42)</f>
        <v>0</v>
      </c>
      <c r="HN42" s="1" t="n">
        <f aca="false">U42*Slot1_SpendLike*Z42+AF42*Slot2_SpendLike*AK42+AP42*Slot3_SpendLike*AU42+AZ42*Slot4_SpendLike*BE42+BJ42*Slot5_SpendLike*BO42+BT42*Slot6_SpendLike*BY42+CD42*Slot7_SpendLike*CI42+CN42*Slot8_SpendLike*CS42+CX42*Slot9_SpendLike*DC42+DH42*Slot10_SpendLike*DM42+DR42*Slot11_SpendLike*DW42+EB42*Slot12_SpendLike*EG42+EL42*Slot13_SpendLike*EQ42+EV42*Slot14_SpendLike*FA42+FF42*Slot15_SpendLike*FK42+FP42*Slot16_SpendLike*FU42+FZ42*Slot17_SpendLike*GE42+GJ42*Slot18_SpendLike*GO42+GT42*Slot19_SpendLike*GY42+HD42*Slot20_SpendLike*HI42</f>
        <v>0</v>
      </c>
      <c r="HO42" s="1" t="n">
        <f aca="false">AD42+AO42+AY42+BI42+BS42+CC42+CM42+CW42+DG42+DQ42+EA42+EK42+EU42+FE42+FO42+FY42+GI42+GS42+HC42+HM42</f>
        <v>0</v>
      </c>
      <c r="HP42" s="1" t="n">
        <f aca="false">U42*Slot1_Cost+AF42*Slot2_Cost+AP42*Slot3_Cost+AZ42*Slot4_Cost+BJ42*Slot5_Cost+BT42*Slot6_Cost+CD42*Slot7_Cost+CN42*Slot8_Cost+CX42*Slot9_Cost+DH42*Slot10_Cost+DR42*Slot11_Cost+EB42*Slot12_Cost+EL42*Slot13_Cost+EV42*Slot14_Cost+FF42*Slot15_Cost+FP42*Slot16_Cost+FZ42*Slot17_Cost+GJ42*Slot18_Cost+GT42*Slot19_Cost+HD42*Slot20_Cost</f>
        <v>0</v>
      </c>
      <c r="HQ42" s="1" t="n">
        <f aca="false">HL42</f>
        <v>0</v>
      </c>
      <c r="HR42" s="1" t="n">
        <f aca="false">G42-H42-R42</f>
        <v>0</v>
      </c>
      <c r="HS42" s="1" t="n">
        <f aca="false">IF(B42=0,IF(AND(Has_q6=1,In_q6=4),PR_ShareVaries*(MAX(0,HR42)/12),MIN(IF(Has_q6=1,CHOOSE(In_q6+1,PR_SaveB1,PR_SaveB2,PR_SaveB3,PR_SaveB4,0),AS_NoAnswer),AS_SaveShare*(MAX(0,HR42)/12))),HS41)</f>
        <v>0</v>
      </c>
      <c r="HT42" s="1" t="n">
        <f aca="false">IF(HR42&gt;=0,1,0)</f>
        <v>1</v>
      </c>
      <c r="HU42" s="1" t="n">
        <f aca="false">MAX(0,HR42/12/E42)</f>
        <v>0</v>
      </c>
      <c r="HV42" s="1" t="n">
        <f aca="false">IF(AND(Has_q6=1,In_q6=4),PR_ShareVaries*(HU42),MIN(IF(Has_q6=1,CHOOSE(In_q6+1,PR_SaveB1,PR_SaveB2,PR_SaveB3,PR_SaveB4,0),AS_NoAnswer),AS_SaveShare*(HU42)))</f>
        <v>0</v>
      </c>
      <c r="HW42" s="1" t="n">
        <f aca="false">IF(Has_saveM=1,IF(In_saveUp="Yes",1,IF(In_saveUp="No",0,IF(In_saveM&gt;=HS42-0.5,1,0))),0)</f>
        <v>0</v>
      </c>
      <c r="HX42" s="1" t="n">
        <f aca="false">IF(Has_saveM=1,MIN(HU42,IF(HW42=1,MAX(In_saveM,HV42),MIN(In_saveM,HV42))),HV42)</f>
        <v>0</v>
      </c>
      <c r="HY42" s="1" t="n">
        <f aca="false">IF(F42=1,HX42*12*E42,0)</f>
        <v>0</v>
      </c>
      <c r="HZ42" s="1" t="n">
        <f aca="false">MAX(0,HY42+IF(AND(WI_Retire=0,WI_M&lt;0,F42=1),WI_M*12*E42,0))</f>
        <v>0</v>
      </c>
      <c r="IA42" s="1" t="n">
        <f aca="false">Slot1_IsWG*V42+Slot2_IsWG*AG42+Slot3_IsWG*AQ42+Slot4_IsWG*BA42+Slot5_IsWG*BK42+Slot6_IsWG*BU42+Slot7_IsWG*CE42+Slot8_IsWG*CO42+Slot9_IsWG*CY42+Slot10_IsWG*DI42+Slot11_IsWG*DS42+Slot12_IsWG*EC42+Slot13_IsWG*EM42+Slot14_IsWG*EW42+Slot15_IsWG*FG42+Slot16_IsWG*FQ42+Slot17_IsWG*GA42+Slot18_IsWG*GK42+Slot19_IsWG*GU42+Slot20_IsWG*HE42</f>
        <v>0</v>
      </c>
      <c r="IB42" s="1" t="n">
        <f aca="false">IF(AND(WI_Retire=0,WI_M&gt;0,F42=1,IA42&gt;=1),WI_M*12*E42,0)</f>
        <v>0</v>
      </c>
      <c r="IC42" s="1" t="n">
        <f aca="false">IF(HT42=1,MIN(HZ42,HR42),0)</f>
        <v>0</v>
      </c>
      <c r="ID42" s="1" t="n">
        <f aca="false">IF(HT42=1,MIN(IB42,HR42-IC42),0)</f>
        <v>0</v>
      </c>
      <c r="IE42" s="1" t="n">
        <f aca="false">IF(V42=1,IF(ABS((1+AS_Wage)/(1+Slot1_Rate)-1)&lt;0.000000000001,(Slot1_Age-D42)*(1+Slot1_Rate)^(Slot1_Age-D42),(1+Slot1_Rate)^(Slot1_Age-D42)*(1-((1+AS_Wage)/(1+Slot1_Rate))^(Slot1_Age-D42))/(1-(1+AS_Wage)/(1+Slot1_Rate))),1)</f>
        <v>1</v>
      </c>
      <c r="IF42" s="1" t="n">
        <f aca="false">IF(AND(HT42=1,ID42&gt;0,Slot1_IsWG=1,V42=1),MAX(0,(Slot1_Cost-W42*(1+Slot1_Rate)^(Slot1_Age-D42))/IE42),0)</f>
        <v>0</v>
      </c>
      <c r="IG42" s="1" t="n">
        <f aca="false">IF(AND(HT42=1,ID42&gt;0,Slot1_IsWG=1,V42=1),MIN(ID42,IF42),0)</f>
        <v>0</v>
      </c>
      <c r="IH42" s="1" t="n">
        <f aca="false">W42+IG42</f>
        <v>0</v>
      </c>
      <c r="II42" s="1" t="n">
        <f aca="false">IF(V42=1,MAX(0,(Slot1_Cost-IH42*(1+Slot1_Rate)^(Slot1_Age-D42))/IE42),0)</f>
        <v>0</v>
      </c>
      <c r="IJ42" s="1" t="n">
        <f aca="false">IF(V42=1,MAX(0,(Slot1_Cost-W42*(1+Slot1_Rate)^(Slot1_Age-D42))/IE42),0)</f>
        <v>0</v>
      </c>
      <c r="IK42" s="1" t="n">
        <f aca="false">IF(AND(HT42=1,V42=1),MIN(IC42,II42),0)</f>
        <v>0</v>
      </c>
      <c r="IL42" s="1" t="n">
        <f aca="false">IC42-IK42</f>
        <v>0</v>
      </c>
      <c r="IM42" s="1" t="n">
        <f aca="false">IF(AG42=1,IF(ABS((1+AS_Wage)/(1+Slot2_Rate)-1)&lt;0.000000000001,(Slot2_Age-D42)*(1+Slot2_Rate)^(Slot2_Age-D42),(1+Slot2_Rate)^(Slot2_Age-D42)*(1-((1+AS_Wage)/(1+Slot2_Rate))^(Slot2_Age-D42))/(1-(1+AS_Wage)/(1+Slot2_Rate))),1)</f>
        <v>1</v>
      </c>
      <c r="IN42" s="1" t="n">
        <f aca="false">IF(AND(HT42=1,ID42&gt;0,Slot2_IsWG=1,AG42=1),MAX(0,(Slot2_Cost-AH42*(1+Slot2_Rate)^(Slot2_Age-D42))/IM42),0)</f>
        <v>0</v>
      </c>
      <c r="IO42" s="1" t="n">
        <f aca="false">IF(AND(HT42=1,ID42&gt;0,Slot2_IsWG=1,AG42=1),MIN(ID42,IN42),0)</f>
        <v>0</v>
      </c>
      <c r="IP42" s="1" t="n">
        <f aca="false">AH42+IO42</f>
        <v>0</v>
      </c>
      <c r="IQ42" s="1" t="n">
        <f aca="false">IF(AG42=1,MAX(0,(Slot2_Cost-IP42*(1+Slot2_Rate)^(Slot2_Age-D42))/IM42),0)</f>
        <v>0</v>
      </c>
      <c r="IR42" s="1" t="n">
        <f aca="false">IF(AG42=1,MAX(0,(Slot2_Cost-AH42*(1+Slot2_Rate)^(Slot2_Age-D42))/IM42),0)</f>
        <v>0</v>
      </c>
      <c r="IS42" s="1" t="n">
        <f aca="false">IF(AND(HT42=1,AG42=1),MIN(IL42,IQ42),0)</f>
        <v>0</v>
      </c>
      <c r="IT42" s="1" t="n">
        <f aca="false">IL42-IS42</f>
        <v>0</v>
      </c>
      <c r="IU42" s="1" t="n">
        <f aca="false">IF(AQ42=1,IF(ABS((1+AS_Wage)/(1+Slot3_Rate)-1)&lt;0.000000000001,(Slot3_Age-D42)*(1+Slot3_Rate)^(Slot3_Age-D42),(1+Slot3_Rate)^(Slot3_Age-D42)*(1-((1+AS_Wage)/(1+Slot3_Rate))^(Slot3_Age-D42))/(1-(1+AS_Wage)/(1+Slot3_Rate))),1)</f>
        <v>1</v>
      </c>
      <c r="IV42" s="1" t="n">
        <f aca="false">IF(AND(HT42=1,ID42&gt;0,Slot3_IsWG=1,AQ42=1),MAX(0,(Slot3_Cost-AR42*(1+Slot3_Rate)^(Slot3_Age-D42))/IU42),0)</f>
        <v>0</v>
      </c>
      <c r="IW42" s="1" t="n">
        <f aca="false">IF(AND(HT42=1,ID42&gt;0,Slot3_IsWG=1,AQ42=1),MIN(ID42,IV42),0)</f>
        <v>0</v>
      </c>
      <c r="IX42" s="1" t="n">
        <f aca="false">AR42+IW42</f>
        <v>0</v>
      </c>
      <c r="IY42" s="1" t="n">
        <f aca="false">IF(AQ42=1,MAX(0,(Slot3_Cost-IX42*(1+Slot3_Rate)^(Slot3_Age-D42))/IU42),0)</f>
        <v>0</v>
      </c>
      <c r="IZ42" s="1" t="n">
        <f aca="false">IF(AQ42=1,MAX(0,(Slot3_Cost-AR42*(1+Slot3_Rate)^(Slot3_Age-D42))/IU42),0)</f>
        <v>0</v>
      </c>
      <c r="JA42" s="1" t="n">
        <f aca="false">IF(AND(HT42=1,AQ42=1),MIN(IT42,IY42),0)</f>
        <v>0</v>
      </c>
      <c r="JB42" s="1" t="n">
        <f aca="false">IT42-JA42</f>
        <v>0</v>
      </c>
      <c r="JC42" s="1" t="n">
        <f aca="false">IF(BA42=1,IF(ABS((1+AS_Wage)/(1+Slot4_Rate)-1)&lt;0.000000000001,(Slot4_Age-D42)*(1+Slot4_Rate)^(Slot4_Age-D42),(1+Slot4_Rate)^(Slot4_Age-D42)*(1-((1+AS_Wage)/(1+Slot4_Rate))^(Slot4_Age-D42))/(1-(1+AS_Wage)/(1+Slot4_Rate))),1)</f>
        <v>1</v>
      </c>
      <c r="JD42" s="1" t="n">
        <f aca="false">IF(AND(HT42=1,ID42&gt;0,Slot4_IsWG=1,BA42=1),MAX(0,(Slot4_Cost-BB42*(1+Slot4_Rate)^(Slot4_Age-D42))/JC42),0)</f>
        <v>0</v>
      </c>
      <c r="JE42" s="1" t="n">
        <f aca="false">IF(AND(HT42=1,ID42&gt;0,Slot4_IsWG=1,BA42=1),MIN(ID42,JD42),0)</f>
        <v>0</v>
      </c>
      <c r="JF42" s="1" t="n">
        <f aca="false">BB42+JE42</f>
        <v>0</v>
      </c>
      <c r="JG42" s="1" t="n">
        <f aca="false">IF(BA42=1,MAX(0,(Slot4_Cost-JF42*(1+Slot4_Rate)^(Slot4_Age-D42))/JC42),0)</f>
        <v>0</v>
      </c>
      <c r="JH42" s="1" t="n">
        <f aca="false">IF(BA42=1,MAX(0,(Slot4_Cost-BB42*(1+Slot4_Rate)^(Slot4_Age-D42))/JC42),0)</f>
        <v>0</v>
      </c>
      <c r="JI42" s="1" t="n">
        <f aca="false">IF(AND(HT42=1,BA42=1),MIN(JB42,JG42),0)</f>
        <v>0</v>
      </c>
      <c r="JJ42" s="1" t="n">
        <f aca="false">JB42-JI42</f>
        <v>0</v>
      </c>
      <c r="JK42" s="1" t="n">
        <f aca="false">IF(BK42=1,IF(ABS((1+AS_Wage)/(1+Slot5_Rate)-1)&lt;0.000000000001,(Slot5_Age-D42)*(1+Slot5_Rate)^(Slot5_Age-D42),(1+Slot5_Rate)^(Slot5_Age-D42)*(1-((1+AS_Wage)/(1+Slot5_Rate))^(Slot5_Age-D42))/(1-(1+AS_Wage)/(1+Slot5_Rate))),1)</f>
        <v>1</v>
      </c>
      <c r="JL42" s="1" t="n">
        <f aca="false">IF(AND(HT42=1,ID42&gt;0,Slot5_IsWG=1,BK42=1),MAX(0,(Slot5_Cost-BL42*(1+Slot5_Rate)^(Slot5_Age-D42))/JK42),0)</f>
        <v>0</v>
      </c>
      <c r="JM42" s="1" t="n">
        <f aca="false">IF(AND(HT42=1,ID42&gt;0,Slot5_IsWG=1,BK42=1),MIN(ID42,JL42),0)</f>
        <v>0</v>
      </c>
      <c r="JN42" s="1" t="n">
        <f aca="false">BL42+JM42</f>
        <v>0</v>
      </c>
      <c r="JO42" s="1" t="n">
        <f aca="false">IF(BK42=1,MAX(0,(Slot5_Cost-JN42*(1+Slot5_Rate)^(Slot5_Age-D42))/JK42),0)</f>
        <v>0</v>
      </c>
      <c r="JP42" s="1" t="n">
        <f aca="false">IF(BK42=1,MAX(0,(Slot5_Cost-BL42*(1+Slot5_Rate)^(Slot5_Age-D42))/JK42),0)</f>
        <v>0</v>
      </c>
      <c r="JQ42" s="1" t="n">
        <f aca="false">IF(AND(HT42=1,BK42=1),MIN(JJ42,JO42),0)</f>
        <v>0</v>
      </c>
      <c r="JR42" s="1" t="n">
        <f aca="false">JJ42-JQ42</f>
        <v>0</v>
      </c>
      <c r="JS42" s="1" t="n">
        <f aca="false">IF(BU42=1,IF(ABS((1+AS_Wage)/(1+Slot6_Rate)-1)&lt;0.000000000001,(Slot6_Age-D42)*(1+Slot6_Rate)^(Slot6_Age-D42),(1+Slot6_Rate)^(Slot6_Age-D42)*(1-((1+AS_Wage)/(1+Slot6_Rate))^(Slot6_Age-D42))/(1-(1+AS_Wage)/(1+Slot6_Rate))),1)</f>
        <v>1</v>
      </c>
      <c r="JT42" s="1" t="n">
        <f aca="false">IF(AND(HT42=1,ID42&gt;0,Slot6_IsWG=1,BU42=1),MAX(0,(Slot6_Cost-BV42*(1+Slot6_Rate)^(Slot6_Age-D42))/JS42),0)</f>
        <v>0</v>
      </c>
      <c r="JU42" s="1" t="n">
        <f aca="false">IF(AND(HT42=1,ID42&gt;0,Slot6_IsWG=1,BU42=1),MIN(ID42,JT42),0)</f>
        <v>0</v>
      </c>
      <c r="JV42" s="1" t="n">
        <f aca="false">BV42+JU42</f>
        <v>0</v>
      </c>
      <c r="JW42" s="1" t="n">
        <f aca="false">IF(BU42=1,MAX(0,(Slot6_Cost-JV42*(1+Slot6_Rate)^(Slot6_Age-D42))/JS42),0)</f>
        <v>0</v>
      </c>
      <c r="JX42" s="1" t="n">
        <f aca="false">IF(BU42=1,MAX(0,(Slot6_Cost-BV42*(1+Slot6_Rate)^(Slot6_Age-D42))/JS42),0)</f>
        <v>0</v>
      </c>
      <c r="JY42" s="1" t="n">
        <f aca="false">IF(AND(HT42=1,BU42=1),MIN(JR42,JW42),0)</f>
        <v>0</v>
      </c>
      <c r="JZ42" s="1" t="n">
        <f aca="false">JR42-JY42</f>
        <v>0</v>
      </c>
      <c r="KA42" s="1" t="n">
        <f aca="false">IF(CE42=1,IF(ABS((1+AS_Wage)/(1+Slot7_Rate)-1)&lt;0.000000000001,(Slot7_Age-D42)*(1+Slot7_Rate)^(Slot7_Age-D42),(1+Slot7_Rate)^(Slot7_Age-D42)*(1-((1+AS_Wage)/(1+Slot7_Rate))^(Slot7_Age-D42))/(1-(1+AS_Wage)/(1+Slot7_Rate))),1)</f>
        <v>1</v>
      </c>
      <c r="KB42" s="1" t="n">
        <f aca="false">IF(AND(HT42=1,ID42&gt;0,Slot7_IsWG=1,CE42=1),MAX(0,(Slot7_Cost-CF42*(1+Slot7_Rate)^(Slot7_Age-D42))/KA42),0)</f>
        <v>0</v>
      </c>
      <c r="KC42" s="1" t="n">
        <f aca="false">IF(AND(HT42=1,ID42&gt;0,Slot7_IsWG=1,CE42=1),MIN(ID42,KB42),0)</f>
        <v>0</v>
      </c>
      <c r="KD42" s="1" t="n">
        <f aca="false">CF42+KC42</f>
        <v>0</v>
      </c>
      <c r="KE42" s="1" t="n">
        <f aca="false">IF(CE42=1,MAX(0,(Slot7_Cost-KD42*(1+Slot7_Rate)^(Slot7_Age-D42))/KA42),0)</f>
        <v>0</v>
      </c>
      <c r="KF42" s="1" t="n">
        <f aca="false">IF(CE42=1,MAX(0,(Slot7_Cost-CF42*(1+Slot7_Rate)^(Slot7_Age-D42))/KA42),0)</f>
        <v>0</v>
      </c>
      <c r="KG42" s="1" t="n">
        <f aca="false">IF(AND(HT42=1,CE42=1),MIN(JZ42,KE42),0)</f>
        <v>0</v>
      </c>
      <c r="KH42" s="1" t="n">
        <f aca="false">JZ42-KG42</f>
        <v>0</v>
      </c>
      <c r="KI42" s="1" t="n">
        <f aca="false">IF(CO42=1,IF(ABS((1+AS_Wage)/(1+Slot8_Rate)-1)&lt;0.000000000001,(Slot8_Age-D42)*(1+Slot8_Rate)^(Slot8_Age-D42),(1+Slot8_Rate)^(Slot8_Age-D42)*(1-((1+AS_Wage)/(1+Slot8_Rate))^(Slot8_Age-D42))/(1-(1+AS_Wage)/(1+Slot8_Rate))),1)</f>
        <v>1</v>
      </c>
      <c r="KJ42" s="1" t="n">
        <f aca="false">IF(AND(HT42=1,ID42&gt;0,Slot8_IsWG=1,CO42=1),MAX(0,(Slot8_Cost-CP42*(1+Slot8_Rate)^(Slot8_Age-D42))/KI42),0)</f>
        <v>0</v>
      </c>
      <c r="KK42" s="1" t="n">
        <f aca="false">IF(AND(HT42=1,ID42&gt;0,Slot8_IsWG=1,CO42=1),MIN(ID42,KJ42),0)</f>
        <v>0</v>
      </c>
      <c r="KL42" s="1" t="n">
        <f aca="false">CP42+KK42</f>
        <v>0</v>
      </c>
      <c r="KM42" s="1" t="n">
        <f aca="false">IF(CO42=1,MAX(0,(Slot8_Cost-KL42*(1+Slot8_Rate)^(Slot8_Age-D42))/KI42),0)</f>
        <v>0</v>
      </c>
      <c r="KN42" s="1" t="n">
        <f aca="false">IF(CO42=1,MAX(0,(Slot8_Cost-CP42*(1+Slot8_Rate)^(Slot8_Age-D42))/KI42),0)</f>
        <v>0</v>
      </c>
      <c r="KO42" s="1" t="n">
        <f aca="false">IF(AND(HT42=1,CO42=1),MIN(KH42,KM42),0)</f>
        <v>0</v>
      </c>
      <c r="KP42" s="1" t="n">
        <f aca="false">KH42-KO42</f>
        <v>0</v>
      </c>
      <c r="KQ42" s="1" t="n">
        <f aca="false">IF(CY42=1,IF(ABS((1+AS_Wage)/(1+Slot9_Rate)-1)&lt;0.000000000001,(Slot9_Age-D42)*(1+Slot9_Rate)^(Slot9_Age-D42),(1+Slot9_Rate)^(Slot9_Age-D42)*(1-((1+AS_Wage)/(1+Slot9_Rate))^(Slot9_Age-D42))/(1-(1+AS_Wage)/(1+Slot9_Rate))),1)</f>
        <v>1</v>
      </c>
      <c r="KR42" s="1" t="n">
        <f aca="false">IF(AND(HT42=1,ID42&gt;0,Slot9_IsWG=1,CY42=1),MAX(0,(Slot9_Cost-CZ42*(1+Slot9_Rate)^(Slot9_Age-D42))/KQ42),0)</f>
        <v>0</v>
      </c>
      <c r="KS42" s="1" t="n">
        <f aca="false">IF(AND(HT42=1,ID42&gt;0,Slot9_IsWG=1,CY42=1),MIN(ID42,KR42),0)</f>
        <v>0</v>
      </c>
      <c r="KT42" s="1" t="n">
        <f aca="false">CZ42+KS42</f>
        <v>0</v>
      </c>
      <c r="KU42" s="1" t="n">
        <f aca="false">IF(CY42=1,MAX(0,(Slot9_Cost-KT42*(1+Slot9_Rate)^(Slot9_Age-D42))/KQ42),0)</f>
        <v>0</v>
      </c>
      <c r="KV42" s="1" t="n">
        <f aca="false">IF(CY42=1,MAX(0,(Slot9_Cost-CZ42*(1+Slot9_Rate)^(Slot9_Age-D42))/KQ42),0)</f>
        <v>0</v>
      </c>
      <c r="KW42" s="1" t="n">
        <f aca="false">IF(AND(HT42=1,CY42=1),MIN(KP42,KU42),0)</f>
        <v>0</v>
      </c>
      <c r="KX42" s="1" t="n">
        <f aca="false">KP42-KW42</f>
        <v>0</v>
      </c>
      <c r="KY42" s="1" t="n">
        <f aca="false">IF(DI42=1,IF(ABS((1+AS_Wage)/(1+Slot10_Rate)-1)&lt;0.000000000001,(Slot10_Age-D42)*(1+Slot10_Rate)^(Slot10_Age-D42),(1+Slot10_Rate)^(Slot10_Age-D42)*(1-((1+AS_Wage)/(1+Slot10_Rate))^(Slot10_Age-D42))/(1-(1+AS_Wage)/(1+Slot10_Rate))),1)</f>
        <v>1</v>
      </c>
      <c r="KZ42" s="1" t="n">
        <f aca="false">IF(AND(HT42=1,ID42&gt;0,Slot10_IsWG=1,DI42=1),MAX(0,(Slot10_Cost-DJ42*(1+Slot10_Rate)^(Slot10_Age-D42))/KY42),0)</f>
        <v>0</v>
      </c>
      <c r="LA42" s="1" t="n">
        <f aca="false">IF(AND(HT42=1,ID42&gt;0,Slot10_IsWG=1,DI42=1),MIN(ID42,KZ42),0)</f>
        <v>0</v>
      </c>
      <c r="LB42" s="1" t="n">
        <f aca="false">DJ42+LA42</f>
        <v>0</v>
      </c>
      <c r="LC42" s="1" t="n">
        <f aca="false">IF(DI42=1,MAX(0,(Slot10_Cost-LB42*(1+Slot10_Rate)^(Slot10_Age-D42))/KY42),0)</f>
        <v>0</v>
      </c>
      <c r="LD42" s="1" t="n">
        <f aca="false">IF(DI42=1,MAX(0,(Slot10_Cost-DJ42*(1+Slot10_Rate)^(Slot10_Age-D42))/KY42),0)</f>
        <v>0</v>
      </c>
      <c r="LE42" s="1" t="n">
        <f aca="false">IF(AND(HT42=1,DI42=1),MIN(KX42,LC42),0)</f>
        <v>0</v>
      </c>
      <c r="LF42" s="1" t="n">
        <f aca="false">KX42-LE42</f>
        <v>0</v>
      </c>
      <c r="LG42" s="1" t="n">
        <f aca="false">IF(DS42=1,IF(ABS((1+AS_Wage)/(1+Slot11_Rate)-1)&lt;0.000000000001,(Slot11_Age-D42)*(1+Slot11_Rate)^(Slot11_Age-D42),(1+Slot11_Rate)^(Slot11_Age-D42)*(1-((1+AS_Wage)/(1+Slot11_Rate))^(Slot11_Age-D42))/(1-(1+AS_Wage)/(1+Slot11_Rate))),1)</f>
        <v>1</v>
      </c>
      <c r="LH42" s="1" t="n">
        <f aca="false">IF(AND(HT42=1,ID42&gt;0,Slot11_IsWG=1,DS42=1),MAX(0,(Slot11_Cost-DT42*(1+Slot11_Rate)^(Slot11_Age-D42))/LG42),0)</f>
        <v>0</v>
      </c>
      <c r="LI42" s="1" t="n">
        <f aca="false">IF(AND(HT42=1,ID42&gt;0,Slot11_IsWG=1,DS42=1),MIN(ID42,LH42),0)</f>
        <v>0</v>
      </c>
      <c r="LJ42" s="1" t="n">
        <f aca="false">DT42+LI42</f>
        <v>0</v>
      </c>
      <c r="LK42" s="1" t="n">
        <f aca="false">IF(DS42=1,MAX(0,(Slot11_Cost-LJ42*(1+Slot11_Rate)^(Slot11_Age-D42))/LG42),0)</f>
        <v>0</v>
      </c>
      <c r="LL42" s="1" t="n">
        <f aca="false">IF(DS42=1,MAX(0,(Slot11_Cost-DT42*(1+Slot11_Rate)^(Slot11_Age-D42))/LG42),0)</f>
        <v>0</v>
      </c>
      <c r="LM42" s="1" t="n">
        <f aca="false">IF(AND(HT42=1,DS42=1),MIN(LF42,LK42),0)</f>
        <v>0</v>
      </c>
      <c r="LN42" s="1" t="n">
        <f aca="false">LF42-LM42</f>
        <v>0</v>
      </c>
      <c r="LO42" s="1" t="n">
        <f aca="false">IF(EC42=1,IF(ABS((1+AS_Wage)/(1+Slot12_Rate)-1)&lt;0.000000000001,(Slot12_Age-D42)*(1+Slot12_Rate)^(Slot12_Age-D42),(1+Slot12_Rate)^(Slot12_Age-D42)*(1-((1+AS_Wage)/(1+Slot12_Rate))^(Slot12_Age-D42))/(1-(1+AS_Wage)/(1+Slot12_Rate))),1)</f>
        <v>1</v>
      </c>
      <c r="LP42" s="1" t="n">
        <f aca="false">IF(AND(HT42=1,ID42&gt;0,Slot12_IsWG=1,EC42=1),MAX(0,(Slot12_Cost-ED42*(1+Slot12_Rate)^(Slot12_Age-D42))/LO42),0)</f>
        <v>0</v>
      </c>
      <c r="LQ42" s="1" t="n">
        <f aca="false">IF(AND(HT42=1,ID42&gt;0,Slot12_IsWG=1,EC42=1),MIN(ID42,LP42),0)</f>
        <v>0</v>
      </c>
      <c r="LR42" s="1" t="n">
        <f aca="false">ED42+LQ42</f>
        <v>0</v>
      </c>
      <c r="LS42" s="1" t="n">
        <f aca="false">IF(EC42=1,MAX(0,(Slot12_Cost-LR42*(1+Slot12_Rate)^(Slot12_Age-D42))/LO42),0)</f>
        <v>0</v>
      </c>
      <c r="LT42" s="1" t="n">
        <f aca="false">IF(EC42=1,MAX(0,(Slot12_Cost-ED42*(1+Slot12_Rate)^(Slot12_Age-D42))/LO42),0)</f>
        <v>0</v>
      </c>
      <c r="LU42" s="1" t="n">
        <f aca="false">IF(AND(HT42=1,EC42=1),MIN(LN42,LS42),0)</f>
        <v>0</v>
      </c>
      <c r="LV42" s="1" t="n">
        <f aca="false">LN42-LU42</f>
        <v>0</v>
      </c>
      <c r="LW42" s="1" t="n">
        <f aca="false">IF(EM42=1,IF(ABS((1+AS_Wage)/(1+Slot13_Rate)-1)&lt;0.000000000001,(Slot13_Age-D42)*(1+Slot13_Rate)^(Slot13_Age-D42),(1+Slot13_Rate)^(Slot13_Age-D42)*(1-((1+AS_Wage)/(1+Slot13_Rate))^(Slot13_Age-D42))/(1-(1+AS_Wage)/(1+Slot13_Rate))),1)</f>
        <v>1</v>
      </c>
      <c r="LX42" s="1" t="n">
        <f aca="false">IF(AND(HT42=1,ID42&gt;0,Slot13_IsWG=1,EM42=1),MAX(0,(Slot13_Cost-EN42*(1+Slot13_Rate)^(Slot13_Age-D42))/LW42),0)</f>
        <v>0</v>
      </c>
      <c r="LY42" s="1" t="n">
        <f aca="false">IF(AND(HT42=1,ID42&gt;0,Slot13_IsWG=1,EM42=1),MIN(ID42,LX42),0)</f>
        <v>0</v>
      </c>
      <c r="LZ42" s="1" t="n">
        <f aca="false">EN42+LY42</f>
        <v>0</v>
      </c>
      <c r="MA42" s="1" t="n">
        <f aca="false">IF(EM42=1,MAX(0,(Slot13_Cost-LZ42*(1+Slot13_Rate)^(Slot13_Age-D42))/LW42),0)</f>
        <v>0</v>
      </c>
      <c r="MB42" s="1" t="n">
        <f aca="false">IF(EM42=1,MAX(0,(Slot13_Cost-EN42*(1+Slot13_Rate)^(Slot13_Age-D42))/LW42),0)</f>
        <v>0</v>
      </c>
      <c r="MC42" s="1" t="n">
        <f aca="false">IF(AND(HT42=1,EM42=1),MIN(LV42,MA42),0)</f>
        <v>0</v>
      </c>
      <c r="MD42" s="1" t="n">
        <f aca="false">LV42-MC42</f>
        <v>0</v>
      </c>
      <c r="ME42" s="1" t="n">
        <f aca="false">IF(EW42=1,IF(ABS((1+AS_Wage)/(1+Slot14_Rate)-1)&lt;0.000000000001,(Slot14_Age-D42)*(1+Slot14_Rate)^(Slot14_Age-D42),(1+Slot14_Rate)^(Slot14_Age-D42)*(1-((1+AS_Wage)/(1+Slot14_Rate))^(Slot14_Age-D42))/(1-(1+AS_Wage)/(1+Slot14_Rate))),1)</f>
        <v>1</v>
      </c>
      <c r="MF42" s="1" t="n">
        <f aca="false">IF(AND(HT42=1,ID42&gt;0,Slot14_IsWG=1,EW42=1),MAX(0,(Slot14_Cost-EX42*(1+Slot14_Rate)^(Slot14_Age-D42))/ME42),0)</f>
        <v>0</v>
      </c>
      <c r="MG42" s="1" t="n">
        <f aca="false">IF(AND(HT42=1,ID42&gt;0,Slot14_IsWG=1,EW42=1),MIN(ID42,MF42),0)</f>
        <v>0</v>
      </c>
      <c r="MH42" s="1" t="n">
        <f aca="false">EX42+MG42</f>
        <v>0</v>
      </c>
      <c r="MI42" s="1" t="n">
        <f aca="false">IF(EW42=1,MAX(0,(Slot14_Cost-MH42*(1+Slot14_Rate)^(Slot14_Age-D42))/ME42),0)</f>
        <v>0</v>
      </c>
      <c r="MJ42" s="1" t="n">
        <f aca="false">IF(EW42=1,MAX(0,(Slot14_Cost-EX42*(1+Slot14_Rate)^(Slot14_Age-D42))/ME42),0)</f>
        <v>0</v>
      </c>
      <c r="MK42" s="1" t="n">
        <f aca="false">IF(AND(HT42=1,EW42=1),MIN(MD42,MI42),0)</f>
        <v>0</v>
      </c>
      <c r="ML42" s="1" t="n">
        <f aca="false">MD42-MK42</f>
        <v>0</v>
      </c>
      <c r="MM42" s="1" t="n">
        <f aca="false">IF(FG42=1,IF(ABS((1+AS_Wage)/(1+Slot15_Rate)-1)&lt;0.000000000001,(Slot15_Age-D42)*(1+Slot15_Rate)^(Slot15_Age-D42),(1+Slot15_Rate)^(Slot15_Age-D42)*(1-((1+AS_Wage)/(1+Slot15_Rate))^(Slot15_Age-D42))/(1-(1+AS_Wage)/(1+Slot15_Rate))),1)</f>
        <v>1</v>
      </c>
      <c r="MN42" s="1" t="n">
        <f aca="false">IF(AND(HT42=1,ID42&gt;0,Slot15_IsWG=1,FG42=1),MAX(0,(Slot15_Cost-FH42*(1+Slot15_Rate)^(Slot15_Age-D42))/MM42),0)</f>
        <v>0</v>
      </c>
      <c r="MO42" s="1" t="n">
        <f aca="false">IF(AND(HT42=1,ID42&gt;0,Slot15_IsWG=1,FG42=1),MIN(ID42,MN42),0)</f>
        <v>0</v>
      </c>
      <c r="MP42" s="1" t="n">
        <f aca="false">FH42+MO42</f>
        <v>0</v>
      </c>
      <c r="MQ42" s="1" t="n">
        <f aca="false">IF(FG42=1,MAX(0,(Slot15_Cost-MP42*(1+Slot15_Rate)^(Slot15_Age-D42))/MM42),0)</f>
        <v>0</v>
      </c>
      <c r="MR42" s="1" t="n">
        <f aca="false">IF(FG42=1,MAX(0,(Slot15_Cost-FH42*(1+Slot15_Rate)^(Slot15_Age-D42))/MM42),0)</f>
        <v>0</v>
      </c>
      <c r="MS42" s="1" t="n">
        <f aca="false">IF(AND(HT42=1,FG42=1),MIN(ML42,MQ42),0)</f>
        <v>0</v>
      </c>
      <c r="MT42" s="1" t="n">
        <f aca="false">ML42-MS42</f>
        <v>0</v>
      </c>
      <c r="MU42" s="1" t="n">
        <f aca="false">IF(FQ42=1,IF(ABS((1+AS_Wage)/(1+Slot16_Rate)-1)&lt;0.000000000001,(Slot16_Age-D42)*(1+Slot16_Rate)^(Slot16_Age-D42),(1+Slot16_Rate)^(Slot16_Age-D42)*(1-((1+AS_Wage)/(1+Slot16_Rate))^(Slot16_Age-D42))/(1-(1+AS_Wage)/(1+Slot16_Rate))),1)</f>
        <v>1</v>
      </c>
      <c r="MV42" s="1" t="n">
        <f aca="false">IF(AND(HT42=1,ID42&gt;0,Slot16_IsWG=1,FQ42=1),MAX(0,(Slot16_Cost-FR42*(1+Slot16_Rate)^(Slot16_Age-D42))/MU42),0)</f>
        <v>0</v>
      </c>
      <c r="MW42" s="1" t="n">
        <f aca="false">IF(AND(HT42=1,ID42&gt;0,Slot16_IsWG=1,FQ42=1),MIN(ID42,MV42),0)</f>
        <v>0</v>
      </c>
      <c r="MX42" s="1" t="n">
        <f aca="false">FR42+MW42</f>
        <v>0</v>
      </c>
      <c r="MY42" s="1" t="n">
        <f aca="false">IF(FQ42=1,MAX(0,(Slot16_Cost-MX42*(1+Slot16_Rate)^(Slot16_Age-D42))/MU42),0)</f>
        <v>0</v>
      </c>
      <c r="MZ42" s="1" t="n">
        <f aca="false">IF(FQ42=1,MAX(0,(Slot16_Cost-FR42*(1+Slot16_Rate)^(Slot16_Age-D42))/MU42),0)</f>
        <v>0</v>
      </c>
      <c r="NA42" s="1" t="n">
        <f aca="false">IF(AND(HT42=1,FQ42=1),MIN(MT42,MY42),0)</f>
        <v>0</v>
      </c>
      <c r="NB42" s="1" t="n">
        <f aca="false">MT42-NA42</f>
        <v>0</v>
      </c>
      <c r="NC42" s="1" t="n">
        <f aca="false">IF(GA42=1,IF(ABS((1+AS_Wage)/(1+Slot17_Rate)-1)&lt;0.000000000001,(Slot17_Age-D42)*(1+Slot17_Rate)^(Slot17_Age-D42),(1+Slot17_Rate)^(Slot17_Age-D42)*(1-((1+AS_Wage)/(1+Slot17_Rate))^(Slot17_Age-D42))/(1-(1+AS_Wage)/(1+Slot17_Rate))),1)</f>
        <v>1</v>
      </c>
      <c r="ND42" s="1" t="n">
        <f aca="false">IF(AND(HT42=1,ID42&gt;0,Slot17_IsWG=1,GA42=1),MAX(0,(Slot17_Cost-GB42*(1+Slot17_Rate)^(Slot17_Age-D42))/NC42),0)</f>
        <v>0</v>
      </c>
      <c r="NE42" s="1" t="n">
        <f aca="false">IF(AND(HT42=1,ID42&gt;0,Slot17_IsWG=1,GA42=1),MIN(ID42,ND42),0)</f>
        <v>0</v>
      </c>
      <c r="NF42" s="1" t="n">
        <f aca="false">GB42+NE42</f>
        <v>0</v>
      </c>
      <c r="NG42" s="1" t="n">
        <f aca="false">IF(GA42=1,MAX(0,(Slot17_Cost-NF42*(1+Slot17_Rate)^(Slot17_Age-D42))/NC42),0)</f>
        <v>0</v>
      </c>
      <c r="NH42" s="1" t="n">
        <f aca="false">IF(GA42=1,MAX(0,(Slot17_Cost-GB42*(1+Slot17_Rate)^(Slot17_Age-D42))/NC42),0)</f>
        <v>0</v>
      </c>
      <c r="NI42" s="1" t="n">
        <f aca="false">IF(AND(HT42=1,GA42=1),MIN(NB42,NG42),0)</f>
        <v>0</v>
      </c>
      <c r="NJ42" s="1" t="n">
        <f aca="false">NB42-NI42</f>
        <v>0</v>
      </c>
      <c r="NK42" s="1" t="n">
        <f aca="false">IF(GK42=1,IF(ABS((1+AS_Wage)/(1+Slot18_Rate)-1)&lt;0.000000000001,(Slot18_Age-D42)*(1+Slot18_Rate)^(Slot18_Age-D42),(1+Slot18_Rate)^(Slot18_Age-D42)*(1-((1+AS_Wage)/(1+Slot18_Rate))^(Slot18_Age-D42))/(1-(1+AS_Wage)/(1+Slot18_Rate))),1)</f>
        <v>1</v>
      </c>
      <c r="NL42" s="1" t="n">
        <f aca="false">IF(AND(HT42=1,ID42&gt;0,Slot18_IsWG=1,GK42=1),MAX(0,(Slot18_Cost-GL42*(1+Slot18_Rate)^(Slot18_Age-D42))/NK42),0)</f>
        <v>0</v>
      </c>
      <c r="NM42" s="1" t="n">
        <f aca="false">IF(AND(HT42=1,ID42&gt;0,Slot18_IsWG=1,GK42=1),MIN(ID42,NL42),0)</f>
        <v>0</v>
      </c>
      <c r="NN42" s="1" t="n">
        <f aca="false">GL42+NM42</f>
        <v>0</v>
      </c>
      <c r="NO42" s="1" t="n">
        <f aca="false">IF(GK42=1,MAX(0,(Slot18_Cost-NN42*(1+Slot18_Rate)^(Slot18_Age-D42))/NK42),0)</f>
        <v>0</v>
      </c>
      <c r="NP42" s="1" t="n">
        <f aca="false">IF(GK42=1,MAX(0,(Slot18_Cost-GL42*(1+Slot18_Rate)^(Slot18_Age-D42))/NK42),0)</f>
        <v>0</v>
      </c>
      <c r="NQ42" s="1" t="n">
        <f aca="false">IF(AND(HT42=1,GK42=1),MIN(NJ42,NO42),0)</f>
        <v>0</v>
      </c>
      <c r="NR42" s="1" t="n">
        <f aca="false">NJ42-NQ42</f>
        <v>0</v>
      </c>
      <c r="NS42" s="1" t="n">
        <f aca="false">IF(GU42=1,IF(ABS((1+AS_Wage)/(1+Slot19_Rate)-1)&lt;0.000000000001,(Slot19_Age-D42)*(1+Slot19_Rate)^(Slot19_Age-D42),(1+Slot19_Rate)^(Slot19_Age-D42)*(1-((1+AS_Wage)/(1+Slot19_Rate))^(Slot19_Age-D42))/(1-(1+AS_Wage)/(1+Slot19_Rate))),1)</f>
        <v>1</v>
      </c>
      <c r="NT42" s="1" t="n">
        <f aca="false">IF(AND(HT42=1,ID42&gt;0,Slot19_IsWG=1,GU42=1),MAX(0,(Slot19_Cost-GV42*(1+Slot19_Rate)^(Slot19_Age-D42))/NS42),0)</f>
        <v>0</v>
      </c>
      <c r="NU42" s="1" t="n">
        <f aca="false">IF(AND(HT42=1,ID42&gt;0,Slot19_IsWG=1,GU42=1),MIN(ID42,NT42),0)</f>
        <v>0</v>
      </c>
      <c r="NV42" s="1" t="n">
        <f aca="false">GV42+NU42</f>
        <v>0</v>
      </c>
      <c r="NW42" s="1" t="n">
        <f aca="false">IF(GU42=1,MAX(0,(Slot19_Cost-NV42*(1+Slot19_Rate)^(Slot19_Age-D42))/NS42),0)</f>
        <v>0</v>
      </c>
      <c r="NX42" s="1" t="n">
        <f aca="false">IF(GU42=1,MAX(0,(Slot19_Cost-GV42*(1+Slot19_Rate)^(Slot19_Age-D42))/NS42),0)</f>
        <v>0</v>
      </c>
      <c r="NY42" s="1" t="n">
        <f aca="false">IF(AND(HT42=1,GU42=1),MIN(NR42,NW42),0)</f>
        <v>0</v>
      </c>
      <c r="NZ42" s="1" t="n">
        <f aca="false">NR42-NY42</f>
        <v>0</v>
      </c>
      <c r="OA42" s="1" t="n">
        <f aca="false">IF(HE42=1,IF(ABS((1+AS_Wage)/(1+Slot20_Rate)-1)&lt;0.000000000001,(Slot20_Age-D42)*(1+Slot20_Rate)^(Slot20_Age-D42),(1+Slot20_Rate)^(Slot20_Age-D42)*(1-((1+AS_Wage)/(1+Slot20_Rate))^(Slot20_Age-D42))/(1-(1+AS_Wage)/(1+Slot20_Rate))),1)</f>
        <v>1</v>
      </c>
      <c r="OB42" s="1" t="n">
        <f aca="false">IF(AND(HT42=1,ID42&gt;0,Slot20_IsWG=1,HE42=1),MAX(0,(Slot20_Cost-HF42*(1+Slot20_Rate)^(Slot20_Age-D42))/OA42),0)</f>
        <v>0</v>
      </c>
      <c r="OC42" s="1" t="n">
        <f aca="false">IF(AND(HT42=1,ID42&gt;0,Slot20_IsWG=1,HE42=1),MIN(ID42,OB42),0)</f>
        <v>0</v>
      </c>
      <c r="OD42" s="1" t="n">
        <f aca="false">HF42+OC42</f>
        <v>0</v>
      </c>
      <c r="OE42" s="1" t="n">
        <f aca="false">IF(HE42=1,MAX(0,(Slot20_Cost-OD42*(1+Slot20_Rate)^(Slot20_Age-D42))/OA42),0)</f>
        <v>0</v>
      </c>
      <c r="OF42" s="1" t="n">
        <f aca="false">IF(HE42=1,MAX(0,(Slot20_Cost-HF42*(1+Slot20_Rate)^(Slot20_Age-D42))/OA42),0)</f>
        <v>0</v>
      </c>
      <c r="OG42" s="1" t="n">
        <f aca="false">IF(AND(HT42=1,HE42=1),MIN(NZ42,OE42),0)</f>
        <v>0</v>
      </c>
      <c r="OH42" s="1" t="n">
        <f aca="false">NZ42-OG42</f>
        <v>0</v>
      </c>
      <c r="OI42" s="1" t="n">
        <f aca="false">ID42-(IG42+IO42+IW42+JE42+JM42+JU42+KC42+KK42+KS42+LA42+LI42+LQ42+LY42+MG42+MO42+MW42+NE42+NM42+NU42+OC42)</f>
        <v>0</v>
      </c>
      <c r="OJ42" s="1" t="n">
        <f aca="false">IF(HT42=1,HR42-IC42-ID42,0)</f>
        <v>0</v>
      </c>
      <c r="OK42" s="1" t="n">
        <f aca="false">IF(HT42=0,-HR42,0)</f>
        <v>0</v>
      </c>
      <c r="OL42" s="1" t="n">
        <f aca="false">MIN(OK42,HJ42)</f>
        <v>0</v>
      </c>
      <c r="OM42" s="1" t="n">
        <f aca="false">OK42-OL42</f>
        <v>0</v>
      </c>
      <c r="ON42" s="1" t="n">
        <f aca="false">MIN(OM42,HK42)</f>
        <v>0</v>
      </c>
      <c r="OO42" s="1" t="n">
        <f aca="false">OM42-ON42</f>
        <v>0</v>
      </c>
      <c r="OP42" s="1" t="n">
        <f aca="false">IF(AND(HT42=0,HE42=1,OO42&gt;0),MIN(OO42,HF42),0)</f>
        <v>0</v>
      </c>
      <c r="OQ42" s="1" t="n">
        <f aca="false">OO42-OP42</f>
        <v>0</v>
      </c>
      <c r="OR42" s="1" t="n">
        <f aca="false">IF(AND(HT42=0,GU42=1,OQ42&gt;0),MIN(OQ42,GV42),0)</f>
        <v>0</v>
      </c>
      <c r="OS42" s="1" t="n">
        <f aca="false">OQ42-OR42</f>
        <v>0</v>
      </c>
      <c r="OT42" s="1" t="n">
        <f aca="false">IF(AND(HT42=0,GK42=1,OS42&gt;0),MIN(OS42,GL42),0)</f>
        <v>0</v>
      </c>
      <c r="OU42" s="1" t="n">
        <f aca="false">OS42-OT42</f>
        <v>0</v>
      </c>
      <c r="OV42" s="1" t="n">
        <f aca="false">IF(AND(HT42=0,GA42=1,OU42&gt;0),MIN(OU42,GB42),0)</f>
        <v>0</v>
      </c>
      <c r="OW42" s="1" t="n">
        <f aca="false">OU42-OV42</f>
        <v>0</v>
      </c>
      <c r="OX42" s="1" t="n">
        <f aca="false">IF(AND(HT42=0,FQ42=1,OW42&gt;0),MIN(OW42,FR42),0)</f>
        <v>0</v>
      </c>
      <c r="OY42" s="1" t="n">
        <f aca="false">OW42-OX42</f>
        <v>0</v>
      </c>
      <c r="OZ42" s="1" t="n">
        <f aca="false">IF(AND(HT42=0,FG42=1,OY42&gt;0),MIN(OY42,FH42),0)</f>
        <v>0</v>
      </c>
      <c r="PA42" s="1" t="n">
        <f aca="false">OY42-OZ42</f>
        <v>0</v>
      </c>
      <c r="PB42" s="1" t="n">
        <f aca="false">IF(AND(HT42=0,EW42=1,PA42&gt;0),MIN(PA42,EX42),0)</f>
        <v>0</v>
      </c>
      <c r="PC42" s="1" t="n">
        <f aca="false">PA42-PB42</f>
        <v>0</v>
      </c>
      <c r="PD42" s="1" t="n">
        <f aca="false">IF(AND(HT42=0,EM42=1,PC42&gt;0),MIN(PC42,EN42),0)</f>
        <v>0</v>
      </c>
      <c r="PE42" s="1" t="n">
        <f aca="false">PC42-PD42</f>
        <v>0</v>
      </c>
      <c r="PF42" s="1" t="n">
        <f aca="false">IF(AND(HT42=0,EC42=1,PE42&gt;0),MIN(PE42,ED42),0)</f>
        <v>0</v>
      </c>
      <c r="PG42" s="1" t="n">
        <f aca="false">PE42-PF42</f>
        <v>0</v>
      </c>
      <c r="PH42" s="1" t="n">
        <f aca="false">IF(AND(HT42=0,DS42=1,PG42&gt;0),MIN(PG42,DT42),0)</f>
        <v>0</v>
      </c>
      <c r="PI42" s="1" t="n">
        <f aca="false">PG42-PH42</f>
        <v>0</v>
      </c>
      <c r="PJ42" s="1" t="n">
        <f aca="false">IF(AND(HT42=0,DI42=1,PI42&gt;0),MIN(PI42,DJ42),0)</f>
        <v>0</v>
      </c>
      <c r="PK42" s="1" t="n">
        <f aca="false">PI42-PJ42</f>
        <v>0</v>
      </c>
      <c r="PL42" s="1" t="n">
        <f aca="false">IF(AND(HT42=0,CY42=1,PK42&gt;0),MIN(PK42,CZ42),0)</f>
        <v>0</v>
      </c>
      <c r="PM42" s="1" t="n">
        <f aca="false">PK42-PL42</f>
        <v>0</v>
      </c>
      <c r="PN42" s="1" t="n">
        <f aca="false">IF(AND(HT42=0,CO42=1,PM42&gt;0),MIN(PM42,CP42),0)</f>
        <v>0</v>
      </c>
      <c r="PO42" s="1" t="n">
        <f aca="false">PM42-PN42</f>
        <v>0</v>
      </c>
      <c r="PP42" s="1" t="n">
        <f aca="false">IF(AND(HT42=0,CE42=1,PO42&gt;0),MIN(PO42,CF42),0)</f>
        <v>0</v>
      </c>
      <c r="PQ42" s="1" t="n">
        <f aca="false">PO42-PP42</f>
        <v>0</v>
      </c>
      <c r="PR42" s="1" t="n">
        <f aca="false">IF(AND(HT42=0,BU42=1,PQ42&gt;0),MIN(PQ42,BV42),0)</f>
        <v>0</v>
      </c>
      <c r="PS42" s="1" t="n">
        <f aca="false">PQ42-PR42</f>
        <v>0</v>
      </c>
      <c r="PT42" s="1" t="n">
        <f aca="false">IF(AND(HT42=0,BK42=1,PS42&gt;0),MIN(PS42,BL42),0)</f>
        <v>0</v>
      </c>
      <c r="PU42" s="1" t="n">
        <f aca="false">PS42-PT42</f>
        <v>0</v>
      </c>
      <c r="PV42" s="1" t="n">
        <f aca="false">IF(AND(HT42=0,BA42=1,PU42&gt;0),MIN(PU42,BB42),0)</f>
        <v>0</v>
      </c>
      <c r="PW42" s="1" t="n">
        <f aca="false">PU42-PV42</f>
        <v>0</v>
      </c>
      <c r="PX42" s="1" t="n">
        <f aca="false">IF(AND(HT42=0,AQ42=1,PW42&gt;0),MIN(PW42,AR42),0)</f>
        <v>0</v>
      </c>
      <c r="PY42" s="1" t="n">
        <f aca="false">PW42-PX42</f>
        <v>0</v>
      </c>
      <c r="PZ42" s="1" t="n">
        <f aca="false">IF(AND(HT42=0,AG42=1,PY42&gt;0),MIN(PY42,AH42),0)</f>
        <v>0</v>
      </c>
      <c r="QA42" s="1" t="n">
        <f aca="false">PY42-PZ42</f>
        <v>0</v>
      </c>
      <c r="QB42" s="1" t="n">
        <f aca="false">IF(AND(HT42=0,V42=1,QA42&gt;0),MIN(QA42,W42),0)</f>
        <v>0</v>
      </c>
      <c r="QC42" s="1" t="n">
        <f aca="false">QA42-QB42</f>
        <v>0</v>
      </c>
      <c r="QD42" s="1" t="n">
        <f aca="false">IF(HT42=0,QC42,0)</f>
        <v>0</v>
      </c>
      <c r="QE42" s="1" t="n">
        <f aca="false">OL42+ON42+QB42+PZ42+PX42+PV42+PT42+PR42+PP42+PN42+PL42+PJ42+PH42+PF42+PD42+PB42+OZ42+OX42+OV42+OT42+OR42+OP42</f>
        <v>0</v>
      </c>
      <c r="QF42" s="1" t="n">
        <f aca="false">IF(HT42=1,HJ42+OI42+OH42+IF(F42=1,0,OJ42),HJ42-OL42)</f>
        <v>0</v>
      </c>
      <c r="QG42" s="1" t="n">
        <f aca="false">HK42-ON42</f>
        <v>0</v>
      </c>
      <c r="QH42" s="1" t="n">
        <f aca="false">IF(HT42=1,IF(F42=1,IC42+ID42,HR42),0)</f>
        <v>0</v>
      </c>
      <c r="QI42" s="1" t="n">
        <f aca="false">IF(HT42=1,IF(F42=1,HR42-IC42-ID42,0),0)</f>
        <v>0</v>
      </c>
      <c r="QJ42" s="1" t="n">
        <f aca="false">QF42*(1+GR)</f>
        <v>0</v>
      </c>
      <c r="QK42" s="1" t="n">
        <f aca="false">QG42*(1+AS_Cash)</f>
        <v>0</v>
      </c>
      <c r="QL42" s="1" t="n">
        <f aca="false">IF(V42=1,IF(HT42=1,IH42+IK42,W42-QB42)*(1+Slot1_Rate),0)</f>
        <v>0</v>
      </c>
      <c r="QM42" s="1" t="n">
        <f aca="false">IF(AND(HT42=1,V42=1),(IG42+IK42)/E42,0)</f>
        <v>0</v>
      </c>
      <c r="QN42" s="1" t="n">
        <f aca="false">IF(B42=0,IG42+IK42,0)</f>
        <v>0</v>
      </c>
      <c r="QO42" s="1" t="n">
        <f aca="false">IF(B42=0,IF(HT42=1,II42,IJ42),0)</f>
        <v>0</v>
      </c>
      <c r="QP42" s="1" t="n">
        <f aca="false">IF(AG42=1,IF(HT42=1,IP42+IS42,AH42-PZ42)*(1+Slot2_Rate),0)</f>
        <v>0</v>
      </c>
      <c r="QQ42" s="1" t="n">
        <f aca="false">IF(AND(HT42=1,AG42=1),(IO42+IS42)/E42,0)</f>
        <v>0</v>
      </c>
      <c r="QR42" s="1" t="n">
        <f aca="false">IF(B42=0,IO42+IS42,0)</f>
        <v>0</v>
      </c>
      <c r="QS42" s="1" t="n">
        <f aca="false">IF(B42=0,IF(HT42=1,IQ42,IR42),0)</f>
        <v>0</v>
      </c>
      <c r="QT42" s="1" t="n">
        <f aca="false">IF(AQ42=1,IF(HT42=1,IX42+JA42,AR42-PX42)*(1+Slot3_Rate),0)</f>
        <v>0</v>
      </c>
      <c r="QU42" s="1" t="n">
        <f aca="false">IF(AND(HT42=1,AQ42=1),(IW42+JA42)/E42,0)</f>
        <v>0</v>
      </c>
      <c r="QV42" s="1" t="n">
        <f aca="false">IF(B42=0,IW42+JA42,0)</f>
        <v>0</v>
      </c>
      <c r="QW42" s="1" t="n">
        <f aca="false">IF(B42=0,IF(HT42=1,IY42,IZ42),0)</f>
        <v>0</v>
      </c>
      <c r="QX42" s="1" t="n">
        <f aca="false">IF(BA42=1,IF(HT42=1,JF42+JI42,BB42-PV42)*(1+Slot4_Rate),0)</f>
        <v>0</v>
      </c>
      <c r="QY42" s="1" t="n">
        <f aca="false">IF(AND(HT42=1,BA42=1),(JE42+JI42)/E42,0)</f>
        <v>0</v>
      </c>
      <c r="QZ42" s="1" t="n">
        <f aca="false">IF(B42=0,JE42+JI42,0)</f>
        <v>0</v>
      </c>
      <c r="RA42" s="1" t="n">
        <f aca="false">IF(B42=0,IF(HT42=1,JG42,JH42),0)</f>
        <v>0</v>
      </c>
      <c r="RB42" s="1" t="n">
        <f aca="false">IF(BK42=1,IF(HT42=1,JN42+JQ42,BL42-PT42)*(1+Slot5_Rate),0)</f>
        <v>0</v>
      </c>
      <c r="RC42" s="1" t="n">
        <f aca="false">IF(AND(HT42=1,BK42=1),(JM42+JQ42)/E42,0)</f>
        <v>0</v>
      </c>
      <c r="RD42" s="1" t="n">
        <f aca="false">IF(B42=0,JM42+JQ42,0)</f>
        <v>0</v>
      </c>
      <c r="RE42" s="1" t="n">
        <f aca="false">IF(B42=0,IF(HT42=1,JO42,JP42),0)</f>
        <v>0</v>
      </c>
      <c r="RF42" s="1" t="n">
        <f aca="false">IF(BU42=1,IF(HT42=1,JV42+JY42,BV42-PR42)*(1+Slot6_Rate),0)</f>
        <v>0</v>
      </c>
      <c r="RG42" s="1" t="n">
        <f aca="false">IF(AND(HT42=1,BU42=1),(JU42+JY42)/E42,0)</f>
        <v>0</v>
      </c>
      <c r="RH42" s="1" t="n">
        <f aca="false">IF(B42=0,JU42+JY42,0)</f>
        <v>0</v>
      </c>
      <c r="RI42" s="1" t="n">
        <f aca="false">IF(B42=0,IF(HT42=1,JW42,JX42),0)</f>
        <v>0</v>
      </c>
      <c r="RJ42" s="1" t="n">
        <f aca="false">IF(CE42=1,IF(HT42=1,KD42+KG42,CF42-PP42)*(1+Slot7_Rate),0)</f>
        <v>0</v>
      </c>
      <c r="RK42" s="1" t="n">
        <f aca="false">IF(AND(HT42=1,CE42=1),(KC42+KG42)/E42,0)</f>
        <v>0</v>
      </c>
      <c r="RL42" s="1" t="n">
        <f aca="false">IF(B42=0,KC42+KG42,0)</f>
        <v>0</v>
      </c>
      <c r="RM42" s="1" t="n">
        <f aca="false">IF(B42=0,IF(HT42=1,KE42,KF42),0)</f>
        <v>0</v>
      </c>
      <c r="RN42" s="1" t="n">
        <f aca="false">IF(CO42=1,IF(HT42=1,KL42+KO42,CP42-PN42)*(1+Slot8_Rate),0)</f>
        <v>0</v>
      </c>
      <c r="RO42" s="1" t="n">
        <f aca="false">IF(AND(HT42=1,CO42=1),(KK42+KO42)/E42,0)</f>
        <v>0</v>
      </c>
      <c r="RP42" s="1" t="n">
        <f aca="false">IF(B42=0,KK42+KO42,0)</f>
        <v>0</v>
      </c>
      <c r="RQ42" s="1" t="n">
        <f aca="false">IF(B42=0,IF(HT42=1,KM42,KN42),0)</f>
        <v>0</v>
      </c>
      <c r="RR42" s="1" t="n">
        <f aca="false">IF(CY42=1,IF(HT42=1,KT42+KW42,CZ42-PL42)*(1+Slot9_Rate),0)</f>
        <v>0</v>
      </c>
      <c r="RS42" s="1" t="n">
        <f aca="false">IF(AND(HT42=1,CY42=1),(KS42+KW42)/E42,0)</f>
        <v>0</v>
      </c>
      <c r="RT42" s="1" t="n">
        <f aca="false">IF(B42=0,KS42+KW42,0)</f>
        <v>0</v>
      </c>
      <c r="RU42" s="1" t="n">
        <f aca="false">IF(B42=0,IF(HT42=1,KU42,KV42),0)</f>
        <v>0</v>
      </c>
      <c r="RV42" s="1" t="n">
        <f aca="false">IF(DI42=1,IF(HT42=1,LB42+LE42,DJ42-PJ42)*(1+Slot10_Rate),0)</f>
        <v>0</v>
      </c>
      <c r="RW42" s="1" t="n">
        <f aca="false">IF(AND(HT42=1,DI42=1),(LA42+LE42)/E42,0)</f>
        <v>0</v>
      </c>
      <c r="RX42" s="1" t="n">
        <f aca="false">IF(B42=0,LA42+LE42,0)</f>
        <v>0</v>
      </c>
      <c r="RY42" s="1" t="n">
        <f aca="false">IF(B42=0,IF(HT42=1,LC42,LD42),0)</f>
        <v>0</v>
      </c>
      <c r="RZ42" s="1" t="n">
        <f aca="false">IF(DS42=1,IF(HT42=1,LJ42+LM42,DT42-PH42)*(1+Slot11_Rate),0)</f>
        <v>0</v>
      </c>
      <c r="SA42" s="1" t="n">
        <f aca="false">IF(AND(HT42=1,DS42=1),(LI42+LM42)/E42,0)</f>
        <v>0</v>
      </c>
      <c r="SB42" s="1" t="n">
        <f aca="false">IF(B42=0,LI42+LM42,0)</f>
        <v>0</v>
      </c>
      <c r="SC42" s="1" t="n">
        <f aca="false">IF(B42=0,IF(HT42=1,LK42,LL42),0)</f>
        <v>0</v>
      </c>
      <c r="SD42" s="1" t="n">
        <f aca="false">IF(EC42=1,IF(HT42=1,LR42+LU42,ED42-PF42)*(1+Slot12_Rate),0)</f>
        <v>0</v>
      </c>
      <c r="SE42" s="1" t="n">
        <f aca="false">IF(AND(HT42=1,EC42=1),(LQ42+LU42)/E42,0)</f>
        <v>0</v>
      </c>
      <c r="SF42" s="1" t="n">
        <f aca="false">IF(B42=0,LQ42+LU42,0)</f>
        <v>0</v>
      </c>
      <c r="SG42" s="1" t="n">
        <f aca="false">IF(B42=0,IF(HT42=1,LS42,LT42),0)</f>
        <v>0</v>
      </c>
      <c r="SH42" s="1" t="n">
        <f aca="false">IF(EM42=1,IF(HT42=1,LZ42+MC42,EN42-PD42)*(1+Slot13_Rate),0)</f>
        <v>0</v>
      </c>
      <c r="SI42" s="1" t="n">
        <f aca="false">IF(AND(HT42=1,EM42=1),(LY42+MC42)/E42,0)</f>
        <v>0</v>
      </c>
      <c r="SJ42" s="1" t="n">
        <f aca="false">IF(B42=0,LY42+MC42,0)</f>
        <v>0</v>
      </c>
      <c r="SK42" s="1" t="n">
        <f aca="false">IF(B42=0,IF(HT42=1,MA42,MB42),0)</f>
        <v>0</v>
      </c>
      <c r="SL42" s="1" t="n">
        <f aca="false">IF(EW42=1,IF(HT42=1,MH42+MK42,EX42-PB42)*(1+Slot14_Rate),0)</f>
        <v>0</v>
      </c>
      <c r="SM42" s="1" t="n">
        <f aca="false">IF(AND(HT42=1,EW42=1),(MG42+MK42)/E42,0)</f>
        <v>0</v>
      </c>
      <c r="SN42" s="1" t="n">
        <f aca="false">IF(B42=0,MG42+MK42,0)</f>
        <v>0</v>
      </c>
      <c r="SO42" s="1" t="n">
        <f aca="false">IF(B42=0,IF(HT42=1,MI42,MJ42),0)</f>
        <v>0</v>
      </c>
      <c r="SP42" s="1" t="n">
        <f aca="false">IF(FG42=1,IF(HT42=1,MP42+MS42,FH42-OZ42)*(1+Slot15_Rate),0)</f>
        <v>0</v>
      </c>
      <c r="SQ42" s="1" t="n">
        <f aca="false">IF(AND(HT42=1,FG42=1),(MO42+MS42)/E42,0)</f>
        <v>0</v>
      </c>
      <c r="SR42" s="1" t="n">
        <f aca="false">IF(B42=0,MO42+MS42,0)</f>
        <v>0</v>
      </c>
      <c r="SS42" s="1" t="n">
        <f aca="false">IF(B42=0,IF(HT42=1,MQ42,MR42),0)</f>
        <v>0</v>
      </c>
      <c r="ST42" s="1" t="n">
        <f aca="false">IF(FQ42=1,IF(HT42=1,MX42+NA42,FR42-OX42)*(1+Slot16_Rate),0)</f>
        <v>0</v>
      </c>
      <c r="SU42" s="1" t="n">
        <f aca="false">IF(AND(HT42=1,FQ42=1),(MW42+NA42)/E42,0)</f>
        <v>0</v>
      </c>
      <c r="SV42" s="1" t="n">
        <f aca="false">IF(B42=0,MW42+NA42,0)</f>
        <v>0</v>
      </c>
      <c r="SW42" s="1" t="n">
        <f aca="false">IF(B42=0,IF(HT42=1,MY42,MZ42),0)</f>
        <v>0</v>
      </c>
      <c r="SX42" s="1" t="n">
        <f aca="false">IF(GA42=1,IF(HT42=1,NF42+NI42,GB42-OV42)*(1+Slot17_Rate),0)</f>
        <v>0</v>
      </c>
      <c r="SY42" s="1" t="n">
        <f aca="false">IF(AND(HT42=1,GA42=1),(NE42+NI42)/E42,0)</f>
        <v>0</v>
      </c>
      <c r="SZ42" s="1" t="n">
        <f aca="false">IF(B42=0,NE42+NI42,0)</f>
        <v>0</v>
      </c>
      <c r="TA42" s="1" t="n">
        <f aca="false">IF(B42=0,IF(HT42=1,NG42,NH42),0)</f>
        <v>0</v>
      </c>
      <c r="TB42" s="1" t="n">
        <f aca="false">IF(GK42=1,IF(HT42=1,NN42+NQ42,GL42-OT42)*(1+Slot18_Rate),0)</f>
        <v>0</v>
      </c>
      <c r="TC42" s="1" t="n">
        <f aca="false">IF(AND(HT42=1,GK42=1),(NM42+NQ42)/E42,0)</f>
        <v>0</v>
      </c>
      <c r="TD42" s="1" t="n">
        <f aca="false">IF(B42=0,NM42+NQ42,0)</f>
        <v>0</v>
      </c>
      <c r="TE42" s="1" t="n">
        <f aca="false">IF(B42=0,IF(HT42=1,NO42,NP42),0)</f>
        <v>0</v>
      </c>
      <c r="TF42" s="1" t="n">
        <f aca="false">IF(GU42=1,IF(HT42=1,NV42+NY42,GV42-OR42)*(1+Slot19_Rate),0)</f>
        <v>0</v>
      </c>
      <c r="TG42" s="1" t="n">
        <f aca="false">IF(AND(HT42=1,GU42=1),(NU42+NY42)/E42,0)</f>
        <v>0</v>
      </c>
      <c r="TH42" s="1" t="n">
        <f aca="false">IF(B42=0,NU42+NY42,0)</f>
        <v>0</v>
      </c>
      <c r="TI42" s="1" t="n">
        <f aca="false">IF(B42=0,IF(HT42=1,NW42,NX42),0)</f>
        <v>0</v>
      </c>
      <c r="TJ42" s="1" t="n">
        <f aca="false">IF(HE42=1,IF(HT42=1,OD42+OG42,HF42-OP42)*(1+Slot20_Rate),0)</f>
        <v>0</v>
      </c>
      <c r="TK42" s="1" t="n">
        <f aca="false">IF(AND(HT42=1,HE42=1),(OC42+OG42)/E42,0)</f>
        <v>0</v>
      </c>
      <c r="TL42" s="1" t="n">
        <f aca="false">IF(B42=0,OC42+OG42,0)</f>
        <v>0</v>
      </c>
      <c r="TM42" s="1" t="n">
        <f aca="false">IF(B42=0,IF(HT42=1,OE42,OF42),0)</f>
        <v>0</v>
      </c>
      <c r="TN42" s="1" t="n">
        <f aca="false">QJ42+QK42+QL42+QP42+QT42+QX42+RB42+RF42+RJ42+RN42+RR42+RV42+RZ42+SD42+SH42+SL42+SP42+ST42+SX42+TB42+TF42+TJ42</f>
        <v>0</v>
      </c>
      <c r="TO42" s="1" t="n">
        <f aca="false">QD42+HO42</f>
        <v>0</v>
      </c>
      <c r="TP42" s="1" t="n">
        <f aca="false">H42+R42</f>
        <v>0</v>
      </c>
      <c r="TQ42" s="1" t="n">
        <f aca="false">1-F42</f>
        <v>0</v>
      </c>
      <c r="TR42" s="1" t="n">
        <f aca="false">IF(AND(RG_Exists=1,F42=0,C42=1),H42,0)</f>
        <v>0</v>
      </c>
      <c r="TS42" s="1" t="n">
        <f aca="false">IF(AND(RG_Exists=1,F42=0,C42=1),H42-MIN(QD42,H42),0)</f>
        <v>0</v>
      </c>
      <c r="TT42" s="1" t="n">
        <f aca="false">'Plan pay &amp; tax'!AD268</f>
        <v>0</v>
      </c>
      <c r="TU42" s="1" t="n">
        <f aca="false">IF(AND(C42=1,QD42&gt;MAX(PR_Short1,TP42*PR_Short2)),1,0)</f>
        <v>0</v>
      </c>
      <c r="TV42" s="1" t="n">
        <f aca="false">MIN(G42,H42+R42)</f>
        <v>0</v>
      </c>
      <c r="TW42" s="1" t="n">
        <f aca="false">QE42+MAX(0,HP42-HO42)</f>
        <v>0</v>
      </c>
      <c r="TX42" s="1" t="n">
        <f aca="false">QD42+HO42</f>
        <v>0</v>
      </c>
      <c r="TY42" s="1" t="n">
        <f aca="false">IF(AND(C42=1,TX42&gt;PR_MinShort),1,0)</f>
        <v>0</v>
      </c>
      <c r="TZ42" s="1" t="n">
        <f aca="false">IF(AND(C42=1,TY42=0,TW42&gt;PR_MinShort),1,0)</f>
        <v>0</v>
      </c>
      <c r="UA42" s="1" t="n">
        <f aca="false">IF(AND(C42=1,QD42&gt;PR_MinShort),1,0)</f>
        <v>0</v>
      </c>
      <c r="UB42" s="1" t="n">
        <f aca="false">IF(AND(C42=1,QE42&gt;1,UI42=0),1,0)</f>
        <v>0</v>
      </c>
      <c r="UC42" s="1" t="str">
        <f aca="false">IF(C42=0,"",IF(UI42=1,"Gap to plan for: short "&amp;"€"&amp;TEXT(ROUND(TO42,0),"#,##0"),IF(QE42&gt;1,"Using savings","Comfortable")))</f>
        <v>Comfortable</v>
      </c>
      <c r="UD42" s="1" t="n">
        <f aca="false">IF(AND(INT(D42/10)*10=90,B42&gt;0),80,INT(D42/10)*10)</f>
        <v>30</v>
      </c>
      <c r="UE42" s="1" t="n">
        <f aca="false">IF(B42=0,1,IF(UD42&lt;&gt;UD41,UE41+1,UE41))</f>
        <v>4</v>
      </c>
      <c r="UF42" s="1" t="n">
        <f aca="false">IF(AND(C42=1,F42=1,QD42&gt;MAX(PR_Short1,TP42*PR_Short2)),1,0)</f>
        <v>0</v>
      </c>
      <c r="UG42" s="1" t="n">
        <f aca="false">TQ42*TU42</f>
        <v>0</v>
      </c>
      <c r="UH42" s="1" t="n">
        <f aca="false">IF(AND(U42=1,Slot1_PctLow=1),1,0)+IF(AND(AF42=1,Slot2_PctLow=1),1,0)+IF(AND(AP42=1,Slot3_PctLow=1),1,0)+IF(AND(AZ42=1,Slot4_PctLow=1),1,0)+IF(AND(BJ42=1,Slot5_PctLow=1),1,0)+IF(AND(BT42=1,Slot6_PctLow=1),1,0)+IF(AND(CD42=1,Slot7_PctLow=1),1,0)+IF(AND(CN42=1,Slot8_PctLow=1),1,0)+IF(AND(CX42=1,Slot9_PctLow=1),1,0)+IF(AND(DH42=1,Slot10_PctLow=1),1,0)+IF(AND(DR42=1,Slot11_PctLow=1),1,0)+IF(AND(EB42=1,Slot12_PctLow=1),1,0)+IF(AND(EL42=1,Slot13_PctLow=1),1,0)+IF(AND(EV42=1,Slot14_PctLow=1),1,0)+IF(AND(FF42=1,Slot15_PctLow=1),1,0)+IF(AND(FP42=1,Slot16_PctLow=1),1,0)+IF(AND(FZ42=1,Slot17_PctLow=1),1,0)+IF(AND(GJ42=1,Slot18_PctLow=1),1,0)+IF(AND(GT42=1,Slot19_PctLow=1),1,0)+IF(AND(HD42=1,Slot20_PctLow=1),1,0)</f>
        <v>0</v>
      </c>
      <c r="UI42" s="1" t="n">
        <f aca="false">IF(C42=1,IF(OR(TU42=1,UH42&gt;0),1,0),0)</f>
        <v>0</v>
      </c>
    </row>
    <row r="43" customFormat="false" ht="15" hidden="false" customHeight="true" outlineLevel="0" collapsed="false">
      <c r="B43" s="1" t="n">
        <v>35</v>
      </c>
      <c r="C43" s="1" t="n">
        <f aca="false">IF(B43&lt;=F_N,1,0)</f>
        <v>1</v>
      </c>
      <c r="D43" s="1" t="n">
        <f aca="false">'Plan pay &amp; tax'!C269</f>
        <v>35</v>
      </c>
      <c r="E43" s="111" t="n">
        <f aca="false">'Plan pay &amp; tax'!E269</f>
        <v>1.99988955266246</v>
      </c>
      <c r="F43" s="1" t="n">
        <f aca="false">'Plan pay &amp; tax'!G269</f>
        <v>1</v>
      </c>
      <c r="G43" s="1" t="n">
        <f aca="false">'Plan pay &amp; tax'!BT269-'Plan pay &amp; tax'!BS269-'Plan pay &amp; tax'!R269</f>
        <v>0</v>
      </c>
      <c r="H43" s="1" t="n">
        <f aca="false">IF(F43=1,F_CostsM*12,IF(RG_Exists=1,RG_Amount,F_CostsM*12*AS_RetireSpend))*E43+F_OneOffY*E43</f>
        <v>0</v>
      </c>
      <c r="I43" s="1" t="n">
        <f aca="false">HQ42</f>
        <v>0</v>
      </c>
      <c r="J43" s="1" t="n">
        <f aca="false">IF(I43&gt;1,'Plan debt months'!AC43,0)</f>
        <v>0</v>
      </c>
      <c r="K43" s="1" t="n">
        <f aca="false">IF(I43&gt;1,'Plan debt months'!AB43,I43)</f>
        <v>0</v>
      </c>
      <c r="L43" s="1" t="n">
        <f aca="false">N42</f>
        <v>0</v>
      </c>
      <c r="M43" s="1" t="n">
        <f aca="false">IF(L43&gt;1,'Plan debt months'!BD43,0)</f>
        <v>0</v>
      </c>
      <c r="N43" s="1" t="n">
        <f aca="false">IF(L43&gt;1,'Plan debt months'!BC43,L43)</f>
        <v>0</v>
      </c>
      <c r="O43" s="1" t="n">
        <f aca="false">Q42</f>
        <v>0</v>
      </c>
      <c r="P43" s="1" t="n">
        <f aca="false">IF(O43&gt;1,'Plan debt months'!CE43,0)</f>
        <v>0</v>
      </c>
      <c r="Q43" s="1" t="n">
        <f aca="false">IF(O43&gt;1,'Plan debt months'!CD43,O43)</f>
        <v>0</v>
      </c>
      <c r="R43" s="1" t="n">
        <f aca="false">J43+M43+P43</f>
        <v>0</v>
      </c>
      <c r="S43" s="1" t="n">
        <f aca="false">QJ42+'Plan pay &amp; tax'!Y269</f>
        <v>0</v>
      </c>
      <c r="T43" s="1" t="n">
        <f aca="false">QJ42</f>
        <v>0</v>
      </c>
      <c r="U43" s="1" t="n">
        <f aca="false">IF(AND(Slot1_On=1,D43=Slot1_Age),1,0)</f>
        <v>0</v>
      </c>
      <c r="V43" s="1" t="n">
        <f aca="false">IF(AND(Slot1_On=1,Slot1_Age&gt;D43),1,0)</f>
        <v>0</v>
      </c>
      <c r="W43" s="1" t="n">
        <f aca="false">QL42</f>
        <v>0</v>
      </c>
      <c r="X43" s="1" t="n">
        <f aca="false">U43*MIN(Slot1_Cost,W43)</f>
        <v>0</v>
      </c>
      <c r="Y43" s="1" t="n">
        <f aca="false">U43*Slot1_SpendLike*MIN(Slot1_Cost-X43,S43)</f>
        <v>0</v>
      </c>
      <c r="Z43" s="1" t="n">
        <f aca="false">X43+Y43</f>
        <v>0</v>
      </c>
      <c r="AA43" s="1" t="n">
        <f aca="false">S43-Y43+U43*IF(Slot1_SpendLike=1,W43-X43,IF(Slot1_PotFree=1,W43,0))</f>
        <v>0</v>
      </c>
      <c r="AB43" s="1" t="n">
        <f aca="false">AE43+U43*Slot1_BufPot*W43</f>
        <v>0</v>
      </c>
      <c r="AC43" s="1" t="n">
        <f aca="false">IF(AND(U43=1,Slot1_IsMfree=1),IF(Z43&gt;=Slot1_Cost-1,0,MAX(0,K43-Z43)),K43)</f>
        <v>0</v>
      </c>
      <c r="AD43" s="1" t="n">
        <f aca="false">U43*(Slot1_Cost-Z43)</f>
        <v>0</v>
      </c>
      <c r="AE43" s="1" t="n">
        <f aca="false">QK42</f>
        <v>0</v>
      </c>
      <c r="AF43" s="1" t="n">
        <f aca="false">IF(AND(Slot2_On=1,D43=Slot2_Age),1,0)</f>
        <v>0</v>
      </c>
      <c r="AG43" s="1" t="n">
        <f aca="false">IF(AND(Slot2_On=1,Slot2_Age&gt;D43),1,0)</f>
        <v>0</v>
      </c>
      <c r="AH43" s="1" t="n">
        <f aca="false">QP42</f>
        <v>0</v>
      </c>
      <c r="AI43" s="1" t="n">
        <f aca="false">AF43*MIN(Slot2_Cost,AH43)</f>
        <v>0</v>
      </c>
      <c r="AJ43" s="1" t="n">
        <f aca="false">AF43*Slot2_SpendLike*MIN(Slot2_Cost-AI43,AA43)</f>
        <v>0</v>
      </c>
      <c r="AK43" s="1" t="n">
        <f aca="false">AI43+AJ43</f>
        <v>0</v>
      </c>
      <c r="AL43" s="1" t="n">
        <f aca="false">AA43-AJ43+AF43*IF(Slot2_SpendLike=1,AH43-AI43,IF(Slot2_PotFree=1,AH43,0))</f>
        <v>0</v>
      </c>
      <c r="AM43" s="1" t="n">
        <f aca="false">AB43+AF43*Slot2_BufPot*AH43</f>
        <v>0</v>
      </c>
      <c r="AN43" s="1" t="n">
        <f aca="false">IF(AND(AF43=1,Slot2_IsMfree=1),IF(AK43&gt;=Slot2_Cost-1,0,MAX(0,AC43-AK43)),AC43)</f>
        <v>0</v>
      </c>
      <c r="AO43" s="1" t="n">
        <f aca="false">AF43*(Slot2_Cost-AK43)</f>
        <v>0</v>
      </c>
      <c r="AP43" s="1" t="n">
        <f aca="false">IF(AND(Slot3_On=1,D43=Slot3_Age),1,0)</f>
        <v>0</v>
      </c>
      <c r="AQ43" s="1" t="n">
        <f aca="false">IF(AND(Slot3_On=1,Slot3_Age&gt;D43),1,0)</f>
        <v>0</v>
      </c>
      <c r="AR43" s="1" t="n">
        <f aca="false">QT42</f>
        <v>0</v>
      </c>
      <c r="AS43" s="1" t="n">
        <f aca="false">AP43*MIN(Slot3_Cost,AR43)</f>
        <v>0</v>
      </c>
      <c r="AT43" s="1" t="n">
        <f aca="false">AP43*Slot3_SpendLike*MIN(Slot3_Cost-AS43,AL43)</f>
        <v>0</v>
      </c>
      <c r="AU43" s="1" t="n">
        <f aca="false">AS43+AT43</f>
        <v>0</v>
      </c>
      <c r="AV43" s="1" t="n">
        <f aca="false">AL43-AT43+AP43*IF(Slot3_SpendLike=1,AR43-AS43,IF(Slot3_PotFree=1,AR43,0))</f>
        <v>0</v>
      </c>
      <c r="AW43" s="1" t="n">
        <f aca="false">AM43+AP43*Slot3_BufPot*AR43</f>
        <v>0</v>
      </c>
      <c r="AX43" s="1" t="n">
        <f aca="false">IF(AND(AP43=1,Slot3_IsMfree=1),IF(AU43&gt;=Slot3_Cost-1,0,MAX(0,AN43-AU43)),AN43)</f>
        <v>0</v>
      </c>
      <c r="AY43" s="1" t="n">
        <f aca="false">AP43*(Slot3_Cost-AU43)</f>
        <v>0</v>
      </c>
      <c r="AZ43" s="1" t="n">
        <f aca="false">IF(AND(Slot4_On=1,D43=Slot4_Age),1,0)</f>
        <v>0</v>
      </c>
      <c r="BA43" s="1" t="n">
        <f aca="false">IF(AND(Slot4_On=1,Slot4_Age&gt;D43),1,0)</f>
        <v>0</v>
      </c>
      <c r="BB43" s="1" t="n">
        <f aca="false">QX42</f>
        <v>0</v>
      </c>
      <c r="BC43" s="1" t="n">
        <f aca="false">AZ43*MIN(Slot4_Cost,BB43)</f>
        <v>0</v>
      </c>
      <c r="BD43" s="1" t="n">
        <f aca="false">AZ43*Slot4_SpendLike*MIN(Slot4_Cost-BC43,AV43)</f>
        <v>0</v>
      </c>
      <c r="BE43" s="1" t="n">
        <f aca="false">BC43+BD43</f>
        <v>0</v>
      </c>
      <c r="BF43" s="1" t="n">
        <f aca="false">AV43-BD43+AZ43*IF(Slot4_SpendLike=1,BB43-BC43,IF(Slot4_PotFree=1,BB43,0))</f>
        <v>0</v>
      </c>
      <c r="BG43" s="1" t="n">
        <f aca="false">AW43+AZ43*Slot4_BufPot*BB43</f>
        <v>0</v>
      </c>
      <c r="BH43" s="1" t="n">
        <f aca="false">IF(AND(AZ43=1,Slot4_IsMfree=1),IF(BE43&gt;=Slot4_Cost-1,0,MAX(0,AX43-BE43)),AX43)</f>
        <v>0</v>
      </c>
      <c r="BI43" s="1" t="n">
        <f aca="false">AZ43*(Slot4_Cost-BE43)</f>
        <v>0</v>
      </c>
      <c r="BJ43" s="1" t="n">
        <f aca="false">IF(AND(Slot5_On=1,D43=Slot5_Age),1,0)</f>
        <v>0</v>
      </c>
      <c r="BK43" s="1" t="n">
        <f aca="false">IF(AND(Slot5_On=1,Slot5_Age&gt;D43),1,0)</f>
        <v>0</v>
      </c>
      <c r="BL43" s="1" t="n">
        <f aca="false">RB42</f>
        <v>0</v>
      </c>
      <c r="BM43" s="1" t="n">
        <f aca="false">BJ43*MIN(Slot5_Cost,BL43)</f>
        <v>0</v>
      </c>
      <c r="BN43" s="1" t="n">
        <f aca="false">BJ43*Slot5_SpendLike*MIN(Slot5_Cost-BM43,BF43)</f>
        <v>0</v>
      </c>
      <c r="BO43" s="1" t="n">
        <f aca="false">BM43+BN43</f>
        <v>0</v>
      </c>
      <c r="BP43" s="1" t="n">
        <f aca="false">BF43-BN43+BJ43*IF(Slot5_SpendLike=1,BL43-BM43,IF(Slot5_PotFree=1,BL43,0))</f>
        <v>0</v>
      </c>
      <c r="BQ43" s="1" t="n">
        <f aca="false">BG43+BJ43*Slot5_BufPot*BL43</f>
        <v>0</v>
      </c>
      <c r="BR43" s="1" t="n">
        <f aca="false">IF(AND(BJ43=1,Slot5_IsMfree=1),IF(BO43&gt;=Slot5_Cost-1,0,MAX(0,BH43-BO43)),BH43)</f>
        <v>0</v>
      </c>
      <c r="BS43" s="1" t="n">
        <f aca="false">BJ43*(Slot5_Cost-BO43)</f>
        <v>0</v>
      </c>
      <c r="BT43" s="1" t="n">
        <f aca="false">IF(AND(Slot6_On=1,D43=Slot6_Age),1,0)</f>
        <v>0</v>
      </c>
      <c r="BU43" s="1" t="n">
        <f aca="false">IF(AND(Slot6_On=1,Slot6_Age&gt;D43),1,0)</f>
        <v>0</v>
      </c>
      <c r="BV43" s="1" t="n">
        <f aca="false">RF42</f>
        <v>0</v>
      </c>
      <c r="BW43" s="1" t="n">
        <f aca="false">BT43*MIN(Slot6_Cost,BV43)</f>
        <v>0</v>
      </c>
      <c r="BX43" s="1" t="n">
        <f aca="false">BT43*Slot6_SpendLike*MIN(Slot6_Cost-BW43,BP43)</f>
        <v>0</v>
      </c>
      <c r="BY43" s="1" t="n">
        <f aca="false">BW43+BX43</f>
        <v>0</v>
      </c>
      <c r="BZ43" s="1" t="n">
        <f aca="false">BP43-BX43+BT43*IF(Slot6_SpendLike=1,BV43-BW43,IF(Slot6_PotFree=1,BV43,0))</f>
        <v>0</v>
      </c>
      <c r="CA43" s="1" t="n">
        <f aca="false">BQ43+BT43*Slot6_BufPot*BV43</f>
        <v>0</v>
      </c>
      <c r="CB43" s="1" t="n">
        <f aca="false">IF(AND(BT43=1,Slot6_IsMfree=1),IF(BY43&gt;=Slot6_Cost-1,0,MAX(0,BR43-BY43)),BR43)</f>
        <v>0</v>
      </c>
      <c r="CC43" s="1" t="n">
        <f aca="false">BT43*(Slot6_Cost-BY43)</f>
        <v>0</v>
      </c>
      <c r="CD43" s="1" t="n">
        <f aca="false">IF(AND(Slot7_On=1,D43=Slot7_Age),1,0)</f>
        <v>0</v>
      </c>
      <c r="CE43" s="1" t="n">
        <f aca="false">IF(AND(Slot7_On=1,Slot7_Age&gt;D43),1,0)</f>
        <v>0</v>
      </c>
      <c r="CF43" s="1" t="n">
        <f aca="false">RJ42</f>
        <v>0</v>
      </c>
      <c r="CG43" s="1" t="n">
        <f aca="false">CD43*MIN(Slot7_Cost,CF43)</f>
        <v>0</v>
      </c>
      <c r="CH43" s="1" t="n">
        <f aca="false">CD43*Slot7_SpendLike*MIN(Slot7_Cost-CG43,BZ43)</f>
        <v>0</v>
      </c>
      <c r="CI43" s="1" t="n">
        <f aca="false">CG43+CH43</f>
        <v>0</v>
      </c>
      <c r="CJ43" s="1" t="n">
        <f aca="false">BZ43-CH43+CD43*IF(Slot7_SpendLike=1,CF43-CG43,IF(Slot7_PotFree=1,CF43,0))</f>
        <v>0</v>
      </c>
      <c r="CK43" s="1" t="n">
        <f aca="false">CA43+CD43*Slot7_BufPot*CF43</f>
        <v>0</v>
      </c>
      <c r="CL43" s="1" t="n">
        <f aca="false">IF(AND(CD43=1,Slot7_IsMfree=1),IF(CI43&gt;=Slot7_Cost-1,0,MAX(0,CB43-CI43)),CB43)</f>
        <v>0</v>
      </c>
      <c r="CM43" s="1" t="n">
        <f aca="false">CD43*(Slot7_Cost-CI43)</f>
        <v>0</v>
      </c>
      <c r="CN43" s="1" t="n">
        <f aca="false">IF(AND(Slot8_On=1,D43=Slot8_Age),1,0)</f>
        <v>0</v>
      </c>
      <c r="CO43" s="1" t="n">
        <f aca="false">IF(AND(Slot8_On=1,Slot8_Age&gt;D43),1,0)</f>
        <v>0</v>
      </c>
      <c r="CP43" s="1" t="n">
        <f aca="false">RN42</f>
        <v>0</v>
      </c>
      <c r="CQ43" s="1" t="n">
        <f aca="false">CN43*MIN(Slot8_Cost,CP43)</f>
        <v>0</v>
      </c>
      <c r="CR43" s="1" t="n">
        <f aca="false">CN43*Slot8_SpendLike*MIN(Slot8_Cost-CQ43,CJ43)</f>
        <v>0</v>
      </c>
      <c r="CS43" s="1" t="n">
        <f aca="false">CQ43+CR43</f>
        <v>0</v>
      </c>
      <c r="CT43" s="1" t="n">
        <f aca="false">CJ43-CR43+CN43*IF(Slot8_SpendLike=1,CP43-CQ43,IF(Slot8_PotFree=1,CP43,0))</f>
        <v>0</v>
      </c>
      <c r="CU43" s="1" t="n">
        <f aca="false">CK43+CN43*Slot8_BufPot*CP43</f>
        <v>0</v>
      </c>
      <c r="CV43" s="1" t="n">
        <f aca="false">IF(AND(CN43=1,Slot8_IsMfree=1),IF(CS43&gt;=Slot8_Cost-1,0,MAX(0,CL43-CS43)),CL43)</f>
        <v>0</v>
      </c>
      <c r="CW43" s="1" t="n">
        <f aca="false">CN43*(Slot8_Cost-CS43)</f>
        <v>0</v>
      </c>
      <c r="CX43" s="1" t="n">
        <f aca="false">IF(AND(Slot9_On=1,D43=Slot9_Age),1,0)</f>
        <v>0</v>
      </c>
      <c r="CY43" s="1" t="n">
        <f aca="false">IF(AND(Slot9_On=1,Slot9_Age&gt;D43),1,0)</f>
        <v>0</v>
      </c>
      <c r="CZ43" s="1" t="n">
        <f aca="false">RR42</f>
        <v>0</v>
      </c>
      <c r="DA43" s="1" t="n">
        <f aca="false">CX43*MIN(Slot9_Cost,CZ43)</f>
        <v>0</v>
      </c>
      <c r="DB43" s="1" t="n">
        <f aca="false">CX43*Slot9_SpendLike*MIN(Slot9_Cost-DA43,CT43)</f>
        <v>0</v>
      </c>
      <c r="DC43" s="1" t="n">
        <f aca="false">DA43+DB43</f>
        <v>0</v>
      </c>
      <c r="DD43" s="1" t="n">
        <f aca="false">CT43-DB43+CX43*IF(Slot9_SpendLike=1,CZ43-DA43,IF(Slot9_PotFree=1,CZ43,0))</f>
        <v>0</v>
      </c>
      <c r="DE43" s="1" t="n">
        <f aca="false">CU43+CX43*Slot9_BufPot*CZ43</f>
        <v>0</v>
      </c>
      <c r="DF43" s="1" t="n">
        <f aca="false">IF(AND(CX43=1,Slot9_IsMfree=1),IF(DC43&gt;=Slot9_Cost-1,0,MAX(0,CV43-DC43)),CV43)</f>
        <v>0</v>
      </c>
      <c r="DG43" s="1" t="n">
        <f aca="false">CX43*(Slot9_Cost-DC43)</f>
        <v>0</v>
      </c>
      <c r="DH43" s="1" t="n">
        <f aca="false">IF(AND(Slot10_On=1,D43=Slot10_Age),1,0)</f>
        <v>0</v>
      </c>
      <c r="DI43" s="1" t="n">
        <f aca="false">IF(AND(Slot10_On=1,Slot10_Age&gt;D43),1,0)</f>
        <v>0</v>
      </c>
      <c r="DJ43" s="1" t="n">
        <f aca="false">RV42</f>
        <v>0</v>
      </c>
      <c r="DK43" s="1" t="n">
        <f aca="false">DH43*MIN(Slot10_Cost,DJ43)</f>
        <v>0</v>
      </c>
      <c r="DL43" s="1" t="n">
        <f aca="false">DH43*Slot10_SpendLike*MIN(Slot10_Cost-DK43,DD43)</f>
        <v>0</v>
      </c>
      <c r="DM43" s="1" t="n">
        <f aca="false">DK43+DL43</f>
        <v>0</v>
      </c>
      <c r="DN43" s="1" t="n">
        <f aca="false">DD43-DL43+DH43*IF(Slot10_SpendLike=1,DJ43-DK43,IF(Slot10_PotFree=1,DJ43,0))</f>
        <v>0</v>
      </c>
      <c r="DO43" s="1" t="n">
        <f aca="false">DE43+DH43*Slot10_BufPot*DJ43</f>
        <v>0</v>
      </c>
      <c r="DP43" s="1" t="n">
        <f aca="false">IF(AND(DH43=1,Slot10_IsMfree=1),IF(DM43&gt;=Slot10_Cost-1,0,MAX(0,DF43-DM43)),DF43)</f>
        <v>0</v>
      </c>
      <c r="DQ43" s="1" t="n">
        <f aca="false">DH43*(Slot10_Cost-DM43)</f>
        <v>0</v>
      </c>
      <c r="DR43" s="1" t="n">
        <f aca="false">IF(AND(Slot11_On=1,D43=Slot11_Age),1,0)</f>
        <v>0</v>
      </c>
      <c r="DS43" s="1" t="n">
        <f aca="false">IF(AND(Slot11_On=1,Slot11_Age&gt;D43),1,0)</f>
        <v>0</v>
      </c>
      <c r="DT43" s="1" t="n">
        <f aca="false">RZ42</f>
        <v>0</v>
      </c>
      <c r="DU43" s="1" t="n">
        <f aca="false">DR43*MIN(Slot11_Cost,DT43)</f>
        <v>0</v>
      </c>
      <c r="DV43" s="1" t="n">
        <f aca="false">DR43*Slot11_SpendLike*MIN(Slot11_Cost-DU43,DN43)</f>
        <v>0</v>
      </c>
      <c r="DW43" s="1" t="n">
        <f aca="false">DU43+DV43</f>
        <v>0</v>
      </c>
      <c r="DX43" s="1" t="n">
        <f aca="false">DN43-DV43+DR43*IF(Slot11_SpendLike=1,DT43-DU43,IF(Slot11_PotFree=1,DT43,0))</f>
        <v>0</v>
      </c>
      <c r="DY43" s="1" t="n">
        <f aca="false">DO43+DR43*Slot11_BufPot*DT43</f>
        <v>0</v>
      </c>
      <c r="DZ43" s="1" t="n">
        <f aca="false">IF(AND(DR43=1,Slot11_IsMfree=1),IF(DW43&gt;=Slot11_Cost-1,0,MAX(0,DP43-DW43)),DP43)</f>
        <v>0</v>
      </c>
      <c r="EA43" s="1" t="n">
        <f aca="false">DR43*(Slot11_Cost-DW43)</f>
        <v>0</v>
      </c>
      <c r="EB43" s="1" t="n">
        <f aca="false">IF(AND(Slot12_On=1,D43=Slot12_Age),1,0)</f>
        <v>0</v>
      </c>
      <c r="EC43" s="1" t="n">
        <f aca="false">IF(AND(Slot12_On=1,Slot12_Age&gt;D43),1,0)</f>
        <v>0</v>
      </c>
      <c r="ED43" s="1" t="n">
        <f aca="false">SD42</f>
        <v>0</v>
      </c>
      <c r="EE43" s="1" t="n">
        <f aca="false">EB43*MIN(Slot12_Cost,ED43)</f>
        <v>0</v>
      </c>
      <c r="EF43" s="1" t="n">
        <f aca="false">EB43*Slot12_SpendLike*MIN(Slot12_Cost-EE43,DX43)</f>
        <v>0</v>
      </c>
      <c r="EG43" s="1" t="n">
        <f aca="false">EE43+EF43</f>
        <v>0</v>
      </c>
      <c r="EH43" s="1" t="n">
        <f aca="false">DX43-EF43+EB43*IF(Slot12_SpendLike=1,ED43-EE43,IF(Slot12_PotFree=1,ED43,0))</f>
        <v>0</v>
      </c>
      <c r="EI43" s="1" t="n">
        <f aca="false">DY43+EB43*Slot12_BufPot*ED43</f>
        <v>0</v>
      </c>
      <c r="EJ43" s="1" t="n">
        <f aca="false">IF(AND(EB43=1,Slot12_IsMfree=1),IF(EG43&gt;=Slot12_Cost-1,0,MAX(0,DZ43-EG43)),DZ43)</f>
        <v>0</v>
      </c>
      <c r="EK43" s="1" t="n">
        <f aca="false">EB43*(Slot12_Cost-EG43)</f>
        <v>0</v>
      </c>
      <c r="EL43" s="1" t="n">
        <f aca="false">IF(AND(Slot13_On=1,D43=Slot13_Age),1,0)</f>
        <v>0</v>
      </c>
      <c r="EM43" s="1" t="n">
        <f aca="false">IF(AND(Slot13_On=1,Slot13_Age&gt;D43),1,0)</f>
        <v>0</v>
      </c>
      <c r="EN43" s="1" t="n">
        <f aca="false">SH42</f>
        <v>0</v>
      </c>
      <c r="EO43" s="1" t="n">
        <f aca="false">EL43*MIN(Slot13_Cost,EN43)</f>
        <v>0</v>
      </c>
      <c r="EP43" s="1" t="n">
        <f aca="false">EL43*Slot13_SpendLike*MIN(Slot13_Cost-EO43,EH43)</f>
        <v>0</v>
      </c>
      <c r="EQ43" s="1" t="n">
        <f aca="false">EO43+EP43</f>
        <v>0</v>
      </c>
      <c r="ER43" s="1" t="n">
        <f aca="false">EH43-EP43+EL43*IF(Slot13_SpendLike=1,EN43-EO43,IF(Slot13_PotFree=1,EN43,0))</f>
        <v>0</v>
      </c>
      <c r="ES43" s="1" t="n">
        <f aca="false">EI43+EL43*Slot13_BufPot*EN43</f>
        <v>0</v>
      </c>
      <c r="ET43" s="1" t="n">
        <f aca="false">IF(AND(EL43=1,Slot13_IsMfree=1),IF(EQ43&gt;=Slot13_Cost-1,0,MAX(0,EJ43-EQ43)),EJ43)</f>
        <v>0</v>
      </c>
      <c r="EU43" s="1" t="n">
        <f aca="false">EL43*(Slot13_Cost-EQ43)</f>
        <v>0</v>
      </c>
      <c r="EV43" s="1" t="n">
        <f aca="false">IF(AND(Slot14_On=1,D43=Slot14_Age),1,0)</f>
        <v>0</v>
      </c>
      <c r="EW43" s="1" t="n">
        <f aca="false">IF(AND(Slot14_On=1,Slot14_Age&gt;D43),1,0)</f>
        <v>0</v>
      </c>
      <c r="EX43" s="1" t="n">
        <f aca="false">SL42</f>
        <v>0</v>
      </c>
      <c r="EY43" s="1" t="n">
        <f aca="false">EV43*MIN(Slot14_Cost,EX43)</f>
        <v>0</v>
      </c>
      <c r="EZ43" s="1" t="n">
        <f aca="false">EV43*Slot14_SpendLike*MIN(Slot14_Cost-EY43,ER43)</f>
        <v>0</v>
      </c>
      <c r="FA43" s="1" t="n">
        <f aca="false">EY43+EZ43</f>
        <v>0</v>
      </c>
      <c r="FB43" s="1" t="n">
        <f aca="false">ER43-EZ43+EV43*IF(Slot14_SpendLike=1,EX43-EY43,IF(Slot14_PotFree=1,EX43,0))</f>
        <v>0</v>
      </c>
      <c r="FC43" s="1" t="n">
        <f aca="false">ES43+EV43*Slot14_BufPot*EX43</f>
        <v>0</v>
      </c>
      <c r="FD43" s="1" t="n">
        <f aca="false">IF(AND(EV43=1,Slot14_IsMfree=1),IF(FA43&gt;=Slot14_Cost-1,0,MAX(0,ET43-FA43)),ET43)</f>
        <v>0</v>
      </c>
      <c r="FE43" s="1" t="n">
        <f aca="false">EV43*(Slot14_Cost-FA43)</f>
        <v>0</v>
      </c>
      <c r="FF43" s="1" t="n">
        <f aca="false">IF(AND(Slot15_On=1,D43=Slot15_Age),1,0)</f>
        <v>0</v>
      </c>
      <c r="FG43" s="1" t="n">
        <f aca="false">IF(AND(Slot15_On=1,Slot15_Age&gt;D43),1,0)</f>
        <v>0</v>
      </c>
      <c r="FH43" s="1" t="n">
        <f aca="false">SP42</f>
        <v>0</v>
      </c>
      <c r="FI43" s="1" t="n">
        <f aca="false">FF43*MIN(Slot15_Cost,FH43)</f>
        <v>0</v>
      </c>
      <c r="FJ43" s="1" t="n">
        <f aca="false">FF43*Slot15_SpendLike*MIN(Slot15_Cost-FI43,FB43)</f>
        <v>0</v>
      </c>
      <c r="FK43" s="1" t="n">
        <f aca="false">FI43+FJ43</f>
        <v>0</v>
      </c>
      <c r="FL43" s="1" t="n">
        <f aca="false">FB43-FJ43+FF43*IF(Slot15_SpendLike=1,FH43-FI43,IF(Slot15_PotFree=1,FH43,0))</f>
        <v>0</v>
      </c>
      <c r="FM43" s="1" t="n">
        <f aca="false">FC43+FF43*Slot15_BufPot*FH43</f>
        <v>0</v>
      </c>
      <c r="FN43" s="1" t="n">
        <f aca="false">IF(AND(FF43=1,Slot15_IsMfree=1),IF(FK43&gt;=Slot15_Cost-1,0,MAX(0,FD43-FK43)),FD43)</f>
        <v>0</v>
      </c>
      <c r="FO43" s="1" t="n">
        <f aca="false">FF43*(Slot15_Cost-FK43)</f>
        <v>0</v>
      </c>
      <c r="FP43" s="1" t="n">
        <f aca="false">IF(AND(Slot16_On=1,D43=Slot16_Age),1,0)</f>
        <v>0</v>
      </c>
      <c r="FQ43" s="1" t="n">
        <f aca="false">IF(AND(Slot16_On=1,Slot16_Age&gt;D43),1,0)</f>
        <v>0</v>
      </c>
      <c r="FR43" s="1" t="n">
        <f aca="false">ST42</f>
        <v>0</v>
      </c>
      <c r="FS43" s="1" t="n">
        <f aca="false">FP43*MIN(Slot16_Cost,FR43)</f>
        <v>0</v>
      </c>
      <c r="FT43" s="1" t="n">
        <f aca="false">FP43*Slot16_SpendLike*MIN(Slot16_Cost-FS43,FL43)</f>
        <v>0</v>
      </c>
      <c r="FU43" s="1" t="n">
        <f aca="false">FS43+FT43</f>
        <v>0</v>
      </c>
      <c r="FV43" s="1" t="n">
        <f aca="false">FL43-FT43+FP43*IF(Slot16_SpendLike=1,FR43-FS43,IF(Slot16_PotFree=1,FR43,0))</f>
        <v>0</v>
      </c>
      <c r="FW43" s="1" t="n">
        <f aca="false">FM43+FP43*Slot16_BufPot*FR43</f>
        <v>0</v>
      </c>
      <c r="FX43" s="1" t="n">
        <f aca="false">IF(AND(FP43=1,Slot16_IsMfree=1),IF(FU43&gt;=Slot16_Cost-1,0,MAX(0,FN43-FU43)),FN43)</f>
        <v>0</v>
      </c>
      <c r="FY43" s="1" t="n">
        <f aca="false">FP43*(Slot16_Cost-FU43)</f>
        <v>0</v>
      </c>
      <c r="FZ43" s="1" t="n">
        <f aca="false">IF(AND(Slot17_On=1,D43=Slot17_Age),1,0)</f>
        <v>0</v>
      </c>
      <c r="GA43" s="1" t="n">
        <f aca="false">IF(AND(Slot17_On=1,Slot17_Age&gt;D43),1,0)</f>
        <v>0</v>
      </c>
      <c r="GB43" s="1" t="n">
        <f aca="false">SX42</f>
        <v>0</v>
      </c>
      <c r="GC43" s="1" t="n">
        <f aca="false">FZ43*MIN(Slot17_Cost,GB43)</f>
        <v>0</v>
      </c>
      <c r="GD43" s="1" t="n">
        <f aca="false">FZ43*Slot17_SpendLike*MIN(Slot17_Cost-GC43,FV43)</f>
        <v>0</v>
      </c>
      <c r="GE43" s="1" t="n">
        <f aca="false">GC43+GD43</f>
        <v>0</v>
      </c>
      <c r="GF43" s="1" t="n">
        <f aca="false">FV43-GD43+FZ43*IF(Slot17_SpendLike=1,GB43-GC43,IF(Slot17_PotFree=1,GB43,0))</f>
        <v>0</v>
      </c>
      <c r="GG43" s="1" t="n">
        <f aca="false">FW43+FZ43*Slot17_BufPot*GB43</f>
        <v>0</v>
      </c>
      <c r="GH43" s="1" t="n">
        <f aca="false">IF(AND(FZ43=1,Slot17_IsMfree=1),IF(GE43&gt;=Slot17_Cost-1,0,MAX(0,FX43-GE43)),FX43)</f>
        <v>0</v>
      </c>
      <c r="GI43" s="1" t="n">
        <f aca="false">FZ43*(Slot17_Cost-GE43)</f>
        <v>0</v>
      </c>
      <c r="GJ43" s="1" t="n">
        <f aca="false">IF(AND(Slot18_On=1,D43=Slot18_Age),1,0)</f>
        <v>0</v>
      </c>
      <c r="GK43" s="1" t="n">
        <f aca="false">IF(AND(Slot18_On=1,Slot18_Age&gt;D43),1,0)</f>
        <v>0</v>
      </c>
      <c r="GL43" s="1" t="n">
        <f aca="false">TB42</f>
        <v>0</v>
      </c>
      <c r="GM43" s="1" t="n">
        <f aca="false">GJ43*MIN(Slot18_Cost,GL43)</f>
        <v>0</v>
      </c>
      <c r="GN43" s="1" t="n">
        <f aca="false">GJ43*Slot18_SpendLike*MIN(Slot18_Cost-GM43,GF43)</f>
        <v>0</v>
      </c>
      <c r="GO43" s="1" t="n">
        <f aca="false">GM43+GN43</f>
        <v>0</v>
      </c>
      <c r="GP43" s="1" t="n">
        <f aca="false">GF43-GN43+GJ43*IF(Slot18_SpendLike=1,GL43-GM43,IF(Slot18_PotFree=1,GL43,0))</f>
        <v>0</v>
      </c>
      <c r="GQ43" s="1" t="n">
        <f aca="false">GG43+GJ43*Slot18_BufPot*GL43</f>
        <v>0</v>
      </c>
      <c r="GR43" s="1" t="n">
        <f aca="false">IF(AND(GJ43=1,Slot18_IsMfree=1),IF(GO43&gt;=Slot18_Cost-1,0,MAX(0,GH43-GO43)),GH43)</f>
        <v>0</v>
      </c>
      <c r="GS43" s="1" t="n">
        <f aca="false">GJ43*(Slot18_Cost-GO43)</f>
        <v>0</v>
      </c>
      <c r="GT43" s="1" t="n">
        <f aca="false">IF(AND(Slot19_On=1,D43=Slot19_Age),1,0)</f>
        <v>0</v>
      </c>
      <c r="GU43" s="1" t="n">
        <f aca="false">IF(AND(Slot19_On=1,Slot19_Age&gt;D43),1,0)</f>
        <v>0</v>
      </c>
      <c r="GV43" s="1" t="n">
        <f aca="false">TF42</f>
        <v>0</v>
      </c>
      <c r="GW43" s="1" t="n">
        <f aca="false">GT43*MIN(Slot19_Cost,GV43)</f>
        <v>0</v>
      </c>
      <c r="GX43" s="1" t="n">
        <f aca="false">GT43*Slot19_SpendLike*MIN(Slot19_Cost-GW43,GP43)</f>
        <v>0</v>
      </c>
      <c r="GY43" s="1" t="n">
        <f aca="false">GW43+GX43</f>
        <v>0</v>
      </c>
      <c r="GZ43" s="1" t="n">
        <f aca="false">GP43-GX43+GT43*IF(Slot19_SpendLike=1,GV43-GW43,IF(Slot19_PotFree=1,GV43,0))</f>
        <v>0</v>
      </c>
      <c r="HA43" s="1" t="n">
        <f aca="false">GQ43+GT43*Slot19_BufPot*GV43</f>
        <v>0</v>
      </c>
      <c r="HB43" s="1" t="n">
        <f aca="false">IF(AND(GT43=1,Slot19_IsMfree=1),IF(GY43&gt;=Slot19_Cost-1,0,MAX(0,GR43-GY43)),GR43)</f>
        <v>0</v>
      </c>
      <c r="HC43" s="1" t="n">
        <f aca="false">GT43*(Slot19_Cost-GY43)</f>
        <v>0</v>
      </c>
      <c r="HD43" s="1" t="n">
        <f aca="false">IF(AND(Slot20_On=1,D43=Slot20_Age),1,0)</f>
        <v>0</v>
      </c>
      <c r="HE43" s="1" t="n">
        <f aca="false">IF(AND(Slot20_On=1,Slot20_Age&gt;D43),1,0)</f>
        <v>0</v>
      </c>
      <c r="HF43" s="1" t="n">
        <f aca="false">TJ42</f>
        <v>0</v>
      </c>
      <c r="HG43" s="1" t="n">
        <f aca="false">HD43*MIN(Slot20_Cost,HF43)</f>
        <v>0</v>
      </c>
      <c r="HH43" s="1" t="n">
        <f aca="false">HD43*Slot20_SpendLike*MIN(Slot20_Cost-HG43,GZ43)</f>
        <v>0</v>
      </c>
      <c r="HI43" s="1" t="n">
        <f aca="false">HG43+HH43</f>
        <v>0</v>
      </c>
      <c r="HJ43" s="1" t="n">
        <f aca="false">GZ43-HH43+HD43*IF(Slot20_SpendLike=1,HF43-HG43,IF(Slot20_PotFree=1,HF43,0))</f>
        <v>0</v>
      </c>
      <c r="HK43" s="1" t="n">
        <f aca="false">HA43+HD43*Slot20_BufPot*HF43</f>
        <v>0</v>
      </c>
      <c r="HL43" s="1" t="n">
        <f aca="false">IF(AND(HD43=1,Slot20_IsMfree=1),IF(HI43&gt;=Slot20_Cost-1,0,MAX(0,HB43-HI43)),HB43)</f>
        <v>0</v>
      </c>
      <c r="HM43" s="1" t="n">
        <f aca="false">HD43*(Slot20_Cost-HI43)</f>
        <v>0</v>
      </c>
      <c r="HN43" s="1" t="n">
        <f aca="false">U43*Slot1_SpendLike*Z43+AF43*Slot2_SpendLike*AK43+AP43*Slot3_SpendLike*AU43+AZ43*Slot4_SpendLike*BE43+BJ43*Slot5_SpendLike*BO43+BT43*Slot6_SpendLike*BY43+CD43*Slot7_SpendLike*CI43+CN43*Slot8_SpendLike*CS43+CX43*Slot9_SpendLike*DC43+DH43*Slot10_SpendLike*DM43+DR43*Slot11_SpendLike*DW43+EB43*Slot12_SpendLike*EG43+EL43*Slot13_SpendLike*EQ43+EV43*Slot14_SpendLike*FA43+FF43*Slot15_SpendLike*FK43+FP43*Slot16_SpendLike*FU43+FZ43*Slot17_SpendLike*GE43+GJ43*Slot18_SpendLike*GO43+GT43*Slot19_SpendLike*GY43+HD43*Slot20_SpendLike*HI43</f>
        <v>0</v>
      </c>
      <c r="HO43" s="1" t="n">
        <f aca="false">AD43+AO43+AY43+BI43+BS43+CC43+CM43+CW43+DG43+DQ43+EA43+EK43+EU43+FE43+FO43+FY43+GI43+GS43+HC43+HM43</f>
        <v>0</v>
      </c>
      <c r="HP43" s="1" t="n">
        <f aca="false">U43*Slot1_Cost+AF43*Slot2_Cost+AP43*Slot3_Cost+AZ43*Slot4_Cost+BJ43*Slot5_Cost+BT43*Slot6_Cost+CD43*Slot7_Cost+CN43*Slot8_Cost+CX43*Slot9_Cost+DH43*Slot10_Cost+DR43*Slot11_Cost+EB43*Slot12_Cost+EL43*Slot13_Cost+EV43*Slot14_Cost+FF43*Slot15_Cost+FP43*Slot16_Cost+FZ43*Slot17_Cost+GJ43*Slot18_Cost+GT43*Slot19_Cost+HD43*Slot20_Cost</f>
        <v>0</v>
      </c>
      <c r="HQ43" s="1" t="n">
        <f aca="false">HL43</f>
        <v>0</v>
      </c>
      <c r="HR43" s="1" t="n">
        <f aca="false">G43-H43-R43</f>
        <v>0</v>
      </c>
      <c r="HS43" s="1" t="n">
        <f aca="false">IF(B43=0,IF(AND(Has_q6=1,In_q6=4),PR_ShareVaries*(MAX(0,HR43)/12),MIN(IF(Has_q6=1,CHOOSE(In_q6+1,PR_SaveB1,PR_SaveB2,PR_SaveB3,PR_SaveB4,0),AS_NoAnswer),AS_SaveShare*(MAX(0,HR43)/12))),HS42)</f>
        <v>0</v>
      </c>
      <c r="HT43" s="1" t="n">
        <f aca="false">IF(HR43&gt;=0,1,0)</f>
        <v>1</v>
      </c>
      <c r="HU43" s="1" t="n">
        <f aca="false">MAX(0,HR43/12/E43)</f>
        <v>0</v>
      </c>
      <c r="HV43" s="1" t="n">
        <f aca="false">IF(AND(Has_q6=1,In_q6=4),PR_ShareVaries*(HU43),MIN(IF(Has_q6=1,CHOOSE(In_q6+1,PR_SaveB1,PR_SaveB2,PR_SaveB3,PR_SaveB4,0),AS_NoAnswer),AS_SaveShare*(HU43)))</f>
        <v>0</v>
      </c>
      <c r="HW43" s="1" t="n">
        <f aca="false">IF(Has_saveM=1,IF(In_saveUp="Yes",1,IF(In_saveUp="No",0,IF(In_saveM&gt;=HS43-0.5,1,0))),0)</f>
        <v>0</v>
      </c>
      <c r="HX43" s="1" t="n">
        <f aca="false">IF(Has_saveM=1,MIN(HU43,IF(HW43=1,MAX(In_saveM,HV43),MIN(In_saveM,HV43))),HV43)</f>
        <v>0</v>
      </c>
      <c r="HY43" s="1" t="n">
        <f aca="false">IF(F43=1,HX43*12*E43,0)</f>
        <v>0</v>
      </c>
      <c r="HZ43" s="1" t="n">
        <f aca="false">MAX(0,HY43+IF(AND(WI_Retire=0,WI_M&lt;0,F43=1),WI_M*12*E43,0))</f>
        <v>0</v>
      </c>
      <c r="IA43" s="1" t="n">
        <f aca="false">Slot1_IsWG*V43+Slot2_IsWG*AG43+Slot3_IsWG*AQ43+Slot4_IsWG*BA43+Slot5_IsWG*BK43+Slot6_IsWG*BU43+Slot7_IsWG*CE43+Slot8_IsWG*CO43+Slot9_IsWG*CY43+Slot10_IsWG*DI43+Slot11_IsWG*DS43+Slot12_IsWG*EC43+Slot13_IsWG*EM43+Slot14_IsWG*EW43+Slot15_IsWG*FG43+Slot16_IsWG*FQ43+Slot17_IsWG*GA43+Slot18_IsWG*GK43+Slot19_IsWG*GU43+Slot20_IsWG*HE43</f>
        <v>0</v>
      </c>
      <c r="IB43" s="1" t="n">
        <f aca="false">IF(AND(WI_Retire=0,WI_M&gt;0,F43=1,IA43&gt;=1),WI_M*12*E43,0)</f>
        <v>0</v>
      </c>
      <c r="IC43" s="1" t="n">
        <f aca="false">IF(HT43=1,MIN(HZ43,HR43),0)</f>
        <v>0</v>
      </c>
      <c r="ID43" s="1" t="n">
        <f aca="false">IF(HT43=1,MIN(IB43,HR43-IC43),0)</f>
        <v>0</v>
      </c>
      <c r="IE43" s="1" t="n">
        <f aca="false">IF(V43=1,IF(ABS((1+AS_Wage)/(1+Slot1_Rate)-1)&lt;0.000000000001,(Slot1_Age-D43)*(1+Slot1_Rate)^(Slot1_Age-D43),(1+Slot1_Rate)^(Slot1_Age-D43)*(1-((1+AS_Wage)/(1+Slot1_Rate))^(Slot1_Age-D43))/(1-(1+AS_Wage)/(1+Slot1_Rate))),1)</f>
        <v>1</v>
      </c>
      <c r="IF43" s="1" t="n">
        <f aca="false">IF(AND(HT43=1,ID43&gt;0,Slot1_IsWG=1,V43=1),MAX(0,(Slot1_Cost-W43*(1+Slot1_Rate)^(Slot1_Age-D43))/IE43),0)</f>
        <v>0</v>
      </c>
      <c r="IG43" s="1" t="n">
        <f aca="false">IF(AND(HT43=1,ID43&gt;0,Slot1_IsWG=1,V43=1),MIN(ID43,IF43),0)</f>
        <v>0</v>
      </c>
      <c r="IH43" s="1" t="n">
        <f aca="false">W43+IG43</f>
        <v>0</v>
      </c>
      <c r="II43" s="1" t="n">
        <f aca="false">IF(V43=1,MAX(0,(Slot1_Cost-IH43*(1+Slot1_Rate)^(Slot1_Age-D43))/IE43),0)</f>
        <v>0</v>
      </c>
      <c r="IJ43" s="1" t="n">
        <f aca="false">IF(V43=1,MAX(0,(Slot1_Cost-W43*(1+Slot1_Rate)^(Slot1_Age-D43))/IE43),0)</f>
        <v>0</v>
      </c>
      <c r="IK43" s="1" t="n">
        <f aca="false">IF(AND(HT43=1,V43=1),MIN(IC43,II43),0)</f>
        <v>0</v>
      </c>
      <c r="IL43" s="1" t="n">
        <f aca="false">IC43-IK43</f>
        <v>0</v>
      </c>
      <c r="IM43" s="1" t="n">
        <f aca="false">IF(AG43=1,IF(ABS((1+AS_Wage)/(1+Slot2_Rate)-1)&lt;0.000000000001,(Slot2_Age-D43)*(1+Slot2_Rate)^(Slot2_Age-D43),(1+Slot2_Rate)^(Slot2_Age-D43)*(1-((1+AS_Wage)/(1+Slot2_Rate))^(Slot2_Age-D43))/(1-(1+AS_Wage)/(1+Slot2_Rate))),1)</f>
        <v>1</v>
      </c>
      <c r="IN43" s="1" t="n">
        <f aca="false">IF(AND(HT43=1,ID43&gt;0,Slot2_IsWG=1,AG43=1),MAX(0,(Slot2_Cost-AH43*(1+Slot2_Rate)^(Slot2_Age-D43))/IM43),0)</f>
        <v>0</v>
      </c>
      <c r="IO43" s="1" t="n">
        <f aca="false">IF(AND(HT43=1,ID43&gt;0,Slot2_IsWG=1,AG43=1),MIN(ID43,IN43),0)</f>
        <v>0</v>
      </c>
      <c r="IP43" s="1" t="n">
        <f aca="false">AH43+IO43</f>
        <v>0</v>
      </c>
      <c r="IQ43" s="1" t="n">
        <f aca="false">IF(AG43=1,MAX(0,(Slot2_Cost-IP43*(1+Slot2_Rate)^(Slot2_Age-D43))/IM43),0)</f>
        <v>0</v>
      </c>
      <c r="IR43" s="1" t="n">
        <f aca="false">IF(AG43=1,MAX(0,(Slot2_Cost-AH43*(1+Slot2_Rate)^(Slot2_Age-D43))/IM43),0)</f>
        <v>0</v>
      </c>
      <c r="IS43" s="1" t="n">
        <f aca="false">IF(AND(HT43=1,AG43=1),MIN(IL43,IQ43),0)</f>
        <v>0</v>
      </c>
      <c r="IT43" s="1" t="n">
        <f aca="false">IL43-IS43</f>
        <v>0</v>
      </c>
      <c r="IU43" s="1" t="n">
        <f aca="false">IF(AQ43=1,IF(ABS((1+AS_Wage)/(1+Slot3_Rate)-1)&lt;0.000000000001,(Slot3_Age-D43)*(1+Slot3_Rate)^(Slot3_Age-D43),(1+Slot3_Rate)^(Slot3_Age-D43)*(1-((1+AS_Wage)/(1+Slot3_Rate))^(Slot3_Age-D43))/(1-(1+AS_Wage)/(1+Slot3_Rate))),1)</f>
        <v>1</v>
      </c>
      <c r="IV43" s="1" t="n">
        <f aca="false">IF(AND(HT43=1,ID43&gt;0,Slot3_IsWG=1,AQ43=1),MAX(0,(Slot3_Cost-AR43*(1+Slot3_Rate)^(Slot3_Age-D43))/IU43),0)</f>
        <v>0</v>
      </c>
      <c r="IW43" s="1" t="n">
        <f aca="false">IF(AND(HT43=1,ID43&gt;0,Slot3_IsWG=1,AQ43=1),MIN(ID43,IV43),0)</f>
        <v>0</v>
      </c>
      <c r="IX43" s="1" t="n">
        <f aca="false">AR43+IW43</f>
        <v>0</v>
      </c>
      <c r="IY43" s="1" t="n">
        <f aca="false">IF(AQ43=1,MAX(0,(Slot3_Cost-IX43*(1+Slot3_Rate)^(Slot3_Age-D43))/IU43),0)</f>
        <v>0</v>
      </c>
      <c r="IZ43" s="1" t="n">
        <f aca="false">IF(AQ43=1,MAX(0,(Slot3_Cost-AR43*(1+Slot3_Rate)^(Slot3_Age-D43))/IU43),0)</f>
        <v>0</v>
      </c>
      <c r="JA43" s="1" t="n">
        <f aca="false">IF(AND(HT43=1,AQ43=1),MIN(IT43,IY43),0)</f>
        <v>0</v>
      </c>
      <c r="JB43" s="1" t="n">
        <f aca="false">IT43-JA43</f>
        <v>0</v>
      </c>
      <c r="JC43" s="1" t="n">
        <f aca="false">IF(BA43=1,IF(ABS((1+AS_Wage)/(1+Slot4_Rate)-1)&lt;0.000000000001,(Slot4_Age-D43)*(1+Slot4_Rate)^(Slot4_Age-D43),(1+Slot4_Rate)^(Slot4_Age-D43)*(1-((1+AS_Wage)/(1+Slot4_Rate))^(Slot4_Age-D43))/(1-(1+AS_Wage)/(1+Slot4_Rate))),1)</f>
        <v>1</v>
      </c>
      <c r="JD43" s="1" t="n">
        <f aca="false">IF(AND(HT43=1,ID43&gt;0,Slot4_IsWG=1,BA43=1),MAX(0,(Slot4_Cost-BB43*(1+Slot4_Rate)^(Slot4_Age-D43))/JC43),0)</f>
        <v>0</v>
      </c>
      <c r="JE43" s="1" t="n">
        <f aca="false">IF(AND(HT43=1,ID43&gt;0,Slot4_IsWG=1,BA43=1),MIN(ID43,JD43),0)</f>
        <v>0</v>
      </c>
      <c r="JF43" s="1" t="n">
        <f aca="false">BB43+JE43</f>
        <v>0</v>
      </c>
      <c r="JG43" s="1" t="n">
        <f aca="false">IF(BA43=1,MAX(0,(Slot4_Cost-JF43*(1+Slot4_Rate)^(Slot4_Age-D43))/JC43),0)</f>
        <v>0</v>
      </c>
      <c r="JH43" s="1" t="n">
        <f aca="false">IF(BA43=1,MAX(0,(Slot4_Cost-BB43*(1+Slot4_Rate)^(Slot4_Age-D43))/JC43),0)</f>
        <v>0</v>
      </c>
      <c r="JI43" s="1" t="n">
        <f aca="false">IF(AND(HT43=1,BA43=1),MIN(JB43,JG43),0)</f>
        <v>0</v>
      </c>
      <c r="JJ43" s="1" t="n">
        <f aca="false">JB43-JI43</f>
        <v>0</v>
      </c>
      <c r="JK43" s="1" t="n">
        <f aca="false">IF(BK43=1,IF(ABS((1+AS_Wage)/(1+Slot5_Rate)-1)&lt;0.000000000001,(Slot5_Age-D43)*(1+Slot5_Rate)^(Slot5_Age-D43),(1+Slot5_Rate)^(Slot5_Age-D43)*(1-((1+AS_Wage)/(1+Slot5_Rate))^(Slot5_Age-D43))/(1-(1+AS_Wage)/(1+Slot5_Rate))),1)</f>
        <v>1</v>
      </c>
      <c r="JL43" s="1" t="n">
        <f aca="false">IF(AND(HT43=1,ID43&gt;0,Slot5_IsWG=1,BK43=1),MAX(0,(Slot5_Cost-BL43*(1+Slot5_Rate)^(Slot5_Age-D43))/JK43),0)</f>
        <v>0</v>
      </c>
      <c r="JM43" s="1" t="n">
        <f aca="false">IF(AND(HT43=1,ID43&gt;0,Slot5_IsWG=1,BK43=1),MIN(ID43,JL43),0)</f>
        <v>0</v>
      </c>
      <c r="JN43" s="1" t="n">
        <f aca="false">BL43+JM43</f>
        <v>0</v>
      </c>
      <c r="JO43" s="1" t="n">
        <f aca="false">IF(BK43=1,MAX(0,(Slot5_Cost-JN43*(1+Slot5_Rate)^(Slot5_Age-D43))/JK43),0)</f>
        <v>0</v>
      </c>
      <c r="JP43" s="1" t="n">
        <f aca="false">IF(BK43=1,MAX(0,(Slot5_Cost-BL43*(1+Slot5_Rate)^(Slot5_Age-D43))/JK43),0)</f>
        <v>0</v>
      </c>
      <c r="JQ43" s="1" t="n">
        <f aca="false">IF(AND(HT43=1,BK43=1),MIN(JJ43,JO43),0)</f>
        <v>0</v>
      </c>
      <c r="JR43" s="1" t="n">
        <f aca="false">JJ43-JQ43</f>
        <v>0</v>
      </c>
      <c r="JS43" s="1" t="n">
        <f aca="false">IF(BU43=1,IF(ABS((1+AS_Wage)/(1+Slot6_Rate)-1)&lt;0.000000000001,(Slot6_Age-D43)*(1+Slot6_Rate)^(Slot6_Age-D43),(1+Slot6_Rate)^(Slot6_Age-D43)*(1-((1+AS_Wage)/(1+Slot6_Rate))^(Slot6_Age-D43))/(1-(1+AS_Wage)/(1+Slot6_Rate))),1)</f>
        <v>1</v>
      </c>
      <c r="JT43" s="1" t="n">
        <f aca="false">IF(AND(HT43=1,ID43&gt;0,Slot6_IsWG=1,BU43=1),MAX(0,(Slot6_Cost-BV43*(1+Slot6_Rate)^(Slot6_Age-D43))/JS43),0)</f>
        <v>0</v>
      </c>
      <c r="JU43" s="1" t="n">
        <f aca="false">IF(AND(HT43=1,ID43&gt;0,Slot6_IsWG=1,BU43=1),MIN(ID43,JT43),0)</f>
        <v>0</v>
      </c>
      <c r="JV43" s="1" t="n">
        <f aca="false">BV43+JU43</f>
        <v>0</v>
      </c>
      <c r="JW43" s="1" t="n">
        <f aca="false">IF(BU43=1,MAX(0,(Slot6_Cost-JV43*(1+Slot6_Rate)^(Slot6_Age-D43))/JS43),0)</f>
        <v>0</v>
      </c>
      <c r="JX43" s="1" t="n">
        <f aca="false">IF(BU43=1,MAX(0,(Slot6_Cost-BV43*(1+Slot6_Rate)^(Slot6_Age-D43))/JS43),0)</f>
        <v>0</v>
      </c>
      <c r="JY43" s="1" t="n">
        <f aca="false">IF(AND(HT43=1,BU43=1),MIN(JR43,JW43),0)</f>
        <v>0</v>
      </c>
      <c r="JZ43" s="1" t="n">
        <f aca="false">JR43-JY43</f>
        <v>0</v>
      </c>
      <c r="KA43" s="1" t="n">
        <f aca="false">IF(CE43=1,IF(ABS((1+AS_Wage)/(1+Slot7_Rate)-1)&lt;0.000000000001,(Slot7_Age-D43)*(1+Slot7_Rate)^(Slot7_Age-D43),(1+Slot7_Rate)^(Slot7_Age-D43)*(1-((1+AS_Wage)/(1+Slot7_Rate))^(Slot7_Age-D43))/(1-(1+AS_Wage)/(1+Slot7_Rate))),1)</f>
        <v>1</v>
      </c>
      <c r="KB43" s="1" t="n">
        <f aca="false">IF(AND(HT43=1,ID43&gt;0,Slot7_IsWG=1,CE43=1),MAX(0,(Slot7_Cost-CF43*(1+Slot7_Rate)^(Slot7_Age-D43))/KA43),0)</f>
        <v>0</v>
      </c>
      <c r="KC43" s="1" t="n">
        <f aca="false">IF(AND(HT43=1,ID43&gt;0,Slot7_IsWG=1,CE43=1),MIN(ID43,KB43),0)</f>
        <v>0</v>
      </c>
      <c r="KD43" s="1" t="n">
        <f aca="false">CF43+KC43</f>
        <v>0</v>
      </c>
      <c r="KE43" s="1" t="n">
        <f aca="false">IF(CE43=1,MAX(0,(Slot7_Cost-KD43*(1+Slot7_Rate)^(Slot7_Age-D43))/KA43),0)</f>
        <v>0</v>
      </c>
      <c r="KF43" s="1" t="n">
        <f aca="false">IF(CE43=1,MAX(0,(Slot7_Cost-CF43*(1+Slot7_Rate)^(Slot7_Age-D43))/KA43),0)</f>
        <v>0</v>
      </c>
      <c r="KG43" s="1" t="n">
        <f aca="false">IF(AND(HT43=1,CE43=1),MIN(JZ43,KE43),0)</f>
        <v>0</v>
      </c>
      <c r="KH43" s="1" t="n">
        <f aca="false">JZ43-KG43</f>
        <v>0</v>
      </c>
      <c r="KI43" s="1" t="n">
        <f aca="false">IF(CO43=1,IF(ABS((1+AS_Wage)/(1+Slot8_Rate)-1)&lt;0.000000000001,(Slot8_Age-D43)*(1+Slot8_Rate)^(Slot8_Age-D43),(1+Slot8_Rate)^(Slot8_Age-D43)*(1-((1+AS_Wage)/(1+Slot8_Rate))^(Slot8_Age-D43))/(1-(1+AS_Wage)/(1+Slot8_Rate))),1)</f>
        <v>1</v>
      </c>
      <c r="KJ43" s="1" t="n">
        <f aca="false">IF(AND(HT43=1,ID43&gt;0,Slot8_IsWG=1,CO43=1),MAX(0,(Slot8_Cost-CP43*(1+Slot8_Rate)^(Slot8_Age-D43))/KI43),0)</f>
        <v>0</v>
      </c>
      <c r="KK43" s="1" t="n">
        <f aca="false">IF(AND(HT43=1,ID43&gt;0,Slot8_IsWG=1,CO43=1),MIN(ID43,KJ43),0)</f>
        <v>0</v>
      </c>
      <c r="KL43" s="1" t="n">
        <f aca="false">CP43+KK43</f>
        <v>0</v>
      </c>
      <c r="KM43" s="1" t="n">
        <f aca="false">IF(CO43=1,MAX(0,(Slot8_Cost-KL43*(1+Slot8_Rate)^(Slot8_Age-D43))/KI43),0)</f>
        <v>0</v>
      </c>
      <c r="KN43" s="1" t="n">
        <f aca="false">IF(CO43=1,MAX(0,(Slot8_Cost-CP43*(1+Slot8_Rate)^(Slot8_Age-D43))/KI43),0)</f>
        <v>0</v>
      </c>
      <c r="KO43" s="1" t="n">
        <f aca="false">IF(AND(HT43=1,CO43=1),MIN(KH43,KM43),0)</f>
        <v>0</v>
      </c>
      <c r="KP43" s="1" t="n">
        <f aca="false">KH43-KO43</f>
        <v>0</v>
      </c>
      <c r="KQ43" s="1" t="n">
        <f aca="false">IF(CY43=1,IF(ABS((1+AS_Wage)/(1+Slot9_Rate)-1)&lt;0.000000000001,(Slot9_Age-D43)*(1+Slot9_Rate)^(Slot9_Age-D43),(1+Slot9_Rate)^(Slot9_Age-D43)*(1-((1+AS_Wage)/(1+Slot9_Rate))^(Slot9_Age-D43))/(1-(1+AS_Wage)/(1+Slot9_Rate))),1)</f>
        <v>1</v>
      </c>
      <c r="KR43" s="1" t="n">
        <f aca="false">IF(AND(HT43=1,ID43&gt;0,Slot9_IsWG=1,CY43=1),MAX(0,(Slot9_Cost-CZ43*(1+Slot9_Rate)^(Slot9_Age-D43))/KQ43),0)</f>
        <v>0</v>
      </c>
      <c r="KS43" s="1" t="n">
        <f aca="false">IF(AND(HT43=1,ID43&gt;0,Slot9_IsWG=1,CY43=1),MIN(ID43,KR43),0)</f>
        <v>0</v>
      </c>
      <c r="KT43" s="1" t="n">
        <f aca="false">CZ43+KS43</f>
        <v>0</v>
      </c>
      <c r="KU43" s="1" t="n">
        <f aca="false">IF(CY43=1,MAX(0,(Slot9_Cost-KT43*(1+Slot9_Rate)^(Slot9_Age-D43))/KQ43),0)</f>
        <v>0</v>
      </c>
      <c r="KV43" s="1" t="n">
        <f aca="false">IF(CY43=1,MAX(0,(Slot9_Cost-CZ43*(1+Slot9_Rate)^(Slot9_Age-D43))/KQ43),0)</f>
        <v>0</v>
      </c>
      <c r="KW43" s="1" t="n">
        <f aca="false">IF(AND(HT43=1,CY43=1),MIN(KP43,KU43),0)</f>
        <v>0</v>
      </c>
      <c r="KX43" s="1" t="n">
        <f aca="false">KP43-KW43</f>
        <v>0</v>
      </c>
      <c r="KY43" s="1" t="n">
        <f aca="false">IF(DI43=1,IF(ABS((1+AS_Wage)/(1+Slot10_Rate)-1)&lt;0.000000000001,(Slot10_Age-D43)*(1+Slot10_Rate)^(Slot10_Age-D43),(1+Slot10_Rate)^(Slot10_Age-D43)*(1-((1+AS_Wage)/(1+Slot10_Rate))^(Slot10_Age-D43))/(1-(1+AS_Wage)/(1+Slot10_Rate))),1)</f>
        <v>1</v>
      </c>
      <c r="KZ43" s="1" t="n">
        <f aca="false">IF(AND(HT43=1,ID43&gt;0,Slot10_IsWG=1,DI43=1),MAX(0,(Slot10_Cost-DJ43*(1+Slot10_Rate)^(Slot10_Age-D43))/KY43),0)</f>
        <v>0</v>
      </c>
      <c r="LA43" s="1" t="n">
        <f aca="false">IF(AND(HT43=1,ID43&gt;0,Slot10_IsWG=1,DI43=1),MIN(ID43,KZ43),0)</f>
        <v>0</v>
      </c>
      <c r="LB43" s="1" t="n">
        <f aca="false">DJ43+LA43</f>
        <v>0</v>
      </c>
      <c r="LC43" s="1" t="n">
        <f aca="false">IF(DI43=1,MAX(0,(Slot10_Cost-LB43*(1+Slot10_Rate)^(Slot10_Age-D43))/KY43),0)</f>
        <v>0</v>
      </c>
      <c r="LD43" s="1" t="n">
        <f aca="false">IF(DI43=1,MAX(0,(Slot10_Cost-DJ43*(1+Slot10_Rate)^(Slot10_Age-D43))/KY43),0)</f>
        <v>0</v>
      </c>
      <c r="LE43" s="1" t="n">
        <f aca="false">IF(AND(HT43=1,DI43=1),MIN(KX43,LC43),0)</f>
        <v>0</v>
      </c>
      <c r="LF43" s="1" t="n">
        <f aca="false">KX43-LE43</f>
        <v>0</v>
      </c>
      <c r="LG43" s="1" t="n">
        <f aca="false">IF(DS43=1,IF(ABS((1+AS_Wage)/(1+Slot11_Rate)-1)&lt;0.000000000001,(Slot11_Age-D43)*(1+Slot11_Rate)^(Slot11_Age-D43),(1+Slot11_Rate)^(Slot11_Age-D43)*(1-((1+AS_Wage)/(1+Slot11_Rate))^(Slot11_Age-D43))/(1-(1+AS_Wage)/(1+Slot11_Rate))),1)</f>
        <v>1</v>
      </c>
      <c r="LH43" s="1" t="n">
        <f aca="false">IF(AND(HT43=1,ID43&gt;0,Slot11_IsWG=1,DS43=1),MAX(0,(Slot11_Cost-DT43*(1+Slot11_Rate)^(Slot11_Age-D43))/LG43),0)</f>
        <v>0</v>
      </c>
      <c r="LI43" s="1" t="n">
        <f aca="false">IF(AND(HT43=1,ID43&gt;0,Slot11_IsWG=1,DS43=1),MIN(ID43,LH43),0)</f>
        <v>0</v>
      </c>
      <c r="LJ43" s="1" t="n">
        <f aca="false">DT43+LI43</f>
        <v>0</v>
      </c>
      <c r="LK43" s="1" t="n">
        <f aca="false">IF(DS43=1,MAX(0,(Slot11_Cost-LJ43*(1+Slot11_Rate)^(Slot11_Age-D43))/LG43),0)</f>
        <v>0</v>
      </c>
      <c r="LL43" s="1" t="n">
        <f aca="false">IF(DS43=1,MAX(0,(Slot11_Cost-DT43*(1+Slot11_Rate)^(Slot11_Age-D43))/LG43),0)</f>
        <v>0</v>
      </c>
      <c r="LM43" s="1" t="n">
        <f aca="false">IF(AND(HT43=1,DS43=1),MIN(LF43,LK43),0)</f>
        <v>0</v>
      </c>
      <c r="LN43" s="1" t="n">
        <f aca="false">LF43-LM43</f>
        <v>0</v>
      </c>
      <c r="LO43" s="1" t="n">
        <f aca="false">IF(EC43=1,IF(ABS((1+AS_Wage)/(1+Slot12_Rate)-1)&lt;0.000000000001,(Slot12_Age-D43)*(1+Slot12_Rate)^(Slot12_Age-D43),(1+Slot12_Rate)^(Slot12_Age-D43)*(1-((1+AS_Wage)/(1+Slot12_Rate))^(Slot12_Age-D43))/(1-(1+AS_Wage)/(1+Slot12_Rate))),1)</f>
        <v>1</v>
      </c>
      <c r="LP43" s="1" t="n">
        <f aca="false">IF(AND(HT43=1,ID43&gt;0,Slot12_IsWG=1,EC43=1),MAX(0,(Slot12_Cost-ED43*(1+Slot12_Rate)^(Slot12_Age-D43))/LO43),0)</f>
        <v>0</v>
      </c>
      <c r="LQ43" s="1" t="n">
        <f aca="false">IF(AND(HT43=1,ID43&gt;0,Slot12_IsWG=1,EC43=1),MIN(ID43,LP43),0)</f>
        <v>0</v>
      </c>
      <c r="LR43" s="1" t="n">
        <f aca="false">ED43+LQ43</f>
        <v>0</v>
      </c>
      <c r="LS43" s="1" t="n">
        <f aca="false">IF(EC43=1,MAX(0,(Slot12_Cost-LR43*(1+Slot12_Rate)^(Slot12_Age-D43))/LO43),0)</f>
        <v>0</v>
      </c>
      <c r="LT43" s="1" t="n">
        <f aca="false">IF(EC43=1,MAX(0,(Slot12_Cost-ED43*(1+Slot12_Rate)^(Slot12_Age-D43))/LO43),0)</f>
        <v>0</v>
      </c>
      <c r="LU43" s="1" t="n">
        <f aca="false">IF(AND(HT43=1,EC43=1),MIN(LN43,LS43),0)</f>
        <v>0</v>
      </c>
      <c r="LV43" s="1" t="n">
        <f aca="false">LN43-LU43</f>
        <v>0</v>
      </c>
      <c r="LW43" s="1" t="n">
        <f aca="false">IF(EM43=1,IF(ABS((1+AS_Wage)/(1+Slot13_Rate)-1)&lt;0.000000000001,(Slot13_Age-D43)*(1+Slot13_Rate)^(Slot13_Age-D43),(1+Slot13_Rate)^(Slot13_Age-D43)*(1-((1+AS_Wage)/(1+Slot13_Rate))^(Slot13_Age-D43))/(1-(1+AS_Wage)/(1+Slot13_Rate))),1)</f>
        <v>1</v>
      </c>
      <c r="LX43" s="1" t="n">
        <f aca="false">IF(AND(HT43=1,ID43&gt;0,Slot13_IsWG=1,EM43=1),MAX(0,(Slot13_Cost-EN43*(1+Slot13_Rate)^(Slot13_Age-D43))/LW43),0)</f>
        <v>0</v>
      </c>
      <c r="LY43" s="1" t="n">
        <f aca="false">IF(AND(HT43=1,ID43&gt;0,Slot13_IsWG=1,EM43=1),MIN(ID43,LX43),0)</f>
        <v>0</v>
      </c>
      <c r="LZ43" s="1" t="n">
        <f aca="false">EN43+LY43</f>
        <v>0</v>
      </c>
      <c r="MA43" s="1" t="n">
        <f aca="false">IF(EM43=1,MAX(0,(Slot13_Cost-LZ43*(1+Slot13_Rate)^(Slot13_Age-D43))/LW43),0)</f>
        <v>0</v>
      </c>
      <c r="MB43" s="1" t="n">
        <f aca="false">IF(EM43=1,MAX(0,(Slot13_Cost-EN43*(1+Slot13_Rate)^(Slot13_Age-D43))/LW43),0)</f>
        <v>0</v>
      </c>
      <c r="MC43" s="1" t="n">
        <f aca="false">IF(AND(HT43=1,EM43=1),MIN(LV43,MA43),0)</f>
        <v>0</v>
      </c>
      <c r="MD43" s="1" t="n">
        <f aca="false">LV43-MC43</f>
        <v>0</v>
      </c>
      <c r="ME43" s="1" t="n">
        <f aca="false">IF(EW43=1,IF(ABS((1+AS_Wage)/(1+Slot14_Rate)-1)&lt;0.000000000001,(Slot14_Age-D43)*(1+Slot14_Rate)^(Slot14_Age-D43),(1+Slot14_Rate)^(Slot14_Age-D43)*(1-((1+AS_Wage)/(1+Slot14_Rate))^(Slot14_Age-D43))/(1-(1+AS_Wage)/(1+Slot14_Rate))),1)</f>
        <v>1</v>
      </c>
      <c r="MF43" s="1" t="n">
        <f aca="false">IF(AND(HT43=1,ID43&gt;0,Slot14_IsWG=1,EW43=1),MAX(0,(Slot14_Cost-EX43*(1+Slot14_Rate)^(Slot14_Age-D43))/ME43),0)</f>
        <v>0</v>
      </c>
      <c r="MG43" s="1" t="n">
        <f aca="false">IF(AND(HT43=1,ID43&gt;0,Slot14_IsWG=1,EW43=1),MIN(ID43,MF43),0)</f>
        <v>0</v>
      </c>
      <c r="MH43" s="1" t="n">
        <f aca="false">EX43+MG43</f>
        <v>0</v>
      </c>
      <c r="MI43" s="1" t="n">
        <f aca="false">IF(EW43=1,MAX(0,(Slot14_Cost-MH43*(1+Slot14_Rate)^(Slot14_Age-D43))/ME43),0)</f>
        <v>0</v>
      </c>
      <c r="MJ43" s="1" t="n">
        <f aca="false">IF(EW43=1,MAX(0,(Slot14_Cost-EX43*(1+Slot14_Rate)^(Slot14_Age-D43))/ME43),0)</f>
        <v>0</v>
      </c>
      <c r="MK43" s="1" t="n">
        <f aca="false">IF(AND(HT43=1,EW43=1),MIN(MD43,MI43),0)</f>
        <v>0</v>
      </c>
      <c r="ML43" s="1" t="n">
        <f aca="false">MD43-MK43</f>
        <v>0</v>
      </c>
      <c r="MM43" s="1" t="n">
        <f aca="false">IF(FG43=1,IF(ABS((1+AS_Wage)/(1+Slot15_Rate)-1)&lt;0.000000000001,(Slot15_Age-D43)*(1+Slot15_Rate)^(Slot15_Age-D43),(1+Slot15_Rate)^(Slot15_Age-D43)*(1-((1+AS_Wage)/(1+Slot15_Rate))^(Slot15_Age-D43))/(1-(1+AS_Wage)/(1+Slot15_Rate))),1)</f>
        <v>1</v>
      </c>
      <c r="MN43" s="1" t="n">
        <f aca="false">IF(AND(HT43=1,ID43&gt;0,Slot15_IsWG=1,FG43=1),MAX(0,(Slot15_Cost-FH43*(1+Slot15_Rate)^(Slot15_Age-D43))/MM43),0)</f>
        <v>0</v>
      </c>
      <c r="MO43" s="1" t="n">
        <f aca="false">IF(AND(HT43=1,ID43&gt;0,Slot15_IsWG=1,FG43=1),MIN(ID43,MN43),0)</f>
        <v>0</v>
      </c>
      <c r="MP43" s="1" t="n">
        <f aca="false">FH43+MO43</f>
        <v>0</v>
      </c>
      <c r="MQ43" s="1" t="n">
        <f aca="false">IF(FG43=1,MAX(0,(Slot15_Cost-MP43*(1+Slot15_Rate)^(Slot15_Age-D43))/MM43),0)</f>
        <v>0</v>
      </c>
      <c r="MR43" s="1" t="n">
        <f aca="false">IF(FG43=1,MAX(0,(Slot15_Cost-FH43*(1+Slot15_Rate)^(Slot15_Age-D43))/MM43),0)</f>
        <v>0</v>
      </c>
      <c r="MS43" s="1" t="n">
        <f aca="false">IF(AND(HT43=1,FG43=1),MIN(ML43,MQ43),0)</f>
        <v>0</v>
      </c>
      <c r="MT43" s="1" t="n">
        <f aca="false">ML43-MS43</f>
        <v>0</v>
      </c>
      <c r="MU43" s="1" t="n">
        <f aca="false">IF(FQ43=1,IF(ABS((1+AS_Wage)/(1+Slot16_Rate)-1)&lt;0.000000000001,(Slot16_Age-D43)*(1+Slot16_Rate)^(Slot16_Age-D43),(1+Slot16_Rate)^(Slot16_Age-D43)*(1-((1+AS_Wage)/(1+Slot16_Rate))^(Slot16_Age-D43))/(1-(1+AS_Wage)/(1+Slot16_Rate))),1)</f>
        <v>1</v>
      </c>
      <c r="MV43" s="1" t="n">
        <f aca="false">IF(AND(HT43=1,ID43&gt;0,Slot16_IsWG=1,FQ43=1),MAX(0,(Slot16_Cost-FR43*(1+Slot16_Rate)^(Slot16_Age-D43))/MU43),0)</f>
        <v>0</v>
      </c>
      <c r="MW43" s="1" t="n">
        <f aca="false">IF(AND(HT43=1,ID43&gt;0,Slot16_IsWG=1,FQ43=1),MIN(ID43,MV43),0)</f>
        <v>0</v>
      </c>
      <c r="MX43" s="1" t="n">
        <f aca="false">FR43+MW43</f>
        <v>0</v>
      </c>
      <c r="MY43" s="1" t="n">
        <f aca="false">IF(FQ43=1,MAX(0,(Slot16_Cost-MX43*(1+Slot16_Rate)^(Slot16_Age-D43))/MU43),0)</f>
        <v>0</v>
      </c>
      <c r="MZ43" s="1" t="n">
        <f aca="false">IF(FQ43=1,MAX(0,(Slot16_Cost-FR43*(1+Slot16_Rate)^(Slot16_Age-D43))/MU43),0)</f>
        <v>0</v>
      </c>
      <c r="NA43" s="1" t="n">
        <f aca="false">IF(AND(HT43=1,FQ43=1),MIN(MT43,MY43),0)</f>
        <v>0</v>
      </c>
      <c r="NB43" s="1" t="n">
        <f aca="false">MT43-NA43</f>
        <v>0</v>
      </c>
      <c r="NC43" s="1" t="n">
        <f aca="false">IF(GA43=1,IF(ABS((1+AS_Wage)/(1+Slot17_Rate)-1)&lt;0.000000000001,(Slot17_Age-D43)*(1+Slot17_Rate)^(Slot17_Age-D43),(1+Slot17_Rate)^(Slot17_Age-D43)*(1-((1+AS_Wage)/(1+Slot17_Rate))^(Slot17_Age-D43))/(1-(1+AS_Wage)/(1+Slot17_Rate))),1)</f>
        <v>1</v>
      </c>
      <c r="ND43" s="1" t="n">
        <f aca="false">IF(AND(HT43=1,ID43&gt;0,Slot17_IsWG=1,GA43=1),MAX(0,(Slot17_Cost-GB43*(1+Slot17_Rate)^(Slot17_Age-D43))/NC43),0)</f>
        <v>0</v>
      </c>
      <c r="NE43" s="1" t="n">
        <f aca="false">IF(AND(HT43=1,ID43&gt;0,Slot17_IsWG=1,GA43=1),MIN(ID43,ND43),0)</f>
        <v>0</v>
      </c>
      <c r="NF43" s="1" t="n">
        <f aca="false">GB43+NE43</f>
        <v>0</v>
      </c>
      <c r="NG43" s="1" t="n">
        <f aca="false">IF(GA43=1,MAX(0,(Slot17_Cost-NF43*(1+Slot17_Rate)^(Slot17_Age-D43))/NC43),0)</f>
        <v>0</v>
      </c>
      <c r="NH43" s="1" t="n">
        <f aca="false">IF(GA43=1,MAX(0,(Slot17_Cost-GB43*(1+Slot17_Rate)^(Slot17_Age-D43))/NC43),0)</f>
        <v>0</v>
      </c>
      <c r="NI43" s="1" t="n">
        <f aca="false">IF(AND(HT43=1,GA43=1),MIN(NB43,NG43),0)</f>
        <v>0</v>
      </c>
      <c r="NJ43" s="1" t="n">
        <f aca="false">NB43-NI43</f>
        <v>0</v>
      </c>
      <c r="NK43" s="1" t="n">
        <f aca="false">IF(GK43=1,IF(ABS((1+AS_Wage)/(1+Slot18_Rate)-1)&lt;0.000000000001,(Slot18_Age-D43)*(1+Slot18_Rate)^(Slot18_Age-D43),(1+Slot18_Rate)^(Slot18_Age-D43)*(1-((1+AS_Wage)/(1+Slot18_Rate))^(Slot18_Age-D43))/(1-(1+AS_Wage)/(1+Slot18_Rate))),1)</f>
        <v>1</v>
      </c>
      <c r="NL43" s="1" t="n">
        <f aca="false">IF(AND(HT43=1,ID43&gt;0,Slot18_IsWG=1,GK43=1),MAX(0,(Slot18_Cost-GL43*(1+Slot18_Rate)^(Slot18_Age-D43))/NK43),0)</f>
        <v>0</v>
      </c>
      <c r="NM43" s="1" t="n">
        <f aca="false">IF(AND(HT43=1,ID43&gt;0,Slot18_IsWG=1,GK43=1),MIN(ID43,NL43),0)</f>
        <v>0</v>
      </c>
      <c r="NN43" s="1" t="n">
        <f aca="false">GL43+NM43</f>
        <v>0</v>
      </c>
      <c r="NO43" s="1" t="n">
        <f aca="false">IF(GK43=1,MAX(0,(Slot18_Cost-NN43*(1+Slot18_Rate)^(Slot18_Age-D43))/NK43),0)</f>
        <v>0</v>
      </c>
      <c r="NP43" s="1" t="n">
        <f aca="false">IF(GK43=1,MAX(0,(Slot18_Cost-GL43*(1+Slot18_Rate)^(Slot18_Age-D43))/NK43),0)</f>
        <v>0</v>
      </c>
      <c r="NQ43" s="1" t="n">
        <f aca="false">IF(AND(HT43=1,GK43=1),MIN(NJ43,NO43),0)</f>
        <v>0</v>
      </c>
      <c r="NR43" s="1" t="n">
        <f aca="false">NJ43-NQ43</f>
        <v>0</v>
      </c>
      <c r="NS43" s="1" t="n">
        <f aca="false">IF(GU43=1,IF(ABS((1+AS_Wage)/(1+Slot19_Rate)-1)&lt;0.000000000001,(Slot19_Age-D43)*(1+Slot19_Rate)^(Slot19_Age-D43),(1+Slot19_Rate)^(Slot19_Age-D43)*(1-((1+AS_Wage)/(1+Slot19_Rate))^(Slot19_Age-D43))/(1-(1+AS_Wage)/(1+Slot19_Rate))),1)</f>
        <v>1</v>
      </c>
      <c r="NT43" s="1" t="n">
        <f aca="false">IF(AND(HT43=1,ID43&gt;0,Slot19_IsWG=1,GU43=1),MAX(0,(Slot19_Cost-GV43*(1+Slot19_Rate)^(Slot19_Age-D43))/NS43),0)</f>
        <v>0</v>
      </c>
      <c r="NU43" s="1" t="n">
        <f aca="false">IF(AND(HT43=1,ID43&gt;0,Slot19_IsWG=1,GU43=1),MIN(ID43,NT43),0)</f>
        <v>0</v>
      </c>
      <c r="NV43" s="1" t="n">
        <f aca="false">GV43+NU43</f>
        <v>0</v>
      </c>
      <c r="NW43" s="1" t="n">
        <f aca="false">IF(GU43=1,MAX(0,(Slot19_Cost-NV43*(1+Slot19_Rate)^(Slot19_Age-D43))/NS43),0)</f>
        <v>0</v>
      </c>
      <c r="NX43" s="1" t="n">
        <f aca="false">IF(GU43=1,MAX(0,(Slot19_Cost-GV43*(1+Slot19_Rate)^(Slot19_Age-D43))/NS43),0)</f>
        <v>0</v>
      </c>
      <c r="NY43" s="1" t="n">
        <f aca="false">IF(AND(HT43=1,GU43=1),MIN(NR43,NW43),0)</f>
        <v>0</v>
      </c>
      <c r="NZ43" s="1" t="n">
        <f aca="false">NR43-NY43</f>
        <v>0</v>
      </c>
      <c r="OA43" s="1" t="n">
        <f aca="false">IF(HE43=1,IF(ABS((1+AS_Wage)/(1+Slot20_Rate)-1)&lt;0.000000000001,(Slot20_Age-D43)*(1+Slot20_Rate)^(Slot20_Age-D43),(1+Slot20_Rate)^(Slot20_Age-D43)*(1-((1+AS_Wage)/(1+Slot20_Rate))^(Slot20_Age-D43))/(1-(1+AS_Wage)/(1+Slot20_Rate))),1)</f>
        <v>1</v>
      </c>
      <c r="OB43" s="1" t="n">
        <f aca="false">IF(AND(HT43=1,ID43&gt;0,Slot20_IsWG=1,HE43=1),MAX(0,(Slot20_Cost-HF43*(1+Slot20_Rate)^(Slot20_Age-D43))/OA43),0)</f>
        <v>0</v>
      </c>
      <c r="OC43" s="1" t="n">
        <f aca="false">IF(AND(HT43=1,ID43&gt;0,Slot20_IsWG=1,HE43=1),MIN(ID43,OB43),0)</f>
        <v>0</v>
      </c>
      <c r="OD43" s="1" t="n">
        <f aca="false">HF43+OC43</f>
        <v>0</v>
      </c>
      <c r="OE43" s="1" t="n">
        <f aca="false">IF(HE43=1,MAX(0,(Slot20_Cost-OD43*(1+Slot20_Rate)^(Slot20_Age-D43))/OA43),0)</f>
        <v>0</v>
      </c>
      <c r="OF43" s="1" t="n">
        <f aca="false">IF(HE43=1,MAX(0,(Slot20_Cost-HF43*(1+Slot20_Rate)^(Slot20_Age-D43))/OA43),0)</f>
        <v>0</v>
      </c>
      <c r="OG43" s="1" t="n">
        <f aca="false">IF(AND(HT43=1,HE43=1),MIN(NZ43,OE43),0)</f>
        <v>0</v>
      </c>
      <c r="OH43" s="1" t="n">
        <f aca="false">NZ43-OG43</f>
        <v>0</v>
      </c>
      <c r="OI43" s="1" t="n">
        <f aca="false">ID43-(IG43+IO43+IW43+JE43+JM43+JU43+KC43+KK43+KS43+LA43+LI43+LQ43+LY43+MG43+MO43+MW43+NE43+NM43+NU43+OC43)</f>
        <v>0</v>
      </c>
      <c r="OJ43" s="1" t="n">
        <f aca="false">IF(HT43=1,HR43-IC43-ID43,0)</f>
        <v>0</v>
      </c>
      <c r="OK43" s="1" t="n">
        <f aca="false">IF(HT43=0,-HR43,0)</f>
        <v>0</v>
      </c>
      <c r="OL43" s="1" t="n">
        <f aca="false">MIN(OK43,HJ43)</f>
        <v>0</v>
      </c>
      <c r="OM43" s="1" t="n">
        <f aca="false">OK43-OL43</f>
        <v>0</v>
      </c>
      <c r="ON43" s="1" t="n">
        <f aca="false">MIN(OM43,HK43)</f>
        <v>0</v>
      </c>
      <c r="OO43" s="1" t="n">
        <f aca="false">OM43-ON43</f>
        <v>0</v>
      </c>
      <c r="OP43" s="1" t="n">
        <f aca="false">IF(AND(HT43=0,HE43=1,OO43&gt;0),MIN(OO43,HF43),0)</f>
        <v>0</v>
      </c>
      <c r="OQ43" s="1" t="n">
        <f aca="false">OO43-OP43</f>
        <v>0</v>
      </c>
      <c r="OR43" s="1" t="n">
        <f aca="false">IF(AND(HT43=0,GU43=1,OQ43&gt;0),MIN(OQ43,GV43),0)</f>
        <v>0</v>
      </c>
      <c r="OS43" s="1" t="n">
        <f aca="false">OQ43-OR43</f>
        <v>0</v>
      </c>
      <c r="OT43" s="1" t="n">
        <f aca="false">IF(AND(HT43=0,GK43=1,OS43&gt;0),MIN(OS43,GL43),0)</f>
        <v>0</v>
      </c>
      <c r="OU43" s="1" t="n">
        <f aca="false">OS43-OT43</f>
        <v>0</v>
      </c>
      <c r="OV43" s="1" t="n">
        <f aca="false">IF(AND(HT43=0,GA43=1,OU43&gt;0),MIN(OU43,GB43),0)</f>
        <v>0</v>
      </c>
      <c r="OW43" s="1" t="n">
        <f aca="false">OU43-OV43</f>
        <v>0</v>
      </c>
      <c r="OX43" s="1" t="n">
        <f aca="false">IF(AND(HT43=0,FQ43=1,OW43&gt;0),MIN(OW43,FR43),0)</f>
        <v>0</v>
      </c>
      <c r="OY43" s="1" t="n">
        <f aca="false">OW43-OX43</f>
        <v>0</v>
      </c>
      <c r="OZ43" s="1" t="n">
        <f aca="false">IF(AND(HT43=0,FG43=1,OY43&gt;0),MIN(OY43,FH43),0)</f>
        <v>0</v>
      </c>
      <c r="PA43" s="1" t="n">
        <f aca="false">OY43-OZ43</f>
        <v>0</v>
      </c>
      <c r="PB43" s="1" t="n">
        <f aca="false">IF(AND(HT43=0,EW43=1,PA43&gt;0),MIN(PA43,EX43),0)</f>
        <v>0</v>
      </c>
      <c r="PC43" s="1" t="n">
        <f aca="false">PA43-PB43</f>
        <v>0</v>
      </c>
      <c r="PD43" s="1" t="n">
        <f aca="false">IF(AND(HT43=0,EM43=1,PC43&gt;0),MIN(PC43,EN43),0)</f>
        <v>0</v>
      </c>
      <c r="PE43" s="1" t="n">
        <f aca="false">PC43-PD43</f>
        <v>0</v>
      </c>
      <c r="PF43" s="1" t="n">
        <f aca="false">IF(AND(HT43=0,EC43=1,PE43&gt;0),MIN(PE43,ED43),0)</f>
        <v>0</v>
      </c>
      <c r="PG43" s="1" t="n">
        <f aca="false">PE43-PF43</f>
        <v>0</v>
      </c>
      <c r="PH43" s="1" t="n">
        <f aca="false">IF(AND(HT43=0,DS43=1,PG43&gt;0),MIN(PG43,DT43),0)</f>
        <v>0</v>
      </c>
      <c r="PI43" s="1" t="n">
        <f aca="false">PG43-PH43</f>
        <v>0</v>
      </c>
      <c r="PJ43" s="1" t="n">
        <f aca="false">IF(AND(HT43=0,DI43=1,PI43&gt;0),MIN(PI43,DJ43),0)</f>
        <v>0</v>
      </c>
      <c r="PK43" s="1" t="n">
        <f aca="false">PI43-PJ43</f>
        <v>0</v>
      </c>
      <c r="PL43" s="1" t="n">
        <f aca="false">IF(AND(HT43=0,CY43=1,PK43&gt;0),MIN(PK43,CZ43),0)</f>
        <v>0</v>
      </c>
      <c r="PM43" s="1" t="n">
        <f aca="false">PK43-PL43</f>
        <v>0</v>
      </c>
      <c r="PN43" s="1" t="n">
        <f aca="false">IF(AND(HT43=0,CO43=1,PM43&gt;0),MIN(PM43,CP43),0)</f>
        <v>0</v>
      </c>
      <c r="PO43" s="1" t="n">
        <f aca="false">PM43-PN43</f>
        <v>0</v>
      </c>
      <c r="PP43" s="1" t="n">
        <f aca="false">IF(AND(HT43=0,CE43=1,PO43&gt;0),MIN(PO43,CF43),0)</f>
        <v>0</v>
      </c>
      <c r="PQ43" s="1" t="n">
        <f aca="false">PO43-PP43</f>
        <v>0</v>
      </c>
      <c r="PR43" s="1" t="n">
        <f aca="false">IF(AND(HT43=0,BU43=1,PQ43&gt;0),MIN(PQ43,BV43),0)</f>
        <v>0</v>
      </c>
      <c r="PS43" s="1" t="n">
        <f aca="false">PQ43-PR43</f>
        <v>0</v>
      </c>
      <c r="PT43" s="1" t="n">
        <f aca="false">IF(AND(HT43=0,BK43=1,PS43&gt;0),MIN(PS43,BL43),0)</f>
        <v>0</v>
      </c>
      <c r="PU43" s="1" t="n">
        <f aca="false">PS43-PT43</f>
        <v>0</v>
      </c>
      <c r="PV43" s="1" t="n">
        <f aca="false">IF(AND(HT43=0,BA43=1,PU43&gt;0),MIN(PU43,BB43),0)</f>
        <v>0</v>
      </c>
      <c r="PW43" s="1" t="n">
        <f aca="false">PU43-PV43</f>
        <v>0</v>
      </c>
      <c r="PX43" s="1" t="n">
        <f aca="false">IF(AND(HT43=0,AQ43=1,PW43&gt;0),MIN(PW43,AR43),0)</f>
        <v>0</v>
      </c>
      <c r="PY43" s="1" t="n">
        <f aca="false">PW43-PX43</f>
        <v>0</v>
      </c>
      <c r="PZ43" s="1" t="n">
        <f aca="false">IF(AND(HT43=0,AG43=1,PY43&gt;0),MIN(PY43,AH43),0)</f>
        <v>0</v>
      </c>
      <c r="QA43" s="1" t="n">
        <f aca="false">PY43-PZ43</f>
        <v>0</v>
      </c>
      <c r="QB43" s="1" t="n">
        <f aca="false">IF(AND(HT43=0,V43=1,QA43&gt;0),MIN(QA43,W43),0)</f>
        <v>0</v>
      </c>
      <c r="QC43" s="1" t="n">
        <f aca="false">QA43-QB43</f>
        <v>0</v>
      </c>
      <c r="QD43" s="1" t="n">
        <f aca="false">IF(HT43=0,QC43,0)</f>
        <v>0</v>
      </c>
      <c r="QE43" s="1" t="n">
        <f aca="false">OL43+ON43+QB43+PZ43+PX43+PV43+PT43+PR43+PP43+PN43+PL43+PJ43+PH43+PF43+PD43+PB43+OZ43+OX43+OV43+OT43+OR43+OP43</f>
        <v>0</v>
      </c>
      <c r="QF43" s="1" t="n">
        <f aca="false">IF(HT43=1,HJ43+OI43+OH43+IF(F43=1,0,OJ43),HJ43-OL43)</f>
        <v>0</v>
      </c>
      <c r="QG43" s="1" t="n">
        <f aca="false">HK43-ON43</f>
        <v>0</v>
      </c>
      <c r="QH43" s="1" t="n">
        <f aca="false">IF(HT43=1,IF(F43=1,IC43+ID43,HR43),0)</f>
        <v>0</v>
      </c>
      <c r="QI43" s="1" t="n">
        <f aca="false">IF(HT43=1,IF(F43=1,HR43-IC43-ID43,0),0)</f>
        <v>0</v>
      </c>
      <c r="QJ43" s="1" t="n">
        <f aca="false">QF43*(1+GR)</f>
        <v>0</v>
      </c>
      <c r="QK43" s="1" t="n">
        <f aca="false">QG43*(1+AS_Cash)</f>
        <v>0</v>
      </c>
      <c r="QL43" s="1" t="n">
        <f aca="false">IF(V43=1,IF(HT43=1,IH43+IK43,W43-QB43)*(1+Slot1_Rate),0)</f>
        <v>0</v>
      </c>
      <c r="QM43" s="1" t="n">
        <f aca="false">IF(AND(HT43=1,V43=1),(IG43+IK43)/E43,0)</f>
        <v>0</v>
      </c>
      <c r="QN43" s="1" t="n">
        <f aca="false">IF(B43=0,IG43+IK43,0)</f>
        <v>0</v>
      </c>
      <c r="QO43" s="1" t="n">
        <f aca="false">IF(B43=0,IF(HT43=1,II43,IJ43),0)</f>
        <v>0</v>
      </c>
      <c r="QP43" s="1" t="n">
        <f aca="false">IF(AG43=1,IF(HT43=1,IP43+IS43,AH43-PZ43)*(1+Slot2_Rate),0)</f>
        <v>0</v>
      </c>
      <c r="QQ43" s="1" t="n">
        <f aca="false">IF(AND(HT43=1,AG43=1),(IO43+IS43)/E43,0)</f>
        <v>0</v>
      </c>
      <c r="QR43" s="1" t="n">
        <f aca="false">IF(B43=0,IO43+IS43,0)</f>
        <v>0</v>
      </c>
      <c r="QS43" s="1" t="n">
        <f aca="false">IF(B43=0,IF(HT43=1,IQ43,IR43),0)</f>
        <v>0</v>
      </c>
      <c r="QT43" s="1" t="n">
        <f aca="false">IF(AQ43=1,IF(HT43=1,IX43+JA43,AR43-PX43)*(1+Slot3_Rate),0)</f>
        <v>0</v>
      </c>
      <c r="QU43" s="1" t="n">
        <f aca="false">IF(AND(HT43=1,AQ43=1),(IW43+JA43)/E43,0)</f>
        <v>0</v>
      </c>
      <c r="QV43" s="1" t="n">
        <f aca="false">IF(B43=0,IW43+JA43,0)</f>
        <v>0</v>
      </c>
      <c r="QW43" s="1" t="n">
        <f aca="false">IF(B43=0,IF(HT43=1,IY43,IZ43),0)</f>
        <v>0</v>
      </c>
      <c r="QX43" s="1" t="n">
        <f aca="false">IF(BA43=1,IF(HT43=1,JF43+JI43,BB43-PV43)*(1+Slot4_Rate),0)</f>
        <v>0</v>
      </c>
      <c r="QY43" s="1" t="n">
        <f aca="false">IF(AND(HT43=1,BA43=1),(JE43+JI43)/E43,0)</f>
        <v>0</v>
      </c>
      <c r="QZ43" s="1" t="n">
        <f aca="false">IF(B43=0,JE43+JI43,0)</f>
        <v>0</v>
      </c>
      <c r="RA43" s="1" t="n">
        <f aca="false">IF(B43=0,IF(HT43=1,JG43,JH43),0)</f>
        <v>0</v>
      </c>
      <c r="RB43" s="1" t="n">
        <f aca="false">IF(BK43=1,IF(HT43=1,JN43+JQ43,BL43-PT43)*(1+Slot5_Rate),0)</f>
        <v>0</v>
      </c>
      <c r="RC43" s="1" t="n">
        <f aca="false">IF(AND(HT43=1,BK43=1),(JM43+JQ43)/E43,0)</f>
        <v>0</v>
      </c>
      <c r="RD43" s="1" t="n">
        <f aca="false">IF(B43=0,JM43+JQ43,0)</f>
        <v>0</v>
      </c>
      <c r="RE43" s="1" t="n">
        <f aca="false">IF(B43=0,IF(HT43=1,JO43,JP43),0)</f>
        <v>0</v>
      </c>
      <c r="RF43" s="1" t="n">
        <f aca="false">IF(BU43=1,IF(HT43=1,JV43+JY43,BV43-PR43)*(1+Slot6_Rate),0)</f>
        <v>0</v>
      </c>
      <c r="RG43" s="1" t="n">
        <f aca="false">IF(AND(HT43=1,BU43=1),(JU43+JY43)/E43,0)</f>
        <v>0</v>
      </c>
      <c r="RH43" s="1" t="n">
        <f aca="false">IF(B43=0,JU43+JY43,0)</f>
        <v>0</v>
      </c>
      <c r="RI43" s="1" t="n">
        <f aca="false">IF(B43=0,IF(HT43=1,JW43,JX43),0)</f>
        <v>0</v>
      </c>
      <c r="RJ43" s="1" t="n">
        <f aca="false">IF(CE43=1,IF(HT43=1,KD43+KG43,CF43-PP43)*(1+Slot7_Rate),0)</f>
        <v>0</v>
      </c>
      <c r="RK43" s="1" t="n">
        <f aca="false">IF(AND(HT43=1,CE43=1),(KC43+KG43)/E43,0)</f>
        <v>0</v>
      </c>
      <c r="RL43" s="1" t="n">
        <f aca="false">IF(B43=0,KC43+KG43,0)</f>
        <v>0</v>
      </c>
      <c r="RM43" s="1" t="n">
        <f aca="false">IF(B43=0,IF(HT43=1,KE43,KF43),0)</f>
        <v>0</v>
      </c>
      <c r="RN43" s="1" t="n">
        <f aca="false">IF(CO43=1,IF(HT43=1,KL43+KO43,CP43-PN43)*(1+Slot8_Rate),0)</f>
        <v>0</v>
      </c>
      <c r="RO43" s="1" t="n">
        <f aca="false">IF(AND(HT43=1,CO43=1),(KK43+KO43)/E43,0)</f>
        <v>0</v>
      </c>
      <c r="RP43" s="1" t="n">
        <f aca="false">IF(B43=0,KK43+KO43,0)</f>
        <v>0</v>
      </c>
      <c r="RQ43" s="1" t="n">
        <f aca="false">IF(B43=0,IF(HT43=1,KM43,KN43),0)</f>
        <v>0</v>
      </c>
      <c r="RR43" s="1" t="n">
        <f aca="false">IF(CY43=1,IF(HT43=1,KT43+KW43,CZ43-PL43)*(1+Slot9_Rate),0)</f>
        <v>0</v>
      </c>
      <c r="RS43" s="1" t="n">
        <f aca="false">IF(AND(HT43=1,CY43=1),(KS43+KW43)/E43,0)</f>
        <v>0</v>
      </c>
      <c r="RT43" s="1" t="n">
        <f aca="false">IF(B43=0,KS43+KW43,0)</f>
        <v>0</v>
      </c>
      <c r="RU43" s="1" t="n">
        <f aca="false">IF(B43=0,IF(HT43=1,KU43,KV43),0)</f>
        <v>0</v>
      </c>
      <c r="RV43" s="1" t="n">
        <f aca="false">IF(DI43=1,IF(HT43=1,LB43+LE43,DJ43-PJ43)*(1+Slot10_Rate),0)</f>
        <v>0</v>
      </c>
      <c r="RW43" s="1" t="n">
        <f aca="false">IF(AND(HT43=1,DI43=1),(LA43+LE43)/E43,0)</f>
        <v>0</v>
      </c>
      <c r="RX43" s="1" t="n">
        <f aca="false">IF(B43=0,LA43+LE43,0)</f>
        <v>0</v>
      </c>
      <c r="RY43" s="1" t="n">
        <f aca="false">IF(B43=0,IF(HT43=1,LC43,LD43),0)</f>
        <v>0</v>
      </c>
      <c r="RZ43" s="1" t="n">
        <f aca="false">IF(DS43=1,IF(HT43=1,LJ43+LM43,DT43-PH43)*(1+Slot11_Rate),0)</f>
        <v>0</v>
      </c>
      <c r="SA43" s="1" t="n">
        <f aca="false">IF(AND(HT43=1,DS43=1),(LI43+LM43)/E43,0)</f>
        <v>0</v>
      </c>
      <c r="SB43" s="1" t="n">
        <f aca="false">IF(B43=0,LI43+LM43,0)</f>
        <v>0</v>
      </c>
      <c r="SC43" s="1" t="n">
        <f aca="false">IF(B43=0,IF(HT43=1,LK43,LL43),0)</f>
        <v>0</v>
      </c>
      <c r="SD43" s="1" t="n">
        <f aca="false">IF(EC43=1,IF(HT43=1,LR43+LU43,ED43-PF43)*(1+Slot12_Rate),0)</f>
        <v>0</v>
      </c>
      <c r="SE43" s="1" t="n">
        <f aca="false">IF(AND(HT43=1,EC43=1),(LQ43+LU43)/E43,0)</f>
        <v>0</v>
      </c>
      <c r="SF43" s="1" t="n">
        <f aca="false">IF(B43=0,LQ43+LU43,0)</f>
        <v>0</v>
      </c>
      <c r="SG43" s="1" t="n">
        <f aca="false">IF(B43=0,IF(HT43=1,LS43,LT43),0)</f>
        <v>0</v>
      </c>
      <c r="SH43" s="1" t="n">
        <f aca="false">IF(EM43=1,IF(HT43=1,LZ43+MC43,EN43-PD43)*(1+Slot13_Rate),0)</f>
        <v>0</v>
      </c>
      <c r="SI43" s="1" t="n">
        <f aca="false">IF(AND(HT43=1,EM43=1),(LY43+MC43)/E43,0)</f>
        <v>0</v>
      </c>
      <c r="SJ43" s="1" t="n">
        <f aca="false">IF(B43=0,LY43+MC43,0)</f>
        <v>0</v>
      </c>
      <c r="SK43" s="1" t="n">
        <f aca="false">IF(B43=0,IF(HT43=1,MA43,MB43),0)</f>
        <v>0</v>
      </c>
      <c r="SL43" s="1" t="n">
        <f aca="false">IF(EW43=1,IF(HT43=1,MH43+MK43,EX43-PB43)*(1+Slot14_Rate),0)</f>
        <v>0</v>
      </c>
      <c r="SM43" s="1" t="n">
        <f aca="false">IF(AND(HT43=1,EW43=1),(MG43+MK43)/E43,0)</f>
        <v>0</v>
      </c>
      <c r="SN43" s="1" t="n">
        <f aca="false">IF(B43=0,MG43+MK43,0)</f>
        <v>0</v>
      </c>
      <c r="SO43" s="1" t="n">
        <f aca="false">IF(B43=0,IF(HT43=1,MI43,MJ43),0)</f>
        <v>0</v>
      </c>
      <c r="SP43" s="1" t="n">
        <f aca="false">IF(FG43=1,IF(HT43=1,MP43+MS43,FH43-OZ43)*(1+Slot15_Rate),0)</f>
        <v>0</v>
      </c>
      <c r="SQ43" s="1" t="n">
        <f aca="false">IF(AND(HT43=1,FG43=1),(MO43+MS43)/E43,0)</f>
        <v>0</v>
      </c>
      <c r="SR43" s="1" t="n">
        <f aca="false">IF(B43=0,MO43+MS43,0)</f>
        <v>0</v>
      </c>
      <c r="SS43" s="1" t="n">
        <f aca="false">IF(B43=0,IF(HT43=1,MQ43,MR43),0)</f>
        <v>0</v>
      </c>
      <c r="ST43" s="1" t="n">
        <f aca="false">IF(FQ43=1,IF(HT43=1,MX43+NA43,FR43-OX43)*(1+Slot16_Rate),0)</f>
        <v>0</v>
      </c>
      <c r="SU43" s="1" t="n">
        <f aca="false">IF(AND(HT43=1,FQ43=1),(MW43+NA43)/E43,0)</f>
        <v>0</v>
      </c>
      <c r="SV43" s="1" t="n">
        <f aca="false">IF(B43=0,MW43+NA43,0)</f>
        <v>0</v>
      </c>
      <c r="SW43" s="1" t="n">
        <f aca="false">IF(B43=0,IF(HT43=1,MY43,MZ43),0)</f>
        <v>0</v>
      </c>
      <c r="SX43" s="1" t="n">
        <f aca="false">IF(GA43=1,IF(HT43=1,NF43+NI43,GB43-OV43)*(1+Slot17_Rate),0)</f>
        <v>0</v>
      </c>
      <c r="SY43" s="1" t="n">
        <f aca="false">IF(AND(HT43=1,GA43=1),(NE43+NI43)/E43,0)</f>
        <v>0</v>
      </c>
      <c r="SZ43" s="1" t="n">
        <f aca="false">IF(B43=0,NE43+NI43,0)</f>
        <v>0</v>
      </c>
      <c r="TA43" s="1" t="n">
        <f aca="false">IF(B43=0,IF(HT43=1,NG43,NH43),0)</f>
        <v>0</v>
      </c>
      <c r="TB43" s="1" t="n">
        <f aca="false">IF(GK43=1,IF(HT43=1,NN43+NQ43,GL43-OT43)*(1+Slot18_Rate),0)</f>
        <v>0</v>
      </c>
      <c r="TC43" s="1" t="n">
        <f aca="false">IF(AND(HT43=1,GK43=1),(NM43+NQ43)/E43,0)</f>
        <v>0</v>
      </c>
      <c r="TD43" s="1" t="n">
        <f aca="false">IF(B43=0,NM43+NQ43,0)</f>
        <v>0</v>
      </c>
      <c r="TE43" s="1" t="n">
        <f aca="false">IF(B43=0,IF(HT43=1,NO43,NP43),0)</f>
        <v>0</v>
      </c>
      <c r="TF43" s="1" t="n">
        <f aca="false">IF(GU43=1,IF(HT43=1,NV43+NY43,GV43-OR43)*(1+Slot19_Rate),0)</f>
        <v>0</v>
      </c>
      <c r="TG43" s="1" t="n">
        <f aca="false">IF(AND(HT43=1,GU43=1),(NU43+NY43)/E43,0)</f>
        <v>0</v>
      </c>
      <c r="TH43" s="1" t="n">
        <f aca="false">IF(B43=0,NU43+NY43,0)</f>
        <v>0</v>
      </c>
      <c r="TI43" s="1" t="n">
        <f aca="false">IF(B43=0,IF(HT43=1,NW43,NX43),0)</f>
        <v>0</v>
      </c>
      <c r="TJ43" s="1" t="n">
        <f aca="false">IF(HE43=1,IF(HT43=1,OD43+OG43,HF43-OP43)*(1+Slot20_Rate),0)</f>
        <v>0</v>
      </c>
      <c r="TK43" s="1" t="n">
        <f aca="false">IF(AND(HT43=1,HE43=1),(OC43+OG43)/E43,0)</f>
        <v>0</v>
      </c>
      <c r="TL43" s="1" t="n">
        <f aca="false">IF(B43=0,OC43+OG43,0)</f>
        <v>0</v>
      </c>
      <c r="TM43" s="1" t="n">
        <f aca="false">IF(B43=0,IF(HT43=1,OE43,OF43),0)</f>
        <v>0</v>
      </c>
      <c r="TN43" s="1" t="n">
        <f aca="false">QJ43+QK43+QL43+QP43+QT43+QX43+RB43+RF43+RJ43+RN43+RR43+RV43+RZ43+SD43+SH43+SL43+SP43+ST43+SX43+TB43+TF43+TJ43</f>
        <v>0</v>
      </c>
      <c r="TO43" s="1" t="n">
        <f aca="false">QD43+HO43</f>
        <v>0</v>
      </c>
      <c r="TP43" s="1" t="n">
        <f aca="false">H43+R43</f>
        <v>0</v>
      </c>
      <c r="TQ43" s="1" t="n">
        <f aca="false">1-F43</f>
        <v>0</v>
      </c>
      <c r="TR43" s="1" t="n">
        <f aca="false">IF(AND(RG_Exists=1,F43=0,C43=1),H43,0)</f>
        <v>0</v>
      </c>
      <c r="TS43" s="1" t="n">
        <f aca="false">IF(AND(RG_Exists=1,F43=0,C43=1),H43-MIN(QD43,H43),0)</f>
        <v>0</v>
      </c>
      <c r="TT43" s="1" t="n">
        <f aca="false">'Plan pay &amp; tax'!AD269</f>
        <v>0</v>
      </c>
      <c r="TU43" s="1" t="n">
        <f aca="false">IF(AND(C43=1,QD43&gt;MAX(PR_Short1,TP43*PR_Short2)),1,0)</f>
        <v>0</v>
      </c>
      <c r="TV43" s="1" t="n">
        <f aca="false">MIN(G43,H43+R43)</f>
        <v>0</v>
      </c>
      <c r="TW43" s="1" t="n">
        <f aca="false">QE43+MAX(0,HP43-HO43)</f>
        <v>0</v>
      </c>
      <c r="TX43" s="1" t="n">
        <f aca="false">QD43+HO43</f>
        <v>0</v>
      </c>
      <c r="TY43" s="1" t="n">
        <f aca="false">IF(AND(C43=1,TX43&gt;PR_MinShort),1,0)</f>
        <v>0</v>
      </c>
      <c r="TZ43" s="1" t="n">
        <f aca="false">IF(AND(C43=1,TY43=0,TW43&gt;PR_MinShort),1,0)</f>
        <v>0</v>
      </c>
      <c r="UA43" s="1" t="n">
        <f aca="false">IF(AND(C43=1,QD43&gt;PR_MinShort),1,0)</f>
        <v>0</v>
      </c>
      <c r="UB43" s="1" t="n">
        <f aca="false">IF(AND(C43=1,QE43&gt;1,UI43=0),1,0)</f>
        <v>0</v>
      </c>
      <c r="UC43" s="1" t="str">
        <f aca="false">IF(C43=0,"",IF(UI43=1,"Gap to plan for: short "&amp;"€"&amp;TEXT(ROUND(TO43,0),"#,##0"),IF(QE43&gt;1,"Using savings","Comfortable")))</f>
        <v>Comfortable</v>
      </c>
      <c r="UD43" s="1" t="n">
        <f aca="false">IF(AND(INT(D43/10)*10=90,B43&gt;0),80,INT(D43/10)*10)</f>
        <v>30</v>
      </c>
      <c r="UE43" s="1" t="n">
        <f aca="false">IF(B43=0,1,IF(UD43&lt;&gt;UD42,UE42+1,UE42))</f>
        <v>4</v>
      </c>
      <c r="UF43" s="1" t="n">
        <f aca="false">IF(AND(C43=1,F43=1,QD43&gt;MAX(PR_Short1,TP43*PR_Short2)),1,0)</f>
        <v>0</v>
      </c>
      <c r="UG43" s="1" t="n">
        <f aca="false">TQ43*TU43</f>
        <v>0</v>
      </c>
      <c r="UH43" s="1" t="n">
        <f aca="false">IF(AND(U43=1,Slot1_PctLow=1),1,0)+IF(AND(AF43=1,Slot2_PctLow=1),1,0)+IF(AND(AP43=1,Slot3_PctLow=1),1,0)+IF(AND(AZ43=1,Slot4_PctLow=1),1,0)+IF(AND(BJ43=1,Slot5_PctLow=1),1,0)+IF(AND(BT43=1,Slot6_PctLow=1),1,0)+IF(AND(CD43=1,Slot7_PctLow=1),1,0)+IF(AND(CN43=1,Slot8_PctLow=1),1,0)+IF(AND(CX43=1,Slot9_PctLow=1),1,0)+IF(AND(DH43=1,Slot10_PctLow=1),1,0)+IF(AND(DR43=1,Slot11_PctLow=1),1,0)+IF(AND(EB43=1,Slot12_PctLow=1),1,0)+IF(AND(EL43=1,Slot13_PctLow=1),1,0)+IF(AND(EV43=1,Slot14_PctLow=1),1,0)+IF(AND(FF43=1,Slot15_PctLow=1),1,0)+IF(AND(FP43=1,Slot16_PctLow=1),1,0)+IF(AND(FZ43=1,Slot17_PctLow=1),1,0)+IF(AND(GJ43=1,Slot18_PctLow=1),1,0)+IF(AND(GT43=1,Slot19_PctLow=1),1,0)+IF(AND(HD43=1,Slot20_PctLow=1),1,0)</f>
        <v>0</v>
      </c>
      <c r="UI43" s="1" t="n">
        <f aca="false">IF(C43=1,IF(OR(TU43=1,UH43&gt;0),1,0),0)</f>
        <v>0</v>
      </c>
    </row>
    <row r="44" customFormat="false" ht="15" hidden="false" customHeight="true" outlineLevel="0" collapsed="false">
      <c r="B44" s="1" t="n">
        <v>36</v>
      </c>
      <c r="C44" s="1" t="n">
        <f aca="false">IF(B44&lt;=F_N,1,0)</f>
        <v>1</v>
      </c>
      <c r="D44" s="1" t="n">
        <f aca="false">'Plan pay &amp; tax'!C270</f>
        <v>36</v>
      </c>
      <c r="E44" s="111" t="n">
        <f aca="false">'Plan pay &amp; tax'!E270</f>
        <v>2.03988734371571</v>
      </c>
      <c r="F44" s="1" t="n">
        <f aca="false">'Plan pay &amp; tax'!G270</f>
        <v>1</v>
      </c>
      <c r="G44" s="1" t="n">
        <f aca="false">'Plan pay &amp; tax'!BT270-'Plan pay &amp; tax'!BS270-'Plan pay &amp; tax'!R270</f>
        <v>0</v>
      </c>
      <c r="H44" s="1" t="n">
        <f aca="false">IF(F44=1,F_CostsM*12,IF(RG_Exists=1,RG_Amount,F_CostsM*12*AS_RetireSpend))*E44+F_OneOffY*E44</f>
        <v>0</v>
      </c>
      <c r="I44" s="1" t="n">
        <f aca="false">HQ43</f>
        <v>0</v>
      </c>
      <c r="J44" s="1" t="n">
        <f aca="false">IF(I44&gt;1,'Plan debt months'!AC44,0)</f>
        <v>0</v>
      </c>
      <c r="K44" s="1" t="n">
        <f aca="false">IF(I44&gt;1,'Plan debt months'!AB44,I44)</f>
        <v>0</v>
      </c>
      <c r="L44" s="1" t="n">
        <f aca="false">N43</f>
        <v>0</v>
      </c>
      <c r="M44" s="1" t="n">
        <f aca="false">IF(L44&gt;1,'Plan debt months'!BD44,0)</f>
        <v>0</v>
      </c>
      <c r="N44" s="1" t="n">
        <f aca="false">IF(L44&gt;1,'Plan debt months'!BC44,L44)</f>
        <v>0</v>
      </c>
      <c r="O44" s="1" t="n">
        <f aca="false">Q43</f>
        <v>0</v>
      </c>
      <c r="P44" s="1" t="n">
        <f aca="false">IF(O44&gt;1,'Plan debt months'!CE44,0)</f>
        <v>0</v>
      </c>
      <c r="Q44" s="1" t="n">
        <f aca="false">IF(O44&gt;1,'Plan debt months'!CD44,O44)</f>
        <v>0</v>
      </c>
      <c r="R44" s="1" t="n">
        <f aca="false">J44+M44+P44</f>
        <v>0</v>
      </c>
      <c r="S44" s="1" t="n">
        <f aca="false">QJ43+'Plan pay &amp; tax'!Y270</f>
        <v>0</v>
      </c>
      <c r="T44" s="1" t="n">
        <f aca="false">QJ43</f>
        <v>0</v>
      </c>
      <c r="U44" s="1" t="n">
        <f aca="false">IF(AND(Slot1_On=1,D44=Slot1_Age),1,0)</f>
        <v>0</v>
      </c>
      <c r="V44" s="1" t="n">
        <f aca="false">IF(AND(Slot1_On=1,Slot1_Age&gt;D44),1,0)</f>
        <v>0</v>
      </c>
      <c r="W44" s="1" t="n">
        <f aca="false">QL43</f>
        <v>0</v>
      </c>
      <c r="X44" s="1" t="n">
        <f aca="false">U44*MIN(Slot1_Cost,W44)</f>
        <v>0</v>
      </c>
      <c r="Y44" s="1" t="n">
        <f aca="false">U44*Slot1_SpendLike*MIN(Slot1_Cost-X44,S44)</f>
        <v>0</v>
      </c>
      <c r="Z44" s="1" t="n">
        <f aca="false">X44+Y44</f>
        <v>0</v>
      </c>
      <c r="AA44" s="1" t="n">
        <f aca="false">S44-Y44+U44*IF(Slot1_SpendLike=1,W44-X44,IF(Slot1_PotFree=1,W44,0))</f>
        <v>0</v>
      </c>
      <c r="AB44" s="1" t="n">
        <f aca="false">AE44+U44*Slot1_BufPot*W44</f>
        <v>0</v>
      </c>
      <c r="AC44" s="1" t="n">
        <f aca="false">IF(AND(U44=1,Slot1_IsMfree=1),IF(Z44&gt;=Slot1_Cost-1,0,MAX(0,K44-Z44)),K44)</f>
        <v>0</v>
      </c>
      <c r="AD44" s="1" t="n">
        <f aca="false">U44*(Slot1_Cost-Z44)</f>
        <v>0</v>
      </c>
      <c r="AE44" s="1" t="n">
        <f aca="false">QK43</f>
        <v>0</v>
      </c>
      <c r="AF44" s="1" t="n">
        <f aca="false">IF(AND(Slot2_On=1,D44=Slot2_Age),1,0)</f>
        <v>0</v>
      </c>
      <c r="AG44" s="1" t="n">
        <f aca="false">IF(AND(Slot2_On=1,Slot2_Age&gt;D44),1,0)</f>
        <v>0</v>
      </c>
      <c r="AH44" s="1" t="n">
        <f aca="false">QP43</f>
        <v>0</v>
      </c>
      <c r="AI44" s="1" t="n">
        <f aca="false">AF44*MIN(Slot2_Cost,AH44)</f>
        <v>0</v>
      </c>
      <c r="AJ44" s="1" t="n">
        <f aca="false">AF44*Slot2_SpendLike*MIN(Slot2_Cost-AI44,AA44)</f>
        <v>0</v>
      </c>
      <c r="AK44" s="1" t="n">
        <f aca="false">AI44+AJ44</f>
        <v>0</v>
      </c>
      <c r="AL44" s="1" t="n">
        <f aca="false">AA44-AJ44+AF44*IF(Slot2_SpendLike=1,AH44-AI44,IF(Slot2_PotFree=1,AH44,0))</f>
        <v>0</v>
      </c>
      <c r="AM44" s="1" t="n">
        <f aca="false">AB44+AF44*Slot2_BufPot*AH44</f>
        <v>0</v>
      </c>
      <c r="AN44" s="1" t="n">
        <f aca="false">IF(AND(AF44=1,Slot2_IsMfree=1),IF(AK44&gt;=Slot2_Cost-1,0,MAX(0,AC44-AK44)),AC44)</f>
        <v>0</v>
      </c>
      <c r="AO44" s="1" t="n">
        <f aca="false">AF44*(Slot2_Cost-AK44)</f>
        <v>0</v>
      </c>
      <c r="AP44" s="1" t="n">
        <f aca="false">IF(AND(Slot3_On=1,D44=Slot3_Age),1,0)</f>
        <v>0</v>
      </c>
      <c r="AQ44" s="1" t="n">
        <f aca="false">IF(AND(Slot3_On=1,Slot3_Age&gt;D44),1,0)</f>
        <v>0</v>
      </c>
      <c r="AR44" s="1" t="n">
        <f aca="false">QT43</f>
        <v>0</v>
      </c>
      <c r="AS44" s="1" t="n">
        <f aca="false">AP44*MIN(Slot3_Cost,AR44)</f>
        <v>0</v>
      </c>
      <c r="AT44" s="1" t="n">
        <f aca="false">AP44*Slot3_SpendLike*MIN(Slot3_Cost-AS44,AL44)</f>
        <v>0</v>
      </c>
      <c r="AU44" s="1" t="n">
        <f aca="false">AS44+AT44</f>
        <v>0</v>
      </c>
      <c r="AV44" s="1" t="n">
        <f aca="false">AL44-AT44+AP44*IF(Slot3_SpendLike=1,AR44-AS44,IF(Slot3_PotFree=1,AR44,0))</f>
        <v>0</v>
      </c>
      <c r="AW44" s="1" t="n">
        <f aca="false">AM44+AP44*Slot3_BufPot*AR44</f>
        <v>0</v>
      </c>
      <c r="AX44" s="1" t="n">
        <f aca="false">IF(AND(AP44=1,Slot3_IsMfree=1),IF(AU44&gt;=Slot3_Cost-1,0,MAX(0,AN44-AU44)),AN44)</f>
        <v>0</v>
      </c>
      <c r="AY44" s="1" t="n">
        <f aca="false">AP44*(Slot3_Cost-AU44)</f>
        <v>0</v>
      </c>
      <c r="AZ44" s="1" t="n">
        <f aca="false">IF(AND(Slot4_On=1,D44=Slot4_Age),1,0)</f>
        <v>0</v>
      </c>
      <c r="BA44" s="1" t="n">
        <f aca="false">IF(AND(Slot4_On=1,Slot4_Age&gt;D44),1,0)</f>
        <v>0</v>
      </c>
      <c r="BB44" s="1" t="n">
        <f aca="false">QX43</f>
        <v>0</v>
      </c>
      <c r="BC44" s="1" t="n">
        <f aca="false">AZ44*MIN(Slot4_Cost,BB44)</f>
        <v>0</v>
      </c>
      <c r="BD44" s="1" t="n">
        <f aca="false">AZ44*Slot4_SpendLike*MIN(Slot4_Cost-BC44,AV44)</f>
        <v>0</v>
      </c>
      <c r="BE44" s="1" t="n">
        <f aca="false">BC44+BD44</f>
        <v>0</v>
      </c>
      <c r="BF44" s="1" t="n">
        <f aca="false">AV44-BD44+AZ44*IF(Slot4_SpendLike=1,BB44-BC44,IF(Slot4_PotFree=1,BB44,0))</f>
        <v>0</v>
      </c>
      <c r="BG44" s="1" t="n">
        <f aca="false">AW44+AZ44*Slot4_BufPot*BB44</f>
        <v>0</v>
      </c>
      <c r="BH44" s="1" t="n">
        <f aca="false">IF(AND(AZ44=1,Slot4_IsMfree=1),IF(BE44&gt;=Slot4_Cost-1,0,MAX(0,AX44-BE44)),AX44)</f>
        <v>0</v>
      </c>
      <c r="BI44" s="1" t="n">
        <f aca="false">AZ44*(Slot4_Cost-BE44)</f>
        <v>0</v>
      </c>
      <c r="BJ44" s="1" t="n">
        <f aca="false">IF(AND(Slot5_On=1,D44=Slot5_Age),1,0)</f>
        <v>0</v>
      </c>
      <c r="BK44" s="1" t="n">
        <f aca="false">IF(AND(Slot5_On=1,Slot5_Age&gt;D44),1,0)</f>
        <v>0</v>
      </c>
      <c r="BL44" s="1" t="n">
        <f aca="false">RB43</f>
        <v>0</v>
      </c>
      <c r="BM44" s="1" t="n">
        <f aca="false">BJ44*MIN(Slot5_Cost,BL44)</f>
        <v>0</v>
      </c>
      <c r="BN44" s="1" t="n">
        <f aca="false">BJ44*Slot5_SpendLike*MIN(Slot5_Cost-BM44,BF44)</f>
        <v>0</v>
      </c>
      <c r="BO44" s="1" t="n">
        <f aca="false">BM44+BN44</f>
        <v>0</v>
      </c>
      <c r="BP44" s="1" t="n">
        <f aca="false">BF44-BN44+BJ44*IF(Slot5_SpendLike=1,BL44-BM44,IF(Slot5_PotFree=1,BL44,0))</f>
        <v>0</v>
      </c>
      <c r="BQ44" s="1" t="n">
        <f aca="false">BG44+BJ44*Slot5_BufPot*BL44</f>
        <v>0</v>
      </c>
      <c r="BR44" s="1" t="n">
        <f aca="false">IF(AND(BJ44=1,Slot5_IsMfree=1),IF(BO44&gt;=Slot5_Cost-1,0,MAX(0,BH44-BO44)),BH44)</f>
        <v>0</v>
      </c>
      <c r="BS44" s="1" t="n">
        <f aca="false">BJ44*(Slot5_Cost-BO44)</f>
        <v>0</v>
      </c>
      <c r="BT44" s="1" t="n">
        <f aca="false">IF(AND(Slot6_On=1,D44=Slot6_Age),1,0)</f>
        <v>0</v>
      </c>
      <c r="BU44" s="1" t="n">
        <f aca="false">IF(AND(Slot6_On=1,Slot6_Age&gt;D44),1,0)</f>
        <v>0</v>
      </c>
      <c r="BV44" s="1" t="n">
        <f aca="false">RF43</f>
        <v>0</v>
      </c>
      <c r="BW44" s="1" t="n">
        <f aca="false">BT44*MIN(Slot6_Cost,BV44)</f>
        <v>0</v>
      </c>
      <c r="BX44" s="1" t="n">
        <f aca="false">BT44*Slot6_SpendLike*MIN(Slot6_Cost-BW44,BP44)</f>
        <v>0</v>
      </c>
      <c r="BY44" s="1" t="n">
        <f aca="false">BW44+BX44</f>
        <v>0</v>
      </c>
      <c r="BZ44" s="1" t="n">
        <f aca="false">BP44-BX44+BT44*IF(Slot6_SpendLike=1,BV44-BW44,IF(Slot6_PotFree=1,BV44,0))</f>
        <v>0</v>
      </c>
      <c r="CA44" s="1" t="n">
        <f aca="false">BQ44+BT44*Slot6_BufPot*BV44</f>
        <v>0</v>
      </c>
      <c r="CB44" s="1" t="n">
        <f aca="false">IF(AND(BT44=1,Slot6_IsMfree=1),IF(BY44&gt;=Slot6_Cost-1,0,MAX(0,BR44-BY44)),BR44)</f>
        <v>0</v>
      </c>
      <c r="CC44" s="1" t="n">
        <f aca="false">BT44*(Slot6_Cost-BY44)</f>
        <v>0</v>
      </c>
      <c r="CD44" s="1" t="n">
        <f aca="false">IF(AND(Slot7_On=1,D44=Slot7_Age),1,0)</f>
        <v>0</v>
      </c>
      <c r="CE44" s="1" t="n">
        <f aca="false">IF(AND(Slot7_On=1,Slot7_Age&gt;D44),1,0)</f>
        <v>0</v>
      </c>
      <c r="CF44" s="1" t="n">
        <f aca="false">RJ43</f>
        <v>0</v>
      </c>
      <c r="CG44" s="1" t="n">
        <f aca="false">CD44*MIN(Slot7_Cost,CF44)</f>
        <v>0</v>
      </c>
      <c r="CH44" s="1" t="n">
        <f aca="false">CD44*Slot7_SpendLike*MIN(Slot7_Cost-CG44,BZ44)</f>
        <v>0</v>
      </c>
      <c r="CI44" s="1" t="n">
        <f aca="false">CG44+CH44</f>
        <v>0</v>
      </c>
      <c r="CJ44" s="1" t="n">
        <f aca="false">BZ44-CH44+CD44*IF(Slot7_SpendLike=1,CF44-CG44,IF(Slot7_PotFree=1,CF44,0))</f>
        <v>0</v>
      </c>
      <c r="CK44" s="1" t="n">
        <f aca="false">CA44+CD44*Slot7_BufPot*CF44</f>
        <v>0</v>
      </c>
      <c r="CL44" s="1" t="n">
        <f aca="false">IF(AND(CD44=1,Slot7_IsMfree=1),IF(CI44&gt;=Slot7_Cost-1,0,MAX(0,CB44-CI44)),CB44)</f>
        <v>0</v>
      </c>
      <c r="CM44" s="1" t="n">
        <f aca="false">CD44*(Slot7_Cost-CI44)</f>
        <v>0</v>
      </c>
      <c r="CN44" s="1" t="n">
        <f aca="false">IF(AND(Slot8_On=1,D44=Slot8_Age),1,0)</f>
        <v>0</v>
      </c>
      <c r="CO44" s="1" t="n">
        <f aca="false">IF(AND(Slot8_On=1,Slot8_Age&gt;D44),1,0)</f>
        <v>0</v>
      </c>
      <c r="CP44" s="1" t="n">
        <f aca="false">RN43</f>
        <v>0</v>
      </c>
      <c r="CQ44" s="1" t="n">
        <f aca="false">CN44*MIN(Slot8_Cost,CP44)</f>
        <v>0</v>
      </c>
      <c r="CR44" s="1" t="n">
        <f aca="false">CN44*Slot8_SpendLike*MIN(Slot8_Cost-CQ44,CJ44)</f>
        <v>0</v>
      </c>
      <c r="CS44" s="1" t="n">
        <f aca="false">CQ44+CR44</f>
        <v>0</v>
      </c>
      <c r="CT44" s="1" t="n">
        <f aca="false">CJ44-CR44+CN44*IF(Slot8_SpendLike=1,CP44-CQ44,IF(Slot8_PotFree=1,CP44,0))</f>
        <v>0</v>
      </c>
      <c r="CU44" s="1" t="n">
        <f aca="false">CK44+CN44*Slot8_BufPot*CP44</f>
        <v>0</v>
      </c>
      <c r="CV44" s="1" t="n">
        <f aca="false">IF(AND(CN44=1,Slot8_IsMfree=1),IF(CS44&gt;=Slot8_Cost-1,0,MAX(0,CL44-CS44)),CL44)</f>
        <v>0</v>
      </c>
      <c r="CW44" s="1" t="n">
        <f aca="false">CN44*(Slot8_Cost-CS44)</f>
        <v>0</v>
      </c>
      <c r="CX44" s="1" t="n">
        <f aca="false">IF(AND(Slot9_On=1,D44=Slot9_Age),1,0)</f>
        <v>0</v>
      </c>
      <c r="CY44" s="1" t="n">
        <f aca="false">IF(AND(Slot9_On=1,Slot9_Age&gt;D44),1,0)</f>
        <v>0</v>
      </c>
      <c r="CZ44" s="1" t="n">
        <f aca="false">RR43</f>
        <v>0</v>
      </c>
      <c r="DA44" s="1" t="n">
        <f aca="false">CX44*MIN(Slot9_Cost,CZ44)</f>
        <v>0</v>
      </c>
      <c r="DB44" s="1" t="n">
        <f aca="false">CX44*Slot9_SpendLike*MIN(Slot9_Cost-DA44,CT44)</f>
        <v>0</v>
      </c>
      <c r="DC44" s="1" t="n">
        <f aca="false">DA44+DB44</f>
        <v>0</v>
      </c>
      <c r="DD44" s="1" t="n">
        <f aca="false">CT44-DB44+CX44*IF(Slot9_SpendLike=1,CZ44-DA44,IF(Slot9_PotFree=1,CZ44,0))</f>
        <v>0</v>
      </c>
      <c r="DE44" s="1" t="n">
        <f aca="false">CU44+CX44*Slot9_BufPot*CZ44</f>
        <v>0</v>
      </c>
      <c r="DF44" s="1" t="n">
        <f aca="false">IF(AND(CX44=1,Slot9_IsMfree=1),IF(DC44&gt;=Slot9_Cost-1,0,MAX(0,CV44-DC44)),CV44)</f>
        <v>0</v>
      </c>
      <c r="DG44" s="1" t="n">
        <f aca="false">CX44*(Slot9_Cost-DC44)</f>
        <v>0</v>
      </c>
      <c r="DH44" s="1" t="n">
        <f aca="false">IF(AND(Slot10_On=1,D44=Slot10_Age),1,0)</f>
        <v>0</v>
      </c>
      <c r="DI44" s="1" t="n">
        <f aca="false">IF(AND(Slot10_On=1,Slot10_Age&gt;D44),1,0)</f>
        <v>0</v>
      </c>
      <c r="DJ44" s="1" t="n">
        <f aca="false">RV43</f>
        <v>0</v>
      </c>
      <c r="DK44" s="1" t="n">
        <f aca="false">DH44*MIN(Slot10_Cost,DJ44)</f>
        <v>0</v>
      </c>
      <c r="DL44" s="1" t="n">
        <f aca="false">DH44*Slot10_SpendLike*MIN(Slot10_Cost-DK44,DD44)</f>
        <v>0</v>
      </c>
      <c r="DM44" s="1" t="n">
        <f aca="false">DK44+DL44</f>
        <v>0</v>
      </c>
      <c r="DN44" s="1" t="n">
        <f aca="false">DD44-DL44+DH44*IF(Slot10_SpendLike=1,DJ44-DK44,IF(Slot10_PotFree=1,DJ44,0))</f>
        <v>0</v>
      </c>
      <c r="DO44" s="1" t="n">
        <f aca="false">DE44+DH44*Slot10_BufPot*DJ44</f>
        <v>0</v>
      </c>
      <c r="DP44" s="1" t="n">
        <f aca="false">IF(AND(DH44=1,Slot10_IsMfree=1),IF(DM44&gt;=Slot10_Cost-1,0,MAX(0,DF44-DM44)),DF44)</f>
        <v>0</v>
      </c>
      <c r="DQ44" s="1" t="n">
        <f aca="false">DH44*(Slot10_Cost-DM44)</f>
        <v>0</v>
      </c>
      <c r="DR44" s="1" t="n">
        <f aca="false">IF(AND(Slot11_On=1,D44=Slot11_Age),1,0)</f>
        <v>0</v>
      </c>
      <c r="DS44" s="1" t="n">
        <f aca="false">IF(AND(Slot11_On=1,Slot11_Age&gt;D44),1,0)</f>
        <v>0</v>
      </c>
      <c r="DT44" s="1" t="n">
        <f aca="false">RZ43</f>
        <v>0</v>
      </c>
      <c r="DU44" s="1" t="n">
        <f aca="false">DR44*MIN(Slot11_Cost,DT44)</f>
        <v>0</v>
      </c>
      <c r="DV44" s="1" t="n">
        <f aca="false">DR44*Slot11_SpendLike*MIN(Slot11_Cost-DU44,DN44)</f>
        <v>0</v>
      </c>
      <c r="DW44" s="1" t="n">
        <f aca="false">DU44+DV44</f>
        <v>0</v>
      </c>
      <c r="DX44" s="1" t="n">
        <f aca="false">DN44-DV44+DR44*IF(Slot11_SpendLike=1,DT44-DU44,IF(Slot11_PotFree=1,DT44,0))</f>
        <v>0</v>
      </c>
      <c r="DY44" s="1" t="n">
        <f aca="false">DO44+DR44*Slot11_BufPot*DT44</f>
        <v>0</v>
      </c>
      <c r="DZ44" s="1" t="n">
        <f aca="false">IF(AND(DR44=1,Slot11_IsMfree=1),IF(DW44&gt;=Slot11_Cost-1,0,MAX(0,DP44-DW44)),DP44)</f>
        <v>0</v>
      </c>
      <c r="EA44" s="1" t="n">
        <f aca="false">DR44*(Slot11_Cost-DW44)</f>
        <v>0</v>
      </c>
      <c r="EB44" s="1" t="n">
        <f aca="false">IF(AND(Slot12_On=1,D44=Slot12_Age),1,0)</f>
        <v>0</v>
      </c>
      <c r="EC44" s="1" t="n">
        <f aca="false">IF(AND(Slot12_On=1,Slot12_Age&gt;D44),1,0)</f>
        <v>0</v>
      </c>
      <c r="ED44" s="1" t="n">
        <f aca="false">SD43</f>
        <v>0</v>
      </c>
      <c r="EE44" s="1" t="n">
        <f aca="false">EB44*MIN(Slot12_Cost,ED44)</f>
        <v>0</v>
      </c>
      <c r="EF44" s="1" t="n">
        <f aca="false">EB44*Slot12_SpendLike*MIN(Slot12_Cost-EE44,DX44)</f>
        <v>0</v>
      </c>
      <c r="EG44" s="1" t="n">
        <f aca="false">EE44+EF44</f>
        <v>0</v>
      </c>
      <c r="EH44" s="1" t="n">
        <f aca="false">DX44-EF44+EB44*IF(Slot12_SpendLike=1,ED44-EE44,IF(Slot12_PotFree=1,ED44,0))</f>
        <v>0</v>
      </c>
      <c r="EI44" s="1" t="n">
        <f aca="false">DY44+EB44*Slot12_BufPot*ED44</f>
        <v>0</v>
      </c>
      <c r="EJ44" s="1" t="n">
        <f aca="false">IF(AND(EB44=1,Slot12_IsMfree=1),IF(EG44&gt;=Slot12_Cost-1,0,MAX(0,DZ44-EG44)),DZ44)</f>
        <v>0</v>
      </c>
      <c r="EK44" s="1" t="n">
        <f aca="false">EB44*(Slot12_Cost-EG44)</f>
        <v>0</v>
      </c>
      <c r="EL44" s="1" t="n">
        <f aca="false">IF(AND(Slot13_On=1,D44=Slot13_Age),1,0)</f>
        <v>0</v>
      </c>
      <c r="EM44" s="1" t="n">
        <f aca="false">IF(AND(Slot13_On=1,Slot13_Age&gt;D44),1,0)</f>
        <v>0</v>
      </c>
      <c r="EN44" s="1" t="n">
        <f aca="false">SH43</f>
        <v>0</v>
      </c>
      <c r="EO44" s="1" t="n">
        <f aca="false">EL44*MIN(Slot13_Cost,EN44)</f>
        <v>0</v>
      </c>
      <c r="EP44" s="1" t="n">
        <f aca="false">EL44*Slot13_SpendLike*MIN(Slot13_Cost-EO44,EH44)</f>
        <v>0</v>
      </c>
      <c r="EQ44" s="1" t="n">
        <f aca="false">EO44+EP44</f>
        <v>0</v>
      </c>
      <c r="ER44" s="1" t="n">
        <f aca="false">EH44-EP44+EL44*IF(Slot13_SpendLike=1,EN44-EO44,IF(Slot13_PotFree=1,EN44,0))</f>
        <v>0</v>
      </c>
      <c r="ES44" s="1" t="n">
        <f aca="false">EI44+EL44*Slot13_BufPot*EN44</f>
        <v>0</v>
      </c>
      <c r="ET44" s="1" t="n">
        <f aca="false">IF(AND(EL44=1,Slot13_IsMfree=1),IF(EQ44&gt;=Slot13_Cost-1,0,MAX(0,EJ44-EQ44)),EJ44)</f>
        <v>0</v>
      </c>
      <c r="EU44" s="1" t="n">
        <f aca="false">EL44*(Slot13_Cost-EQ44)</f>
        <v>0</v>
      </c>
      <c r="EV44" s="1" t="n">
        <f aca="false">IF(AND(Slot14_On=1,D44=Slot14_Age),1,0)</f>
        <v>0</v>
      </c>
      <c r="EW44" s="1" t="n">
        <f aca="false">IF(AND(Slot14_On=1,Slot14_Age&gt;D44),1,0)</f>
        <v>0</v>
      </c>
      <c r="EX44" s="1" t="n">
        <f aca="false">SL43</f>
        <v>0</v>
      </c>
      <c r="EY44" s="1" t="n">
        <f aca="false">EV44*MIN(Slot14_Cost,EX44)</f>
        <v>0</v>
      </c>
      <c r="EZ44" s="1" t="n">
        <f aca="false">EV44*Slot14_SpendLike*MIN(Slot14_Cost-EY44,ER44)</f>
        <v>0</v>
      </c>
      <c r="FA44" s="1" t="n">
        <f aca="false">EY44+EZ44</f>
        <v>0</v>
      </c>
      <c r="FB44" s="1" t="n">
        <f aca="false">ER44-EZ44+EV44*IF(Slot14_SpendLike=1,EX44-EY44,IF(Slot14_PotFree=1,EX44,0))</f>
        <v>0</v>
      </c>
      <c r="FC44" s="1" t="n">
        <f aca="false">ES44+EV44*Slot14_BufPot*EX44</f>
        <v>0</v>
      </c>
      <c r="FD44" s="1" t="n">
        <f aca="false">IF(AND(EV44=1,Slot14_IsMfree=1),IF(FA44&gt;=Slot14_Cost-1,0,MAX(0,ET44-FA44)),ET44)</f>
        <v>0</v>
      </c>
      <c r="FE44" s="1" t="n">
        <f aca="false">EV44*(Slot14_Cost-FA44)</f>
        <v>0</v>
      </c>
      <c r="FF44" s="1" t="n">
        <f aca="false">IF(AND(Slot15_On=1,D44=Slot15_Age),1,0)</f>
        <v>0</v>
      </c>
      <c r="FG44" s="1" t="n">
        <f aca="false">IF(AND(Slot15_On=1,Slot15_Age&gt;D44),1,0)</f>
        <v>0</v>
      </c>
      <c r="FH44" s="1" t="n">
        <f aca="false">SP43</f>
        <v>0</v>
      </c>
      <c r="FI44" s="1" t="n">
        <f aca="false">FF44*MIN(Slot15_Cost,FH44)</f>
        <v>0</v>
      </c>
      <c r="FJ44" s="1" t="n">
        <f aca="false">FF44*Slot15_SpendLike*MIN(Slot15_Cost-FI44,FB44)</f>
        <v>0</v>
      </c>
      <c r="FK44" s="1" t="n">
        <f aca="false">FI44+FJ44</f>
        <v>0</v>
      </c>
      <c r="FL44" s="1" t="n">
        <f aca="false">FB44-FJ44+FF44*IF(Slot15_SpendLike=1,FH44-FI44,IF(Slot15_PotFree=1,FH44,0))</f>
        <v>0</v>
      </c>
      <c r="FM44" s="1" t="n">
        <f aca="false">FC44+FF44*Slot15_BufPot*FH44</f>
        <v>0</v>
      </c>
      <c r="FN44" s="1" t="n">
        <f aca="false">IF(AND(FF44=1,Slot15_IsMfree=1),IF(FK44&gt;=Slot15_Cost-1,0,MAX(0,FD44-FK44)),FD44)</f>
        <v>0</v>
      </c>
      <c r="FO44" s="1" t="n">
        <f aca="false">FF44*(Slot15_Cost-FK44)</f>
        <v>0</v>
      </c>
      <c r="FP44" s="1" t="n">
        <f aca="false">IF(AND(Slot16_On=1,D44=Slot16_Age),1,0)</f>
        <v>0</v>
      </c>
      <c r="FQ44" s="1" t="n">
        <f aca="false">IF(AND(Slot16_On=1,Slot16_Age&gt;D44),1,0)</f>
        <v>0</v>
      </c>
      <c r="FR44" s="1" t="n">
        <f aca="false">ST43</f>
        <v>0</v>
      </c>
      <c r="FS44" s="1" t="n">
        <f aca="false">FP44*MIN(Slot16_Cost,FR44)</f>
        <v>0</v>
      </c>
      <c r="FT44" s="1" t="n">
        <f aca="false">FP44*Slot16_SpendLike*MIN(Slot16_Cost-FS44,FL44)</f>
        <v>0</v>
      </c>
      <c r="FU44" s="1" t="n">
        <f aca="false">FS44+FT44</f>
        <v>0</v>
      </c>
      <c r="FV44" s="1" t="n">
        <f aca="false">FL44-FT44+FP44*IF(Slot16_SpendLike=1,FR44-FS44,IF(Slot16_PotFree=1,FR44,0))</f>
        <v>0</v>
      </c>
      <c r="FW44" s="1" t="n">
        <f aca="false">FM44+FP44*Slot16_BufPot*FR44</f>
        <v>0</v>
      </c>
      <c r="FX44" s="1" t="n">
        <f aca="false">IF(AND(FP44=1,Slot16_IsMfree=1),IF(FU44&gt;=Slot16_Cost-1,0,MAX(0,FN44-FU44)),FN44)</f>
        <v>0</v>
      </c>
      <c r="FY44" s="1" t="n">
        <f aca="false">FP44*(Slot16_Cost-FU44)</f>
        <v>0</v>
      </c>
      <c r="FZ44" s="1" t="n">
        <f aca="false">IF(AND(Slot17_On=1,D44=Slot17_Age),1,0)</f>
        <v>0</v>
      </c>
      <c r="GA44" s="1" t="n">
        <f aca="false">IF(AND(Slot17_On=1,Slot17_Age&gt;D44),1,0)</f>
        <v>0</v>
      </c>
      <c r="GB44" s="1" t="n">
        <f aca="false">SX43</f>
        <v>0</v>
      </c>
      <c r="GC44" s="1" t="n">
        <f aca="false">FZ44*MIN(Slot17_Cost,GB44)</f>
        <v>0</v>
      </c>
      <c r="GD44" s="1" t="n">
        <f aca="false">FZ44*Slot17_SpendLike*MIN(Slot17_Cost-GC44,FV44)</f>
        <v>0</v>
      </c>
      <c r="GE44" s="1" t="n">
        <f aca="false">GC44+GD44</f>
        <v>0</v>
      </c>
      <c r="GF44" s="1" t="n">
        <f aca="false">FV44-GD44+FZ44*IF(Slot17_SpendLike=1,GB44-GC44,IF(Slot17_PotFree=1,GB44,0))</f>
        <v>0</v>
      </c>
      <c r="GG44" s="1" t="n">
        <f aca="false">FW44+FZ44*Slot17_BufPot*GB44</f>
        <v>0</v>
      </c>
      <c r="GH44" s="1" t="n">
        <f aca="false">IF(AND(FZ44=1,Slot17_IsMfree=1),IF(GE44&gt;=Slot17_Cost-1,0,MAX(0,FX44-GE44)),FX44)</f>
        <v>0</v>
      </c>
      <c r="GI44" s="1" t="n">
        <f aca="false">FZ44*(Slot17_Cost-GE44)</f>
        <v>0</v>
      </c>
      <c r="GJ44" s="1" t="n">
        <f aca="false">IF(AND(Slot18_On=1,D44=Slot18_Age),1,0)</f>
        <v>0</v>
      </c>
      <c r="GK44" s="1" t="n">
        <f aca="false">IF(AND(Slot18_On=1,Slot18_Age&gt;D44),1,0)</f>
        <v>0</v>
      </c>
      <c r="GL44" s="1" t="n">
        <f aca="false">TB43</f>
        <v>0</v>
      </c>
      <c r="GM44" s="1" t="n">
        <f aca="false">GJ44*MIN(Slot18_Cost,GL44)</f>
        <v>0</v>
      </c>
      <c r="GN44" s="1" t="n">
        <f aca="false">GJ44*Slot18_SpendLike*MIN(Slot18_Cost-GM44,GF44)</f>
        <v>0</v>
      </c>
      <c r="GO44" s="1" t="n">
        <f aca="false">GM44+GN44</f>
        <v>0</v>
      </c>
      <c r="GP44" s="1" t="n">
        <f aca="false">GF44-GN44+GJ44*IF(Slot18_SpendLike=1,GL44-GM44,IF(Slot18_PotFree=1,GL44,0))</f>
        <v>0</v>
      </c>
      <c r="GQ44" s="1" t="n">
        <f aca="false">GG44+GJ44*Slot18_BufPot*GL44</f>
        <v>0</v>
      </c>
      <c r="GR44" s="1" t="n">
        <f aca="false">IF(AND(GJ44=1,Slot18_IsMfree=1),IF(GO44&gt;=Slot18_Cost-1,0,MAX(0,GH44-GO44)),GH44)</f>
        <v>0</v>
      </c>
      <c r="GS44" s="1" t="n">
        <f aca="false">GJ44*(Slot18_Cost-GO44)</f>
        <v>0</v>
      </c>
      <c r="GT44" s="1" t="n">
        <f aca="false">IF(AND(Slot19_On=1,D44=Slot19_Age),1,0)</f>
        <v>0</v>
      </c>
      <c r="GU44" s="1" t="n">
        <f aca="false">IF(AND(Slot19_On=1,Slot19_Age&gt;D44),1,0)</f>
        <v>0</v>
      </c>
      <c r="GV44" s="1" t="n">
        <f aca="false">TF43</f>
        <v>0</v>
      </c>
      <c r="GW44" s="1" t="n">
        <f aca="false">GT44*MIN(Slot19_Cost,GV44)</f>
        <v>0</v>
      </c>
      <c r="GX44" s="1" t="n">
        <f aca="false">GT44*Slot19_SpendLike*MIN(Slot19_Cost-GW44,GP44)</f>
        <v>0</v>
      </c>
      <c r="GY44" s="1" t="n">
        <f aca="false">GW44+GX44</f>
        <v>0</v>
      </c>
      <c r="GZ44" s="1" t="n">
        <f aca="false">GP44-GX44+GT44*IF(Slot19_SpendLike=1,GV44-GW44,IF(Slot19_PotFree=1,GV44,0))</f>
        <v>0</v>
      </c>
      <c r="HA44" s="1" t="n">
        <f aca="false">GQ44+GT44*Slot19_BufPot*GV44</f>
        <v>0</v>
      </c>
      <c r="HB44" s="1" t="n">
        <f aca="false">IF(AND(GT44=1,Slot19_IsMfree=1),IF(GY44&gt;=Slot19_Cost-1,0,MAX(0,GR44-GY44)),GR44)</f>
        <v>0</v>
      </c>
      <c r="HC44" s="1" t="n">
        <f aca="false">GT44*(Slot19_Cost-GY44)</f>
        <v>0</v>
      </c>
      <c r="HD44" s="1" t="n">
        <f aca="false">IF(AND(Slot20_On=1,D44=Slot20_Age),1,0)</f>
        <v>0</v>
      </c>
      <c r="HE44" s="1" t="n">
        <f aca="false">IF(AND(Slot20_On=1,Slot20_Age&gt;D44),1,0)</f>
        <v>0</v>
      </c>
      <c r="HF44" s="1" t="n">
        <f aca="false">TJ43</f>
        <v>0</v>
      </c>
      <c r="HG44" s="1" t="n">
        <f aca="false">HD44*MIN(Slot20_Cost,HF44)</f>
        <v>0</v>
      </c>
      <c r="HH44" s="1" t="n">
        <f aca="false">HD44*Slot20_SpendLike*MIN(Slot20_Cost-HG44,GZ44)</f>
        <v>0</v>
      </c>
      <c r="HI44" s="1" t="n">
        <f aca="false">HG44+HH44</f>
        <v>0</v>
      </c>
      <c r="HJ44" s="1" t="n">
        <f aca="false">GZ44-HH44+HD44*IF(Slot20_SpendLike=1,HF44-HG44,IF(Slot20_PotFree=1,HF44,0))</f>
        <v>0</v>
      </c>
      <c r="HK44" s="1" t="n">
        <f aca="false">HA44+HD44*Slot20_BufPot*HF44</f>
        <v>0</v>
      </c>
      <c r="HL44" s="1" t="n">
        <f aca="false">IF(AND(HD44=1,Slot20_IsMfree=1),IF(HI44&gt;=Slot20_Cost-1,0,MAX(0,HB44-HI44)),HB44)</f>
        <v>0</v>
      </c>
      <c r="HM44" s="1" t="n">
        <f aca="false">HD44*(Slot20_Cost-HI44)</f>
        <v>0</v>
      </c>
      <c r="HN44" s="1" t="n">
        <f aca="false">U44*Slot1_SpendLike*Z44+AF44*Slot2_SpendLike*AK44+AP44*Slot3_SpendLike*AU44+AZ44*Slot4_SpendLike*BE44+BJ44*Slot5_SpendLike*BO44+BT44*Slot6_SpendLike*BY44+CD44*Slot7_SpendLike*CI44+CN44*Slot8_SpendLike*CS44+CX44*Slot9_SpendLike*DC44+DH44*Slot10_SpendLike*DM44+DR44*Slot11_SpendLike*DW44+EB44*Slot12_SpendLike*EG44+EL44*Slot13_SpendLike*EQ44+EV44*Slot14_SpendLike*FA44+FF44*Slot15_SpendLike*FK44+FP44*Slot16_SpendLike*FU44+FZ44*Slot17_SpendLike*GE44+GJ44*Slot18_SpendLike*GO44+GT44*Slot19_SpendLike*GY44+HD44*Slot20_SpendLike*HI44</f>
        <v>0</v>
      </c>
      <c r="HO44" s="1" t="n">
        <f aca="false">AD44+AO44+AY44+BI44+BS44+CC44+CM44+CW44+DG44+DQ44+EA44+EK44+EU44+FE44+FO44+FY44+GI44+GS44+HC44+HM44</f>
        <v>0</v>
      </c>
      <c r="HP44" s="1" t="n">
        <f aca="false">U44*Slot1_Cost+AF44*Slot2_Cost+AP44*Slot3_Cost+AZ44*Slot4_Cost+BJ44*Slot5_Cost+BT44*Slot6_Cost+CD44*Slot7_Cost+CN44*Slot8_Cost+CX44*Slot9_Cost+DH44*Slot10_Cost+DR44*Slot11_Cost+EB44*Slot12_Cost+EL44*Slot13_Cost+EV44*Slot14_Cost+FF44*Slot15_Cost+FP44*Slot16_Cost+FZ44*Slot17_Cost+GJ44*Slot18_Cost+GT44*Slot19_Cost+HD44*Slot20_Cost</f>
        <v>0</v>
      </c>
      <c r="HQ44" s="1" t="n">
        <f aca="false">HL44</f>
        <v>0</v>
      </c>
      <c r="HR44" s="1" t="n">
        <f aca="false">G44-H44-R44</f>
        <v>0</v>
      </c>
      <c r="HS44" s="1" t="n">
        <f aca="false">IF(B44=0,IF(AND(Has_q6=1,In_q6=4),PR_ShareVaries*(MAX(0,HR44)/12),MIN(IF(Has_q6=1,CHOOSE(In_q6+1,PR_SaveB1,PR_SaveB2,PR_SaveB3,PR_SaveB4,0),AS_NoAnswer),AS_SaveShare*(MAX(0,HR44)/12))),HS43)</f>
        <v>0</v>
      </c>
      <c r="HT44" s="1" t="n">
        <f aca="false">IF(HR44&gt;=0,1,0)</f>
        <v>1</v>
      </c>
      <c r="HU44" s="1" t="n">
        <f aca="false">MAX(0,HR44/12/E44)</f>
        <v>0</v>
      </c>
      <c r="HV44" s="1" t="n">
        <f aca="false">IF(AND(Has_q6=1,In_q6=4),PR_ShareVaries*(HU44),MIN(IF(Has_q6=1,CHOOSE(In_q6+1,PR_SaveB1,PR_SaveB2,PR_SaveB3,PR_SaveB4,0),AS_NoAnswer),AS_SaveShare*(HU44)))</f>
        <v>0</v>
      </c>
      <c r="HW44" s="1" t="n">
        <f aca="false">IF(Has_saveM=1,IF(In_saveUp="Yes",1,IF(In_saveUp="No",0,IF(In_saveM&gt;=HS44-0.5,1,0))),0)</f>
        <v>0</v>
      </c>
      <c r="HX44" s="1" t="n">
        <f aca="false">IF(Has_saveM=1,MIN(HU44,IF(HW44=1,MAX(In_saveM,HV44),MIN(In_saveM,HV44))),HV44)</f>
        <v>0</v>
      </c>
      <c r="HY44" s="1" t="n">
        <f aca="false">IF(F44=1,HX44*12*E44,0)</f>
        <v>0</v>
      </c>
      <c r="HZ44" s="1" t="n">
        <f aca="false">MAX(0,HY44+IF(AND(WI_Retire=0,WI_M&lt;0,F44=1),WI_M*12*E44,0))</f>
        <v>0</v>
      </c>
      <c r="IA44" s="1" t="n">
        <f aca="false">Slot1_IsWG*V44+Slot2_IsWG*AG44+Slot3_IsWG*AQ44+Slot4_IsWG*BA44+Slot5_IsWG*BK44+Slot6_IsWG*BU44+Slot7_IsWG*CE44+Slot8_IsWG*CO44+Slot9_IsWG*CY44+Slot10_IsWG*DI44+Slot11_IsWG*DS44+Slot12_IsWG*EC44+Slot13_IsWG*EM44+Slot14_IsWG*EW44+Slot15_IsWG*FG44+Slot16_IsWG*FQ44+Slot17_IsWG*GA44+Slot18_IsWG*GK44+Slot19_IsWG*GU44+Slot20_IsWG*HE44</f>
        <v>0</v>
      </c>
      <c r="IB44" s="1" t="n">
        <f aca="false">IF(AND(WI_Retire=0,WI_M&gt;0,F44=1,IA44&gt;=1),WI_M*12*E44,0)</f>
        <v>0</v>
      </c>
      <c r="IC44" s="1" t="n">
        <f aca="false">IF(HT44=1,MIN(HZ44,HR44),0)</f>
        <v>0</v>
      </c>
      <c r="ID44" s="1" t="n">
        <f aca="false">IF(HT44=1,MIN(IB44,HR44-IC44),0)</f>
        <v>0</v>
      </c>
      <c r="IE44" s="1" t="n">
        <f aca="false">IF(V44=1,IF(ABS((1+AS_Wage)/(1+Slot1_Rate)-1)&lt;0.000000000001,(Slot1_Age-D44)*(1+Slot1_Rate)^(Slot1_Age-D44),(1+Slot1_Rate)^(Slot1_Age-D44)*(1-((1+AS_Wage)/(1+Slot1_Rate))^(Slot1_Age-D44))/(1-(1+AS_Wage)/(1+Slot1_Rate))),1)</f>
        <v>1</v>
      </c>
      <c r="IF44" s="1" t="n">
        <f aca="false">IF(AND(HT44=1,ID44&gt;0,Slot1_IsWG=1,V44=1),MAX(0,(Slot1_Cost-W44*(1+Slot1_Rate)^(Slot1_Age-D44))/IE44),0)</f>
        <v>0</v>
      </c>
      <c r="IG44" s="1" t="n">
        <f aca="false">IF(AND(HT44=1,ID44&gt;0,Slot1_IsWG=1,V44=1),MIN(ID44,IF44),0)</f>
        <v>0</v>
      </c>
      <c r="IH44" s="1" t="n">
        <f aca="false">W44+IG44</f>
        <v>0</v>
      </c>
      <c r="II44" s="1" t="n">
        <f aca="false">IF(V44=1,MAX(0,(Slot1_Cost-IH44*(1+Slot1_Rate)^(Slot1_Age-D44))/IE44),0)</f>
        <v>0</v>
      </c>
      <c r="IJ44" s="1" t="n">
        <f aca="false">IF(V44=1,MAX(0,(Slot1_Cost-W44*(1+Slot1_Rate)^(Slot1_Age-D44))/IE44),0)</f>
        <v>0</v>
      </c>
      <c r="IK44" s="1" t="n">
        <f aca="false">IF(AND(HT44=1,V44=1),MIN(IC44,II44),0)</f>
        <v>0</v>
      </c>
      <c r="IL44" s="1" t="n">
        <f aca="false">IC44-IK44</f>
        <v>0</v>
      </c>
      <c r="IM44" s="1" t="n">
        <f aca="false">IF(AG44=1,IF(ABS((1+AS_Wage)/(1+Slot2_Rate)-1)&lt;0.000000000001,(Slot2_Age-D44)*(1+Slot2_Rate)^(Slot2_Age-D44),(1+Slot2_Rate)^(Slot2_Age-D44)*(1-((1+AS_Wage)/(1+Slot2_Rate))^(Slot2_Age-D44))/(1-(1+AS_Wage)/(1+Slot2_Rate))),1)</f>
        <v>1</v>
      </c>
      <c r="IN44" s="1" t="n">
        <f aca="false">IF(AND(HT44=1,ID44&gt;0,Slot2_IsWG=1,AG44=1),MAX(0,(Slot2_Cost-AH44*(1+Slot2_Rate)^(Slot2_Age-D44))/IM44),0)</f>
        <v>0</v>
      </c>
      <c r="IO44" s="1" t="n">
        <f aca="false">IF(AND(HT44=1,ID44&gt;0,Slot2_IsWG=1,AG44=1),MIN(ID44,IN44),0)</f>
        <v>0</v>
      </c>
      <c r="IP44" s="1" t="n">
        <f aca="false">AH44+IO44</f>
        <v>0</v>
      </c>
      <c r="IQ44" s="1" t="n">
        <f aca="false">IF(AG44=1,MAX(0,(Slot2_Cost-IP44*(1+Slot2_Rate)^(Slot2_Age-D44))/IM44),0)</f>
        <v>0</v>
      </c>
      <c r="IR44" s="1" t="n">
        <f aca="false">IF(AG44=1,MAX(0,(Slot2_Cost-AH44*(1+Slot2_Rate)^(Slot2_Age-D44))/IM44),0)</f>
        <v>0</v>
      </c>
      <c r="IS44" s="1" t="n">
        <f aca="false">IF(AND(HT44=1,AG44=1),MIN(IL44,IQ44),0)</f>
        <v>0</v>
      </c>
      <c r="IT44" s="1" t="n">
        <f aca="false">IL44-IS44</f>
        <v>0</v>
      </c>
      <c r="IU44" s="1" t="n">
        <f aca="false">IF(AQ44=1,IF(ABS((1+AS_Wage)/(1+Slot3_Rate)-1)&lt;0.000000000001,(Slot3_Age-D44)*(1+Slot3_Rate)^(Slot3_Age-D44),(1+Slot3_Rate)^(Slot3_Age-D44)*(1-((1+AS_Wage)/(1+Slot3_Rate))^(Slot3_Age-D44))/(1-(1+AS_Wage)/(1+Slot3_Rate))),1)</f>
        <v>1</v>
      </c>
      <c r="IV44" s="1" t="n">
        <f aca="false">IF(AND(HT44=1,ID44&gt;0,Slot3_IsWG=1,AQ44=1),MAX(0,(Slot3_Cost-AR44*(1+Slot3_Rate)^(Slot3_Age-D44))/IU44),0)</f>
        <v>0</v>
      </c>
      <c r="IW44" s="1" t="n">
        <f aca="false">IF(AND(HT44=1,ID44&gt;0,Slot3_IsWG=1,AQ44=1),MIN(ID44,IV44),0)</f>
        <v>0</v>
      </c>
      <c r="IX44" s="1" t="n">
        <f aca="false">AR44+IW44</f>
        <v>0</v>
      </c>
      <c r="IY44" s="1" t="n">
        <f aca="false">IF(AQ44=1,MAX(0,(Slot3_Cost-IX44*(1+Slot3_Rate)^(Slot3_Age-D44))/IU44),0)</f>
        <v>0</v>
      </c>
      <c r="IZ44" s="1" t="n">
        <f aca="false">IF(AQ44=1,MAX(0,(Slot3_Cost-AR44*(1+Slot3_Rate)^(Slot3_Age-D44))/IU44),0)</f>
        <v>0</v>
      </c>
      <c r="JA44" s="1" t="n">
        <f aca="false">IF(AND(HT44=1,AQ44=1),MIN(IT44,IY44),0)</f>
        <v>0</v>
      </c>
      <c r="JB44" s="1" t="n">
        <f aca="false">IT44-JA44</f>
        <v>0</v>
      </c>
      <c r="JC44" s="1" t="n">
        <f aca="false">IF(BA44=1,IF(ABS((1+AS_Wage)/(1+Slot4_Rate)-1)&lt;0.000000000001,(Slot4_Age-D44)*(1+Slot4_Rate)^(Slot4_Age-D44),(1+Slot4_Rate)^(Slot4_Age-D44)*(1-((1+AS_Wage)/(1+Slot4_Rate))^(Slot4_Age-D44))/(1-(1+AS_Wage)/(1+Slot4_Rate))),1)</f>
        <v>1</v>
      </c>
      <c r="JD44" s="1" t="n">
        <f aca="false">IF(AND(HT44=1,ID44&gt;0,Slot4_IsWG=1,BA44=1),MAX(0,(Slot4_Cost-BB44*(1+Slot4_Rate)^(Slot4_Age-D44))/JC44),0)</f>
        <v>0</v>
      </c>
      <c r="JE44" s="1" t="n">
        <f aca="false">IF(AND(HT44=1,ID44&gt;0,Slot4_IsWG=1,BA44=1),MIN(ID44,JD44),0)</f>
        <v>0</v>
      </c>
      <c r="JF44" s="1" t="n">
        <f aca="false">BB44+JE44</f>
        <v>0</v>
      </c>
      <c r="JG44" s="1" t="n">
        <f aca="false">IF(BA44=1,MAX(0,(Slot4_Cost-JF44*(1+Slot4_Rate)^(Slot4_Age-D44))/JC44),0)</f>
        <v>0</v>
      </c>
      <c r="JH44" s="1" t="n">
        <f aca="false">IF(BA44=1,MAX(0,(Slot4_Cost-BB44*(1+Slot4_Rate)^(Slot4_Age-D44))/JC44),0)</f>
        <v>0</v>
      </c>
      <c r="JI44" s="1" t="n">
        <f aca="false">IF(AND(HT44=1,BA44=1),MIN(JB44,JG44),0)</f>
        <v>0</v>
      </c>
      <c r="JJ44" s="1" t="n">
        <f aca="false">JB44-JI44</f>
        <v>0</v>
      </c>
      <c r="JK44" s="1" t="n">
        <f aca="false">IF(BK44=1,IF(ABS((1+AS_Wage)/(1+Slot5_Rate)-1)&lt;0.000000000001,(Slot5_Age-D44)*(1+Slot5_Rate)^(Slot5_Age-D44),(1+Slot5_Rate)^(Slot5_Age-D44)*(1-((1+AS_Wage)/(1+Slot5_Rate))^(Slot5_Age-D44))/(1-(1+AS_Wage)/(1+Slot5_Rate))),1)</f>
        <v>1</v>
      </c>
      <c r="JL44" s="1" t="n">
        <f aca="false">IF(AND(HT44=1,ID44&gt;0,Slot5_IsWG=1,BK44=1),MAX(0,(Slot5_Cost-BL44*(1+Slot5_Rate)^(Slot5_Age-D44))/JK44),0)</f>
        <v>0</v>
      </c>
      <c r="JM44" s="1" t="n">
        <f aca="false">IF(AND(HT44=1,ID44&gt;0,Slot5_IsWG=1,BK44=1),MIN(ID44,JL44),0)</f>
        <v>0</v>
      </c>
      <c r="JN44" s="1" t="n">
        <f aca="false">BL44+JM44</f>
        <v>0</v>
      </c>
      <c r="JO44" s="1" t="n">
        <f aca="false">IF(BK44=1,MAX(0,(Slot5_Cost-JN44*(1+Slot5_Rate)^(Slot5_Age-D44))/JK44),0)</f>
        <v>0</v>
      </c>
      <c r="JP44" s="1" t="n">
        <f aca="false">IF(BK44=1,MAX(0,(Slot5_Cost-BL44*(1+Slot5_Rate)^(Slot5_Age-D44))/JK44),0)</f>
        <v>0</v>
      </c>
      <c r="JQ44" s="1" t="n">
        <f aca="false">IF(AND(HT44=1,BK44=1),MIN(JJ44,JO44),0)</f>
        <v>0</v>
      </c>
      <c r="JR44" s="1" t="n">
        <f aca="false">JJ44-JQ44</f>
        <v>0</v>
      </c>
      <c r="JS44" s="1" t="n">
        <f aca="false">IF(BU44=1,IF(ABS((1+AS_Wage)/(1+Slot6_Rate)-1)&lt;0.000000000001,(Slot6_Age-D44)*(1+Slot6_Rate)^(Slot6_Age-D44),(1+Slot6_Rate)^(Slot6_Age-D44)*(1-((1+AS_Wage)/(1+Slot6_Rate))^(Slot6_Age-D44))/(1-(1+AS_Wage)/(1+Slot6_Rate))),1)</f>
        <v>1</v>
      </c>
      <c r="JT44" s="1" t="n">
        <f aca="false">IF(AND(HT44=1,ID44&gt;0,Slot6_IsWG=1,BU44=1),MAX(0,(Slot6_Cost-BV44*(1+Slot6_Rate)^(Slot6_Age-D44))/JS44),0)</f>
        <v>0</v>
      </c>
      <c r="JU44" s="1" t="n">
        <f aca="false">IF(AND(HT44=1,ID44&gt;0,Slot6_IsWG=1,BU44=1),MIN(ID44,JT44),0)</f>
        <v>0</v>
      </c>
      <c r="JV44" s="1" t="n">
        <f aca="false">BV44+JU44</f>
        <v>0</v>
      </c>
      <c r="JW44" s="1" t="n">
        <f aca="false">IF(BU44=1,MAX(0,(Slot6_Cost-JV44*(1+Slot6_Rate)^(Slot6_Age-D44))/JS44),0)</f>
        <v>0</v>
      </c>
      <c r="JX44" s="1" t="n">
        <f aca="false">IF(BU44=1,MAX(0,(Slot6_Cost-BV44*(1+Slot6_Rate)^(Slot6_Age-D44))/JS44),0)</f>
        <v>0</v>
      </c>
      <c r="JY44" s="1" t="n">
        <f aca="false">IF(AND(HT44=1,BU44=1),MIN(JR44,JW44),0)</f>
        <v>0</v>
      </c>
      <c r="JZ44" s="1" t="n">
        <f aca="false">JR44-JY44</f>
        <v>0</v>
      </c>
      <c r="KA44" s="1" t="n">
        <f aca="false">IF(CE44=1,IF(ABS((1+AS_Wage)/(1+Slot7_Rate)-1)&lt;0.000000000001,(Slot7_Age-D44)*(1+Slot7_Rate)^(Slot7_Age-D44),(1+Slot7_Rate)^(Slot7_Age-D44)*(1-((1+AS_Wage)/(1+Slot7_Rate))^(Slot7_Age-D44))/(1-(1+AS_Wage)/(1+Slot7_Rate))),1)</f>
        <v>1</v>
      </c>
      <c r="KB44" s="1" t="n">
        <f aca="false">IF(AND(HT44=1,ID44&gt;0,Slot7_IsWG=1,CE44=1),MAX(0,(Slot7_Cost-CF44*(1+Slot7_Rate)^(Slot7_Age-D44))/KA44),0)</f>
        <v>0</v>
      </c>
      <c r="KC44" s="1" t="n">
        <f aca="false">IF(AND(HT44=1,ID44&gt;0,Slot7_IsWG=1,CE44=1),MIN(ID44,KB44),0)</f>
        <v>0</v>
      </c>
      <c r="KD44" s="1" t="n">
        <f aca="false">CF44+KC44</f>
        <v>0</v>
      </c>
      <c r="KE44" s="1" t="n">
        <f aca="false">IF(CE44=1,MAX(0,(Slot7_Cost-KD44*(1+Slot7_Rate)^(Slot7_Age-D44))/KA44),0)</f>
        <v>0</v>
      </c>
      <c r="KF44" s="1" t="n">
        <f aca="false">IF(CE44=1,MAX(0,(Slot7_Cost-CF44*(1+Slot7_Rate)^(Slot7_Age-D44))/KA44),0)</f>
        <v>0</v>
      </c>
      <c r="KG44" s="1" t="n">
        <f aca="false">IF(AND(HT44=1,CE44=1),MIN(JZ44,KE44),0)</f>
        <v>0</v>
      </c>
      <c r="KH44" s="1" t="n">
        <f aca="false">JZ44-KG44</f>
        <v>0</v>
      </c>
      <c r="KI44" s="1" t="n">
        <f aca="false">IF(CO44=1,IF(ABS((1+AS_Wage)/(1+Slot8_Rate)-1)&lt;0.000000000001,(Slot8_Age-D44)*(1+Slot8_Rate)^(Slot8_Age-D44),(1+Slot8_Rate)^(Slot8_Age-D44)*(1-((1+AS_Wage)/(1+Slot8_Rate))^(Slot8_Age-D44))/(1-(1+AS_Wage)/(1+Slot8_Rate))),1)</f>
        <v>1</v>
      </c>
      <c r="KJ44" s="1" t="n">
        <f aca="false">IF(AND(HT44=1,ID44&gt;0,Slot8_IsWG=1,CO44=1),MAX(0,(Slot8_Cost-CP44*(1+Slot8_Rate)^(Slot8_Age-D44))/KI44),0)</f>
        <v>0</v>
      </c>
      <c r="KK44" s="1" t="n">
        <f aca="false">IF(AND(HT44=1,ID44&gt;0,Slot8_IsWG=1,CO44=1),MIN(ID44,KJ44),0)</f>
        <v>0</v>
      </c>
      <c r="KL44" s="1" t="n">
        <f aca="false">CP44+KK44</f>
        <v>0</v>
      </c>
      <c r="KM44" s="1" t="n">
        <f aca="false">IF(CO44=1,MAX(0,(Slot8_Cost-KL44*(1+Slot8_Rate)^(Slot8_Age-D44))/KI44),0)</f>
        <v>0</v>
      </c>
      <c r="KN44" s="1" t="n">
        <f aca="false">IF(CO44=1,MAX(0,(Slot8_Cost-CP44*(1+Slot8_Rate)^(Slot8_Age-D44))/KI44),0)</f>
        <v>0</v>
      </c>
      <c r="KO44" s="1" t="n">
        <f aca="false">IF(AND(HT44=1,CO44=1),MIN(KH44,KM44),0)</f>
        <v>0</v>
      </c>
      <c r="KP44" s="1" t="n">
        <f aca="false">KH44-KO44</f>
        <v>0</v>
      </c>
      <c r="KQ44" s="1" t="n">
        <f aca="false">IF(CY44=1,IF(ABS((1+AS_Wage)/(1+Slot9_Rate)-1)&lt;0.000000000001,(Slot9_Age-D44)*(1+Slot9_Rate)^(Slot9_Age-D44),(1+Slot9_Rate)^(Slot9_Age-D44)*(1-((1+AS_Wage)/(1+Slot9_Rate))^(Slot9_Age-D44))/(1-(1+AS_Wage)/(1+Slot9_Rate))),1)</f>
        <v>1</v>
      </c>
      <c r="KR44" s="1" t="n">
        <f aca="false">IF(AND(HT44=1,ID44&gt;0,Slot9_IsWG=1,CY44=1),MAX(0,(Slot9_Cost-CZ44*(1+Slot9_Rate)^(Slot9_Age-D44))/KQ44),0)</f>
        <v>0</v>
      </c>
      <c r="KS44" s="1" t="n">
        <f aca="false">IF(AND(HT44=1,ID44&gt;0,Slot9_IsWG=1,CY44=1),MIN(ID44,KR44),0)</f>
        <v>0</v>
      </c>
      <c r="KT44" s="1" t="n">
        <f aca="false">CZ44+KS44</f>
        <v>0</v>
      </c>
      <c r="KU44" s="1" t="n">
        <f aca="false">IF(CY44=1,MAX(0,(Slot9_Cost-KT44*(1+Slot9_Rate)^(Slot9_Age-D44))/KQ44),0)</f>
        <v>0</v>
      </c>
      <c r="KV44" s="1" t="n">
        <f aca="false">IF(CY44=1,MAX(0,(Slot9_Cost-CZ44*(1+Slot9_Rate)^(Slot9_Age-D44))/KQ44),0)</f>
        <v>0</v>
      </c>
      <c r="KW44" s="1" t="n">
        <f aca="false">IF(AND(HT44=1,CY44=1),MIN(KP44,KU44),0)</f>
        <v>0</v>
      </c>
      <c r="KX44" s="1" t="n">
        <f aca="false">KP44-KW44</f>
        <v>0</v>
      </c>
      <c r="KY44" s="1" t="n">
        <f aca="false">IF(DI44=1,IF(ABS((1+AS_Wage)/(1+Slot10_Rate)-1)&lt;0.000000000001,(Slot10_Age-D44)*(1+Slot10_Rate)^(Slot10_Age-D44),(1+Slot10_Rate)^(Slot10_Age-D44)*(1-((1+AS_Wage)/(1+Slot10_Rate))^(Slot10_Age-D44))/(1-(1+AS_Wage)/(1+Slot10_Rate))),1)</f>
        <v>1</v>
      </c>
      <c r="KZ44" s="1" t="n">
        <f aca="false">IF(AND(HT44=1,ID44&gt;0,Slot10_IsWG=1,DI44=1),MAX(0,(Slot10_Cost-DJ44*(1+Slot10_Rate)^(Slot10_Age-D44))/KY44),0)</f>
        <v>0</v>
      </c>
      <c r="LA44" s="1" t="n">
        <f aca="false">IF(AND(HT44=1,ID44&gt;0,Slot10_IsWG=1,DI44=1),MIN(ID44,KZ44),0)</f>
        <v>0</v>
      </c>
      <c r="LB44" s="1" t="n">
        <f aca="false">DJ44+LA44</f>
        <v>0</v>
      </c>
      <c r="LC44" s="1" t="n">
        <f aca="false">IF(DI44=1,MAX(0,(Slot10_Cost-LB44*(1+Slot10_Rate)^(Slot10_Age-D44))/KY44),0)</f>
        <v>0</v>
      </c>
      <c r="LD44" s="1" t="n">
        <f aca="false">IF(DI44=1,MAX(0,(Slot10_Cost-DJ44*(1+Slot10_Rate)^(Slot10_Age-D44))/KY44),0)</f>
        <v>0</v>
      </c>
      <c r="LE44" s="1" t="n">
        <f aca="false">IF(AND(HT44=1,DI44=1),MIN(KX44,LC44),0)</f>
        <v>0</v>
      </c>
      <c r="LF44" s="1" t="n">
        <f aca="false">KX44-LE44</f>
        <v>0</v>
      </c>
      <c r="LG44" s="1" t="n">
        <f aca="false">IF(DS44=1,IF(ABS((1+AS_Wage)/(1+Slot11_Rate)-1)&lt;0.000000000001,(Slot11_Age-D44)*(1+Slot11_Rate)^(Slot11_Age-D44),(1+Slot11_Rate)^(Slot11_Age-D44)*(1-((1+AS_Wage)/(1+Slot11_Rate))^(Slot11_Age-D44))/(1-(1+AS_Wage)/(1+Slot11_Rate))),1)</f>
        <v>1</v>
      </c>
      <c r="LH44" s="1" t="n">
        <f aca="false">IF(AND(HT44=1,ID44&gt;0,Slot11_IsWG=1,DS44=1),MAX(0,(Slot11_Cost-DT44*(1+Slot11_Rate)^(Slot11_Age-D44))/LG44),0)</f>
        <v>0</v>
      </c>
      <c r="LI44" s="1" t="n">
        <f aca="false">IF(AND(HT44=1,ID44&gt;0,Slot11_IsWG=1,DS44=1),MIN(ID44,LH44),0)</f>
        <v>0</v>
      </c>
      <c r="LJ44" s="1" t="n">
        <f aca="false">DT44+LI44</f>
        <v>0</v>
      </c>
      <c r="LK44" s="1" t="n">
        <f aca="false">IF(DS44=1,MAX(0,(Slot11_Cost-LJ44*(1+Slot11_Rate)^(Slot11_Age-D44))/LG44),0)</f>
        <v>0</v>
      </c>
      <c r="LL44" s="1" t="n">
        <f aca="false">IF(DS44=1,MAX(0,(Slot11_Cost-DT44*(1+Slot11_Rate)^(Slot11_Age-D44))/LG44),0)</f>
        <v>0</v>
      </c>
      <c r="LM44" s="1" t="n">
        <f aca="false">IF(AND(HT44=1,DS44=1),MIN(LF44,LK44),0)</f>
        <v>0</v>
      </c>
      <c r="LN44" s="1" t="n">
        <f aca="false">LF44-LM44</f>
        <v>0</v>
      </c>
      <c r="LO44" s="1" t="n">
        <f aca="false">IF(EC44=1,IF(ABS((1+AS_Wage)/(1+Slot12_Rate)-1)&lt;0.000000000001,(Slot12_Age-D44)*(1+Slot12_Rate)^(Slot12_Age-D44),(1+Slot12_Rate)^(Slot12_Age-D44)*(1-((1+AS_Wage)/(1+Slot12_Rate))^(Slot12_Age-D44))/(1-(1+AS_Wage)/(1+Slot12_Rate))),1)</f>
        <v>1</v>
      </c>
      <c r="LP44" s="1" t="n">
        <f aca="false">IF(AND(HT44=1,ID44&gt;0,Slot12_IsWG=1,EC44=1),MAX(0,(Slot12_Cost-ED44*(1+Slot12_Rate)^(Slot12_Age-D44))/LO44),0)</f>
        <v>0</v>
      </c>
      <c r="LQ44" s="1" t="n">
        <f aca="false">IF(AND(HT44=1,ID44&gt;0,Slot12_IsWG=1,EC44=1),MIN(ID44,LP44),0)</f>
        <v>0</v>
      </c>
      <c r="LR44" s="1" t="n">
        <f aca="false">ED44+LQ44</f>
        <v>0</v>
      </c>
      <c r="LS44" s="1" t="n">
        <f aca="false">IF(EC44=1,MAX(0,(Slot12_Cost-LR44*(1+Slot12_Rate)^(Slot12_Age-D44))/LO44),0)</f>
        <v>0</v>
      </c>
      <c r="LT44" s="1" t="n">
        <f aca="false">IF(EC44=1,MAX(0,(Slot12_Cost-ED44*(1+Slot12_Rate)^(Slot12_Age-D44))/LO44),0)</f>
        <v>0</v>
      </c>
      <c r="LU44" s="1" t="n">
        <f aca="false">IF(AND(HT44=1,EC44=1),MIN(LN44,LS44),0)</f>
        <v>0</v>
      </c>
      <c r="LV44" s="1" t="n">
        <f aca="false">LN44-LU44</f>
        <v>0</v>
      </c>
      <c r="LW44" s="1" t="n">
        <f aca="false">IF(EM44=1,IF(ABS((1+AS_Wage)/(1+Slot13_Rate)-1)&lt;0.000000000001,(Slot13_Age-D44)*(1+Slot13_Rate)^(Slot13_Age-D44),(1+Slot13_Rate)^(Slot13_Age-D44)*(1-((1+AS_Wage)/(1+Slot13_Rate))^(Slot13_Age-D44))/(1-(1+AS_Wage)/(1+Slot13_Rate))),1)</f>
        <v>1</v>
      </c>
      <c r="LX44" s="1" t="n">
        <f aca="false">IF(AND(HT44=1,ID44&gt;0,Slot13_IsWG=1,EM44=1),MAX(0,(Slot13_Cost-EN44*(1+Slot13_Rate)^(Slot13_Age-D44))/LW44),0)</f>
        <v>0</v>
      </c>
      <c r="LY44" s="1" t="n">
        <f aca="false">IF(AND(HT44=1,ID44&gt;0,Slot13_IsWG=1,EM44=1),MIN(ID44,LX44),0)</f>
        <v>0</v>
      </c>
      <c r="LZ44" s="1" t="n">
        <f aca="false">EN44+LY44</f>
        <v>0</v>
      </c>
      <c r="MA44" s="1" t="n">
        <f aca="false">IF(EM44=1,MAX(0,(Slot13_Cost-LZ44*(1+Slot13_Rate)^(Slot13_Age-D44))/LW44),0)</f>
        <v>0</v>
      </c>
      <c r="MB44" s="1" t="n">
        <f aca="false">IF(EM44=1,MAX(0,(Slot13_Cost-EN44*(1+Slot13_Rate)^(Slot13_Age-D44))/LW44),0)</f>
        <v>0</v>
      </c>
      <c r="MC44" s="1" t="n">
        <f aca="false">IF(AND(HT44=1,EM44=1),MIN(LV44,MA44),0)</f>
        <v>0</v>
      </c>
      <c r="MD44" s="1" t="n">
        <f aca="false">LV44-MC44</f>
        <v>0</v>
      </c>
      <c r="ME44" s="1" t="n">
        <f aca="false">IF(EW44=1,IF(ABS((1+AS_Wage)/(1+Slot14_Rate)-1)&lt;0.000000000001,(Slot14_Age-D44)*(1+Slot14_Rate)^(Slot14_Age-D44),(1+Slot14_Rate)^(Slot14_Age-D44)*(1-((1+AS_Wage)/(1+Slot14_Rate))^(Slot14_Age-D44))/(1-(1+AS_Wage)/(1+Slot14_Rate))),1)</f>
        <v>1</v>
      </c>
      <c r="MF44" s="1" t="n">
        <f aca="false">IF(AND(HT44=1,ID44&gt;0,Slot14_IsWG=1,EW44=1),MAX(0,(Slot14_Cost-EX44*(1+Slot14_Rate)^(Slot14_Age-D44))/ME44),0)</f>
        <v>0</v>
      </c>
      <c r="MG44" s="1" t="n">
        <f aca="false">IF(AND(HT44=1,ID44&gt;0,Slot14_IsWG=1,EW44=1),MIN(ID44,MF44),0)</f>
        <v>0</v>
      </c>
      <c r="MH44" s="1" t="n">
        <f aca="false">EX44+MG44</f>
        <v>0</v>
      </c>
      <c r="MI44" s="1" t="n">
        <f aca="false">IF(EW44=1,MAX(0,(Slot14_Cost-MH44*(1+Slot14_Rate)^(Slot14_Age-D44))/ME44),0)</f>
        <v>0</v>
      </c>
      <c r="MJ44" s="1" t="n">
        <f aca="false">IF(EW44=1,MAX(0,(Slot14_Cost-EX44*(1+Slot14_Rate)^(Slot14_Age-D44))/ME44),0)</f>
        <v>0</v>
      </c>
      <c r="MK44" s="1" t="n">
        <f aca="false">IF(AND(HT44=1,EW44=1),MIN(MD44,MI44),0)</f>
        <v>0</v>
      </c>
      <c r="ML44" s="1" t="n">
        <f aca="false">MD44-MK44</f>
        <v>0</v>
      </c>
      <c r="MM44" s="1" t="n">
        <f aca="false">IF(FG44=1,IF(ABS((1+AS_Wage)/(1+Slot15_Rate)-1)&lt;0.000000000001,(Slot15_Age-D44)*(1+Slot15_Rate)^(Slot15_Age-D44),(1+Slot15_Rate)^(Slot15_Age-D44)*(1-((1+AS_Wage)/(1+Slot15_Rate))^(Slot15_Age-D44))/(1-(1+AS_Wage)/(1+Slot15_Rate))),1)</f>
        <v>1</v>
      </c>
      <c r="MN44" s="1" t="n">
        <f aca="false">IF(AND(HT44=1,ID44&gt;0,Slot15_IsWG=1,FG44=1),MAX(0,(Slot15_Cost-FH44*(1+Slot15_Rate)^(Slot15_Age-D44))/MM44),0)</f>
        <v>0</v>
      </c>
      <c r="MO44" s="1" t="n">
        <f aca="false">IF(AND(HT44=1,ID44&gt;0,Slot15_IsWG=1,FG44=1),MIN(ID44,MN44),0)</f>
        <v>0</v>
      </c>
      <c r="MP44" s="1" t="n">
        <f aca="false">FH44+MO44</f>
        <v>0</v>
      </c>
      <c r="MQ44" s="1" t="n">
        <f aca="false">IF(FG44=1,MAX(0,(Slot15_Cost-MP44*(1+Slot15_Rate)^(Slot15_Age-D44))/MM44),0)</f>
        <v>0</v>
      </c>
      <c r="MR44" s="1" t="n">
        <f aca="false">IF(FG44=1,MAX(0,(Slot15_Cost-FH44*(1+Slot15_Rate)^(Slot15_Age-D44))/MM44),0)</f>
        <v>0</v>
      </c>
      <c r="MS44" s="1" t="n">
        <f aca="false">IF(AND(HT44=1,FG44=1),MIN(ML44,MQ44),0)</f>
        <v>0</v>
      </c>
      <c r="MT44" s="1" t="n">
        <f aca="false">ML44-MS44</f>
        <v>0</v>
      </c>
      <c r="MU44" s="1" t="n">
        <f aca="false">IF(FQ44=1,IF(ABS((1+AS_Wage)/(1+Slot16_Rate)-1)&lt;0.000000000001,(Slot16_Age-D44)*(1+Slot16_Rate)^(Slot16_Age-D44),(1+Slot16_Rate)^(Slot16_Age-D44)*(1-((1+AS_Wage)/(1+Slot16_Rate))^(Slot16_Age-D44))/(1-(1+AS_Wage)/(1+Slot16_Rate))),1)</f>
        <v>1</v>
      </c>
      <c r="MV44" s="1" t="n">
        <f aca="false">IF(AND(HT44=1,ID44&gt;0,Slot16_IsWG=1,FQ44=1),MAX(0,(Slot16_Cost-FR44*(1+Slot16_Rate)^(Slot16_Age-D44))/MU44),0)</f>
        <v>0</v>
      </c>
      <c r="MW44" s="1" t="n">
        <f aca="false">IF(AND(HT44=1,ID44&gt;0,Slot16_IsWG=1,FQ44=1),MIN(ID44,MV44),0)</f>
        <v>0</v>
      </c>
      <c r="MX44" s="1" t="n">
        <f aca="false">FR44+MW44</f>
        <v>0</v>
      </c>
      <c r="MY44" s="1" t="n">
        <f aca="false">IF(FQ44=1,MAX(0,(Slot16_Cost-MX44*(1+Slot16_Rate)^(Slot16_Age-D44))/MU44),0)</f>
        <v>0</v>
      </c>
      <c r="MZ44" s="1" t="n">
        <f aca="false">IF(FQ44=1,MAX(0,(Slot16_Cost-FR44*(1+Slot16_Rate)^(Slot16_Age-D44))/MU44),0)</f>
        <v>0</v>
      </c>
      <c r="NA44" s="1" t="n">
        <f aca="false">IF(AND(HT44=1,FQ44=1),MIN(MT44,MY44),0)</f>
        <v>0</v>
      </c>
      <c r="NB44" s="1" t="n">
        <f aca="false">MT44-NA44</f>
        <v>0</v>
      </c>
      <c r="NC44" s="1" t="n">
        <f aca="false">IF(GA44=1,IF(ABS((1+AS_Wage)/(1+Slot17_Rate)-1)&lt;0.000000000001,(Slot17_Age-D44)*(1+Slot17_Rate)^(Slot17_Age-D44),(1+Slot17_Rate)^(Slot17_Age-D44)*(1-((1+AS_Wage)/(1+Slot17_Rate))^(Slot17_Age-D44))/(1-(1+AS_Wage)/(1+Slot17_Rate))),1)</f>
        <v>1</v>
      </c>
      <c r="ND44" s="1" t="n">
        <f aca="false">IF(AND(HT44=1,ID44&gt;0,Slot17_IsWG=1,GA44=1),MAX(0,(Slot17_Cost-GB44*(1+Slot17_Rate)^(Slot17_Age-D44))/NC44),0)</f>
        <v>0</v>
      </c>
      <c r="NE44" s="1" t="n">
        <f aca="false">IF(AND(HT44=1,ID44&gt;0,Slot17_IsWG=1,GA44=1),MIN(ID44,ND44),0)</f>
        <v>0</v>
      </c>
      <c r="NF44" s="1" t="n">
        <f aca="false">GB44+NE44</f>
        <v>0</v>
      </c>
      <c r="NG44" s="1" t="n">
        <f aca="false">IF(GA44=1,MAX(0,(Slot17_Cost-NF44*(1+Slot17_Rate)^(Slot17_Age-D44))/NC44),0)</f>
        <v>0</v>
      </c>
      <c r="NH44" s="1" t="n">
        <f aca="false">IF(GA44=1,MAX(0,(Slot17_Cost-GB44*(1+Slot17_Rate)^(Slot17_Age-D44))/NC44),0)</f>
        <v>0</v>
      </c>
      <c r="NI44" s="1" t="n">
        <f aca="false">IF(AND(HT44=1,GA44=1),MIN(NB44,NG44),0)</f>
        <v>0</v>
      </c>
      <c r="NJ44" s="1" t="n">
        <f aca="false">NB44-NI44</f>
        <v>0</v>
      </c>
      <c r="NK44" s="1" t="n">
        <f aca="false">IF(GK44=1,IF(ABS((1+AS_Wage)/(1+Slot18_Rate)-1)&lt;0.000000000001,(Slot18_Age-D44)*(1+Slot18_Rate)^(Slot18_Age-D44),(1+Slot18_Rate)^(Slot18_Age-D44)*(1-((1+AS_Wage)/(1+Slot18_Rate))^(Slot18_Age-D44))/(1-(1+AS_Wage)/(1+Slot18_Rate))),1)</f>
        <v>1</v>
      </c>
      <c r="NL44" s="1" t="n">
        <f aca="false">IF(AND(HT44=1,ID44&gt;0,Slot18_IsWG=1,GK44=1),MAX(0,(Slot18_Cost-GL44*(1+Slot18_Rate)^(Slot18_Age-D44))/NK44),0)</f>
        <v>0</v>
      </c>
      <c r="NM44" s="1" t="n">
        <f aca="false">IF(AND(HT44=1,ID44&gt;0,Slot18_IsWG=1,GK44=1),MIN(ID44,NL44),0)</f>
        <v>0</v>
      </c>
      <c r="NN44" s="1" t="n">
        <f aca="false">GL44+NM44</f>
        <v>0</v>
      </c>
      <c r="NO44" s="1" t="n">
        <f aca="false">IF(GK44=1,MAX(0,(Slot18_Cost-NN44*(1+Slot18_Rate)^(Slot18_Age-D44))/NK44),0)</f>
        <v>0</v>
      </c>
      <c r="NP44" s="1" t="n">
        <f aca="false">IF(GK44=1,MAX(0,(Slot18_Cost-GL44*(1+Slot18_Rate)^(Slot18_Age-D44))/NK44),0)</f>
        <v>0</v>
      </c>
      <c r="NQ44" s="1" t="n">
        <f aca="false">IF(AND(HT44=1,GK44=1),MIN(NJ44,NO44),0)</f>
        <v>0</v>
      </c>
      <c r="NR44" s="1" t="n">
        <f aca="false">NJ44-NQ44</f>
        <v>0</v>
      </c>
      <c r="NS44" s="1" t="n">
        <f aca="false">IF(GU44=1,IF(ABS((1+AS_Wage)/(1+Slot19_Rate)-1)&lt;0.000000000001,(Slot19_Age-D44)*(1+Slot19_Rate)^(Slot19_Age-D44),(1+Slot19_Rate)^(Slot19_Age-D44)*(1-((1+AS_Wage)/(1+Slot19_Rate))^(Slot19_Age-D44))/(1-(1+AS_Wage)/(1+Slot19_Rate))),1)</f>
        <v>1</v>
      </c>
      <c r="NT44" s="1" t="n">
        <f aca="false">IF(AND(HT44=1,ID44&gt;0,Slot19_IsWG=1,GU44=1),MAX(0,(Slot19_Cost-GV44*(1+Slot19_Rate)^(Slot19_Age-D44))/NS44),0)</f>
        <v>0</v>
      </c>
      <c r="NU44" s="1" t="n">
        <f aca="false">IF(AND(HT44=1,ID44&gt;0,Slot19_IsWG=1,GU44=1),MIN(ID44,NT44),0)</f>
        <v>0</v>
      </c>
      <c r="NV44" s="1" t="n">
        <f aca="false">GV44+NU44</f>
        <v>0</v>
      </c>
      <c r="NW44" s="1" t="n">
        <f aca="false">IF(GU44=1,MAX(0,(Slot19_Cost-NV44*(1+Slot19_Rate)^(Slot19_Age-D44))/NS44),0)</f>
        <v>0</v>
      </c>
      <c r="NX44" s="1" t="n">
        <f aca="false">IF(GU44=1,MAX(0,(Slot19_Cost-GV44*(1+Slot19_Rate)^(Slot19_Age-D44))/NS44),0)</f>
        <v>0</v>
      </c>
      <c r="NY44" s="1" t="n">
        <f aca="false">IF(AND(HT44=1,GU44=1),MIN(NR44,NW44),0)</f>
        <v>0</v>
      </c>
      <c r="NZ44" s="1" t="n">
        <f aca="false">NR44-NY44</f>
        <v>0</v>
      </c>
      <c r="OA44" s="1" t="n">
        <f aca="false">IF(HE44=1,IF(ABS((1+AS_Wage)/(1+Slot20_Rate)-1)&lt;0.000000000001,(Slot20_Age-D44)*(1+Slot20_Rate)^(Slot20_Age-D44),(1+Slot20_Rate)^(Slot20_Age-D44)*(1-((1+AS_Wage)/(1+Slot20_Rate))^(Slot20_Age-D44))/(1-(1+AS_Wage)/(1+Slot20_Rate))),1)</f>
        <v>1</v>
      </c>
      <c r="OB44" s="1" t="n">
        <f aca="false">IF(AND(HT44=1,ID44&gt;0,Slot20_IsWG=1,HE44=1),MAX(0,(Slot20_Cost-HF44*(1+Slot20_Rate)^(Slot20_Age-D44))/OA44),0)</f>
        <v>0</v>
      </c>
      <c r="OC44" s="1" t="n">
        <f aca="false">IF(AND(HT44=1,ID44&gt;0,Slot20_IsWG=1,HE44=1),MIN(ID44,OB44),0)</f>
        <v>0</v>
      </c>
      <c r="OD44" s="1" t="n">
        <f aca="false">HF44+OC44</f>
        <v>0</v>
      </c>
      <c r="OE44" s="1" t="n">
        <f aca="false">IF(HE44=1,MAX(0,(Slot20_Cost-OD44*(1+Slot20_Rate)^(Slot20_Age-D44))/OA44),0)</f>
        <v>0</v>
      </c>
      <c r="OF44" s="1" t="n">
        <f aca="false">IF(HE44=1,MAX(0,(Slot20_Cost-HF44*(1+Slot20_Rate)^(Slot20_Age-D44))/OA44),0)</f>
        <v>0</v>
      </c>
      <c r="OG44" s="1" t="n">
        <f aca="false">IF(AND(HT44=1,HE44=1),MIN(NZ44,OE44),0)</f>
        <v>0</v>
      </c>
      <c r="OH44" s="1" t="n">
        <f aca="false">NZ44-OG44</f>
        <v>0</v>
      </c>
      <c r="OI44" s="1" t="n">
        <f aca="false">ID44-(IG44+IO44+IW44+JE44+JM44+JU44+KC44+KK44+KS44+LA44+LI44+LQ44+LY44+MG44+MO44+MW44+NE44+NM44+NU44+OC44)</f>
        <v>0</v>
      </c>
      <c r="OJ44" s="1" t="n">
        <f aca="false">IF(HT44=1,HR44-IC44-ID44,0)</f>
        <v>0</v>
      </c>
      <c r="OK44" s="1" t="n">
        <f aca="false">IF(HT44=0,-HR44,0)</f>
        <v>0</v>
      </c>
      <c r="OL44" s="1" t="n">
        <f aca="false">MIN(OK44,HJ44)</f>
        <v>0</v>
      </c>
      <c r="OM44" s="1" t="n">
        <f aca="false">OK44-OL44</f>
        <v>0</v>
      </c>
      <c r="ON44" s="1" t="n">
        <f aca="false">MIN(OM44,HK44)</f>
        <v>0</v>
      </c>
      <c r="OO44" s="1" t="n">
        <f aca="false">OM44-ON44</f>
        <v>0</v>
      </c>
      <c r="OP44" s="1" t="n">
        <f aca="false">IF(AND(HT44=0,HE44=1,OO44&gt;0),MIN(OO44,HF44),0)</f>
        <v>0</v>
      </c>
      <c r="OQ44" s="1" t="n">
        <f aca="false">OO44-OP44</f>
        <v>0</v>
      </c>
      <c r="OR44" s="1" t="n">
        <f aca="false">IF(AND(HT44=0,GU44=1,OQ44&gt;0),MIN(OQ44,GV44),0)</f>
        <v>0</v>
      </c>
      <c r="OS44" s="1" t="n">
        <f aca="false">OQ44-OR44</f>
        <v>0</v>
      </c>
      <c r="OT44" s="1" t="n">
        <f aca="false">IF(AND(HT44=0,GK44=1,OS44&gt;0),MIN(OS44,GL44),0)</f>
        <v>0</v>
      </c>
      <c r="OU44" s="1" t="n">
        <f aca="false">OS44-OT44</f>
        <v>0</v>
      </c>
      <c r="OV44" s="1" t="n">
        <f aca="false">IF(AND(HT44=0,GA44=1,OU44&gt;0),MIN(OU44,GB44),0)</f>
        <v>0</v>
      </c>
      <c r="OW44" s="1" t="n">
        <f aca="false">OU44-OV44</f>
        <v>0</v>
      </c>
      <c r="OX44" s="1" t="n">
        <f aca="false">IF(AND(HT44=0,FQ44=1,OW44&gt;0),MIN(OW44,FR44),0)</f>
        <v>0</v>
      </c>
      <c r="OY44" s="1" t="n">
        <f aca="false">OW44-OX44</f>
        <v>0</v>
      </c>
      <c r="OZ44" s="1" t="n">
        <f aca="false">IF(AND(HT44=0,FG44=1,OY44&gt;0),MIN(OY44,FH44),0)</f>
        <v>0</v>
      </c>
      <c r="PA44" s="1" t="n">
        <f aca="false">OY44-OZ44</f>
        <v>0</v>
      </c>
      <c r="PB44" s="1" t="n">
        <f aca="false">IF(AND(HT44=0,EW44=1,PA44&gt;0),MIN(PA44,EX44),0)</f>
        <v>0</v>
      </c>
      <c r="PC44" s="1" t="n">
        <f aca="false">PA44-PB44</f>
        <v>0</v>
      </c>
      <c r="PD44" s="1" t="n">
        <f aca="false">IF(AND(HT44=0,EM44=1,PC44&gt;0),MIN(PC44,EN44),0)</f>
        <v>0</v>
      </c>
      <c r="PE44" s="1" t="n">
        <f aca="false">PC44-PD44</f>
        <v>0</v>
      </c>
      <c r="PF44" s="1" t="n">
        <f aca="false">IF(AND(HT44=0,EC44=1,PE44&gt;0),MIN(PE44,ED44),0)</f>
        <v>0</v>
      </c>
      <c r="PG44" s="1" t="n">
        <f aca="false">PE44-PF44</f>
        <v>0</v>
      </c>
      <c r="PH44" s="1" t="n">
        <f aca="false">IF(AND(HT44=0,DS44=1,PG44&gt;0),MIN(PG44,DT44),0)</f>
        <v>0</v>
      </c>
      <c r="PI44" s="1" t="n">
        <f aca="false">PG44-PH44</f>
        <v>0</v>
      </c>
      <c r="PJ44" s="1" t="n">
        <f aca="false">IF(AND(HT44=0,DI44=1,PI44&gt;0),MIN(PI44,DJ44),0)</f>
        <v>0</v>
      </c>
      <c r="PK44" s="1" t="n">
        <f aca="false">PI44-PJ44</f>
        <v>0</v>
      </c>
      <c r="PL44" s="1" t="n">
        <f aca="false">IF(AND(HT44=0,CY44=1,PK44&gt;0),MIN(PK44,CZ44),0)</f>
        <v>0</v>
      </c>
      <c r="PM44" s="1" t="n">
        <f aca="false">PK44-PL44</f>
        <v>0</v>
      </c>
      <c r="PN44" s="1" t="n">
        <f aca="false">IF(AND(HT44=0,CO44=1,PM44&gt;0),MIN(PM44,CP44),0)</f>
        <v>0</v>
      </c>
      <c r="PO44" s="1" t="n">
        <f aca="false">PM44-PN44</f>
        <v>0</v>
      </c>
      <c r="PP44" s="1" t="n">
        <f aca="false">IF(AND(HT44=0,CE44=1,PO44&gt;0),MIN(PO44,CF44),0)</f>
        <v>0</v>
      </c>
      <c r="PQ44" s="1" t="n">
        <f aca="false">PO44-PP44</f>
        <v>0</v>
      </c>
      <c r="PR44" s="1" t="n">
        <f aca="false">IF(AND(HT44=0,BU44=1,PQ44&gt;0),MIN(PQ44,BV44),0)</f>
        <v>0</v>
      </c>
      <c r="PS44" s="1" t="n">
        <f aca="false">PQ44-PR44</f>
        <v>0</v>
      </c>
      <c r="PT44" s="1" t="n">
        <f aca="false">IF(AND(HT44=0,BK44=1,PS44&gt;0),MIN(PS44,BL44),0)</f>
        <v>0</v>
      </c>
      <c r="PU44" s="1" t="n">
        <f aca="false">PS44-PT44</f>
        <v>0</v>
      </c>
      <c r="PV44" s="1" t="n">
        <f aca="false">IF(AND(HT44=0,BA44=1,PU44&gt;0),MIN(PU44,BB44),0)</f>
        <v>0</v>
      </c>
      <c r="PW44" s="1" t="n">
        <f aca="false">PU44-PV44</f>
        <v>0</v>
      </c>
      <c r="PX44" s="1" t="n">
        <f aca="false">IF(AND(HT44=0,AQ44=1,PW44&gt;0),MIN(PW44,AR44),0)</f>
        <v>0</v>
      </c>
      <c r="PY44" s="1" t="n">
        <f aca="false">PW44-PX44</f>
        <v>0</v>
      </c>
      <c r="PZ44" s="1" t="n">
        <f aca="false">IF(AND(HT44=0,AG44=1,PY44&gt;0),MIN(PY44,AH44),0)</f>
        <v>0</v>
      </c>
      <c r="QA44" s="1" t="n">
        <f aca="false">PY44-PZ44</f>
        <v>0</v>
      </c>
      <c r="QB44" s="1" t="n">
        <f aca="false">IF(AND(HT44=0,V44=1,QA44&gt;0),MIN(QA44,W44),0)</f>
        <v>0</v>
      </c>
      <c r="QC44" s="1" t="n">
        <f aca="false">QA44-QB44</f>
        <v>0</v>
      </c>
      <c r="QD44" s="1" t="n">
        <f aca="false">IF(HT44=0,QC44,0)</f>
        <v>0</v>
      </c>
      <c r="QE44" s="1" t="n">
        <f aca="false">OL44+ON44+QB44+PZ44+PX44+PV44+PT44+PR44+PP44+PN44+PL44+PJ44+PH44+PF44+PD44+PB44+OZ44+OX44+OV44+OT44+OR44+OP44</f>
        <v>0</v>
      </c>
      <c r="QF44" s="1" t="n">
        <f aca="false">IF(HT44=1,HJ44+OI44+OH44+IF(F44=1,0,OJ44),HJ44-OL44)</f>
        <v>0</v>
      </c>
      <c r="QG44" s="1" t="n">
        <f aca="false">HK44-ON44</f>
        <v>0</v>
      </c>
      <c r="QH44" s="1" t="n">
        <f aca="false">IF(HT44=1,IF(F44=1,IC44+ID44,HR44),0)</f>
        <v>0</v>
      </c>
      <c r="QI44" s="1" t="n">
        <f aca="false">IF(HT44=1,IF(F44=1,HR44-IC44-ID44,0),0)</f>
        <v>0</v>
      </c>
      <c r="QJ44" s="1" t="n">
        <f aca="false">QF44*(1+GR)</f>
        <v>0</v>
      </c>
      <c r="QK44" s="1" t="n">
        <f aca="false">QG44*(1+AS_Cash)</f>
        <v>0</v>
      </c>
      <c r="QL44" s="1" t="n">
        <f aca="false">IF(V44=1,IF(HT44=1,IH44+IK44,W44-QB44)*(1+Slot1_Rate),0)</f>
        <v>0</v>
      </c>
      <c r="QM44" s="1" t="n">
        <f aca="false">IF(AND(HT44=1,V44=1),(IG44+IK44)/E44,0)</f>
        <v>0</v>
      </c>
      <c r="QN44" s="1" t="n">
        <f aca="false">IF(B44=0,IG44+IK44,0)</f>
        <v>0</v>
      </c>
      <c r="QO44" s="1" t="n">
        <f aca="false">IF(B44=0,IF(HT44=1,II44,IJ44),0)</f>
        <v>0</v>
      </c>
      <c r="QP44" s="1" t="n">
        <f aca="false">IF(AG44=1,IF(HT44=1,IP44+IS44,AH44-PZ44)*(1+Slot2_Rate),0)</f>
        <v>0</v>
      </c>
      <c r="QQ44" s="1" t="n">
        <f aca="false">IF(AND(HT44=1,AG44=1),(IO44+IS44)/E44,0)</f>
        <v>0</v>
      </c>
      <c r="QR44" s="1" t="n">
        <f aca="false">IF(B44=0,IO44+IS44,0)</f>
        <v>0</v>
      </c>
      <c r="QS44" s="1" t="n">
        <f aca="false">IF(B44=0,IF(HT44=1,IQ44,IR44),0)</f>
        <v>0</v>
      </c>
      <c r="QT44" s="1" t="n">
        <f aca="false">IF(AQ44=1,IF(HT44=1,IX44+JA44,AR44-PX44)*(1+Slot3_Rate),0)</f>
        <v>0</v>
      </c>
      <c r="QU44" s="1" t="n">
        <f aca="false">IF(AND(HT44=1,AQ44=1),(IW44+JA44)/E44,0)</f>
        <v>0</v>
      </c>
      <c r="QV44" s="1" t="n">
        <f aca="false">IF(B44=0,IW44+JA44,0)</f>
        <v>0</v>
      </c>
      <c r="QW44" s="1" t="n">
        <f aca="false">IF(B44=0,IF(HT44=1,IY44,IZ44),0)</f>
        <v>0</v>
      </c>
      <c r="QX44" s="1" t="n">
        <f aca="false">IF(BA44=1,IF(HT44=1,JF44+JI44,BB44-PV44)*(1+Slot4_Rate),0)</f>
        <v>0</v>
      </c>
      <c r="QY44" s="1" t="n">
        <f aca="false">IF(AND(HT44=1,BA44=1),(JE44+JI44)/E44,0)</f>
        <v>0</v>
      </c>
      <c r="QZ44" s="1" t="n">
        <f aca="false">IF(B44=0,JE44+JI44,0)</f>
        <v>0</v>
      </c>
      <c r="RA44" s="1" t="n">
        <f aca="false">IF(B44=0,IF(HT44=1,JG44,JH44),0)</f>
        <v>0</v>
      </c>
      <c r="RB44" s="1" t="n">
        <f aca="false">IF(BK44=1,IF(HT44=1,JN44+JQ44,BL44-PT44)*(1+Slot5_Rate),0)</f>
        <v>0</v>
      </c>
      <c r="RC44" s="1" t="n">
        <f aca="false">IF(AND(HT44=1,BK44=1),(JM44+JQ44)/E44,0)</f>
        <v>0</v>
      </c>
      <c r="RD44" s="1" t="n">
        <f aca="false">IF(B44=0,JM44+JQ44,0)</f>
        <v>0</v>
      </c>
      <c r="RE44" s="1" t="n">
        <f aca="false">IF(B44=0,IF(HT44=1,JO44,JP44),0)</f>
        <v>0</v>
      </c>
      <c r="RF44" s="1" t="n">
        <f aca="false">IF(BU44=1,IF(HT44=1,JV44+JY44,BV44-PR44)*(1+Slot6_Rate),0)</f>
        <v>0</v>
      </c>
      <c r="RG44" s="1" t="n">
        <f aca="false">IF(AND(HT44=1,BU44=1),(JU44+JY44)/E44,0)</f>
        <v>0</v>
      </c>
      <c r="RH44" s="1" t="n">
        <f aca="false">IF(B44=0,JU44+JY44,0)</f>
        <v>0</v>
      </c>
      <c r="RI44" s="1" t="n">
        <f aca="false">IF(B44=0,IF(HT44=1,JW44,JX44),0)</f>
        <v>0</v>
      </c>
      <c r="RJ44" s="1" t="n">
        <f aca="false">IF(CE44=1,IF(HT44=1,KD44+KG44,CF44-PP44)*(1+Slot7_Rate),0)</f>
        <v>0</v>
      </c>
      <c r="RK44" s="1" t="n">
        <f aca="false">IF(AND(HT44=1,CE44=1),(KC44+KG44)/E44,0)</f>
        <v>0</v>
      </c>
      <c r="RL44" s="1" t="n">
        <f aca="false">IF(B44=0,KC44+KG44,0)</f>
        <v>0</v>
      </c>
      <c r="RM44" s="1" t="n">
        <f aca="false">IF(B44=0,IF(HT44=1,KE44,KF44),0)</f>
        <v>0</v>
      </c>
      <c r="RN44" s="1" t="n">
        <f aca="false">IF(CO44=1,IF(HT44=1,KL44+KO44,CP44-PN44)*(1+Slot8_Rate),0)</f>
        <v>0</v>
      </c>
      <c r="RO44" s="1" t="n">
        <f aca="false">IF(AND(HT44=1,CO44=1),(KK44+KO44)/E44,0)</f>
        <v>0</v>
      </c>
      <c r="RP44" s="1" t="n">
        <f aca="false">IF(B44=0,KK44+KO44,0)</f>
        <v>0</v>
      </c>
      <c r="RQ44" s="1" t="n">
        <f aca="false">IF(B44=0,IF(HT44=1,KM44,KN44),0)</f>
        <v>0</v>
      </c>
      <c r="RR44" s="1" t="n">
        <f aca="false">IF(CY44=1,IF(HT44=1,KT44+KW44,CZ44-PL44)*(1+Slot9_Rate),0)</f>
        <v>0</v>
      </c>
      <c r="RS44" s="1" t="n">
        <f aca="false">IF(AND(HT44=1,CY44=1),(KS44+KW44)/E44,0)</f>
        <v>0</v>
      </c>
      <c r="RT44" s="1" t="n">
        <f aca="false">IF(B44=0,KS44+KW44,0)</f>
        <v>0</v>
      </c>
      <c r="RU44" s="1" t="n">
        <f aca="false">IF(B44=0,IF(HT44=1,KU44,KV44),0)</f>
        <v>0</v>
      </c>
      <c r="RV44" s="1" t="n">
        <f aca="false">IF(DI44=1,IF(HT44=1,LB44+LE44,DJ44-PJ44)*(1+Slot10_Rate),0)</f>
        <v>0</v>
      </c>
      <c r="RW44" s="1" t="n">
        <f aca="false">IF(AND(HT44=1,DI44=1),(LA44+LE44)/E44,0)</f>
        <v>0</v>
      </c>
      <c r="RX44" s="1" t="n">
        <f aca="false">IF(B44=0,LA44+LE44,0)</f>
        <v>0</v>
      </c>
      <c r="RY44" s="1" t="n">
        <f aca="false">IF(B44=0,IF(HT44=1,LC44,LD44),0)</f>
        <v>0</v>
      </c>
      <c r="RZ44" s="1" t="n">
        <f aca="false">IF(DS44=1,IF(HT44=1,LJ44+LM44,DT44-PH44)*(1+Slot11_Rate),0)</f>
        <v>0</v>
      </c>
      <c r="SA44" s="1" t="n">
        <f aca="false">IF(AND(HT44=1,DS44=1),(LI44+LM44)/E44,0)</f>
        <v>0</v>
      </c>
      <c r="SB44" s="1" t="n">
        <f aca="false">IF(B44=0,LI44+LM44,0)</f>
        <v>0</v>
      </c>
      <c r="SC44" s="1" t="n">
        <f aca="false">IF(B44=0,IF(HT44=1,LK44,LL44),0)</f>
        <v>0</v>
      </c>
      <c r="SD44" s="1" t="n">
        <f aca="false">IF(EC44=1,IF(HT44=1,LR44+LU44,ED44-PF44)*(1+Slot12_Rate),0)</f>
        <v>0</v>
      </c>
      <c r="SE44" s="1" t="n">
        <f aca="false">IF(AND(HT44=1,EC44=1),(LQ44+LU44)/E44,0)</f>
        <v>0</v>
      </c>
      <c r="SF44" s="1" t="n">
        <f aca="false">IF(B44=0,LQ44+LU44,0)</f>
        <v>0</v>
      </c>
      <c r="SG44" s="1" t="n">
        <f aca="false">IF(B44=0,IF(HT44=1,LS44,LT44),0)</f>
        <v>0</v>
      </c>
      <c r="SH44" s="1" t="n">
        <f aca="false">IF(EM44=1,IF(HT44=1,LZ44+MC44,EN44-PD44)*(1+Slot13_Rate),0)</f>
        <v>0</v>
      </c>
      <c r="SI44" s="1" t="n">
        <f aca="false">IF(AND(HT44=1,EM44=1),(LY44+MC44)/E44,0)</f>
        <v>0</v>
      </c>
      <c r="SJ44" s="1" t="n">
        <f aca="false">IF(B44=0,LY44+MC44,0)</f>
        <v>0</v>
      </c>
      <c r="SK44" s="1" t="n">
        <f aca="false">IF(B44=0,IF(HT44=1,MA44,MB44),0)</f>
        <v>0</v>
      </c>
      <c r="SL44" s="1" t="n">
        <f aca="false">IF(EW44=1,IF(HT44=1,MH44+MK44,EX44-PB44)*(1+Slot14_Rate),0)</f>
        <v>0</v>
      </c>
      <c r="SM44" s="1" t="n">
        <f aca="false">IF(AND(HT44=1,EW44=1),(MG44+MK44)/E44,0)</f>
        <v>0</v>
      </c>
      <c r="SN44" s="1" t="n">
        <f aca="false">IF(B44=0,MG44+MK44,0)</f>
        <v>0</v>
      </c>
      <c r="SO44" s="1" t="n">
        <f aca="false">IF(B44=0,IF(HT44=1,MI44,MJ44),0)</f>
        <v>0</v>
      </c>
      <c r="SP44" s="1" t="n">
        <f aca="false">IF(FG44=1,IF(HT44=1,MP44+MS44,FH44-OZ44)*(1+Slot15_Rate),0)</f>
        <v>0</v>
      </c>
      <c r="SQ44" s="1" t="n">
        <f aca="false">IF(AND(HT44=1,FG44=1),(MO44+MS44)/E44,0)</f>
        <v>0</v>
      </c>
      <c r="SR44" s="1" t="n">
        <f aca="false">IF(B44=0,MO44+MS44,0)</f>
        <v>0</v>
      </c>
      <c r="SS44" s="1" t="n">
        <f aca="false">IF(B44=0,IF(HT44=1,MQ44,MR44),0)</f>
        <v>0</v>
      </c>
      <c r="ST44" s="1" t="n">
        <f aca="false">IF(FQ44=1,IF(HT44=1,MX44+NA44,FR44-OX44)*(1+Slot16_Rate),0)</f>
        <v>0</v>
      </c>
      <c r="SU44" s="1" t="n">
        <f aca="false">IF(AND(HT44=1,FQ44=1),(MW44+NA44)/E44,0)</f>
        <v>0</v>
      </c>
      <c r="SV44" s="1" t="n">
        <f aca="false">IF(B44=0,MW44+NA44,0)</f>
        <v>0</v>
      </c>
      <c r="SW44" s="1" t="n">
        <f aca="false">IF(B44=0,IF(HT44=1,MY44,MZ44),0)</f>
        <v>0</v>
      </c>
      <c r="SX44" s="1" t="n">
        <f aca="false">IF(GA44=1,IF(HT44=1,NF44+NI44,GB44-OV44)*(1+Slot17_Rate),0)</f>
        <v>0</v>
      </c>
      <c r="SY44" s="1" t="n">
        <f aca="false">IF(AND(HT44=1,GA44=1),(NE44+NI44)/E44,0)</f>
        <v>0</v>
      </c>
      <c r="SZ44" s="1" t="n">
        <f aca="false">IF(B44=0,NE44+NI44,0)</f>
        <v>0</v>
      </c>
      <c r="TA44" s="1" t="n">
        <f aca="false">IF(B44=0,IF(HT44=1,NG44,NH44),0)</f>
        <v>0</v>
      </c>
      <c r="TB44" s="1" t="n">
        <f aca="false">IF(GK44=1,IF(HT44=1,NN44+NQ44,GL44-OT44)*(1+Slot18_Rate),0)</f>
        <v>0</v>
      </c>
      <c r="TC44" s="1" t="n">
        <f aca="false">IF(AND(HT44=1,GK44=1),(NM44+NQ44)/E44,0)</f>
        <v>0</v>
      </c>
      <c r="TD44" s="1" t="n">
        <f aca="false">IF(B44=0,NM44+NQ44,0)</f>
        <v>0</v>
      </c>
      <c r="TE44" s="1" t="n">
        <f aca="false">IF(B44=0,IF(HT44=1,NO44,NP44),0)</f>
        <v>0</v>
      </c>
      <c r="TF44" s="1" t="n">
        <f aca="false">IF(GU44=1,IF(HT44=1,NV44+NY44,GV44-OR44)*(1+Slot19_Rate),0)</f>
        <v>0</v>
      </c>
      <c r="TG44" s="1" t="n">
        <f aca="false">IF(AND(HT44=1,GU44=1),(NU44+NY44)/E44,0)</f>
        <v>0</v>
      </c>
      <c r="TH44" s="1" t="n">
        <f aca="false">IF(B44=0,NU44+NY44,0)</f>
        <v>0</v>
      </c>
      <c r="TI44" s="1" t="n">
        <f aca="false">IF(B44=0,IF(HT44=1,NW44,NX44),0)</f>
        <v>0</v>
      </c>
      <c r="TJ44" s="1" t="n">
        <f aca="false">IF(HE44=1,IF(HT44=1,OD44+OG44,HF44-OP44)*(1+Slot20_Rate),0)</f>
        <v>0</v>
      </c>
      <c r="TK44" s="1" t="n">
        <f aca="false">IF(AND(HT44=1,HE44=1),(OC44+OG44)/E44,0)</f>
        <v>0</v>
      </c>
      <c r="TL44" s="1" t="n">
        <f aca="false">IF(B44=0,OC44+OG44,0)</f>
        <v>0</v>
      </c>
      <c r="TM44" s="1" t="n">
        <f aca="false">IF(B44=0,IF(HT44=1,OE44,OF44),0)</f>
        <v>0</v>
      </c>
      <c r="TN44" s="1" t="n">
        <f aca="false">QJ44+QK44+QL44+QP44+QT44+QX44+RB44+RF44+RJ44+RN44+RR44+RV44+RZ44+SD44+SH44+SL44+SP44+ST44+SX44+TB44+TF44+TJ44</f>
        <v>0</v>
      </c>
      <c r="TO44" s="1" t="n">
        <f aca="false">QD44+HO44</f>
        <v>0</v>
      </c>
      <c r="TP44" s="1" t="n">
        <f aca="false">H44+R44</f>
        <v>0</v>
      </c>
      <c r="TQ44" s="1" t="n">
        <f aca="false">1-F44</f>
        <v>0</v>
      </c>
      <c r="TR44" s="1" t="n">
        <f aca="false">IF(AND(RG_Exists=1,F44=0,C44=1),H44,0)</f>
        <v>0</v>
      </c>
      <c r="TS44" s="1" t="n">
        <f aca="false">IF(AND(RG_Exists=1,F44=0,C44=1),H44-MIN(QD44,H44),0)</f>
        <v>0</v>
      </c>
      <c r="TT44" s="1" t="n">
        <f aca="false">'Plan pay &amp; tax'!AD270</f>
        <v>0</v>
      </c>
      <c r="TU44" s="1" t="n">
        <f aca="false">IF(AND(C44=1,QD44&gt;MAX(PR_Short1,TP44*PR_Short2)),1,0)</f>
        <v>0</v>
      </c>
      <c r="TV44" s="1" t="n">
        <f aca="false">MIN(G44,H44+R44)</f>
        <v>0</v>
      </c>
      <c r="TW44" s="1" t="n">
        <f aca="false">QE44+MAX(0,HP44-HO44)</f>
        <v>0</v>
      </c>
      <c r="TX44" s="1" t="n">
        <f aca="false">QD44+HO44</f>
        <v>0</v>
      </c>
      <c r="TY44" s="1" t="n">
        <f aca="false">IF(AND(C44=1,TX44&gt;PR_MinShort),1,0)</f>
        <v>0</v>
      </c>
      <c r="TZ44" s="1" t="n">
        <f aca="false">IF(AND(C44=1,TY44=0,TW44&gt;PR_MinShort),1,0)</f>
        <v>0</v>
      </c>
      <c r="UA44" s="1" t="n">
        <f aca="false">IF(AND(C44=1,QD44&gt;PR_MinShort),1,0)</f>
        <v>0</v>
      </c>
      <c r="UB44" s="1" t="n">
        <f aca="false">IF(AND(C44=1,QE44&gt;1,UI44=0),1,0)</f>
        <v>0</v>
      </c>
      <c r="UC44" s="1" t="str">
        <f aca="false">IF(C44=0,"",IF(UI44=1,"Gap to plan for: short "&amp;"€"&amp;TEXT(ROUND(TO44,0),"#,##0"),IF(QE44&gt;1,"Using savings","Comfortable")))</f>
        <v>Comfortable</v>
      </c>
      <c r="UD44" s="1" t="n">
        <f aca="false">IF(AND(INT(D44/10)*10=90,B44&gt;0),80,INT(D44/10)*10)</f>
        <v>30</v>
      </c>
      <c r="UE44" s="1" t="n">
        <f aca="false">IF(B44=0,1,IF(UD44&lt;&gt;UD43,UE43+1,UE43))</f>
        <v>4</v>
      </c>
      <c r="UF44" s="1" t="n">
        <f aca="false">IF(AND(C44=1,F44=1,QD44&gt;MAX(PR_Short1,TP44*PR_Short2)),1,0)</f>
        <v>0</v>
      </c>
      <c r="UG44" s="1" t="n">
        <f aca="false">TQ44*TU44</f>
        <v>0</v>
      </c>
      <c r="UH44" s="1" t="n">
        <f aca="false">IF(AND(U44=1,Slot1_PctLow=1),1,0)+IF(AND(AF44=1,Slot2_PctLow=1),1,0)+IF(AND(AP44=1,Slot3_PctLow=1),1,0)+IF(AND(AZ44=1,Slot4_PctLow=1),1,0)+IF(AND(BJ44=1,Slot5_PctLow=1),1,0)+IF(AND(BT44=1,Slot6_PctLow=1),1,0)+IF(AND(CD44=1,Slot7_PctLow=1),1,0)+IF(AND(CN44=1,Slot8_PctLow=1),1,0)+IF(AND(CX44=1,Slot9_PctLow=1),1,0)+IF(AND(DH44=1,Slot10_PctLow=1),1,0)+IF(AND(DR44=1,Slot11_PctLow=1),1,0)+IF(AND(EB44=1,Slot12_PctLow=1),1,0)+IF(AND(EL44=1,Slot13_PctLow=1),1,0)+IF(AND(EV44=1,Slot14_PctLow=1),1,0)+IF(AND(FF44=1,Slot15_PctLow=1),1,0)+IF(AND(FP44=1,Slot16_PctLow=1),1,0)+IF(AND(FZ44=1,Slot17_PctLow=1),1,0)+IF(AND(GJ44=1,Slot18_PctLow=1),1,0)+IF(AND(GT44=1,Slot19_PctLow=1),1,0)+IF(AND(HD44=1,Slot20_PctLow=1),1,0)</f>
        <v>0</v>
      </c>
      <c r="UI44" s="1" t="n">
        <f aca="false">IF(C44=1,IF(OR(TU44=1,UH44&gt;0),1,0),0)</f>
        <v>0</v>
      </c>
    </row>
    <row r="45" customFormat="false" ht="15" hidden="false" customHeight="true" outlineLevel="0" collapsed="false">
      <c r="B45" s="1" t="n">
        <v>37</v>
      </c>
      <c r="C45" s="1" t="n">
        <f aca="false">IF(B45&lt;=F_N,1,0)</f>
        <v>1</v>
      </c>
      <c r="D45" s="1" t="n">
        <f aca="false">'Plan pay &amp; tax'!C271</f>
        <v>37</v>
      </c>
      <c r="E45" s="111" t="n">
        <f aca="false">'Plan pay &amp; tax'!E271</f>
        <v>2.08068509059002</v>
      </c>
      <c r="F45" s="1" t="n">
        <f aca="false">'Plan pay &amp; tax'!G271</f>
        <v>1</v>
      </c>
      <c r="G45" s="1" t="n">
        <f aca="false">'Plan pay &amp; tax'!BT271-'Plan pay &amp; tax'!BS271-'Plan pay &amp; tax'!R271</f>
        <v>0</v>
      </c>
      <c r="H45" s="1" t="n">
        <f aca="false">IF(F45=1,F_CostsM*12,IF(RG_Exists=1,RG_Amount,F_CostsM*12*AS_RetireSpend))*E45+F_OneOffY*E45</f>
        <v>0</v>
      </c>
      <c r="I45" s="1" t="n">
        <f aca="false">HQ44</f>
        <v>0</v>
      </c>
      <c r="J45" s="1" t="n">
        <f aca="false">IF(I45&gt;1,'Plan debt months'!AC45,0)</f>
        <v>0</v>
      </c>
      <c r="K45" s="1" t="n">
        <f aca="false">IF(I45&gt;1,'Plan debt months'!AB45,I45)</f>
        <v>0</v>
      </c>
      <c r="L45" s="1" t="n">
        <f aca="false">N44</f>
        <v>0</v>
      </c>
      <c r="M45" s="1" t="n">
        <f aca="false">IF(L45&gt;1,'Plan debt months'!BD45,0)</f>
        <v>0</v>
      </c>
      <c r="N45" s="1" t="n">
        <f aca="false">IF(L45&gt;1,'Plan debt months'!BC45,L45)</f>
        <v>0</v>
      </c>
      <c r="O45" s="1" t="n">
        <f aca="false">Q44</f>
        <v>0</v>
      </c>
      <c r="P45" s="1" t="n">
        <f aca="false">IF(O45&gt;1,'Plan debt months'!CE45,0)</f>
        <v>0</v>
      </c>
      <c r="Q45" s="1" t="n">
        <f aca="false">IF(O45&gt;1,'Plan debt months'!CD45,O45)</f>
        <v>0</v>
      </c>
      <c r="R45" s="1" t="n">
        <f aca="false">J45+M45+P45</f>
        <v>0</v>
      </c>
      <c r="S45" s="1" t="n">
        <f aca="false">QJ44+'Plan pay &amp; tax'!Y271</f>
        <v>0</v>
      </c>
      <c r="T45" s="1" t="n">
        <f aca="false">QJ44</f>
        <v>0</v>
      </c>
      <c r="U45" s="1" t="n">
        <f aca="false">IF(AND(Slot1_On=1,D45=Slot1_Age),1,0)</f>
        <v>0</v>
      </c>
      <c r="V45" s="1" t="n">
        <f aca="false">IF(AND(Slot1_On=1,Slot1_Age&gt;D45),1,0)</f>
        <v>0</v>
      </c>
      <c r="W45" s="1" t="n">
        <f aca="false">QL44</f>
        <v>0</v>
      </c>
      <c r="X45" s="1" t="n">
        <f aca="false">U45*MIN(Slot1_Cost,W45)</f>
        <v>0</v>
      </c>
      <c r="Y45" s="1" t="n">
        <f aca="false">U45*Slot1_SpendLike*MIN(Slot1_Cost-X45,S45)</f>
        <v>0</v>
      </c>
      <c r="Z45" s="1" t="n">
        <f aca="false">X45+Y45</f>
        <v>0</v>
      </c>
      <c r="AA45" s="1" t="n">
        <f aca="false">S45-Y45+U45*IF(Slot1_SpendLike=1,W45-X45,IF(Slot1_PotFree=1,W45,0))</f>
        <v>0</v>
      </c>
      <c r="AB45" s="1" t="n">
        <f aca="false">AE45+U45*Slot1_BufPot*W45</f>
        <v>0</v>
      </c>
      <c r="AC45" s="1" t="n">
        <f aca="false">IF(AND(U45=1,Slot1_IsMfree=1),IF(Z45&gt;=Slot1_Cost-1,0,MAX(0,K45-Z45)),K45)</f>
        <v>0</v>
      </c>
      <c r="AD45" s="1" t="n">
        <f aca="false">U45*(Slot1_Cost-Z45)</f>
        <v>0</v>
      </c>
      <c r="AE45" s="1" t="n">
        <f aca="false">QK44</f>
        <v>0</v>
      </c>
      <c r="AF45" s="1" t="n">
        <f aca="false">IF(AND(Slot2_On=1,D45=Slot2_Age),1,0)</f>
        <v>0</v>
      </c>
      <c r="AG45" s="1" t="n">
        <f aca="false">IF(AND(Slot2_On=1,Slot2_Age&gt;D45),1,0)</f>
        <v>0</v>
      </c>
      <c r="AH45" s="1" t="n">
        <f aca="false">QP44</f>
        <v>0</v>
      </c>
      <c r="AI45" s="1" t="n">
        <f aca="false">AF45*MIN(Slot2_Cost,AH45)</f>
        <v>0</v>
      </c>
      <c r="AJ45" s="1" t="n">
        <f aca="false">AF45*Slot2_SpendLike*MIN(Slot2_Cost-AI45,AA45)</f>
        <v>0</v>
      </c>
      <c r="AK45" s="1" t="n">
        <f aca="false">AI45+AJ45</f>
        <v>0</v>
      </c>
      <c r="AL45" s="1" t="n">
        <f aca="false">AA45-AJ45+AF45*IF(Slot2_SpendLike=1,AH45-AI45,IF(Slot2_PotFree=1,AH45,0))</f>
        <v>0</v>
      </c>
      <c r="AM45" s="1" t="n">
        <f aca="false">AB45+AF45*Slot2_BufPot*AH45</f>
        <v>0</v>
      </c>
      <c r="AN45" s="1" t="n">
        <f aca="false">IF(AND(AF45=1,Slot2_IsMfree=1),IF(AK45&gt;=Slot2_Cost-1,0,MAX(0,AC45-AK45)),AC45)</f>
        <v>0</v>
      </c>
      <c r="AO45" s="1" t="n">
        <f aca="false">AF45*(Slot2_Cost-AK45)</f>
        <v>0</v>
      </c>
      <c r="AP45" s="1" t="n">
        <f aca="false">IF(AND(Slot3_On=1,D45=Slot3_Age),1,0)</f>
        <v>0</v>
      </c>
      <c r="AQ45" s="1" t="n">
        <f aca="false">IF(AND(Slot3_On=1,Slot3_Age&gt;D45),1,0)</f>
        <v>0</v>
      </c>
      <c r="AR45" s="1" t="n">
        <f aca="false">QT44</f>
        <v>0</v>
      </c>
      <c r="AS45" s="1" t="n">
        <f aca="false">AP45*MIN(Slot3_Cost,AR45)</f>
        <v>0</v>
      </c>
      <c r="AT45" s="1" t="n">
        <f aca="false">AP45*Slot3_SpendLike*MIN(Slot3_Cost-AS45,AL45)</f>
        <v>0</v>
      </c>
      <c r="AU45" s="1" t="n">
        <f aca="false">AS45+AT45</f>
        <v>0</v>
      </c>
      <c r="AV45" s="1" t="n">
        <f aca="false">AL45-AT45+AP45*IF(Slot3_SpendLike=1,AR45-AS45,IF(Slot3_PotFree=1,AR45,0))</f>
        <v>0</v>
      </c>
      <c r="AW45" s="1" t="n">
        <f aca="false">AM45+AP45*Slot3_BufPot*AR45</f>
        <v>0</v>
      </c>
      <c r="AX45" s="1" t="n">
        <f aca="false">IF(AND(AP45=1,Slot3_IsMfree=1),IF(AU45&gt;=Slot3_Cost-1,0,MAX(0,AN45-AU45)),AN45)</f>
        <v>0</v>
      </c>
      <c r="AY45" s="1" t="n">
        <f aca="false">AP45*(Slot3_Cost-AU45)</f>
        <v>0</v>
      </c>
      <c r="AZ45" s="1" t="n">
        <f aca="false">IF(AND(Slot4_On=1,D45=Slot4_Age),1,0)</f>
        <v>0</v>
      </c>
      <c r="BA45" s="1" t="n">
        <f aca="false">IF(AND(Slot4_On=1,Slot4_Age&gt;D45),1,0)</f>
        <v>0</v>
      </c>
      <c r="BB45" s="1" t="n">
        <f aca="false">QX44</f>
        <v>0</v>
      </c>
      <c r="BC45" s="1" t="n">
        <f aca="false">AZ45*MIN(Slot4_Cost,BB45)</f>
        <v>0</v>
      </c>
      <c r="BD45" s="1" t="n">
        <f aca="false">AZ45*Slot4_SpendLike*MIN(Slot4_Cost-BC45,AV45)</f>
        <v>0</v>
      </c>
      <c r="BE45" s="1" t="n">
        <f aca="false">BC45+BD45</f>
        <v>0</v>
      </c>
      <c r="BF45" s="1" t="n">
        <f aca="false">AV45-BD45+AZ45*IF(Slot4_SpendLike=1,BB45-BC45,IF(Slot4_PotFree=1,BB45,0))</f>
        <v>0</v>
      </c>
      <c r="BG45" s="1" t="n">
        <f aca="false">AW45+AZ45*Slot4_BufPot*BB45</f>
        <v>0</v>
      </c>
      <c r="BH45" s="1" t="n">
        <f aca="false">IF(AND(AZ45=1,Slot4_IsMfree=1),IF(BE45&gt;=Slot4_Cost-1,0,MAX(0,AX45-BE45)),AX45)</f>
        <v>0</v>
      </c>
      <c r="BI45" s="1" t="n">
        <f aca="false">AZ45*(Slot4_Cost-BE45)</f>
        <v>0</v>
      </c>
      <c r="BJ45" s="1" t="n">
        <f aca="false">IF(AND(Slot5_On=1,D45=Slot5_Age),1,0)</f>
        <v>0</v>
      </c>
      <c r="BK45" s="1" t="n">
        <f aca="false">IF(AND(Slot5_On=1,Slot5_Age&gt;D45),1,0)</f>
        <v>0</v>
      </c>
      <c r="BL45" s="1" t="n">
        <f aca="false">RB44</f>
        <v>0</v>
      </c>
      <c r="BM45" s="1" t="n">
        <f aca="false">BJ45*MIN(Slot5_Cost,BL45)</f>
        <v>0</v>
      </c>
      <c r="BN45" s="1" t="n">
        <f aca="false">BJ45*Slot5_SpendLike*MIN(Slot5_Cost-BM45,BF45)</f>
        <v>0</v>
      </c>
      <c r="BO45" s="1" t="n">
        <f aca="false">BM45+BN45</f>
        <v>0</v>
      </c>
      <c r="BP45" s="1" t="n">
        <f aca="false">BF45-BN45+BJ45*IF(Slot5_SpendLike=1,BL45-BM45,IF(Slot5_PotFree=1,BL45,0))</f>
        <v>0</v>
      </c>
      <c r="BQ45" s="1" t="n">
        <f aca="false">BG45+BJ45*Slot5_BufPot*BL45</f>
        <v>0</v>
      </c>
      <c r="BR45" s="1" t="n">
        <f aca="false">IF(AND(BJ45=1,Slot5_IsMfree=1),IF(BO45&gt;=Slot5_Cost-1,0,MAX(0,BH45-BO45)),BH45)</f>
        <v>0</v>
      </c>
      <c r="BS45" s="1" t="n">
        <f aca="false">BJ45*(Slot5_Cost-BO45)</f>
        <v>0</v>
      </c>
      <c r="BT45" s="1" t="n">
        <f aca="false">IF(AND(Slot6_On=1,D45=Slot6_Age),1,0)</f>
        <v>0</v>
      </c>
      <c r="BU45" s="1" t="n">
        <f aca="false">IF(AND(Slot6_On=1,Slot6_Age&gt;D45),1,0)</f>
        <v>0</v>
      </c>
      <c r="BV45" s="1" t="n">
        <f aca="false">RF44</f>
        <v>0</v>
      </c>
      <c r="BW45" s="1" t="n">
        <f aca="false">BT45*MIN(Slot6_Cost,BV45)</f>
        <v>0</v>
      </c>
      <c r="BX45" s="1" t="n">
        <f aca="false">BT45*Slot6_SpendLike*MIN(Slot6_Cost-BW45,BP45)</f>
        <v>0</v>
      </c>
      <c r="BY45" s="1" t="n">
        <f aca="false">BW45+BX45</f>
        <v>0</v>
      </c>
      <c r="BZ45" s="1" t="n">
        <f aca="false">BP45-BX45+BT45*IF(Slot6_SpendLike=1,BV45-BW45,IF(Slot6_PotFree=1,BV45,0))</f>
        <v>0</v>
      </c>
      <c r="CA45" s="1" t="n">
        <f aca="false">BQ45+BT45*Slot6_BufPot*BV45</f>
        <v>0</v>
      </c>
      <c r="CB45" s="1" t="n">
        <f aca="false">IF(AND(BT45=1,Slot6_IsMfree=1),IF(BY45&gt;=Slot6_Cost-1,0,MAX(0,BR45-BY45)),BR45)</f>
        <v>0</v>
      </c>
      <c r="CC45" s="1" t="n">
        <f aca="false">BT45*(Slot6_Cost-BY45)</f>
        <v>0</v>
      </c>
      <c r="CD45" s="1" t="n">
        <f aca="false">IF(AND(Slot7_On=1,D45=Slot7_Age),1,0)</f>
        <v>0</v>
      </c>
      <c r="CE45" s="1" t="n">
        <f aca="false">IF(AND(Slot7_On=1,Slot7_Age&gt;D45),1,0)</f>
        <v>0</v>
      </c>
      <c r="CF45" s="1" t="n">
        <f aca="false">RJ44</f>
        <v>0</v>
      </c>
      <c r="CG45" s="1" t="n">
        <f aca="false">CD45*MIN(Slot7_Cost,CF45)</f>
        <v>0</v>
      </c>
      <c r="CH45" s="1" t="n">
        <f aca="false">CD45*Slot7_SpendLike*MIN(Slot7_Cost-CG45,BZ45)</f>
        <v>0</v>
      </c>
      <c r="CI45" s="1" t="n">
        <f aca="false">CG45+CH45</f>
        <v>0</v>
      </c>
      <c r="CJ45" s="1" t="n">
        <f aca="false">BZ45-CH45+CD45*IF(Slot7_SpendLike=1,CF45-CG45,IF(Slot7_PotFree=1,CF45,0))</f>
        <v>0</v>
      </c>
      <c r="CK45" s="1" t="n">
        <f aca="false">CA45+CD45*Slot7_BufPot*CF45</f>
        <v>0</v>
      </c>
      <c r="CL45" s="1" t="n">
        <f aca="false">IF(AND(CD45=1,Slot7_IsMfree=1),IF(CI45&gt;=Slot7_Cost-1,0,MAX(0,CB45-CI45)),CB45)</f>
        <v>0</v>
      </c>
      <c r="CM45" s="1" t="n">
        <f aca="false">CD45*(Slot7_Cost-CI45)</f>
        <v>0</v>
      </c>
      <c r="CN45" s="1" t="n">
        <f aca="false">IF(AND(Slot8_On=1,D45=Slot8_Age),1,0)</f>
        <v>0</v>
      </c>
      <c r="CO45" s="1" t="n">
        <f aca="false">IF(AND(Slot8_On=1,Slot8_Age&gt;D45),1,0)</f>
        <v>0</v>
      </c>
      <c r="CP45" s="1" t="n">
        <f aca="false">RN44</f>
        <v>0</v>
      </c>
      <c r="CQ45" s="1" t="n">
        <f aca="false">CN45*MIN(Slot8_Cost,CP45)</f>
        <v>0</v>
      </c>
      <c r="CR45" s="1" t="n">
        <f aca="false">CN45*Slot8_SpendLike*MIN(Slot8_Cost-CQ45,CJ45)</f>
        <v>0</v>
      </c>
      <c r="CS45" s="1" t="n">
        <f aca="false">CQ45+CR45</f>
        <v>0</v>
      </c>
      <c r="CT45" s="1" t="n">
        <f aca="false">CJ45-CR45+CN45*IF(Slot8_SpendLike=1,CP45-CQ45,IF(Slot8_PotFree=1,CP45,0))</f>
        <v>0</v>
      </c>
      <c r="CU45" s="1" t="n">
        <f aca="false">CK45+CN45*Slot8_BufPot*CP45</f>
        <v>0</v>
      </c>
      <c r="CV45" s="1" t="n">
        <f aca="false">IF(AND(CN45=1,Slot8_IsMfree=1),IF(CS45&gt;=Slot8_Cost-1,0,MAX(0,CL45-CS45)),CL45)</f>
        <v>0</v>
      </c>
      <c r="CW45" s="1" t="n">
        <f aca="false">CN45*(Slot8_Cost-CS45)</f>
        <v>0</v>
      </c>
      <c r="CX45" s="1" t="n">
        <f aca="false">IF(AND(Slot9_On=1,D45=Slot9_Age),1,0)</f>
        <v>0</v>
      </c>
      <c r="CY45" s="1" t="n">
        <f aca="false">IF(AND(Slot9_On=1,Slot9_Age&gt;D45),1,0)</f>
        <v>0</v>
      </c>
      <c r="CZ45" s="1" t="n">
        <f aca="false">RR44</f>
        <v>0</v>
      </c>
      <c r="DA45" s="1" t="n">
        <f aca="false">CX45*MIN(Slot9_Cost,CZ45)</f>
        <v>0</v>
      </c>
      <c r="DB45" s="1" t="n">
        <f aca="false">CX45*Slot9_SpendLike*MIN(Slot9_Cost-DA45,CT45)</f>
        <v>0</v>
      </c>
      <c r="DC45" s="1" t="n">
        <f aca="false">DA45+DB45</f>
        <v>0</v>
      </c>
      <c r="DD45" s="1" t="n">
        <f aca="false">CT45-DB45+CX45*IF(Slot9_SpendLike=1,CZ45-DA45,IF(Slot9_PotFree=1,CZ45,0))</f>
        <v>0</v>
      </c>
      <c r="DE45" s="1" t="n">
        <f aca="false">CU45+CX45*Slot9_BufPot*CZ45</f>
        <v>0</v>
      </c>
      <c r="DF45" s="1" t="n">
        <f aca="false">IF(AND(CX45=1,Slot9_IsMfree=1),IF(DC45&gt;=Slot9_Cost-1,0,MAX(0,CV45-DC45)),CV45)</f>
        <v>0</v>
      </c>
      <c r="DG45" s="1" t="n">
        <f aca="false">CX45*(Slot9_Cost-DC45)</f>
        <v>0</v>
      </c>
      <c r="DH45" s="1" t="n">
        <f aca="false">IF(AND(Slot10_On=1,D45=Slot10_Age),1,0)</f>
        <v>0</v>
      </c>
      <c r="DI45" s="1" t="n">
        <f aca="false">IF(AND(Slot10_On=1,Slot10_Age&gt;D45),1,0)</f>
        <v>0</v>
      </c>
      <c r="DJ45" s="1" t="n">
        <f aca="false">RV44</f>
        <v>0</v>
      </c>
      <c r="DK45" s="1" t="n">
        <f aca="false">DH45*MIN(Slot10_Cost,DJ45)</f>
        <v>0</v>
      </c>
      <c r="DL45" s="1" t="n">
        <f aca="false">DH45*Slot10_SpendLike*MIN(Slot10_Cost-DK45,DD45)</f>
        <v>0</v>
      </c>
      <c r="DM45" s="1" t="n">
        <f aca="false">DK45+DL45</f>
        <v>0</v>
      </c>
      <c r="DN45" s="1" t="n">
        <f aca="false">DD45-DL45+DH45*IF(Slot10_SpendLike=1,DJ45-DK45,IF(Slot10_PotFree=1,DJ45,0))</f>
        <v>0</v>
      </c>
      <c r="DO45" s="1" t="n">
        <f aca="false">DE45+DH45*Slot10_BufPot*DJ45</f>
        <v>0</v>
      </c>
      <c r="DP45" s="1" t="n">
        <f aca="false">IF(AND(DH45=1,Slot10_IsMfree=1),IF(DM45&gt;=Slot10_Cost-1,0,MAX(0,DF45-DM45)),DF45)</f>
        <v>0</v>
      </c>
      <c r="DQ45" s="1" t="n">
        <f aca="false">DH45*(Slot10_Cost-DM45)</f>
        <v>0</v>
      </c>
      <c r="DR45" s="1" t="n">
        <f aca="false">IF(AND(Slot11_On=1,D45=Slot11_Age),1,0)</f>
        <v>0</v>
      </c>
      <c r="DS45" s="1" t="n">
        <f aca="false">IF(AND(Slot11_On=1,Slot11_Age&gt;D45),1,0)</f>
        <v>0</v>
      </c>
      <c r="DT45" s="1" t="n">
        <f aca="false">RZ44</f>
        <v>0</v>
      </c>
      <c r="DU45" s="1" t="n">
        <f aca="false">DR45*MIN(Slot11_Cost,DT45)</f>
        <v>0</v>
      </c>
      <c r="DV45" s="1" t="n">
        <f aca="false">DR45*Slot11_SpendLike*MIN(Slot11_Cost-DU45,DN45)</f>
        <v>0</v>
      </c>
      <c r="DW45" s="1" t="n">
        <f aca="false">DU45+DV45</f>
        <v>0</v>
      </c>
      <c r="DX45" s="1" t="n">
        <f aca="false">DN45-DV45+DR45*IF(Slot11_SpendLike=1,DT45-DU45,IF(Slot11_PotFree=1,DT45,0))</f>
        <v>0</v>
      </c>
      <c r="DY45" s="1" t="n">
        <f aca="false">DO45+DR45*Slot11_BufPot*DT45</f>
        <v>0</v>
      </c>
      <c r="DZ45" s="1" t="n">
        <f aca="false">IF(AND(DR45=1,Slot11_IsMfree=1),IF(DW45&gt;=Slot11_Cost-1,0,MAX(0,DP45-DW45)),DP45)</f>
        <v>0</v>
      </c>
      <c r="EA45" s="1" t="n">
        <f aca="false">DR45*(Slot11_Cost-DW45)</f>
        <v>0</v>
      </c>
      <c r="EB45" s="1" t="n">
        <f aca="false">IF(AND(Slot12_On=1,D45=Slot12_Age),1,0)</f>
        <v>0</v>
      </c>
      <c r="EC45" s="1" t="n">
        <f aca="false">IF(AND(Slot12_On=1,Slot12_Age&gt;D45),1,0)</f>
        <v>0</v>
      </c>
      <c r="ED45" s="1" t="n">
        <f aca="false">SD44</f>
        <v>0</v>
      </c>
      <c r="EE45" s="1" t="n">
        <f aca="false">EB45*MIN(Slot12_Cost,ED45)</f>
        <v>0</v>
      </c>
      <c r="EF45" s="1" t="n">
        <f aca="false">EB45*Slot12_SpendLike*MIN(Slot12_Cost-EE45,DX45)</f>
        <v>0</v>
      </c>
      <c r="EG45" s="1" t="n">
        <f aca="false">EE45+EF45</f>
        <v>0</v>
      </c>
      <c r="EH45" s="1" t="n">
        <f aca="false">DX45-EF45+EB45*IF(Slot12_SpendLike=1,ED45-EE45,IF(Slot12_PotFree=1,ED45,0))</f>
        <v>0</v>
      </c>
      <c r="EI45" s="1" t="n">
        <f aca="false">DY45+EB45*Slot12_BufPot*ED45</f>
        <v>0</v>
      </c>
      <c r="EJ45" s="1" t="n">
        <f aca="false">IF(AND(EB45=1,Slot12_IsMfree=1),IF(EG45&gt;=Slot12_Cost-1,0,MAX(0,DZ45-EG45)),DZ45)</f>
        <v>0</v>
      </c>
      <c r="EK45" s="1" t="n">
        <f aca="false">EB45*(Slot12_Cost-EG45)</f>
        <v>0</v>
      </c>
      <c r="EL45" s="1" t="n">
        <f aca="false">IF(AND(Slot13_On=1,D45=Slot13_Age),1,0)</f>
        <v>0</v>
      </c>
      <c r="EM45" s="1" t="n">
        <f aca="false">IF(AND(Slot13_On=1,Slot13_Age&gt;D45),1,0)</f>
        <v>0</v>
      </c>
      <c r="EN45" s="1" t="n">
        <f aca="false">SH44</f>
        <v>0</v>
      </c>
      <c r="EO45" s="1" t="n">
        <f aca="false">EL45*MIN(Slot13_Cost,EN45)</f>
        <v>0</v>
      </c>
      <c r="EP45" s="1" t="n">
        <f aca="false">EL45*Slot13_SpendLike*MIN(Slot13_Cost-EO45,EH45)</f>
        <v>0</v>
      </c>
      <c r="EQ45" s="1" t="n">
        <f aca="false">EO45+EP45</f>
        <v>0</v>
      </c>
      <c r="ER45" s="1" t="n">
        <f aca="false">EH45-EP45+EL45*IF(Slot13_SpendLike=1,EN45-EO45,IF(Slot13_PotFree=1,EN45,0))</f>
        <v>0</v>
      </c>
      <c r="ES45" s="1" t="n">
        <f aca="false">EI45+EL45*Slot13_BufPot*EN45</f>
        <v>0</v>
      </c>
      <c r="ET45" s="1" t="n">
        <f aca="false">IF(AND(EL45=1,Slot13_IsMfree=1),IF(EQ45&gt;=Slot13_Cost-1,0,MAX(0,EJ45-EQ45)),EJ45)</f>
        <v>0</v>
      </c>
      <c r="EU45" s="1" t="n">
        <f aca="false">EL45*(Slot13_Cost-EQ45)</f>
        <v>0</v>
      </c>
      <c r="EV45" s="1" t="n">
        <f aca="false">IF(AND(Slot14_On=1,D45=Slot14_Age),1,0)</f>
        <v>0</v>
      </c>
      <c r="EW45" s="1" t="n">
        <f aca="false">IF(AND(Slot14_On=1,Slot14_Age&gt;D45),1,0)</f>
        <v>0</v>
      </c>
      <c r="EX45" s="1" t="n">
        <f aca="false">SL44</f>
        <v>0</v>
      </c>
      <c r="EY45" s="1" t="n">
        <f aca="false">EV45*MIN(Slot14_Cost,EX45)</f>
        <v>0</v>
      </c>
      <c r="EZ45" s="1" t="n">
        <f aca="false">EV45*Slot14_SpendLike*MIN(Slot14_Cost-EY45,ER45)</f>
        <v>0</v>
      </c>
      <c r="FA45" s="1" t="n">
        <f aca="false">EY45+EZ45</f>
        <v>0</v>
      </c>
      <c r="FB45" s="1" t="n">
        <f aca="false">ER45-EZ45+EV45*IF(Slot14_SpendLike=1,EX45-EY45,IF(Slot14_PotFree=1,EX45,0))</f>
        <v>0</v>
      </c>
      <c r="FC45" s="1" t="n">
        <f aca="false">ES45+EV45*Slot14_BufPot*EX45</f>
        <v>0</v>
      </c>
      <c r="FD45" s="1" t="n">
        <f aca="false">IF(AND(EV45=1,Slot14_IsMfree=1),IF(FA45&gt;=Slot14_Cost-1,0,MAX(0,ET45-FA45)),ET45)</f>
        <v>0</v>
      </c>
      <c r="FE45" s="1" t="n">
        <f aca="false">EV45*(Slot14_Cost-FA45)</f>
        <v>0</v>
      </c>
      <c r="FF45" s="1" t="n">
        <f aca="false">IF(AND(Slot15_On=1,D45=Slot15_Age),1,0)</f>
        <v>0</v>
      </c>
      <c r="FG45" s="1" t="n">
        <f aca="false">IF(AND(Slot15_On=1,Slot15_Age&gt;D45),1,0)</f>
        <v>0</v>
      </c>
      <c r="FH45" s="1" t="n">
        <f aca="false">SP44</f>
        <v>0</v>
      </c>
      <c r="FI45" s="1" t="n">
        <f aca="false">FF45*MIN(Slot15_Cost,FH45)</f>
        <v>0</v>
      </c>
      <c r="FJ45" s="1" t="n">
        <f aca="false">FF45*Slot15_SpendLike*MIN(Slot15_Cost-FI45,FB45)</f>
        <v>0</v>
      </c>
      <c r="FK45" s="1" t="n">
        <f aca="false">FI45+FJ45</f>
        <v>0</v>
      </c>
      <c r="FL45" s="1" t="n">
        <f aca="false">FB45-FJ45+FF45*IF(Slot15_SpendLike=1,FH45-FI45,IF(Slot15_PotFree=1,FH45,0))</f>
        <v>0</v>
      </c>
      <c r="FM45" s="1" t="n">
        <f aca="false">FC45+FF45*Slot15_BufPot*FH45</f>
        <v>0</v>
      </c>
      <c r="FN45" s="1" t="n">
        <f aca="false">IF(AND(FF45=1,Slot15_IsMfree=1),IF(FK45&gt;=Slot15_Cost-1,0,MAX(0,FD45-FK45)),FD45)</f>
        <v>0</v>
      </c>
      <c r="FO45" s="1" t="n">
        <f aca="false">FF45*(Slot15_Cost-FK45)</f>
        <v>0</v>
      </c>
      <c r="FP45" s="1" t="n">
        <f aca="false">IF(AND(Slot16_On=1,D45=Slot16_Age),1,0)</f>
        <v>0</v>
      </c>
      <c r="FQ45" s="1" t="n">
        <f aca="false">IF(AND(Slot16_On=1,Slot16_Age&gt;D45),1,0)</f>
        <v>0</v>
      </c>
      <c r="FR45" s="1" t="n">
        <f aca="false">ST44</f>
        <v>0</v>
      </c>
      <c r="FS45" s="1" t="n">
        <f aca="false">FP45*MIN(Slot16_Cost,FR45)</f>
        <v>0</v>
      </c>
      <c r="FT45" s="1" t="n">
        <f aca="false">FP45*Slot16_SpendLike*MIN(Slot16_Cost-FS45,FL45)</f>
        <v>0</v>
      </c>
      <c r="FU45" s="1" t="n">
        <f aca="false">FS45+FT45</f>
        <v>0</v>
      </c>
      <c r="FV45" s="1" t="n">
        <f aca="false">FL45-FT45+FP45*IF(Slot16_SpendLike=1,FR45-FS45,IF(Slot16_PotFree=1,FR45,0))</f>
        <v>0</v>
      </c>
      <c r="FW45" s="1" t="n">
        <f aca="false">FM45+FP45*Slot16_BufPot*FR45</f>
        <v>0</v>
      </c>
      <c r="FX45" s="1" t="n">
        <f aca="false">IF(AND(FP45=1,Slot16_IsMfree=1),IF(FU45&gt;=Slot16_Cost-1,0,MAX(0,FN45-FU45)),FN45)</f>
        <v>0</v>
      </c>
      <c r="FY45" s="1" t="n">
        <f aca="false">FP45*(Slot16_Cost-FU45)</f>
        <v>0</v>
      </c>
      <c r="FZ45" s="1" t="n">
        <f aca="false">IF(AND(Slot17_On=1,D45=Slot17_Age),1,0)</f>
        <v>0</v>
      </c>
      <c r="GA45" s="1" t="n">
        <f aca="false">IF(AND(Slot17_On=1,Slot17_Age&gt;D45),1,0)</f>
        <v>0</v>
      </c>
      <c r="GB45" s="1" t="n">
        <f aca="false">SX44</f>
        <v>0</v>
      </c>
      <c r="GC45" s="1" t="n">
        <f aca="false">FZ45*MIN(Slot17_Cost,GB45)</f>
        <v>0</v>
      </c>
      <c r="GD45" s="1" t="n">
        <f aca="false">FZ45*Slot17_SpendLike*MIN(Slot17_Cost-GC45,FV45)</f>
        <v>0</v>
      </c>
      <c r="GE45" s="1" t="n">
        <f aca="false">GC45+GD45</f>
        <v>0</v>
      </c>
      <c r="GF45" s="1" t="n">
        <f aca="false">FV45-GD45+FZ45*IF(Slot17_SpendLike=1,GB45-GC45,IF(Slot17_PotFree=1,GB45,0))</f>
        <v>0</v>
      </c>
      <c r="GG45" s="1" t="n">
        <f aca="false">FW45+FZ45*Slot17_BufPot*GB45</f>
        <v>0</v>
      </c>
      <c r="GH45" s="1" t="n">
        <f aca="false">IF(AND(FZ45=1,Slot17_IsMfree=1),IF(GE45&gt;=Slot17_Cost-1,0,MAX(0,FX45-GE45)),FX45)</f>
        <v>0</v>
      </c>
      <c r="GI45" s="1" t="n">
        <f aca="false">FZ45*(Slot17_Cost-GE45)</f>
        <v>0</v>
      </c>
      <c r="GJ45" s="1" t="n">
        <f aca="false">IF(AND(Slot18_On=1,D45=Slot18_Age),1,0)</f>
        <v>0</v>
      </c>
      <c r="GK45" s="1" t="n">
        <f aca="false">IF(AND(Slot18_On=1,Slot18_Age&gt;D45),1,0)</f>
        <v>0</v>
      </c>
      <c r="GL45" s="1" t="n">
        <f aca="false">TB44</f>
        <v>0</v>
      </c>
      <c r="GM45" s="1" t="n">
        <f aca="false">GJ45*MIN(Slot18_Cost,GL45)</f>
        <v>0</v>
      </c>
      <c r="GN45" s="1" t="n">
        <f aca="false">GJ45*Slot18_SpendLike*MIN(Slot18_Cost-GM45,GF45)</f>
        <v>0</v>
      </c>
      <c r="GO45" s="1" t="n">
        <f aca="false">GM45+GN45</f>
        <v>0</v>
      </c>
      <c r="GP45" s="1" t="n">
        <f aca="false">GF45-GN45+GJ45*IF(Slot18_SpendLike=1,GL45-GM45,IF(Slot18_PotFree=1,GL45,0))</f>
        <v>0</v>
      </c>
      <c r="GQ45" s="1" t="n">
        <f aca="false">GG45+GJ45*Slot18_BufPot*GL45</f>
        <v>0</v>
      </c>
      <c r="GR45" s="1" t="n">
        <f aca="false">IF(AND(GJ45=1,Slot18_IsMfree=1),IF(GO45&gt;=Slot18_Cost-1,0,MAX(0,GH45-GO45)),GH45)</f>
        <v>0</v>
      </c>
      <c r="GS45" s="1" t="n">
        <f aca="false">GJ45*(Slot18_Cost-GO45)</f>
        <v>0</v>
      </c>
      <c r="GT45" s="1" t="n">
        <f aca="false">IF(AND(Slot19_On=1,D45=Slot19_Age),1,0)</f>
        <v>0</v>
      </c>
      <c r="GU45" s="1" t="n">
        <f aca="false">IF(AND(Slot19_On=1,Slot19_Age&gt;D45),1,0)</f>
        <v>0</v>
      </c>
      <c r="GV45" s="1" t="n">
        <f aca="false">TF44</f>
        <v>0</v>
      </c>
      <c r="GW45" s="1" t="n">
        <f aca="false">GT45*MIN(Slot19_Cost,GV45)</f>
        <v>0</v>
      </c>
      <c r="GX45" s="1" t="n">
        <f aca="false">GT45*Slot19_SpendLike*MIN(Slot19_Cost-GW45,GP45)</f>
        <v>0</v>
      </c>
      <c r="GY45" s="1" t="n">
        <f aca="false">GW45+GX45</f>
        <v>0</v>
      </c>
      <c r="GZ45" s="1" t="n">
        <f aca="false">GP45-GX45+GT45*IF(Slot19_SpendLike=1,GV45-GW45,IF(Slot19_PotFree=1,GV45,0))</f>
        <v>0</v>
      </c>
      <c r="HA45" s="1" t="n">
        <f aca="false">GQ45+GT45*Slot19_BufPot*GV45</f>
        <v>0</v>
      </c>
      <c r="HB45" s="1" t="n">
        <f aca="false">IF(AND(GT45=1,Slot19_IsMfree=1),IF(GY45&gt;=Slot19_Cost-1,0,MAX(0,GR45-GY45)),GR45)</f>
        <v>0</v>
      </c>
      <c r="HC45" s="1" t="n">
        <f aca="false">GT45*(Slot19_Cost-GY45)</f>
        <v>0</v>
      </c>
      <c r="HD45" s="1" t="n">
        <f aca="false">IF(AND(Slot20_On=1,D45=Slot20_Age),1,0)</f>
        <v>0</v>
      </c>
      <c r="HE45" s="1" t="n">
        <f aca="false">IF(AND(Slot20_On=1,Slot20_Age&gt;D45),1,0)</f>
        <v>0</v>
      </c>
      <c r="HF45" s="1" t="n">
        <f aca="false">TJ44</f>
        <v>0</v>
      </c>
      <c r="HG45" s="1" t="n">
        <f aca="false">HD45*MIN(Slot20_Cost,HF45)</f>
        <v>0</v>
      </c>
      <c r="HH45" s="1" t="n">
        <f aca="false">HD45*Slot20_SpendLike*MIN(Slot20_Cost-HG45,GZ45)</f>
        <v>0</v>
      </c>
      <c r="HI45" s="1" t="n">
        <f aca="false">HG45+HH45</f>
        <v>0</v>
      </c>
      <c r="HJ45" s="1" t="n">
        <f aca="false">GZ45-HH45+HD45*IF(Slot20_SpendLike=1,HF45-HG45,IF(Slot20_PotFree=1,HF45,0))</f>
        <v>0</v>
      </c>
      <c r="HK45" s="1" t="n">
        <f aca="false">HA45+HD45*Slot20_BufPot*HF45</f>
        <v>0</v>
      </c>
      <c r="HL45" s="1" t="n">
        <f aca="false">IF(AND(HD45=1,Slot20_IsMfree=1),IF(HI45&gt;=Slot20_Cost-1,0,MAX(0,HB45-HI45)),HB45)</f>
        <v>0</v>
      </c>
      <c r="HM45" s="1" t="n">
        <f aca="false">HD45*(Slot20_Cost-HI45)</f>
        <v>0</v>
      </c>
      <c r="HN45" s="1" t="n">
        <f aca="false">U45*Slot1_SpendLike*Z45+AF45*Slot2_SpendLike*AK45+AP45*Slot3_SpendLike*AU45+AZ45*Slot4_SpendLike*BE45+BJ45*Slot5_SpendLike*BO45+BT45*Slot6_SpendLike*BY45+CD45*Slot7_SpendLike*CI45+CN45*Slot8_SpendLike*CS45+CX45*Slot9_SpendLike*DC45+DH45*Slot10_SpendLike*DM45+DR45*Slot11_SpendLike*DW45+EB45*Slot12_SpendLike*EG45+EL45*Slot13_SpendLike*EQ45+EV45*Slot14_SpendLike*FA45+FF45*Slot15_SpendLike*FK45+FP45*Slot16_SpendLike*FU45+FZ45*Slot17_SpendLike*GE45+GJ45*Slot18_SpendLike*GO45+GT45*Slot19_SpendLike*GY45+HD45*Slot20_SpendLike*HI45</f>
        <v>0</v>
      </c>
      <c r="HO45" s="1" t="n">
        <f aca="false">AD45+AO45+AY45+BI45+BS45+CC45+CM45+CW45+DG45+DQ45+EA45+EK45+EU45+FE45+FO45+FY45+GI45+GS45+HC45+HM45</f>
        <v>0</v>
      </c>
      <c r="HP45" s="1" t="n">
        <f aca="false">U45*Slot1_Cost+AF45*Slot2_Cost+AP45*Slot3_Cost+AZ45*Slot4_Cost+BJ45*Slot5_Cost+BT45*Slot6_Cost+CD45*Slot7_Cost+CN45*Slot8_Cost+CX45*Slot9_Cost+DH45*Slot10_Cost+DR45*Slot11_Cost+EB45*Slot12_Cost+EL45*Slot13_Cost+EV45*Slot14_Cost+FF45*Slot15_Cost+FP45*Slot16_Cost+FZ45*Slot17_Cost+GJ45*Slot18_Cost+GT45*Slot19_Cost+HD45*Slot20_Cost</f>
        <v>0</v>
      </c>
      <c r="HQ45" s="1" t="n">
        <f aca="false">HL45</f>
        <v>0</v>
      </c>
      <c r="HR45" s="1" t="n">
        <f aca="false">G45-H45-R45</f>
        <v>0</v>
      </c>
      <c r="HS45" s="1" t="n">
        <f aca="false">IF(B45=0,IF(AND(Has_q6=1,In_q6=4),PR_ShareVaries*(MAX(0,HR45)/12),MIN(IF(Has_q6=1,CHOOSE(In_q6+1,PR_SaveB1,PR_SaveB2,PR_SaveB3,PR_SaveB4,0),AS_NoAnswer),AS_SaveShare*(MAX(0,HR45)/12))),HS44)</f>
        <v>0</v>
      </c>
      <c r="HT45" s="1" t="n">
        <f aca="false">IF(HR45&gt;=0,1,0)</f>
        <v>1</v>
      </c>
      <c r="HU45" s="1" t="n">
        <f aca="false">MAX(0,HR45/12/E45)</f>
        <v>0</v>
      </c>
      <c r="HV45" s="1" t="n">
        <f aca="false">IF(AND(Has_q6=1,In_q6=4),PR_ShareVaries*(HU45),MIN(IF(Has_q6=1,CHOOSE(In_q6+1,PR_SaveB1,PR_SaveB2,PR_SaveB3,PR_SaveB4,0),AS_NoAnswer),AS_SaveShare*(HU45)))</f>
        <v>0</v>
      </c>
      <c r="HW45" s="1" t="n">
        <f aca="false">IF(Has_saveM=1,IF(In_saveUp="Yes",1,IF(In_saveUp="No",0,IF(In_saveM&gt;=HS45-0.5,1,0))),0)</f>
        <v>0</v>
      </c>
      <c r="HX45" s="1" t="n">
        <f aca="false">IF(Has_saveM=1,MIN(HU45,IF(HW45=1,MAX(In_saveM,HV45),MIN(In_saveM,HV45))),HV45)</f>
        <v>0</v>
      </c>
      <c r="HY45" s="1" t="n">
        <f aca="false">IF(F45=1,HX45*12*E45,0)</f>
        <v>0</v>
      </c>
      <c r="HZ45" s="1" t="n">
        <f aca="false">MAX(0,HY45+IF(AND(WI_Retire=0,WI_M&lt;0,F45=1),WI_M*12*E45,0))</f>
        <v>0</v>
      </c>
      <c r="IA45" s="1" t="n">
        <f aca="false">Slot1_IsWG*V45+Slot2_IsWG*AG45+Slot3_IsWG*AQ45+Slot4_IsWG*BA45+Slot5_IsWG*BK45+Slot6_IsWG*BU45+Slot7_IsWG*CE45+Slot8_IsWG*CO45+Slot9_IsWG*CY45+Slot10_IsWG*DI45+Slot11_IsWG*DS45+Slot12_IsWG*EC45+Slot13_IsWG*EM45+Slot14_IsWG*EW45+Slot15_IsWG*FG45+Slot16_IsWG*FQ45+Slot17_IsWG*GA45+Slot18_IsWG*GK45+Slot19_IsWG*GU45+Slot20_IsWG*HE45</f>
        <v>0</v>
      </c>
      <c r="IB45" s="1" t="n">
        <f aca="false">IF(AND(WI_Retire=0,WI_M&gt;0,F45=1,IA45&gt;=1),WI_M*12*E45,0)</f>
        <v>0</v>
      </c>
      <c r="IC45" s="1" t="n">
        <f aca="false">IF(HT45=1,MIN(HZ45,HR45),0)</f>
        <v>0</v>
      </c>
      <c r="ID45" s="1" t="n">
        <f aca="false">IF(HT45=1,MIN(IB45,HR45-IC45),0)</f>
        <v>0</v>
      </c>
      <c r="IE45" s="1" t="n">
        <f aca="false">IF(V45=1,IF(ABS((1+AS_Wage)/(1+Slot1_Rate)-1)&lt;0.000000000001,(Slot1_Age-D45)*(1+Slot1_Rate)^(Slot1_Age-D45),(1+Slot1_Rate)^(Slot1_Age-D45)*(1-((1+AS_Wage)/(1+Slot1_Rate))^(Slot1_Age-D45))/(1-(1+AS_Wage)/(1+Slot1_Rate))),1)</f>
        <v>1</v>
      </c>
      <c r="IF45" s="1" t="n">
        <f aca="false">IF(AND(HT45=1,ID45&gt;0,Slot1_IsWG=1,V45=1),MAX(0,(Slot1_Cost-W45*(1+Slot1_Rate)^(Slot1_Age-D45))/IE45),0)</f>
        <v>0</v>
      </c>
      <c r="IG45" s="1" t="n">
        <f aca="false">IF(AND(HT45=1,ID45&gt;0,Slot1_IsWG=1,V45=1),MIN(ID45,IF45),0)</f>
        <v>0</v>
      </c>
      <c r="IH45" s="1" t="n">
        <f aca="false">W45+IG45</f>
        <v>0</v>
      </c>
      <c r="II45" s="1" t="n">
        <f aca="false">IF(V45=1,MAX(0,(Slot1_Cost-IH45*(1+Slot1_Rate)^(Slot1_Age-D45))/IE45),0)</f>
        <v>0</v>
      </c>
      <c r="IJ45" s="1" t="n">
        <f aca="false">IF(V45=1,MAX(0,(Slot1_Cost-W45*(1+Slot1_Rate)^(Slot1_Age-D45))/IE45),0)</f>
        <v>0</v>
      </c>
      <c r="IK45" s="1" t="n">
        <f aca="false">IF(AND(HT45=1,V45=1),MIN(IC45,II45),0)</f>
        <v>0</v>
      </c>
      <c r="IL45" s="1" t="n">
        <f aca="false">IC45-IK45</f>
        <v>0</v>
      </c>
      <c r="IM45" s="1" t="n">
        <f aca="false">IF(AG45=1,IF(ABS((1+AS_Wage)/(1+Slot2_Rate)-1)&lt;0.000000000001,(Slot2_Age-D45)*(1+Slot2_Rate)^(Slot2_Age-D45),(1+Slot2_Rate)^(Slot2_Age-D45)*(1-((1+AS_Wage)/(1+Slot2_Rate))^(Slot2_Age-D45))/(1-(1+AS_Wage)/(1+Slot2_Rate))),1)</f>
        <v>1</v>
      </c>
      <c r="IN45" s="1" t="n">
        <f aca="false">IF(AND(HT45=1,ID45&gt;0,Slot2_IsWG=1,AG45=1),MAX(0,(Slot2_Cost-AH45*(1+Slot2_Rate)^(Slot2_Age-D45))/IM45),0)</f>
        <v>0</v>
      </c>
      <c r="IO45" s="1" t="n">
        <f aca="false">IF(AND(HT45=1,ID45&gt;0,Slot2_IsWG=1,AG45=1),MIN(ID45,IN45),0)</f>
        <v>0</v>
      </c>
      <c r="IP45" s="1" t="n">
        <f aca="false">AH45+IO45</f>
        <v>0</v>
      </c>
      <c r="IQ45" s="1" t="n">
        <f aca="false">IF(AG45=1,MAX(0,(Slot2_Cost-IP45*(1+Slot2_Rate)^(Slot2_Age-D45))/IM45),0)</f>
        <v>0</v>
      </c>
      <c r="IR45" s="1" t="n">
        <f aca="false">IF(AG45=1,MAX(0,(Slot2_Cost-AH45*(1+Slot2_Rate)^(Slot2_Age-D45))/IM45),0)</f>
        <v>0</v>
      </c>
      <c r="IS45" s="1" t="n">
        <f aca="false">IF(AND(HT45=1,AG45=1),MIN(IL45,IQ45),0)</f>
        <v>0</v>
      </c>
      <c r="IT45" s="1" t="n">
        <f aca="false">IL45-IS45</f>
        <v>0</v>
      </c>
      <c r="IU45" s="1" t="n">
        <f aca="false">IF(AQ45=1,IF(ABS((1+AS_Wage)/(1+Slot3_Rate)-1)&lt;0.000000000001,(Slot3_Age-D45)*(1+Slot3_Rate)^(Slot3_Age-D45),(1+Slot3_Rate)^(Slot3_Age-D45)*(1-((1+AS_Wage)/(1+Slot3_Rate))^(Slot3_Age-D45))/(1-(1+AS_Wage)/(1+Slot3_Rate))),1)</f>
        <v>1</v>
      </c>
      <c r="IV45" s="1" t="n">
        <f aca="false">IF(AND(HT45=1,ID45&gt;0,Slot3_IsWG=1,AQ45=1),MAX(0,(Slot3_Cost-AR45*(1+Slot3_Rate)^(Slot3_Age-D45))/IU45),0)</f>
        <v>0</v>
      </c>
      <c r="IW45" s="1" t="n">
        <f aca="false">IF(AND(HT45=1,ID45&gt;0,Slot3_IsWG=1,AQ45=1),MIN(ID45,IV45),0)</f>
        <v>0</v>
      </c>
      <c r="IX45" s="1" t="n">
        <f aca="false">AR45+IW45</f>
        <v>0</v>
      </c>
      <c r="IY45" s="1" t="n">
        <f aca="false">IF(AQ45=1,MAX(0,(Slot3_Cost-IX45*(1+Slot3_Rate)^(Slot3_Age-D45))/IU45),0)</f>
        <v>0</v>
      </c>
      <c r="IZ45" s="1" t="n">
        <f aca="false">IF(AQ45=1,MAX(0,(Slot3_Cost-AR45*(1+Slot3_Rate)^(Slot3_Age-D45))/IU45),0)</f>
        <v>0</v>
      </c>
      <c r="JA45" s="1" t="n">
        <f aca="false">IF(AND(HT45=1,AQ45=1),MIN(IT45,IY45),0)</f>
        <v>0</v>
      </c>
      <c r="JB45" s="1" t="n">
        <f aca="false">IT45-JA45</f>
        <v>0</v>
      </c>
      <c r="JC45" s="1" t="n">
        <f aca="false">IF(BA45=1,IF(ABS((1+AS_Wage)/(1+Slot4_Rate)-1)&lt;0.000000000001,(Slot4_Age-D45)*(1+Slot4_Rate)^(Slot4_Age-D45),(1+Slot4_Rate)^(Slot4_Age-D45)*(1-((1+AS_Wage)/(1+Slot4_Rate))^(Slot4_Age-D45))/(1-(1+AS_Wage)/(1+Slot4_Rate))),1)</f>
        <v>1</v>
      </c>
      <c r="JD45" s="1" t="n">
        <f aca="false">IF(AND(HT45=1,ID45&gt;0,Slot4_IsWG=1,BA45=1),MAX(0,(Slot4_Cost-BB45*(1+Slot4_Rate)^(Slot4_Age-D45))/JC45),0)</f>
        <v>0</v>
      </c>
      <c r="JE45" s="1" t="n">
        <f aca="false">IF(AND(HT45=1,ID45&gt;0,Slot4_IsWG=1,BA45=1),MIN(ID45,JD45),0)</f>
        <v>0</v>
      </c>
      <c r="JF45" s="1" t="n">
        <f aca="false">BB45+JE45</f>
        <v>0</v>
      </c>
      <c r="JG45" s="1" t="n">
        <f aca="false">IF(BA45=1,MAX(0,(Slot4_Cost-JF45*(1+Slot4_Rate)^(Slot4_Age-D45))/JC45),0)</f>
        <v>0</v>
      </c>
      <c r="JH45" s="1" t="n">
        <f aca="false">IF(BA45=1,MAX(0,(Slot4_Cost-BB45*(1+Slot4_Rate)^(Slot4_Age-D45))/JC45),0)</f>
        <v>0</v>
      </c>
      <c r="JI45" s="1" t="n">
        <f aca="false">IF(AND(HT45=1,BA45=1),MIN(JB45,JG45),0)</f>
        <v>0</v>
      </c>
      <c r="JJ45" s="1" t="n">
        <f aca="false">JB45-JI45</f>
        <v>0</v>
      </c>
      <c r="JK45" s="1" t="n">
        <f aca="false">IF(BK45=1,IF(ABS((1+AS_Wage)/(1+Slot5_Rate)-1)&lt;0.000000000001,(Slot5_Age-D45)*(1+Slot5_Rate)^(Slot5_Age-D45),(1+Slot5_Rate)^(Slot5_Age-D45)*(1-((1+AS_Wage)/(1+Slot5_Rate))^(Slot5_Age-D45))/(1-(1+AS_Wage)/(1+Slot5_Rate))),1)</f>
        <v>1</v>
      </c>
      <c r="JL45" s="1" t="n">
        <f aca="false">IF(AND(HT45=1,ID45&gt;0,Slot5_IsWG=1,BK45=1),MAX(0,(Slot5_Cost-BL45*(1+Slot5_Rate)^(Slot5_Age-D45))/JK45),0)</f>
        <v>0</v>
      </c>
      <c r="JM45" s="1" t="n">
        <f aca="false">IF(AND(HT45=1,ID45&gt;0,Slot5_IsWG=1,BK45=1),MIN(ID45,JL45),0)</f>
        <v>0</v>
      </c>
      <c r="JN45" s="1" t="n">
        <f aca="false">BL45+JM45</f>
        <v>0</v>
      </c>
      <c r="JO45" s="1" t="n">
        <f aca="false">IF(BK45=1,MAX(0,(Slot5_Cost-JN45*(1+Slot5_Rate)^(Slot5_Age-D45))/JK45),0)</f>
        <v>0</v>
      </c>
      <c r="JP45" s="1" t="n">
        <f aca="false">IF(BK45=1,MAX(0,(Slot5_Cost-BL45*(1+Slot5_Rate)^(Slot5_Age-D45))/JK45),0)</f>
        <v>0</v>
      </c>
      <c r="JQ45" s="1" t="n">
        <f aca="false">IF(AND(HT45=1,BK45=1),MIN(JJ45,JO45),0)</f>
        <v>0</v>
      </c>
      <c r="JR45" s="1" t="n">
        <f aca="false">JJ45-JQ45</f>
        <v>0</v>
      </c>
      <c r="JS45" s="1" t="n">
        <f aca="false">IF(BU45=1,IF(ABS((1+AS_Wage)/(1+Slot6_Rate)-1)&lt;0.000000000001,(Slot6_Age-D45)*(1+Slot6_Rate)^(Slot6_Age-D45),(1+Slot6_Rate)^(Slot6_Age-D45)*(1-((1+AS_Wage)/(1+Slot6_Rate))^(Slot6_Age-D45))/(1-(1+AS_Wage)/(1+Slot6_Rate))),1)</f>
        <v>1</v>
      </c>
      <c r="JT45" s="1" t="n">
        <f aca="false">IF(AND(HT45=1,ID45&gt;0,Slot6_IsWG=1,BU45=1),MAX(0,(Slot6_Cost-BV45*(1+Slot6_Rate)^(Slot6_Age-D45))/JS45),0)</f>
        <v>0</v>
      </c>
      <c r="JU45" s="1" t="n">
        <f aca="false">IF(AND(HT45=1,ID45&gt;0,Slot6_IsWG=1,BU45=1),MIN(ID45,JT45),0)</f>
        <v>0</v>
      </c>
      <c r="JV45" s="1" t="n">
        <f aca="false">BV45+JU45</f>
        <v>0</v>
      </c>
      <c r="JW45" s="1" t="n">
        <f aca="false">IF(BU45=1,MAX(0,(Slot6_Cost-JV45*(1+Slot6_Rate)^(Slot6_Age-D45))/JS45),0)</f>
        <v>0</v>
      </c>
      <c r="JX45" s="1" t="n">
        <f aca="false">IF(BU45=1,MAX(0,(Slot6_Cost-BV45*(1+Slot6_Rate)^(Slot6_Age-D45))/JS45),0)</f>
        <v>0</v>
      </c>
      <c r="JY45" s="1" t="n">
        <f aca="false">IF(AND(HT45=1,BU45=1),MIN(JR45,JW45),0)</f>
        <v>0</v>
      </c>
      <c r="JZ45" s="1" t="n">
        <f aca="false">JR45-JY45</f>
        <v>0</v>
      </c>
      <c r="KA45" s="1" t="n">
        <f aca="false">IF(CE45=1,IF(ABS((1+AS_Wage)/(1+Slot7_Rate)-1)&lt;0.000000000001,(Slot7_Age-D45)*(1+Slot7_Rate)^(Slot7_Age-D45),(1+Slot7_Rate)^(Slot7_Age-D45)*(1-((1+AS_Wage)/(1+Slot7_Rate))^(Slot7_Age-D45))/(1-(1+AS_Wage)/(1+Slot7_Rate))),1)</f>
        <v>1</v>
      </c>
      <c r="KB45" s="1" t="n">
        <f aca="false">IF(AND(HT45=1,ID45&gt;0,Slot7_IsWG=1,CE45=1),MAX(0,(Slot7_Cost-CF45*(1+Slot7_Rate)^(Slot7_Age-D45))/KA45),0)</f>
        <v>0</v>
      </c>
      <c r="KC45" s="1" t="n">
        <f aca="false">IF(AND(HT45=1,ID45&gt;0,Slot7_IsWG=1,CE45=1),MIN(ID45,KB45),0)</f>
        <v>0</v>
      </c>
      <c r="KD45" s="1" t="n">
        <f aca="false">CF45+KC45</f>
        <v>0</v>
      </c>
      <c r="KE45" s="1" t="n">
        <f aca="false">IF(CE45=1,MAX(0,(Slot7_Cost-KD45*(1+Slot7_Rate)^(Slot7_Age-D45))/KA45),0)</f>
        <v>0</v>
      </c>
      <c r="KF45" s="1" t="n">
        <f aca="false">IF(CE45=1,MAX(0,(Slot7_Cost-CF45*(1+Slot7_Rate)^(Slot7_Age-D45))/KA45),0)</f>
        <v>0</v>
      </c>
      <c r="KG45" s="1" t="n">
        <f aca="false">IF(AND(HT45=1,CE45=1),MIN(JZ45,KE45),0)</f>
        <v>0</v>
      </c>
      <c r="KH45" s="1" t="n">
        <f aca="false">JZ45-KG45</f>
        <v>0</v>
      </c>
      <c r="KI45" s="1" t="n">
        <f aca="false">IF(CO45=1,IF(ABS((1+AS_Wage)/(1+Slot8_Rate)-1)&lt;0.000000000001,(Slot8_Age-D45)*(1+Slot8_Rate)^(Slot8_Age-D45),(1+Slot8_Rate)^(Slot8_Age-D45)*(1-((1+AS_Wage)/(1+Slot8_Rate))^(Slot8_Age-D45))/(1-(1+AS_Wage)/(1+Slot8_Rate))),1)</f>
        <v>1</v>
      </c>
      <c r="KJ45" s="1" t="n">
        <f aca="false">IF(AND(HT45=1,ID45&gt;0,Slot8_IsWG=1,CO45=1),MAX(0,(Slot8_Cost-CP45*(1+Slot8_Rate)^(Slot8_Age-D45))/KI45),0)</f>
        <v>0</v>
      </c>
      <c r="KK45" s="1" t="n">
        <f aca="false">IF(AND(HT45=1,ID45&gt;0,Slot8_IsWG=1,CO45=1),MIN(ID45,KJ45),0)</f>
        <v>0</v>
      </c>
      <c r="KL45" s="1" t="n">
        <f aca="false">CP45+KK45</f>
        <v>0</v>
      </c>
      <c r="KM45" s="1" t="n">
        <f aca="false">IF(CO45=1,MAX(0,(Slot8_Cost-KL45*(1+Slot8_Rate)^(Slot8_Age-D45))/KI45),0)</f>
        <v>0</v>
      </c>
      <c r="KN45" s="1" t="n">
        <f aca="false">IF(CO45=1,MAX(0,(Slot8_Cost-CP45*(1+Slot8_Rate)^(Slot8_Age-D45))/KI45),0)</f>
        <v>0</v>
      </c>
      <c r="KO45" s="1" t="n">
        <f aca="false">IF(AND(HT45=1,CO45=1),MIN(KH45,KM45),0)</f>
        <v>0</v>
      </c>
      <c r="KP45" s="1" t="n">
        <f aca="false">KH45-KO45</f>
        <v>0</v>
      </c>
      <c r="KQ45" s="1" t="n">
        <f aca="false">IF(CY45=1,IF(ABS((1+AS_Wage)/(1+Slot9_Rate)-1)&lt;0.000000000001,(Slot9_Age-D45)*(1+Slot9_Rate)^(Slot9_Age-D45),(1+Slot9_Rate)^(Slot9_Age-D45)*(1-((1+AS_Wage)/(1+Slot9_Rate))^(Slot9_Age-D45))/(1-(1+AS_Wage)/(1+Slot9_Rate))),1)</f>
        <v>1</v>
      </c>
      <c r="KR45" s="1" t="n">
        <f aca="false">IF(AND(HT45=1,ID45&gt;0,Slot9_IsWG=1,CY45=1),MAX(0,(Slot9_Cost-CZ45*(1+Slot9_Rate)^(Slot9_Age-D45))/KQ45),0)</f>
        <v>0</v>
      </c>
      <c r="KS45" s="1" t="n">
        <f aca="false">IF(AND(HT45=1,ID45&gt;0,Slot9_IsWG=1,CY45=1),MIN(ID45,KR45),0)</f>
        <v>0</v>
      </c>
      <c r="KT45" s="1" t="n">
        <f aca="false">CZ45+KS45</f>
        <v>0</v>
      </c>
      <c r="KU45" s="1" t="n">
        <f aca="false">IF(CY45=1,MAX(0,(Slot9_Cost-KT45*(1+Slot9_Rate)^(Slot9_Age-D45))/KQ45),0)</f>
        <v>0</v>
      </c>
      <c r="KV45" s="1" t="n">
        <f aca="false">IF(CY45=1,MAX(0,(Slot9_Cost-CZ45*(1+Slot9_Rate)^(Slot9_Age-D45))/KQ45),0)</f>
        <v>0</v>
      </c>
      <c r="KW45" s="1" t="n">
        <f aca="false">IF(AND(HT45=1,CY45=1),MIN(KP45,KU45),0)</f>
        <v>0</v>
      </c>
      <c r="KX45" s="1" t="n">
        <f aca="false">KP45-KW45</f>
        <v>0</v>
      </c>
      <c r="KY45" s="1" t="n">
        <f aca="false">IF(DI45=1,IF(ABS((1+AS_Wage)/(1+Slot10_Rate)-1)&lt;0.000000000001,(Slot10_Age-D45)*(1+Slot10_Rate)^(Slot10_Age-D45),(1+Slot10_Rate)^(Slot10_Age-D45)*(1-((1+AS_Wage)/(1+Slot10_Rate))^(Slot10_Age-D45))/(1-(1+AS_Wage)/(1+Slot10_Rate))),1)</f>
        <v>1</v>
      </c>
      <c r="KZ45" s="1" t="n">
        <f aca="false">IF(AND(HT45=1,ID45&gt;0,Slot10_IsWG=1,DI45=1),MAX(0,(Slot10_Cost-DJ45*(1+Slot10_Rate)^(Slot10_Age-D45))/KY45),0)</f>
        <v>0</v>
      </c>
      <c r="LA45" s="1" t="n">
        <f aca="false">IF(AND(HT45=1,ID45&gt;0,Slot10_IsWG=1,DI45=1),MIN(ID45,KZ45),0)</f>
        <v>0</v>
      </c>
      <c r="LB45" s="1" t="n">
        <f aca="false">DJ45+LA45</f>
        <v>0</v>
      </c>
      <c r="LC45" s="1" t="n">
        <f aca="false">IF(DI45=1,MAX(0,(Slot10_Cost-LB45*(1+Slot10_Rate)^(Slot10_Age-D45))/KY45),0)</f>
        <v>0</v>
      </c>
      <c r="LD45" s="1" t="n">
        <f aca="false">IF(DI45=1,MAX(0,(Slot10_Cost-DJ45*(1+Slot10_Rate)^(Slot10_Age-D45))/KY45),0)</f>
        <v>0</v>
      </c>
      <c r="LE45" s="1" t="n">
        <f aca="false">IF(AND(HT45=1,DI45=1),MIN(KX45,LC45),0)</f>
        <v>0</v>
      </c>
      <c r="LF45" s="1" t="n">
        <f aca="false">KX45-LE45</f>
        <v>0</v>
      </c>
      <c r="LG45" s="1" t="n">
        <f aca="false">IF(DS45=1,IF(ABS((1+AS_Wage)/(1+Slot11_Rate)-1)&lt;0.000000000001,(Slot11_Age-D45)*(1+Slot11_Rate)^(Slot11_Age-D45),(1+Slot11_Rate)^(Slot11_Age-D45)*(1-((1+AS_Wage)/(1+Slot11_Rate))^(Slot11_Age-D45))/(1-(1+AS_Wage)/(1+Slot11_Rate))),1)</f>
        <v>1</v>
      </c>
      <c r="LH45" s="1" t="n">
        <f aca="false">IF(AND(HT45=1,ID45&gt;0,Slot11_IsWG=1,DS45=1),MAX(0,(Slot11_Cost-DT45*(1+Slot11_Rate)^(Slot11_Age-D45))/LG45),0)</f>
        <v>0</v>
      </c>
      <c r="LI45" s="1" t="n">
        <f aca="false">IF(AND(HT45=1,ID45&gt;0,Slot11_IsWG=1,DS45=1),MIN(ID45,LH45),0)</f>
        <v>0</v>
      </c>
      <c r="LJ45" s="1" t="n">
        <f aca="false">DT45+LI45</f>
        <v>0</v>
      </c>
      <c r="LK45" s="1" t="n">
        <f aca="false">IF(DS45=1,MAX(0,(Slot11_Cost-LJ45*(1+Slot11_Rate)^(Slot11_Age-D45))/LG45),0)</f>
        <v>0</v>
      </c>
      <c r="LL45" s="1" t="n">
        <f aca="false">IF(DS45=1,MAX(0,(Slot11_Cost-DT45*(1+Slot11_Rate)^(Slot11_Age-D45))/LG45),0)</f>
        <v>0</v>
      </c>
      <c r="LM45" s="1" t="n">
        <f aca="false">IF(AND(HT45=1,DS45=1),MIN(LF45,LK45),0)</f>
        <v>0</v>
      </c>
      <c r="LN45" s="1" t="n">
        <f aca="false">LF45-LM45</f>
        <v>0</v>
      </c>
      <c r="LO45" s="1" t="n">
        <f aca="false">IF(EC45=1,IF(ABS((1+AS_Wage)/(1+Slot12_Rate)-1)&lt;0.000000000001,(Slot12_Age-D45)*(1+Slot12_Rate)^(Slot12_Age-D45),(1+Slot12_Rate)^(Slot12_Age-D45)*(1-((1+AS_Wage)/(1+Slot12_Rate))^(Slot12_Age-D45))/(1-(1+AS_Wage)/(1+Slot12_Rate))),1)</f>
        <v>1</v>
      </c>
      <c r="LP45" s="1" t="n">
        <f aca="false">IF(AND(HT45=1,ID45&gt;0,Slot12_IsWG=1,EC45=1),MAX(0,(Slot12_Cost-ED45*(1+Slot12_Rate)^(Slot12_Age-D45))/LO45),0)</f>
        <v>0</v>
      </c>
      <c r="LQ45" s="1" t="n">
        <f aca="false">IF(AND(HT45=1,ID45&gt;0,Slot12_IsWG=1,EC45=1),MIN(ID45,LP45),0)</f>
        <v>0</v>
      </c>
      <c r="LR45" s="1" t="n">
        <f aca="false">ED45+LQ45</f>
        <v>0</v>
      </c>
      <c r="LS45" s="1" t="n">
        <f aca="false">IF(EC45=1,MAX(0,(Slot12_Cost-LR45*(1+Slot12_Rate)^(Slot12_Age-D45))/LO45),0)</f>
        <v>0</v>
      </c>
      <c r="LT45" s="1" t="n">
        <f aca="false">IF(EC45=1,MAX(0,(Slot12_Cost-ED45*(1+Slot12_Rate)^(Slot12_Age-D45))/LO45),0)</f>
        <v>0</v>
      </c>
      <c r="LU45" s="1" t="n">
        <f aca="false">IF(AND(HT45=1,EC45=1),MIN(LN45,LS45),0)</f>
        <v>0</v>
      </c>
      <c r="LV45" s="1" t="n">
        <f aca="false">LN45-LU45</f>
        <v>0</v>
      </c>
      <c r="LW45" s="1" t="n">
        <f aca="false">IF(EM45=1,IF(ABS((1+AS_Wage)/(1+Slot13_Rate)-1)&lt;0.000000000001,(Slot13_Age-D45)*(1+Slot13_Rate)^(Slot13_Age-D45),(1+Slot13_Rate)^(Slot13_Age-D45)*(1-((1+AS_Wage)/(1+Slot13_Rate))^(Slot13_Age-D45))/(1-(1+AS_Wage)/(1+Slot13_Rate))),1)</f>
        <v>1</v>
      </c>
      <c r="LX45" s="1" t="n">
        <f aca="false">IF(AND(HT45=1,ID45&gt;0,Slot13_IsWG=1,EM45=1),MAX(0,(Slot13_Cost-EN45*(1+Slot13_Rate)^(Slot13_Age-D45))/LW45),0)</f>
        <v>0</v>
      </c>
      <c r="LY45" s="1" t="n">
        <f aca="false">IF(AND(HT45=1,ID45&gt;0,Slot13_IsWG=1,EM45=1),MIN(ID45,LX45),0)</f>
        <v>0</v>
      </c>
      <c r="LZ45" s="1" t="n">
        <f aca="false">EN45+LY45</f>
        <v>0</v>
      </c>
      <c r="MA45" s="1" t="n">
        <f aca="false">IF(EM45=1,MAX(0,(Slot13_Cost-LZ45*(1+Slot13_Rate)^(Slot13_Age-D45))/LW45),0)</f>
        <v>0</v>
      </c>
      <c r="MB45" s="1" t="n">
        <f aca="false">IF(EM45=1,MAX(0,(Slot13_Cost-EN45*(1+Slot13_Rate)^(Slot13_Age-D45))/LW45),0)</f>
        <v>0</v>
      </c>
      <c r="MC45" s="1" t="n">
        <f aca="false">IF(AND(HT45=1,EM45=1),MIN(LV45,MA45),0)</f>
        <v>0</v>
      </c>
      <c r="MD45" s="1" t="n">
        <f aca="false">LV45-MC45</f>
        <v>0</v>
      </c>
      <c r="ME45" s="1" t="n">
        <f aca="false">IF(EW45=1,IF(ABS((1+AS_Wage)/(1+Slot14_Rate)-1)&lt;0.000000000001,(Slot14_Age-D45)*(1+Slot14_Rate)^(Slot14_Age-D45),(1+Slot14_Rate)^(Slot14_Age-D45)*(1-((1+AS_Wage)/(1+Slot14_Rate))^(Slot14_Age-D45))/(1-(1+AS_Wage)/(1+Slot14_Rate))),1)</f>
        <v>1</v>
      </c>
      <c r="MF45" s="1" t="n">
        <f aca="false">IF(AND(HT45=1,ID45&gt;0,Slot14_IsWG=1,EW45=1),MAX(0,(Slot14_Cost-EX45*(1+Slot14_Rate)^(Slot14_Age-D45))/ME45),0)</f>
        <v>0</v>
      </c>
      <c r="MG45" s="1" t="n">
        <f aca="false">IF(AND(HT45=1,ID45&gt;0,Slot14_IsWG=1,EW45=1),MIN(ID45,MF45),0)</f>
        <v>0</v>
      </c>
      <c r="MH45" s="1" t="n">
        <f aca="false">EX45+MG45</f>
        <v>0</v>
      </c>
      <c r="MI45" s="1" t="n">
        <f aca="false">IF(EW45=1,MAX(0,(Slot14_Cost-MH45*(1+Slot14_Rate)^(Slot14_Age-D45))/ME45),0)</f>
        <v>0</v>
      </c>
      <c r="MJ45" s="1" t="n">
        <f aca="false">IF(EW45=1,MAX(0,(Slot14_Cost-EX45*(1+Slot14_Rate)^(Slot14_Age-D45))/ME45),0)</f>
        <v>0</v>
      </c>
      <c r="MK45" s="1" t="n">
        <f aca="false">IF(AND(HT45=1,EW45=1),MIN(MD45,MI45),0)</f>
        <v>0</v>
      </c>
      <c r="ML45" s="1" t="n">
        <f aca="false">MD45-MK45</f>
        <v>0</v>
      </c>
      <c r="MM45" s="1" t="n">
        <f aca="false">IF(FG45=1,IF(ABS((1+AS_Wage)/(1+Slot15_Rate)-1)&lt;0.000000000001,(Slot15_Age-D45)*(1+Slot15_Rate)^(Slot15_Age-D45),(1+Slot15_Rate)^(Slot15_Age-D45)*(1-((1+AS_Wage)/(1+Slot15_Rate))^(Slot15_Age-D45))/(1-(1+AS_Wage)/(1+Slot15_Rate))),1)</f>
        <v>1</v>
      </c>
      <c r="MN45" s="1" t="n">
        <f aca="false">IF(AND(HT45=1,ID45&gt;0,Slot15_IsWG=1,FG45=1),MAX(0,(Slot15_Cost-FH45*(1+Slot15_Rate)^(Slot15_Age-D45))/MM45),0)</f>
        <v>0</v>
      </c>
      <c r="MO45" s="1" t="n">
        <f aca="false">IF(AND(HT45=1,ID45&gt;0,Slot15_IsWG=1,FG45=1),MIN(ID45,MN45),0)</f>
        <v>0</v>
      </c>
      <c r="MP45" s="1" t="n">
        <f aca="false">FH45+MO45</f>
        <v>0</v>
      </c>
      <c r="MQ45" s="1" t="n">
        <f aca="false">IF(FG45=1,MAX(0,(Slot15_Cost-MP45*(1+Slot15_Rate)^(Slot15_Age-D45))/MM45),0)</f>
        <v>0</v>
      </c>
      <c r="MR45" s="1" t="n">
        <f aca="false">IF(FG45=1,MAX(0,(Slot15_Cost-FH45*(1+Slot15_Rate)^(Slot15_Age-D45))/MM45),0)</f>
        <v>0</v>
      </c>
      <c r="MS45" s="1" t="n">
        <f aca="false">IF(AND(HT45=1,FG45=1),MIN(ML45,MQ45),0)</f>
        <v>0</v>
      </c>
      <c r="MT45" s="1" t="n">
        <f aca="false">ML45-MS45</f>
        <v>0</v>
      </c>
      <c r="MU45" s="1" t="n">
        <f aca="false">IF(FQ45=1,IF(ABS((1+AS_Wage)/(1+Slot16_Rate)-1)&lt;0.000000000001,(Slot16_Age-D45)*(1+Slot16_Rate)^(Slot16_Age-D45),(1+Slot16_Rate)^(Slot16_Age-D45)*(1-((1+AS_Wage)/(1+Slot16_Rate))^(Slot16_Age-D45))/(1-(1+AS_Wage)/(1+Slot16_Rate))),1)</f>
        <v>1</v>
      </c>
      <c r="MV45" s="1" t="n">
        <f aca="false">IF(AND(HT45=1,ID45&gt;0,Slot16_IsWG=1,FQ45=1),MAX(0,(Slot16_Cost-FR45*(1+Slot16_Rate)^(Slot16_Age-D45))/MU45),0)</f>
        <v>0</v>
      </c>
      <c r="MW45" s="1" t="n">
        <f aca="false">IF(AND(HT45=1,ID45&gt;0,Slot16_IsWG=1,FQ45=1),MIN(ID45,MV45),0)</f>
        <v>0</v>
      </c>
      <c r="MX45" s="1" t="n">
        <f aca="false">FR45+MW45</f>
        <v>0</v>
      </c>
      <c r="MY45" s="1" t="n">
        <f aca="false">IF(FQ45=1,MAX(0,(Slot16_Cost-MX45*(1+Slot16_Rate)^(Slot16_Age-D45))/MU45),0)</f>
        <v>0</v>
      </c>
      <c r="MZ45" s="1" t="n">
        <f aca="false">IF(FQ45=1,MAX(0,(Slot16_Cost-FR45*(1+Slot16_Rate)^(Slot16_Age-D45))/MU45),0)</f>
        <v>0</v>
      </c>
      <c r="NA45" s="1" t="n">
        <f aca="false">IF(AND(HT45=1,FQ45=1),MIN(MT45,MY45),0)</f>
        <v>0</v>
      </c>
      <c r="NB45" s="1" t="n">
        <f aca="false">MT45-NA45</f>
        <v>0</v>
      </c>
      <c r="NC45" s="1" t="n">
        <f aca="false">IF(GA45=1,IF(ABS((1+AS_Wage)/(1+Slot17_Rate)-1)&lt;0.000000000001,(Slot17_Age-D45)*(1+Slot17_Rate)^(Slot17_Age-D45),(1+Slot17_Rate)^(Slot17_Age-D45)*(1-((1+AS_Wage)/(1+Slot17_Rate))^(Slot17_Age-D45))/(1-(1+AS_Wage)/(1+Slot17_Rate))),1)</f>
        <v>1</v>
      </c>
      <c r="ND45" s="1" t="n">
        <f aca="false">IF(AND(HT45=1,ID45&gt;0,Slot17_IsWG=1,GA45=1),MAX(0,(Slot17_Cost-GB45*(1+Slot17_Rate)^(Slot17_Age-D45))/NC45),0)</f>
        <v>0</v>
      </c>
      <c r="NE45" s="1" t="n">
        <f aca="false">IF(AND(HT45=1,ID45&gt;0,Slot17_IsWG=1,GA45=1),MIN(ID45,ND45),0)</f>
        <v>0</v>
      </c>
      <c r="NF45" s="1" t="n">
        <f aca="false">GB45+NE45</f>
        <v>0</v>
      </c>
      <c r="NG45" s="1" t="n">
        <f aca="false">IF(GA45=1,MAX(0,(Slot17_Cost-NF45*(1+Slot17_Rate)^(Slot17_Age-D45))/NC45),0)</f>
        <v>0</v>
      </c>
      <c r="NH45" s="1" t="n">
        <f aca="false">IF(GA45=1,MAX(0,(Slot17_Cost-GB45*(1+Slot17_Rate)^(Slot17_Age-D45))/NC45),0)</f>
        <v>0</v>
      </c>
      <c r="NI45" s="1" t="n">
        <f aca="false">IF(AND(HT45=1,GA45=1),MIN(NB45,NG45),0)</f>
        <v>0</v>
      </c>
      <c r="NJ45" s="1" t="n">
        <f aca="false">NB45-NI45</f>
        <v>0</v>
      </c>
      <c r="NK45" s="1" t="n">
        <f aca="false">IF(GK45=1,IF(ABS((1+AS_Wage)/(1+Slot18_Rate)-1)&lt;0.000000000001,(Slot18_Age-D45)*(1+Slot18_Rate)^(Slot18_Age-D45),(1+Slot18_Rate)^(Slot18_Age-D45)*(1-((1+AS_Wage)/(1+Slot18_Rate))^(Slot18_Age-D45))/(1-(1+AS_Wage)/(1+Slot18_Rate))),1)</f>
        <v>1</v>
      </c>
      <c r="NL45" s="1" t="n">
        <f aca="false">IF(AND(HT45=1,ID45&gt;0,Slot18_IsWG=1,GK45=1),MAX(0,(Slot18_Cost-GL45*(1+Slot18_Rate)^(Slot18_Age-D45))/NK45),0)</f>
        <v>0</v>
      </c>
      <c r="NM45" s="1" t="n">
        <f aca="false">IF(AND(HT45=1,ID45&gt;0,Slot18_IsWG=1,GK45=1),MIN(ID45,NL45),0)</f>
        <v>0</v>
      </c>
      <c r="NN45" s="1" t="n">
        <f aca="false">GL45+NM45</f>
        <v>0</v>
      </c>
      <c r="NO45" s="1" t="n">
        <f aca="false">IF(GK45=1,MAX(0,(Slot18_Cost-NN45*(1+Slot18_Rate)^(Slot18_Age-D45))/NK45),0)</f>
        <v>0</v>
      </c>
      <c r="NP45" s="1" t="n">
        <f aca="false">IF(GK45=1,MAX(0,(Slot18_Cost-GL45*(1+Slot18_Rate)^(Slot18_Age-D45))/NK45),0)</f>
        <v>0</v>
      </c>
      <c r="NQ45" s="1" t="n">
        <f aca="false">IF(AND(HT45=1,GK45=1),MIN(NJ45,NO45),0)</f>
        <v>0</v>
      </c>
      <c r="NR45" s="1" t="n">
        <f aca="false">NJ45-NQ45</f>
        <v>0</v>
      </c>
      <c r="NS45" s="1" t="n">
        <f aca="false">IF(GU45=1,IF(ABS((1+AS_Wage)/(1+Slot19_Rate)-1)&lt;0.000000000001,(Slot19_Age-D45)*(1+Slot19_Rate)^(Slot19_Age-D45),(1+Slot19_Rate)^(Slot19_Age-D45)*(1-((1+AS_Wage)/(1+Slot19_Rate))^(Slot19_Age-D45))/(1-(1+AS_Wage)/(1+Slot19_Rate))),1)</f>
        <v>1</v>
      </c>
      <c r="NT45" s="1" t="n">
        <f aca="false">IF(AND(HT45=1,ID45&gt;0,Slot19_IsWG=1,GU45=1),MAX(0,(Slot19_Cost-GV45*(1+Slot19_Rate)^(Slot19_Age-D45))/NS45),0)</f>
        <v>0</v>
      </c>
      <c r="NU45" s="1" t="n">
        <f aca="false">IF(AND(HT45=1,ID45&gt;0,Slot19_IsWG=1,GU45=1),MIN(ID45,NT45),0)</f>
        <v>0</v>
      </c>
      <c r="NV45" s="1" t="n">
        <f aca="false">GV45+NU45</f>
        <v>0</v>
      </c>
      <c r="NW45" s="1" t="n">
        <f aca="false">IF(GU45=1,MAX(0,(Slot19_Cost-NV45*(1+Slot19_Rate)^(Slot19_Age-D45))/NS45),0)</f>
        <v>0</v>
      </c>
      <c r="NX45" s="1" t="n">
        <f aca="false">IF(GU45=1,MAX(0,(Slot19_Cost-GV45*(1+Slot19_Rate)^(Slot19_Age-D45))/NS45),0)</f>
        <v>0</v>
      </c>
      <c r="NY45" s="1" t="n">
        <f aca="false">IF(AND(HT45=1,GU45=1),MIN(NR45,NW45),0)</f>
        <v>0</v>
      </c>
      <c r="NZ45" s="1" t="n">
        <f aca="false">NR45-NY45</f>
        <v>0</v>
      </c>
      <c r="OA45" s="1" t="n">
        <f aca="false">IF(HE45=1,IF(ABS((1+AS_Wage)/(1+Slot20_Rate)-1)&lt;0.000000000001,(Slot20_Age-D45)*(1+Slot20_Rate)^(Slot20_Age-D45),(1+Slot20_Rate)^(Slot20_Age-D45)*(1-((1+AS_Wage)/(1+Slot20_Rate))^(Slot20_Age-D45))/(1-(1+AS_Wage)/(1+Slot20_Rate))),1)</f>
        <v>1</v>
      </c>
      <c r="OB45" s="1" t="n">
        <f aca="false">IF(AND(HT45=1,ID45&gt;0,Slot20_IsWG=1,HE45=1),MAX(0,(Slot20_Cost-HF45*(1+Slot20_Rate)^(Slot20_Age-D45))/OA45),0)</f>
        <v>0</v>
      </c>
      <c r="OC45" s="1" t="n">
        <f aca="false">IF(AND(HT45=1,ID45&gt;0,Slot20_IsWG=1,HE45=1),MIN(ID45,OB45),0)</f>
        <v>0</v>
      </c>
      <c r="OD45" s="1" t="n">
        <f aca="false">HF45+OC45</f>
        <v>0</v>
      </c>
      <c r="OE45" s="1" t="n">
        <f aca="false">IF(HE45=1,MAX(0,(Slot20_Cost-OD45*(1+Slot20_Rate)^(Slot20_Age-D45))/OA45),0)</f>
        <v>0</v>
      </c>
      <c r="OF45" s="1" t="n">
        <f aca="false">IF(HE45=1,MAX(0,(Slot20_Cost-HF45*(1+Slot20_Rate)^(Slot20_Age-D45))/OA45),0)</f>
        <v>0</v>
      </c>
      <c r="OG45" s="1" t="n">
        <f aca="false">IF(AND(HT45=1,HE45=1),MIN(NZ45,OE45),0)</f>
        <v>0</v>
      </c>
      <c r="OH45" s="1" t="n">
        <f aca="false">NZ45-OG45</f>
        <v>0</v>
      </c>
      <c r="OI45" s="1" t="n">
        <f aca="false">ID45-(IG45+IO45+IW45+JE45+JM45+JU45+KC45+KK45+KS45+LA45+LI45+LQ45+LY45+MG45+MO45+MW45+NE45+NM45+NU45+OC45)</f>
        <v>0</v>
      </c>
      <c r="OJ45" s="1" t="n">
        <f aca="false">IF(HT45=1,HR45-IC45-ID45,0)</f>
        <v>0</v>
      </c>
      <c r="OK45" s="1" t="n">
        <f aca="false">IF(HT45=0,-HR45,0)</f>
        <v>0</v>
      </c>
      <c r="OL45" s="1" t="n">
        <f aca="false">MIN(OK45,HJ45)</f>
        <v>0</v>
      </c>
      <c r="OM45" s="1" t="n">
        <f aca="false">OK45-OL45</f>
        <v>0</v>
      </c>
      <c r="ON45" s="1" t="n">
        <f aca="false">MIN(OM45,HK45)</f>
        <v>0</v>
      </c>
      <c r="OO45" s="1" t="n">
        <f aca="false">OM45-ON45</f>
        <v>0</v>
      </c>
      <c r="OP45" s="1" t="n">
        <f aca="false">IF(AND(HT45=0,HE45=1,OO45&gt;0),MIN(OO45,HF45),0)</f>
        <v>0</v>
      </c>
      <c r="OQ45" s="1" t="n">
        <f aca="false">OO45-OP45</f>
        <v>0</v>
      </c>
      <c r="OR45" s="1" t="n">
        <f aca="false">IF(AND(HT45=0,GU45=1,OQ45&gt;0),MIN(OQ45,GV45),0)</f>
        <v>0</v>
      </c>
      <c r="OS45" s="1" t="n">
        <f aca="false">OQ45-OR45</f>
        <v>0</v>
      </c>
      <c r="OT45" s="1" t="n">
        <f aca="false">IF(AND(HT45=0,GK45=1,OS45&gt;0),MIN(OS45,GL45),0)</f>
        <v>0</v>
      </c>
      <c r="OU45" s="1" t="n">
        <f aca="false">OS45-OT45</f>
        <v>0</v>
      </c>
      <c r="OV45" s="1" t="n">
        <f aca="false">IF(AND(HT45=0,GA45=1,OU45&gt;0),MIN(OU45,GB45),0)</f>
        <v>0</v>
      </c>
      <c r="OW45" s="1" t="n">
        <f aca="false">OU45-OV45</f>
        <v>0</v>
      </c>
      <c r="OX45" s="1" t="n">
        <f aca="false">IF(AND(HT45=0,FQ45=1,OW45&gt;0),MIN(OW45,FR45),0)</f>
        <v>0</v>
      </c>
      <c r="OY45" s="1" t="n">
        <f aca="false">OW45-OX45</f>
        <v>0</v>
      </c>
      <c r="OZ45" s="1" t="n">
        <f aca="false">IF(AND(HT45=0,FG45=1,OY45&gt;0),MIN(OY45,FH45),0)</f>
        <v>0</v>
      </c>
      <c r="PA45" s="1" t="n">
        <f aca="false">OY45-OZ45</f>
        <v>0</v>
      </c>
      <c r="PB45" s="1" t="n">
        <f aca="false">IF(AND(HT45=0,EW45=1,PA45&gt;0),MIN(PA45,EX45),0)</f>
        <v>0</v>
      </c>
      <c r="PC45" s="1" t="n">
        <f aca="false">PA45-PB45</f>
        <v>0</v>
      </c>
      <c r="PD45" s="1" t="n">
        <f aca="false">IF(AND(HT45=0,EM45=1,PC45&gt;0),MIN(PC45,EN45),0)</f>
        <v>0</v>
      </c>
      <c r="PE45" s="1" t="n">
        <f aca="false">PC45-PD45</f>
        <v>0</v>
      </c>
      <c r="PF45" s="1" t="n">
        <f aca="false">IF(AND(HT45=0,EC45=1,PE45&gt;0),MIN(PE45,ED45),0)</f>
        <v>0</v>
      </c>
      <c r="PG45" s="1" t="n">
        <f aca="false">PE45-PF45</f>
        <v>0</v>
      </c>
      <c r="PH45" s="1" t="n">
        <f aca="false">IF(AND(HT45=0,DS45=1,PG45&gt;0),MIN(PG45,DT45),0)</f>
        <v>0</v>
      </c>
      <c r="PI45" s="1" t="n">
        <f aca="false">PG45-PH45</f>
        <v>0</v>
      </c>
      <c r="PJ45" s="1" t="n">
        <f aca="false">IF(AND(HT45=0,DI45=1,PI45&gt;0),MIN(PI45,DJ45),0)</f>
        <v>0</v>
      </c>
      <c r="PK45" s="1" t="n">
        <f aca="false">PI45-PJ45</f>
        <v>0</v>
      </c>
      <c r="PL45" s="1" t="n">
        <f aca="false">IF(AND(HT45=0,CY45=1,PK45&gt;0),MIN(PK45,CZ45),0)</f>
        <v>0</v>
      </c>
      <c r="PM45" s="1" t="n">
        <f aca="false">PK45-PL45</f>
        <v>0</v>
      </c>
      <c r="PN45" s="1" t="n">
        <f aca="false">IF(AND(HT45=0,CO45=1,PM45&gt;0),MIN(PM45,CP45),0)</f>
        <v>0</v>
      </c>
      <c r="PO45" s="1" t="n">
        <f aca="false">PM45-PN45</f>
        <v>0</v>
      </c>
      <c r="PP45" s="1" t="n">
        <f aca="false">IF(AND(HT45=0,CE45=1,PO45&gt;0),MIN(PO45,CF45),0)</f>
        <v>0</v>
      </c>
      <c r="PQ45" s="1" t="n">
        <f aca="false">PO45-PP45</f>
        <v>0</v>
      </c>
      <c r="PR45" s="1" t="n">
        <f aca="false">IF(AND(HT45=0,BU45=1,PQ45&gt;0),MIN(PQ45,BV45),0)</f>
        <v>0</v>
      </c>
      <c r="PS45" s="1" t="n">
        <f aca="false">PQ45-PR45</f>
        <v>0</v>
      </c>
      <c r="PT45" s="1" t="n">
        <f aca="false">IF(AND(HT45=0,BK45=1,PS45&gt;0),MIN(PS45,BL45),0)</f>
        <v>0</v>
      </c>
      <c r="PU45" s="1" t="n">
        <f aca="false">PS45-PT45</f>
        <v>0</v>
      </c>
      <c r="PV45" s="1" t="n">
        <f aca="false">IF(AND(HT45=0,BA45=1,PU45&gt;0),MIN(PU45,BB45),0)</f>
        <v>0</v>
      </c>
      <c r="PW45" s="1" t="n">
        <f aca="false">PU45-PV45</f>
        <v>0</v>
      </c>
      <c r="PX45" s="1" t="n">
        <f aca="false">IF(AND(HT45=0,AQ45=1,PW45&gt;0),MIN(PW45,AR45),0)</f>
        <v>0</v>
      </c>
      <c r="PY45" s="1" t="n">
        <f aca="false">PW45-PX45</f>
        <v>0</v>
      </c>
      <c r="PZ45" s="1" t="n">
        <f aca="false">IF(AND(HT45=0,AG45=1,PY45&gt;0),MIN(PY45,AH45),0)</f>
        <v>0</v>
      </c>
      <c r="QA45" s="1" t="n">
        <f aca="false">PY45-PZ45</f>
        <v>0</v>
      </c>
      <c r="QB45" s="1" t="n">
        <f aca="false">IF(AND(HT45=0,V45=1,QA45&gt;0),MIN(QA45,W45),0)</f>
        <v>0</v>
      </c>
      <c r="QC45" s="1" t="n">
        <f aca="false">QA45-QB45</f>
        <v>0</v>
      </c>
      <c r="QD45" s="1" t="n">
        <f aca="false">IF(HT45=0,QC45,0)</f>
        <v>0</v>
      </c>
      <c r="QE45" s="1" t="n">
        <f aca="false">OL45+ON45+QB45+PZ45+PX45+PV45+PT45+PR45+PP45+PN45+PL45+PJ45+PH45+PF45+PD45+PB45+OZ45+OX45+OV45+OT45+OR45+OP45</f>
        <v>0</v>
      </c>
      <c r="QF45" s="1" t="n">
        <f aca="false">IF(HT45=1,HJ45+OI45+OH45+IF(F45=1,0,OJ45),HJ45-OL45)</f>
        <v>0</v>
      </c>
      <c r="QG45" s="1" t="n">
        <f aca="false">HK45-ON45</f>
        <v>0</v>
      </c>
      <c r="QH45" s="1" t="n">
        <f aca="false">IF(HT45=1,IF(F45=1,IC45+ID45,HR45),0)</f>
        <v>0</v>
      </c>
      <c r="QI45" s="1" t="n">
        <f aca="false">IF(HT45=1,IF(F45=1,HR45-IC45-ID45,0),0)</f>
        <v>0</v>
      </c>
      <c r="QJ45" s="1" t="n">
        <f aca="false">QF45*(1+GR)</f>
        <v>0</v>
      </c>
      <c r="QK45" s="1" t="n">
        <f aca="false">QG45*(1+AS_Cash)</f>
        <v>0</v>
      </c>
      <c r="QL45" s="1" t="n">
        <f aca="false">IF(V45=1,IF(HT45=1,IH45+IK45,W45-QB45)*(1+Slot1_Rate),0)</f>
        <v>0</v>
      </c>
      <c r="QM45" s="1" t="n">
        <f aca="false">IF(AND(HT45=1,V45=1),(IG45+IK45)/E45,0)</f>
        <v>0</v>
      </c>
      <c r="QN45" s="1" t="n">
        <f aca="false">IF(B45=0,IG45+IK45,0)</f>
        <v>0</v>
      </c>
      <c r="QO45" s="1" t="n">
        <f aca="false">IF(B45=0,IF(HT45=1,II45,IJ45),0)</f>
        <v>0</v>
      </c>
      <c r="QP45" s="1" t="n">
        <f aca="false">IF(AG45=1,IF(HT45=1,IP45+IS45,AH45-PZ45)*(1+Slot2_Rate),0)</f>
        <v>0</v>
      </c>
      <c r="QQ45" s="1" t="n">
        <f aca="false">IF(AND(HT45=1,AG45=1),(IO45+IS45)/E45,0)</f>
        <v>0</v>
      </c>
      <c r="QR45" s="1" t="n">
        <f aca="false">IF(B45=0,IO45+IS45,0)</f>
        <v>0</v>
      </c>
      <c r="QS45" s="1" t="n">
        <f aca="false">IF(B45=0,IF(HT45=1,IQ45,IR45),0)</f>
        <v>0</v>
      </c>
      <c r="QT45" s="1" t="n">
        <f aca="false">IF(AQ45=1,IF(HT45=1,IX45+JA45,AR45-PX45)*(1+Slot3_Rate),0)</f>
        <v>0</v>
      </c>
      <c r="QU45" s="1" t="n">
        <f aca="false">IF(AND(HT45=1,AQ45=1),(IW45+JA45)/E45,0)</f>
        <v>0</v>
      </c>
      <c r="QV45" s="1" t="n">
        <f aca="false">IF(B45=0,IW45+JA45,0)</f>
        <v>0</v>
      </c>
      <c r="QW45" s="1" t="n">
        <f aca="false">IF(B45=0,IF(HT45=1,IY45,IZ45),0)</f>
        <v>0</v>
      </c>
      <c r="QX45" s="1" t="n">
        <f aca="false">IF(BA45=1,IF(HT45=1,JF45+JI45,BB45-PV45)*(1+Slot4_Rate),0)</f>
        <v>0</v>
      </c>
      <c r="QY45" s="1" t="n">
        <f aca="false">IF(AND(HT45=1,BA45=1),(JE45+JI45)/E45,0)</f>
        <v>0</v>
      </c>
      <c r="QZ45" s="1" t="n">
        <f aca="false">IF(B45=0,JE45+JI45,0)</f>
        <v>0</v>
      </c>
      <c r="RA45" s="1" t="n">
        <f aca="false">IF(B45=0,IF(HT45=1,JG45,JH45),0)</f>
        <v>0</v>
      </c>
      <c r="RB45" s="1" t="n">
        <f aca="false">IF(BK45=1,IF(HT45=1,JN45+JQ45,BL45-PT45)*(1+Slot5_Rate),0)</f>
        <v>0</v>
      </c>
      <c r="RC45" s="1" t="n">
        <f aca="false">IF(AND(HT45=1,BK45=1),(JM45+JQ45)/E45,0)</f>
        <v>0</v>
      </c>
      <c r="RD45" s="1" t="n">
        <f aca="false">IF(B45=0,JM45+JQ45,0)</f>
        <v>0</v>
      </c>
      <c r="RE45" s="1" t="n">
        <f aca="false">IF(B45=0,IF(HT45=1,JO45,JP45),0)</f>
        <v>0</v>
      </c>
      <c r="RF45" s="1" t="n">
        <f aca="false">IF(BU45=1,IF(HT45=1,JV45+JY45,BV45-PR45)*(1+Slot6_Rate),0)</f>
        <v>0</v>
      </c>
      <c r="RG45" s="1" t="n">
        <f aca="false">IF(AND(HT45=1,BU45=1),(JU45+JY45)/E45,0)</f>
        <v>0</v>
      </c>
      <c r="RH45" s="1" t="n">
        <f aca="false">IF(B45=0,JU45+JY45,0)</f>
        <v>0</v>
      </c>
      <c r="RI45" s="1" t="n">
        <f aca="false">IF(B45=0,IF(HT45=1,JW45,JX45),0)</f>
        <v>0</v>
      </c>
      <c r="RJ45" s="1" t="n">
        <f aca="false">IF(CE45=1,IF(HT45=1,KD45+KG45,CF45-PP45)*(1+Slot7_Rate),0)</f>
        <v>0</v>
      </c>
      <c r="RK45" s="1" t="n">
        <f aca="false">IF(AND(HT45=1,CE45=1),(KC45+KG45)/E45,0)</f>
        <v>0</v>
      </c>
      <c r="RL45" s="1" t="n">
        <f aca="false">IF(B45=0,KC45+KG45,0)</f>
        <v>0</v>
      </c>
      <c r="RM45" s="1" t="n">
        <f aca="false">IF(B45=0,IF(HT45=1,KE45,KF45),0)</f>
        <v>0</v>
      </c>
      <c r="RN45" s="1" t="n">
        <f aca="false">IF(CO45=1,IF(HT45=1,KL45+KO45,CP45-PN45)*(1+Slot8_Rate),0)</f>
        <v>0</v>
      </c>
      <c r="RO45" s="1" t="n">
        <f aca="false">IF(AND(HT45=1,CO45=1),(KK45+KO45)/E45,0)</f>
        <v>0</v>
      </c>
      <c r="RP45" s="1" t="n">
        <f aca="false">IF(B45=0,KK45+KO45,0)</f>
        <v>0</v>
      </c>
      <c r="RQ45" s="1" t="n">
        <f aca="false">IF(B45=0,IF(HT45=1,KM45,KN45),0)</f>
        <v>0</v>
      </c>
      <c r="RR45" s="1" t="n">
        <f aca="false">IF(CY45=1,IF(HT45=1,KT45+KW45,CZ45-PL45)*(1+Slot9_Rate),0)</f>
        <v>0</v>
      </c>
      <c r="RS45" s="1" t="n">
        <f aca="false">IF(AND(HT45=1,CY45=1),(KS45+KW45)/E45,0)</f>
        <v>0</v>
      </c>
      <c r="RT45" s="1" t="n">
        <f aca="false">IF(B45=0,KS45+KW45,0)</f>
        <v>0</v>
      </c>
      <c r="RU45" s="1" t="n">
        <f aca="false">IF(B45=0,IF(HT45=1,KU45,KV45),0)</f>
        <v>0</v>
      </c>
      <c r="RV45" s="1" t="n">
        <f aca="false">IF(DI45=1,IF(HT45=1,LB45+LE45,DJ45-PJ45)*(1+Slot10_Rate),0)</f>
        <v>0</v>
      </c>
      <c r="RW45" s="1" t="n">
        <f aca="false">IF(AND(HT45=1,DI45=1),(LA45+LE45)/E45,0)</f>
        <v>0</v>
      </c>
      <c r="RX45" s="1" t="n">
        <f aca="false">IF(B45=0,LA45+LE45,0)</f>
        <v>0</v>
      </c>
      <c r="RY45" s="1" t="n">
        <f aca="false">IF(B45=0,IF(HT45=1,LC45,LD45),0)</f>
        <v>0</v>
      </c>
      <c r="RZ45" s="1" t="n">
        <f aca="false">IF(DS45=1,IF(HT45=1,LJ45+LM45,DT45-PH45)*(1+Slot11_Rate),0)</f>
        <v>0</v>
      </c>
      <c r="SA45" s="1" t="n">
        <f aca="false">IF(AND(HT45=1,DS45=1),(LI45+LM45)/E45,0)</f>
        <v>0</v>
      </c>
      <c r="SB45" s="1" t="n">
        <f aca="false">IF(B45=0,LI45+LM45,0)</f>
        <v>0</v>
      </c>
      <c r="SC45" s="1" t="n">
        <f aca="false">IF(B45=0,IF(HT45=1,LK45,LL45),0)</f>
        <v>0</v>
      </c>
      <c r="SD45" s="1" t="n">
        <f aca="false">IF(EC45=1,IF(HT45=1,LR45+LU45,ED45-PF45)*(1+Slot12_Rate),0)</f>
        <v>0</v>
      </c>
      <c r="SE45" s="1" t="n">
        <f aca="false">IF(AND(HT45=1,EC45=1),(LQ45+LU45)/E45,0)</f>
        <v>0</v>
      </c>
      <c r="SF45" s="1" t="n">
        <f aca="false">IF(B45=0,LQ45+LU45,0)</f>
        <v>0</v>
      </c>
      <c r="SG45" s="1" t="n">
        <f aca="false">IF(B45=0,IF(HT45=1,LS45,LT45),0)</f>
        <v>0</v>
      </c>
      <c r="SH45" s="1" t="n">
        <f aca="false">IF(EM45=1,IF(HT45=1,LZ45+MC45,EN45-PD45)*(1+Slot13_Rate),0)</f>
        <v>0</v>
      </c>
      <c r="SI45" s="1" t="n">
        <f aca="false">IF(AND(HT45=1,EM45=1),(LY45+MC45)/E45,0)</f>
        <v>0</v>
      </c>
      <c r="SJ45" s="1" t="n">
        <f aca="false">IF(B45=0,LY45+MC45,0)</f>
        <v>0</v>
      </c>
      <c r="SK45" s="1" t="n">
        <f aca="false">IF(B45=0,IF(HT45=1,MA45,MB45),0)</f>
        <v>0</v>
      </c>
      <c r="SL45" s="1" t="n">
        <f aca="false">IF(EW45=1,IF(HT45=1,MH45+MK45,EX45-PB45)*(1+Slot14_Rate),0)</f>
        <v>0</v>
      </c>
      <c r="SM45" s="1" t="n">
        <f aca="false">IF(AND(HT45=1,EW45=1),(MG45+MK45)/E45,0)</f>
        <v>0</v>
      </c>
      <c r="SN45" s="1" t="n">
        <f aca="false">IF(B45=0,MG45+MK45,0)</f>
        <v>0</v>
      </c>
      <c r="SO45" s="1" t="n">
        <f aca="false">IF(B45=0,IF(HT45=1,MI45,MJ45),0)</f>
        <v>0</v>
      </c>
      <c r="SP45" s="1" t="n">
        <f aca="false">IF(FG45=1,IF(HT45=1,MP45+MS45,FH45-OZ45)*(1+Slot15_Rate),0)</f>
        <v>0</v>
      </c>
      <c r="SQ45" s="1" t="n">
        <f aca="false">IF(AND(HT45=1,FG45=1),(MO45+MS45)/E45,0)</f>
        <v>0</v>
      </c>
      <c r="SR45" s="1" t="n">
        <f aca="false">IF(B45=0,MO45+MS45,0)</f>
        <v>0</v>
      </c>
      <c r="SS45" s="1" t="n">
        <f aca="false">IF(B45=0,IF(HT45=1,MQ45,MR45),0)</f>
        <v>0</v>
      </c>
      <c r="ST45" s="1" t="n">
        <f aca="false">IF(FQ45=1,IF(HT45=1,MX45+NA45,FR45-OX45)*(1+Slot16_Rate),0)</f>
        <v>0</v>
      </c>
      <c r="SU45" s="1" t="n">
        <f aca="false">IF(AND(HT45=1,FQ45=1),(MW45+NA45)/E45,0)</f>
        <v>0</v>
      </c>
      <c r="SV45" s="1" t="n">
        <f aca="false">IF(B45=0,MW45+NA45,0)</f>
        <v>0</v>
      </c>
      <c r="SW45" s="1" t="n">
        <f aca="false">IF(B45=0,IF(HT45=1,MY45,MZ45),0)</f>
        <v>0</v>
      </c>
      <c r="SX45" s="1" t="n">
        <f aca="false">IF(GA45=1,IF(HT45=1,NF45+NI45,GB45-OV45)*(1+Slot17_Rate),0)</f>
        <v>0</v>
      </c>
      <c r="SY45" s="1" t="n">
        <f aca="false">IF(AND(HT45=1,GA45=1),(NE45+NI45)/E45,0)</f>
        <v>0</v>
      </c>
      <c r="SZ45" s="1" t="n">
        <f aca="false">IF(B45=0,NE45+NI45,0)</f>
        <v>0</v>
      </c>
      <c r="TA45" s="1" t="n">
        <f aca="false">IF(B45=0,IF(HT45=1,NG45,NH45),0)</f>
        <v>0</v>
      </c>
      <c r="TB45" s="1" t="n">
        <f aca="false">IF(GK45=1,IF(HT45=1,NN45+NQ45,GL45-OT45)*(1+Slot18_Rate),0)</f>
        <v>0</v>
      </c>
      <c r="TC45" s="1" t="n">
        <f aca="false">IF(AND(HT45=1,GK45=1),(NM45+NQ45)/E45,0)</f>
        <v>0</v>
      </c>
      <c r="TD45" s="1" t="n">
        <f aca="false">IF(B45=0,NM45+NQ45,0)</f>
        <v>0</v>
      </c>
      <c r="TE45" s="1" t="n">
        <f aca="false">IF(B45=0,IF(HT45=1,NO45,NP45),0)</f>
        <v>0</v>
      </c>
      <c r="TF45" s="1" t="n">
        <f aca="false">IF(GU45=1,IF(HT45=1,NV45+NY45,GV45-OR45)*(1+Slot19_Rate),0)</f>
        <v>0</v>
      </c>
      <c r="TG45" s="1" t="n">
        <f aca="false">IF(AND(HT45=1,GU45=1),(NU45+NY45)/E45,0)</f>
        <v>0</v>
      </c>
      <c r="TH45" s="1" t="n">
        <f aca="false">IF(B45=0,NU45+NY45,0)</f>
        <v>0</v>
      </c>
      <c r="TI45" s="1" t="n">
        <f aca="false">IF(B45=0,IF(HT45=1,NW45,NX45),0)</f>
        <v>0</v>
      </c>
      <c r="TJ45" s="1" t="n">
        <f aca="false">IF(HE45=1,IF(HT45=1,OD45+OG45,HF45-OP45)*(1+Slot20_Rate),0)</f>
        <v>0</v>
      </c>
      <c r="TK45" s="1" t="n">
        <f aca="false">IF(AND(HT45=1,HE45=1),(OC45+OG45)/E45,0)</f>
        <v>0</v>
      </c>
      <c r="TL45" s="1" t="n">
        <f aca="false">IF(B45=0,OC45+OG45,0)</f>
        <v>0</v>
      </c>
      <c r="TM45" s="1" t="n">
        <f aca="false">IF(B45=0,IF(HT45=1,OE45,OF45),0)</f>
        <v>0</v>
      </c>
      <c r="TN45" s="1" t="n">
        <f aca="false">QJ45+QK45+QL45+QP45+QT45+QX45+RB45+RF45+RJ45+RN45+RR45+RV45+RZ45+SD45+SH45+SL45+SP45+ST45+SX45+TB45+TF45+TJ45</f>
        <v>0</v>
      </c>
      <c r="TO45" s="1" t="n">
        <f aca="false">QD45+HO45</f>
        <v>0</v>
      </c>
      <c r="TP45" s="1" t="n">
        <f aca="false">H45+R45</f>
        <v>0</v>
      </c>
      <c r="TQ45" s="1" t="n">
        <f aca="false">1-F45</f>
        <v>0</v>
      </c>
      <c r="TR45" s="1" t="n">
        <f aca="false">IF(AND(RG_Exists=1,F45=0,C45=1),H45,0)</f>
        <v>0</v>
      </c>
      <c r="TS45" s="1" t="n">
        <f aca="false">IF(AND(RG_Exists=1,F45=0,C45=1),H45-MIN(QD45,H45),0)</f>
        <v>0</v>
      </c>
      <c r="TT45" s="1" t="n">
        <f aca="false">'Plan pay &amp; tax'!AD271</f>
        <v>0</v>
      </c>
      <c r="TU45" s="1" t="n">
        <f aca="false">IF(AND(C45=1,QD45&gt;MAX(PR_Short1,TP45*PR_Short2)),1,0)</f>
        <v>0</v>
      </c>
      <c r="TV45" s="1" t="n">
        <f aca="false">MIN(G45,H45+R45)</f>
        <v>0</v>
      </c>
      <c r="TW45" s="1" t="n">
        <f aca="false">QE45+MAX(0,HP45-HO45)</f>
        <v>0</v>
      </c>
      <c r="TX45" s="1" t="n">
        <f aca="false">QD45+HO45</f>
        <v>0</v>
      </c>
      <c r="TY45" s="1" t="n">
        <f aca="false">IF(AND(C45=1,TX45&gt;PR_MinShort),1,0)</f>
        <v>0</v>
      </c>
      <c r="TZ45" s="1" t="n">
        <f aca="false">IF(AND(C45=1,TY45=0,TW45&gt;PR_MinShort),1,0)</f>
        <v>0</v>
      </c>
      <c r="UA45" s="1" t="n">
        <f aca="false">IF(AND(C45=1,QD45&gt;PR_MinShort),1,0)</f>
        <v>0</v>
      </c>
      <c r="UB45" s="1" t="n">
        <f aca="false">IF(AND(C45=1,QE45&gt;1,UI45=0),1,0)</f>
        <v>0</v>
      </c>
      <c r="UC45" s="1" t="str">
        <f aca="false">IF(C45=0,"",IF(UI45=1,"Gap to plan for: short "&amp;"€"&amp;TEXT(ROUND(TO45,0),"#,##0"),IF(QE45&gt;1,"Using savings","Comfortable")))</f>
        <v>Comfortable</v>
      </c>
      <c r="UD45" s="1" t="n">
        <f aca="false">IF(AND(INT(D45/10)*10=90,B45&gt;0),80,INT(D45/10)*10)</f>
        <v>30</v>
      </c>
      <c r="UE45" s="1" t="n">
        <f aca="false">IF(B45=0,1,IF(UD45&lt;&gt;UD44,UE44+1,UE44))</f>
        <v>4</v>
      </c>
      <c r="UF45" s="1" t="n">
        <f aca="false">IF(AND(C45=1,F45=1,QD45&gt;MAX(PR_Short1,TP45*PR_Short2)),1,0)</f>
        <v>0</v>
      </c>
      <c r="UG45" s="1" t="n">
        <f aca="false">TQ45*TU45</f>
        <v>0</v>
      </c>
      <c r="UH45" s="1" t="n">
        <f aca="false">IF(AND(U45=1,Slot1_PctLow=1),1,0)+IF(AND(AF45=1,Slot2_PctLow=1),1,0)+IF(AND(AP45=1,Slot3_PctLow=1),1,0)+IF(AND(AZ45=1,Slot4_PctLow=1),1,0)+IF(AND(BJ45=1,Slot5_PctLow=1),1,0)+IF(AND(BT45=1,Slot6_PctLow=1),1,0)+IF(AND(CD45=1,Slot7_PctLow=1),1,0)+IF(AND(CN45=1,Slot8_PctLow=1),1,0)+IF(AND(CX45=1,Slot9_PctLow=1),1,0)+IF(AND(DH45=1,Slot10_PctLow=1),1,0)+IF(AND(DR45=1,Slot11_PctLow=1),1,0)+IF(AND(EB45=1,Slot12_PctLow=1),1,0)+IF(AND(EL45=1,Slot13_PctLow=1),1,0)+IF(AND(EV45=1,Slot14_PctLow=1),1,0)+IF(AND(FF45=1,Slot15_PctLow=1),1,0)+IF(AND(FP45=1,Slot16_PctLow=1),1,0)+IF(AND(FZ45=1,Slot17_PctLow=1),1,0)+IF(AND(GJ45=1,Slot18_PctLow=1),1,0)+IF(AND(GT45=1,Slot19_PctLow=1),1,0)+IF(AND(HD45=1,Slot20_PctLow=1),1,0)</f>
        <v>0</v>
      </c>
      <c r="UI45" s="1" t="n">
        <f aca="false">IF(C45=1,IF(OR(TU45=1,UH45&gt;0),1,0),0)</f>
        <v>0</v>
      </c>
    </row>
    <row r="46" customFormat="false" ht="15" hidden="false" customHeight="true" outlineLevel="0" collapsed="false">
      <c r="B46" s="1" t="n">
        <v>38</v>
      </c>
      <c r="C46" s="1" t="n">
        <f aca="false">IF(B46&lt;=F_N,1,0)</f>
        <v>1</v>
      </c>
      <c r="D46" s="1" t="n">
        <f aca="false">'Plan pay &amp; tax'!C272</f>
        <v>38</v>
      </c>
      <c r="E46" s="111" t="n">
        <f aca="false">'Plan pay &amp; tax'!E272</f>
        <v>2.12229879240182</v>
      </c>
      <c r="F46" s="1" t="n">
        <f aca="false">'Plan pay &amp; tax'!G272</f>
        <v>1</v>
      </c>
      <c r="G46" s="1" t="n">
        <f aca="false">'Plan pay &amp; tax'!BT272-'Plan pay &amp; tax'!BS272-'Plan pay &amp; tax'!R272</f>
        <v>0</v>
      </c>
      <c r="H46" s="1" t="n">
        <f aca="false">IF(F46=1,F_CostsM*12,IF(RG_Exists=1,RG_Amount,F_CostsM*12*AS_RetireSpend))*E46+F_OneOffY*E46</f>
        <v>0</v>
      </c>
      <c r="I46" s="1" t="n">
        <f aca="false">HQ45</f>
        <v>0</v>
      </c>
      <c r="J46" s="1" t="n">
        <f aca="false">IF(I46&gt;1,'Plan debt months'!AC46,0)</f>
        <v>0</v>
      </c>
      <c r="K46" s="1" t="n">
        <f aca="false">IF(I46&gt;1,'Plan debt months'!AB46,I46)</f>
        <v>0</v>
      </c>
      <c r="L46" s="1" t="n">
        <f aca="false">N45</f>
        <v>0</v>
      </c>
      <c r="M46" s="1" t="n">
        <f aca="false">IF(L46&gt;1,'Plan debt months'!BD46,0)</f>
        <v>0</v>
      </c>
      <c r="N46" s="1" t="n">
        <f aca="false">IF(L46&gt;1,'Plan debt months'!BC46,L46)</f>
        <v>0</v>
      </c>
      <c r="O46" s="1" t="n">
        <f aca="false">Q45</f>
        <v>0</v>
      </c>
      <c r="P46" s="1" t="n">
        <f aca="false">IF(O46&gt;1,'Plan debt months'!CE46,0)</f>
        <v>0</v>
      </c>
      <c r="Q46" s="1" t="n">
        <f aca="false">IF(O46&gt;1,'Plan debt months'!CD46,O46)</f>
        <v>0</v>
      </c>
      <c r="R46" s="1" t="n">
        <f aca="false">J46+M46+P46</f>
        <v>0</v>
      </c>
      <c r="S46" s="1" t="n">
        <f aca="false">QJ45+'Plan pay &amp; tax'!Y272</f>
        <v>0</v>
      </c>
      <c r="T46" s="1" t="n">
        <f aca="false">QJ45</f>
        <v>0</v>
      </c>
      <c r="U46" s="1" t="n">
        <f aca="false">IF(AND(Slot1_On=1,D46=Slot1_Age),1,0)</f>
        <v>0</v>
      </c>
      <c r="V46" s="1" t="n">
        <f aca="false">IF(AND(Slot1_On=1,Slot1_Age&gt;D46),1,0)</f>
        <v>0</v>
      </c>
      <c r="W46" s="1" t="n">
        <f aca="false">QL45</f>
        <v>0</v>
      </c>
      <c r="X46" s="1" t="n">
        <f aca="false">U46*MIN(Slot1_Cost,W46)</f>
        <v>0</v>
      </c>
      <c r="Y46" s="1" t="n">
        <f aca="false">U46*Slot1_SpendLike*MIN(Slot1_Cost-X46,S46)</f>
        <v>0</v>
      </c>
      <c r="Z46" s="1" t="n">
        <f aca="false">X46+Y46</f>
        <v>0</v>
      </c>
      <c r="AA46" s="1" t="n">
        <f aca="false">S46-Y46+U46*IF(Slot1_SpendLike=1,W46-X46,IF(Slot1_PotFree=1,W46,0))</f>
        <v>0</v>
      </c>
      <c r="AB46" s="1" t="n">
        <f aca="false">AE46+U46*Slot1_BufPot*W46</f>
        <v>0</v>
      </c>
      <c r="AC46" s="1" t="n">
        <f aca="false">IF(AND(U46=1,Slot1_IsMfree=1),IF(Z46&gt;=Slot1_Cost-1,0,MAX(0,K46-Z46)),K46)</f>
        <v>0</v>
      </c>
      <c r="AD46" s="1" t="n">
        <f aca="false">U46*(Slot1_Cost-Z46)</f>
        <v>0</v>
      </c>
      <c r="AE46" s="1" t="n">
        <f aca="false">QK45</f>
        <v>0</v>
      </c>
      <c r="AF46" s="1" t="n">
        <f aca="false">IF(AND(Slot2_On=1,D46=Slot2_Age),1,0)</f>
        <v>0</v>
      </c>
      <c r="AG46" s="1" t="n">
        <f aca="false">IF(AND(Slot2_On=1,Slot2_Age&gt;D46),1,0)</f>
        <v>0</v>
      </c>
      <c r="AH46" s="1" t="n">
        <f aca="false">QP45</f>
        <v>0</v>
      </c>
      <c r="AI46" s="1" t="n">
        <f aca="false">AF46*MIN(Slot2_Cost,AH46)</f>
        <v>0</v>
      </c>
      <c r="AJ46" s="1" t="n">
        <f aca="false">AF46*Slot2_SpendLike*MIN(Slot2_Cost-AI46,AA46)</f>
        <v>0</v>
      </c>
      <c r="AK46" s="1" t="n">
        <f aca="false">AI46+AJ46</f>
        <v>0</v>
      </c>
      <c r="AL46" s="1" t="n">
        <f aca="false">AA46-AJ46+AF46*IF(Slot2_SpendLike=1,AH46-AI46,IF(Slot2_PotFree=1,AH46,0))</f>
        <v>0</v>
      </c>
      <c r="AM46" s="1" t="n">
        <f aca="false">AB46+AF46*Slot2_BufPot*AH46</f>
        <v>0</v>
      </c>
      <c r="AN46" s="1" t="n">
        <f aca="false">IF(AND(AF46=1,Slot2_IsMfree=1),IF(AK46&gt;=Slot2_Cost-1,0,MAX(0,AC46-AK46)),AC46)</f>
        <v>0</v>
      </c>
      <c r="AO46" s="1" t="n">
        <f aca="false">AF46*(Slot2_Cost-AK46)</f>
        <v>0</v>
      </c>
      <c r="AP46" s="1" t="n">
        <f aca="false">IF(AND(Slot3_On=1,D46=Slot3_Age),1,0)</f>
        <v>0</v>
      </c>
      <c r="AQ46" s="1" t="n">
        <f aca="false">IF(AND(Slot3_On=1,Slot3_Age&gt;D46),1,0)</f>
        <v>0</v>
      </c>
      <c r="AR46" s="1" t="n">
        <f aca="false">QT45</f>
        <v>0</v>
      </c>
      <c r="AS46" s="1" t="n">
        <f aca="false">AP46*MIN(Slot3_Cost,AR46)</f>
        <v>0</v>
      </c>
      <c r="AT46" s="1" t="n">
        <f aca="false">AP46*Slot3_SpendLike*MIN(Slot3_Cost-AS46,AL46)</f>
        <v>0</v>
      </c>
      <c r="AU46" s="1" t="n">
        <f aca="false">AS46+AT46</f>
        <v>0</v>
      </c>
      <c r="AV46" s="1" t="n">
        <f aca="false">AL46-AT46+AP46*IF(Slot3_SpendLike=1,AR46-AS46,IF(Slot3_PotFree=1,AR46,0))</f>
        <v>0</v>
      </c>
      <c r="AW46" s="1" t="n">
        <f aca="false">AM46+AP46*Slot3_BufPot*AR46</f>
        <v>0</v>
      </c>
      <c r="AX46" s="1" t="n">
        <f aca="false">IF(AND(AP46=1,Slot3_IsMfree=1),IF(AU46&gt;=Slot3_Cost-1,0,MAX(0,AN46-AU46)),AN46)</f>
        <v>0</v>
      </c>
      <c r="AY46" s="1" t="n">
        <f aca="false">AP46*(Slot3_Cost-AU46)</f>
        <v>0</v>
      </c>
      <c r="AZ46" s="1" t="n">
        <f aca="false">IF(AND(Slot4_On=1,D46=Slot4_Age),1,0)</f>
        <v>0</v>
      </c>
      <c r="BA46" s="1" t="n">
        <f aca="false">IF(AND(Slot4_On=1,Slot4_Age&gt;D46),1,0)</f>
        <v>0</v>
      </c>
      <c r="BB46" s="1" t="n">
        <f aca="false">QX45</f>
        <v>0</v>
      </c>
      <c r="BC46" s="1" t="n">
        <f aca="false">AZ46*MIN(Slot4_Cost,BB46)</f>
        <v>0</v>
      </c>
      <c r="BD46" s="1" t="n">
        <f aca="false">AZ46*Slot4_SpendLike*MIN(Slot4_Cost-BC46,AV46)</f>
        <v>0</v>
      </c>
      <c r="BE46" s="1" t="n">
        <f aca="false">BC46+BD46</f>
        <v>0</v>
      </c>
      <c r="BF46" s="1" t="n">
        <f aca="false">AV46-BD46+AZ46*IF(Slot4_SpendLike=1,BB46-BC46,IF(Slot4_PotFree=1,BB46,0))</f>
        <v>0</v>
      </c>
      <c r="BG46" s="1" t="n">
        <f aca="false">AW46+AZ46*Slot4_BufPot*BB46</f>
        <v>0</v>
      </c>
      <c r="BH46" s="1" t="n">
        <f aca="false">IF(AND(AZ46=1,Slot4_IsMfree=1),IF(BE46&gt;=Slot4_Cost-1,0,MAX(0,AX46-BE46)),AX46)</f>
        <v>0</v>
      </c>
      <c r="BI46" s="1" t="n">
        <f aca="false">AZ46*(Slot4_Cost-BE46)</f>
        <v>0</v>
      </c>
      <c r="BJ46" s="1" t="n">
        <f aca="false">IF(AND(Slot5_On=1,D46=Slot5_Age),1,0)</f>
        <v>0</v>
      </c>
      <c r="BK46" s="1" t="n">
        <f aca="false">IF(AND(Slot5_On=1,Slot5_Age&gt;D46),1,0)</f>
        <v>0</v>
      </c>
      <c r="BL46" s="1" t="n">
        <f aca="false">RB45</f>
        <v>0</v>
      </c>
      <c r="BM46" s="1" t="n">
        <f aca="false">BJ46*MIN(Slot5_Cost,BL46)</f>
        <v>0</v>
      </c>
      <c r="BN46" s="1" t="n">
        <f aca="false">BJ46*Slot5_SpendLike*MIN(Slot5_Cost-BM46,BF46)</f>
        <v>0</v>
      </c>
      <c r="BO46" s="1" t="n">
        <f aca="false">BM46+BN46</f>
        <v>0</v>
      </c>
      <c r="BP46" s="1" t="n">
        <f aca="false">BF46-BN46+BJ46*IF(Slot5_SpendLike=1,BL46-BM46,IF(Slot5_PotFree=1,BL46,0))</f>
        <v>0</v>
      </c>
      <c r="BQ46" s="1" t="n">
        <f aca="false">BG46+BJ46*Slot5_BufPot*BL46</f>
        <v>0</v>
      </c>
      <c r="BR46" s="1" t="n">
        <f aca="false">IF(AND(BJ46=1,Slot5_IsMfree=1),IF(BO46&gt;=Slot5_Cost-1,0,MAX(0,BH46-BO46)),BH46)</f>
        <v>0</v>
      </c>
      <c r="BS46" s="1" t="n">
        <f aca="false">BJ46*(Slot5_Cost-BO46)</f>
        <v>0</v>
      </c>
      <c r="BT46" s="1" t="n">
        <f aca="false">IF(AND(Slot6_On=1,D46=Slot6_Age),1,0)</f>
        <v>0</v>
      </c>
      <c r="BU46" s="1" t="n">
        <f aca="false">IF(AND(Slot6_On=1,Slot6_Age&gt;D46),1,0)</f>
        <v>0</v>
      </c>
      <c r="BV46" s="1" t="n">
        <f aca="false">RF45</f>
        <v>0</v>
      </c>
      <c r="BW46" s="1" t="n">
        <f aca="false">BT46*MIN(Slot6_Cost,BV46)</f>
        <v>0</v>
      </c>
      <c r="BX46" s="1" t="n">
        <f aca="false">BT46*Slot6_SpendLike*MIN(Slot6_Cost-BW46,BP46)</f>
        <v>0</v>
      </c>
      <c r="BY46" s="1" t="n">
        <f aca="false">BW46+BX46</f>
        <v>0</v>
      </c>
      <c r="BZ46" s="1" t="n">
        <f aca="false">BP46-BX46+BT46*IF(Slot6_SpendLike=1,BV46-BW46,IF(Slot6_PotFree=1,BV46,0))</f>
        <v>0</v>
      </c>
      <c r="CA46" s="1" t="n">
        <f aca="false">BQ46+BT46*Slot6_BufPot*BV46</f>
        <v>0</v>
      </c>
      <c r="CB46" s="1" t="n">
        <f aca="false">IF(AND(BT46=1,Slot6_IsMfree=1),IF(BY46&gt;=Slot6_Cost-1,0,MAX(0,BR46-BY46)),BR46)</f>
        <v>0</v>
      </c>
      <c r="CC46" s="1" t="n">
        <f aca="false">BT46*(Slot6_Cost-BY46)</f>
        <v>0</v>
      </c>
      <c r="CD46" s="1" t="n">
        <f aca="false">IF(AND(Slot7_On=1,D46=Slot7_Age),1,0)</f>
        <v>0</v>
      </c>
      <c r="CE46" s="1" t="n">
        <f aca="false">IF(AND(Slot7_On=1,Slot7_Age&gt;D46),1,0)</f>
        <v>0</v>
      </c>
      <c r="CF46" s="1" t="n">
        <f aca="false">RJ45</f>
        <v>0</v>
      </c>
      <c r="CG46" s="1" t="n">
        <f aca="false">CD46*MIN(Slot7_Cost,CF46)</f>
        <v>0</v>
      </c>
      <c r="CH46" s="1" t="n">
        <f aca="false">CD46*Slot7_SpendLike*MIN(Slot7_Cost-CG46,BZ46)</f>
        <v>0</v>
      </c>
      <c r="CI46" s="1" t="n">
        <f aca="false">CG46+CH46</f>
        <v>0</v>
      </c>
      <c r="CJ46" s="1" t="n">
        <f aca="false">BZ46-CH46+CD46*IF(Slot7_SpendLike=1,CF46-CG46,IF(Slot7_PotFree=1,CF46,0))</f>
        <v>0</v>
      </c>
      <c r="CK46" s="1" t="n">
        <f aca="false">CA46+CD46*Slot7_BufPot*CF46</f>
        <v>0</v>
      </c>
      <c r="CL46" s="1" t="n">
        <f aca="false">IF(AND(CD46=1,Slot7_IsMfree=1),IF(CI46&gt;=Slot7_Cost-1,0,MAX(0,CB46-CI46)),CB46)</f>
        <v>0</v>
      </c>
      <c r="CM46" s="1" t="n">
        <f aca="false">CD46*(Slot7_Cost-CI46)</f>
        <v>0</v>
      </c>
      <c r="CN46" s="1" t="n">
        <f aca="false">IF(AND(Slot8_On=1,D46=Slot8_Age),1,0)</f>
        <v>0</v>
      </c>
      <c r="CO46" s="1" t="n">
        <f aca="false">IF(AND(Slot8_On=1,Slot8_Age&gt;D46),1,0)</f>
        <v>0</v>
      </c>
      <c r="CP46" s="1" t="n">
        <f aca="false">RN45</f>
        <v>0</v>
      </c>
      <c r="CQ46" s="1" t="n">
        <f aca="false">CN46*MIN(Slot8_Cost,CP46)</f>
        <v>0</v>
      </c>
      <c r="CR46" s="1" t="n">
        <f aca="false">CN46*Slot8_SpendLike*MIN(Slot8_Cost-CQ46,CJ46)</f>
        <v>0</v>
      </c>
      <c r="CS46" s="1" t="n">
        <f aca="false">CQ46+CR46</f>
        <v>0</v>
      </c>
      <c r="CT46" s="1" t="n">
        <f aca="false">CJ46-CR46+CN46*IF(Slot8_SpendLike=1,CP46-CQ46,IF(Slot8_PotFree=1,CP46,0))</f>
        <v>0</v>
      </c>
      <c r="CU46" s="1" t="n">
        <f aca="false">CK46+CN46*Slot8_BufPot*CP46</f>
        <v>0</v>
      </c>
      <c r="CV46" s="1" t="n">
        <f aca="false">IF(AND(CN46=1,Slot8_IsMfree=1),IF(CS46&gt;=Slot8_Cost-1,0,MAX(0,CL46-CS46)),CL46)</f>
        <v>0</v>
      </c>
      <c r="CW46" s="1" t="n">
        <f aca="false">CN46*(Slot8_Cost-CS46)</f>
        <v>0</v>
      </c>
      <c r="CX46" s="1" t="n">
        <f aca="false">IF(AND(Slot9_On=1,D46=Slot9_Age),1,0)</f>
        <v>0</v>
      </c>
      <c r="CY46" s="1" t="n">
        <f aca="false">IF(AND(Slot9_On=1,Slot9_Age&gt;D46),1,0)</f>
        <v>0</v>
      </c>
      <c r="CZ46" s="1" t="n">
        <f aca="false">RR45</f>
        <v>0</v>
      </c>
      <c r="DA46" s="1" t="n">
        <f aca="false">CX46*MIN(Slot9_Cost,CZ46)</f>
        <v>0</v>
      </c>
      <c r="DB46" s="1" t="n">
        <f aca="false">CX46*Slot9_SpendLike*MIN(Slot9_Cost-DA46,CT46)</f>
        <v>0</v>
      </c>
      <c r="DC46" s="1" t="n">
        <f aca="false">DA46+DB46</f>
        <v>0</v>
      </c>
      <c r="DD46" s="1" t="n">
        <f aca="false">CT46-DB46+CX46*IF(Slot9_SpendLike=1,CZ46-DA46,IF(Slot9_PotFree=1,CZ46,0))</f>
        <v>0</v>
      </c>
      <c r="DE46" s="1" t="n">
        <f aca="false">CU46+CX46*Slot9_BufPot*CZ46</f>
        <v>0</v>
      </c>
      <c r="DF46" s="1" t="n">
        <f aca="false">IF(AND(CX46=1,Slot9_IsMfree=1),IF(DC46&gt;=Slot9_Cost-1,0,MAX(0,CV46-DC46)),CV46)</f>
        <v>0</v>
      </c>
      <c r="DG46" s="1" t="n">
        <f aca="false">CX46*(Slot9_Cost-DC46)</f>
        <v>0</v>
      </c>
      <c r="DH46" s="1" t="n">
        <f aca="false">IF(AND(Slot10_On=1,D46=Slot10_Age),1,0)</f>
        <v>0</v>
      </c>
      <c r="DI46" s="1" t="n">
        <f aca="false">IF(AND(Slot10_On=1,Slot10_Age&gt;D46),1,0)</f>
        <v>0</v>
      </c>
      <c r="DJ46" s="1" t="n">
        <f aca="false">RV45</f>
        <v>0</v>
      </c>
      <c r="DK46" s="1" t="n">
        <f aca="false">DH46*MIN(Slot10_Cost,DJ46)</f>
        <v>0</v>
      </c>
      <c r="DL46" s="1" t="n">
        <f aca="false">DH46*Slot10_SpendLike*MIN(Slot10_Cost-DK46,DD46)</f>
        <v>0</v>
      </c>
      <c r="DM46" s="1" t="n">
        <f aca="false">DK46+DL46</f>
        <v>0</v>
      </c>
      <c r="DN46" s="1" t="n">
        <f aca="false">DD46-DL46+DH46*IF(Slot10_SpendLike=1,DJ46-DK46,IF(Slot10_PotFree=1,DJ46,0))</f>
        <v>0</v>
      </c>
      <c r="DO46" s="1" t="n">
        <f aca="false">DE46+DH46*Slot10_BufPot*DJ46</f>
        <v>0</v>
      </c>
      <c r="DP46" s="1" t="n">
        <f aca="false">IF(AND(DH46=1,Slot10_IsMfree=1),IF(DM46&gt;=Slot10_Cost-1,0,MAX(0,DF46-DM46)),DF46)</f>
        <v>0</v>
      </c>
      <c r="DQ46" s="1" t="n">
        <f aca="false">DH46*(Slot10_Cost-DM46)</f>
        <v>0</v>
      </c>
      <c r="DR46" s="1" t="n">
        <f aca="false">IF(AND(Slot11_On=1,D46=Slot11_Age),1,0)</f>
        <v>0</v>
      </c>
      <c r="DS46" s="1" t="n">
        <f aca="false">IF(AND(Slot11_On=1,Slot11_Age&gt;D46),1,0)</f>
        <v>0</v>
      </c>
      <c r="DT46" s="1" t="n">
        <f aca="false">RZ45</f>
        <v>0</v>
      </c>
      <c r="DU46" s="1" t="n">
        <f aca="false">DR46*MIN(Slot11_Cost,DT46)</f>
        <v>0</v>
      </c>
      <c r="DV46" s="1" t="n">
        <f aca="false">DR46*Slot11_SpendLike*MIN(Slot11_Cost-DU46,DN46)</f>
        <v>0</v>
      </c>
      <c r="DW46" s="1" t="n">
        <f aca="false">DU46+DV46</f>
        <v>0</v>
      </c>
      <c r="DX46" s="1" t="n">
        <f aca="false">DN46-DV46+DR46*IF(Slot11_SpendLike=1,DT46-DU46,IF(Slot11_PotFree=1,DT46,0))</f>
        <v>0</v>
      </c>
      <c r="DY46" s="1" t="n">
        <f aca="false">DO46+DR46*Slot11_BufPot*DT46</f>
        <v>0</v>
      </c>
      <c r="DZ46" s="1" t="n">
        <f aca="false">IF(AND(DR46=1,Slot11_IsMfree=1),IF(DW46&gt;=Slot11_Cost-1,0,MAX(0,DP46-DW46)),DP46)</f>
        <v>0</v>
      </c>
      <c r="EA46" s="1" t="n">
        <f aca="false">DR46*(Slot11_Cost-DW46)</f>
        <v>0</v>
      </c>
      <c r="EB46" s="1" t="n">
        <f aca="false">IF(AND(Slot12_On=1,D46=Slot12_Age),1,0)</f>
        <v>0</v>
      </c>
      <c r="EC46" s="1" t="n">
        <f aca="false">IF(AND(Slot12_On=1,Slot12_Age&gt;D46),1,0)</f>
        <v>0</v>
      </c>
      <c r="ED46" s="1" t="n">
        <f aca="false">SD45</f>
        <v>0</v>
      </c>
      <c r="EE46" s="1" t="n">
        <f aca="false">EB46*MIN(Slot12_Cost,ED46)</f>
        <v>0</v>
      </c>
      <c r="EF46" s="1" t="n">
        <f aca="false">EB46*Slot12_SpendLike*MIN(Slot12_Cost-EE46,DX46)</f>
        <v>0</v>
      </c>
      <c r="EG46" s="1" t="n">
        <f aca="false">EE46+EF46</f>
        <v>0</v>
      </c>
      <c r="EH46" s="1" t="n">
        <f aca="false">DX46-EF46+EB46*IF(Slot12_SpendLike=1,ED46-EE46,IF(Slot12_PotFree=1,ED46,0))</f>
        <v>0</v>
      </c>
      <c r="EI46" s="1" t="n">
        <f aca="false">DY46+EB46*Slot12_BufPot*ED46</f>
        <v>0</v>
      </c>
      <c r="EJ46" s="1" t="n">
        <f aca="false">IF(AND(EB46=1,Slot12_IsMfree=1),IF(EG46&gt;=Slot12_Cost-1,0,MAX(0,DZ46-EG46)),DZ46)</f>
        <v>0</v>
      </c>
      <c r="EK46" s="1" t="n">
        <f aca="false">EB46*(Slot12_Cost-EG46)</f>
        <v>0</v>
      </c>
      <c r="EL46" s="1" t="n">
        <f aca="false">IF(AND(Slot13_On=1,D46=Slot13_Age),1,0)</f>
        <v>0</v>
      </c>
      <c r="EM46" s="1" t="n">
        <f aca="false">IF(AND(Slot13_On=1,Slot13_Age&gt;D46),1,0)</f>
        <v>0</v>
      </c>
      <c r="EN46" s="1" t="n">
        <f aca="false">SH45</f>
        <v>0</v>
      </c>
      <c r="EO46" s="1" t="n">
        <f aca="false">EL46*MIN(Slot13_Cost,EN46)</f>
        <v>0</v>
      </c>
      <c r="EP46" s="1" t="n">
        <f aca="false">EL46*Slot13_SpendLike*MIN(Slot13_Cost-EO46,EH46)</f>
        <v>0</v>
      </c>
      <c r="EQ46" s="1" t="n">
        <f aca="false">EO46+EP46</f>
        <v>0</v>
      </c>
      <c r="ER46" s="1" t="n">
        <f aca="false">EH46-EP46+EL46*IF(Slot13_SpendLike=1,EN46-EO46,IF(Slot13_PotFree=1,EN46,0))</f>
        <v>0</v>
      </c>
      <c r="ES46" s="1" t="n">
        <f aca="false">EI46+EL46*Slot13_BufPot*EN46</f>
        <v>0</v>
      </c>
      <c r="ET46" s="1" t="n">
        <f aca="false">IF(AND(EL46=1,Slot13_IsMfree=1),IF(EQ46&gt;=Slot13_Cost-1,0,MAX(0,EJ46-EQ46)),EJ46)</f>
        <v>0</v>
      </c>
      <c r="EU46" s="1" t="n">
        <f aca="false">EL46*(Slot13_Cost-EQ46)</f>
        <v>0</v>
      </c>
      <c r="EV46" s="1" t="n">
        <f aca="false">IF(AND(Slot14_On=1,D46=Slot14_Age),1,0)</f>
        <v>0</v>
      </c>
      <c r="EW46" s="1" t="n">
        <f aca="false">IF(AND(Slot14_On=1,Slot14_Age&gt;D46),1,0)</f>
        <v>0</v>
      </c>
      <c r="EX46" s="1" t="n">
        <f aca="false">SL45</f>
        <v>0</v>
      </c>
      <c r="EY46" s="1" t="n">
        <f aca="false">EV46*MIN(Slot14_Cost,EX46)</f>
        <v>0</v>
      </c>
      <c r="EZ46" s="1" t="n">
        <f aca="false">EV46*Slot14_SpendLike*MIN(Slot14_Cost-EY46,ER46)</f>
        <v>0</v>
      </c>
      <c r="FA46" s="1" t="n">
        <f aca="false">EY46+EZ46</f>
        <v>0</v>
      </c>
      <c r="FB46" s="1" t="n">
        <f aca="false">ER46-EZ46+EV46*IF(Slot14_SpendLike=1,EX46-EY46,IF(Slot14_PotFree=1,EX46,0))</f>
        <v>0</v>
      </c>
      <c r="FC46" s="1" t="n">
        <f aca="false">ES46+EV46*Slot14_BufPot*EX46</f>
        <v>0</v>
      </c>
      <c r="FD46" s="1" t="n">
        <f aca="false">IF(AND(EV46=1,Slot14_IsMfree=1),IF(FA46&gt;=Slot14_Cost-1,0,MAX(0,ET46-FA46)),ET46)</f>
        <v>0</v>
      </c>
      <c r="FE46" s="1" t="n">
        <f aca="false">EV46*(Slot14_Cost-FA46)</f>
        <v>0</v>
      </c>
      <c r="FF46" s="1" t="n">
        <f aca="false">IF(AND(Slot15_On=1,D46=Slot15_Age),1,0)</f>
        <v>0</v>
      </c>
      <c r="FG46" s="1" t="n">
        <f aca="false">IF(AND(Slot15_On=1,Slot15_Age&gt;D46),1,0)</f>
        <v>0</v>
      </c>
      <c r="FH46" s="1" t="n">
        <f aca="false">SP45</f>
        <v>0</v>
      </c>
      <c r="FI46" s="1" t="n">
        <f aca="false">FF46*MIN(Slot15_Cost,FH46)</f>
        <v>0</v>
      </c>
      <c r="FJ46" s="1" t="n">
        <f aca="false">FF46*Slot15_SpendLike*MIN(Slot15_Cost-FI46,FB46)</f>
        <v>0</v>
      </c>
      <c r="FK46" s="1" t="n">
        <f aca="false">FI46+FJ46</f>
        <v>0</v>
      </c>
      <c r="FL46" s="1" t="n">
        <f aca="false">FB46-FJ46+FF46*IF(Slot15_SpendLike=1,FH46-FI46,IF(Slot15_PotFree=1,FH46,0))</f>
        <v>0</v>
      </c>
      <c r="FM46" s="1" t="n">
        <f aca="false">FC46+FF46*Slot15_BufPot*FH46</f>
        <v>0</v>
      </c>
      <c r="FN46" s="1" t="n">
        <f aca="false">IF(AND(FF46=1,Slot15_IsMfree=1),IF(FK46&gt;=Slot15_Cost-1,0,MAX(0,FD46-FK46)),FD46)</f>
        <v>0</v>
      </c>
      <c r="FO46" s="1" t="n">
        <f aca="false">FF46*(Slot15_Cost-FK46)</f>
        <v>0</v>
      </c>
      <c r="FP46" s="1" t="n">
        <f aca="false">IF(AND(Slot16_On=1,D46=Slot16_Age),1,0)</f>
        <v>0</v>
      </c>
      <c r="FQ46" s="1" t="n">
        <f aca="false">IF(AND(Slot16_On=1,Slot16_Age&gt;D46),1,0)</f>
        <v>0</v>
      </c>
      <c r="FR46" s="1" t="n">
        <f aca="false">ST45</f>
        <v>0</v>
      </c>
      <c r="FS46" s="1" t="n">
        <f aca="false">FP46*MIN(Slot16_Cost,FR46)</f>
        <v>0</v>
      </c>
      <c r="FT46" s="1" t="n">
        <f aca="false">FP46*Slot16_SpendLike*MIN(Slot16_Cost-FS46,FL46)</f>
        <v>0</v>
      </c>
      <c r="FU46" s="1" t="n">
        <f aca="false">FS46+FT46</f>
        <v>0</v>
      </c>
      <c r="FV46" s="1" t="n">
        <f aca="false">FL46-FT46+FP46*IF(Slot16_SpendLike=1,FR46-FS46,IF(Slot16_PotFree=1,FR46,0))</f>
        <v>0</v>
      </c>
      <c r="FW46" s="1" t="n">
        <f aca="false">FM46+FP46*Slot16_BufPot*FR46</f>
        <v>0</v>
      </c>
      <c r="FX46" s="1" t="n">
        <f aca="false">IF(AND(FP46=1,Slot16_IsMfree=1),IF(FU46&gt;=Slot16_Cost-1,0,MAX(0,FN46-FU46)),FN46)</f>
        <v>0</v>
      </c>
      <c r="FY46" s="1" t="n">
        <f aca="false">FP46*(Slot16_Cost-FU46)</f>
        <v>0</v>
      </c>
      <c r="FZ46" s="1" t="n">
        <f aca="false">IF(AND(Slot17_On=1,D46=Slot17_Age),1,0)</f>
        <v>0</v>
      </c>
      <c r="GA46" s="1" t="n">
        <f aca="false">IF(AND(Slot17_On=1,Slot17_Age&gt;D46),1,0)</f>
        <v>0</v>
      </c>
      <c r="GB46" s="1" t="n">
        <f aca="false">SX45</f>
        <v>0</v>
      </c>
      <c r="GC46" s="1" t="n">
        <f aca="false">FZ46*MIN(Slot17_Cost,GB46)</f>
        <v>0</v>
      </c>
      <c r="GD46" s="1" t="n">
        <f aca="false">FZ46*Slot17_SpendLike*MIN(Slot17_Cost-GC46,FV46)</f>
        <v>0</v>
      </c>
      <c r="GE46" s="1" t="n">
        <f aca="false">GC46+GD46</f>
        <v>0</v>
      </c>
      <c r="GF46" s="1" t="n">
        <f aca="false">FV46-GD46+FZ46*IF(Slot17_SpendLike=1,GB46-GC46,IF(Slot17_PotFree=1,GB46,0))</f>
        <v>0</v>
      </c>
      <c r="GG46" s="1" t="n">
        <f aca="false">FW46+FZ46*Slot17_BufPot*GB46</f>
        <v>0</v>
      </c>
      <c r="GH46" s="1" t="n">
        <f aca="false">IF(AND(FZ46=1,Slot17_IsMfree=1),IF(GE46&gt;=Slot17_Cost-1,0,MAX(0,FX46-GE46)),FX46)</f>
        <v>0</v>
      </c>
      <c r="GI46" s="1" t="n">
        <f aca="false">FZ46*(Slot17_Cost-GE46)</f>
        <v>0</v>
      </c>
      <c r="GJ46" s="1" t="n">
        <f aca="false">IF(AND(Slot18_On=1,D46=Slot18_Age),1,0)</f>
        <v>0</v>
      </c>
      <c r="GK46" s="1" t="n">
        <f aca="false">IF(AND(Slot18_On=1,Slot18_Age&gt;D46),1,0)</f>
        <v>0</v>
      </c>
      <c r="GL46" s="1" t="n">
        <f aca="false">TB45</f>
        <v>0</v>
      </c>
      <c r="GM46" s="1" t="n">
        <f aca="false">GJ46*MIN(Slot18_Cost,GL46)</f>
        <v>0</v>
      </c>
      <c r="GN46" s="1" t="n">
        <f aca="false">GJ46*Slot18_SpendLike*MIN(Slot18_Cost-GM46,GF46)</f>
        <v>0</v>
      </c>
      <c r="GO46" s="1" t="n">
        <f aca="false">GM46+GN46</f>
        <v>0</v>
      </c>
      <c r="GP46" s="1" t="n">
        <f aca="false">GF46-GN46+GJ46*IF(Slot18_SpendLike=1,GL46-GM46,IF(Slot18_PotFree=1,GL46,0))</f>
        <v>0</v>
      </c>
      <c r="GQ46" s="1" t="n">
        <f aca="false">GG46+GJ46*Slot18_BufPot*GL46</f>
        <v>0</v>
      </c>
      <c r="GR46" s="1" t="n">
        <f aca="false">IF(AND(GJ46=1,Slot18_IsMfree=1),IF(GO46&gt;=Slot18_Cost-1,0,MAX(0,GH46-GO46)),GH46)</f>
        <v>0</v>
      </c>
      <c r="GS46" s="1" t="n">
        <f aca="false">GJ46*(Slot18_Cost-GO46)</f>
        <v>0</v>
      </c>
      <c r="GT46" s="1" t="n">
        <f aca="false">IF(AND(Slot19_On=1,D46=Slot19_Age),1,0)</f>
        <v>0</v>
      </c>
      <c r="GU46" s="1" t="n">
        <f aca="false">IF(AND(Slot19_On=1,Slot19_Age&gt;D46),1,0)</f>
        <v>0</v>
      </c>
      <c r="GV46" s="1" t="n">
        <f aca="false">TF45</f>
        <v>0</v>
      </c>
      <c r="GW46" s="1" t="n">
        <f aca="false">GT46*MIN(Slot19_Cost,GV46)</f>
        <v>0</v>
      </c>
      <c r="GX46" s="1" t="n">
        <f aca="false">GT46*Slot19_SpendLike*MIN(Slot19_Cost-GW46,GP46)</f>
        <v>0</v>
      </c>
      <c r="GY46" s="1" t="n">
        <f aca="false">GW46+GX46</f>
        <v>0</v>
      </c>
      <c r="GZ46" s="1" t="n">
        <f aca="false">GP46-GX46+GT46*IF(Slot19_SpendLike=1,GV46-GW46,IF(Slot19_PotFree=1,GV46,0))</f>
        <v>0</v>
      </c>
      <c r="HA46" s="1" t="n">
        <f aca="false">GQ46+GT46*Slot19_BufPot*GV46</f>
        <v>0</v>
      </c>
      <c r="HB46" s="1" t="n">
        <f aca="false">IF(AND(GT46=1,Slot19_IsMfree=1),IF(GY46&gt;=Slot19_Cost-1,0,MAX(0,GR46-GY46)),GR46)</f>
        <v>0</v>
      </c>
      <c r="HC46" s="1" t="n">
        <f aca="false">GT46*(Slot19_Cost-GY46)</f>
        <v>0</v>
      </c>
      <c r="HD46" s="1" t="n">
        <f aca="false">IF(AND(Slot20_On=1,D46=Slot20_Age),1,0)</f>
        <v>0</v>
      </c>
      <c r="HE46" s="1" t="n">
        <f aca="false">IF(AND(Slot20_On=1,Slot20_Age&gt;D46),1,0)</f>
        <v>0</v>
      </c>
      <c r="HF46" s="1" t="n">
        <f aca="false">TJ45</f>
        <v>0</v>
      </c>
      <c r="HG46" s="1" t="n">
        <f aca="false">HD46*MIN(Slot20_Cost,HF46)</f>
        <v>0</v>
      </c>
      <c r="HH46" s="1" t="n">
        <f aca="false">HD46*Slot20_SpendLike*MIN(Slot20_Cost-HG46,GZ46)</f>
        <v>0</v>
      </c>
      <c r="HI46" s="1" t="n">
        <f aca="false">HG46+HH46</f>
        <v>0</v>
      </c>
      <c r="HJ46" s="1" t="n">
        <f aca="false">GZ46-HH46+HD46*IF(Slot20_SpendLike=1,HF46-HG46,IF(Slot20_PotFree=1,HF46,0))</f>
        <v>0</v>
      </c>
      <c r="HK46" s="1" t="n">
        <f aca="false">HA46+HD46*Slot20_BufPot*HF46</f>
        <v>0</v>
      </c>
      <c r="HL46" s="1" t="n">
        <f aca="false">IF(AND(HD46=1,Slot20_IsMfree=1),IF(HI46&gt;=Slot20_Cost-1,0,MAX(0,HB46-HI46)),HB46)</f>
        <v>0</v>
      </c>
      <c r="HM46" s="1" t="n">
        <f aca="false">HD46*(Slot20_Cost-HI46)</f>
        <v>0</v>
      </c>
      <c r="HN46" s="1" t="n">
        <f aca="false">U46*Slot1_SpendLike*Z46+AF46*Slot2_SpendLike*AK46+AP46*Slot3_SpendLike*AU46+AZ46*Slot4_SpendLike*BE46+BJ46*Slot5_SpendLike*BO46+BT46*Slot6_SpendLike*BY46+CD46*Slot7_SpendLike*CI46+CN46*Slot8_SpendLike*CS46+CX46*Slot9_SpendLike*DC46+DH46*Slot10_SpendLike*DM46+DR46*Slot11_SpendLike*DW46+EB46*Slot12_SpendLike*EG46+EL46*Slot13_SpendLike*EQ46+EV46*Slot14_SpendLike*FA46+FF46*Slot15_SpendLike*FK46+FP46*Slot16_SpendLike*FU46+FZ46*Slot17_SpendLike*GE46+GJ46*Slot18_SpendLike*GO46+GT46*Slot19_SpendLike*GY46+HD46*Slot20_SpendLike*HI46</f>
        <v>0</v>
      </c>
      <c r="HO46" s="1" t="n">
        <f aca="false">AD46+AO46+AY46+BI46+BS46+CC46+CM46+CW46+DG46+DQ46+EA46+EK46+EU46+FE46+FO46+FY46+GI46+GS46+HC46+HM46</f>
        <v>0</v>
      </c>
      <c r="HP46" s="1" t="n">
        <f aca="false">U46*Slot1_Cost+AF46*Slot2_Cost+AP46*Slot3_Cost+AZ46*Slot4_Cost+BJ46*Slot5_Cost+BT46*Slot6_Cost+CD46*Slot7_Cost+CN46*Slot8_Cost+CX46*Slot9_Cost+DH46*Slot10_Cost+DR46*Slot11_Cost+EB46*Slot12_Cost+EL46*Slot13_Cost+EV46*Slot14_Cost+FF46*Slot15_Cost+FP46*Slot16_Cost+FZ46*Slot17_Cost+GJ46*Slot18_Cost+GT46*Slot19_Cost+HD46*Slot20_Cost</f>
        <v>0</v>
      </c>
      <c r="HQ46" s="1" t="n">
        <f aca="false">HL46</f>
        <v>0</v>
      </c>
      <c r="HR46" s="1" t="n">
        <f aca="false">G46-H46-R46</f>
        <v>0</v>
      </c>
      <c r="HS46" s="1" t="n">
        <f aca="false">IF(B46=0,IF(AND(Has_q6=1,In_q6=4),PR_ShareVaries*(MAX(0,HR46)/12),MIN(IF(Has_q6=1,CHOOSE(In_q6+1,PR_SaveB1,PR_SaveB2,PR_SaveB3,PR_SaveB4,0),AS_NoAnswer),AS_SaveShare*(MAX(0,HR46)/12))),HS45)</f>
        <v>0</v>
      </c>
      <c r="HT46" s="1" t="n">
        <f aca="false">IF(HR46&gt;=0,1,0)</f>
        <v>1</v>
      </c>
      <c r="HU46" s="1" t="n">
        <f aca="false">MAX(0,HR46/12/E46)</f>
        <v>0</v>
      </c>
      <c r="HV46" s="1" t="n">
        <f aca="false">IF(AND(Has_q6=1,In_q6=4),PR_ShareVaries*(HU46),MIN(IF(Has_q6=1,CHOOSE(In_q6+1,PR_SaveB1,PR_SaveB2,PR_SaveB3,PR_SaveB4,0),AS_NoAnswer),AS_SaveShare*(HU46)))</f>
        <v>0</v>
      </c>
      <c r="HW46" s="1" t="n">
        <f aca="false">IF(Has_saveM=1,IF(In_saveUp="Yes",1,IF(In_saveUp="No",0,IF(In_saveM&gt;=HS46-0.5,1,0))),0)</f>
        <v>0</v>
      </c>
      <c r="HX46" s="1" t="n">
        <f aca="false">IF(Has_saveM=1,MIN(HU46,IF(HW46=1,MAX(In_saveM,HV46),MIN(In_saveM,HV46))),HV46)</f>
        <v>0</v>
      </c>
      <c r="HY46" s="1" t="n">
        <f aca="false">IF(F46=1,HX46*12*E46,0)</f>
        <v>0</v>
      </c>
      <c r="HZ46" s="1" t="n">
        <f aca="false">MAX(0,HY46+IF(AND(WI_Retire=0,WI_M&lt;0,F46=1),WI_M*12*E46,0))</f>
        <v>0</v>
      </c>
      <c r="IA46" s="1" t="n">
        <f aca="false">Slot1_IsWG*V46+Slot2_IsWG*AG46+Slot3_IsWG*AQ46+Slot4_IsWG*BA46+Slot5_IsWG*BK46+Slot6_IsWG*BU46+Slot7_IsWG*CE46+Slot8_IsWG*CO46+Slot9_IsWG*CY46+Slot10_IsWG*DI46+Slot11_IsWG*DS46+Slot12_IsWG*EC46+Slot13_IsWG*EM46+Slot14_IsWG*EW46+Slot15_IsWG*FG46+Slot16_IsWG*FQ46+Slot17_IsWG*GA46+Slot18_IsWG*GK46+Slot19_IsWG*GU46+Slot20_IsWG*HE46</f>
        <v>0</v>
      </c>
      <c r="IB46" s="1" t="n">
        <f aca="false">IF(AND(WI_Retire=0,WI_M&gt;0,F46=1,IA46&gt;=1),WI_M*12*E46,0)</f>
        <v>0</v>
      </c>
      <c r="IC46" s="1" t="n">
        <f aca="false">IF(HT46=1,MIN(HZ46,HR46),0)</f>
        <v>0</v>
      </c>
      <c r="ID46" s="1" t="n">
        <f aca="false">IF(HT46=1,MIN(IB46,HR46-IC46),0)</f>
        <v>0</v>
      </c>
      <c r="IE46" s="1" t="n">
        <f aca="false">IF(V46=1,IF(ABS((1+AS_Wage)/(1+Slot1_Rate)-1)&lt;0.000000000001,(Slot1_Age-D46)*(1+Slot1_Rate)^(Slot1_Age-D46),(1+Slot1_Rate)^(Slot1_Age-D46)*(1-((1+AS_Wage)/(1+Slot1_Rate))^(Slot1_Age-D46))/(1-(1+AS_Wage)/(1+Slot1_Rate))),1)</f>
        <v>1</v>
      </c>
      <c r="IF46" s="1" t="n">
        <f aca="false">IF(AND(HT46=1,ID46&gt;0,Slot1_IsWG=1,V46=1),MAX(0,(Slot1_Cost-W46*(1+Slot1_Rate)^(Slot1_Age-D46))/IE46),0)</f>
        <v>0</v>
      </c>
      <c r="IG46" s="1" t="n">
        <f aca="false">IF(AND(HT46=1,ID46&gt;0,Slot1_IsWG=1,V46=1),MIN(ID46,IF46),0)</f>
        <v>0</v>
      </c>
      <c r="IH46" s="1" t="n">
        <f aca="false">W46+IG46</f>
        <v>0</v>
      </c>
      <c r="II46" s="1" t="n">
        <f aca="false">IF(V46=1,MAX(0,(Slot1_Cost-IH46*(1+Slot1_Rate)^(Slot1_Age-D46))/IE46),0)</f>
        <v>0</v>
      </c>
      <c r="IJ46" s="1" t="n">
        <f aca="false">IF(V46=1,MAX(0,(Slot1_Cost-W46*(1+Slot1_Rate)^(Slot1_Age-D46))/IE46),0)</f>
        <v>0</v>
      </c>
      <c r="IK46" s="1" t="n">
        <f aca="false">IF(AND(HT46=1,V46=1),MIN(IC46,II46),0)</f>
        <v>0</v>
      </c>
      <c r="IL46" s="1" t="n">
        <f aca="false">IC46-IK46</f>
        <v>0</v>
      </c>
      <c r="IM46" s="1" t="n">
        <f aca="false">IF(AG46=1,IF(ABS((1+AS_Wage)/(1+Slot2_Rate)-1)&lt;0.000000000001,(Slot2_Age-D46)*(1+Slot2_Rate)^(Slot2_Age-D46),(1+Slot2_Rate)^(Slot2_Age-D46)*(1-((1+AS_Wage)/(1+Slot2_Rate))^(Slot2_Age-D46))/(1-(1+AS_Wage)/(1+Slot2_Rate))),1)</f>
        <v>1</v>
      </c>
      <c r="IN46" s="1" t="n">
        <f aca="false">IF(AND(HT46=1,ID46&gt;0,Slot2_IsWG=1,AG46=1),MAX(0,(Slot2_Cost-AH46*(1+Slot2_Rate)^(Slot2_Age-D46))/IM46),0)</f>
        <v>0</v>
      </c>
      <c r="IO46" s="1" t="n">
        <f aca="false">IF(AND(HT46=1,ID46&gt;0,Slot2_IsWG=1,AG46=1),MIN(ID46,IN46),0)</f>
        <v>0</v>
      </c>
      <c r="IP46" s="1" t="n">
        <f aca="false">AH46+IO46</f>
        <v>0</v>
      </c>
      <c r="IQ46" s="1" t="n">
        <f aca="false">IF(AG46=1,MAX(0,(Slot2_Cost-IP46*(1+Slot2_Rate)^(Slot2_Age-D46))/IM46),0)</f>
        <v>0</v>
      </c>
      <c r="IR46" s="1" t="n">
        <f aca="false">IF(AG46=1,MAX(0,(Slot2_Cost-AH46*(1+Slot2_Rate)^(Slot2_Age-D46))/IM46),0)</f>
        <v>0</v>
      </c>
      <c r="IS46" s="1" t="n">
        <f aca="false">IF(AND(HT46=1,AG46=1),MIN(IL46,IQ46),0)</f>
        <v>0</v>
      </c>
      <c r="IT46" s="1" t="n">
        <f aca="false">IL46-IS46</f>
        <v>0</v>
      </c>
      <c r="IU46" s="1" t="n">
        <f aca="false">IF(AQ46=1,IF(ABS((1+AS_Wage)/(1+Slot3_Rate)-1)&lt;0.000000000001,(Slot3_Age-D46)*(1+Slot3_Rate)^(Slot3_Age-D46),(1+Slot3_Rate)^(Slot3_Age-D46)*(1-((1+AS_Wage)/(1+Slot3_Rate))^(Slot3_Age-D46))/(1-(1+AS_Wage)/(1+Slot3_Rate))),1)</f>
        <v>1</v>
      </c>
      <c r="IV46" s="1" t="n">
        <f aca="false">IF(AND(HT46=1,ID46&gt;0,Slot3_IsWG=1,AQ46=1),MAX(0,(Slot3_Cost-AR46*(1+Slot3_Rate)^(Slot3_Age-D46))/IU46),0)</f>
        <v>0</v>
      </c>
      <c r="IW46" s="1" t="n">
        <f aca="false">IF(AND(HT46=1,ID46&gt;0,Slot3_IsWG=1,AQ46=1),MIN(ID46,IV46),0)</f>
        <v>0</v>
      </c>
      <c r="IX46" s="1" t="n">
        <f aca="false">AR46+IW46</f>
        <v>0</v>
      </c>
      <c r="IY46" s="1" t="n">
        <f aca="false">IF(AQ46=1,MAX(0,(Slot3_Cost-IX46*(1+Slot3_Rate)^(Slot3_Age-D46))/IU46),0)</f>
        <v>0</v>
      </c>
      <c r="IZ46" s="1" t="n">
        <f aca="false">IF(AQ46=1,MAX(0,(Slot3_Cost-AR46*(1+Slot3_Rate)^(Slot3_Age-D46))/IU46),0)</f>
        <v>0</v>
      </c>
      <c r="JA46" s="1" t="n">
        <f aca="false">IF(AND(HT46=1,AQ46=1),MIN(IT46,IY46),0)</f>
        <v>0</v>
      </c>
      <c r="JB46" s="1" t="n">
        <f aca="false">IT46-JA46</f>
        <v>0</v>
      </c>
      <c r="JC46" s="1" t="n">
        <f aca="false">IF(BA46=1,IF(ABS((1+AS_Wage)/(1+Slot4_Rate)-1)&lt;0.000000000001,(Slot4_Age-D46)*(1+Slot4_Rate)^(Slot4_Age-D46),(1+Slot4_Rate)^(Slot4_Age-D46)*(1-((1+AS_Wage)/(1+Slot4_Rate))^(Slot4_Age-D46))/(1-(1+AS_Wage)/(1+Slot4_Rate))),1)</f>
        <v>1</v>
      </c>
      <c r="JD46" s="1" t="n">
        <f aca="false">IF(AND(HT46=1,ID46&gt;0,Slot4_IsWG=1,BA46=1),MAX(0,(Slot4_Cost-BB46*(1+Slot4_Rate)^(Slot4_Age-D46))/JC46),0)</f>
        <v>0</v>
      </c>
      <c r="JE46" s="1" t="n">
        <f aca="false">IF(AND(HT46=1,ID46&gt;0,Slot4_IsWG=1,BA46=1),MIN(ID46,JD46),0)</f>
        <v>0</v>
      </c>
      <c r="JF46" s="1" t="n">
        <f aca="false">BB46+JE46</f>
        <v>0</v>
      </c>
      <c r="JG46" s="1" t="n">
        <f aca="false">IF(BA46=1,MAX(0,(Slot4_Cost-JF46*(1+Slot4_Rate)^(Slot4_Age-D46))/JC46),0)</f>
        <v>0</v>
      </c>
      <c r="JH46" s="1" t="n">
        <f aca="false">IF(BA46=1,MAX(0,(Slot4_Cost-BB46*(1+Slot4_Rate)^(Slot4_Age-D46))/JC46),0)</f>
        <v>0</v>
      </c>
      <c r="JI46" s="1" t="n">
        <f aca="false">IF(AND(HT46=1,BA46=1),MIN(JB46,JG46),0)</f>
        <v>0</v>
      </c>
      <c r="JJ46" s="1" t="n">
        <f aca="false">JB46-JI46</f>
        <v>0</v>
      </c>
      <c r="JK46" s="1" t="n">
        <f aca="false">IF(BK46=1,IF(ABS((1+AS_Wage)/(1+Slot5_Rate)-1)&lt;0.000000000001,(Slot5_Age-D46)*(1+Slot5_Rate)^(Slot5_Age-D46),(1+Slot5_Rate)^(Slot5_Age-D46)*(1-((1+AS_Wage)/(1+Slot5_Rate))^(Slot5_Age-D46))/(1-(1+AS_Wage)/(1+Slot5_Rate))),1)</f>
        <v>1</v>
      </c>
      <c r="JL46" s="1" t="n">
        <f aca="false">IF(AND(HT46=1,ID46&gt;0,Slot5_IsWG=1,BK46=1),MAX(0,(Slot5_Cost-BL46*(1+Slot5_Rate)^(Slot5_Age-D46))/JK46),0)</f>
        <v>0</v>
      </c>
      <c r="JM46" s="1" t="n">
        <f aca="false">IF(AND(HT46=1,ID46&gt;0,Slot5_IsWG=1,BK46=1),MIN(ID46,JL46),0)</f>
        <v>0</v>
      </c>
      <c r="JN46" s="1" t="n">
        <f aca="false">BL46+JM46</f>
        <v>0</v>
      </c>
      <c r="JO46" s="1" t="n">
        <f aca="false">IF(BK46=1,MAX(0,(Slot5_Cost-JN46*(1+Slot5_Rate)^(Slot5_Age-D46))/JK46),0)</f>
        <v>0</v>
      </c>
      <c r="JP46" s="1" t="n">
        <f aca="false">IF(BK46=1,MAX(0,(Slot5_Cost-BL46*(1+Slot5_Rate)^(Slot5_Age-D46))/JK46),0)</f>
        <v>0</v>
      </c>
      <c r="JQ46" s="1" t="n">
        <f aca="false">IF(AND(HT46=1,BK46=1),MIN(JJ46,JO46),0)</f>
        <v>0</v>
      </c>
      <c r="JR46" s="1" t="n">
        <f aca="false">JJ46-JQ46</f>
        <v>0</v>
      </c>
      <c r="JS46" s="1" t="n">
        <f aca="false">IF(BU46=1,IF(ABS((1+AS_Wage)/(1+Slot6_Rate)-1)&lt;0.000000000001,(Slot6_Age-D46)*(1+Slot6_Rate)^(Slot6_Age-D46),(1+Slot6_Rate)^(Slot6_Age-D46)*(1-((1+AS_Wage)/(1+Slot6_Rate))^(Slot6_Age-D46))/(1-(1+AS_Wage)/(1+Slot6_Rate))),1)</f>
        <v>1</v>
      </c>
      <c r="JT46" s="1" t="n">
        <f aca="false">IF(AND(HT46=1,ID46&gt;0,Slot6_IsWG=1,BU46=1),MAX(0,(Slot6_Cost-BV46*(1+Slot6_Rate)^(Slot6_Age-D46))/JS46),0)</f>
        <v>0</v>
      </c>
      <c r="JU46" s="1" t="n">
        <f aca="false">IF(AND(HT46=1,ID46&gt;0,Slot6_IsWG=1,BU46=1),MIN(ID46,JT46),0)</f>
        <v>0</v>
      </c>
      <c r="JV46" s="1" t="n">
        <f aca="false">BV46+JU46</f>
        <v>0</v>
      </c>
      <c r="JW46" s="1" t="n">
        <f aca="false">IF(BU46=1,MAX(0,(Slot6_Cost-JV46*(1+Slot6_Rate)^(Slot6_Age-D46))/JS46),0)</f>
        <v>0</v>
      </c>
      <c r="JX46" s="1" t="n">
        <f aca="false">IF(BU46=1,MAX(0,(Slot6_Cost-BV46*(1+Slot6_Rate)^(Slot6_Age-D46))/JS46),0)</f>
        <v>0</v>
      </c>
      <c r="JY46" s="1" t="n">
        <f aca="false">IF(AND(HT46=1,BU46=1),MIN(JR46,JW46),0)</f>
        <v>0</v>
      </c>
      <c r="JZ46" s="1" t="n">
        <f aca="false">JR46-JY46</f>
        <v>0</v>
      </c>
      <c r="KA46" s="1" t="n">
        <f aca="false">IF(CE46=1,IF(ABS((1+AS_Wage)/(1+Slot7_Rate)-1)&lt;0.000000000001,(Slot7_Age-D46)*(1+Slot7_Rate)^(Slot7_Age-D46),(1+Slot7_Rate)^(Slot7_Age-D46)*(1-((1+AS_Wage)/(1+Slot7_Rate))^(Slot7_Age-D46))/(1-(1+AS_Wage)/(1+Slot7_Rate))),1)</f>
        <v>1</v>
      </c>
      <c r="KB46" s="1" t="n">
        <f aca="false">IF(AND(HT46=1,ID46&gt;0,Slot7_IsWG=1,CE46=1),MAX(0,(Slot7_Cost-CF46*(1+Slot7_Rate)^(Slot7_Age-D46))/KA46),0)</f>
        <v>0</v>
      </c>
      <c r="KC46" s="1" t="n">
        <f aca="false">IF(AND(HT46=1,ID46&gt;0,Slot7_IsWG=1,CE46=1),MIN(ID46,KB46),0)</f>
        <v>0</v>
      </c>
      <c r="KD46" s="1" t="n">
        <f aca="false">CF46+KC46</f>
        <v>0</v>
      </c>
      <c r="KE46" s="1" t="n">
        <f aca="false">IF(CE46=1,MAX(0,(Slot7_Cost-KD46*(1+Slot7_Rate)^(Slot7_Age-D46))/KA46),0)</f>
        <v>0</v>
      </c>
      <c r="KF46" s="1" t="n">
        <f aca="false">IF(CE46=1,MAX(0,(Slot7_Cost-CF46*(1+Slot7_Rate)^(Slot7_Age-D46))/KA46),0)</f>
        <v>0</v>
      </c>
      <c r="KG46" s="1" t="n">
        <f aca="false">IF(AND(HT46=1,CE46=1),MIN(JZ46,KE46),0)</f>
        <v>0</v>
      </c>
      <c r="KH46" s="1" t="n">
        <f aca="false">JZ46-KG46</f>
        <v>0</v>
      </c>
      <c r="KI46" s="1" t="n">
        <f aca="false">IF(CO46=1,IF(ABS((1+AS_Wage)/(1+Slot8_Rate)-1)&lt;0.000000000001,(Slot8_Age-D46)*(1+Slot8_Rate)^(Slot8_Age-D46),(1+Slot8_Rate)^(Slot8_Age-D46)*(1-((1+AS_Wage)/(1+Slot8_Rate))^(Slot8_Age-D46))/(1-(1+AS_Wage)/(1+Slot8_Rate))),1)</f>
        <v>1</v>
      </c>
      <c r="KJ46" s="1" t="n">
        <f aca="false">IF(AND(HT46=1,ID46&gt;0,Slot8_IsWG=1,CO46=1),MAX(0,(Slot8_Cost-CP46*(1+Slot8_Rate)^(Slot8_Age-D46))/KI46),0)</f>
        <v>0</v>
      </c>
      <c r="KK46" s="1" t="n">
        <f aca="false">IF(AND(HT46=1,ID46&gt;0,Slot8_IsWG=1,CO46=1),MIN(ID46,KJ46),0)</f>
        <v>0</v>
      </c>
      <c r="KL46" s="1" t="n">
        <f aca="false">CP46+KK46</f>
        <v>0</v>
      </c>
      <c r="KM46" s="1" t="n">
        <f aca="false">IF(CO46=1,MAX(0,(Slot8_Cost-KL46*(1+Slot8_Rate)^(Slot8_Age-D46))/KI46),0)</f>
        <v>0</v>
      </c>
      <c r="KN46" s="1" t="n">
        <f aca="false">IF(CO46=1,MAX(0,(Slot8_Cost-CP46*(1+Slot8_Rate)^(Slot8_Age-D46))/KI46),0)</f>
        <v>0</v>
      </c>
      <c r="KO46" s="1" t="n">
        <f aca="false">IF(AND(HT46=1,CO46=1),MIN(KH46,KM46),0)</f>
        <v>0</v>
      </c>
      <c r="KP46" s="1" t="n">
        <f aca="false">KH46-KO46</f>
        <v>0</v>
      </c>
      <c r="KQ46" s="1" t="n">
        <f aca="false">IF(CY46=1,IF(ABS((1+AS_Wage)/(1+Slot9_Rate)-1)&lt;0.000000000001,(Slot9_Age-D46)*(1+Slot9_Rate)^(Slot9_Age-D46),(1+Slot9_Rate)^(Slot9_Age-D46)*(1-((1+AS_Wage)/(1+Slot9_Rate))^(Slot9_Age-D46))/(1-(1+AS_Wage)/(1+Slot9_Rate))),1)</f>
        <v>1</v>
      </c>
      <c r="KR46" s="1" t="n">
        <f aca="false">IF(AND(HT46=1,ID46&gt;0,Slot9_IsWG=1,CY46=1),MAX(0,(Slot9_Cost-CZ46*(1+Slot9_Rate)^(Slot9_Age-D46))/KQ46),0)</f>
        <v>0</v>
      </c>
      <c r="KS46" s="1" t="n">
        <f aca="false">IF(AND(HT46=1,ID46&gt;0,Slot9_IsWG=1,CY46=1),MIN(ID46,KR46),0)</f>
        <v>0</v>
      </c>
      <c r="KT46" s="1" t="n">
        <f aca="false">CZ46+KS46</f>
        <v>0</v>
      </c>
      <c r="KU46" s="1" t="n">
        <f aca="false">IF(CY46=1,MAX(0,(Slot9_Cost-KT46*(1+Slot9_Rate)^(Slot9_Age-D46))/KQ46),0)</f>
        <v>0</v>
      </c>
      <c r="KV46" s="1" t="n">
        <f aca="false">IF(CY46=1,MAX(0,(Slot9_Cost-CZ46*(1+Slot9_Rate)^(Slot9_Age-D46))/KQ46),0)</f>
        <v>0</v>
      </c>
      <c r="KW46" s="1" t="n">
        <f aca="false">IF(AND(HT46=1,CY46=1),MIN(KP46,KU46),0)</f>
        <v>0</v>
      </c>
      <c r="KX46" s="1" t="n">
        <f aca="false">KP46-KW46</f>
        <v>0</v>
      </c>
      <c r="KY46" s="1" t="n">
        <f aca="false">IF(DI46=1,IF(ABS((1+AS_Wage)/(1+Slot10_Rate)-1)&lt;0.000000000001,(Slot10_Age-D46)*(1+Slot10_Rate)^(Slot10_Age-D46),(1+Slot10_Rate)^(Slot10_Age-D46)*(1-((1+AS_Wage)/(1+Slot10_Rate))^(Slot10_Age-D46))/(1-(1+AS_Wage)/(1+Slot10_Rate))),1)</f>
        <v>1</v>
      </c>
      <c r="KZ46" s="1" t="n">
        <f aca="false">IF(AND(HT46=1,ID46&gt;0,Slot10_IsWG=1,DI46=1),MAX(0,(Slot10_Cost-DJ46*(1+Slot10_Rate)^(Slot10_Age-D46))/KY46),0)</f>
        <v>0</v>
      </c>
      <c r="LA46" s="1" t="n">
        <f aca="false">IF(AND(HT46=1,ID46&gt;0,Slot10_IsWG=1,DI46=1),MIN(ID46,KZ46),0)</f>
        <v>0</v>
      </c>
      <c r="LB46" s="1" t="n">
        <f aca="false">DJ46+LA46</f>
        <v>0</v>
      </c>
      <c r="LC46" s="1" t="n">
        <f aca="false">IF(DI46=1,MAX(0,(Slot10_Cost-LB46*(1+Slot10_Rate)^(Slot10_Age-D46))/KY46),0)</f>
        <v>0</v>
      </c>
      <c r="LD46" s="1" t="n">
        <f aca="false">IF(DI46=1,MAX(0,(Slot10_Cost-DJ46*(1+Slot10_Rate)^(Slot10_Age-D46))/KY46),0)</f>
        <v>0</v>
      </c>
      <c r="LE46" s="1" t="n">
        <f aca="false">IF(AND(HT46=1,DI46=1),MIN(KX46,LC46),0)</f>
        <v>0</v>
      </c>
      <c r="LF46" s="1" t="n">
        <f aca="false">KX46-LE46</f>
        <v>0</v>
      </c>
      <c r="LG46" s="1" t="n">
        <f aca="false">IF(DS46=1,IF(ABS((1+AS_Wage)/(1+Slot11_Rate)-1)&lt;0.000000000001,(Slot11_Age-D46)*(1+Slot11_Rate)^(Slot11_Age-D46),(1+Slot11_Rate)^(Slot11_Age-D46)*(1-((1+AS_Wage)/(1+Slot11_Rate))^(Slot11_Age-D46))/(1-(1+AS_Wage)/(1+Slot11_Rate))),1)</f>
        <v>1</v>
      </c>
      <c r="LH46" s="1" t="n">
        <f aca="false">IF(AND(HT46=1,ID46&gt;0,Slot11_IsWG=1,DS46=1),MAX(0,(Slot11_Cost-DT46*(1+Slot11_Rate)^(Slot11_Age-D46))/LG46),0)</f>
        <v>0</v>
      </c>
      <c r="LI46" s="1" t="n">
        <f aca="false">IF(AND(HT46=1,ID46&gt;0,Slot11_IsWG=1,DS46=1),MIN(ID46,LH46),0)</f>
        <v>0</v>
      </c>
      <c r="LJ46" s="1" t="n">
        <f aca="false">DT46+LI46</f>
        <v>0</v>
      </c>
      <c r="LK46" s="1" t="n">
        <f aca="false">IF(DS46=1,MAX(0,(Slot11_Cost-LJ46*(1+Slot11_Rate)^(Slot11_Age-D46))/LG46),0)</f>
        <v>0</v>
      </c>
      <c r="LL46" s="1" t="n">
        <f aca="false">IF(DS46=1,MAX(0,(Slot11_Cost-DT46*(1+Slot11_Rate)^(Slot11_Age-D46))/LG46),0)</f>
        <v>0</v>
      </c>
      <c r="LM46" s="1" t="n">
        <f aca="false">IF(AND(HT46=1,DS46=1),MIN(LF46,LK46),0)</f>
        <v>0</v>
      </c>
      <c r="LN46" s="1" t="n">
        <f aca="false">LF46-LM46</f>
        <v>0</v>
      </c>
      <c r="LO46" s="1" t="n">
        <f aca="false">IF(EC46=1,IF(ABS((1+AS_Wage)/(1+Slot12_Rate)-1)&lt;0.000000000001,(Slot12_Age-D46)*(1+Slot12_Rate)^(Slot12_Age-D46),(1+Slot12_Rate)^(Slot12_Age-D46)*(1-((1+AS_Wage)/(1+Slot12_Rate))^(Slot12_Age-D46))/(1-(1+AS_Wage)/(1+Slot12_Rate))),1)</f>
        <v>1</v>
      </c>
      <c r="LP46" s="1" t="n">
        <f aca="false">IF(AND(HT46=1,ID46&gt;0,Slot12_IsWG=1,EC46=1),MAX(0,(Slot12_Cost-ED46*(1+Slot12_Rate)^(Slot12_Age-D46))/LO46),0)</f>
        <v>0</v>
      </c>
      <c r="LQ46" s="1" t="n">
        <f aca="false">IF(AND(HT46=1,ID46&gt;0,Slot12_IsWG=1,EC46=1),MIN(ID46,LP46),0)</f>
        <v>0</v>
      </c>
      <c r="LR46" s="1" t="n">
        <f aca="false">ED46+LQ46</f>
        <v>0</v>
      </c>
      <c r="LS46" s="1" t="n">
        <f aca="false">IF(EC46=1,MAX(0,(Slot12_Cost-LR46*(1+Slot12_Rate)^(Slot12_Age-D46))/LO46),0)</f>
        <v>0</v>
      </c>
      <c r="LT46" s="1" t="n">
        <f aca="false">IF(EC46=1,MAX(0,(Slot12_Cost-ED46*(1+Slot12_Rate)^(Slot12_Age-D46))/LO46),0)</f>
        <v>0</v>
      </c>
      <c r="LU46" s="1" t="n">
        <f aca="false">IF(AND(HT46=1,EC46=1),MIN(LN46,LS46),0)</f>
        <v>0</v>
      </c>
      <c r="LV46" s="1" t="n">
        <f aca="false">LN46-LU46</f>
        <v>0</v>
      </c>
      <c r="LW46" s="1" t="n">
        <f aca="false">IF(EM46=1,IF(ABS((1+AS_Wage)/(1+Slot13_Rate)-1)&lt;0.000000000001,(Slot13_Age-D46)*(1+Slot13_Rate)^(Slot13_Age-D46),(1+Slot13_Rate)^(Slot13_Age-D46)*(1-((1+AS_Wage)/(1+Slot13_Rate))^(Slot13_Age-D46))/(1-(1+AS_Wage)/(1+Slot13_Rate))),1)</f>
        <v>1</v>
      </c>
      <c r="LX46" s="1" t="n">
        <f aca="false">IF(AND(HT46=1,ID46&gt;0,Slot13_IsWG=1,EM46=1),MAX(0,(Slot13_Cost-EN46*(1+Slot13_Rate)^(Slot13_Age-D46))/LW46),0)</f>
        <v>0</v>
      </c>
      <c r="LY46" s="1" t="n">
        <f aca="false">IF(AND(HT46=1,ID46&gt;0,Slot13_IsWG=1,EM46=1),MIN(ID46,LX46),0)</f>
        <v>0</v>
      </c>
      <c r="LZ46" s="1" t="n">
        <f aca="false">EN46+LY46</f>
        <v>0</v>
      </c>
      <c r="MA46" s="1" t="n">
        <f aca="false">IF(EM46=1,MAX(0,(Slot13_Cost-LZ46*(1+Slot13_Rate)^(Slot13_Age-D46))/LW46),0)</f>
        <v>0</v>
      </c>
      <c r="MB46" s="1" t="n">
        <f aca="false">IF(EM46=1,MAX(0,(Slot13_Cost-EN46*(1+Slot13_Rate)^(Slot13_Age-D46))/LW46),0)</f>
        <v>0</v>
      </c>
      <c r="MC46" s="1" t="n">
        <f aca="false">IF(AND(HT46=1,EM46=1),MIN(LV46,MA46),0)</f>
        <v>0</v>
      </c>
      <c r="MD46" s="1" t="n">
        <f aca="false">LV46-MC46</f>
        <v>0</v>
      </c>
      <c r="ME46" s="1" t="n">
        <f aca="false">IF(EW46=1,IF(ABS((1+AS_Wage)/(1+Slot14_Rate)-1)&lt;0.000000000001,(Slot14_Age-D46)*(1+Slot14_Rate)^(Slot14_Age-D46),(1+Slot14_Rate)^(Slot14_Age-D46)*(1-((1+AS_Wage)/(1+Slot14_Rate))^(Slot14_Age-D46))/(1-(1+AS_Wage)/(1+Slot14_Rate))),1)</f>
        <v>1</v>
      </c>
      <c r="MF46" s="1" t="n">
        <f aca="false">IF(AND(HT46=1,ID46&gt;0,Slot14_IsWG=1,EW46=1),MAX(0,(Slot14_Cost-EX46*(1+Slot14_Rate)^(Slot14_Age-D46))/ME46),0)</f>
        <v>0</v>
      </c>
      <c r="MG46" s="1" t="n">
        <f aca="false">IF(AND(HT46=1,ID46&gt;0,Slot14_IsWG=1,EW46=1),MIN(ID46,MF46),0)</f>
        <v>0</v>
      </c>
      <c r="MH46" s="1" t="n">
        <f aca="false">EX46+MG46</f>
        <v>0</v>
      </c>
      <c r="MI46" s="1" t="n">
        <f aca="false">IF(EW46=1,MAX(0,(Slot14_Cost-MH46*(1+Slot14_Rate)^(Slot14_Age-D46))/ME46),0)</f>
        <v>0</v>
      </c>
      <c r="MJ46" s="1" t="n">
        <f aca="false">IF(EW46=1,MAX(0,(Slot14_Cost-EX46*(1+Slot14_Rate)^(Slot14_Age-D46))/ME46),0)</f>
        <v>0</v>
      </c>
      <c r="MK46" s="1" t="n">
        <f aca="false">IF(AND(HT46=1,EW46=1),MIN(MD46,MI46),0)</f>
        <v>0</v>
      </c>
      <c r="ML46" s="1" t="n">
        <f aca="false">MD46-MK46</f>
        <v>0</v>
      </c>
      <c r="MM46" s="1" t="n">
        <f aca="false">IF(FG46=1,IF(ABS((1+AS_Wage)/(1+Slot15_Rate)-1)&lt;0.000000000001,(Slot15_Age-D46)*(1+Slot15_Rate)^(Slot15_Age-D46),(1+Slot15_Rate)^(Slot15_Age-D46)*(1-((1+AS_Wage)/(1+Slot15_Rate))^(Slot15_Age-D46))/(1-(1+AS_Wage)/(1+Slot15_Rate))),1)</f>
        <v>1</v>
      </c>
      <c r="MN46" s="1" t="n">
        <f aca="false">IF(AND(HT46=1,ID46&gt;0,Slot15_IsWG=1,FG46=1),MAX(0,(Slot15_Cost-FH46*(1+Slot15_Rate)^(Slot15_Age-D46))/MM46),0)</f>
        <v>0</v>
      </c>
      <c r="MO46" s="1" t="n">
        <f aca="false">IF(AND(HT46=1,ID46&gt;0,Slot15_IsWG=1,FG46=1),MIN(ID46,MN46),0)</f>
        <v>0</v>
      </c>
      <c r="MP46" s="1" t="n">
        <f aca="false">FH46+MO46</f>
        <v>0</v>
      </c>
      <c r="MQ46" s="1" t="n">
        <f aca="false">IF(FG46=1,MAX(0,(Slot15_Cost-MP46*(1+Slot15_Rate)^(Slot15_Age-D46))/MM46),0)</f>
        <v>0</v>
      </c>
      <c r="MR46" s="1" t="n">
        <f aca="false">IF(FG46=1,MAX(0,(Slot15_Cost-FH46*(1+Slot15_Rate)^(Slot15_Age-D46))/MM46),0)</f>
        <v>0</v>
      </c>
      <c r="MS46" s="1" t="n">
        <f aca="false">IF(AND(HT46=1,FG46=1),MIN(ML46,MQ46),0)</f>
        <v>0</v>
      </c>
      <c r="MT46" s="1" t="n">
        <f aca="false">ML46-MS46</f>
        <v>0</v>
      </c>
      <c r="MU46" s="1" t="n">
        <f aca="false">IF(FQ46=1,IF(ABS((1+AS_Wage)/(1+Slot16_Rate)-1)&lt;0.000000000001,(Slot16_Age-D46)*(1+Slot16_Rate)^(Slot16_Age-D46),(1+Slot16_Rate)^(Slot16_Age-D46)*(1-((1+AS_Wage)/(1+Slot16_Rate))^(Slot16_Age-D46))/(1-(1+AS_Wage)/(1+Slot16_Rate))),1)</f>
        <v>1</v>
      </c>
      <c r="MV46" s="1" t="n">
        <f aca="false">IF(AND(HT46=1,ID46&gt;0,Slot16_IsWG=1,FQ46=1),MAX(0,(Slot16_Cost-FR46*(1+Slot16_Rate)^(Slot16_Age-D46))/MU46),0)</f>
        <v>0</v>
      </c>
      <c r="MW46" s="1" t="n">
        <f aca="false">IF(AND(HT46=1,ID46&gt;0,Slot16_IsWG=1,FQ46=1),MIN(ID46,MV46),0)</f>
        <v>0</v>
      </c>
      <c r="MX46" s="1" t="n">
        <f aca="false">FR46+MW46</f>
        <v>0</v>
      </c>
      <c r="MY46" s="1" t="n">
        <f aca="false">IF(FQ46=1,MAX(0,(Slot16_Cost-MX46*(1+Slot16_Rate)^(Slot16_Age-D46))/MU46),0)</f>
        <v>0</v>
      </c>
      <c r="MZ46" s="1" t="n">
        <f aca="false">IF(FQ46=1,MAX(0,(Slot16_Cost-FR46*(1+Slot16_Rate)^(Slot16_Age-D46))/MU46),0)</f>
        <v>0</v>
      </c>
      <c r="NA46" s="1" t="n">
        <f aca="false">IF(AND(HT46=1,FQ46=1),MIN(MT46,MY46),0)</f>
        <v>0</v>
      </c>
      <c r="NB46" s="1" t="n">
        <f aca="false">MT46-NA46</f>
        <v>0</v>
      </c>
      <c r="NC46" s="1" t="n">
        <f aca="false">IF(GA46=1,IF(ABS((1+AS_Wage)/(1+Slot17_Rate)-1)&lt;0.000000000001,(Slot17_Age-D46)*(1+Slot17_Rate)^(Slot17_Age-D46),(1+Slot17_Rate)^(Slot17_Age-D46)*(1-((1+AS_Wage)/(1+Slot17_Rate))^(Slot17_Age-D46))/(1-(1+AS_Wage)/(1+Slot17_Rate))),1)</f>
        <v>1</v>
      </c>
      <c r="ND46" s="1" t="n">
        <f aca="false">IF(AND(HT46=1,ID46&gt;0,Slot17_IsWG=1,GA46=1),MAX(0,(Slot17_Cost-GB46*(1+Slot17_Rate)^(Slot17_Age-D46))/NC46),0)</f>
        <v>0</v>
      </c>
      <c r="NE46" s="1" t="n">
        <f aca="false">IF(AND(HT46=1,ID46&gt;0,Slot17_IsWG=1,GA46=1),MIN(ID46,ND46),0)</f>
        <v>0</v>
      </c>
      <c r="NF46" s="1" t="n">
        <f aca="false">GB46+NE46</f>
        <v>0</v>
      </c>
      <c r="NG46" s="1" t="n">
        <f aca="false">IF(GA46=1,MAX(0,(Slot17_Cost-NF46*(1+Slot17_Rate)^(Slot17_Age-D46))/NC46),0)</f>
        <v>0</v>
      </c>
      <c r="NH46" s="1" t="n">
        <f aca="false">IF(GA46=1,MAX(0,(Slot17_Cost-GB46*(1+Slot17_Rate)^(Slot17_Age-D46))/NC46),0)</f>
        <v>0</v>
      </c>
      <c r="NI46" s="1" t="n">
        <f aca="false">IF(AND(HT46=1,GA46=1),MIN(NB46,NG46),0)</f>
        <v>0</v>
      </c>
      <c r="NJ46" s="1" t="n">
        <f aca="false">NB46-NI46</f>
        <v>0</v>
      </c>
      <c r="NK46" s="1" t="n">
        <f aca="false">IF(GK46=1,IF(ABS((1+AS_Wage)/(1+Slot18_Rate)-1)&lt;0.000000000001,(Slot18_Age-D46)*(1+Slot18_Rate)^(Slot18_Age-D46),(1+Slot18_Rate)^(Slot18_Age-D46)*(1-((1+AS_Wage)/(1+Slot18_Rate))^(Slot18_Age-D46))/(1-(1+AS_Wage)/(1+Slot18_Rate))),1)</f>
        <v>1</v>
      </c>
      <c r="NL46" s="1" t="n">
        <f aca="false">IF(AND(HT46=1,ID46&gt;0,Slot18_IsWG=1,GK46=1),MAX(0,(Slot18_Cost-GL46*(1+Slot18_Rate)^(Slot18_Age-D46))/NK46),0)</f>
        <v>0</v>
      </c>
      <c r="NM46" s="1" t="n">
        <f aca="false">IF(AND(HT46=1,ID46&gt;0,Slot18_IsWG=1,GK46=1),MIN(ID46,NL46),0)</f>
        <v>0</v>
      </c>
      <c r="NN46" s="1" t="n">
        <f aca="false">GL46+NM46</f>
        <v>0</v>
      </c>
      <c r="NO46" s="1" t="n">
        <f aca="false">IF(GK46=1,MAX(0,(Slot18_Cost-NN46*(1+Slot18_Rate)^(Slot18_Age-D46))/NK46),0)</f>
        <v>0</v>
      </c>
      <c r="NP46" s="1" t="n">
        <f aca="false">IF(GK46=1,MAX(0,(Slot18_Cost-GL46*(1+Slot18_Rate)^(Slot18_Age-D46))/NK46),0)</f>
        <v>0</v>
      </c>
      <c r="NQ46" s="1" t="n">
        <f aca="false">IF(AND(HT46=1,GK46=1),MIN(NJ46,NO46),0)</f>
        <v>0</v>
      </c>
      <c r="NR46" s="1" t="n">
        <f aca="false">NJ46-NQ46</f>
        <v>0</v>
      </c>
      <c r="NS46" s="1" t="n">
        <f aca="false">IF(GU46=1,IF(ABS((1+AS_Wage)/(1+Slot19_Rate)-1)&lt;0.000000000001,(Slot19_Age-D46)*(1+Slot19_Rate)^(Slot19_Age-D46),(1+Slot19_Rate)^(Slot19_Age-D46)*(1-((1+AS_Wage)/(1+Slot19_Rate))^(Slot19_Age-D46))/(1-(1+AS_Wage)/(1+Slot19_Rate))),1)</f>
        <v>1</v>
      </c>
      <c r="NT46" s="1" t="n">
        <f aca="false">IF(AND(HT46=1,ID46&gt;0,Slot19_IsWG=1,GU46=1),MAX(0,(Slot19_Cost-GV46*(1+Slot19_Rate)^(Slot19_Age-D46))/NS46),0)</f>
        <v>0</v>
      </c>
      <c r="NU46" s="1" t="n">
        <f aca="false">IF(AND(HT46=1,ID46&gt;0,Slot19_IsWG=1,GU46=1),MIN(ID46,NT46),0)</f>
        <v>0</v>
      </c>
      <c r="NV46" s="1" t="n">
        <f aca="false">GV46+NU46</f>
        <v>0</v>
      </c>
      <c r="NW46" s="1" t="n">
        <f aca="false">IF(GU46=1,MAX(0,(Slot19_Cost-NV46*(1+Slot19_Rate)^(Slot19_Age-D46))/NS46),0)</f>
        <v>0</v>
      </c>
      <c r="NX46" s="1" t="n">
        <f aca="false">IF(GU46=1,MAX(0,(Slot19_Cost-GV46*(1+Slot19_Rate)^(Slot19_Age-D46))/NS46),0)</f>
        <v>0</v>
      </c>
      <c r="NY46" s="1" t="n">
        <f aca="false">IF(AND(HT46=1,GU46=1),MIN(NR46,NW46),0)</f>
        <v>0</v>
      </c>
      <c r="NZ46" s="1" t="n">
        <f aca="false">NR46-NY46</f>
        <v>0</v>
      </c>
      <c r="OA46" s="1" t="n">
        <f aca="false">IF(HE46=1,IF(ABS((1+AS_Wage)/(1+Slot20_Rate)-1)&lt;0.000000000001,(Slot20_Age-D46)*(1+Slot20_Rate)^(Slot20_Age-D46),(1+Slot20_Rate)^(Slot20_Age-D46)*(1-((1+AS_Wage)/(1+Slot20_Rate))^(Slot20_Age-D46))/(1-(1+AS_Wage)/(1+Slot20_Rate))),1)</f>
        <v>1</v>
      </c>
      <c r="OB46" s="1" t="n">
        <f aca="false">IF(AND(HT46=1,ID46&gt;0,Slot20_IsWG=1,HE46=1),MAX(0,(Slot20_Cost-HF46*(1+Slot20_Rate)^(Slot20_Age-D46))/OA46),0)</f>
        <v>0</v>
      </c>
      <c r="OC46" s="1" t="n">
        <f aca="false">IF(AND(HT46=1,ID46&gt;0,Slot20_IsWG=1,HE46=1),MIN(ID46,OB46),0)</f>
        <v>0</v>
      </c>
      <c r="OD46" s="1" t="n">
        <f aca="false">HF46+OC46</f>
        <v>0</v>
      </c>
      <c r="OE46" s="1" t="n">
        <f aca="false">IF(HE46=1,MAX(0,(Slot20_Cost-OD46*(1+Slot20_Rate)^(Slot20_Age-D46))/OA46),0)</f>
        <v>0</v>
      </c>
      <c r="OF46" s="1" t="n">
        <f aca="false">IF(HE46=1,MAX(0,(Slot20_Cost-HF46*(1+Slot20_Rate)^(Slot20_Age-D46))/OA46),0)</f>
        <v>0</v>
      </c>
      <c r="OG46" s="1" t="n">
        <f aca="false">IF(AND(HT46=1,HE46=1),MIN(NZ46,OE46),0)</f>
        <v>0</v>
      </c>
      <c r="OH46" s="1" t="n">
        <f aca="false">NZ46-OG46</f>
        <v>0</v>
      </c>
      <c r="OI46" s="1" t="n">
        <f aca="false">ID46-(IG46+IO46+IW46+JE46+JM46+JU46+KC46+KK46+KS46+LA46+LI46+LQ46+LY46+MG46+MO46+MW46+NE46+NM46+NU46+OC46)</f>
        <v>0</v>
      </c>
      <c r="OJ46" s="1" t="n">
        <f aca="false">IF(HT46=1,HR46-IC46-ID46,0)</f>
        <v>0</v>
      </c>
      <c r="OK46" s="1" t="n">
        <f aca="false">IF(HT46=0,-HR46,0)</f>
        <v>0</v>
      </c>
      <c r="OL46" s="1" t="n">
        <f aca="false">MIN(OK46,HJ46)</f>
        <v>0</v>
      </c>
      <c r="OM46" s="1" t="n">
        <f aca="false">OK46-OL46</f>
        <v>0</v>
      </c>
      <c r="ON46" s="1" t="n">
        <f aca="false">MIN(OM46,HK46)</f>
        <v>0</v>
      </c>
      <c r="OO46" s="1" t="n">
        <f aca="false">OM46-ON46</f>
        <v>0</v>
      </c>
      <c r="OP46" s="1" t="n">
        <f aca="false">IF(AND(HT46=0,HE46=1,OO46&gt;0),MIN(OO46,HF46),0)</f>
        <v>0</v>
      </c>
      <c r="OQ46" s="1" t="n">
        <f aca="false">OO46-OP46</f>
        <v>0</v>
      </c>
      <c r="OR46" s="1" t="n">
        <f aca="false">IF(AND(HT46=0,GU46=1,OQ46&gt;0),MIN(OQ46,GV46),0)</f>
        <v>0</v>
      </c>
      <c r="OS46" s="1" t="n">
        <f aca="false">OQ46-OR46</f>
        <v>0</v>
      </c>
      <c r="OT46" s="1" t="n">
        <f aca="false">IF(AND(HT46=0,GK46=1,OS46&gt;0),MIN(OS46,GL46),0)</f>
        <v>0</v>
      </c>
      <c r="OU46" s="1" t="n">
        <f aca="false">OS46-OT46</f>
        <v>0</v>
      </c>
      <c r="OV46" s="1" t="n">
        <f aca="false">IF(AND(HT46=0,GA46=1,OU46&gt;0),MIN(OU46,GB46),0)</f>
        <v>0</v>
      </c>
      <c r="OW46" s="1" t="n">
        <f aca="false">OU46-OV46</f>
        <v>0</v>
      </c>
      <c r="OX46" s="1" t="n">
        <f aca="false">IF(AND(HT46=0,FQ46=1,OW46&gt;0),MIN(OW46,FR46),0)</f>
        <v>0</v>
      </c>
      <c r="OY46" s="1" t="n">
        <f aca="false">OW46-OX46</f>
        <v>0</v>
      </c>
      <c r="OZ46" s="1" t="n">
        <f aca="false">IF(AND(HT46=0,FG46=1,OY46&gt;0),MIN(OY46,FH46),0)</f>
        <v>0</v>
      </c>
      <c r="PA46" s="1" t="n">
        <f aca="false">OY46-OZ46</f>
        <v>0</v>
      </c>
      <c r="PB46" s="1" t="n">
        <f aca="false">IF(AND(HT46=0,EW46=1,PA46&gt;0),MIN(PA46,EX46),0)</f>
        <v>0</v>
      </c>
      <c r="PC46" s="1" t="n">
        <f aca="false">PA46-PB46</f>
        <v>0</v>
      </c>
      <c r="PD46" s="1" t="n">
        <f aca="false">IF(AND(HT46=0,EM46=1,PC46&gt;0),MIN(PC46,EN46),0)</f>
        <v>0</v>
      </c>
      <c r="PE46" s="1" t="n">
        <f aca="false">PC46-PD46</f>
        <v>0</v>
      </c>
      <c r="PF46" s="1" t="n">
        <f aca="false">IF(AND(HT46=0,EC46=1,PE46&gt;0),MIN(PE46,ED46),0)</f>
        <v>0</v>
      </c>
      <c r="PG46" s="1" t="n">
        <f aca="false">PE46-PF46</f>
        <v>0</v>
      </c>
      <c r="PH46" s="1" t="n">
        <f aca="false">IF(AND(HT46=0,DS46=1,PG46&gt;0),MIN(PG46,DT46),0)</f>
        <v>0</v>
      </c>
      <c r="PI46" s="1" t="n">
        <f aca="false">PG46-PH46</f>
        <v>0</v>
      </c>
      <c r="PJ46" s="1" t="n">
        <f aca="false">IF(AND(HT46=0,DI46=1,PI46&gt;0),MIN(PI46,DJ46),0)</f>
        <v>0</v>
      </c>
      <c r="PK46" s="1" t="n">
        <f aca="false">PI46-PJ46</f>
        <v>0</v>
      </c>
      <c r="PL46" s="1" t="n">
        <f aca="false">IF(AND(HT46=0,CY46=1,PK46&gt;0),MIN(PK46,CZ46),0)</f>
        <v>0</v>
      </c>
      <c r="PM46" s="1" t="n">
        <f aca="false">PK46-PL46</f>
        <v>0</v>
      </c>
      <c r="PN46" s="1" t="n">
        <f aca="false">IF(AND(HT46=0,CO46=1,PM46&gt;0),MIN(PM46,CP46),0)</f>
        <v>0</v>
      </c>
      <c r="PO46" s="1" t="n">
        <f aca="false">PM46-PN46</f>
        <v>0</v>
      </c>
      <c r="PP46" s="1" t="n">
        <f aca="false">IF(AND(HT46=0,CE46=1,PO46&gt;0),MIN(PO46,CF46),0)</f>
        <v>0</v>
      </c>
      <c r="PQ46" s="1" t="n">
        <f aca="false">PO46-PP46</f>
        <v>0</v>
      </c>
      <c r="PR46" s="1" t="n">
        <f aca="false">IF(AND(HT46=0,BU46=1,PQ46&gt;0),MIN(PQ46,BV46),0)</f>
        <v>0</v>
      </c>
      <c r="PS46" s="1" t="n">
        <f aca="false">PQ46-PR46</f>
        <v>0</v>
      </c>
      <c r="PT46" s="1" t="n">
        <f aca="false">IF(AND(HT46=0,BK46=1,PS46&gt;0),MIN(PS46,BL46),0)</f>
        <v>0</v>
      </c>
      <c r="PU46" s="1" t="n">
        <f aca="false">PS46-PT46</f>
        <v>0</v>
      </c>
      <c r="PV46" s="1" t="n">
        <f aca="false">IF(AND(HT46=0,BA46=1,PU46&gt;0),MIN(PU46,BB46),0)</f>
        <v>0</v>
      </c>
      <c r="PW46" s="1" t="n">
        <f aca="false">PU46-PV46</f>
        <v>0</v>
      </c>
      <c r="PX46" s="1" t="n">
        <f aca="false">IF(AND(HT46=0,AQ46=1,PW46&gt;0),MIN(PW46,AR46),0)</f>
        <v>0</v>
      </c>
      <c r="PY46" s="1" t="n">
        <f aca="false">PW46-PX46</f>
        <v>0</v>
      </c>
      <c r="PZ46" s="1" t="n">
        <f aca="false">IF(AND(HT46=0,AG46=1,PY46&gt;0),MIN(PY46,AH46),0)</f>
        <v>0</v>
      </c>
      <c r="QA46" s="1" t="n">
        <f aca="false">PY46-PZ46</f>
        <v>0</v>
      </c>
      <c r="QB46" s="1" t="n">
        <f aca="false">IF(AND(HT46=0,V46=1,QA46&gt;0),MIN(QA46,W46),0)</f>
        <v>0</v>
      </c>
      <c r="QC46" s="1" t="n">
        <f aca="false">QA46-QB46</f>
        <v>0</v>
      </c>
      <c r="QD46" s="1" t="n">
        <f aca="false">IF(HT46=0,QC46,0)</f>
        <v>0</v>
      </c>
      <c r="QE46" s="1" t="n">
        <f aca="false">OL46+ON46+QB46+PZ46+PX46+PV46+PT46+PR46+PP46+PN46+PL46+PJ46+PH46+PF46+PD46+PB46+OZ46+OX46+OV46+OT46+OR46+OP46</f>
        <v>0</v>
      </c>
      <c r="QF46" s="1" t="n">
        <f aca="false">IF(HT46=1,HJ46+OI46+OH46+IF(F46=1,0,OJ46),HJ46-OL46)</f>
        <v>0</v>
      </c>
      <c r="QG46" s="1" t="n">
        <f aca="false">HK46-ON46</f>
        <v>0</v>
      </c>
      <c r="QH46" s="1" t="n">
        <f aca="false">IF(HT46=1,IF(F46=1,IC46+ID46,HR46),0)</f>
        <v>0</v>
      </c>
      <c r="QI46" s="1" t="n">
        <f aca="false">IF(HT46=1,IF(F46=1,HR46-IC46-ID46,0),0)</f>
        <v>0</v>
      </c>
      <c r="QJ46" s="1" t="n">
        <f aca="false">QF46*(1+GR)</f>
        <v>0</v>
      </c>
      <c r="QK46" s="1" t="n">
        <f aca="false">QG46*(1+AS_Cash)</f>
        <v>0</v>
      </c>
      <c r="QL46" s="1" t="n">
        <f aca="false">IF(V46=1,IF(HT46=1,IH46+IK46,W46-QB46)*(1+Slot1_Rate),0)</f>
        <v>0</v>
      </c>
      <c r="QM46" s="1" t="n">
        <f aca="false">IF(AND(HT46=1,V46=1),(IG46+IK46)/E46,0)</f>
        <v>0</v>
      </c>
      <c r="QN46" s="1" t="n">
        <f aca="false">IF(B46=0,IG46+IK46,0)</f>
        <v>0</v>
      </c>
      <c r="QO46" s="1" t="n">
        <f aca="false">IF(B46=0,IF(HT46=1,II46,IJ46),0)</f>
        <v>0</v>
      </c>
      <c r="QP46" s="1" t="n">
        <f aca="false">IF(AG46=1,IF(HT46=1,IP46+IS46,AH46-PZ46)*(1+Slot2_Rate),0)</f>
        <v>0</v>
      </c>
      <c r="QQ46" s="1" t="n">
        <f aca="false">IF(AND(HT46=1,AG46=1),(IO46+IS46)/E46,0)</f>
        <v>0</v>
      </c>
      <c r="QR46" s="1" t="n">
        <f aca="false">IF(B46=0,IO46+IS46,0)</f>
        <v>0</v>
      </c>
      <c r="QS46" s="1" t="n">
        <f aca="false">IF(B46=0,IF(HT46=1,IQ46,IR46),0)</f>
        <v>0</v>
      </c>
      <c r="QT46" s="1" t="n">
        <f aca="false">IF(AQ46=1,IF(HT46=1,IX46+JA46,AR46-PX46)*(1+Slot3_Rate),0)</f>
        <v>0</v>
      </c>
      <c r="QU46" s="1" t="n">
        <f aca="false">IF(AND(HT46=1,AQ46=1),(IW46+JA46)/E46,0)</f>
        <v>0</v>
      </c>
      <c r="QV46" s="1" t="n">
        <f aca="false">IF(B46=0,IW46+JA46,0)</f>
        <v>0</v>
      </c>
      <c r="QW46" s="1" t="n">
        <f aca="false">IF(B46=0,IF(HT46=1,IY46,IZ46),0)</f>
        <v>0</v>
      </c>
      <c r="QX46" s="1" t="n">
        <f aca="false">IF(BA46=1,IF(HT46=1,JF46+JI46,BB46-PV46)*(1+Slot4_Rate),0)</f>
        <v>0</v>
      </c>
      <c r="QY46" s="1" t="n">
        <f aca="false">IF(AND(HT46=1,BA46=1),(JE46+JI46)/E46,0)</f>
        <v>0</v>
      </c>
      <c r="QZ46" s="1" t="n">
        <f aca="false">IF(B46=0,JE46+JI46,0)</f>
        <v>0</v>
      </c>
      <c r="RA46" s="1" t="n">
        <f aca="false">IF(B46=0,IF(HT46=1,JG46,JH46),0)</f>
        <v>0</v>
      </c>
      <c r="RB46" s="1" t="n">
        <f aca="false">IF(BK46=1,IF(HT46=1,JN46+JQ46,BL46-PT46)*(1+Slot5_Rate),0)</f>
        <v>0</v>
      </c>
      <c r="RC46" s="1" t="n">
        <f aca="false">IF(AND(HT46=1,BK46=1),(JM46+JQ46)/E46,0)</f>
        <v>0</v>
      </c>
      <c r="RD46" s="1" t="n">
        <f aca="false">IF(B46=0,JM46+JQ46,0)</f>
        <v>0</v>
      </c>
      <c r="RE46" s="1" t="n">
        <f aca="false">IF(B46=0,IF(HT46=1,JO46,JP46),0)</f>
        <v>0</v>
      </c>
      <c r="RF46" s="1" t="n">
        <f aca="false">IF(BU46=1,IF(HT46=1,JV46+JY46,BV46-PR46)*(1+Slot6_Rate),0)</f>
        <v>0</v>
      </c>
      <c r="RG46" s="1" t="n">
        <f aca="false">IF(AND(HT46=1,BU46=1),(JU46+JY46)/E46,0)</f>
        <v>0</v>
      </c>
      <c r="RH46" s="1" t="n">
        <f aca="false">IF(B46=0,JU46+JY46,0)</f>
        <v>0</v>
      </c>
      <c r="RI46" s="1" t="n">
        <f aca="false">IF(B46=0,IF(HT46=1,JW46,JX46),0)</f>
        <v>0</v>
      </c>
      <c r="RJ46" s="1" t="n">
        <f aca="false">IF(CE46=1,IF(HT46=1,KD46+KG46,CF46-PP46)*(1+Slot7_Rate),0)</f>
        <v>0</v>
      </c>
      <c r="RK46" s="1" t="n">
        <f aca="false">IF(AND(HT46=1,CE46=1),(KC46+KG46)/E46,0)</f>
        <v>0</v>
      </c>
      <c r="RL46" s="1" t="n">
        <f aca="false">IF(B46=0,KC46+KG46,0)</f>
        <v>0</v>
      </c>
      <c r="RM46" s="1" t="n">
        <f aca="false">IF(B46=0,IF(HT46=1,KE46,KF46),0)</f>
        <v>0</v>
      </c>
      <c r="RN46" s="1" t="n">
        <f aca="false">IF(CO46=1,IF(HT46=1,KL46+KO46,CP46-PN46)*(1+Slot8_Rate),0)</f>
        <v>0</v>
      </c>
      <c r="RO46" s="1" t="n">
        <f aca="false">IF(AND(HT46=1,CO46=1),(KK46+KO46)/E46,0)</f>
        <v>0</v>
      </c>
      <c r="RP46" s="1" t="n">
        <f aca="false">IF(B46=0,KK46+KO46,0)</f>
        <v>0</v>
      </c>
      <c r="RQ46" s="1" t="n">
        <f aca="false">IF(B46=0,IF(HT46=1,KM46,KN46),0)</f>
        <v>0</v>
      </c>
      <c r="RR46" s="1" t="n">
        <f aca="false">IF(CY46=1,IF(HT46=1,KT46+KW46,CZ46-PL46)*(1+Slot9_Rate),0)</f>
        <v>0</v>
      </c>
      <c r="RS46" s="1" t="n">
        <f aca="false">IF(AND(HT46=1,CY46=1),(KS46+KW46)/E46,0)</f>
        <v>0</v>
      </c>
      <c r="RT46" s="1" t="n">
        <f aca="false">IF(B46=0,KS46+KW46,0)</f>
        <v>0</v>
      </c>
      <c r="RU46" s="1" t="n">
        <f aca="false">IF(B46=0,IF(HT46=1,KU46,KV46),0)</f>
        <v>0</v>
      </c>
      <c r="RV46" s="1" t="n">
        <f aca="false">IF(DI46=1,IF(HT46=1,LB46+LE46,DJ46-PJ46)*(1+Slot10_Rate),0)</f>
        <v>0</v>
      </c>
      <c r="RW46" s="1" t="n">
        <f aca="false">IF(AND(HT46=1,DI46=1),(LA46+LE46)/E46,0)</f>
        <v>0</v>
      </c>
      <c r="RX46" s="1" t="n">
        <f aca="false">IF(B46=0,LA46+LE46,0)</f>
        <v>0</v>
      </c>
      <c r="RY46" s="1" t="n">
        <f aca="false">IF(B46=0,IF(HT46=1,LC46,LD46),0)</f>
        <v>0</v>
      </c>
      <c r="RZ46" s="1" t="n">
        <f aca="false">IF(DS46=1,IF(HT46=1,LJ46+LM46,DT46-PH46)*(1+Slot11_Rate),0)</f>
        <v>0</v>
      </c>
      <c r="SA46" s="1" t="n">
        <f aca="false">IF(AND(HT46=1,DS46=1),(LI46+LM46)/E46,0)</f>
        <v>0</v>
      </c>
      <c r="SB46" s="1" t="n">
        <f aca="false">IF(B46=0,LI46+LM46,0)</f>
        <v>0</v>
      </c>
      <c r="SC46" s="1" t="n">
        <f aca="false">IF(B46=0,IF(HT46=1,LK46,LL46),0)</f>
        <v>0</v>
      </c>
      <c r="SD46" s="1" t="n">
        <f aca="false">IF(EC46=1,IF(HT46=1,LR46+LU46,ED46-PF46)*(1+Slot12_Rate),0)</f>
        <v>0</v>
      </c>
      <c r="SE46" s="1" t="n">
        <f aca="false">IF(AND(HT46=1,EC46=1),(LQ46+LU46)/E46,0)</f>
        <v>0</v>
      </c>
      <c r="SF46" s="1" t="n">
        <f aca="false">IF(B46=0,LQ46+LU46,0)</f>
        <v>0</v>
      </c>
      <c r="SG46" s="1" t="n">
        <f aca="false">IF(B46=0,IF(HT46=1,LS46,LT46),0)</f>
        <v>0</v>
      </c>
      <c r="SH46" s="1" t="n">
        <f aca="false">IF(EM46=1,IF(HT46=1,LZ46+MC46,EN46-PD46)*(1+Slot13_Rate),0)</f>
        <v>0</v>
      </c>
      <c r="SI46" s="1" t="n">
        <f aca="false">IF(AND(HT46=1,EM46=1),(LY46+MC46)/E46,0)</f>
        <v>0</v>
      </c>
      <c r="SJ46" s="1" t="n">
        <f aca="false">IF(B46=0,LY46+MC46,0)</f>
        <v>0</v>
      </c>
      <c r="SK46" s="1" t="n">
        <f aca="false">IF(B46=0,IF(HT46=1,MA46,MB46),0)</f>
        <v>0</v>
      </c>
      <c r="SL46" s="1" t="n">
        <f aca="false">IF(EW46=1,IF(HT46=1,MH46+MK46,EX46-PB46)*(1+Slot14_Rate),0)</f>
        <v>0</v>
      </c>
      <c r="SM46" s="1" t="n">
        <f aca="false">IF(AND(HT46=1,EW46=1),(MG46+MK46)/E46,0)</f>
        <v>0</v>
      </c>
      <c r="SN46" s="1" t="n">
        <f aca="false">IF(B46=0,MG46+MK46,0)</f>
        <v>0</v>
      </c>
      <c r="SO46" s="1" t="n">
        <f aca="false">IF(B46=0,IF(HT46=1,MI46,MJ46),0)</f>
        <v>0</v>
      </c>
      <c r="SP46" s="1" t="n">
        <f aca="false">IF(FG46=1,IF(HT46=1,MP46+MS46,FH46-OZ46)*(1+Slot15_Rate),0)</f>
        <v>0</v>
      </c>
      <c r="SQ46" s="1" t="n">
        <f aca="false">IF(AND(HT46=1,FG46=1),(MO46+MS46)/E46,0)</f>
        <v>0</v>
      </c>
      <c r="SR46" s="1" t="n">
        <f aca="false">IF(B46=0,MO46+MS46,0)</f>
        <v>0</v>
      </c>
      <c r="SS46" s="1" t="n">
        <f aca="false">IF(B46=0,IF(HT46=1,MQ46,MR46),0)</f>
        <v>0</v>
      </c>
      <c r="ST46" s="1" t="n">
        <f aca="false">IF(FQ46=1,IF(HT46=1,MX46+NA46,FR46-OX46)*(1+Slot16_Rate),0)</f>
        <v>0</v>
      </c>
      <c r="SU46" s="1" t="n">
        <f aca="false">IF(AND(HT46=1,FQ46=1),(MW46+NA46)/E46,0)</f>
        <v>0</v>
      </c>
      <c r="SV46" s="1" t="n">
        <f aca="false">IF(B46=0,MW46+NA46,0)</f>
        <v>0</v>
      </c>
      <c r="SW46" s="1" t="n">
        <f aca="false">IF(B46=0,IF(HT46=1,MY46,MZ46),0)</f>
        <v>0</v>
      </c>
      <c r="SX46" s="1" t="n">
        <f aca="false">IF(GA46=1,IF(HT46=1,NF46+NI46,GB46-OV46)*(1+Slot17_Rate),0)</f>
        <v>0</v>
      </c>
      <c r="SY46" s="1" t="n">
        <f aca="false">IF(AND(HT46=1,GA46=1),(NE46+NI46)/E46,0)</f>
        <v>0</v>
      </c>
      <c r="SZ46" s="1" t="n">
        <f aca="false">IF(B46=0,NE46+NI46,0)</f>
        <v>0</v>
      </c>
      <c r="TA46" s="1" t="n">
        <f aca="false">IF(B46=0,IF(HT46=1,NG46,NH46),0)</f>
        <v>0</v>
      </c>
      <c r="TB46" s="1" t="n">
        <f aca="false">IF(GK46=1,IF(HT46=1,NN46+NQ46,GL46-OT46)*(1+Slot18_Rate),0)</f>
        <v>0</v>
      </c>
      <c r="TC46" s="1" t="n">
        <f aca="false">IF(AND(HT46=1,GK46=1),(NM46+NQ46)/E46,0)</f>
        <v>0</v>
      </c>
      <c r="TD46" s="1" t="n">
        <f aca="false">IF(B46=0,NM46+NQ46,0)</f>
        <v>0</v>
      </c>
      <c r="TE46" s="1" t="n">
        <f aca="false">IF(B46=0,IF(HT46=1,NO46,NP46),0)</f>
        <v>0</v>
      </c>
      <c r="TF46" s="1" t="n">
        <f aca="false">IF(GU46=1,IF(HT46=1,NV46+NY46,GV46-OR46)*(1+Slot19_Rate),0)</f>
        <v>0</v>
      </c>
      <c r="TG46" s="1" t="n">
        <f aca="false">IF(AND(HT46=1,GU46=1),(NU46+NY46)/E46,0)</f>
        <v>0</v>
      </c>
      <c r="TH46" s="1" t="n">
        <f aca="false">IF(B46=0,NU46+NY46,0)</f>
        <v>0</v>
      </c>
      <c r="TI46" s="1" t="n">
        <f aca="false">IF(B46=0,IF(HT46=1,NW46,NX46),0)</f>
        <v>0</v>
      </c>
      <c r="TJ46" s="1" t="n">
        <f aca="false">IF(HE46=1,IF(HT46=1,OD46+OG46,HF46-OP46)*(1+Slot20_Rate),0)</f>
        <v>0</v>
      </c>
      <c r="TK46" s="1" t="n">
        <f aca="false">IF(AND(HT46=1,HE46=1),(OC46+OG46)/E46,0)</f>
        <v>0</v>
      </c>
      <c r="TL46" s="1" t="n">
        <f aca="false">IF(B46=0,OC46+OG46,0)</f>
        <v>0</v>
      </c>
      <c r="TM46" s="1" t="n">
        <f aca="false">IF(B46=0,IF(HT46=1,OE46,OF46),0)</f>
        <v>0</v>
      </c>
      <c r="TN46" s="1" t="n">
        <f aca="false">QJ46+QK46+QL46+QP46+QT46+QX46+RB46+RF46+RJ46+RN46+RR46+RV46+RZ46+SD46+SH46+SL46+SP46+ST46+SX46+TB46+TF46+TJ46</f>
        <v>0</v>
      </c>
      <c r="TO46" s="1" t="n">
        <f aca="false">QD46+HO46</f>
        <v>0</v>
      </c>
      <c r="TP46" s="1" t="n">
        <f aca="false">H46+R46</f>
        <v>0</v>
      </c>
      <c r="TQ46" s="1" t="n">
        <f aca="false">1-F46</f>
        <v>0</v>
      </c>
      <c r="TR46" s="1" t="n">
        <f aca="false">IF(AND(RG_Exists=1,F46=0,C46=1),H46,0)</f>
        <v>0</v>
      </c>
      <c r="TS46" s="1" t="n">
        <f aca="false">IF(AND(RG_Exists=1,F46=0,C46=1),H46-MIN(QD46,H46),0)</f>
        <v>0</v>
      </c>
      <c r="TT46" s="1" t="n">
        <f aca="false">'Plan pay &amp; tax'!AD272</f>
        <v>0</v>
      </c>
      <c r="TU46" s="1" t="n">
        <f aca="false">IF(AND(C46=1,QD46&gt;MAX(PR_Short1,TP46*PR_Short2)),1,0)</f>
        <v>0</v>
      </c>
      <c r="TV46" s="1" t="n">
        <f aca="false">MIN(G46,H46+R46)</f>
        <v>0</v>
      </c>
      <c r="TW46" s="1" t="n">
        <f aca="false">QE46+MAX(0,HP46-HO46)</f>
        <v>0</v>
      </c>
      <c r="TX46" s="1" t="n">
        <f aca="false">QD46+HO46</f>
        <v>0</v>
      </c>
      <c r="TY46" s="1" t="n">
        <f aca="false">IF(AND(C46=1,TX46&gt;PR_MinShort),1,0)</f>
        <v>0</v>
      </c>
      <c r="TZ46" s="1" t="n">
        <f aca="false">IF(AND(C46=1,TY46=0,TW46&gt;PR_MinShort),1,0)</f>
        <v>0</v>
      </c>
      <c r="UA46" s="1" t="n">
        <f aca="false">IF(AND(C46=1,QD46&gt;PR_MinShort),1,0)</f>
        <v>0</v>
      </c>
      <c r="UB46" s="1" t="n">
        <f aca="false">IF(AND(C46=1,QE46&gt;1,UI46=0),1,0)</f>
        <v>0</v>
      </c>
      <c r="UC46" s="1" t="str">
        <f aca="false">IF(C46=0,"",IF(UI46=1,"Gap to plan for: short "&amp;"€"&amp;TEXT(ROUND(TO46,0),"#,##0"),IF(QE46&gt;1,"Using savings","Comfortable")))</f>
        <v>Comfortable</v>
      </c>
      <c r="UD46" s="1" t="n">
        <f aca="false">IF(AND(INT(D46/10)*10=90,B46&gt;0),80,INT(D46/10)*10)</f>
        <v>30</v>
      </c>
      <c r="UE46" s="1" t="n">
        <f aca="false">IF(B46=0,1,IF(UD46&lt;&gt;UD45,UE45+1,UE45))</f>
        <v>4</v>
      </c>
      <c r="UF46" s="1" t="n">
        <f aca="false">IF(AND(C46=1,F46=1,QD46&gt;MAX(PR_Short1,TP46*PR_Short2)),1,0)</f>
        <v>0</v>
      </c>
      <c r="UG46" s="1" t="n">
        <f aca="false">TQ46*TU46</f>
        <v>0</v>
      </c>
      <c r="UH46" s="1" t="n">
        <f aca="false">IF(AND(U46=1,Slot1_PctLow=1),1,0)+IF(AND(AF46=1,Slot2_PctLow=1),1,0)+IF(AND(AP46=1,Slot3_PctLow=1),1,0)+IF(AND(AZ46=1,Slot4_PctLow=1),1,0)+IF(AND(BJ46=1,Slot5_PctLow=1),1,0)+IF(AND(BT46=1,Slot6_PctLow=1),1,0)+IF(AND(CD46=1,Slot7_PctLow=1),1,0)+IF(AND(CN46=1,Slot8_PctLow=1),1,0)+IF(AND(CX46=1,Slot9_PctLow=1),1,0)+IF(AND(DH46=1,Slot10_PctLow=1),1,0)+IF(AND(DR46=1,Slot11_PctLow=1),1,0)+IF(AND(EB46=1,Slot12_PctLow=1),1,0)+IF(AND(EL46=1,Slot13_PctLow=1),1,0)+IF(AND(EV46=1,Slot14_PctLow=1),1,0)+IF(AND(FF46=1,Slot15_PctLow=1),1,0)+IF(AND(FP46=1,Slot16_PctLow=1),1,0)+IF(AND(FZ46=1,Slot17_PctLow=1),1,0)+IF(AND(GJ46=1,Slot18_PctLow=1),1,0)+IF(AND(GT46=1,Slot19_PctLow=1),1,0)+IF(AND(HD46=1,Slot20_PctLow=1),1,0)</f>
        <v>0</v>
      </c>
      <c r="UI46" s="1" t="n">
        <f aca="false">IF(C46=1,IF(OR(TU46=1,UH46&gt;0),1,0),0)</f>
        <v>0</v>
      </c>
    </row>
    <row r="47" customFormat="false" ht="15" hidden="false" customHeight="true" outlineLevel="0" collapsed="false">
      <c r="B47" s="1" t="n">
        <v>39</v>
      </c>
      <c r="C47" s="1" t="n">
        <f aca="false">IF(B47&lt;=F_N,1,0)</f>
        <v>1</v>
      </c>
      <c r="D47" s="1" t="n">
        <f aca="false">'Plan pay &amp; tax'!C273</f>
        <v>39</v>
      </c>
      <c r="E47" s="111" t="n">
        <f aca="false">'Plan pay &amp; tax'!E273</f>
        <v>2.16474476824986</v>
      </c>
      <c r="F47" s="1" t="n">
        <f aca="false">'Plan pay &amp; tax'!G273</f>
        <v>1</v>
      </c>
      <c r="G47" s="1" t="n">
        <f aca="false">'Plan pay &amp; tax'!BT273-'Plan pay &amp; tax'!BS273-'Plan pay &amp; tax'!R273</f>
        <v>0</v>
      </c>
      <c r="H47" s="1" t="n">
        <f aca="false">IF(F47=1,F_CostsM*12,IF(RG_Exists=1,RG_Amount,F_CostsM*12*AS_RetireSpend))*E47+F_OneOffY*E47</f>
        <v>0</v>
      </c>
      <c r="I47" s="1" t="n">
        <f aca="false">HQ46</f>
        <v>0</v>
      </c>
      <c r="J47" s="1" t="n">
        <f aca="false">IF(I47&gt;1,'Plan debt months'!AC47,0)</f>
        <v>0</v>
      </c>
      <c r="K47" s="1" t="n">
        <f aca="false">IF(I47&gt;1,'Plan debt months'!AB47,I47)</f>
        <v>0</v>
      </c>
      <c r="L47" s="1" t="n">
        <f aca="false">N46</f>
        <v>0</v>
      </c>
      <c r="M47" s="1" t="n">
        <f aca="false">IF(L47&gt;1,'Plan debt months'!BD47,0)</f>
        <v>0</v>
      </c>
      <c r="N47" s="1" t="n">
        <f aca="false">IF(L47&gt;1,'Plan debt months'!BC47,L47)</f>
        <v>0</v>
      </c>
      <c r="O47" s="1" t="n">
        <f aca="false">Q46</f>
        <v>0</v>
      </c>
      <c r="P47" s="1" t="n">
        <f aca="false">IF(O47&gt;1,'Plan debt months'!CE47,0)</f>
        <v>0</v>
      </c>
      <c r="Q47" s="1" t="n">
        <f aca="false">IF(O47&gt;1,'Plan debt months'!CD47,O47)</f>
        <v>0</v>
      </c>
      <c r="R47" s="1" t="n">
        <f aca="false">J47+M47+P47</f>
        <v>0</v>
      </c>
      <c r="S47" s="1" t="n">
        <f aca="false">QJ46+'Plan pay &amp; tax'!Y273</f>
        <v>0</v>
      </c>
      <c r="T47" s="1" t="n">
        <f aca="false">QJ46</f>
        <v>0</v>
      </c>
      <c r="U47" s="1" t="n">
        <f aca="false">IF(AND(Slot1_On=1,D47=Slot1_Age),1,0)</f>
        <v>0</v>
      </c>
      <c r="V47" s="1" t="n">
        <f aca="false">IF(AND(Slot1_On=1,Slot1_Age&gt;D47),1,0)</f>
        <v>0</v>
      </c>
      <c r="W47" s="1" t="n">
        <f aca="false">QL46</f>
        <v>0</v>
      </c>
      <c r="X47" s="1" t="n">
        <f aca="false">U47*MIN(Slot1_Cost,W47)</f>
        <v>0</v>
      </c>
      <c r="Y47" s="1" t="n">
        <f aca="false">U47*Slot1_SpendLike*MIN(Slot1_Cost-X47,S47)</f>
        <v>0</v>
      </c>
      <c r="Z47" s="1" t="n">
        <f aca="false">X47+Y47</f>
        <v>0</v>
      </c>
      <c r="AA47" s="1" t="n">
        <f aca="false">S47-Y47+U47*IF(Slot1_SpendLike=1,W47-X47,IF(Slot1_PotFree=1,W47,0))</f>
        <v>0</v>
      </c>
      <c r="AB47" s="1" t="n">
        <f aca="false">AE47+U47*Slot1_BufPot*W47</f>
        <v>0</v>
      </c>
      <c r="AC47" s="1" t="n">
        <f aca="false">IF(AND(U47=1,Slot1_IsMfree=1),IF(Z47&gt;=Slot1_Cost-1,0,MAX(0,K47-Z47)),K47)</f>
        <v>0</v>
      </c>
      <c r="AD47" s="1" t="n">
        <f aca="false">U47*(Slot1_Cost-Z47)</f>
        <v>0</v>
      </c>
      <c r="AE47" s="1" t="n">
        <f aca="false">QK46</f>
        <v>0</v>
      </c>
      <c r="AF47" s="1" t="n">
        <f aca="false">IF(AND(Slot2_On=1,D47=Slot2_Age),1,0)</f>
        <v>0</v>
      </c>
      <c r="AG47" s="1" t="n">
        <f aca="false">IF(AND(Slot2_On=1,Slot2_Age&gt;D47),1,0)</f>
        <v>0</v>
      </c>
      <c r="AH47" s="1" t="n">
        <f aca="false">QP46</f>
        <v>0</v>
      </c>
      <c r="AI47" s="1" t="n">
        <f aca="false">AF47*MIN(Slot2_Cost,AH47)</f>
        <v>0</v>
      </c>
      <c r="AJ47" s="1" t="n">
        <f aca="false">AF47*Slot2_SpendLike*MIN(Slot2_Cost-AI47,AA47)</f>
        <v>0</v>
      </c>
      <c r="AK47" s="1" t="n">
        <f aca="false">AI47+AJ47</f>
        <v>0</v>
      </c>
      <c r="AL47" s="1" t="n">
        <f aca="false">AA47-AJ47+AF47*IF(Slot2_SpendLike=1,AH47-AI47,IF(Slot2_PotFree=1,AH47,0))</f>
        <v>0</v>
      </c>
      <c r="AM47" s="1" t="n">
        <f aca="false">AB47+AF47*Slot2_BufPot*AH47</f>
        <v>0</v>
      </c>
      <c r="AN47" s="1" t="n">
        <f aca="false">IF(AND(AF47=1,Slot2_IsMfree=1),IF(AK47&gt;=Slot2_Cost-1,0,MAX(0,AC47-AK47)),AC47)</f>
        <v>0</v>
      </c>
      <c r="AO47" s="1" t="n">
        <f aca="false">AF47*(Slot2_Cost-AK47)</f>
        <v>0</v>
      </c>
      <c r="AP47" s="1" t="n">
        <f aca="false">IF(AND(Slot3_On=1,D47=Slot3_Age),1,0)</f>
        <v>0</v>
      </c>
      <c r="AQ47" s="1" t="n">
        <f aca="false">IF(AND(Slot3_On=1,Slot3_Age&gt;D47),1,0)</f>
        <v>0</v>
      </c>
      <c r="AR47" s="1" t="n">
        <f aca="false">QT46</f>
        <v>0</v>
      </c>
      <c r="AS47" s="1" t="n">
        <f aca="false">AP47*MIN(Slot3_Cost,AR47)</f>
        <v>0</v>
      </c>
      <c r="AT47" s="1" t="n">
        <f aca="false">AP47*Slot3_SpendLike*MIN(Slot3_Cost-AS47,AL47)</f>
        <v>0</v>
      </c>
      <c r="AU47" s="1" t="n">
        <f aca="false">AS47+AT47</f>
        <v>0</v>
      </c>
      <c r="AV47" s="1" t="n">
        <f aca="false">AL47-AT47+AP47*IF(Slot3_SpendLike=1,AR47-AS47,IF(Slot3_PotFree=1,AR47,0))</f>
        <v>0</v>
      </c>
      <c r="AW47" s="1" t="n">
        <f aca="false">AM47+AP47*Slot3_BufPot*AR47</f>
        <v>0</v>
      </c>
      <c r="AX47" s="1" t="n">
        <f aca="false">IF(AND(AP47=1,Slot3_IsMfree=1),IF(AU47&gt;=Slot3_Cost-1,0,MAX(0,AN47-AU47)),AN47)</f>
        <v>0</v>
      </c>
      <c r="AY47" s="1" t="n">
        <f aca="false">AP47*(Slot3_Cost-AU47)</f>
        <v>0</v>
      </c>
      <c r="AZ47" s="1" t="n">
        <f aca="false">IF(AND(Slot4_On=1,D47=Slot4_Age),1,0)</f>
        <v>0</v>
      </c>
      <c r="BA47" s="1" t="n">
        <f aca="false">IF(AND(Slot4_On=1,Slot4_Age&gt;D47),1,0)</f>
        <v>0</v>
      </c>
      <c r="BB47" s="1" t="n">
        <f aca="false">QX46</f>
        <v>0</v>
      </c>
      <c r="BC47" s="1" t="n">
        <f aca="false">AZ47*MIN(Slot4_Cost,BB47)</f>
        <v>0</v>
      </c>
      <c r="BD47" s="1" t="n">
        <f aca="false">AZ47*Slot4_SpendLike*MIN(Slot4_Cost-BC47,AV47)</f>
        <v>0</v>
      </c>
      <c r="BE47" s="1" t="n">
        <f aca="false">BC47+BD47</f>
        <v>0</v>
      </c>
      <c r="BF47" s="1" t="n">
        <f aca="false">AV47-BD47+AZ47*IF(Slot4_SpendLike=1,BB47-BC47,IF(Slot4_PotFree=1,BB47,0))</f>
        <v>0</v>
      </c>
      <c r="BG47" s="1" t="n">
        <f aca="false">AW47+AZ47*Slot4_BufPot*BB47</f>
        <v>0</v>
      </c>
      <c r="BH47" s="1" t="n">
        <f aca="false">IF(AND(AZ47=1,Slot4_IsMfree=1),IF(BE47&gt;=Slot4_Cost-1,0,MAX(0,AX47-BE47)),AX47)</f>
        <v>0</v>
      </c>
      <c r="BI47" s="1" t="n">
        <f aca="false">AZ47*(Slot4_Cost-BE47)</f>
        <v>0</v>
      </c>
      <c r="BJ47" s="1" t="n">
        <f aca="false">IF(AND(Slot5_On=1,D47=Slot5_Age),1,0)</f>
        <v>0</v>
      </c>
      <c r="BK47" s="1" t="n">
        <f aca="false">IF(AND(Slot5_On=1,Slot5_Age&gt;D47),1,0)</f>
        <v>0</v>
      </c>
      <c r="BL47" s="1" t="n">
        <f aca="false">RB46</f>
        <v>0</v>
      </c>
      <c r="BM47" s="1" t="n">
        <f aca="false">BJ47*MIN(Slot5_Cost,BL47)</f>
        <v>0</v>
      </c>
      <c r="BN47" s="1" t="n">
        <f aca="false">BJ47*Slot5_SpendLike*MIN(Slot5_Cost-BM47,BF47)</f>
        <v>0</v>
      </c>
      <c r="BO47" s="1" t="n">
        <f aca="false">BM47+BN47</f>
        <v>0</v>
      </c>
      <c r="BP47" s="1" t="n">
        <f aca="false">BF47-BN47+BJ47*IF(Slot5_SpendLike=1,BL47-BM47,IF(Slot5_PotFree=1,BL47,0))</f>
        <v>0</v>
      </c>
      <c r="BQ47" s="1" t="n">
        <f aca="false">BG47+BJ47*Slot5_BufPot*BL47</f>
        <v>0</v>
      </c>
      <c r="BR47" s="1" t="n">
        <f aca="false">IF(AND(BJ47=1,Slot5_IsMfree=1),IF(BO47&gt;=Slot5_Cost-1,0,MAX(0,BH47-BO47)),BH47)</f>
        <v>0</v>
      </c>
      <c r="BS47" s="1" t="n">
        <f aca="false">BJ47*(Slot5_Cost-BO47)</f>
        <v>0</v>
      </c>
      <c r="BT47" s="1" t="n">
        <f aca="false">IF(AND(Slot6_On=1,D47=Slot6_Age),1,0)</f>
        <v>0</v>
      </c>
      <c r="BU47" s="1" t="n">
        <f aca="false">IF(AND(Slot6_On=1,Slot6_Age&gt;D47),1,0)</f>
        <v>0</v>
      </c>
      <c r="BV47" s="1" t="n">
        <f aca="false">RF46</f>
        <v>0</v>
      </c>
      <c r="BW47" s="1" t="n">
        <f aca="false">BT47*MIN(Slot6_Cost,BV47)</f>
        <v>0</v>
      </c>
      <c r="BX47" s="1" t="n">
        <f aca="false">BT47*Slot6_SpendLike*MIN(Slot6_Cost-BW47,BP47)</f>
        <v>0</v>
      </c>
      <c r="BY47" s="1" t="n">
        <f aca="false">BW47+BX47</f>
        <v>0</v>
      </c>
      <c r="BZ47" s="1" t="n">
        <f aca="false">BP47-BX47+BT47*IF(Slot6_SpendLike=1,BV47-BW47,IF(Slot6_PotFree=1,BV47,0))</f>
        <v>0</v>
      </c>
      <c r="CA47" s="1" t="n">
        <f aca="false">BQ47+BT47*Slot6_BufPot*BV47</f>
        <v>0</v>
      </c>
      <c r="CB47" s="1" t="n">
        <f aca="false">IF(AND(BT47=1,Slot6_IsMfree=1),IF(BY47&gt;=Slot6_Cost-1,0,MAX(0,BR47-BY47)),BR47)</f>
        <v>0</v>
      </c>
      <c r="CC47" s="1" t="n">
        <f aca="false">BT47*(Slot6_Cost-BY47)</f>
        <v>0</v>
      </c>
      <c r="CD47" s="1" t="n">
        <f aca="false">IF(AND(Slot7_On=1,D47=Slot7_Age),1,0)</f>
        <v>0</v>
      </c>
      <c r="CE47" s="1" t="n">
        <f aca="false">IF(AND(Slot7_On=1,Slot7_Age&gt;D47),1,0)</f>
        <v>0</v>
      </c>
      <c r="CF47" s="1" t="n">
        <f aca="false">RJ46</f>
        <v>0</v>
      </c>
      <c r="CG47" s="1" t="n">
        <f aca="false">CD47*MIN(Slot7_Cost,CF47)</f>
        <v>0</v>
      </c>
      <c r="CH47" s="1" t="n">
        <f aca="false">CD47*Slot7_SpendLike*MIN(Slot7_Cost-CG47,BZ47)</f>
        <v>0</v>
      </c>
      <c r="CI47" s="1" t="n">
        <f aca="false">CG47+CH47</f>
        <v>0</v>
      </c>
      <c r="CJ47" s="1" t="n">
        <f aca="false">BZ47-CH47+CD47*IF(Slot7_SpendLike=1,CF47-CG47,IF(Slot7_PotFree=1,CF47,0))</f>
        <v>0</v>
      </c>
      <c r="CK47" s="1" t="n">
        <f aca="false">CA47+CD47*Slot7_BufPot*CF47</f>
        <v>0</v>
      </c>
      <c r="CL47" s="1" t="n">
        <f aca="false">IF(AND(CD47=1,Slot7_IsMfree=1),IF(CI47&gt;=Slot7_Cost-1,0,MAX(0,CB47-CI47)),CB47)</f>
        <v>0</v>
      </c>
      <c r="CM47" s="1" t="n">
        <f aca="false">CD47*(Slot7_Cost-CI47)</f>
        <v>0</v>
      </c>
      <c r="CN47" s="1" t="n">
        <f aca="false">IF(AND(Slot8_On=1,D47=Slot8_Age),1,0)</f>
        <v>0</v>
      </c>
      <c r="CO47" s="1" t="n">
        <f aca="false">IF(AND(Slot8_On=1,Slot8_Age&gt;D47),1,0)</f>
        <v>0</v>
      </c>
      <c r="CP47" s="1" t="n">
        <f aca="false">RN46</f>
        <v>0</v>
      </c>
      <c r="CQ47" s="1" t="n">
        <f aca="false">CN47*MIN(Slot8_Cost,CP47)</f>
        <v>0</v>
      </c>
      <c r="CR47" s="1" t="n">
        <f aca="false">CN47*Slot8_SpendLike*MIN(Slot8_Cost-CQ47,CJ47)</f>
        <v>0</v>
      </c>
      <c r="CS47" s="1" t="n">
        <f aca="false">CQ47+CR47</f>
        <v>0</v>
      </c>
      <c r="CT47" s="1" t="n">
        <f aca="false">CJ47-CR47+CN47*IF(Slot8_SpendLike=1,CP47-CQ47,IF(Slot8_PotFree=1,CP47,0))</f>
        <v>0</v>
      </c>
      <c r="CU47" s="1" t="n">
        <f aca="false">CK47+CN47*Slot8_BufPot*CP47</f>
        <v>0</v>
      </c>
      <c r="CV47" s="1" t="n">
        <f aca="false">IF(AND(CN47=1,Slot8_IsMfree=1),IF(CS47&gt;=Slot8_Cost-1,0,MAX(0,CL47-CS47)),CL47)</f>
        <v>0</v>
      </c>
      <c r="CW47" s="1" t="n">
        <f aca="false">CN47*(Slot8_Cost-CS47)</f>
        <v>0</v>
      </c>
      <c r="CX47" s="1" t="n">
        <f aca="false">IF(AND(Slot9_On=1,D47=Slot9_Age),1,0)</f>
        <v>0</v>
      </c>
      <c r="CY47" s="1" t="n">
        <f aca="false">IF(AND(Slot9_On=1,Slot9_Age&gt;D47),1,0)</f>
        <v>0</v>
      </c>
      <c r="CZ47" s="1" t="n">
        <f aca="false">RR46</f>
        <v>0</v>
      </c>
      <c r="DA47" s="1" t="n">
        <f aca="false">CX47*MIN(Slot9_Cost,CZ47)</f>
        <v>0</v>
      </c>
      <c r="DB47" s="1" t="n">
        <f aca="false">CX47*Slot9_SpendLike*MIN(Slot9_Cost-DA47,CT47)</f>
        <v>0</v>
      </c>
      <c r="DC47" s="1" t="n">
        <f aca="false">DA47+DB47</f>
        <v>0</v>
      </c>
      <c r="DD47" s="1" t="n">
        <f aca="false">CT47-DB47+CX47*IF(Slot9_SpendLike=1,CZ47-DA47,IF(Slot9_PotFree=1,CZ47,0))</f>
        <v>0</v>
      </c>
      <c r="DE47" s="1" t="n">
        <f aca="false">CU47+CX47*Slot9_BufPot*CZ47</f>
        <v>0</v>
      </c>
      <c r="DF47" s="1" t="n">
        <f aca="false">IF(AND(CX47=1,Slot9_IsMfree=1),IF(DC47&gt;=Slot9_Cost-1,0,MAX(0,CV47-DC47)),CV47)</f>
        <v>0</v>
      </c>
      <c r="DG47" s="1" t="n">
        <f aca="false">CX47*(Slot9_Cost-DC47)</f>
        <v>0</v>
      </c>
      <c r="DH47" s="1" t="n">
        <f aca="false">IF(AND(Slot10_On=1,D47=Slot10_Age),1,0)</f>
        <v>0</v>
      </c>
      <c r="DI47" s="1" t="n">
        <f aca="false">IF(AND(Slot10_On=1,Slot10_Age&gt;D47),1,0)</f>
        <v>0</v>
      </c>
      <c r="DJ47" s="1" t="n">
        <f aca="false">RV46</f>
        <v>0</v>
      </c>
      <c r="DK47" s="1" t="n">
        <f aca="false">DH47*MIN(Slot10_Cost,DJ47)</f>
        <v>0</v>
      </c>
      <c r="DL47" s="1" t="n">
        <f aca="false">DH47*Slot10_SpendLike*MIN(Slot10_Cost-DK47,DD47)</f>
        <v>0</v>
      </c>
      <c r="DM47" s="1" t="n">
        <f aca="false">DK47+DL47</f>
        <v>0</v>
      </c>
      <c r="DN47" s="1" t="n">
        <f aca="false">DD47-DL47+DH47*IF(Slot10_SpendLike=1,DJ47-DK47,IF(Slot10_PotFree=1,DJ47,0))</f>
        <v>0</v>
      </c>
      <c r="DO47" s="1" t="n">
        <f aca="false">DE47+DH47*Slot10_BufPot*DJ47</f>
        <v>0</v>
      </c>
      <c r="DP47" s="1" t="n">
        <f aca="false">IF(AND(DH47=1,Slot10_IsMfree=1),IF(DM47&gt;=Slot10_Cost-1,0,MAX(0,DF47-DM47)),DF47)</f>
        <v>0</v>
      </c>
      <c r="DQ47" s="1" t="n">
        <f aca="false">DH47*(Slot10_Cost-DM47)</f>
        <v>0</v>
      </c>
      <c r="DR47" s="1" t="n">
        <f aca="false">IF(AND(Slot11_On=1,D47=Slot11_Age),1,0)</f>
        <v>0</v>
      </c>
      <c r="DS47" s="1" t="n">
        <f aca="false">IF(AND(Slot11_On=1,Slot11_Age&gt;D47),1,0)</f>
        <v>0</v>
      </c>
      <c r="DT47" s="1" t="n">
        <f aca="false">RZ46</f>
        <v>0</v>
      </c>
      <c r="DU47" s="1" t="n">
        <f aca="false">DR47*MIN(Slot11_Cost,DT47)</f>
        <v>0</v>
      </c>
      <c r="DV47" s="1" t="n">
        <f aca="false">DR47*Slot11_SpendLike*MIN(Slot11_Cost-DU47,DN47)</f>
        <v>0</v>
      </c>
      <c r="DW47" s="1" t="n">
        <f aca="false">DU47+DV47</f>
        <v>0</v>
      </c>
      <c r="DX47" s="1" t="n">
        <f aca="false">DN47-DV47+DR47*IF(Slot11_SpendLike=1,DT47-DU47,IF(Slot11_PotFree=1,DT47,0))</f>
        <v>0</v>
      </c>
      <c r="DY47" s="1" t="n">
        <f aca="false">DO47+DR47*Slot11_BufPot*DT47</f>
        <v>0</v>
      </c>
      <c r="DZ47" s="1" t="n">
        <f aca="false">IF(AND(DR47=1,Slot11_IsMfree=1),IF(DW47&gt;=Slot11_Cost-1,0,MAX(0,DP47-DW47)),DP47)</f>
        <v>0</v>
      </c>
      <c r="EA47" s="1" t="n">
        <f aca="false">DR47*(Slot11_Cost-DW47)</f>
        <v>0</v>
      </c>
      <c r="EB47" s="1" t="n">
        <f aca="false">IF(AND(Slot12_On=1,D47=Slot12_Age),1,0)</f>
        <v>0</v>
      </c>
      <c r="EC47" s="1" t="n">
        <f aca="false">IF(AND(Slot12_On=1,Slot12_Age&gt;D47),1,0)</f>
        <v>0</v>
      </c>
      <c r="ED47" s="1" t="n">
        <f aca="false">SD46</f>
        <v>0</v>
      </c>
      <c r="EE47" s="1" t="n">
        <f aca="false">EB47*MIN(Slot12_Cost,ED47)</f>
        <v>0</v>
      </c>
      <c r="EF47" s="1" t="n">
        <f aca="false">EB47*Slot12_SpendLike*MIN(Slot12_Cost-EE47,DX47)</f>
        <v>0</v>
      </c>
      <c r="EG47" s="1" t="n">
        <f aca="false">EE47+EF47</f>
        <v>0</v>
      </c>
      <c r="EH47" s="1" t="n">
        <f aca="false">DX47-EF47+EB47*IF(Slot12_SpendLike=1,ED47-EE47,IF(Slot12_PotFree=1,ED47,0))</f>
        <v>0</v>
      </c>
      <c r="EI47" s="1" t="n">
        <f aca="false">DY47+EB47*Slot12_BufPot*ED47</f>
        <v>0</v>
      </c>
      <c r="EJ47" s="1" t="n">
        <f aca="false">IF(AND(EB47=1,Slot12_IsMfree=1),IF(EG47&gt;=Slot12_Cost-1,0,MAX(0,DZ47-EG47)),DZ47)</f>
        <v>0</v>
      </c>
      <c r="EK47" s="1" t="n">
        <f aca="false">EB47*(Slot12_Cost-EG47)</f>
        <v>0</v>
      </c>
      <c r="EL47" s="1" t="n">
        <f aca="false">IF(AND(Slot13_On=1,D47=Slot13_Age),1,0)</f>
        <v>0</v>
      </c>
      <c r="EM47" s="1" t="n">
        <f aca="false">IF(AND(Slot13_On=1,Slot13_Age&gt;D47),1,0)</f>
        <v>0</v>
      </c>
      <c r="EN47" s="1" t="n">
        <f aca="false">SH46</f>
        <v>0</v>
      </c>
      <c r="EO47" s="1" t="n">
        <f aca="false">EL47*MIN(Slot13_Cost,EN47)</f>
        <v>0</v>
      </c>
      <c r="EP47" s="1" t="n">
        <f aca="false">EL47*Slot13_SpendLike*MIN(Slot13_Cost-EO47,EH47)</f>
        <v>0</v>
      </c>
      <c r="EQ47" s="1" t="n">
        <f aca="false">EO47+EP47</f>
        <v>0</v>
      </c>
      <c r="ER47" s="1" t="n">
        <f aca="false">EH47-EP47+EL47*IF(Slot13_SpendLike=1,EN47-EO47,IF(Slot13_PotFree=1,EN47,0))</f>
        <v>0</v>
      </c>
      <c r="ES47" s="1" t="n">
        <f aca="false">EI47+EL47*Slot13_BufPot*EN47</f>
        <v>0</v>
      </c>
      <c r="ET47" s="1" t="n">
        <f aca="false">IF(AND(EL47=1,Slot13_IsMfree=1),IF(EQ47&gt;=Slot13_Cost-1,0,MAX(0,EJ47-EQ47)),EJ47)</f>
        <v>0</v>
      </c>
      <c r="EU47" s="1" t="n">
        <f aca="false">EL47*(Slot13_Cost-EQ47)</f>
        <v>0</v>
      </c>
      <c r="EV47" s="1" t="n">
        <f aca="false">IF(AND(Slot14_On=1,D47=Slot14_Age),1,0)</f>
        <v>0</v>
      </c>
      <c r="EW47" s="1" t="n">
        <f aca="false">IF(AND(Slot14_On=1,Slot14_Age&gt;D47),1,0)</f>
        <v>0</v>
      </c>
      <c r="EX47" s="1" t="n">
        <f aca="false">SL46</f>
        <v>0</v>
      </c>
      <c r="EY47" s="1" t="n">
        <f aca="false">EV47*MIN(Slot14_Cost,EX47)</f>
        <v>0</v>
      </c>
      <c r="EZ47" s="1" t="n">
        <f aca="false">EV47*Slot14_SpendLike*MIN(Slot14_Cost-EY47,ER47)</f>
        <v>0</v>
      </c>
      <c r="FA47" s="1" t="n">
        <f aca="false">EY47+EZ47</f>
        <v>0</v>
      </c>
      <c r="FB47" s="1" t="n">
        <f aca="false">ER47-EZ47+EV47*IF(Slot14_SpendLike=1,EX47-EY47,IF(Slot14_PotFree=1,EX47,0))</f>
        <v>0</v>
      </c>
      <c r="FC47" s="1" t="n">
        <f aca="false">ES47+EV47*Slot14_BufPot*EX47</f>
        <v>0</v>
      </c>
      <c r="FD47" s="1" t="n">
        <f aca="false">IF(AND(EV47=1,Slot14_IsMfree=1),IF(FA47&gt;=Slot14_Cost-1,0,MAX(0,ET47-FA47)),ET47)</f>
        <v>0</v>
      </c>
      <c r="FE47" s="1" t="n">
        <f aca="false">EV47*(Slot14_Cost-FA47)</f>
        <v>0</v>
      </c>
      <c r="FF47" s="1" t="n">
        <f aca="false">IF(AND(Slot15_On=1,D47=Slot15_Age),1,0)</f>
        <v>0</v>
      </c>
      <c r="FG47" s="1" t="n">
        <f aca="false">IF(AND(Slot15_On=1,Slot15_Age&gt;D47),1,0)</f>
        <v>0</v>
      </c>
      <c r="FH47" s="1" t="n">
        <f aca="false">SP46</f>
        <v>0</v>
      </c>
      <c r="FI47" s="1" t="n">
        <f aca="false">FF47*MIN(Slot15_Cost,FH47)</f>
        <v>0</v>
      </c>
      <c r="FJ47" s="1" t="n">
        <f aca="false">FF47*Slot15_SpendLike*MIN(Slot15_Cost-FI47,FB47)</f>
        <v>0</v>
      </c>
      <c r="FK47" s="1" t="n">
        <f aca="false">FI47+FJ47</f>
        <v>0</v>
      </c>
      <c r="FL47" s="1" t="n">
        <f aca="false">FB47-FJ47+FF47*IF(Slot15_SpendLike=1,FH47-FI47,IF(Slot15_PotFree=1,FH47,0))</f>
        <v>0</v>
      </c>
      <c r="FM47" s="1" t="n">
        <f aca="false">FC47+FF47*Slot15_BufPot*FH47</f>
        <v>0</v>
      </c>
      <c r="FN47" s="1" t="n">
        <f aca="false">IF(AND(FF47=1,Slot15_IsMfree=1),IF(FK47&gt;=Slot15_Cost-1,0,MAX(0,FD47-FK47)),FD47)</f>
        <v>0</v>
      </c>
      <c r="FO47" s="1" t="n">
        <f aca="false">FF47*(Slot15_Cost-FK47)</f>
        <v>0</v>
      </c>
      <c r="FP47" s="1" t="n">
        <f aca="false">IF(AND(Slot16_On=1,D47=Slot16_Age),1,0)</f>
        <v>0</v>
      </c>
      <c r="FQ47" s="1" t="n">
        <f aca="false">IF(AND(Slot16_On=1,Slot16_Age&gt;D47),1,0)</f>
        <v>0</v>
      </c>
      <c r="FR47" s="1" t="n">
        <f aca="false">ST46</f>
        <v>0</v>
      </c>
      <c r="FS47" s="1" t="n">
        <f aca="false">FP47*MIN(Slot16_Cost,FR47)</f>
        <v>0</v>
      </c>
      <c r="FT47" s="1" t="n">
        <f aca="false">FP47*Slot16_SpendLike*MIN(Slot16_Cost-FS47,FL47)</f>
        <v>0</v>
      </c>
      <c r="FU47" s="1" t="n">
        <f aca="false">FS47+FT47</f>
        <v>0</v>
      </c>
      <c r="FV47" s="1" t="n">
        <f aca="false">FL47-FT47+FP47*IF(Slot16_SpendLike=1,FR47-FS47,IF(Slot16_PotFree=1,FR47,0))</f>
        <v>0</v>
      </c>
      <c r="FW47" s="1" t="n">
        <f aca="false">FM47+FP47*Slot16_BufPot*FR47</f>
        <v>0</v>
      </c>
      <c r="FX47" s="1" t="n">
        <f aca="false">IF(AND(FP47=1,Slot16_IsMfree=1),IF(FU47&gt;=Slot16_Cost-1,0,MAX(0,FN47-FU47)),FN47)</f>
        <v>0</v>
      </c>
      <c r="FY47" s="1" t="n">
        <f aca="false">FP47*(Slot16_Cost-FU47)</f>
        <v>0</v>
      </c>
      <c r="FZ47" s="1" t="n">
        <f aca="false">IF(AND(Slot17_On=1,D47=Slot17_Age),1,0)</f>
        <v>0</v>
      </c>
      <c r="GA47" s="1" t="n">
        <f aca="false">IF(AND(Slot17_On=1,Slot17_Age&gt;D47),1,0)</f>
        <v>0</v>
      </c>
      <c r="GB47" s="1" t="n">
        <f aca="false">SX46</f>
        <v>0</v>
      </c>
      <c r="GC47" s="1" t="n">
        <f aca="false">FZ47*MIN(Slot17_Cost,GB47)</f>
        <v>0</v>
      </c>
      <c r="GD47" s="1" t="n">
        <f aca="false">FZ47*Slot17_SpendLike*MIN(Slot17_Cost-GC47,FV47)</f>
        <v>0</v>
      </c>
      <c r="GE47" s="1" t="n">
        <f aca="false">GC47+GD47</f>
        <v>0</v>
      </c>
      <c r="GF47" s="1" t="n">
        <f aca="false">FV47-GD47+FZ47*IF(Slot17_SpendLike=1,GB47-GC47,IF(Slot17_PotFree=1,GB47,0))</f>
        <v>0</v>
      </c>
      <c r="GG47" s="1" t="n">
        <f aca="false">FW47+FZ47*Slot17_BufPot*GB47</f>
        <v>0</v>
      </c>
      <c r="GH47" s="1" t="n">
        <f aca="false">IF(AND(FZ47=1,Slot17_IsMfree=1),IF(GE47&gt;=Slot17_Cost-1,0,MAX(0,FX47-GE47)),FX47)</f>
        <v>0</v>
      </c>
      <c r="GI47" s="1" t="n">
        <f aca="false">FZ47*(Slot17_Cost-GE47)</f>
        <v>0</v>
      </c>
      <c r="GJ47" s="1" t="n">
        <f aca="false">IF(AND(Slot18_On=1,D47=Slot18_Age),1,0)</f>
        <v>0</v>
      </c>
      <c r="GK47" s="1" t="n">
        <f aca="false">IF(AND(Slot18_On=1,Slot18_Age&gt;D47),1,0)</f>
        <v>0</v>
      </c>
      <c r="GL47" s="1" t="n">
        <f aca="false">TB46</f>
        <v>0</v>
      </c>
      <c r="GM47" s="1" t="n">
        <f aca="false">GJ47*MIN(Slot18_Cost,GL47)</f>
        <v>0</v>
      </c>
      <c r="GN47" s="1" t="n">
        <f aca="false">GJ47*Slot18_SpendLike*MIN(Slot18_Cost-GM47,GF47)</f>
        <v>0</v>
      </c>
      <c r="GO47" s="1" t="n">
        <f aca="false">GM47+GN47</f>
        <v>0</v>
      </c>
      <c r="GP47" s="1" t="n">
        <f aca="false">GF47-GN47+GJ47*IF(Slot18_SpendLike=1,GL47-GM47,IF(Slot18_PotFree=1,GL47,0))</f>
        <v>0</v>
      </c>
      <c r="GQ47" s="1" t="n">
        <f aca="false">GG47+GJ47*Slot18_BufPot*GL47</f>
        <v>0</v>
      </c>
      <c r="GR47" s="1" t="n">
        <f aca="false">IF(AND(GJ47=1,Slot18_IsMfree=1),IF(GO47&gt;=Slot18_Cost-1,0,MAX(0,GH47-GO47)),GH47)</f>
        <v>0</v>
      </c>
      <c r="GS47" s="1" t="n">
        <f aca="false">GJ47*(Slot18_Cost-GO47)</f>
        <v>0</v>
      </c>
      <c r="GT47" s="1" t="n">
        <f aca="false">IF(AND(Slot19_On=1,D47=Slot19_Age),1,0)</f>
        <v>0</v>
      </c>
      <c r="GU47" s="1" t="n">
        <f aca="false">IF(AND(Slot19_On=1,Slot19_Age&gt;D47),1,0)</f>
        <v>0</v>
      </c>
      <c r="GV47" s="1" t="n">
        <f aca="false">TF46</f>
        <v>0</v>
      </c>
      <c r="GW47" s="1" t="n">
        <f aca="false">GT47*MIN(Slot19_Cost,GV47)</f>
        <v>0</v>
      </c>
      <c r="GX47" s="1" t="n">
        <f aca="false">GT47*Slot19_SpendLike*MIN(Slot19_Cost-GW47,GP47)</f>
        <v>0</v>
      </c>
      <c r="GY47" s="1" t="n">
        <f aca="false">GW47+GX47</f>
        <v>0</v>
      </c>
      <c r="GZ47" s="1" t="n">
        <f aca="false">GP47-GX47+GT47*IF(Slot19_SpendLike=1,GV47-GW47,IF(Slot19_PotFree=1,GV47,0))</f>
        <v>0</v>
      </c>
      <c r="HA47" s="1" t="n">
        <f aca="false">GQ47+GT47*Slot19_BufPot*GV47</f>
        <v>0</v>
      </c>
      <c r="HB47" s="1" t="n">
        <f aca="false">IF(AND(GT47=1,Slot19_IsMfree=1),IF(GY47&gt;=Slot19_Cost-1,0,MAX(0,GR47-GY47)),GR47)</f>
        <v>0</v>
      </c>
      <c r="HC47" s="1" t="n">
        <f aca="false">GT47*(Slot19_Cost-GY47)</f>
        <v>0</v>
      </c>
      <c r="HD47" s="1" t="n">
        <f aca="false">IF(AND(Slot20_On=1,D47=Slot20_Age),1,0)</f>
        <v>0</v>
      </c>
      <c r="HE47" s="1" t="n">
        <f aca="false">IF(AND(Slot20_On=1,Slot20_Age&gt;D47),1,0)</f>
        <v>0</v>
      </c>
      <c r="HF47" s="1" t="n">
        <f aca="false">TJ46</f>
        <v>0</v>
      </c>
      <c r="HG47" s="1" t="n">
        <f aca="false">HD47*MIN(Slot20_Cost,HF47)</f>
        <v>0</v>
      </c>
      <c r="HH47" s="1" t="n">
        <f aca="false">HD47*Slot20_SpendLike*MIN(Slot20_Cost-HG47,GZ47)</f>
        <v>0</v>
      </c>
      <c r="HI47" s="1" t="n">
        <f aca="false">HG47+HH47</f>
        <v>0</v>
      </c>
      <c r="HJ47" s="1" t="n">
        <f aca="false">GZ47-HH47+HD47*IF(Slot20_SpendLike=1,HF47-HG47,IF(Slot20_PotFree=1,HF47,0))</f>
        <v>0</v>
      </c>
      <c r="HK47" s="1" t="n">
        <f aca="false">HA47+HD47*Slot20_BufPot*HF47</f>
        <v>0</v>
      </c>
      <c r="HL47" s="1" t="n">
        <f aca="false">IF(AND(HD47=1,Slot20_IsMfree=1),IF(HI47&gt;=Slot20_Cost-1,0,MAX(0,HB47-HI47)),HB47)</f>
        <v>0</v>
      </c>
      <c r="HM47" s="1" t="n">
        <f aca="false">HD47*(Slot20_Cost-HI47)</f>
        <v>0</v>
      </c>
      <c r="HN47" s="1" t="n">
        <f aca="false">U47*Slot1_SpendLike*Z47+AF47*Slot2_SpendLike*AK47+AP47*Slot3_SpendLike*AU47+AZ47*Slot4_SpendLike*BE47+BJ47*Slot5_SpendLike*BO47+BT47*Slot6_SpendLike*BY47+CD47*Slot7_SpendLike*CI47+CN47*Slot8_SpendLike*CS47+CX47*Slot9_SpendLike*DC47+DH47*Slot10_SpendLike*DM47+DR47*Slot11_SpendLike*DW47+EB47*Slot12_SpendLike*EG47+EL47*Slot13_SpendLike*EQ47+EV47*Slot14_SpendLike*FA47+FF47*Slot15_SpendLike*FK47+FP47*Slot16_SpendLike*FU47+FZ47*Slot17_SpendLike*GE47+GJ47*Slot18_SpendLike*GO47+GT47*Slot19_SpendLike*GY47+HD47*Slot20_SpendLike*HI47</f>
        <v>0</v>
      </c>
      <c r="HO47" s="1" t="n">
        <f aca="false">AD47+AO47+AY47+BI47+BS47+CC47+CM47+CW47+DG47+DQ47+EA47+EK47+EU47+FE47+FO47+FY47+GI47+GS47+HC47+HM47</f>
        <v>0</v>
      </c>
      <c r="HP47" s="1" t="n">
        <f aca="false">U47*Slot1_Cost+AF47*Slot2_Cost+AP47*Slot3_Cost+AZ47*Slot4_Cost+BJ47*Slot5_Cost+BT47*Slot6_Cost+CD47*Slot7_Cost+CN47*Slot8_Cost+CX47*Slot9_Cost+DH47*Slot10_Cost+DR47*Slot11_Cost+EB47*Slot12_Cost+EL47*Slot13_Cost+EV47*Slot14_Cost+FF47*Slot15_Cost+FP47*Slot16_Cost+FZ47*Slot17_Cost+GJ47*Slot18_Cost+GT47*Slot19_Cost+HD47*Slot20_Cost</f>
        <v>0</v>
      </c>
      <c r="HQ47" s="1" t="n">
        <f aca="false">HL47</f>
        <v>0</v>
      </c>
      <c r="HR47" s="1" t="n">
        <f aca="false">G47-H47-R47</f>
        <v>0</v>
      </c>
      <c r="HS47" s="1" t="n">
        <f aca="false">IF(B47=0,IF(AND(Has_q6=1,In_q6=4),PR_ShareVaries*(MAX(0,HR47)/12),MIN(IF(Has_q6=1,CHOOSE(In_q6+1,PR_SaveB1,PR_SaveB2,PR_SaveB3,PR_SaveB4,0),AS_NoAnswer),AS_SaveShare*(MAX(0,HR47)/12))),HS46)</f>
        <v>0</v>
      </c>
      <c r="HT47" s="1" t="n">
        <f aca="false">IF(HR47&gt;=0,1,0)</f>
        <v>1</v>
      </c>
      <c r="HU47" s="1" t="n">
        <f aca="false">MAX(0,HR47/12/E47)</f>
        <v>0</v>
      </c>
      <c r="HV47" s="1" t="n">
        <f aca="false">IF(AND(Has_q6=1,In_q6=4),PR_ShareVaries*(HU47),MIN(IF(Has_q6=1,CHOOSE(In_q6+1,PR_SaveB1,PR_SaveB2,PR_SaveB3,PR_SaveB4,0),AS_NoAnswer),AS_SaveShare*(HU47)))</f>
        <v>0</v>
      </c>
      <c r="HW47" s="1" t="n">
        <f aca="false">IF(Has_saveM=1,IF(In_saveUp="Yes",1,IF(In_saveUp="No",0,IF(In_saveM&gt;=HS47-0.5,1,0))),0)</f>
        <v>0</v>
      </c>
      <c r="HX47" s="1" t="n">
        <f aca="false">IF(Has_saveM=1,MIN(HU47,IF(HW47=1,MAX(In_saveM,HV47),MIN(In_saveM,HV47))),HV47)</f>
        <v>0</v>
      </c>
      <c r="HY47" s="1" t="n">
        <f aca="false">IF(F47=1,HX47*12*E47,0)</f>
        <v>0</v>
      </c>
      <c r="HZ47" s="1" t="n">
        <f aca="false">MAX(0,HY47+IF(AND(WI_Retire=0,WI_M&lt;0,F47=1),WI_M*12*E47,0))</f>
        <v>0</v>
      </c>
      <c r="IA47" s="1" t="n">
        <f aca="false">Slot1_IsWG*V47+Slot2_IsWG*AG47+Slot3_IsWG*AQ47+Slot4_IsWG*BA47+Slot5_IsWG*BK47+Slot6_IsWG*BU47+Slot7_IsWG*CE47+Slot8_IsWG*CO47+Slot9_IsWG*CY47+Slot10_IsWG*DI47+Slot11_IsWG*DS47+Slot12_IsWG*EC47+Slot13_IsWG*EM47+Slot14_IsWG*EW47+Slot15_IsWG*FG47+Slot16_IsWG*FQ47+Slot17_IsWG*GA47+Slot18_IsWG*GK47+Slot19_IsWG*GU47+Slot20_IsWG*HE47</f>
        <v>0</v>
      </c>
      <c r="IB47" s="1" t="n">
        <f aca="false">IF(AND(WI_Retire=0,WI_M&gt;0,F47=1,IA47&gt;=1),WI_M*12*E47,0)</f>
        <v>0</v>
      </c>
      <c r="IC47" s="1" t="n">
        <f aca="false">IF(HT47=1,MIN(HZ47,HR47),0)</f>
        <v>0</v>
      </c>
      <c r="ID47" s="1" t="n">
        <f aca="false">IF(HT47=1,MIN(IB47,HR47-IC47),0)</f>
        <v>0</v>
      </c>
      <c r="IE47" s="1" t="n">
        <f aca="false">IF(V47=1,IF(ABS((1+AS_Wage)/(1+Slot1_Rate)-1)&lt;0.000000000001,(Slot1_Age-D47)*(1+Slot1_Rate)^(Slot1_Age-D47),(1+Slot1_Rate)^(Slot1_Age-D47)*(1-((1+AS_Wage)/(1+Slot1_Rate))^(Slot1_Age-D47))/(1-(1+AS_Wage)/(1+Slot1_Rate))),1)</f>
        <v>1</v>
      </c>
      <c r="IF47" s="1" t="n">
        <f aca="false">IF(AND(HT47=1,ID47&gt;0,Slot1_IsWG=1,V47=1),MAX(0,(Slot1_Cost-W47*(1+Slot1_Rate)^(Slot1_Age-D47))/IE47),0)</f>
        <v>0</v>
      </c>
      <c r="IG47" s="1" t="n">
        <f aca="false">IF(AND(HT47=1,ID47&gt;0,Slot1_IsWG=1,V47=1),MIN(ID47,IF47),0)</f>
        <v>0</v>
      </c>
      <c r="IH47" s="1" t="n">
        <f aca="false">W47+IG47</f>
        <v>0</v>
      </c>
      <c r="II47" s="1" t="n">
        <f aca="false">IF(V47=1,MAX(0,(Slot1_Cost-IH47*(1+Slot1_Rate)^(Slot1_Age-D47))/IE47),0)</f>
        <v>0</v>
      </c>
      <c r="IJ47" s="1" t="n">
        <f aca="false">IF(V47=1,MAX(0,(Slot1_Cost-W47*(1+Slot1_Rate)^(Slot1_Age-D47))/IE47),0)</f>
        <v>0</v>
      </c>
      <c r="IK47" s="1" t="n">
        <f aca="false">IF(AND(HT47=1,V47=1),MIN(IC47,II47),0)</f>
        <v>0</v>
      </c>
      <c r="IL47" s="1" t="n">
        <f aca="false">IC47-IK47</f>
        <v>0</v>
      </c>
      <c r="IM47" s="1" t="n">
        <f aca="false">IF(AG47=1,IF(ABS((1+AS_Wage)/(1+Slot2_Rate)-1)&lt;0.000000000001,(Slot2_Age-D47)*(1+Slot2_Rate)^(Slot2_Age-D47),(1+Slot2_Rate)^(Slot2_Age-D47)*(1-((1+AS_Wage)/(1+Slot2_Rate))^(Slot2_Age-D47))/(1-(1+AS_Wage)/(1+Slot2_Rate))),1)</f>
        <v>1</v>
      </c>
      <c r="IN47" s="1" t="n">
        <f aca="false">IF(AND(HT47=1,ID47&gt;0,Slot2_IsWG=1,AG47=1),MAX(0,(Slot2_Cost-AH47*(1+Slot2_Rate)^(Slot2_Age-D47))/IM47),0)</f>
        <v>0</v>
      </c>
      <c r="IO47" s="1" t="n">
        <f aca="false">IF(AND(HT47=1,ID47&gt;0,Slot2_IsWG=1,AG47=1),MIN(ID47,IN47),0)</f>
        <v>0</v>
      </c>
      <c r="IP47" s="1" t="n">
        <f aca="false">AH47+IO47</f>
        <v>0</v>
      </c>
      <c r="IQ47" s="1" t="n">
        <f aca="false">IF(AG47=1,MAX(0,(Slot2_Cost-IP47*(1+Slot2_Rate)^(Slot2_Age-D47))/IM47),0)</f>
        <v>0</v>
      </c>
      <c r="IR47" s="1" t="n">
        <f aca="false">IF(AG47=1,MAX(0,(Slot2_Cost-AH47*(1+Slot2_Rate)^(Slot2_Age-D47))/IM47),0)</f>
        <v>0</v>
      </c>
      <c r="IS47" s="1" t="n">
        <f aca="false">IF(AND(HT47=1,AG47=1),MIN(IL47,IQ47),0)</f>
        <v>0</v>
      </c>
      <c r="IT47" s="1" t="n">
        <f aca="false">IL47-IS47</f>
        <v>0</v>
      </c>
      <c r="IU47" s="1" t="n">
        <f aca="false">IF(AQ47=1,IF(ABS((1+AS_Wage)/(1+Slot3_Rate)-1)&lt;0.000000000001,(Slot3_Age-D47)*(1+Slot3_Rate)^(Slot3_Age-D47),(1+Slot3_Rate)^(Slot3_Age-D47)*(1-((1+AS_Wage)/(1+Slot3_Rate))^(Slot3_Age-D47))/(1-(1+AS_Wage)/(1+Slot3_Rate))),1)</f>
        <v>1</v>
      </c>
      <c r="IV47" s="1" t="n">
        <f aca="false">IF(AND(HT47=1,ID47&gt;0,Slot3_IsWG=1,AQ47=1),MAX(0,(Slot3_Cost-AR47*(1+Slot3_Rate)^(Slot3_Age-D47))/IU47),0)</f>
        <v>0</v>
      </c>
      <c r="IW47" s="1" t="n">
        <f aca="false">IF(AND(HT47=1,ID47&gt;0,Slot3_IsWG=1,AQ47=1),MIN(ID47,IV47),0)</f>
        <v>0</v>
      </c>
      <c r="IX47" s="1" t="n">
        <f aca="false">AR47+IW47</f>
        <v>0</v>
      </c>
      <c r="IY47" s="1" t="n">
        <f aca="false">IF(AQ47=1,MAX(0,(Slot3_Cost-IX47*(1+Slot3_Rate)^(Slot3_Age-D47))/IU47),0)</f>
        <v>0</v>
      </c>
      <c r="IZ47" s="1" t="n">
        <f aca="false">IF(AQ47=1,MAX(0,(Slot3_Cost-AR47*(1+Slot3_Rate)^(Slot3_Age-D47))/IU47),0)</f>
        <v>0</v>
      </c>
      <c r="JA47" s="1" t="n">
        <f aca="false">IF(AND(HT47=1,AQ47=1),MIN(IT47,IY47),0)</f>
        <v>0</v>
      </c>
      <c r="JB47" s="1" t="n">
        <f aca="false">IT47-JA47</f>
        <v>0</v>
      </c>
      <c r="JC47" s="1" t="n">
        <f aca="false">IF(BA47=1,IF(ABS((1+AS_Wage)/(1+Slot4_Rate)-1)&lt;0.000000000001,(Slot4_Age-D47)*(1+Slot4_Rate)^(Slot4_Age-D47),(1+Slot4_Rate)^(Slot4_Age-D47)*(1-((1+AS_Wage)/(1+Slot4_Rate))^(Slot4_Age-D47))/(1-(1+AS_Wage)/(1+Slot4_Rate))),1)</f>
        <v>1</v>
      </c>
      <c r="JD47" s="1" t="n">
        <f aca="false">IF(AND(HT47=1,ID47&gt;0,Slot4_IsWG=1,BA47=1),MAX(0,(Slot4_Cost-BB47*(1+Slot4_Rate)^(Slot4_Age-D47))/JC47),0)</f>
        <v>0</v>
      </c>
      <c r="JE47" s="1" t="n">
        <f aca="false">IF(AND(HT47=1,ID47&gt;0,Slot4_IsWG=1,BA47=1),MIN(ID47,JD47),0)</f>
        <v>0</v>
      </c>
      <c r="JF47" s="1" t="n">
        <f aca="false">BB47+JE47</f>
        <v>0</v>
      </c>
      <c r="JG47" s="1" t="n">
        <f aca="false">IF(BA47=1,MAX(0,(Slot4_Cost-JF47*(1+Slot4_Rate)^(Slot4_Age-D47))/JC47),0)</f>
        <v>0</v>
      </c>
      <c r="JH47" s="1" t="n">
        <f aca="false">IF(BA47=1,MAX(0,(Slot4_Cost-BB47*(1+Slot4_Rate)^(Slot4_Age-D47))/JC47),0)</f>
        <v>0</v>
      </c>
      <c r="JI47" s="1" t="n">
        <f aca="false">IF(AND(HT47=1,BA47=1),MIN(JB47,JG47),0)</f>
        <v>0</v>
      </c>
      <c r="JJ47" s="1" t="n">
        <f aca="false">JB47-JI47</f>
        <v>0</v>
      </c>
      <c r="JK47" s="1" t="n">
        <f aca="false">IF(BK47=1,IF(ABS((1+AS_Wage)/(1+Slot5_Rate)-1)&lt;0.000000000001,(Slot5_Age-D47)*(1+Slot5_Rate)^(Slot5_Age-D47),(1+Slot5_Rate)^(Slot5_Age-D47)*(1-((1+AS_Wage)/(1+Slot5_Rate))^(Slot5_Age-D47))/(1-(1+AS_Wage)/(1+Slot5_Rate))),1)</f>
        <v>1</v>
      </c>
      <c r="JL47" s="1" t="n">
        <f aca="false">IF(AND(HT47=1,ID47&gt;0,Slot5_IsWG=1,BK47=1),MAX(0,(Slot5_Cost-BL47*(1+Slot5_Rate)^(Slot5_Age-D47))/JK47),0)</f>
        <v>0</v>
      </c>
      <c r="JM47" s="1" t="n">
        <f aca="false">IF(AND(HT47=1,ID47&gt;0,Slot5_IsWG=1,BK47=1),MIN(ID47,JL47),0)</f>
        <v>0</v>
      </c>
      <c r="JN47" s="1" t="n">
        <f aca="false">BL47+JM47</f>
        <v>0</v>
      </c>
      <c r="JO47" s="1" t="n">
        <f aca="false">IF(BK47=1,MAX(0,(Slot5_Cost-JN47*(1+Slot5_Rate)^(Slot5_Age-D47))/JK47),0)</f>
        <v>0</v>
      </c>
      <c r="JP47" s="1" t="n">
        <f aca="false">IF(BK47=1,MAX(0,(Slot5_Cost-BL47*(1+Slot5_Rate)^(Slot5_Age-D47))/JK47),0)</f>
        <v>0</v>
      </c>
      <c r="JQ47" s="1" t="n">
        <f aca="false">IF(AND(HT47=1,BK47=1),MIN(JJ47,JO47),0)</f>
        <v>0</v>
      </c>
      <c r="JR47" s="1" t="n">
        <f aca="false">JJ47-JQ47</f>
        <v>0</v>
      </c>
      <c r="JS47" s="1" t="n">
        <f aca="false">IF(BU47=1,IF(ABS((1+AS_Wage)/(1+Slot6_Rate)-1)&lt;0.000000000001,(Slot6_Age-D47)*(1+Slot6_Rate)^(Slot6_Age-D47),(1+Slot6_Rate)^(Slot6_Age-D47)*(1-((1+AS_Wage)/(1+Slot6_Rate))^(Slot6_Age-D47))/(1-(1+AS_Wage)/(1+Slot6_Rate))),1)</f>
        <v>1</v>
      </c>
      <c r="JT47" s="1" t="n">
        <f aca="false">IF(AND(HT47=1,ID47&gt;0,Slot6_IsWG=1,BU47=1),MAX(0,(Slot6_Cost-BV47*(1+Slot6_Rate)^(Slot6_Age-D47))/JS47),0)</f>
        <v>0</v>
      </c>
      <c r="JU47" s="1" t="n">
        <f aca="false">IF(AND(HT47=1,ID47&gt;0,Slot6_IsWG=1,BU47=1),MIN(ID47,JT47),0)</f>
        <v>0</v>
      </c>
      <c r="JV47" s="1" t="n">
        <f aca="false">BV47+JU47</f>
        <v>0</v>
      </c>
      <c r="JW47" s="1" t="n">
        <f aca="false">IF(BU47=1,MAX(0,(Slot6_Cost-JV47*(1+Slot6_Rate)^(Slot6_Age-D47))/JS47),0)</f>
        <v>0</v>
      </c>
      <c r="JX47" s="1" t="n">
        <f aca="false">IF(BU47=1,MAX(0,(Slot6_Cost-BV47*(1+Slot6_Rate)^(Slot6_Age-D47))/JS47),0)</f>
        <v>0</v>
      </c>
      <c r="JY47" s="1" t="n">
        <f aca="false">IF(AND(HT47=1,BU47=1),MIN(JR47,JW47),0)</f>
        <v>0</v>
      </c>
      <c r="JZ47" s="1" t="n">
        <f aca="false">JR47-JY47</f>
        <v>0</v>
      </c>
      <c r="KA47" s="1" t="n">
        <f aca="false">IF(CE47=1,IF(ABS((1+AS_Wage)/(1+Slot7_Rate)-1)&lt;0.000000000001,(Slot7_Age-D47)*(1+Slot7_Rate)^(Slot7_Age-D47),(1+Slot7_Rate)^(Slot7_Age-D47)*(1-((1+AS_Wage)/(1+Slot7_Rate))^(Slot7_Age-D47))/(1-(1+AS_Wage)/(1+Slot7_Rate))),1)</f>
        <v>1</v>
      </c>
      <c r="KB47" s="1" t="n">
        <f aca="false">IF(AND(HT47=1,ID47&gt;0,Slot7_IsWG=1,CE47=1),MAX(0,(Slot7_Cost-CF47*(1+Slot7_Rate)^(Slot7_Age-D47))/KA47),0)</f>
        <v>0</v>
      </c>
      <c r="KC47" s="1" t="n">
        <f aca="false">IF(AND(HT47=1,ID47&gt;0,Slot7_IsWG=1,CE47=1),MIN(ID47,KB47),0)</f>
        <v>0</v>
      </c>
      <c r="KD47" s="1" t="n">
        <f aca="false">CF47+KC47</f>
        <v>0</v>
      </c>
      <c r="KE47" s="1" t="n">
        <f aca="false">IF(CE47=1,MAX(0,(Slot7_Cost-KD47*(1+Slot7_Rate)^(Slot7_Age-D47))/KA47),0)</f>
        <v>0</v>
      </c>
      <c r="KF47" s="1" t="n">
        <f aca="false">IF(CE47=1,MAX(0,(Slot7_Cost-CF47*(1+Slot7_Rate)^(Slot7_Age-D47))/KA47),0)</f>
        <v>0</v>
      </c>
      <c r="KG47" s="1" t="n">
        <f aca="false">IF(AND(HT47=1,CE47=1),MIN(JZ47,KE47),0)</f>
        <v>0</v>
      </c>
      <c r="KH47" s="1" t="n">
        <f aca="false">JZ47-KG47</f>
        <v>0</v>
      </c>
      <c r="KI47" s="1" t="n">
        <f aca="false">IF(CO47=1,IF(ABS((1+AS_Wage)/(1+Slot8_Rate)-1)&lt;0.000000000001,(Slot8_Age-D47)*(1+Slot8_Rate)^(Slot8_Age-D47),(1+Slot8_Rate)^(Slot8_Age-D47)*(1-((1+AS_Wage)/(1+Slot8_Rate))^(Slot8_Age-D47))/(1-(1+AS_Wage)/(1+Slot8_Rate))),1)</f>
        <v>1</v>
      </c>
      <c r="KJ47" s="1" t="n">
        <f aca="false">IF(AND(HT47=1,ID47&gt;0,Slot8_IsWG=1,CO47=1),MAX(0,(Slot8_Cost-CP47*(1+Slot8_Rate)^(Slot8_Age-D47))/KI47),0)</f>
        <v>0</v>
      </c>
      <c r="KK47" s="1" t="n">
        <f aca="false">IF(AND(HT47=1,ID47&gt;0,Slot8_IsWG=1,CO47=1),MIN(ID47,KJ47),0)</f>
        <v>0</v>
      </c>
      <c r="KL47" s="1" t="n">
        <f aca="false">CP47+KK47</f>
        <v>0</v>
      </c>
      <c r="KM47" s="1" t="n">
        <f aca="false">IF(CO47=1,MAX(0,(Slot8_Cost-KL47*(1+Slot8_Rate)^(Slot8_Age-D47))/KI47),0)</f>
        <v>0</v>
      </c>
      <c r="KN47" s="1" t="n">
        <f aca="false">IF(CO47=1,MAX(0,(Slot8_Cost-CP47*(1+Slot8_Rate)^(Slot8_Age-D47))/KI47),0)</f>
        <v>0</v>
      </c>
      <c r="KO47" s="1" t="n">
        <f aca="false">IF(AND(HT47=1,CO47=1),MIN(KH47,KM47),0)</f>
        <v>0</v>
      </c>
      <c r="KP47" s="1" t="n">
        <f aca="false">KH47-KO47</f>
        <v>0</v>
      </c>
      <c r="KQ47" s="1" t="n">
        <f aca="false">IF(CY47=1,IF(ABS((1+AS_Wage)/(1+Slot9_Rate)-1)&lt;0.000000000001,(Slot9_Age-D47)*(1+Slot9_Rate)^(Slot9_Age-D47),(1+Slot9_Rate)^(Slot9_Age-D47)*(1-((1+AS_Wage)/(1+Slot9_Rate))^(Slot9_Age-D47))/(1-(1+AS_Wage)/(1+Slot9_Rate))),1)</f>
        <v>1</v>
      </c>
      <c r="KR47" s="1" t="n">
        <f aca="false">IF(AND(HT47=1,ID47&gt;0,Slot9_IsWG=1,CY47=1),MAX(0,(Slot9_Cost-CZ47*(1+Slot9_Rate)^(Slot9_Age-D47))/KQ47),0)</f>
        <v>0</v>
      </c>
      <c r="KS47" s="1" t="n">
        <f aca="false">IF(AND(HT47=1,ID47&gt;0,Slot9_IsWG=1,CY47=1),MIN(ID47,KR47),0)</f>
        <v>0</v>
      </c>
      <c r="KT47" s="1" t="n">
        <f aca="false">CZ47+KS47</f>
        <v>0</v>
      </c>
      <c r="KU47" s="1" t="n">
        <f aca="false">IF(CY47=1,MAX(0,(Slot9_Cost-KT47*(1+Slot9_Rate)^(Slot9_Age-D47))/KQ47),0)</f>
        <v>0</v>
      </c>
      <c r="KV47" s="1" t="n">
        <f aca="false">IF(CY47=1,MAX(0,(Slot9_Cost-CZ47*(1+Slot9_Rate)^(Slot9_Age-D47))/KQ47),0)</f>
        <v>0</v>
      </c>
      <c r="KW47" s="1" t="n">
        <f aca="false">IF(AND(HT47=1,CY47=1),MIN(KP47,KU47),0)</f>
        <v>0</v>
      </c>
      <c r="KX47" s="1" t="n">
        <f aca="false">KP47-KW47</f>
        <v>0</v>
      </c>
      <c r="KY47" s="1" t="n">
        <f aca="false">IF(DI47=1,IF(ABS((1+AS_Wage)/(1+Slot10_Rate)-1)&lt;0.000000000001,(Slot10_Age-D47)*(1+Slot10_Rate)^(Slot10_Age-D47),(1+Slot10_Rate)^(Slot10_Age-D47)*(1-((1+AS_Wage)/(1+Slot10_Rate))^(Slot10_Age-D47))/(1-(1+AS_Wage)/(1+Slot10_Rate))),1)</f>
        <v>1</v>
      </c>
      <c r="KZ47" s="1" t="n">
        <f aca="false">IF(AND(HT47=1,ID47&gt;0,Slot10_IsWG=1,DI47=1),MAX(0,(Slot10_Cost-DJ47*(1+Slot10_Rate)^(Slot10_Age-D47))/KY47),0)</f>
        <v>0</v>
      </c>
      <c r="LA47" s="1" t="n">
        <f aca="false">IF(AND(HT47=1,ID47&gt;0,Slot10_IsWG=1,DI47=1),MIN(ID47,KZ47),0)</f>
        <v>0</v>
      </c>
      <c r="LB47" s="1" t="n">
        <f aca="false">DJ47+LA47</f>
        <v>0</v>
      </c>
      <c r="LC47" s="1" t="n">
        <f aca="false">IF(DI47=1,MAX(0,(Slot10_Cost-LB47*(1+Slot10_Rate)^(Slot10_Age-D47))/KY47),0)</f>
        <v>0</v>
      </c>
      <c r="LD47" s="1" t="n">
        <f aca="false">IF(DI47=1,MAX(0,(Slot10_Cost-DJ47*(1+Slot10_Rate)^(Slot10_Age-D47))/KY47),0)</f>
        <v>0</v>
      </c>
      <c r="LE47" s="1" t="n">
        <f aca="false">IF(AND(HT47=1,DI47=1),MIN(KX47,LC47),0)</f>
        <v>0</v>
      </c>
      <c r="LF47" s="1" t="n">
        <f aca="false">KX47-LE47</f>
        <v>0</v>
      </c>
      <c r="LG47" s="1" t="n">
        <f aca="false">IF(DS47=1,IF(ABS((1+AS_Wage)/(1+Slot11_Rate)-1)&lt;0.000000000001,(Slot11_Age-D47)*(1+Slot11_Rate)^(Slot11_Age-D47),(1+Slot11_Rate)^(Slot11_Age-D47)*(1-((1+AS_Wage)/(1+Slot11_Rate))^(Slot11_Age-D47))/(1-(1+AS_Wage)/(1+Slot11_Rate))),1)</f>
        <v>1</v>
      </c>
      <c r="LH47" s="1" t="n">
        <f aca="false">IF(AND(HT47=1,ID47&gt;0,Slot11_IsWG=1,DS47=1),MAX(0,(Slot11_Cost-DT47*(1+Slot11_Rate)^(Slot11_Age-D47))/LG47),0)</f>
        <v>0</v>
      </c>
      <c r="LI47" s="1" t="n">
        <f aca="false">IF(AND(HT47=1,ID47&gt;0,Slot11_IsWG=1,DS47=1),MIN(ID47,LH47),0)</f>
        <v>0</v>
      </c>
      <c r="LJ47" s="1" t="n">
        <f aca="false">DT47+LI47</f>
        <v>0</v>
      </c>
      <c r="LK47" s="1" t="n">
        <f aca="false">IF(DS47=1,MAX(0,(Slot11_Cost-LJ47*(1+Slot11_Rate)^(Slot11_Age-D47))/LG47),0)</f>
        <v>0</v>
      </c>
      <c r="LL47" s="1" t="n">
        <f aca="false">IF(DS47=1,MAX(0,(Slot11_Cost-DT47*(1+Slot11_Rate)^(Slot11_Age-D47))/LG47),0)</f>
        <v>0</v>
      </c>
      <c r="LM47" s="1" t="n">
        <f aca="false">IF(AND(HT47=1,DS47=1),MIN(LF47,LK47),0)</f>
        <v>0</v>
      </c>
      <c r="LN47" s="1" t="n">
        <f aca="false">LF47-LM47</f>
        <v>0</v>
      </c>
      <c r="LO47" s="1" t="n">
        <f aca="false">IF(EC47=1,IF(ABS((1+AS_Wage)/(1+Slot12_Rate)-1)&lt;0.000000000001,(Slot12_Age-D47)*(1+Slot12_Rate)^(Slot12_Age-D47),(1+Slot12_Rate)^(Slot12_Age-D47)*(1-((1+AS_Wage)/(1+Slot12_Rate))^(Slot12_Age-D47))/(1-(1+AS_Wage)/(1+Slot12_Rate))),1)</f>
        <v>1</v>
      </c>
      <c r="LP47" s="1" t="n">
        <f aca="false">IF(AND(HT47=1,ID47&gt;0,Slot12_IsWG=1,EC47=1),MAX(0,(Slot12_Cost-ED47*(1+Slot12_Rate)^(Slot12_Age-D47))/LO47),0)</f>
        <v>0</v>
      </c>
      <c r="LQ47" s="1" t="n">
        <f aca="false">IF(AND(HT47=1,ID47&gt;0,Slot12_IsWG=1,EC47=1),MIN(ID47,LP47),0)</f>
        <v>0</v>
      </c>
      <c r="LR47" s="1" t="n">
        <f aca="false">ED47+LQ47</f>
        <v>0</v>
      </c>
      <c r="LS47" s="1" t="n">
        <f aca="false">IF(EC47=1,MAX(0,(Slot12_Cost-LR47*(1+Slot12_Rate)^(Slot12_Age-D47))/LO47),0)</f>
        <v>0</v>
      </c>
      <c r="LT47" s="1" t="n">
        <f aca="false">IF(EC47=1,MAX(0,(Slot12_Cost-ED47*(1+Slot12_Rate)^(Slot12_Age-D47))/LO47),0)</f>
        <v>0</v>
      </c>
      <c r="LU47" s="1" t="n">
        <f aca="false">IF(AND(HT47=1,EC47=1),MIN(LN47,LS47),0)</f>
        <v>0</v>
      </c>
      <c r="LV47" s="1" t="n">
        <f aca="false">LN47-LU47</f>
        <v>0</v>
      </c>
      <c r="LW47" s="1" t="n">
        <f aca="false">IF(EM47=1,IF(ABS((1+AS_Wage)/(1+Slot13_Rate)-1)&lt;0.000000000001,(Slot13_Age-D47)*(1+Slot13_Rate)^(Slot13_Age-D47),(1+Slot13_Rate)^(Slot13_Age-D47)*(1-((1+AS_Wage)/(1+Slot13_Rate))^(Slot13_Age-D47))/(1-(1+AS_Wage)/(1+Slot13_Rate))),1)</f>
        <v>1</v>
      </c>
      <c r="LX47" s="1" t="n">
        <f aca="false">IF(AND(HT47=1,ID47&gt;0,Slot13_IsWG=1,EM47=1),MAX(0,(Slot13_Cost-EN47*(1+Slot13_Rate)^(Slot13_Age-D47))/LW47),0)</f>
        <v>0</v>
      </c>
      <c r="LY47" s="1" t="n">
        <f aca="false">IF(AND(HT47=1,ID47&gt;0,Slot13_IsWG=1,EM47=1),MIN(ID47,LX47),0)</f>
        <v>0</v>
      </c>
      <c r="LZ47" s="1" t="n">
        <f aca="false">EN47+LY47</f>
        <v>0</v>
      </c>
      <c r="MA47" s="1" t="n">
        <f aca="false">IF(EM47=1,MAX(0,(Slot13_Cost-LZ47*(1+Slot13_Rate)^(Slot13_Age-D47))/LW47),0)</f>
        <v>0</v>
      </c>
      <c r="MB47" s="1" t="n">
        <f aca="false">IF(EM47=1,MAX(0,(Slot13_Cost-EN47*(1+Slot13_Rate)^(Slot13_Age-D47))/LW47),0)</f>
        <v>0</v>
      </c>
      <c r="MC47" s="1" t="n">
        <f aca="false">IF(AND(HT47=1,EM47=1),MIN(LV47,MA47),0)</f>
        <v>0</v>
      </c>
      <c r="MD47" s="1" t="n">
        <f aca="false">LV47-MC47</f>
        <v>0</v>
      </c>
      <c r="ME47" s="1" t="n">
        <f aca="false">IF(EW47=1,IF(ABS((1+AS_Wage)/(1+Slot14_Rate)-1)&lt;0.000000000001,(Slot14_Age-D47)*(1+Slot14_Rate)^(Slot14_Age-D47),(1+Slot14_Rate)^(Slot14_Age-D47)*(1-((1+AS_Wage)/(1+Slot14_Rate))^(Slot14_Age-D47))/(1-(1+AS_Wage)/(1+Slot14_Rate))),1)</f>
        <v>1</v>
      </c>
      <c r="MF47" s="1" t="n">
        <f aca="false">IF(AND(HT47=1,ID47&gt;0,Slot14_IsWG=1,EW47=1),MAX(0,(Slot14_Cost-EX47*(1+Slot14_Rate)^(Slot14_Age-D47))/ME47),0)</f>
        <v>0</v>
      </c>
      <c r="MG47" s="1" t="n">
        <f aca="false">IF(AND(HT47=1,ID47&gt;0,Slot14_IsWG=1,EW47=1),MIN(ID47,MF47),0)</f>
        <v>0</v>
      </c>
      <c r="MH47" s="1" t="n">
        <f aca="false">EX47+MG47</f>
        <v>0</v>
      </c>
      <c r="MI47" s="1" t="n">
        <f aca="false">IF(EW47=1,MAX(0,(Slot14_Cost-MH47*(1+Slot14_Rate)^(Slot14_Age-D47))/ME47),0)</f>
        <v>0</v>
      </c>
      <c r="MJ47" s="1" t="n">
        <f aca="false">IF(EW47=1,MAX(0,(Slot14_Cost-EX47*(1+Slot14_Rate)^(Slot14_Age-D47))/ME47),0)</f>
        <v>0</v>
      </c>
      <c r="MK47" s="1" t="n">
        <f aca="false">IF(AND(HT47=1,EW47=1),MIN(MD47,MI47),0)</f>
        <v>0</v>
      </c>
      <c r="ML47" s="1" t="n">
        <f aca="false">MD47-MK47</f>
        <v>0</v>
      </c>
      <c r="MM47" s="1" t="n">
        <f aca="false">IF(FG47=1,IF(ABS((1+AS_Wage)/(1+Slot15_Rate)-1)&lt;0.000000000001,(Slot15_Age-D47)*(1+Slot15_Rate)^(Slot15_Age-D47),(1+Slot15_Rate)^(Slot15_Age-D47)*(1-((1+AS_Wage)/(1+Slot15_Rate))^(Slot15_Age-D47))/(1-(1+AS_Wage)/(1+Slot15_Rate))),1)</f>
        <v>1</v>
      </c>
      <c r="MN47" s="1" t="n">
        <f aca="false">IF(AND(HT47=1,ID47&gt;0,Slot15_IsWG=1,FG47=1),MAX(0,(Slot15_Cost-FH47*(1+Slot15_Rate)^(Slot15_Age-D47))/MM47),0)</f>
        <v>0</v>
      </c>
      <c r="MO47" s="1" t="n">
        <f aca="false">IF(AND(HT47=1,ID47&gt;0,Slot15_IsWG=1,FG47=1),MIN(ID47,MN47),0)</f>
        <v>0</v>
      </c>
      <c r="MP47" s="1" t="n">
        <f aca="false">FH47+MO47</f>
        <v>0</v>
      </c>
      <c r="MQ47" s="1" t="n">
        <f aca="false">IF(FG47=1,MAX(0,(Slot15_Cost-MP47*(1+Slot15_Rate)^(Slot15_Age-D47))/MM47),0)</f>
        <v>0</v>
      </c>
      <c r="MR47" s="1" t="n">
        <f aca="false">IF(FG47=1,MAX(0,(Slot15_Cost-FH47*(1+Slot15_Rate)^(Slot15_Age-D47))/MM47),0)</f>
        <v>0</v>
      </c>
      <c r="MS47" s="1" t="n">
        <f aca="false">IF(AND(HT47=1,FG47=1),MIN(ML47,MQ47),0)</f>
        <v>0</v>
      </c>
      <c r="MT47" s="1" t="n">
        <f aca="false">ML47-MS47</f>
        <v>0</v>
      </c>
      <c r="MU47" s="1" t="n">
        <f aca="false">IF(FQ47=1,IF(ABS((1+AS_Wage)/(1+Slot16_Rate)-1)&lt;0.000000000001,(Slot16_Age-D47)*(1+Slot16_Rate)^(Slot16_Age-D47),(1+Slot16_Rate)^(Slot16_Age-D47)*(1-((1+AS_Wage)/(1+Slot16_Rate))^(Slot16_Age-D47))/(1-(1+AS_Wage)/(1+Slot16_Rate))),1)</f>
        <v>1</v>
      </c>
      <c r="MV47" s="1" t="n">
        <f aca="false">IF(AND(HT47=1,ID47&gt;0,Slot16_IsWG=1,FQ47=1),MAX(0,(Slot16_Cost-FR47*(1+Slot16_Rate)^(Slot16_Age-D47))/MU47),0)</f>
        <v>0</v>
      </c>
      <c r="MW47" s="1" t="n">
        <f aca="false">IF(AND(HT47=1,ID47&gt;0,Slot16_IsWG=1,FQ47=1),MIN(ID47,MV47),0)</f>
        <v>0</v>
      </c>
      <c r="MX47" s="1" t="n">
        <f aca="false">FR47+MW47</f>
        <v>0</v>
      </c>
      <c r="MY47" s="1" t="n">
        <f aca="false">IF(FQ47=1,MAX(0,(Slot16_Cost-MX47*(1+Slot16_Rate)^(Slot16_Age-D47))/MU47),0)</f>
        <v>0</v>
      </c>
      <c r="MZ47" s="1" t="n">
        <f aca="false">IF(FQ47=1,MAX(0,(Slot16_Cost-FR47*(1+Slot16_Rate)^(Slot16_Age-D47))/MU47),0)</f>
        <v>0</v>
      </c>
      <c r="NA47" s="1" t="n">
        <f aca="false">IF(AND(HT47=1,FQ47=1),MIN(MT47,MY47),0)</f>
        <v>0</v>
      </c>
      <c r="NB47" s="1" t="n">
        <f aca="false">MT47-NA47</f>
        <v>0</v>
      </c>
      <c r="NC47" s="1" t="n">
        <f aca="false">IF(GA47=1,IF(ABS((1+AS_Wage)/(1+Slot17_Rate)-1)&lt;0.000000000001,(Slot17_Age-D47)*(1+Slot17_Rate)^(Slot17_Age-D47),(1+Slot17_Rate)^(Slot17_Age-D47)*(1-((1+AS_Wage)/(1+Slot17_Rate))^(Slot17_Age-D47))/(1-(1+AS_Wage)/(1+Slot17_Rate))),1)</f>
        <v>1</v>
      </c>
      <c r="ND47" s="1" t="n">
        <f aca="false">IF(AND(HT47=1,ID47&gt;0,Slot17_IsWG=1,GA47=1),MAX(0,(Slot17_Cost-GB47*(1+Slot17_Rate)^(Slot17_Age-D47))/NC47),0)</f>
        <v>0</v>
      </c>
      <c r="NE47" s="1" t="n">
        <f aca="false">IF(AND(HT47=1,ID47&gt;0,Slot17_IsWG=1,GA47=1),MIN(ID47,ND47),0)</f>
        <v>0</v>
      </c>
      <c r="NF47" s="1" t="n">
        <f aca="false">GB47+NE47</f>
        <v>0</v>
      </c>
      <c r="NG47" s="1" t="n">
        <f aca="false">IF(GA47=1,MAX(0,(Slot17_Cost-NF47*(1+Slot17_Rate)^(Slot17_Age-D47))/NC47),0)</f>
        <v>0</v>
      </c>
      <c r="NH47" s="1" t="n">
        <f aca="false">IF(GA47=1,MAX(0,(Slot17_Cost-GB47*(1+Slot17_Rate)^(Slot17_Age-D47))/NC47),0)</f>
        <v>0</v>
      </c>
      <c r="NI47" s="1" t="n">
        <f aca="false">IF(AND(HT47=1,GA47=1),MIN(NB47,NG47),0)</f>
        <v>0</v>
      </c>
      <c r="NJ47" s="1" t="n">
        <f aca="false">NB47-NI47</f>
        <v>0</v>
      </c>
      <c r="NK47" s="1" t="n">
        <f aca="false">IF(GK47=1,IF(ABS((1+AS_Wage)/(1+Slot18_Rate)-1)&lt;0.000000000001,(Slot18_Age-D47)*(1+Slot18_Rate)^(Slot18_Age-D47),(1+Slot18_Rate)^(Slot18_Age-D47)*(1-((1+AS_Wage)/(1+Slot18_Rate))^(Slot18_Age-D47))/(1-(1+AS_Wage)/(1+Slot18_Rate))),1)</f>
        <v>1</v>
      </c>
      <c r="NL47" s="1" t="n">
        <f aca="false">IF(AND(HT47=1,ID47&gt;0,Slot18_IsWG=1,GK47=1),MAX(0,(Slot18_Cost-GL47*(1+Slot18_Rate)^(Slot18_Age-D47))/NK47),0)</f>
        <v>0</v>
      </c>
      <c r="NM47" s="1" t="n">
        <f aca="false">IF(AND(HT47=1,ID47&gt;0,Slot18_IsWG=1,GK47=1),MIN(ID47,NL47),0)</f>
        <v>0</v>
      </c>
      <c r="NN47" s="1" t="n">
        <f aca="false">GL47+NM47</f>
        <v>0</v>
      </c>
      <c r="NO47" s="1" t="n">
        <f aca="false">IF(GK47=1,MAX(0,(Slot18_Cost-NN47*(1+Slot18_Rate)^(Slot18_Age-D47))/NK47),0)</f>
        <v>0</v>
      </c>
      <c r="NP47" s="1" t="n">
        <f aca="false">IF(GK47=1,MAX(0,(Slot18_Cost-GL47*(1+Slot18_Rate)^(Slot18_Age-D47))/NK47),0)</f>
        <v>0</v>
      </c>
      <c r="NQ47" s="1" t="n">
        <f aca="false">IF(AND(HT47=1,GK47=1),MIN(NJ47,NO47),0)</f>
        <v>0</v>
      </c>
      <c r="NR47" s="1" t="n">
        <f aca="false">NJ47-NQ47</f>
        <v>0</v>
      </c>
      <c r="NS47" s="1" t="n">
        <f aca="false">IF(GU47=1,IF(ABS((1+AS_Wage)/(1+Slot19_Rate)-1)&lt;0.000000000001,(Slot19_Age-D47)*(1+Slot19_Rate)^(Slot19_Age-D47),(1+Slot19_Rate)^(Slot19_Age-D47)*(1-((1+AS_Wage)/(1+Slot19_Rate))^(Slot19_Age-D47))/(1-(1+AS_Wage)/(1+Slot19_Rate))),1)</f>
        <v>1</v>
      </c>
      <c r="NT47" s="1" t="n">
        <f aca="false">IF(AND(HT47=1,ID47&gt;0,Slot19_IsWG=1,GU47=1),MAX(0,(Slot19_Cost-GV47*(1+Slot19_Rate)^(Slot19_Age-D47))/NS47),0)</f>
        <v>0</v>
      </c>
      <c r="NU47" s="1" t="n">
        <f aca="false">IF(AND(HT47=1,ID47&gt;0,Slot19_IsWG=1,GU47=1),MIN(ID47,NT47),0)</f>
        <v>0</v>
      </c>
      <c r="NV47" s="1" t="n">
        <f aca="false">GV47+NU47</f>
        <v>0</v>
      </c>
      <c r="NW47" s="1" t="n">
        <f aca="false">IF(GU47=1,MAX(0,(Slot19_Cost-NV47*(1+Slot19_Rate)^(Slot19_Age-D47))/NS47),0)</f>
        <v>0</v>
      </c>
      <c r="NX47" s="1" t="n">
        <f aca="false">IF(GU47=1,MAX(0,(Slot19_Cost-GV47*(1+Slot19_Rate)^(Slot19_Age-D47))/NS47),0)</f>
        <v>0</v>
      </c>
      <c r="NY47" s="1" t="n">
        <f aca="false">IF(AND(HT47=1,GU47=1),MIN(NR47,NW47),0)</f>
        <v>0</v>
      </c>
      <c r="NZ47" s="1" t="n">
        <f aca="false">NR47-NY47</f>
        <v>0</v>
      </c>
      <c r="OA47" s="1" t="n">
        <f aca="false">IF(HE47=1,IF(ABS((1+AS_Wage)/(1+Slot20_Rate)-1)&lt;0.000000000001,(Slot20_Age-D47)*(1+Slot20_Rate)^(Slot20_Age-D47),(1+Slot20_Rate)^(Slot20_Age-D47)*(1-((1+AS_Wage)/(1+Slot20_Rate))^(Slot20_Age-D47))/(1-(1+AS_Wage)/(1+Slot20_Rate))),1)</f>
        <v>1</v>
      </c>
      <c r="OB47" s="1" t="n">
        <f aca="false">IF(AND(HT47=1,ID47&gt;0,Slot20_IsWG=1,HE47=1),MAX(0,(Slot20_Cost-HF47*(1+Slot20_Rate)^(Slot20_Age-D47))/OA47),0)</f>
        <v>0</v>
      </c>
      <c r="OC47" s="1" t="n">
        <f aca="false">IF(AND(HT47=1,ID47&gt;0,Slot20_IsWG=1,HE47=1),MIN(ID47,OB47),0)</f>
        <v>0</v>
      </c>
      <c r="OD47" s="1" t="n">
        <f aca="false">HF47+OC47</f>
        <v>0</v>
      </c>
      <c r="OE47" s="1" t="n">
        <f aca="false">IF(HE47=1,MAX(0,(Slot20_Cost-OD47*(1+Slot20_Rate)^(Slot20_Age-D47))/OA47),0)</f>
        <v>0</v>
      </c>
      <c r="OF47" s="1" t="n">
        <f aca="false">IF(HE47=1,MAX(0,(Slot20_Cost-HF47*(1+Slot20_Rate)^(Slot20_Age-D47))/OA47),0)</f>
        <v>0</v>
      </c>
      <c r="OG47" s="1" t="n">
        <f aca="false">IF(AND(HT47=1,HE47=1),MIN(NZ47,OE47),0)</f>
        <v>0</v>
      </c>
      <c r="OH47" s="1" t="n">
        <f aca="false">NZ47-OG47</f>
        <v>0</v>
      </c>
      <c r="OI47" s="1" t="n">
        <f aca="false">ID47-(IG47+IO47+IW47+JE47+JM47+JU47+KC47+KK47+KS47+LA47+LI47+LQ47+LY47+MG47+MO47+MW47+NE47+NM47+NU47+OC47)</f>
        <v>0</v>
      </c>
      <c r="OJ47" s="1" t="n">
        <f aca="false">IF(HT47=1,HR47-IC47-ID47,0)</f>
        <v>0</v>
      </c>
      <c r="OK47" s="1" t="n">
        <f aca="false">IF(HT47=0,-HR47,0)</f>
        <v>0</v>
      </c>
      <c r="OL47" s="1" t="n">
        <f aca="false">MIN(OK47,HJ47)</f>
        <v>0</v>
      </c>
      <c r="OM47" s="1" t="n">
        <f aca="false">OK47-OL47</f>
        <v>0</v>
      </c>
      <c r="ON47" s="1" t="n">
        <f aca="false">MIN(OM47,HK47)</f>
        <v>0</v>
      </c>
      <c r="OO47" s="1" t="n">
        <f aca="false">OM47-ON47</f>
        <v>0</v>
      </c>
      <c r="OP47" s="1" t="n">
        <f aca="false">IF(AND(HT47=0,HE47=1,OO47&gt;0),MIN(OO47,HF47),0)</f>
        <v>0</v>
      </c>
      <c r="OQ47" s="1" t="n">
        <f aca="false">OO47-OP47</f>
        <v>0</v>
      </c>
      <c r="OR47" s="1" t="n">
        <f aca="false">IF(AND(HT47=0,GU47=1,OQ47&gt;0),MIN(OQ47,GV47),0)</f>
        <v>0</v>
      </c>
      <c r="OS47" s="1" t="n">
        <f aca="false">OQ47-OR47</f>
        <v>0</v>
      </c>
      <c r="OT47" s="1" t="n">
        <f aca="false">IF(AND(HT47=0,GK47=1,OS47&gt;0),MIN(OS47,GL47),0)</f>
        <v>0</v>
      </c>
      <c r="OU47" s="1" t="n">
        <f aca="false">OS47-OT47</f>
        <v>0</v>
      </c>
      <c r="OV47" s="1" t="n">
        <f aca="false">IF(AND(HT47=0,GA47=1,OU47&gt;0),MIN(OU47,GB47),0)</f>
        <v>0</v>
      </c>
      <c r="OW47" s="1" t="n">
        <f aca="false">OU47-OV47</f>
        <v>0</v>
      </c>
      <c r="OX47" s="1" t="n">
        <f aca="false">IF(AND(HT47=0,FQ47=1,OW47&gt;0),MIN(OW47,FR47),0)</f>
        <v>0</v>
      </c>
      <c r="OY47" s="1" t="n">
        <f aca="false">OW47-OX47</f>
        <v>0</v>
      </c>
      <c r="OZ47" s="1" t="n">
        <f aca="false">IF(AND(HT47=0,FG47=1,OY47&gt;0),MIN(OY47,FH47),0)</f>
        <v>0</v>
      </c>
      <c r="PA47" s="1" t="n">
        <f aca="false">OY47-OZ47</f>
        <v>0</v>
      </c>
      <c r="PB47" s="1" t="n">
        <f aca="false">IF(AND(HT47=0,EW47=1,PA47&gt;0),MIN(PA47,EX47),0)</f>
        <v>0</v>
      </c>
      <c r="PC47" s="1" t="n">
        <f aca="false">PA47-PB47</f>
        <v>0</v>
      </c>
      <c r="PD47" s="1" t="n">
        <f aca="false">IF(AND(HT47=0,EM47=1,PC47&gt;0),MIN(PC47,EN47),0)</f>
        <v>0</v>
      </c>
      <c r="PE47" s="1" t="n">
        <f aca="false">PC47-PD47</f>
        <v>0</v>
      </c>
      <c r="PF47" s="1" t="n">
        <f aca="false">IF(AND(HT47=0,EC47=1,PE47&gt;0),MIN(PE47,ED47),0)</f>
        <v>0</v>
      </c>
      <c r="PG47" s="1" t="n">
        <f aca="false">PE47-PF47</f>
        <v>0</v>
      </c>
      <c r="PH47" s="1" t="n">
        <f aca="false">IF(AND(HT47=0,DS47=1,PG47&gt;0),MIN(PG47,DT47),0)</f>
        <v>0</v>
      </c>
      <c r="PI47" s="1" t="n">
        <f aca="false">PG47-PH47</f>
        <v>0</v>
      </c>
      <c r="PJ47" s="1" t="n">
        <f aca="false">IF(AND(HT47=0,DI47=1,PI47&gt;0),MIN(PI47,DJ47),0)</f>
        <v>0</v>
      </c>
      <c r="PK47" s="1" t="n">
        <f aca="false">PI47-PJ47</f>
        <v>0</v>
      </c>
      <c r="PL47" s="1" t="n">
        <f aca="false">IF(AND(HT47=0,CY47=1,PK47&gt;0),MIN(PK47,CZ47),0)</f>
        <v>0</v>
      </c>
      <c r="PM47" s="1" t="n">
        <f aca="false">PK47-PL47</f>
        <v>0</v>
      </c>
      <c r="PN47" s="1" t="n">
        <f aca="false">IF(AND(HT47=0,CO47=1,PM47&gt;0),MIN(PM47,CP47),0)</f>
        <v>0</v>
      </c>
      <c r="PO47" s="1" t="n">
        <f aca="false">PM47-PN47</f>
        <v>0</v>
      </c>
      <c r="PP47" s="1" t="n">
        <f aca="false">IF(AND(HT47=0,CE47=1,PO47&gt;0),MIN(PO47,CF47),0)</f>
        <v>0</v>
      </c>
      <c r="PQ47" s="1" t="n">
        <f aca="false">PO47-PP47</f>
        <v>0</v>
      </c>
      <c r="PR47" s="1" t="n">
        <f aca="false">IF(AND(HT47=0,BU47=1,PQ47&gt;0),MIN(PQ47,BV47),0)</f>
        <v>0</v>
      </c>
      <c r="PS47" s="1" t="n">
        <f aca="false">PQ47-PR47</f>
        <v>0</v>
      </c>
      <c r="PT47" s="1" t="n">
        <f aca="false">IF(AND(HT47=0,BK47=1,PS47&gt;0),MIN(PS47,BL47),0)</f>
        <v>0</v>
      </c>
      <c r="PU47" s="1" t="n">
        <f aca="false">PS47-PT47</f>
        <v>0</v>
      </c>
      <c r="PV47" s="1" t="n">
        <f aca="false">IF(AND(HT47=0,BA47=1,PU47&gt;0),MIN(PU47,BB47),0)</f>
        <v>0</v>
      </c>
      <c r="PW47" s="1" t="n">
        <f aca="false">PU47-PV47</f>
        <v>0</v>
      </c>
      <c r="PX47" s="1" t="n">
        <f aca="false">IF(AND(HT47=0,AQ47=1,PW47&gt;0),MIN(PW47,AR47),0)</f>
        <v>0</v>
      </c>
      <c r="PY47" s="1" t="n">
        <f aca="false">PW47-PX47</f>
        <v>0</v>
      </c>
      <c r="PZ47" s="1" t="n">
        <f aca="false">IF(AND(HT47=0,AG47=1,PY47&gt;0),MIN(PY47,AH47),0)</f>
        <v>0</v>
      </c>
      <c r="QA47" s="1" t="n">
        <f aca="false">PY47-PZ47</f>
        <v>0</v>
      </c>
      <c r="QB47" s="1" t="n">
        <f aca="false">IF(AND(HT47=0,V47=1,QA47&gt;0),MIN(QA47,W47),0)</f>
        <v>0</v>
      </c>
      <c r="QC47" s="1" t="n">
        <f aca="false">QA47-QB47</f>
        <v>0</v>
      </c>
      <c r="QD47" s="1" t="n">
        <f aca="false">IF(HT47=0,QC47,0)</f>
        <v>0</v>
      </c>
      <c r="QE47" s="1" t="n">
        <f aca="false">OL47+ON47+QB47+PZ47+PX47+PV47+PT47+PR47+PP47+PN47+PL47+PJ47+PH47+PF47+PD47+PB47+OZ47+OX47+OV47+OT47+OR47+OP47</f>
        <v>0</v>
      </c>
      <c r="QF47" s="1" t="n">
        <f aca="false">IF(HT47=1,HJ47+OI47+OH47+IF(F47=1,0,OJ47),HJ47-OL47)</f>
        <v>0</v>
      </c>
      <c r="QG47" s="1" t="n">
        <f aca="false">HK47-ON47</f>
        <v>0</v>
      </c>
      <c r="QH47" s="1" t="n">
        <f aca="false">IF(HT47=1,IF(F47=1,IC47+ID47,HR47),0)</f>
        <v>0</v>
      </c>
      <c r="QI47" s="1" t="n">
        <f aca="false">IF(HT47=1,IF(F47=1,HR47-IC47-ID47,0),0)</f>
        <v>0</v>
      </c>
      <c r="QJ47" s="1" t="n">
        <f aca="false">QF47*(1+GR)</f>
        <v>0</v>
      </c>
      <c r="QK47" s="1" t="n">
        <f aca="false">QG47*(1+AS_Cash)</f>
        <v>0</v>
      </c>
      <c r="QL47" s="1" t="n">
        <f aca="false">IF(V47=1,IF(HT47=1,IH47+IK47,W47-QB47)*(1+Slot1_Rate),0)</f>
        <v>0</v>
      </c>
      <c r="QM47" s="1" t="n">
        <f aca="false">IF(AND(HT47=1,V47=1),(IG47+IK47)/E47,0)</f>
        <v>0</v>
      </c>
      <c r="QN47" s="1" t="n">
        <f aca="false">IF(B47=0,IG47+IK47,0)</f>
        <v>0</v>
      </c>
      <c r="QO47" s="1" t="n">
        <f aca="false">IF(B47=0,IF(HT47=1,II47,IJ47),0)</f>
        <v>0</v>
      </c>
      <c r="QP47" s="1" t="n">
        <f aca="false">IF(AG47=1,IF(HT47=1,IP47+IS47,AH47-PZ47)*(1+Slot2_Rate),0)</f>
        <v>0</v>
      </c>
      <c r="QQ47" s="1" t="n">
        <f aca="false">IF(AND(HT47=1,AG47=1),(IO47+IS47)/E47,0)</f>
        <v>0</v>
      </c>
      <c r="QR47" s="1" t="n">
        <f aca="false">IF(B47=0,IO47+IS47,0)</f>
        <v>0</v>
      </c>
      <c r="QS47" s="1" t="n">
        <f aca="false">IF(B47=0,IF(HT47=1,IQ47,IR47),0)</f>
        <v>0</v>
      </c>
      <c r="QT47" s="1" t="n">
        <f aca="false">IF(AQ47=1,IF(HT47=1,IX47+JA47,AR47-PX47)*(1+Slot3_Rate),0)</f>
        <v>0</v>
      </c>
      <c r="QU47" s="1" t="n">
        <f aca="false">IF(AND(HT47=1,AQ47=1),(IW47+JA47)/E47,0)</f>
        <v>0</v>
      </c>
      <c r="QV47" s="1" t="n">
        <f aca="false">IF(B47=0,IW47+JA47,0)</f>
        <v>0</v>
      </c>
      <c r="QW47" s="1" t="n">
        <f aca="false">IF(B47=0,IF(HT47=1,IY47,IZ47),0)</f>
        <v>0</v>
      </c>
      <c r="QX47" s="1" t="n">
        <f aca="false">IF(BA47=1,IF(HT47=1,JF47+JI47,BB47-PV47)*(1+Slot4_Rate),0)</f>
        <v>0</v>
      </c>
      <c r="QY47" s="1" t="n">
        <f aca="false">IF(AND(HT47=1,BA47=1),(JE47+JI47)/E47,0)</f>
        <v>0</v>
      </c>
      <c r="QZ47" s="1" t="n">
        <f aca="false">IF(B47=0,JE47+JI47,0)</f>
        <v>0</v>
      </c>
      <c r="RA47" s="1" t="n">
        <f aca="false">IF(B47=0,IF(HT47=1,JG47,JH47),0)</f>
        <v>0</v>
      </c>
      <c r="RB47" s="1" t="n">
        <f aca="false">IF(BK47=1,IF(HT47=1,JN47+JQ47,BL47-PT47)*(1+Slot5_Rate),0)</f>
        <v>0</v>
      </c>
      <c r="RC47" s="1" t="n">
        <f aca="false">IF(AND(HT47=1,BK47=1),(JM47+JQ47)/E47,0)</f>
        <v>0</v>
      </c>
      <c r="RD47" s="1" t="n">
        <f aca="false">IF(B47=0,JM47+JQ47,0)</f>
        <v>0</v>
      </c>
      <c r="RE47" s="1" t="n">
        <f aca="false">IF(B47=0,IF(HT47=1,JO47,JP47),0)</f>
        <v>0</v>
      </c>
      <c r="RF47" s="1" t="n">
        <f aca="false">IF(BU47=1,IF(HT47=1,JV47+JY47,BV47-PR47)*(1+Slot6_Rate),0)</f>
        <v>0</v>
      </c>
      <c r="RG47" s="1" t="n">
        <f aca="false">IF(AND(HT47=1,BU47=1),(JU47+JY47)/E47,0)</f>
        <v>0</v>
      </c>
      <c r="RH47" s="1" t="n">
        <f aca="false">IF(B47=0,JU47+JY47,0)</f>
        <v>0</v>
      </c>
      <c r="RI47" s="1" t="n">
        <f aca="false">IF(B47=0,IF(HT47=1,JW47,JX47),0)</f>
        <v>0</v>
      </c>
      <c r="RJ47" s="1" t="n">
        <f aca="false">IF(CE47=1,IF(HT47=1,KD47+KG47,CF47-PP47)*(1+Slot7_Rate),0)</f>
        <v>0</v>
      </c>
      <c r="RK47" s="1" t="n">
        <f aca="false">IF(AND(HT47=1,CE47=1),(KC47+KG47)/E47,0)</f>
        <v>0</v>
      </c>
      <c r="RL47" s="1" t="n">
        <f aca="false">IF(B47=0,KC47+KG47,0)</f>
        <v>0</v>
      </c>
      <c r="RM47" s="1" t="n">
        <f aca="false">IF(B47=0,IF(HT47=1,KE47,KF47),0)</f>
        <v>0</v>
      </c>
      <c r="RN47" s="1" t="n">
        <f aca="false">IF(CO47=1,IF(HT47=1,KL47+KO47,CP47-PN47)*(1+Slot8_Rate),0)</f>
        <v>0</v>
      </c>
      <c r="RO47" s="1" t="n">
        <f aca="false">IF(AND(HT47=1,CO47=1),(KK47+KO47)/E47,0)</f>
        <v>0</v>
      </c>
      <c r="RP47" s="1" t="n">
        <f aca="false">IF(B47=0,KK47+KO47,0)</f>
        <v>0</v>
      </c>
      <c r="RQ47" s="1" t="n">
        <f aca="false">IF(B47=0,IF(HT47=1,KM47,KN47),0)</f>
        <v>0</v>
      </c>
      <c r="RR47" s="1" t="n">
        <f aca="false">IF(CY47=1,IF(HT47=1,KT47+KW47,CZ47-PL47)*(1+Slot9_Rate),0)</f>
        <v>0</v>
      </c>
      <c r="RS47" s="1" t="n">
        <f aca="false">IF(AND(HT47=1,CY47=1),(KS47+KW47)/E47,0)</f>
        <v>0</v>
      </c>
      <c r="RT47" s="1" t="n">
        <f aca="false">IF(B47=0,KS47+KW47,0)</f>
        <v>0</v>
      </c>
      <c r="RU47" s="1" t="n">
        <f aca="false">IF(B47=0,IF(HT47=1,KU47,KV47),0)</f>
        <v>0</v>
      </c>
      <c r="RV47" s="1" t="n">
        <f aca="false">IF(DI47=1,IF(HT47=1,LB47+LE47,DJ47-PJ47)*(1+Slot10_Rate),0)</f>
        <v>0</v>
      </c>
      <c r="RW47" s="1" t="n">
        <f aca="false">IF(AND(HT47=1,DI47=1),(LA47+LE47)/E47,0)</f>
        <v>0</v>
      </c>
      <c r="RX47" s="1" t="n">
        <f aca="false">IF(B47=0,LA47+LE47,0)</f>
        <v>0</v>
      </c>
      <c r="RY47" s="1" t="n">
        <f aca="false">IF(B47=0,IF(HT47=1,LC47,LD47),0)</f>
        <v>0</v>
      </c>
      <c r="RZ47" s="1" t="n">
        <f aca="false">IF(DS47=1,IF(HT47=1,LJ47+LM47,DT47-PH47)*(1+Slot11_Rate),0)</f>
        <v>0</v>
      </c>
      <c r="SA47" s="1" t="n">
        <f aca="false">IF(AND(HT47=1,DS47=1),(LI47+LM47)/E47,0)</f>
        <v>0</v>
      </c>
      <c r="SB47" s="1" t="n">
        <f aca="false">IF(B47=0,LI47+LM47,0)</f>
        <v>0</v>
      </c>
      <c r="SC47" s="1" t="n">
        <f aca="false">IF(B47=0,IF(HT47=1,LK47,LL47),0)</f>
        <v>0</v>
      </c>
      <c r="SD47" s="1" t="n">
        <f aca="false">IF(EC47=1,IF(HT47=1,LR47+LU47,ED47-PF47)*(1+Slot12_Rate),0)</f>
        <v>0</v>
      </c>
      <c r="SE47" s="1" t="n">
        <f aca="false">IF(AND(HT47=1,EC47=1),(LQ47+LU47)/E47,0)</f>
        <v>0</v>
      </c>
      <c r="SF47" s="1" t="n">
        <f aca="false">IF(B47=0,LQ47+LU47,0)</f>
        <v>0</v>
      </c>
      <c r="SG47" s="1" t="n">
        <f aca="false">IF(B47=0,IF(HT47=1,LS47,LT47),0)</f>
        <v>0</v>
      </c>
      <c r="SH47" s="1" t="n">
        <f aca="false">IF(EM47=1,IF(HT47=1,LZ47+MC47,EN47-PD47)*(1+Slot13_Rate),0)</f>
        <v>0</v>
      </c>
      <c r="SI47" s="1" t="n">
        <f aca="false">IF(AND(HT47=1,EM47=1),(LY47+MC47)/E47,0)</f>
        <v>0</v>
      </c>
      <c r="SJ47" s="1" t="n">
        <f aca="false">IF(B47=0,LY47+MC47,0)</f>
        <v>0</v>
      </c>
      <c r="SK47" s="1" t="n">
        <f aca="false">IF(B47=0,IF(HT47=1,MA47,MB47),0)</f>
        <v>0</v>
      </c>
      <c r="SL47" s="1" t="n">
        <f aca="false">IF(EW47=1,IF(HT47=1,MH47+MK47,EX47-PB47)*(1+Slot14_Rate),0)</f>
        <v>0</v>
      </c>
      <c r="SM47" s="1" t="n">
        <f aca="false">IF(AND(HT47=1,EW47=1),(MG47+MK47)/E47,0)</f>
        <v>0</v>
      </c>
      <c r="SN47" s="1" t="n">
        <f aca="false">IF(B47=0,MG47+MK47,0)</f>
        <v>0</v>
      </c>
      <c r="SO47" s="1" t="n">
        <f aca="false">IF(B47=0,IF(HT47=1,MI47,MJ47),0)</f>
        <v>0</v>
      </c>
      <c r="SP47" s="1" t="n">
        <f aca="false">IF(FG47=1,IF(HT47=1,MP47+MS47,FH47-OZ47)*(1+Slot15_Rate),0)</f>
        <v>0</v>
      </c>
      <c r="SQ47" s="1" t="n">
        <f aca="false">IF(AND(HT47=1,FG47=1),(MO47+MS47)/E47,0)</f>
        <v>0</v>
      </c>
      <c r="SR47" s="1" t="n">
        <f aca="false">IF(B47=0,MO47+MS47,0)</f>
        <v>0</v>
      </c>
      <c r="SS47" s="1" t="n">
        <f aca="false">IF(B47=0,IF(HT47=1,MQ47,MR47),0)</f>
        <v>0</v>
      </c>
      <c r="ST47" s="1" t="n">
        <f aca="false">IF(FQ47=1,IF(HT47=1,MX47+NA47,FR47-OX47)*(1+Slot16_Rate),0)</f>
        <v>0</v>
      </c>
      <c r="SU47" s="1" t="n">
        <f aca="false">IF(AND(HT47=1,FQ47=1),(MW47+NA47)/E47,0)</f>
        <v>0</v>
      </c>
      <c r="SV47" s="1" t="n">
        <f aca="false">IF(B47=0,MW47+NA47,0)</f>
        <v>0</v>
      </c>
      <c r="SW47" s="1" t="n">
        <f aca="false">IF(B47=0,IF(HT47=1,MY47,MZ47),0)</f>
        <v>0</v>
      </c>
      <c r="SX47" s="1" t="n">
        <f aca="false">IF(GA47=1,IF(HT47=1,NF47+NI47,GB47-OV47)*(1+Slot17_Rate),0)</f>
        <v>0</v>
      </c>
      <c r="SY47" s="1" t="n">
        <f aca="false">IF(AND(HT47=1,GA47=1),(NE47+NI47)/E47,0)</f>
        <v>0</v>
      </c>
      <c r="SZ47" s="1" t="n">
        <f aca="false">IF(B47=0,NE47+NI47,0)</f>
        <v>0</v>
      </c>
      <c r="TA47" s="1" t="n">
        <f aca="false">IF(B47=0,IF(HT47=1,NG47,NH47),0)</f>
        <v>0</v>
      </c>
      <c r="TB47" s="1" t="n">
        <f aca="false">IF(GK47=1,IF(HT47=1,NN47+NQ47,GL47-OT47)*(1+Slot18_Rate),0)</f>
        <v>0</v>
      </c>
      <c r="TC47" s="1" t="n">
        <f aca="false">IF(AND(HT47=1,GK47=1),(NM47+NQ47)/E47,0)</f>
        <v>0</v>
      </c>
      <c r="TD47" s="1" t="n">
        <f aca="false">IF(B47=0,NM47+NQ47,0)</f>
        <v>0</v>
      </c>
      <c r="TE47" s="1" t="n">
        <f aca="false">IF(B47=0,IF(HT47=1,NO47,NP47),0)</f>
        <v>0</v>
      </c>
      <c r="TF47" s="1" t="n">
        <f aca="false">IF(GU47=1,IF(HT47=1,NV47+NY47,GV47-OR47)*(1+Slot19_Rate),0)</f>
        <v>0</v>
      </c>
      <c r="TG47" s="1" t="n">
        <f aca="false">IF(AND(HT47=1,GU47=1),(NU47+NY47)/E47,0)</f>
        <v>0</v>
      </c>
      <c r="TH47" s="1" t="n">
        <f aca="false">IF(B47=0,NU47+NY47,0)</f>
        <v>0</v>
      </c>
      <c r="TI47" s="1" t="n">
        <f aca="false">IF(B47=0,IF(HT47=1,NW47,NX47),0)</f>
        <v>0</v>
      </c>
      <c r="TJ47" s="1" t="n">
        <f aca="false">IF(HE47=1,IF(HT47=1,OD47+OG47,HF47-OP47)*(1+Slot20_Rate),0)</f>
        <v>0</v>
      </c>
      <c r="TK47" s="1" t="n">
        <f aca="false">IF(AND(HT47=1,HE47=1),(OC47+OG47)/E47,0)</f>
        <v>0</v>
      </c>
      <c r="TL47" s="1" t="n">
        <f aca="false">IF(B47=0,OC47+OG47,0)</f>
        <v>0</v>
      </c>
      <c r="TM47" s="1" t="n">
        <f aca="false">IF(B47=0,IF(HT47=1,OE47,OF47),0)</f>
        <v>0</v>
      </c>
      <c r="TN47" s="1" t="n">
        <f aca="false">QJ47+QK47+QL47+QP47+QT47+QX47+RB47+RF47+RJ47+RN47+RR47+RV47+RZ47+SD47+SH47+SL47+SP47+ST47+SX47+TB47+TF47+TJ47</f>
        <v>0</v>
      </c>
      <c r="TO47" s="1" t="n">
        <f aca="false">QD47+HO47</f>
        <v>0</v>
      </c>
      <c r="TP47" s="1" t="n">
        <f aca="false">H47+R47</f>
        <v>0</v>
      </c>
      <c r="TQ47" s="1" t="n">
        <f aca="false">1-F47</f>
        <v>0</v>
      </c>
      <c r="TR47" s="1" t="n">
        <f aca="false">IF(AND(RG_Exists=1,F47=0,C47=1),H47,0)</f>
        <v>0</v>
      </c>
      <c r="TS47" s="1" t="n">
        <f aca="false">IF(AND(RG_Exists=1,F47=0,C47=1),H47-MIN(QD47,H47),0)</f>
        <v>0</v>
      </c>
      <c r="TT47" s="1" t="n">
        <f aca="false">'Plan pay &amp; tax'!AD273</f>
        <v>0</v>
      </c>
      <c r="TU47" s="1" t="n">
        <f aca="false">IF(AND(C47=1,QD47&gt;MAX(PR_Short1,TP47*PR_Short2)),1,0)</f>
        <v>0</v>
      </c>
      <c r="TV47" s="1" t="n">
        <f aca="false">MIN(G47,H47+R47)</f>
        <v>0</v>
      </c>
      <c r="TW47" s="1" t="n">
        <f aca="false">QE47+MAX(0,HP47-HO47)</f>
        <v>0</v>
      </c>
      <c r="TX47" s="1" t="n">
        <f aca="false">QD47+HO47</f>
        <v>0</v>
      </c>
      <c r="TY47" s="1" t="n">
        <f aca="false">IF(AND(C47=1,TX47&gt;PR_MinShort),1,0)</f>
        <v>0</v>
      </c>
      <c r="TZ47" s="1" t="n">
        <f aca="false">IF(AND(C47=1,TY47=0,TW47&gt;PR_MinShort),1,0)</f>
        <v>0</v>
      </c>
      <c r="UA47" s="1" t="n">
        <f aca="false">IF(AND(C47=1,QD47&gt;PR_MinShort),1,0)</f>
        <v>0</v>
      </c>
      <c r="UB47" s="1" t="n">
        <f aca="false">IF(AND(C47=1,QE47&gt;1,UI47=0),1,0)</f>
        <v>0</v>
      </c>
      <c r="UC47" s="1" t="str">
        <f aca="false">IF(C47=0,"",IF(UI47=1,"Gap to plan for: short "&amp;"€"&amp;TEXT(ROUND(TO47,0),"#,##0"),IF(QE47&gt;1,"Using savings","Comfortable")))</f>
        <v>Comfortable</v>
      </c>
      <c r="UD47" s="1" t="n">
        <f aca="false">IF(AND(INT(D47/10)*10=90,B47&gt;0),80,INT(D47/10)*10)</f>
        <v>30</v>
      </c>
      <c r="UE47" s="1" t="n">
        <f aca="false">IF(B47=0,1,IF(UD47&lt;&gt;UD46,UE46+1,UE46))</f>
        <v>4</v>
      </c>
      <c r="UF47" s="1" t="n">
        <f aca="false">IF(AND(C47=1,F47=1,QD47&gt;MAX(PR_Short1,TP47*PR_Short2)),1,0)</f>
        <v>0</v>
      </c>
      <c r="UG47" s="1" t="n">
        <f aca="false">TQ47*TU47</f>
        <v>0</v>
      </c>
      <c r="UH47" s="1" t="n">
        <f aca="false">IF(AND(U47=1,Slot1_PctLow=1),1,0)+IF(AND(AF47=1,Slot2_PctLow=1),1,0)+IF(AND(AP47=1,Slot3_PctLow=1),1,0)+IF(AND(AZ47=1,Slot4_PctLow=1),1,0)+IF(AND(BJ47=1,Slot5_PctLow=1),1,0)+IF(AND(BT47=1,Slot6_PctLow=1),1,0)+IF(AND(CD47=1,Slot7_PctLow=1),1,0)+IF(AND(CN47=1,Slot8_PctLow=1),1,0)+IF(AND(CX47=1,Slot9_PctLow=1),1,0)+IF(AND(DH47=1,Slot10_PctLow=1),1,0)+IF(AND(DR47=1,Slot11_PctLow=1),1,0)+IF(AND(EB47=1,Slot12_PctLow=1),1,0)+IF(AND(EL47=1,Slot13_PctLow=1),1,0)+IF(AND(EV47=1,Slot14_PctLow=1),1,0)+IF(AND(FF47=1,Slot15_PctLow=1),1,0)+IF(AND(FP47=1,Slot16_PctLow=1),1,0)+IF(AND(FZ47=1,Slot17_PctLow=1),1,0)+IF(AND(GJ47=1,Slot18_PctLow=1),1,0)+IF(AND(GT47=1,Slot19_PctLow=1),1,0)+IF(AND(HD47=1,Slot20_PctLow=1),1,0)</f>
        <v>0</v>
      </c>
      <c r="UI47" s="1" t="n">
        <f aca="false">IF(C47=1,IF(OR(TU47=1,UH47&gt;0),1,0),0)</f>
        <v>0</v>
      </c>
    </row>
    <row r="48" customFormat="false" ht="15" hidden="false" customHeight="true" outlineLevel="0" collapsed="false">
      <c r="B48" s="1" t="n">
        <v>40</v>
      </c>
      <c r="C48" s="1" t="n">
        <f aca="false">IF(B48&lt;=F_N,1,0)</f>
        <v>1</v>
      </c>
      <c r="D48" s="1" t="n">
        <f aca="false">'Plan pay &amp; tax'!C274</f>
        <v>40</v>
      </c>
      <c r="E48" s="111" t="n">
        <f aca="false">'Plan pay &amp; tax'!E274</f>
        <v>2.20803966361485</v>
      </c>
      <c r="F48" s="1" t="n">
        <f aca="false">'Plan pay &amp; tax'!G274</f>
        <v>1</v>
      </c>
      <c r="G48" s="1" t="n">
        <f aca="false">'Plan pay &amp; tax'!BT274-'Plan pay &amp; tax'!BS274-'Plan pay &amp; tax'!R274</f>
        <v>0</v>
      </c>
      <c r="H48" s="1" t="n">
        <f aca="false">IF(F48=1,F_CostsM*12,IF(RG_Exists=1,RG_Amount,F_CostsM*12*AS_RetireSpend))*E48+F_OneOffY*E48</f>
        <v>0</v>
      </c>
      <c r="I48" s="1" t="n">
        <f aca="false">HQ47</f>
        <v>0</v>
      </c>
      <c r="J48" s="1" t="n">
        <f aca="false">IF(I48&gt;1,'Plan debt months'!AC48,0)</f>
        <v>0</v>
      </c>
      <c r="K48" s="1" t="n">
        <f aca="false">IF(I48&gt;1,'Plan debt months'!AB48,I48)</f>
        <v>0</v>
      </c>
      <c r="L48" s="1" t="n">
        <f aca="false">N47</f>
        <v>0</v>
      </c>
      <c r="M48" s="1" t="n">
        <f aca="false">IF(L48&gt;1,'Plan debt months'!BD48,0)</f>
        <v>0</v>
      </c>
      <c r="N48" s="1" t="n">
        <f aca="false">IF(L48&gt;1,'Plan debt months'!BC48,L48)</f>
        <v>0</v>
      </c>
      <c r="O48" s="1" t="n">
        <f aca="false">Q47</f>
        <v>0</v>
      </c>
      <c r="P48" s="1" t="n">
        <f aca="false">IF(O48&gt;1,'Plan debt months'!CE48,0)</f>
        <v>0</v>
      </c>
      <c r="Q48" s="1" t="n">
        <f aca="false">IF(O48&gt;1,'Plan debt months'!CD48,O48)</f>
        <v>0</v>
      </c>
      <c r="R48" s="1" t="n">
        <f aca="false">J48+M48+P48</f>
        <v>0</v>
      </c>
      <c r="S48" s="1" t="n">
        <f aca="false">QJ47+'Plan pay &amp; tax'!Y274</f>
        <v>0</v>
      </c>
      <c r="T48" s="1" t="n">
        <f aca="false">QJ47</f>
        <v>0</v>
      </c>
      <c r="U48" s="1" t="n">
        <f aca="false">IF(AND(Slot1_On=1,D48=Slot1_Age),1,0)</f>
        <v>0</v>
      </c>
      <c r="V48" s="1" t="n">
        <f aca="false">IF(AND(Slot1_On=1,Slot1_Age&gt;D48),1,0)</f>
        <v>0</v>
      </c>
      <c r="W48" s="1" t="n">
        <f aca="false">QL47</f>
        <v>0</v>
      </c>
      <c r="X48" s="1" t="n">
        <f aca="false">U48*MIN(Slot1_Cost,W48)</f>
        <v>0</v>
      </c>
      <c r="Y48" s="1" t="n">
        <f aca="false">U48*Slot1_SpendLike*MIN(Slot1_Cost-X48,S48)</f>
        <v>0</v>
      </c>
      <c r="Z48" s="1" t="n">
        <f aca="false">X48+Y48</f>
        <v>0</v>
      </c>
      <c r="AA48" s="1" t="n">
        <f aca="false">S48-Y48+U48*IF(Slot1_SpendLike=1,W48-X48,IF(Slot1_PotFree=1,W48,0))</f>
        <v>0</v>
      </c>
      <c r="AB48" s="1" t="n">
        <f aca="false">AE48+U48*Slot1_BufPot*W48</f>
        <v>0</v>
      </c>
      <c r="AC48" s="1" t="n">
        <f aca="false">IF(AND(U48=1,Slot1_IsMfree=1),IF(Z48&gt;=Slot1_Cost-1,0,MAX(0,K48-Z48)),K48)</f>
        <v>0</v>
      </c>
      <c r="AD48" s="1" t="n">
        <f aca="false">U48*(Slot1_Cost-Z48)</f>
        <v>0</v>
      </c>
      <c r="AE48" s="1" t="n">
        <f aca="false">QK47</f>
        <v>0</v>
      </c>
      <c r="AF48" s="1" t="n">
        <f aca="false">IF(AND(Slot2_On=1,D48=Slot2_Age),1,0)</f>
        <v>0</v>
      </c>
      <c r="AG48" s="1" t="n">
        <f aca="false">IF(AND(Slot2_On=1,Slot2_Age&gt;D48),1,0)</f>
        <v>0</v>
      </c>
      <c r="AH48" s="1" t="n">
        <f aca="false">QP47</f>
        <v>0</v>
      </c>
      <c r="AI48" s="1" t="n">
        <f aca="false">AF48*MIN(Slot2_Cost,AH48)</f>
        <v>0</v>
      </c>
      <c r="AJ48" s="1" t="n">
        <f aca="false">AF48*Slot2_SpendLike*MIN(Slot2_Cost-AI48,AA48)</f>
        <v>0</v>
      </c>
      <c r="AK48" s="1" t="n">
        <f aca="false">AI48+AJ48</f>
        <v>0</v>
      </c>
      <c r="AL48" s="1" t="n">
        <f aca="false">AA48-AJ48+AF48*IF(Slot2_SpendLike=1,AH48-AI48,IF(Slot2_PotFree=1,AH48,0))</f>
        <v>0</v>
      </c>
      <c r="AM48" s="1" t="n">
        <f aca="false">AB48+AF48*Slot2_BufPot*AH48</f>
        <v>0</v>
      </c>
      <c r="AN48" s="1" t="n">
        <f aca="false">IF(AND(AF48=1,Slot2_IsMfree=1),IF(AK48&gt;=Slot2_Cost-1,0,MAX(0,AC48-AK48)),AC48)</f>
        <v>0</v>
      </c>
      <c r="AO48" s="1" t="n">
        <f aca="false">AF48*(Slot2_Cost-AK48)</f>
        <v>0</v>
      </c>
      <c r="AP48" s="1" t="n">
        <f aca="false">IF(AND(Slot3_On=1,D48=Slot3_Age),1,0)</f>
        <v>0</v>
      </c>
      <c r="AQ48" s="1" t="n">
        <f aca="false">IF(AND(Slot3_On=1,Slot3_Age&gt;D48),1,0)</f>
        <v>0</v>
      </c>
      <c r="AR48" s="1" t="n">
        <f aca="false">QT47</f>
        <v>0</v>
      </c>
      <c r="AS48" s="1" t="n">
        <f aca="false">AP48*MIN(Slot3_Cost,AR48)</f>
        <v>0</v>
      </c>
      <c r="AT48" s="1" t="n">
        <f aca="false">AP48*Slot3_SpendLike*MIN(Slot3_Cost-AS48,AL48)</f>
        <v>0</v>
      </c>
      <c r="AU48" s="1" t="n">
        <f aca="false">AS48+AT48</f>
        <v>0</v>
      </c>
      <c r="AV48" s="1" t="n">
        <f aca="false">AL48-AT48+AP48*IF(Slot3_SpendLike=1,AR48-AS48,IF(Slot3_PotFree=1,AR48,0))</f>
        <v>0</v>
      </c>
      <c r="AW48" s="1" t="n">
        <f aca="false">AM48+AP48*Slot3_BufPot*AR48</f>
        <v>0</v>
      </c>
      <c r="AX48" s="1" t="n">
        <f aca="false">IF(AND(AP48=1,Slot3_IsMfree=1),IF(AU48&gt;=Slot3_Cost-1,0,MAX(0,AN48-AU48)),AN48)</f>
        <v>0</v>
      </c>
      <c r="AY48" s="1" t="n">
        <f aca="false">AP48*(Slot3_Cost-AU48)</f>
        <v>0</v>
      </c>
      <c r="AZ48" s="1" t="n">
        <f aca="false">IF(AND(Slot4_On=1,D48=Slot4_Age),1,0)</f>
        <v>0</v>
      </c>
      <c r="BA48" s="1" t="n">
        <f aca="false">IF(AND(Slot4_On=1,Slot4_Age&gt;D48),1,0)</f>
        <v>0</v>
      </c>
      <c r="BB48" s="1" t="n">
        <f aca="false">QX47</f>
        <v>0</v>
      </c>
      <c r="BC48" s="1" t="n">
        <f aca="false">AZ48*MIN(Slot4_Cost,BB48)</f>
        <v>0</v>
      </c>
      <c r="BD48" s="1" t="n">
        <f aca="false">AZ48*Slot4_SpendLike*MIN(Slot4_Cost-BC48,AV48)</f>
        <v>0</v>
      </c>
      <c r="BE48" s="1" t="n">
        <f aca="false">BC48+BD48</f>
        <v>0</v>
      </c>
      <c r="BF48" s="1" t="n">
        <f aca="false">AV48-BD48+AZ48*IF(Slot4_SpendLike=1,BB48-BC48,IF(Slot4_PotFree=1,BB48,0))</f>
        <v>0</v>
      </c>
      <c r="BG48" s="1" t="n">
        <f aca="false">AW48+AZ48*Slot4_BufPot*BB48</f>
        <v>0</v>
      </c>
      <c r="BH48" s="1" t="n">
        <f aca="false">IF(AND(AZ48=1,Slot4_IsMfree=1),IF(BE48&gt;=Slot4_Cost-1,0,MAX(0,AX48-BE48)),AX48)</f>
        <v>0</v>
      </c>
      <c r="BI48" s="1" t="n">
        <f aca="false">AZ48*(Slot4_Cost-BE48)</f>
        <v>0</v>
      </c>
      <c r="BJ48" s="1" t="n">
        <f aca="false">IF(AND(Slot5_On=1,D48=Slot5_Age),1,0)</f>
        <v>0</v>
      </c>
      <c r="BK48" s="1" t="n">
        <f aca="false">IF(AND(Slot5_On=1,Slot5_Age&gt;D48),1,0)</f>
        <v>0</v>
      </c>
      <c r="BL48" s="1" t="n">
        <f aca="false">RB47</f>
        <v>0</v>
      </c>
      <c r="BM48" s="1" t="n">
        <f aca="false">BJ48*MIN(Slot5_Cost,BL48)</f>
        <v>0</v>
      </c>
      <c r="BN48" s="1" t="n">
        <f aca="false">BJ48*Slot5_SpendLike*MIN(Slot5_Cost-BM48,BF48)</f>
        <v>0</v>
      </c>
      <c r="BO48" s="1" t="n">
        <f aca="false">BM48+BN48</f>
        <v>0</v>
      </c>
      <c r="BP48" s="1" t="n">
        <f aca="false">BF48-BN48+BJ48*IF(Slot5_SpendLike=1,BL48-BM48,IF(Slot5_PotFree=1,BL48,0))</f>
        <v>0</v>
      </c>
      <c r="BQ48" s="1" t="n">
        <f aca="false">BG48+BJ48*Slot5_BufPot*BL48</f>
        <v>0</v>
      </c>
      <c r="BR48" s="1" t="n">
        <f aca="false">IF(AND(BJ48=1,Slot5_IsMfree=1),IF(BO48&gt;=Slot5_Cost-1,0,MAX(0,BH48-BO48)),BH48)</f>
        <v>0</v>
      </c>
      <c r="BS48" s="1" t="n">
        <f aca="false">BJ48*(Slot5_Cost-BO48)</f>
        <v>0</v>
      </c>
      <c r="BT48" s="1" t="n">
        <f aca="false">IF(AND(Slot6_On=1,D48=Slot6_Age),1,0)</f>
        <v>0</v>
      </c>
      <c r="BU48" s="1" t="n">
        <f aca="false">IF(AND(Slot6_On=1,Slot6_Age&gt;D48),1,0)</f>
        <v>0</v>
      </c>
      <c r="BV48" s="1" t="n">
        <f aca="false">RF47</f>
        <v>0</v>
      </c>
      <c r="BW48" s="1" t="n">
        <f aca="false">BT48*MIN(Slot6_Cost,BV48)</f>
        <v>0</v>
      </c>
      <c r="BX48" s="1" t="n">
        <f aca="false">BT48*Slot6_SpendLike*MIN(Slot6_Cost-BW48,BP48)</f>
        <v>0</v>
      </c>
      <c r="BY48" s="1" t="n">
        <f aca="false">BW48+BX48</f>
        <v>0</v>
      </c>
      <c r="BZ48" s="1" t="n">
        <f aca="false">BP48-BX48+BT48*IF(Slot6_SpendLike=1,BV48-BW48,IF(Slot6_PotFree=1,BV48,0))</f>
        <v>0</v>
      </c>
      <c r="CA48" s="1" t="n">
        <f aca="false">BQ48+BT48*Slot6_BufPot*BV48</f>
        <v>0</v>
      </c>
      <c r="CB48" s="1" t="n">
        <f aca="false">IF(AND(BT48=1,Slot6_IsMfree=1),IF(BY48&gt;=Slot6_Cost-1,0,MAX(0,BR48-BY48)),BR48)</f>
        <v>0</v>
      </c>
      <c r="CC48" s="1" t="n">
        <f aca="false">BT48*(Slot6_Cost-BY48)</f>
        <v>0</v>
      </c>
      <c r="CD48" s="1" t="n">
        <f aca="false">IF(AND(Slot7_On=1,D48=Slot7_Age),1,0)</f>
        <v>0</v>
      </c>
      <c r="CE48" s="1" t="n">
        <f aca="false">IF(AND(Slot7_On=1,Slot7_Age&gt;D48),1,0)</f>
        <v>0</v>
      </c>
      <c r="CF48" s="1" t="n">
        <f aca="false">RJ47</f>
        <v>0</v>
      </c>
      <c r="CG48" s="1" t="n">
        <f aca="false">CD48*MIN(Slot7_Cost,CF48)</f>
        <v>0</v>
      </c>
      <c r="CH48" s="1" t="n">
        <f aca="false">CD48*Slot7_SpendLike*MIN(Slot7_Cost-CG48,BZ48)</f>
        <v>0</v>
      </c>
      <c r="CI48" s="1" t="n">
        <f aca="false">CG48+CH48</f>
        <v>0</v>
      </c>
      <c r="CJ48" s="1" t="n">
        <f aca="false">BZ48-CH48+CD48*IF(Slot7_SpendLike=1,CF48-CG48,IF(Slot7_PotFree=1,CF48,0))</f>
        <v>0</v>
      </c>
      <c r="CK48" s="1" t="n">
        <f aca="false">CA48+CD48*Slot7_BufPot*CF48</f>
        <v>0</v>
      </c>
      <c r="CL48" s="1" t="n">
        <f aca="false">IF(AND(CD48=1,Slot7_IsMfree=1),IF(CI48&gt;=Slot7_Cost-1,0,MAX(0,CB48-CI48)),CB48)</f>
        <v>0</v>
      </c>
      <c r="CM48" s="1" t="n">
        <f aca="false">CD48*(Slot7_Cost-CI48)</f>
        <v>0</v>
      </c>
      <c r="CN48" s="1" t="n">
        <f aca="false">IF(AND(Slot8_On=1,D48=Slot8_Age),1,0)</f>
        <v>0</v>
      </c>
      <c r="CO48" s="1" t="n">
        <f aca="false">IF(AND(Slot8_On=1,Slot8_Age&gt;D48),1,0)</f>
        <v>0</v>
      </c>
      <c r="CP48" s="1" t="n">
        <f aca="false">RN47</f>
        <v>0</v>
      </c>
      <c r="CQ48" s="1" t="n">
        <f aca="false">CN48*MIN(Slot8_Cost,CP48)</f>
        <v>0</v>
      </c>
      <c r="CR48" s="1" t="n">
        <f aca="false">CN48*Slot8_SpendLike*MIN(Slot8_Cost-CQ48,CJ48)</f>
        <v>0</v>
      </c>
      <c r="CS48" s="1" t="n">
        <f aca="false">CQ48+CR48</f>
        <v>0</v>
      </c>
      <c r="CT48" s="1" t="n">
        <f aca="false">CJ48-CR48+CN48*IF(Slot8_SpendLike=1,CP48-CQ48,IF(Slot8_PotFree=1,CP48,0))</f>
        <v>0</v>
      </c>
      <c r="CU48" s="1" t="n">
        <f aca="false">CK48+CN48*Slot8_BufPot*CP48</f>
        <v>0</v>
      </c>
      <c r="CV48" s="1" t="n">
        <f aca="false">IF(AND(CN48=1,Slot8_IsMfree=1),IF(CS48&gt;=Slot8_Cost-1,0,MAX(0,CL48-CS48)),CL48)</f>
        <v>0</v>
      </c>
      <c r="CW48" s="1" t="n">
        <f aca="false">CN48*(Slot8_Cost-CS48)</f>
        <v>0</v>
      </c>
      <c r="CX48" s="1" t="n">
        <f aca="false">IF(AND(Slot9_On=1,D48=Slot9_Age),1,0)</f>
        <v>0</v>
      </c>
      <c r="CY48" s="1" t="n">
        <f aca="false">IF(AND(Slot9_On=1,Slot9_Age&gt;D48),1,0)</f>
        <v>0</v>
      </c>
      <c r="CZ48" s="1" t="n">
        <f aca="false">RR47</f>
        <v>0</v>
      </c>
      <c r="DA48" s="1" t="n">
        <f aca="false">CX48*MIN(Slot9_Cost,CZ48)</f>
        <v>0</v>
      </c>
      <c r="DB48" s="1" t="n">
        <f aca="false">CX48*Slot9_SpendLike*MIN(Slot9_Cost-DA48,CT48)</f>
        <v>0</v>
      </c>
      <c r="DC48" s="1" t="n">
        <f aca="false">DA48+DB48</f>
        <v>0</v>
      </c>
      <c r="DD48" s="1" t="n">
        <f aca="false">CT48-DB48+CX48*IF(Slot9_SpendLike=1,CZ48-DA48,IF(Slot9_PotFree=1,CZ48,0))</f>
        <v>0</v>
      </c>
      <c r="DE48" s="1" t="n">
        <f aca="false">CU48+CX48*Slot9_BufPot*CZ48</f>
        <v>0</v>
      </c>
      <c r="DF48" s="1" t="n">
        <f aca="false">IF(AND(CX48=1,Slot9_IsMfree=1),IF(DC48&gt;=Slot9_Cost-1,0,MAX(0,CV48-DC48)),CV48)</f>
        <v>0</v>
      </c>
      <c r="DG48" s="1" t="n">
        <f aca="false">CX48*(Slot9_Cost-DC48)</f>
        <v>0</v>
      </c>
      <c r="DH48" s="1" t="n">
        <f aca="false">IF(AND(Slot10_On=1,D48=Slot10_Age),1,0)</f>
        <v>0</v>
      </c>
      <c r="DI48" s="1" t="n">
        <f aca="false">IF(AND(Slot10_On=1,Slot10_Age&gt;D48),1,0)</f>
        <v>0</v>
      </c>
      <c r="DJ48" s="1" t="n">
        <f aca="false">RV47</f>
        <v>0</v>
      </c>
      <c r="DK48" s="1" t="n">
        <f aca="false">DH48*MIN(Slot10_Cost,DJ48)</f>
        <v>0</v>
      </c>
      <c r="DL48" s="1" t="n">
        <f aca="false">DH48*Slot10_SpendLike*MIN(Slot10_Cost-DK48,DD48)</f>
        <v>0</v>
      </c>
      <c r="DM48" s="1" t="n">
        <f aca="false">DK48+DL48</f>
        <v>0</v>
      </c>
      <c r="DN48" s="1" t="n">
        <f aca="false">DD48-DL48+DH48*IF(Slot10_SpendLike=1,DJ48-DK48,IF(Slot10_PotFree=1,DJ48,0))</f>
        <v>0</v>
      </c>
      <c r="DO48" s="1" t="n">
        <f aca="false">DE48+DH48*Slot10_BufPot*DJ48</f>
        <v>0</v>
      </c>
      <c r="DP48" s="1" t="n">
        <f aca="false">IF(AND(DH48=1,Slot10_IsMfree=1),IF(DM48&gt;=Slot10_Cost-1,0,MAX(0,DF48-DM48)),DF48)</f>
        <v>0</v>
      </c>
      <c r="DQ48" s="1" t="n">
        <f aca="false">DH48*(Slot10_Cost-DM48)</f>
        <v>0</v>
      </c>
      <c r="DR48" s="1" t="n">
        <f aca="false">IF(AND(Slot11_On=1,D48=Slot11_Age),1,0)</f>
        <v>0</v>
      </c>
      <c r="DS48" s="1" t="n">
        <f aca="false">IF(AND(Slot11_On=1,Slot11_Age&gt;D48),1,0)</f>
        <v>0</v>
      </c>
      <c r="DT48" s="1" t="n">
        <f aca="false">RZ47</f>
        <v>0</v>
      </c>
      <c r="DU48" s="1" t="n">
        <f aca="false">DR48*MIN(Slot11_Cost,DT48)</f>
        <v>0</v>
      </c>
      <c r="DV48" s="1" t="n">
        <f aca="false">DR48*Slot11_SpendLike*MIN(Slot11_Cost-DU48,DN48)</f>
        <v>0</v>
      </c>
      <c r="DW48" s="1" t="n">
        <f aca="false">DU48+DV48</f>
        <v>0</v>
      </c>
      <c r="DX48" s="1" t="n">
        <f aca="false">DN48-DV48+DR48*IF(Slot11_SpendLike=1,DT48-DU48,IF(Slot11_PotFree=1,DT48,0))</f>
        <v>0</v>
      </c>
      <c r="DY48" s="1" t="n">
        <f aca="false">DO48+DR48*Slot11_BufPot*DT48</f>
        <v>0</v>
      </c>
      <c r="DZ48" s="1" t="n">
        <f aca="false">IF(AND(DR48=1,Slot11_IsMfree=1),IF(DW48&gt;=Slot11_Cost-1,0,MAX(0,DP48-DW48)),DP48)</f>
        <v>0</v>
      </c>
      <c r="EA48" s="1" t="n">
        <f aca="false">DR48*(Slot11_Cost-DW48)</f>
        <v>0</v>
      </c>
      <c r="EB48" s="1" t="n">
        <f aca="false">IF(AND(Slot12_On=1,D48=Slot12_Age),1,0)</f>
        <v>0</v>
      </c>
      <c r="EC48" s="1" t="n">
        <f aca="false">IF(AND(Slot12_On=1,Slot12_Age&gt;D48),1,0)</f>
        <v>0</v>
      </c>
      <c r="ED48" s="1" t="n">
        <f aca="false">SD47</f>
        <v>0</v>
      </c>
      <c r="EE48" s="1" t="n">
        <f aca="false">EB48*MIN(Slot12_Cost,ED48)</f>
        <v>0</v>
      </c>
      <c r="EF48" s="1" t="n">
        <f aca="false">EB48*Slot12_SpendLike*MIN(Slot12_Cost-EE48,DX48)</f>
        <v>0</v>
      </c>
      <c r="EG48" s="1" t="n">
        <f aca="false">EE48+EF48</f>
        <v>0</v>
      </c>
      <c r="EH48" s="1" t="n">
        <f aca="false">DX48-EF48+EB48*IF(Slot12_SpendLike=1,ED48-EE48,IF(Slot12_PotFree=1,ED48,0))</f>
        <v>0</v>
      </c>
      <c r="EI48" s="1" t="n">
        <f aca="false">DY48+EB48*Slot12_BufPot*ED48</f>
        <v>0</v>
      </c>
      <c r="EJ48" s="1" t="n">
        <f aca="false">IF(AND(EB48=1,Slot12_IsMfree=1),IF(EG48&gt;=Slot12_Cost-1,0,MAX(0,DZ48-EG48)),DZ48)</f>
        <v>0</v>
      </c>
      <c r="EK48" s="1" t="n">
        <f aca="false">EB48*(Slot12_Cost-EG48)</f>
        <v>0</v>
      </c>
      <c r="EL48" s="1" t="n">
        <f aca="false">IF(AND(Slot13_On=1,D48=Slot13_Age),1,0)</f>
        <v>0</v>
      </c>
      <c r="EM48" s="1" t="n">
        <f aca="false">IF(AND(Slot13_On=1,Slot13_Age&gt;D48),1,0)</f>
        <v>0</v>
      </c>
      <c r="EN48" s="1" t="n">
        <f aca="false">SH47</f>
        <v>0</v>
      </c>
      <c r="EO48" s="1" t="n">
        <f aca="false">EL48*MIN(Slot13_Cost,EN48)</f>
        <v>0</v>
      </c>
      <c r="EP48" s="1" t="n">
        <f aca="false">EL48*Slot13_SpendLike*MIN(Slot13_Cost-EO48,EH48)</f>
        <v>0</v>
      </c>
      <c r="EQ48" s="1" t="n">
        <f aca="false">EO48+EP48</f>
        <v>0</v>
      </c>
      <c r="ER48" s="1" t="n">
        <f aca="false">EH48-EP48+EL48*IF(Slot13_SpendLike=1,EN48-EO48,IF(Slot13_PotFree=1,EN48,0))</f>
        <v>0</v>
      </c>
      <c r="ES48" s="1" t="n">
        <f aca="false">EI48+EL48*Slot13_BufPot*EN48</f>
        <v>0</v>
      </c>
      <c r="ET48" s="1" t="n">
        <f aca="false">IF(AND(EL48=1,Slot13_IsMfree=1),IF(EQ48&gt;=Slot13_Cost-1,0,MAX(0,EJ48-EQ48)),EJ48)</f>
        <v>0</v>
      </c>
      <c r="EU48" s="1" t="n">
        <f aca="false">EL48*(Slot13_Cost-EQ48)</f>
        <v>0</v>
      </c>
      <c r="EV48" s="1" t="n">
        <f aca="false">IF(AND(Slot14_On=1,D48=Slot14_Age),1,0)</f>
        <v>0</v>
      </c>
      <c r="EW48" s="1" t="n">
        <f aca="false">IF(AND(Slot14_On=1,Slot14_Age&gt;D48),1,0)</f>
        <v>0</v>
      </c>
      <c r="EX48" s="1" t="n">
        <f aca="false">SL47</f>
        <v>0</v>
      </c>
      <c r="EY48" s="1" t="n">
        <f aca="false">EV48*MIN(Slot14_Cost,EX48)</f>
        <v>0</v>
      </c>
      <c r="EZ48" s="1" t="n">
        <f aca="false">EV48*Slot14_SpendLike*MIN(Slot14_Cost-EY48,ER48)</f>
        <v>0</v>
      </c>
      <c r="FA48" s="1" t="n">
        <f aca="false">EY48+EZ48</f>
        <v>0</v>
      </c>
      <c r="FB48" s="1" t="n">
        <f aca="false">ER48-EZ48+EV48*IF(Slot14_SpendLike=1,EX48-EY48,IF(Slot14_PotFree=1,EX48,0))</f>
        <v>0</v>
      </c>
      <c r="FC48" s="1" t="n">
        <f aca="false">ES48+EV48*Slot14_BufPot*EX48</f>
        <v>0</v>
      </c>
      <c r="FD48" s="1" t="n">
        <f aca="false">IF(AND(EV48=1,Slot14_IsMfree=1),IF(FA48&gt;=Slot14_Cost-1,0,MAX(0,ET48-FA48)),ET48)</f>
        <v>0</v>
      </c>
      <c r="FE48" s="1" t="n">
        <f aca="false">EV48*(Slot14_Cost-FA48)</f>
        <v>0</v>
      </c>
      <c r="FF48" s="1" t="n">
        <f aca="false">IF(AND(Slot15_On=1,D48=Slot15_Age),1,0)</f>
        <v>0</v>
      </c>
      <c r="FG48" s="1" t="n">
        <f aca="false">IF(AND(Slot15_On=1,Slot15_Age&gt;D48),1,0)</f>
        <v>0</v>
      </c>
      <c r="FH48" s="1" t="n">
        <f aca="false">SP47</f>
        <v>0</v>
      </c>
      <c r="FI48" s="1" t="n">
        <f aca="false">FF48*MIN(Slot15_Cost,FH48)</f>
        <v>0</v>
      </c>
      <c r="FJ48" s="1" t="n">
        <f aca="false">FF48*Slot15_SpendLike*MIN(Slot15_Cost-FI48,FB48)</f>
        <v>0</v>
      </c>
      <c r="FK48" s="1" t="n">
        <f aca="false">FI48+FJ48</f>
        <v>0</v>
      </c>
      <c r="FL48" s="1" t="n">
        <f aca="false">FB48-FJ48+FF48*IF(Slot15_SpendLike=1,FH48-FI48,IF(Slot15_PotFree=1,FH48,0))</f>
        <v>0</v>
      </c>
      <c r="FM48" s="1" t="n">
        <f aca="false">FC48+FF48*Slot15_BufPot*FH48</f>
        <v>0</v>
      </c>
      <c r="FN48" s="1" t="n">
        <f aca="false">IF(AND(FF48=1,Slot15_IsMfree=1),IF(FK48&gt;=Slot15_Cost-1,0,MAX(0,FD48-FK48)),FD48)</f>
        <v>0</v>
      </c>
      <c r="FO48" s="1" t="n">
        <f aca="false">FF48*(Slot15_Cost-FK48)</f>
        <v>0</v>
      </c>
      <c r="FP48" s="1" t="n">
        <f aca="false">IF(AND(Slot16_On=1,D48=Slot16_Age),1,0)</f>
        <v>0</v>
      </c>
      <c r="FQ48" s="1" t="n">
        <f aca="false">IF(AND(Slot16_On=1,Slot16_Age&gt;D48),1,0)</f>
        <v>0</v>
      </c>
      <c r="FR48" s="1" t="n">
        <f aca="false">ST47</f>
        <v>0</v>
      </c>
      <c r="FS48" s="1" t="n">
        <f aca="false">FP48*MIN(Slot16_Cost,FR48)</f>
        <v>0</v>
      </c>
      <c r="FT48" s="1" t="n">
        <f aca="false">FP48*Slot16_SpendLike*MIN(Slot16_Cost-FS48,FL48)</f>
        <v>0</v>
      </c>
      <c r="FU48" s="1" t="n">
        <f aca="false">FS48+FT48</f>
        <v>0</v>
      </c>
      <c r="FV48" s="1" t="n">
        <f aca="false">FL48-FT48+FP48*IF(Slot16_SpendLike=1,FR48-FS48,IF(Slot16_PotFree=1,FR48,0))</f>
        <v>0</v>
      </c>
      <c r="FW48" s="1" t="n">
        <f aca="false">FM48+FP48*Slot16_BufPot*FR48</f>
        <v>0</v>
      </c>
      <c r="FX48" s="1" t="n">
        <f aca="false">IF(AND(FP48=1,Slot16_IsMfree=1),IF(FU48&gt;=Slot16_Cost-1,0,MAX(0,FN48-FU48)),FN48)</f>
        <v>0</v>
      </c>
      <c r="FY48" s="1" t="n">
        <f aca="false">FP48*(Slot16_Cost-FU48)</f>
        <v>0</v>
      </c>
      <c r="FZ48" s="1" t="n">
        <f aca="false">IF(AND(Slot17_On=1,D48=Slot17_Age),1,0)</f>
        <v>0</v>
      </c>
      <c r="GA48" s="1" t="n">
        <f aca="false">IF(AND(Slot17_On=1,Slot17_Age&gt;D48),1,0)</f>
        <v>0</v>
      </c>
      <c r="GB48" s="1" t="n">
        <f aca="false">SX47</f>
        <v>0</v>
      </c>
      <c r="GC48" s="1" t="n">
        <f aca="false">FZ48*MIN(Slot17_Cost,GB48)</f>
        <v>0</v>
      </c>
      <c r="GD48" s="1" t="n">
        <f aca="false">FZ48*Slot17_SpendLike*MIN(Slot17_Cost-GC48,FV48)</f>
        <v>0</v>
      </c>
      <c r="GE48" s="1" t="n">
        <f aca="false">GC48+GD48</f>
        <v>0</v>
      </c>
      <c r="GF48" s="1" t="n">
        <f aca="false">FV48-GD48+FZ48*IF(Slot17_SpendLike=1,GB48-GC48,IF(Slot17_PotFree=1,GB48,0))</f>
        <v>0</v>
      </c>
      <c r="GG48" s="1" t="n">
        <f aca="false">FW48+FZ48*Slot17_BufPot*GB48</f>
        <v>0</v>
      </c>
      <c r="GH48" s="1" t="n">
        <f aca="false">IF(AND(FZ48=1,Slot17_IsMfree=1),IF(GE48&gt;=Slot17_Cost-1,0,MAX(0,FX48-GE48)),FX48)</f>
        <v>0</v>
      </c>
      <c r="GI48" s="1" t="n">
        <f aca="false">FZ48*(Slot17_Cost-GE48)</f>
        <v>0</v>
      </c>
      <c r="GJ48" s="1" t="n">
        <f aca="false">IF(AND(Slot18_On=1,D48=Slot18_Age),1,0)</f>
        <v>0</v>
      </c>
      <c r="GK48" s="1" t="n">
        <f aca="false">IF(AND(Slot18_On=1,Slot18_Age&gt;D48),1,0)</f>
        <v>0</v>
      </c>
      <c r="GL48" s="1" t="n">
        <f aca="false">TB47</f>
        <v>0</v>
      </c>
      <c r="GM48" s="1" t="n">
        <f aca="false">GJ48*MIN(Slot18_Cost,GL48)</f>
        <v>0</v>
      </c>
      <c r="GN48" s="1" t="n">
        <f aca="false">GJ48*Slot18_SpendLike*MIN(Slot18_Cost-GM48,GF48)</f>
        <v>0</v>
      </c>
      <c r="GO48" s="1" t="n">
        <f aca="false">GM48+GN48</f>
        <v>0</v>
      </c>
      <c r="GP48" s="1" t="n">
        <f aca="false">GF48-GN48+GJ48*IF(Slot18_SpendLike=1,GL48-GM48,IF(Slot18_PotFree=1,GL48,0))</f>
        <v>0</v>
      </c>
      <c r="GQ48" s="1" t="n">
        <f aca="false">GG48+GJ48*Slot18_BufPot*GL48</f>
        <v>0</v>
      </c>
      <c r="GR48" s="1" t="n">
        <f aca="false">IF(AND(GJ48=1,Slot18_IsMfree=1),IF(GO48&gt;=Slot18_Cost-1,0,MAX(0,GH48-GO48)),GH48)</f>
        <v>0</v>
      </c>
      <c r="GS48" s="1" t="n">
        <f aca="false">GJ48*(Slot18_Cost-GO48)</f>
        <v>0</v>
      </c>
      <c r="GT48" s="1" t="n">
        <f aca="false">IF(AND(Slot19_On=1,D48=Slot19_Age),1,0)</f>
        <v>0</v>
      </c>
      <c r="GU48" s="1" t="n">
        <f aca="false">IF(AND(Slot19_On=1,Slot19_Age&gt;D48),1,0)</f>
        <v>0</v>
      </c>
      <c r="GV48" s="1" t="n">
        <f aca="false">TF47</f>
        <v>0</v>
      </c>
      <c r="GW48" s="1" t="n">
        <f aca="false">GT48*MIN(Slot19_Cost,GV48)</f>
        <v>0</v>
      </c>
      <c r="GX48" s="1" t="n">
        <f aca="false">GT48*Slot19_SpendLike*MIN(Slot19_Cost-GW48,GP48)</f>
        <v>0</v>
      </c>
      <c r="GY48" s="1" t="n">
        <f aca="false">GW48+GX48</f>
        <v>0</v>
      </c>
      <c r="GZ48" s="1" t="n">
        <f aca="false">GP48-GX48+GT48*IF(Slot19_SpendLike=1,GV48-GW48,IF(Slot19_PotFree=1,GV48,0))</f>
        <v>0</v>
      </c>
      <c r="HA48" s="1" t="n">
        <f aca="false">GQ48+GT48*Slot19_BufPot*GV48</f>
        <v>0</v>
      </c>
      <c r="HB48" s="1" t="n">
        <f aca="false">IF(AND(GT48=1,Slot19_IsMfree=1),IF(GY48&gt;=Slot19_Cost-1,0,MAX(0,GR48-GY48)),GR48)</f>
        <v>0</v>
      </c>
      <c r="HC48" s="1" t="n">
        <f aca="false">GT48*(Slot19_Cost-GY48)</f>
        <v>0</v>
      </c>
      <c r="HD48" s="1" t="n">
        <f aca="false">IF(AND(Slot20_On=1,D48=Slot20_Age),1,0)</f>
        <v>0</v>
      </c>
      <c r="HE48" s="1" t="n">
        <f aca="false">IF(AND(Slot20_On=1,Slot20_Age&gt;D48),1,0)</f>
        <v>0</v>
      </c>
      <c r="HF48" s="1" t="n">
        <f aca="false">TJ47</f>
        <v>0</v>
      </c>
      <c r="HG48" s="1" t="n">
        <f aca="false">HD48*MIN(Slot20_Cost,HF48)</f>
        <v>0</v>
      </c>
      <c r="HH48" s="1" t="n">
        <f aca="false">HD48*Slot20_SpendLike*MIN(Slot20_Cost-HG48,GZ48)</f>
        <v>0</v>
      </c>
      <c r="HI48" s="1" t="n">
        <f aca="false">HG48+HH48</f>
        <v>0</v>
      </c>
      <c r="HJ48" s="1" t="n">
        <f aca="false">GZ48-HH48+HD48*IF(Slot20_SpendLike=1,HF48-HG48,IF(Slot20_PotFree=1,HF48,0))</f>
        <v>0</v>
      </c>
      <c r="HK48" s="1" t="n">
        <f aca="false">HA48+HD48*Slot20_BufPot*HF48</f>
        <v>0</v>
      </c>
      <c r="HL48" s="1" t="n">
        <f aca="false">IF(AND(HD48=1,Slot20_IsMfree=1),IF(HI48&gt;=Slot20_Cost-1,0,MAX(0,HB48-HI48)),HB48)</f>
        <v>0</v>
      </c>
      <c r="HM48" s="1" t="n">
        <f aca="false">HD48*(Slot20_Cost-HI48)</f>
        <v>0</v>
      </c>
      <c r="HN48" s="1" t="n">
        <f aca="false">U48*Slot1_SpendLike*Z48+AF48*Slot2_SpendLike*AK48+AP48*Slot3_SpendLike*AU48+AZ48*Slot4_SpendLike*BE48+BJ48*Slot5_SpendLike*BO48+BT48*Slot6_SpendLike*BY48+CD48*Slot7_SpendLike*CI48+CN48*Slot8_SpendLike*CS48+CX48*Slot9_SpendLike*DC48+DH48*Slot10_SpendLike*DM48+DR48*Slot11_SpendLike*DW48+EB48*Slot12_SpendLike*EG48+EL48*Slot13_SpendLike*EQ48+EV48*Slot14_SpendLike*FA48+FF48*Slot15_SpendLike*FK48+FP48*Slot16_SpendLike*FU48+FZ48*Slot17_SpendLike*GE48+GJ48*Slot18_SpendLike*GO48+GT48*Slot19_SpendLike*GY48+HD48*Slot20_SpendLike*HI48</f>
        <v>0</v>
      </c>
      <c r="HO48" s="1" t="n">
        <f aca="false">AD48+AO48+AY48+BI48+BS48+CC48+CM48+CW48+DG48+DQ48+EA48+EK48+EU48+FE48+FO48+FY48+GI48+GS48+HC48+HM48</f>
        <v>0</v>
      </c>
      <c r="HP48" s="1" t="n">
        <f aca="false">U48*Slot1_Cost+AF48*Slot2_Cost+AP48*Slot3_Cost+AZ48*Slot4_Cost+BJ48*Slot5_Cost+BT48*Slot6_Cost+CD48*Slot7_Cost+CN48*Slot8_Cost+CX48*Slot9_Cost+DH48*Slot10_Cost+DR48*Slot11_Cost+EB48*Slot12_Cost+EL48*Slot13_Cost+EV48*Slot14_Cost+FF48*Slot15_Cost+FP48*Slot16_Cost+FZ48*Slot17_Cost+GJ48*Slot18_Cost+GT48*Slot19_Cost+HD48*Slot20_Cost</f>
        <v>0</v>
      </c>
      <c r="HQ48" s="1" t="n">
        <f aca="false">HL48</f>
        <v>0</v>
      </c>
      <c r="HR48" s="1" t="n">
        <f aca="false">G48-H48-R48</f>
        <v>0</v>
      </c>
      <c r="HS48" s="1" t="n">
        <f aca="false">IF(B48=0,IF(AND(Has_q6=1,In_q6=4),PR_ShareVaries*(MAX(0,HR48)/12),MIN(IF(Has_q6=1,CHOOSE(In_q6+1,PR_SaveB1,PR_SaveB2,PR_SaveB3,PR_SaveB4,0),AS_NoAnswer),AS_SaveShare*(MAX(0,HR48)/12))),HS47)</f>
        <v>0</v>
      </c>
      <c r="HT48" s="1" t="n">
        <f aca="false">IF(HR48&gt;=0,1,0)</f>
        <v>1</v>
      </c>
      <c r="HU48" s="1" t="n">
        <f aca="false">MAX(0,HR48/12/E48)</f>
        <v>0</v>
      </c>
      <c r="HV48" s="1" t="n">
        <f aca="false">IF(AND(Has_q6=1,In_q6=4),PR_ShareVaries*(HU48),MIN(IF(Has_q6=1,CHOOSE(In_q6+1,PR_SaveB1,PR_SaveB2,PR_SaveB3,PR_SaveB4,0),AS_NoAnswer),AS_SaveShare*(HU48)))</f>
        <v>0</v>
      </c>
      <c r="HW48" s="1" t="n">
        <f aca="false">IF(Has_saveM=1,IF(In_saveUp="Yes",1,IF(In_saveUp="No",0,IF(In_saveM&gt;=HS48-0.5,1,0))),0)</f>
        <v>0</v>
      </c>
      <c r="HX48" s="1" t="n">
        <f aca="false">IF(Has_saveM=1,MIN(HU48,IF(HW48=1,MAX(In_saveM,HV48),MIN(In_saveM,HV48))),HV48)</f>
        <v>0</v>
      </c>
      <c r="HY48" s="1" t="n">
        <f aca="false">IF(F48=1,HX48*12*E48,0)</f>
        <v>0</v>
      </c>
      <c r="HZ48" s="1" t="n">
        <f aca="false">MAX(0,HY48+IF(AND(WI_Retire=0,WI_M&lt;0,F48=1),WI_M*12*E48,0))</f>
        <v>0</v>
      </c>
      <c r="IA48" s="1" t="n">
        <f aca="false">Slot1_IsWG*V48+Slot2_IsWG*AG48+Slot3_IsWG*AQ48+Slot4_IsWG*BA48+Slot5_IsWG*BK48+Slot6_IsWG*BU48+Slot7_IsWG*CE48+Slot8_IsWG*CO48+Slot9_IsWG*CY48+Slot10_IsWG*DI48+Slot11_IsWG*DS48+Slot12_IsWG*EC48+Slot13_IsWG*EM48+Slot14_IsWG*EW48+Slot15_IsWG*FG48+Slot16_IsWG*FQ48+Slot17_IsWG*GA48+Slot18_IsWG*GK48+Slot19_IsWG*GU48+Slot20_IsWG*HE48</f>
        <v>0</v>
      </c>
      <c r="IB48" s="1" t="n">
        <f aca="false">IF(AND(WI_Retire=0,WI_M&gt;0,F48=1,IA48&gt;=1),WI_M*12*E48,0)</f>
        <v>0</v>
      </c>
      <c r="IC48" s="1" t="n">
        <f aca="false">IF(HT48=1,MIN(HZ48,HR48),0)</f>
        <v>0</v>
      </c>
      <c r="ID48" s="1" t="n">
        <f aca="false">IF(HT48=1,MIN(IB48,HR48-IC48),0)</f>
        <v>0</v>
      </c>
      <c r="IE48" s="1" t="n">
        <f aca="false">IF(V48=1,IF(ABS((1+AS_Wage)/(1+Slot1_Rate)-1)&lt;0.000000000001,(Slot1_Age-D48)*(1+Slot1_Rate)^(Slot1_Age-D48),(1+Slot1_Rate)^(Slot1_Age-D48)*(1-((1+AS_Wage)/(1+Slot1_Rate))^(Slot1_Age-D48))/(1-(1+AS_Wage)/(1+Slot1_Rate))),1)</f>
        <v>1</v>
      </c>
      <c r="IF48" s="1" t="n">
        <f aca="false">IF(AND(HT48=1,ID48&gt;0,Slot1_IsWG=1,V48=1),MAX(0,(Slot1_Cost-W48*(1+Slot1_Rate)^(Slot1_Age-D48))/IE48),0)</f>
        <v>0</v>
      </c>
      <c r="IG48" s="1" t="n">
        <f aca="false">IF(AND(HT48=1,ID48&gt;0,Slot1_IsWG=1,V48=1),MIN(ID48,IF48),0)</f>
        <v>0</v>
      </c>
      <c r="IH48" s="1" t="n">
        <f aca="false">W48+IG48</f>
        <v>0</v>
      </c>
      <c r="II48" s="1" t="n">
        <f aca="false">IF(V48=1,MAX(0,(Slot1_Cost-IH48*(1+Slot1_Rate)^(Slot1_Age-D48))/IE48),0)</f>
        <v>0</v>
      </c>
      <c r="IJ48" s="1" t="n">
        <f aca="false">IF(V48=1,MAX(0,(Slot1_Cost-W48*(1+Slot1_Rate)^(Slot1_Age-D48))/IE48),0)</f>
        <v>0</v>
      </c>
      <c r="IK48" s="1" t="n">
        <f aca="false">IF(AND(HT48=1,V48=1),MIN(IC48,II48),0)</f>
        <v>0</v>
      </c>
      <c r="IL48" s="1" t="n">
        <f aca="false">IC48-IK48</f>
        <v>0</v>
      </c>
      <c r="IM48" s="1" t="n">
        <f aca="false">IF(AG48=1,IF(ABS((1+AS_Wage)/(1+Slot2_Rate)-1)&lt;0.000000000001,(Slot2_Age-D48)*(1+Slot2_Rate)^(Slot2_Age-D48),(1+Slot2_Rate)^(Slot2_Age-D48)*(1-((1+AS_Wage)/(1+Slot2_Rate))^(Slot2_Age-D48))/(1-(1+AS_Wage)/(1+Slot2_Rate))),1)</f>
        <v>1</v>
      </c>
      <c r="IN48" s="1" t="n">
        <f aca="false">IF(AND(HT48=1,ID48&gt;0,Slot2_IsWG=1,AG48=1),MAX(0,(Slot2_Cost-AH48*(1+Slot2_Rate)^(Slot2_Age-D48))/IM48),0)</f>
        <v>0</v>
      </c>
      <c r="IO48" s="1" t="n">
        <f aca="false">IF(AND(HT48=1,ID48&gt;0,Slot2_IsWG=1,AG48=1),MIN(ID48,IN48),0)</f>
        <v>0</v>
      </c>
      <c r="IP48" s="1" t="n">
        <f aca="false">AH48+IO48</f>
        <v>0</v>
      </c>
      <c r="IQ48" s="1" t="n">
        <f aca="false">IF(AG48=1,MAX(0,(Slot2_Cost-IP48*(1+Slot2_Rate)^(Slot2_Age-D48))/IM48),0)</f>
        <v>0</v>
      </c>
      <c r="IR48" s="1" t="n">
        <f aca="false">IF(AG48=1,MAX(0,(Slot2_Cost-AH48*(1+Slot2_Rate)^(Slot2_Age-D48))/IM48),0)</f>
        <v>0</v>
      </c>
      <c r="IS48" s="1" t="n">
        <f aca="false">IF(AND(HT48=1,AG48=1),MIN(IL48,IQ48),0)</f>
        <v>0</v>
      </c>
      <c r="IT48" s="1" t="n">
        <f aca="false">IL48-IS48</f>
        <v>0</v>
      </c>
      <c r="IU48" s="1" t="n">
        <f aca="false">IF(AQ48=1,IF(ABS((1+AS_Wage)/(1+Slot3_Rate)-1)&lt;0.000000000001,(Slot3_Age-D48)*(1+Slot3_Rate)^(Slot3_Age-D48),(1+Slot3_Rate)^(Slot3_Age-D48)*(1-((1+AS_Wage)/(1+Slot3_Rate))^(Slot3_Age-D48))/(1-(1+AS_Wage)/(1+Slot3_Rate))),1)</f>
        <v>1</v>
      </c>
      <c r="IV48" s="1" t="n">
        <f aca="false">IF(AND(HT48=1,ID48&gt;0,Slot3_IsWG=1,AQ48=1),MAX(0,(Slot3_Cost-AR48*(1+Slot3_Rate)^(Slot3_Age-D48))/IU48),0)</f>
        <v>0</v>
      </c>
      <c r="IW48" s="1" t="n">
        <f aca="false">IF(AND(HT48=1,ID48&gt;0,Slot3_IsWG=1,AQ48=1),MIN(ID48,IV48),0)</f>
        <v>0</v>
      </c>
      <c r="IX48" s="1" t="n">
        <f aca="false">AR48+IW48</f>
        <v>0</v>
      </c>
      <c r="IY48" s="1" t="n">
        <f aca="false">IF(AQ48=1,MAX(0,(Slot3_Cost-IX48*(1+Slot3_Rate)^(Slot3_Age-D48))/IU48),0)</f>
        <v>0</v>
      </c>
      <c r="IZ48" s="1" t="n">
        <f aca="false">IF(AQ48=1,MAX(0,(Slot3_Cost-AR48*(1+Slot3_Rate)^(Slot3_Age-D48))/IU48),0)</f>
        <v>0</v>
      </c>
      <c r="JA48" s="1" t="n">
        <f aca="false">IF(AND(HT48=1,AQ48=1),MIN(IT48,IY48),0)</f>
        <v>0</v>
      </c>
      <c r="JB48" s="1" t="n">
        <f aca="false">IT48-JA48</f>
        <v>0</v>
      </c>
      <c r="JC48" s="1" t="n">
        <f aca="false">IF(BA48=1,IF(ABS((1+AS_Wage)/(1+Slot4_Rate)-1)&lt;0.000000000001,(Slot4_Age-D48)*(1+Slot4_Rate)^(Slot4_Age-D48),(1+Slot4_Rate)^(Slot4_Age-D48)*(1-((1+AS_Wage)/(1+Slot4_Rate))^(Slot4_Age-D48))/(1-(1+AS_Wage)/(1+Slot4_Rate))),1)</f>
        <v>1</v>
      </c>
      <c r="JD48" s="1" t="n">
        <f aca="false">IF(AND(HT48=1,ID48&gt;0,Slot4_IsWG=1,BA48=1),MAX(0,(Slot4_Cost-BB48*(1+Slot4_Rate)^(Slot4_Age-D48))/JC48),0)</f>
        <v>0</v>
      </c>
      <c r="JE48" s="1" t="n">
        <f aca="false">IF(AND(HT48=1,ID48&gt;0,Slot4_IsWG=1,BA48=1),MIN(ID48,JD48),0)</f>
        <v>0</v>
      </c>
      <c r="JF48" s="1" t="n">
        <f aca="false">BB48+JE48</f>
        <v>0</v>
      </c>
      <c r="JG48" s="1" t="n">
        <f aca="false">IF(BA48=1,MAX(0,(Slot4_Cost-JF48*(1+Slot4_Rate)^(Slot4_Age-D48))/JC48),0)</f>
        <v>0</v>
      </c>
      <c r="JH48" s="1" t="n">
        <f aca="false">IF(BA48=1,MAX(0,(Slot4_Cost-BB48*(1+Slot4_Rate)^(Slot4_Age-D48))/JC48),0)</f>
        <v>0</v>
      </c>
      <c r="JI48" s="1" t="n">
        <f aca="false">IF(AND(HT48=1,BA48=1),MIN(JB48,JG48),0)</f>
        <v>0</v>
      </c>
      <c r="JJ48" s="1" t="n">
        <f aca="false">JB48-JI48</f>
        <v>0</v>
      </c>
      <c r="JK48" s="1" t="n">
        <f aca="false">IF(BK48=1,IF(ABS((1+AS_Wage)/(1+Slot5_Rate)-1)&lt;0.000000000001,(Slot5_Age-D48)*(1+Slot5_Rate)^(Slot5_Age-D48),(1+Slot5_Rate)^(Slot5_Age-D48)*(1-((1+AS_Wage)/(1+Slot5_Rate))^(Slot5_Age-D48))/(1-(1+AS_Wage)/(1+Slot5_Rate))),1)</f>
        <v>1</v>
      </c>
      <c r="JL48" s="1" t="n">
        <f aca="false">IF(AND(HT48=1,ID48&gt;0,Slot5_IsWG=1,BK48=1),MAX(0,(Slot5_Cost-BL48*(1+Slot5_Rate)^(Slot5_Age-D48))/JK48),0)</f>
        <v>0</v>
      </c>
      <c r="JM48" s="1" t="n">
        <f aca="false">IF(AND(HT48=1,ID48&gt;0,Slot5_IsWG=1,BK48=1),MIN(ID48,JL48),0)</f>
        <v>0</v>
      </c>
      <c r="JN48" s="1" t="n">
        <f aca="false">BL48+JM48</f>
        <v>0</v>
      </c>
      <c r="JO48" s="1" t="n">
        <f aca="false">IF(BK48=1,MAX(0,(Slot5_Cost-JN48*(1+Slot5_Rate)^(Slot5_Age-D48))/JK48),0)</f>
        <v>0</v>
      </c>
      <c r="JP48" s="1" t="n">
        <f aca="false">IF(BK48=1,MAX(0,(Slot5_Cost-BL48*(1+Slot5_Rate)^(Slot5_Age-D48))/JK48),0)</f>
        <v>0</v>
      </c>
      <c r="JQ48" s="1" t="n">
        <f aca="false">IF(AND(HT48=1,BK48=1),MIN(JJ48,JO48),0)</f>
        <v>0</v>
      </c>
      <c r="JR48" s="1" t="n">
        <f aca="false">JJ48-JQ48</f>
        <v>0</v>
      </c>
      <c r="JS48" s="1" t="n">
        <f aca="false">IF(BU48=1,IF(ABS((1+AS_Wage)/(1+Slot6_Rate)-1)&lt;0.000000000001,(Slot6_Age-D48)*(1+Slot6_Rate)^(Slot6_Age-D48),(1+Slot6_Rate)^(Slot6_Age-D48)*(1-((1+AS_Wage)/(1+Slot6_Rate))^(Slot6_Age-D48))/(1-(1+AS_Wage)/(1+Slot6_Rate))),1)</f>
        <v>1</v>
      </c>
      <c r="JT48" s="1" t="n">
        <f aca="false">IF(AND(HT48=1,ID48&gt;0,Slot6_IsWG=1,BU48=1),MAX(0,(Slot6_Cost-BV48*(1+Slot6_Rate)^(Slot6_Age-D48))/JS48),0)</f>
        <v>0</v>
      </c>
      <c r="JU48" s="1" t="n">
        <f aca="false">IF(AND(HT48=1,ID48&gt;0,Slot6_IsWG=1,BU48=1),MIN(ID48,JT48),0)</f>
        <v>0</v>
      </c>
      <c r="JV48" s="1" t="n">
        <f aca="false">BV48+JU48</f>
        <v>0</v>
      </c>
      <c r="JW48" s="1" t="n">
        <f aca="false">IF(BU48=1,MAX(0,(Slot6_Cost-JV48*(1+Slot6_Rate)^(Slot6_Age-D48))/JS48),0)</f>
        <v>0</v>
      </c>
      <c r="JX48" s="1" t="n">
        <f aca="false">IF(BU48=1,MAX(0,(Slot6_Cost-BV48*(1+Slot6_Rate)^(Slot6_Age-D48))/JS48),0)</f>
        <v>0</v>
      </c>
      <c r="JY48" s="1" t="n">
        <f aca="false">IF(AND(HT48=1,BU48=1),MIN(JR48,JW48),0)</f>
        <v>0</v>
      </c>
      <c r="JZ48" s="1" t="n">
        <f aca="false">JR48-JY48</f>
        <v>0</v>
      </c>
      <c r="KA48" s="1" t="n">
        <f aca="false">IF(CE48=1,IF(ABS((1+AS_Wage)/(1+Slot7_Rate)-1)&lt;0.000000000001,(Slot7_Age-D48)*(1+Slot7_Rate)^(Slot7_Age-D48),(1+Slot7_Rate)^(Slot7_Age-D48)*(1-((1+AS_Wage)/(1+Slot7_Rate))^(Slot7_Age-D48))/(1-(1+AS_Wage)/(1+Slot7_Rate))),1)</f>
        <v>1</v>
      </c>
      <c r="KB48" s="1" t="n">
        <f aca="false">IF(AND(HT48=1,ID48&gt;0,Slot7_IsWG=1,CE48=1),MAX(0,(Slot7_Cost-CF48*(1+Slot7_Rate)^(Slot7_Age-D48))/KA48),0)</f>
        <v>0</v>
      </c>
      <c r="KC48" s="1" t="n">
        <f aca="false">IF(AND(HT48=1,ID48&gt;0,Slot7_IsWG=1,CE48=1),MIN(ID48,KB48),0)</f>
        <v>0</v>
      </c>
      <c r="KD48" s="1" t="n">
        <f aca="false">CF48+KC48</f>
        <v>0</v>
      </c>
      <c r="KE48" s="1" t="n">
        <f aca="false">IF(CE48=1,MAX(0,(Slot7_Cost-KD48*(1+Slot7_Rate)^(Slot7_Age-D48))/KA48),0)</f>
        <v>0</v>
      </c>
      <c r="KF48" s="1" t="n">
        <f aca="false">IF(CE48=1,MAX(0,(Slot7_Cost-CF48*(1+Slot7_Rate)^(Slot7_Age-D48))/KA48),0)</f>
        <v>0</v>
      </c>
      <c r="KG48" s="1" t="n">
        <f aca="false">IF(AND(HT48=1,CE48=1),MIN(JZ48,KE48),0)</f>
        <v>0</v>
      </c>
      <c r="KH48" s="1" t="n">
        <f aca="false">JZ48-KG48</f>
        <v>0</v>
      </c>
      <c r="KI48" s="1" t="n">
        <f aca="false">IF(CO48=1,IF(ABS((1+AS_Wage)/(1+Slot8_Rate)-1)&lt;0.000000000001,(Slot8_Age-D48)*(1+Slot8_Rate)^(Slot8_Age-D48),(1+Slot8_Rate)^(Slot8_Age-D48)*(1-((1+AS_Wage)/(1+Slot8_Rate))^(Slot8_Age-D48))/(1-(1+AS_Wage)/(1+Slot8_Rate))),1)</f>
        <v>1</v>
      </c>
      <c r="KJ48" s="1" t="n">
        <f aca="false">IF(AND(HT48=1,ID48&gt;0,Slot8_IsWG=1,CO48=1),MAX(0,(Slot8_Cost-CP48*(1+Slot8_Rate)^(Slot8_Age-D48))/KI48),0)</f>
        <v>0</v>
      </c>
      <c r="KK48" s="1" t="n">
        <f aca="false">IF(AND(HT48=1,ID48&gt;0,Slot8_IsWG=1,CO48=1),MIN(ID48,KJ48),0)</f>
        <v>0</v>
      </c>
      <c r="KL48" s="1" t="n">
        <f aca="false">CP48+KK48</f>
        <v>0</v>
      </c>
      <c r="KM48" s="1" t="n">
        <f aca="false">IF(CO48=1,MAX(0,(Slot8_Cost-KL48*(1+Slot8_Rate)^(Slot8_Age-D48))/KI48),0)</f>
        <v>0</v>
      </c>
      <c r="KN48" s="1" t="n">
        <f aca="false">IF(CO48=1,MAX(0,(Slot8_Cost-CP48*(1+Slot8_Rate)^(Slot8_Age-D48))/KI48),0)</f>
        <v>0</v>
      </c>
      <c r="KO48" s="1" t="n">
        <f aca="false">IF(AND(HT48=1,CO48=1),MIN(KH48,KM48),0)</f>
        <v>0</v>
      </c>
      <c r="KP48" s="1" t="n">
        <f aca="false">KH48-KO48</f>
        <v>0</v>
      </c>
      <c r="KQ48" s="1" t="n">
        <f aca="false">IF(CY48=1,IF(ABS((1+AS_Wage)/(1+Slot9_Rate)-1)&lt;0.000000000001,(Slot9_Age-D48)*(1+Slot9_Rate)^(Slot9_Age-D48),(1+Slot9_Rate)^(Slot9_Age-D48)*(1-((1+AS_Wage)/(1+Slot9_Rate))^(Slot9_Age-D48))/(1-(1+AS_Wage)/(1+Slot9_Rate))),1)</f>
        <v>1</v>
      </c>
      <c r="KR48" s="1" t="n">
        <f aca="false">IF(AND(HT48=1,ID48&gt;0,Slot9_IsWG=1,CY48=1),MAX(0,(Slot9_Cost-CZ48*(1+Slot9_Rate)^(Slot9_Age-D48))/KQ48),0)</f>
        <v>0</v>
      </c>
      <c r="KS48" s="1" t="n">
        <f aca="false">IF(AND(HT48=1,ID48&gt;0,Slot9_IsWG=1,CY48=1),MIN(ID48,KR48),0)</f>
        <v>0</v>
      </c>
      <c r="KT48" s="1" t="n">
        <f aca="false">CZ48+KS48</f>
        <v>0</v>
      </c>
      <c r="KU48" s="1" t="n">
        <f aca="false">IF(CY48=1,MAX(0,(Slot9_Cost-KT48*(1+Slot9_Rate)^(Slot9_Age-D48))/KQ48),0)</f>
        <v>0</v>
      </c>
      <c r="KV48" s="1" t="n">
        <f aca="false">IF(CY48=1,MAX(0,(Slot9_Cost-CZ48*(1+Slot9_Rate)^(Slot9_Age-D48))/KQ48),0)</f>
        <v>0</v>
      </c>
      <c r="KW48" s="1" t="n">
        <f aca="false">IF(AND(HT48=1,CY48=1),MIN(KP48,KU48),0)</f>
        <v>0</v>
      </c>
      <c r="KX48" s="1" t="n">
        <f aca="false">KP48-KW48</f>
        <v>0</v>
      </c>
      <c r="KY48" s="1" t="n">
        <f aca="false">IF(DI48=1,IF(ABS((1+AS_Wage)/(1+Slot10_Rate)-1)&lt;0.000000000001,(Slot10_Age-D48)*(1+Slot10_Rate)^(Slot10_Age-D48),(1+Slot10_Rate)^(Slot10_Age-D48)*(1-((1+AS_Wage)/(1+Slot10_Rate))^(Slot10_Age-D48))/(1-(1+AS_Wage)/(1+Slot10_Rate))),1)</f>
        <v>1</v>
      </c>
      <c r="KZ48" s="1" t="n">
        <f aca="false">IF(AND(HT48=1,ID48&gt;0,Slot10_IsWG=1,DI48=1),MAX(0,(Slot10_Cost-DJ48*(1+Slot10_Rate)^(Slot10_Age-D48))/KY48),0)</f>
        <v>0</v>
      </c>
      <c r="LA48" s="1" t="n">
        <f aca="false">IF(AND(HT48=1,ID48&gt;0,Slot10_IsWG=1,DI48=1),MIN(ID48,KZ48),0)</f>
        <v>0</v>
      </c>
      <c r="LB48" s="1" t="n">
        <f aca="false">DJ48+LA48</f>
        <v>0</v>
      </c>
      <c r="LC48" s="1" t="n">
        <f aca="false">IF(DI48=1,MAX(0,(Slot10_Cost-LB48*(1+Slot10_Rate)^(Slot10_Age-D48))/KY48),0)</f>
        <v>0</v>
      </c>
      <c r="LD48" s="1" t="n">
        <f aca="false">IF(DI48=1,MAX(0,(Slot10_Cost-DJ48*(1+Slot10_Rate)^(Slot10_Age-D48))/KY48),0)</f>
        <v>0</v>
      </c>
      <c r="LE48" s="1" t="n">
        <f aca="false">IF(AND(HT48=1,DI48=1),MIN(KX48,LC48),0)</f>
        <v>0</v>
      </c>
      <c r="LF48" s="1" t="n">
        <f aca="false">KX48-LE48</f>
        <v>0</v>
      </c>
      <c r="LG48" s="1" t="n">
        <f aca="false">IF(DS48=1,IF(ABS((1+AS_Wage)/(1+Slot11_Rate)-1)&lt;0.000000000001,(Slot11_Age-D48)*(1+Slot11_Rate)^(Slot11_Age-D48),(1+Slot11_Rate)^(Slot11_Age-D48)*(1-((1+AS_Wage)/(1+Slot11_Rate))^(Slot11_Age-D48))/(1-(1+AS_Wage)/(1+Slot11_Rate))),1)</f>
        <v>1</v>
      </c>
      <c r="LH48" s="1" t="n">
        <f aca="false">IF(AND(HT48=1,ID48&gt;0,Slot11_IsWG=1,DS48=1),MAX(0,(Slot11_Cost-DT48*(1+Slot11_Rate)^(Slot11_Age-D48))/LG48),0)</f>
        <v>0</v>
      </c>
      <c r="LI48" s="1" t="n">
        <f aca="false">IF(AND(HT48=1,ID48&gt;0,Slot11_IsWG=1,DS48=1),MIN(ID48,LH48),0)</f>
        <v>0</v>
      </c>
      <c r="LJ48" s="1" t="n">
        <f aca="false">DT48+LI48</f>
        <v>0</v>
      </c>
      <c r="LK48" s="1" t="n">
        <f aca="false">IF(DS48=1,MAX(0,(Slot11_Cost-LJ48*(1+Slot11_Rate)^(Slot11_Age-D48))/LG48),0)</f>
        <v>0</v>
      </c>
      <c r="LL48" s="1" t="n">
        <f aca="false">IF(DS48=1,MAX(0,(Slot11_Cost-DT48*(1+Slot11_Rate)^(Slot11_Age-D48))/LG48),0)</f>
        <v>0</v>
      </c>
      <c r="LM48" s="1" t="n">
        <f aca="false">IF(AND(HT48=1,DS48=1),MIN(LF48,LK48),0)</f>
        <v>0</v>
      </c>
      <c r="LN48" s="1" t="n">
        <f aca="false">LF48-LM48</f>
        <v>0</v>
      </c>
      <c r="LO48" s="1" t="n">
        <f aca="false">IF(EC48=1,IF(ABS((1+AS_Wage)/(1+Slot12_Rate)-1)&lt;0.000000000001,(Slot12_Age-D48)*(1+Slot12_Rate)^(Slot12_Age-D48),(1+Slot12_Rate)^(Slot12_Age-D48)*(1-((1+AS_Wage)/(1+Slot12_Rate))^(Slot12_Age-D48))/(1-(1+AS_Wage)/(1+Slot12_Rate))),1)</f>
        <v>1</v>
      </c>
      <c r="LP48" s="1" t="n">
        <f aca="false">IF(AND(HT48=1,ID48&gt;0,Slot12_IsWG=1,EC48=1),MAX(0,(Slot12_Cost-ED48*(1+Slot12_Rate)^(Slot12_Age-D48))/LO48),0)</f>
        <v>0</v>
      </c>
      <c r="LQ48" s="1" t="n">
        <f aca="false">IF(AND(HT48=1,ID48&gt;0,Slot12_IsWG=1,EC48=1),MIN(ID48,LP48),0)</f>
        <v>0</v>
      </c>
      <c r="LR48" s="1" t="n">
        <f aca="false">ED48+LQ48</f>
        <v>0</v>
      </c>
      <c r="LS48" s="1" t="n">
        <f aca="false">IF(EC48=1,MAX(0,(Slot12_Cost-LR48*(1+Slot12_Rate)^(Slot12_Age-D48))/LO48),0)</f>
        <v>0</v>
      </c>
      <c r="LT48" s="1" t="n">
        <f aca="false">IF(EC48=1,MAX(0,(Slot12_Cost-ED48*(1+Slot12_Rate)^(Slot12_Age-D48))/LO48),0)</f>
        <v>0</v>
      </c>
      <c r="LU48" s="1" t="n">
        <f aca="false">IF(AND(HT48=1,EC48=1),MIN(LN48,LS48),0)</f>
        <v>0</v>
      </c>
      <c r="LV48" s="1" t="n">
        <f aca="false">LN48-LU48</f>
        <v>0</v>
      </c>
      <c r="LW48" s="1" t="n">
        <f aca="false">IF(EM48=1,IF(ABS((1+AS_Wage)/(1+Slot13_Rate)-1)&lt;0.000000000001,(Slot13_Age-D48)*(1+Slot13_Rate)^(Slot13_Age-D48),(1+Slot13_Rate)^(Slot13_Age-D48)*(1-((1+AS_Wage)/(1+Slot13_Rate))^(Slot13_Age-D48))/(1-(1+AS_Wage)/(1+Slot13_Rate))),1)</f>
        <v>1</v>
      </c>
      <c r="LX48" s="1" t="n">
        <f aca="false">IF(AND(HT48=1,ID48&gt;0,Slot13_IsWG=1,EM48=1),MAX(0,(Slot13_Cost-EN48*(1+Slot13_Rate)^(Slot13_Age-D48))/LW48),0)</f>
        <v>0</v>
      </c>
      <c r="LY48" s="1" t="n">
        <f aca="false">IF(AND(HT48=1,ID48&gt;0,Slot13_IsWG=1,EM48=1),MIN(ID48,LX48),0)</f>
        <v>0</v>
      </c>
      <c r="LZ48" s="1" t="n">
        <f aca="false">EN48+LY48</f>
        <v>0</v>
      </c>
      <c r="MA48" s="1" t="n">
        <f aca="false">IF(EM48=1,MAX(0,(Slot13_Cost-LZ48*(1+Slot13_Rate)^(Slot13_Age-D48))/LW48),0)</f>
        <v>0</v>
      </c>
      <c r="MB48" s="1" t="n">
        <f aca="false">IF(EM48=1,MAX(0,(Slot13_Cost-EN48*(1+Slot13_Rate)^(Slot13_Age-D48))/LW48),0)</f>
        <v>0</v>
      </c>
      <c r="MC48" s="1" t="n">
        <f aca="false">IF(AND(HT48=1,EM48=1),MIN(LV48,MA48),0)</f>
        <v>0</v>
      </c>
      <c r="MD48" s="1" t="n">
        <f aca="false">LV48-MC48</f>
        <v>0</v>
      </c>
      <c r="ME48" s="1" t="n">
        <f aca="false">IF(EW48=1,IF(ABS((1+AS_Wage)/(1+Slot14_Rate)-1)&lt;0.000000000001,(Slot14_Age-D48)*(1+Slot14_Rate)^(Slot14_Age-D48),(1+Slot14_Rate)^(Slot14_Age-D48)*(1-((1+AS_Wage)/(1+Slot14_Rate))^(Slot14_Age-D48))/(1-(1+AS_Wage)/(1+Slot14_Rate))),1)</f>
        <v>1</v>
      </c>
      <c r="MF48" s="1" t="n">
        <f aca="false">IF(AND(HT48=1,ID48&gt;0,Slot14_IsWG=1,EW48=1),MAX(0,(Slot14_Cost-EX48*(1+Slot14_Rate)^(Slot14_Age-D48))/ME48),0)</f>
        <v>0</v>
      </c>
      <c r="MG48" s="1" t="n">
        <f aca="false">IF(AND(HT48=1,ID48&gt;0,Slot14_IsWG=1,EW48=1),MIN(ID48,MF48),0)</f>
        <v>0</v>
      </c>
      <c r="MH48" s="1" t="n">
        <f aca="false">EX48+MG48</f>
        <v>0</v>
      </c>
      <c r="MI48" s="1" t="n">
        <f aca="false">IF(EW48=1,MAX(0,(Slot14_Cost-MH48*(1+Slot14_Rate)^(Slot14_Age-D48))/ME48),0)</f>
        <v>0</v>
      </c>
      <c r="MJ48" s="1" t="n">
        <f aca="false">IF(EW48=1,MAX(0,(Slot14_Cost-EX48*(1+Slot14_Rate)^(Slot14_Age-D48))/ME48),0)</f>
        <v>0</v>
      </c>
      <c r="MK48" s="1" t="n">
        <f aca="false">IF(AND(HT48=1,EW48=1),MIN(MD48,MI48),0)</f>
        <v>0</v>
      </c>
      <c r="ML48" s="1" t="n">
        <f aca="false">MD48-MK48</f>
        <v>0</v>
      </c>
      <c r="MM48" s="1" t="n">
        <f aca="false">IF(FG48=1,IF(ABS((1+AS_Wage)/(1+Slot15_Rate)-1)&lt;0.000000000001,(Slot15_Age-D48)*(1+Slot15_Rate)^(Slot15_Age-D48),(1+Slot15_Rate)^(Slot15_Age-D48)*(1-((1+AS_Wage)/(1+Slot15_Rate))^(Slot15_Age-D48))/(1-(1+AS_Wage)/(1+Slot15_Rate))),1)</f>
        <v>1</v>
      </c>
      <c r="MN48" s="1" t="n">
        <f aca="false">IF(AND(HT48=1,ID48&gt;0,Slot15_IsWG=1,FG48=1),MAX(0,(Slot15_Cost-FH48*(1+Slot15_Rate)^(Slot15_Age-D48))/MM48),0)</f>
        <v>0</v>
      </c>
      <c r="MO48" s="1" t="n">
        <f aca="false">IF(AND(HT48=1,ID48&gt;0,Slot15_IsWG=1,FG48=1),MIN(ID48,MN48),0)</f>
        <v>0</v>
      </c>
      <c r="MP48" s="1" t="n">
        <f aca="false">FH48+MO48</f>
        <v>0</v>
      </c>
      <c r="MQ48" s="1" t="n">
        <f aca="false">IF(FG48=1,MAX(0,(Slot15_Cost-MP48*(1+Slot15_Rate)^(Slot15_Age-D48))/MM48),0)</f>
        <v>0</v>
      </c>
      <c r="MR48" s="1" t="n">
        <f aca="false">IF(FG48=1,MAX(0,(Slot15_Cost-FH48*(1+Slot15_Rate)^(Slot15_Age-D48))/MM48),0)</f>
        <v>0</v>
      </c>
      <c r="MS48" s="1" t="n">
        <f aca="false">IF(AND(HT48=1,FG48=1),MIN(ML48,MQ48),0)</f>
        <v>0</v>
      </c>
      <c r="MT48" s="1" t="n">
        <f aca="false">ML48-MS48</f>
        <v>0</v>
      </c>
      <c r="MU48" s="1" t="n">
        <f aca="false">IF(FQ48=1,IF(ABS((1+AS_Wage)/(1+Slot16_Rate)-1)&lt;0.000000000001,(Slot16_Age-D48)*(1+Slot16_Rate)^(Slot16_Age-D48),(1+Slot16_Rate)^(Slot16_Age-D48)*(1-((1+AS_Wage)/(1+Slot16_Rate))^(Slot16_Age-D48))/(1-(1+AS_Wage)/(1+Slot16_Rate))),1)</f>
        <v>1</v>
      </c>
      <c r="MV48" s="1" t="n">
        <f aca="false">IF(AND(HT48=1,ID48&gt;0,Slot16_IsWG=1,FQ48=1),MAX(0,(Slot16_Cost-FR48*(1+Slot16_Rate)^(Slot16_Age-D48))/MU48),0)</f>
        <v>0</v>
      </c>
      <c r="MW48" s="1" t="n">
        <f aca="false">IF(AND(HT48=1,ID48&gt;0,Slot16_IsWG=1,FQ48=1),MIN(ID48,MV48),0)</f>
        <v>0</v>
      </c>
      <c r="MX48" s="1" t="n">
        <f aca="false">FR48+MW48</f>
        <v>0</v>
      </c>
      <c r="MY48" s="1" t="n">
        <f aca="false">IF(FQ48=1,MAX(0,(Slot16_Cost-MX48*(1+Slot16_Rate)^(Slot16_Age-D48))/MU48),0)</f>
        <v>0</v>
      </c>
      <c r="MZ48" s="1" t="n">
        <f aca="false">IF(FQ48=1,MAX(0,(Slot16_Cost-FR48*(1+Slot16_Rate)^(Slot16_Age-D48))/MU48),0)</f>
        <v>0</v>
      </c>
      <c r="NA48" s="1" t="n">
        <f aca="false">IF(AND(HT48=1,FQ48=1),MIN(MT48,MY48),0)</f>
        <v>0</v>
      </c>
      <c r="NB48" s="1" t="n">
        <f aca="false">MT48-NA48</f>
        <v>0</v>
      </c>
      <c r="NC48" s="1" t="n">
        <f aca="false">IF(GA48=1,IF(ABS((1+AS_Wage)/(1+Slot17_Rate)-1)&lt;0.000000000001,(Slot17_Age-D48)*(1+Slot17_Rate)^(Slot17_Age-D48),(1+Slot17_Rate)^(Slot17_Age-D48)*(1-((1+AS_Wage)/(1+Slot17_Rate))^(Slot17_Age-D48))/(1-(1+AS_Wage)/(1+Slot17_Rate))),1)</f>
        <v>1</v>
      </c>
      <c r="ND48" s="1" t="n">
        <f aca="false">IF(AND(HT48=1,ID48&gt;0,Slot17_IsWG=1,GA48=1),MAX(0,(Slot17_Cost-GB48*(1+Slot17_Rate)^(Slot17_Age-D48))/NC48),0)</f>
        <v>0</v>
      </c>
      <c r="NE48" s="1" t="n">
        <f aca="false">IF(AND(HT48=1,ID48&gt;0,Slot17_IsWG=1,GA48=1),MIN(ID48,ND48),0)</f>
        <v>0</v>
      </c>
      <c r="NF48" s="1" t="n">
        <f aca="false">GB48+NE48</f>
        <v>0</v>
      </c>
      <c r="NG48" s="1" t="n">
        <f aca="false">IF(GA48=1,MAX(0,(Slot17_Cost-NF48*(1+Slot17_Rate)^(Slot17_Age-D48))/NC48),0)</f>
        <v>0</v>
      </c>
      <c r="NH48" s="1" t="n">
        <f aca="false">IF(GA48=1,MAX(0,(Slot17_Cost-GB48*(1+Slot17_Rate)^(Slot17_Age-D48))/NC48),0)</f>
        <v>0</v>
      </c>
      <c r="NI48" s="1" t="n">
        <f aca="false">IF(AND(HT48=1,GA48=1),MIN(NB48,NG48),0)</f>
        <v>0</v>
      </c>
      <c r="NJ48" s="1" t="n">
        <f aca="false">NB48-NI48</f>
        <v>0</v>
      </c>
      <c r="NK48" s="1" t="n">
        <f aca="false">IF(GK48=1,IF(ABS((1+AS_Wage)/(1+Slot18_Rate)-1)&lt;0.000000000001,(Slot18_Age-D48)*(1+Slot18_Rate)^(Slot18_Age-D48),(1+Slot18_Rate)^(Slot18_Age-D48)*(1-((1+AS_Wage)/(1+Slot18_Rate))^(Slot18_Age-D48))/(1-(1+AS_Wage)/(1+Slot18_Rate))),1)</f>
        <v>1</v>
      </c>
      <c r="NL48" s="1" t="n">
        <f aca="false">IF(AND(HT48=1,ID48&gt;0,Slot18_IsWG=1,GK48=1),MAX(0,(Slot18_Cost-GL48*(1+Slot18_Rate)^(Slot18_Age-D48))/NK48),0)</f>
        <v>0</v>
      </c>
      <c r="NM48" s="1" t="n">
        <f aca="false">IF(AND(HT48=1,ID48&gt;0,Slot18_IsWG=1,GK48=1),MIN(ID48,NL48),0)</f>
        <v>0</v>
      </c>
      <c r="NN48" s="1" t="n">
        <f aca="false">GL48+NM48</f>
        <v>0</v>
      </c>
      <c r="NO48" s="1" t="n">
        <f aca="false">IF(GK48=1,MAX(0,(Slot18_Cost-NN48*(1+Slot18_Rate)^(Slot18_Age-D48))/NK48),0)</f>
        <v>0</v>
      </c>
      <c r="NP48" s="1" t="n">
        <f aca="false">IF(GK48=1,MAX(0,(Slot18_Cost-GL48*(1+Slot18_Rate)^(Slot18_Age-D48))/NK48),0)</f>
        <v>0</v>
      </c>
      <c r="NQ48" s="1" t="n">
        <f aca="false">IF(AND(HT48=1,GK48=1),MIN(NJ48,NO48),0)</f>
        <v>0</v>
      </c>
      <c r="NR48" s="1" t="n">
        <f aca="false">NJ48-NQ48</f>
        <v>0</v>
      </c>
      <c r="NS48" s="1" t="n">
        <f aca="false">IF(GU48=1,IF(ABS((1+AS_Wage)/(1+Slot19_Rate)-1)&lt;0.000000000001,(Slot19_Age-D48)*(1+Slot19_Rate)^(Slot19_Age-D48),(1+Slot19_Rate)^(Slot19_Age-D48)*(1-((1+AS_Wage)/(1+Slot19_Rate))^(Slot19_Age-D48))/(1-(1+AS_Wage)/(1+Slot19_Rate))),1)</f>
        <v>1</v>
      </c>
      <c r="NT48" s="1" t="n">
        <f aca="false">IF(AND(HT48=1,ID48&gt;0,Slot19_IsWG=1,GU48=1),MAX(0,(Slot19_Cost-GV48*(1+Slot19_Rate)^(Slot19_Age-D48))/NS48),0)</f>
        <v>0</v>
      </c>
      <c r="NU48" s="1" t="n">
        <f aca="false">IF(AND(HT48=1,ID48&gt;0,Slot19_IsWG=1,GU48=1),MIN(ID48,NT48),0)</f>
        <v>0</v>
      </c>
      <c r="NV48" s="1" t="n">
        <f aca="false">GV48+NU48</f>
        <v>0</v>
      </c>
      <c r="NW48" s="1" t="n">
        <f aca="false">IF(GU48=1,MAX(0,(Slot19_Cost-NV48*(1+Slot19_Rate)^(Slot19_Age-D48))/NS48),0)</f>
        <v>0</v>
      </c>
      <c r="NX48" s="1" t="n">
        <f aca="false">IF(GU48=1,MAX(0,(Slot19_Cost-GV48*(1+Slot19_Rate)^(Slot19_Age-D48))/NS48),0)</f>
        <v>0</v>
      </c>
      <c r="NY48" s="1" t="n">
        <f aca="false">IF(AND(HT48=1,GU48=1),MIN(NR48,NW48),0)</f>
        <v>0</v>
      </c>
      <c r="NZ48" s="1" t="n">
        <f aca="false">NR48-NY48</f>
        <v>0</v>
      </c>
      <c r="OA48" s="1" t="n">
        <f aca="false">IF(HE48=1,IF(ABS((1+AS_Wage)/(1+Slot20_Rate)-1)&lt;0.000000000001,(Slot20_Age-D48)*(1+Slot20_Rate)^(Slot20_Age-D48),(1+Slot20_Rate)^(Slot20_Age-D48)*(1-((1+AS_Wage)/(1+Slot20_Rate))^(Slot20_Age-D48))/(1-(1+AS_Wage)/(1+Slot20_Rate))),1)</f>
        <v>1</v>
      </c>
      <c r="OB48" s="1" t="n">
        <f aca="false">IF(AND(HT48=1,ID48&gt;0,Slot20_IsWG=1,HE48=1),MAX(0,(Slot20_Cost-HF48*(1+Slot20_Rate)^(Slot20_Age-D48))/OA48),0)</f>
        <v>0</v>
      </c>
      <c r="OC48" s="1" t="n">
        <f aca="false">IF(AND(HT48=1,ID48&gt;0,Slot20_IsWG=1,HE48=1),MIN(ID48,OB48),0)</f>
        <v>0</v>
      </c>
      <c r="OD48" s="1" t="n">
        <f aca="false">HF48+OC48</f>
        <v>0</v>
      </c>
      <c r="OE48" s="1" t="n">
        <f aca="false">IF(HE48=1,MAX(0,(Slot20_Cost-OD48*(1+Slot20_Rate)^(Slot20_Age-D48))/OA48),0)</f>
        <v>0</v>
      </c>
      <c r="OF48" s="1" t="n">
        <f aca="false">IF(HE48=1,MAX(0,(Slot20_Cost-HF48*(1+Slot20_Rate)^(Slot20_Age-D48))/OA48),0)</f>
        <v>0</v>
      </c>
      <c r="OG48" s="1" t="n">
        <f aca="false">IF(AND(HT48=1,HE48=1),MIN(NZ48,OE48),0)</f>
        <v>0</v>
      </c>
      <c r="OH48" s="1" t="n">
        <f aca="false">NZ48-OG48</f>
        <v>0</v>
      </c>
      <c r="OI48" s="1" t="n">
        <f aca="false">ID48-(IG48+IO48+IW48+JE48+JM48+JU48+KC48+KK48+KS48+LA48+LI48+LQ48+LY48+MG48+MO48+MW48+NE48+NM48+NU48+OC48)</f>
        <v>0</v>
      </c>
      <c r="OJ48" s="1" t="n">
        <f aca="false">IF(HT48=1,HR48-IC48-ID48,0)</f>
        <v>0</v>
      </c>
      <c r="OK48" s="1" t="n">
        <f aca="false">IF(HT48=0,-HR48,0)</f>
        <v>0</v>
      </c>
      <c r="OL48" s="1" t="n">
        <f aca="false">MIN(OK48,HJ48)</f>
        <v>0</v>
      </c>
      <c r="OM48" s="1" t="n">
        <f aca="false">OK48-OL48</f>
        <v>0</v>
      </c>
      <c r="ON48" s="1" t="n">
        <f aca="false">MIN(OM48,HK48)</f>
        <v>0</v>
      </c>
      <c r="OO48" s="1" t="n">
        <f aca="false">OM48-ON48</f>
        <v>0</v>
      </c>
      <c r="OP48" s="1" t="n">
        <f aca="false">IF(AND(HT48=0,HE48=1,OO48&gt;0),MIN(OO48,HF48),0)</f>
        <v>0</v>
      </c>
      <c r="OQ48" s="1" t="n">
        <f aca="false">OO48-OP48</f>
        <v>0</v>
      </c>
      <c r="OR48" s="1" t="n">
        <f aca="false">IF(AND(HT48=0,GU48=1,OQ48&gt;0),MIN(OQ48,GV48),0)</f>
        <v>0</v>
      </c>
      <c r="OS48" s="1" t="n">
        <f aca="false">OQ48-OR48</f>
        <v>0</v>
      </c>
      <c r="OT48" s="1" t="n">
        <f aca="false">IF(AND(HT48=0,GK48=1,OS48&gt;0),MIN(OS48,GL48),0)</f>
        <v>0</v>
      </c>
      <c r="OU48" s="1" t="n">
        <f aca="false">OS48-OT48</f>
        <v>0</v>
      </c>
      <c r="OV48" s="1" t="n">
        <f aca="false">IF(AND(HT48=0,GA48=1,OU48&gt;0),MIN(OU48,GB48),0)</f>
        <v>0</v>
      </c>
      <c r="OW48" s="1" t="n">
        <f aca="false">OU48-OV48</f>
        <v>0</v>
      </c>
      <c r="OX48" s="1" t="n">
        <f aca="false">IF(AND(HT48=0,FQ48=1,OW48&gt;0),MIN(OW48,FR48),0)</f>
        <v>0</v>
      </c>
      <c r="OY48" s="1" t="n">
        <f aca="false">OW48-OX48</f>
        <v>0</v>
      </c>
      <c r="OZ48" s="1" t="n">
        <f aca="false">IF(AND(HT48=0,FG48=1,OY48&gt;0),MIN(OY48,FH48),0)</f>
        <v>0</v>
      </c>
      <c r="PA48" s="1" t="n">
        <f aca="false">OY48-OZ48</f>
        <v>0</v>
      </c>
      <c r="PB48" s="1" t="n">
        <f aca="false">IF(AND(HT48=0,EW48=1,PA48&gt;0),MIN(PA48,EX48),0)</f>
        <v>0</v>
      </c>
      <c r="PC48" s="1" t="n">
        <f aca="false">PA48-PB48</f>
        <v>0</v>
      </c>
      <c r="PD48" s="1" t="n">
        <f aca="false">IF(AND(HT48=0,EM48=1,PC48&gt;0),MIN(PC48,EN48),0)</f>
        <v>0</v>
      </c>
      <c r="PE48" s="1" t="n">
        <f aca="false">PC48-PD48</f>
        <v>0</v>
      </c>
      <c r="PF48" s="1" t="n">
        <f aca="false">IF(AND(HT48=0,EC48=1,PE48&gt;0),MIN(PE48,ED48),0)</f>
        <v>0</v>
      </c>
      <c r="PG48" s="1" t="n">
        <f aca="false">PE48-PF48</f>
        <v>0</v>
      </c>
      <c r="PH48" s="1" t="n">
        <f aca="false">IF(AND(HT48=0,DS48=1,PG48&gt;0),MIN(PG48,DT48),0)</f>
        <v>0</v>
      </c>
      <c r="PI48" s="1" t="n">
        <f aca="false">PG48-PH48</f>
        <v>0</v>
      </c>
      <c r="PJ48" s="1" t="n">
        <f aca="false">IF(AND(HT48=0,DI48=1,PI48&gt;0),MIN(PI48,DJ48),0)</f>
        <v>0</v>
      </c>
      <c r="PK48" s="1" t="n">
        <f aca="false">PI48-PJ48</f>
        <v>0</v>
      </c>
      <c r="PL48" s="1" t="n">
        <f aca="false">IF(AND(HT48=0,CY48=1,PK48&gt;0),MIN(PK48,CZ48),0)</f>
        <v>0</v>
      </c>
      <c r="PM48" s="1" t="n">
        <f aca="false">PK48-PL48</f>
        <v>0</v>
      </c>
      <c r="PN48" s="1" t="n">
        <f aca="false">IF(AND(HT48=0,CO48=1,PM48&gt;0),MIN(PM48,CP48),0)</f>
        <v>0</v>
      </c>
      <c r="PO48" s="1" t="n">
        <f aca="false">PM48-PN48</f>
        <v>0</v>
      </c>
      <c r="PP48" s="1" t="n">
        <f aca="false">IF(AND(HT48=0,CE48=1,PO48&gt;0),MIN(PO48,CF48),0)</f>
        <v>0</v>
      </c>
      <c r="PQ48" s="1" t="n">
        <f aca="false">PO48-PP48</f>
        <v>0</v>
      </c>
      <c r="PR48" s="1" t="n">
        <f aca="false">IF(AND(HT48=0,BU48=1,PQ48&gt;0),MIN(PQ48,BV48),0)</f>
        <v>0</v>
      </c>
      <c r="PS48" s="1" t="n">
        <f aca="false">PQ48-PR48</f>
        <v>0</v>
      </c>
      <c r="PT48" s="1" t="n">
        <f aca="false">IF(AND(HT48=0,BK48=1,PS48&gt;0),MIN(PS48,BL48),0)</f>
        <v>0</v>
      </c>
      <c r="PU48" s="1" t="n">
        <f aca="false">PS48-PT48</f>
        <v>0</v>
      </c>
      <c r="PV48" s="1" t="n">
        <f aca="false">IF(AND(HT48=0,BA48=1,PU48&gt;0),MIN(PU48,BB48),0)</f>
        <v>0</v>
      </c>
      <c r="PW48" s="1" t="n">
        <f aca="false">PU48-PV48</f>
        <v>0</v>
      </c>
      <c r="PX48" s="1" t="n">
        <f aca="false">IF(AND(HT48=0,AQ48=1,PW48&gt;0),MIN(PW48,AR48),0)</f>
        <v>0</v>
      </c>
      <c r="PY48" s="1" t="n">
        <f aca="false">PW48-PX48</f>
        <v>0</v>
      </c>
      <c r="PZ48" s="1" t="n">
        <f aca="false">IF(AND(HT48=0,AG48=1,PY48&gt;0),MIN(PY48,AH48),0)</f>
        <v>0</v>
      </c>
      <c r="QA48" s="1" t="n">
        <f aca="false">PY48-PZ48</f>
        <v>0</v>
      </c>
      <c r="QB48" s="1" t="n">
        <f aca="false">IF(AND(HT48=0,V48=1,QA48&gt;0),MIN(QA48,W48),0)</f>
        <v>0</v>
      </c>
      <c r="QC48" s="1" t="n">
        <f aca="false">QA48-QB48</f>
        <v>0</v>
      </c>
      <c r="QD48" s="1" t="n">
        <f aca="false">IF(HT48=0,QC48,0)</f>
        <v>0</v>
      </c>
      <c r="QE48" s="1" t="n">
        <f aca="false">OL48+ON48+QB48+PZ48+PX48+PV48+PT48+PR48+PP48+PN48+PL48+PJ48+PH48+PF48+PD48+PB48+OZ48+OX48+OV48+OT48+OR48+OP48</f>
        <v>0</v>
      </c>
      <c r="QF48" s="1" t="n">
        <f aca="false">IF(HT48=1,HJ48+OI48+OH48+IF(F48=1,0,OJ48),HJ48-OL48)</f>
        <v>0</v>
      </c>
      <c r="QG48" s="1" t="n">
        <f aca="false">HK48-ON48</f>
        <v>0</v>
      </c>
      <c r="QH48" s="1" t="n">
        <f aca="false">IF(HT48=1,IF(F48=1,IC48+ID48,HR48),0)</f>
        <v>0</v>
      </c>
      <c r="QI48" s="1" t="n">
        <f aca="false">IF(HT48=1,IF(F48=1,HR48-IC48-ID48,0),0)</f>
        <v>0</v>
      </c>
      <c r="QJ48" s="1" t="n">
        <f aca="false">QF48*(1+GR)</f>
        <v>0</v>
      </c>
      <c r="QK48" s="1" t="n">
        <f aca="false">QG48*(1+AS_Cash)</f>
        <v>0</v>
      </c>
      <c r="QL48" s="1" t="n">
        <f aca="false">IF(V48=1,IF(HT48=1,IH48+IK48,W48-QB48)*(1+Slot1_Rate),0)</f>
        <v>0</v>
      </c>
      <c r="QM48" s="1" t="n">
        <f aca="false">IF(AND(HT48=1,V48=1),(IG48+IK48)/E48,0)</f>
        <v>0</v>
      </c>
      <c r="QN48" s="1" t="n">
        <f aca="false">IF(B48=0,IG48+IK48,0)</f>
        <v>0</v>
      </c>
      <c r="QO48" s="1" t="n">
        <f aca="false">IF(B48=0,IF(HT48=1,II48,IJ48),0)</f>
        <v>0</v>
      </c>
      <c r="QP48" s="1" t="n">
        <f aca="false">IF(AG48=1,IF(HT48=1,IP48+IS48,AH48-PZ48)*(1+Slot2_Rate),0)</f>
        <v>0</v>
      </c>
      <c r="QQ48" s="1" t="n">
        <f aca="false">IF(AND(HT48=1,AG48=1),(IO48+IS48)/E48,0)</f>
        <v>0</v>
      </c>
      <c r="QR48" s="1" t="n">
        <f aca="false">IF(B48=0,IO48+IS48,0)</f>
        <v>0</v>
      </c>
      <c r="QS48" s="1" t="n">
        <f aca="false">IF(B48=0,IF(HT48=1,IQ48,IR48),0)</f>
        <v>0</v>
      </c>
      <c r="QT48" s="1" t="n">
        <f aca="false">IF(AQ48=1,IF(HT48=1,IX48+JA48,AR48-PX48)*(1+Slot3_Rate),0)</f>
        <v>0</v>
      </c>
      <c r="QU48" s="1" t="n">
        <f aca="false">IF(AND(HT48=1,AQ48=1),(IW48+JA48)/E48,0)</f>
        <v>0</v>
      </c>
      <c r="QV48" s="1" t="n">
        <f aca="false">IF(B48=0,IW48+JA48,0)</f>
        <v>0</v>
      </c>
      <c r="QW48" s="1" t="n">
        <f aca="false">IF(B48=0,IF(HT48=1,IY48,IZ48),0)</f>
        <v>0</v>
      </c>
      <c r="QX48" s="1" t="n">
        <f aca="false">IF(BA48=1,IF(HT48=1,JF48+JI48,BB48-PV48)*(1+Slot4_Rate),0)</f>
        <v>0</v>
      </c>
      <c r="QY48" s="1" t="n">
        <f aca="false">IF(AND(HT48=1,BA48=1),(JE48+JI48)/E48,0)</f>
        <v>0</v>
      </c>
      <c r="QZ48" s="1" t="n">
        <f aca="false">IF(B48=0,JE48+JI48,0)</f>
        <v>0</v>
      </c>
      <c r="RA48" s="1" t="n">
        <f aca="false">IF(B48=0,IF(HT48=1,JG48,JH48),0)</f>
        <v>0</v>
      </c>
      <c r="RB48" s="1" t="n">
        <f aca="false">IF(BK48=1,IF(HT48=1,JN48+JQ48,BL48-PT48)*(1+Slot5_Rate),0)</f>
        <v>0</v>
      </c>
      <c r="RC48" s="1" t="n">
        <f aca="false">IF(AND(HT48=1,BK48=1),(JM48+JQ48)/E48,0)</f>
        <v>0</v>
      </c>
      <c r="RD48" s="1" t="n">
        <f aca="false">IF(B48=0,JM48+JQ48,0)</f>
        <v>0</v>
      </c>
      <c r="RE48" s="1" t="n">
        <f aca="false">IF(B48=0,IF(HT48=1,JO48,JP48),0)</f>
        <v>0</v>
      </c>
      <c r="RF48" s="1" t="n">
        <f aca="false">IF(BU48=1,IF(HT48=1,JV48+JY48,BV48-PR48)*(1+Slot6_Rate),0)</f>
        <v>0</v>
      </c>
      <c r="RG48" s="1" t="n">
        <f aca="false">IF(AND(HT48=1,BU48=1),(JU48+JY48)/E48,0)</f>
        <v>0</v>
      </c>
      <c r="RH48" s="1" t="n">
        <f aca="false">IF(B48=0,JU48+JY48,0)</f>
        <v>0</v>
      </c>
      <c r="RI48" s="1" t="n">
        <f aca="false">IF(B48=0,IF(HT48=1,JW48,JX48),0)</f>
        <v>0</v>
      </c>
      <c r="RJ48" s="1" t="n">
        <f aca="false">IF(CE48=1,IF(HT48=1,KD48+KG48,CF48-PP48)*(1+Slot7_Rate),0)</f>
        <v>0</v>
      </c>
      <c r="RK48" s="1" t="n">
        <f aca="false">IF(AND(HT48=1,CE48=1),(KC48+KG48)/E48,0)</f>
        <v>0</v>
      </c>
      <c r="RL48" s="1" t="n">
        <f aca="false">IF(B48=0,KC48+KG48,0)</f>
        <v>0</v>
      </c>
      <c r="RM48" s="1" t="n">
        <f aca="false">IF(B48=0,IF(HT48=1,KE48,KF48),0)</f>
        <v>0</v>
      </c>
      <c r="RN48" s="1" t="n">
        <f aca="false">IF(CO48=1,IF(HT48=1,KL48+KO48,CP48-PN48)*(1+Slot8_Rate),0)</f>
        <v>0</v>
      </c>
      <c r="RO48" s="1" t="n">
        <f aca="false">IF(AND(HT48=1,CO48=1),(KK48+KO48)/E48,0)</f>
        <v>0</v>
      </c>
      <c r="RP48" s="1" t="n">
        <f aca="false">IF(B48=0,KK48+KO48,0)</f>
        <v>0</v>
      </c>
      <c r="RQ48" s="1" t="n">
        <f aca="false">IF(B48=0,IF(HT48=1,KM48,KN48),0)</f>
        <v>0</v>
      </c>
      <c r="RR48" s="1" t="n">
        <f aca="false">IF(CY48=1,IF(HT48=1,KT48+KW48,CZ48-PL48)*(1+Slot9_Rate),0)</f>
        <v>0</v>
      </c>
      <c r="RS48" s="1" t="n">
        <f aca="false">IF(AND(HT48=1,CY48=1),(KS48+KW48)/E48,0)</f>
        <v>0</v>
      </c>
      <c r="RT48" s="1" t="n">
        <f aca="false">IF(B48=0,KS48+KW48,0)</f>
        <v>0</v>
      </c>
      <c r="RU48" s="1" t="n">
        <f aca="false">IF(B48=0,IF(HT48=1,KU48,KV48),0)</f>
        <v>0</v>
      </c>
      <c r="RV48" s="1" t="n">
        <f aca="false">IF(DI48=1,IF(HT48=1,LB48+LE48,DJ48-PJ48)*(1+Slot10_Rate),0)</f>
        <v>0</v>
      </c>
      <c r="RW48" s="1" t="n">
        <f aca="false">IF(AND(HT48=1,DI48=1),(LA48+LE48)/E48,0)</f>
        <v>0</v>
      </c>
      <c r="RX48" s="1" t="n">
        <f aca="false">IF(B48=0,LA48+LE48,0)</f>
        <v>0</v>
      </c>
      <c r="RY48" s="1" t="n">
        <f aca="false">IF(B48=0,IF(HT48=1,LC48,LD48),0)</f>
        <v>0</v>
      </c>
      <c r="RZ48" s="1" t="n">
        <f aca="false">IF(DS48=1,IF(HT48=1,LJ48+LM48,DT48-PH48)*(1+Slot11_Rate),0)</f>
        <v>0</v>
      </c>
      <c r="SA48" s="1" t="n">
        <f aca="false">IF(AND(HT48=1,DS48=1),(LI48+LM48)/E48,0)</f>
        <v>0</v>
      </c>
      <c r="SB48" s="1" t="n">
        <f aca="false">IF(B48=0,LI48+LM48,0)</f>
        <v>0</v>
      </c>
      <c r="SC48" s="1" t="n">
        <f aca="false">IF(B48=0,IF(HT48=1,LK48,LL48),0)</f>
        <v>0</v>
      </c>
      <c r="SD48" s="1" t="n">
        <f aca="false">IF(EC48=1,IF(HT48=1,LR48+LU48,ED48-PF48)*(1+Slot12_Rate),0)</f>
        <v>0</v>
      </c>
      <c r="SE48" s="1" t="n">
        <f aca="false">IF(AND(HT48=1,EC48=1),(LQ48+LU48)/E48,0)</f>
        <v>0</v>
      </c>
      <c r="SF48" s="1" t="n">
        <f aca="false">IF(B48=0,LQ48+LU48,0)</f>
        <v>0</v>
      </c>
      <c r="SG48" s="1" t="n">
        <f aca="false">IF(B48=0,IF(HT48=1,LS48,LT48),0)</f>
        <v>0</v>
      </c>
      <c r="SH48" s="1" t="n">
        <f aca="false">IF(EM48=1,IF(HT48=1,LZ48+MC48,EN48-PD48)*(1+Slot13_Rate),0)</f>
        <v>0</v>
      </c>
      <c r="SI48" s="1" t="n">
        <f aca="false">IF(AND(HT48=1,EM48=1),(LY48+MC48)/E48,0)</f>
        <v>0</v>
      </c>
      <c r="SJ48" s="1" t="n">
        <f aca="false">IF(B48=0,LY48+MC48,0)</f>
        <v>0</v>
      </c>
      <c r="SK48" s="1" t="n">
        <f aca="false">IF(B48=0,IF(HT48=1,MA48,MB48),0)</f>
        <v>0</v>
      </c>
      <c r="SL48" s="1" t="n">
        <f aca="false">IF(EW48=1,IF(HT48=1,MH48+MK48,EX48-PB48)*(1+Slot14_Rate),0)</f>
        <v>0</v>
      </c>
      <c r="SM48" s="1" t="n">
        <f aca="false">IF(AND(HT48=1,EW48=1),(MG48+MK48)/E48,0)</f>
        <v>0</v>
      </c>
      <c r="SN48" s="1" t="n">
        <f aca="false">IF(B48=0,MG48+MK48,0)</f>
        <v>0</v>
      </c>
      <c r="SO48" s="1" t="n">
        <f aca="false">IF(B48=0,IF(HT48=1,MI48,MJ48),0)</f>
        <v>0</v>
      </c>
      <c r="SP48" s="1" t="n">
        <f aca="false">IF(FG48=1,IF(HT48=1,MP48+MS48,FH48-OZ48)*(1+Slot15_Rate),0)</f>
        <v>0</v>
      </c>
      <c r="SQ48" s="1" t="n">
        <f aca="false">IF(AND(HT48=1,FG48=1),(MO48+MS48)/E48,0)</f>
        <v>0</v>
      </c>
      <c r="SR48" s="1" t="n">
        <f aca="false">IF(B48=0,MO48+MS48,0)</f>
        <v>0</v>
      </c>
      <c r="SS48" s="1" t="n">
        <f aca="false">IF(B48=0,IF(HT48=1,MQ48,MR48),0)</f>
        <v>0</v>
      </c>
      <c r="ST48" s="1" t="n">
        <f aca="false">IF(FQ48=1,IF(HT48=1,MX48+NA48,FR48-OX48)*(1+Slot16_Rate),0)</f>
        <v>0</v>
      </c>
      <c r="SU48" s="1" t="n">
        <f aca="false">IF(AND(HT48=1,FQ48=1),(MW48+NA48)/E48,0)</f>
        <v>0</v>
      </c>
      <c r="SV48" s="1" t="n">
        <f aca="false">IF(B48=0,MW48+NA48,0)</f>
        <v>0</v>
      </c>
      <c r="SW48" s="1" t="n">
        <f aca="false">IF(B48=0,IF(HT48=1,MY48,MZ48),0)</f>
        <v>0</v>
      </c>
      <c r="SX48" s="1" t="n">
        <f aca="false">IF(GA48=1,IF(HT48=1,NF48+NI48,GB48-OV48)*(1+Slot17_Rate),0)</f>
        <v>0</v>
      </c>
      <c r="SY48" s="1" t="n">
        <f aca="false">IF(AND(HT48=1,GA48=1),(NE48+NI48)/E48,0)</f>
        <v>0</v>
      </c>
      <c r="SZ48" s="1" t="n">
        <f aca="false">IF(B48=0,NE48+NI48,0)</f>
        <v>0</v>
      </c>
      <c r="TA48" s="1" t="n">
        <f aca="false">IF(B48=0,IF(HT48=1,NG48,NH48),0)</f>
        <v>0</v>
      </c>
      <c r="TB48" s="1" t="n">
        <f aca="false">IF(GK48=1,IF(HT48=1,NN48+NQ48,GL48-OT48)*(1+Slot18_Rate),0)</f>
        <v>0</v>
      </c>
      <c r="TC48" s="1" t="n">
        <f aca="false">IF(AND(HT48=1,GK48=1),(NM48+NQ48)/E48,0)</f>
        <v>0</v>
      </c>
      <c r="TD48" s="1" t="n">
        <f aca="false">IF(B48=0,NM48+NQ48,0)</f>
        <v>0</v>
      </c>
      <c r="TE48" s="1" t="n">
        <f aca="false">IF(B48=0,IF(HT48=1,NO48,NP48),0)</f>
        <v>0</v>
      </c>
      <c r="TF48" s="1" t="n">
        <f aca="false">IF(GU48=1,IF(HT48=1,NV48+NY48,GV48-OR48)*(1+Slot19_Rate),0)</f>
        <v>0</v>
      </c>
      <c r="TG48" s="1" t="n">
        <f aca="false">IF(AND(HT48=1,GU48=1),(NU48+NY48)/E48,0)</f>
        <v>0</v>
      </c>
      <c r="TH48" s="1" t="n">
        <f aca="false">IF(B48=0,NU48+NY48,0)</f>
        <v>0</v>
      </c>
      <c r="TI48" s="1" t="n">
        <f aca="false">IF(B48=0,IF(HT48=1,NW48,NX48),0)</f>
        <v>0</v>
      </c>
      <c r="TJ48" s="1" t="n">
        <f aca="false">IF(HE48=1,IF(HT48=1,OD48+OG48,HF48-OP48)*(1+Slot20_Rate),0)</f>
        <v>0</v>
      </c>
      <c r="TK48" s="1" t="n">
        <f aca="false">IF(AND(HT48=1,HE48=1),(OC48+OG48)/E48,0)</f>
        <v>0</v>
      </c>
      <c r="TL48" s="1" t="n">
        <f aca="false">IF(B48=0,OC48+OG48,0)</f>
        <v>0</v>
      </c>
      <c r="TM48" s="1" t="n">
        <f aca="false">IF(B48=0,IF(HT48=1,OE48,OF48),0)</f>
        <v>0</v>
      </c>
      <c r="TN48" s="1" t="n">
        <f aca="false">QJ48+QK48+QL48+QP48+QT48+QX48+RB48+RF48+RJ48+RN48+RR48+RV48+RZ48+SD48+SH48+SL48+SP48+ST48+SX48+TB48+TF48+TJ48</f>
        <v>0</v>
      </c>
      <c r="TO48" s="1" t="n">
        <f aca="false">QD48+HO48</f>
        <v>0</v>
      </c>
      <c r="TP48" s="1" t="n">
        <f aca="false">H48+R48</f>
        <v>0</v>
      </c>
      <c r="TQ48" s="1" t="n">
        <f aca="false">1-F48</f>
        <v>0</v>
      </c>
      <c r="TR48" s="1" t="n">
        <f aca="false">IF(AND(RG_Exists=1,F48=0,C48=1),H48,0)</f>
        <v>0</v>
      </c>
      <c r="TS48" s="1" t="n">
        <f aca="false">IF(AND(RG_Exists=1,F48=0,C48=1),H48-MIN(QD48,H48),0)</f>
        <v>0</v>
      </c>
      <c r="TT48" s="1" t="n">
        <f aca="false">'Plan pay &amp; tax'!AD274</f>
        <v>0</v>
      </c>
      <c r="TU48" s="1" t="n">
        <f aca="false">IF(AND(C48=1,QD48&gt;MAX(PR_Short1,TP48*PR_Short2)),1,0)</f>
        <v>0</v>
      </c>
      <c r="TV48" s="1" t="n">
        <f aca="false">MIN(G48,H48+R48)</f>
        <v>0</v>
      </c>
      <c r="TW48" s="1" t="n">
        <f aca="false">QE48+MAX(0,HP48-HO48)</f>
        <v>0</v>
      </c>
      <c r="TX48" s="1" t="n">
        <f aca="false">QD48+HO48</f>
        <v>0</v>
      </c>
      <c r="TY48" s="1" t="n">
        <f aca="false">IF(AND(C48=1,TX48&gt;PR_MinShort),1,0)</f>
        <v>0</v>
      </c>
      <c r="TZ48" s="1" t="n">
        <f aca="false">IF(AND(C48=1,TY48=0,TW48&gt;PR_MinShort),1,0)</f>
        <v>0</v>
      </c>
      <c r="UA48" s="1" t="n">
        <f aca="false">IF(AND(C48=1,QD48&gt;PR_MinShort),1,0)</f>
        <v>0</v>
      </c>
      <c r="UB48" s="1" t="n">
        <f aca="false">IF(AND(C48=1,QE48&gt;1,UI48=0),1,0)</f>
        <v>0</v>
      </c>
      <c r="UC48" s="1" t="str">
        <f aca="false">IF(C48=0,"",IF(UI48=1,"Gap to plan for: short "&amp;"€"&amp;TEXT(ROUND(TO48,0),"#,##0"),IF(QE48&gt;1,"Using savings","Comfortable")))</f>
        <v>Comfortable</v>
      </c>
      <c r="UD48" s="1" t="n">
        <f aca="false">IF(AND(INT(D48/10)*10=90,B48&gt;0),80,INT(D48/10)*10)</f>
        <v>40</v>
      </c>
      <c r="UE48" s="1" t="n">
        <f aca="false">IF(B48=0,1,IF(UD48&lt;&gt;UD47,UE47+1,UE47))</f>
        <v>5</v>
      </c>
      <c r="UF48" s="1" t="n">
        <f aca="false">IF(AND(C48=1,F48=1,QD48&gt;MAX(PR_Short1,TP48*PR_Short2)),1,0)</f>
        <v>0</v>
      </c>
      <c r="UG48" s="1" t="n">
        <f aca="false">TQ48*TU48</f>
        <v>0</v>
      </c>
      <c r="UH48" s="1" t="n">
        <f aca="false">IF(AND(U48=1,Slot1_PctLow=1),1,0)+IF(AND(AF48=1,Slot2_PctLow=1),1,0)+IF(AND(AP48=1,Slot3_PctLow=1),1,0)+IF(AND(AZ48=1,Slot4_PctLow=1),1,0)+IF(AND(BJ48=1,Slot5_PctLow=1),1,0)+IF(AND(BT48=1,Slot6_PctLow=1),1,0)+IF(AND(CD48=1,Slot7_PctLow=1),1,0)+IF(AND(CN48=1,Slot8_PctLow=1),1,0)+IF(AND(CX48=1,Slot9_PctLow=1),1,0)+IF(AND(DH48=1,Slot10_PctLow=1),1,0)+IF(AND(DR48=1,Slot11_PctLow=1),1,0)+IF(AND(EB48=1,Slot12_PctLow=1),1,0)+IF(AND(EL48=1,Slot13_PctLow=1),1,0)+IF(AND(EV48=1,Slot14_PctLow=1),1,0)+IF(AND(FF48=1,Slot15_PctLow=1),1,0)+IF(AND(FP48=1,Slot16_PctLow=1),1,0)+IF(AND(FZ48=1,Slot17_PctLow=1),1,0)+IF(AND(GJ48=1,Slot18_PctLow=1),1,0)+IF(AND(GT48=1,Slot19_PctLow=1),1,0)+IF(AND(HD48=1,Slot20_PctLow=1),1,0)</f>
        <v>0</v>
      </c>
      <c r="UI48" s="1" t="n">
        <f aca="false">IF(C48=1,IF(OR(TU48=1,UH48&gt;0),1,0),0)</f>
        <v>0</v>
      </c>
    </row>
    <row r="49" customFormat="false" ht="15" hidden="false" customHeight="true" outlineLevel="0" collapsed="false">
      <c r="B49" s="1" t="n">
        <v>41</v>
      </c>
      <c r="C49" s="1" t="n">
        <f aca="false">IF(B49&lt;=F_N,1,0)</f>
        <v>1</v>
      </c>
      <c r="D49" s="1" t="n">
        <f aca="false">'Plan pay &amp; tax'!C275</f>
        <v>41</v>
      </c>
      <c r="E49" s="111" t="n">
        <f aca="false">'Plan pay &amp; tax'!E275</f>
        <v>2.25220045688715</v>
      </c>
      <c r="F49" s="1" t="n">
        <f aca="false">'Plan pay &amp; tax'!G275</f>
        <v>1</v>
      </c>
      <c r="G49" s="1" t="n">
        <f aca="false">'Plan pay &amp; tax'!BT275-'Plan pay &amp; tax'!BS275-'Plan pay &amp; tax'!R275</f>
        <v>0</v>
      </c>
      <c r="H49" s="1" t="n">
        <f aca="false">IF(F49=1,F_CostsM*12,IF(RG_Exists=1,RG_Amount,F_CostsM*12*AS_RetireSpend))*E49+F_OneOffY*E49</f>
        <v>0</v>
      </c>
      <c r="I49" s="1" t="n">
        <f aca="false">HQ48</f>
        <v>0</v>
      </c>
      <c r="J49" s="1" t="n">
        <f aca="false">IF(I49&gt;1,'Plan debt months'!AC49,0)</f>
        <v>0</v>
      </c>
      <c r="K49" s="1" t="n">
        <f aca="false">IF(I49&gt;1,'Plan debt months'!AB49,I49)</f>
        <v>0</v>
      </c>
      <c r="L49" s="1" t="n">
        <f aca="false">N48</f>
        <v>0</v>
      </c>
      <c r="M49" s="1" t="n">
        <f aca="false">IF(L49&gt;1,'Plan debt months'!BD49,0)</f>
        <v>0</v>
      </c>
      <c r="N49" s="1" t="n">
        <f aca="false">IF(L49&gt;1,'Plan debt months'!BC49,L49)</f>
        <v>0</v>
      </c>
      <c r="O49" s="1" t="n">
        <f aca="false">Q48</f>
        <v>0</v>
      </c>
      <c r="P49" s="1" t="n">
        <f aca="false">IF(O49&gt;1,'Plan debt months'!CE49,0)</f>
        <v>0</v>
      </c>
      <c r="Q49" s="1" t="n">
        <f aca="false">IF(O49&gt;1,'Plan debt months'!CD49,O49)</f>
        <v>0</v>
      </c>
      <c r="R49" s="1" t="n">
        <f aca="false">J49+M49+P49</f>
        <v>0</v>
      </c>
      <c r="S49" s="1" t="n">
        <f aca="false">QJ48+'Plan pay &amp; tax'!Y275</f>
        <v>0</v>
      </c>
      <c r="T49" s="1" t="n">
        <f aca="false">QJ48</f>
        <v>0</v>
      </c>
      <c r="U49" s="1" t="n">
        <f aca="false">IF(AND(Slot1_On=1,D49=Slot1_Age),1,0)</f>
        <v>0</v>
      </c>
      <c r="V49" s="1" t="n">
        <f aca="false">IF(AND(Slot1_On=1,Slot1_Age&gt;D49),1,0)</f>
        <v>0</v>
      </c>
      <c r="W49" s="1" t="n">
        <f aca="false">QL48</f>
        <v>0</v>
      </c>
      <c r="X49" s="1" t="n">
        <f aca="false">U49*MIN(Slot1_Cost,W49)</f>
        <v>0</v>
      </c>
      <c r="Y49" s="1" t="n">
        <f aca="false">U49*Slot1_SpendLike*MIN(Slot1_Cost-X49,S49)</f>
        <v>0</v>
      </c>
      <c r="Z49" s="1" t="n">
        <f aca="false">X49+Y49</f>
        <v>0</v>
      </c>
      <c r="AA49" s="1" t="n">
        <f aca="false">S49-Y49+U49*IF(Slot1_SpendLike=1,W49-X49,IF(Slot1_PotFree=1,W49,0))</f>
        <v>0</v>
      </c>
      <c r="AB49" s="1" t="n">
        <f aca="false">AE49+U49*Slot1_BufPot*W49</f>
        <v>0</v>
      </c>
      <c r="AC49" s="1" t="n">
        <f aca="false">IF(AND(U49=1,Slot1_IsMfree=1),IF(Z49&gt;=Slot1_Cost-1,0,MAX(0,K49-Z49)),K49)</f>
        <v>0</v>
      </c>
      <c r="AD49" s="1" t="n">
        <f aca="false">U49*(Slot1_Cost-Z49)</f>
        <v>0</v>
      </c>
      <c r="AE49" s="1" t="n">
        <f aca="false">QK48</f>
        <v>0</v>
      </c>
      <c r="AF49" s="1" t="n">
        <f aca="false">IF(AND(Slot2_On=1,D49=Slot2_Age),1,0)</f>
        <v>0</v>
      </c>
      <c r="AG49" s="1" t="n">
        <f aca="false">IF(AND(Slot2_On=1,Slot2_Age&gt;D49),1,0)</f>
        <v>0</v>
      </c>
      <c r="AH49" s="1" t="n">
        <f aca="false">QP48</f>
        <v>0</v>
      </c>
      <c r="AI49" s="1" t="n">
        <f aca="false">AF49*MIN(Slot2_Cost,AH49)</f>
        <v>0</v>
      </c>
      <c r="AJ49" s="1" t="n">
        <f aca="false">AF49*Slot2_SpendLike*MIN(Slot2_Cost-AI49,AA49)</f>
        <v>0</v>
      </c>
      <c r="AK49" s="1" t="n">
        <f aca="false">AI49+AJ49</f>
        <v>0</v>
      </c>
      <c r="AL49" s="1" t="n">
        <f aca="false">AA49-AJ49+AF49*IF(Slot2_SpendLike=1,AH49-AI49,IF(Slot2_PotFree=1,AH49,0))</f>
        <v>0</v>
      </c>
      <c r="AM49" s="1" t="n">
        <f aca="false">AB49+AF49*Slot2_BufPot*AH49</f>
        <v>0</v>
      </c>
      <c r="AN49" s="1" t="n">
        <f aca="false">IF(AND(AF49=1,Slot2_IsMfree=1),IF(AK49&gt;=Slot2_Cost-1,0,MAX(0,AC49-AK49)),AC49)</f>
        <v>0</v>
      </c>
      <c r="AO49" s="1" t="n">
        <f aca="false">AF49*(Slot2_Cost-AK49)</f>
        <v>0</v>
      </c>
      <c r="AP49" s="1" t="n">
        <f aca="false">IF(AND(Slot3_On=1,D49=Slot3_Age),1,0)</f>
        <v>0</v>
      </c>
      <c r="AQ49" s="1" t="n">
        <f aca="false">IF(AND(Slot3_On=1,Slot3_Age&gt;D49),1,0)</f>
        <v>0</v>
      </c>
      <c r="AR49" s="1" t="n">
        <f aca="false">QT48</f>
        <v>0</v>
      </c>
      <c r="AS49" s="1" t="n">
        <f aca="false">AP49*MIN(Slot3_Cost,AR49)</f>
        <v>0</v>
      </c>
      <c r="AT49" s="1" t="n">
        <f aca="false">AP49*Slot3_SpendLike*MIN(Slot3_Cost-AS49,AL49)</f>
        <v>0</v>
      </c>
      <c r="AU49" s="1" t="n">
        <f aca="false">AS49+AT49</f>
        <v>0</v>
      </c>
      <c r="AV49" s="1" t="n">
        <f aca="false">AL49-AT49+AP49*IF(Slot3_SpendLike=1,AR49-AS49,IF(Slot3_PotFree=1,AR49,0))</f>
        <v>0</v>
      </c>
      <c r="AW49" s="1" t="n">
        <f aca="false">AM49+AP49*Slot3_BufPot*AR49</f>
        <v>0</v>
      </c>
      <c r="AX49" s="1" t="n">
        <f aca="false">IF(AND(AP49=1,Slot3_IsMfree=1),IF(AU49&gt;=Slot3_Cost-1,0,MAX(0,AN49-AU49)),AN49)</f>
        <v>0</v>
      </c>
      <c r="AY49" s="1" t="n">
        <f aca="false">AP49*(Slot3_Cost-AU49)</f>
        <v>0</v>
      </c>
      <c r="AZ49" s="1" t="n">
        <f aca="false">IF(AND(Slot4_On=1,D49=Slot4_Age),1,0)</f>
        <v>0</v>
      </c>
      <c r="BA49" s="1" t="n">
        <f aca="false">IF(AND(Slot4_On=1,Slot4_Age&gt;D49),1,0)</f>
        <v>0</v>
      </c>
      <c r="BB49" s="1" t="n">
        <f aca="false">QX48</f>
        <v>0</v>
      </c>
      <c r="BC49" s="1" t="n">
        <f aca="false">AZ49*MIN(Slot4_Cost,BB49)</f>
        <v>0</v>
      </c>
      <c r="BD49" s="1" t="n">
        <f aca="false">AZ49*Slot4_SpendLike*MIN(Slot4_Cost-BC49,AV49)</f>
        <v>0</v>
      </c>
      <c r="BE49" s="1" t="n">
        <f aca="false">BC49+BD49</f>
        <v>0</v>
      </c>
      <c r="BF49" s="1" t="n">
        <f aca="false">AV49-BD49+AZ49*IF(Slot4_SpendLike=1,BB49-BC49,IF(Slot4_PotFree=1,BB49,0))</f>
        <v>0</v>
      </c>
      <c r="BG49" s="1" t="n">
        <f aca="false">AW49+AZ49*Slot4_BufPot*BB49</f>
        <v>0</v>
      </c>
      <c r="BH49" s="1" t="n">
        <f aca="false">IF(AND(AZ49=1,Slot4_IsMfree=1),IF(BE49&gt;=Slot4_Cost-1,0,MAX(0,AX49-BE49)),AX49)</f>
        <v>0</v>
      </c>
      <c r="BI49" s="1" t="n">
        <f aca="false">AZ49*(Slot4_Cost-BE49)</f>
        <v>0</v>
      </c>
      <c r="BJ49" s="1" t="n">
        <f aca="false">IF(AND(Slot5_On=1,D49=Slot5_Age),1,0)</f>
        <v>0</v>
      </c>
      <c r="BK49" s="1" t="n">
        <f aca="false">IF(AND(Slot5_On=1,Slot5_Age&gt;D49),1,0)</f>
        <v>0</v>
      </c>
      <c r="BL49" s="1" t="n">
        <f aca="false">RB48</f>
        <v>0</v>
      </c>
      <c r="BM49" s="1" t="n">
        <f aca="false">BJ49*MIN(Slot5_Cost,BL49)</f>
        <v>0</v>
      </c>
      <c r="BN49" s="1" t="n">
        <f aca="false">BJ49*Slot5_SpendLike*MIN(Slot5_Cost-BM49,BF49)</f>
        <v>0</v>
      </c>
      <c r="BO49" s="1" t="n">
        <f aca="false">BM49+BN49</f>
        <v>0</v>
      </c>
      <c r="BP49" s="1" t="n">
        <f aca="false">BF49-BN49+BJ49*IF(Slot5_SpendLike=1,BL49-BM49,IF(Slot5_PotFree=1,BL49,0))</f>
        <v>0</v>
      </c>
      <c r="BQ49" s="1" t="n">
        <f aca="false">BG49+BJ49*Slot5_BufPot*BL49</f>
        <v>0</v>
      </c>
      <c r="BR49" s="1" t="n">
        <f aca="false">IF(AND(BJ49=1,Slot5_IsMfree=1),IF(BO49&gt;=Slot5_Cost-1,0,MAX(0,BH49-BO49)),BH49)</f>
        <v>0</v>
      </c>
      <c r="BS49" s="1" t="n">
        <f aca="false">BJ49*(Slot5_Cost-BO49)</f>
        <v>0</v>
      </c>
      <c r="BT49" s="1" t="n">
        <f aca="false">IF(AND(Slot6_On=1,D49=Slot6_Age),1,0)</f>
        <v>0</v>
      </c>
      <c r="BU49" s="1" t="n">
        <f aca="false">IF(AND(Slot6_On=1,Slot6_Age&gt;D49),1,0)</f>
        <v>0</v>
      </c>
      <c r="BV49" s="1" t="n">
        <f aca="false">RF48</f>
        <v>0</v>
      </c>
      <c r="BW49" s="1" t="n">
        <f aca="false">BT49*MIN(Slot6_Cost,BV49)</f>
        <v>0</v>
      </c>
      <c r="BX49" s="1" t="n">
        <f aca="false">BT49*Slot6_SpendLike*MIN(Slot6_Cost-BW49,BP49)</f>
        <v>0</v>
      </c>
      <c r="BY49" s="1" t="n">
        <f aca="false">BW49+BX49</f>
        <v>0</v>
      </c>
      <c r="BZ49" s="1" t="n">
        <f aca="false">BP49-BX49+BT49*IF(Slot6_SpendLike=1,BV49-BW49,IF(Slot6_PotFree=1,BV49,0))</f>
        <v>0</v>
      </c>
      <c r="CA49" s="1" t="n">
        <f aca="false">BQ49+BT49*Slot6_BufPot*BV49</f>
        <v>0</v>
      </c>
      <c r="CB49" s="1" t="n">
        <f aca="false">IF(AND(BT49=1,Slot6_IsMfree=1),IF(BY49&gt;=Slot6_Cost-1,0,MAX(0,BR49-BY49)),BR49)</f>
        <v>0</v>
      </c>
      <c r="CC49" s="1" t="n">
        <f aca="false">BT49*(Slot6_Cost-BY49)</f>
        <v>0</v>
      </c>
      <c r="CD49" s="1" t="n">
        <f aca="false">IF(AND(Slot7_On=1,D49=Slot7_Age),1,0)</f>
        <v>0</v>
      </c>
      <c r="CE49" s="1" t="n">
        <f aca="false">IF(AND(Slot7_On=1,Slot7_Age&gt;D49),1,0)</f>
        <v>0</v>
      </c>
      <c r="CF49" s="1" t="n">
        <f aca="false">RJ48</f>
        <v>0</v>
      </c>
      <c r="CG49" s="1" t="n">
        <f aca="false">CD49*MIN(Slot7_Cost,CF49)</f>
        <v>0</v>
      </c>
      <c r="CH49" s="1" t="n">
        <f aca="false">CD49*Slot7_SpendLike*MIN(Slot7_Cost-CG49,BZ49)</f>
        <v>0</v>
      </c>
      <c r="CI49" s="1" t="n">
        <f aca="false">CG49+CH49</f>
        <v>0</v>
      </c>
      <c r="CJ49" s="1" t="n">
        <f aca="false">BZ49-CH49+CD49*IF(Slot7_SpendLike=1,CF49-CG49,IF(Slot7_PotFree=1,CF49,0))</f>
        <v>0</v>
      </c>
      <c r="CK49" s="1" t="n">
        <f aca="false">CA49+CD49*Slot7_BufPot*CF49</f>
        <v>0</v>
      </c>
      <c r="CL49" s="1" t="n">
        <f aca="false">IF(AND(CD49=1,Slot7_IsMfree=1),IF(CI49&gt;=Slot7_Cost-1,0,MAX(0,CB49-CI49)),CB49)</f>
        <v>0</v>
      </c>
      <c r="CM49" s="1" t="n">
        <f aca="false">CD49*(Slot7_Cost-CI49)</f>
        <v>0</v>
      </c>
      <c r="CN49" s="1" t="n">
        <f aca="false">IF(AND(Slot8_On=1,D49=Slot8_Age),1,0)</f>
        <v>0</v>
      </c>
      <c r="CO49" s="1" t="n">
        <f aca="false">IF(AND(Slot8_On=1,Slot8_Age&gt;D49),1,0)</f>
        <v>0</v>
      </c>
      <c r="CP49" s="1" t="n">
        <f aca="false">RN48</f>
        <v>0</v>
      </c>
      <c r="CQ49" s="1" t="n">
        <f aca="false">CN49*MIN(Slot8_Cost,CP49)</f>
        <v>0</v>
      </c>
      <c r="CR49" s="1" t="n">
        <f aca="false">CN49*Slot8_SpendLike*MIN(Slot8_Cost-CQ49,CJ49)</f>
        <v>0</v>
      </c>
      <c r="CS49" s="1" t="n">
        <f aca="false">CQ49+CR49</f>
        <v>0</v>
      </c>
      <c r="CT49" s="1" t="n">
        <f aca="false">CJ49-CR49+CN49*IF(Slot8_SpendLike=1,CP49-CQ49,IF(Slot8_PotFree=1,CP49,0))</f>
        <v>0</v>
      </c>
      <c r="CU49" s="1" t="n">
        <f aca="false">CK49+CN49*Slot8_BufPot*CP49</f>
        <v>0</v>
      </c>
      <c r="CV49" s="1" t="n">
        <f aca="false">IF(AND(CN49=1,Slot8_IsMfree=1),IF(CS49&gt;=Slot8_Cost-1,0,MAX(0,CL49-CS49)),CL49)</f>
        <v>0</v>
      </c>
      <c r="CW49" s="1" t="n">
        <f aca="false">CN49*(Slot8_Cost-CS49)</f>
        <v>0</v>
      </c>
      <c r="CX49" s="1" t="n">
        <f aca="false">IF(AND(Slot9_On=1,D49=Slot9_Age),1,0)</f>
        <v>0</v>
      </c>
      <c r="CY49" s="1" t="n">
        <f aca="false">IF(AND(Slot9_On=1,Slot9_Age&gt;D49),1,0)</f>
        <v>0</v>
      </c>
      <c r="CZ49" s="1" t="n">
        <f aca="false">RR48</f>
        <v>0</v>
      </c>
      <c r="DA49" s="1" t="n">
        <f aca="false">CX49*MIN(Slot9_Cost,CZ49)</f>
        <v>0</v>
      </c>
      <c r="DB49" s="1" t="n">
        <f aca="false">CX49*Slot9_SpendLike*MIN(Slot9_Cost-DA49,CT49)</f>
        <v>0</v>
      </c>
      <c r="DC49" s="1" t="n">
        <f aca="false">DA49+DB49</f>
        <v>0</v>
      </c>
      <c r="DD49" s="1" t="n">
        <f aca="false">CT49-DB49+CX49*IF(Slot9_SpendLike=1,CZ49-DA49,IF(Slot9_PotFree=1,CZ49,0))</f>
        <v>0</v>
      </c>
      <c r="DE49" s="1" t="n">
        <f aca="false">CU49+CX49*Slot9_BufPot*CZ49</f>
        <v>0</v>
      </c>
      <c r="DF49" s="1" t="n">
        <f aca="false">IF(AND(CX49=1,Slot9_IsMfree=1),IF(DC49&gt;=Slot9_Cost-1,0,MAX(0,CV49-DC49)),CV49)</f>
        <v>0</v>
      </c>
      <c r="DG49" s="1" t="n">
        <f aca="false">CX49*(Slot9_Cost-DC49)</f>
        <v>0</v>
      </c>
      <c r="DH49" s="1" t="n">
        <f aca="false">IF(AND(Slot10_On=1,D49=Slot10_Age),1,0)</f>
        <v>0</v>
      </c>
      <c r="DI49" s="1" t="n">
        <f aca="false">IF(AND(Slot10_On=1,Slot10_Age&gt;D49),1,0)</f>
        <v>0</v>
      </c>
      <c r="DJ49" s="1" t="n">
        <f aca="false">RV48</f>
        <v>0</v>
      </c>
      <c r="DK49" s="1" t="n">
        <f aca="false">DH49*MIN(Slot10_Cost,DJ49)</f>
        <v>0</v>
      </c>
      <c r="DL49" s="1" t="n">
        <f aca="false">DH49*Slot10_SpendLike*MIN(Slot10_Cost-DK49,DD49)</f>
        <v>0</v>
      </c>
      <c r="DM49" s="1" t="n">
        <f aca="false">DK49+DL49</f>
        <v>0</v>
      </c>
      <c r="DN49" s="1" t="n">
        <f aca="false">DD49-DL49+DH49*IF(Slot10_SpendLike=1,DJ49-DK49,IF(Slot10_PotFree=1,DJ49,0))</f>
        <v>0</v>
      </c>
      <c r="DO49" s="1" t="n">
        <f aca="false">DE49+DH49*Slot10_BufPot*DJ49</f>
        <v>0</v>
      </c>
      <c r="DP49" s="1" t="n">
        <f aca="false">IF(AND(DH49=1,Slot10_IsMfree=1),IF(DM49&gt;=Slot10_Cost-1,0,MAX(0,DF49-DM49)),DF49)</f>
        <v>0</v>
      </c>
      <c r="DQ49" s="1" t="n">
        <f aca="false">DH49*(Slot10_Cost-DM49)</f>
        <v>0</v>
      </c>
      <c r="DR49" s="1" t="n">
        <f aca="false">IF(AND(Slot11_On=1,D49=Slot11_Age),1,0)</f>
        <v>0</v>
      </c>
      <c r="DS49" s="1" t="n">
        <f aca="false">IF(AND(Slot11_On=1,Slot11_Age&gt;D49),1,0)</f>
        <v>0</v>
      </c>
      <c r="DT49" s="1" t="n">
        <f aca="false">RZ48</f>
        <v>0</v>
      </c>
      <c r="DU49" s="1" t="n">
        <f aca="false">DR49*MIN(Slot11_Cost,DT49)</f>
        <v>0</v>
      </c>
      <c r="DV49" s="1" t="n">
        <f aca="false">DR49*Slot11_SpendLike*MIN(Slot11_Cost-DU49,DN49)</f>
        <v>0</v>
      </c>
      <c r="DW49" s="1" t="n">
        <f aca="false">DU49+DV49</f>
        <v>0</v>
      </c>
      <c r="DX49" s="1" t="n">
        <f aca="false">DN49-DV49+DR49*IF(Slot11_SpendLike=1,DT49-DU49,IF(Slot11_PotFree=1,DT49,0))</f>
        <v>0</v>
      </c>
      <c r="DY49" s="1" t="n">
        <f aca="false">DO49+DR49*Slot11_BufPot*DT49</f>
        <v>0</v>
      </c>
      <c r="DZ49" s="1" t="n">
        <f aca="false">IF(AND(DR49=1,Slot11_IsMfree=1),IF(DW49&gt;=Slot11_Cost-1,0,MAX(0,DP49-DW49)),DP49)</f>
        <v>0</v>
      </c>
      <c r="EA49" s="1" t="n">
        <f aca="false">DR49*(Slot11_Cost-DW49)</f>
        <v>0</v>
      </c>
      <c r="EB49" s="1" t="n">
        <f aca="false">IF(AND(Slot12_On=1,D49=Slot12_Age),1,0)</f>
        <v>0</v>
      </c>
      <c r="EC49" s="1" t="n">
        <f aca="false">IF(AND(Slot12_On=1,Slot12_Age&gt;D49),1,0)</f>
        <v>0</v>
      </c>
      <c r="ED49" s="1" t="n">
        <f aca="false">SD48</f>
        <v>0</v>
      </c>
      <c r="EE49" s="1" t="n">
        <f aca="false">EB49*MIN(Slot12_Cost,ED49)</f>
        <v>0</v>
      </c>
      <c r="EF49" s="1" t="n">
        <f aca="false">EB49*Slot12_SpendLike*MIN(Slot12_Cost-EE49,DX49)</f>
        <v>0</v>
      </c>
      <c r="EG49" s="1" t="n">
        <f aca="false">EE49+EF49</f>
        <v>0</v>
      </c>
      <c r="EH49" s="1" t="n">
        <f aca="false">DX49-EF49+EB49*IF(Slot12_SpendLike=1,ED49-EE49,IF(Slot12_PotFree=1,ED49,0))</f>
        <v>0</v>
      </c>
      <c r="EI49" s="1" t="n">
        <f aca="false">DY49+EB49*Slot12_BufPot*ED49</f>
        <v>0</v>
      </c>
      <c r="EJ49" s="1" t="n">
        <f aca="false">IF(AND(EB49=1,Slot12_IsMfree=1),IF(EG49&gt;=Slot12_Cost-1,0,MAX(0,DZ49-EG49)),DZ49)</f>
        <v>0</v>
      </c>
      <c r="EK49" s="1" t="n">
        <f aca="false">EB49*(Slot12_Cost-EG49)</f>
        <v>0</v>
      </c>
      <c r="EL49" s="1" t="n">
        <f aca="false">IF(AND(Slot13_On=1,D49=Slot13_Age),1,0)</f>
        <v>0</v>
      </c>
      <c r="EM49" s="1" t="n">
        <f aca="false">IF(AND(Slot13_On=1,Slot13_Age&gt;D49),1,0)</f>
        <v>0</v>
      </c>
      <c r="EN49" s="1" t="n">
        <f aca="false">SH48</f>
        <v>0</v>
      </c>
      <c r="EO49" s="1" t="n">
        <f aca="false">EL49*MIN(Slot13_Cost,EN49)</f>
        <v>0</v>
      </c>
      <c r="EP49" s="1" t="n">
        <f aca="false">EL49*Slot13_SpendLike*MIN(Slot13_Cost-EO49,EH49)</f>
        <v>0</v>
      </c>
      <c r="EQ49" s="1" t="n">
        <f aca="false">EO49+EP49</f>
        <v>0</v>
      </c>
      <c r="ER49" s="1" t="n">
        <f aca="false">EH49-EP49+EL49*IF(Slot13_SpendLike=1,EN49-EO49,IF(Slot13_PotFree=1,EN49,0))</f>
        <v>0</v>
      </c>
      <c r="ES49" s="1" t="n">
        <f aca="false">EI49+EL49*Slot13_BufPot*EN49</f>
        <v>0</v>
      </c>
      <c r="ET49" s="1" t="n">
        <f aca="false">IF(AND(EL49=1,Slot13_IsMfree=1),IF(EQ49&gt;=Slot13_Cost-1,0,MAX(0,EJ49-EQ49)),EJ49)</f>
        <v>0</v>
      </c>
      <c r="EU49" s="1" t="n">
        <f aca="false">EL49*(Slot13_Cost-EQ49)</f>
        <v>0</v>
      </c>
      <c r="EV49" s="1" t="n">
        <f aca="false">IF(AND(Slot14_On=1,D49=Slot14_Age),1,0)</f>
        <v>0</v>
      </c>
      <c r="EW49" s="1" t="n">
        <f aca="false">IF(AND(Slot14_On=1,Slot14_Age&gt;D49),1,0)</f>
        <v>0</v>
      </c>
      <c r="EX49" s="1" t="n">
        <f aca="false">SL48</f>
        <v>0</v>
      </c>
      <c r="EY49" s="1" t="n">
        <f aca="false">EV49*MIN(Slot14_Cost,EX49)</f>
        <v>0</v>
      </c>
      <c r="EZ49" s="1" t="n">
        <f aca="false">EV49*Slot14_SpendLike*MIN(Slot14_Cost-EY49,ER49)</f>
        <v>0</v>
      </c>
      <c r="FA49" s="1" t="n">
        <f aca="false">EY49+EZ49</f>
        <v>0</v>
      </c>
      <c r="FB49" s="1" t="n">
        <f aca="false">ER49-EZ49+EV49*IF(Slot14_SpendLike=1,EX49-EY49,IF(Slot14_PotFree=1,EX49,0))</f>
        <v>0</v>
      </c>
      <c r="FC49" s="1" t="n">
        <f aca="false">ES49+EV49*Slot14_BufPot*EX49</f>
        <v>0</v>
      </c>
      <c r="FD49" s="1" t="n">
        <f aca="false">IF(AND(EV49=1,Slot14_IsMfree=1),IF(FA49&gt;=Slot14_Cost-1,0,MAX(0,ET49-FA49)),ET49)</f>
        <v>0</v>
      </c>
      <c r="FE49" s="1" t="n">
        <f aca="false">EV49*(Slot14_Cost-FA49)</f>
        <v>0</v>
      </c>
      <c r="FF49" s="1" t="n">
        <f aca="false">IF(AND(Slot15_On=1,D49=Slot15_Age),1,0)</f>
        <v>0</v>
      </c>
      <c r="FG49" s="1" t="n">
        <f aca="false">IF(AND(Slot15_On=1,Slot15_Age&gt;D49),1,0)</f>
        <v>0</v>
      </c>
      <c r="FH49" s="1" t="n">
        <f aca="false">SP48</f>
        <v>0</v>
      </c>
      <c r="FI49" s="1" t="n">
        <f aca="false">FF49*MIN(Slot15_Cost,FH49)</f>
        <v>0</v>
      </c>
      <c r="FJ49" s="1" t="n">
        <f aca="false">FF49*Slot15_SpendLike*MIN(Slot15_Cost-FI49,FB49)</f>
        <v>0</v>
      </c>
      <c r="FK49" s="1" t="n">
        <f aca="false">FI49+FJ49</f>
        <v>0</v>
      </c>
      <c r="FL49" s="1" t="n">
        <f aca="false">FB49-FJ49+FF49*IF(Slot15_SpendLike=1,FH49-FI49,IF(Slot15_PotFree=1,FH49,0))</f>
        <v>0</v>
      </c>
      <c r="FM49" s="1" t="n">
        <f aca="false">FC49+FF49*Slot15_BufPot*FH49</f>
        <v>0</v>
      </c>
      <c r="FN49" s="1" t="n">
        <f aca="false">IF(AND(FF49=1,Slot15_IsMfree=1),IF(FK49&gt;=Slot15_Cost-1,0,MAX(0,FD49-FK49)),FD49)</f>
        <v>0</v>
      </c>
      <c r="FO49" s="1" t="n">
        <f aca="false">FF49*(Slot15_Cost-FK49)</f>
        <v>0</v>
      </c>
      <c r="FP49" s="1" t="n">
        <f aca="false">IF(AND(Slot16_On=1,D49=Slot16_Age),1,0)</f>
        <v>0</v>
      </c>
      <c r="FQ49" s="1" t="n">
        <f aca="false">IF(AND(Slot16_On=1,Slot16_Age&gt;D49),1,0)</f>
        <v>0</v>
      </c>
      <c r="FR49" s="1" t="n">
        <f aca="false">ST48</f>
        <v>0</v>
      </c>
      <c r="FS49" s="1" t="n">
        <f aca="false">FP49*MIN(Slot16_Cost,FR49)</f>
        <v>0</v>
      </c>
      <c r="FT49" s="1" t="n">
        <f aca="false">FP49*Slot16_SpendLike*MIN(Slot16_Cost-FS49,FL49)</f>
        <v>0</v>
      </c>
      <c r="FU49" s="1" t="n">
        <f aca="false">FS49+FT49</f>
        <v>0</v>
      </c>
      <c r="FV49" s="1" t="n">
        <f aca="false">FL49-FT49+FP49*IF(Slot16_SpendLike=1,FR49-FS49,IF(Slot16_PotFree=1,FR49,0))</f>
        <v>0</v>
      </c>
      <c r="FW49" s="1" t="n">
        <f aca="false">FM49+FP49*Slot16_BufPot*FR49</f>
        <v>0</v>
      </c>
      <c r="FX49" s="1" t="n">
        <f aca="false">IF(AND(FP49=1,Slot16_IsMfree=1),IF(FU49&gt;=Slot16_Cost-1,0,MAX(0,FN49-FU49)),FN49)</f>
        <v>0</v>
      </c>
      <c r="FY49" s="1" t="n">
        <f aca="false">FP49*(Slot16_Cost-FU49)</f>
        <v>0</v>
      </c>
      <c r="FZ49" s="1" t="n">
        <f aca="false">IF(AND(Slot17_On=1,D49=Slot17_Age),1,0)</f>
        <v>0</v>
      </c>
      <c r="GA49" s="1" t="n">
        <f aca="false">IF(AND(Slot17_On=1,Slot17_Age&gt;D49),1,0)</f>
        <v>0</v>
      </c>
      <c r="GB49" s="1" t="n">
        <f aca="false">SX48</f>
        <v>0</v>
      </c>
      <c r="GC49" s="1" t="n">
        <f aca="false">FZ49*MIN(Slot17_Cost,GB49)</f>
        <v>0</v>
      </c>
      <c r="GD49" s="1" t="n">
        <f aca="false">FZ49*Slot17_SpendLike*MIN(Slot17_Cost-GC49,FV49)</f>
        <v>0</v>
      </c>
      <c r="GE49" s="1" t="n">
        <f aca="false">GC49+GD49</f>
        <v>0</v>
      </c>
      <c r="GF49" s="1" t="n">
        <f aca="false">FV49-GD49+FZ49*IF(Slot17_SpendLike=1,GB49-GC49,IF(Slot17_PotFree=1,GB49,0))</f>
        <v>0</v>
      </c>
      <c r="GG49" s="1" t="n">
        <f aca="false">FW49+FZ49*Slot17_BufPot*GB49</f>
        <v>0</v>
      </c>
      <c r="GH49" s="1" t="n">
        <f aca="false">IF(AND(FZ49=1,Slot17_IsMfree=1),IF(GE49&gt;=Slot17_Cost-1,0,MAX(0,FX49-GE49)),FX49)</f>
        <v>0</v>
      </c>
      <c r="GI49" s="1" t="n">
        <f aca="false">FZ49*(Slot17_Cost-GE49)</f>
        <v>0</v>
      </c>
      <c r="GJ49" s="1" t="n">
        <f aca="false">IF(AND(Slot18_On=1,D49=Slot18_Age),1,0)</f>
        <v>0</v>
      </c>
      <c r="GK49" s="1" t="n">
        <f aca="false">IF(AND(Slot18_On=1,Slot18_Age&gt;D49),1,0)</f>
        <v>0</v>
      </c>
      <c r="GL49" s="1" t="n">
        <f aca="false">TB48</f>
        <v>0</v>
      </c>
      <c r="GM49" s="1" t="n">
        <f aca="false">GJ49*MIN(Slot18_Cost,GL49)</f>
        <v>0</v>
      </c>
      <c r="GN49" s="1" t="n">
        <f aca="false">GJ49*Slot18_SpendLike*MIN(Slot18_Cost-GM49,GF49)</f>
        <v>0</v>
      </c>
      <c r="GO49" s="1" t="n">
        <f aca="false">GM49+GN49</f>
        <v>0</v>
      </c>
      <c r="GP49" s="1" t="n">
        <f aca="false">GF49-GN49+GJ49*IF(Slot18_SpendLike=1,GL49-GM49,IF(Slot18_PotFree=1,GL49,0))</f>
        <v>0</v>
      </c>
      <c r="GQ49" s="1" t="n">
        <f aca="false">GG49+GJ49*Slot18_BufPot*GL49</f>
        <v>0</v>
      </c>
      <c r="GR49" s="1" t="n">
        <f aca="false">IF(AND(GJ49=1,Slot18_IsMfree=1),IF(GO49&gt;=Slot18_Cost-1,0,MAX(0,GH49-GO49)),GH49)</f>
        <v>0</v>
      </c>
      <c r="GS49" s="1" t="n">
        <f aca="false">GJ49*(Slot18_Cost-GO49)</f>
        <v>0</v>
      </c>
      <c r="GT49" s="1" t="n">
        <f aca="false">IF(AND(Slot19_On=1,D49=Slot19_Age),1,0)</f>
        <v>0</v>
      </c>
      <c r="GU49" s="1" t="n">
        <f aca="false">IF(AND(Slot19_On=1,Slot19_Age&gt;D49),1,0)</f>
        <v>0</v>
      </c>
      <c r="GV49" s="1" t="n">
        <f aca="false">TF48</f>
        <v>0</v>
      </c>
      <c r="GW49" s="1" t="n">
        <f aca="false">GT49*MIN(Slot19_Cost,GV49)</f>
        <v>0</v>
      </c>
      <c r="GX49" s="1" t="n">
        <f aca="false">GT49*Slot19_SpendLike*MIN(Slot19_Cost-GW49,GP49)</f>
        <v>0</v>
      </c>
      <c r="GY49" s="1" t="n">
        <f aca="false">GW49+GX49</f>
        <v>0</v>
      </c>
      <c r="GZ49" s="1" t="n">
        <f aca="false">GP49-GX49+GT49*IF(Slot19_SpendLike=1,GV49-GW49,IF(Slot19_PotFree=1,GV49,0))</f>
        <v>0</v>
      </c>
      <c r="HA49" s="1" t="n">
        <f aca="false">GQ49+GT49*Slot19_BufPot*GV49</f>
        <v>0</v>
      </c>
      <c r="HB49" s="1" t="n">
        <f aca="false">IF(AND(GT49=1,Slot19_IsMfree=1),IF(GY49&gt;=Slot19_Cost-1,0,MAX(0,GR49-GY49)),GR49)</f>
        <v>0</v>
      </c>
      <c r="HC49" s="1" t="n">
        <f aca="false">GT49*(Slot19_Cost-GY49)</f>
        <v>0</v>
      </c>
      <c r="HD49" s="1" t="n">
        <f aca="false">IF(AND(Slot20_On=1,D49=Slot20_Age),1,0)</f>
        <v>0</v>
      </c>
      <c r="HE49" s="1" t="n">
        <f aca="false">IF(AND(Slot20_On=1,Slot20_Age&gt;D49),1,0)</f>
        <v>0</v>
      </c>
      <c r="HF49" s="1" t="n">
        <f aca="false">TJ48</f>
        <v>0</v>
      </c>
      <c r="HG49" s="1" t="n">
        <f aca="false">HD49*MIN(Slot20_Cost,HF49)</f>
        <v>0</v>
      </c>
      <c r="HH49" s="1" t="n">
        <f aca="false">HD49*Slot20_SpendLike*MIN(Slot20_Cost-HG49,GZ49)</f>
        <v>0</v>
      </c>
      <c r="HI49" s="1" t="n">
        <f aca="false">HG49+HH49</f>
        <v>0</v>
      </c>
      <c r="HJ49" s="1" t="n">
        <f aca="false">GZ49-HH49+HD49*IF(Slot20_SpendLike=1,HF49-HG49,IF(Slot20_PotFree=1,HF49,0))</f>
        <v>0</v>
      </c>
      <c r="HK49" s="1" t="n">
        <f aca="false">HA49+HD49*Slot20_BufPot*HF49</f>
        <v>0</v>
      </c>
      <c r="HL49" s="1" t="n">
        <f aca="false">IF(AND(HD49=1,Slot20_IsMfree=1),IF(HI49&gt;=Slot20_Cost-1,0,MAX(0,HB49-HI49)),HB49)</f>
        <v>0</v>
      </c>
      <c r="HM49" s="1" t="n">
        <f aca="false">HD49*(Slot20_Cost-HI49)</f>
        <v>0</v>
      </c>
      <c r="HN49" s="1" t="n">
        <f aca="false">U49*Slot1_SpendLike*Z49+AF49*Slot2_SpendLike*AK49+AP49*Slot3_SpendLike*AU49+AZ49*Slot4_SpendLike*BE49+BJ49*Slot5_SpendLike*BO49+BT49*Slot6_SpendLike*BY49+CD49*Slot7_SpendLike*CI49+CN49*Slot8_SpendLike*CS49+CX49*Slot9_SpendLike*DC49+DH49*Slot10_SpendLike*DM49+DR49*Slot11_SpendLike*DW49+EB49*Slot12_SpendLike*EG49+EL49*Slot13_SpendLike*EQ49+EV49*Slot14_SpendLike*FA49+FF49*Slot15_SpendLike*FK49+FP49*Slot16_SpendLike*FU49+FZ49*Slot17_SpendLike*GE49+GJ49*Slot18_SpendLike*GO49+GT49*Slot19_SpendLike*GY49+HD49*Slot20_SpendLike*HI49</f>
        <v>0</v>
      </c>
      <c r="HO49" s="1" t="n">
        <f aca="false">AD49+AO49+AY49+BI49+BS49+CC49+CM49+CW49+DG49+DQ49+EA49+EK49+EU49+FE49+FO49+FY49+GI49+GS49+HC49+HM49</f>
        <v>0</v>
      </c>
      <c r="HP49" s="1" t="n">
        <f aca="false">U49*Slot1_Cost+AF49*Slot2_Cost+AP49*Slot3_Cost+AZ49*Slot4_Cost+BJ49*Slot5_Cost+BT49*Slot6_Cost+CD49*Slot7_Cost+CN49*Slot8_Cost+CX49*Slot9_Cost+DH49*Slot10_Cost+DR49*Slot11_Cost+EB49*Slot12_Cost+EL49*Slot13_Cost+EV49*Slot14_Cost+FF49*Slot15_Cost+FP49*Slot16_Cost+FZ49*Slot17_Cost+GJ49*Slot18_Cost+GT49*Slot19_Cost+HD49*Slot20_Cost</f>
        <v>0</v>
      </c>
      <c r="HQ49" s="1" t="n">
        <f aca="false">HL49</f>
        <v>0</v>
      </c>
      <c r="HR49" s="1" t="n">
        <f aca="false">G49-H49-R49</f>
        <v>0</v>
      </c>
      <c r="HS49" s="1" t="n">
        <f aca="false">IF(B49=0,IF(AND(Has_q6=1,In_q6=4),PR_ShareVaries*(MAX(0,HR49)/12),MIN(IF(Has_q6=1,CHOOSE(In_q6+1,PR_SaveB1,PR_SaveB2,PR_SaveB3,PR_SaveB4,0),AS_NoAnswer),AS_SaveShare*(MAX(0,HR49)/12))),HS48)</f>
        <v>0</v>
      </c>
      <c r="HT49" s="1" t="n">
        <f aca="false">IF(HR49&gt;=0,1,0)</f>
        <v>1</v>
      </c>
      <c r="HU49" s="1" t="n">
        <f aca="false">MAX(0,HR49/12/E49)</f>
        <v>0</v>
      </c>
      <c r="HV49" s="1" t="n">
        <f aca="false">IF(AND(Has_q6=1,In_q6=4),PR_ShareVaries*(HU49),MIN(IF(Has_q6=1,CHOOSE(In_q6+1,PR_SaveB1,PR_SaveB2,PR_SaveB3,PR_SaveB4,0),AS_NoAnswer),AS_SaveShare*(HU49)))</f>
        <v>0</v>
      </c>
      <c r="HW49" s="1" t="n">
        <f aca="false">IF(Has_saveM=1,IF(In_saveUp="Yes",1,IF(In_saveUp="No",0,IF(In_saveM&gt;=HS49-0.5,1,0))),0)</f>
        <v>0</v>
      </c>
      <c r="HX49" s="1" t="n">
        <f aca="false">IF(Has_saveM=1,MIN(HU49,IF(HW49=1,MAX(In_saveM,HV49),MIN(In_saveM,HV49))),HV49)</f>
        <v>0</v>
      </c>
      <c r="HY49" s="1" t="n">
        <f aca="false">IF(F49=1,HX49*12*E49,0)</f>
        <v>0</v>
      </c>
      <c r="HZ49" s="1" t="n">
        <f aca="false">MAX(0,HY49+IF(AND(WI_Retire=0,WI_M&lt;0,F49=1),WI_M*12*E49,0))</f>
        <v>0</v>
      </c>
      <c r="IA49" s="1" t="n">
        <f aca="false">Slot1_IsWG*V49+Slot2_IsWG*AG49+Slot3_IsWG*AQ49+Slot4_IsWG*BA49+Slot5_IsWG*BK49+Slot6_IsWG*BU49+Slot7_IsWG*CE49+Slot8_IsWG*CO49+Slot9_IsWG*CY49+Slot10_IsWG*DI49+Slot11_IsWG*DS49+Slot12_IsWG*EC49+Slot13_IsWG*EM49+Slot14_IsWG*EW49+Slot15_IsWG*FG49+Slot16_IsWG*FQ49+Slot17_IsWG*GA49+Slot18_IsWG*GK49+Slot19_IsWG*GU49+Slot20_IsWG*HE49</f>
        <v>0</v>
      </c>
      <c r="IB49" s="1" t="n">
        <f aca="false">IF(AND(WI_Retire=0,WI_M&gt;0,F49=1,IA49&gt;=1),WI_M*12*E49,0)</f>
        <v>0</v>
      </c>
      <c r="IC49" s="1" t="n">
        <f aca="false">IF(HT49=1,MIN(HZ49,HR49),0)</f>
        <v>0</v>
      </c>
      <c r="ID49" s="1" t="n">
        <f aca="false">IF(HT49=1,MIN(IB49,HR49-IC49),0)</f>
        <v>0</v>
      </c>
      <c r="IE49" s="1" t="n">
        <f aca="false">IF(V49=1,IF(ABS((1+AS_Wage)/(1+Slot1_Rate)-1)&lt;0.000000000001,(Slot1_Age-D49)*(1+Slot1_Rate)^(Slot1_Age-D49),(1+Slot1_Rate)^(Slot1_Age-D49)*(1-((1+AS_Wage)/(1+Slot1_Rate))^(Slot1_Age-D49))/(1-(1+AS_Wage)/(1+Slot1_Rate))),1)</f>
        <v>1</v>
      </c>
      <c r="IF49" s="1" t="n">
        <f aca="false">IF(AND(HT49=1,ID49&gt;0,Slot1_IsWG=1,V49=1),MAX(0,(Slot1_Cost-W49*(1+Slot1_Rate)^(Slot1_Age-D49))/IE49),0)</f>
        <v>0</v>
      </c>
      <c r="IG49" s="1" t="n">
        <f aca="false">IF(AND(HT49=1,ID49&gt;0,Slot1_IsWG=1,V49=1),MIN(ID49,IF49),0)</f>
        <v>0</v>
      </c>
      <c r="IH49" s="1" t="n">
        <f aca="false">W49+IG49</f>
        <v>0</v>
      </c>
      <c r="II49" s="1" t="n">
        <f aca="false">IF(V49=1,MAX(0,(Slot1_Cost-IH49*(1+Slot1_Rate)^(Slot1_Age-D49))/IE49),0)</f>
        <v>0</v>
      </c>
      <c r="IJ49" s="1" t="n">
        <f aca="false">IF(V49=1,MAX(0,(Slot1_Cost-W49*(1+Slot1_Rate)^(Slot1_Age-D49))/IE49),0)</f>
        <v>0</v>
      </c>
      <c r="IK49" s="1" t="n">
        <f aca="false">IF(AND(HT49=1,V49=1),MIN(IC49,II49),0)</f>
        <v>0</v>
      </c>
      <c r="IL49" s="1" t="n">
        <f aca="false">IC49-IK49</f>
        <v>0</v>
      </c>
      <c r="IM49" s="1" t="n">
        <f aca="false">IF(AG49=1,IF(ABS((1+AS_Wage)/(1+Slot2_Rate)-1)&lt;0.000000000001,(Slot2_Age-D49)*(1+Slot2_Rate)^(Slot2_Age-D49),(1+Slot2_Rate)^(Slot2_Age-D49)*(1-((1+AS_Wage)/(1+Slot2_Rate))^(Slot2_Age-D49))/(1-(1+AS_Wage)/(1+Slot2_Rate))),1)</f>
        <v>1</v>
      </c>
      <c r="IN49" s="1" t="n">
        <f aca="false">IF(AND(HT49=1,ID49&gt;0,Slot2_IsWG=1,AG49=1),MAX(0,(Slot2_Cost-AH49*(1+Slot2_Rate)^(Slot2_Age-D49))/IM49),0)</f>
        <v>0</v>
      </c>
      <c r="IO49" s="1" t="n">
        <f aca="false">IF(AND(HT49=1,ID49&gt;0,Slot2_IsWG=1,AG49=1),MIN(ID49,IN49),0)</f>
        <v>0</v>
      </c>
      <c r="IP49" s="1" t="n">
        <f aca="false">AH49+IO49</f>
        <v>0</v>
      </c>
      <c r="IQ49" s="1" t="n">
        <f aca="false">IF(AG49=1,MAX(0,(Slot2_Cost-IP49*(1+Slot2_Rate)^(Slot2_Age-D49))/IM49),0)</f>
        <v>0</v>
      </c>
      <c r="IR49" s="1" t="n">
        <f aca="false">IF(AG49=1,MAX(0,(Slot2_Cost-AH49*(1+Slot2_Rate)^(Slot2_Age-D49))/IM49),0)</f>
        <v>0</v>
      </c>
      <c r="IS49" s="1" t="n">
        <f aca="false">IF(AND(HT49=1,AG49=1),MIN(IL49,IQ49),0)</f>
        <v>0</v>
      </c>
      <c r="IT49" s="1" t="n">
        <f aca="false">IL49-IS49</f>
        <v>0</v>
      </c>
      <c r="IU49" s="1" t="n">
        <f aca="false">IF(AQ49=1,IF(ABS((1+AS_Wage)/(1+Slot3_Rate)-1)&lt;0.000000000001,(Slot3_Age-D49)*(1+Slot3_Rate)^(Slot3_Age-D49),(1+Slot3_Rate)^(Slot3_Age-D49)*(1-((1+AS_Wage)/(1+Slot3_Rate))^(Slot3_Age-D49))/(1-(1+AS_Wage)/(1+Slot3_Rate))),1)</f>
        <v>1</v>
      </c>
      <c r="IV49" s="1" t="n">
        <f aca="false">IF(AND(HT49=1,ID49&gt;0,Slot3_IsWG=1,AQ49=1),MAX(0,(Slot3_Cost-AR49*(1+Slot3_Rate)^(Slot3_Age-D49))/IU49),0)</f>
        <v>0</v>
      </c>
      <c r="IW49" s="1" t="n">
        <f aca="false">IF(AND(HT49=1,ID49&gt;0,Slot3_IsWG=1,AQ49=1),MIN(ID49,IV49),0)</f>
        <v>0</v>
      </c>
      <c r="IX49" s="1" t="n">
        <f aca="false">AR49+IW49</f>
        <v>0</v>
      </c>
      <c r="IY49" s="1" t="n">
        <f aca="false">IF(AQ49=1,MAX(0,(Slot3_Cost-IX49*(1+Slot3_Rate)^(Slot3_Age-D49))/IU49),0)</f>
        <v>0</v>
      </c>
      <c r="IZ49" s="1" t="n">
        <f aca="false">IF(AQ49=1,MAX(0,(Slot3_Cost-AR49*(1+Slot3_Rate)^(Slot3_Age-D49))/IU49),0)</f>
        <v>0</v>
      </c>
      <c r="JA49" s="1" t="n">
        <f aca="false">IF(AND(HT49=1,AQ49=1),MIN(IT49,IY49),0)</f>
        <v>0</v>
      </c>
      <c r="JB49" s="1" t="n">
        <f aca="false">IT49-JA49</f>
        <v>0</v>
      </c>
      <c r="JC49" s="1" t="n">
        <f aca="false">IF(BA49=1,IF(ABS((1+AS_Wage)/(1+Slot4_Rate)-1)&lt;0.000000000001,(Slot4_Age-D49)*(1+Slot4_Rate)^(Slot4_Age-D49),(1+Slot4_Rate)^(Slot4_Age-D49)*(1-((1+AS_Wage)/(1+Slot4_Rate))^(Slot4_Age-D49))/(1-(1+AS_Wage)/(1+Slot4_Rate))),1)</f>
        <v>1</v>
      </c>
      <c r="JD49" s="1" t="n">
        <f aca="false">IF(AND(HT49=1,ID49&gt;0,Slot4_IsWG=1,BA49=1),MAX(0,(Slot4_Cost-BB49*(1+Slot4_Rate)^(Slot4_Age-D49))/JC49),0)</f>
        <v>0</v>
      </c>
      <c r="JE49" s="1" t="n">
        <f aca="false">IF(AND(HT49=1,ID49&gt;0,Slot4_IsWG=1,BA49=1),MIN(ID49,JD49),0)</f>
        <v>0</v>
      </c>
      <c r="JF49" s="1" t="n">
        <f aca="false">BB49+JE49</f>
        <v>0</v>
      </c>
      <c r="JG49" s="1" t="n">
        <f aca="false">IF(BA49=1,MAX(0,(Slot4_Cost-JF49*(1+Slot4_Rate)^(Slot4_Age-D49))/JC49),0)</f>
        <v>0</v>
      </c>
      <c r="JH49" s="1" t="n">
        <f aca="false">IF(BA49=1,MAX(0,(Slot4_Cost-BB49*(1+Slot4_Rate)^(Slot4_Age-D49))/JC49),0)</f>
        <v>0</v>
      </c>
      <c r="JI49" s="1" t="n">
        <f aca="false">IF(AND(HT49=1,BA49=1),MIN(JB49,JG49),0)</f>
        <v>0</v>
      </c>
      <c r="JJ49" s="1" t="n">
        <f aca="false">JB49-JI49</f>
        <v>0</v>
      </c>
      <c r="JK49" s="1" t="n">
        <f aca="false">IF(BK49=1,IF(ABS((1+AS_Wage)/(1+Slot5_Rate)-1)&lt;0.000000000001,(Slot5_Age-D49)*(1+Slot5_Rate)^(Slot5_Age-D49),(1+Slot5_Rate)^(Slot5_Age-D49)*(1-((1+AS_Wage)/(1+Slot5_Rate))^(Slot5_Age-D49))/(1-(1+AS_Wage)/(1+Slot5_Rate))),1)</f>
        <v>1</v>
      </c>
      <c r="JL49" s="1" t="n">
        <f aca="false">IF(AND(HT49=1,ID49&gt;0,Slot5_IsWG=1,BK49=1),MAX(0,(Slot5_Cost-BL49*(1+Slot5_Rate)^(Slot5_Age-D49))/JK49),0)</f>
        <v>0</v>
      </c>
      <c r="JM49" s="1" t="n">
        <f aca="false">IF(AND(HT49=1,ID49&gt;0,Slot5_IsWG=1,BK49=1),MIN(ID49,JL49),0)</f>
        <v>0</v>
      </c>
      <c r="JN49" s="1" t="n">
        <f aca="false">BL49+JM49</f>
        <v>0</v>
      </c>
      <c r="JO49" s="1" t="n">
        <f aca="false">IF(BK49=1,MAX(0,(Slot5_Cost-JN49*(1+Slot5_Rate)^(Slot5_Age-D49))/JK49),0)</f>
        <v>0</v>
      </c>
      <c r="JP49" s="1" t="n">
        <f aca="false">IF(BK49=1,MAX(0,(Slot5_Cost-BL49*(1+Slot5_Rate)^(Slot5_Age-D49))/JK49),0)</f>
        <v>0</v>
      </c>
      <c r="JQ49" s="1" t="n">
        <f aca="false">IF(AND(HT49=1,BK49=1),MIN(JJ49,JO49),0)</f>
        <v>0</v>
      </c>
      <c r="JR49" s="1" t="n">
        <f aca="false">JJ49-JQ49</f>
        <v>0</v>
      </c>
      <c r="JS49" s="1" t="n">
        <f aca="false">IF(BU49=1,IF(ABS((1+AS_Wage)/(1+Slot6_Rate)-1)&lt;0.000000000001,(Slot6_Age-D49)*(1+Slot6_Rate)^(Slot6_Age-D49),(1+Slot6_Rate)^(Slot6_Age-D49)*(1-((1+AS_Wage)/(1+Slot6_Rate))^(Slot6_Age-D49))/(1-(1+AS_Wage)/(1+Slot6_Rate))),1)</f>
        <v>1</v>
      </c>
      <c r="JT49" s="1" t="n">
        <f aca="false">IF(AND(HT49=1,ID49&gt;0,Slot6_IsWG=1,BU49=1),MAX(0,(Slot6_Cost-BV49*(1+Slot6_Rate)^(Slot6_Age-D49))/JS49),0)</f>
        <v>0</v>
      </c>
      <c r="JU49" s="1" t="n">
        <f aca="false">IF(AND(HT49=1,ID49&gt;0,Slot6_IsWG=1,BU49=1),MIN(ID49,JT49),0)</f>
        <v>0</v>
      </c>
      <c r="JV49" s="1" t="n">
        <f aca="false">BV49+JU49</f>
        <v>0</v>
      </c>
      <c r="JW49" s="1" t="n">
        <f aca="false">IF(BU49=1,MAX(0,(Slot6_Cost-JV49*(1+Slot6_Rate)^(Slot6_Age-D49))/JS49),0)</f>
        <v>0</v>
      </c>
      <c r="JX49" s="1" t="n">
        <f aca="false">IF(BU49=1,MAX(0,(Slot6_Cost-BV49*(1+Slot6_Rate)^(Slot6_Age-D49))/JS49),0)</f>
        <v>0</v>
      </c>
      <c r="JY49" s="1" t="n">
        <f aca="false">IF(AND(HT49=1,BU49=1),MIN(JR49,JW49),0)</f>
        <v>0</v>
      </c>
      <c r="JZ49" s="1" t="n">
        <f aca="false">JR49-JY49</f>
        <v>0</v>
      </c>
      <c r="KA49" s="1" t="n">
        <f aca="false">IF(CE49=1,IF(ABS((1+AS_Wage)/(1+Slot7_Rate)-1)&lt;0.000000000001,(Slot7_Age-D49)*(1+Slot7_Rate)^(Slot7_Age-D49),(1+Slot7_Rate)^(Slot7_Age-D49)*(1-((1+AS_Wage)/(1+Slot7_Rate))^(Slot7_Age-D49))/(1-(1+AS_Wage)/(1+Slot7_Rate))),1)</f>
        <v>1</v>
      </c>
      <c r="KB49" s="1" t="n">
        <f aca="false">IF(AND(HT49=1,ID49&gt;0,Slot7_IsWG=1,CE49=1),MAX(0,(Slot7_Cost-CF49*(1+Slot7_Rate)^(Slot7_Age-D49))/KA49),0)</f>
        <v>0</v>
      </c>
      <c r="KC49" s="1" t="n">
        <f aca="false">IF(AND(HT49=1,ID49&gt;0,Slot7_IsWG=1,CE49=1),MIN(ID49,KB49),0)</f>
        <v>0</v>
      </c>
      <c r="KD49" s="1" t="n">
        <f aca="false">CF49+KC49</f>
        <v>0</v>
      </c>
      <c r="KE49" s="1" t="n">
        <f aca="false">IF(CE49=1,MAX(0,(Slot7_Cost-KD49*(1+Slot7_Rate)^(Slot7_Age-D49))/KA49),0)</f>
        <v>0</v>
      </c>
      <c r="KF49" s="1" t="n">
        <f aca="false">IF(CE49=1,MAX(0,(Slot7_Cost-CF49*(1+Slot7_Rate)^(Slot7_Age-D49))/KA49),0)</f>
        <v>0</v>
      </c>
      <c r="KG49" s="1" t="n">
        <f aca="false">IF(AND(HT49=1,CE49=1),MIN(JZ49,KE49),0)</f>
        <v>0</v>
      </c>
      <c r="KH49" s="1" t="n">
        <f aca="false">JZ49-KG49</f>
        <v>0</v>
      </c>
      <c r="KI49" s="1" t="n">
        <f aca="false">IF(CO49=1,IF(ABS((1+AS_Wage)/(1+Slot8_Rate)-1)&lt;0.000000000001,(Slot8_Age-D49)*(1+Slot8_Rate)^(Slot8_Age-D49),(1+Slot8_Rate)^(Slot8_Age-D49)*(1-((1+AS_Wage)/(1+Slot8_Rate))^(Slot8_Age-D49))/(1-(1+AS_Wage)/(1+Slot8_Rate))),1)</f>
        <v>1</v>
      </c>
      <c r="KJ49" s="1" t="n">
        <f aca="false">IF(AND(HT49=1,ID49&gt;0,Slot8_IsWG=1,CO49=1),MAX(0,(Slot8_Cost-CP49*(1+Slot8_Rate)^(Slot8_Age-D49))/KI49),0)</f>
        <v>0</v>
      </c>
      <c r="KK49" s="1" t="n">
        <f aca="false">IF(AND(HT49=1,ID49&gt;0,Slot8_IsWG=1,CO49=1),MIN(ID49,KJ49),0)</f>
        <v>0</v>
      </c>
      <c r="KL49" s="1" t="n">
        <f aca="false">CP49+KK49</f>
        <v>0</v>
      </c>
      <c r="KM49" s="1" t="n">
        <f aca="false">IF(CO49=1,MAX(0,(Slot8_Cost-KL49*(1+Slot8_Rate)^(Slot8_Age-D49))/KI49),0)</f>
        <v>0</v>
      </c>
      <c r="KN49" s="1" t="n">
        <f aca="false">IF(CO49=1,MAX(0,(Slot8_Cost-CP49*(1+Slot8_Rate)^(Slot8_Age-D49))/KI49),0)</f>
        <v>0</v>
      </c>
      <c r="KO49" s="1" t="n">
        <f aca="false">IF(AND(HT49=1,CO49=1),MIN(KH49,KM49),0)</f>
        <v>0</v>
      </c>
      <c r="KP49" s="1" t="n">
        <f aca="false">KH49-KO49</f>
        <v>0</v>
      </c>
      <c r="KQ49" s="1" t="n">
        <f aca="false">IF(CY49=1,IF(ABS((1+AS_Wage)/(1+Slot9_Rate)-1)&lt;0.000000000001,(Slot9_Age-D49)*(1+Slot9_Rate)^(Slot9_Age-D49),(1+Slot9_Rate)^(Slot9_Age-D49)*(1-((1+AS_Wage)/(1+Slot9_Rate))^(Slot9_Age-D49))/(1-(1+AS_Wage)/(1+Slot9_Rate))),1)</f>
        <v>1</v>
      </c>
      <c r="KR49" s="1" t="n">
        <f aca="false">IF(AND(HT49=1,ID49&gt;0,Slot9_IsWG=1,CY49=1),MAX(0,(Slot9_Cost-CZ49*(1+Slot9_Rate)^(Slot9_Age-D49))/KQ49),0)</f>
        <v>0</v>
      </c>
      <c r="KS49" s="1" t="n">
        <f aca="false">IF(AND(HT49=1,ID49&gt;0,Slot9_IsWG=1,CY49=1),MIN(ID49,KR49),0)</f>
        <v>0</v>
      </c>
      <c r="KT49" s="1" t="n">
        <f aca="false">CZ49+KS49</f>
        <v>0</v>
      </c>
      <c r="KU49" s="1" t="n">
        <f aca="false">IF(CY49=1,MAX(0,(Slot9_Cost-KT49*(1+Slot9_Rate)^(Slot9_Age-D49))/KQ49),0)</f>
        <v>0</v>
      </c>
      <c r="KV49" s="1" t="n">
        <f aca="false">IF(CY49=1,MAX(0,(Slot9_Cost-CZ49*(1+Slot9_Rate)^(Slot9_Age-D49))/KQ49),0)</f>
        <v>0</v>
      </c>
      <c r="KW49" s="1" t="n">
        <f aca="false">IF(AND(HT49=1,CY49=1),MIN(KP49,KU49),0)</f>
        <v>0</v>
      </c>
      <c r="KX49" s="1" t="n">
        <f aca="false">KP49-KW49</f>
        <v>0</v>
      </c>
      <c r="KY49" s="1" t="n">
        <f aca="false">IF(DI49=1,IF(ABS((1+AS_Wage)/(1+Slot10_Rate)-1)&lt;0.000000000001,(Slot10_Age-D49)*(1+Slot10_Rate)^(Slot10_Age-D49),(1+Slot10_Rate)^(Slot10_Age-D49)*(1-((1+AS_Wage)/(1+Slot10_Rate))^(Slot10_Age-D49))/(1-(1+AS_Wage)/(1+Slot10_Rate))),1)</f>
        <v>1</v>
      </c>
      <c r="KZ49" s="1" t="n">
        <f aca="false">IF(AND(HT49=1,ID49&gt;0,Slot10_IsWG=1,DI49=1),MAX(0,(Slot10_Cost-DJ49*(1+Slot10_Rate)^(Slot10_Age-D49))/KY49),0)</f>
        <v>0</v>
      </c>
      <c r="LA49" s="1" t="n">
        <f aca="false">IF(AND(HT49=1,ID49&gt;0,Slot10_IsWG=1,DI49=1),MIN(ID49,KZ49),0)</f>
        <v>0</v>
      </c>
      <c r="LB49" s="1" t="n">
        <f aca="false">DJ49+LA49</f>
        <v>0</v>
      </c>
      <c r="LC49" s="1" t="n">
        <f aca="false">IF(DI49=1,MAX(0,(Slot10_Cost-LB49*(1+Slot10_Rate)^(Slot10_Age-D49))/KY49),0)</f>
        <v>0</v>
      </c>
      <c r="LD49" s="1" t="n">
        <f aca="false">IF(DI49=1,MAX(0,(Slot10_Cost-DJ49*(1+Slot10_Rate)^(Slot10_Age-D49))/KY49),0)</f>
        <v>0</v>
      </c>
      <c r="LE49" s="1" t="n">
        <f aca="false">IF(AND(HT49=1,DI49=1),MIN(KX49,LC49),0)</f>
        <v>0</v>
      </c>
      <c r="LF49" s="1" t="n">
        <f aca="false">KX49-LE49</f>
        <v>0</v>
      </c>
      <c r="LG49" s="1" t="n">
        <f aca="false">IF(DS49=1,IF(ABS((1+AS_Wage)/(1+Slot11_Rate)-1)&lt;0.000000000001,(Slot11_Age-D49)*(1+Slot11_Rate)^(Slot11_Age-D49),(1+Slot11_Rate)^(Slot11_Age-D49)*(1-((1+AS_Wage)/(1+Slot11_Rate))^(Slot11_Age-D49))/(1-(1+AS_Wage)/(1+Slot11_Rate))),1)</f>
        <v>1</v>
      </c>
      <c r="LH49" s="1" t="n">
        <f aca="false">IF(AND(HT49=1,ID49&gt;0,Slot11_IsWG=1,DS49=1),MAX(0,(Slot11_Cost-DT49*(1+Slot11_Rate)^(Slot11_Age-D49))/LG49),0)</f>
        <v>0</v>
      </c>
      <c r="LI49" s="1" t="n">
        <f aca="false">IF(AND(HT49=1,ID49&gt;0,Slot11_IsWG=1,DS49=1),MIN(ID49,LH49),0)</f>
        <v>0</v>
      </c>
      <c r="LJ49" s="1" t="n">
        <f aca="false">DT49+LI49</f>
        <v>0</v>
      </c>
      <c r="LK49" s="1" t="n">
        <f aca="false">IF(DS49=1,MAX(0,(Slot11_Cost-LJ49*(1+Slot11_Rate)^(Slot11_Age-D49))/LG49),0)</f>
        <v>0</v>
      </c>
      <c r="LL49" s="1" t="n">
        <f aca="false">IF(DS49=1,MAX(0,(Slot11_Cost-DT49*(1+Slot11_Rate)^(Slot11_Age-D49))/LG49),0)</f>
        <v>0</v>
      </c>
      <c r="LM49" s="1" t="n">
        <f aca="false">IF(AND(HT49=1,DS49=1),MIN(LF49,LK49),0)</f>
        <v>0</v>
      </c>
      <c r="LN49" s="1" t="n">
        <f aca="false">LF49-LM49</f>
        <v>0</v>
      </c>
      <c r="LO49" s="1" t="n">
        <f aca="false">IF(EC49=1,IF(ABS((1+AS_Wage)/(1+Slot12_Rate)-1)&lt;0.000000000001,(Slot12_Age-D49)*(1+Slot12_Rate)^(Slot12_Age-D49),(1+Slot12_Rate)^(Slot12_Age-D49)*(1-((1+AS_Wage)/(1+Slot12_Rate))^(Slot12_Age-D49))/(1-(1+AS_Wage)/(1+Slot12_Rate))),1)</f>
        <v>1</v>
      </c>
      <c r="LP49" s="1" t="n">
        <f aca="false">IF(AND(HT49=1,ID49&gt;0,Slot12_IsWG=1,EC49=1),MAX(0,(Slot12_Cost-ED49*(1+Slot12_Rate)^(Slot12_Age-D49))/LO49),0)</f>
        <v>0</v>
      </c>
      <c r="LQ49" s="1" t="n">
        <f aca="false">IF(AND(HT49=1,ID49&gt;0,Slot12_IsWG=1,EC49=1),MIN(ID49,LP49),0)</f>
        <v>0</v>
      </c>
      <c r="LR49" s="1" t="n">
        <f aca="false">ED49+LQ49</f>
        <v>0</v>
      </c>
      <c r="LS49" s="1" t="n">
        <f aca="false">IF(EC49=1,MAX(0,(Slot12_Cost-LR49*(1+Slot12_Rate)^(Slot12_Age-D49))/LO49),0)</f>
        <v>0</v>
      </c>
      <c r="LT49" s="1" t="n">
        <f aca="false">IF(EC49=1,MAX(0,(Slot12_Cost-ED49*(1+Slot12_Rate)^(Slot12_Age-D49))/LO49),0)</f>
        <v>0</v>
      </c>
      <c r="LU49" s="1" t="n">
        <f aca="false">IF(AND(HT49=1,EC49=1),MIN(LN49,LS49),0)</f>
        <v>0</v>
      </c>
      <c r="LV49" s="1" t="n">
        <f aca="false">LN49-LU49</f>
        <v>0</v>
      </c>
      <c r="LW49" s="1" t="n">
        <f aca="false">IF(EM49=1,IF(ABS((1+AS_Wage)/(1+Slot13_Rate)-1)&lt;0.000000000001,(Slot13_Age-D49)*(1+Slot13_Rate)^(Slot13_Age-D49),(1+Slot13_Rate)^(Slot13_Age-D49)*(1-((1+AS_Wage)/(1+Slot13_Rate))^(Slot13_Age-D49))/(1-(1+AS_Wage)/(1+Slot13_Rate))),1)</f>
        <v>1</v>
      </c>
      <c r="LX49" s="1" t="n">
        <f aca="false">IF(AND(HT49=1,ID49&gt;0,Slot13_IsWG=1,EM49=1),MAX(0,(Slot13_Cost-EN49*(1+Slot13_Rate)^(Slot13_Age-D49))/LW49),0)</f>
        <v>0</v>
      </c>
      <c r="LY49" s="1" t="n">
        <f aca="false">IF(AND(HT49=1,ID49&gt;0,Slot13_IsWG=1,EM49=1),MIN(ID49,LX49),0)</f>
        <v>0</v>
      </c>
      <c r="LZ49" s="1" t="n">
        <f aca="false">EN49+LY49</f>
        <v>0</v>
      </c>
      <c r="MA49" s="1" t="n">
        <f aca="false">IF(EM49=1,MAX(0,(Slot13_Cost-LZ49*(1+Slot13_Rate)^(Slot13_Age-D49))/LW49),0)</f>
        <v>0</v>
      </c>
      <c r="MB49" s="1" t="n">
        <f aca="false">IF(EM49=1,MAX(0,(Slot13_Cost-EN49*(1+Slot13_Rate)^(Slot13_Age-D49))/LW49),0)</f>
        <v>0</v>
      </c>
      <c r="MC49" s="1" t="n">
        <f aca="false">IF(AND(HT49=1,EM49=1),MIN(LV49,MA49),0)</f>
        <v>0</v>
      </c>
      <c r="MD49" s="1" t="n">
        <f aca="false">LV49-MC49</f>
        <v>0</v>
      </c>
      <c r="ME49" s="1" t="n">
        <f aca="false">IF(EW49=1,IF(ABS((1+AS_Wage)/(1+Slot14_Rate)-1)&lt;0.000000000001,(Slot14_Age-D49)*(1+Slot14_Rate)^(Slot14_Age-D49),(1+Slot14_Rate)^(Slot14_Age-D49)*(1-((1+AS_Wage)/(1+Slot14_Rate))^(Slot14_Age-D49))/(1-(1+AS_Wage)/(1+Slot14_Rate))),1)</f>
        <v>1</v>
      </c>
      <c r="MF49" s="1" t="n">
        <f aca="false">IF(AND(HT49=1,ID49&gt;0,Slot14_IsWG=1,EW49=1),MAX(0,(Slot14_Cost-EX49*(1+Slot14_Rate)^(Slot14_Age-D49))/ME49),0)</f>
        <v>0</v>
      </c>
      <c r="MG49" s="1" t="n">
        <f aca="false">IF(AND(HT49=1,ID49&gt;0,Slot14_IsWG=1,EW49=1),MIN(ID49,MF49),0)</f>
        <v>0</v>
      </c>
      <c r="MH49" s="1" t="n">
        <f aca="false">EX49+MG49</f>
        <v>0</v>
      </c>
      <c r="MI49" s="1" t="n">
        <f aca="false">IF(EW49=1,MAX(0,(Slot14_Cost-MH49*(1+Slot14_Rate)^(Slot14_Age-D49))/ME49),0)</f>
        <v>0</v>
      </c>
      <c r="MJ49" s="1" t="n">
        <f aca="false">IF(EW49=1,MAX(0,(Slot14_Cost-EX49*(1+Slot14_Rate)^(Slot14_Age-D49))/ME49),0)</f>
        <v>0</v>
      </c>
      <c r="MK49" s="1" t="n">
        <f aca="false">IF(AND(HT49=1,EW49=1),MIN(MD49,MI49),0)</f>
        <v>0</v>
      </c>
      <c r="ML49" s="1" t="n">
        <f aca="false">MD49-MK49</f>
        <v>0</v>
      </c>
      <c r="MM49" s="1" t="n">
        <f aca="false">IF(FG49=1,IF(ABS((1+AS_Wage)/(1+Slot15_Rate)-1)&lt;0.000000000001,(Slot15_Age-D49)*(1+Slot15_Rate)^(Slot15_Age-D49),(1+Slot15_Rate)^(Slot15_Age-D49)*(1-((1+AS_Wage)/(1+Slot15_Rate))^(Slot15_Age-D49))/(1-(1+AS_Wage)/(1+Slot15_Rate))),1)</f>
        <v>1</v>
      </c>
      <c r="MN49" s="1" t="n">
        <f aca="false">IF(AND(HT49=1,ID49&gt;0,Slot15_IsWG=1,FG49=1),MAX(0,(Slot15_Cost-FH49*(1+Slot15_Rate)^(Slot15_Age-D49))/MM49),0)</f>
        <v>0</v>
      </c>
      <c r="MO49" s="1" t="n">
        <f aca="false">IF(AND(HT49=1,ID49&gt;0,Slot15_IsWG=1,FG49=1),MIN(ID49,MN49),0)</f>
        <v>0</v>
      </c>
      <c r="MP49" s="1" t="n">
        <f aca="false">FH49+MO49</f>
        <v>0</v>
      </c>
      <c r="MQ49" s="1" t="n">
        <f aca="false">IF(FG49=1,MAX(0,(Slot15_Cost-MP49*(1+Slot15_Rate)^(Slot15_Age-D49))/MM49),0)</f>
        <v>0</v>
      </c>
      <c r="MR49" s="1" t="n">
        <f aca="false">IF(FG49=1,MAX(0,(Slot15_Cost-FH49*(1+Slot15_Rate)^(Slot15_Age-D49))/MM49),0)</f>
        <v>0</v>
      </c>
      <c r="MS49" s="1" t="n">
        <f aca="false">IF(AND(HT49=1,FG49=1),MIN(ML49,MQ49),0)</f>
        <v>0</v>
      </c>
      <c r="MT49" s="1" t="n">
        <f aca="false">ML49-MS49</f>
        <v>0</v>
      </c>
      <c r="MU49" s="1" t="n">
        <f aca="false">IF(FQ49=1,IF(ABS((1+AS_Wage)/(1+Slot16_Rate)-1)&lt;0.000000000001,(Slot16_Age-D49)*(1+Slot16_Rate)^(Slot16_Age-D49),(1+Slot16_Rate)^(Slot16_Age-D49)*(1-((1+AS_Wage)/(1+Slot16_Rate))^(Slot16_Age-D49))/(1-(1+AS_Wage)/(1+Slot16_Rate))),1)</f>
        <v>1</v>
      </c>
      <c r="MV49" s="1" t="n">
        <f aca="false">IF(AND(HT49=1,ID49&gt;0,Slot16_IsWG=1,FQ49=1),MAX(0,(Slot16_Cost-FR49*(1+Slot16_Rate)^(Slot16_Age-D49))/MU49),0)</f>
        <v>0</v>
      </c>
      <c r="MW49" s="1" t="n">
        <f aca="false">IF(AND(HT49=1,ID49&gt;0,Slot16_IsWG=1,FQ49=1),MIN(ID49,MV49),0)</f>
        <v>0</v>
      </c>
      <c r="MX49" s="1" t="n">
        <f aca="false">FR49+MW49</f>
        <v>0</v>
      </c>
      <c r="MY49" s="1" t="n">
        <f aca="false">IF(FQ49=1,MAX(0,(Slot16_Cost-MX49*(1+Slot16_Rate)^(Slot16_Age-D49))/MU49),0)</f>
        <v>0</v>
      </c>
      <c r="MZ49" s="1" t="n">
        <f aca="false">IF(FQ49=1,MAX(0,(Slot16_Cost-FR49*(1+Slot16_Rate)^(Slot16_Age-D49))/MU49),0)</f>
        <v>0</v>
      </c>
      <c r="NA49" s="1" t="n">
        <f aca="false">IF(AND(HT49=1,FQ49=1),MIN(MT49,MY49),0)</f>
        <v>0</v>
      </c>
      <c r="NB49" s="1" t="n">
        <f aca="false">MT49-NA49</f>
        <v>0</v>
      </c>
      <c r="NC49" s="1" t="n">
        <f aca="false">IF(GA49=1,IF(ABS((1+AS_Wage)/(1+Slot17_Rate)-1)&lt;0.000000000001,(Slot17_Age-D49)*(1+Slot17_Rate)^(Slot17_Age-D49),(1+Slot17_Rate)^(Slot17_Age-D49)*(1-((1+AS_Wage)/(1+Slot17_Rate))^(Slot17_Age-D49))/(1-(1+AS_Wage)/(1+Slot17_Rate))),1)</f>
        <v>1</v>
      </c>
      <c r="ND49" s="1" t="n">
        <f aca="false">IF(AND(HT49=1,ID49&gt;0,Slot17_IsWG=1,GA49=1),MAX(0,(Slot17_Cost-GB49*(1+Slot17_Rate)^(Slot17_Age-D49))/NC49),0)</f>
        <v>0</v>
      </c>
      <c r="NE49" s="1" t="n">
        <f aca="false">IF(AND(HT49=1,ID49&gt;0,Slot17_IsWG=1,GA49=1),MIN(ID49,ND49),0)</f>
        <v>0</v>
      </c>
      <c r="NF49" s="1" t="n">
        <f aca="false">GB49+NE49</f>
        <v>0</v>
      </c>
      <c r="NG49" s="1" t="n">
        <f aca="false">IF(GA49=1,MAX(0,(Slot17_Cost-NF49*(1+Slot17_Rate)^(Slot17_Age-D49))/NC49),0)</f>
        <v>0</v>
      </c>
      <c r="NH49" s="1" t="n">
        <f aca="false">IF(GA49=1,MAX(0,(Slot17_Cost-GB49*(1+Slot17_Rate)^(Slot17_Age-D49))/NC49),0)</f>
        <v>0</v>
      </c>
      <c r="NI49" s="1" t="n">
        <f aca="false">IF(AND(HT49=1,GA49=1),MIN(NB49,NG49),0)</f>
        <v>0</v>
      </c>
      <c r="NJ49" s="1" t="n">
        <f aca="false">NB49-NI49</f>
        <v>0</v>
      </c>
      <c r="NK49" s="1" t="n">
        <f aca="false">IF(GK49=1,IF(ABS((1+AS_Wage)/(1+Slot18_Rate)-1)&lt;0.000000000001,(Slot18_Age-D49)*(1+Slot18_Rate)^(Slot18_Age-D49),(1+Slot18_Rate)^(Slot18_Age-D49)*(1-((1+AS_Wage)/(1+Slot18_Rate))^(Slot18_Age-D49))/(1-(1+AS_Wage)/(1+Slot18_Rate))),1)</f>
        <v>1</v>
      </c>
      <c r="NL49" s="1" t="n">
        <f aca="false">IF(AND(HT49=1,ID49&gt;0,Slot18_IsWG=1,GK49=1),MAX(0,(Slot18_Cost-GL49*(1+Slot18_Rate)^(Slot18_Age-D49))/NK49),0)</f>
        <v>0</v>
      </c>
      <c r="NM49" s="1" t="n">
        <f aca="false">IF(AND(HT49=1,ID49&gt;0,Slot18_IsWG=1,GK49=1),MIN(ID49,NL49),0)</f>
        <v>0</v>
      </c>
      <c r="NN49" s="1" t="n">
        <f aca="false">GL49+NM49</f>
        <v>0</v>
      </c>
      <c r="NO49" s="1" t="n">
        <f aca="false">IF(GK49=1,MAX(0,(Slot18_Cost-NN49*(1+Slot18_Rate)^(Slot18_Age-D49))/NK49),0)</f>
        <v>0</v>
      </c>
      <c r="NP49" s="1" t="n">
        <f aca="false">IF(GK49=1,MAX(0,(Slot18_Cost-GL49*(1+Slot18_Rate)^(Slot18_Age-D49))/NK49),0)</f>
        <v>0</v>
      </c>
      <c r="NQ49" s="1" t="n">
        <f aca="false">IF(AND(HT49=1,GK49=1),MIN(NJ49,NO49),0)</f>
        <v>0</v>
      </c>
      <c r="NR49" s="1" t="n">
        <f aca="false">NJ49-NQ49</f>
        <v>0</v>
      </c>
      <c r="NS49" s="1" t="n">
        <f aca="false">IF(GU49=1,IF(ABS((1+AS_Wage)/(1+Slot19_Rate)-1)&lt;0.000000000001,(Slot19_Age-D49)*(1+Slot19_Rate)^(Slot19_Age-D49),(1+Slot19_Rate)^(Slot19_Age-D49)*(1-((1+AS_Wage)/(1+Slot19_Rate))^(Slot19_Age-D49))/(1-(1+AS_Wage)/(1+Slot19_Rate))),1)</f>
        <v>1</v>
      </c>
      <c r="NT49" s="1" t="n">
        <f aca="false">IF(AND(HT49=1,ID49&gt;0,Slot19_IsWG=1,GU49=1),MAX(0,(Slot19_Cost-GV49*(1+Slot19_Rate)^(Slot19_Age-D49))/NS49),0)</f>
        <v>0</v>
      </c>
      <c r="NU49" s="1" t="n">
        <f aca="false">IF(AND(HT49=1,ID49&gt;0,Slot19_IsWG=1,GU49=1),MIN(ID49,NT49),0)</f>
        <v>0</v>
      </c>
      <c r="NV49" s="1" t="n">
        <f aca="false">GV49+NU49</f>
        <v>0</v>
      </c>
      <c r="NW49" s="1" t="n">
        <f aca="false">IF(GU49=1,MAX(0,(Slot19_Cost-NV49*(1+Slot19_Rate)^(Slot19_Age-D49))/NS49),0)</f>
        <v>0</v>
      </c>
      <c r="NX49" s="1" t="n">
        <f aca="false">IF(GU49=1,MAX(0,(Slot19_Cost-GV49*(1+Slot19_Rate)^(Slot19_Age-D49))/NS49),0)</f>
        <v>0</v>
      </c>
      <c r="NY49" s="1" t="n">
        <f aca="false">IF(AND(HT49=1,GU49=1),MIN(NR49,NW49),0)</f>
        <v>0</v>
      </c>
      <c r="NZ49" s="1" t="n">
        <f aca="false">NR49-NY49</f>
        <v>0</v>
      </c>
      <c r="OA49" s="1" t="n">
        <f aca="false">IF(HE49=1,IF(ABS((1+AS_Wage)/(1+Slot20_Rate)-1)&lt;0.000000000001,(Slot20_Age-D49)*(1+Slot20_Rate)^(Slot20_Age-D49),(1+Slot20_Rate)^(Slot20_Age-D49)*(1-((1+AS_Wage)/(1+Slot20_Rate))^(Slot20_Age-D49))/(1-(1+AS_Wage)/(1+Slot20_Rate))),1)</f>
        <v>1</v>
      </c>
      <c r="OB49" s="1" t="n">
        <f aca="false">IF(AND(HT49=1,ID49&gt;0,Slot20_IsWG=1,HE49=1),MAX(0,(Slot20_Cost-HF49*(1+Slot20_Rate)^(Slot20_Age-D49))/OA49),0)</f>
        <v>0</v>
      </c>
      <c r="OC49" s="1" t="n">
        <f aca="false">IF(AND(HT49=1,ID49&gt;0,Slot20_IsWG=1,HE49=1),MIN(ID49,OB49),0)</f>
        <v>0</v>
      </c>
      <c r="OD49" s="1" t="n">
        <f aca="false">HF49+OC49</f>
        <v>0</v>
      </c>
      <c r="OE49" s="1" t="n">
        <f aca="false">IF(HE49=1,MAX(0,(Slot20_Cost-OD49*(1+Slot20_Rate)^(Slot20_Age-D49))/OA49),0)</f>
        <v>0</v>
      </c>
      <c r="OF49" s="1" t="n">
        <f aca="false">IF(HE49=1,MAX(0,(Slot20_Cost-HF49*(1+Slot20_Rate)^(Slot20_Age-D49))/OA49),0)</f>
        <v>0</v>
      </c>
      <c r="OG49" s="1" t="n">
        <f aca="false">IF(AND(HT49=1,HE49=1),MIN(NZ49,OE49),0)</f>
        <v>0</v>
      </c>
      <c r="OH49" s="1" t="n">
        <f aca="false">NZ49-OG49</f>
        <v>0</v>
      </c>
      <c r="OI49" s="1" t="n">
        <f aca="false">ID49-(IG49+IO49+IW49+JE49+JM49+JU49+KC49+KK49+KS49+LA49+LI49+LQ49+LY49+MG49+MO49+MW49+NE49+NM49+NU49+OC49)</f>
        <v>0</v>
      </c>
      <c r="OJ49" s="1" t="n">
        <f aca="false">IF(HT49=1,HR49-IC49-ID49,0)</f>
        <v>0</v>
      </c>
      <c r="OK49" s="1" t="n">
        <f aca="false">IF(HT49=0,-HR49,0)</f>
        <v>0</v>
      </c>
      <c r="OL49" s="1" t="n">
        <f aca="false">MIN(OK49,HJ49)</f>
        <v>0</v>
      </c>
      <c r="OM49" s="1" t="n">
        <f aca="false">OK49-OL49</f>
        <v>0</v>
      </c>
      <c r="ON49" s="1" t="n">
        <f aca="false">MIN(OM49,HK49)</f>
        <v>0</v>
      </c>
      <c r="OO49" s="1" t="n">
        <f aca="false">OM49-ON49</f>
        <v>0</v>
      </c>
      <c r="OP49" s="1" t="n">
        <f aca="false">IF(AND(HT49=0,HE49=1,OO49&gt;0),MIN(OO49,HF49),0)</f>
        <v>0</v>
      </c>
      <c r="OQ49" s="1" t="n">
        <f aca="false">OO49-OP49</f>
        <v>0</v>
      </c>
      <c r="OR49" s="1" t="n">
        <f aca="false">IF(AND(HT49=0,GU49=1,OQ49&gt;0),MIN(OQ49,GV49),0)</f>
        <v>0</v>
      </c>
      <c r="OS49" s="1" t="n">
        <f aca="false">OQ49-OR49</f>
        <v>0</v>
      </c>
      <c r="OT49" s="1" t="n">
        <f aca="false">IF(AND(HT49=0,GK49=1,OS49&gt;0),MIN(OS49,GL49),0)</f>
        <v>0</v>
      </c>
      <c r="OU49" s="1" t="n">
        <f aca="false">OS49-OT49</f>
        <v>0</v>
      </c>
      <c r="OV49" s="1" t="n">
        <f aca="false">IF(AND(HT49=0,GA49=1,OU49&gt;0),MIN(OU49,GB49),0)</f>
        <v>0</v>
      </c>
      <c r="OW49" s="1" t="n">
        <f aca="false">OU49-OV49</f>
        <v>0</v>
      </c>
      <c r="OX49" s="1" t="n">
        <f aca="false">IF(AND(HT49=0,FQ49=1,OW49&gt;0),MIN(OW49,FR49),0)</f>
        <v>0</v>
      </c>
      <c r="OY49" s="1" t="n">
        <f aca="false">OW49-OX49</f>
        <v>0</v>
      </c>
      <c r="OZ49" s="1" t="n">
        <f aca="false">IF(AND(HT49=0,FG49=1,OY49&gt;0),MIN(OY49,FH49),0)</f>
        <v>0</v>
      </c>
      <c r="PA49" s="1" t="n">
        <f aca="false">OY49-OZ49</f>
        <v>0</v>
      </c>
      <c r="PB49" s="1" t="n">
        <f aca="false">IF(AND(HT49=0,EW49=1,PA49&gt;0),MIN(PA49,EX49),0)</f>
        <v>0</v>
      </c>
      <c r="PC49" s="1" t="n">
        <f aca="false">PA49-PB49</f>
        <v>0</v>
      </c>
      <c r="PD49" s="1" t="n">
        <f aca="false">IF(AND(HT49=0,EM49=1,PC49&gt;0),MIN(PC49,EN49),0)</f>
        <v>0</v>
      </c>
      <c r="PE49" s="1" t="n">
        <f aca="false">PC49-PD49</f>
        <v>0</v>
      </c>
      <c r="PF49" s="1" t="n">
        <f aca="false">IF(AND(HT49=0,EC49=1,PE49&gt;0),MIN(PE49,ED49),0)</f>
        <v>0</v>
      </c>
      <c r="PG49" s="1" t="n">
        <f aca="false">PE49-PF49</f>
        <v>0</v>
      </c>
      <c r="PH49" s="1" t="n">
        <f aca="false">IF(AND(HT49=0,DS49=1,PG49&gt;0),MIN(PG49,DT49),0)</f>
        <v>0</v>
      </c>
      <c r="PI49" s="1" t="n">
        <f aca="false">PG49-PH49</f>
        <v>0</v>
      </c>
      <c r="PJ49" s="1" t="n">
        <f aca="false">IF(AND(HT49=0,DI49=1,PI49&gt;0),MIN(PI49,DJ49),0)</f>
        <v>0</v>
      </c>
      <c r="PK49" s="1" t="n">
        <f aca="false">PI49-PJ49</f>
        <v>0</v>
      </c>
      <c r="PL49" s="1" t="n">
        <f aca="false">IF(AND(HT49=0,CY49=1,PK49&gt;0),MIN(PK49,CZ49),0)</f>
        <v>0</v>
      </c>
      <c r="PM49" s="1" t="n">
        <f aca="false">PK49-PL49</f>
        <v>0</v>
      </c>
      <c r="PN49" s="1" t="n">
        <f aca="false">IF(AND(HT49=0,CO49=1,PM49&gt;0),MIN(PM49,CP49),0)</f>
        <v>0</v>
      </c>
      <c r="PO49" s="1" t="n">
        <f aca="false">PM49-PN49</f>
        <v>0</v>
      </c>
      <c r="PP49" s="1" t="n">
        <f aca="false">IF(AND(HT49=0,CE49=1,PO49&gt;0),MIN(PO49,CF49),0)</f>
        <v>0</v>
      </c>
      <c r="PQ49" s="1" t="n">
        <f aca="false">PO49-PP49</f>
        <v>0</v>
      </c>
      <c r="PR49" s="1" t="n">
        <f aca="false">IF(AND(HT49=0,BU49=1,PQ49&gt;0),MIN(PQ49,BV49),0)</f>
        <v>0</v>
      </c>
      <c r="PS49" s="1" t="n">
        <f aca="false">PQ49-PR49</f>
        <v>0</v>
      </c>
      <c r="PT49" s="1" t="n">
        <f aca="false">IF(AND(HT49=0,BK49=1,PS49&gt;0),MIN(PS49,BL49),0)</f>
        <v>0</v>
      </c>
      <c r="PU49" s="1" t="n">
        <f aca="false">PS49-PT49</f>
        <v>0</v>
      </c>
      <c r="PV49" s="1" t="n">
        <f aca="false">IF(AND(HT49=0,BA49=1,PU49&gt;0),MIN(PU49,BB49),0)</f>
        <v>0</v>
      </c>
      <c r="PW49" s="1" t="n">
        <f aca="false">PU49-PV49</f>
        <v>0</v>
      </c>
      <c r="PX49" s="1" t="n">
        <f aca="false">IF(AND(HT49=0,AQ49=1,PW49&gt;0),MIN(PW49,AR49),0)</f>
        <v>0</v>
      </c>
      <c r="PY49" s="1" t="n">
        <f aca="false">PW49-PX49</f>
        <v>0</v>
      </c>
      <c r="PZ49" s="1" t="n">
        <f aca="false">IF(AND(HT49=0,AG49=1,PY49&gt;0),MIN(PY49,AH49),0)</f>
        <v>0</v>
      </c>
      <c r="QA49" s="1" t="n">
        <f aca="false">PY49-PZ49</f>
        <v>0</v>
      </c>
      <c r="QB49" s="1" t="n">
        <f aca="false">IF(AND(HT49=0,V49=1,QA49&gt;0),MIN(QA49,W49),0)</f>
        <v>0</v>
      </c>
      <c r="QC49" s="1" t="n">
        <f aca="false">QA49-QB49</f>
        <v>0</v>
      </c>
      <c r="QD49" s="1" t="n">
        <f aca="false">IF(HT49=0,QC49,0)</f>
        <v>0</v>
      </c>
      <c r="QE49" s="1" t="n">
        <f aca="false">OL49+ON49+QB49+PZ49+PX49+PV49+PT49+PR49+PP49+PN49+PL49+PJ49+PH49+PF49+PD49+PB49+OZ49+OX49+OV49+OT49+OR49+OP49</f>
        <v>0</v>
      </c>
      <c r="QF49" s="1" t="n">
        <f aca="false">IF(HT49=1,HJ49+OI49+OH49+IF(F49=1,0,OJ49),HJ49-OL49)</f>
        <v>0</v>
      </c>
      <c r="QG49" s="1" t="n">
        <f aca="false">HK49-ON49</f>
        <v>0</v>
      </c>
      <c r="QH49" s="1" t="n">
        <f aca="false">IF(HT49=1,IF(F49=1,IC49+ID49,HR49),0)</f>
        <v>0</v>
      </c>
      <c r="QI49" s="1" t="n">
        <f aca="false">IF(HT49=1,IF(F49=1,HR49-IC49-ID49,0),0)</f>
        <v>0</v>
      </c>
      <c r="QJ49" s="1" t="n">
        <f aca="false">QF49*(1+GR)</f>
        <v>0</v>
      </c>
      <c r="QK49" s="1" t="n">
        <f aca="false">QG49*(1+AS_Cash)</f>
        <v>0</v>
      </c>
      <c r="QL49" s="1" t="n">
        <f aca="false">IF(V49=1,IF(HT49=1,IH49+IK49,W49-QB49)*(1+Slot1_Rate),0)</f>
        <v>0</v>
      </c>
      <c r="QM49" s="1" t="n">
        <f aca="false">IF(AND(HT49=1,V49=1),(IG49+IK49)/E49,0)</f>
        <v>0</v>
      </c>
      <c r="QN49" s="1" t="n">
        <f aca="false">IF(B49=0,IG49+IK49,0)</f>
        <v>0</v>
      </c>
      <c r="QO49" s="1" t="n">
        <f aca="false">IF(B49=0,IF(HT49=1,II49,IJ49),0)</f>
        <v>0</v>
      </c>
      <c r="QP49" s="1" t="n">
        <f aca="false">IF(AG49=1,IF(HT49=1,IP49+IS49,AH49-PZ49)*(1+Slot2_Rate),0)</f>
        <v>0</v>
      </c>
      <c r="QQ49" s="1" t="n">
        <f aca="false">IF(AND(HT49=1,AG49=1),(IO49+IS49)/E49,0)</f>
        <v>0</v>
      </c>
      <c r="QR49" s="1" t="n">
        <f aca="false">IF(B49=0,IO49+IS49,0)</f>
        <v>0</v>
      </c>
      <c r="QS49" s="1" t="n">
        <f aca="false">IF(B49=0,IF(HT49=1,IQ49,IR49),0)</f>
        <v>0</v>
      </c>
      <c r="QT49" s="1" t="n">
        <f aca="false">IF(AQ49=1,IF(HT49=1,IX49+JA49,AR49-PX49)*(1+Slot3_Rate),0)</f>
        <v>0</v>
      </c>
      <c r="QU49" s="1" t="n">
        <f aca="false">IF(AND(HT49=1,AQ49=1),(IW49+JA49)/E49,0)</f>
        <v>0</v>
      </c>
      <c r="QV49" s="1" t="n">
        <f aca="false">IF(B49=0,IW49+JA49,0)</f>
        <v>0</v>
      </c>
      <c r="QW49" s="1" t="n">
        <f aca="false">IF(B49=0,IF(HT49=1,IY49,IZ49),0)</f>
        <v>0</v>
      </c>
      <c r="QX49" s="1" t="n">
        <f aca="false">IF(BA49=1,IF(HT49=1,JF49+JI49,BB49-PV49)*(1+Slot4_Rate),0)</f>
        <v>0</v>
      </c>
      <c r="QY49" s="1" t="n">
        <f aca="false">IF(AND(HT49=1,BA49=1),(JE49+JI49)/E49,0)</f>
        <v>0</v>
      </c>
      <c r="QZ49" s="1" t="n">
        <f aca="false">IF(B49=0,JE49+JI49,0)</f>
        <v>0</v>
      </c>
      <c r="RA49" s="1" t="n">
        <f aca="false">IF(B49=0,IF(HT49=1,JG49,JH49),0)</f>
        <v>0</v>
      </c>
      <c r="RB49" s="1" t="n">
        <f aca="false">IF(BK49=1,IF(HT49=1,JN49+JQ49,BL49-PT49)*(1+Slot5_Rate),0)</f>
        <v>0</v>
      </c>
      <c r="RC49" s="1" t="n">
        <f aca="false">IF(AND(HT49=1,BK49=1),(JM49+JQ49)/E49,0)</f>
        <v>0</v>
      </c>
      <c r="RD49" s="1" t="n">
        <f aca="false">IF(B49=0,JM49+JQ49,0)</f>
        <v>0</v>
      </c>
      <c r="RE49" s="1" t="n">
        <f aca="false">IF(B49=0,IF(HT49=1,JO49,JP49),0)</f>
        <v>0</v>
      </c>
      <c r="RF49" s="1" t="n">
        <f aca="false">IF(BU49=1,IF(HT49=1,JV49+JY49,BV49-PR49)*(1+Slot6_Rate),0)</f>
        <v>0</v>
      </c>
      <c r="RG49" s="1" t="n">
        <f aca="false">IF(AND(HT49=1,BU49=1),(JU49+JY49)/E49,0)</f>
        <v>0</v>
      </c>
      <c r="RH49" s="1" t="n">
        <f aca="false">IF(B49=0,JU49+JY49,0)</f>
        <v>0</v>
      </c>
      <c r="RI49" s="1" t="n">
        <f aca="false">IF(B49=0,IF(HT49=1,JW49,JX49),0)</f>
        <v>0</v>
      </c>
      <c r="RJ49" s="1" t="n">
        <f aca="false">IF(CE49=1,IF(HT49=1,KD49+KG49,CF49-PP49)*(1+Slot7_Rate),0)</f>
        <v>0</v>
      </c>
      <c r="RK49" s="1" t="n">
        <f aca="false">IF(AND(HT49=1,CE49=1),(KC49+KG49)/E49,0)</f>
        <v>0</v>
      </c>
      <c r="RL49" s="1" t="n">
        <f aca="false">IF(B49=0,KC49+KG49,0)</f>
        <v>0</v>
      </c>
      <c r="RM49" s="1" t="n">
        <f aca="false">IF(B49=0,IF(HT49=1,KE49,KF49),0)</f>
        <v>0</v>
      </c>
      <c r="RN49" s="1" t="n">
        <f aca="false">IF(CO49=1,IF(HT49=1,KL49+KO49,CP49-PN49)*(1+Slot8_Rate),0)</f>
        <v>0</v>
      </c>
      <c r="RO49" s="1" t="n">
        <f aca="false">IF(AND(HT49=1,CO49=1),(KK49+KO49)/E49,0)</f>
        <v>0</v>
      </c>
      <c r="RP49" s="1" t="n">
        <f aca="false">IF(B49=0,KK49+KO49,0)</f>
        <v>0</v>
      </c>
      <c r="RQ49" s="1" t="n">
        <f aca="false">IF(B49=0,IF(HT49=1,KM49,KN49),0)</f>
        <v>0</v>
      </c>
      <c r="RR49" s="1" t="n">
        <f aca="false">IF(CY49=1,IF(HT49=1,KT49+KW49,CZ49-PL49)*(1+Slot9_Rate),0)</f>
        <v>0</v>
      </c>
      <c r="RS49" s="1" t="n">
        <f aca="false">IF(AND(HT49=1,CY49=1),(KS49+KW49)/E49,0)</f>
        <v>0</v>
      </c>
      <c r="RT49" s="1" t="n">
        <f aca="false">IF(B49=0,KS49+KW49,0)</f>
        <v>0</v>
      </c>
      <c r="RU49" s="1" t="n">
        <f aca="false">IF(B49=0,IF(HT49=1,KU49,KV49),0)</f>
        <v>0</v>
      </c>
      <c r="RV49" s="1" t="n">
        <f aca="false">IF(DI49=1,IF(HT49=1,LB49+LE49,DJ49-PJ49)*(1+Slot10_Rate),0)</f>
        <v>0</v>
      </c>
      <c r="RW49" s="1" t="n">
        <f aca="false">IF(AND(HT49=1,DI49=1),(LA49+LE49)/E49,0)</f>
        <v>0</v>
      </c>
      <c r="RX49" s="1" t="n">
        <f aca="false">IF(B49=0,LA49+LE49,0)</f>
        <v>0</v>
      </c>
      <c r="RY49" s="1" t="n">
        <f aca="false">IF(B49=0,IF(HT49=1,LC49,LD49),0)</f>
        <v>0</v>
      </c>
      <c r="RZ49" s="1" t="n">
        <f aca="false">IF(DS49=1,IF(HT49=1,LJ49+LM49,DT49-PH49)*(1+Slot11_Rate),0)</f>
        <v>0</v>
      </c>
      <c r="SA49" s="1" t="n">
        <f aca="false">IF(AND(HT49=1,DS49=1),(LI49+LM49)/E49,0)</f>
        <v>0</v>
      </c>
      <c r="SB49" s="1" t="n">
        <f aca="false">IF(B49=0,LI49+LM49,0)</f>
        <v>0</v>
      </c>
      <c r="SC49" s="1" t="n">
        <f aca="false">IF(B49=0,IF(HT49=1,LK49,LL49),0)</f>
        <v>0</v>
      </c>
      <c r="SD49" s="1" t="n">
        <f aca="false">IF(EC49=1,IF(HT49=1,LR49+LU49,ED49-PF49)*(1+Slot12_Rate),0)</f>
        <v>0</v>
      </c>
      <c r="SE49" s="1" t="n">
        <f aca="false">IF(AND(HT49=1,EC49=1),(LQ49+LU49)/E49,0)</f>
        <v>0</v>
      </c>
      <c r="SF49" s="1" t="n">
        <f aca="false">IF(B49=0,LQ49+LU49,0)</f>
        <v>0</v>
      </c>
      <c r="SG49" s="1" t="n">
        <f aca="false">IF(B49=0,IF(HT49=1,LS49,LT49),0)</f>
        <v>0</v>
      </c>
      <c r="SH49" s="1" t="n">
        <f aca="false">IF(EM49=1,IF(HT49=1,LZ49+MC49,EN49-PD49)*(1+Slot13_Rate),0)</f>
        <v>0</v>
      </c>
      <c r="SI49" s="1" t="n">
        <f aca="false">IF(AND(HT49=1,EM49=1),(LY49+MC49)/E49,0)</f>
        <v>0</v>
      </c>
      <c r="SJ49" s="1" t="n">
        <f aca="false">IF(B49=0,LY49+MC49,0)</f>
        <v>0</v>
      </c>
      <c r="SK49" s="1" t="n">
        <f aca="false">IF(B49=0,IF(HT49=1,MA49,MB49),0)</f>
        <v>0</v>
      </c>
      <c r="SL49" s="1" t="n">
        <f aca="false">IF(EW49=1,IF(HT49=1,MH49+MK49,EX49-PB49)*(1+Slot14_Rate),0)</f>
        <v>0</v>
      </c>
      <c r="SM49" s="1" t="n">
        <f aca="false">IF(AND(HT49=1,EW49=1),(MG49+MK49)/E49,0)</f>
        <v>0</v>
      </c>
      <c r="SN49" s="1" t="n">
        <f aca="false">IF(B49=0,MG49+MK49,0)</f>
        <v>0</v>
      </c>
      <c r="SO49" s="1" t="n">
        <f aca="false">IF(B49=0,IF(HT49=1,MI49,MJ49),0)</f>
        <v>0</v>
      </c>
      <c r="SP49" s="1" t="n">
        <f aca="false">IF(FG49=1,IF(HT49=1,MP49+MS49,FH49-OZ49)*(1+Slot15_Rate),0)</f>
        <v>0</v>
      </c>
      <c r="SQ49" s="1" t="n">
        <f aca="false">IF(AND(HT49=1,FG49=1),(MO49+MS49)/E49,0)</f>
        <v>0</v>
      </c>
      <c r="SR49" s="1" t="n">
        <f aca="false">IF(B49=0,MO49+MS49,0)</f>
        <v>0</v>
      </c>
      <c r="SS49" s="1" t="n">
        <f aca="false">IF(B49=0,IF(HT49=1,MQ49,MR49),0)</f>
        <v>0</v>
      </c>
      <c r="ST49" s="1" t="n">
        <f aca="false">IF(FQ49=1,IF(HT49=1,MX49+NA49,FR49-OX49)*(1+Slot16_Rate),0)</f>
        <v>0</v>
      </c>
      <c r="SU49" s="1" t="n">
        <f aca="false">IF(AND(HT49=1,FQ49=1),(MW49+NA49)/E49,0)</f>
        <v>0</v>
      </c>
      <c r="SV49" s="1" t="n">
        <f aca="false">IF(B49=0,MW49+NA49,0)</f>
        <v>0</v>
      </c>
      <c r="SW49" s="1" t="n">
        <f aca="false">IF(B49=0,IF(HT49=1,MY49,MZ49),0)</f>
        <v>0</v>
      </c>
      <c r="SX49" s="1" t="n">
        <f aca="false">IF(GA49=1,IF(HT49=1,NF49+NI49,GB49-OV49)*(1+Slot17_Rate),0)</f>
        <v>0</v>
      </c>
      <c r="SY49" s="1" t="n">
        <f aca="false">IF(AND(HT49=1,GA49=1),(NE49+NI49)/E49,0)</f>
        <v>0</v>
      </c>
      <c r="SZ49" s="1" t="n">
        <f aca="false">IF(B49=0,NE49+NI49,0)</f>
        <v>0</v>
      </c>
      <c r="TA49" s="1" t="n">
        <f aca="false">IF(B49=0,IF(HT49=1,NG49,NH49),0)</f>
        <v>0</v>
      </c>
      <c r="TB49" s="1" t="n">
        <f aca="false">IF(GK49=1,IF(HT49=1,NN49+NQ49,GL49-OT49)*(1+Slot18_Rate),0)</f>
        <v>0</v>
      </c>
      <c r="TC49" s="1" t="n">
        <f aca="false">IF(AND(HT49=1,GK49=1),(NM49+NQ49)/E49,0)</f>
        <v>0</v>
      </c>
      <c r="TD49" s="1" t="n">
        <f aca="false">IF(B49=0,NM49+NQ49,0)</f>
        <v>0</v>
      </c>
      <c r="TE49" s="1" t="n">
        <f aca="false">IF(B49=0,IF(HT49=1,NO49,NP49),0)</f>
        <v>0</v>
      </c>
      <c r="TF49" s="1" t="n">
        <f aca="false">IF(GU49=1,IF(HT49=1,NV49+NY49,GV49-OR49)*(1+Slot19_Rate),0)</f>
        <v>0</v>
      </c>
      <c r="TG49" s="1" t="n">
        <f aca="false">IF(AND(HT49=1,GU49=1),(NU49+NY49)/E49,0)</f>
        <v>0</v>
      </c>
      <c r="TH49" s="1" t="n">
        <f aca="false">IF(B49=0,NU49+NY49,0)</f>
        <v>0</v>
      </c>
      <c r="TI49" s="1" t="n">
        <f aca="false">IF(B49=0,IF(HT49=1,NW49,NX49),0)</f>
        <v>0</v>
      </c>
      <c r="TJ49" s="1" t="n">
        <f aca="false">IF(HE49=1,IF(HT49=1,OD49+OG49,HF49-OP49)*(1+Slot20_Rate),0)</f>
        <v>0</v>
      </c>
      <c r="TK49" s="1" t="n">
        <f aca="false">IF(AND(HT49=1,HE49=1),(OC49+OG49)/E49,0)</f>
        <v>0</v>
      </c>
      <c r="TL49" s="1" t="n">
        <f aca="false">IF(B49=0,OC49+OG49,0)</f>
        <v>0</v>
      </c>
      <c r="TM49" s="1" t="n">
        <f aca="false">IF(B49=0,IF(HT49=1,OE49,OF49),0)</f>
        <v>0</v>
      </c>
      <c r="TN49" s="1" t="n">
        <f aca="false">QJ49+QK49+QL49+QP49+QT49+QX49+RB49+RF49+RJ49+RN49+RR49+RV49+RZ49+SD49+SH49+SL49+SP49+ST49+SX49+TB49+TF49+TJ49</f>
        <v>0</v>
      </c>
      <c r="TO49" s="1" t="n">
        <f aca="false">QD49+HO49</f>
        <v>0</v>
      </c>
      <c r="TP49" s="1" t="n">
        <f aca="false">H49+R49</f>
        <v>0</v>
      </c>
      <c r="TQ49" s="1" t="n">
        <f aca="false">1-F49</f>
        <v>0</v>
      </c>
      <c r="TR49" s="1" t="n">
        <f aca="false">IF(AND(RG_Exists=1,F49=0,C49=1),H49,0)</f>
        <v>0</v>
      </c>
      <c r="TS49" s="1" t="n">
        <f aca="false">IF(AND(RG_Exists=1,F49=0,C49=1),H49-MIN(QD49,H49),0)</f>
        <v>0</v>
      </c>
      <c r="TT49" s="1" t="n">
        <f aca="false">'Plan pay &amp; tax'!AD275</f>
        <v>0</v>
      </c>
      <c r="TU49" s="1" t="n">
        <f aca="false">IF(AND(C49=1,QD49&gt;MAX(PR_Short1,TP49*PR_Short2)),1,0)</f>
        <v>0</v>
      </c>
      <c r="TV49" s="1" t="n">
        <f aca="false">MIN(G49,H49+R49)</f>
        <v>0</v>
      </c>
      <c r="TW49" s="1" t="n">
        <f aca="false">QE49+MAX(0,HP49-HO49)</f>
        <v>0</v>
      </c>
      <c r="TX49" s="1" t="n">
        <f aca="false">QD49+HO49</f>
        <v>0</v>
      </c>
      <c r="TY49" s="1" t="n">
        <f aca="false">IF(AND(C49=1,TX49&gt;PR_MinShort),1,0)</f>
        <v>0</v>
      </c>
      <c r="TZ49" s="1" t="n">
        <f aca="false">IF(AND(C49=1,TY49=0,TW49&gt;PR_MinShort),1,0)</f>
        <v>0</v>
      </c>
      <c r="UA49" s="1" t="n">
        <f aca="false">IF(AND(C49=1,QD49&gt;PR_MinShort),1,0)</f>
        <v>0</v>
      </c>
      <c r="UB49" s="1" t="n">
        <f aca="false">IF(AND(C49=1,QE49&gt;1,UI49=0),1,0)</f>
        <v>0</v>
      </c>
      <c r="UC49" s="1" t="str">
        <f aca="false">IF(C49=0,"",IF(UI49=1,"Gap to plan for: short "&amp;"€"&amp;TEXT(ROUND(TO49,0),"#,##0"),IF(QE49&gt;1,"Using savings","Comfortable")))</f>
        <v>Comfortable</v>
      </c>
      <c r="UD49" s="1" t="n">
        <f aca="false">IF(AND(INT(D49/10)*10=90,B49&gt;0),80,INT(D49/10)*10)</f>
        <v>40</v>
      </c>
      <c r="UE49" s="1" t="n">
        <f aca="false">IF(B49=0,1,IF(UD49&lt;&gt;UD48,UE48+1,UE48))</f>
        <v>5</v>
      </c>
      <c r="UF49" s="1" t="n">
        <f aca="false">IF(AND(C49=1,F49=1,QD49&gt;MAX(PR_Short1,TP49*PR_Short2)),1,0)</f>
        <v>0</v>
      </c>
      <c r="UG49" s="1" t="n">
        <f aca="false">TQ49*TU49</f>
        <v>0</v>
      </c>
      <c r="UH49" s="1" t="n">
        <f aca="false">IF(AND(U49=1,Slot1_PctLow=1),1,0)+IF(AND(AF49=1,Slot2_PctLow=1),1,0)+IF(AND(AP49=1,Slot3_PctLow=1),1,0)+IF(AND(AZ49=1,Slot4_PctLow=1),1,0)+IF(AND(BJ49=1,Slot5_PctLow=1),1,0)+IF(AND(BT49=1,Slot6_PctLow=1),1,0)+IF(AND(CD49=1,Slot7_PctLow=1),1,0)+IF(AND(CN49=1,Slot8_PctLow=1),1,0)+IF(AND(CX49=1,Slot9_PctLow=1),1,0)+IF(AND(DH49=1,Slot10_PctLow=1),1,0)+IF(AND(DR49=1,Slot11_PctLow=1),1,0)+IF(AND(EB49=1,Slot12_PctLow=1),1,0)+IF(AND(EL49=1,Slot13_PctLow=1),1,0)+IF(AND(EV49=1,Slot14_PctLow=1),1,0)+IF(AND(FF49=1,Slot15_PctLow=1),1,0)+IF(AND(FP49=1,Slot16_PctLow=1),1,0)+IF(AND(FZ49=1,Slot17_PctLow=1),1,0)+IF(AND(GJ49=1,Slot18_PctLow=1),1,0)+IF(AND(GT49=1,Slot19_PctLow=1),1,0)+IF(AND(HD49=1,Slot20_PctLow=1),1,0)</f>
        <v>0</v>
      </c>
      <c r="UI49" s="1" t="n">
        <f aca="false">IF(C49=1,IF(OR(TU49=1,UH49&gt;0),1,0),0)</f>
        <v>0</v>
      </c>
    </row>
    <row r="50" customFormat="false" ht="15" hidden="false" customHeight="true" outlineLevel="0" collapsed="false">
      <c r="B50" s="1" t="n">
        <v>42</v>
      </c>
      <c r="C50" s="1" t="n">
        <f aca="false">IF(B50&lt;=F_N,1,0)</f>
        <v>1</v>
      </c>
      <c r="D50" s="1" t="n">
        <f aca="false">'Plan pay &amp; tax'!C276</f>
        <v>42</v>
      </c>
      <c r="E50" s="111" t="n">
        <f aca="false">'Plan pay &amp; tax'!E276</f>
        <v>2.29724446602489</v>
      </c>
      <c r="F50" s="1" t="n">
        <f aca="false">'Plan pay &amp; tax'!G276</f>
        <v>1</v>
      </c>
      <c r="G50" s="1" t="n">
        <f aca="false">'Plan pay &amp; tax'!BT276-'Plan pay &amp; tax'!BS276-'Plan pay &amp; tax'!R276</f>
        <v>0</v>
      </c>
      <c r="H50" s="1" t="n">
        <f aca="false">IF(F50=1,F_CostsM*12,IF(RG_Exists=1,RG_Amount,F_CostsM*12*AS_RetireSpend))*E50+F_OneOffY*E50</f>
        <v>0</v>
      </c>
      <c r="I50" s="1" t="n">
        <f aca="false">HQ49</f>
        <v>0</v>
      </c>
      <c r="J50" s="1" t="n">
        <f aca="false">IF(I50&gt;1,'Plan debt months'!AC50,0)</f>
        <v>0</v>
      </c>
      <c r="K50" s="1" t="n">
        <f aca="false">IF(I50&gt;1,'Plan debt months'!AB50,I50)</f>
        <v>0</v>
      </c>
      <c r="L50" s="1" t="n">
        <f aca="false">N49</f>
        <v>0</v>
      </c>
      <c r="M50" s="1" t="n">
        <f aca="false">IF(L50&gt;1,'Plan debt months'!BD50,0)</f>
        <v>0</v>
      </c>
      <c r="N50" s="1" t="n">
        <f aca="false">IF(L50&gt;1,'Plan debt months'!BC50,L50)</f>
        <v>0</v>
      </c>
      <c r="O50" s="1" t="n">
        <f aca="false">Q49</f>
        <v>0</v>
      </c>
      <c r="P50" s="1" t="n">
        <f aca="false">IF(O50&gt;1,'Plan debt months'!CE50,0)</f>
        <v>0</v>
      </c>
      <c r="Q50" s="1" t="n">
        <f aca="false">IF(O50&gt;1,'Plan debt months'!CD50,O50)</f>
        <v>0</v>
      </c>
      <c r="R50" s="1" t="n">
        <f aca="false">J50+M50+P50</f>
        <v>0</v>
      </c>
      <c r="S50" s="1" t="n">
        <f aca="false">QJ49+'Plan pay &amp; tax'!Y276</f>
        <v>0</v>
      </c>
      <c r="T50" s="1" t="n">
        <f aca="false">QJ49</f>
        <v>0</v>
      </c>
      <c r="U50" s="1" t="n">
        <f aca="false">IF(AND(Slot1_On=1,D50=Slot1_Age),1,0)</f>
        <v>0</v>
      </c>
      <c r="V50" s="1" t="n">
        <f aca="false">IF(AND(Slot1_On=1,Slot1_Age&gt;D50),1,0)</f>
        <v>0</v>
      </c>
      <c r="W50" s="1" t="n">
        <f aca="false">QL49</f>
        <v>0</v>
      </c>
      <c r="X50" s="1" t="n">
        <f aca="false">U50*MIN(Slot1_Cost,W50)</f>
        <v>0</v>
      </c>
      <c r="Y50" s="1" t="n">
        <f aca="false">U50*Slot1_SpendLike*MIN(Slot1_Cost-X50,S50)</f>
        <v>0</v>
      </c>
      <c r="Z50" s="1" t="n">
        <f aca="false">X50+Y50</f>
        <v>0</v>
      </c>
      <c r="AA50" s="1" t="n">
        <f aca="false">S50-Y50+U50*IF(Slot1_SpendLike=1,W50-X50,IF(Slot1_PotFree=1,W50,0))</f>
        <v>0</v>
      </c>
      <c r="AB50" s="1" t="n">
        <f aca="false">AE50+U50*Slot1_BufPot*W50</f>
        <v>0</v>
      </c>
      <c r="AC50" s="1" t="n">
        <f aca="false">IF(AND(U50=1,Slot1_IsMfree=1),IF(Z50&gt;=Slot1_Cost-1,0,MAX(0,K50-Z50)),K50)</f>
        <v>0</v>
      </c>
      <c r="AD50" s="1" t="n">
        <f aca="false">U50*(Slot1_Cost-Z50)</f>
        <v>0</v>
      </c>
      <c r="AE50" s="1" t="n">
        <f aca="false">QK49</f>
        <v>0</v>
      </c>
      <c r="AF50" s="1" t="n">
        <f aca="false">IF(AND(Slot2_On=1,D50=Slot2_Age),1,0)</f>
        <v>0</v>
      </c>
      <c r="AG50" s="1" t="n">
        <f aca="false">IF(AND(Slot2_On=1,Slot2_Age&gt;D50),1,0)</f>
        <v>0</v>
      </c>
      <c r="AH50" s="1" t="n">
        <f aca="false">QP49</f>
        <v>0</v>
      </c>
      <c r="AI50" s="1" t="n">
        <f aca="false">AF50*MIN(Slot2_Cost,AH50)</f>
        <v>0</v>
      </c>
      <c r="AJ50" s="1" t="n">
        <f aca="false">AF50*Slot2_SpendLike*MIN(Slot2_Cost-AI50,AA50)</f>
        <v>0</v>
      </c>
      <c r="AK50" s="1" t="n">
        <f aca="false">AI50+AJ50</f>
        <v>0</v>
      </c>
      <c r="AL50" s="1" t="n">
        <f aca="false">AA50-AJ50+AF50*IF(Slot2_SpendLike=1,AH50-AI50,IF(Slot2_PotFree=1,AH50,0))</f>
        <v>0</v>
      </c>
      <c r="AM50" s="1" t="n">
        <f aca="false">AB50+AF50*Slot2_BufPot*AH50</f>
        <v>0</v>
      </c>
      <c r="AN50" s="1" t="n">
        <f aca="false">IF(AND(AF50=1,Slot2_IsMfree=1),IF(AK50&gt;=Slot2_Cost-1,0,MAX(0,AC50-AK50)),AC50)</f>
        <v>0</v>
      </c>
      <c r="AO50" s="1" t="n">
        <f aca="false">AF50*(Slot2_Cost-AK50)</f>
        <v>0</v>
      </c>
      <c r="AP50" s="1" t="n">
        <f aca="false">IF(AND(Slot3_On=1,D50=Slot3_Age),1,0)</f>
        <v>0</v>
      </c>
      <c r="AQ50" s="1" t="n">
        <f aca="false">IF(AND(Slot3_On=1,Slot3_Age&gt;D50),1,0)</f>
        <v>0</v>
      </c>
      <c r="AR50" s="1" t="n">
        <f aca="false">QT49</f>
        <v>0</v>
      </c>
      <c r="AS50" s="1" t="n">
        <f aca="false">AP50*MIN(Slot3_Cost,AR50)</f>
        <v>0</v>
      </c>
      <c r="AT50" s="1" t="n">
        <f aca="false">AP50*Slot3_SpendLike*MIN(Slot3_Cost-AS50,AL50)</f>
        <v>0</v>
      </c>
      <c r="AU50" s="1" t="n">
        <f aca="false">AS50+AT50</f>
        <v>0</v>
      </c>
      <c r="AV50" s="1" t="n">
        <f aca="false">AL50-AT50+AP50*IF(Slot3_SpendLike=1,AR50-AS50,IF(Slot3_PotFree=1,AR50,0))</f>
        <v>0</v>
      </c>
      <c r="AW50" s="1" t="n">
        <f aca="false">AM50+AP50*Slot3_BufPot*AR50</f>
        <v>0</v>
      </c>
      <c r="AX50" s="1" t="n">
        <f aca="false">IF(AND(AP50=1,Slot3_IsMfree=1),IF(AU50&gt;=Slot3_Cost-1,0,MAX(0,AN50-AU50)),AN50)</f>
        <v>0</v>
      </c>
      <c r="AY50" s="1" t="n">
        <f aca="false">AP50*(Slot3_Cost-AU50)</f>
        <v>0</v>
      </c>
      <c r="AZ50" s="1" t="n">
        <f aca="false">IF(AND(Slot4_On=1,D50=Slot4_Age),1,0)</f>
        <v>0</v>
      </c>
      <c r="BA50" s="1" t="n">
        <f aca="false">IF(AND(Slot4_On=1,Slot4_Age&gt;D50),1,0)</f>
        <v>0</v>
      </c>
      <c r="BB50" s="1" t="n">
        <f aca="false">QX49</f>
        <v>0</v>
      </c>
      <c r="BC50" s="1" t="n">
        <f aca="false">AZ50*MIN(Slot4_Cost,BB50)</f>
        <v>0</v>
      </c>
      <c r="BD50" s="1" t="n">
        <f aca="false">AZ50*Slot4_SpendLike*MIN(Slot4_Cost-BC50,AV50)</f>
        <v>0</v>
      </c>
      <c r="BE50" s="1" t="n">
        <f aca="false">BC50+BD50</f>
        <v>0</v>
      </c>
      <c r="BF50" s="1" t="n">
        <f aca="false">AV50-BD50+AZ50*IF(Slot4_SpendLike=1,BB50-BC50,IF(Slot4_PotFree=1,BB50,0))</f>
        <v>0</v>
      </c>
      <c r="BG50" s="1" t="n">
        <f aca="false">AW50+AZ50*Slot4_BufPot*BB50</f>
        <v>0</v>
      </c>
      <c r="BH50" s="1" t="n">
        <f aca="false">IF(AND(AZ50=1,Slot4_IsMfree=1),IF(BE50&gt;=Slot4_Cost-1,0,MAX(0,AX50-BE50)),AX50)</f>
        <v>0</v>
      </c>
      <c r="BI50" s="1" t="n">
        <f aca="false">AZ50*(Slot4_Cost-BE50)</f>
        <v>0</v>
      </c>
      <c r="BJ50" s="1" t="n">
        <f aca="false">IF(AND(Slot5_On=1,D50=Slot5_Age),1,0)</f>
        <v>0</v>
      </c>
      <c r="BK50" s="1" t="n">
        <f aca="false">IF(AND(Slot5_On=1,Slot5_Age&gt;D50),1,0)</f>
        <v>0</v>
      </c>
      <c r="BL50" s="1" t="n">
        <f aca="false">RB49</f>
        <v>0</v>
      </c>
      <c r="BM50" s="1" t="n">
        <f aca="false">BJ50*MIN(Slot5_Cost,BL50)</f>
        <v>0</v>
      </c>
      <c r="BN50" s="1" t="n">
        <f aca="false">BJ50*Slot5_SpendLike*MIN(Slot5_Cost-BM50,BF50)</f>
        <v>0</v>
      </c>
      <c r="BO50" s="1" t="n">
        <f aca="false">BM50+BN50</f>
        <v>0</v>
      </c>
      <c r="BP50" s="1" t="n">
        <f aca="false">BF50-BN50+BJ50*IF(Slot5_SpendLike=1,BL50-BM50,IF(Slot5_PotFree=1,BL50,0))</f>
        <v>0</v>
      </c>
      <c r="BQ50" s="1" t="n">
        <f aca="false">BG50+BJ50*Slot5_BufPot*BL50</f>
        <v>0</v>
      </c>
      <c r="BR50" s="1" t="n">
        <f aca="false">IF(AND(BJ50=1,Slot5_IsMfree=1),IF(BO50&gt;=Slot5_Cost-1,0,MAX(0,BH50-BO50)),BH50)</f>
        <v>0</v>
      </c>
      <c r="BS50" s="1" t="n">
        <f aca="false">BJ50*(Slot5_Cost-BO50)</f>
        <v>0</v>
      </c>
      <c r="BT50" s="1" t="n">
        <f aca="false">IF(AND(Slot6_On=1,D50=Slot6_Age),1,0)</f>
        <v>0</v>
      </c>
      <c r="BU50" s="1" t="n">
        <f aca="false">IF(AND(Slot6_On=1,Slot6_Age&gt;D50),1,0)</f>
        <v>0</v>
      </c>
      <c r="BV50" s="1" t="n">
        <f aca="false">RF49</f>
        <v>0</v>
      </c>
      <c r="BW50" s="1" t="n">
        <f aca="false">BT50*MIN(Slot6_Cost,BV50)</f>
        <v>0</v>
      </c>
      <c r="BX50" s="1" t="n">
        <f aca="false">BT50*Slot6_SpendLike*MIN(Slot6_Cost-BW50,BP50)</f>
        <v>0</v>
      </c>
      <c r="BY50" s="1" t="n">
        <f aca="false">BW50+BX50</f>
        <v>0</v>
      </c>
      <c r="BZ50" s="1" t="n">
        <f aca="false">BP50-BX50+BT50*IF(Slot6_SpendLike=1,BV50-BW50,IF(Slot6_PotFree=1,BV50,0))</f>
        <v>0</v>
      </c>
      <c r="CA50" s="1" t="n">
        <f aca="false">BQ50+BT50*Slot6_BufPot*BV50</f>
        <v>0</v>
      </c>
      <c r="CB50" s="1" t="n">
        <f aca="false">IF(AND(BT50=1,Slot6_IsMfree=1),IF(BY50&gt;=Slot6_Cost-1,0,MAX(0,BR50-BY50)),BR50)</f>
        <v>0</v>
      </c>
      <c r="CC50" s="1" t="n">
        <f aca="false">BT50*(Slot6_Cost-BY50)</f>
        <v>0</v>
      </c>
      <c r="CD50" s="1" t="n">
        <f aca="false">IF(AND(Slot7_On=1,D50=Slot7_Age),1,0)</f>
        <v>0</v>
      </c>
      <c r="CE50" s="1" t="n">
        <f aca="false">IF(AND(Slot7_On=1,Slot7_Age&gt;D50),1,0)</f>
        <v>0</v>
      </c>
      <c r="CF50" s="1" t="n">
        <f aca="false">RJ49</f>
        <v>0</v>
      </c>
      <c r="CG50" s="1" t="n">
        <f aca="false">CD50*MIN(Slot7_Cost,CF50)</f>
        <v>0</v>
      </c>
      <c r="CH50" s="1" t="n">
        <f aca="false">CD50*Slot7_SpendLike*MIN(Slot7_Cost-CG50,BZ50)</f>
        <v>0</v>
      </c>
      <c r="CI50" s="1" t="n">
        <f aca="false">CG50+CH50</f>
        <v>0</v>
      </c>
      <c r="CJ50" s="1" t="n">
        <f aca="false">BZ50-CH50+CD50*IF(Slot7_SpendLike=1,CF50-CG50,IF(Slot7_PotFree=1,CF50,0))</f>
        <v>0</v>
      </c>
      <c r="CK50" s="1" t="n">
        <f aca="false">CA50+CD50*Slot7_BufPot*CF50</f>
        <v>0</v>
      </c>
      <c r="CL50" s="1" t="n">
        <f aca="false">IF(AND(CD50=1,Slot7_IsMfree=1),IF(CI50&gt;=Slot7_Cost-1,0,MAX(0,CB50-CI50)),CB50)</f>
        <v>0</v>
      </c>
      <c r="CM50" s="1" t="n">
        <f aca="false">CD50*(Slot7_Cost-CI50)</f>
        <v>0</v>
      </c>
      <c r="CN50" s="1" t="n">
        <f aca="false">IF(AND(Slot8_On=1,D50=Slot8_Age),1,0)</f>
        <v>0</v>
      </c>
      <c r="CO50" s="1" t="n">
        <f aca="false">IF(AND(Slot8_On=1,Slot8_Age&gt;D50),1,0)</f>
        <v>0</v>
      </c>
      <c r="CP50" s="1" t="n">
        <f aca="false">RN49</f>
        <v>0</v>
      </c>
      <c r="CQ50" s="1" t="n">
        <f aca="false">CN50*MIN(Slot8_Cost,CP50)</f>
        <v>0</v>
      </c>
      <c r="CR50" s="1" t="n">
        <f aca="false">CN50*Slot8_SpendLike*MIN(Slot8_Cost-CQ50,CJ50)</f>
        <v>0</v>
      </c>
      <c r="CS50" s="1" t="n">
        <f aca="false">CQ50+CR50</f>
        <v>0</v>
      </c>
      <c r="CT50" s="1" t="n">
        <f aca="false">CJ50-CR50+CN50*IF(Slot8_SpendLike=1,CP50-CQ50,IF(Slot8_PotFree=1,CP50,0))</f>
        <v>0</v>
      </c>
      <c r="CU50" s="1" t="n">
        <f aca="false">CK50+CN50*Slot8_BufPot*CP50</f>
        <v>0</v>
      </c>
      <c r="CV50" s="1" t="n">
        <f aca="false">IF(AND(CN50=1,Slot8_IsMfree=1),IF(CS50&gt;=Slot8_Cost-1,0,MAX(0,CL50-CS50)),CL50)</f>
        <v>0</v>
      </c>
      <c r="CW50" s="1" t="n">
        <f aca="false">CN50*(Slot8_Cost-CS50)</f>
        <v>0</v>
      </c>
      <c r="CX50" s="1" t="n">
        <f aca="false">IF(AND(Slot9_On=1,D50=Slot9_Age),1,0)</f>
        <v>0</v>
      </c>
      <c r="CY50" s="1" t="n">
        <f aca="false">IF(AND(Slot9_On=1,Slot9_Age&gt;D50),1,0)</f>
        <v>0</v>
      </c>
      <c r="CZ50" s="1" t="n">
        <f aca="false">RR49</f>
        <v>0</v>
      </c>
      <c r="DA50" s="1" t="n">
        <f aca="false">CX50*MIN(Slot9_Cost,CZ50)</f>
        <v>0</v>
      </c>
      <c r="DB50" s="1" t="n">
        <f aca="false">CX50*Slot9_SpendLike*MIN(Slot9_Cost-DA50,CT50)</f>
        <v>0</v>
      </c>
      <c r="DC50" s="1" t="n">
        <f aca="false">DA50+DB50</f>
        <v>0</v>
      </c>
      <c r="DD50" s="1" t="n">
        <f aca="false">CT50-DB50+CX50*IF(Slot9_SpendLike=1,CZ50-DA50,IF(Slot9_PotFree=1,CZ50,0))</f>
        <v>0</v>
      </c>
      <c r="DE50" s="1" t="n">
        <f aca="false">CU50+CX50*Slot9_BufPot*CZ50</f>
        <v>0</v>
      </c>
      <c r="DF50" s="1" t="n">
        <f aca="false">IF(AND(CX50=1,Slot9_IsMfree=1),IF(DC50&gt;=Slot9_Cost-1,0,MAX(0,CV50-DC50)),CV50)</f>
        <v>0</v>
      </c>
      <c r="DG50" s="1" t="n">
        <f aca="false">CX50*(Slot9_Cost-DC50)</f>
        <v>0</v>
      </c>
      <c r="DH50" s="1" t="n">
        <f aca="false">IF(AND(Slot10_On=1,D50=Slot10_Age),1,0)</f>
        <v>0</v>
      </c>
      <c r="DI50" s="1" t="n">
        <f aca="false">IF(AND(Slot10_On=1,Slot10_Age&gt;D50),1,0)</f>
        <v>0</v>
      </c>
      <c r="DJ50" s="1" t="n">
        <f aca="false">RV49</f>
        <v>0</v>
      </c>
      <c r="DK50" s="1" t="n">
        <f aca="false">DH50*MIN(Slot10_Cost,DJ50)</f>
        <v>0</v>
      </c>
      <c r="DL50" s="1" t="n">
        <f aca="false">DH50*Slot10_SpendLike*MIN(Slot10_Cost-DK50,DD50)</f>
        <v>0</v>
      </c>
      <c r="DM50" s="1" t="n">
        <f aca="false">DK50+DL50</f>
        <v>0</v>
      </c>
      <c r="DN50" s="1" t="n">
        <f aca="false">DD50-DL50+DH50*IF(Slot10_SpendLike=1,DJ50-DK50,IF(Slot10_PotFree=1,DJ50,0))</f>
        <v>0</v>
      </c>
      <c r="DO50" s="1" t="n">
        <f aca="false">DE50+DH50*Slot10_BufPot*DJ50</f>
        <v>0</v>
      </c>
      <c r="DP50" s="1" t="n">
        <f aca="false">IF(AND(DH50=1,Slot10_IsMfree=1),IF(DM50&gt;=Slot10_Cost-1,0,MAX(0,DF50-DM50)),DF50)</f>
        <v>0</v>
      </c>
      <c r="DQ50" s="1" t="n">
        <f aca="false">DH50*(Slot10_Cost-DM50)</f>
        <v>0</v>
      </c>
      <c r="DR50" s="1" t="n">
        <f aca="false">IF(AND(Slot11_On=1,D50=Slot11_Age),1,0)</f>
        <v>0</v>
      </c>
      <c r="DS50" s="1" t="n">
        <f aca="false">IF(AND(Slot11_On=1,Slot11_Age&gt;D50),1,0)</f>
        <v>0</v>
      </c>
      <c r="DT50" s="1" t="n">
        <f aca="false">RZ49</f>
        <v>0</v>
      </c>
      <c r="DU50" s="1" t="n">
        <f aca="false">DR50*MIN(Slot11_Cost,DT50)</f>
        <v>0</v>
      </c>
      <c r="DV50" s="1" t="n">
        <f aca="false">DR50*Slot11_SpendLike*MIN(Slot11_Cost-DU50,DN50)</f>
        <v>0</v>
      </c>
      <c r="DW50" s="1" t="n">
        <f aca="false">DU50+DV50</f>
        <v>0</v>
      </c>
      <c r="DX50" s="1" t="n">
        <f aca="false">DN50-DV50+DR50*IF(Slot11_SpendLike=1,DT50-DU50,IF(Slot11_PotFree=1,DT50,0))</f>
        <v>0</v>
      </c>
      <c r="DY50" s="1" t="n">
        <f aca="false">DO50+DR50*Slot11_BufPot*DT50</f>
        <v>0</v>
      </c>
      <c r="DZ50" s="1" t="n">
        <f aca="false">IF(AND(DR50=1,Slot11_IsMfree=1),IF(DW50&gt;=Slot11_Cost-1,0,MAX(0,DP50-DW50)),DP50)</f>
        <v>0</v>
      </c>
      <c r="EA50" s="1" t="n">
        <f aca="false">DR50*(Slot11_Cost-DW50)</f>
        <v>0</v>
      </c>
      <c r="EB50" s="1" t="n">
        <f aca="false">IF(AND(Slot12_On=1,D50=Slot12_Age),1,0)</f>
        <v>0</v>
      </c>
      <c r="EC50" s="1" t="n">
        <f aca="false">IF(AND(Slot12_On=1,Slot12_Age&gt;D50),1,0)</f>
        <v>0</v>
      </c>
      <c r="ED50" s="1" t="n">
        <f aca="false">SD49</f>
        <v>0</v>
      </c>
      <c r="EE50" s="1" t="n">
        <f aca="false">EB50*MIN(Slot12_Cost,ED50)</f>
        <v>0</v>
      </c>
      <c r="EF50" s="1" t="n">
        <f aca="false">EB50*Slot12_SpendLike*MIN(Slot12_Cost-EE50,DX50)</f>
        <v>0</v>
      </c>
      <c r="EG50" s="1" t="n">
        <f aca="false">EE50+EF50</f>
        <v>0</v>
      </c>
      <c r="EH50" s="1" t="n">
        <f aca="false">DX50-EF50+EB50*IF(Slot12_SpendLike=1,ED50-EE50,IF(Slot12_PotFree=1,ED50,0))</f>
        <v>0</v>
      </c>
      <c r="EI50" s="1" t="n">
        <f aca="false">DY50+EB50*Slot12_BufPot*ED50</f>
        <v>0</v>
      </c>
      <c r="EJ50" s="1" t="n">
        <f aca="false">IF(AND(EB50=1,Slot12_IsMfree=1),IF(EG50&gt;=Slot12_Cost-1,0,MAX(0,DZ50-EG50)),DZ50)</f>
        <v>0</v>
      </c>
      <c r="EK50" s="1" t="n">
        <f aca="false">EB50*(Slot12_Cost-EG50)</f>
        <v>0</v>
      </c>
      <c r="EL50" s="1" t="n">
        <f aca="false">IF(AND(Slot13_On=1,D50=Slot13_Age),1,0)</f>
        <v>0</v>
      </c>
      <c r="EM50" s="1" t="n">
        <f aca="false">IF(AND(Slot13_On=1,Slot13_Age&gt;D50),1,0)</f>
        <v>0</v>
      </c>
      <c r="EN50" s="1" t="n">
        <f aca="false">SH49</f>
        <v>0</v>
      </c>
      <c r="EO50" s="1" t="n">
        <f aca="false">EL50*MIN(Slot13_Cost,EN50)</f>
        <v>0</v>
      </c>
      <c r="EP50" s="1" t="n">
        <f aca="false">EL50*Slot13_SpendLike*MIN(Slot13_Cost-EO50,EH50)</f>
        <v>0</v>
      </c>
      <c r="EQ50" s="1" t="n">
        <f aca="false">EO50+EP50</f>
        <v>0</v>
      </c>
      <c r="ER50" s="1" t="n">
        <f aca="false">EH50-EP50+EL50*IF(Slot13_SpendLike=1,EN50-EO50,IF(Slot13_PotFree=1,EN50,0))</f>
        <v>0</v>
      </c>
      <c r="ES50" s="1" t="n">
        <f aca="false">EI50+EL50*Slot13_BufPot*EN50</f>
        <v>0</v>
      </c>
      <c r="ET50" s="1" t="n">
        <f aca="false">IF(AND(EL50=1,Slot13_IsMfree=1),IF(EQ50&gt;=Slot13_Cost-1,0,MAX(0,EJ50-EQ50)),EJ50)</f>
        <v>0</v>
      </c>
      <c r="EU50" s="1" t="n">
        <f aca="false">EL50*(Slot13_Cost-EQ50)</f>
        <v>0</v>
      </c>
      <c r="EV50" s="1" t="n">
        <f aca="false">IF(AND(Slot14_On=1,D50=Slot14_Age),1,0)</f>
        <v>0</v>
      </c>
      <c r="EW50" s="1" t="n">
        <f aca="false">IF(AND(Slot14_On=1,Slot14_Age&gt;D50),1,0)</f>
        <v>0</v>
      </c>
      <c r="EX50" s="1" t="n">
        <f aca="false">SL49</f>
        <v>0</v>
      </c>
      <c r="EY50" s="1" t="n">
        <f aca="false">EV50*MIN(Slot14_Cost,EX50)</f>
        <v>0</v>
      </c>
      <c r="EZ50" s="1" t="n">
        <f aca="false">EV50*Slot14_SpendLike*MIN(Slot14_Cost-EY50,ER50)</f>
        <v>0</v>
      </c>
      <c r="FA50" s="1" t="n">
        <f aca="false">EY50+EZ50</f>
        <v>0</v>
      </c>
      <c r="FB50" s="1" t="n">
        <f aca="false">ER50-EZ50+EV50*IF(Slot14_SpendLike=1,EX50-EY50,IF(Slot14_PotFree=1,EX50,0))</f>
        <v>0</v>
      </c>
      <c r="FC50" s="1" t="n">
        <f aca="false">ES50+EV50*Slot14_BufPot*EX50</f>
        <v>0</v>
      </c>
      <c r="FD50" s="1" t="n">
        <f aca="false">IF(AND(EV50=1,Slot14_IsMfree=1),IF(FA50&gt;=Slot14_Cost-1,0,MAX(0,ET50-FA50)),ET50)</f>
        <v>0</v>
      </c>
      <c r="FE50" s="1" t="n">
        <f aca="false">EV50*(Slot14_Cost-FA50)</f>
        <v>0</v>
      </c>
      <c r="FF50" s="1" t="n">
        <f aca="false">IF(AND(Slot15_On=1,D50=Slot15_Age),1,0)</f>
        <v>0</v>
      </c>
      <c r="FG50" s="1" t="n">
        <f aca="false">IF(AND(Slot15_On=1,Slot15_Age&gt;D50),1,0)</f>
        <v>0</v>
      </c>
      <c r="FH50" s="1" t="n">
        <f aca="false">SP49</f>
        <v>0</v>
      </c>
      <c r="FI50" s="1" t="n">
        <f aca="false">FF50*MIN(Slot15_Cost,FH50)</f>
        <v>0</v>
      </c>
      <c r="FJ50" s="1" t="n">
        <f aca="false">FF50*Slot15_SpendLike*MIN(Slot15_Cost-FI50,FB50)</f>
        <v>0</v>
      </c>
      <c r="FK50" s="1" t="n">
        <f aca="false">FI50+FJ50</f>
        <v>0</v>
      </c>
      <c r="FL50" s="1" t="n">
        <f aca="false">FB50-FJ50+FF50*IF(Slot15_SpendLike=1,FH50-FI50,IF(Slot15_PotFree=1,FH50,0))</f>
        <v>0</v>
      </c>
      <c r="FM50" s="1" t="n">
        <f aca="false">FC50+FF50*Slot15_BufPot*FH50</f>
        <v>0</v>
      </c>
      <c r="FN50" s="1" t="n">
        <f aca="false">IF(AND(FF50=1,Slot15_IsMfree=1),IF(FK50&gt;=Slot15_Cost-1,0,MAX(0,FD50-FK50)),FD50)</f>
        <v>0</v>
      </c>
      <c r="FO50" s="1" t="n">
        <f aca="false">FF50*(Slot15_Cost-FK50)</f>
        <v>0</v>
      </c>
      <c r="FP50" s="1" t="n">
        <f aca="false">IF(AND(Slot16_On=1,D50=Slot16_Age),1,0)</f>
        <v>0</v>
      </c>
      <c r="FQ50" s="1" t="n">
        <f aca="false">IF(AND(Slot16_On=1,Slot16_Age&gt;D50),1,0)</f>
        <v>0</v>
      </c>
      <c r="FR50" s="1" t="n">
        <f aca="false">ST49</f>
        <v>0</v>
      </c>
      <c r="FS50" s="1" t="n">
        <f aca="false">FP50*MIN(Slot16_Cost,FR50)</f>
        <v>0</v>
      </c>
      <c r="FT50" s="1" t="n">
        <f aca="false">FP50*Slot16_SpendLike*MIN(Slot16_Cost-FS50,FL50)</f>
        <v>0</v>
      </c>
      <c r="FU50" s="1" t="n">
        <f aca="false">FS50+FT50</f>
        <v>0</v>
      </c>
      <c r="FV50" s="1" t="n">
        <f aca="false">FL50-FT50+FP50*IF(Slot16_SpendLike=1,FR50-FS50,IF(Slot16_PotFree=1,FR50,0))</f>
        <v>0</v>
      </c>
      <c r="FW50" s="1" t="n">
        <f aca="false">FM50+FP50*Slot16_BufPot*FR50</f>
        <v>0</v>
      </c>
      <c r="FX50" s="1" t="n">
        <f aca="false">IF(AND(FP50=1,Slot16_IsMfree=1),IF(FU50&gt;=Slot16_Cost-1,0,MAX(0,FN50-FU50)),FN50)</f>
        <v>0</v>
      </c>
      <c r="FY50" s="1" t="n">
        <f aca="false">FP50*(Slot16_Cost-FU50)</f>
        <v>0</v>
      </c>
      <c r="FZ50" s="1" t="n">
        <f aca="false">IF(AND(Slot17_On=1,D50=Slot17_Age),1,0)</f>
        <v>0</v>
      </c>
      <c r="GA50" s="1" t="n">
        <f aca="false">IF(AND(Slot17_On=1,Slot17_Age&gt;D50),1,0)</f>
        <v>0</v>
      </c>
      <c r="GB50" s="1" t="n">
        <f aca="false">SX49</f>
        <v>0</v>
      </c>
      <c r="GC50" s="1" t="n">
        <f aca="false">FZ50*MIN(Slot17_Cost,GB50)</f>
        <v>0</v>
      </c>
      <c r="GD50" s="1" t="n">
        <f aca="false">FZ50*Slot17_SpendLike*MIN(Slot17_Cost-GC50,FV50)</f>
        <v>0</v>
      </c>
      <c r="GE50" s="1" t="n">
        <f aca="false">GC50+GD50</f>
        <v>0</v>
      </c>
      <c r="GF50" s="1" t="n">
        <f aca="false">FV50-GD50+FZ50*IF(Slot17_SpendLike=1,GB50-GC50,IF(Slot17_PotFree=1,GB50,0))</f>
        <v>0</v>
      </c>
      <c r="GG50" s="1" t="n">
        <f aca="false">FW50+FZ50*Slot17_BufPot*GB50</f>
        <v>0</v>
      </c>
      <c r="GH50" s="1" t="n">
        <f aca="false">IF(AND(FZ50=1,Slot17_IsMfree=1),IF(GE50&gt;=Slot17_Cost-1,0,MAX(0,FX50-GE50)),FX50)</f>
        <v>0</v>
      </c>
      <c r="GI50" s="1" t="n">
        <f aca="false">FZ50*(Slot17_Cost-GE50)</f>
        <v>0</v>
      </c>
      <c r="GJ50" s="1" t="n">
        <f aca="false">IF(AND(Slot18_On=1,D50=Slot18_Age),1,0)</f>
        <v>0</v>
      </c>
      <c r="GK50" s="1" t="n">
        <f aca="false">IF(AND(Slot18_On=1,Slot18_Age&gt;D50),1,0)</f>
        <v>0</v>
      </c>
      <c r="GL50" s="1" t="n">
        <f aca="false">TB49</f>
        <v>0</v>
      </c>
      <c r="GM50" s="1" t="n">
        <f aca="false">GJ50*MIN(Slot18_Cost,GL50)</f>
        <v>0</v>
      </c>
      <c r="GN50" s="1" t="n">
        <f aca="false">GJ50*Slot18_SpendLike*MIN(Slot18_Cost-GM50,GF50)</f>
        <v>0</v>
      </c>
      <c r="GO50" s="1" t="n">
        <f aca="false">GM50+GN50</f>
        <v>0</v>
      </c>
      <c r="GP50" s="1" t="n">
        <f aca="false">GF50-GN50+GJ50*IF(Slot18_SpendLike=1,GL50-GM50,IF(Slot18_PotFree=1,GL50,0))</f>
        <v>0</v>
      </c>
      <c r="GQ50" s="1" t="n">
        <f aca="false">GG50+GJ50*Slot18_BufPot*GL50</f>
        <v>0</v>
      </c>
      <c r="GR50" s="1" t="n">
        <f aca="false">IF(AND(GJ50=1,Slot18_IsMfree=1),IF(GO50&gt;=Slot18_Cost-1,0,MAX(0,GH50-GO50)),GH50)</f>
        <v>0</v>
      </c>
      <c r="GS50" s="1" t="n">
        <f aca="false">GJ50*(Slot18_Cost-GO50)</f>
        <v>0</v>
      </c>
      <c r="GT50" s="1" t="n">
        <f aca="false">IF(AND(Slot19_On=1,D50=Slot19_Age),1,0)</f>
        <v>0</v>
      </c>
      <c r="GU50" s="1" t="n">
        <f aca="false">IF(AND(Slot19_On=1,Slot19_Age&gt;D50),1,0)</f>
        <v>0</v>
      </c>
      <c r="GV50" s="1" t="n">
        <f aca="false">TF49</f>
        <v>0</v>
      </c>
      <c r="GW50" s="1" t="n">
        <f aca="false">GT50*MIN(Slot19_Cost,GV50)</f>
        <v>0</v>
      </c>
      <c r="GX50" s="1" t="n">
        <f aca="false">GT50*Slot19_SpendLike*MIN(Slot19_Cost-GW50,GP50)</f>
        <v>0</v>
      </c>
      <c r="GY50" s="1" t="n">
        <f aca="false">GW50+GX50</f>
        <v>0</v>
      </c>
      <c r="GZ50" s="1" t="n">
        <f aca="false">GP50-GX50+GT50*IF(Slot19_SpendLike=1,GV50-GW50,IF(Slot19_PotFree=1,GV50,0))</f>
        <v>0</v>
      </c>
      <c r="HA50" s="1" t="n">
        <f aca="false">GQ50+GT50*Slot19_BufPot*GV50</f>
        <v>0</v>
      </c>
      <c r="HB50" s="1" t="n">
        <f aca="false">IF(AND(GT50=1,Slot19_IsMfree=1),IF(GY50&gt;=Slot19_Cost-1,0,MAX(0,GR50-GY50)),GR50)</f>
        <v>0</v>
      </c>
      <c r="HC50" s="1" t="n">
        <f aca="false">GT50*(Slot19_Cost-GY50)</f>
        <v>0</v>
      </c>
      <c r="HD50" s="1" t="n">
        <f aca="false">IF(AND(Slot20_On=1,D50=Slot20_Age),1,0)</f>
        <v>0</v>
      </c>
      <c r="HE50" s="1" t="n">
        <f aca="false">IF(AND(Slot20_On=1,Slot20_Age&gt;D50),1,0)</f>
        <v>0</v>
      </c>
      <c r="HF50" s="1" t="n">
        <f aca="false">TJ49</f>
        <v>0</v>
      </c>
      <c r="HG50" s="1" t="n">
        <f aca="false">HD50*MIN(Slot20_Cost,HF50)</f>
        <v>0</v>
      </c>
      <c r="HH50" s="1" t="n">
        <f aca="false">HD50*Slot20_SpendLike*MIN(Slot20_Cost-HG50,GZ50)</f>
        <v>0</v>
      </c>
      <c r="HI50" s="1" t="n">
        <f aca="false">HG50+HH50</f>
        <v>0</v>
      </c>
      <c r="HJ50" s="1" t="n">
        <f aca="false">GZ50-HH50+HD50*IF(Slot20_SpendLike=1,HF50-HG50,IF(Slot20_PotFree=1,HF50,0))</f>
        <v>0</v>
      </c>
      <c r="HK50" s="1" t="n">
        <f aca="false">HA50+HD50*Slot20_BufPot*HF50</f>
        <v>0</v>
      </c>
      <c r="HL50" s="1" t="n">
        <f aca="false">IF(AND(HD50=1,Slot20_IsMfree=1),IF(HI50&gt;=Slot20_Cost-1,0,MAX(0,HB50-HI50)),HB50)</f>
        <v>0</v>
      </c>
      <c r="HM50" s="1" t="n">
        <f aca="false">HD50*(Slot20_Cost-HI50)</f>
        <v>0</v>
      </c>
      <c r="HN50" s="1" t="n">
        <f aca="false">U50*Slot1_SpendLike*Z50+AF50*Slot2_SpendLike*AK50+AP50*Slot3_SpendLike*AU50+AZ50*Slot4_SpendLike*BE50+BJ50*Slot5_SpendLike*BO50+BT50*Slot6_SpendLike*BY50+CD50*Slot7_SpendLike*CI50+CN50*Slot8_SpendLike*CS50+CX50*Slot9_SpendLike*DC50+DH50*Slot10_SpendLike*DM50+DR50*Slot11_SpendLike*DW50+EB50*Slot12_SpendLike*EG50+EL50*Slot13_SpendLike*EQ50+EV50*Slot14_SpendLike*FA50+FF50*Slot15_SpendLike*FK50+FP50*Slot16_SpendLike*FU50+FZ50*Slot17_SpendLike*GE50+GJ50*Slot18_SpendLike*GO50+GT50*Slot19_SpendLike*GY50+HD50*Slot20_SpendLike*HI50</f>
        <v>0</v>
      </c>
      <c r="HO50" s="1" t="n">
        <f aca="false">AD50+AO50+AY50+BI50+BS50+CC50+CM50+CW50+DG50+DQ50+EA50+EK50+EU50+FE50+FO50+FY50+GI50+GS50+HC50+HM50</f>
        <v>0</v>
      </c>
      <c r="HP50" s="1" t="n">
        <f aca="false">U50*Slot1_Cost+AF50*Slot2_Cost+AP50*Slot3_Cost+AZ50*Slot4_Cost+BJ50*Slot5_Cost+BT50*Slot6_Cost+CD50*Slot7_Cost+CN50*Slot8_Cost+CX50*Slot9_Cost+DH50*Slot10_Cost+DR50*Slot11_Cost+EB50*Slot12_Cost+EL50*Slot13_Cost+EV50*Slot14_Cost+FF50*Slot15_Cost+FP50*Slot16_Cost+FZ50*Slot17_Cost+GJ50*Slot18_Cost+GT50*Slot19_Cost+HD50*Slot20_Cost</f>
        <v>0</v>
      </c>
      <c r="HQ50" s="1" t="n">
        <f aca="false">HL50</f>
        <v>0</v>
      </c>
      <c r="HR50" s="1" t="n">
        <f aca="false">G50-H50-R50</f>
        <v>0</v>
      </c>
      <c r="HS50" s="1" t="n">
        <f aca="false">IF(B50=0,IF(AND(Has_q6=1,In_q6=4),PR_ShareVaries*(MAX(0,HR50)/12),MIN(IF(Has_q6=1,CHOOSE(In_q6+1,PR_SaveB1,PR_SaveB2,PR_SaveB3,PR_SaveB4,0),AS_NoAnswer),AS_SaveShare*(MAX(0,HR50)/12))),HS49)</f>
        <v>0</v>
      </c>
      <c r="HT50" s="1" t="n">
        <f aca="false">IF(HR50&gt;=0,1,0)</f>
        <v>1</v>
      </c>
      <c r="HU50" s="1" t="n">
        <f aca="false">MAX(0,HR50/12/E50)</f>
        <v>0</v>
      </c>
      <c r="HV50" s="1" t="n">
        <f aca="false">IF(AND(Has_q6=1,In_q6=4),PR_ShareVaries*(HU50),MIN(IF(Has_q6=1,CHOOSE(In_q6+1,PR_SaveB1,PR_SaveB2,PR_SaveB3,PR_SaveB4,0),AS_NoAnswer),AS_SaveShare*(HU50)))</f>
        <v>0</v>
      </c>
      <c r="HW50" s="1" t="n">
        <f aca="false">IF(Has_saveM=1,IF(In_saveUp="Yes",1,IF(In_saveUp="No",0,IF(In_saveM&gt;=HS50-0.5,1,0))),0)</f>
        <v>0</v>
      </c>
      <c r="HX50" s="1" t="n">
        <f aca="false">IF(Has_saveM=1,MIN(HU50,IF(HW50=1,MAX(In_saveM,HV50),MIN(In_saveM,HV50))),HV50)</f>
        <v>0</v>
      </c>
      <c r="HY50" s="1" t="n">
        <f aca="false">IF(F50=1,HX50*12*E50,0)</f>
        <v>0</v>
      </c>
      <c r="HZ50" s="1" t="n">
        <f aca="false">MAX(0,HY50+IF(AND(WI_Retire=0,WI_M&lt;0,F50=1),WI_M*12*E50,0))</f>
        <v>0</v>
      </c>
      <c r="IA50" s="1" t="n">
        <f aca="false">Slot1_IsWG*V50+Slot2_IsWG*AG50+Slot3_IsWG*AQ50+Slot4_IsWG*BA50+Slot5_IsWG*BK50+Slot6_IsWG*BU50+Slot7_IsWG*CE50+Slot8_IsWG*CO50+Slot9_IsWG*CY50+Slot10_IsWG*DI50+Slot11_IsWG*DS50+Slot12_IsWG*EC50+Slot13_IsWG*EM50+Slot14_IsWG*EW50+Slot15_IsWG*FG50+Slot16_IsWG*FQ50+Slot17_IsWG*GA50+Slot18_IsWG*GK50+Slot19_IsWG*GU50+Slot20_IsWG*HE50</f>
        <v>0</v>
      </c>
      <c r="IB50" s="1" t="n">
        <f aca="false">IF(AND(WI_Retire=0,WI_M&gt;0,F50=1,IA50&gt;=1),WI_M*12*E50,0)</f>
        <v>0</v>
      </c>
      <c r="IC50" s="1" t="n">
        <f aca="false">IF(HT50=1,MIN(HZ50,HR50),0)</f>
        <v>0</v>
      </c>
      <c r="ID50" s="1" t="n">
        <f aca="false">IF(HT50=1,MIN(IB50,HR50-IC50),0)</f>
        <v>0</v>
      </c>
      <c r="IE50" s="1" t="n">
        <f aca="false">IF(V50=1,IF(ABS((1+AS_Wage)/(1+Slot1_Rate)-1)&lt;0.000000000001,(Slot1_Age-D50)*(1+Slot1_Rate)^(Slot1_Age-D50),(1+Slot1_Rate)^(Slot1_Age-D50)*(1-((1+AS_Wage)/(1+Slot1_Rate))^(Slot1_Age-D50))/(1-(1+AS_Wage)/(1+Slot1_Rate))),1)</f>
        <v>1</v>
      </c>
      <c r="IF50" s="1" t="n">
        <f aca="false">IF(AND(HT50=1,ID50&gt;0,Slot1_IsWG=1,V50=1),MAX(0,(Slot1_Cost-W50*(1+Slot1_Rate)^(Slot1_Age-D50))/IE50),0)</f>
        <v>0</v>
      </c>
      <c r="IG50" s="1" t="n">
        <f aca="false">IF(AND(HT50=1,ID50&gt;0,Slot1_IsWG=1,V50=1),MIN(ID50,IF50),0)</f>
        <v>0</v>
      </c>
      <c r="IH50" s="1" t="n">
        <f aca="false">W50+IG50</f>
        <v>0</v>
      </c>
      <c r="II50" s="1" t="n">
        <f aca="false">IF(V50=1,MAX(0,(Slot1_Cost-IH50*(1+Slot1_Rate)^(Slot1_Age-D50))/IE50),0)</f>
        <v>0</v>
      </c>
      <c r="IJ50" s="1" t="n">
        <f aca="false">IF(V50=1,MAX(0,(Slot1_Cost-W50*(1+Slot1_Rate)^(Slot1_Age-D50))/IE50),0)</f>
        <v>0</v>
      </c>
      <c r="IK50" s="1" t="n">
        <f aca="false">IF(AND(HT50=1,V50=1),MIN(IC50,II50),0)</f>
        <v>0</v>
      </c>
      <c r="IL50" s="1" t="n">
        <f aca="false">IC50-IK50</f>
        <v>0</v>
      </c>
      <c r="IM50" s="1" t="n">
        <f aca="false">IF(AG50=1,IF(ABS((1+AS_Wage)/(1+Slot2_Rate)-1)&lt;0.000000000001,(Slot2_Age-D50)*(1+Slot2_Rate)^(Slot2_Age-D50),(1+Slot2_Rate)^(Slot2_Age-D50)*(1-((1+AS_Wage)/(1+Slot2_Rate))^(Slot2_Age-D50))/(1-(1+AS_Wage)/(1+Slot2_Rate))),1)</f>
        <v>1</v>
      </c>
      <c r="IN50" s="1" t="n">
        <f aca="false">IF(AND(HT50=1,ID50&gt;0,Slot2_IsWG=1,AG50=1),MAX(0,(Slot2_Cost-AH50*(1+Slot2_Rate)^(Slot2_Age-D50))/IM50),0)</f>
        <v>0</v>
      </c>
      <c r="IO50" s="1" t="n">
        <f aca="false">IF(AND(HT50=1,ID50&gt;0,Slot2_IsWG=1,AG50=1),MIN(ID50,IN50),0)</f>
        <v>0</v>
      </c>
      <c r="IP50" s="1" t="n">
        <f aca="false">AH50+IO50</f>
        <v>0</v>
      </c>
      <c r="IQ50" s="1" t="n">
        <f aca="false">IF(AG50=1,MAX(0,(Slot2_Cost-IP50*(1+Slot2_Rate)^(Slot2_Age-D50))/IM50),0)</f>
        <v>0</v>
      </c>
      <c r="IR50" s="1" t="n">
        <f aca="false">IF(AG50=1,MAX(0,(Slot2_Cost-AH50*(1+Slot2_Rate)^(Slot2_Age-D50))/IM50),0)</f>
        <v>0</v>
      </c>
      <c r="IS50" s="1" t="n">
        <f aca="false">IF(AND(HT50=1,AG50=1),MIN(IL50,IQ50),0)</f>
        <v>0</v>
      </c>
      <c r="IT50" s="1" t="n">
        <f aca="false">IL50-IS50</f>
        <v>0</v>
      </c>
      <c r="IU50" s="1" t="n">
        <f aca="false">IF(AQ50=1,IF(ABS((1+AS_Wage)/(1+Slot3_Rate)-1)&lt;0.000000000001,(Slot3_Age-D50)*(1+Slot3_Rate)^(Slot3_Age-D50),(1+Slot3_Rate)^(Slot3_Age-D50)*(1-((1+AS_Wage)/(1+Slot3_Rate))^(Slot3_Age-D50))/(1-(1+AS_Wage)/(1+Slot3_Rate))),1)</f>
        <v>1</v>
      </c>
      <c r="IV50" s="1" t="n">
        <f aca="false">IF(AND(HT50=1,ID50&gt;0,Slot3_IsWG=1,AQ50=1),MAX(0,(Slot3_Cost-AR50*(1+Slot3_Rate)^(Slot3_Age-D50))/IU50),0)</f>
        <v>0</v>
      </c>
      <c r="IW50" s="1" t="n">
        <f aca="false">IF(AND(HT50=1,ID50&gt;0,Slot3_IsWG=1,AQ50=1),MIN(ID50,IV50),0)</f>
        <v>0</v>
      </c>
      <c r="IX50" s="1" t="n">
        <f aca="false">AR50+IW50</f>
        <v>0</v>
      </c>
      <c r="IY50" s="1" t="n">
        <f aca="false">IF(AQ50=1,MAX(0,(Slot3_Cost-IX50*(1+Slot3_Rate)^(Slot3_Age-D50))/IU50),0)</f>
        <v>0</v>
      </c>
      <c r="IZ50" s="1" t="n">
        <f aca="false">IF(AQ50=1,MAX(0,(Slot3_Cost-AR50*(1+Slot3_Rate)^(Slot3_Age-D50))/IU50),0)</f>
        <v>0</v>
      </c>
      <c r="JA50" s="1" t="n">
        <f aca="false">IF(AND(HT50=1,AQ50=1),MIN(IT50,IY50),0)</f>
        <v>0</v>
      </c>
      <c r="JB50" s="1" t="n">
        <f aca="false">IT50-JA50</f>
        <v>0</v>
      </c>
      <c r="JC50" s="1" t="n">
        <f aca="false">IF(BA50=1,IF(ABS((1+AS_Wage)/(1+Slot4_Rate)-1)&lt;0.000000000001,(Slot4_Age-D50)*(1+Slot4_Rate)^(Slot4_Age-D50),(1+Slot4_Rate)^(Slot4_Age-D50)*(1-((1+AS_Wage)/(1+Slot4_Rate))^(Slot4_Age-D50))/(1-(1+AS_Wage)/(1+Slot4_Rate))),1)</f>
        <v>1</v>
      </c>
      <c r="JD50" s="1" t="n">
        <f aca="false">IF(AND(HT50=1,ID50&gt;0,Slot4_IsWG=1,BA50=1),MAX(0,(Slot4_Cost-BB50*(1+Slot4_Rate)^(Slot4_Age-D50))/JC50),0)</f>
        <v>0</v>
      </c>
      <c r="JE50" s="1" t="n">
        <f aca="false">IF(AND(HT50=1,ID50&gt;0,Slot4_IsWG=1,BA50=1),MIN(ID50,JD50),0)</f>
        <v>0</v>
      </c>
      <c r="JF50" s="1" t="n">
        <f aca="false">BB50+JE50</f>
        <v>0</v>
      </c>
      <c r="JG50" s="1" t="n">
        <f aca="false">IF(BA50=1,MAX(0,(Slot4_Cost-JF50*(1+Slot4_Rate)^(Slot4_Age-D50))/JC50),0)</f>
        <v>0</v>
      </c>
      <c r="JH50" s="1" t="n">
        <f aca="false">IF(BA50=1,MAX(0,(Slot4_Cost-BB50*(1+Slot4_Rate)^(Slot4_Age-D50))/JC50),0)</f>
        <v>0</v>
      </c>
      <c r="JI50" s="1" t="n">
        <f aca="false">IF(AND(HT50=1,BA50=1),MIN(JB50,JG50),0)</f>
        <v>0</v>
      </c>
      <c r="JJ50" s="1" t="n">
        <f aca="false">JB50-JI50</f>
        <v>0</v>
      </c>
      <c r="JK50" s="1" t="n">
        <f aca="false">IF(BK50=1,IF(ABS((1+AS_Wage)/(1+Slot5_Rate)-1)&lt;0.000000000001,(Slot5_Age-D50)*(1+Slot5_Rate)^(Slot5_Age-D50),(1+Slot5_Rate)^(Slot5_Age-D50)*(1-((1+AS_Wage)/(1+Slot5_Rate))^(Slot5_Age-D50))/(1-(1+AS_Wage)/(1+Slot5_Rate))),1)</f>
        <v>1</v>
      </c>
      <c r="JL50" s="1" t="n">
        <f aca="false">IF(AND(HT50=1,ID50&gt;0,Slot5_IsWG=1,BK50=1),MAX(0,(Slot5_Cost-BL50*(1+Slot5_Rate)^(Slot5_Age-D50))/JK50),0)</f>
        <v>0</v>
      </c>
      <c r="JM50" s="1" t="n">
        <f aca="false">IF(AND(HT50=1,ID50&gt;0,Slot5_IsWG=1,BK50=1),MIN(ID50,JL50),0)</f>
        <v>0</v>
      </c>
      <c r="JN50" s="1" t="n">
        <f aca="false">BL50+JM50</f>
        <v>0</v>
      </c>
      <c r="JO50" s="1" t="n">
        <f aca="false">IF(BK50=1,MAX(0,(Slot5_Cost-JN50*(1+Slot5_Rate)^(Slot5_Age-D50))/JK50),0)</f>
        <v>0</v>
      </c>
      <c r="JP50" s="1" t="n">
        <f aca="false">IF(BK50=1,MAX(0,(Slot5_Cost-BL50*(1+Slot5_Rate)^(Slot5_Age-D50))/JK50),0)</f>
        <v>0</v>
      </c>
      <c r="JQ50" s="1" t="n">
        <f aca="false">IF(AND(HT50=1,BK50=1),MIN(JJ50,JO50),0)</f>
        <v>0</v>
      </c>
      <c r="JR50" s="1" t="n">
        <f aca="false">JJ50-JQ50</f>
        <v>0</v>
      </c>
      <c r="JS50" s="1" t="n">
        <f aca="false">IF(BU50=1,IF(ABS((1+AS_Wage)/(1+Slot6_Rate)-1)&lt;0.000000000001,(Slot6_Age-D50)*(1+Slot6_Rate)^(Slot6_Age-D50),(1+Slot6_Rate)^(Slot6_Age-D50)*(1-((1+AS_Wage)/(1+Slot6_Rate))^(Slot6_Age-D50))/(1-(1+AS_Wage)/(1+Slot6_Rate))),1)</f>
        <v>1</v>
      </c>
      <c r="JT50" s="1" t="n">
        <f aca="false">IF(AND(HT50=1,ID50&gt;0,Slot6_IsWG=1,BU50=1),MAX(0,(Slot6_Cost-BV50*(1+Slot6_Rate)^(Slot6_Age-D50))/JS50),0)</f>
        <v>0</v>
      </c>
      <c r="JU50" s="1" t="n">
        <f aca="false">IF(AND(HT50=1,ID50&gt;0,Slot6_IsWG=1,BU50=1),MIN(ID50,JT50),0)</f>
        <v>0</v>
      </c>
      <c r="JV50" s="1" t="n">
        <f aca="false">BV50+JU50</f>
        <v>0</v>
      </c>
      <c r="JW50" s="1" t="n">
        <f aca="false">IF(BU50=1,MAX(0,(Slot6_Cost-JV50*(1+Slot6_Rate)^(Slot6_Age-D50))/JS50),0)</f>
        <v>0</v>
      </c>
      <c r="JX50" s="1" t="n">
        <f aca="false">IF(BU50=1,MAX(0,(Slot6_Cost-BV50*(1+Slot6_Rate)^(Slot6_Age-D50))/JS50),0)</f>
        <v>0</v>
      </c>
      <c r="JY50" s="1" t="n">
        <f aca="false">IF(AND(HT50=1,BU50=1),MIN(JR50,JW50),0)</f>
        <v>0</v>
      </c>
      <c r="JZ50" s="1" t="n">
        <f aca="false">JR50-JY50</f>
        <v>0</v>
      </c>
      <c r="KA50" s="1" t="n">
        <f aca="false">IF(CE50=1,IF(ABS((1+AS_Wage)/(1+Slot7_Rate)-1)&lt;0.000000000001,(Slot7_Age-D50)*(1+Slot7_Rate)^(Slot7_Age-D50),(1+Slot7_Rate)^(Slot7_Age-D50)*(1-((1+AS_Wage)/(1+Slot7_Rate))^(Slot7_Age-D50))/(1-(1+AS_Wage)/(1+Slot7_Rate))),1)</f>
        <v>1</v>
      </c>
      <c r="KB50" s="1" t="n">
        <f aca="false">IF(AND(HT50=1,ID50&gt;0,Slot7_IsWG=1,CE50=1),MAX(0,(Slot7_Cost-CF50*(1+Slot7_Rate)^(Slot7_Age-D50))/KA50),0)</f>
        <v>0</v>
      </c>
      <c r="KC50" s="1" t="n">
        <f aca="false">IF(AND(HT50=1,ID50&gt;0,Slot7_IsWG=1,CE50=1),MIN(ID50,KB50),0)</f>
        <v>0</v>
      </c>
      <c r="KD50" s="1" t="n">
        <f aca="false">CF50+KC50</f>
        <v>0</v>
      </c>
      <c r="KE50" s="1" t="n">
        <f aca="false">IF(CE50=1,MAX(0,(Slot7_Cost-KD50*(1+Slot7_Rate)^(Slot7_Age-D50))/KA50),0)</f>
        <v>0</v>
      </c>
      <c r="KF50" s="1" t="n">
        <f aca="false">IF(CE50=1,MAX(0,(Slot7_Cost-CF50*(1+Slot7_Rate)^(Slot7_Age-D50))/KA50),0)</f>
        <v>0</v>
      </c>
      <c r="KG50" s="1" t="n">
        <f aca="false">IF(AND(HT50=1,CE50=1),MIN(JZ50,KE50),0)</f>
        <v>0</v>
      </c>
      <c r="KH50" s="1" t="n">
        <f aca="false">JZ50-KG50</f>
        <v>0</v>
      </c>
      <c r="KI50" s="1" t="n">
        <f aca="false">IF(CO50=1,IF(ABS((1+AS_Wage)/(1+Slot8_Rate)-1)&lt;0.000000000001,(Slot8_Age-D50)*(1+Slot8_Rate)^(Slot8_Age-D50),(1+Slot8_Rate)^(Slot8_Age-D50)*(1-((1+AS_Wage)/(1+Slot8_Rate))^(Slot8_Age-D50))/(1-(1+AS_Wage)/(1+Slot8_Rate))),1)</f>
        <v>1</v>
      </c>
      <c r="KJ50" s="1" t="n">
        <f aca="false">IF(AND(HT50=1,ID50&gt;0,Slot8_IsWG=1,CO50=1),MAX(0,(Slot8_Cost-CP50*(1+Slot8_Rate)^(Slot8_Age-D50))/KI50),0)</f>
        <v>0</v>
      </c>
      <c r="KK50" s="1" t="n">
        <f aca="false">IF(AND(HT50=1,ID50&gt;0,Slot8_IsWG=1,CO50=1),MIN(ID50,KJ50),0)</f>
        <v>0</v>
      </c>
      <c r="KL50" s="1" t="n">
        <f aca="false">CP50+KK50</f>
        <v>0</v>
      </c>
      <c r="KM50" s="1" t="n">
        <f aca="false">IF(CO50=1,MAX(0,(Slot8_Cost-KL50*(1+Slot8_Rate)^(Slot8_Age-D50))/KI50),0)</f>
        <v>0</v>
      </c>
      <c r="KN50" s="1" t="n">
        <f aca="false">IF(CO50=1,MAX(0,(Slot8_Cost-CP50*(1+Slot8_Rate)^(Slot8_Age-D50))/KI50),0)</f>
        <v>0</v>
      </c>
      <c r="KO50" s="1" t="n">
        <f aca="false">IF(AND(HT50=1,CO50=1),MIN(KH50,KM50),0)</f>
        <v>0</v>
      </c>
      <c r="KP50" s="1" t="n">
        <f aca="false">KH50-KO50</f>
        <v>0</v>
      </c>
      <c r="KQ50" s="1" t="n">
        <f aca="false">IF(CY50=1,IF(ABS((1+AS_Wage)/(1+Slot9_Rate)-1)&lt;0.000000000001,(Slot9_Age-D50)*(1+Slot9_Rate)^(Slot9_Age-D50),(1+Slot9_Rate)^(Slot9_Age-D50)*(1-((1+AS_Wage)/(1+Slot9_Rate))^(Slot9_Age-D50))/(1-(1+AS_Wage)/(1+Slot9_Rate))),1)</f>
        <v>1</v>
      </c>
      <c r="KR50" s="1" t="n">
        <f aca="false">IF(AND(HT50=1,ID50&gt;0,Slot9_IsWG=1,CY50=1),MAX(0,(Slot9_Cost-CZ50*(1+Slot9_Rate)^(Slot9_Age-D50))/KQ50),0)</f>
        <v>0</v>
      </c>
      <c r="KS50" s="1" t="n">
        <f aca="false">IF(AND(HT50=1,ID50&gt;0,Slot9_IsWG=1,CY50=1),MIN(ID50,KR50),0)</f>
        <v>0</v>
      </c>
      <c r="KT50" s="1" t="n">
        <f aca="false">CZ50+KS50</f>
        <v>0</v>
      </c>
      <c r="KU50" s="1" t="n">
        <f aca="false">IF(CY50=1,MAX(0,(Slot9_Cost-KT50*(1+Slot9_Rate)^(Slot9_Age-D50))/KQ50),0)</f>
        <v>0</v>
      </c>
      <c r="KV50" s="1" t="n">
        <f aca="false">IF(CY50=1,MAX(0,(Slot9_Cost-CZ50*(1+Slot9_Rate)^(Slot9_Age-D50))/KQ50),0)</f>
        <v>0</v>
      </c>
      <c r="KW50" s="1" t="n">
        <f aca="false">IF(AND(HT50=1,CY50=1),MIN(KP50,KU50),0)</f>
        <v>0</v>
      </c>
      <c r="KX50" s="1" t="n">
        <f aca="false">KP50-KW50</f>
        <v>0</v>
      </c>
      <c r="KY50" s="1" t="n">
        <f aca="false">IF(DI50=1,IF(ABS((1+AS_Wage)/(1+Slot10_Rate)-1)&lt;0.000000000001,(Slot10_Age-D50)*(1+Slot10_Rate)^(Slot10_Age-D50),(1+Slot10_Rate)^(Slot10_Age-D50)*(1-((1+AS_Wage)/(1+Slot10_Rate))^(Slot10_Age-D50))/(1-(1+AS_Wage)/(1+Slot10_Rate))),1)</f>
        <v>1</v>
      </c>
      <c r="KZ50" s="1" t="n">
        <f aca="false">IF(AND(HT50=1,ID50&gt;0,Slot10_IsWG=1,DI50=1),MAX(0,(Slot10_Cost-DJ50*(1+Slot10_Rate)^(Slot10_Age-D50))/KY50),0)</f>
        <v>0</v>
      </c>
      <c r="LA50" s="1" t="n">
        <f aca="false">IF(AND(HT50=1,ID50&gt;0,Slot10_IsWG=1,DI50=1),MIN(ID50,KZ50),0)</f>
        <v>0</v>
      </c>
      <c r="LB50" s="1" t="n">
        <f aca="false">DJ50+LA50</f>
        <v>0</v>
      </c>
      <c r="LC50" s="1" t="n">
        <f aca="false">IF(DI50=1,MAX(0,(Slot10_Cost-LB50*(1+Slot10_Rate)^(Slot10_Age-D50))/KY50),0)</f>
        <v>0</v>
      </c>
      <c r="LD50" s="1" t="n">
        <f aca="false">IF(DI50=1,MAX(0,(Slot10_Cost-DJ50*(1+Slot10_Rate)^(Slot10_Age-D50))/KY50),0)</f>
        <v>0</v>
      </c>
      <c r="LE50" s="1" t="n">
        <f aca="false">IF(AND(HT50=1,DI50=1),MIN(KX50,LC50),0)</f>
        <v>0</v>
      </c>
      <c r="LF50" s="1" t="n">
        <f aca="false">KX50-LE50</f>
        <v>0</v>
      </c>
      <c r="LG50" s="1" t="n">
        <f aca="false">IF(DS50=1,IF(ABS((1+AS_Wage)/(1+Slot11_Rate)-1)&lt;0.000000000001,(Slot11_Age-D50)*(1+Slot11_Rate)^(Slot11_Age-D50),(1+Slot11_Rate)^(Slot11_Age-D50)*(1-((1+AS_Wage)/(1+Slot11_Rate))^(Slot11_Age-D50))/(1-(1+AS_Wage)/(1+Slot11_Rate))),1)</f>
        <v>1</v>
      </c>
      <c r="LH50" s="1" t="n">
        <f aca="false">IF(AND(HT50=1,ID50&gt;0,Slot11_IsWG=1,DS50=1),MAX(0,(Slot11_Cost-DT50*(1+Slot11_Rate)^(Slot11_Age-D50))/LG50),0)</f>
        <v>0</v>
      </c>
      <c r="LI50" s="1" t="n">
        <f aca="false">IF(AND(HT50=1,ID50&gt;0,Slot11_IsWG=1,DS50=1),MIN(ID50,LH50),0)</f>
        <v>0</v>
      </c>
      <c r="LJ50" s="1" t="n">
        <f aca="false">DT50+LI50</f>
        <v>0</v>
      </c>
      <c r="LK50" s="1" t="n">
        <f aca="false">IF(DS50=1,MAX(0,(Slot11_Cost-LJ50*(1+Slot11_Rate)^(Slot11_Age-D50))/LG50),0)</f>
        <v>0</v>
      </c>
      <c r="LL50" s="1" t="n">
        <f aca="false">IF(DS50=1,MAX(0,(Slot11_Cost-DT50*(1+Slot11_Rate)^(Slot11_Age-D50))/LG50),0)</f>
        <v>0</v>
      </c>
      <c r="LM50" s="1" t="n">
        <f aca="false">IF(AND(HT50=1,DS50=1),MIN(LF50,LK50),0)</f>
        <v>0</v>
      </c>
      <c r="LN50" s="1" t="n">
        <f aca="false">LF50-LM50</f>
        <v>0</v>
      </c>
      <c r="LO50" s="1" t="n">
        <f aca="false">IF(EC50=1,IF(ABS((1+AS_Wage)/(1+Slot12_Rate)-1)&lt;0.000000000001,(Slot12_Age-D50)*(1+Slot12_Rate)^(Slot12_Age-D50),(1+Slot12_Rate)^(Slot12_Age-D50)*(1-((1+AS_Wage)/(1+Slot12_Rate))^(Slot12_Age-D50))/(1-(1+AS_Wage)/(1+Slot12_Rate))),1)</f>
        <v>1</v>
      </c>
      <c r="LP50" s="1" t="n">
        <f aca="false">IF(AND(HT50=1,ID50&gt;0,Slot12_IsWG=1,EC50=1),MAX(0,(Slot12_Cost-ED50*(1+Slot12_Rate)^(Slot12_Age-D50))/LO50),0)</f>
        <v>0</v>
      </c>
      <c r="LQ50" s="1" t="n">
        <f aca="false">IF(AND(HT50=1,ID50&gt;0,Slot12_IsWG=1,EC50=1),MIN(ID50,LP50),0)</f>
        <v>0</v>
      </c>
      <c r="LR50" s="1" t="n">
        <f aca="false">ED50+LQ50</f>
        <v>0</v>
      </c>
      <c r="LS50" s="1" t="n">
        <f aca="false">IF(EC50=1,MAX(0,(Slot12_Cost-LR50*(1+Slot12_Rate)^(Slot12_Age-D50))/LO50),0)</f>
        <v>0</v>
      </c>
      <c r="LT50" s="1" t="n">
        <f aca="false">IF(EC50=1,MAX(0,(Slot12_Cost-ED50*(1+Slot12_Rate)^(Slot12_Age-D50))/LO50),0)</f>
        <v>0</v>
      </c>
      <c r="LU50" s="1" t="n">
        <f aca="false">IF(AND(HT50=1,EC50=1),MIN(LN50,LS50),0)</f>
        <v>0</v>
      </c>
      <c r="LV50" s="1" t="n">
        <f aca="false">LN50-LU50</f>
        <v>0</v>
      </c>
      <c r="LW50" s="1" t="n">
        <f aca="false">IF(EM50=1,IF(ABS((1+AS_Wage)/(1+Slot13_Rate)-1)&lt;0.000000000001,(Slot13_Age-D50)*(1+Slot13_Rate)^(Slot13_Age-D50),(1+Slot13_Rate)^(Slot13_Age-D50)*(1-((1+AS_Wage)/(1+Slot13_Rate))^(Slot13_Age-D50))/(1-(1+AS_Wage)/(1+Slot13_Rate))),1)</f>
        <v>1</v>
      </c>
      <c r="LX50" s="1" t="n">
        <f aca="false">IF(AND(HT50=1,ID50&gt;0,Slot13_IsWG=1,EM50=1),MAX(0,(Slot13_Cost-EN50*(1+Slot13_Rate)^(Slot13_Age-D50))/LW50),0)</f>
        <v>0</v>
      </c>
      <c r="LY50" s="1" t="n">
        <f aca="false">IF(AND(HT50=1,ID50&gt;0,Slot13_IsWG=1,EM50=1),MIN(ID50,LX50),0)</f>
        <v>0</v>
      </c>
      <c r="LZ50" s="1" t="n">
        <f aca="false">EN50+LY50</f>
        <v>0</v>
      </c>
      <c r="MA50" s="1" t="n">
        <f aca="false">IF(EM50=1,MAX(0,(Slot13_Cost-LZ50*(1+Slot13_Rate)^(Slot13_Age-D50))/LW50),0)</f>
        <v>0</v>
      </c>
      <c r="MB50" s="1" t="n">
        <f aca="false">IF(EM50=1,MAX(0,(Slot13_Cost-EN50*(1+Slot13_Rate)^(Slot13_Age-D50))/LW50),0)</f>
        <v>0</v>
      </c>
      <c r="MC50" s="1" t="n">
        <f aca="false">IF(AND(HT50=1,EM50=1),MIN(LV50,MA50),0)</f>
        <v>0</v>
      </c>
      <c r="MD50" s="1" t="n">
        <f aca="false">LV50-MC50</f>
        <v>0</v>
      </c>
      <c r="ME50" s="1" t="n">
        <f aca="false">IF(EW50=1,IF(ABS((1+AS_Wage)/(1+Slot14_Rate)-1)&lt;0.000000000001,(Slot14_Age-D50)*(1+Slot14_Rate)^(Slot14_Age-D50),(1+Slot14_Rate)^(Slot14_Age-D50)*(1-((1+AS_Wage)/(1+Slot14_Rate))^(Slot14_Age-D50))/(1-(1+AS_Wage)/(1+Slot14_Rate))),1)</f>
        <v>1</v>
      </c>
      <c r="MF50" s="1" t="n">
        <f aca="false">IF(AND(HT50=1,ID50&gt;0,Slot14_IsWG=1,EW50=1),MAX(0,(Slot14_Cost-EX50*(1+Slot14_Rate)^(Slot14_Age-D50))/ME50),0)</f>
        <v>0</v>
      </c>
      <c r="MG50" s="1" t="n">
        <f aca="false">IF(AND(HT50=1,ID50&gt;0,Slot14_IsWG=1,EW50=1),MIN(ID50,MF50),0)</f>
        <v>0</v>
      </c>
      <c r="MH50" s="1" t="n">
        <f aca="false">EX50+MG50</f>
        <v>0</v>
      </c>
      <c r="MI50" s="1" t="n">
        <f aca="false">IF(EW50=1,MAX(0,(Slot14_Cost-MH50*(1+Slot14_Rate)^(Slot14_Age-D50))/ME50),0)</f>
        <v>0</v>
      </c>
      <c r="MJ50" s="1" t="n">
        <f aca="false">IF(EW50=1,MAX(0,(Slot14_Cost-EX50*(1+Slot14_Rate)^(Slot14_Age-D50))/ME50),0)</f>
        <v>0</v>
      </c>
      <c r="MK50" s="1" t="n">
        <f aca="false">IF(AND(HT50=1,EW50=1),MIN(MD50,MI50),0)</f>
        <v>0</v>
      </c>
      <c r="ML50" s="1" t="n">
        <f aca="false">MD50-MK50</f>
        <v>0</v>
      </c>
      <c r="MM50" s="1" t="n">
        <f aca="false">IF(FG50=1,IF(ABS((1+AS_Wage)/(1+Slot15_Rate)-1)&lt;0.000000000001,(Slot15_Age-D50)*(1+Slot15_Rate)^(Slot15_Age-D50),(1+Slot15_Rate)^(Slot15_Age-D50)*(1-((1+AS_Wage)/(1+Slot15_Rate))^(Slot15_Age-D50))/(1-(1+AS_Wage)/(1+Slot15_Rate))),1)</f>
        <v>1</v>
      </c>
      <c r="MN50" s="1" t="n">
        <f aca="false">IF(AND(HT50=1,ID50&gt;0,Slot15_IsWG=1,FG50=1),MAX(0,(Slot15_Cost-FH50*(1+Slot15_Rate)^(Slot15_Age-D50))/MM50),0)</f>
        <v>0</v>
      </c>
      <c r="MO50" s="1" t="n">
        <f aca="false">IF(AND(HT50=1,ID50&gt;0,Slot15_IsWG=1,FG50=1),MIN(ID50,MN50),0)</f>
        <v>0</v>
      </c>
      <c r="MP50" s="1" t="n">
        <f aca="false">FH50+MO50</f>
        <v>0</v>
      </c>
      <c r="MQ50" s="1" t="n">
        <f aca="false">IF(FG50=1,MAX(0,(Slot15_Cost-MP50*(1+Slot15_Rate)^(Slot15_Age-D50))/MM50),0)</f>
        <v>0</v>
      </c>
      <c r="MR50" s="1" t="n">
        <f aca="false">IF(FG50=1,MAX(0,(Slot15_Cost-FH50*(1+Slot15_Rate)^(Slot15_Age-D50))/MM50),0)</f>
        <v>0</v>
      </c>
      <c r="MS50" s="1" t="n">
        <f aca="false">IF(AND(HT50=1,FG50=1),MIN(ML50,MQ50),0)</f>
        <v>0</v>
      </c>
      <c r="MT50" s="1" t="n">
        <f aca="false">ML50-MS50</f>
        <v>0</v>
      </c>
      <c r="MU50" s="1" t="n">
        <f aca="false">IF(FQ50=1,IF(ABS((1+AS_Wage)/(1+Slot16_Rate)-1)&lt;0.000000000001,(Slot16_Age-D50)*(1+Slot16_Rate)^(Slot16_Age-D50),(1+Slot16_Rate)^(Slot16_Age-D50)*(1-((1+AS_Wage)/(1+Slot16_Rate))^(Slot16_Age-D50))/(1-(1+AS_Wage)/(1+Slot16_Rate))),1)</f>
        <v>1</v>
      </c>
      <c r="MV50" s="1" t="n">
        <f aca="false">IF(AND(HT50=1,ID50&gt;0,Slot16_IsWG=1,FQ50=1),MAX(0,(Slot16_Cost-FR50*(1+Slot16_Rate)^(Slot16_Age-D50))/MU50),0)</f>
        <v>0</v>
      </c>
      <c r="MW50" s="1" t="n">
        <f aca="false">IF(AND(HT50=1,ID50&gt;0,Slot16_IsWG=1,FQ50=1),MIN(ID50,MV50),0)</f>
        <v>0</v>
      </c>
      <c r="MX50" s="1" t="n">
        <f aca="false">FR50+MW50</f>
        <v>0</v>
      </c>
      <c r="MY50" s="1" t="n">
        <f aca="false">IF(FQ50=1,MAX(0,(Slot16_Cost-MX50*(1+Slot16_Rate)^(Slot16_Age-D50))/MU50),0)</f>
        <v>0</v>
      </c>
      <c r="MZ50" s="1" t="n">
        <f aca="false">IF(FQ50=1,MAX(0,(Slot16_Cost-FR50*(1+Slot16_Rate)^(Slot16_Age-D50))/MU50),0)</f>
        <v>0</v>
      </c>
      <c r="NA50" s="1" t="n">
        <f aca="false">IF(AND(HT50=1,FQ50=1),MIN(MT50,MY50),0)</f>
        <v>0</v>
      </c>
      <c r="NB50" s="1" t="n">
        <f aca="false">MT50-NA50</f>
        <v>0</v>
      </c>
      <c r="NC50" s="1" t="n">
        <f aca="false">IF(GA50=1,IF(ABS((1+AS_Wage)/(1+Slot17_Rate)-1)&lt;0.000000000001,(Slot17_Age-D50)*(1+Slot17_Rate)^(Slot17_Age-D50),(1+Slot17_Rate)^(Slot17_Age-D50)*(1-((1+AS_Wage)/(1+Slot17_Rate))^(Slot17_Age-D50))/(1-(1+AS_Wage)/(1+Slot17_Rate))),1)</f>
        <v>1</v>
      </c>
      <c r="ND50" s="1" t="n">
        <f aca="false">IF(AND(HT50=1,ID50&gt;0,Slot17_IsWG=1,GA50=1),MAX(0,(Slot17_Cost-GB50*(1+Slot17_Rate)^(Slot17_Age-D50))/NC50),0)</f>
        <v>0</v>
      </c>
      <c r="NE50" s="1" t="n">
        <f aca="false">IF(AND(HT50=1,ID50&gt;0,Slot17_IsWG=1,GA50=1),MIN(ID50,ND50),0)</f>
        <v>0</v>
      </c>
      <c r="NF50" s="1" t="n">
        <f aca="false">GB50+NE50</f>
        <v>0</v>
      </c>
      <c r="NG50" s="1" t="n">
        <f aca="false">IF(GA50=1,MAX(0,(Slot17_Cost-NF50*(1+Slot17_Rate)^(Slot17_Age-D50))/NC50),0)</f>
        <v>0</v>
      </c>
      <c r="NH50" s="1" t="n">
        <f aca="false">IF(GA50=1,MAX(0,(Slot17_Cost-GB50*(1+Slot17_Rate)^(Slot17_Age-D50))/NC50),0)</f>
        <v>0</v>
      </c>
      <c r="NI50" s="1" t="n">
        <f aca="false">IF(AND(HT50=1,GA50=1),MIN(NB50,NG50),0)</f>
        <v>0</v>
      </c>
      <c r="NJ50" s="1" t="n">
        <f aca="false">NB50-NI50</f>
        <v>0</v>
      </c>
      <c r="NK50" s="1" t="n">
        <f aca="false">IF(GK50=1,IF(ABS((1+AS_Wage)/(1+Slot18_Rate)-1)&lt;0.000000000001,(Slot18_Age-D50)*(1+Slot18_Rate)^(Slot18_Age-D50),(1+Slot18_Rate)^(Slot18_Age-D50)*(1-((1+AS_Wage)/(1+Slot18_Rate))^(Slot18_Age-D50))/(1-(1+AS_Wage)/(1+Slot18_Rate))),1)</f>
        <v>1</v>
      </c>
      <c r="NL50" s="1" t="n">
        <f aca="false">IF(AND(HT50=1,ID50&gt;0,Slot18_IsWG=1,GK50=1),MAX(0,(Slot18_Cost-GL50*(1+Slot18_Rate)^(Slot18_Age-D50))/NK50),0)</f>
        <v>0</v>
      </c>
      <c r="NM50" s="1" t="n">
        <f aca="false">IF(AND(HT50=1,ID50&gt;0,Slot18_IsWG=1,GK50=1),MIN(ID50,NL50),0)</f>
        <v>0</v>
      </c>
      <c r="NN50" s="1" t="n">
        <f aca="false">GL50+NM50</f>
        <v>0</v>
      </c>
      <c r="NO50" s="1" t="n">
        <f aca="false">IF(GK50=1,MAX(0,(Slot18_Cost-NN50*(1+Slot18_Rate)^(Slot18_Age-D50))/NK50),0)</f>
        <v>0</v>
      </c>
      <c r="NP50" s="1" t="n">
        <f aca="false">IF(GK50=1,MAX(0,(Slot18_Cost-GL50*(1+Slot18_Rate)^(Slot18_Age-D50))/NK50),0)</f>
        <v>0</v>
      </c>
      <c r="NQ50" s="1" t="n">
        <f aca="false">IF(AND(HT50=1,GK50=1),MIN(NJ50,NO50),0)</f>
        <v>0</v>
      </c>
      <c r="NR50" s="1" t="n">
        <f aca="false">NJ50-NQ50</f>
        <v>0</v>
      </c>
      <c r="NS50" s="1" t="n">
        <f aca="false">IF(GU50=1,IF(ABS((1+AS_Wage)/(1+Slot19_Rate)-1)&lt;0.000000000001,(Slot19_Age-D50)*(1+Slot19_Rate)^(Slot19_Age-D50),(1+Slot19_Rate)^(Slot19_Age-D50)*(1-((1+AS_Wage)/(1+Slot19_Rate))^(Slot19_Age-D50))/(1-(1+AS_Wage)/(1+Slot19_Rate))),1)</f>
        <v>1</v>
      </c>
      <c r="NT50" s="1" t="n">
        <f aca="false">IF(AND(HT50=1,ID50&gt;0,Slot19_IsWG=1,GU50=1),MAX(0,(Slot19_Cost-GV50*(1+Slot19_Rate)^(Slot19_Age-D50))/NS50),0)</f>
        <v>0</v>
      </c>
      <c r="NU50" s="1" t="n">
        <f aca="false">IF(AND(HT50=1,ID50&gt;0,Slot19_IsWG=1,GU50=1),MIN(ID50,NT50),0)</f>
        <v>0</v>
      </c>
      <c r="NV50" s="1" t="n">
        <f aca="false">GV50+NU50</f>
        <v>0</v>
      </c>
      <c r="NW50" s="1" t="n">
        <f aca="false">IF(GU50=1,MAX(0,(Slot19_Cost-NV50*(1+Slot19_Rate)^(Slot19_Age-D50))/NS50),0)</f>
        <v>0</v>
      </c>
      <c r="NX50" s="1" t="n">
        <f aca="false">IF(GU50=1,MAX(0,(Slot19_Cost-GV50*(1+Slot19_Rate)^(Slot19_Age-D50))/NS50),0)</f>
        <v>0</v>
      </c>
      <c r="NY50" s="1" t="n">
        <f aca="false">IF(AND(HT50=1,GU50=1),MIN(NR50,NW50),0)</f>
        <v>0</v>
      </c>
      <c r="NZ50" s="1" t="n">
        <f aca="false">NR50-NY50</f>
        <v>0</v>
      </c>
      <c r="OA50" s="1" t="n">
        <f aca="false">IF(HE50=1,IF(ABS((1+AS_Wage)/(1+Slot20_Rate)-1)&lt;0.000000000001,(Slot20_Age-D50)*(1+Slot20_Rate)^(Slot20_Age-D50),(1+Slot20_Rate)^(Slot20_Age-D50)*(1-((1+AS_Wage)/(1+Slot20_Rate))^(Slot20_Age-D50))/(1-(1+AS_Wage)/(1+Slot20_Rate))),1)</f>
        <v>1</v>
      </c>
      <c r="OB50" s="1" t="n">
        <f aca="false">IF(AND(HT50=1,ID50&gt;0,Slot20_IsWG=1,HE50=1),MAX(0,(Slot20_Cost-HF50*(1+Slot20_Rate)^(Slot20_Age-D50))/OA50),0)</f>
        <v>0</v>
      </c>
      <c r="OC50" s="1" t="n">
        <f aca="false">IF(AND(HT50=1,ID50&gt;0,Slot20_IsWG=1,HE50=1),MIN(ID50,OB50),0)</f>
        <v>0</v>
      </c>
      <c r="OD50" s="1" t="n">
        <f aca="false">HF50+OC50</f>
        <v>0</v>
      </c>
      <c r="OE50" s="1" t="n">
        <f aca="false">IF(HE50=1,MAX(0,(Slot20_Cost-OD50*(1+Slot20_Rate)^(Slot20_Age-D50))/OA50),0)</f>
        <v>0</v>
      </c>
      <c r="OF50" s="1" t="n">
        <f aca="false">IF(HE50=1,MAX(0,(Slot20_Cost-HF50*(1+Slot20_Rate)^(Slot20_Age-D50))/OA50),0)</f>
        <v>0</v>
      </c>
      <c r="OG50" s="1" t="n">
        <f aca="false">IF(AND(HT50=1,HE50=1),MIN(NZ50,OE50),0)</f>
        <v>0</v>
      </c>
      <c r="OH50" s="1" t="n">
        <f aca="false">NZ50-OG50</f>
        <v>0</v>
      </c>
      <c r="OI50" s="1" t="n">
        <f aca="false">ID50-(IG50+IO50+IW50+JE50+JM50+JU50+KC50+KK50+KS50+LA50+LI50+LQ50+LY50+MG50+MO50+MW50+NE50+NM50+NU50+OC50)</f>
        <v>0</v>
      </c>
      <c r="OJ50" s="1" t="n">
        <f aca="false">IF(HT50=1,HR50-IC50-ID50,0)</f>
        <v>0</v>
      </c>
      <c r="OK50" s="1" t="n">
        <f aca="false">IF(HT50=0,-HR50,0)</f>
        <v>0</v>
      </c>
      <c r="OL50" s="1" t="n">
        <f aca="false">MIN(OK50,HJ50)</f>
        <v>0</v>
      </c>
      <c r="OM50" s="1" t="n">
        <f aca="false">OK50-OL50</f>
        <v>0</v>
      </c>
      <c r="ON50" s="1" t="n">
        <f aca="false">MIN(OM50,HK50)</f>
        <v>0</v>
      </c>
      <c r="OO50" s="1" t="n">
        <f aca="false">OM50-ON50</f>
        <v>0</v>
      </c>
      <c r="OP50" s="1" t="n">
        <f aca="false">IF(AND(HT50=0,HE50=1,OO50&gt;0),MIN(OO50,HF50),0)</f>
        <v>0</v>
      </c>
      <c r="OQ50" s="1" t="n">
        <f aca="false">OO50-OP50</f>
        <v>0</v>
      </c>
      <c r="OR50" s="1" t="n">
        <f aca="false">IF(AND(HT50=0,GU50=1,OQ50&gt;0),MIN(OQ50,GV50),0)</f>
        <v>0</v>
      </c>
      <c r="OS50" s="1" t="n">
        <f aca="false">OQ50-OR50</f>
        <v>0</v>
      </c>
      <c r="OT50" s="1" t="n">
        <f aca="false">IF(AND(HT50=0,GK50=1,OS50&gt;0),MIN(OS50,GL50),0)</f>
        <v>0</v>
      </c>
      <c r="OU50" s="1" t="n">
        <f aca="false">OS50-OT50</f>
        <v>0</v>
      </c>
      <c r="OV50" s="1" t="n">
        <f aca="false">IF(AND(HT50=0,GA50=1,OU50&gt;0),MIN(OU50,GB50),0)</f>
        <v>0</v>
      </c>
      <c r="OW50" s="1" t="n">
        <f aca="false">OU50-OV50</f>
        <v>0</v>
      </c>
      <c r="OX50" s="1" t="n">
        <f aca="false">IF(AND(HT50=0,FQ50=1,OW50&gt;0),MIN(OW50,FR50),0)</f>
        <v>0</v>
      </c>
      <c r="OY50" s="1" t="n">
        <f aca="false">OW50-OX50</f>
        <v>0</v>
      </c>
      <c r="OZ50" s="1" t="n">
        <f aca="false">IF(AND(HT50=0,FG50=1,OY50&gt;0),MIN(OY50,FH50),0)</f>
        <v>0</v>
      </c>
      <c r="PA50" s="1" t="n">
        <f aca="false">OY50-OZ50</f>
        <v>0</v>
      </c>
      <c r="PB50" s="1" t="n">
        <f aca="false">IF(AND(HT50=0,EW50=1,PA50&gt;0),MIN(PA50,EX50),0)</f>
        <v>0</v>
      </c>
      <c r="PC50" s="1" t="n">
        <f aca="false">PA50-PB50</f>
        <v>0</v>
      </c>
      <c r="PD50" s="1" t="n">
        <f aca="false">IF(AND(HT50=0,EM50=1,PC50&gt;0),MIN(PC50,EN50),0)</f>
        <v>0</v>
      </c>
      <c r="PE50" s="1" t="n">
        <f aca="false">PC50-PD50</f>
        <v>0</v>
      </c>
      <c r="PF50" s="1" t="n">
        <f aca="false">IF(AND(HT50=0,EC50=1,PE50&gt;0),MIN(PE50,ED50),0)</f>
        <v>0</v>
      </c>
      <c r="PG50" s="1" t="n">
        <f aca="false">PE50-PF50</f>
        <v>0</v>
      </c>
      <c r="PH50" s="1" t="n">
        <f aca="false">IF(AND(HT50=0,DS50=1,PG50&gt;0),MIN(PG50,DT50),0)</f>
        <v>0</v>
      </c>
      <c r="PI50" s="1" t="n">
        <f aca="false">PG50-PH50</f>
        <v>0</v>
      </c>
      <c r="PJ50" s="1" t="n">
        <f aca="false">IF(AND(HT50=0,DI50=1,PI50&gt;0),MIN(PI50,DJ50),0)</f>
        <v>0</v>
      </c>
      <c r="PK50" s="1" t="n">
        <f aca="false">PI50-PJ50</f>
        <v>0</v>
      </c>
      <c r="PL50" s="1" t="n">
        <f aca="false">IF(AND(HT50=0,CY50=1,PK50&gt;0),MIN(PK50,CZ50),0)</f>
        <v>0</v>
      </c>
      <c r="PM50" s="1" t="n">
        <f aca="false">PK50-PL50</f>
        <v>0</v>
      </c>
      <c r="PN50" s="1" t="n">
        <f aca="false">IF(AND(HT50=0,CO50=1,PM50&gt;0),MIN(PM50,CP50),0)</f>
        <v>0</v>
      </c>
      <c r="PO50" s="1" t="n">
        <f aca="false">PM50-PN50</f>
        <v>0</v>
      </c>
      <c r="PP50" s="1" t="n">
        <f aca="false">IF(AND(HT50=0,CE50=1,PO50&gt;0),MIN(PO50,CF50),0)</f>
        <v>0</v>
      </c>
      <c r="PQ50" s="1" t="n">
        <f aca="false">PO50-PP50</f>
        <v>0</v>
      </c>
      <c r="PR50" s="1" t="n">
        <f aca="false">IF(AND(HT50=0,BU50=1,PQ50&gt;0),MIN(PQ50,BV50),0)</f>
        <v>0</v>
      </c>
      <c r="PS50" s="1" t="n">
        <f aca="false">PQ50-PR50</f>
        <v>0</v>
      </c>
      <c r="PT50" s="1" t="n">
        <f aca="false">IF(AND(HT50=0,BK50=1,PS50&gt;0),MIN(PS50,BL50),0)</f>
        <v>0</v>
      </c>
      <c r="PU50" s="1" t="n">
        <f aca="false">PS50-PT50</f>
        <v>0</v>
      </c>
      <c r="PV50" s="1" t="n">
        <f aca="false">IF(AND(HT50=0,BA50=1,PU50&gt;0),MIN(PU50,BB50),0)</f>
        <v>0</v>
      </c>
      <c r="PW50" s="1" t="n">
        <f aca="false">PU50-PV50</f>
        <v>0</v>
      </c>
      <c r="PX50" s="1" t="n">
        <f aca="false">IF(AND(HT50=0,AQ50=1,PW50&gt;0),MIN(PW50,AR50),0)</f>
        <v>0</v>
      </c>
      <c r="PY50" s="1" t="n">
        <f aca="false">PW50-PX50</f>
        <v>0</v>
      </c>
      <c r="PZ50" s="1" t="n">
        <f aca="false">IF(AND(HT50=0,AG50=1,PY50&gt;0),MIN(PY50,AH50),0)</f>
        <v>0</v>
      </c>
      <c r="QA50" s="1" t="n">
        <f aca="false">PY50-PZ50</f>
        <v>0</v>
      </c>
      <c r="QB50" s="1" t="n">
        <f aca="false">IF(AND(HT50=0,V50=1,QA50&gt;0),MIN(QA50,W50),0)</f>
        <v>0</v>
      </c>
      <c r="QC50" s="1" t="n">
        <f aca="false">QA50-QB50</f>
        <v>0</v>
      </c>
      <c r="QD50" s="1" t="n">
        <f aca="false">IF(HT50=0,QC50,0)</f>
        <v>0</v>
      </c>
      <c r="QE50" s="1" t="n">
        <f aca="false">OL50+ON50+QB50+PZ50+PX50+PV50+PT50+PR50+PP50+PN50+PL50+PJ50+PH50+PF50+PD50+PB50+OZ50+OX50+OV50+OT50+OR50+OP50</f>
        <v>0</v>
      </c>
      <c r="QF50" s="1" t="n">
        <f aca="false">IF(HT50=1,HJ50+OI50+OH50+IF(F50=1,0,OJ50),HJ50-OL50)</f>
        <v>0</v>
      </c>
      <c r="QG50" s="1" t="n">
        <f aca="false">HK50-ON50</f>
        <v>0</v>
      </c>
      <c r="QH50" s="1" t="n">
        <f aca="false">IF(HT50=1,IF(F50=1,IC50+ID50,HR50),0)</f>
        <v>0</v>
      </c>
      <c r="QI50" s="1" t="n">
        <f aca="false">IF(HT50=1,IF(F50=1,HR50-IC50-ID50,0),0)</f>
        <v>0</v>
      </c>
      <c r="QJ50" s="1" t="n">
        <f aca="false">QF50*(1+GR)</f>
        <v>0</v>
      </c>
      <c r="QK50" s="1" t="n">
        <f aca="false">QG50*(1+AS_Cash)</f>
        <v>0</v>
      </c>
      <c r="QL50" s="1" t="n">
        <f aca="false">IF(V50=1,IF(HT50=1,IH50+IK50,W50-QB50)*(1+Slot1_Rate),0)</f>
        <v>0</v>
      </c>
      <c r="QM50" s="1" t="n">
        <f aca="false">IF(AND(HT50=1,V50=1),(IG50+IK50)/E50,0)</f>
        <v>0</v>
      </c>
      <c r="QN50" s="1" t="n">
        <f aca="false">IF(B50=0,IG50+IK50,0)</f>
        <v>0</v>
      </c>
      <c r="QO50" s="1" t="n">
        <f aca="false">IF(B50=0,IF(HT50=1,II50,IJ50),0)</f>
        <v>0</v>
      </c>
      <c r="QP50" s="1" t="n">
        <f aca="false">IF(AG50=1,IF(HT50=1,IP50+IS50,AH50-PZ50)*(1+Slot2_Rate),0)</f>
        <v>0</v>
      </c>
      <c r="QQ50" s="1" t="n">
        <f aca="false">IF(AND(HT50=1,AG50=1),(IO50+IS50)/E50,0)</f>
        <v>0</v>
      </c>
      <c r="QR50" s="1" t="n">
        <f aca="false">IF(B50=0,IO50+IS50,0)</f>
        <v>0</v>
      </c>
      <c r="QS50" s="1" t="n">
        <f aca="false">IF(B50=0,IF(HT50=1,IQ50,IR50),0)</f>
        <v>0</v>
      </c>
      <c r="QT50" s="1" t="n">
        <f aca="false">IF(AQ50=1,IF(HT50=1,IX50+JA50,AR50-PX50)*(1+Slot3_Rate),0)</f>
        <v>0</v>
      </c>
      <c r="QU50" s="1" t="n">
        <f aca="false">IF(AND(HT50=1,AQ50=1),(IW50+JA50)/E50,0)</f>
        <v>0</v>
      </c>
      <c r="QV50" s="1" t="n">
        <f aca="false">IF(B50=0,IW50+JA50,0)</f>
        <v>0</v>
      </c>
      <c r="QW50" s="1" t="n">
        <f aca="false">IF(B50=0,IF(HT50=1,IY50,IZ50),0)</f>
        <v>0</v>
      </c>
      <c r="QX50" s="1" t="n">
        <f aca="false">IF(BA50=1,IF(HT50=1,JF50+JI50,BB50-PV50)*(1+Slot4_Rate),0)</f>
        <v>0</v>
      </c>
      <c r="QY50" s="1" t="n">
        <f aca="false">IF(AND(HT50=1,BA50=1),(JE50+JI50)/E50,0)</f>
        <v>0</v>
      </c>
      <c r="QZ50" s="1" t="n">
        <f aca="false">IF(B50=0,JE50+JI50,0)</f>
        <v>0</v>
      </c>
      <c r="RA50" s="1" t="n">
        <f aca="false">IF(B50=0,IF(HT50=1,JG50,JH50),0)</f>
        <v>0</v>
      </c>
      <c r="RB50" s="1" t="n">
        <f aca="false">IF(BK50=1,IF(HT50=1,JN50+JQ50,BL50-PT50)*(1+Slot5_Rate),0)</f>
        <v>0</v>
      </c>
      <c r="RC50" s="1" t="n">
        <f aca="false">IF(AND(HT50=1,BK50=1),(JM50+JQ50)/E50,0)</f>
        <v>0</v>
      </c>
      <c r="RD50" s="1" t="n">
        <f aca="false">IF(B50=0,JM50+JQ50,0)</f>
        <v>0</v>
      </c>
      <c r="RE50" s="1" t="n">
        <f aca="false">IF(B50=0,IF(HT50=1,JO50,JP50),0)</f>
        <v>0</v>
      </c>
      <c r="RF50" s="1" t="n">
        <f aca="false">IF(BU50=1,IF(HT50=1,JV50+JY50,BV50-PR50)*(1+Slot6_Rate),0)</f>
        <v>0</v>
      </c>
      <c r="RG50" s="1" t="n">
        <f aca="false">IF(AND(HT50=1,BU50=1),(JU50+JY50)/E50,0)</f>
        <v>0</v>
      </c>
      <c r="RH50" s="1" t="n">
        <f aca="false">IF(B50=0,JU50+JY50,0)</f>
        <v>0</v>
      </c>
      <c r="RI50" s="1" t="n">
        <f aca="false">IF(B50=0,IF(HT50=1,JW50,JX50),0)</f>
        <v>0</v>
      </c>
      <c r="RJ50" s="1" t="n">
        <f aca="false">IF(CE50=1,IF(HT50=1,KD50+KG50,CF50-PP50)*(1+Slot7_Rate),0)</f>
        <v>0</v>
      </c>
      <c r="RK50" s="1" t="n">
        <f aca="false">IF(AND(HT50=1,CE50=1),(KC50+KG50)/E50,0)</f>
        <v>0</v>
      </c>
      <c r="RL50" s="1" t="n">
        <f aca="false">IF(B50=0,KC50+KG50,0)</f>
        <v>0</v>
      </c>
      <c r="RM50" s="1" t="n">
        <f aca="false">IF(B50=0,IF(HT50=1,KE50,KF50),0)</f>
        <v>0</v>
      </c>
      <c r="RN50" s="1" t="n">
        <f aca="false">IF(CO50=1,IF(HT50=1,KL50+KO50,CP50-PN50)*(1+Slot8_Rate),0)</f>
        <v>0</v>
      </c>
      <c r="RO50" s="1" t="n">
        <f aca="false">IF(AND(HT50=1,CO50=1),(KK50+KO50)/E50,0)</f>
        <v>0</v>
      </c>
      <c r="RP50" s="1" t="n">
        <f aca="false">IF(B50=0,KK50+KO50,0)</f>
        <v>0</v>
      </c>
      <c r="RQ50" s="1" t="n">
        <f aca="false">IF(B50=0,IF(HT50=1,KM50,KN50),0)</f>
        <v>0</v>
      </c>
      <c r="RR50" s="1" t="n">
        <f aca="false">IF(CY50=1,IF(HT50=1,KT50+KW50,CZ50-PL50)*(1+Slot9_Rate),0)</f>
        <v>0</v>
      </c>
      <c r="RS50" s="1" t="n">
        <f aca="false">IF(AND(HT50=1,CY50=1),(KS50+KW50)/E50,0)</f>
        <v>0</v>
      </c>
      <c r="RT50" s="1" t="n">
        <f aca="false">IF(B50=0,KS50+KW50,0)</f>
        <v>0</v>
      </c>
      <c r="RU50" s="1" t="n">
        <f aca="false">IF(B50=0,IF(HT50=1,KU50,KV50),0)</f>
        <v>0</v>
      </c>
      <c r="RV50" s="1" t="n">
        <f aca="false">IF(DI50=1,IF(HT50=1,LB50+LE50,DJ50-PJ50)*(1+Slot10_Rate),0)</f>
        <v>0</v>
      </c>
      <c r="RW50" s="1" t="n">
        <f aca="false">IF(AND(HT50=1,DI50=1),(LA50+LE50)/E50,0)</f>
        <v>0</v>
      </c>
      <c r="RX50" s="1" t="n">
        <f aca="false">IF(B50=0,LA50+LE50,0)</f>
        <v>0</v>
      </c>
      <c r="RY50" s="1" t="n">
        <f aca="false">IF(B50=0,IF(HT50=1,LC50,LD50),0)</f>
        <v>0</v>
      </c>
      <c r="RZ50" s="1" t="n">
        <f aca="false">IF(DS50=1,IF(HT50=1,LJ50+LM50,DT50-PH50)*(1+Slot11_Rate),0)</f>
        <v>0</v>
      </c>
      <c r="SA50" s="1" t="n">
        <f aca="false">IF(AND(HT50=1,DS50=1),(LI50+LM50)/E50,0)</f>
        <v>0</v>
      </c>
      <c r="SB50" s="1" t="n">
        <f aca="false">IF(B50=0,LI50+LM50,0)</f>
        <v>0</v>
      </c>
      <c r="SC50" s="1" t="n">
        <f aca="false">IF(B50=0,IF(HT50=1,LK50,LL50),0)</f>
        <v>0</v>
      </c>
      <c r="SD50" s="1" t="n">
        <f aca="false">IF(EC50=1,IF(HT50=1,LR50+LU50,ED50-PF50)*(1+Slot12_Rate),0)</f>
        <v>0</v>
      </c>
      <c r="SE50" s="1" t="n">
        <f aca="false">IF(AND(HT50=1,EC50=1),(LQ50+LU50)/E50,0)</f>
        <v>0</v>
      </c>
      <c r="SF50" s="1" t="n">
        <f aca="false">IF(B50=0,LQ50+LU50,0)</f>
        <v>0</v>
      </c>
      <c r="SG50" s="1" t="n">
        <f aca="false">IF(B50=0,IF(HT50=1,LS50,LT50),0)</f>
        <v>0</v>
      </c>
      <c r="SH50" s="1" t="n">
        <f aca="false">IF(EM50=1,IF(HT50=1,LZ50+MC50,EN50-PD50)*(1+Slot13_Rate),0)</f>
        <v>0</v>
      </c>
      <c r="SI50" s="1" t="n">
        <f aca="false">IF(AND(HT50=1,EM50=1),(LY50+MC50)/E50,0)</f>
        <v>0</v>
      </c>
      <c r="SJ50" s="1" t="n">
        <f aca="false">IF(B50=0,LY50+MC50,0)</f>
        <v>0</v>
      </c>
      <c r="SK50" s="1" t="n">
        <f aca="false">IF(B50=0,IF(HT50=1,MA50,MB50),0)</f>
        <v>0</v>
      </c>
      <c r="SL50" s="1" t="n">
        <f aca="false">IF(EW50=1,IF(HT50=1,MH50+MK50,EX50-PB50)*(1+Slot14_Rate),0)</f>
        <v>0</v>
      </c>
      <c r="SM50" s="1" t="n">
        <f aca="false">IF(AND(HT50=1,EW50=1),(MG50+MK50)/E50,0)</f>
        <v>0</v>
      </c>
      <c r="SN50" s="1" t="n">
        <f aca="false">IF(B50=0,MG50+MK50,0)</f>
        <v>0</v>
      </c>
      <c r="SO50" s="1" t="n">
        <f aca="false">IF(B50=0,IF(HT50=1,MI50,MJ50),0)</f>
        <v>0</v>
      </c>
      <c r="SP50" s="1" t="n">
        <f aca="false">IF(FG50=1,IF(HT50=1,MP50+MS50,FH50-OZ50)*(1+Slot15_Rate),0)</f>
        <v>0</v>
      </c>
      <c r="SQ50" s="1" t="n">
        <f aca="false">IF(AND(HT50=1,FG50=1),(MO50+MS50)/E50,0)</f>
        <v>0</v>
      </c>
      <c r="SR50" s="1" t="n">
        <f aca="false">IF(B50=0,MO50+MS50,0)</f>
        <v>0</v>
      </c>
      <c r="SS50" s="1" t="n">
        <f aca="false">IF(B50=0,IF(HT50=1,MQ50,MR50),0)</f>
        <v>0</v>
      </c>
      <c r="ST50" s="1" t="n">
        <f aca="false">IF(FQ50=1,IF(HT50=1,MX50+NA50,FR50-OX50)*(1+Slot16_Rate),0)</f>
        <v>0</v>
      </c>
      <c r="SU50" s="1" t="n">
        <f aca="false">IF(AND(HT50=1,FQ50=1),(MW50+NA50)/E50,0)</f>
        <v>0</v>
      </c>
      <c r="SV50" s="1" t="n">
        <f aca="false">IF(B50=0,MW50+NA50,0)</f>
        <v>0</v>
      </c>
      <c r="SW50" s="1" t="n">
        <f aca="false">IF(B50=0,IF(HT50=1,MY50,MZ50),0)</f>
        <v>0</v>
      </c>
      <c r="SX50" s="1" t="n">
        <f aca="false">IF(GA50=1,IF(HT50=1,NF50+NI50,GB50-OV50)*(1+Slot17_Rate),0)</f>
        <v>0</v>
      </c>
      <c r="SY50" s="1" t="n">
        <f aca="false">IF(AND(HT50=1,GA50=1),(NE50+NI50)/E50,0)</f>
        <v>0</v>
      </c>
      <c r="SZ50" s="1" t="n">
        <f aca="false">IF(B50=0,NE50+NI50,0)</f>
        <v>0</v>
      </c>
      <c r="TA50" s="1" t="n">
        <f aca="false">IF(B50=0,IF(HT50=1,NG50,NH50),0)</f>
        <v>0</v>
      </c>
      <c r="TB50" s="1" t="n">
        <f aca="false">IF(GK50=1,IF(HT50=1,NN50+NQ50,GL50-OT50)*(1+Slot18_Rate),0)</f>
        <v>0</v>
      </c>
      <c r="TC50" s="1" t="n">
        <f aca="false">IF(AND(HT50=1,GK50=1),(NM50+NQ50)/E50,0)</f>
        <v>0</v>
      </c>
      <c r="TD50" s="1" t="n">
        <f aca="false">IF(B50=0,NM50+NQ50,0)</f>
        <v>0</v>
      </c>
      <c r="TE50" s="1" t="n">
        <f aca="false">IF(B50=0,IF(HT50=1,NO50,NP50),0)</f>
        <v>0</v>
      </c>
      <c r="TF50" s="1" t="n">
        <f aca="false">IF(GU50=1,IF(HT50=1,NV50+NY50,GV50-OR50)*(1+Slot19_Rate),0)</f>
        <v>0</v>
      </c>
      <c r="TG50" s="1" t="n">
        <f aca="false">IF(AND(HT50=1,GU50=1),(NU50+NY50)/E50,0)</f>
        <v>0</v>
      </c>
      <c r="TH50" s="1" t="n">
        <f aca="false">IF(B50=0,NU50+NY50,0)</f>
        <v>0</v>
      </c>
      <c r="TI50" s="1" t="n">
        <f aca="false">IF(B50=0,IF(HT50=1,NW50,NX50),0)</f>
        <v>0</v>
      </c>
      <c r="TJ50" s="1" t="n">
        <f aca="false">IF(HE50=1,IF(HT50=1,OD50+OG50,HF50-OP50)*(1+Slot20_Rate),0)</f>
        <v>0</v>
      </c>
      <c r="TK50" s="1" t="n">
        <f aca="false">IF(AND(HT50=1,HE50=1),(OC50+OG50)/E50,0)</f>
        <v>0</v>
      </c>
      <c r="TL50" s="1" t="n">
        <f aca="false">IF(B50=0,OC50+OG50,0)</f>
        <v>0</v>
      </c>
      <c r="TM50" s="1" t="n">
        <f aca="false">IF(B50=0,IF(HT50=1,OE50,OF50),0)</f>
        <v>0</v>
      </c>
      <c r="TN50" s="1" t="n">
        <f aca="false">QJ50+QK50+QL50+QP50+QT50+QX50+RB50+RF50+RJ50+RN50+RR50+RV50+RZ50+SD50+SH50+SL50+SP50+ST50+SX50+TB50+TF50+TJ50</f>
        <v>0</v>
      </c>
      <c r="TO50" s="1" t="n">
        <f aca="false">QD50+HO50</f>
        <v>0</v>
      </c>
      <c r="TP50" s="1" t="n">
        <f aca="false">H50+R50</f>
        <v>0</v>
      </c>
      <c r="TQ50" s="1" t="n">
        <f aca="false">1-F50</f>
        <v>0</v>
      </c>
      <c r="TR50" s="1" t="n">
        <f aca="false">IF(AND(RG_Exists=1,F50=0,C50=1),H50,0)</f>
        <v>0</v>
      </c>
      <c r="TS50" s="1" t="n">
        <f aca="false">IF(AND(RG_Exists=1,F50=0,C50=1),H50-MIN(QD50,H50),0)</f>
        <v>0</v>
      </c>
      <c r="TT50" s="1" t="n">
        <f aca="false">'Plan pay &amp; tax'!AD276</f>
        <v>0</v>
      </c>
      <c r="TU50" s="1" t="n">
        <f aca="false">IF(AND(C50=1,QD50&gt;MAX(PR_Short1,TP50*PR_Short2)),1,0)</f>
        <v>0</v>
      </c>
      <c r="TV50" s="1" t="n">
        <f aca="false">MIN(G50,H50+R50)</f>
        <v>0</v>
      </c>
      <c r="TW50" s="1" t="n">
        <f aca="false">QE50+MAX(0,HP50-HO50)</f>
        <v>0</v>
      </c>
      <c r="TX50" s="1" t="n">
        <f aca="false">QD50+HO50</f>
        <v>0</v>
      </c>
      <c r="TY50" s="1" t="n">
        <f aca="false">IF(AND(C50=1,TX50&gt;PR_MinShort),1,0)</f>
        <v>0</v>
      </c>
      <c r="TZ50" s="1" t="n">
        <f aca="false">IF(AND(C50=1,TY50=0,TW50&gt;PR_MinShort),1,0)</f>
        <v>0</v>
      </c>
      <c r="UA50" s="1" t="n">
        <f aca="false">IF(AND(C50=1,QD50&gt;PR_MinShort),1,0)</f>
        <v>0</v>
      </c>
      <c r="UB50" s="1" t="n">
        <f aca="false">IF(AND(C50=1,QE50&gt;1,UI50=0),1,0)</f>
        <v>0</v>
      </c>
      <c r="UC50" s="1" t="str">
        <f aca="false">IF(C50=0,"",IF(UI50=1,"Gap to plan for: short "&amp;"€"&amp;TEXT(ROUND(TO50,0),"#,##0"),IF(QE50&gt;1,"Using savings","Comfortable")))</f>
        <v>Comfortable</v>
      </c>
      <c r="UD50" s="1" t="n">
        <f aca="false">IF(AND(INT(D50/10)*10=90,B50&gt;0),80,INT(D50/10)*10)</f>
        <v>40</v>
      </c>
      <c r="UE50" s="1" t="n">
        <f aca="false">IF(B50=0,1,IF(UD50&lt;&gt;UD49,UE49+1,UE49))</f>
        <v>5</v>
      </c>
      <c r="UF50" s="1" t="n">
        <f aca="false">IF(AND(C50=1,F50=1,QD50&gt;MAX(PR_Short1,TP50*PR_Short2)),1,0)</f>
        <v>0</v>
      </c>
      <c r="UG50" s="1" t="n">
        <f aca="false">TQ50*TU50</f>
        <v>0</v>
      </c>
      <c r="UH50" s="1" t="n">
        <f aca="false">IF(AND(U50=1,Slot1_PctLow=1),1,0)+IF(AND(AF50=1,Slot2_PctLow=1),1,0)+IF(AND(AP50=1,Slot3_PctLow=1),1,0)+IF(AND(AZ50=1,Slot4_PctLow=1),1,0)+IF(AND(BJ50=1,Slot5_PctLow=1),1,0)+IF(AND(BT50=1,Slot6_PctLow=1),1,0)+IF(AND(CD50=1,Slot7_PctLow=1),1,0)+IF(AND(CN50=1,Slot8_PctLow=1),1,0)+IF(AND(CX50=1,Slot9_PctLow=1),1,0)+IF(AND(DH50=1,Slot10_PctLow=1),1,0)+IF(AND(DR50=1,Slot11_PctLow=1),1,0)+IF(AND(EB50=1,Slot12_PctLow=1),1,0)+IF(AND(EL50=1,Slot13_PctLow=1),1,0)+IF(AND(EV50=1,Slot14_PctLow=1),1,0)+IF(AND(FF50=1,Slot15_PctLow=1),1,0)+IF(AND(FP50=1,Slot16_PctLow=1),1,0)+IF(AND(FZ50=1,Slot17_PctLow=1),1,0)+IF(AND(GJ50=1,Slot18_PctLow=1),1,0)+IF(AND(GT50=1,Slot19_PctLow=1),1,0)+IF(AND(HD50=1,Slot20_PctLow=1),1,0)</f>
        <v>0</v>
      </c>
      <c r="UI50" s="1" t="n">
        <f aca="false">IF(C50=1,IF(OR(TU50=1,UH50&gt;0),1,0),0)</f>
        <v>0</v>
      </c>
    </row>
    <row r="51" customFormat="false" ht="15" hidden="false" customHeight="true" outlineLevel="0" collapsed="false">
      <c r="B51" s="1" t="n">
        <v>43</v>
      </c>
      <c r="C51" s="1" t="n">
        <f aca="false">IF(B51&lt;=F_N,1,0)</f>
        <v>1</v>
      </c>
      <c r="D51" s="1" t="n">
        <f aca="false">'Plan pay &amp; tax'!C277</f>
        <v>43</v>
      </c>
      <c r="E51" s="111" t="n">
        <f aca="false">'Plan pay &amp; tax'!E277</f>
        <v>2.34318935534539</v>
      </c>
      <c r="F51" s="1" t="n">
        <f aca="false">'Plan pay &amp; tax'!G277</f>
        <v>1</v>
      </c>
      <c r="G51" s="1" t="n">
        <f aca="false">'Plan pay &amp; tax'!BT277-'Plan pay &amp; tax'!BS277-'Plan pay &amp; tax'!R277</f>
        <v>0</v>
      </c>
      <c r="H51" s="1" t="n">
        <f aca="false">IF(F51=1,F_CostsM*12,IF(RG_Exists=1,RG_Amount,F_CostsM*12*AS_RetireSpend))*E51+F_OneOffY*E51</f>
        <v>0</v>
      </c>
      <c r="I51" s="1" t="n">
        <f aca="false">HQ50</f>
        <v>0</v>
      </c>
      <c r="J51" s="1" t="n">
        <f aca="false">IF(I51&gt;1,'Plan debt months'!AC51,0)</f>
        <v>0</v>
      </c>
      <c r="K51" s="1" t="n">
        <f aca="false">IF(I51&gt;1,'Plan debt months'!AB51,I51)</f>
        <v>0</v>
      </c>
      <c r="L51" s="1" t="n">
        <f aca="false">N50</f>
        <v>0</v>
      </c>
      <c r="M51" s="1" t="n">
        <f aca="false">IF(L51&gt;1,'Plan debt months'!BD51,0)</f>
        <v>0</v>
      </c>
      <c r="N51" s="1" t="n">
        <f aca="false">IF(L51&gt;1,'Plan debt months'!BC51,L51)</f>
        <v>0</v>
      </c>
      <c r="O51" s="1" t="n">
        <f aca="false">Q50</f>
        <v>0</v>
      </c>
      <c r="P51" s="1" t="n">
        <f aca="false">IF(O51&gt;1,'Plan debt months'!CE51,0)</f>
        <v>0</v>
      </c>
      <c r="Q51" s="1" t="n">
        <f aca="false">IF(O51&gt;1,'Plan debt months'!CD51,O51)</f>
        <v>0</v>
      </c>
      <c r="R51" s="1" t="n">
        <f aca="false">J51+M51+P51</f>
        <v>0</v>
      </c>
      <c r="S51" s="1" t="n">
        <f aca="false">QJ50+'Plan pay &amp; tax'!Y277</f>
        <v>0</v>
      </c>
      <c r="T51" s="1" t="n">
        <f aca="false">QJ50</f>
        <v>0</v>
      </c>
      <c r="U51" s="1" t="n">
        <f aca="false">IF(AND(Slot1_On=1,D51=Slot1_Age),1,0)</f>
        <v>0</v>
      </c>
      <c r="V51" s="1" t="n">
        <f aca="false">IF(AND(Slot1_On=1,Slot1_Age&gt;D51),1,0)</f>
        <v>0</v>
      </c>
      <c r="W51" s="1" t="n">
        <f aca="false">QL50</f>
        <v>0</v>
      </c>
      <c r="X51" s="1" t="n">
        <f aca="false">U51*MIN(Slot1_Cost,W51)</f>
        <v>0</v>
      </c>
      <c r="Y51" s="1" t="n">
        <f aca="false">U51*Slot1_SpendLike*MIN(Slot1_Cost-X51,S51)</f>
        <v>0</v>
      </c>
      <c r="Z51" s="1" t="n">
        <f aca="false">X51+Y51</f>
        <v>0</v>
      </c>
      <c r="AA51" s="1" t="n">
        <f aca="false">S51-Y51+U51*IF(Slot1_SpendLike=1,W51-X51,IF(Slot1_PotFree=1,W51,0))</f>
        <v>0</v>
      </c>
      <c r="AB51" s="1" t="n">
        <f aca="false">AE51+U51*Slot1_BufPot*W51</f>
        <v>0</v>
      </c>
      <c r="AC51" s="1" t="n">
        <f aca="false">IF(AND(U51=1,Slot1_IsMfree=1),IF(Z51&gt;=Slot1_Cost-1,0,MAX(0,K51-Z51)),K51)</f>
        <v>0</v>
      </c>
      <c r="AD51" s="1" t="n">
        <f aca="false">U51*(Slot1_Cost-Z51)</f>
        <v>0</v>
      </c>
      <c r="AE51" s="1" t="n">
        <f aca="false">QK50</f>
        <v>0</v>
      </c>
      <c r="AF51" s="1" t="n">
        <f aca="false">IF(AND(Slot2_On=1,D51=Slot2_Age),1,0)</f>
        <v>0</v>
      </c>
      <c r="AG51" s="1" t="n">
        <f aca="false">IF(AND(Slot2_On=1,Slot2_Age&gt;D51),1,0)</f>
        <v>0</v>
      </c>
      <c r="AH51" s="1" t="n">
        <f aca="false">QP50</f>
        <v>0</v>
      </c>
      <c r="AI51" s="1" t="n">
        <f aca="false">AF51*MIN(Slot2_Cost,AH51)</f>
        <v>0</v>
      </c>
      <c r="AJ51" s="1" t="n">
        <f aca="false">AF51*Slot2_SpendLike*MIN(Slot2_Cost-AI51,AA51)</f>
        <v>0</v>
      </c>
      <c r="AK51" s="1" t="n">
        <f aca="false">AI51+AJ51</f>
        <v>0</v>
      </c>
      <c r="AL51" s="1" t="n">
        <f aca="false">AA51-AJ51+AF51*IF(Slot2_SpendLike=1,AH51-AI51,IF(Slot2_PotFree=1,AH51,0))</f>
        <v>0</v>
      </c>
      <c r="AM51" s="1" t="n">
        <f aca="false">AB51+AF51*Slot2_BufPot*AH51</f>
        <v>0</v>
      </c>
      <c r="AN51" s="1" t="n">
        <f aca="false">IF(AND(AF51=1,Slot2_IsMfree=1),IF(AK51&gt;=Slot2_Cost-1,0,MAX(0,AC51-AK51)),AC51)</f>
        <v>0</v>
      </c>
      <c r="AO51" s="1" t="n">
        <f aca="false">AF51*(Slot2_Cost-AK51)</f>
        <v>0</v>
      </c>
      <c r="AP51" s="1" t="n">
        <f aca="false">IF(AND(Slot3_On=1,D51=Slot3_Age),1,0)</f>
        <v>0</v>
      </c>
      <c r="AQ51" s="1" t="n">
        <f aca="false">IF(AND(Slot3_On=1,Slot3_Age&gt;D51),1,0)</f>
        <v>0</v>
      </c>
      <c r="AR51" s="1" t="n">
        <f aca="false">QT50</f>
        <v>0</v>
      </c>
      <c r="AS51" s="1" t="n">
        <f aca="false">AP51*MIN(Slot3_Cost,AR51)</f>
        <v>0</v>
      </c>
      <c r="AT51" s="1" t="n">
        <f aca="false">AP51*Slot3_SpendLike*MIN(Slot3_Cost-AS51,AL51)</f>
        <v>0</v>
      </c>
      <c r="AU51" s="1" t="n">
        <f aca="false">AS51+AT51</f>
        <v>0</v>
      </c>
      <c r="AV51" s="1" t="n">
        <f aca="false">AL51-AT51+AP51*IF(Slot3_SpendLike=1,AR51-AS51,IF(Slot3_PotFree=1,AR51,0))</f>
        <v>0</v>
      </c>
      <c r="AW51" s="1" t="n">
        <f aca="false">AM51+AP51*Slot3_BufPot*AR51</f>
        <v>0</v>
      </c>
      <c r="AX51" s="1" t="n">
        <f aca="false">IF(AND(AP51=1,Slot3_IsMfree=1),IF(AU51&gt;=Slot3_Cost-1,0,MAX(0,AN51-AU51)),AN51)</f>
        <v>0</v>
      </c>
      <c r="AY51" s="1" t="n">
        <f aca="false">AP51*(Slot3_Cost-AU51)</f>
        <v>0</v>
      </c>
      <c r="AZ51" s="1" t="n">
        <f aca="false">IF(AND(Slot4_On=1,D51=Slot4_Age),1,0)</f>
        <v>0</v>
      </c>
      <c r="BA51" s="1" t="n">
        <f aca="false">IF(AND(Slot4_On=1,Slot4_Age&gt;D51),1,0)</f>
        <v>0</v>
      </c>
      <c r="BB51" s="1" t="n">
        <f aca="false">QX50</f>
        <v>0</v>
      </c>
      <c r="BC51" s="1" t="n">
        <f aca="false">AZ51*MIN(Slot4_Cost,BB51)</f>
        <v>0</v>
      </c>
      <c r="BD51" s="1" t="n">
        <f aca="false">AZ51*Slot4_SpendLike*MIN(Slot4_Cost-BC51,AV51)</f>
        <v>0</v>
      </c>
      <c r="BE51" s="1" t="n">
        <f aca="false">BC51+BD51</f>
        <v>0</v>
      </c>
      <c r="BF51" s="1" t="n">
        <f aca="false">AV51-BD51+AZ51*IF(Slot4_SpendLike=1,BB51-BC51,IF(Slot4_PotFree=1,BB51,0))</f>
        <v>0</v>
      </c>
      <c r="BG51" s="1" t="n">
        <f aca="false">AW51+AZ51*Slot4_BufPot*BB51</f>
        <v>0</v>
      </c>
      <c r="BH51" s="1" t="n">
        <f aca="false">IF(AND(AZ51=1,Slot4_IsMfree=1),IF(BE51&gt;=Slot4_Cost-1,0,MAX(0,AX51-BE51)),AX51)</f>
        <v>0</v>
      </c>
      <c r="BI51" s="1" t="n">
        <f aca="false">AZ51*(Slot4_Cost-BE51)</f>
        <v>0</v>
      </c>
      <c r="BJ51" s="1" t="n">
        <f aca="false">IF(AND(Slot5_On=1,D51=Slot5_Age),1,0)</f>
        <v>0</v>
      </c>
      <c r="BK51" s="1" t="n">
        <f aca="false">IF(AND(Slot5_On=1,Slot5_Age&gt;D51),1,0)</f>
        <v>0</v>
      </c>
      <c r="BL51" s="1" t="n">
        <f aca="false">RB50</f>
        <v>0</v>
      </c>
      <c r="BM51" s="1" t="n">
        <f aca="false">BJ51*MIN(Slot5_Cost,BL51)</f>
        <v>0</v>
      </c>
      <c r="BN51" s="1" t="n">
        <f aca="false">BJ51*Slot5_SpendLike*MIN(Slot5_Cost-BM51,BF51)</f>
        <v>0</v>
      </c>
      <c r="BO51" s="1" t="n">
        <f aca="false">BM51+BN51</f>
        <v>0</v>
      </c>
      <c r="BP51" s="1" t="n">
        <f aca="false">BF51-BN51+BJ51*IF(Slot5_SpendLike=1,BL51-BM51,IF(Slot5_PotFree=1,BL51,0))</f>
        <v>0</v>
      </c>
      <c r="BQ51" s="1" t="n">
        <f aca="false">BG51+BJ51*Slot5_BufPot*BL51</f>
        <v>0</v>
      </c>
      <c r="BR51" s="1" t="n">
        <f aca="false">IF(AND(BJ51=1,Slot5_IsMfree=1),IF(BO51&gt;=Slot5_Cost-1,0,MAX(0,BH51-BO51)),BH51)</f>
        <v>0</v>
      </c>
      <c r="BS51" s="1" t="n">
        <f aca="false">BJ51*(Slot5_Cost-BO51)</f>
        <v>0</v>
      </c>
      <c r="BT51" s="1" t="n">
        <f aca="false">IF(AND(Slot6_On=1,D51=Slot6_Age),1,0)</f>
        <v>0</v>
      </c>
      <c r="BU51" s="1" t="n">
        <f aca="false">IF(AND(Slot6_On=1,Slot6_Age&gt;D51),1,0)</f>
        <v>0</v>
      </c>
      <c r="BV51" s="1" t="n">
        <f aca="false">RF50</f>
        <v>0</v>
      </c>
      <c r="BW51" s="1" t="n">
        <f aca="false">BT51*MIN(Slot6_Cost,BV51)</f>
        <v>0</v>
      </c>
      <c r="BX51" s="1" t="n">
        <f aca="false">BT51*Slot6_SpendLike*MIN(Slot6_Cost-BW51,BP51)</f>
        <v>0</v>
      </c>
      <c r="BY51" s="1" t="n">
        <f aca="false">BW51+BX51</f>
        <v>0</v>
      </c>
      <c r="BZ51" s="1" t="n">
        <f aca="false">BP51-BX51+BT51*IF(Slot6_SpendLike=1,BV51-BW51,IF(Slot6_PotFree=1,BV51,0))</f>
        <v>0</v>
      </c>
      <c r="CA51" s="1" t="n">
        <f aca="false">BQ51+BT51*Slot6_BufPot*BV51</f>
        <v>0</v>
      </c>
      <c r="CB51" s="1" t="n">
        <f aca="false">IF(AND(BT51=1,Slot6_IsMfree=1),IF(BY51&gt;=Slot6_Cost-1,0,MAX(0,BR51-BY51)),BR51)</f>
        <v>0</v>
      </c>
      <c r="CC51" s="1" t="n">
        <f aca="false">BT51*(Slot6_Cost-BY51)</f>
        <v>0</v>
      </c>
      <c r="CD51" s="1" t="n">
        <f aca="false">IF(AND(Slot7_On=1,D51=Slot7_Age),1,0)</f>
        <v>0</v>
      </c>
      <c r="CE51" s="1" t="n">
        <f aca="false">IF(AND(Slot7_On=1,Slot7_Age&gt;D51),1,0)</f>
        <v>0</v>
      </c>
      <c r="CF51" s="1" t="n">
        <f aca="false">RJ50</f>
        <v>0</v>
      </c>
      <c r="CG51" s="1" t="n">
        <f aca="false">CD51*MIN(Slot7_Cost,CF51)</f>
        <v>0</v>
      </c>
      <c r="CH51" s="1" t="n">
        <f aca="false">CD51*Slot7_SpendLike*MIN(Slot7_Cost-CG51,BZ51)</f>
        <v>0</v>
      </c>
      <c r="CI51" s="1" t="n">
        <f aca="false">CG51+CH51</f>
        <v>0</v>
      </c>
      <c r="CJ51" s="1" t="n">
        <f aca="false">BZ51-CH51+CD51*IF(Slot7_SpendLike=1,CF51-CG51,IF(Slot7_PotFree=1,CF51,0))</f>
        <v>0</v>
      </c>
      <c r="CK51" s="1" t="n">
        <f aca="false">CA51+CD51*Slot7_BufPot*CF51</f>
        <v>0</v>
      </c>
      <c r="CL51" s="1" t="n">
        <f aca="false">IF(AND(CD51=1,Slot7_IsMfree=1),IF(CI51&gt;=Slot7_Cost-1,0,MAX(0,CB51-CI51)),CB51)</f>
        <v>0</v>
      </c>
      <c r="CM51" s="1" t="n">
        <f aca="false">CD51*(Slot7_Cost-CI51)</f>
        <v>0</v>
      </c>
      <c r="CN51" s="1" t="n">
        <f aca="false">IF(AND(Slot8_On=1,D51=Slot8_Age),1,0)</f>
        <v>0</v>
      </c>
      <c r="CO51" s="1" t="n">
        <f aca="false">IF(AND(Slot8_On=1,Slot8_Age&gt;D51),1,0)</f>
        <v>0</v>
      </c>
      <c r="CP51" s="1" t="n">
        <f aca="false">RN50</f>
        <v>0</v>
      </c>
      <c r="CQ51" s="1" t="n">
        <f aca="false">CN51*MIN(Slot8_Cost,CP51)</f>
        <v>0</v>
      </c>
      <c r="CR51" s="1" t="n">
        <f aca="false">CN51*Slot8_SpendLike*MIN(Slot8_Cost-CQ51,CJ51)</f>
        <v>0</v>
      </c>
      <c r="CS51" s="1" t="n">
        <f aca="false">CQ51+CR51</f>
        <v>0</v>
      </c>
      <c r="CT51" s="1" t="n">
        <f aca="false">CJ51-CR51+CN51*IF(Slot8_SpendLike=1,CP51-CQ51,IF(Slot8_PotFree=1,CP51,0))</f>
        <v>0</v>
      </c>
      <c r="CU51" s="1" t="n">
        <f aca="false">CK51+CN51*Slot8_BufPot*CP51</f>
        <v>0</v>
      </c>
      <c r="CV51" s="1" t="n">
        <f aca="false">IF(AND(CN51=1,Slot8_IsMfree=1),IF(CS51&gt;=Slot8_Cost-1,0,MAX(0,CL51-CS51)),CL51)</f>
        <v>0</v>
      </c>
      <c r="CW51" s="1" t="n">
        <f aca="false">CN51*(Slot8_Cost-CS51)</f>
        <v>0</v>
      </c>
      <c r="CX51" s="1" t="n">
        <f aca="false">IF(AND(Slot9_On=1,D51=Slot9_Age),1,0)</f>
        <v>0</v>
      </c>
      <c r="CY51" s="1" t="n">
        <f aca="false">IF(AND(Slot9_On=1,Slot9_Age&gt;D51),1,0)</f>
        <v>0</v>
      </c>
      <c r="CZ51" s="1" t="n">
        <f aca="false">RR50</f>
        <v>0</v>
      </c>
      <c r="DA51" s="1" t="n">
        <f aca="false">CX51*MIN(Slot9_Cost,CZ51)</f>
        <v>0</v>
      </c>
      <c r="DB51" s="1" t="n">
        <f aca="false">CX51*Slot9_SpendLike*MIN(Slot9_Cost-DA51,CT51)</f>
        <v>0</v>
      </c>
      <c r="DC51" s="1" t="n">
        <f aca="false">DA51+DB51</f>
        <v>0</v>
      </c>
      <c r="DD51" s="1" t="n">
        <f aca="false">CT51-DB51+CX51*IF(Slot9_SpendLike=1,CZ51-DA51,IF(Slot9_PotFree=1,CZ51,0))</f>
        <v>0</v>
      </c>
      <c r="DE51" s="1" t="n">
        <f aca="false">CU51+CX51*Slot9_BufPot*CZ51</f>
        <v>0</v>
      </c>
      <c r="DF51" s="1" t="n">
        <f aca="false">IF(AND(CX51=1,Slot9_IsMfree=1),IF(DC51&gt;=Slot9_Cost-1,0,MAX(0,CV51-DC51)),CV51)</f>
        <v>0</v>
      </c>
      <c r="DG51" s="1" t="n">
        <f aca="false">CX51*(Slot9_Cost-DC51)</f>
        <v>0</v>
      </c>
      <c r="DH51" s="1" t="n">
        <f aca="false">IF(AND(Slot10_On=1,D51=Slot10_Age),1,0)</f>
        <v>0</v>
      </c>
      <c r="DI51" s="1" t="n">
        <f aca="false">IF(AND(Slot10_On=1,Slot10_Age&gt;D51),1,0)</f>
        <v>0</v>
      </c>
      <c r="DJ51" s="1" t="n">
        <f aca="false">RV50</f>
        <v>0</v>
      </c>
      <c r="DK51" s="1" t="n">
        <f aca="false">DH51*MIN(Slot10_Cost,DJ51)</f>
        <v>0</v>
      </c>
      <c r="DL51" s="1" t="n">
        <f aca="false">DH51*Slot10_SpendLike*MIN(Slot10_Cost-DK51,DD51)</f>
        <v>0</v>
      </c>
      <c r="DM51" s="1" t="n">
        <f aca="false">DK51+DL51</f>
        <v>0</v>
      </c>
      <c r="DN51" s="1" t="n">
        <f aca="false">DD51-DL51+DH51*IF(Slot10_SpendLike=1,DJ51-DK51,IF(Slot10_PotFree=1,DJ51,0))</f>
        <v>0</v>
      </c>
      <c r="DO51" s="1" t="n">
        <f aca="false">DE51+DH51*Slot10_BufPot*DJ51</f>
        <v>0</v>
      </c>
      <c r="DP51" s="1" t="n">
        <f aca="false">IF(AND(DH51=1,Slot10_IsMfree=1),IF(DM51&gt;=Slot10_Cost-1,0,MAX(0,DF51-DM51)),DF51)</f>
        <v>0</v>
      </c>
      <c r="DQ51" s="1" t="n">
        <f aca="false">DH51*(Slot10_Cost-DM51)</f>
        <v>0</v>
      </c>
      <c r="DR51" s="1" t="n">
        <f aca="false">IF(AND(Slot11_On=1,D51=Slot11_Age),1,0)</f>
        <v>0</v>
      </c>
      <c r="DS51" s="1" t="n">
        <f aca="false">IF(AND(Slot11_On=1,Slot11_Age&gt;D51),1,0)</f>
        <v>0</v>
      </c>
      <c r="DT51" s="1" t="n">
        <f aca="false">RZ50</f>
        <v>0</v>
      </c>
      <c r="DU51" s="1" t="n">
        <f aca="false">DR51*MIN(Slot11_Cost,DT51)</f>
        <v>0</v>
      </c>
      <c r="DV51" s="1" t="n">
        <f aca="false">DR51*Slot11_SpendLike*MIN(Slot11_Cost-DU51,DN51)</f>
        <v>0</v>
      </c>
      <c r="DW51" s="1" t="n">
        <f aca="false">DU51+DV51</f>
        <v>0</v>
      </c>
      <c r="DX51" s="1" t="n">
        <f aca="false">DN51-DV51+DR51*IF(Slot11_SpendLike=1,DT51-DU51,IF(Slot11_PotFree=1,DT51,0))</f>
        <v>0</v>
      </c>
      <c r="DY51" s="1" t="n">
        <f aca="false">DO51+DR51*Slot11_BufPot*DT51</f>
        <v>0</v>
      </c>
      <c r="DZ51" s="1" t="n">
        <f aca="false">IF(AND(DR51=1,Slot11_IsMfree=1),IF(DW51&gt;=Slot11_Cost-1,0,MAX(0,DP51-DW51)),DP51)</f>
        <v>0</v>
      </c>
      <c r="EA51" s="1" t="n">
        <f aca="false">DR51*(Slot11_Cost-DW51)</f>
        <v>0</v>
      </c>
      <c r="EB51" s="1" t="n">
        <f aca="false">IF(AND(Slot12_On=1,D51=Slot12_Age),1,0)</f>
        <v>0</v>
      </c>
      <c r="EC51" s="1" t="n">
        <f aca="false">IF(AND(Slot12_On=1,Slot12_Age&gt;D51),1,0)</f>
        <v>0</v>
      </c>
      <c r="ED51" s="1" t="n">
        <f aca="false">SD50</f>
        <v>0</v>
      </c>
      <c r="EE51" s="1" t="n">
        <f aca="false">EB51*MIN(Slot12_Cost,ED51)</f>
        <v>0</v>
      </c>
      <c r="EF51" s="1" t="n">
        <f aca="false">EB51*Slot12_SpendLike*MIN(Slot12_Cost-EE51,DX51)</f>
        <v>0</v>
      </c>
      <c r="EG51" s="1" t="n">
        <f aca="false">EE51+EF51</f>
        <v>0</v>
      </c>
      <c r="EH51" s="1" t="n">
        <f aca="false">DX51-EF51+EB51*IF(Slot12_SpendLike=1,ED51-EE51,IF(Slot12_PotFree=1,ED51,0))</f>
        <v>0</v>
      </c>
      <c r="EI51" s="1" t="n">
        <f aca="false">DY51+EB51*Slot12_BufPot*ED51</f>
        <v>0</v>
      </c>
      <c r="EJ51" s="1" t="n">
        <f aca="false">IF(AND(EB51=1,Slot12_IsMfree=1),IF(EG51&gt;=Slot12_Cost-1,0,MAX(0,DZ51-EG51)),DZ51)</f>
        <v>0</v>
      </c>
      <c r="EK51" s="1" t="n">
        <f aca="false">EB51*(Slot12_Cost-EG51)</f>
        <v>0</v>
      </c>
      <c r="EL51" s="1" t="n">
        <f aca="false">IF(AND(Slot13_On=1,D51=Slot13_Age),1,0)</f>
        <v>0</v>
      </c>
      <c r="EM51" s="1" t="n">
        <f aca="false">IF(AND(Slot13_On=1,Slot13_Age&gt;D51),1,0)</f>
        <v>0</v>
      </c>
      <c r="EN51" s="1" t="n">
        <f aca="false">SH50</f>
        <v>0</v>
      </c>
      <c r="EO51" s="1" t="n">
        <f aca="false">EL51*MIN(Slot13_Cost,EN51)</f>
        <v>0</v>
      </c>
      <c r="EP51" s="1" t="n">
        <f aca="false">EL51*Slot13_SpendLike*MIN(Slot13_Cost-EO51,EH51)</f>
        <v>0</v>
      </c>
      <c r="EQ51" s="1" t="n">
        <f aca="false">EO51+EP51</f>
        <v>0</v>
      </c>
      <c r="ER51" s="1" t="n">
        <f aca="false">EH51-EP51+EL51*IF(Slot13_SpendLike=1,EN51-EO51,IF(Slot13_PotFree=1,EN51,0))</f>
        <v>0</v>
      </c>
      <c r="ES51" s="1" t="n">
        <f aca="false">EI51+EL51*Slot13_BufPot*EN51</f>
        <v>0</v>
      </c>
      <c r="ET51" s="1" t="n">
        <f aca="false">IF(AND(EL51=1,Slot13_IsMfree=1),IF(EQ51&gt;=Slot13_Cost-1,0,MAX(0,EJ51-EQ51)),EJ51)</f>
        <v>0</v>
      </c>
      <c r="EU51" s="1" t="n">
        <f aca="false">EL51*(Slot13_Cost-EQ51)</f>
        <v>0</v>
      </c>
      <c r="EV51" s="1" t="n">
        <f aca="false">IF(AND(Slot14_On=1,D51=Slot14_Age),1,0)</f>
        <v>0</v>
      </c>
      <c r="EW51" s="1" t="n">
        <f aca="false">IF(AND(Slot14_On=1,Slot14_Age&gt;D51),1,0)</f>
        <v>0</v>
      </c>
      <c r="EX51" s="1" t="n">
        <f aca="false">SL50</f>
        <v>0</v>
      </c>
      <c r="EY51" s="1" t="n">
        <f aca="false">EV51*MIN(Slot14_Cost,EX51)</f>
        <v>0</v>
      </c>
      <c r="EZ51" s="1" t="n">
        <f aca="false">EV51*Slot14_SpendLike*MIN(Slot14_Cost-EY51,ER51)</f>
        <v>0</v>
      </c>
      <c r="FA51" s="1" t="n">
        <f aca="false">EY51+EZ51</f>
        <v>0</v>
      </c>
      <c r="FB51" s="1" t="n">
        <f aca="false">ER51-EZ51+EV51*IF(Slot14_SpendLike=1,EX51-EY51,IF(Slot14_PotFree=1,EX51,0))</f>
        <v>0</v>
      </c>
      <c r="FC51" s="1" t="n">
        <f aca="false">ES51+EV51*Slot14_BufPot*EX51</f>
        <v>0</v>
      </c>
      <c r="FD51" s="1" t="n">
        <f aca="false">IF(AND(EV51=1,Slot14_IsMfree=1),IF(FA51&gt;=Slot14_Cost-1,0,MAX(0,ET51-FA51)),ET51)</f>
        <v>0</v>
      </c>
      <c r="FE51" s="1" t="n">
        <f aca="false">EV51*(Slot14_Cost-FA51)</f>
        <v>0</v>
      </c>
      <c r="FF51" s="1" t="n">
        <f aca="false">IF(AND(Slot15_On=1,D51=Slot15_Age),1,0)</f>
        <v>0</v>
      </c>
      <c r="FG51" s="1" t="n">
        <f aca="false">IF(AND(Slot15_On=1,Slot15_Age&gt;D51),1,0)</f>
        <v>0</v>
      </c>
      <c r="FH51" s="1" t="n">
        <f aca="false">SP50</f>
        <v>0</v>
      </c>
      <c r="FI51" s="1" t="n">
        <f aca="false">FF51*MIN(Slot15_Cost,FH51)</f>
        <v>0</v>
      </c>
      <c r="FJ51" s="1" t="n">
        <f aca="false">FF51*Slot15_SpendLike*MIN(Slot15_Cost-FI51,FB51)</f>
        <v>0</v>
      </c>
      <c r="FK51" s="1" t="n">
        <f aca="false">FI51+FJ51</f>
        <v>0</v>
      </c>
      <c r="FL51" s="1" t="n">
        <f aca="false">FB51-FJ51+FF51*IF(Slot15_SpendLike=1,FH51-FI51,IF(Slot15_PotFree=1,FH51,0))</f>
        <v>0</v>
      </c>
      <c r="FM51" s="1" t="n">
        <f aca="false">FC51+FF51*Slot15_BufPot*FH51</f>
        <v>0</v>
      </c>
      <c r="FN51" s="1" t="n">
        <f aca="false">IF(AND(FF51=1,Slot15_IsMfree=1),IF(FK51&gt;=Slot15_Cost-1,0,MAX(0,FD51-FK51)),FD51)</f>
        <v>0</v>
      </c>
      <c r="FO51" s="1" t="n">
        <f aca="false">FF51*(Slot15_Cost-FK51)</f>
        <v>0</v>
      </c>
      <c r="FP51" s="1" t="n">
        <f aca="false">IF(AND(Slot16_On=1,D51=Slot16_Age),1,0)</f>
        <v>0</v>
      </c>
      <c r="FQ51" s="1" t="n">
        <f aca="false">IF(AND(Slot16_On=1,Slot16_Age&gt;D51),1,0)</f>
        <v>0</v>
      </c>
      <c r="FR51" s="1" t="n">
        <f aca="false">ST50</f>
        <v>0</v>
      </c>
      <c r="FS51" s="1" t="n">
        <f aca="false">FP51*MIN(Slot16_Cost,FR51)</f>
        <v>0</v>
      </c>
      <c r="FT51" s="1" t="n">
        <f aca="false">FP51*Slot16_SpendLike*MIN(Slot16_Cost-FS51,FL51)</f>
        <v>0</v>
      </c>
      <c r="FU51" s="1" t="n">
        <f aca="false">FS51+FT51</f>
        <v>0</v>
      </c>
      <c r="FV51" s="1" t="n">
        <f aca="false">FL51-FT51+FP51*IF(Slot16_SpendLike=1,FR51-FS51,IF(Slot16_PotFree=1,FR51,0))</f>
        <v>0</v>
      </c>
      <c r="FW51" s="1" t="n">
        <f aca="false">FM51+FP51*Slot16_BufPot*FR51</f>
        <v>0</v>
      </c>
      <c r="FX51" s="1" t="n">
        <f aca="false">IF(AND(FP51=1,Slot16_IsMfree=1),IF(FU51&gt;=Slot16_Cost-1,0,MAX(0,FN51-FU51)),FN51)</f>
        <v>0</v>
      </c>
      <c r="FY51" s="1" t="n">
        <f aca="false">FP51*(Slot16_Cost-FU51)</f>
        <v>0</v>
      </c>
      <c r="FZ51" s="1" t="n">
        <f aca="false">IF(AND(Slot17_On=1,D51=Slot17_Age),1,0)</f>
        <v>0</v>
      </c>
      <c r="GA51" s="1" t="n">
        <f aca="false">IF(AND(Slot17_On=1,Slot17_Age&gt;D51),1,0)</f>
        <v>0</v>
      </c>
      <c r="GB51" s="1" t="n">
        <f aca="false">SX50</f>
        <v>0</v>
      </c>
      <c r="GC51" s="1" t="n">
        <f aca="false">FZ51*MIN(Slot17_Cost,GB51)</f>
        <v>0</v>
      </c>
      <c r="GD51" s="1" t="n">
        <f aca="false">FZ51*Slot17_SpendLike*MIN(Slot17_Cost-GC51,FV51)</f>
        <v>0</v>
      </c>
      <c r="GE51" s="1" t="n">
        <f aca="false">GC51+GD51</f>
        <v>0</v>
      </c>
      <c r="GF51" s="1" t="n">
        <f aca="false">FV51-GD51+FZ51*IF(Slot17_SpendLike=1,GB51-GC51,IF(Slot17_PotFree=1,GB51,0))</f>
        <v>0</v>
      </c>
      <c r="GG51" s="1" t="n">
        <f aca="false">FW51+FZ51*Slot17_BufPot*GB51</f>
        <v>0</v>
      </c>
      <c r="GH51" s="1" t="n">
        <f aca="false">IF(AND(FZ51=1,Slot17_IsMfree=1),IF(GE51&gt;=Slot17_Cost-1,0,MAX(0,FX51-GE51)),FX51)</f>
        <v>0</v>
      </c>
      <c r="GI51" s="1" t="n">
        <f aca="false">FZ51*(Slot17_Cost-GE51)</f>
        <v>0</v>
      </c>
      <c r="GJ51" s="1" t="n">
        <f aca="false">IF(AND(Slot18_On=1,D51=Slot18_Age),1,0)</f>
        <v>0</v>
      </c>
      <c r="GK51" s="1" t="n">
        <f aca="false">IF(AND(Slot18_On=1,Slot18_Age&gt;D51),1,0)</f>
        <v>0</v>
      </c>
      <c r="GL51" s="1" t="n">
        <f aca="false">TB50</f>
        <v>0</v>
      </c>
      <c r="GM51" s="1" t="n">
        <f aca="false">GJ51*MIN(Slot18_Cost,GL51)</f>
        <v>0</v>
      </c>
      <c r="GN51" s="1" t="n">
        <f aca="false">GJ51*Slot18_SpendLike*MIN(Slot18_Cost-GM51,GF51)</f>
        <v>0</v>
      </c>
      <c r="GO51" s="1" t="n">
        <f aca="false">GM51+GN51</f>
        <v>0</v>
      </c>
      <c r="GP51" s="1" t="n">
        <f aca="false">GF51-GN51+GJ51*IF(Slot18_SpendLike=1,GL51-GM51,IF(Slot18_PotFree=1,GL51,0))</f>
        <v>0</v>
      </c>
      <c r="GQ51" s="1" t="n">
        <f aca="false">GG51+GJ51*Slot18_BufPot*GL51</f>
        <v>0</v>
      </c>
      <c r="GR51" s="1" t="n">
        <f aca="false">IF(AND(GJ51=1,Slot18_IsMfree=1),IF(GO51&gt;=Slot18_Cost-1,0,MAX(0,GH51-GO51)),GH51)</f>
        <v>0</v>
      </c>
      <c r="GS51" s="1" t="n">
        <f aca="false">GJ51*(Slot18_Cost-GO51)</f>
        <v>0</v>
      </c>
      <c r="GT51" s="1" t="n">
        <f aca="false">IF(AND(Slot19_On=1,D51=Slot19_Age),1,0)</f>
        <v>0</v>
      </c>
      <c r="GU51" s="1" t="n">
        <f aca="false">IF(AND(Slot19_On=1,Slot19_Age&gt;D51),1,0)</f>
        <v>0</v>
      </c>
      <c r="GV51" s="1" t="n">
        <f aca="false">TF50</f>
        <v>0</v>
      </c>
      <c r="GW51" s="1" t="n">
        <f aca="false">GT51*MIN(Slot19_Cost,GV51)</f>
        <v>0</v>
      </c>
      <c r="GX51" s="1" t="n">
        <f aca="false">GT51*Slot19_SpendLike*MIN(Slot19_Cost-GW51,GP51)</f>
        <v>0</v>
      </c>
      <c r="GY51" s="1" t="n">
        <f aca="false">GW51+GX51</f>
        <v>0</v>
      </c>
      <c r="GZ51" s="1" t="n">
        <f aca="false">GP51-GX51+GT51*IF(Slot19_SpendLike=1,GV51-GW51,IF(Slot19_PotFree=1,GV51,0))</f>
        <v>0</v>
      </c>
      <c r="HA51" s="1" t="n">
        <f aca="false">GQ51+GT51*Slot19_BufPot*GV51</f>
        <v>0</v>
      </c>
      <c r="HB51" s="1" t="n">
        <f aca="false">IF(AND(GT51=1,Slot19_IsMfree=1),IF(GY51&gt;=Slot19_Cost-1,0,MAX(0,GR51-GY51)),GR51)</f>
        <v>0</v>
      </c>
      <c r="HC51" s="1" t="n">
        <f aca="false">GT51*(Slot19_Cost-GY51)</f>
        <v>0</v>
      </c>
      <c r="HD51" s="1" t="n">
        <f aca="false">IF(AND(Slot20_On=1,D51=Slot20_Age),1,0)</f>
        <v>0</v>
      </c>
      <c r="HE51" s="1" t="n">
        <f aca="false">IF(AND(Slot20_On=1,Slot20_Age&gt;D51),1,0)</f>
        <v>0</v>
      </c>
      <c r="HF51" s="1" t="n">
        <f aca="false">TJ50</f>
        <v>0</v>
      </c>
      <c r="HG51" s="1" t="n">
        <f aca="false">HD51*MIN(Slot20_Cost,HF51)</f>
        <v>0</v>
      </c>
      <c r="HH51" s="1" t="n">
        <f aca="false">HD51*Slot20_SpendLike*MIN(Slot20_Cost-HG51,GZ51)</f>
        <v>0</v>
      </c>
      <c r="HI51" s="1" t="n">
        <f aca="false">HG51+HH51</f>
        <v>0</v>
      </c>
      <c r="HJ51" s="1" t="n">
        <f aca="false">GZ51-HH51+HD51*IF(Slot20_SpendLike=1,HF51-HG51,IF(Slot20_PotFree=1,HF51,0))</f>
        <v>0</v>
      </c>
      <c r="HK51" s="1" t="n">
        <f aca="false">HA51+HD51*Slot20_BufPot*HF51</f>
        <v>0</v>
      </c>
      <c r="HL51" s="1" t="n">
        <f aca="false">IF(AND(HD51=1,Slot20_IsMfree=1),IF(HI51&gt;=Slot20_Cost-1,0,MAX(0,HB51-HI51)),HB51)</f>
        <v>0</v>
      </c>
      <c r="HM51" s="1" t="n">
        <f aca="false">HD51*(Slot20_Cost-HI51)</f>
        <v>0</v>
      </c>
      <c r="HN51" s="1" t="n">
        <f aca="false">U51*Slot1_SpendLike*Z51+AF51*Slot2_SpendLike*AK51+AP51*Slot3_SpendLike*AU51+AZ51*Slot4_SpendLike*BE51+BJ51*Slot5_SpendLike*BO51+BT51*Slot6_SpendLike*BY51+CD51*Slot7_SpendLike*CI51+CN51*Slot8_SpendLike*CS51+CX51*Slot9_SpendLike*DC51+DH51*Slot10_SpendLike*DM51+DR51*Slot11_SpendLike*DW51+EB51*Slot12_SpendLike*EG51+EL51*Slot13_SpendLike*EQ51+EV51*Slot14_SpendLike*FA51+FF51*Slot15_SpendLike*FK51+FP51*Slot16_SpendLike*FU51+FZ51*Slot17_SpendLike*GE51+GJ51*Slot18_SpendLike*GO51+GT51*Slot19_SpendLike*GY51+HD51*Slot20_SpendLike*HI51</f>
        <v>0</v>
      </c>
      <c r="HO51" s="1" t="n">
        <f aca="false">AD51+AO51+AY51+BI51+BS51+CC51+CM51+CW51+DG51+DQ51+EA51+EK51+EU51+FE51+FO51+FY51+GI51+GS51+HC51+HM51</f>
        <v>0</v>
      </c>
      <c r="HP51" s="1" t="n">
        <f aca="false">U51*Slot1_Cost+AF51*Slot2_Cost+AP51*Slot3_Cost+AZ51*Slot4_Cost+BJ51*Slot5_Cost+BT51*Slot6_Cost+CD51*Slot7_Cost+CN51*Slot8_Cost+CX51*Slot9_Cost+DH51*Slot10_Cost+DR51*Slot11_Cost+EB51*Slot12_Cost+EL51*Slot13_Cost+EV51*Slot14_Cost+FF51*Slot15_Cost+FP51*Slot16_Cost+FZ51*Slot17_Cost+GJ51*Slot18_Cost+GT51*Slot19_Cost+HD51*Slot20_Cost</f>
        <v>0</v>
      </c>
      <c r="HQ51" s="1" t="n">
        <f aca="false">HL51</f>
        <v>0</v>
      </c>
      <c r="HR51" s="1" t="n">
        <f aca="false">G51-H51-R51</f>
        <v>0</v>
      </c>
      <c r="HS51" s="1" t="n">
        <f aca="false">IF(B51=0,IF(AND(Has_q6=1,In_q6=4),PR_ShareVaries*(MAX(0,HR51)/12),MIN(IF(Has_q6=1,CHOOSE(In_q6+1,PR_SaveB1,PR_SaveB2,PR_SaveB3,PR_SaveB4,0),AS_NoAnswer),AS_SaveShare*(MAX(0,HR51)/12))),HS50)</f>
        <v>0</v>
      </c>
      <c r="HT51" s="1" t="n">
        <f aca="false">IF(HR51&gt;=0,1,0)</f>
        <v>1</v>
      </c>
      <c r="HU51" s="1" t="n">
        <f aca="false">MAX(0,HR51/12/E51)</f>
        <v>0</v>
      </c>
      <c r="HV51" s="1" t="n">
        <f aca="false">IF(AND(Has_q6=1,In_q6=4),PR_ShareVaries*(HU51),MIN(IF(Has_q6=1,CHOOSE(In_q6+1,PR_SaveB1,PR_SaveB2,PR_SaveB3,PR_SaveB4,0),AS_NoAnswer),AS_SaveShare*(HU51)))</f>
        <v>0</v>
      </c>
      <c r="HW51" s="1" t="n">
        <f aca="false">IF(Has_saveM=1,IF(In_saveUp="Yes",1,IF(In_saveUp="No",0,IF(In_saveM&gt;=HS51-0.5,1,0))),0)</f>
        <v>0</v>
      </c>
      <c r="HX51" s="1" t="n">
        <f aca="false">IF(Has_saveM=1,MIN(HU51,IF(HW51=1,MAX(In_saveM,HV51),MIN(In_saveM,HV51))),HV51)</f>
        <v>0</v>
      </c>
      <c r="HY51" s="1" t="n">
        <f aca="false">IF(F51=1,HX51*12*E51,0)</f>
        <v>0</v>
      </c>
      <c r="HZ51" s="1" t="n">
        <f aca="false">MAX(0,HY51+IF(AND(WI_Retire=0,WI_M&lt;0,F51=1),WI_M*12*E51,0))</f>
        <v>0</v>
      </c>
      <c r="IA51" s="1" t="n">
        <f aca="false">Slot1_IsWG*V51+Slot2_IsWG*AG51+Slot3_IsWG*AQ51+Slot4_IsWG*BA51+Slot5_IsWG*BK51+Slot6_IsWG*BU51+Slot7_IsWG*CE51+Slot8_IsWG*CO51+Slot9_IsWG*CY51+Slot10_IsWG*DI51+Slot11_IsWG*DS51+Slot12_IsWG*EC51+Slot13_IsWG*EM51+Slot14_IsWG*EW51+Slot15_IsWG*FG51+Slot16_IsWG*FQ51+Slot17_IsWG*GA51+Slot18_IsWG*GK51+Slot19_IsWG*GU51+Slot20_IsWG*HE51</f>
        <v>0</v>
      </c>
      <c r="IB51" s="1" t="n">
        <f aca="false">IF(AND(WI_Retire=0,WI_M&gt;0,F51=1,IA51&gt;=1),WI_M*12*E51,0)</f>
        <v>0</v>
      </c>
      <c r="IC51" s="1" t="n">
        <f aca="false">IF(HT51=1,MIN(HZ51,HR51),0)</f>
        <v>0</v>
      </c>
      <c r="ID51" s="1" t="n">
        <f aca="false">IF(HT51=1,MIN(IB51,HR51-IC51),0)</f>
        <v>0</v>
      </c>
      <c r="IE51" s="1" t="n">
        <f aca="false">IF(V51=1,IF(ABS((1+AS_Wage)/(1+Slot1_Rate)-1)&lt;0.000000000001,(Slot1_Age-D51)*(1+Slot1_Rate)^(Slot1_Age-D51),(1+Slot1_Rate)^(Slot1_Age-D51)*(1-((1+AS_Wage)/(1+Slot1_Rate))^(Slot1_Age-D51))/(1-(1+AS_Wage)/(1+Slot1_Rate))),1)</f>
        <v>1</v>
      </c>
      <c r="IF51" s="1" t="n">
        <f aca="false">IF(AND(HT51=1,ID51&gt;0,Slot1_IsWG=1,V51=1),MAX(0,(Slot1_Cost-W51*(1+Slot1_Rate)^(Slot1_Age-D51))/IE51),0)</f>
        <v>0</v>
      </c>
      <c r="IG51" s="1" t="n">
        <f aca="false">IF(AND(HT51=1,ID51&gt;0,Slot1_IsWG=1,V51=1),MIN(ID51,IF51),0)</f>
        <v>0</v>
      </c>
      <c r="IH51" s="1" t="n">
        <f aca="false">W51+IG51</f>
        <v>0</v>
      </c>
      <c r="II51" s="1" t="n">
        <f aca="false">IF(V51=1,MAX(0,(Slot1_Cost-IH51*(1+Slot1_Rate)^(Slot1_Age-D51))/IE51),0)</f>
        <v>0</v>
      </c>
      <c r="IJ51" s="1" t="n">
        <f aca="false">IF(V51=1,MAX(0,(Slot1_Cost-W51*(1+Slot1_Rate)^(Slot1_Age-D51))/IE51),0)</f>
        <v>0</v>
      </c>
      <c r="IK51" s="1" t="n">
        <f aca="false">IF(AND(HT51=1,V51=1),MIN(IC51,II51),0)</f>
        <v>0</v>
      </c>
      <c r="IL51" s="1" t="n">
        <f aca="false">IC51-IK51</f>
        <v>0</v>
      </c>
      <c r="IM51" s="1" t="n">
        <f aca="false">IF(AG51=1,IF(ABS((1+AS_Wage)/(1+Slot2_Rate)-1)&lt;0.000000000001,(Slot2_Age-D51)*(1+Slot2_Rate)^(Slot2_Age-D51),(1+Slot2_Rate)^(Slot2_Age-D51)*(1-((1+AS_Wage)/(1+Slot2_Rate))^(Slot2_Age-D51))/(1-(1+AS_Wage)/(1+Slot2_Rate))),1)</f>
        <v>1</v>
      </c>
      <c r="IN51" s="1" t="n">
        <f aca="false">IF(AND(HT51=1,ID51&gt;0,Slot2_IsWG=1,AG51=1),MAX(0,(Slot2_Cost-AH51*(1+Slot2_Rate)^(Slot2_Age-D51))/IM51),0)</f>
        <v>0</v>
      </c>
      <c r="IO51" s="1" t="n">
        <f aca="false">IF(AND(HT51=1,ID51&gt;0,Slot2_IsWG=1,AG51=1),MIN(ID51,IN51),0)</f>
        <v>0</v>
      </c>
      <c r="IP51" s="1" t="n">
        <f aca="false">AH51+IO51</f>
        <v>0</v>
      </c>
      <c r="IQ51" s="1" t="n">
        <f aca="false">IF(AG51=1,MAX(0,(Slot2_Cost-IP51*(1+Slot2_Rate)^(Slot2_Age-D51))/IM51),0)</f>
        <v>0</v>
      </c>
      <c r="IR51" s="1" t="n">
        <f aca="false">IF(AG51=1,MAX(0,(Slot2_Cost-AH51*(1+Slot2_Rate)^(Slot2_Age-D51))/IM51),0)</f>
        <v>0</v>
      </c>
      <c r="IS51" s="1" t="n">
        <f aca="false">IF(AND(HT51=1,AG51=1),MIN(IL51,IQ51),0)</f>
        <v>0</v>
      </c>
      <c r="IT51" s="1" t="n">
        <f aca="false">IL51-IS51</f>
        <v>0</v>
      </c>
      <c r="IU51" s="1" t="n">
        <f aca="false">IF(AQ51=1,IF(ABS((1+AS_Wage)/(1+Slot3_Rate)-1)&lt;0.000000000001,(Slot3_Age-D51)*(1+Slot3_Rate)^(Slot3_Age-D51),(1+Slot3_Rate)^(Slot3_Age-D51)*(1-((1+AS_Wage)/(1+Slot3_Rate))^(Slot3_Age-D51))/(1-(1+AS_Wage)/(1+Slot3_Rate))),1)</f>
        <v>1</v>
      </c>
      <c r="IV51" s="1" t="n">
        <f aca="false">IF(AND(HT51=1,ID51&gt;0,Slot3_IsWG=1,AQ51=1),MAX(0,(Slot3_Cost-AR51*(1+Slot3_Rate)^(Slot3_Age-D51))/IU51),0)</f>
        <v>0</v>
      </c>
      <c r="IW51" s="1" t="n">
        <f aca="false">IF(AND(HT51=1,ID51&gt;0,Slot3_IsWG=1,AQ51=1),MIN(ID51,IV51),0)</f>
        <v>0</v>
      </c>
      <c r="IX51" s="1" t="n">
        <f aca="false">AR51+IW51</f>
        <v>0</v>
      </c>
      <c r="IY51" s="1" t="n">
        <f aca="false">IF(AQ51=1,MAX(0,(Slot3_Cost-IX51*(1+Slot3_Rate)^(Slot3_Age-D51))/IU51),0)</f>
        <v>0</v>
      </c>
      <c r="IZ51" s="1" t="n">
        <f aca="false">IF(AQ51=1,MAX(0,(Slot3_Cost-AR51*(1+Slot3_Rate)^(Slot3_Age-D51))/IU51),0)</f>
        <v>0</v>
      </c>
      <c r="JA51" s="1" t="n">
        <f aca="false">IF(AND(HT51=1,AQ51=1),MIN(IT51,IY51),0)</f>
        <v>0</v>
      </c>
      <c r="JB51" s="1" t="n">
        <f aca="false">IT51-JA51</f>
        <v>0</v>
      </c>
      <c r="JC51" s="1" t="n">
        <f aca="false">IF(BA51=1,IF(ABS((1+AS_Wage)/(1+Slot4_Rate)-1)&lt;0.000000000001,(Slot4_Age-D51)*(1+Slot4_Rate)^(Slot4_Age-D51),(1+Slot4_Rate)^(Slot4_Age-D51)*(1-((1+AS_Wage)/(1+Slot4_Rate))^(Slot4_Age-D51))/(1-(1+AS_Wage)/(1+Slot4_Rate))),1)</f>
        <v>1</v>
      </c>
      <c r="JD51" s="1" t="n">
        <f aca="false">IF(AND(HT51=1,ID51&gt;0,Slot4_IsWG=1,BA51=1),MAX(0,(Slot4_Cost-BB51*(1+Slot4_Rate)^(Slot4_Age-D51))/JC51),0)</f>
        <v>0</v>
      </c>
      <c r="JE51" s="1" t="n">
        <f aca="false">IF(AND(HT51=1,ID51&gt;0,Slot4_IsWG=1,BA51=1),MIN(ID51,JD51),0)</f>
        <v>0</v>
      </c>
      <c r="JF51" s="1" t="n">
        <f aca="false">BB51+JE51</f>
        <v>0</v>
      </c>
      <c r="JG51" s="1" t="n">
        <f aca="false">IF(BA51=1,MAX(0,(Slot4_Cost-JF51*(1+Slot4_Rate)^(Slot4_Age-D51))/JC51),0)</f>
        <v>0</v>
      </c>
      <c r="JH51" s="1" t="n">
        <f aca="false">IF(BA51=1,MAX(0,(Slot4_Cost-BB51*(1+Slot4_Rate)^(Slot4_Age-D51))/JC51),0)</f>
        <v>0</v>
      </c>
      <c r="JI51" s="1" t="n">
        <f aca="false">IF(AND(HT51=1,BA51=1),MIN(JB51,JG51),0)</f>
        <v>0</v>
      </c>
      <c r="JJ51" s="1" t="n">
        <f aca="false">JB51-JI51</f>
        <v>0</v>
      </c>
      <c r="JK51" s="1" t="n">
        <f aca="false">IF(BK51=1,IF(ABS((1+AS_Wage)/(1+Slot5_Rate)-1)&lt;0.000000000001,(Slot5_Age-D51)*(1+Slot5_Rate)^(Slot5_Age-D51),(1+Slot5_Rate)^(Slot5_Age-D51)*(1-((1+AS_Wage)/(1+Slot5_Rate))^(Slot5_Age-D51))/(1-(1+AS_Wage)/(1+Slot5_Rate))),1)</f>
        <v>1</v>
      </c>
      <c r="JL51" s="1" t="n">
        <f aca="false">IF(AND(HT51=1,ID51&gt;0,Slot5_IsWG=1,BK51=1),MAX(0,(Slot5_Cost-BL51*(1+Slot5_Rate)^(Slot5_Age-D51))/JK51),0)</f>
        <v>0</v>
      </c>
      <c r="JM51" s="1" t="n">
        <f aca="false">IF(AND(HT51=1,ID51&gt;0,Slot5_IsWG=1,BK51=1),MIN(ID51,JL51),0)</f>
        <v>0</v>
      </c>
      <c r="JN51" s="1" t="n">
        <f aca="false">BL51+JM51</f>
        <v>0</v>
      </c>
      <c r="JO51" s="1" t="n">
        <f aca="false">IF(BK51=1,MAX(0,(Slot5_Cost-JN51*(1+Slot5_Rate)^(Slot5_Age-D51))/JK51),0)</f>
        <v>0</v>
      </c>
      <c r="JP51" s="1" t="n">
        <f aca="false">IF(BK51=1,MAX(0,(Slot5_Cost-BL51*(1+Slot5_Rate)^(Slot5_Age-D51))/JK51),0)</f>
        <v>0</v>
      </c>
      <c r="JQ51" s="1" t="n">
        <f aca="false">IF(AND(HT51=1,BK51=1),MIN(JJ51,JO51),0)</f>
        <v>0</v>
      </c>
      <c r="JR51" s="1" t="n">
        <f aca="false">JJ51-JQ51</f>
        <v>0</v>
      </c>
      <c r="JS51" s="1" t="n">
        <f aca="false">IF(BU51=1,IF(ABS((1+AS_Wage)/(1+Slot6_Rate)-1)&lt;0.000000000001,(Slot6_Age-D51)*(1+Slot6_Rate)^(Slot6_Age-D51),(1+Slot6_Rate)^(Slot6_Age-D51)*(1-((1+AS_Wage)/(1+Slot6_Rate))^(Slot6_Age-D51))/(1-(1+AS_Wage)/(1+Slot6_Rate))),1)</f>
        <v>1</v>
      </c>
      <c r="JT51" s="1" t="n">
        <f aca="false">IF(AND(HT51=1,ID51&gt;0,Slot6_IsWG=1,BU51=1),MAX(0,(Slot6_Cost-BV51*(1+Slot6_Rate)^(Slot6_Age-D51))/JS51),0)</f>
        <v>0</v>
      </c>
      <c r="JU51" s="1" t="n">
        <f aca="false">IF(AND(HT51=1,ID51&gt;0,Slot6_IsWG=1,BU51=1),MIN(ID51,JT51),0)</f>
        <v>0</v>
      </c>
      <c r="JV51" s="1" t="n">
        <f aca="false">BV51+JU51</f>
        <v>0</v>
      </c>
      <c r="JW51" s="1" t="n">
        <f aca="false">IF(BU51=1,MAX(0,(Slot6_Cost-JV51*(1+Slot6_Rate)^(Slot6_Age-D51))/JS51),0)</f>
        <v>0</v>
      </c>
      <c r="JX51" s="1" t="n">
        <f aca="false">IF(BU51=1,MAX(0,(Slot6_Cost-BV51*(1+Slot6_Rate)^(Slot6_Age-D51))/JS51),0)</f>
        <v>0</v>
      </c>
      <c r="JY51" s="1" t="n">
        <f aca="false">IF(AND(HT51=1,BU51=1),MIN(JR51,JW51),0)</f>
        <v>0</v>
      </c>
      <c r="JZ51" s="1" t="n">
        <f aca="false">JR51-JY51</f>
        <v>0</v>
      </c>
      <c r="KA51" s="1" t="n">
        <f aca="false">IF(CE51=1,IF(ABS((1+AS_Wage)/(1+Slot7_Rate)-1)&lt;0.000000000001,(Slot7_Age-D51)*(1+Slot7_Rate)^(Slot7_Age-D51),(1+Slot7_Rate)^(Slot7_Age-D51)*(1-((1+AS_Wage)/(1+Slot7_Rate))^(Slot7_Age-D51))/(1-(1+AS_Wage)/(1+Slot7_Rate))),1)</f>
        <v>1</v>
      </c>
      <c r="KB51" s="1" t="n">
        <f aca="false">IF(AND(HT51=1,ID51&gt;0,Slot7_IsWG=1,CE51=1),MAX(0,(Slot7_Cost-CF51*(1+Slot7_Rate)^(Slot7_Age-D51))/KA51),0)</f>
        <v>0</v>
      </c>
      <c r="KC51" s="1" t="n">
        <f aca="false">IF(AND(HT51=1,ID51&gt;0,Slot7_IsWG=1,CE51=1),MIN(ID51,KB51),0)</f>
        <v>0</v>
      </c>
      <c r="KD51" s="1" t="n">
        <f aca="false">CF51+KC51</f>
        <v>0</v>
      </c>
      <c r="KE51" s="1" t="n">
        <f aca="false">IF(CE51=1,MAX(0,(Slot7_Cost-KD51*(1+Slot7_Rate)^(Slot7_Age-D51))/KA51),0)</f>
        <v>0</v>
      </c>
      <c r="KF51" s="1" t="n">
        <f aca="false">IF(CE51=1,MAX(0,(Slot7_Cost-CF51*(1+Slot7_Rate)^(Slot7_Age-D51))/KA51),0)</f>
        <v>0</v>
      </c>
      <c r="KG51" s="1" t="n">
        <f aca="false">IF(AND(HT51=1,CE51=1),MIN(JZ51,KE51),0)</f>
        <v>0</v>
      </c>
      <c r="KH51" s="1" t="n">
        <f aca="false">JZ51-KG51</f>
        <v>0</v>
      </c>
      <c r="KI51" s="1" t="n">
        <f aca="false">IF(CO51=1,IF(ABS((1+AS_Wage)/(1+Slot8_Rate)-1)&lt;0.000000000001,(Slot8_Age-D51)*(1+Slot8_Rate)^(Slot8_Age-D51),(1+Slot8_Rate)^(Slot8_Age-D51)*(1-((1+AS_Wage)/(1+Slot8_Rate))^(Slot8_Age-D51))/(1-(1+AS_Wage)/(1+Slot8_Rate))),1)</f>
        <v>1</v>
      </c>
      <c r="KJ51" s="1" t="n">
        <f aca="false">IF(AND(HT51=1,ID51&gt;0,Slot8_IsWG=1,CO51=1),MAX(0,(Slot8_Cost-CP51*(1+Slot8_Rate)^(Slot8_Age-D51))/KI51),0)</f>
        <v>0</v>
      </c>
      <c r="KK51" s="1" t="n">
        <f aca="false">IF(AND(HT51=1,ID51&gt;0,Slot8_IsWG=1,CO51=1),MIN(ID51,KJ51),0)</f>
        <v>0</v>
      </c>
      <c r="KL51" s="1" t="n">
        <f aca="false">CP51+KK51</f>
        <v>0</v>
      </c>
      <c r="KM51" s="1" t="n">
        <f aca="false">IF(CO51=1,MAX(0,(Slot8_Cost-KL51*(1+Slot8_Rate)^(Slot8_Age-D51))/KI51),0)</f>
        <v>0</v>
      </c>
      <c r="KN51" s="1" t="n">
        <f aca="false">IF(CO51=1,MAX(0,(Slot8_Cost-CP51*(1+Slot8_Rate)^(Slot8_Age-D51))/KI51),0)</f>
        <v>0</v>
      </c>
      <c r="KO51" s="1" t="n">
        <f aca="false">IF(AND(HT51=1,CO51=1),MIN(KH51,KM51),0)</f>
        <v>0</v>
      </c>
      <c r="KP51" s="1" t="n">
        <f aca="false">KH51-KO51</f>
        <v>0</v>
      </c>
      <c r="KQ51" s="1" t="n">
        <f aca="false">IF(CY51=1,IF(ABS((1+AS_Wage)/(1+Slot9_Rate)-1)&lt;0.000000000001,(Slot9_Age-D51)*(1+Slot9_Rate)^(Slot9_Age-D51),(1+Slot9_Rate)^(Slot9_Age-D51)*(1-((1+AS_Wage)/(1+Slot9_Rate))^(Slot9_Age-D51))/(1-(1+AS_Wage)/(1+Slot9_Rate))),1)</f>
        <v>1</v>
      </c>
      <c r="KR51" s="1" t="n">
        <f aca="false">IF(AND(HT51=1,ID51&gt;0,Slot9_IsWG=1,CY51=1),MAX(0,(Slot9_Cost-CZ51*(1+Slot9_Rate)^(Slot9_Age-D51))/KQ51),0)</f>
        <v>0</v>
      </c>
      <c r="KS51" s="1" t="n">
        <f aca="false">IF(AND(HT51=1,ID51&gt;0,Slot9_IsWG=1,CY51=1),MIN(ID51,KR51),0)</f>
        <v>0</v>
      </c>
      <c r="KT51" s="1" t="n">
        <f aca="false">CZ51+KS51</f>
        <v>0</v>
      </c>
      <c r="KU51" s="1" t="n">
        <f aca="false">IF(CY51=1,MAX(0,(Slot9_Cost-KT51*(1+Slot9_Rate)^(Slot9_Age-D51))/KQ51),0)</f>
        <v>0</v>
      </c>
      <c r="KV51" s="1" t="n">
        <f aca="false">IF(CY51=1,MAX(0,(Slot9_Cost-CZ51*(1+Slot9_Rate)^(Slot9_Age-D51))/KQ51),0)</f>
        <v>0</v>
      </c>
      <c r="KW51" s="1" t="n">
        <f aca="false">IF(AND(HT51=1,CY51=1),MIN(KP51,KU51),0)</f>
        <v>0</v>
      </c>
      <c r="KX51" s="1" t="n">
        <f aca="false">KP51-KW51</f>
        <v>0</v>
      </c>
      <c r="KY51" s="1" t="n">
        <f aca="false">IF(DI51=1,IF(ABS((1+AS_Wage)/(1+Slot10_Rate)-1)&lt;0.000000000001,(Slot10_Age-D51)*(1+Slot10_Rate)^(Slot10_Age-D51),(1+Slot10_Rate)^(Slot10_Age-D51)*(1-((1+AS_Wage)/(1+Slot10_Rate))^(Slot10_Age-D51))/(1-(1+AS_Wage)/(1+Slot10_Rate))),1)</f>
        <v>1</v>
      </c>
      <c r="KZ51" s="1" t="n">
        <f aca="false">IF(AND(HT51=1,ID51&gt;0,Slot10_IsWG=1,DI51=1),MAX(0,(Slot10_Cost-DJ51*(1+Slot10_Rate)^(Slot10_Age-D51))/KY51),0)</f>
        <v>0</v>
      </c>
      <c r="LA51" s="1" t="n">
        <f aca="false">IF(AND(HT51=1,ID51&gt;0,Slot10_IsWG=1,DI51=1),MIN(ID51,KZ51),0)</f>
        <v>0</v>
      </c>
      <c r="LB51" s="1" t="n">
        <f aca="false">DJ51+LA51</f>
        <v>0</v>
      </c>
      <c r="LC51" s="1" t="n">
        <f aca="false">IF(DI51=1,MAX(0,(Slot10_Cost-LB51*(1+Slot10_Rate)^(Slot10_Age-D51))/KY51),0)</f>
        <v>0</v>
      </c>
      <c r="LD51" s="1" t="n">
        <f aca="false">IF(DI51=1,MAX(0,(Slot10_Cost-DJ51*(1+Slot10_Rate)^(Slot10_Age-D51))/KY51),0)</f>
        <v>0</v>
      </c>
      <c r="LE51" s="1" t="n">
        <f aca="false">IF(AND(HT51=1,DI51=1),MIN(KX51,LC51),0)</f>
        <v>0</v>
      </c>
      <c r="LF51" s="1" t="n">
        <f aca="false">KX51-LE51</f>
        <v>0</v>
      </c>
      <c r="LG51" s="1" t="n">
        <f aca="false">IF(DS51=1,IF(ABS((1+AS_Wage)/(1+Slot11_Rate)-1)&lt;0.000000000001,(Slot11_Age-D51)*(1+Slot11_Rate)^(Slot11_Age-D51),(1+Slot11_Rate)^(Slot11_Age-D51)*(1-((1+AS_Wage)/(1+Slot11_Rate))^(Slot11_Age-D51))/(1-(1+AS_Wage)/(1+Slot11_Rate))),1)</f>
        <v>1</v>
      </c>
      <c r="LH51" s="1" t="n">
        <f aca="false">IF(AND(HT51=1,ID51&gt;0,Slot11_IsWG=1,DS51=1),MAX(0,(Slot11_Cost-DT51*(1+Slot11_Rate)^(Slot11_Age-D51))/LG51),0)</f>
        <v>0</v>
      </c>
      <c r="LI51" s="1" t="n">
        <f aca="false">IF(AND(HT51=1,ID51&gt;0,Slot11_IsWG=1,DS51=1),MIN(ID51,LH51),0)</f>
        <v>0</v>
      </c>
      <c r="LJ51" s="1" t="n">
        <f aca="false">DT51+LI51</f>
        <v>0</v>
      </c>
      <c r="LK51" s="1" t="n">
        <f aca="false">IF(DS51=1,MAX(0,(Slot11_Cost-LJ51*(1+Slot11_Rate)^(Slot11_Age-D51))/LG51),0)</f>
        <v>0</v>
      </c>
      <c r="LL51" s="1" t="n">
        <f aca="false">IF(DS51=1,MAX(0,(Slot11_Cost-DT51*(1+Slot11_Rate)^(Slot11_Age-D51))/LG51),0)</f>
        <v>0</v>
      </c>
      <c r="LM51" s="1" t="n">
        <f aca="false">IF(AND(HT51=1,DS51=1),MIN(LF51,LK51),0)</f>
        <v>0</v>
      </c>
      <c r="LN51" s="1" t="n">
        <f aca="false">LF51-LM51</f>
        <v>0</v>
      </c>
      <c r="LO51" s="1" t="n">
        <f aca="false">IF(EC51=1,IF(ABS((1+AS_Wage)/(1+Slot12_Rate)-1)&lt;0.000000000001,(Slot12_Age-D51)*(1+Slot12_Rate)^(Slot12_Age-D51),(1+Slot12_Rate)^(Slot12_Age-D51)*(1-((1+AS_Wage)/(1+Slot12_Rate))^(Slot12_Age-D51))/(1-(1+AS_Wage)/(1+Slot12_Rate))),1)</f>
        <v>1</v>
      </c>
      <c r="LP51" s="1" t="n">
        <f aca="false">IF(AND(HT51=1,ID51&gt;0,Slot12_IsWG=1,EC51=1),MAX(0,(Slot12_Cost-ED51*(1+Slot12_Rate)^(Slot12_Age-D51))/LO51),0)</f>
        <v>0</v>
      </c>
      <c r="LQ51" s="1" t="n">
        <f aca="false">IF(AND(HT51=1,ID51&gt;0,Slot12_IsWG=1,EC51=1),MIN(ID51,LP51),0)</f>
        <v>0</v>
      </c>
      <c r="LR51" s="1" t="n">
        <f aca="false">ED51+LQ51</f>
        <v>0</v>
      </c>
      <c r="LS51" s="1" t="n">
        <f aca="false">IF(EC51=1,MAX(0,(Slot12_Cost-LR51*(1+Slot12_Rate)^(Slot12_Age-D51))/LO51),0)</f>
        <v>0</v>
      </c>
      <c r="LT51" s="1" t="n">
        <f aca="false">IF(EC51=1,MAX(0,(Slot12_Cost-ED51*(1+Slot12_Rate)^(Slot12_Age-D51))/LO51),0)</f>
        <v>0</v>
      </c>
      <c r="LU51" s="1" t="n">
        <f aca="false">IF(AND(HT51=1,EC51=1),MIN(LN51,LS51),0)</f>
        <v>0</v>
      </c>
      <c r="LV51" s="1" t="n">
        <f aca="false">LN51-LU51</f>
        <v>0</v>
      </c>
      <c r="LW51" s="1" t="n">
        <f aca="false">IF(EM51=1,IF(ABS((1+AS_Wage)/(1+Slot13_Rate)-1)&lt;0.000000000001,(Slot13_Age-D51)*(1+Slot13_Rate)^(Slot13_Age-D51),(1+Slot13_Rate)^(Slot13_Age-D51)*(1-((1+AS_Wage)/(1+Slot13_Rate))^(Slot13_Age-D51))/(1-(1+AS_Wage)/(1+Slot13_Rate))),1)</f>
        <v>1</v>
      </c>
      <c r="LX51" s="1" t="n">
        <f aca="false">IF(AND(HT51=1,ID51&gt;0,Slot13_IsWG=1,EM51=1),MAX(0,(Slot13_Cost-EN51*(1+Slot13_Rate)^(Slot13_Age-D51))/LW51),0)</f>
        <v>0</v>
      </c>
      <c r="LY51" s="1" t="n">
        <f aca="false">IF(AND(HT51=1,ID51&gt;0,Slot13_IsWG=1,EM51=1),MIN(ID51,LX51),0)</f>
        <v>0</v>
      </c>
      <c r="LZ51" s="1" t="n">
        <f aca="false">EN51+LY51</f>
        <v>0</v>
      </c>
      <c r="MA51" s="1" t="n">
        <f aca="false">IF(EM51=1,MAX(0,(Slot13_Cost-LZ51*(1+Slot13_Rate)^(Slot13_Age-D51))/LW51),0)</f>
        <v>0</v>
      </c>
      <c r="MB51" s="1" t="n">
        <f aca="false">IF(EM51=1,MAX(0,(Slot13_Cost-EN51*(1+Slot13_Rate)^(Slot13_Age-D51))/LW51),0)</f>
        <v>0</v>
      </c>
      <c r="MC51" s="1" t="n">
        <f aca="false">IF(AND(HT51=1,EM51=1),MIN(LV51,MA51),0)</f>
        <v>0</v>
      </c>
      <c r="MD51" s="1" t="n">
        <f aca="false">LV51-MC51</f>
        <v>0</v>
      </c>
      <c r="ME51" s="1" t="n">
        <f aca="false">IF(EW51=1,IF(ABS((1+AS_Wage)/(1+Slot14_Rate)-1)&lt;0.000000000001,(Slot14_Age-D51)*(1+Slot14_Rate)^(Slot14_Age-D51),(1+Slot14_Rate)^(Slot14_Age-D51)*(1-((1+AS_Wage)/(1+Slot14_Rate))^(Slot14_Age-D51))/(1-(1+AS_Wage)/(1+Slot14_Rate))),1)</f>
        <v>1</v>
      </c>
      <c r="MF51" s="1" t="n">
        <f aca="false">IF(AND(HT51=1,ID51&gt;0,Slot14_IsWG=1,EW51=1),MAX(0,(Slot14_Cost-EX51*(1+Slot14_Rate)^(Slot14_Age-D51))/ME51),0)</f>
        <v>0</v>
      </c>
      <c r="MG51" s="1" t="n">
        <f aca="false">IF(AND(HT51=1,ID51&gt;0,Slot14_IsWG=1,EW51=1),MIN(ID51,MF51),0)</f>
        <v>0</v>
      </c>
      <c r="MH51" s="1" t="n">
        <f aca="false">EX51+MG51</f>
        <v>0</v>
      </c>
      <c r="MI51" s="1" t="n">
        <f aca="false">IF(EW51=1,MAX(0,(Slot14_Cost-MH51*(1+Slot14_Rate)^(Slot14_Age-D51))/ME51),0)</f>
        <v>0</v>
      </c>
      <c r="MJ51" s="1" t="n">
        <f aca="false">IF(EW51=1,MAX(0,(Slot14_Cost-EX51*(1+Slot14_Rate)^(Slot14_Age-D51))/ME51),0)</f>
        <v>0</v>
      </c>
      <c r="MK51" s="1" t="n">
        <f aca="false">IF(AND(HT51=1,EW51=1),MIN(MD51,MI51),0)</f>
        <v>0</v>
      </c>
      <c r="ML51" s="1" t="n">
        <f aca="false">MD51-MK51</f>
        <v>0</v>
      </c>
      <c r="MM51" s="1" t="n">
        <f aca="false">IF(FG51=1,IF(ABS((1+AS_Wage)/(1+Slot15_Rate)-1)&lt;0.000000000001,(Slot15_Age-D51)*(1+Slot15_Rate)^(Slot15_Age-D51),(1+Slot15_Rate)^(Slot15_Age-D51)*(1-((1+AS_Wage)/(1+Slot15_Rate))^(Slot15_Age-D51))/(1-(1+AS_Wage)/(1+Slot15_Rate))),1)</f>
        <v>1</v>
      </c>
      <c r="MN51" s="1" t="n">
        <f aca="false">IF(AND(HT51=1,ID51&gt;0,Slot15_IsWG=1,FG51=1),MAX(0,(Slot15_Cost-FH51*(1+Slot15_Rate)^(Slot15_Age-D51))/MM51),0)</f>
        <v>0</v>
      </c>
      <c r="MO51" s="1" t="n">
        <f aca="false">IF(AND(HT51=1,ID51&gt;0,Slot15_IsWG=1,FG51=1),MIN(ID51,MN51),0)</f>
        <v>0</v>
      </c>
      <c r="MP51" s="1" t="n">
        <f aca="false">FH51+MO51</f>
        <v>0</v>
      </c>
      <c r="MQ51" s="1" t="n">
        <f aca="false">IF(FG51=1,MAX(0,(Slot15_Cost-MP51*(1+Slot15_Rate)^(Slot15_Age-D51))/MM51),0)</f>
        <v>0</v>
      </c>
      <c r="MR51" s="1" t="n">
        <f aca="false">IF(FG51=1,MAX(0,(Slot15_Cost-FH51*(1+Slot15_Rate)^(Slot15_Age-D51))/MM51),0)</f>
        <v>0</v>
      </c>
      <c r="MS51" s="1" t="n">
        <f aca="false">IF(AND(HT51=1,FG51=1),MIN(ML51,MQ51),0)</f>
        <v>0</v>
      </c>
      <c r="MT51" s="1" t="n">
        <f aca="false">ML51-MS51</f>
        <v>0</v>
      </c>
      <c r="MU51" s="1" t="n">
        <f aca="false">IF(FQ51=1,IF(ABS((1+AS_Wage)/(1+Slot16_Rate)-1)&lt;0.000000000001,(Slot16_Age-D51)*(1+Slot16_Rate)^(Slot16_Age-D51),(1+Slot16_Rate)^(Slot16_Age-D51)*(1-((1+AS_Wage)/(1+Slot16_Rate))^(Slot16_Age-D51))/(1-(1+AS_Wage)/(1+Slot16_Rate))),1)</f>
        <v>1</v>
      </c>
      <c r="MV51" s="1" t="n">
        <f aca="false">IF(AND(HT51=1,ID51&gt;0,Slot16_IsWG=1,FQ51=1),MAX(0,(Slot16_Cost-FR51*(1+Slot16_Rate)^(Slot16_Age-D51))/MU51),0)</f>
        <v>0</v>
      </c>
      <c r="MW51" s="1" t="n">
        <f aca="false">IF(AND(HT51=1,ID51&gt;0,Slot16_IsWG=1,FQ51=1),MIN(ID51,MV51),0)</f>
        <v>0</v>
      </c>
      <c r="MX51" s="1" t="n">
        <f aca="false">FR51+MW51</f>
        <v>0</v>
      </c>
      <c r="MY51" s="1" t="n">
        <f aca="false">IF(FQ51=1,MAX(0,(Slot16_Cost-MX51*(1+Slot16_Rate)^(Slot16_Age-D51))/MU51),0)</f>
        <v>0</v>
      </c>
      <c r="MZ51" s="1" t="n">
        <f aca="false">IF(FQ51=1,MAX(0,(Slot16_Cost-FR51*(1+Slot16_Rate)^(Slot16_Age-D51))/MU51),0)</f>
        <v>0</v>
      </c>
      <c r="NA51" s="1" t="n">
        <f aca="false">IF(AND(HT51=1,FQ51=1),MIN(MT51,MY51),0)</f>
        <v>0</v>
      </c>
      <c r="NB51" s="1" t="n">
        <f aca="false">MT51-NA51</f>
        <v>0</v>
      </c>
      <c r="NC51" s="1" t="n">
        <f aca="false">IF(GA51=1,IF(ABS((1+AS_Wage)/(1+Slot17_Rate)-1)&lt;0.000000000001,(Slot17_Age-D51)*(1+Slot17_Rate)^(Slot17_Age-D51),(1+Slot17_Rate)^(Slot17_Age-D51)*(1-((1+AS_Wage)/(1+Slot17_Rate))^(Slot17_Age-D51))/(1-(1+AS_Wage)/(1+Slot17_Rate))),1)</f>
        <v>1</v>
      </c>
      <c r="ND51" s="1" t="n">
        <f aca="false">IF(AND(HT51=1,ID51&gt;0,Slot17_IsWG=1,GA51=1),MAX(0,(Slot17_Cost-GB51*(1+Slot17_Rate)^(Slot17_Age-D51))/NC51),0)</f>
        <v>0</v>
      </c>
      <c r="NE51" s="1" t="n">
        <f aca="false">IF(AND(HT51=1,ID51&gt;0,Slot17_IsWG=1,GA51=1),MIN(ID51,ND51),0)</f>
        <v>0</v>
      </c>
      <c r="NF51" s="1" t="n">
        <f aca="false">GB51+NE51</f>
        <v>0</v>
      </c>
      <c r="NG51" s="1" t="n">
        <f aca="false">IF(GA51=1,MAX(0,(Slot17_Cost-NF51*(1+Slot17_Rate)^(Slot17_Age-D51))/NC51),0)</f>
        <v>0</v>
      </c>
      <c r="NH51" s="1" t="n">
        <f aca="false">IF(GA51=1,MAX(0,(Slot17_Cost-GB51*(1+Slot17_Rate)^(Slot17_Age-D51))/NC51),0)</f>
        <v>0</v>
      </c>
      <c r="NI51" s="1" t="n">
        <f aca="false">IF(AND(HT51=1,GA51=1),MIN(NB51,NG51),0)</f>
        <v>0</v>
      </c>
      <c r="NJ51" s="1" t="n">
        <f aca="false">NB51-NI51</f>
        <v>0</v>
      </c>
      <c r="NK51" s="1" t="n">
        <f aca="false">IF(GK51=1,IF(ABS((1+AS_Wage)/(1+Slot18_Rate)-1)&lt;0.000000000001,(Slot18_Age-D51)*(1+Slot18_Rate)^(Slot18_Age-D51),(1+Slot18_Rate)^(Slot18_Age-D51)*(1-((1+AS_Wage)/(1+Slot18_Rate))^(Slot18_Age-D51))/(1-(1+AS_Wage)/(1+Slot18_Rate))),1)</f>
        <v>1</v>
      </c>
      <c r="NL51" s="1" t="n">
        <f aca="false">IF(AND(HT51=1,ID51&gt;0,Slot18_IsWG=1,GK51=1),MAX(0,(Slot18_Cost-GL51*(1+Slot18_Rate)^(Slot18_Age-D51))/NK51),0)</f>
        <v>0</v>
      </c>
      <c r="NM51" s="1" t="n">
        <f aca="false">IF(AND(HT51=1,ID51&gt;0,Slot18_IsWG=1,GK51=1),MIN(ID51,NL51),0)</f>
        <v>0</v>
      </c>
      <c r="NN51" s="1" t="n">
        <f aca="false">GL51+NM51</f>
        <v>0</v>
      </c>
      <c r="NO51" s="1" t="n">
        <f aca="false">IF(GK51=1,MAX(0,(Slot18_Cost-NN51*(1+Slot18_Rate)^(Slot18_Age-D51))/NK51),0)</f>
        <v>0</v>
      </c>
      <c r="NP51" s="1" t="n">
        <f aca="false">IF(GK51=1,MAX(0,(Slot18_Cost-GL51*(1+Slot18_Rate)^(Slot18_Age-D51))/NK51),0)</f>
        <v>0</v>
      </c>
      <c r="NQ51" s="1" t="n">
        <f aca="false">IF(AND(HT51=1,GK51=1),MIN(NJ51,NO51),0)</f>
        <v>0</v>
      </c>
      <c r="NR51" s="1" t="n">
        <f aca="false">NJ51-NQ51</f>
        <v>0</v>
      </c>
      <c r="NS51" s="1" t="n">
        <f aca="false">IF(GU51=1,IF(ABS((1+AS_Wage)/(1+Slot19_Rate)-1)&lt;0.000000000001,(Slot19_Age-D51)*(1+Slot19_Rate)^(Slot19_Age-D51),(1+Slot19_Rate)^(Slot19_Age-D51)*(1-((1+AS_Wage)/(1+Slot19_Rate))^(Slot19_Age-D51))/(1-(1+AS_Wage)/(1+Slot19_Rate))),1)</f>
        <v>1</v>
      </c>
      <c r="NT51" s="1" t="n">
        <f aca="false">IF(AND(HT51=1,ID51&gt;0,Slot19_IsWG=1,GU51=1),MAX(0,(Slot19_Cost-GV51*(1+Slot19_Rate)^(Slot19_Age-D51))/NS51),0)</f>
        <v>0</v>
      </c>
      <c r="NU51" s="1" t="n">
        <f aca="false">IF(AND(HT51=1,ID51&gt;0,Slot19_IsWG=1,GU51=1),MIN(ID51,NT51),0)</f>
        <v>0</v>
      </c>
      <c r="NV51" s="1" t="n">
        <f aca="false">GV51+NU51</f>
        <v>0</v>
      </c>
      <c r="NW51" s="1" t="n">
        <f aca="false">IF(GU51=1,MAX(0,(Slot19_Cost-NV51*(1+Slot19_Rate)^(Slot19_Age-D51))/NS51),0)</f>
        <v>0</v>
      </c>
      <c r="NX51" s="1" t="n">
        <f aca="false">IF(GU51=1,MAX(0,(Slot19_Cost-GV51*(1+Slot19_Rate)^(Slot19_Age-D51))/NS51),0)</f>
        <v>0</v>
      </c>
      <c r="NY51" s="1" t="n">
        <f aca="false">IF(AND(HT51=1,GU51=1),MIN(NR51,NW51),0)</f>
        <v>0</v>
      </c>
      <c r="NZ51" s="1" t="n">
        <f aca="false">NR51-NY51</f>
        <v>0</v>
      </c>
      <c r="OA51" s="1" t="n">
        <f aca="false">IF(HE51=1,IF(ABS((1+AS_Wage)/(1+Slot20_Rate)-1)&lt;0.000000000001,(Slot20_Age-D51)*(1+Slot20_Rate)^(Slot20_Age-D51),(1+Slot20_Rate)^(Slot20_Age-D51)*(1-((1+AS_Wage)/(1+Slot20_Rate))^(Slot20_Age-D51))/(1-(1+AS_Wage)/(1+Slot20_Rate))),1)</f>
        <v>1</v>
      </c>
      <c r="OB51" s="1" t="n">
        <f aca="false">IF(AND(HT51=1,ID51&gt;0,Slot20_IsWG=1,HE51=1),MAX(0,(Slot20_Cost-HF51*(1+Slot20_Rate)^(Slot20_Age-D51))/OA51),0)</f>
        <v>0</v>
      </c>
      <c r="OC51" s="1" t="n">
        <f aca="false">IF(AND(HT51=1,ID51&gt;0,Slot20_IsWG=1,HE51=1),MIN(ID51,OB51),0)</f>
        <v>0</v>
      </c>
      <c r="OD51" s="1" t="n">
        <f aca="false">HF51+OC51</f>
        <v>0</v>
      </c>
      <c r="OE51" s="1" t="n">
        <f aca="false">IF(HE51=1,MAX(0,(Slot20_Cost-OD51*(1+Slot20_Rate)^(Slot20_Age-D51))/OA51),0)</f>
        <v>0</v>
      </c>
      <c r="OF51" s="1" t="n">
        <f aca="false">IF(HE51=1,MAX(0,(Slot20_Cost-HF51*(1+Slot20_Rate)^(Slot20_Age-D51))/OA51),0)</f>
        <v>0</v>
      </c>
      <c r="OG51" s="1" t="n">
        <f aca="false">IF(AND(HT51=1,HE51=1),MIN(NZ51,OE51),0)</f>
        <v>0</v>
      </c>
      <c r="OH51" s="1" t="n">
        <f aca="false">NZ51-OG51</f>
        <v>0</v>
      </c>
      <c r="OI51" s="1" t="n">
        <f aca="false">ID51-(IG51+IO51+IW51+JE51+JM51+JU51+KC51+KK51+KS51+LA51+LI51+LQ51+LY51+MG51+MO51+MW51+NE51+NM51+NU51+OC51)</f>
        <v>0</v>
      </c>
      <c r="OJ51" s="1" t="n">
        <f aca="false">IF(HT51=1,HR51-IC51-ID51,0)</f>
        <v>0</v>
      </c>
      <c r="OK51" s="1" t="n">
        <f aca="false">IF(HT51=0,-HR51,0)</f>
        <v>0</v>
      </c>
      <c r="OL51" s="1" t="n">
        <f aca="false">MIN(OK51,HJ51)</f>
        <v>0</v>
      </c>
      <c r="OM51" s="1" t="n">
        <f aca="false">OK51-OL51</f>
        <v>0</v>
      </c>
      <c r="ON51" s="1" t="n">
        <f aca="false">MIN(OM51,HK51)</f>
        <v>0</v>
      </c>
      <c r="OO51" s="1" t="n">
        <f aca="false">OM51-ON51</f>
        <v>0</v>
      </c>
      <c r="OP51" s="1" t="n">
        <f aca="false">IF(AND(HT51=0,HE51=1,OO51&gt;0),MIN(OO51,HF51),0)</f>
        <v>0</v>
      </c>
      <c r="OQ51" s="1" t="n">
        <f aca="false">OO51-OP51</f>
        <v>0</v>
      </c>
      <c r="OR51" s="1" t="n">
        <f aca="false">IF(AND(HT51=0,GU51=1,OQ51&gt;0),MIN(OQ51,GV51),0)</f>
        <v>0</v>
      </c>
      <c r="OS51" s="1" t="n">
        <f aca="false">OQ51-OR51</f>
        <v>0</v>
      </c>
      <c r="OT51" s="1" t="n">
        <f aca="false">IF(AND(HT51=0,GK51=1,OS51&gt;0),MIN(OS51,GL51),0)</f>
        <v>0</v>
      </c>
      <c r="OU51" s="1" t="n">
        <f aca="false">OS51-OT51</f>
        <v>0</v>
      </c>
      <c r="OV51" s="1" t="n">
        <f aca="false">IF(AND(HT51=0,GA51=1,OU51&gt;0),MIN(OU51,GB51),0)</f>
        <v>0</v>
      </c>
      <c r="OW51" s="1" t="n">
        <f aca="false">OU51-OV51</f>
        <v>0</v>
      </c>
      <c r="OX51" s="1" t="n">
        <f aca="false">IF(AND(HT51=0,FQ51=1,OW51&gt;0),MIN(OW51,FR51),0)</f>
        <v>0</v>
      </c>
      <c r="OY51" s="1" t="n">
        <f aca="false">OW51-OX51</f>
        <v>0</v>
      </c>
      <c r="OZ51" s="1" t="n">
        <f aca="false">IF(AND(HT51=0,FG51=1,OY51&gt;0),MIN(OY51,FH51),0)</f>
        <v>0</v>
      </c>
      <c r="PA51" s="1" t="n">
        <f aca="false">OY51-OZ51</f>
        <v>0</v>
      </c>
      <c r="PB51" s="1" t="n">
        <f aca="false">IF(AND(HT51=0,EW51=1,PA51&gt;0),MIN(PA51,EX51),0)</f>
        <v>0</v>
      </c>
      <c r="PC51" s="1" t="n">
        <f aca="false">PA51-PB51</f>
        <v>0</v>
      </c>
      <c r="PD51" s="1" t="n">
        <f aca="false">IF(AND(HT51=0,EM51=1,PC51&gt;0),MIN(PC51,EN51),0)</f>
        <v>0</v>
      </c>
      <c r="PE51" s="1" t="n">
        <f aca="false">PC51-PD51</f>
        <v>0</v>
      </c>
      <c r="PF51" s="1" t="n">
        <f aca="false">IF(AND(HT51=0,EC51=1,PE51&gt;0),MIN(PE51,ED51),0)</f>
        <v>0</v>
      </c>
      <c r="PG51" s="1" t="n">
        <f aca="false">PE51-PF51</f>
        <v>0</v>
      </c>
      <c r="PH51" s="1" t="n">
        <f aca="false">IF(AND(HT51=0,DS51=1,PG51&gt;0),MIN(PG51,DT51),0)</f>
        <v>0</v>
      </c>
      <c r="PI51" s="1" t="n">
        <f aca="false">PG51-PH51</f>
        <v>0</v>
      </c>
      <c r="PJ51" s="1" t="n">
        <f aca="false">IF(AND(HT51=0,DI51=1,PI51&gt;0),MIN(PI51,DJ51),0)</f>
        <v>0</v>
      </c>
      <c r="PK51" s="1" t="n">
        <f aca="false">PI51-PJ51</f>
        <v>0</v>
      </c>
      <c r="PL51" s="1" t="n">
        <f aca="false">IF(AND(HT51=0,CY51=1,PK51&gt;0),MIN(PK51,CZ51),0)</f>
        <v>0</v>
      </c>
      <c r="PM51" s="1" t="n">
        <f aca="false">PK51-PL51</f>
        <v>0</v>
      </c>
      <c r="PN51" s="1" t="n">
        <f aca="false">IF(AND(HT51=0,CO51=1,PM51&gt;0),MIN(PM51,CP51),0)</f>
        <v>0</v>
      </c>
      <c r="PO51" s="1" t="n">
        <f aca="false">PM51-PN51</f>
        <v>0</v>
      </c>
      <c r="PP51" s="1" t="n">
        <f aca="false">IF(AND(HT51=0,CE51=1,PO51&gt;0),MIN(PO51,CF51),0)</f>
        <v>0</v>
      </c>
      <c r="PQ51" s="1" t="n">
        <f aca="false">PO51-PP51</f>
        <v>0</v>
      </c>
      <c r="PR51" s="1" t="n">
        <f aca="false">IF(AND(HT51=0,BU51=1,PQ51&gt;0),MIN(PQ51,BV51),0)</f>
        <v>0</v>
      </c>
      <c r="PS51" s="1" t="n">
        <f aca="false">PQ51-PR51</f>
        <v>0</v>
      </c>
      <c r="PT51" s="1" t="n">
        <f aca="false">IF(AND(HT51=0,BK51=1,PS51&gt;0),MIN(PS51,BL51),0)</f>
        <v>0</v>
      </c>
      <c r="PU51" s="1" t="n">
        <f aca="false">PS51-PT51</f>
        <v>0</v>
      </c>
      <c r="PV51" s="1" t="n">
        <f aca="false">IF(AND(HT51=0,BA51=1,PU51&gt;0),MIN(PU51,BB51),0)</f>
        <v>0</v>
      </c>
      <c r="PW51" s="1" t="n">
        <f aca="false">PU51-PV51</f>
        <v>0</v>
      </c>
      <c r="PX51" s="1" t="n">
        <f aca="false">IF(AND(HT51=0,AQ51=1,PW51&gt;0),MIN(PW51,AR51),0)</f>
        <v>0</v>
      </c>
      <c r="PY51" s="1" t="n">
        <f aca="false">PW51-PX51</f>
        <v>0</v>
      </c>
      <c r="PZ51" s="1" t="n">
        <f aca="false">IF(AND(HT51=0,AG51=1,PY51&gt;0),MIN(PY51,AH51),0)</f>
        <v>0</v>
      </c>
      <c r="QA51" s="1" t="n">
        <f aca="false">PY51-PZ51</f>
        <v>0</v>
      </c>
      <c r="QB51" s="1" t="n">
        <f aca="false">IF(AND(HT51=0,V51=1,QA51&gt;0),MIN(QA51,W51),0)</f>
        <v>0</v>
      </c>
      <c r="QC51" s="1" t="n">
        <f aca="false">QA51-QB51</f>
        <v>0</v>
      </c>
      <c r="QD51" s="1" t="n">
        <f aca="false">IF(HT51=0,QC51,0)</f>
        <v>0</v>
      </c>
      <c r="QE51" s="1" t="n">
        <f aca="false">OL51+ON51+QB51+PZ51+PX51+PV51+PT51+PR51+PP51+PN51+PL51+PJ51+PH51+PF51+PD51+PB51+OZ51+OX51+OV51+OT51+OR51+OP51</f>
        <v>0</v>
      </c>
      <c r="QF51" s="1" t="n">
        <f aca="false">IF(HT51=1,HJ51+OI51+OH51+IF(F51=1,0,OJ51),HJ51-OL51)</f>
        <v>0</v>
      </c>
      <c r="QG51" s="1" t="n">
        <f aca="false">HK51-ON51</f>
        <v>0</v>
      </c>
      <c r="QH51" s="1" t="n">
        <f aca="false">IF(HT51=1,IF(F51=1,IC51+ID51,HR51),0)</f>
        <v>0</v>
      </c>
      <c r="QI51" s="1" t="n">
        <f aca="false">IF(HT51=1,IF(F51=1,HR51-IC51-ID51,0),0)</f>
        <v>0</v>
      </c>
      <c r="QJ51" s="1" t="n">
        <f aca="false">QF51*(1+GR)</f>
        <v>0</v>
      </c>
      <c r="QK51" s="1" t="n">
        <f aca="false">QG51*(1+AS_Cash)</f>
        <v>0</v>
      </c>
      <c r="QL51" s="1" t="n">
        <f aca="false">IF(V51=1,IF(HT51=1,IH51+IK51,W51-QB51)*(1+Slot1_Rate),0)</f>
        <v>0</v>
      </c>
      <c r="QM51" s="1" t="n">
        <f aca="false">IF(AND(HT51=1,V51=1),(IG51+IK51)/E51,0)</f>
        <v>0</v>
      </c>
      <c r="QN51" s="1" t="n">
        <f aca="false">IF(B51=0,IG51+IK51,0)</f>
        <v>0</v>
      </c>
      <c r="QO51" s="1" t="n">
        <f aca="false">IF(B51=0,IF(HT51=1,II51,IJ51),0)</f>
        <v>0</v>
      </c>
      <c r="QP51" s="1" t="n">
        <f aca="false">IF(AG51=1,IF(HT51=1,IP51+IS51,AH51-PZ51)*(1+Slot2_Rate),0)</f>
        <v>0</v>
      </c>
      <c r="QQ51" s="1" t="n">
        <f aca="false">IF(AND(HT51=1,AG51=1),(IO51+IS51)/E51,0)</f>
        <v>0</v>
      </c>
      <c r="QR51" s="1" t="n">
        <f aca="false">IF(B51=0,IO51+IS51,0)</f>
        <v>0</v>
      </c>
      <c r="QS51" s="1" t="n">
        <f aca="false">IF(B51=0,IF(HT51=1,IQ51,IR51),0)</f>
        <v>0</v>
      </c>
      <c r="QT51" s="1" t="n">
        <f aca="false">IF(AQ51=1,IF(HT51=1,IX51+JA51,AR51-PX51)*(1+Slot3_Rate),0)</f>
        <v>0</v>
      </c>
      <c r="QU51" s="1" t="n">
        <f aca="false">IF(AND(HT51=1,AQ51=1),(IW51+JA51)/E51,0)</f>
        <v>0</v>
      </c>
      <c r="QV51" s="1" t="n">
        <f aca="false">IF(B51=0,IW51+JA51,0)</f>
        <v>0</v>
      </c>
      <c r="QW51" s="1" t="n">
        <f aca="false">IF(B51=0,IF(HT51=1,IY51,IZ51),0)</f>
        <v>0</v>
      </c>
      <c r="QX51" s="1" t="n">
        <f aca="false">IF(BA51=1,IF(HT51=1,JF51+JI51,BB51-PV51)*(1+Slot4_Rate),0)</f>
        <v>0</v>
      </c>
      <c r="QY51" s="1" t="n">
        <f aca="false">IF(AND(HT51=1,BA51=1),(JE51+JI51)/E51,0)</f>
        <v>0</v>
      </c>
      <c r="QZ51" s="1" t="n">
        <f aca="false">IF(B51=0,JE51+JI51,0)</f>
        <v>0</v>
      </c>
      <c r="RA51" s="1" t="n">
        <f aca="false">IF(B51=0,IF(HT51=1,JG51,JH51),0)</f>
        <v>0</v>
      </c>
      <c r="RB51" s="1" t="n">
        <f aca="false">IF(BK51=1,IF(HT51=1,JN51+JQ51,BL51-PT51)*(1+Slot5_Rate),0)</f>
        <v>0</v>
      </c>
      <c r="RC51" s="1" t="n">
        <f aca="false">IF(AND(HT51=1,BK51=1),(JM51+JQ51)/E51,0)</f>
        <v>0</v>
      </c>
      <c r="RD51" s="1" t="n">
        <f aca="false">IF(B51=0,JM51+JQ51,0)</f>
        <v>0</v>
      </c>
      <c r="RE51" s="1" t="n">
        <f aca="false">IF(B51=0,IF(HT51=1,JO51,JP51),0)</f>
        <v>0</v>
      </c>
      <c r="RF51" s="1" t="n">
        <f aca="false">IF(BU51=1,IF(HT51=1,JV51+JY51,BV51-PR51)*(1+Slot6_Rate),0)</f>
        <v>0</v>
      </c>
      <c r="RG51" s="1" t="n">
        <f aca="false">IF(AND(HT51=1,BU51=1),(JU51+JY51)/E51,0)</f>
        <v>0</v>
      </c>
      <c r="RH51" s="1" t="n">
        <f aca="false">IF(B51=0,JU51+JY51,0)</f>
        <v>0</v>
      </c>
      <c r="RI51" s="1" t="n">
        <f aca="false">IF(B51=0,IF(HT51=1,JW51,JX51),0)</f>
        <v>0</v>
      </c>
      <c r="RJ51" s="1" t="n">
        <f aca="false">IF(CE51=1,IF(HT51=1,KD51+KG51,CF51-PP51)*(1+Slot7_Rate),0)</f>
        <v>0</v>
      </c>
      <c r="RK51" s="1" t="n">
        <f aca="false">IF(AND(HT51=1,CE51=1),(KC51+KG51)/E51,0)</f>
        <v>0</v>
      </c>
      <c r="RL51" s="1" t="n">
        <f aca="false">IF(B51=0,KC51+KG51,0)</f>
        <v>0</v>
      </c>
      <c r="RM51" s="1" t="n">
        <f aca="false">IF(B51=0,IF(HT51=1,KE51,KF51),0)</f>
        <v>0</v>
      </c>
      <c r="RN51" s="1" t="n">
        <f aca="false">IF(CO51=1,IF(HT51=1,KL51+KO51,CP51-PN51)*(1+Slot8_Rate),0)</f>
        <v>0</v>
      </c>
      <c r="RO51" s="1" t="n">
        <f aca="false">IF(AND(HT51=1,CO51=1),(KK51+KO51)/E51,0)</f>
        <v>0</v>
      </c>
      <c r="RP51" s="1" t="n">
        <f aca="false">IF(B51=0,KK51+KO51,0)</f>
        <v>0</v>
      </c>
      <c r="RQ51" s="1" t="n">
        <f aca="false">IF(B51=0,IF(HT51=1,KM51,KN51),0)</f>
        <v>0</v>
      </c>
      <c r="RR51" s="1" t="n">
        <f aca="false">IF(CY51=1,IF(HT51=1,KT51+KW51,CZ51-PL51)*(1+Slot9_Rate),0)</f>
        <v>0</v>
      </c>
      <c r="RS51" s="1" t="n">
        <f aca="false">IF(AND(HT51=1,CY51=1),(KS51+KW51)/E51,0)</f>
        <v>0</v>
      </c>
      <c r="RT51" s="1" t="n">
        <f aca="false">IF(B51=0,KS51+KW51,0)</f>
        <v>0</v>
      </c>
      <c r="RU51" s="1" t="n">
        <f aca="false">IF(B51=0,IF(HT51=1,KU51,KV51),0)</f>
        <v>0</v>
      </c>
      <c r="RV51" s="1" t="n">
        <f aca="false">IF(DI51=1,IF(HT51=1,LB51+LE51,DJ51-PJ51)*(1+Slot10_Rate),0)</f>
        <v>0</v>
      </c>
      <c r="RW51" s="1" t="n">
        <f aca="false">IF(AND(HT51=1,DI51=1),(LA51+LE51)/E51,0)</f>
        <v>0</v>
      </c>
      <c r="RX51" s="1" t="n">
        <f aca="false">IF(B51=0,LA51+LE51,0)</f>
        <v>0</v>
      </c>
      <c r="RY51" s="1" t="n">
        <f aca="false">IF(B51=0,IF(HT51=1,LC51,LD51),0)</f>
        <v>0</v>
      </c>
      <c r="RZ51" s="1" t="n">
        <f aca="false">IF(DS51=1,IF(HT51=1,LJ51+LM51,DT51-PH51)*(1+Slot11_Rate),0)</f>
        <v>0</v>
      </c>
      <c r="SA51" s="1" t="n">
        <f aca="false">IF(AND(HT51=1,DS51=1),(LI51+LM51)/E51,0)</f>
        <v>0</v>
      </c>
      <c r="SB51" s="1" t="n">
        <f aca="false">IF(B51=0,LI51+LM51,0)</f>
        <v>0</v>
      </c>
      <c r="SC51" s="1" t="n">
        <f aca="false">IF(B51=0,IF(HT51=1,LK51,LL51),0)</f>
        <v>0</v>
      </c>
      <c r="SD51" s="1" t="n">
        <f aca="false">IF(EC51=1,IF(HT51=1,LR51+LU51,ED51-PF51)*(1+Slot12_Rate),0)</f>
        <v>0</v>
      </c>
      <c r="SE51" s="1" t="n">
        <f aca="false">IF(AND(HT51=1,EC51=1),(LQ51+LU51)/E51,0)</f>
        <v>0</v>
      </c>
      <c r="SF51" s="1" t="n">
        <f aca="false">IF(B51=0,LQ51+LU51,0)</f>
        <v>0</v>
      </c>
      <c r="SG51" s="1" t="n">
        <f aca="false">IF(B51=0,IF(HT51=1,LS51,LT51),0)</f>
        <v>0</v>
      </c>
      <c r="SH51" s="1" t="n">
        <f aca="false">IF(EM51=1,IF(HT51=1,LZ51+MC51,EN51-PD51)*(1+Slot13_Rate),0)</f>
        <v>0</v>
      </c>
      <c r="SI51" s="1" t="n">
        <f aca="false">IF(AND(HT51=1,EM51=1),(LY51+MC51)/E51,0)</f>
        <v>0</v>
      </c>
      <c r="SJ51" s="1" t="n">
        <f aca="false">IF(B51=0,LY51+MC51,0)</f>
        <v>0</v>
      </c>
      <c r="SK51" s="1" t="n">
        <f aca="false">IF(B51=0,IF(HT51=1,MA51,MB51),0)</f>
        <v>0</v>
      </c>
      <c r="SL51" s="1" t="n">
        <f aca="false">IF(EW51=1,IF(HT51=1,MH51+MK51,EX51-PB51)*(1+Slot14_Rate),0)</f>
        <v>0</v>
      </c>
      <c r="SM51" s="1" t="n">
        <f aca="false">IF(AND(HT51=1,EW51=1),(MG51+MK51)/E51,0)</f>
        <v>0</v>
      </c>
      <c r="SN51" s="1" t="n">
        <f aca="false">IF(B51=0,MG51+MK51,0)</f>
        <v>0</v>
      </c>
      <c r="SO51" s="1" t="n">
        <f aca="false">IF(B51=0,IF(HT51=1,MI51,MJ51),0)</f>
        <v>0</v>
      </c>
      <c r="SP51" s="1" t="n">
        <f aca="false">IF(FG51=1,IF(HT51=1,MP51+MS51,FH51-OZ51)*(1+Slot15_Rate),0)</f>
        <v>0</v>
      </c>
      <c r="SQ51" s="1" t="n">
        <f aca="false">IF(AND(HT51=1,FG51=1),(MO51+MS51)/E51,0)</f>
        <v>0</v>
      </c>
      <c r="SR51" s="1" t="n">
        <f aca="false">IF(B51=0,MO51+MS51,0)</f>
        <v>0</v>
      </c>
      <c r="SS51" s="1" t="n">
        <f aca="false">IF(B51=0,IF(HT51=1,MQ51,MR51),0)</f>
        <v>0</v>
      </c>
      <c r="ST51" s="1" t="n">
        <f aca="false">IF(FQ51=1,IF(HT51=1,MX51+NA51,FR51-OX51)*(1+Slot16_Rate),0)</f>
        <v>0</v>
      </c>
      <c r="SU51" s="1" t="n">
        <f aca="false">IF(AND(HT51=1,FQ51=1),(MW51+NA51)/E51,0)</f>
        <v>0</v>
      </c>
      <c r="SV51" s="1" t="n">
        <f aca="false">IF(B51=0,MW51+NA51,0)</f>
        <v>0</v>
      </c>
      <c r="SW51" s="1" t="n">
        <f aca="false">IF(B51=0,IF(HT51=1,MY51,MZ51),0)</f>
        <v>0</v>
      </c>
      <c r="SX51" s="1" t="n">
        <f aca="false">IF(GA51=1,IF(HT51=1,NF51+NI51,GB51-OV51)*(1+Slot17_Rate),0)</f>
        <v>0</v>
      </c>
      <c r="SY51" s="1" t="n">
        <f aca="false">IF(AND(HT51=1,GA51=1),(NE51+NI51)/E51,0)</f>
        <v>0</v>
      </c>
      <c r="SZ51" s="1" t="n">
        <f aca="false">IF(B51=0,NE51+NI51,0)</f>
        <v>0</v>
      </c>
      <c r="TA51" s="1" t="n">
        <f aca="false">IF(B51=0,IF(HT51=1,NG51,NH51),0)</f>
        <v>0</v>
      </c>
      <c r="TB51" s="1" t="n">
        <f aca="false">IF(GK51=1,IF(HT51=1,NN51+NQ51,GL51-OT51)*(1+Slot18_Rate),0)</f>
        <v>0</v>
      </c>
      <c r="TC51" s="1" t="n">
        <f aca="false">IF(AND(HT51=1,GK51=1),(NM51+NQ51)/E51,0)</f>
        <v>0</v>
      </c>
      <c r="TD51" s="1" t="n">
        <f aca="false">IF(B51=0,NM51+NQ51,0)</f>
        <v>0</v>
      </c>
      <c r="TE51" s="1" t="n">
        <f aca="false">IF(B51=0,IF(HT51=1,NO51,NP51),0)</f>
        <v>0</v>
      </c>
      <c r="TF51" s="1" t="n">
        <f aca="false">IF(GU51=1,IF(HT51=1,NV51+NY51,GV51-OR51)*(1+Slot19_Rate),0)</f>
        <v>0</v>
      </c>
      <c r="TG51" s="1" t="n">
        <f aca="false">IF(AND(HT51=1,GU51=1),(NU51+NY51)/E51,0)</f>
        <v>0</v>
      </c>
      <c r="TH51" s="1" t="n">
        <f aca="false">IF(B51=0,NU51+NY51,0)</f>
        <v>0</v>
      </c>
      <c r="TI51" s="1" t="n">
        <f aca="false">IF(B51=0,IF(HT51=1,NW51,NX51),0)</f>
        <v>0</v>
      </c>
      <c r="TJ51" s="1" t="n">
        <f aca="false">IF(HE51=1,IF(HT51=1,OD51+OG51,HF51-OP51)*(1+Slot20_Rate),0)</f>
        <v>0</v>
      </c>
      <c r="TK51" s="1" t="n">
        <f aca="false">IF(AND(HT51=1,HE51=1),(OC51+OG51)/E51,0)</f>
        <v>0</v>
      </c>
      <c r="TL51" s="1" t="n">
        <f aca="false">IF(B51=0,OC51+OG51,0)</f>
        <v>0</v>
      </c>
      <c r="TM51" s="1" t="n">
        <f aca="false">IF(B51=0,IF(HT51=1,OE51,OF51),0)</f>
        <v>0</v>
      </c>
      <c r="TN51" s="1" t="n">
        <f aca="false">QJ51+QK51+QL51+QP51+QT51+QX51+RB51+RF51+RJ51+RN51+RR51+RV51+RZ51+SD51+SH51+SL51+SP51+ST51+SX51+TB51+TF51+TJ51</f>
        <v>0</v>
      </c>
      <c r="TO51" s="1" t="n">
        <f aca="false">QD51+HO51</f>
        <v>0</v>
      </c>
      <c r="TP51" s="1" t="n">
        <f aca="false">H51+R51</f>
        <v>0</v>
      </c>
      <c r="TQ51" s="1" t="n">
        <f aca="false">1-F51</f>
        <v>0</v>
      </c>
      <c r="TR51" s="1" t="n">
        <f aca="false">IF(AND(RG_Exists=1,F51=0,C51=1),H51,0)</f>
        <v>0</v>
      </c>
      <c r="TS51" s="1" t="n">
        <f aca="false">IF(AND(RG_Exists=1,F51=0,C51=1),H51-MIN(QD51,H51),0)</f>
        <v>0</v>
      </c>
      <c r="TT51" s="1" t="n">
        <f aca="false">'Plan pay &amp; tax'!AD277</f>
        <v>0</v>
      </c>
      <c r="TU51" s="1" t="n">
        <f aca="false">IF(AND(C51=1,QD51&gt;MAX(PR_Short1,TP51*PR_Short2)),1,0)</f>
        <v>0</v>
      </c>
      <c r="TV51" s="1" t="n">
        <f aca="false">MIN(G51,H51+R51)</f>
        <v>0</v>
      </c>
      <c r="TW51" s="1" t="n">
        <f aca="false">QE51+MAX(0,HP51-HO51)</f>
        <v>0</v>
      </c>
      <c r="TX51" s="1" t="n">
        <f aca="false">QD51+HO51</f>
        <v>0</v>
      </c>
      <c r="TY51" s="1" t="n">
        <f aca="false">IF(AND(C51=1,TX51&gt;PR_MinShort),1,0)</f>
        <v>0</v>
      </c>
      <c r="TZ51" s="1" t="n">
        <f aca="false">IF(AND(C51=1,TY51=0,TW51&gt;PR_MinShort),1,0)</f>
        <v>0</v>
      </c>
      <c r="UA51" s="1" t="n">
        <f aca="false">IF(AND(C51=1,QD51&gt;PR_MinShort),1,0)</f>
        <v>0</v>
      </c>
      <c r="UB51" s="1" t="n">
        <f aca="false">IF(AND(C51=1,QE51&gt;1,UI51=0),1,0)</f>
        <v>0</v>
      </c>
      <c r="UC51" s="1" t="str">
        <f aca="false">IF(C51=0,"",IF(UI51=1,"Gap to plan for: short "&amp;"€"&amp;TEXT(ROUND(TO51,0),"#,##0"),IF(QE51&gt;1,"Using savings","Comfortable")))</f>
        <v>Comfortable</v>
      </c>
      <c r="UD51" s="1" t="n">
        <f aca="false">IF(AND(INT(D51/10)*10=90,B51&gt;0),80,INT(D51/10)*10)</f>
        <v>40</v>
      </c>
      <c r="UE51" s="1" t="n">
        <f aca="false">IF(B51=0,1,IF(UD51&lt;&gt;UD50,UE50+1,UE50))</f>
        <v>5</v>
      </c>
      <c r="UF51" s="1" t="n">
        <f aca="false">IF(AND(C51=1,F51=1,QD51&gt;MAX(PR_Short1,TP51*PR_Short2)),1,0)</f>
        <v>0</v>
      </c>
      <c r="UG51" s="1" t="n">
        <f aca="false">TQ51*TU51</f>
        <v>0</v>
      </c>
      <c r="UH51" s="1" t="n">
        <f aca="false">IF(AND(U51=1,Slot1_PctLow=1),1,0)+IF(AND(AF51=1,Slot2_PctLow=1),1,0)+IF(AND(AP51=1,Slot3_PctLow=1),1,0)+IF(AND(AZ51=1,Slot4_PctLow=1),1,0)+IF(AND(BJ51=1,Slot5_PctLow=1),1,0)+IF(AND(BT51=1,Slot6_PctLow=1),1,0)+IF(AND(CD51=1,Slot7_PctLow=1),1,0)+IF(AND(CN51=1,Slot8_PctLow=1),1,0)+IF(AND(CX51=1,Slot9_PctLow=1),1,0)+IF(AND(DH51=1,Slot10_PctLow=1),1,0)+IF(AND(DR51=1,Slot11_PctLow=1),1,0)+IF(AND(EB51=1,Slot12_PctLow=1),1,0)+IF(AND(EL51=1,Slot13_PctLow=1),1,0)+IF(AND(EV51=1,Slot14_PctLow=1),1,0)+IF(AND(FF51=1,Slot15_PctLow=1),1,0)+IF(AND(FP51=1,Slot16_PctLow=1),1,0)+IF(AND(FZ51=1,Slot17_PctLow=1),1,0)+IF(AND(GJ51=1,Slot18_PctLow=1),1,0)+IF(AND(GT51=1,Slot19_PctLow=1),1,0)+IF(AND(HD51=1,Slot20_PctLow=1),1,0)</f>
        <v>0</v>
      </c>
      <c r="UI51" s="1" t="n">
        <f aca="false">IF(C51=1,IF(OR(TU51=1,UH51&gt;0),1,0),0)</f>
        <v>0</v>
      </c>
    </row>
    <row r="52" customFormat="false" ht="15" hidden="false" customHeight="true" outlineLevel="0" collapsed="false">
      <c r="B52" s="1" t="n">
        <v>44</v>
      </c>
      <c r="C52" s="1" t="n">
        <f aca="false">IF(B52&lt;=F_N,1,0)</f>
        <v>1</v>
      </c>
      <c r="D52" s="1" t="n">
        <f aca="false">'Plan pay &amp; tax'!C278</f>
        <v>44</v>
      </c>
      <c r="E52" s="111" t="n">
        <f aca="false">'Plan pay &amp; tax'!E278</f>
        <v>2.3900531424523</v>
      </c>
      <c r="F52" s="1" t="n">
        <f aca="false">'Plan pay &amp; tax'!G278</f>
        <v>1</v>
      </c>
      <c r="G52" s="1" t="n">
        <f aca="false">'Plan pay &amp; tax'!BT278-'Plan pay &amp; tax'!BS278-'Plan pay &amp; tax'!R278</f>
        <v>0</v>
      </c>
      <c r="H52" s="1" t="n">
        <f aca="false">IF(F52=1,F_CostsM*12,IF(RG_Exists=1,RG_Amount,F_CostsM*12*AS_RetireSpend))*E52+F_OneOffY*E52</f>
        <v>0</v>
      </c>
      <c r="I52" s="1" t="n">
        <f aca="false">HQ51</f>
        <v>0</v>
      </c>
      <c r="J52" s="1" t="n">
        <f aca="false">IF(I52&gt;1,'Plan debt months'!AC52,0)</f>
        <v>0</v>
      </c>
      <c r="K52" s="1" t="n">
        <f aca="false">IF(I52&gt;1,'Plan debt months'!AB52,I52)</f>
        <v>0</v>
      </c>
      <c r="L52" s="1" t="n">
        <f aca="false">N51</f>
        <v>0</v>
      </c>
      <c r="M52" s="1" t="n">
        <f aca="false">IF(L52&gt;1,'Plan debt months'!BD52,0)</f>
        <v>0</v>
      </c>
      <c r="N52" s="1" t="n">
        <f aca="false">IF(L52&gt;1,'Plan debt months'!BC52,L52)</f>
        <v>0</v>
      </c>
      <c r="O52" s="1" t="n">
        <f aca="false">Q51</f>
        <v>0</v>
      </c>
      <c r="P52" s="1" t="n">
        <f aca="false">IF(O52&gt;1,'Plan debt months'!CE52,0)</f>
        <v>0</v>
      </c>
      <c r="Q52" s="1" t="n">
        <f aca="false">IF(O52&gt;1,'Plan debt months'!CD52,O52)</f>
        <v>0</v>
      </c>
      <c r="R52" s="1" t="n">
        <f aca="false">J52+M52+P52</f>
        <v>0</v>
      </c>
      <c r="S52" s="1" t="n">
        <f aca="false">QJ51+'Plan pay &amp; tax'!Y278</f>
        <v>0</v>
      </c>
      <c r="T52" s="1" t="n">
        <f aca="false">QJ51</f>
        <v>0</v>
      </c>
      <c r="U52" s="1" t="n">
        <f aca="false">IF(AND(Slot1_On=1,D52=Slot1_Age),1,0)</f>
        <v>0</v>
      </c>
      <c r="V52" s="1" t="n">
        <f aca="false">IF(AND(Slot1_On=1,Slot1_Age&gt;D52),1,0)</f>
        <v>0</v>
      </c>
      <c r="W52" s="1" t="n">
        <f aca="false">QL51</f>
        <v>0</v>
      </c>
      <c r="X52" s="1" t="n">
        <f aca="false">U52*MIN(Slot1_Cost,W52)</f>
        <v>0</v>
      </c>
      <c r="Y52" s="1" t="n">
        <f aca="false">U52*Slot1_SpendLike*MIN(Slot1_Cost-X52,S52)</f>
        <v>0</v>
      </c>
      <c r="Z52" s="1" t="n">
        <f aca="false">X52+Y52</f>
        <v>0</v>
      </c>
      <c r="AA52" s="1" t="n">
        <f aca="false">S52-Y52+U52*IF(Slot1_SpendLike=1,W52-X52,IF(Slot1_PotFree=1,W52,0))</f>
        <v>0</v>
      </c>
      <c r="AB52" s="1" t="n">
        <f aca="false">AE52+U52*Slot1_BufPot*W52</f>
        <v>0</v>
      </c>
      <c r="AC52" s="1" t="n">
        <f aca="false">IF(AND(U52=1,Slot1_IsMfree=1),IF(Z52&gt;=Slot1_Cost-1,0,MAX(0,K52-Z52)),K52)</f>
        <v>0</v>
      </c>
      <c r="AD52" s="1" t="n">
        <f aca="false">U52*(Slot1_Cost-Z52)</f>
        <v>0</v>
      </c>
      <c r="AE52" s="1" t="n">
        <f aca="false">QK51</f>
        <v>0</v>
      </c>
      <c r="AF52" s="1" t="n">
        <f aca="false">IF(AND(Slot2_On=1,D52=Slot2_Age),1,0)</f>
        <v>0</v>
      </c>
      <c r="AG52" s="1" t="n">
        <f aca="false">IF(AND(Slot2_On=1,Slot2_Age&gt;D52),1,0)</f>
        <v>0</v>
      </c>
      <c r="AH52" s="1" t="n">
        <f aca="false">QP51</f>
        <v>0</v>
      </c>
      <c r="AI52" s="1" t="n">
        <f aca="false">AF52*MIN(Slot2_Cost,AH52)</f>
        <v>0</v>
      </c>
      <c r="AJ52" s="1" t="n">
        <f aca="false">AF52*Slot2_SpendLike*MIN(Slot2_Cost-AI52,AA52)</f>
        <v>0</v>
      </c>
      <c r="AK52" s="1" t="n">
        <f aca="false">AI52+AJ52</f>
        <v>0</v>
      </c>
      <c r="AL52" s="1" t="n">
        <f aca="false">AA52-AJ52+AF52*IF(Slot2_SpendLike=1,AH52-AI52,IF(Slot2_PotFree=1,AH52,0))</f>
        <v>0</v>
      </c>
      <c r="AM52" s="1" t="n">
        <f aca="false">AB52+AF52*Slot2_BufPot*AH52</f>
        <v>0</v>
      </c>
      <c r="AN52" s="1" t="n">
        <f aca="false">IF(AND(AF52=1,Slot2_IsMfree=1),IF(AK52&gt;=Slot2_Cost-1,0,MAX(0,AC52-AK52)),AC52)</f>
        <v>0</v>
      </c>
      <c r="AO52" s="1" t="n">
        <f aca="false">AF52*(Slot2_Cost-AK52)</f>
        <v>0</v>
      </c>
      <c r="AP52" s="1" t="n">
        <f aca="false">IF(AND(Slot3_On=1,D52=Slot3_Age),1,0)</f>
        <v>0</v>
      </c>
      <c r="AQ52" s="1" t="n">
        <f aca="false">IF(AND(Slot3_On=1,Slot3_Age&gt;D52),1,0)</f>
        <v>0</v>
      </c>
      <c r="AR52" s="1" t="n">
        <f aca="false">QT51</f>
        <v>0</v>
      </c>
      <c r="AS52" s="1" t="n">
        <f aca="false">AP52*MIN(Slot3_Cost,AR52)</f>
        <v>0</v>
      </c>
      <c r="AT52" s="1" t="n">
        <f aca="false">AP52*Slot3_SpendLike*MIN(Slot3_Cost-AS52,AL52)</f>
        <v>0</v>
      </c>
      <c r="AU52" s="1" t="n">
        <f aca="false">AS52+AT52</f>
        <v>0</v>
      </c>
      <c r="AV52" s="1" t="n">
        <f aca="false">AL52-AT52+AP52*IF(Slot3_SpendLike=1,AR52-AS52,IF(Slot3_PotFree=1,AR52,0))</f>
        <v>0</v>
      </c>
      <c r="AW52" s="1" t="n">
        <f aca="false">AM52+AP52*Slot3_BufPot*AR52</f>
        <v>0</v>
      </c>
      <c r="AX52" s="1" t="n">
        <f aca="false">IF(AND(AP52=1,Slot3_IsMfree=1),IF(AU52&gt;=Slot3_Cost-1,0,MAX(0,AN52-AU52)),AN52)</f>
        <v>0</v>
      </c>
      <c r="AY52" s="1" t="n">
        <f aca="false">AP52*(Slot3_Cost-AU52)</f>
        <v>0</v>
      </c>
      <c r="AZ52" s="1" t="n">
        <f aca="false">IF(AND(Slot4_On=1,D52=Slot4_Age),1,0)</f>
        <v>0</v>
      </c>
      <c r="BA52" s="1" t="n">
        <f aca="false">IF(AND(Slot4_On=1,Slot4_Age&gt;D52),1,0)</f>
        <v>0</v>
      </c>
      <c r="BB52" s="1" t="n">
        <f aca="false">QX51</f>
        <v>0</v>
      </c>
      <c r="BC52" s="1" t="n">
        <f aca="false">AZ52*MIN(Slot4_Cost,BB52)</f>
        <v>0</v>
      </c>
      <c r="BD52" s="1" t="n">
        <f aca="false">AZ52*Slot4_SpendLike*MIN(Slot4_Cost-BC52,AV52)</f>
        <v>0</v>
      </c>
      <c r="BE52" s="1" t="n">
        <f aca="false">BC52+BD52</f>
        <v>0</v>
      </c>
      <c r="BF52" s="1" t="n">
        <f aca="false">AV52-BD52+AZ52*IF(Slot4_SpendLike=1,BB52-BC52,IF(Slot4_PotFree=1,BB52,0))</f>
        <v>0</v>
      </c>
      <c r="BG52" s="1" t="n">
        <f aca="false">AW52+AZ52*Slot4_BufPot*BB52</f>
        <v>0</v>
      </c>
      <c r="BH52" s="1" t="n">
        <f aca="false">IF(AND(AZ52=1,Slot4_IsMfree=1),IF(BE52&gt;=Slot4_Cost-1,0,MAX(0,AX52-BE52)),AX52)</f>
        <v>0</v>
      </c>
      <c r="BI52" s="1" t="n">
        <f aca="false">AZ52*(Slot4_Cost-BE52)</f>
        <v>0</v>
      </c>
      <c r="BJ52" s="1" t="n">
        <f aca="false">IF(AND(Slot5_On=1,D52=Slot5_Age),1,0)</f>
        <v>0</v>
      </c>
      <c r="BK52" s="1" t="n">
        <f aca="false">IF(AND(Slot5_On=1,Slot5_Age&gt;D52),1,0)</f>
        <v>0</v>
      </c>
      <c r="BL52" s="1" t="n">
        <f aca="false">RB51</f>
        <v>0</v>
      </c>
      <c r="BM52" s="1" t="n">
        <f aca="false">BJ52*MIN(Slot5_Cost,BL52)</f>
        <v>0</v>
      </c>
      <c r="BN52" s="1" t="n">
        <f aca="false">BJ52*Slot5_SpendLike*MIN(Slot5_Cost-BM52,BF52)</f>
        <v>0</v>
      </c>
      <c r="BO52" s="1" t="n">
        <f aca="false">BM52+BN52</f>
        <v>0</v>
      </c>
      <c r="BP52" s="1" t="n">
        <f aca="false">BF52-BN52+BJ52*IF(Slot5_SpendLike=1,BL52-BM52,IF(Slot5_PotFree=1,BL52,0))</f>
        <v>0</v>
      </c>
      <c r="BQ52" s="1" t="n">
        <f aca="false">BG52+BJ52*Slot5_BufPot*BL52</f>
        <v>0</v>
      </c>
      <c r="BR52" s="1" t="n">
        <f aca="false">IF(AND(BJ52=1,Slot5_IsMfree=1),IF(BO52&gt;=Slot5_Cost-1,0,MAX(0,BH52-BO52)),BH52)</f>
        <v>0</v>
      </c>
      <c r="BS52" s="1" t="n">
        <f aca="false">BJ52*(Slot5_Cost-BO52)</f>
        <v>0</v>
      </c>
      <c r="BT52" s="1" t="n">
        <f aca="false">IF(AND(Slot6_On=1,D52=Slot6_Age),1,0)</f>
        <v>0</v>
      </c>
      <c r="BU52" s="1" t="n">
        <f aca="false">IF(AND(Slot6_On=1,Slot6_Age&gt;D52),1,0)</f>
        <v>0</v>
      </c>
      <c r="BV52" s="1" t="n">
        <f aca="false">RF51</f>
        <v>0</v>
      </c>
      <c r="BW52" s="1" t="n">
        <f aca="false">BT52*MIN(Slot6_Cost,BV52)</f>
        <v>0</v>
      </c>
      <c r="BX52" s="1" t="n">
        <f aca="false">BT52*Slot6_SpendLike*MIN(Slot6_Cost-BW52,BP52)</f>
        <v>0</v>
      </c>
      <c r="BY52" s="1" t="n">
        <f aca="false">BW52+BX52</f>
        <v>0</v>
      </c>
      <c r="BZ52" s="1" t="n">
        <f aca="false">BP52-BX52+BT52*IF(Slot6_SpendLike=1,BV52-BW52,IF(Slot6_PotFree=1,BV52,0))</f>
        <v>0</v>
      </c>
      <c r="CA52" s="1" t="n">
        <f aca="false">BQ52+BT52*Slot6_BufPot*BV52</f>
        <v>0</v>
      </c>
      <c r="CB52" s="1" t="n">
        <f aca="false">IF(AND(BT52=1,Slot6_IsMfree=1),IF(BY52&gt;=Slot6_Cost-1,0,MAX(0,BR52-BY52)),BR52)</f>
        <v>0</v>
      </c>
      <c r="CC52" s="1" t="n">
        <f aca="false">BT52*(Slot6_Cost-BY52)</f>
        <v>0</v>
      </c>
      <c r="CD52" s="1" t="n">
        <f aca="false">IF(AND(Slot7_On=1,D52=Slot7_Age),1,0)</f>
        <v>0</v>
      </c>
      <c r="CE52" s="1" t="n">
        <f aca="false">IF(AND(Slot7_On=1,Slot7_Age&gt;D52),1,0)</f>
        <v>0</v>
      </c>
      <c r="CF52" s="1" t="n">
        <f aca="false">RJ51</f>
        <v>0</v>
      </c>
      <c r="CG52" s="1" t="n">
        <f aca="false">CD52*MIN(Slot7_Cost,CF52)</f>
        <v>0</v>
      </c>
      <c r="CH52" s="1" t="n">
        <f aca="false">CD52*Slot7_SpendLike*MIN(Slot7_Cost-CG52,BZ52)</f>
        <v>0</v>
      </c>
      <c r="CI52" s="1" t="n">
        <f aca="false">CG52+CH52</f>
        <v>0</v>
      </c>
      <c r="CJ52" s="1" t="n">
        <f aca="false">BZ52-CH52+CD52*IF(Slot7_SpendLike=1,CF52-CG52,IF(Slot7_PotFree=1,CF52,0))</f>
        <v>0</v>
      </c>
      <c r="CK52" s="1" t="n">
        <f aca="false">CA52+CD52*Slot7_BufPot*CF52</f>
        <v>0</v>
      </c>
      <c r="CL52" s="1" t="n">
        <f aca="false">IF(AND(CD52=1,Slot7_IsMfree=1),IF(CI52&gt;=Slot7_Cost-1,0,MAX(0,CB52-CI52)),CB52)</f>
        <v>0</v>
      </c>
      <c r="CM52" s="1" t="n">
        <f aca="false">CD52*(Slot7_Cost-CI52)</f>
        <v>0</v>
      </c>
      <c r="CN52" s="1" t="n">
        <f aca="false">IF(AND(Slot8_On=1,D52=Slot8_Age),1,0)</f>
        <v>0</v>
      </c>
      <c r="CO52" s="1" t="n">
        <f aca="false">IF(AND(Slot8_On=1,Slot8_Age&gt;D52),1,0)</f>
        <v>0</v>
      </c>
      <c r="CP52" s="1" t="n">
        <f aca="false">RN51</f>
        <v>0</v>
      </c>
      <c r="CQ52" s="1" t="n">
        <f aca="false">CN52*MIN(Slot8_Cost,CP52)</f>
        <v>0</v>
      </c>
      <c r="CR52" s="1" t="n">
        <f aca="false">CN52*Slot8_SpendLike*MIN(Slot8_Cost-CQ52,CJ52)</f>
        <v>0</v>
      </c>
      <c r="CS52" s="1" t="n">
        <f aca="false">CQ52+CR52</f>
        <v>0</v>
      </c>
      <c r="CT52" s="1" t="n">
        <f aca="false">CJ52-CR52+CN52*IF(Slot8_SpendLike=1,CP52-CQ52,IF(Slot8_PotFree=1,CP52,0))</f>
        <v>0</v>
      </c>
      <c r="CU52" s="1" t="n">
        <f aca="false">CK52+CN52*Slot8_BufPot*CP52</f>
        <v>0</v>
      </c>
      <c r="CV52" s="1" t="n">
        <f aca="false">IF(AND(CN52=1,Slot8_IsMfree=1),IF(CS52&gt;=Slot8_Cost-1,0,MAX(0,CL52-CS52)),CL52)</f>
        <v>0</v>
      </c>
      <c r="CW52" s="1" t="n">
        <f aca="false">CN52*(Slot8_Cost-CS52)</f>
        <v>0</v>
      </c>
      <c r="CX52" s="1" t="n">
        <f aca="false">IF(AND(Slot9_On=1,D52=Slot9_Age),1,0)</f>
        <v>0</v>
      </c>
      <c r="CY52" s="1" t="n">
        <f aca="false">IF(AND(Slot9_On=1,Slot9_Age&gt;D52),1,0)</f>
        <v>0</v>
      </c>
      <c r="CZ52" s="1" t="n">
        <f aca="false">RR51</f>
        <v>0</v>
      </c>
      <c r="DA52" s="1" t="n">
        <f aca="false">CX52*MIN(Slot9_Cost,CZ52)</f>
        <v>0</v>
      </c>
      <c r="DB52" s="1" t="n">
        <f aca="false">CX52*Slot9_SpendLike*MIN(Slot9_Cost-DA52,CT52)</f>
        <v>0</v>
      </c>
      <c r="DC52" s="1" t="n">
        <f aca="false">DA52+DB52</f>
        <v>0</v>
      </c>
      <c r="DD52" s="1" t="n">
        <f aca="false">CT52-DB52+CX52*IF(Slot9_SpendLike=1,CZ52-DA52,IF(Slot9_PotFree=1,CZ52,0))</f>
        <v>0</v>
      </c>
      <c r="DE52" s="1" t="n">
        <f aca="false">CU52+CX52*Slot9_BufPot*CZ52</f>
        <v>0</v>
      </c>
      <c r="DF52" s="1" t="n">
        <f aca="false">IF(AND(CX52=1,Slot9_IsMfree=1),IF(DC52&gt;=Slot9_Cost-1,0,MAX(0,CV52-DC52)),CV52)</f>
        <v>0</v>
      </c>
      <c r="DG52" s="1" t="n">
        <f aca="false">CX52*(Slot9_Cost-DC52)</f>
        <v>0</v>
      </c>
      <c r="DH52" s="1" t="n">
        <f aca="false">IF(AND(Slot10_On=1,D52=Slot10_Age),1,0)</f>
        <v>0</v>
      </c>
      <c r="DI52" s="1" t="n">
        <f aca="false">IF(AND(Slot10_On=1,Slot10_Age&gt;D52),1,0)</f>
        <v>0</v>
      </c>
      <c r="DJ52" s="1" t="n">
        <f aca="false">RV51</f>
        <v>0</v>
      </c>
      <c r="DK52" s="1" t="n">
        <f aca="false">DH52*MIN(Slot10_Cost,DJ52)</f>
        <v>0</v>
      </c>
      <c r="DL52" s="1" t="n">
        <f aca="false">DH52*Slot10_SpendLike*MIN(Slot10_Cost-DK52,DD52)</f>
        <v>0</v>
      </c>
      <c r="DM52" s="1" t="n">
        <f aca="false">DK52+DL52</f>
        <v>0</v>
      </c>
      <c r="DN52" s="1" t="n">
        <f aca="false">DD52-DL52+DH52*IF(Slot10_SpendLike=1,DJ52-DK52,IF(Slot10_PotFree=1,DJ52,0))</f>
        <v>0</v>
      </c>
      <c r="DO52" s="1" t="n">
        <f aca="false">DE52+DH52*Slot10_BufPot*DJ52</f>
        <v>0</v>
      </c>
      <c r="DP52" s="1" t="n">
        <f aca="false">IF(AND(DH52=1,Slot10_IsMfree=1),IF(DM52&gt;=Slot10_Cost-1,0,MAX(0,DF52-DM52)),DF52)</f>
        <v>0</v>
      </c>
      <c r="DQ52" s="1" t="n">
        <f aca="false">DH52*(Slot10_Cost-DM52)</f>
        <v>0</v>
      </c>
      <c r="DR52" s="1" t="n">
        <f aca="false">IF(AND(Slot11_On=1,D52=Slot11_Age),1,0)</f>
        <v>0</v>
      </c>
      <c r="DS52" s="1" t="n">
        <f aca="false">IF(AND(Slot11_On=1,Slot11_Age&gt;D52),1,0)</f>
        <v>0</v>
      </c>
      <c r="DT52" s="1" t="n">
        <f aca="false">RZ51</f>
        <v>0</v>
      </c>
      <c r="DU52" s="1" t="n">
        <f aca="false">DR52*MIN(Slot11_Cost,DT52)</f>
        <v>0</v>
      </c>
      <c r="DV52" s="1" t="n">
        <f aca="false">DR52*Slot11_SpendLike*MIN(Slot11_Cost-DU52,DN52)</f>
        <v>0</v>
      </c>
      <c r="DW52" s="1" t="n">
        <f aca="false">DU52+DV52</f>
        <v>0</v>
      </c>
      <c r="DX52" s="1" t="n">
        <f aca="false">DN52-DV52+DR52*IF(Slot11_SpendLike=1,DT52-DU52,IF(Slot11_PotFree=1,DT52,0))</f>
        <v>0</v>
      </c>
      <c r="DY52" s="1" t="n">
        <f aca="false">DO52+DR52*Slot11_BufPot*DT52</f>
        <v>0</v>
      </c>
      <c r="DZ52" s="1" t="n">
        <f aca="false">IF(AND(DR52=1,Slot11_IsMfree=1),IF(DW52&gt;=Slot11_Cost-1,0,MAX(0,DP52-DW52)),DP52)</f>
        <v>0</v>
      </c>
      <c r="EA52" s="1" t="n">
        <f aca="false">DR52*(Slot11_Cost-DW52)</f>
        <v>0</v>
      </c>
      <c r="EB52" s="1" t="n">
        <f aca="false">IF(AND(Slot12_On=1,D52=Slot12_Age),1,0)</f>
        <v>0</v>
      </c>
      <c r="EC52" s="1" t="n">
        <f aca="false">IF(AND(Slot12_On=1,Slot12_Age&gt;D52),1,0)</f>
        <v>0</v>
      </c>
      <c r="ED52" s="1" t="n">
        <f aca="false">SD51</f>
        <v>0</v>
      </c>
      <c r="EE52" s="1" t="n">
        <f aca="false">EB52*MIN(Slot12_Cost,ED52)</f>
        <v>0</v>
      </c>
      <c r="EF52" s="1" t="n">
        <f aca="false">EB52*Slot12_SpendLike*MIN(Slot12_Cost-EE52,DX52)</f>
        <v>0</v>
      </c>
      <c r="EG52" s="1" t="n">
        <f aca="false">EE52+EF52</f>
        <v>0</v>
      </c>
      <c r="EH52" s="1" t="n">
        <f aca="false">DX52-EF52+EB52*IF(Slot12_SpendLike=1,ED52-EE52,IF(Slot12_PotFree=1,ED52,0))</f>
        <v>0</v>
      </c>
      <c r="EI52" s="1" t="n">
        <f aca="false">DY52+EB52*Slot12_BufPot*ED52</f>
        <v>0</v>
      </c>
      <c r="EJ52" s="1" t="n">
        <f aca="false">IF(AND(EB52=1,Slot12_IsMfree=1),IF(EG52&gt;=Slot12_Cost-1,0,MAX(0,DZ52-EG52)),DZ52)</f>
        <v>0</v>
      </c>
      <c r="EK52" s="1" t="n">
        <f aca="false">EB52*(Slot12_Cost-EG52)</f>
        <v>0</v>
      </c>
      <c r="EL52" s="1" t="n">
        <f aca="false">IF(AND(Slot13_On=1,D52=Slot13_Age),1,0)</f>
        <v>0</v>
      </c>
      <c r="EM52" s="1" t="n">
        <f aca="false">IF(AND(Slot13_On=1,Slot13_Age&gt;D52),1,0)</f>
        <v>0</v>
      </c>
      <c r="EN52" s="1" t="n">
        <f aca="false">SH51</f>
        <v>0</v>
      </c>
      <c r="EO52" s="1" t="n">
        <f aca="false">EL52*MIN(Slot13_Cost,EN52)</f>
        <v>0</v>
      </c>
      <c r="EP52" s="1" t="n">
        <f aca="false">EL52*Slot13_SpendLike*MIN(Slot13_Cost-EO52,EH52)</f>
        <v>0</v>
      </c>
      <c r="EQ52" s="1" t="n">
        <f aca="false">EO52+EP52</f>
        <v>0</v>
      </c>
      <c r="ER52" s="1" t="n">
        <f aca="false">EH52-EP52+EL52*IF(Slot13_SpendLike=1,EN52-EO52,IF(Slot13_PotFree=1,EN52,0))</f>
        <v>0</v>
      </c>
      <c r="ES52" s="1" t="n">
        <f aca="false">EI52+EL52*Slot13_BufPot*EN52</f>
        <v>0</v>
      </c>
      <c r="ET52" s="1" t="n">
        <f aca="false">IF(AND(EL52=1,Slot13_IsMfree=1),IF(EQ52&gt;=Slot13_Cost-1,0,MAX(0,EJ52-EQ52)),EJ52)</f>
        <v>0</v>
      </c>
      <c r="EU52" s="1" t="n">
        <f aca="false">EL52*(Slot13_Cost-EQ52)</f>
        <v>0</v>
      </c>
      <c r="EV52" s="1" t="n">
        <f aca="false">IF(AND(Slot14_On=1,D52=Slot14_Age),1,0)</f>
        <v>0</v>
      </c>
      <c r="EW52" s="1" t="n">
        <f aca="false">IF(AND(Slot14_On=1,Slot14_Age&gt;D52),1,0)</f>
        <v>0</v>
      </c>
      <c r="EX52" s="1" t="n">
        <f aca="false">SL51</f>
        <v>0</v>
      </c>
      <c r="EY52" s="1" t="n">
        <f aca="false">EV52*MIN(Slot14_Cost,EX52)</f>
        <v>0</v>
      </c>
      <c r="EZ52" s="1" t="n">
        <f aca="false">EV52*Slot14_SpendLike*MIN(Slot14_Cost-EY52,ER52)</f>
        <v>0</v>
      </c>
      <c r="FA52" s="1" t="n">
        <f aca="false">EY52+EZ52</f>
        <v>0</v>
      </c>
      <c r="FB52" s="1" t="n">
        <f aca="false">ER52-EZ52+EV52*IF(Slot14_SpendLike=1,EX52-EY52,IF(Slot14_PotFree=1,EX52,0))</f>
        <v>0</v>
      </c>
      <c r="FC52" s="1" t="n">
        <f aca="false">ES52+EV52*Slot14_BufPot*EX52</f>
        <v>0</v>
      </c>
      <c r="FD52" s="1" t="n">
        <f aca="false">IF(AND(EV52=1,Slot14_IsMfree=1),IF(FA52&gt;=Slot14_Cost-1,0,MAX(0,ET52-FA52)),ET52)</f>
        <v>0</v>
      </c>
      <c r="FE52" s="1" t="n">
        <f aca="false">EV52*(Slot14_Cost-FA52)</f>
        <v>0</v>
      </c>
      <c r="FF52" s="1" t="n">
        <f aca="false">IF(AND(Slot15_On=1,D52=Slot15_Age),1,0)</f>
        <v>0</v>
      </c>
      <c r="FG52" s="1" t="n">
        <f aca="false">IF(AND(Slot15_On=1,Slot15_Age&gt;D52),1,0)</f>
        <v>0</v>
      </c>
      <c r="FH52" s="1" t="n">
        <f aca="false">SP51</f>
        <v>0</v>
      </c>
      <c r="FI52" s="1" t="n">
        <f aca="false">FF52*MIN(Slot15_Cost,FH52)</f>
        <v>0</v>
      </c>
      <c r="FJ52" s="1" t="n">
        <f aca="false">FF52*Slot15_SpendLike*MIN(Slot15_Cost-FI52,FB52)</f>
        <v>0</v>
      </c>
      <c r="FK52" s="1" t="n">
        <f aca="false">FI52+FJ52</f>
        <v>0</v>
      </c>
      <c r="FL52" s="1" t="n">
        <f aca="false">FB52-FJ52+FF52*IF(Slot15_SpendLike=1,FH52-FI52,IF(Slot15_PotFree=1,FH52,0))</f>
        <v>0</v>
      </c>
      <c r="FM52" s="1" t="n">
        <f aca="false">FC52+FF52*Slot15_BufPot*FH52</f>
        <v>0</v>
      </c>
      <c r="FN52" s="1" t="n">
        <f aca="false">IF(AND(FF52=1,Slot15_IsMfree=1),IF(FK52&gt;=Slot15_Cost-1,0,MAX(0,FD52-FK52)),FD52)</f>
        <v>0</v>
      </c>
      <c r="FO52" s="1" t="n">
        <f aca="false">FF52*(Slot15_Cost-FK52)</f>
        <v>0</v>
      </c>
      <c r="FP52" s="1" t="n">
        <f aca="false">IF(AND(Slot16_On=1,D52=Slot16_Age),1,0)</f>
        <v>0</v>
      </c>
      <c r="FQ52" s="1" t="n">
        <f aca="false">IF(AND(Slot16_On=1,Slot16_Age&gt;D52),1,0)</f>
        <v>0</v>
      </c>
      <c r="FR52" s="1" t="n">
        <f aca="false">ST51</f>
        <v>0</v>
      </c>
      <c r="FS52" s="1" t="n">
        <f aca="false">FP52*MIN(Slot16_Cost,FR52)</f>
        <v>0</v>
      </c>
      <c r="FT52" s="1" t="n">
        <f aca="false">FP52*Slot16_SpendLike*MIN(Slot16_Cost-FS52,FL52)</f>
        <v>0</v>
      </c>
      <c r="FU52" s="1" t="n">
        <f aca="false">FS52+FT52</f>
        <v>0</v>
      </c>
      <c r="FV52" s="1" t="n">
        <f aca="false">FL52-FT52+FP52*IF(Slot16_SpendLike=1,FR52-FS52,IF(Slot16_PotFree=1,FR52,0))</f>
        <v>0</v>
      </c>
      <c r="FW52" s="1" t="n">
        <f aca="false">FM52+FP52*Slot16_BufPot*FR52</f>
        <v>0</v>
      </c>
      <c r="FX52" s="1" t="n">
        <f aca="false">IF(AND(FP52=1,Slot16_IsMfree=1),IF(FU52&gt;=Slot16_Cost-1,0,MAX(0,FN52-FU52)),FN52)</f>
        <v>0</v>
      </c>
      <c r="FY52" s="1" t="n">
        <f aca="false">FP52*(Slot16_Cost-FU52)</f>
        <v>0</v>
      </c>
      <c r="FZ52" s="1" t="n">
        <f aca="false">IF(AND(Slot17_On=1,D52=Slot17_Age),1,0)</f>
        <v>0</v>
      </c>
      <c r="GA52" s="1" t="n">
        <f aca="false">IF(AND(Slot17_On=1,Slot17_Age&gt;D52),1,0)</f>
        <v>0</v>
      </c>
      <c r="GB52" s="1" t="n">
        <f aca="false">SX51</f>
        <v>0</v>
      </c>
      <c r="GC52" s="1" t="n">
        <f aca="false">FZ52*MIN(Slot17_Cost,GB52)</f>
        <v>0</v>
      </c>
      <c r="GD52" s="1" t="n">
        <f aca="false">FZ52*Slot17_SpendLike*MIN(Slot17_Cost-GC52,FV52)</f>
        <v>0</v>
      </c>
      <c r="GE52" s="1" t="n">
        <f aca="false">GC52+GD52</f>
        <v>0</v>
      </c>
      <c r="GF52" s="1" t="n">
        <f aca="false">FV52-GD52+FZ52*IF(Slot17_SpendLike=1,GB52-GC52,IF(Slot17_PotFree=1,GB52,0))</f>
        <v>0</v>
      </c>
      <c r="GG52" s="1" t="n">
        <f aca="false">FW52+FZ52*Slot17_BufPot*GB52</f>
        <v>0</v>
      </c>
      <c r="GH52" s="1" t="n">
        <f aca="false">IF(AND(FZ52=1,Slot17_IsMfree=1),IF(GE52&gt;=Slot17_Cost-1,0,MAX(0,FX52-GE52)),FX52)</f>
        <v>0</v>
      </c>
      <c r="GI52" s="1" t="n">
        <f aca="false">FZ52*(Slot17_Cost-GE52)</f>
        <v>0</v>
      </c>
      <c r="GJ52" s="1" t="n">
        <f aca="false">IF(AND(Slot18_On=1,D52=Slot18_Age),1,0)</f>
        <v>0</v>
      </c>
      <c r="GK52" s="1" t="n">
        <f aca="false">IF(AND(Slot18_On=1,Slot18_Age&gt;D52),1,0)</f>
        <v>0</v>
      </c>
      <c r="GL52" s="1" t="n">
        <f aca="false">TB51</f>
        <v>0</v>
      </c>
      <c r="GM52" s="1" t="n">
        <f aca="false">GJ52*MIN(Slot18_Cost,GL52)</f>
        <v>0</v>
      </c>
      <c r="GN52" s="1" t="n">
        <f aca="false">GJ52*Slot18_SpendLike*MIN(Slot18_Cost-GM52,GF52)</f>
        <v>0</v>
      </c>
      <c r="GO52" s="1" t="n">
        <f aca="false">GM52+GN52</f>
        <v>0</v>
      </c>
      <c r="GP52" s="1" t="n">
        <f aca="false">GF52-GN52+GJ52*IF(Slot18_SpendLike=1,GL52-GM52,IF(Slot18_PotFree=1,GL52,0))</f>
        <v>0</v>
      </c>
      <c r="GQ52" s="1" t="n">
        <f aca="false">GG52+GJ52*Slot18_BufPot*GL52</f>
        <v>0</v>
      </c>
      <c r="GR52" s="1" t="n">
        <f aca="false">IF(AND(GJ52=1,Slot18_IsMfree=1),IF(GO52&gt;=Slot18_Cost-1,0,MAX(0,GH52-GO52)),GH52)</f>
        <v>0</v>
      </c>
      <c r="GS52" s="1" t="n">
        <f aca="false">GJ52*(Slot18_Cost-GO52)</f>
        <v>0</v>
      </c>
      <c r="GT52" s="1" t="n">
        <f aca="false">IF(AND(Slot19_On=1,D52=Slot19_Age),1,0)</f>
        <v>0</v>
      </c>
      <c r="GU52" s="1" t="n">
        <f aca="false">IF(AND(Slot19_On=1,Slot19_Age&gt;D52),1,0)</f>
        <v>0</v>
      </c>
      <c r="GV52" s="1" t="n">
        <f aca="false">TF51</f>
        <v>0</v>
      </c>
      <c r="GW52" s="1" t="n">
        <f aca="false">GT52*MIN(Slot19_Cost,GV52)</f>
        <v>0</v>
      </c>
      <c r="GX52" s="1" t="n">
        <f aca="false">GT52*Slot19_SpendLike*MIN(Slot19_Cost-GW52,GP52)</f>
        <v>0</v>
      </c>
      <c r="GY52" s="1" t="n">
        <f aca="false">GW52+GX52</f>
        <v>0</v>
      </c>
      <c r="GZ52" s="1" t="n">
        <f aca="false">GP52-GX52+GT52*IF(Slot19_SpendLike=1,GV52-GW52,IF(Slot19_PotFree=1,GV52,0))</f>
        <v>0</v>
      </c>
      <c r="HA52" s="1" t="n">
        <f aca="false">GQ52+GT52*Slot19_BufPot*GV52</f>
        <v>0</v>
      </c>
      <c r="HB52" s="1" t="n">
        <f aca="false">IF(AND(GT52=1,Slot19_IsMfree=1),IF(GY52&gt;=Slot19_Cost-1,0,MAX(0,GR52-GY52)),GR52)</f>
        <v>0</v>
      </c>
      <c r="HC52" s="1" t="n">
        <f aca="false">GT52*(Slot19_Cost-GY52)</f>
        <v>0</v>
      </c>
      <c r="HD52" s="1" t="n">
        <f aca="false">IF(AND(Slot20_On=1,D52=Slot20_Age),1,0)</f>
        <v>0</v>
      </c>
      <c r="HE52" s="1" t="n">
        <f aca="false">IF(AND(Slot20_On=1,Slot20_Age&gt;D52),1,0)</f>
        <v>0</v>
      </c>
      <c r="HF52" s="1" t="n">
        <f aca="false">TJ51</f>
        <v>0</v>
      </c>
      <c r="HG52" s="1" t="n">
        <f aca="false">HD52*MIN(Slot20_Cost,HF52)</f>
        <v>0</v>
      </c>
      <c r="HH52" s="1" t="n">
        <f aca="false">HD52*Slot20_SpendLike*MIN(Slot20_Cost-HG52,GZ52)</f>
        <v>0</v>
      </c>
      <c r="HI52" s="1" t="n">
        <f aca="false">HG52+HH52</f>
        <v>0</v>
      </c>
      <c r="HJ52" s="1" t="n">
        <f aca="false">GZ52-HH52+HD52*IF(Slot20_SpendLike=1,HF52-HG52,IF(Slot20_PotFree=1,HF52,0))</f>
        <v>0</v>
      </c>
      <c r="HK52" s="1" t="n">
        <f aca="false">HA52+HD52*Slot20_BufPot*HF52</f>
        <v>0</v>
      </c>
      <c r="HL52" s="1" t="n">
        <f aca="false">IF(AND(HD52=1,Slot20_IsMfree=1),IF(HI52&gt;=Slot20_Cost-1,0,MAX(0,HB52-HI52)),HB52)</f>
        <v>0</v>
      </c>
      <c r="HM52" s="1" t="n">
        <f aca="false">HD52*(Slot20_Cost-HI52)</f>
        <v>0</v>
      </c>
      <c r="HN52" s="1" t="n">
        <f aca="false">U52*Slot1_SpendLike*Z52+AF52*Slot2_SpendLike*AK52+AP52*Slot3_SpendLike*AU52+AZ52*Slot4_SpendLike*BE52+BJ52*Slot5_SpendLike*BO52+BT52*Slot6_SpendLike*BY52+CD52*Slot7_SpendLike*CI52+CN52*Slot8_SpendLike*CS52+CX52*Slot9_SpendLike*DC52+DH52*Slot10_SpendLike*DM52+DR52*Slot11_SpendLike*DW52+EB52*Slot12_SpendLike*EG52+EL52*Slot13_SpendLike*EQ52+EV52*Slot14_SpendLike*FA52+FF52*Slot15_SpendLike*FK52+FP52*Slot16_SpendLike*FU52+FZ52*Slot17_SpendLike*GE52+GJ52*Slot18_SpendLike*GO52+GT52*Slot19_SpendLike*GY52+HD52*Slot20_SpendLike*HI52</f>
        <v>0</v>
      </c>
      <c r="HO52" s="1" t="n">
        <f aca="false">AD52+AO52+AY52+BI52+BS52+CC52+CM52+CW52+DG52+DQ52+EA52+EK52+EU52+FE52+FO52+FY52+GI52+GS52+HC52+HM52</f>
        <v>0</v>
      </c>
      <c r="HP52" s="1" t="n">
        <f aca="false">U52*Slot1_Cost+AF52*Slot2_Cost+AP52*Slot3_Cost+AZ52*Slot4_Cost+BJ52*Slot5_Cost+BT52*Slot6_Cost+CD52*Slot7_Cost+CN52*Slot8_Cost+CX52*Slot9_Cost+DH52*Slot10_Cost+DR52*Slot11_Cost+EB52*Slot12_Cost+EL52*Slot13_Cost+EV52*Slot14_Cost+FF52*Slot15_Cost+FP52*Slot16_Cost+FZ52*Slot17_Cost+GJ52*Slot18_Cost+GT52*Slot19_Cost+HD52*Slot20_Cost</f>
        <v>0</v>
      </c>
      <c r="HQ52" s="1" t="n">
        <f aca="false">HL52</f>
        <v>0</v>
      </c>
      <c r="HR52" s="1" t="n">
        <f aca="false">G52-H52-R52</f>
        <v>0</v>
      </c>
      <c r="HS52" s="1" t="n">
        <f aca="false">IF(B52=0,IF(AND(Has_q6=1,In_q6=4),PR_ShareVaries*(MAX(0,HR52)/12),MIN(IF(Has_q6=1,CHOOSE(In_q6+1,PR_SaveB1,PR_SaveB2,PR_SaveB3,PR_SaveB4,0),AS_NoAnswer),AS_SaveShare*(MAX(0,HR52)/12))),HS51)</f>
        <v>0</v>
      </c>
      <c r="HT52" s="1" t="n">
        <f aca="false">IF(HR52&gt;=0,1,0)</f>
        <v>1</v>
      </c>
      <c r="HU52" s="1" t="n">
        <f aca="false">MAX(0,HR52/12/E52)</f>
        <v>0</v>
      </c>
      <c r="HV52" s="1" t="n">
        <f aca="false">IF(AND(Has_q6=1,In_q6=4),PR_ShareVaries*(HU52),MIN(IF(Has_q6=1,CHOOSE(In_q6+1,PR_SaveB1,PR_SaveB2,PR_SaveB3,PR_SaveB4,0),AS_NoAnswer),AS_SaveShare*(HU52)))</f>
        <v>0</v>
      </c>
      <c r="HW52" s="1" t="n">
        <f aca="false">IF(Has_saveM=1,IF(In_saveUp="Yes",1,IF(In_saveUp="No",0,IF(In_saveM&gt;=HS52-0.5,1,0))),0)</f>
        <v>0</v>
      </c>
      <c r="HX52" s="1" t="n">
        <f aca="false">IF(Has_saveM=1,MIN(HU52,IF(HW52=1,MAX(In_saveM,HV52),MIN(In_saveM,HV52))),HV52)</f>
        <v>0</v>
      </c>
      <c r="HY52" s="1" t="n">
        <f aca="false">IF(F52=1,HX52*12*E52,0)</f>
        <v>0</v>
      </c>
      <c r="HZ52" s="1" t="n">
        <f aca="false">MAX(0,HY52+IF(AND(WI_Retire=0,WI_M&lt;0,F52=1),WI_M*12*E52,0))</f>
        <v>0</v>
      </c>
      <c r="IA52" s="1" t="n">
        <f aca="false">Slot1_IsWG*V52+Slot2_IsWG*AG52+Slot3_IsWG*AQ52+Slot4_IsWG*BA52+Slot5_IsWG*BK52+Slot6_IsWG*BU52+Slot7_IsWG*CE52+Slot8_IsWG*CO52+Slot9_IsWG*CY52+Slot10_IsWG*DI52+Slot11_IsWG*DS52+Slot12_IsWG*EC52+Slot13_IsWG*EM52+Slot14_IsWG*EW52+Slot15_IsWG*FG52+Slot16_IsWG*FQ52+Slot17_IsWG*GA52+Slot18_IsWG*GK52+Slot19_IsWG*GU52+Slot20_IsWG*HE52</f>
        <v>0</v>
      </c>
      <c r="IB52" s="1" t="n">
        <f aca="false">IF(AND(WI_Retire=0,WI_M&gt;0,F52=1,IA52&gt;=1),WI_M*12*E52,0)</f>
        <v>0</v>
      </c>
      <c r="IC52" s="1" t="n">
        <f aca="false">IF(HT52=1,MIN(HZ52,HR52),0)</f>
        <v>0</v>
      </c>
      <c r="ID52" s="1" t="n">
        <f aca="false">IF(HT52=1,MIN(IB52,HR52-IC52),0)</f>
        <v>0</v>
      </c>
      <c r="IE52" s="1" t="n">
        <f aca="false">IF(V52=1,IF(ABS((1+AS_Wage)/(1+Slot1_Rate)-1)&lt;0.000000000001,(Slot1_Age-D52)*(1+Slot1_Rate)^(Slot1_Age-D52),(1+Slot1_Rate)^(Slot1_Age-D52)*(1-((1+AS_Wage)/(1+Slot1_Rate))^(Slot1_Age-D52))/(1-(1+AS_Wage)/(1+Slot1_Rate))),1)</f>
        <v>1</v>
      </c>
      <c r="IF52" s="1" t="n">
        <f aca="false">IF(AND(HT52=1,ID52&gt;0,Slot1_IsWG=1,V52=1),MAX(0,(Slot1_Cost-W52*(1+Slot1_Rate)^(Slot1_Age-D52))/IE52),0)</f>
        <v>0</v>
      </c>
      <c r="IG52" s="1" t="n">
        <f aca="false">IF(AND(HT52=1,ID52&gt;0,Slot1_IsWG=1,V52=1),MIN(ID52,IF52),0)</f>
        <v>0</v>
      </c>
      <c r="IH52" s="1" t="n">
        <f aca="false">W52+IG52</f>
        <v>0</v>
      </c>
      <c r="II52" s="1" t="n">
        <f aca="false">IF(V52=1,MAX(0,(Slot1_Cost-IH52*(1+Slot1_Rate)^(Slot1_Age-D52))/IE52),0)</f>
        <v>0</v>
      </c>
      <c r="IJ52" s="1" t="n">
        <f aca="false">IF(V52=1,MAX(0,(Slot1_Cost-W52*(1+Slot1_Rate)^(Slot1_Age-D52))/IE52),0)</f>
        <v>0</v>
      </c>
      <c r="IK52" s="1" t="n">
        <f aca="false">IF(AND(HT52=1,V52=1),MIN(IC52,II52),0)</f>
        <v>0</v>
      </c>
      <c r="IL52" s="1" t="n">
        <f aca="false">IC52-IK52</f>
        <v>0</v>
      </c>
      <c r="IM52" s="1" t="n">
        <f aca="false">IF(AG52=1,IF(ABS((1+AS_Wage)/(1+Slot2_Rate)-1)&lt;0.000000000001,(Slot2_Age-D52)*(1+Slot2_Rate)^(Slot2_Age-D52),(1+Slot2_Rate)^(Slot2_Age-D52)*(1-((1+AS_Wage)/(1+Slot2_Rate))^(Slot2_Age-D52))/(1-(1+AS_Wage)/(1+Slot2_Rate))),1)</f>
        <v>1</v>
      </c>
      <c r="IN52" s="1" t="n">
        <f aca="false">IF(AND(HT52=1,ID52&gt;0,Slot2_IsWG=1,AG52=1),MAX(0,(Slot2_Cost-AH52*(1+Slot2_Rate)^(Slot2_Age-D52))/IM52),0)</f>
        <v>0</v>
      </c>
      <c r="IO52" s="1" t="n">
        <f aca="false">IF(AND(HT52=1,ID52&gt;0,Slot2_IsWG=1,AG52=1),MIN(ID52,IN52),0)</f>
        <v>0</v>
      </c>
      <c r="IP52" s="1" t="n">
        <f aca="false">AH52+IO52</f>
        <v>0</v>
      </c>
      <c r="IQ52" s="1" t="n">
        <f aca="false">IF(AG52=1,MAX(0,(Slot2_Cost-IP52*(1+Slot2_Rate)^(Slot2_Age-D52))/IM52),0)</f>
        <v>0</v>
      </c>
      <c r="IR52" s="1" t="n">
        <f aca="false">IF(AG52=1,MAX(0,(Slot2_Cost-AH52*(1+Slot2_Rate)^(Slot2_Age-D52))/IM52),0)</f>
        <v>0</v>
      </c>
      <c r="IS52" s="1" t="n">
        <f aca="false">IF(AND(HT52=1,AG52=1),MIN(IL52,IQ52),0)</f>
        <v>0</v>
      </c>
      <c r="IT52" s="1" t="n">
        <f aca="false">IL52-IS52</f>
        <v>0</v>
      </c>
      <c r="IU52" s="1" t="n">
        <f aca="false">IF(AQ52=1,IF(ABS((1+AS_Wage)/(1+Slot3_Rate)-1)&lt;0.000000000001,(Slot3_Age-D52)*(1+Slot3_Rate)^(Slot3_Age-D52),(1+Slot3_Rate)^(Slot3_Age-D52)*(1-((1+AS_Wage)/(1+Slot3_Rate))^(Slot3_Age-D52))/(1-(1+AS_Wage)/(1+Slot3_Rate))),1)</f>
        <v>1</v>
      </c>
      <c r="IV52" s="1" t="n">
        <f aca="false">IF(AND(HT52=1,ID52&gt;0,Slot3_IsWG=1,AQ52=1),MAX(0,(Slot3_Cost-AR52*(1+Slot3_Rate)^(Slot3_Age-D52))/IU52),0)</f>
        <v>0</v>
      </c>
      <c r="IW52" s="1" t="n">
        <f aca="false">IF(AND(HT52=1,ID52&gt;0,Slot3_IsWG=1,AQ52=1),MIN(ID52,IV52),0)</f>
        <v>0</v>
      </c>
      <c r="IX52" s="1" t="n">
        <f aca="false">AR52+IW52</f>
        <v>0</v>
      </c>
      <c r="IY52" s="1" t="n">
        <f aca="false">IF(AQ52=1,MAX(0,(Slot3_Cost-IX52*(1+Slot3_Rate)^(Slot3_Age-D52))/IU52),0)</f>
        <v>0</v>
      </c>
      <c r="IZ52" s="1" t="n">
        <f aca="false">IF(AQ52=1,MAX(0,(Slot3_Cost-AR52*(1+Slot3_Rate)^(Slot3_Age-D52))/IU52),0)</f>
        <v>0</v>
      </c>
      <c r="JA52" s="1" t="n">
        <f aca="false">IF(AND(HT52=1,AQ52=1),MIN(IT52,IY52),0)</f>
        <v>0</v>
      </c>
      <c r="JB52" s="1" t="n">
        <f aca="false">IT52-JA52</f>
        <v>0</v>
      </c>
      <c r="JC52" s="1" t="n">
        <f aca="false">IF(BA52=1,IF(ABS((1+AS_Wage)/(1+Slot4_Rate)-1)&lt;0.000000000001,(Slot4_Age-D52)*(1+Slot4_Rate)^(Slot4_Age-D52),(1+Slot4_Rate)^(Slot4_Age-D52)*(1-((1+AS_Wage)/(1+Slot4_Rate))^(Slot4_Age-D52))/(1-(1+AS_Wage)/(1+Slot4_Rate))),1)</f>
        <v>1</v>
      </c>
      <c r="JD52" s="1" t="n">
        <f aca="false">IF(AND(HT52=1,ID52&gt;0,Slot4_IsWG=1,BA52=1),MAX(0,(Slot4_Cost-BB52*(1+Slot4_Rate)^(Slot4_Age-D52))/JC52),0)</f>
        <v>0</v>
      </c>
      <c r="JE52" s="1" t="n">
        <f aca="false">IF(AND(HT52=1,ID52&gt;0,Slot4_IsWG=1,BA52=1),MIN(ID52,JD52),0)</f>
        <v>0</v>
      </c>
      <c r="JF52" s="1" t="n">
        <f aca="false">BB52+JE52</f>
        <v>0</v>
      </c>
      <c r="JG52" s="1" t="n">
        <f aca="false">IF(BA52=1,MAX(0,(Slot4_Cost-JF52*(1+Slot4_Rate)^(Slot4_Age-D52))/JC52),0)</f>
        <v>0</v>
      </c>
      <c r="JH52" s="1" t="n">
        <f aca="false">IF(BA52=1,MAX(0,(Slot4_Cost-BB52*(1+Slot4_Rate)^(Slot4_Age-D52))/JC52),0)</f>
        <v>0</v>
      </c>
      <c r="JI52" s="1" t="n">
        <f aca="false">IF(AND(HT52=1,BA52=1),MIN(JB52,JG52),0)</f>
        <v>0</v>
      </c>
      <c r="JJ52" s="1" t="n">
        <f aca="false">JB52-JI52</f>
        <v>0</v>
      </c>
      <c r="JK52" s="1" t="n">
        <f aca="false">IF(BK52=1,IF(ABS((1+AS_Wage)/(1+Slot5_Rate)-1)&lt;0.000000000001,(Slot5_Age-D52)*(1+Slot5_Rate)^(Slot5_Age-D52),(1+Slot5_Rate)^(Slot5_Age-D52)*(1-((1+AS_Wage)/(1+Slot5_Rate))^(Slot5_Age-D52))/(1-(1+AS_Wage)/(1+Slot5_Rate))),1)</f>
        <v>1</v>
      </c>
      <c r="JL52" s="1" t="n">
        <f aca="false">IF(AND(HT52=1,ID52&gt;0,Slot5_IsWG=1,BK52=1),MAX(0,(Slot5_Cost-BL52*(1+Slot5_Rate)^(Slot5_Age-D52))/JK52),0)</f>
        <v>0</v>
      </c>
      <c r="JM52" s="1" t="n">
        <f aca="false">IF(AND(HT52=1,ID52&gt;0,Slot5_IsWG=1,BK52=1),MIN(ID52,JL52),0)</f>
        <v>0</v>
      </c>
      <c r="JN52" s="1" t="n">
        <f aca="false">BL52+JM52</f>
        <v>0</v>
      </c>
      <c r="JO52" s="1" t="n">
        <f aca="false">IF(BK52=1,MAX(0,(Slot5_Cost-JN52*(1+Slot5_Rate)^(Slot5_Age-D52))/JK52),0)</f>
        <v>0</v>
      </c>
      <c r="JP52" s="1" t="n">
        <f aca="false">IF(BK52=1,MAX(0,(Slot5_Cost-BL52*(1+Slot5_Rate)^(Slot5_Age-D52))/JK52),0)</f>
        <v>0</v>
      </c>
      <c r="JQ52" s="1" t="n">
        <f aca="false">IF(AND(HT52=1,BK52=1),MIN(JJ52,JO52),0)</f>
        <v>0</v>
      </c>
      <c r="JR52" s="1" t="n">
        <f aca="false">JJ52-JQ52</f>
        <v>0</v>
      </c>
      <c r="JS52" s="1" t="n">
        <f aca="false">IF(BU52=1,IF(ABS((1+AS_Wage)/(1+Slot6_Rate)-1)&lt;0.000000000001,(Slot6_Age-D52)*(1+Slot6_Rate)^(Slot6_Age-D52),(1+Slot6_Rate)^(Slot6_Age-D52)*(1-((1+AS_Wage)/(1+Slot6_Rate))^(Slot6_Age-D52))/(1-(1+AS_Wage)/(1+Slot6_Rate))),1)</f>
        <v>1</v>
      </c>
      <c r="JT52" s="1" t="n">
        <f aca="false">IF(AND(HT52=1,ID52&gt;0,Slot6_IsWG=1,BU52=1),MAX(0,(Slot6_Cost-BV52*(1+Slot6_Rate)^(Slot6_Age-D52))/JS52),0)</f>
        <v>0</v>
      </c>
      <c r="JU52" s="1" t="n">
        <f aca="false">IF(AND(HT52=1,ID52&gt;0,Slot6_IsWG=1,BU52=1),MIN(ID52,JT52),0)</f>
        <v>0</v>
      </c>
      <c r="JV52" s="1" t="n">
        <f aca="false">BV52+JU52</f>
        <v>0</v>
      </c>
      <c r="JW52" s="1" t="n">
        <f aca="false">IF(BU52=1,MAX(0,(Slot6_Cost-JV52*(1+Slot6_Rate)^(Slot6_Age-D52))/JS52),0)</f>
        <v>0</v>
      </c>
      <c r="JX52" s="1" t="n">
        <f aca="false">IF(BU52=1,MAX(0,(Slot6_Cost-BV52*(1+Slot6_Rate)^(Slot6_Age-D52))/JS52),0)</f>
        <v>0</v>
      </c>
      <c r="JY52" s="1" t="n">
        <f aca="false">IF(AND(HT52=1,BU52=1),MIN(JR52,JW52),0)</f>
        <v>0</v>
      </c>
      <c r="JZ52" s="1" t="n">
        <f aca="false">JR52-JY52</f>
        <v>0</v>
      </c>
      <c r="KA52" s="1" t="n">
        <f aca="false">IF(CE52=1,IF(ABS((1+AS_Wage)/(1+Slot7_Rate)-1)&lt;0.000000000001,(Slot7_Age-D52)*(1+Slot7_Rate)^(Slot7_Age-D52),(1+Slot7_Rate)^(Slot7_Age-D52)*(1-((1+AS_Wage)/(1+Slot7_Rate))^(Slot7_Age-D52))/(1-(1+AS_Wage)/(1+Slot7_Rate))),1)</f>
        <v>1</v>
      </c>
      <c r="KB52" s="1" t="n">
        <f aca="false">IF(AND(HT52=1,ID52&gt;0,Slot7_IsWG=1,CE52=1),MAX(0,(Slot7_Cost-CF52*(1+Slot7_Rate)^(Slot7_Age-D52))/KA52),0)</f>
        <v>0</v>
      </c>
      <c r="KC52" s="1" t="n">
        <f aca="false">IF(AND(HT52=1,ID52&gt;0,Slot7_IsWG=1,CE52=1),MIN(ID52,KB52),0)</f>
        <v>0</v>
      </c>
      <c r="KD52" s="1" t="n">
        <f aca="false">CF52+KC52</f>
        <v>0</v>
      </c>
      <c r="KE52" s="1" t="n">
        <f aca="false">IF(CE52=1,MAX(0,(Slot7_Cost-KD52*(1+Slot7_Rate)^(Slot7_Age-D52))/KA52),0)</f>
        <v>0</v>
      </c>
      <c r="KF52" s="1" t="n">
        <f aca="false">IF(CE52=1,MAX(0,(Slot7_Cost-CF52*(1+Slot7_Rate)^(Slot7_Age-D52))/KA52),0)</f>
        <v>0</v>
      </c>
      <c r="KG52" s="1" t="n">
        <f aca="false">IF(AND(HT52=1,CE52=1),MIN(JZ52,KE52),0)</f>
        <v>0</v>
      </c>
      <c r="KH52" s="1" t="n">
        <f aca="false">JZ52-KG52</f>
        <v>0</v>
      </c>
      <c r="KI52" s="1" t="n">
        <f aca="false">IF(CO52=1,IF(ABS((1+AS_Wage)/(1+Slot8_Rate)-1)&lt;0.000000000001,(Slot8_Age-D52)*(1+Slot8_Rate)^(Slot8_Age-D52),(1+Slot8_Rate)^(Slot8_Age-D52)*(1-((1+AS_Wage)/(1+Slot8_Rate))^(Slot8_Age-D52))/(1-(1+AS_Wage)/(1+Slot8_Rate))),1)</f>
        <v>1</v>
      </c>
      <c r="KJ52" s="1" t="n">
        <f aca="false">IF(AND(HT52=1,ID52&gt;0,Slot8_IsWG=1,CO52=1),MAX(0,(Slot8_Cost-CP52*(1+Slot8_Rate)^(Slot8_Age-D52))/KI52),0)</f>
        <v>0</v>
      </c>
      <c r="KK52" s="1" t="n">
        <f aca="false">IF(AND(HT52=1,ID52&gt;0,Slot8_IsWG=1,CO52=1),MIN(ID52,KJ52),0)</f>
        <v>0</v>
      </c>
      <c r="KL52" s="1" t="n">
        <f aca="false">CP52+KK52</f>
        <v>0</v>
      </c>
      <c r="KM52" s="1" t="n">
        <f aca="false">IF(CO52=1,MAX(0,(Slot8_Cost-KL52*(1+Slot8_Rate)^(Slot8_Age-D52))/KI52),0)</f>
        <v>0</v>
      </c>
      <c r="KN52" s="1" t="n">
        <f aca="false">IF(CO52=1,MAX(0,(Slot8_Cost-CP52*(1+Slot8_Rate)^(Slot8_Age-D52))/KI52),0)</f>
        <v>0</v>
      </c>
      <c r="KO52" s="1" t="n">
        <f aca="false">IF(AND(HT52=1,CO52=1),MIN(KH52,KM52),0)</f>
        <v>0</v>
      </c>
      <c r="KP52" s="1" t="n">
        <f aca="false">KH52-KO52</f>
        <v>0</v>
      </c>
      <c r="KQ52" s="1" t="n">
        <f aca="false">IF(CY52=1,IF(ABS((1+AS_Wage)/(1+Slot9_Rate)-1)&lt;0.000000000001,(Slot9_Age-D52)*(1+Slot9_Rate)^(Slot9_Age-D52),(1+Slot9_Rate)^(Slot9_Age-D52)*(1-((1+AS_Wage)/(1+Slot9_Rate))^(Slot9_Age-D52))/(1-(1+AS_Wage)/(1+Slot9_Rate))),1)</f>
        <v>1</v>
      </c>
      <c r="KR52" s="1" t="n">
        <f aca="false">IF(AND(HT52=1,ID52&gt;0,Slot9_IsWG=1,CY52=1),MAX(0,(Slot9_Cost-CZ52*(1+Slot9_Rate)^(Slot9_Age-D52))/KQ52),0)</f>
        <v>0</v>
      </c>
      <c r="KS52" s="1" t="n">
        <f aca="false">IF(AND(HT52=1,ID52&gt;0,Slot9_IsWG=1,CY52=1),MIN(ID52,KR52),0)</f>
        <v>0</v>
      </c>
      <c r="KT52" s="1" t="n">
        <f aca="false">CZ52+KS52</f>
        <v>0</v>
      </c>
      <c r="KU52" s="1" t="n">
        <f aca="false">IF(CY52=1,MAX(0,(Slot9_Cost-KT52*(1+Slot9_Rate)^(Slot9_Age-D52))/KQ52),0)</f>
        <v>0</v>
      </c>
      <c r="KV52" s="1" t="n">
        <f aca="false">IF(CY52=1,MAX(0,(Slot9_Cost-CZ52*(1+Slot9_Rate)^(Slot9_Age-D52))/KQ52),0)</f>
        <v>0</v>
      </c>
      <c r="KW52" s="1" t="n">
        <f aca="false">IF(AND(HT52=1,CY52=1),MIN(KP52,KU52),0)</f>
        <v>0</v>
      </c>
      <c r="KX52" s="1" t="n">
        <f aca="false">KP52-KW52</f>
        <v>0</v>
      </c>
      <c r="KY52" s="1" t="n">
        <f aca="false">IF(DI52=1,IF(ABS((1+AS_Wage)/(1+Slot10_Rate)-1)&lt;0.000000000001,(Slot10_Age-D52)*(1+Slot10_Rate)^(Slot10_Age-D52),(1+Slot10_Rate)^(Slot10_Age-D52)*(1-((1+AS_Wage)/(1+Slot10_Rate))^(Slot10_Age-D52))/(1-(1+AS_Wage)/(1+Slot10_Rate))),1)</f>
        <v>1</v>
      </c>
      <c r="KZ52" s="1" t="n">
        <f aca="false">IF(AND(HT52=1,ID52&gt;0,Slot10_IsWG=1,DI52=1),MAX(0,(Slot10_Cost-DJ52*(1+Slot10_Rate)^(Slot10_Age-D52))/KY52),0)</f>
        <v>0</v>
      </c>
      <c r="LA52" s="1" t="n">
        <f aca="false">IF(AND(HT52=1,ID52&gt;0,Slot10_IsWG=1,DI52=1),MIN(ID52,KZ52),0)</f>
        <v>0</v>
      </c>
      <c r="LB52" s="1" t="n">
        <f aca="false">DJ52+LA52</f>
        <v>0</v>
      </c>
      <c r="LC52" s="1" t="n">
        <f aca="false">IF(DI52=1,MAX(0,(Slot10_Cost-LB52*(1+Slot10_Rate)^(Slot10_Age-D52))/KY52),0)</f>
        <v>0</v>
      </c>
      <c r="LD52" s="1" t="n">
        <f aca="false">IF(DI52=1,MAX(0,(Slot10_Cost-DJ52*(1+Slot10_Rate)^(Slot10_Age-D52))/KY52),0)</f>
        <v>0</v>
      </c>
      <c r="LE52" s="1" t="n">
        <f aca="false">IF(AND(HT52=1,DI52=1),MIN(KX52,LC52),0)</f>
        <v>0</v>
      </c>
      <c r="LF52" s="1" t="n">
        <f aca="false">KX52-LE52</f>
        <v>0</v>
      </c>
      <c r="LG52" s="1" t="n">
        <f aca="false">IF(DS52=1,IF(ABS((1+AS_Wage)/(1+Slot11_Rate)-1)&lt;0.000000000001,(Slot11_Age-D52)*(1+Slot11_Rate)^(Slot11_Age-D52),(1+Slot11_Rate)^(Slot11_Age-D52)*(1-((1+AS_Wage)/(1+Slot11_Rate))^(Slot11_Age-D52))/(1-(1+AS_Wage)/(1+Slot11_Rate))),1)</f>
        <v>1</v>
      </c>
      <c r="LH52" s="1" t="n">
        <f aca="false">IF(AND(HT52=1,ID52&gt;0,Slot11_IsWG=1,DS52=1),MAX(0,(Slot11_Cost-DT52*(1+Slot11_Rate)^(Slot11_Age-D52))/LG52),0)</f>
        <v>0</v>
      </c>
      <c r="LI52" s="1" t="n">
        <f aca="false">IF(AND(HT52=1,ID52&gt;0,Slot11_IsWG=1,DS52=1),MIN(ID52,LH52),0)</f>
        <v>0</v>
      </c>
      <c r="LJ52" s="1" t="n">
        <f aca="false">DT52+LI52</f>
        <v>0</v>
      </c>
      <c r="LK52" s="1" t="n">
        <f aca="false">IF(DS52=1,MAX(0,(Slot11_Cost-LJ52*(1+Slot11_Rate)^(Slot11_Age-D52))/LG52),0)</f>
        <v>0</v>
      </c>
      <c r="LL52" s="1" t="n">
        <f aca="false">IF(DS52=1,MAX(0,(Slot11_Cost-DT52*(1+Slot11_Rate)^(Slot11_Age-D52))/LG52),0)</f>
        <v>0</v>
      </c>
      <c r="LM52" s="1" t="n">
        <f aca="false">IF(AND(HT52=1,DS52=1),MIN(LF52,LK52),0)</f>
        <v>0</v>
      </c>
      <c r="LN52" s="1" t="n">
        <f aca="false">LF52-LM52</f>
        <v>0</v>
      </c>
      <c r="LO52" s="1" t="n">
        <f aca="false">IF(EC52=1,IF(ABS((1+AS_Wage)/(1+Slot12_Rate)-1)&lt;0.000000000001,(Slot12_Age-D52)*(1+Slot12_Rate)^(Slot12_Age-D52),(1+Slot12_Rate)^(Slot12_Age-D52)*(1-((1+AS_Wage)/(1+Slot12_Rate))^(Slot12_Age-D52))/(1-(1+AS_Wage)/(1+Slot12_Rate))),1)</f>
        <v>1</v>
      </c>
      <c r="LP52" s="1" t="n">
        <f aca="false">IF(AND(HT52=1,ID52&gt;0,Slot12_IsWG=1,EC52=1),MAX(0,(Slot12_Cost-ED52*(1+Slot12_Rate)^(Slot12_Age-D52))/LO52),0)</f>
        <v>0</v>
      </c>
      <c r="LQ52" s="1" t="n">
        <f aca="false">IF(AND(HT52=1,ID52&gt;0,Slot12_IsWG=1,EC52=1),MIN(ID52,LP52),0)</f>
        <v>0</v>
      </c>
      <c r="LR52" s="1" t="n">
        <f aca="false">ED52+LQ52</f>
        <v>0</v>
      </c>
      <c r="LS52" s="1" t="n">
        <f aca="false">IF(EC52=1,MAX(0,(Slot12_Cost-LR52*(1+Slot12_Rate)^(Slot12_Age-D52))/LO52),0)</f>
        <v>0</v>
      </c>
      <c r="LT52" s="1" t="n">
        <f aca="false">IF(EC52=1,MAX(0,(Slot12_Cost-ED52*(1+Slot12_Rate)^(Slot12_Age-D52))/LO52),0)</f>
        <v>0</v>
      </c>
      <c r="LU52" s="1" t="n">
        <f aca="false">IF(AND(HT52=1,EC52=1),MIN(LN52,LS52),0)</f>
        <v>0</v>
      </c>
      <c r="LV52" s="1" t="n">
        <f aca="false">LN52-LU52</f>
        <v>0</v>
      </c>
      <c r="LW52" s="1" t="n">
        <f aca="false">IF(EM52=1,IF(ABS((1+AS_Wage)/(1+Slot13_Rate)-1)&lt;0.000000000001,(Slot13_Age-D52)*(1+Slot13_Rate)^(Slot13_Age-D52),(1+Slot13_Rate)^(Slot13_Age-D52)*(1-((1+AS_Wage)/(1+Slot13_Rate))^(Slot13_Age-D52))/(1-(1+AS_Wage)/(1+Slot13_Rate))),1)</f>
        <v>1</v>
      </c>
      <c r="LX52" s="1" t="n">
        <f aca="false">IF(AND(HT52=1,ID52&gt;0,Slot13_IsWG=1,EM52=1),MAX(0,(Slot13_Cost-EN52*(1+Slot13_Rate)^(Slot13_Age-D52))/LW52),0)</f>
        <v>0</v>
      </c>
      <c r="LY52" s="1" t="n">
        <f aca="false">IF(AND(HT52=1,ID52&gt;0,Slot13_IsWG=1,EM52=1),MIN(ID52,LX52),0)</f>
        <v>0</v>
      </c>
      <c r="LZ52" s="1" t="n">
        <f aca="false">EN52+LY52</f>
        <v>0</v>
      </c>
      <c r="MA52" s="1" t="n">
        <f aca="false">IF(EM52=1,MAX(0,(Slot13_Cost-LZ52*(1+Slot13_Rate)^(Slot13_Age-D52))/LW52),0)</f>
        <v>0</v>
      </c>
      <c r="MB52" s="1" t="n">
        <f aca="false">IF(EM52=1,MAX(0,(Slot13_Cost-EN52*(1+Slot13_Rate)^(Slot13_Age-D52))/LW52),0)</f>
        <v>0</v>
      </c>
      <c r="MC52" s="1" t="n">
        <f aca="false">IF(AND(HT52=1,EM52=1),MIN(LV52,MA52),0)</f>
        <v>0</v>
      </c>
      <c r="MD52" s="1" t="n">
        <f aca="false">LV52-MC52</f>
        <v>0</v>
      </c>
      <c r="ME52" s="1" t="n">
        <f aca="false">IF(EW52=1,IF(ABS((1+AS_Wage)/(1+Slot14_Rate)-1)&lt;0.000000000001,(Slot14_Age-D52)*(1+Slot14_Rate)^(Slot14_Age-D52),(1+Slot14_Rate)^(Slot14_Age-D52)*(1-((1+AS_Wage)/(1+Slot14_Rate))^(Slot14_Age-D52))/(1-(1+AS_Wage)/(1+Slot14_Rate))),1)</f>
        <v>1</v>
      </c>
      <c r="MF52" s="1" t="n">
        <f aca="false">IF(AND(HT52=1,ID52&gt;0,Slot14_IsWG=1,EW52=1),MAX(0,(Slot14_Cost-EX52*(1+Slot14_Rate)^(Slot14_Age-D52))/ME52),0)</f>
        <v>0</v>
      </c>
      <c r="MG52" s="1" t="n">
        <f aca="false">IF(AND(HT52=1,ID52&gt;0,Slot14_IsWG=1,EW52=1),MIN(ID52,MF52),0)</f>
        <v>0</v>
      </c>
      <c r="MH52" s="1" t="n">
        <f aca="false">EX52+MG52</f>
        <v>0</v>
      </c>
      <c r="MI52" s="1" t="n">
        <f aca="false">IF(EW52=1,MAX(0,(Slot14_Cost-MH52*(1+Slot14_Rate)^(Slot14_Age-D52))/ME52),0)</f>
        <v>0</v>
      </c>
      <c r="MJ52" s="1" t="n">
        <f aca="false">IF(EW52=1,MAX(0,(Slot14_Cost-EX52*(1+Slot14_Rate)^(Slot14_Age-D52))/ME52),0)</f>
        <v>0</v>
      </c>
      <c r="MK52" s="1" t="n">
        <f aca="false">IF(AND(HT52=1,EW52=1),MIN(MD52,MI52),0)</f>
        <v>0</v>
      </c>
      <c r="ML52" s="1" t="n">
        <f aca="false">MD52-MK52</f>
        <v>0</v>
      </c>
      <c r="MM52" s="1" t="n">
        <f aca="false">IF(FG52=1,IF(ABS((1+AS_Wage)/(1+Slot15_Rate)-1)&lt;0.000000000001,(Slot15_Age-D52)*(1+Slot15_Rate)^(Slot15_Age-D52),(1+Slot15_Rate)^(Slot15_Age-D52)*(1-((1+AS_Wage)/(1+Slot15_Rate))^(Slot15_Age-D52))/(1-(1+AS_Wage)/(1+Slot15_Rate))),1)</f>
        <v>1</v>
      </c>
      <c r="MN52" s="1" t="n">
        <f aca="false">IF(AND(HT52=1,ID52&gt;0,Slot15_IsWG=1,FG52=1),MAX(0,(Slot15_Cost-FH52*(1+Slot15_Rate)^(Slot15_Age-D52))/MM52),0)</f>
        <v>0</v>
      </c>
      <c r="MO52" s="1" t="n">
        <f aca="false">IF(AND(HT52=1,ID52&gt;0,Slot15_IsWG=1,FG52=1),MIN(ID52,MN52),0)</f>
        <v>0</v>
      </c>
      <c r="MP52" s="1" t="n">
        <f aca="false">FH52+MO52</f>
        <v>0</v>
      </c>
      <c r="MQ52" s="1" t="n">
        <f aca="false">IF(FG52=1,MAX(0,(Slot15_Cost-MP52*(1+Slot15_Rate)^(Slot15_Age-D52))/MM52),0)</f>
        <v>0</v>
      </c>
      <c r="MR52" s="1" t="n">
        <f aca="false">IF(FG52=1,MAX(0,(Slot15_Cost-FH52*(1+Slot15_Rate)^(Slot15_Age-D52))/MM52),0)</f>
        <v>0</v>
      </c>
      <c r="MS52" s="1" t="n">
        <f aca="false">IF(AND(HT52=1,FG52=1),MIN(ML52,MQ52),0)</f>
        <v>0</v>
      </c>
      <c r="MT52" s="1" t="n">
        <f aca="false">ML52-MS52</f>
        <v>0</v>
      </c>
      <c r="MU52" s="1" t="n">
        <f aca="false">IF(FQ52=1,IF(ABS((1+AS_Wage)/(1+Slot16_Rate)-1)&lt;0.000000000001,(Slot16_Age-D52)*(1+Slot16_Rate)^(Slot16_Age-D52),(1+Slot16_Rate)^(Slot16_Age-D52)*(1-((1+AS_Wage)/(1+Slot16_Rate))^(Slot16_Age-D52))/(1-(1+AS_Wage)/(1+Slot16_Rate))),1)</f>
        <v>1</v>
      </c>
      <c r="MV52" s="1" t="n">
        <f aca="false">IF(AND(HT52=1,ID52&gt;0,Slot16_IsWG=1,FQ52=1),MAX(0,(Slot16_Cost-FR52*(1+Slot16_Rate)^(Slot16_Age-D52))/MU52),0)</f>
        <v>0</v>
      </c>
      <c r="MW52" s="1" t="n">
        <f aca="false">IF(AND(HT52=1,ID52&gt;0,Slot16_IsWG=1,FQ52=1),MIN(ID52,MV52),0)</f>
        <v>0</v>
      </c>
      <c r="MX52" s="1" t="n">
        <f aca="false">FR52+MW52</f>
        <v>0</v>
      </c>
      <c r="MY52" s="1" t="n">
        <f aca="false">IF(FQ52=1,MAX(0,(Slot16_Cost-MX52*(1+Slot16_Rate)^(Slot16_Age-D52))/MU52),0)</f>
        <v>0</v>
      </c>
      <c r="MZ52" s="1" t="n">
        <f aca="false">IF(FQ52=1,MAX(0,(Slot16_Cost-FR52*(1+Slot16_Rate)^(Slot16_Age-D52))/MU52),0)</f>
        <v>0</v>
      </c>
      <c r="NA52" s="1" t="n">
        <f aca="false">IF(AND(HT52=1,FQ52=1),MIN(MT52,MY52),0)</f>
        <v>0</v>
      </c>
      <c r="NB52" s="1" t="n">
        <f aca="false">MT52-NA52</f>
        <v>0</v>
      </c>
      <c r="NC52" s="1" t="n">
        <f aca="false">IF(GA52=1,IF(ABS((1+AS_Wage)/(1+Slot17_Rate)-1)&lt;0.000000000001,(Slot17_Age-D52)*(1+Slot17_Rate)^(Slot17_Age-D52),(1+Slot17_Rate)^(Slot17_Age-D52)*(1-((1+AS_Wage)/(1+Slot17_Rate))^(Slot17_Age-D52))/(1-(1+AS_Wage)/(1+Slot17_Rate))),1)</f>
        <v>1</v>
      </c>
      <c r="ND52" s="1" t="n">
        <f aca="false">IF(AND(HT52=1,ID52&gt;0,Slot17_IsWG=1,GA52=1),MAX(0,(Slot17_Cost-GB52*(1+Slot17_Rate)^(Slot17_Age-D52))/NC52),0)</f>
        <v>0</v>
      </c>
      <c r="NE52" s="1" t="n">
        <f aca="false">IF(AND(HT52=1,ID52&gt;0,Slot17_IsWG=1,GA52=1),MIN(ID52,ND52),0)</f>
        <v>0</v>
      </c>
      <c r="NF52" s="1" t="n">
        <f aca="false">GB52+NE52</f>
        <v>0</v>
      </c>
      <c r="NG52" s="1" t="n">
        <f aca="false">IF(GA52=1,MAX(0,(Slot17_Cost-NF52*(1+Slot17_Rate)^(Slot17_Age-D52))/NC52),0)</f>
        <v>0</v>
      </c>
      <c r="NH52" s="1" t="n">
        <f aca="false">IF(GA52=1,MAX(0,(Slot17_Cost-GB52*(1+Slot17_Rate)^(Slot17_Age-D52))/NC52),0)</f>
        <v>0</v>
      </c>
      <c r="NI52" s="1" t="n">
        <f aca="false">IF(AND(HT52=1,GA52=1),MIN(NB52,NG52),0)</f>
        <v>0</v>
      </c>
      <c r="NJ52" s="1" t="n">
        <f aca="false">NB52-NI52</f>
        <v>0</v>
      </c>
      <c r="NK52" s="1" t="n">
        <f aca="false">IF(GK52=1,IF(ABS((1+AS_Wage)/(1+Slot18_Rate)-1)&lt;0.000000000001,(Slot18_Age-D52)*(1+Slot18_Rate)^(Slot18_Age-D52),(1+Slot18_Rate)^(Slot18_Age-D52)*(1-((1+AS_Wage)/(1+Slot18_Rate))^(Slot18_Age-D52))/(1-(1+AS_Wage)/(1+Slot18_Rate))),1)</f>
        <v>1</v>
      </c>
      <c r="NL52" s="1" t="n">
        <f aca="false">IF(AND(HT52=1,ID52&gt;0,Slot18_IsWG=1,GK52=1),MAX(0,(Slot18_Cost-GL52*(1+Slot18_Rate)^(Slot18_Age-D52))/NK52),0)</f>
        <v>0</v>
      </c>
      <c r="NM52" s="1" t="n">
        <f aca="false">IF(AND(HT52=1,ID52&gt;0,Slot18_IsWG=1,GK52=1),MIN(ID52,NL52),0)</f>
        <v>0</v>
      </c>
      <c r="NN52" s="1" t="n">
        <f aca="false">GL52+NM52</f>
        <v>0</v>
      </c>
      <c r="NO52" s="1" t="n">
        <f aca="false">IF(GK52=1,MAX(0,(Slot18_Cost-NN52*(1+Slot18_Rate)^(Slot18_Age-D52))/NK52),0)</f>
        <v>0</v>
      </c>
      <c r="NP52" s="1" t="n">
        <f aca="false">IF(GK52=1,MAX(0,(Slot18_Cost-GL52*(1+Slot18_Rate)^(Slot18_Age-D52))/NK52),0)</f>
        <v>0</v>
      </c>
      <c r="NQ52" s="1" t="n">
        <f aca="false">IF(AND(HT52=1,GK52=1),MIN(NJ52,NO52),0)</f>
        <v>0</v>
      </c>
      <c r="NR52" s="1" t="n">
        <f aca="false">NJ52-NQ52</f>
        <v>0</v>
      </c>
      <c r="NS52" s="1" t="n">
        <f aca="false">IF(GU52=1,IF(ABS((1+AS_Wage)/(1+Slot19_Rate)-1)&lt;0.000000000001,(Slot19_Age-D52)*(1+Slot19_Rate)^(Slot19_Age-D52),(1+Slot19_Rate)^(Slot19_Age-D52)*(1-((1+AS_Wage)/(1+Slot19_Rate))^(Slot19_Age-D52))/(1-(1+AS_Wage)/(1+Slot19_Rate))),1)</f>
        <v>1</v>
      </c>
      <c r="NT52" s="1" t="n">
        <f aca="false">IF(AND(HT52=1,ID52&gt;0,Slot19_IsWG=1,GU52=1),MAX(0,(Slot19_Cost-GV52*(1+Slot19_Rate)^(Slot19_Age-D52))/NS52),0)</f>
        <v>0</v>
      </c>
      <c r="NU52" s="1" t="n">
        <f aca="false">IF(AND(HT52=1,ID52&gt;0,Slot19_IsWG=1,GU52=1),MIN(ID52,NT52),0)</f>
        <v>0</v>
      </c>
      <c r="NV52" s="1" t="n">
        <f aca="false">GV52+NU52</f>
        <v>0</v>
      </c>
      <c r="NW52" s="1" t="n">
        <f aca="false">IF(GU52=1,MAX(0,(Slot19_Cost-NV52*(1+Slot19_Rate)^(Slot19_Age-D52))/NS52),0)</f>
        <v>0</v>
      </c>
      <c r="NX52" s="1" t="n">
        <f aca="false">IF(GU52=1,MAX(0,(Slot19_Cost-GV52*(1+Slot19_Rate)^(Slot19_Age-D52))/NS52),0)</f>
        <v>0</v>
      </c>
      <c r="NY52" s="1" t="n">
        <f aca="false">IF(AND(HT52=1,GU52=1),MIN(NR52,NW52),0)</f>
        <v>0</v>
      </c>
      <c r="NZ52" s="1" t="n">
        <f aca="false">NR52-NY52</f>
        <v>0</v>
      </c>
      <c r="OA52" s="1" t="n">
        <f aca="false">IF(HE52=1,IF(ABS((1+AS_Wage)/(1+Slot20_Rate)-1)&lt;0.000000000001,(Slot20_Age-D52)*(1+Slot20_Rate)^(Slot20_Age-D52),(1+Slot20_Rate)^(Slot20_Age-D52)*(1-((1+AS_Wage)/(1+Slot20_Rate))^(Slot20_Age-D52))/(1-(1+AS_Wage)/(1+Slot20_Rate))),1)</f>
        <v>1</v>
      </c>
      <c r="OB52" s="1" t="n">
        <f aca="false">IF(AND(HT52=1,ID52&gt;0,Slot20_IsWG=1,HE52=1),MAX(0,(Slot20_Cost-HF52*(1+Slot20_Rate)^(Slot20_Age-D52))/OA52),0)</f>
        <v>0</v>
      </c>
      <c r="OC52" s="1" t="n">
        <f aca="false">IF(AND(HT52=1,ID52&gt;0,Slot20_IsWG=1,HE52=1),MIN(ID52,OB52),0)</f>
        <v>0</v>
      </c>
      <c r="OD52" s="1" t="n">
        <f aca="false">HF52+OC52</f>
        <v>0</v>
      </c>
      <c r="OE52" s="1" t="n">
        <f aca="false">IF(HE52=1,MAX(0,(Slot20_Cost-OD52*(1+Slot20_Rate)^(Slot20_Age-D52))/OA52),0)</f>
        <v>0</v>
      </c>
      <c r="OF52" s="1" t="n">
        <f aca="false">IF(HE52=1,MAX(0,(Slot20_Cost-HF52*(1+Slot20_Rate)^(Slot20_Age-D52))/OA52),0)</f>
        <v>0</v>
      </c>
      <c r="OG52" s="1" t="n">
        <f aca="false">IF(AND(HT52=1,HE52=1),MIN(NZ52,OE52),0)</f>
        <v>0</v>
      </c>
      <c r="OH52" s="1" t="n">
        <f aca="false">NZ52-OG52</f>
        <v>0</v>
      </c>
      <c r="OI52" s="1" t="n">
        <f aca="false">ID52-(IG52+IO52+IW52+JE52+JM52+JU52+KC52+KK52+KS52+LA52+LI52+LQ52+LY52+MG52+MO52+MW52+NE52+NM52+NU52+OC52)</f>
        <v>0</v>
      </c>
      <c r="OJ52" s="1" t="n">
        <f aca="false">IF(HT52=1,HR52-IC52-ID52,0)</f>
        <v>0</v>
      </c>
      <c r="OK52" s="1" t="n">
        <f aca="false">IF(HT52=0,-HR52,0)</f>
        <v>0</v>
      </c>
      <c r="OL52" s="1" t="n">
        <f aca="false">MIN(OK52,HJ52)</f>
        <v>0</v>
      </c>
      <c r="OM52" s="1" t="n">
        <f aca="false">OK52-OL52</f>
        <v>0</v>
      </c>
      <c r="ON52" s="1" t="n">
        <f aca="false">MIN(OM52,HK52)</f>
        <v>0</v>
      </c>
      <c r="OO52" s="1" t="n">
        <f aca="false">OM52-ON52</f>
        <v>0</v>
      </c>
      <c r="OP52" s="1" t="n">
        <f aca="false">IF(AND(HT52=0,HE52=1,OO52&gt;0),MIN(OO52,HF52),0)</f>
        <v>0</v>
      </c>
      <c r="OQ52" s="1" t="n">
        <f aca="false">OO52-OP52</f>
        <v>0</v>
      </c>
      <c r="OR52" s="1" t="n">
        <f aca="false">IF(AND(HT52=0,GU52=1,OQ52&gt;0),MIN(OQ52,GV52),0)</f>
        <v>0</v>
      </c>
      <c r="OS52" s="1" t="n">
        <f aca="false">OQ52-OR52</f>
        <v>0</v>
      </c>
      <c r="OT52" s="1" t="n">
        <f aca="false">IF(AND(HT52=0,GK52=1,OS52&gt;0),MIN(OS52,GL52),0)</f>
        <v>0</v>
      </c>
      <c r="OU52" s="1" t="n">
        <f aca="false">OS52-OT52</f>
        <v>0</v>
      </c>
      <c r="OV52" s="1" t="n">
        <f aca="false">IF(AND(HT52=0,GA52=1,OU52&gt;0),MIN(OU52,GB52),0)</f>
        <v>0</v>
      </c>
      <c r="OW52" s="1" t="n">
        <f aca="false">OU52-OV52</f>
        <v>0</v>
      </c>
      <c r="OX52" s="1" t="n">
        <f aca="false">IF(AND(HT52=0,FQ52=1,OW52&gt;0),MIN(OW52,FR52),0)</f>
        <v>0</v>
      </c>
      <c r="OY52" s="1" t="n">
        <f aca="false">OW52-OX52</f>
        <v>0</v>
      </c>
      <c r="OZ52" s="1" t="n">
        <f aca="false">IF(AND(HT52=0,FG52=1,OY52&gt;0),MIN(OY52,FH52),0)</f>
        <v>0</v>
      </c>
      <c r="PA52" s="1" t="n">
        <f aca="false">OY52-OZ52</f>
        <v>0</v>
      </c>
      <c r="PB52" s="1" t="n">
        <f aca="false">IF(AND(HT52=0,EW52=1,PA52&gt;0),MIN(PA52,EX52),0)</f>
        <v>0</v>
      </c>
      <c r="PC52" s="1" t="n">
        <f aca="false">PA52-PB52</f>
        <v>0</v>
      </c>
      <c r="PD52" s="1" t="n">
        <f aca="false">IF(AND(HT52=0,EM52=1,PC52&gt;0),MIN(PC52,EN52),0)</f>
        <v>0</v>
      </c>
      <c r="PE52" s="1" t="n">
        <f aca="false">PC52-PD52</f>
        <v>0</v>
      </c>
      <c r="PF52" s="1" t="n">
        <f aca="false">IF(AND(HT52=0,EC52=1,PE52&gt;0),MIN(PE52,ED52),0)</f>
        <v>0</v>
      </c>
      <c r="PG52" s="1" t="n">
        <f aca="false">PE52-PF52</f>
        <v>0</v>
      </c>
      <c r="PH52" s="1" t="n">
        <f aca="false">IF(AND(HT52=0,DS52=1,PG52&gt;0),MIN(PG52,DT52),0)</f>
        <v>0</v>
      </c>
      <c r="PI52" s="1" t="n">
        <f aca="false">PG52-PH52</f>
        <v>0</v>
      </c>
      <c r="PJ52" s="1" t="n">
        <f aca="false">IF(AND(HT52=0,DI52=1,PI52&gt;0),MIN(PI52,DJ52),0)</f>
        <v>0</v>
      </c>
      <c r="PK52" s="1" t="n">
        <f aca="false">PI52-PJ52</f>
        <v>0</v>
      </c>
      <c r="PL52" s="1" t="n">
        <f aca="false">IF(AND(HT52=0,CY52=1,PK52&gt;0),MIN(PK52,CZ52),0)</f>
        <v>0</v>
      </c>
      <c r="PM52" s="1" t="n">
        <f aca="false">PK52-PL52</f>
        <v>0</v>
      </c>
      <c r="PN52" s="1" t="n">
        <f aca="false">IF(AND(HT52=0,CO52=1,PM52&gt;0),MIN(PM52,CP52),0)</f>
        <v>0</v>
      </c>
      <c r="PO52" s="1" t="n">
        <f aca="false">PM52-PN52</f>
        <v>0</v>
      </c>
      <c r="PP52" s="1" t="n">
        <f aca="false">IF(AND(HT52=0,CE52=1,PO52&gt;0),MIN(PO52,CF52),0)</f>
        <v>0</v>
      </c>
      <c r="PQ52" s="1" t="n">
        <f aca="false">PO52-PP52</f>
        <v>0</v>
      </c>
      <c r="PR52" s="1" t="n">
        <f aca="false">IF(AND(HT52=0,BU52=1,PQ52&gt;0),MIN(PQ52,BV52),0)</f>
        <v>0</v>
      </c>
      <c r="PS52" s="1" t="n">
        <f aca="false">PQ52-PR52</f>
        <v>0</v>
      </c>
      <c r="PT52" s="1" t="n">
        <f aca="false">IF(AND(HT52=0,BK52=1,PS52&gt;0),MIN(PS52,BL52),0)</f>
        <v>0</v>
      </c>
      <c r="PU52" s="1" t="n">
        <f aca="false">PS52-PT52</f>
        <v>0</v>
      </c>
      <c r="PV52" s="1" t="n">
        <f aca="false">IF(AND(HT52=0,BA52=1,PU52&gt;0),MIN(PU52,BB52),0)</f>
        <v>0</v>
      </c>
      <c r="PW52" s="1" t="n">
        <f aca="false">PU52-PV52</f>
        <v>0</v>
      </c>
      <c r="PX52" s="1" t="n">
        <f aca="false">IF(AND(HT52=0,AQ52=1,PW52&gt;0),MIN(PW52,AR52),0)</f>
        <v>0</v>
      </c>
      <c r="PY52" s="1" t="n">
        <f aca="false">PW52-PX52</f>
        <v>0</v>
      </c>
      <c r="PZ52" s="1" t="n">
        <f aca="false">IF(AND(HT52=0,AG52=1,PY52&gt;0),MIN(PY52,AH52),0)</f>
        <v>0</v>
      </c>
      <c r="QA52" s="1" t="n">
        <f aca="false">PY52-PZ52</f>
        <v>0</v>
      </c>
      <c r="QB52" s="1" t="n">
        <f aca="false">IF(AND(HT52=0,V52=1,QA52&gt;0),MIN(QA52,W52),0)</f>
        <v>0</v>
      </c>
      <c r="QC52" s="1" t="n">
        <f aca="false">QA52-QB52</f>
        <v>0</v>
      </c>
      <c r="QD52" s="1" t="n">
        <f aca="false">IF(HT52=0,QC52,0)</f>
        <v>0</v>
      </c>
      <c r="QE52" s="1" t="n">
        <f aca="false">OL52+ON52+QB52+PZ52+PX52+PV52+PT52+PR52+PP52+PN52+PL52+PJ52+PH52+PF52+PD52+PB52+OZ52+OX52+OV52+OT52+OR52+OP52</f>
        <v>0</v>
      </c>
      <c r="QF52" s="1" t="n">
        <f aca="false">IF(HT52=1,HJ52+OI52+OH52+IF(F52=1,0,OJ52),HJ52-OL52)</f>
        <v>0</v>
      </c>
      <c r="QG52" s="1" t="n">
        <f aca="false">HK52-ON52</f>
        <v>0</v>
      </c>
      <c r="QH52" s="1" t="n">
        <f aca="false">IF(HT52=1,IF(F52=1,IC52+ID52,HR52),0)</f>
        <v>0</v>
      </c>
      <c r="QI52" s="1" t="n">
        <f aca="false">IF(HT52=1,IF(F52=1,HR52-IC52-ID52,0),0)</f>
        <v>0</v>
      </c>
      <c r="QJ52" s="1" t="n">
        <f aca="false">QF52*(1+GR)</f>
        <v>0</v>
      </c>
      <c r="QK52" s="1" t="n">
        <f aca="false">QG52*(1+AS_Cash)</f>
        <v>0</v>
      </c>
      <c r="QL52" s="1" t="n">
        <f aca="false">IF(V52=1,IF(HT52=1,IH52+IK52,W52-QB52)*(1+Slot1_Rate),0)</f>
        <v>0</v>
      </c>
      <c r="QM52" s="1" t="n">
        <f aca="false">IF(AND(HT52=1,V52=1),(IG52+IK52)/E52,0)</f>
        <v>0</v>
      </c>
      <c r="QN52" s="1" t="n">
        <f aca="false">IF(B52=0,IG52+IK52,0)</f>
        <v>0</v>
      </c>
      <c r="QO52" s="1" t="n">
        <f aca="false">IF(B52=0,IF(HT52=1,II52,IJ52),0)</f>
        <v>0</v>
      </c>
      <c r="QP52" s="1" t="n">
        <f aca="false">IF(AG52=1,IF(HT52=1,IP52+IS52,AH52-PZ52)*(1+Slot2_Rate),0)</f>
        <v>0</v>
      </c>
      <c r="QQ52" s="1" t="n">
        <f aca="false">IF(AND(HT52=1,AG52=1),(IO52+IS52)/E52,0)</f>
        <v>0</v>
      </c>
      <c r="QR52" s="1" t="n">
        <f aca="false">IF(B52=0,IO52+IS52,0)</f>
        <v>0</v>
      </c>
      <c r="QS52" s="1" t="n">
        <f aca="false">IF(B52=0,IF(HT52=1,IQ52,IR52),0)</f>
        <v>0</v>
      </c>
      <c r="QT52" s="1" t="n">
        <f aca="false">IF(AQ52=1,IF(HT52=1,IX52+JA52,AR52-PX52)*(1+Slot3_Rate),0)</f>
        <v>0</v>
      </c>
      <c r="QU52" s="1" t="n">
        <f aca="false">IF(AND(HT52=1,AQ52=1),(IW52+JA52)/E52,0)</f>
        <v>0</v>
      </c>
      <c r="QV52" s="1" t="n">
        <f aca="false">IF(B52=0,IW52+JA52,0)</f>
        <v>0</v>
      </c>
      <c r="QW52" s="1" t="n">
        <f aca="false">IF(B52=0,IF(HT52=1,IY52,IZ52),0)</f>
        <v>0</v>
      </c>
      <c r="QX52" s="1" t="n">
        <f aca="false">IF(BA52=1,IF(HT52=1,JF52+JI52,BB52-PV52)*(1+Slot4_Rate),0)</f>
        <v>0</v>
      </c>
      <c r="QY52" s="1" t="n">
        <f aca="false">IF(AND(HT52=1,BA52=1),(JE52+JI52)/E52,0)</f>
        <v>0</v>
      </c>
      <c r="QZ52" s="1" t="n">
        <f aca="false">IF(B52=0,JE52+JI52,0)</f>
        <v>0</v>
      </c>
      <c r="RA52" s="1" t="n">
        <f aca="false">IF(B52=0,IF(HT52=1,JG52,JH52),0)</f>
        <v>0</v>
      </c>
      <c r="RB52" s="1" t="n">
        <f aca="false">IF(BK52=1,IF(HT52=1,JN52+JQ52,BL52-PT52)*(1+Slot5_Rate),0)</f>
        <v>0</v>
      </c>
      <c r="RC52" s="1" t="n">
        <f aca="false">IF(AND(HT52=1,BK52=1),(JM52+JQ52)/E52,0)</f>
        <v>0</v>
      </c>
      <c r="RD52" s="1" t="n">
        <f aca="false">IF(B52=0,JM52+JQ52,0)</f>
        <v>0</v>
      </c>
      <c r="RE52" s="1" t="n">
        <f aca="false">IF(B52=0,IF(HT52=1,JO52,JP52),0)</f>
        <v>0</v>
      </c>
      <c r="RF52" s="1" t="n">
        <f aca="false">IF(BU52=1,IF(HT52=1,JV52+JY52,BV52-PR52)*(1+Slot6_Rate),0)</f>
        <v>0</v>
      </c>
      <c r="RG52" s="1" t="n">
        <f aca="false">IF(AND(HT52=1,BU52=1),(JU52+JY52)/E52,0)</f>
        <v>0</v>
      </c>
      <c r="RH52" s="1" t="n">
        <f aca="false">IF(B52=0,JU52+JY52,0)</f>
        <v>0</v>
      </c>
      <c r="RI52" s="1" t="n">
        <f aca="false">IF(B52=0,IF(HT52=1,JW52,JX52),0)</f>
        <v>0</v>
      </c>
      <c r="RJ52" s="1" t="n">
        <f aca="false">IF(CE52=1,IF(HT52=1,KD52+KG52,CF52-PP52)*(1+Slot7_Rate),0)</f>
        <v>0</v>
      </c>
      <c r="RK52" s="1" t="n">
        <f aca="false">IF(AND(HT52=1,CE52=1),(KC52+KG52)/E52,0)</f>
        <v>0</v>
      </c>
      <c r="RL52" s="1" t="n">
        <f aca="false">IF(B52=0,KC52+KG52,0)</f>
        <v>0</v>
      </c>
      <c r="RM52" s="1" t="n">
        <f aca="false">IF(B52=0,IF(HT52=1,KE52,KF52),0)</f>
        <v>0</v>
      </c>
      <c r="RN52" s="1" t="n">
        <f aca="false">IF(CO52=1,IF(HT52=1,KL52+KO52,CP52-PN52)*(1+Slot8_Rate),0)</f>
        <v>0</v>
      </c>
      <c r="RO52" s="1" t="n">
        <f aca="false">IF(AND(HT52=1,CO52=1),(KK52+KO52)/E52,0)</f>
        <v>0</v>
      </c>
      <c r="RP52" s="1" t="n">
        <f aca="false">IF(B52=0,KK52+KO52,0)</f>
        <v>0</v>
      </c>
      <c r="RQ52" s="1" t="n">
        <f aca="false">IF(B52=0,IF(HT52=1,KM52,KN52),0)</f>
        <v>0</v>
      </c>
      <c r="RR52" s="1" t="n">
        <f aca="false">IF(CY52=1,IF(HT52=1,KT52+KW52,CZ52-PL52)*(1+Slot9_Rate),0)</f>
        <v>0</v>
      </c>
      <c r="RS52" s="1" t="n">
        <f aca="false">IF(AND(HT52=1,CY52=1),(KS52+KW52)/E52,0)</f>
        <v>0</v>
      </c>
      <c r="RT52" s="1" t="n">
        <f aca="false">IF(B52=0,KS52+KW52,0)</f>
        <v>0</v>
      </c>
      <c r="RU52" s="1" t="n">
        <f aca="false">IF(B52=0,IF(HT52=1,KU52,KV52),0)</f>
        <v>0</v>
      </c>
      <c r="RV52" s="1" t="n">
        <f aca="false">IF(DI52=1,IF(HT52=1,LB52+LE52,DJ52-PJ52)*(1+Slot10_Rate),0)</f>
        <v>0</v>
      </c>
      <c r="RW52" s="1" t="n">
        <f aca="false">IF(AND(HT52=1,DI52=1),(LA52+LE52)/E52,0)</f>
        <v>0</v>
      </c>
      <c r="RX52" s="1" t="n">
        <f aca="false">IF(B52=0,LA52+LE52,0)</f>
        <v>0</v>
      </c>
      <c r="RY52" s="1" t="n">
        <f aca="false">IF(B52=0,IF(HT52=1,LC52,LD52),0)</f>
        <v>0</v>
      </c>
      <c r="RZ52" s="1" t="n">
        <f aca="false">IF(DS52=1,IF(HT52=1,LJ52+LM52,DT52-PH52)*(1+Slot11_Rate),0)</f>
        <v>0</v>
      </c>
      <c r="SA52" s="1" t="n">
        <f aca="false">IF(AND(HT52=1,DS52=1),(LI52+LM52)/E52,0)</f>
        <v>0</v>
      </c>
      <c r="SB52" s="1" t="n">
        <f aca="false">IF(B52=0,LI52+LM52,0)</f>
        <v>0</v>
      </c>
      <c r="SC52" s="1" t="n">
        <f aca="false">IF(B52=0,IF(HT52=1,LK52,LL52),0)</f>
        <v>0</v>
      </c>
      <c r="SD52" s="1" t="n">
        <f aca="false">IF(EC52=1,IF(HT52=1,LR52+LU52,ED52-PF52)*(1+Slot12_Rate),0)</f>
        <v>0</v>
      </c>
      <c r="SE52" s="1" t="n">
        <f aca="false">IF(AND(HT52=1,EC52=1),(LQ52+LU52)/E52,0)</f>
        <v>0</v>
      </c>
      <c r="SF52" s="1" t="n">
        <f aca="false">IF(B52=0,LQ52+LU52,0)</f>
        <v>0</v>
      </c>
      <c r="SG52" s="1" t="n">
        <f aca="false">IF(B52=0,IF(HT52=1,LS52,LT52),0)</f>
        <v>0</v>
      </c>
      <c r="SH52" s="1" t="n">
        <f aca="false">IF(EM52=1,IF(HT52=1,LZ52+MC52,EN52-PD52)*(1+Slot13_Rate),0)</f>
        <v>0</v>
      </c>
      <c r="SI52" s="1" t="n">
        <f aca="false">IF(AND(HT52=1,EM52=1),(LY52+MC52)/E52,0)</f>
        <v>0</v>
      </c>
      <c r="SJ52" s="1" t="n">
        <f aca="false">IF(B52=0,LY52+MC52,0)</f>
        <v>0</v>
      </c>
      <c r="SK52" s="1" t="n">
        <f aca="false">IF(B52=0,IF(HT52=1,MA52,MB52),0)</f>
        <v>0</v>
      </c>
      <c r="SL52" s="1" t="n">
        <f aca="false">IF(EW52=1,IF(HT52=1,MH52+MK52,EX52-PB52)*(1+Slot14_Rate),0)</f>
        <v>0</v>
      </c>
      <c r="SM52" s="1" t="n">
        <f aca="false">IF(AND(HT52=1,EW52=1),(MG52+MK52)/E52,0)</f>
        <v>0</v>
      </c>
      <c r="SN52" s="1" t="n">
        <f aca="false">IF(B52=0,MG52+MK52,0)</f>
        <v>0</v>
      </c>
      <c r="SO52" s="1" t="n">
        <f aca="false">IF(B52=0,IF(HT52=1,MI52,MJ52),0)</f>
        <v>0</v>
      </c>
      <c r="SP52" s="1" t="n">
        <f aca="false">IF(FG52=1,IF(HT52=1,MP52+MS52,FH52-OZ52)*(1+Slot15_Rate),0)</f>
        <v>0</v>
      </c>
      <c r="SQ52" s="1" t="n">
        <f aca="false">IF(AND(HT52=1,FG52=1),(MO52+MS52)/E52,0)</f>
        <v>0</v>
      </c>
      <c r="SR52" s="1" t="n">
        <f aca="false">IF(B52=0,MO52+MS52,0)</f>
        <v>0</v>
      </c>
      <c r="SS52" s="1" t="n">
        <f aca="false">IF(B52=0,IF(HT52=1,MQ52,MR52),0)</f>
        <v>0</v>
      </c>
      <c r="ST52" s="1" t="n">
        <f aca="false">IF(FQ52=1,IF(HT52=1,MX52+NA52,FR52-OX52)*(1+Slot16_Rate),0)</f>
        <v>0</v>
      </c>
      <c r="SU52" s="1" t="n">
        <f aca="false">IF(AND(HT52=1,FQ52=1),(MW52+NA52)/E52,0)</f>
        <v>0</v>
      </c>
      <c r="SV52" s="1" t="n">
        <f aca="false">IF(B52=0,MW52+NA52,0)</f>
        <v>0</v>
      </c>
      <c r="SW52" s="1" t="n">
        <f aca="false">IF(B52=0,IF(HT52=1,MY52,MZ52),0)</f>
        <v>0</v>
      </c>
      <c r="SX52" s="1" t="n">
        <f aca="false">IF(GA52=1,IF(HT52=1,NF52+NI52,GB52-OV52)*(1+Slot17_Rate),0)</f>
        <v>0</v>
      </c>
      <c r="SY52" s="1" t="n">
        <f aca="false">IF(AND(HT52=1,GA52=1),(NE52+NI52)/E52,0)</f>
        <v>0</v>
      </c>
      <c r="SZ52" s="1" t="n">
        <f aca="false">IF(B52=0,NE52+NI52,0)</f>
        <v>0</v>
      </c>
      <c r="TA52" s="1" t="n">
        <f aca="false">IF(B52=0,IF(HT52=1,NG52,NH52),0)</f>
        <v>0</v>
      </c>
      <c r="TB52" s="1" t="n">
        <f aca="false">IF(GK52=1,IF(HT52=1,NN52+NQ52,GL52-OT52)*(1+Slot18_Rate),0)</f>
        <v>0</v>
      </c>
      <c r="TC52" s="1" t="n">
        <f aca="false">IF(AND(HT52=1,GK52=1),(NM52+NQ52)/E52,0)</f>
        <v>0</v>
      </c>
      <c r="TD52" s="1" t="n">
        <f aca="false">IF(B52=0,NM52+NQ52,0)</f>
        <v>0</v>
      </c>
      <c r="TE52" s="1" t="n">
        <f aca="false">IF(B52=0,IF(HT52=1,NO52,NP52),0)</f>
        <v>0</v>
      </c>
      <c r="TF52" s="1" t="n">
        <f aca="false">IF(GU52=1,IF(HT52=1,NV52+NY52,GV52-OR52)*(1+Slot19_Rate),0)</f>
        <v>0</v>
      </c>
      <c r="TG52" s="1" t="n">
        <f aca="false">IF(AND(HT52=1,GU52=1),(NU52+NY52)/E52,0)</f>
        <v>0</v>
      </c>
      <c r="TH52" s="1" t="n">
        <f aca="false">IF(B52=0,NU52+NY52,0)</f>
        <v>0</v>
      </c>
      <c r="TI52" s="1" t="n">
        <f aca="false">IF(B52=0,IF(HT52=1,NW52,NX52),0)</f>
        <v>0</v>
      </c>
      <c r="TJ52" s="1" t="n">
        <f aca="false">IF(HE52=1,IF(HT52=1,OD52+OG52,HF52-OP52)*(1+Slot20_Rate),0)</f>
        <v>0</v>
      </c>
      <c r="TK52" s="1" t="n">
        <f aca="false">IF(AND(HT52=1,HE52=1),(OC52+OG52)/E52,0)</f>
        <v>0</v>
      </c>
      <c r="TL52" s="1" t="n">
        <f aca="false">IF(B52=0,OC52+OG52,0)</f>
        <v>0</v>
      </c>
      <c r="TM52" s="1" t="n">
        <f aca="false">IF(B52=0,IF(HT52=1,OE52,OF52),0)</f>
        <v>0</v>
      </c>
      <c r="TN52" s="1" t="n">
        <f aca="false">QJ52+QK52+QL52+QP52+QT52+QX52+RB52+RF52+RJ52+RN52+RR52+RV52+RZ52+SD52+SH52+SL52+SP52+ST52+SX52+TB52+TF52+TJ52</f>
        <v>0</v>
      </c>
      <c r="TO52" s="1" t="n">
        <f aca="false">QD52+HO52</f>
        <v>0</v>
      </c>
      <c r="TP52" s="1" t="n">
        <f aca="false">H52+R52</f>
        <v>0</v>
      </c>
      <c r="TQ52" s="1" t="n">
        <f aca="false">1-F52</f>
        <v>0</v>
      </c>
      <c r="TR52" s="1" t="n">
        <f aca="false">IF(AND(RG_Exists=1,F52=0,C52=1),H52,0)</f>
        <v>0</v>
      </c>
      <c r="TS52" s="1" t="n">
        <f aca="false">IF(AND(RG_Exists=1,F52=0,C52=1),H52-MIN(QD52,H52),0)</f>
        <v>0</v>
      </c>
      <c r="TT52" s="1" t="n">
        <f aca="false">'Plan pay &amp; tax'!AD278</f>
        <v>0</v>
      </c>
      <c r="TU52" s="1" t="n">
        <f aca="false">IF(AND(C52=1,QD52&gt;MAX(PR_Short1,TP52*PR_Short2)),1,0)</f>
        <v>0</v>
      </c>
      <c r="TV52" s="1" t="n">
        <f aca="false">MIN(G52,H52+R52)</f>
        <v>0</v>
      </c>
      <c r="TW52" s="1" t="n">
        <f aca="false">QE52+MAX(0,HP52-HO52)</f>
        <v>0</v>
      </c>
      <c r="TX52" s="1" t="n">
        <f aca="false">QD52+HO52</f>
        <v>0</v>
      </c>
      <c r="TY52" s="1" t="n">
        <f aca="false">IF(AND(C52=1,TX52&gt;PR_MinShort),1,0)</f>
        <v>0</v>
      </c>
      <c r="TZ52" s="1" t="n">
        <f aca="false">IF(AND(C52=1,TY52=0,TW52&gt;PR_MinShort),1,0)</f>
        <v>0</v>
      </c>
      <c r="UA52" s="1" t="n">
        <f aca="false">IF(AND(C52=1,QD52&gt;PR_MinShort),1,0)</f>
        <v>0</v>
      </c>
      <c r="UB52" s="1" t="n">
        <f aca="false">IF(AND(C52=1,QE52&gt;1,UI52=0),1,0)</f>
        <v>0</v>
      </c>
      <c r="UC52" s="1" t="str">
        <f aca="false">IF(C52=0,"",IF(UI52=1,"Gap to plan for: short "&amp;"€"&amp;TEXT(ROUND(TO52,0),"#,##0"),IF(QE52&gt;1,"Using savings","Comfortable")))</f>
        <v>Comfortable</v>
      </c>
      <c r="UD52" s="1" t="n">
        <f aca="false">IF(AND(INT(D52/10)*10=90,B52&gt;0),80,INT(D52/10)*10)</f>
        <v>40</v>
      </c>
      <c r="UE52" s="1" t="n">
        <f aca="false">IF(B52=0,1,IF(UD52&lt;&gt;UD51,UE51+1,UE51))</f>
        <v>5</v>
      </c>
      <c r="UF52" s="1" t="n">
        <f aca="false">IF(AND(C52=1,F52=1,QD52&gt;MAX(PR_Short1,TP52*PR_Short2)),1,0)</f>
        <v>0</v>
      </c>
      <c r="UG52" s="1" t="n">
        <f aca="false">TQ52*TU52</f>
        <v>0</v>
      </c>
      <c r="UH52" s="1" t="n">
        <f aca="false">IF(AND(U52=1,Slot1_PctLow=1),1,0)+IF(AND(AF52=1,Slot2_PctLow=1),1,0)+IF(AND(AP52=1,Slot3_PctLow=1),1,0)+IF(AND(AZ52=1,Slot4_PctLow=1),1,0)+IF(AND(BJ52=1,Slot5_PctLow=1),1,0)+IF(AND(BT52=1,Slot6_PctLow=1),1,0)+IF(AND(CD52=1,Slot7_PctLow=1),1,0)+IF(AND(CN52=1,Slot8_PctLow=1),1,0)+IF(AND(CX52=1,Slot9_PctLow=1),1,0)+IF(AND(DH52=1,Slot10_PctLow=1),1,0)+IF(AND(DR52=1,Slot11_PctLow=1),1,0)+IF(AND(EB52=1,Slot12_PctLow=1),1,0)+IF(AND(EL52=1,Slot13_PctLow=1),1,0)+IF(AND(EV52=1,Slot14_PctLow=1),1,0)+IF(AND(FF52=1,Slot15_PctLow=1),1,0)+IF(AND(FP52=1,Slot16_PctLow=1),1,0)+IF(AND(FZ52=1,Slot17_PctLow=1),1,0)+IF(AND(GJ52=1,Slot18_PctLow=1),1,0)+IF(AND(GT52=1,Slot19_PctLow=1),1,0)+IF(AND(HD52=1,Slot20_PctLow=1),1,0)</f>
        <v>0</v>
      </c>
      <c r="UI52" s="1" t="n">
        <f aca="false">IF(C52=1,IF(OR(TU52=1,UH52&gt;0),1,0),0)</f>
        <v>0</v>
      </c>
    </row>
    <row r="53" customFormat="false" ht="15" hidden="false" customHeight="true" outlineLevel="0" collapsed="false">
      <c r="B53" s="1" t="n">
        <v>45</v>
      </c>
      <c r="C53" s="1" t="n">
        <f aca="false">IF(B53&lt;=F_N,1,0)</f>
        <v>1</v>
      </c>
      <c r="D53" s="1" t="n">
        <f aca="false">'Plan pay &amp; tax'!C279</f>
        <v>45</v>
      </c>
      <c r="E53" s="111" t="n">
        <f aca="false">'Plan pay &amp; tax'!E279</f>
        <v>2.43785420530135</v>
      </c>
      <c r="F53" s="1" t="n">
        <f aca="false">'Plan pay &amp; tax'!G279</f>
        <v>1</v>
      </c>
      <c r="G53" s="1" t="n">
        <f aca="false">'Plan pay &amp; tax'!BT279-'Plan pay &amp; tax'!BS279-'Plan pay &amp; tax'!R279</f>
        <v>0</v>
      </c>
      <c r="H53" s="1" t="n">
        <f aca="false">IF(F53=1,F_CostsM*12,IF(RG_Exists=1,RG_Amount,F_CostsM*12*AS_RetireSpend))*E53+F_OneOffY*E53</f>
        <v>0</v>
      </c>
      <c r="I53" s="1" t="n">
        <f aca="false">HQ52</f>
        <v>0</v>
      </c>
      <c r="J53" s="1" t="n">
        <f aca="false">IF(I53&gt;1,'Plan debt months'!AC53,0)</f>
        <v>0</v>
      </c>
      <c r="K53" s="1" t="n">
        <f aca="false">IF(I53&gt;1,'Plan debt months'!AB53,I53)</f>
        <v>0</v>
      </c>
      <c r="L53" s="1" t="n">
        <f aca="false">N52</f>
        <v>0</v>
      </c>
      <c r="M53" s="1" t="n">
        <f aca="false">IF(L53&gt;1,'Plan debt months'!BD53,0)</f>
        <v>0</v>
      </c>
      <c r="N53" s="1" t="n">
        <f aca="false">IF(L53&gt;1,'Plan debt months'!BC53,L53)</f>
        <v>0</v>
      </c>
      <c r="O53" s="1" t="n">
        <f aca="false">Q52</f>
        <v>0</v>
      </c>
      <c r="P53" s="1" t="n">
        <f aca="false">IF(O53&gt;1,'Plan debt months'!CE53,0)</f>
        <v>0</v>
      </c>
      <c r="Q53" s="1" t="n">
        <f aca="false">IF(O53&gt;1,'Plan debt months'!CD53,O53)</f>
        <v>0</v>
      </c>
      <c r="R53" s="1" t="n">
        <f aca="false">J53+M53+P53</f>
        <v>0</v>
      </c>
      <c r="S53" s="1" t="n">
        <f aca="false">QJ52+'Plan pay &amp; tax'!Y279</f>
        <v>0</v>
      </c>
      <c r="T53" s="1" t="n">
        <f aca="false">QJ52</f>
        <v>0</v>
      </c>
      <c r="U53" s="1" t="n">
        <f aca="false">IF(AND(Slot1_On=1,D53=Slot1_Age),1,0)</f>
        <v>0</v>
      </c>
      <c r="V53" s="1" t="n">
        <f aca="false">IF(AND(Slot1_On=1,Slot1_Age&gt;D53),1,0)</f>
        <v>0</v>
      </c>
      <c r="W53" s="1" t="n">
        <f aca="false">QL52</f>
        <v>0</v>
      </c>
      <c r="X53" s="1" t="n">
        <f aca="false">U53*MIN(Slot1_Cost,W53)</f>
        <v>0</v>
      </c>
      <c r="Y53" s="1" t="n">
        <f aca="false">U53*Slot1_SpendLike*MIN(Slot1_Cost-X53,S53)</f>
        <v>0</v>
      </c>
      <c r="Z53" s="1" t="n">
        <f aca="false">X53+Y53</f>
        <v>0</v>
      </c>
      <c r="AA53" s="1" t="n">
        <f aca="false">S53-Y53+U53*IF(Slot1_SpendLike=1,W53-X53,IF(Slot1_PotFree=1,W53,0))</f>
        <v>0</v>
      </c>
      <c r="AB53" s="1" t="n">
        <f aca="false">AE53+U53*Slot1_BufPot*W53</f>
        <v>0</v>
      </c>
      <c r="AC53" s="1" t="n">
        <f aca="false">IF(AND(U53=1,Slot1_IsMfree=1),IF(Z53&gt;=Slot1_Cost-1,0,MAX(0,K53-Z53)),K53)</f>
        <v>0</v>
      </c>
      <c r="AD53" s="1" t="n">
        <f aca="false">U53*(Slot1_Cost-Z53)</f>
        <v>0</v>
      </c>
      <c r="AE53" s="1" t="n">
        <f aca="false">QK52</f>
        <v>0</v>
      </c>
      <c r="AF53" s="1" t="n">
        <f aca="false">IF(AND(Slot2_On=1,D53=Slot2_Age),1,0)</f>
        <v>0</v>
      </c>
      <c r="AG53" s="1" t="n">
        <f aca="false">IF(AND(Slot2_On=1,Slot2_Age&gt;D53),1,0)</f>
        <v>0</v>
      </c>
      <c r="AH53" s="1" t="n">
        <f aca="false">QP52</f>
        <v>0</v>
      </c>
      <c r="AI53" s="1" t="n">
        <f aca="false">AF53*MIN(Slot2_Cost,AH53)</f>
        <v>0</v>
      </c>
      <c r="AJ53" s="1" t="n">
        <f aca="false">AF53*Slot2_SpendLike*MIN(Slot2_Cost-AI53,AA53)</f>
        <v>0</v>
      </c>
      <c r="AK53" s="1" t="n">
        <f aca="false">AI53+AJ53</f>
        <v>0</v>
      </c>
      <c r="AL53" s="1" t="n">
        <f aca="false">AA53-AJ53+AF53*IF(Slot2_SpendLike=1,AH53-AI53,IF(Slot2_PotFree=1,AH53,0))</f>
        <v>0</v>
      </c>
      <c r="AM53" s="1" t="n">
        <f aca="false">AB53+AF53*Slot2_BufPot*AH53</f>
        <v>0</v>
      </c>
      <c r="AN53" s="1" t="n">
        <f aca="false">IF(AND(AF53=1,Slot2_IsMfree=1),IF(AK53&gt;=Slot2_Cost-1,0,MAX(0,AC53-AK53)),AC53)</f>
        <v>0</v>
      </c>
      <c r="AO53" s="1" t="n">
        <f aca="false">AF53*(Slot2_Cost-AK53)</f>
        <v>0</v>
      </c>
      <c r="AP53" s="1" t="n">
        <f aca="false">IF(AND(Slot3_On=1,D53=Slot3_Age),1,0)</f>
        <v>0</v>
      </c>
      <c r="AQ53" s="1" t="n">
        <f aca="false">IF(AND(Slot3_On=1,Slot3_Age&gt;D53),1,0)</f>
        <v>0</v>
      </c>
      <c r="AR53" s="1" t="n">
        <f aca="false">QT52</f>
        <v>0</v>
      </c>
      <c r="AS53" s="1" t="n">
        <f aca="false">AP53*MIN(Slot3_Cost,AR53)</f>
        <v>0</v>
      </c>
      <c r="AT53" s="1" t="n">
        <f aca="false">AP53*Slot3_SpendLike*MIN(Slot3_Cost-AS53,AL53)</f>
        <v>0</v>
      </c>
      <c r="AU53" s="1" t="n">
        <f aca="false">AS53+AT53</f>
        <v>0</v>
      </c>
      <c r="AV53" s="1" t="n">
        <f aca="false">AL53-AT53+AP53*IF(Slot3_SpendLike=1,AR53-AS53,IF(Slot3_PotFree=1,AR53,0))</f>
        <v>0</v>
      </c>
      <c r="AW53" s="1" t="n">
        <f aca="false">AM53+AP53*Slot3_BufPot*AR53</f>
        <v>0</v>
      </c>
      <c r="AX53" s="1" t="n">
        <f aca="false">IF(AND(AP53=1,Slot3_IsMfree=1),IF(AU53&gt;=Slot3_Cost-1,0,MAX(0,AN53-AU53)),AN53)</f>
        <v>0</v>
      </c>
      <c r="AY53" s="1" t="n">
        <f aca="false">AP53*(Slot3_Cost-AU53)</f>
        <v>0</v>
      </c>
      <c r="AZ53" s="1" t="n">
        <f aca="false">IF(AND(Slot4_On=1,D53=Slot4_Age),1,0)</f>
        <v>0</v>
      </c>
      <c r="BA53" s="1" t="n">
        <f aca="false">IF(AND(Slot4_On=1,Slot4_Age&gt;D53),1,0)</f>
        <v>0</v>
      </c>
      <c r="BB53" s="1" t="n">
        <f aca="false">QX52</f>
        <v>0</v>
      </c>
      <c r="BC53" s="1" t="n">
        <f aca="false">AZ53*MIN(Slot4_Cost,BB53)</f>
        <v>0</v>
      </c>
      <c r="BD53" s="1" t="n">
        <f aca="false">AZ53*Slot4_SpendLike*MIN(Slot4_Cost-BC53,AV53)</f>
        <v>0</v>
      </c>
      <c r="BE53" s="1" t="n">
        <f aca="false">BC53+BD53</f>
        <v>0</v>
      </c>
      <c r="BF53" s="1" t="n">
        <f aca="false">AV53-BD53+AZ53*IF(Slot4_SpendLike=1,BB53-BC53,IF(Slot4_PotFree=1,BB53,0))</f>
        <v>0</v>
      </c>
      <c r="BG53" s="1" t="n">
        <f aca="false">AW53+AZ53*Slot4_BufPot*BB53</f>
        <v>0</v>
      </c>
      <c r="BH53" s="1" t="n">
        <f aca="false">IF(AND(AZ53=1,Slot4_IsMfree=1),IF(BE53&gt;=Slot4_Cost-1,0,MAX(0,AX53-BE53)),AX53)</f>
        <v>0</v>
      </c>
      <c r="BI53" s="1" t="n">
        <f aca="false">AZ53*(Slot4_Cost-BE53)</f>
        <v>0</v>
      </c>
      <c r="BJ53" s="1" t="n">
        <f aca="false">IF(AND(Slot5_On=1,D53=Slot5_Age),1,0)</f>
        <v>0</v>
      </c>
      <c r="BK53" s="1" t="n">
        <f aca="false">IF(AND(Slot5_On=1,Slot5_Age&gt;D53),1,0)</f>
        <v>0</v>
      </c>
      <c r="BL53" s="1" t="n">
        <f aca="false">RB52</f>
        <v>0</v>
      </c>
      <c r="BM53" s="1" t="n">
        <f aca="false">BJ53*MIN(Slot5_Cost,BL53)</f>
        <v>0</v>
      </c>
      <c r="BN53" s="1" t="n">
        <f aca="false">BJ53*Slot5_SpendLike*MIN(Slot5_Cost-BM53,BF53)</f>
        <v>0</v>
      </c>
      <c r="BO53" s="1" t="n">
        <f aca="false">BM53+BN53</f>
        <v>0</v>
      </c>
      <c r="BP53" s="1" t="n">
        <f aca="false">BF53-BN53+BJ53*IF(Slot5_SpendLike=1,BL53-BM53,IF(Slot5_PotFree=1,BL53,0))</f>
        <v>0</v>
      </c>
      <c r="BQ53" s="1" t="n">
        <f aca="false">BG53+BJ53*Slot5_BufPot*BL53</f>
        <v>0</v>
      </c>
      <c r="BR53" s="1" t="n">
        <f aca="false">IF(AND(BJ53=1,Slot5_IsMfree=1),IF(BO53&gt;=Slot5_Cost-1,0,MAX(0,BH53-BO53)),BH53)</f>
        <v>0</v>
      </c>
      <c r="BS53" s="1" t="n">
        <f aca="false">BJ53*(Slot5_Cost-BO53)</f>
        <v>0</v>
      </c>
      <c r="BT53" s="1" t="n">
        <f aca="false">IF(AND(Slot6_On=1,D53=Slot6_Age),1,0)</f>
        <v>0</v>
      </c>
      <c r="BU53" s="1" t="n">
        <f aca="false">IF(AND(Slot6_On=1,Slot6_Age&gt;D53),1,0)</f>
        <v>0</v>
      </c>
      <c r="BV53" s="1" t="n">
        <f aca="false">RF52</f>
        <v>0</v>
      </c>
      <c r="BW53" s="1" t="n">
        <f aca="false">BT53*MIN(Slot6_Cost,BV53)</f>
        <v>0</v>
      </c>
      <c r="BX53" s="1" t="n">
        <f aca="false">BT53*Slot6_SpendLike*MIN(Slot6_Cost-BW53,BP53)</f>
        <v>0</v>
      </c>
      <c r="BY53" s="1" t="n">
        <f aca="false">BW53+BX53</f>
        <v>0</v>
      </c>
      <c r="BZ53" s="1" t="n">
        <f aca="false">BP53-BX53+BT53*IF(Slot6_SpendLike=1,BV53-BW53,IF(Slot6_PotFree=1,BV53,0))</f>
        <v>0</v>
      </c>
      <c r="CA53" s="1" t="n">
        <f aca="false">BQ53+BT53*Slot6_BufPot*BV53</f>
        <v>0</v>
      </c>
      <c r="CB53" s="1" t="n">
        <f aca="false">IF(AND(BT53=1,Slot6_IsMfree=1),IF(BY53&gt;=Slot6_Cost-1,0,MAX(0,BR53-BY53)),BR53)</f>
        <v>0</v>
      </c>
      <c r="CC53" s="1" t="n">
        <f aca="false">BT53*(Slot6_Cost-BY53)</f>
        <v>0</v>
      </c>
      <c r="CD53" s="1" t="n">
        <f aca="false">IF(AND(Slot7_On=1,D53=Slot7_Age),1,0)</f>
        <v>0</v>
      </c>
      <c r="CE53" s="1" t="n">
        <f aca="false">IF(AND(Slot7_On=1,Slot7_Age&gt;D53),1,0)</f>
        <v>0</v>
      </c>
      <c r="CF53" s="1" t="n">
        <f aca="false">RJ52</f>
        <v>0</v>
      </c>
      <c r="CG53" s="1" t="n">
        <f aca="false">CD53*MIN(Slot7_Cost,CF53)</f>
        <v>0</v>
      </c>
      <c r="CH53" s="1" t="n">
        <f aca="false">CD53*Slot7_SpendLike*MIN(Slot7_Cost-CG53,BZ53)</f>
        <v>0</v>
      </c>
      <c r="CI53" s="1" t="n">
        <f aca="false">CG53+CH53</f>
        <v>0</v>
      </c>
      <c r="CJ53" s="1" t="n">
        <f aca="false">BZ53-CH53+CD53*IF(Slot7_SpendLike=1,CF53-CG53,IF(Slot7_PotFree=1,CF53,0))</f>
        <v>0</v>
      </c>
      <c r="CK53" s="1" t="n">
        <f aca="false">CA53+CD53*Slot7_BufPot*CF53</f>
        <v>0</v>
      </c>
      <c r="CL53" s="1" t="n">
        <f aca="false">IF(AND(CD53=1,Slot7_IsMfree=1),IF(CI53&gt;=Slot7_Cost-1,0,MAX(0,CB53-CI53)),CB53)</f>
        <v>0</v>
      </c>
      <c r="CM53" s="1" t="n">
        <f aca="false">CD53*(Slot7_Cost-CI53)</f>
        <v>0</v>
      </c>
      <c r="CN53" s="1" t="n">
        <f aca="false">IF(AND(Slot8_On=1,D53=Slot8_Age),1,0)</f>
        <v>0</v>
      </c>
      <c r="CO53" s="1" t="n">
        <f aca="false">IF(AND(Slot8_On=1,Slot8_Age&gt;D53),1,0)</f>
        <v>0</v>
      </c>
      <c r="CP53" s="1" t="n">
        <f aca="false">RN52</f>
        <v>0</v>
      </c>
      <c r="CQ53" s="1" t="n">
        <f aca="false">CN53*MIN(Slot8_Cost,CP53)</f>
        <v>0</v>
      </c>
      <c r="CR53" s="1" t="n">
        <f aca="false">CN53*Slot8_SpendLike*MIN(Slot8_Cost-CQ53,CJ53)</f>
        <v>0</v>
      </c>
      <c r="CS53" s="1" t="n">
        <f aca="false">CQ53+CR53</f>
        <v>0</v>
      </c>
      <c r="CT53" s="1" t="n">
        <f aca="false">CJ53-CR53+CN53*IF(Slot8_SpendLike=1,CP53-CQ53,IF(Slot8_PotFree=1,CP53,0))</f>
        <v>0</v>
      </c>
      <c r="CU53" s="1" t="n">
        <f aca="false">CK53+CN53*Slot8_BufPot*CP53</f>
        <v>0</v>
      </c>
      <c r="CV53" s="1" t="n">
        <f aca="false">IF(AND(CN53=1,Slot8_IsMfree=1),IF(CS53&gt;=Slot8_Cost-1,0,MAX(0,CL53-CS53)),CL53)</f>
        <v>0</v>
      </c>
      <c r="CW53" s="1" t="n">
        <f aca="false">CN53*(Slot8_Cost-CS53)</f>
        <v>0</v>
      </c>
      <c r="CX53" s="1" t="n">
        <f aca="false">IF(AND(Slot9_On=1,D53=Slot9_Age),1,0)</f>
        <v>0</v>
      </c>
      <c r="CY53" s="1" t="n">
        <f aca="false">IF(AND(Slot9_On=1,Slot9_Age&gt;D53),1,0)</f>
        <v>0</v>
      </c>
      <c r="CZ53" s="1" t="n">
        <f aca="false">RR52</f>
        <v>0</v>
      </c>
      <c r="DA53" s="1" t="n">
        <f aca="false">CX53*MIN(Slot9_Cost,CZ53)</f>
        <v>0</v>
      </c>
      <c r="DB53" s="1" t="n">
        <f aca="false">CX53*Slot9_SpendLike*MIN(Slot9_Cost-DA53,CT53)</f>
        <v>0</v>
      </c>
      <c r="DC53" s="1" t="n">
        <f aca="false">DA53+DB53</f>
        <v>0</v>
      </c>
      <c r="DD53" s="1" t="n">
        <f aca="false">CT53-DB53+CX53*IF(Slot9_SpendLike=1,CZ53-DA53,IF(Slot9_PotFree=1,CZ53,0))</f>
        <v>0</v>
      </c>
      <c r="DE53" s="1" t="n">
        <f aca="false">CU53+CX53*Slot9_BufPot*CZ53</f>
        <v>0</v>
      </c>
      <c r="DF53" s="1" t="n">
        <f aca="false">IF(AND(CX53=1,Slot9_IsMfree=1),IF(DC53&gt;=Slot9_Cost-1,0,MAX(0,CV53-DC53)),CV53)</f>
        <v>0</v>
      </c>
      <c r="DG53" s="1" t="n">
        <f aca="false">CX53*(Slot9_Cost-DC53)</f>
        <v>0</v>
      </c>
      <c r="DH53" s="1" t="n">
        <f aca="false">IF(AND(Slot10_On=1,D53=Slot10_Age),1,0)</f>
        <v>0</v>
      </c>
      <c r="DI53" s="1" t="n">
        <f aca="false">IF(AND(Slot10_On=1,Slot10_Age&gt;D53),1,0)</f>
        <v>0</v>
      </c>
      <c r="DJ53" s="1" t="n">
        <f aca="false">RV52</f>
        <v>0</v>
      </c>
      <c r="DK53" s="1" t="n">
        <f aca="false">DH53*MIN(Slot10_Cost,DJ53)</f>
        <v>0</v>
      </c>
      <c r="DL53" s="1" t="n">
        <f aca="false">DH53*Slot10_SpendLike*MIN(Slot10_Cost-DK53,DD53)</f>
        <v>0</v>
      </c>
      <c r="DM53" s="1" t="n">
        <f aca="false">DK53+DL53</f>
        <v>0</v>
      </c>
      <c r="DN53" s="1" t="n">
        <f aca="false">DD53-DL53+DH53*IF(Slot10_SpendLike=1,DJ53-DK53,IF(Slot10_PotFree=1,DJ53,0))</f>
        <v>0</v>
      </c>
      <c r="DO53" s="1" t="n">
        <f aca="false">DE53+DH53*Slot10_BufPot*DJ53</f>
        <v>0</v>
      </c>
      <c r="DP53" s="1" t="n">
        <f aca="false">IF(AND(DH53=1,Slot10_IsMfree=1),IF(DM53&gt;=Slot10_Cost-1,0,MAX(0,DF53-DM53)),DF53)</f>
        <v>0</v>
      </c>
      <c r="DQ53" s="1" t="n">
        <f aca="false">DH53*(Slot10_Cost-DM53)</f>
        <v>0</v>
      </c>
      <c r="DR53" s="1" t="n">
        <f aca="false">IF(AND(Slot11_On=1,D53=Slot11_Age),1,0)</f>
        <v>0</v>
      </c>
      <c r="DS53" s="1" t="n">
        <f aca="false">IF(AND(Slot11_On=1,Slot11_Age&gt;D53),1,0)</f>
        <v>0</v>
      </c>
      <c r="DT53" s="1" t="n">
        <f aca="false">RZ52</f>
        <v>0</v>
      </c>
      <c r="DU53" s="1" t="n">
        <f aca="false">DR53*MIN(Slot11_Cost,DT53)</f>
        <v>0</v>
      </c>
      <c r="DV53" s="1" t="n">
        <f aca="false">DR53*Slot11_SpendLike*MIN(Slot11_Cost-DU53,DN53)</f>
        <v>0</v>
      </c>
      <c r="DW53" s="1" t="n">
        <f aca="false">DU53+DV53</f>
        <v>0</v>
      </c>
      <c r="DX53" s="1" t="n">
        <f aca="false">DN53-DV53+DR53*IF(Slot11_SpendLike=1,DT53-DU53,IF(Slot11_PotFree=1,DT53,0))</f>
        <v>0</v>
      </c>
      <c r="DY53" s="1" t="n">
        <f aca="false">DO53+DR53*Slot11_BufPot*DT53</f>
        <v>0</v>
      </c>
      <c r="DZ53" s="1" t="n">
        <f aca="false">IF(AND(DR53=1,Slot11_IsMfree=1),IF(DW53&gt;=Slot11_Cost-1,0,MAX(0,DP53-DW53)),DP53)</f>
        <v>0</v>
      </c>
      <c r="EA53" s="1" t="n">
        <f aca="false">DR53*(Slot11_Cost-DW53)</f>
        <v>0</v>
      </c>
      <c r="EB53" s="1" t="n">
        <f aca="false">IF(AND(Slot12_On=1,D53=Slot12_Age),1,0)</f>
        <v>0</v>
      </c>
      <c r="EC53" s="1" t="n">
        <f aca="false">IF(AND(Slot12_On=1,Slot12_Age&gt;D53),1,0)</f>
        <v>0</v>
      </c>
      <c r="ED53" s="1" t="n">
        <f aca="false">SD52</f>
        <v>0</v>
      </c>
      <c r="EE53" s="1" t="n">
        <f aca="false">EB53*MIN(Slot12_Cost,ED53)</f>
        <v>0</v>
      </c>
      <c r="EF53" s="1" t="n">
        <f aca="false">EB53*Slot12_SpendLike*MIN(Slot12_Cost-EE53,DX53)</f>
        <v>0</v>
      </c>
      <c r="EG53" s="1" t="n">
        <f aca="false">EE53+EF53</f>
        <v>0</v>
      </c>
      <c r="EH53" s="1" t="n">
        <f aca="false">DX53-EF53+EB53*IF(Slot12_SpendLike=1,ED53-EE53,IF(Slot12_PotFree=1,ED53,0))</f>
        <v>0</v>
      </c>
      <c r="EI53" s="1" t="n">
        <f aca="false">DY53+EB53*Slot12_BufPot*ED53</f>
        <v>0</v>
      </c>
      <c r="EJ53" s="1" t="n">
        <f aca="false">IF(AND(EB53=1,Slot12_IsMfree=1),IF(EG53&gt;=Slot12_Cost-1,0,MAX(0,DZ53-EG53)),DZ53)</f>
        <v>0</v>
      </c>
      <c r="EK53" s="1" t="n">
        <f aca="false">EB53*(Slot12_Cost-EG53)</f>
        <v>0</v>
      </c>
      <c r="EL53" s="1" t="n">
        <f aca="false">IF(AND(Slot13_On=1,D53=Slot13_Age),1,0)</f>
        <v>0</v>
      </c>
      <c r="EM53" s="1" t="n">
        <f aca="false">IF(AND(Slot13_On=1,Slot13_Age&gt;D53),1,0)</f>
        <v>0</v>
      </c>
      <c r="EN53" s="1" t="n">
        <f aca="false">SH52</f>
        <v>0</v>
      </c>
      <c r="EO53" s="1" t="n">
        <f aca="false">EL53*MIN(Slot13_Cost,EN53)</f>
        <v>0</v>
      </c>
      <c r="EP53" s="1" t="n">
        <f aca="false">EL53*Slot13_SpendLike*MIN(Slot13_Cost-EO53,EH53)</f>
        <v>0</v>
      </c>
      <c r="EQ53" s="1" t="n">
        <f aca="false">EO53+EP53</f>
        <v>0</v>
      </c>
      <c r="ER53" s="1" t="n">
        <f aca="false">EH53-EP53+EL53*IF(Slot13_SpendLike=1,EN53-EO53,IF(Slot13_PotFree=1,EN53,0))</f>
        <v>0</v>
      </c>
      <c r="ES53" s="1" t="n">
        <f aca="false">EI53+EL53*Slot13_BufPot*EN53</f>
        <v>0</v>
      </c>
      <c r="ET53" s="1" t="n">
        <f aca="false">IF(AND(EL53=1,Slot13_IsMfree=1),IF(EQ53&gt;=Slot13_Cost-1,0,MAX(0,EJ53-EQ53)),EJ53)</f>
        <v>0</v>
      </c>
      <c r="EU53" s="1" t="n">
        <f aca="false">EL53*(Slot13_Cost-EQ53)</f>
        <v>0</v>
      </c>
      <c r="EV53" s="1" t="n">
        <f aca="false">IF(AND(Slot14_On=1,D53=Slot14_Age),1,0)</f>
        <v>0</v>
      </c>
      <c r="EW53" s="1" t="n">
        <f aca="false">IF(AND(Slot14_On=1,Slot14_Age&gt;D53),1,0)</f>
        <v>0</v>
      </c>
      <c r="EX53" s="1" t="n">
        <f aca="false">SL52</f>
        <v>0</v>
      </c>
      <c r="EY53" s="1" t="n">
        <f aca="false">EV53*MIN(Slot14_Cost,EX53)</f>
        <v>0</v>
      </c>
      <c r="EZ53" s="1" t="n">
        <f aca="false">EV53*Slot14_SpendLike*MIN(Slot14_Cost-EY53,ER53)</f>
        <v>0</v>
      </c>
      <c r="FA53" s="1" t="n">
        <f aca="false">EY53+EZ53</f>
        <v>0</v>
      </c>
      <c r="FB53" s="1" t="n">
        <f aca="false">ER53-EZ53+EV53*IF(Slot14_SpendLike=1,EX53-EY53,IF(Slot14_PotFree=1,EX53,0))</f>
        <v>0</v>
      </c>
      <c r="FC53" s="1" t="n">
        <f aca="false">ES53+EV53*Slot14_BufPot*EX53</f>
        <v>0</v>
      </c>
      <c r="FD53" s="1" t="n">
        <f aca="false">IF(AND(EV53=1,Slot14_IsMfree=1),IF(FA53&gt;=Slot14_Cost-1,0,MAX(0,ET53-FA53)),ET53)</f>
        <v>0</v>
      </c>
      <c r="FE53" s="1" t="n">
        <f aca="false">EV53*(Slot14_Cost-FA53)</f>
        <v>0</v>
      </c>
      <c r="FF53" s="1" t="n">
        <f aca="false">IF(AND(Slot15_On=1,D53=Slot15_Age),1,0)</f>
        <v>0</v>
      </c>
      <c r="FG53" s="1" t="n">
        <f aca="false">IF(AND(Slot15_On=1,Slot15_Age&gt;D53),1,0)</f>
        <v>0</v>
      </c>
      <c r="FH53" s="1" t="n">
        <f aca="false">SP52</f>
        <v>0</v>
      </c>
      <c r="FI53" s="1" t="n">
        <f aca="false">FF53*MIN(Slot15_Cost,FH53)</f>
        <v>0</v>
      </c>
      <c r="FJ53" s="1" t="n">
        <f aca="false">FF53*Slot15_SpendLike*MIN(Slot15_Cost-FI53,FB53)</f>
        <v>0</v>
      </c>
      <c r="FK53" s="1" t="n">
        <f aca="false">FI53+FJ53</f>
        <v>0</v>
      </c>
      <c r="FL53" s="1" t="n">
        <f aca="false">FB53-FJ53+FF53*IF(Slot15_SpendLike=1,FH53-FI53,IF(Slot15_PotFree=1,FH53,0))</f>
        <v>0</v>
      </c>
      <c r="FM53" s="1" t="n">
        <f aca="false">FC53+FF53*Slot15_BufPot*FH53</f>
        <v>0</v>
      </c>
      <c r="FN53" s="1" t="n">
        <f aca="false">IF(AND(FF53=1,Slot15_IsMfree=1),IF(FK53&gt;=Slot15_Cost-1,0,MAX(0,FD53-FK53)),FD53)</f>
        <v>0</v>
      </c>
      <c r="FO53" s="1" t="n">
        <f aca="false">FF53*(Slot15_Cost-FK53)</f>
        <v>0</v>
      </c>
      <c r="FP53" s="1" t="n">
        <f aca="false">IF(AND(Slot16_On=1,D53=Slot16_Age),1,0)</f>
        <v>0</v>
      </c>
      <c r="FQ53" s="1" t="n">
        <f aca="false">IF(AND(Slot16_On=1,Slot16_Age&gt;D53),1,0)</f>
        <v>0</v>
      </c>
      <c r="FR53" s="1" t="n">
        <f aca="false">ST52</f>
        <v>0</v>
      </c>
      <c r="FS53" s="1" t="n">
        <f aca="false">FP53*MIN(Slot16_Cost,FR53)</f>
        <v>0</v>
      </c>
      <c r="FT53" s="1" t="n">
        <f aca="false">FP53*Slot16_SpendLike*MIN(Slot16_Cost-FS53,FL53)</f>
        <v>0</v>
      </c>
      <c r="FU53" s="1" t="n">
        <f aca="false">FS53+FT53</f>
        <v>0</v>
      </c>
      <c r="FV53" s="1" t="n">
        <f aca="false">FL53-FT53+FP53*IF(Slot16_SpendLike=1,FR53-FS53,IF(Slot16_PotFree=1,FR53,0))</f>
        <v>0</v>
      </c>
      <c r="FW53" s="1" t="n">
        <f aca="false">FM53+FP53*Slot16_BufPot*FR53</f>
        <v>0</v>
      </c>
      <c r="FX53" s="1" t="n">
        <f aca="false">IF(AND(FP53=1,Slot16_IsMfree=1),IF(FU53&gt;=Slot16_Cost-1,0,MAX(0,FN53-FU53)),FN53)</f>
        <v>0</v>
      </c>
      <c r="FY53" s="1" t="n">
        <f aca="false">FP53*(Slot16_Cost-FU53)</f>
        <v>0</v>
      </c>
      <c r="FZ53" s="1" t="n">
        <f aca="false">IF(AND(Slot17_On=1,D53=Slot17_Age),1,0)</f>
        <v>0</v>
      </c>
      <c r="GA53" s="1" t="n">
        <f aca="false">IF(AND(Slot17_On=1,Slot17_Age&gt;D53),1,0)</f>
        <v>0</v>
      </c>
      <c r="GB53" s="1" t="n">
        <f aca="false">SX52</f>
        <v>0</v>
      </c>
      <c r="GC53" s="1" t="n">
        <f aca="false">FZ53*MIN(Slot17_Cost,GB53)</f>
        <v>0</v>
      </c>
      <c r="GD53" s="1" t="n">
        <f aca="false">FZ53*Slot17_SpendLike*MIN(Slot17_Cost-GC53,FV53)</f>
        <v>0</v>
      </c>
      <c r="GE53" s="1" t="n">
        <f aca="false">GC53+GD53</f>
        <v>0</v>
      </c>
      <c r="GF53" s="1" t="n">
        <f aca="false">FV53-GD53+FZ53*IF(Slot17_SpendLike=1,GB53-GC53,IF(Slot17_PotFree=1,GB53,0))</f>
        <v>0</v>
      </c>
      <c r="GG53" s="1" t="n">
        <f aca="false">FW53+FZ53*Slot17_BufPot*GB53</f>
        <v>0</v>
      </c>
      <c r="GH53" s="1" t="n">
        <f aca="false">IF(AND(FZ53=1,Slot17_IsMfree=1),IF(GE53&gt;=Slot17_Cost-1,0,MAX(0,FX53-GE53)),FX53)</f>
        <v>0</v>
      </c>
      <c r="GI53" s="1" t="n">
        <f aca="false">FZ53*(Slot17_Cost-GE53)</f>
        <v>0</v>
      </c>
      <c r="GJ53" s="1" t="n">
        <f aca="false">IF(AND(Slot18_On=1,D53=Slot18_Age),1,0)</f>
        <v>0</v>
      </c>
      <c r="GK53" s="1" t="n">
        <f aca="false">IF(AND(Slot18_On=1,Slot18_Age&gt;D53),1,0)</f>
        <v>0</v>
      </c>
      <c r="GL53" s="1" t="n">
        <f aca="false">TB52</f>
        <v>0</v>
      </c>
      <c r="GM53" s="1" t="n">
        <f aca="false">GJ53*MIN(Slot18_Cost,GL53)</f>
        <v>0</v>
      </c>
      <c r="GN53" s="1" t="n">
        <f aca="false">GJ53*Slot18_SpendLike*MIN(Slot18_Cost-GM53,GF53)</f>
        <v>0</v>
      </c>
      <c r="GO53" s="1" t="n">
        <f aca="false">GM53+GN53</f>
        <v>0</v>
      </c>
      <c r="GP53" s="1" t="n">
        <f aca="false">GF53-GN53+GJ53*IF(Slot18_SpendLike=1,GL53-GM53,IF(Slot18_PotFree=1,GL53,0))</f>
        <v>0</v>
      </c>
      <c r="GQ53" s="1" t="n">
        <f aca="false">GG53+GJ53*Slot18_BufPot*GL53</f>
        <v>0</v>
      </c>
      <c r="GR53" s="1" t="n">
        <f aca="false">IF(AND(GJ53=1,Slot18_IsMfree=1),IF(GO53&gt;=Slot18_Cost-1,0,MAX(0,GH53-GO53)),GH53)</f>
        <v>0</v>
      </c>
      <c r="GS53" s="1" t="n">
        <f aca="false">GJ53*(Slot18_Cost-GO53)</f>
        <v>0</v>
      </c>
      <c r="GT53" s="1" t="n">
        <f aca="false">IF(AND(Slot19_On=1,D53=Slot19_Age),1,0)</f>
        <v>0</v>
      </c>
      <c r="GU53" s="1" t="n">
        <f aca="false">IF(AND(Slot19_On=1,Slot19_Age&gt;D53),1,0)</f>
        <v>0</v>
      </c>
      <c r="GV53" s="1" t="n">
        <f aca="false">TF52</f>
        <v>0</v>
      </c>
      <c r="GW53" s="1" t="n">
        <f aca="false">GT53*MIN(Slot19_Cost,GV53)</f>
        <v>0</v>
      </c>
      <c r="GX53" s="1" t="n">
        <f aca="false">GT53*Slot19_SpendLike*MIN(Slot19_Cost-GW53,GP53)</f>
        <v>0</v>
      </c>
      <c r="GY53" s="1" t="n">
        <f aca="false">GW53+GX53</f>
        <v>0</v>
      </c>
      <c r="GZ53" s="1" t="n">
        <f aca="false">GP53-GX53+GT53*IF(Slot19_SpendLike=1,GV53-GW53,IF(Slot19_PotFree=1,GV53,0))</f>
        <v>0</v>
      </c>
      <c r="HA53" s="1" t="n">
        <f aca="false">GQ53+GT53*Slot19_BufPot*GV53</f>
        <v>0</v>
      </c>
      <c r="HB53" s="1" t="n">
        <f aca="false">IF(AND(GT53=1,Slot19_IsMfree=1),IF(GY53&gt;=Slot19_Cost-1,0,MAX(0,GR53-GY53)),GR53)</f>
        <v>0</v>
      </c>
      <c r="HC53" s="1" t="n">
        <f aca="false">GT53*(Slot19_Cost-GY53)</f>
        <v>0</v>
      </c>
      <c r="HD53" s="1" t="n">
        <f aca="false">IF(AND(Slot20_On=1,D53=Slot20_Age),1,0)</f>
        <v>0</v>
      </c>
      <c r="HE53" s="1" t="n">
        <f aca="false">IF(AND(Slot20_On=1,Slot20_Age&gt;D53),1,0)</f>
        <v>0</v>
      </c>
      <c r="HF53" s="1" t="n">
        <f aca="false">TJ52</f>
        <v>0</v>
      </c>
      <c r="HG53" s="1" t="n">
        <f aca="false">HD53*MIN(Slot20_Cost,HF53)</f>
        <v>0</v>
      </c>
      <c r="HH53" s="1" t="n">
        <f aca="false">HD53*Slot20_SpendLike*MIN(Slot20_Cost-HG53,GZ53)</f>
        <v>0</v>
      </c>
      <c r="HI53" s="1" t="n">
        <f aca="false">HG53+HH53</f>
        <v>0</v>
      </c>
      <c r="HJ53" s="1" t="n">
        <f aca="false">GZ53-HH53+HD53*IF(Slot20_SpendLike=1,HF53-HG53,IF(Slot20_PotFree=1,HF53,0))</f>
        <v>0</v>
      </c>
      <c r="HK53" s="1" t="n">
        <f aca="false">HA53+HD53*Slot20_BufPot*HF53</f>
        <v>0</v>
      </c>
      <c r="HL53" s="1" t="n">
        <f aca="false">IF(AND(HD53=1,Slot20_IsMfree=1),IF(HI53&gt;=Slot20_Cost-1,0,MAX(0,HB53-HI53)),HB53)</f>
        <v>0</v>
      </c>
      <c r="HM53" s="1" t="n">
        <f aca="false">HD53*(Slot20_Cost-HI53)</f>
        <v>0</v>
      </c>
      <c r="HN53" s="1" t="n">
        <f aca="false">U53*Slot1_SpendLike*Z53+AF53*Slot2_SpendLike*AK53+AP53*Slot3_SpendLike*AU53+AZ53*Slot4_SpendLike*BE53+BJ53*Slot5_SpendLike*BO53+BT53*Slot6_SpendLike*BY53+CD53*Slot7_SpendLike*CI53+CN53*Slot8_SpendLike*CS53+CX53*Slot9_SpendLike*DC53+DH53*Slot10_SpendLike*DM53+DR53*Slot11_SpendLike*DW53+EB53*Slot12_SpendLike*EG53+EL53*Slot13_SpendLike*EQ53+EV53*Slot14_SpendLike*FA53+FF53*Slot15_SpendLike*FK53+FP53*Slot16_SpendLike*FU53+FZ53*Slot17_SpendLike*GE53+GJ53*Slot18_SpendLike*GO53+GT53*Slot19_SpendLike*GY53+HD53*Slot20_SpendLike*HI53</f>
        <v>0</v>
      </c>
      <c r="HO53" s="1" t="n">
        <f aca="false">AD53+AO53+AY53+BI53+BS53+CC53+CM53+CW53+DG53+DQ53+EA53+EK53+EU53+FE53+FO53+FY53+GI53+GS53+HC53+HM53</f>
        <v>0</v>
      </c>
      <c r="HP53" s="1" t="n">
        <f aca="false">U53*Slot1_Cost+AF53*Slot2_Cost+AP53*Slot3_Cost+AZ53*Slot4_Cost+BJ53*Slot5_Cost+BT53*Slot6_Cost+CD53*Slot7_Cost+CN53*Slot8_Cost+CX53*Slot9_Cost+DH53*Slot10_Cost+DR53*Slot11_Cost+EB53*Slot12_Cost+EL53*Slot13_Cost+EV53*Slot14_Cost+FF53*Slot15_Cost+FP53*Slot16_Cost+FZ53*Slot17_Cost+GJ53*Slot18_Cost+GT53*Slot19_Cost+HD53*Slot20_Cost</f>
        <v>0</v>
      </c>
      <c r="HQ53" s="1" t="n">
        <f aca="false">HL53</f>
        <v>0</v>
      </c>
      <c r="HR53" s="1" t="n">
        <f aca="false">G53-H53-R53</f>
        <v>0</v>
      </c>
      <c r="HS53" s="1" t="n">
        <f aca="false">IF(B53=0,IF(AND(Has_q6=1,In_q6=4),PR_ShareVaries*(MAX(0,HR53)/12),MIN(IF(Has_q6=1,CHOOSE(In_q6+1,PR_SaveB1,PR_SaveB2,PR_SaveB3,PR_SaveB4,0),AS_NoAnswer),AS_SaveShare*(MAX(0,HR53)/12))),HS52)</f>
        <v>0</v>
      </c>
      <c r="HT53" s="1" t="n">
        <f aca="false">IF(HR53&gt;=0,1,0)</f>
        <v>1</v>
      </c>
      <c r="HU53" s="1" t="n">
        <f aca="false">MAX(0,HR53/12/E53)</f>
        <v>0</v>
      </c>
      <c r="HV53" s="1" t="n">
        <f aca="false">IF(AND(Has_q6=1,In_q6=4),PR_ShareVaries*(HU53),MIN(IF(Has_q6=1,CHOOSE(In_q6+1,PR_SaveB1,PR_SaveB2,PR_SaveB3,PR_SaveB4,0),AS_NoAnswer),AS_SaveShare*(HU53)))</f>
        <v>0</v>
      </c>
      <c r="HW53" s="1" t="n">
        <f aca="false">IF(Has_saveM=1,IF(In_saveUp="Yes",1,IF(In_saveUp="No",0,IF(In_saveM&gt;=HS53-0.5,1,0))),0)</f>
        <v>0</v>
      </c>
      <c r="HX53" s="1" t="n">
        <f aca="false">IF(Has_saveM=1,MIN(HU53,IF(HW53=1,MAX(In_saveM,HV53),MIN(In_saveM,HV53))),HV53)</f>
        <v>0</v>
      </c>
      <c r="HY53" s="1" t="n">
        <f aca="false">IF(F53=1,HX53*12*E53,0)</f>
        <v>0</v>
      </c>
      <c r="HZ53" s="1" t="n">
        <f aca="false">MAX(0,HY53+IF(AND(WI_Retire=0,WI_M&lt;0,F53=1),WI_M*12*E53,0))</f>
        <v>0</v>
      </c>
      <c r="IA53" s="1" t="n">
        <f aca="false">Slot1_IsWG*V53+Slot2_IsWG*AG53+Slot3_IsWG*AQ53+Slot4_IsWG*BA53+Slot5_IsWG*BK53+Slot6_IsWG*BU53+Slot7_IsWG*CE53+Slot8_IsWG*CO53+Slot9_IsWG*CY53+Slot10_IsWG*DI53+Slot11_IsWG*DS53+Slot12_IsWG*EC53+Slot13_IsWG*EM53+Slot14_IsWG*EW53+Slot15_IsWG*FG53+Slot16_IsWG*FQ53+Slot17_IsWG*GA53+Slot18_IsWG*GK53+Slot19_IsWG*GU53+Slot20_IsWG*HE53</f>
        <v>0</v>
      </c>
      <c r="IB53" s="1" t="n">
        <f aca="false">IF(AND(WI_Retire=0,WI_M&gt;0,F53=1,IA53&gt;=1),WI_M*12*E53,0)</f>
        <v>0</v>
      </c>
      <c r="IC53" s="1" t="n">
        <f aca="false">IF(HT53=1,MIN(HZ53,HR53),0)</f>
        <v>0</v>
      </c>
      <c r="ID53" s="1" t="n">
        <f aca="false">IF(HT53=1,MIN(IB53,HR53-IC53),0)</f>
        <v>0</v>
      </c>
      <c r="IE53" s="1" t="n">
        <f aca="false">IF(V53=1,IF(ABS((1+AS_Wage)/(1+Slot1_Rate)-1)&lt;0.000000000001,(Slot1_Age-D53)*(1+Slot1_Rate)^(Slot1_Age-D53),(1+Slot1_Rate)^(Slot1_Age-D53)*(1-((1+AS_Wage)/(1+Slot1_Rate))^(Slot1_Age-D53))/(1-(1+AS_Wage)/(1+Slot1_Rate))),1)</f>
        <v>1</v>
      </c>
      <c r="IF53" s="1" t="n">
        <f aca="false">IF(AND(HT53=1,ID53&gt;0,Slot1_IsWG=1,V53=1),MAX(0,(Slot1_Cost-W53*(1+Slot1_Rate)^(Slot1_Age-D53))/IE53),0)</f>
        <v>0</v>
      </c>
      <c r="IG53" s="1" t="n">
        <f aca="false">IF(AND(HT53=1,ID53&gt;0,Slot1_IsWG=1,V53=1),MIN(ID53,IF53),0)</f>
        <v>0</v>
      </c>
      <c r="IH53" s="1" t="n">
        <f aca="false">W53+IG53</f>
        <v>0</v>
      </c>
      <c r="II53" s="1" t="n">
        <f aca="false">IF(V53=1,MAX(0,(Slot1_Cost-IH53*(1+Slot1_Rate)^(Slot1_Age-D53))/IE53),0)</f>
        <v>0</v>
      </c>
      <c r="IJ53" s="1" t="n">
        <f aca="false">IF(V53=1,MAX(0,(Slot1_Cost-W53*(1+Slot1_Rate)^(Slot1_Age-D53))/IE53),0)</f>
        <v>0</v>
      </c>
      <c r="IK53" s="1" t="n">
        <f aca="false">IF(AND(HT53=1,V53=1),MIN(IC53,II53),0)</f>
        <v>0</v>
      </c>
      <c r="IL53" s="1" t="n">
        <f aca="false">IC53-IK53</f>
        <v>0</v>
      </c>
      <c r="IM53" s="1" t="n">
        <f aca="false">IF(AG53=1,IF(ABS((1+AS_Wage)/(1+Slot2_Rate)-1)&lt;0.000000000001,(Slot2_Age-D53)*(1+Slot2_Rate)^(Slot2_Age-D53),(1+Slot2_Rate)^(Slot2_Age-D53)*(1-((1+AS_Wage)/(1+Slot2_Rate))^(Slot2_Age-D53))/(1-(1+AS_Wage)/(1+Slot2_Rate))),1)</f>
        <v>1</v>
      </c>
      <c r="IN53" s="1" t="n">
        <f aca="false">IF(AND(HT53=1,ID53&gt;0,Slot2_IsWG=1,AG53=1),MAX(0,(Slot2_Cost-AH53*(1+Slot2_Rate)^(Slot2_Age-D53))/IM53),0)</f>
        <v>0</v>
      </c>
      <c r="IO53" s="1" t="n">
        <f aca="false">IF(AND(HT53=1,ID53&gt;0,Slot2_IsWG=1,AG53=1),MIN(ID53,IN53),0)</f>
        <v>0</v>
      </c>
      <c r="IP53" s="1" t="n">
        <f aca="false">AH53+IO53</f>
        <v>0</v>
      </c>
      <c r="IQ53" s="1" t="n">
        <f aca="false">IF(AG53=1,MAX(0,(Slot2_Cost-IP53*(1+Slot2_Rate)^(Slot2_Age-D53))/IM53),0)</f>
        <v>0</v>
      </c>
      <c r="IR53" s="1" t="n">
        <f aca="false">IF(AG53=1,MAX(0,(Slot2_Cost-AH53*(1+Slot2_Rate)^(Slot2_Age-D53))/IM53),0)</f>
        <v>0</v>
      </c>
      <c r="IS53" s="1" t="n">
        <f aca="false">IF(AND(HT53=1,AG53=1),MIN(IL53,IQ53),0)</f>
        <v>0</v>
      </c>
      <c r="IT53" s="1" t="n">
        <f aca="false">IL53-IS53</f>
        <v>0</v>
      </c>
      <c r="IU53" s="1" t="n">
        <f aca="false">IF(AQ53=1,IF(ABS((1+AS_Wage)/(1+Slot3_Rate)-1)&lt;0.000000000001,(Slot3_Age-D53)*(1+Slot3_Rate)^(Slot3_Age-D53),(1+Slot3_Rate)^(Slot3_Age-D53)*(1-((1+AS_Wage)/(1+Slot3_Rate))^(Slot3_Age-D53))/(1-(1+AS_Wage)/(1+Slot3_Rate))),1)</f>
        <v>1</v>
      </c>
      <c r="IV53" s="1" t="n">
        <f aca="false">IF(AND(HT53=1,ID53&gt;0,Slot3_IsWG=1,AQ53=1),MAX(0,(Slot3_Cost-AR53*(1+Slot3_Rate)^(Slot3_Age-D53))/IU53),0)</f>
        <v>0</v>
      </c>
      <c r="IW53" s="1" t="n">
        <f aca="false">IF(AND(HT53=1,ID53&gt;0,Slot3_IsWG=1,AQ53=1),MIN(ID53,IV53),0)</f>
        <v>0</v>
      </c>
      <c r="IX53" s="1" t="n">
        <f aca="false">AR53+IW53</f>
        <v>0</v>
      </c>
      <c r="IY53" s="1" t="n">
        <f aca="false">IF(AQ53=1,MAX(0,(Slot3_Cost-IX53*(1+Slot3_Rate)^(Slot3_Age-D53))/IU53),0)</f>
        <v>0</v>
      </c>
      <c r="IZ53" s="1" t="n">
        <f aca="false">IF(AQ53=1,MAX(0,(Slot3_Cost-AR53*(1+Slot3_Rate)^(Slot3_Age-D53))/IU53),0)</f>
        <v>0</v>
      </c>
      <c r="JA53" s="1" t="n">
        <f aca="false">IF(AND(HT53=1,AQ53=1),MIN(IT53,IY53),0)</f>
        <v>0</v>
      </c>
      <c r="JB53" s="1" t="n">
        <f aca="false">IT53-JA53</f>
        <v>0</v>
      </c>
      <c r="JC53" s="1" t="n">
        <f aca="false">IF(BA53=1,IF(ABS((1+AS_Wage)/(1+Slot4_Rate)-1)&lt;0.000000000001,(Slot4_Age-D53)*(1+Slot4_Rate)^(Slot4_Age-D53),(1+Slot4_Rate)^(Slot4_Age-D53)*(1-((1+AS_Wage)/(1+Slot4_Rate))^(Slot4_Age-D53))/(1-(1+AS_Wage)/(1+Slot4_Rate))),1)</f>
        <v>1</v>
      </c>
      <c r="JD53" s="1" t="n">
        <f aca="false">IF(AND(HT53=1,ID53&gt;0,Slot4_IsWG=1,BA53=1),MAX(0,(Slot4_Cost-BB53*(1+Slot4_Rate)^(Slot4_Age-D53))/JC53),0)</f>
        <v>0</v>
      </c>
      <c r="JE53" s="1" t="n">
        <f aca="false">IF(AND(HT53=1,ID53&gt;0,Slot4_IsWG=1,BA53=1),MIN(ID53,JD53),0)</f>
        <v>0</v>
      </c>
      <c r="JF53" s="1" t="n">
        <f aca="false">BB53+JE53</f>
        <v>0</v>
      </c>
      <c r="JG53" s="1" t="n">
        <f aca="false">IF(BA53=1,MAX(0,(Slot4_Cost-JF53*(1+Slot4_Rate)^(Slot4_Age-D53))/JC53),0)</f>
        <v>0</v>
      </c>
      <c r="JH53" s="1" t="n">
        <f aca="false">IF(BA53=1,MAX(0,(Slot4_Cost-BB53*(1+Slot4_Rate)^(Slot4_Age-D53))/JC53),0)</f>
        <v>0</v>
      </c>
      <c r="JI53" s="1" t="n">
        <f aca="false">IF(AND(HT53=1,BA53=1),MIN(JB53,JG53),0)</f>
        <v>0</v>
      </c>
      <c r="JJ53" s="1" t="n">
        <f aca="false">JB53-JI53</f>
        <v>0</v>
      </c>
      <c r="JK53" s="1" t="n">
        <f aca="false">IF(BK53=1,IF(ABS((1+AS_Wage)/(1+Slot5_Rate)-1)&lt;0.000000000001,(Slot5_Age-D53)*(1+Slot5_Rate)^(Slot5_Age-D53),(1+Slot5_Rate)^(Slot5_Age-D53)*(1-((1+AS_Wage)/(1+Slot5_Rate))^(Slot5_Age-D53))/(1-(1+AS_Wage)/(1+Slot5_Rate))),1)</f>
        <v>1</v>
      </c>
      <c r="JL53" s="1" t="n">
        <f aca="false">IF(AND(HT53=1,ID53&gt;0,Slot5_IsWG=1,BK53=1),MAX(0,(Slot5_Cost-BL53*(1+Slot5_Rate)^(Slot5_Age-D53))/JK53),0)</f>
        <v>0</v>
      </c>
      <c r="JM53" s="1" t="n">
        <f aca="false">IF(AND(HT53=1,ID53&gt;0,Slot5_IsWG=1,BK53=1),MIN(ID53,JL53),0)</f>
        <v>0</v>
      </c>
      <c r="JN53" s="1" t="n">
        <f aca="false">BL53+JM53</f>
        <v>0</v>
      </c>
      <c r="JO53" s="1" t="n">
        <f aca="false">IF(BK53=1,MAX(0,(Slot5_Cost-JN53*(1+Slot5_Rate)^(Slot5_Age-D53))/JK53),0)</f>
        <v>0</v>
      </c>
      <c r="JP53" s="1" t="n">
        <f aca="false">IF(BK53=1,MAX(0,(Slot5_Cost-BL53*(1+Slot5_Rate)^(Slot5_Age-D53))/JK53),0)</f>
        <v>0</v>
      </c>
      <c r="JQ53" s="1" t="n">
        <f aca="false">IF(AND(HT53=1,BK53=1),MIN(JJ53,JO53),0)</f>
        <v>0</v>
      </c>
      <c r="JR53" s="1" t="n">
        <f aca="false">JJ53-JQ53</f>
        <v>0</v>
      </c>
      <c r="JS53" s="1" t="n">
        <f aca="false">IF(BU53=1,IF(ABS((1+AS_Wage)/(1+Slot6_Rate)-1)&lt;0.000000000001,(Slot6_Age-D53)*(1+Slot6_Rate)^(Slot6_Age-D53),(1+Slot6_Rate)^(Slot6_Age-D53)*(1-((1+AS_Wage)/(1+Slot6_Rate))^(Slot6_Age-D53))/(1-(1+AS_Wage)/(1+Slot6_Rate))),1)</f>
        <v>1</v>
      </c>
      <c r="JT53" s="1" t="n">
        <f aca="false">IF(AND(HT53=1,ID53&gt;0,Slot6_IsWG=1,BU53=1),MAX(0,(Slot6_Cost-BV53*(1+Slot6_Rate)^(Slot6_Age-D53))/JS53),0)</f>
        <v>0</v>
      </c>
      <c r="JU53" s="1" t="n">
        <f aca="false">IF(AND(HT53=1,ID53&gt;0,Slot6_IsWG=1,BU53=1),MIN(ID53,JT53),0)</f>
        <v>0</v>
      </c>
      <c r="JV53" s="1" t="n">
        <f aca="false">BV53+JU53</f>
        <v>0</v>
      </c>
      <c r="JW53" s="1" t="n">
        <f aca="false">IF(BU53=1,MAX(0,(Slot6_Cost-JV53*(1+Slot6_Rate)^(Slot6_Age-D53))/JS53),0)</f>
        <v>0</v>
      </c>
      <c r="JX53" s="1" t="n">
        <f aca="false">IF(BU53=1,MAX(0,(Slot6_Cost-BV53*(1+Slot6_Rate)^(Slot6_Age-D53))/JS53),0)</f>
        <v>0</v>
      </c>
      <c r="JY53" s="1" t="n">
        <f aca="false">IF(AND(HT53=1,BU53=1),MIN(JR53,JW53),0)</f>
        <v>0</v>
      </c>
      <c r="JZ53" s="1" t="n">
        <f aca="false">JR53-JY53</f>
        <v>0</v>
      </c>
      <c r="KA53" s="1" t="n">
        <f aca="false">IF(CE53=1,IF(ABS((1+AS_Wage)/(1+Slot7_Rate)-1)&lt;0.000000000001,(Slot7_Age-D53)*(1+Slot7_Rate)^(Slot7_Age-D53),(1+Slot7_Rate)^(Slot7_Age-D53)*(1-((1+AS_Wage)/(1+Slot7_Rate))^(Slot7_Age-D53))/(1-(1+AS_Wage)/(1+Slot7_Rate))),1)</f>
        <v>1</v>
      </c>
      <c r="KB53" s="1" t="n">
        <f aca="false">IF(AND(HT53=1,ID53&gt;0,Slot7_IsWG=1,CE53=1),MAX(0,(Slot7_Cost-CF53*(1+Slot7_Rate)^(Slot7_Age-D53))/KA53),0)</f>
        <v>0</v>
      </c>
      <c r="KC53" s="1" t="n">
        <f aca="false">IF(AND(HT53=1,ID53&gt;0,Slot7_IsWG=1,CE53=1),MIN(ID53,KB53),0)</f>
        <v>0</v>
      </c>
      <c r="KD53" s="1" t="n">
        <f aca="false">CF53+KC53</f>
        <v>0</v>
      </c>
      <c r="KE53" s="1" t="n">
        <f aca="false">IF(CE53=1,MAX(0,(Slot7_Cost-KD53*(1+Slot7_Rate)^(Slot7_Age-D53))/KA53),0)</f>
        <v>0</v>
      </c>
      <c r="KF53" s="1" t="n">
        <f aca="false">IF(CE53=1,MAX(0,(Slot7_Cost-CF53*(1+Slot7_Rate)^(Slot7_Age-D53))/KA53),0)</f>
        <v>0</v>
      </c>
      <c r="KG53" s="1" t="n">
        <f aca="false">IF(AND(HT53=1,CE53=1),MIN(JZ53,KE53),0)</f>
        <v>0</v>
      </c>
      <c r="KH53" s="1" t="n">
        <f aca="false">JZ53-KG53</f>
        <v>0</v>
      </c>
      <c r="KI53" s="1" t="n">
        <f aca="false">IF(CO53=1,IF(ABS((1+AS_Wage)/(1+Slot8_Rate)-1)&lt;0.000000000001,(Slot8_Age-D53)*(1+Slot8_Rate)^(Slot8_Age-D53),(1+Slot8_Rate)^(Slot8_Age-D53)*(1-((1+AS_Wage)/(1+Slot8_Rate))^(Slot8_Age-D53))/(1-(1+AS_Wage)/(1+Slot8_Rate))),1)</f>
        <v>1</v>
      </c>
      <c r="KJ53" s="1" t="n">
        <f aca="false">IF(AND(HT53=1,ID53&gt;0,Slot8_IsWG=1,CO53=1),MAX(0,(Slot8_Cost-CP53*(1+Slot8_Rate)^(Slot8_Age-D53))/KI53),0)</f>
        <v>0</v>
      </c>
      <c r="KK53" s="1" t="n">
        <f aca="false">IF(AND(HT53=1,ID53&gt;0,Slot8_IsWG=1,CO53=1),MIN(ID53,KJ53),0)</f>
        <v>0</v>
      </c>
      <c r="KL53" s="1" t="n">
        <f aca="false">CP53+KK53</f>
        <v>0</v>
      </c>
      <c r="KM53" s="1" t="n">
        <f aca="false">IF(CO53=1,MAX(0,(Slot8_Cost-KL53*(1+Slot8_Rate)^(Slot8_Age-D53))/KI53),0)</f>
        <v>0</v>
      </c>
      <c r="KN53" s="1" t="n">
        <f aca="false">IF(CO53=1,MAX(0,(Slot8_Cost-CP53*(1+Slot8_Rate)^(Slot8_Age-D53))/KI53),0)</f>
        <v>0</v>
      </c>
      <c r="KO53" s="1" t="n">
        <f aca="false">IF(AND(HT53=1,CO53=1),MIN(KH53,KM53),0)</f>
        <v>0</v>
      </c>
      <c r="KP53" s="1" t="n">
        <f aca="false">KH53-KO53</f>
        <v>0</v>
      </c>
      <c r="KQ53" s="1" t="n">
        <f aca="false">IF(CY53=1,IF(ABS((1+AS_Wage)/(1+Slot9_Rate)-1)&lt;0.000000000001,(Slot9_Age-D53)*(1+Slot9_Rate)^(Slot9_Age-D53),(1+Slot9_Rate)^(Slot9_Age-D53)*(1-((1+AS_Wage)/(1+Slot9_Rate))^(Slot9_Age-D53))/(1-(1+AS_Wage)/(1+Slot9_Rate))),1)</f>
        <v>1</v>
      </c>
      <c r="KR53" s="1" t="n">
        <f aca="false">IF(AND(HT53=1,ID53&gt;0,Slot9_IsWG=1,CY53=1),MAX(0,(Slot9_Cost-CZ53*(1+Slot9_Rate)^(Slot9_Age-D53))/KQ53),0)</f>
        <v>0</v>
      </c>
      <c r="KS53" s="1" t="n">
        <f aca="false">IF(AND(HT53=1,ID53&gt;0,Slot9_IsWG=1,CY53=1),MIN(ID53,KR53),0)</f>
        <v>0</v>
      </c>
      <c r="KT53" s="1" t="n">
        <f aca="false">CZ53+KS53</f>
        <v>0</v>
      </c>
      <c r="KU53" s="1" t="n">
        <f aca="false">IF(CY53=1,MAX(0,(Slot9_Cost-KT53*(1+Slot9_Rate)^(Slot9_Age-D53))/KQ53),0)</f>
        <v>0</v>
      </c>
      <c r="KV53" s="1" t="n">
        <f aca="false">IF(CY53=1,MAX(0,(Slot9_Cost-CZ53*(1+Slot9_Rate)^(Slot9_Age-D53))/KQ53),0)</f>
        <v>0</v>
      </c>
      <c r="KW53" s="1" t="n">
        <f aca="false">IF(AND(HT53=1,CY53=1),MIN(KP53,KU53),0)</f>
        <v>0</v>
      </c>
      <c r="KX53" s="1" t="n">
        <f aca="false">KP53-KW53</f>
        <v>0</v>
      </c>
      <c r="KY53" s="1" t="n">
        <f aca="false">IF(DI53=1,IF(ABS((1+AS_Wage)/(1+Slot10_Rate)-1)&lt;0.000000000001,(Slot10_Age-D53)*(1+Slot10_Rate)^(Slot10_Age-D53),(1+Slot10_Rate)^(Slot10_Age-D53)*(1-((1+AS_Wage)/(1+Slot10_Rate))^(Slot10_Age-D53))/(1-(1+AS_Wage)/(1+Slot10_Rate))),1)</f>
        <v>1</v>
      </c>
      <c r="KZ53" s="1" t="n">
        <f aca="false">IF(AND(HT53=1,ID53&gt;0,Slot10_IsWG=1,DI53=1),MAX(0,(Slot10_Cost-DJ53*(1+Slot10_Rate)^(Slot10_Age-D53))/KY53),0)</f>
        <v>0</v>
      </c>
      <c r="LA53" s="1" t="n">
        <f aca="false">IF(AND(HT53=1,ID53&gt;0,Slot10_IsWG=1,DI53=1),MIN(ID53,KZ53),0)</f>
        <v>0</v>
      </c>
      <c r="LB53" s="1" t="n">
        <f aca="false">DJ53+LA53</f>
        <v>0</v>
      </c>
      <c r="LC53" s="1" t="n">
        <f aca="false">IF(DI53=1,MAX(0,(Slot10_Cost-LB53*(1+Slot10_Rate)^(Slot10_Age-D53))/KY53),0)</f>
        <v>0</v>
      </c>
      <c r="LD53" s="1" t="n">
        <f aca="false">IF(DI53=1,MAX(0,(Slot10_Cost-DJ53*(1+Slot10_Rate)^(Slot10_Age-D53))/KY53),0)</f>
        <v>0</v>
      </c>
      <c r="LE53" s="1" t="n">
        <f aca="false">IF(AND(HT53=1,DI53=1),MIN(KX53,LC53),0)</f>
        <v>0</v>
      </c>
      <c r="LF53" s="1" t="n">
        <f aca="false">KX53-LE53</f>
        <v>0</v>
      </c>
      <c r="LG53" s="1" t="n">
        <f aca="false">IF(DS53=1,IF(ABS((1+AS_Wage)/(1+Slot11_Rate)-1)&lt;0.000000000001,(Slot11_Age-D53)*(1+Slot11_Rate)^(Slot11_Age-D53),(1+Slot11_Rate)^(Slot11_Age-D53)*(1-((1+AS_Wage)/(1+Slot11_Rate))^(Slot11_Age-D53))/(1-(1+AS_Wage)/(1+Slot11_Rate))),1)</f>
        <v>1</v>
      </c>
      <c r="LH53" s="1" t="n">
        <f aca="false">IF(AND(HT53=1,ID53&gt;0,Slot11_IsWG=1,DS53=1),MAX(0,(Slot11_Cost-DT53*(1+Slot11_Rate)^(Slot11_Age-D53))/LG53),0)</f>
        <v>0</v>
      </c>
      <c r="LI53" s="1" t="n">
        <f aca="false">IF(AND(HT53=1,ID53&gt;0,Slot11_IsWG=1,DS53=1),MIN(ID53,LH53),0)</f>
        <v>0</v>
      </c>
      <c r="LJ53" s="1" t="n">
        <f aca="false">DT53+LI53</f>
        <v>0</v>
      </c>
      <c r="LK53" s="1" t="n">
        <f aca="false">IF(DS53=1,MAX(0,(Slot11_Cost-LJ53*(1+Slot11_Rate)^(Slot11_Age-D53))/LG53),0)</f>
        <v>0</v>
      </c>
      <c r="LL53" s="1" t="n">
        <f aca="false">IF(DS53=1,MAX(0,(Slot11_Cost-DT53*(1+Slot11_Rate)^(Slot11_Age-D53))/LG53),0)</f>
        <v>0</v>
      </c>
      <c r="LM53" s="1" t="n">
        <f aca="false">IF(AND(HT53=1,DS53=1),MIN(LF53,LK53),0)</f>
        <v>0</v>
      </c>
      <c r="LN53" s="1" t="n">
        <f aca="false">LF53-LM53</f>
        <v>0</v>
      </c>
      <c r="LO53" s="1" t="n">
        <f aca="false">IF(EC53=1,IF(ABS((1+AS_Wage)/(1+Slot12_Rate)-1)&lt;0.000000000001,(Slot12_Age-D53)*(1+Slot12_Rate)^(Slot12_Age-D53),(1+Slot12_Rate)^(Slot12_Age-D53)*(1-((1+AS_Wage)/(1+Slot12_Rate))^(Slot12_Age-D53))/(1-(1+AS_Wage)/(1+Slot12_Rate))),1)</f>
        <v>1</v>
      </c>
      <c r="LP53" s="1" t="n">
        <f aca="false">IF(AND(HT53=1,ID53&gt;0,Slot12_IsWG=1,EC53=1),MAX(0,(Slot12_Cost-ED53*(1+Slot12_Rate)^(Slot12_Age-D53))/LO53),0)</f>
        <v>0</v>
      </c>
      <c r="LQ53" s="1" t="n">
        <f aca="false">IF(AND(HT53=1,ID53&gt;0,Slot12_IsWG=1,EC53=1),MIN(ID53,LP53),0)</f>
        <v>0</v>
      </c>
      <c r="LR53" s="1" t="n">
        <f aca="false">ED53+LQ53</f>
        <v>0</v>
      </c>
      <c r="LS53" s="1" t="n">
        <f aca="false">IF(EC53=1,MAX(0,(Slot12_Cost-LR53*(1+Slot12_Rate)^(Slot12_Age-D53))/LO53),0)</f>
        <v>0</v>
      </c>
      <c r="LT53" s="1" t="n">
        <f aca="false">IF(EC53=1,MAX(0,(Slot12_Cost-ED53*(1+Slot12_Rate)^(Slot12_Age-D53))/LO53),0)</f>
        <v>0</v>
      </c>
      <c r="LU53" s="1" t="n">
        <f aca="false">IF(AND(HT53=1,EC53=1),MIN(LN53,LS53),0)</f>
        <v>0</v>
      </c>
      <c r="LV53" s="1" t="n">
        <f aca="false">LN53-LU53</f>
        <v>0</v>
      </c>
      <c r="LW53" s="1" t="n">
        <f aca="false">IF(EM53=1,IF(ABS((1+AS_Wage)/(1+Slot13_Rate)-1)&lt;0.000000000001,(Slot13_Age-D53)*(1+Slot13_Rate)^(Slot13_Age-D53),(1+Slot13_Rate)^(Slot13_Age-D53)*(1-((1+AS_Wage)/(1+Slot13_Rate))^(Slot13_Age-D53))/(1-(1+AS_Wage)/(1+Slot13_Rate))),1)</f>
        <v>1</v>
      </c>
      <c r="LX53" s="1" t="n">
        <f aca="false">IF(AND(HT53=1,ID53&gt;0,Slot13_IsWG=1,EM53=1),MAX(0,(Slot13_Cost-EN53*(1+Slot13_Rate)^(Slot13_Age-D53))/LW53),0)</f>
        <v>0</v>
      </c>
      <c r="LY53" s="1" t="n">
        <f aca="false">IF(AND(HT53=1,ID53&gt;0,Slot13_IsWG=1,EM53=1),MIN(ID53,LX53),0)</f>
        <v>0</v>
      </c>
      <c r="LZ53" s="1" t="n">
        <f aca="false">EN53+LY53</f>
        <v>0</v>
      </c>
      <c r="MA53" s="1" t="n">
        <f aca="false">IF(EM53=1,MAX(0,(Slot13_Cost-LZ53*(1+Slot13_Rate)^(Slot13_Age-D53))/LW53),0)</f>
        <v>0</v>
      </c>
      <c r="MB53" s="1" t="n">
        <f aca="false">IF(EM53=1,MAX(0,(Slot13_Cost-EN53*(1+Slot13_Rate)^(Slot13_Age-D53))/LW53),0)</f>
        <v>0</v>
      </c>
      <c r="MC53" s="1" t="n">
        <f aca="false">IF(AND(HT53=1,EM53=1),MIN(LV53,MA53),0)</f>
        <v>0</v>
      </c>
      <c r="MD53" s="1" t="n">
        <f aca="false">LV53-MC53</f>
        <v>0</v>
      </c>
      <c r="ME53" s="1" t="n">
        <f aca="false">IF(EW53=1,IF(ABS((1+AS_Wage)/(1+Slot14_Rate)-1)&lt;0.000000000001,(Slot14_Age-D53)*(1+Slot14_Rate)^(Slot14_Age-D53),(1+Slot14_Rate)^(Slot14_Age-D53)*(1-((1+AS_Wage)/(1+Slot14_Rate))^(Slot14_Age-D53))/(1-(1+AS_Wage)/(1+Slot14_Rate))),1)</f>
        <v>1</v>
      </c>
      <c r="MF53" s="1" t="n">
        <f aca="false">IF(AND(HT53=1,ID53&gt;0,Slot14_IsWG=1,EW53=1),MAX(0,(Slot14_Cost-EX53*(1+Slot14_Rate)^(Slot14_Age-D53))/ME53),0)</f>
        <v>0</v>
      </c>
      <c r="MG53" s="1" t="n">
        <f aca="false">IF(AND(HT53=1,ID53&gt;0,Slot14_IsWG=1,EW53=1),MIN(ID53,MF53),0)</f>
        <v>0</v>
      </c>
      <c r="MH53" s="1" t="n">
        <f aca="false">EX53+MG53</f>
        <v>0</v>
      </c>
      <c r="MI53" s="1" t="n">
        <f aca="false">IF(EW53=1,MAX(0,(Slot14_Cost-MH53*(1+Slot14_Rate)^(Slot14_Age-D53))/ME53),0)</f>
        <v>0</v>
      </c>
      <c r="MJ53" s="1" t="n">
        <f aca="false">IF(EW53=1,MAX(0,(Slot14_Cost-EX53*(1+Slot14_Rate)^(Slot14_Age-D53))/ME53),0)</f>
        <v>0</v>
      </c>
      <c r="MK53" s="1" t="n">
        <f aca="false">IF(AND(HT53=1,EW53=1),MIN(MD53,MI53),0)</f>
        <v>0</v>
      </c>
      <c r="ML53" s="1" t="n">
        <f aca="false">MD53-MK53</f>
        <v>0</v>
      </c>
      <c r="MM53" s="1" t="n">
        <f aca="false">IF(FG53=1,IF(ABS((1+AS_Wage)/(1+Slot15_Rate)-1)&lt;0.000000000001,(Slot15_Age-D53)*(1+Slot15_Rate)^(Slot15_Age-D53),(1+Slot15_Rate)^(Slot15_Age-D53)*(1-((1+AS_Wage)/(1+Slot15_Rate))^(Slot15_Age-D53))/(1-(1+AS_Wage)/(1+Slot15_Rate))),1)</f>
        <v>1</v>
      </c>
      <c r="MN53" s="1" t="n">
        <f aca="false">IF(AND(HT53=1,ID53&gt;0,Slot15_IsWG=1,FG53=1),MAX(0,(Slot15_Cost-FH53*(1+Slot15_Rate)^(Slot15_Age-D53))/MM53),0)</f>
        <v>0</v>
      </c>
      <c r="MO53" s="1" t="n">
        <f aca="false">IF(AND(HT53=1,ID53&gt;0,Slot15_IsWG=1,FG53=1),MIN(ID53,MN53),0)</f>
        <v>0</v>
      </c>
      <c r="MP53" s="1" t="n">
        <f aca="false">FH53+MO53</f>
        <v>0</v>
      </c>
      <c r="MQ53" s="1" t="n">
        <f aca="false">IF(FG53=1,MAX(0,(Slot15_Cost-MP53*(1+Slot15_Rate)^(Slot15_Age-D53))/MM53),0)</f>
        <v>0</v>
      </c>
      <c r="MR53" s="1" t="n">
        <f aca="false">IF(FG53=1,MAX(0,(Slot15_Cost-FH53*(1+Slot15_Rate)^(Slot15_Age-D53))/MM53),0)</f>
        <v>0</v>
      </c>
      <c r="MS53" s="1" t="n">
        <f aca="false">IF(AND(HT53=1,FG53=1),MIN(ML53,MQ53),0)</f>
        <v>0</v>
      </c>
      <c r="MT53" s="1" t="n">
        <f aca="false">ML53-MS53</f>
        <v>0</v>
      </c>
      <c r="MU53" s="1" t="n">
        <f aca="false">IF(FQ53=1,IF(ABS((1+AS_Wage)/(1+Slot16_Rate)-1)&lt;0.000000000001,(Slot16_Age-D53)*(1+Slot16_Rate)^(Slot16_Age-D53),(1+Slot16_Rate)^(Slot16_Age-D53)*(1-((1+AS_Wage)/(1+Slot16_Rate))^(Slot16_Age-D53))/(1-(1+AS_Wage)/(1+Slot16_Rate))),1)</f>
        <v>1</v>
      </c>
      <c r="MV53" s="1" t="n">
        <f aca="false">IF(AND(HT53=1,ID53&gt;0,Slot16_IsWG=1,FQ53=1),MAX(0,(Slot16_Cost-FR53*(1+Slot16_Rate)^(Slot16_Age-D53))/MU53),0)</f>
        <v>0</v>
      </c>
      <c r="MW53" s="1" t="n">
        <f aca="false">IF(AND(HT53=1,ID53&gt;0,Slot16_IsWG=1,FQ53=1),MIN(ID53,MV53),0)</f>
        <v>0</v>
      </c>
      <c r="MX53" s="1" t="n">
        <f aca="false">FR53+MW53</f>
        <v>0</v>
      </c>
      <c r="MY53" s="1" t="n">
        <f aca="false">IF(FQ53=1,MAX(0,(Slot16_Cost-MX53*(1+Slot16_Rate)^(Slot16_Age-D53))/MU53),0)</f>
        <v>0</v>
      </c>
      <c r="MZ53" s="1" t="n">
        <f aca="false">IF(FQ53=1,MAX(0,(Slot16_Cost-FR53*(1+Slot16_Rate)^(Slot16_Age-D53))/MU53),0)</f>
        <v>0</v>
      </c>
      <c r="NA53" s="1" t="n">
        <f aca="false">IF(AND(HT53=1,FQ53=1),MIN(MT53,MY53),0)</f>
        <v>0</v>
      </c>
      <c r="NB53" s="1" t="n">
        <f aca="false">MT53-NA53</f>
        <v>0</v>
      </c>
      <c r="NC53" s="1" t="n">
        <f aca="false">IF(GA53=1,IF(ABS((1+AS_Wage)/(1+Slot17_Rate)-1)&lt;0.000000000001,(Slot17_Age-D53)*(1+Slot17_Rate)^(Slot17_Age-D53),(1+Slot17_Rate)^(Slot17_Age-D53)*(1-((1+AS_Wage)/(1+Slot17_Rate))^(Slot17_Age-D53))/(1-(1+AS_Wage)/(1+Slot17_Rate))),1)</f>
        <v>1</v>
      </c>
      <c r="ND53" s="1" t="n">
        <f aca="false">IF(AND(HT53=1,ID53&gt;0,Slot17_IsWG=1,GA53=1),MAX(0,(Slot17_Cost-GB53*(1+Slot17_Rate)^(Slot17_Age-D53))/NC53),0)</f>
        <v>0</v>
      </c>
      <c r="NE53" s="1" t="n">
        <f aca="false">IF(AND(HT53=1,ID53&gt;0,Slot17_IsWG=1,GA53=1),MIN(ID53,ND53),0)</f>
        <v>0</v>
      </c>
      <c r="NF53" s="1" t="n">
        <f aca="false">GB53+NE53</f>
        <v>0</v>
      </c>
      <c r="NG53" s="1" t="n">
        <f aca="false">IF(GA53=1,MAX(0,(Slot17_Cost-NF53*(1+Slot17_Rate)^(Slot17_Age-D53))/NC53),0)</f>
        <v>0</v>
      </c>
      <c r="NH53" s="1" t="n">
        <f aca="false">IF(GA53=1,MAX(0,(Slot17_Cost-GB53*(1+Slot17_Rate)^(Slot17_Age-D53))/NC53),0)</f>
        <v>0</v>
      </c>
      <c r="NI53" s="1" t="n">
        <f aca="false">IF(AND(HT53=1,GA53=1),MIN(NB53,NG53),0)</f>
        <v>0</v>
      </c>
      <c r="NJ53" s="1" t="n">
        <f aca="false">NB53-NI53</f>
        <v>0</v>
      </c>
      <c r="NK53" s="1" t="n">
        <f aca="false">IF(GK53=1,IF(ABS((1+AS_Wage)/(1+Slot18_Rate)-1)&lt;0.000000000001,(Slot18_Age-D53)*(1+Slot18_Rate)^(Slot18_Age-D53),(1+Slot18_Rate)^(Slot18_Age-D53)*(1-((1+AS_Wage)/(1+Slot18_Rate))^(Slot18_Age-D53))/(1-(1+AS_Wage)/(1+Slot18_Rate))),1)</f>
        <v>1</v>
      </c>
      <c r="NL53" s="1" t="n">
        <f aca="false">IF(AND(HT53=1,ID53&gt;0,Slot18_IsWG=1,GK53=1),MAX(0,(Slot18_Cost-GL53*(1+Slot18_Rate)^(Slot18_Age-D53))/NK53),0)</f>
        <v>0</v>
      </c>
      <c r="NM53" s="1" t="n">
        <f aca="false">IF(AND(HT53=1,ID53&gt;0,Slot18_IsWG=1,GK53=1),MIN(ID53,NL53),0)</f>
        <v>0</v>
      </c>
      <c r="NN53" s="1" t="n">
        <f aca="false">GL53+NM53</f>
        <v>0</v>
      </c>
      <c r="NO53" s="1" t="n">
        <f aca="false">IF(GK53=1,MAX(0,(Slot18_Cost-NN53*(1+Slot18_Rate)^(Slot18_Age-D53))/NK53),0)</f>
        <v>0</v>
      </c>
      <c r="NP53" s="1" t="n">
        <f aca="false">IF(GK53=1,MAX(0,(Slot18_Cost-GL53*(1+Slot18_Rate)^(Slot18_Age-D53))/NK53),0)</f>
        <v>0</v>
      </c>
      <c r="NQ53" s="1" t="n">
        <f aca="false">IF(AND(HT53=1,GK53=1),MIN(NJ53,NO53),0)</f>
        <v>0</v>
      </c>
      <c r="NR53" s="1" t="n">
        <f aca="false">NJ53-NQ53</f>
        <v>0</v>
      </c>
      <c r="NS53" s="1" t="n">
        <f aca="false">IF(GU53=1,IF(ABS((1+AS_Wage)/(1+Slot19_Rate)-1)&lt;0.000000000001,(Slot19_Age-D53)*(1+Slot19_Rate)^(Slot19_Age-D53),(1+Slot19_Rate)^(Slot19_Age-D53)*(1-((1+AS_Wage)/(1+Slot19_Rate))^(Slot19_Age-D53))/(1-(1+AS_Wage)/(1+Slot19_Rate))),1)</f>
        <v>1</v>
      </c>
      <c r="NT53" s="1" t="n">
        <f aca="false">IF(AND(HT53=1,ID53&gt;0,Slot19_IsWG=1,GU53=1),MAX(0,(Slot19_Cost-GV53*(1+Slot19_Rate)^(Slot19_Age-D53))/NS53),0)</f>
        <v>0</v>
      </c>
      <c r="NU53" s="1" t="n">
        <f aca="false">IF(AND(HT53=1,ID53&gt;0,Slot19_IsWG=1,GU53=1),MIN(ID53,NT53),0)</f>
        <v>0</v>
      </c>
      <c r="NV53" s="1" t="n">
        <f aca="false">GV53+NU53</f>
        <v>0</v>
      </c>
      <c r="NW53" s="1" t="n">
        <f aca="false">IF(GU53=1,MAX(0,(Slot19_Cost-NV53*(1+Slot19_Rate)^(Slot19_Age-D53))/NS53),0)</f>
        <v>0</v>
      </c>
      <c r="NX53" s="1" t="n">
        <f aca="false">IF(GU53=1,MAX(0,(Slot19_Cost-GV53*(1+Slot19_Rate)^(Slot19_Age-D53))/NS53),0)</f>
        <v>0</v>
      </c>
      <c r="NY53" s="1" t="n">
        <f aca="false">IF(AND(HT53=1,GU53=1),MIN(NR53,NW53),0)</f>
        <v>0</v>
      </c>
      <c r="NZ53" s="1" t="n">
        <f aca="false">NR53-NY53</f>
        <v>0</v>
      </c>
      <c r="OA53" s="1" t="n">
        <f aca="false">IF(HE53=1,IF(ABS((1+AS_Wage)/(1+Slot20_Rate)-1)&lt;0.000000000001,(Slot20_Age-D53)*(1+Slot20_Rate)^(Slot20_Age-D53),(1+Slot20_Rate)^(Slot20_Age-D53)*(1-((1+AS_Wage)/(1+Slot20_Rate))^(Slot20_Age-D53))/(1-(1+AS_Wage)/(1+Slot20_Rate))),1)</f>
        <v>1</v>
      </c>
      <c r="OB53" s="1" t="n">
        <f aca="false">IF(AND(HT53=1,ID53&gt;0,Slot20_IsWG=1,HE53=1),MAX(0,(Slot20_Cost-HF53*(1+Slot20_Rate)^(Slot20_Age-D53))/OA53),0)</f>
        <v>0</v>
      </c>
      <c r="OC53" s="1" t="n">
        <f aca="false">IF(AND(HT53=1,ID53&gt;0,Slot20_IsWG=1,HE53=1),MIN(ID53,OB53),0)</f>
        <v>0</v>
      </c>
      <c r="OD53" s="1" t="n">
        <f aca="false">HF53+OC53</f>
        <v>0</v>
      </c>
      <c r="OE53" s="1" t="n">
        <f aca="false">IF(HE53=1,MAX(0,(Slot20_Cost-OD53*(1+Slot20_Rate)^(Slot20_Age-D53))/OA53),0)</f>
        <v>0</v>
      </c>
      <c r="OF53" s="1" t="n">
        <f aca="false">IF(HE53=1,MAX(0,(Slot20_Cost-HF53*(1+Slot20_Rate)^(Slot20_Age-D53))/OA53),0)</f>
        <v>0</v>
      </c>
      <c r="OG53" s="1" t="n">
        <f aca="false">IF(AND(HT53=1,HE53=1),MIN(NZ53,OE53),0)</f>
        <v>0</v>
      </c>
      <c r="OH53" s="1" t="n">
        <f aca="false">NZ53-OG53</f>
        <v>0</v>
      </c>
      <c r="OI53" s="1" t="n">
        <f aca="false">ID53-(IG53+IO53+IW53+JE53+JM53+JU53+KC53+KK53+KS53+LA53+LI53+LQ53+LY53+MG53+MO53+MW53+NE53+NM53+NU53+OC53)</f>
        <v>0</v>
      </c>
      <c r="OJ53" s="1" t="n">
        <f aca="false">IF(HT53=1,HR53-IC53-ID53,0)</f>
        <v>0</v>
      </c>
      <c r="OK53" s="1" t="n">
        <f aca="false">IF(HT53=0,-HR53,0)</f>
        <v>0</v>
      </c>
      <c r="OL53" s="1" t="n">
        <f aca="false">MIN(OK53,HJ53)</f>
        <v>0</v>
      </c>
      <c r="OM53" s="1" t="n">
        <f aca="false">OK53-OL53</f>
        <v>0</v>
      </c>
      <c r="ON53" s="1" t="n">
        <f aca="false">MIN(OM53,HK53)</f>
        <v>0</v>
      </c>
      <c r="OO53" s="1" t="n">
        <f aca="false">OM53-ON53</f>
        <v>0</v>
      </c>
      <c r="OP53" s="1" t="n">
        <f aca="false">IF(AND(HT53=0,HE53=1,OO53&gt;0),MIN(OO53,HF53),0)</f>
        <v>0</v>
      </c>
      <c r="OQ53" s="1" t="n">
        <f aca="false">OO53-OP53</f>
        <v>0</v>
      </c>
      <c r="OR53" s="1" t="n">
        <f aca="false">IF(AND(HT53=0,GU53=1,OQ53&gt;0),MIN(OQ53,GV53),0)</f>
        <v>0</v>
      </c>
      <c r="OS53" s="1" t="n">
        <f aca="false">OQ53-OR53</f>
        <v>0</v>
      </c>
      <c r="OT53" s="1" t="n">
        <f aca="false">IF(AND(HT53=0,GK53=1,OS53&gt;0),MIN(OS53,GL53),0)</f>
        <v>0</v>
      </c>
      <c r="OU53" s="1" t="n">
        <f aca="false">OS53-OT53</f>
        <v>0</v>
      </c>
      <c r="OV53" s="1" t="n">
        <f aca="false">IF(AND(HT53=0,GA53=1,OU53&gt;0),MIN(OU53,GB53),0)</f>
        <v>0</v>
      </c>
      <c r="OW53" s="1" t="n">
        <f aca="false">OU53-OV53</f>
        <v>0</v>
      </c>
      <c r="OX53" s="1" t="n">
        <f aca="false">IF(AND(HT53=0,FQ53=1,OW53&gt;0),MIN(OW53,FR53),0)</f>
        <v>0</v>
      </c>
      <c r="OY53" s="1" t="n">
        <f aca="false">OW53-OX53</f>
        <v>0</v>
      </c>
      <c r="OZ53" s="1" t="n">
        <f aca="false">IF(AND(HT53=0,FG53=1,OY53&gt;0),MIN(OY53,FH53),0)</f>
        <v>0</v>
      </c>
      <c r="PA53" s="1" t="n">
        <f aca="false">OY53-OZ53</f>
        <v>0</v>
      </c>
      <c r="PB53" s="1" t="n">
        <f aca="false">IF(AND(HT53=0,EW53=1,PA53&gt;0),MIN(PA53,EX53),0)</f>
        <v>0</v>
      </c>
      <c r="PC53" s="1" t="n">
        <f aca="false">PA53-PB53</f>
        <v>0</v>
      </c>
      <c r="PD53" s="1" t="n">
        <f aca="false">IF(AND(HT53=0,EM53=1,PC53&gt;0),MIN(PC53,EN53),0)</f>
        <v>0</v>
      </c>
      <c r="PE53" s="1" t="n">
        <f aca="false">PC53-PD53</f>
        <v>0</v>
      </c>
      <c r="PF53" s="1" t="n">
        <f aca="false">IF(AND(HT53=0,EC53=1,PE53&gt;0),MIN(PE53,ED53),0)</f>
        <v>0</v>
      </c>
      <c r="PG53" s="1" t="n">
        <f aca="false">PE53-PF53</f>
        <v>0</v>
      </c>
      <c r="PH53" s="1" t="n">
        <f aca="false">IF(AND(HT53=0,DS53=1,PG53&gt;0),MIN(PG53,DT53),0)</f>
        <v>0</v>
      </c>
      <c r="PI53" s="1" t="n">
        <f aca="false">PG53-PH53</f>
        <v>0</v>
      </c>
      <c r="PJ53" s="1" t="n">
        <f aca="false">IF(AND(HT53=0,DI53=1,PI53&gt;0),MIN(PI53,DJ53),0)</f>
        <v>0</v>
      </c>
      <c r="PK53" s="1" t="n">
        <f aca="false">PI53-PJ53</f>
        <v>0</v>
      </c>
      <c r="PL53" s="1" t="n">
        <f aca="false">IF(AND(HT53=0,CY53=1,PK53&gt;0),MIN(PK53,CZ53),0)</f>
        <v>0</v>
      </c>
      <c r="PM53" s="1" t="n">
        <f aca="false">PK53-PL53</f>
        <v>0</v>
      </c>
      <c r="PN53" s="1" t="n">
        <f aca="false">IF(AND(HT53=0,CO53=1,PM53&gt;0),MIN(PM53,CP53),0)</f>
        <v>0</v>
      </c>
      <c r="PO53" s="1" t="n">
        <f aca="false">PM53-PN53</f>
        <v>0</v>
      </c>
      <c r="PP53" s="1" t="n">
        <f aca="false">IF(AND(HT53=0,CE53=1,PO53&gt;0),MIN(PO53,CF53),0)</f>
        <v>0</v>
      </c>
      <c r="PQ53" s="1" t="n">
        <f aca="false">PO53-PP53</f>
        <v>0</v>
      </c>
      <c r="PR53" s="1" t="n">
        <f aca="false">IF(AND(HT53=0,BU53=1,PQ53&gt;0),MIN(PQ53,BV53),0)</f>
        <v>0</v>
      </c>
      <c r="PS53" s="1" t="n">
        <f aca="false">PQ53-PR53</f>
        <v>0</v>
      </c>
      <c r="PT53" s="1" t="n">
        <f aca="false">IF(AND(HT53=0,BK53=1,PS53&gt;0),MIN(PS53,BL53),0)</f>
        <v>0</v>
      </c>
      <c r="PU53" s="1" t="n">
        <f aca="false">PS53-PT53</f>
        <v>0</v>
      </c>
      <c r="PV53" s="1" t="n">
        <f aca="false">IF(AND(HT53=0,BA53=1,PU53&gt;0),MIN(PU53,BB53),0)</f>
        <v>0</v>
      </c>
      <c r="PW53" s="1" t="n">
        <f aca="false">PU53-PV53</f>
        <v>0</v>
      </c>
      <c r="PX53" s="1" t="n">
        <f aca="false">IF(AND(HT53=0,AQ53=1,PW53&gt;0),MIN(PW53,AR53),0)</f>
        <v>0</v>
      </c>
      <c r="PY53" s="1" t="n">
        <f aca="false">PW53-PX53</f>
        <v>0</v>
      </c>
      <c r="PZ53" s="1" t="n">
        <f aca="false">IF(AND(HT53=0,AG53=1,PY53&gt;0),MIN(PY53,AH53),0)</f>
        <v>0</v>
      </c>
      <c r="QA53" s="1" t="n">
        <f aca="false">PY53-PZ53</f>
        <v>0</v>
      </c>
      <c r="QB53" s="1" t="n">
        <f aca="false">IF(AND(HT53=0,V53=1,QA53&gt;0),MIN(QA53,W53),0)</f>
        <v>0</v>
      </c>
      <c r="QC53" s="1" t="n">
        <f aca="false">QA53-QB53</f>
        <v>0</v>
      </c>
      <c r="QD53" s="1" t="n">
        <f aca="false">IF(HT53=0,QC53,0)</f>
        <v>0</v>
      </c>
      <c r="QE53" s="1" t="n">
        <f aca="false">OL53+ON53+QB53+PZ53+PX53+PV53+PT53+PR53+PP53+PN53+PL53+PJ53+PH53+PF53+PD53+PB53+OZ53+OX53+OV53+OT53+OR53+OP53</f>
        <v>0</v>
      </c>
      <c r="QF53" s="1" t="n">
        <f aca="false">IF(HT53=1,HJ53+OI53+OH53+IF(F53=1,0,OJ53),HJ53-OL53)</f>
        <v>0</v>
      </c>
      <c r="QG53" s="1" t="n">
        <f aca="false">HK53-ON53</f>
        <v>0</v>
      </c>
      <c r="QH53" s="1" t="n">
        <f aca="false">IF(HT53=1,IF(F53=1,IC53+ID53,HR53),0)</f>
        <v>0</v>
      </c>
      <c r="QI53" s="1" t="n">
        <f aca="false">IF(HT53=1,IF(F53=1,HR53-IC53-ID53,0),0)</f>
        <v>0</v>
      </c>
      <c r="QJ53" s="1" t="n">
        <f aca="false">QF53*(1+GR)</f>
        <v>0</v>
      </c>
      <c r="QK53" s="1" t="n">
        <f aca="false">QG53*(1+AS_Cash)</f>
        <v>0</v>
      </c>
      <c r="QL53" s="1" t="n">
        <f aca="false">IF(V53=1,IF(HT53=1,IH53+IK53,W53-QB53)*(1+Slot1_Rate),0)</f>
        <v>0</v>
      </c>
      <c r="QM53" s="1" t="n">
        <f aca="false">IF(AND(HT53=1,V53=1),(IG53+IK53)/E53,0)</f>
        <v>0</v>
      </c>
      <c r="QN53" s="1" t="n">
        <f aca="false">IF(B53=0,IG53+IK53,0)</f>
        <v>0</v>
      </c>
      <c r="QO53" s="1" t="n">
        <f aca="false">IF(B53=0,IF(HT53=1,II53,IJ53),0)</f>
        <v>0</v>
      </c>
      <c r="QP53" s="1" t="n">
        <f aca="false">IF(AG53=1,IF(HT53=1,IP53+IS53,AH53-PZ53)*(1+Slot2_Rate),0)</f>
        <v>0</v>
      </c>
      <c r="QQ53" s="1" t="n">
        <f aca="false">IF(AND(HT53=1,AG53=1),(IO53+IS53)/E53,0)</f>
        <v>0</v>
      </c>
      <c r="QR53" s="1" t="n">
        <f aca="false">IF(B53=0,IO53+IS53,0)</f>
        <v>0</v>
      </c>
      <c r="QS53" s="1" t="n">
        <f aca="false">IF(B53=0,IF(HT53=1,IQ53,IR53),0)</f>
        <v>0</v>
      </c>
      <c r="QT53" s="1" t="n">
        <f aca="false">IF(AQ53=1,IF(HT53=1,IX53+JA53,AR53-PX53)*(1+Slot3_Rate),0)</f>
        <v>0</v>
      </c>
      <c r="QU53" s="1" t="n">
        <f aca="false">IF(AND(HT53=1,AQ53=1),(IW53+JA53)/E53,0)</f>
        <v>0</v>
      </c>
      <c r="QV53" s="1" t="n">
        <f aca="false">IF(B53=0,IW53+JA53,0)</f>
        <v>0</v>
      </c>
      <c r="QW53" s="1" t="n">
        <f aca="false">IF(B53=0,IF(HT53=1,IY53,IZ53),0)</f>
        <v>0</v>
      </c>
      <c r="QX53" s="1" t="n">
        <f aca="false">IF(BA53=1,IF(HT53=1,JF53+JI53,BB53-PV53)*(1+Slot4_Rate),0)</f>
        <v>0</v>
      </c>
      <c r="QY53" s="1" t="n">
        <f aca="false">IF(AND(HT53=1,BA53=1),(JE53+JI53)/E53,0)</f>
        <v>0</v>
      </c>
      <c r="QZ53" s="1" t="n">
        <f aca="false">IF(B53=0,JE53+JI53,0)</f>
        <v>0</v>
      </c>
      <c r="RA53" s="1" t="n">
        <f aca="false">IF(B53=0,IF(HT53=1,JG53,JH53),0)</f>
        <v>0</v>
      </c>
      <c r="RB53" s="1" t="n">
        <f aca="false">IF(BK53=1,IF(HT53=1,JN53+JQ53,BL53-PT53)*(1+Slot5_Rate),0)</f>
        <v>0</v>
      </c>
      <c r="RC53" s="1" t="n">
        <f aca="false">IF(AND(HT53=1,BK53=1),(JM53+JQ53)/E53,0)</f>
        <v>0</v>
      </c>
      <c r="RD53" s="1" t="n">
        <f aca="false">IF(B53=0,JM53+JQ53,0)</f>
        <v>0</v>
      </c>
      <c r="RE53" s="1" t="n">
        <f aca="false">IF(B53=0,IF(HT53=1,JO53,JP53),0)</f>
        <v>0</v>
      </c>
      <c r="RF53" s="1" t="n">
        <f aca="false">IF(BU53=1,IF(HT53=1,JV53+JY53,BV53-PR53)*(1+Slot6_Rate),0)</f>
        <v>0</v>
      </c>
      <c r="RG53" s="1" t="n">
        <f aca="false">IF(AND(HT53=1,BU53=1),(JU53+JY53)/E53,0)</f>
        <v>0</v>
      </c>
      <c r="RH53" s="1" t="n">
        <f aca="false">IF(B53=0,JU53+JY53,0)</f>
        <v>0</v>
      </c>
      <c r="RI53" s="1" t="n">
        <f aca="false">IF(B53=0,IF(HT53=1,JW53,JX53),0)</f>
        <v>0</v>
      </c>
      <c r="RJ53" s="1" t="n">
        <f aca="false">IF(CE53=1,IF(HT53=1,KD53+KG53,CF53-PP53)*(1+Slot7_Rate),0)</f>
        <v>0</v>
      </c>
      <c r="RK53" s="1" t="n">
        <f aca="false">IF(AND(HT53=1,CE53=1),(KC53+KG53)/E53,0)</f>
        <v>0</v>
      </c>
      <c r="RL53" s="1" t="n">
        <f aca="false">IF(B53=0,KC53+KG53,0)</f>
        <v>0</v>
      </c>
      <c r="RM53" s="1" t="n">
        <f aca="false">IF(B53=0,IF(HT53=1,KE53,KF53),0)</f>
        <v>0</v>
      </c>
      <c r="RN53" s="1" t="n">
        <f aca="false">IF(CO53=1,IF(HT53=1,KL53+KO53,CP53-PN53)*(1+Slot8_Rate),0)</f>
        <v>0</v>
      </c>
      <c r="RO53" s="1" t="n">
        <f aca="false">IF(AND(HT53=1,CO53=1),(KK53+KO53)/E53,0)</f>
        <v>0</v>
      </c>
      <c r="RP53" s="1" t="n">
        <f aca="false">IF(B53=0,KK53+KO53,0)</f>
        <v>0</v>
      </c>
      <c r="RQ53" s="1" t="n">
        <f aca="false">IF(B53=0,IF(HT53=1,KM53,KN53),0)</f>
        <v>0</v>
      </c>
      <c r="RR53" s="1" t="n">
        <f aca="false">IF(CY53=1,IF(HT53=1,KT53+KW53,CZ53-PL53)*(1+Slot9_Rate),0)</f>
        <v>0</v>
      </c>
      <c r="RS53" s="1" t="n">
        <f aca="false">IF(AND(HT53=1,CY53=1),(KS53+KW53)/E53,0)</f>
        <v>0</v>
      </c>
      <c r="RT53" s="1" t="n">
        <f aca="false">IF(B53=0,KS53+KW53,0)</f>
        <v>0</v>
      </c>
      <c r="RU53" s="1" t="n">
        <f aca="false">IF(B53=0,IF(HT53=1,KU53,KV53),0)</f>
        <v>0</v>
      </c>
      <c r="RV53" s="1" t="n">
        <f aca="false">IF(DI53=1,IF(HT53=1,LB53+LE53,DJ53-PJ53)*(1+Slot10_Rate),0)</f>
        <v>0</v>
      </c>
      <c r="RW53" s="1" t="n">
        <f aca="false">IF(AND(HT53=1,DI53=1),(LA53+LE53)/E53,0)</f>
        <v>0</v>
      </c>
      <c r="RX53" s="1" t="n">
        <f aca="false">IF(B53=0,LA53+LE53,0)</f>
        <v>0</v>
      </c>
      <c r="RY53" s="1" t="n">
        <f aca="false">IF(B53=0,IF(HT53=1,LC53,LD53),0)</f>
        <v>0</v>
      </c>
      <c r="RZ53" s="1" t="n">
        <f aca="false">IF(DS53=1,IF(HT53=1,LJ53+LM53,DT53-PH53)*(1+Slot11_Rate),0)</f>
        <v>0</v>
      </c>
      <c r="SA53" s="1" t="n">
        <f aca="false">IF(AND(HT53=1,DS53=1),(LI53+LM53)/E53,0)</f>
        <v>0</v>
      </c>
      <c r="SB53" s="1" t="n">
        <f aca="false">IF(B53=0,LI53+LM53,0)</f>
        <v>0</v>
      </c>
      <c r="SC53" s="1" t="n">
        <f aca="false">IF(B53=0,IF(HT53=1,LK53,LL53),0)</f>
        <v>0</v>
      </c>
      <c r="SD53" s="1" t="n">
        <f aca="false">IF(EC53=1,IF(HT53=1,LR53+LU53,ED53-PF53)*(1+Slot12_Rate),0)</f>
        <v>0</v>
      </c>
      <c r="SE53" s="1" t="n">
        <f aca="false">IF(AND(HT53=1,EC53=1),(LQ53+LU53)/E53,0)</f>
        <v>0</v>
      </c>
      <c r="SF53" s="1" t="n">
        <f aca="false">IF(B53=0,LQ53+LU53,0)</f>
        <v>0</v>
      </c>
      <c r="SG53" s="1" t="n">
        <f aca="false">IF(B53=0,IF(HT53=1,LS53,LT53),0)</f>
        <v>0</v>
      </c>
      <c r="SH53" s="1" t="n">
        <f aca="false">IF(EM53=1,IF(HT53=1,LZ53+MC53,EN53-PD53)*(1+Slot13_Rate),0)</f>
        <v>0</v>
      </c>
      <c r="SI53" s="1" t="n">
        <f aca="false">IF(AND(HT53=1,EM53=1),(LY53+MC53)/E53,0)</f>
        <v>0</v>
      </c>
      <c r="SJ53" s="1" t="n">
        <f aca="false">IF(B53=0,LY53+MC53,0)</f>
        <v>0</v>
      </c>
      <c r="SK53" s="1" t="n">
        <f aca="false">IF(B53=0,IF(HT53=1,MA53,MB53),0)</f>
        <v>0</v>
      </c>
      <c r="SL53" s="1" t="n">
        <f aca="false">IF(EW53=1,IF(HT53=1,MH53+MK53,EX53-PB53)*(1+Slot14_Rate),0)</f>
        <v>0</v>
      </c>
      <c r="SM53" s="1" t="n">
        <f aca="false">IF(AND(HT53=1,EW53=1),(MG53+MK53)/E53,0)</f>
        <v>0</v>
      </c>
      <c r="SN53" s="1" t="n">
        <f aca="false">IF(B53=0,MG53+MK53,0)</f>
        <v>0</v>
      </c>
      <c r="SO53" s="1" t="n">
        <f aca="false">IF(B53=0,IF(HT53=1,MI53,MJ53),0)</f>
        <v>0</v>
      </c>
      <c r="SP53" s="1" t="n">
        <f aca="false">IF(FG53=1,IF(HT53=1,MP53+MS53,FH53-OZ53)*(1+Slot15_Rate),0)</f>
        <v>0</v>
      </c>
      <c r="SQ53" s="1" t="n">
        <f aca="false">IF(AND(HT53=1,FG53=1),(MO53+MS53)/E53,0)</f>
        <v>0</v>
      </c>
      <c r="SR53" s="1" t="n">
        <f aca="false">IF(B53=0,MO53+MS53,0)</f>
        <v>0</v>
      </c>
      <c r="SS53" s="1" t="n">
        <f aca="false">IF(B53=0,IF(HT53=1,MQ53,MR53),0)</f>
        <v>0</v>
      </c>
      <c r="ST53" s="1" t="n">
        <f aca="false">IF(FQ53=1,IF(HT53=1,MX53+NA53,FR53-OX53)*(1+Slot16_Rate),0)</f>
        <v>0</v>
      </c>
      <c r="SU53" s="1" t="n">
        <f aca="false">IF(AND(HT53=1,FQ53=1),(MW53+NA53)/E53,0)</f>
        <v>0</v>
      </c>
      <c r="SV53" s="1" t="n">
        <f aca="false">IF(B53=0,MW53+NA53,0)</f>
        <v>0</v>
      </c>
      <c r="SW53" s="1" t="n">
        <f aca="false">IF(B53=0,IF(HT53=1,MY53,MZ53),0)</f>
        <v>0</v>
      </c>
      <c r="SX53" s="1" t="n">
        <f aca="false">IF(GA53=1,IF(HT53=1,NF53+NI53,GB53-OV53)*(1+Slot17_Rate),0)</f>
        <v>0</v>
      </c>
      <c r="SY53" s="1" t="n">
        <f aca="false">IF(AND(HT53=1,GA53=1),(NE53+NI53)/E53,0)</f>
        <v>0</v>
      </c>
      <c r="SZ53" s="1" t="n">
        <f aca="false">IF(B53=0,NE53+NI53,0)</f>
        <v>0</v>
      </c>
      <c r="TA53" s="1" t="n">
        <f aca="false">IF(B53=0,IF(HT53=1,NG53,NH53),0)</f>
        <v>0</v>
      </c>
      <c r="TB53" s="1" t="n">
        <f aca="false">IF(GK53=1,IF(HT53=1,NN53+NQ53,GL53-OT53)*(1+Slot18_Rate),0)</f>
        <v>0</v>
      </c>
      <c r="TC53" s="1" t="n">
        <f aca="false">IF(AND(HT53=1,GK53=1),(NM53+NQ53)/E53,0)</f>
        <v>0</v>
      </c>
      <c r="TD53" s="1" t="n">
        <f aca="false">IF(B53=0,NM53+NQ53,0)</f>
        <v>0</v>
      </c>
      <c r="TE53" s="1" t="n">
        <f aca="false">IF(B53=0,IF(HT53=1,NO53,NP53),0)</f>
        <v>0</v>
      </c>
      <c r="TF53" s="1" t="n">
        <f aca="false">IF(GU53=1,IF(HT53=1,NV53+NY53,GV53-OR53)*(1+Slot19_Rate),0)</f>
        <v>0</v>
      </c>
      <c r="TG53" s="1" t="n">
        <f aca="false">IF(AND(HT53=1,GU53=1),(NU53+NY53)/E53,0)</f>
        <v>0</v>
      </c>
      <c r="TH53" s="1" t="n">
        <f aca="false">IF(B53=0,NU53+NY53,0)</f>
        <v>0</v>
      </c>
      <c r="TI53" s="1" t="n">
        <f aca="false">IF(B53=0,IF(HT53=1,NW53,NX53),0)</f>
        <v>0</v>
      </c>
      <c r="TJ53" s="1" t="n">
        <f aca="false">IF(HE53=1,IF(HT53=1,OD53+OG53,HF53-OP53)*(1+Slot20_Rate),0)</f>
        <v>0</v>
      </c>
      <c r="TK53" s="1" t="n">
        <f aca="false">IF(AND(HT53=1,HE53=1),(OC53+OG53)/E53,0)</f>
        <v>0</v>
      </c>
      <c r="TL53" s="1" t="n">
        <f aca="false">IF(B53=0,OC53+OG53,0)</f>
        <v>0</v>
      </c>
      <c r="TM53" s="1" t="n">
        <f aca="false">IF(B53=0,IF(HT53=1,OE53,OF53),0)</f>
        <v>0</v>
      </c>
      <c r="TN53" s="1" t="n">
        <f aca="false">QJ53+QK53+QL53+QP53+QT53+QX53+RB53+RF53+RJ53+RN53+RR53+RV53+RZ53+SD53+SH53+SL53+SP53+ST53+SX53+TB53+TF53+TJ53</f>
        <v>0</v>
      </c>
      <c r="TO53" s="1" t="n">
        <f aca="false">QD53+HO53</f>
        <v>0</v>
      </c>
      <c r="TP53" s="1" t="n">
        <f aca="false">H53+R53</f>
        <v>0</v>
      </c>
      <c r="TQ53" s="1" t="n">
        <f aca="false">1-F53</f>
        <v>0</v>
      </c>
      <c r="TR53" s="1" t="n">
        <f aca="false">IF(AND(RG_Exists=1,F53=0,C53=1),H53,0)</f>
        <v>0</v>
      </c>
      <c r="TS53" s="1" t="n">
        <f aca="false">IF(AND(RG_Exists=1,F53=0,C53=1),H53-MIN(QD53,H53),0)</f>
        <v>0</v>
      </c>
      <c r="TT53" s="1" t="n">
        <f aca="false">'Plan pay &amp; tax'!AD279</f>
        <v>0</v>
      </c>
      <c r="TU53" s="1" t="n">
        <f aca="false">IF(AND(C53=1,QD53&gt;MAX(PR_Short1,TP53*PR_Short2)),1,0)</f>
        <v>0</v>
      </c>
      <c r="TV53" s="1" t="n">
        <f aca="false">MIN(G53,H53+R53)</f>
        <v>0</v>
      </c>
      <c r="TW53" s="1" t="n">
        <f aca="false">QE53+MAX(0,HP53-HO53)</f>
        <v>0</v>
      </c>
      <c r="TX53" s="1" t="n">
        <f aca="false">QD53+HO53</f>
        <v>0</v>
      </c>
      <c r="TY53" s="1" t="n">
        <f aca="false">IF(AND(C53=1,TX53&gt;PR_MinShort),1,0)</f>
        <v>0</v>
      </c>
      <c r="TZ53" s="1" t="n">
        <f aca="false">IF(AND(C53=1,TY53=0,TW53&gt;PR_MinShort),1,0)</f>
        <v>0</v>
      </c>
      <c r="UA53" s="1" t="n">
        <f aca="false">IF(AND(C53=1,QD53&gt;PR_MinShort),1,0)</f>
        <v>0</v>
      </c>
      <c r="UB53" s="1" t="n">
        <f aca="false">IF(AND(C53=1,QE53&gt;1,UI53=0),1,0)</f>
        <v>0</v>
      </c>
      <c r="UC53" s="1" t="str">
        <f aca="false">IF(C53=0,"",IF(UI53=1,"Gap to plan for: short "&amp;"€"&amp;TEXT(ROUND(TO53,0),"#,##0"),IF(QE53&gt;1,"Using savings","Comfortable")))</f>
        <v>Comfortable</v>
      </c>
      <c r="UD53" s="1" t="n">
        <f aca="false">IF(AND(INT(D53/10)*10=90,B53&gt;0),80,INT(D53/10)*10)</f>
        <v>40</v>
      </c>
      <c r="UE53" s="1" t="n">
        <f aca="false">IF(B53=0,1,IF(UD53&lt;&gt;UD52,UE52+1,UE52))</f>
        <v>5</v>
      </c>
      <c r="UF53" s="1" t="n">
        <f aca="false">IF(AND(C53=1,F53=1,QD53&gt;MAX(PR_Short1,TP53*PR_Short2)),1,0)</f>
        <v>0</v>
      </c>
      <c r="UG53" s="1" t="n">
        <f aca="false">TQ53*TU53</f>
        <v>0</v>
      </c>
      <c r="UH53" s="1" t="n">
        <f aca="false">IF(AND(U53=1,Slot1_PctLow=1),1,0)+IF(AND(AF53=1,Slot2_PctLow=1),1,0)+IF(AND(AP53=1,Slot3_PctLow=1),1,0)+IF(AND(AZ53=1,Slot4_PctLow=1),1,0)+IF(AND(BJ53=1,Slot5_PctLow=1),1,0)+IF(AND(BT53=1,Slot6_PctLow=1),1,0)+IF(AND(CD53=1,Slot7_PctLow=1),1,0)+IF(AND(CN53=1,Slot8_PctLow=1),1,0)+IF(AND(CX53=1,Slot9_PctLow=1),1,0)+IF(AND(DH53=1,Slot10_PctLow=1),1,0)+IF(AND(DR53=1,Slot11_PctLow=1),1,0)+IF(AND(EB53=1,Slot12_PctLow=1),1,0)+IF(AND(EL53=1,Slot13_PctLow=1),1,0)+IF(AND(EV53=1,Slot14_PctLow=1),1,0)+IF(AND(FF53=1,Slot15_PctLow=1),1,0)+IF(AND(FP53=1,Slot16_PctLow=1),1,0)+IF(AND(FZ53=1,Slot17_PctLow=1),1,0)+IF(AND(GJ53=1,Slot18_PctLow=1),1,0)+IF(AND(GT53=1,Slot19_PctLow=1),1,0)+IF(AND(HD53=1,Slot20_PctLow=1),1,0)</f>
        <v>0</v>
      </c>
      <c r="UI53" s="1" t="n">
        <f aca="false">IF(C53=1,IF(OR(TU53=1,UH53&gt;0),1,0),0)</f>
        <v>0</v>
      </c>
    </row>
    <row r="54" customFormat="false" ht="15" hidden="false" customHeight="true" outlineLevel="0" collapsed="false">
      <c r="B54" s="1" t="n">
        <v>46</v>
      </c>
      <c r="C54" s="1" t="n">
        <f aca="false">IF(B54&lt;=F_N,1,0)</f>
        <v>1</v>
      </c>
      <c r="D54" s="1" t="n">
        <f aca="false">'Plan pay &amp; tax'!C280</f>
        <v>46</v>
      </c>
      <c r="E54" s="111" t="n">
        <f aca="false">'Plan pay &amp; tax'!E280</f>
        <v>2.48661128940737</v>
      </c>
      <c r="F54" s="1" t="n">
        <f aca="false">'Plan pay &amp; tax'!G280</f>
        <v>1</v>
      </c>
      <c r="G54" s="1" t="n">
        <f aca="false">'Plan pay &amp; tax'!BT280-'Plan pay &amp; tax'!BS280-'Plan pay &amp; tax'!R280</f>
        <v>0</v>
      </c>
      <c r="H54" s="1" t="n">
        <f aca="false">IF(F54=1,F_CostsM*12,IF(RG_Exists=1,RG_Amount,F_CostsM*12*AS_RetireSpend))*E54+F_OneOffY*E54</f>
        <v>0</v>
      </c>
      <c r="I54" s="1" t="n">
        <f aca="false">HQ53</f>
        <v>0</v>
      </c>
      <c r="J54" s="1" t="n">
        <f aca="false">IF(I54&gt;1,'Plan debt months'!AC54,0)</f>
        <v>0</v>
      </c>
      <c r="K54" s="1" t="n">
        <f aca="false">IF(I54&gt;1,'Plan debt months'!AB54,I54)</f>
        <v>0</v>
      </c>
      <c r="L54" s="1" t="n">
        <f aca="false">N53</f>
        <v>0</v>
      </c>
      <c r="M54" s="1" t="n">
        <f aca="false">IF(L54&gt;1,'Plan debt months'!BD54,0)</f>
        <v>0</v>
      </c>
      <c r="N54" s="1" t="n">
        <f aca="false">IF(L54&gt;1,'Plan debt months'!BC54,L54)</f>
        <v>0</v>
      </c>
      <c r="O54" s="1" t="n">
        <f aca="false">Q53</f>
        <v>0</v>
      </c>
      <c r="P54" s="1" t="n">
        <f aca="false">IF(O54&gt;1,'Plan debt months'!CE54,0)</f>
        <v>0</v>
      </c>
      <c r="Q54" s="1" t="n">
        <f aca="false">IF(O54&gt;1,'Plan debt months'!CD54,O54)</f>
        <v>0</v>
      </c>
      <c r="R54" s="1" t="n">
        <f aca="false">J54+M54+P54</f>
        <v>0</v>
      </c>
      <c r="S54" s="1" t="n">
        <f aca="false">QJ53+'Plan pay &amp; tax'!Y280</f>
        <v>0</v>
      </c>
      <c r="T54" s="1" t="n">
        <f aca="false">QJ53</f>
        <v>0</v>
      </c>
      <c r="U54" s="1" t="n">
        <f aca="false">IF(AND(Slot1_On=1,D54=Slot1_Age),1,0)</f>
        <v>0</v>
      </c>
      <c r="V54" s="1" t="n">
        <f aca="false">IF(AND(Slot1_On=1,Slot1_Age&gt;D54),1,0)</f>
        <v>0</v>
      </c>
      <c r="W54" s="1" t="n">
        <f aca="false">QL53</f>
        <v>0</v>
      </c>
      <c r="X54" s="1" t="n">
        <f aca="false">U54*MIN(Slot1_Cost,W54)</f>
        <v>0</v>
      </c>
      <c r="Y54" s="1" t="n">
        <f aca="false">U54*Slot1_SpendLike*MIN(Slot1_Cost-X54,S54)</f>
        <v>0</v>
      </c>
      <c r="Z54" s="1" t="n">
        <f aca="false">X54+Y54</f>
        <v>0</v>
      </c>
      <c r="AA54" s="1" t="n">
        <f aca="false">S54-Y54+U54*IF(Slot1_SpendLike=1,W54-X54,IF(Slot1_PotFree=1,W54,0))</f>
        <v>0</v>
      </c>
      <c r="AB54" s="1" t="n">
        <f aca="false">AE54+U54*Slot1_BufPot*W54</f>
        <v>0</v>
      </c>
      <c r="AC54" s="1" t="n">
        <f aca="false">IF(AND(U54=1,Slot1_IsMfree=1),IF(Z54&gt;=Slot1_Cost-1,0,MAX(0,K54-Z54)),K54)</f>
        <v>0</v>
      </c>
      <c r="AD54" s="1" t="n">
        <f aca="false">U54*(Slot1_Cost-Z54)</f>
        <v>0</v>
      </c>
      <c r="AE54" s="1" t="n">
        <f aca="false">QK53</f>
        <v>0</v>
      </c>
      <c r="AF54" s="1" t="n">
        <f aca="false">IF(AND(Slot2_On=1,D54=Slot2_Age),1,0)</f>
        <v>0</v>
      </c>
      <c r="AG54" s="1" t="n">
        <f aca="false">IF(AND(Slot2_On=1,Slot2_Age&gt;D54),1,0)</f>
        <v>0</v>
      </c>
      <c r="AH54" s="1" t="n">
        <f aca="false">QP53</f>
        <v>0</v>
      </c>
      <c r="AI54" s="1" t="n">
        <f aca="false">AF54*MIN(Slot2_Cost,AH54)</f>
        <v>0</v>
      </c>
      <c r="AJ54" s="1" t="n">
        <f aca="false">AF54*Slot2_SpendLike*MIN(Slot2_Cost-AI54,AA54)</f>
        <v>0</v>
      </c>
      <c r="AK54" s="1" t="n">
        <f aca="false">AI54+AJ54</f>
        <v>0</v>
      </c>
      <c r="AL54" s="1" t="n">
        <f aca="false">AA54-AJ54+AF54*IF(Slot2_SpendLike=1,AH54-AI54,IF(Slot2_PotFree=1,AH54,0))</f>
        <v>0</v>
      </c>
      <c r="AM54" s="1" t="n">
        <f aca="false">AB54+AF54*Slot2_BufPot*AH54</f>
        <v>0</v>
      </c>
      <c r="AN54" s="1" t="n">
        <f aca="false">IF(AND(AF54=1,Slot2_IsMfree=1),IF(AK54&gt;=Slot2_Cost-1,0,MAX(0,AC54-AK54)),AC54)</f>
        <v>0</v>
      </c>
      <c r="AO54" s="1" t="n">
        <f aca="false">AF54*(Slot2_Cost-AK54)</f>
        <v>0</v>
      </c>
      <c r="AP54" s="1" t="n">
        <f aca="false">IF(AND(Slot3_On=1,D54=Slot3_Age),1,0)</f>
        <v>0</v>
      </c>
      <c r="AQ54" s="1" t="n">
        <f aca="false">IF(AND(Slot3_On=1,Slot3_Age&gt;D54),1,0)</f>
        <v>0</v>
      </c>
      <c r="AR54" s="1" t="n">
        <f aca="false">QT53</f>
        <v>0</v>
      </c>
      <c r="AS54" s="1" t="n">
        <f aca="false">AP54*MIN(Slot3_Cost,AR54)</f>
        <v>0</v>
      </c>
      <c r="AT54" s="1" t="n">
        <f aca="false">AP54*Slot3_SpendLike*MIN(Slot3_Cost-AS54,AL54)</f>
        <v>0</v>
      </c>
      <c r="AU54" s="1" t="n">
        <f aca="false">AS54+AT54</f>
        <v>0</v>
      </c>
      <c r="AV54" s="1" t="n">
        <f aca="false">AL54-AT54+AP54*IF(Slot3_SpendLike=1,AR54-AS54,IF(Slot3_PotFree=1,AR54,0))</f>
        <v>0</v>
      </c>
      <c r="AW54" s="1" t="n">
        <f aca="false">AM54+AP54*Slot3_BufPot*AR54</f>
        <v>0</v>
      </c>
      <c r="AX54" s="1" t="n">
        <f aca="false">IF(AND(AP54=1,Slot3_IsMfree=1),IF(AU54&gt;=Slot3_Cost-1,0,MAX(0,AN54-AU54)),AN54)</f>
        <v>0</v>
      </c>
      <c r="AY54" s="1" t="n">
        <f aca="false">AP54*(Slot3_Cost-AU54)</f>
        <v>0</v>
      </c>
      <c r="AZ54" s="1" t="n">
        <f aca="false">IF(AND(Slot4_On=1,D54=Slot4_Age),1,0)</f>
        <v>0</v>
      </c>
      <c r="BA54" s="1" t="n">
        <f aca="false">IF(AND(Slot4_On=1,Slot4_Age&gt;D54),1,0)</f>
        <v>0</v>
      </c>
      <c r="BB54" s="1" t="n">
        <f aca="false">QX53</f>
        <v>0</v>
      </c>
      <c r="BC54" s="1" t="n">
        <f aca="false">AZ54*MIN(Slot4_Cost,BB54)</f>
        <v>0</v>
      </c>
      <c r="BD54" s="1" t="n">
        <f aca="false">AZ54*Slot4_SpendLike*MIN(Slot4_Cost-BC54,AV54)</f>
        <v>0</v>
      </c>
      <c r="BE54" s="1" t="n">
        <f aca="false">BC54+BD54</f>
        <v>0</v>
      </c>
      <c r="BF54" s="1" t="n">
        <f aca="false">AV54-BD54+AZ54*IF(Slot4_SpendLike=1,BB54-BC54,IF(Slot4_PotFree=1,BB54,0))</f>
        <v>0</v>
      </c>
      <c r="BG54" s="1" t="n">
        <f aca="false">AW54+AZ54*Slot4_BufPot*BB54</f>
        <v>0</v>
      </c>
      <c r="BH54" s="1" t="n">
        <f aca="false">IF(AND(AZ54=1,Slot4_IsMfree=1),IF(BE54&gt;=Slot4_Cost-1,0,MAX(0,AX54-BE54)),AX54)</f>
        <v>0</v>
      </c>
      <c r="BI54" s="1" t="n">
        <f aca="false">AZ54*(Slot4_Cost-BE54)</f>
        <v>0</v>
      </c>
      <c r="BJ54" s="1" t="n">
        <f aca="false">IF(AND(Slot5_On=1,D54=Slot5_Age),1,0)</f>
        <v>0</v>
      </c>
      <c r="BK54" s="1" t="n">
        <f aca="false">IF(AND(Slot5_On=1,Slot5_Age&gt;D54),1,0)</f>
        <v>0</v>
      </c>
      <c r="BL54" s="1" t="n">
        <f aca="false">RB53</f>
        <v>0</v>
      </c>
      <c r="BM54" s="1" t="n">
        <f aca="false">BJ54*MIN(Slot5_Cost,BL54)</f>
        <v>0</v>
      </c>
      <c r="BN54" s="1" t="n">
        <f aca="false">BJ54*Slot5_SpendLike*MIN(Slot5_Cost-BM54,BF54)</f>
        <v>0</v>
      </c>
      <c r="BO54" s="1" t="n">
        <f aca="false">BM54+BN54</f>
        <v>0</v>
      </c>
      <c r="BP54" s="1" t="n">
        <f aca="false">BF54-BN54+BJ54*IF(Slot5_SpendLike=1,BL54-BM54,IF(Slot5_PotFree=1,BL54,0))</f>
        <v>0</v>
      </c>
      <c r="BQ54" s="1" t="n">
        <f aca="false">BG54+BJ54*Slot5_BufPot*BL54</f>
        <v>0</v>
      </c>
      <c r="BR54" s="1" t="n">
        <f aca="false">IF(AND(BJ54=1,Slot5_IsMfree=1),IF(BO54&gt;=Slot5_Cost-1,0,MAX(0,BH54-BO54)),BH54)</f>
        <v>0</v>
      </c>
      <c r="BS54" s="1" t="n">
        <f aca="false">BJ54*(Slot5_Cost-BO54)</f>
        <v>0</v>
      </c>
      <c r="BT54" s="1" t="n">
        <f aca="false">IF(AND(Slot6_On=1,D54=Slot6_Age),1,0)</f>
        <v>0</v>
      </c>
      <c r="BU54" s="1" t="n">
        <f aca="false">IF(AND(Slot6_On=1,Slot6_Age&gt;D54),1,0)</f>
        <v>0</v>
      </c>
      <c r="BV54" s="1" t="n">
        <f aca="false">RF53</f>
        <v>0</v>
      </c>
      <c r="BW54" s="1" t="n">
        <f aca="false">BT54*MIN(Slot6_Cost,BV54)</f>
        <v>0</v>
      </c>
      <c r="BX54" s="1" t="n">
        <f aca="false">BT54*Slot6_SpendLike*MIN(Slot6_Cost-BW54,BP54)</f>
        <v>0</v>
      </c>
      <c r="BY54" s="1" t="n">
        <f aca="false">BW54+BX54</f>
        <v>0</v>
      </c>
      <c r="BZ54" s="1" t="n">
        <f aca="false">BP54-BX54+BT54*IF(Slot6_SpendLike=1,BV54-BW54,IF(Slot6_PotFree=1,BV54,0))</f>
        <v>0</v>
      </c>
      <c r="CA54" s="1" t="n">
        <f aca="false">BQ54+BT54*Slot6_BufPot*BV54</f>
        <v>0</v>
      </c>
      <c r="CB54" s="1" t="n">
        <f aca="false">IF(AND(BT54=1,Slot6_IsMfree=1),IF(BY54&gt;=Slot6_Cost-1,0,MAX(0,BR54-BY54)),BR54)</f>
        <v>0</v>
      </c>
      <c r="CC54" s="1" t="n">
        <f aca="false">BT54*(Slot6_Cost-BY54)</f>
        <v>0</v>
      </c>
      <c r="CD54" s="1" t="n">
        <f aca="false">IF(AND(Slot7_On=1,D54=Slot7_Age),1,0)</f>
        <v>0</v>
      </c>
      <c r="CE54" s="1" t="n">
        <f aca="false">IF(AND(Slot7_On=1,Slot7_Age&gt;D54),1,0)</f>
        <v>0</v>
      </c>
      <c r="CF54" s="1" t="n">
        <f aca="false">RJ53</f>
        <v>0</v>
      </c>
      <c r="CG54" s="1" t="n">
        <f aca="false">CD54*MIN(Slot7_Cost,CF54)</f>
        <v>0</v>
      </c>
      <c r="CH54" s="1" t="n">
        <f aca="false">CD54*Slot7_SpendLike*MIN(Slot7_Cost-CG54,BZ54)</f>
        <v>0</v>
      </c>
      <c r="CI54" s="1" t="n">
        <f aca="false">CG54+CH54</f>
        <v>0</v>
      </c>
      <c r="CJ54" s="1" t="n">
        <f aca="false">BZ54-CH54+CD54*IF(Slot7_SpendLike=1,CF54-CG54,IF(Slot7_PotFree=1,CF54,0))</f>
        <v>0</v>
      </c>
      <c r="CK54" s="1" t="n">
        <f aca="false">CA54+CD54*Slot7_BufPot*CF54</f>
        <v>0</v>
      </c>
      <c r="CL54" s="1" t="n">
        <f aca="false">IF(AND(CD54=1,Slot7_IsMfree=1),IF(CI54&gt;=Slot7_Cost-1,0,MAX(0,CB54-CI54)),CB54)</f>
        <v>0</v>
      </c>
      <c r="CM54" s="1" t="n">
        <f aca="false">CD54*(Slot7_Cost-CI54)</f>
        <v>0</v>
      </c>
      <c r="CN54" s="1" t="n">
        <f aca="false">IF(AND(Slot8_On=1,D54=Slot8_Age),1,0)</f>
        <v>0</v>
      </c>
      <c r="CO54" s="1" t="n">
        <f aca="false">IF(AND(Slot8_On=1,Slot8_Age&gt;D54),1,0)</f>
        <v>0</v>
      </c>
      <c r="CP54" s="1" t="n">
        <f aca="false">RN53</f>
        <v>0</v>
      </c>
      <c r="CQ54" s="1" t="n">
        <f aca="false">CN54*MIN(Slot8_Cost,CP54)</f>
        <v>0</v>
      </c>
      <c r="CR54" s="1" t="n">
        <f aca="false">CN54*Slot8_SpendLike*MIN(Slot8_Cost-CQ54,CJ54)</f>
        <v>0</v>
      </c>
      <c r="CS54" s="1" t="n">
        <f aca="false">CQ54+CR54</f>
        <v>0</v>
      </c>
      <c r="CT54" s="1" t="n">
        <f aca="false">CJ54-CR54+CN54*IF(Slot8_SpendLike=1,CP54-CQ54,IF(Slot8_PotFree=1,CP54,0))</f>
        <v>0</v>
      </c>
      <c r="CU54" s="1" t="n">
        <f aca="false">CK54+CN54*Slot8_BufPot*CP54</f>
        <v>0</v>
      </c>
      <c r="CV54" s="1" t="n">
        <f aca="false">IF(AND(CN54=1,Slot8_IsMfree=1),IF(CS54&gt;=Slot8_Cost-1,0,MAX(0,CL54-CS54)),CL54)</f>
        <v>0</v>
      </c>
      <c r="CW54" s="1" t="n">
        <f aca="false">CN54*(Slot8_Cost-CS54)</f>
        <v>0</v>
      </c>
      <c r="CX54" s="1" t="n">
        <f aca="false">IF(AND(Slot9_On=1,D54=Slot9_Age),1,0)</f>
        <v>0</v>
      </c>
      <c r="CY54" s="1" t="n">
        <f aca="false">IF(AND(Slot9_On=1,Slot9_Age&gt;D54),1,0)</f>
        <v>0</v>
      </c>
      <c r="CZ54" s="1" t="n">
        <f aca="false">RR53</f>
        <v>0</v>
      </c>
      <c r="DA54" s="1" t="n">
        <f aca="false">CX54*MIN(Slot9_Cost,CZ54)</f>
        <v>0</v>
      </c>
      <c r="DB54" s="1" t="n">
        <f aca="false">CX54*Slot9_SpendLike*MIN(Slot9_Cost-DA54,CT54)</f>
        <v>0</v>
      </c>
      <c r="DC54" s="1" t="n">
        <f aca="false">DA54+DB54</f>
        <v>0</v>
      </c>
      <c r="DD54" s="1" t="n">
        <f aca="false">CT54-DB54+CX54*IF(Slot9_SpendLike=1,CZ54-DA54,IF(Slot9_PotFree=1,CZ54,0))</f>
        <v>0</v>
      </c>
      <c r="DE54" s="1" t="n">
        <f aca="false">CU54+CX54*Slot9_BufPot*CZ54</f>
        <v>0</v>
      </c>
      <c r="DF54" s="1" t="n">
        <f aca="false">IF(AND(CX54=1,Slot9_IsMfree=1),IF(DC54&gt;=Slot9_Cost-1,0,MAX(0,CV54-DC54)),CV54)</f>
        <v>0</v>
      </c>
      <c r="DG54" s="1" t="n">
        <f aca="false">CX54*(Slot9_Cost-DC54)</f>
        <v>0</v>
      </c>
      <c r="DH54" s="1" t="n">
        <f aca="false">IF(AND(Slot10_On=1,D54=Slot10_Age),1,0)</f>
        <v>0</v>
      </c>
      <c r="DI54" s="1" t="n">
        <f aca="false">IF(AND(Slot10_On=1,Slot10_Age&gt;D54),1,0)</f>
        <v>0</v>
      </c>
      <c r="DJ54" s="1" t="n">
        <f aca="false">RV53</f>
        <v>0</v>
      </c>
      <c r="DK54" s="1" t="n">
        <f aca="false">DH54*MIN(Slot10_Cost,DJ54)</f>
        <v>0</v>
      </c>
      <c r="DL54" s="1" t="n">
        <f aca="false">DH54*Slot10_SpendLike*MIN(Slot10_Cost-DK54,DD54)</f>
        <v>0</v>
      </c>
      <c r="DM54" s="1" t="n">
        <f aca="false">DK54+DL54</f>
        <v>0</v>
      </c>
      <c r="DN54" s="1" t="n">
        <f aca="false">DD54-DL54+DH54*IF(Slot10_SpendLike=1,DJ54-DK54,IF(Slot10_PotFree=1,DJ54,0))</f>
        <v>0</v>
      </c>
      <c r="DO54" s="1" t="n">
        <f aca="false">DE54+DH54*Slot10_BufPot*DJ54</f>
        <v>0</v>
      </c>
      <c r="DP54" s="1" t="n">
        <f aca="false">IF(AND(DH54=1,Slot10_IsMfree=1),IF(DM54&gt;=Slot10_Cost-1,0,MAX(0,DF54-DM54)),DF54)</f>
        <v>0</v>
      </c>
      <c r="DQ54" s="1" t="n">
        <f aca="false">DH54*(Slot10_Cost-DM54)</f>
        <v>0</v>
      </c>
      <c r="DR54" s="1" t="n">
        <f aca="false">IF(AND(Slot11_On=1,D54=Slot11_Age),1,0)</f>
        <v>0</v>
      </c>
      <c r="DS54" s="1" t="n">
        <f aca="false">IF(AND(Slot11_On=1,Slot11_Age&gt;D54),1,0)</f>
        <v>0</v>
      </c>
      <c r="DT54" s="1" t="n">
        <f aca="false">RZ53</f>
        <v>0</v>
      </c>
      <c r="DU54" s="1" t="n">
        <f aca="false">DR54*MIN(Slot11_Cost,DT54)</f>
        <v>0</v>
      </c>
      <c r="DV54" s="1" t="n">
        <f aca="false">DR54*Slot11_SpendLike*MIN(Slot11_Cost-DU54,DN54)</f>
        <v>0</v>
      </c>
      <c r="DW54" s="1" t="n">
        <f aca="false">DU54+DV54</f>
        <v>0</v>
      </c>
      <c r="DX54" s="1" t="n">
        <f aca="false">DN54-DV54+DR54*IF(Slot11_SpendLike=1,DT54-DU54,IF(Slot11_PotFree=1,DT54,0))</f>
        <v>0</v>
      </c>
      <c r="DY54" s="1" t="n">
        <f aca="false">DO54+DR54*Slot11_BufPot*DT54</f>
        <v>0</v>
      </c>
      <c r="DZ54" s="1" t="n">
        <f aca="false">IF(AND(DR54=1,Slot11_IsMfree=1),IF(DW54&gt;=Slot11_Cost-1,0,MAX(0,DP54-DW54)),DP54)</f>
        <v>0</v>
      </c>
      <c r="EA54" s="1" t="n">
        <f aca="false">DR54*(Slot11_Cost-DW54)</f>
        <v>0</v>
      </c>
      <c r="EB54" s="1" t="n">
        <f aca="false">IF(AND(Slot12_On=1,D54=Slot12_Age),1,0)</f>
        <v>0</v>
      </c>
      <c r="EC54" s="1" t="n">
        <f aca="false">IF(AND(Slot12_On=1,Slot12_Age&gt;D54),1,0)</f>
        <v>0</v>
      </c>
      <c r="ED54" s="1" t="n">
        <f aca="false">SD53</f>
        <v>0</v>
      </c>
      <c r="EE54" s="1" t="n">
        <f aca="false">EB54*MIN(Slot12_Cost,ED54)</f>
        <v>0</v>
      </c>
      <c r="EF54" s="1" t="n">
        <f aca="false">EB54*Slot12_SpendLike*MIN(Slot12_Cost-EE54,DX54)</f>
        <v>0</v>
      </c>
      <c r="EG54" s="1" t="n">
        <f aca="false">EE54+EF54</f>
        <v>0</v>
      </c>
      <c r="EH54" s="1" t="n">
        <f aca="false">DX54-EF54+EB54*IF(Slot12_SpendLike=1,ED54-EE54,IF(Slot12_PotFree=1,ED54,0))</f>
        <v>0</v>
      </c>
      <c r="EI54" s="1" t="n">
        <f aca="false">DY54+EB54*Slot12_BufPot*ED54</f>
        <v>0</v>
      </c>
      <c r="EJ54" s="1" t="n">
        <f aca="false">IF(AND(EB54=1,Slot12_IsMfree=1),IF(EG54&gt;=Slot12_Cost-1,0,MAX(0,DZ54-EG54)),DZ54)</f>
        <v>0</v>
      </c>
      <c r="EK54" s="1" t="n">
        <f aca="false">EB54*(Slot12_Cost-EG54)</f>
        <v>0</v>
      </c>
      <c r="EL54" s="1" t="n">
        <f aca="false">IF(AND(Slot13_On=1,D54=Slot13_Age),1,0)</f>
        <v>0</v>
      </c>
      <c r="EM54" s="1" t="n">
        <f aca="false">IF(AND(Slot13_On=1,Slot13_Age&gt;D54),1,0)</f>
        <v>0</v>
      </c>
      <c r="EN54" s="1" t="n">
        <f aca="false">SH53</f>
        <v>0</v>
      </c>
      <c r="EO54" s="1" t="n">
        <f aca="false">EL54*MIN(Slot13_Cost,EN54)</f>
        <v>0</v>
      </c>
      <c r="EP54" s="1" t="n">
        <f aca="false">EL54*Slot13_SpendLike*MIN(Slot13_Cost-EO54,EH54)</f>
        <v>0</v>
      </c>
      <c r="EQ54" s="1" t="n">
        <f aca="false">EO54+EP54</f>
        <v>0</v>
      </c>
      <c r="ER54" s="1" t="n">
        <f aca="false">EH54-EP54+EL54*IF(Slot13_SpendLike=1,EN54-EO54,IF(Slot13_PotFree=1,EN54,0))</f>
        <v>0</v>
      </c>
      <c r="ES54" s="1" t="n">
        <f aca="false">EI54+EL54*Slot13_BufPot*EN54</f>
        <v>0</v>
      </c>
      <c r="ET54" s="1" t="n">
        <f aca="false">IF(AND(EL54=1,Slot13_IsMfree=1),IF(EQ54&gt;=Slot13_Cost-1,0,MAX(0,EJ54-EQ54)),EJ54)</f>
        <v>0</v>
      </c>
      <c r="EU54" s="1" t="n">
        <f aca="false">EL54*(Slot13_Cost-EQ54)</f>
        <v>0</v>
      </c>
      <c r="EV54" s="1" t="n">
        <f aca="false">IF(AND(Slot14_On=1,D54=Slot14_Age),1,0)</f>
        <v>0</v>
      </c>
      <c r="EW54" s="1" t="n">
        <f aca="false">IF(AND(Slot14_On=1,Slot14_Age&gt;D54),1,0)</f>
        <v>0</v>
      </c>
      <c r="EX54" s="1" t="n">
        <f aca="false">SL53</f>
        <v>0</v>
      </c>
      <c r="EY54" s="1" t="n">
        <f aca="false">EV54*MIN(Slot14_Cost,EX54)</f>
        <v>0</v>
      </c>
      <c r="EZ54" s="1" t="n">
        <f aca="false">EV54*Slot14_SpendLike*MIN(Slot14_Cost-EY54,ER54)</f>
        <v>0</v>
      </c>
      <c r="FA54" s="1" t="n">
        <f aca="false">EY54+EZ54</f>
        <v>0</v>
      </c>
      <c r="FB54" s="1" t="n">
        <f aca="false">ER54-EZ54+EV54*IF(Slot14_SpendLike=1,EX54-EY54,IF(Slot14_PotFree=1,EX54,0))</f>
        <v>0</v>
      </c>
      <c r="FC54" s="1" t="n">
        <f aca="false">ES54+EV54*Slot14_BufPot*EX54</f>
        <v>0</v>
      </c>
      <c r="FD54" s="1" t="n">
        <f aca="false">IF(AND(EV54=1,Slot14_IsMfree=1),IF(FA54&gt;=Slot14_Cost-1,0,MAX(0,ET54-FA54)),ET54)</f>
        <v>0</v>
      </c>
      <c r="FE54" s="1" t="n">
        <f aca="false">EV54*(Slot14_Cost-FA54)</f>
        <v>0</v>
      </c>
      <c r="FF54" s="1" t="n">
        <f aca="false">IF(AND(Slot15_On=1,D54=Slot15_Age),1,0)</f>
        <v>0</v>
      </c>
      <c r="FG54" s="1" t="n">
        <f aca="false">IF(AND(Slot15_On=1,Slot15_Age&gt;D54),1,0)</f>
        <v>0</v>
      </c>
      <c r="FH54" s="1" t="n">
        <f aca="false">SP53</f>
        <v>0</v>
      </c>
      <c r="FI54" s="1" t="n">
        <f aca="false">FF54*MIN(Slot15_Cost,FH54)</f>
        <v>0</v>
      </c>
      <c r="FJ54" s="1" t="n">
        <f aca="false">FF54*Slot15_SpendLike*MIN(Slot15_Cost-FI54,FB54)</f>
        <v>0</v>
      </c>
      <c r="FK54" s="1" t="n">
        <f aca="false">FI54+FJ54</f>
        <v>0</v>
      </c>
      <c r="FL54" s="1" t="n">
        <f aca="false">FB54-FJ54+FF54*IF(Slot15_SpendLike=1,FH54-FI54,IF(Slot15_PotFree=1,FH54,0))</f>
        <v>0</v>
      </c>
      <c r="FM54" s="1" t="n">
        <f aca="false">FC54+FF54*Slot15_BufPot*FH54</f>
        <v>0</v>
      </c>
      <c r="FN54" s="1" t="n">
        <f aca="false">IF(AND(FF54=1,Slot15_IsMfree=1),IF(FK54&gt;=Slot15_Cost-1,0,MAX(0,FD54-FK54)),FD54)</f>
        <v>0</v>
      </c>
      <c r="FO54" s="1" t="n">
        <f aca="false">FF54*(Slot15_Cost-FK54)</f>
        <v>0</v>
      </c>
      <c r="FP54" s="1" t="n">
        <f aca="false">IF(AND(Slot16_On=1,D54=Slot16_Age),1,0)</f>
        <v>0</v>
      </c>
      <c r="FQ54" s="1" t="n">
        <f aca="false">IF(AND(Slot16_On=1,Slot16_Age&gt;D54),1,0)</f>
        <v>0</v>
      </c>
      <c r="FR54" s="1" t="n">
        <f aca="false">ST53</f>
        <v>0</v>
      </c>
      <c r="FS54" s="1" t="n">
        <f aca="false">FP54*MIN(Slot16_Cost,FR54)</f>
        <v>0</v>
      </c>
      <c r="FT54" s="1" t="n">
        <f aca="false">FP54*Slot16_SpendLike*MIN(Slot16_Cost-FS54,FL54)</f>
        <v>0</v>
      </c>
      <c r="FU54" s="1" t="n">
        <f aca="false">FS54+FT54</f>
        <v>0</v>
      </c>
      <c r="FV54" s="1" t="n">
        <f aca="false">FL54-FT54+FP54*IF(Slot16_SpendLike=1,FR54-FS54,IF(Slot16_PotFree=1,FR54,0))</f>
        <v>0</v>
      </c>
      <c r="FW54" s="1" t="n">
        <f aca="false">FM54+FP54*Slot16_BufPot*FR54</f>
        <v>0</v>
      </c>
      <c r="FX54" s="1" t="n">
        <f aca="false">IF(AND(FP54=1,Slot16_IsMfree=1),IF(FU54&gt;=Slot16_Cost-1,0,MAX(0,FN54-FU54)),FN54)</f>
        <v>0</v>
      </c>
      <c r="FY54" s="1" t="n">
        <f aca="false">FP54*(Slot16_Cost-FU54)</f>
        <v>0</v>
      </c>
      <c r="FZ54" s="1" t="n">
        <f aca="false">IF(AND(Slot17_On=1,D54=Slot17_Age),1,0)</f>
        <v>0</v>
      </c>
      <c r="GA54" s="1" t="n">
        <f aca="false">IF(AND(Slot17_On=1,Slot17_Age&gt;D54),1,0)</f>
        <v>0</v>
      </c>
      <c r="GB54" s="1" t="n">
        <f aca="false">SX53</f>
        <v>0</v>
      </c>
      <c r="GC54" s="1" t="n">
        <f aca="false">FZ54*MIN(Slot17_Cost,GB54)</f>
        <v>0</v>
      </c>
      <c r="GD54" s="1" t="n">
        <f aca="false">FZ54*Slot17_SpendLike*MIN(Slot17_Cost-GC54,FV54)</f>
        <v>0</v>
      </c>
      <c r="GE54" s="1" t="n">
        <f aca="false">GC54+GD54</f>
        <v>0</v>
      </c>
      <c r="GF54" s="1" t="n">
        <f aca="false">FV54-GD54+FZ54*IF(Slot17_SpendLike=1,GB54-GC54,IF(Slot17_PotFree=1,GB54,0))</f>
        <v>0</v>
      </c>
      <c r="GG54" s="1" t="n">
        <f aca="false">FW54+FZ54*Slot17_BufPot*GB54</f>
        <v>0</v>
      </c>
      <c r="GH54" s="1" t="n">
        <f aca="false">IF(AND(FZ54=1,Slot17_IsMfree=1),IF(GE54&gt;=Slot17_Cost-1,0,MAX(0,FX54-GE54)),FX54)</f>
        <v>0</v>
      </c>
      <c r="GI54" s="1" t="n">
        <f aca="false">FZ54*(Slot17_Cost-GE54)</f>
        <v>0</v>
      </c>
      <c r="GJ54" s="1" t="n">
        <f aca="false">IF(AND(Slot18_On=1,D54=Slot18_Age),1,0)</f>
        <v>0</v>
      </c>
      <c r="GK54" s="1" t="n">
        <f aca="false">IF(AND(Slot18_On=1,Slot18_Age&gt;D54),1,0)</f>
        <v>0</v>
      </c>
      <c r="GL54" s="1" t="n">
        <f aca="false">TB53</f>
        <v>0</v>
      </c>
      <c r="GM54" s="1" t="n">
        <f aca="false">GJ54*MIN(Slot18_Cost,GL54)</f>
        <v>0</v>
      </c>
      <c r="GN54" s="1" t="n">
        <f aca="false">GJ54*Slot18_SpendLike*MIN(Slot18_Cost-GM54,GF54)</f>
        <v>0</v>
      </c>
      <c r="GO54" s="1" t="n">
        <f aca="false">GM54+GN54</f>
        <v>0</v>
      </c>
      <c r="GP54" s="1" t="n">
        <f aca="false">GF54-GN54+GJ54*IF(Slot18_SpendLike=1,GL54-GM54,IF(Slot18_PotFree=1,GL54,0))</f>
        <v>0</v>
      </c>
      <c r="GQ54" s="1" t="n">
        <f aca="false">GG54+GJ54*Slot18_BufPot*GL54</f>
        <v>0</v>
      </c>
      <c r="GR54" s="1" t="n">
        <f aca="false">IF(AND(GJ54=1,Slot18_IsMfree=1),IF(GO54&gt;=Slot18_Cost-1,0,MAX(0,GH54-GO54)),GH54)</f>
        <v>0</v>
      </c>
      <c r="GS54" s="1" t="n">
        <f aca="false">GJ54*(Slot18_Cost-GO54)</f>
        <v>0</v>
      </c>
      <c r="GT54" s="1" t="n">
        <f aca="false">IF(AND(Slot19_On=1,D54=Slot19_Age),1,0)</f>
        <v>0</v>
      </c>
      <c r="GU54" s="1" t="n">
        <f aca="false">IF(AND(Slot19_On=1,Slot19_Age&gt;D54),1,0)</f>
        <v>0</v>
      </c>
      <c r="GV54" s="1" t="n">
        <f aca="false">TF53</f>
        <v>0</v>
      </c>
      <c r="GW54" s="1" t="n">
        <f aca="false">GT54*MIN(Slot19_Cost,GV54)</f>
        <v>0</v>
      </c>
      <c r="GX54" s="1" t="n">
        <f aca="false">GT54*Slot19_SpendLike*MIN(Slot19_Cost-GW54,GP54)</f>
        <v>0</v>
      </c>
      <c r="GY54" s="1" t="n">
        <f aca="false">GW54+GX54</f>
        <v>0</v>
      </c>
      <c r="GZ54" s="1" t="n">
        <f aca="false">GP54-GX54+GT54*IF(Slot19_SpendLike=1,GV54-GW54,IF(Slot19_PotFree=1,GV54,0))</f>
        <v>0</v>
      </c>
      <c r="HA54" s="1" t="n">
        <f aca="false">GQ54+GT54*Slot19_BufPot*GV54</f>
        <v>0</v>
      </c>
      <c r="HB54" s="1" t="n">
        <f aca="false">IF(AND(GT54=1,Slot19_IsMfree=1),IF(GY54&gt;=Slot19_Cost-1,0,MAX(0,GR54-GY54)),GR54)</f>
        <v>0</v>
      </c>
      <c r="HC54" s="1" t="n">
        <f aca="false">GT54*(Slot19_Cost-GY54)</f>
        <v>0</v>
      </c>
      <c r="HD54" s="1" t="n">
        <f aca="false">IF(AND(Slot20_On=1,D54=Slot20_Age),1,0)</f>
        <v>0</v>
      </c>
      <c r="HE54" s="1" t="n">
        <f aca="false">IF(AND(Slot20_On=1,Slot20_Age&gt;D54),1,0)</f>
        <v>0</v>
      </c>
      <c r="HF54" s="1" t="n">
        <f aca="false">TJ53</f>
        <v>0</v>
      </c>
      <c r="HG54" s="1" t="n">
        <f aca="false">HD54*MIN(Slot20_Cost,HF54)</f>
        <v>0</v>
      </c>
      <c r="HH54" s="1" t="n">
        <f aca="false">HD54*Slot20_SpendLike*MIN(Slot20_Cost-HG54,GZ54)</f>
        <v>0</v>
      </c>
      <c r="HI54" s="1" t="n">
        <f aca="false">HG54+HH54</f>
        <v>0</v>
      </c>
      <c r="HJ54" s="1" t="n">
        <f aca="false">GZ54-HH54+HD54*IF(Slot20_SpendLike=1,HF54-HG54,IF(Slot20_PotFree=1,HF54,0))</f>
        <v>0</v>
      </c>
      <c r="HK54" s="1" t="n">
        <f aca="false">HA54+HD54*Slot20_BufPot*HF54</f>
        <v>0</v>
      </c>
      <c r="HL54" s="1" t="n">
        <f aca="false">IF(AND(HD54=1,Slot20_IsMfree=1),IF(HI54&gt;=Slot20_Cost-1,0,MAX(0,HB54-HI54)),HB54)</f>
        <v>0</v>
      </c>
      <c r="HM54" s="1" t="n">
        <f aca="false">HD54*(Slot20_Cost-HI54)</f>
        <v>0</v>
      </c>
      <c r="HN54" s="1" t="n">
        <f aca="false">U54*Slot1_SpendLike*Z54+AF54*Slot2_SpendLike*AK54+AP54*Slot3_SpendLike*AU54+AZ54*Slot4_SpendLike*BE54+BJ54*Slot5_SpendLike*BO54+BT54*Slot6_SpendLike*BY54+CD54*Slot7_SpendLike*CI54+CN54*Slot8_SpendLike*CS54+CX54*Slot9_SpendLike*DC54+DH54*Slot10_SpendLike*DM54+DR54*Slot11_SpendLike*DW54+EB54*Slot12_SpendLike*EG54+EL54*Slot13_SpendLike*EQ54+EV54*Slot14_SpendLike*FA54+FF54*Slot15_SpendLike*FK54+FP54*Slot16_SpendLike*FU54+FZ54*Slot17_SpendLike*GE54+GJ54*Slot18_SpendLike*GO54+GT54*Slot19_SpendLike*GY54+HD54*Slot20_SpendLike*HI54</f>
        <v>0</v>
      </c>
      <c r="HO54" s="1" t="n">
        <f aca="false">AD54+AO54+AY54+BI54+BS54+CC54+CM54+CW54+DG54+DQ54+EA54+EK54+EU54+FE54+FO54+FY54+GI54+GS54+HC54+HM54</f>
        <v>0</v>
      </c>
      <c r="HP54" s="1" t="n">
        <f aca="false">U54*Slot1_Cost+AF54*Slot2_Cost+AP54*Slot3_Cost+AZ54*Slot4_Cost+BJ54*Slot5_Cost+BT54*Slot6_Cost+CD54*Slot7_Cost+CN54*Slot8_Cost+CX54*Slot9_Cost+DH54*Slot10_Cost+DR54*Slot11_Cost+EB54*Slot12_Cost+EL54*Slot13_Cost+EV54*Slot14_Cost+FF54*Slot15_Cost+FP54*Slot16_Cost+FZ54*Slot17_Cost+GJ54*Slot18_Cost+GT54*Slot19_Cost+HD54*Slot20_Cost</f>
        <v>0</v>
      </c>
      <c r="HQ54" s="1" t="n">
        <f aca="false">HL54</f>
        <v>0</v>
      </c>
      <c r="HR54" s="1" t="n">
        <f aca="false">G54-H54-R54</f>
        <v>0</v>
      </c>
      <c r="HS54" s="1" t="n">
        <f aca="false">IF(B54=0,IF(AND(Has_q6=1,In_q6=4),PR_ShareVaries*(MAX(0,HR54)/12),MIN(IF(Has_q6=1,CHOOSE(In_q6+1,PR_SaveB1,PR_SaveB2,PR_SaveB3,PR_SaveB4,0),AS_NoAnswer),AS_SaveShare*(MAX(0,HR54)/12))),HS53)</f>
        <v>0</v>
      </c>
      <c r="HT54" s="1" t="n">
        <f aca="false">IF(HR54&gt;=0,1,0)</f>
        <v>1</v>
      </c>
      <c r="HU54" s="1" t="n">
        <f aca="false">MAX(0,HR54/12/E54)</f>
        <v>0</v>
      </c>
      <c r="HV54" s="1" t="n">
        <f aca="false">IF(AND(Has_q6=1,In_q6=4),PR_ShareVaries*(HU54),MIN(IF(Has_q6=1,CHOOSE(In_q6+1,PR_SaveB1,PR_SaveB2,PR_SaveB3,PR_SaveB4,0),AS_NoAnswer),AS_SaveShare*(HU54)))</f>
        <v>0</v>
      </c>
      <c r="HW54" s="1" t="n">
        <f aca="false">IF(Has_saveM=1,IF(In_saveUp="Yes",1,IF(In_saveUp="No",0,IF(In_saveM&gt;=HS54-0.5,1,0))),0)</f>
        <v>0</v>
      </c>
      <c r="HX54" s="1" t="n">
        <f aca="false">IF(Has_saveM=1,MIN(HU54,IF(HW54=1,MAX(In_saveM,HV54),MIN(In_saveM,HV54))),HV54)</f>
        <v>0</v>
      </c>
      <c r="HY54" s="1" t="n">
        <f aca="false">IF(F54=1,HX54*12*E54,0)</f>
        <v>0</v>
      </c>
      <c r="HZ54" s="1" t="n">
        <f aca="false">MAX(0,HY54+IF(AND(WI_Retire=0,WI_M&lt;0,F54=1),WI_M*12*E54,0))</f>
        <v>0</v>
      </c>
      <c r="IA54" s="1" t="n">
        <f aca="false">Slot1_IsWG*V54+Slot2_IsWG*AG54+Slot3_IsWG*AQ54+Slot4_IsWG*BA54+Slot5_IsWG*BK54+Slot6_IsWG*BU54+Slot7_IsWG*CE54+Slot8_IsWG*CO54+Slot9_IsWG*CY54+Slot10_IsWG*DI54+Slot11_IsWG*DS54+Slot12_IsWG*EC54+Slot13_IsWG*EM54+Slot14_IsWG*EW54+Slot15_IsWG*FG54+Slot16_IsWG*FQ54+Slot17_IsWG*GA54+Slot18_IsWG*GK54+Slot19_IsWG*GU54+Slot20_IsWG*HE54</f>
        <v>0</v>
      </c>
      <c r="IB54" s="1" t="n">
        <f aca="false">IF(AND(WI_Retire=0,WI_M&gt;0,F54=1,IA54&gt;=1),WI_M*12*E54,0)</f>
        <v>0</v>
      </c>
      <c r="IC54" s="1" t="n">
        <f aca="false">IF(HT54=1,MIN(HZ54,HR54),0)</f>
        <v>0</v>
      </c>
      <c r="ID54" s="1" t="n">
        <f aca="false">IF(HT54=1,MIN(IB54,HR54-IC54),0)</f>
        <v>0</v>
      </c>
      <c r="IE54" s="1" t="n">
        <f aca="false">IF(V54=1,IF(ABS((1+AS_Wage)/(1+Slot1_Rate)-1)&lt;0.000000000001,(Slot1_Age-D54)*(1+Slot1_Rate)^(Slot1_Age-D54),(1+Slot1_Rate)^(Slot1_Age-D54)*(1-((1+AS_Wage)/(1+Slot1_Rate))^(Slot1_Age-D54))/(1-(1+AS_Wage)/(1+Slot1_Rate))),1)</f>
        <v>1</v>
      </c>
      <c r="IF54" s="1" t="n">
        <f aca="false">IF(AND(HT54=1,ID54&gt;0,Slot1_IsWG=1,V54=1),MAX(0,(Slot1_Cost-W54*(1+Slot1_Rate)^(Slot1_Age-D54))/IE54),0)</f>
        <v>0</v>
      </c>
      <c r="IG54" s="1" t="n">
        <f aca="false">IF(AND(HT54=1,ID54&gt;0,Slot1_IsWG=1,V54=1),MIN(ID54,IF54),0)</f>
        <v>0</v>
      </c>
      <c r="IH54" s="1" t="n">
        <f aca="false">W54+IG54</f>
        <v>0</v>
      </c>
      <c r="II54" s="1" t="n">
        <f aca="false">IF(V54=1,MAX(0,(Slot1_Cost-IH54*(1+Slot1_Rate)^(Slot1_Age-D54))/IE54),0)</f>
        <v>0</v>
      </c>
      <c r="IJ54" s="1" t="n">
        <f aca="false">IF(V54=1,MAX(0,(Slot1_Cost-W54*(1+Slot1_Rate)^(Slot1_Age-D54))/IE54),0)</f>
        <v>0</v>
      </c>
      <c r="IK54" s="1" t="n">
        <f aca="false">IF(AND(HT54=1,V54=1),MIN(IC54,II54),0)</f>
        <v>0</v>
      </c>
      <c r="IL54" s="1" t="n">
        <f aca="false">IC54-IK54</f>
        <v>0</v>
      </c>
      <c r="IM54" s="1" t="n">
        <f aca="false">IF(AG54=1,IF(ABS((1+AS_Wage)/(1+Slot2_Rate)-1)&lt;0.000000000001,(Slot2_Age-D54)*(1+Slot2_Rate)^(Slot2_Age-D54),(1+Slot2_Rate)^(Slot2_Age-D54)*(1-((1+AS_Wage)/(1+Slot2_Rate))^(Slot2_Age-D54))/(1-(1+AS_Wage)/(1+Slot2_Rate))),1)</f>
        <v>1</v>
      </c>
      <c r="IN54" s="1" t="n">
        <f aca="false">IF(AND(HT54=1,ID54&gt;0,Slot2_IsWG=1,AG54=1),MAX(0,(Slot2_Cost-AH54*(1+Slot2_Rate)^(Slot2_Age-D54))/IM54),0)</f>
        <v>0</v>
      </c>
      <c r="IO54" s="1" t="n">
        <f aca="false">IF(AND(HT54=1,ID54&gt;0,Slot2_IsWG=1,AG54=1),MIN(ID54,IN54),0)</f>
        <v>0</v>
      </c>
      <c r="IP54" s="1" t="n">
        <f aca="false">AH54+IO54</f>
        <v>0</v>
      </c>
      <c r="IQ54" s="1" t="n">
        <f aca="false">IF(AG54=1,MAX(0,(Slot2_Cost-IP54*(1+Slot2_Rate)^(Slot2_Age-D54))/IM54),0)</f>
        <v>0</v>
      </c>
      <c r="IR54" s="1" t="n">
        <f aca="false">IF(AG54=1,MAX(0,(Slot2_Cost-AH54*(1+Slot2_Rate)^(Slot2_Age-D54))/IM54),0)</f>
        <v>0</v>
      </c>
      <c r="IS54" s="1" t="n">
        <f aca="false">IF(AND(HT54=1,AG54=1),MIN(IL54,IQ54),0)</f>
        <v>0</v>
      </c>
      <c r="IT54" s="1" t="n">
        <f aca="false">IL54-IS54</f>
        <v>0</v>
      </c>
      <c r="IU54" s="1" t="n">
        <f aca="false">IF(AQ54=1,IF(ABS((1+AS_Wage)/(1+Slot3_Rate)-1)&lt;0.000000000001,(Slot3_Age-D54)*(1+Slot3_Rate)^(Slot3_Age-D54),(1+Slot3_Rate)^(Slot3_Age-D54)*(1-((1+AS_Wage)/(1+Slot3_Rate))^(Slot3_Age-D54))/(1-(1+AS_Wage)/(1+Slot3_Rate))),1)</f>
        <v>1</v>
      </c>
      <c r="IV54" s="1" t="n">
        <f aca="false">IF(AND(HT54=1,ID54&gt;0,Slot3_IsWG=1,AQ54=1),MAX(0,(Slot3_Cost-AR54*(1+Slot3_Rate)^(Slot3_Age-D54))/IU54),0)</f>
        <v>0</v>
      </c>
      <c r="IW54" s="1" t="n">
        <f aca="false">IF(AND(HT54=1,ID54&gt;0,Slot3_IsWG=1,AQ54=1),MIN(ID54,IV54),0)</f>
        <v>0</v>
      </c>
      <c r="IX54" s="1" t="n">
        <f aca="false">AR54+IW54</f>
        <v>0</v>
      </c>
      <c r="IY54" s="1" t="n">
        <f aca="false">IF(AQ54=1,MAX(0,(Slot3_Cost-IX54*(1+Slot3_Rate)^(Slot3_Age-D54))/IU54),0)</f>
        <v>0</v>
      </c>
      <c r="IZ54" s="1" t="n">
        <f aca="false">IF(AQ54=1,MAX(0,(Slot3_Cost-AR54*(1+Slot3_Rate)^(Slot3_Age-D54))/IU54),0)</f>
        <v>0</v>
      </c>
      <c r="JA54" s="1" t="n">
        <f aca="false">IF(AND(HT54=1,AQ54=1),MIN(IT54,IY54),0)</f>
        <v>0</v>
      </c>
      <c r="JB54" s="1" t="n">
        <f aca="false">IT54-JA54</f>
        <v>0</v>
      </c>
      <c r="JC54" s="1" t="n">
        <f aca="false">IF(BA54=1,IF(ABS((1+AS_Wage)/(1+Slot4_Rate)-1)&lt;0.000000000001,(Slot4_Age-D54)*(1+Slot4_Rate)^(Slot4_Age-D54),(1+Slot4_Rate)^(Slot4_Age-D54)*(1-((1+AS_Wage)/(1+Slot4_Rate))^(Slot4_Age-D54))/(1-(1+AS_Wage)/(1+Slot4_Rate))),1)</f>
        <v>1</v>
      </c>
      <c r="JD54" s="1" t="n">
        <f aca="false">IF(AND(HT54=1,ID54&gt;0,Slot4_IsWG=1,BA54=1),MAX(0,(Slot4_Cost-BB54*(1+Slot4_Rate)^(Slot4_Age-D54))/JC54),0)</f>
        <v>0</v>
      </c>
      <c r="JE54" s="1" t="n">
        <f aca="false">IF(AND(HT54=1,ID54&gt;0,Slot4_IsWG=1,BA54=1),MIN(ID54,JD54),0)</f>
        <v>0</v>
      </c>
      <c r="JF54" s="1" t="n">
        <f aca="false">BB54+JE54</f>
        <v>0</v>
      </c>
      <c r="JG54" s="1" t="n">
        <f aca="false">IF(BA54=1,MAX(0,(Slot4_Cost-JF54*(1+Slot4_Rate)^(Slot4_Age-D54))/JC54),0)</f>
        <v>0</v>
      </c>
      <c r="JH54" s="1" t="n">
        <f aca="false">IF(BA54=1,MAX(0,(Slot4_Cost-BB54*(1+Slot4_Rate)^(Slot4_Age-D54))/JC54),0)</f>
        <v>0</v>
      </c>
      <c r="JI54" s="1" t="n">
        <f aca="false">IF(AND(HT54=1,BA54=1),MIN(JB54,JG54),0)</f>
        <v>0</v>
      </c>
      <c r="JJ54" s="1" t="n">
        <f aca="false">JB54-JI54</f>
        <v>0</v>
      </c>
      <c r="JK54" s="1" t="n">
        <f aca="false">IF(BK54=1,IF(ABS((1+AS_Wage)/(1+Slot5_Rate)-1)&lt;0.000000000001,(Slot5_Age-D54)*(1+Slot5_Rate)^(Slot5_Age-D54),(1+Slot5_Rate)^(Slot5_Age-D54)*(1-((1+AS_Wage)/(1+Slot5_Rate))^(Slot5_Age-D54))/(1-(1+AS_Wage)/(1+Slot5_Rate))),1)</f>
        <v>1</v>
      </c>
      <c r="JL54" s="1" t="n">
        <f aca="false">IF(AND(HT54=1,ID54&gt;0,Slot5_IsWG=1,BK54=1),MAX(0,(Slot5_Cost-BL54*(1+Slot5_Rate)^(Slot5_Age-D54))/JK54),0)</f>
        <v>0</v>
      </c>
      <c r="JM54" s="1" t="n">
        <f aca="false">IF(AND(HT54=1,ID54&gt;0,Slot5_IsWG=1,BK54=1),MIN(ID54,JL54),0)</f>
        <v>0</v>
      </c>
      <c r="JN54" s="1" t="n">
        <f aca="false">BL54+JM54</f>
        <v>0</v>
      </c>
      <c r="JO54" s="1" t="n">
        <f aca="false">IF(BK54=1,MAX(0,(Slot5_Cost-JN54*(1+Slot5_Rate)^(Slot5_Age-D54))/JK54),0)</f>
        <v>0</v>
      </c>
      <c r="JP54" s="1" t="n">
        <f aca="false">IF(BK54=1,MAX(0,(Slot5_Cost-BL54*(1+Slot5_Rate)^(Slot5_Age-D54))/JK54),0)</f>
        <v>0</v>
      </c>
      <c r="JQ54" s="1" t="n">
        <f aca="false">IF(AND(HT54=1,BK54=1),MIN(JJ54,JO54),0)</f>
        <v>0</v>
      </c>
      <c r="JR54" s="1" t="n">
        <f aca="false">JJ54-JQ54</f>
        <v>0</v>
      </c>
      <c r="JS54" s="1" t="n">
        <f aca="false">IF(BU54=1,IF(ABS((1+AS_Wage)/(1+Slot6_Rate)-1)&lt;0.000000000001,(Slot6_Age-D54)*(1+Slot6_Rate)^(Slot6_Age-D54),(1+Slot6_Rate)^(Slot6_Age-D54)*(1-((1+AS_Wage)/(1+Slot6_Rate))^(Slot6_Age-D54))/(1-(1+AS_Wage)/(1+Slot6_Rate))),1)</f>
        <v>1</v>
      </c>
      <c r="JT54" s="1" t="n">
        <f aca="false">IF(AND(HT54=1,ID54&gt;0,Slot6_IsWG=1,BU54=1),MAX(0,(Slot6_Cost-BV54*(1+Slot6_Rate)^(Slot6_Age-D54))/JS54),0)</f>
        <v>0</v>
      </c>
      <c r="JU54" s="1" t="n">
        <f aca="false">IF(AND(HT54=1,ID54&gt;0,Slot6_IsWG=1,BU54=1),MIN(ID54,JT54),0)</f>
        <v>0</v>
      </c>
      <c r="JV54" s="1" t="n">
        <f aca="false">BV54+JU54</f>
        <v>0</v>
      </c>
      <c r="JW54" s="1" t="n">
        <f aca="false">IF(BU54=1,MAX(0,(Slot6_Cost-JV54*(1+Slot6_Rate)^(Slot6_Age-D54))/JS54),0)</f>
        <v>0</v>
      </c>
      <c r="JX54" s="1" t="n">
        <f aca="false">IF(BU54=1,MAX(0,(Slot6_Cost-BV54*(1+Slot6_Rate)^(Slot6_Age-D54))/JS54),0)</f>
        <v>0</v>
      </c>
      <c r="JY54" s="1" t="n">
        <f aca="false">IF(AND(HT54=1,BU54=1),MIN(JR54,JW54),0)</f>
        <v>0</v>
      </c>
      <c r="JZ54" s="1" t="n">
        <f aca="false">JR54-JY54</f>
        <v>0</v>
      </c>
      <c r="KA54" s="1" t="n">
        <f aca="false">IF(CE54=1,IF(ABS((1+AS_Wage)/(1+Slot7_Rate)-1)&lt;0.000000000001,(Slot7_Age-D54)*(1+Slot7_Rate)^(Slot7_Age-D54),(1+Slot7_Rate)^(Slot7_Age-D54)*(1-((1+AS_Wage)/(1+Slot7_Rate))^(Slot7_Age-D54))/(1-(1+AS_Wage)/(1+Slot7_Rate))),1)</f>
        <v>1</v>
      </c>
      <c r="KB54" s="1" t="n">
        <f aca="false">IF(AND(HT54=1,ID54&gt;0,Slot7_IsWG=1,CE54=1),MAX(0,(Slot7_Cost-CF54*(1+Slot7_Rate)^(Slot7_Age-D54))/KA54),0)</f>
        <v>0</v>
      </c>
      <c r="KC54" s="1" t="n">
        <f aca="false">IF(AND(HT54=1,ID54&gt;0,Slot7_IsWG=1,CE54=1),MIN(ID54,KB54),0)</f>
        <v>0</v>
      </c>
      <c r="KD54" s="1" t="n">
        <f aca="false">CF54+KC54</f>
        <v>0</v>
      </c>
      <c r="KE54" s="1" t="n">
        <f aca="false">IF(CE54=1,MAX(0,(Slot7_Cost-KD54*(1+Slot7_Rate)^(Slot7_Age-D54))/KA54),0)</f>
        <v>0</v>
      </c>
      <c r="KF54" s="1" t="n">
        <f aca="false">IF(CE54=1,MAX(0,(Slot7_Cost-CF54*(1+Slot7_Rate)^(Slot7_Age-D54))/KA54),0)</f>
        <v>0</v>
      </c>
      <c r="KG54" s="1" t="n">
        <f aca="false">IF(AND(HT54=1,CE54=1),MIN(JZ54,KE54),0)</f>
        <v>0</v>
      </c>
      <c r="KH54" s="1" t="n">
        <f aca="false">JZ54-KG54</f>
        <v>0</v>
      </c>
      <c r="KI54" s="1" t="n">
        <f aca="false">IF(CO54=1,IF(ABS((1+AS_Wage)/(1+Slot8_Rate)-1)&lt;0.000000000001,(Slot8_Age-D54)*(1+Slot8_Rate)^(Slot8_Age-D54),(1+Slot8_Rate)^(Slot8_Age-D54)*(1-((1+AS_Wage)/(1+Slot8_Rate))^(Slot8_Age-D54))/(1-(1+AS_Wage)/(1+Slot8_Rate))),1)</f>
        <v>1</v>
      </c>
      <c r="KJ54" s="1" t="n">
        <f aca="false">IF(AND(HT54=1,ID54&gt;0,Slot8_IsWG=1,CO54=1),MAX(0,(Slot8_Cost-CP54*(1+Slot8_Rate)^(Slot8_Age-D54))/KI54),0)</f>
        <v>0</v>
      </c>
      <c r="KK54" s="1" t="n">
        <f aca="false">IF(AND(HT54=1,ID54&gt;0,Slot8_IsWG=1,CO54=1),MIN(ID54,KJ54),0)</f>
        <v>0</v>
      </c>
      <c r="KL54" s="1" t="n">
        <f aca="false">CP54+KK54</f>
        <v>0</v>
      </c>
      <c r="KM54" s="1" t="n">
        <f aca="false">IF(CO54=1,MAX(0,(Slot8_Cost-KL54*(1+Slot8_Rate)^(Slot8_Age-D54))/KI54),0)</f>
        <v>0</v>
      </c>
      <c r="KN54" s="1" t="n">
        <f aca="false">IF(CO54=1,MAX(0,(Slot8_Cost-CP54*(1+Slot8_Rate)^(Slot8_Age-D54))/KI54),0)</f>
        <v>0</v>
      </c>
      <c r="KO54" s="1" t="n">
        <f aca="false">IF(AND(HT54=1,CO54=1),MIN(KH54,KM54),0)</f>
        <v>0</v>
      </c>
      <c r="KP54" s="1" t="n">
        <f aca="false">KH54-KO54</f>
        <v>0</v>
      </c>
      <c r="KQ54" s="1" t="n">
        <f aca="false">IF(CY54=1,IF(ABS((1+AS_Wage)/(1+Slot9_Rate)-1)&lt;0.000000000001,(Slot9_Age-D54)*(1+Slot9_Rate)^(Slot9_Age-D54),(1+Slot9_Rate)^(Slot9_Age-D54)*(1-((1+AS_Wage)/(1+Slot9_Rate))^(Slot9_Age-D54))/(1-(1+AS_Wage)/(1+Slot9_Rate))),1)</f>
        <v>1</v>
      </c>
      <c r="KR54" s="1" t="n">
        <f aca="false">IF(AND(HT54=1,ID54&gt;0,Slot9_IsWG=1,CY54=1),MAX(0,(Slot9_Cost-CZ54*(1+Slot9_Rate)^(Slot9_Age-D54))/KQ54),0)</f>
        <v>0</v>
      </c>
      <c r="KS54" s="1" t="n">
        <f aca="false">IF(AND(HT54=1,ID54&gt;0,Slot9_IsWG=1,CY54=1),MIN(ID54,KR54),0)</f>
        <v>0</v>
      </c>
      <c r="KT54" s="1" t="n">
        <f aca="false">CZ54+KS54</f>
        <v>0</v>
      </c>
      <c r="KU54" s="1" t="n">
        <f aca="false">IF(CY54=1,MAX(0,(Slot9_Cost-KT54*(1+Slot9_Rate)^(Slot9_Age-D54))/KQ54),0)</f>
        <v>0</v>
      </c>
      <c r="KV54" s="1" t="n">
        <f aca="false">IF(CY54=1,MAX(0,(Slot9_Cost-CZ54*(1+Slot9_Rate)^(Slot9_Age-D54))/KQ54),0)</f>
        <v>0</v>
      </c>
      <c r="KW54" s="1" t="n">
        <f aca="false">IF(AND(HT54=1,CY54=1),MIN(KP54,KU54),0)</f>
        <v>0</v>
      </c>
      <c r="KX54" s="1" t="n">
        <f aca="false">KP54-KW54</f>
        <v>0</v>
      </c>
      <c r="KY54" s="1" t="n">
        <f aca="false">IF(DI54=1,IF(ABS((1+AS_Wage)/(1+Slot10_Rate)-1)&lt;0.000000000001,(Slot10_Age-D54)*(1+Slot10_Rate)^(Slot10_Age-D54),(1+Slot10_Rate)^(Slot10_Age-D54)*(1-((1+AS_Wage)/(1+Slot10_Rate))^(Slot10_Age-D54))/(1-(1+AS_Wage)/(1+Slot10_Rate))),1)</f>
        <v>1</v>
      </c>
      <c r="KZ54" s="1" t="n">
        <f aca="false">IF(AND(HT54=1,ID54&gt;0,Slot10_IsWG=1,DI54=1),MAX(0,(Slot10_Cost-DJ54*(1+Slot10_Rate)^(Slot10_Age-D54))/KY54),0)</f>
        <v>0</v>
      </c>
      <c r="LA54" s="1" t="n">
        <f aca="false">IF(AND(HT54=1,ID54&gt;0,Slot10_IsWG=1,DI54=1),MIN(ID54,KZ54),0)</f>
        <v>0</v>
      </c>
      <c r="LB54" s="1" t="n">
        <f aca="false">DJ54+LA54</f>
        <v>0</v>
      </c>
      <c r="LC54" s="1" t="n">
        <f aca="false">IF(DI54=1,MAX(0,(Slot10_Cost-LB54*(1+Slot10_Rate)^(Slot10_Age-D54))/KY54),0)</f>
        <v>0</v>
      </c>
      <c r="LD54" s="1" t="n">
        <f aca="false">IF(DI54=1,MAX(0,(Slot10_Cost-DJ54*(1+Slot10_Rate)^(Slot10_Age-D54))/KY54),0)</f>
        <v>0</v>
      </c>
      <c r="LE54" s="1" t="n">
        <f aca="false">IF(AND(HT54=1,DI54=1),MIN(KX54,LC54),0)</f>
        <v>0</v>
      </c>
      <c r="LF54" s="1" t="n">
        <f aca="false">KX54-LE54</f>
        <v>0</v>
      </c>
      <c r="LG54" s="1" t="n">
        <f aca="false">IF(DS54=1,IF(ABS((1+AS_Wage)/(1+Slot11_Rate)-1)&lt;0.000000000001,(Slot11_Age-D54)*(1+Slot11_Rate)^(Slot11_Age-D54),(1+Slot11_Rate)^(Slot11_Age-D54)*(1-((1+AS_Wage)/(1+Slot11_Rate))^(Slot11_Age-D54))/(1-(1+AS_Wage)/(1+Slot11_Rate))),1)</f>
        <v>1</v>
      </c>
      <c r="LH54" s="1" t="n">
        <f aca="false">IF(AND(HT54=1,ID54&gt;0,Slot11_IsWG=1,DS54=1),MAX(0,(Slot11_Cost-DT54*(1+Slot11_Rate)^(Slot11_Age-D54))/LG54),0)</f>
        <v>0</v>
      </c>
      <c r="LI54" s="1" t="n">
        <f aca="false">IF(AND(HT54=1,ID54&gt;0,Slot11_IsWG=1,DS54=1),MIN(ID54,LH54),0)</f>
        <v>0</v>
      </c>
      <c r="LJ54" s="1" t="n">
        <f aca="false">DT54+LI54</f>
        <v>0</v>
      </c>
      <c r="LK54" s="1" t="n">
        <f aca="false">IF(DS54=1,MAX(0,(Slot11_Cost-LJ54*(1+Slot11_Rate)^(Slot11_Age-D54))/LG54),0)</f>
        <v>0</v>
      </c>
      <c r="LL54" s="1" t="n">
        <f aca="false">IF(DS54=1,MAX(0,(Slot11_Cost-DT54*(1+Slot11_Rate)^(Slot11_Age-D54))/LG54),0)</f>
        <v>0</v>
      </c>
      <c r="LM54" s="1" t="n">
        <f aca="false">IF(AND(HT54=1,DS54=1),MIN(LF54,LK54),0)</f>
        <v>0</v>
      </c>
      <c r="LN54" s="1" t="n">
        <f aca="false">LF54-LM54</f>
        <v>0</v>
      </c>
      <c r="LO54" s="1" t="n">
        <f aca="false">IF(EC54=1,IF(ABS((1+AS_Wage)/(1+Slot12_Rate)-1)&lt;0.000000000001,(Slot12_Age-D54)*(1+Slot12_Rate)^(Slot12_Age-D54),(1+Slot12_Rate)^(Slot12_Age-D54)*(1-((1+AS_Wage)/(1+Slot12_Rate))^(Slot12_Age-D54))/(1-(1+AS_Wage)/(1+Slot12_Rate))),1)</f>
        <v>1</v>
      </c>
      <c r="LP54" s="1" t="n">
        <f aca="false">IF(AND(HT54=1,ID54&gt;0,Slot12_IsWG=1,EC54=1),MAX(0,(Slot12_Cost-ED54*(1+Slot12_Rate)^(Slot12_Age-D54))/LO54),0)</f>
        <v>0</v>
      </c>
      <c r="LQ54" s="1" t="n">
        <f aca="false">IF(AND(HT54=1,ID54&gt;0,Slot12_IsWG=1,EC54=1),MIN(ID54,LP54),0)</f>
        <v>0</v>
      </c>
      <c r="LR54" s="1" t="n">
        <f aca="false">ED54+LQ54</f>
        <v>0</v>
      </c>
      <c r="LS54" s="1" t="n">
        <f aca="false">IF(EC54=1,MAX(0,(Slot12_Cost-LR54*(1+Slot12_Rate)^(Slot12_Age-D54))/LO54),0)</f>
        <v>0</v>
      </c>
      <c r="LT54" s="1" t="n">
        <f aca="false">IF(EC54=1,MAX(0,(Slot12_Cost-ED54*(1+Slot12_Rate)^(Slot12_Age-D54))/LO54),0)</f>
        <v>0</v>
      </c>
      <c r="LU54" s="1" t="n">
        <f aca="false">IF(AND(HT54=1,EC54=1),MIN(LN54,LS54),0)</f>
        <v>0</v>
      </c>
      <c r="LV54" s="1" t="n">
        <f aca="false">LN54-LU54</f>
        <v>0</v>
      </c>
      <c r="LW54" s="1" t="n">
        <f aca="false">IF(EM54=1,IF(ABS((1+AS_Wage)/(1+Slot13_Rate)-1)&lt;0.000000000001,(Slot13_Age-D54)*(1+Slot13_Rate)^(Slot13_Age-D54),(1+Slot13_Rate)^(Slot13_Age-D54)*(1-((1+AS_Wage)/(1+Slot13_Rate))^(Slot13_Age-D54))/(1-(1+AS_Wage)/(1+Slot13_Rate))),1)</f>
        <v>1</v>
      </c>
      <c r="LX54" s="1" t="n">
        <f aca="false">IF(AND(HT54=1,ID54&gt;0,Slot13_IsWG=1,EM54=1),MAX(0,(Slot13_Cost-EN54*(1+Slot13_Rate)^(Slot13_Age-D54))/LW54),0)</f>
        <v>0</v>
      </c>
      <c r="LY54" s="1" t="n">
        <f aca="false">IF(AND(HT54=1,ID54&gt;0,Slot13_IsWG=1,EM54=1),MIN(ID54,LX54),0)</f>
        <v>0</v>
      </c>
      <c r="LZ54" s="1" t="n">
        <f aca="false">EN54+LY54</f>
        <v>0</v>
      </c>
      <c r="MA54" s="1" t="n">
        <f aca="false">IF(EM54=1,MAX(0,(Slot13_Cost-LZ54*(1+Slot13_Rate)^(Slot13_Age-D54))/LW54),0)</f>
        <v>0</v>
      </c>
      <c r="MB54" s="1" t="n">
        <f aca="false">IF(EM54=1,MAX(0,(Slot13_Cost-EN54*(1+Slot13_Rate)^(Slot13_Age-D54))/LW54),0)</f>
        <v>0</v>
      </c>
      <c r="MC54" s="1" t="n">
        <f aca="false">IF(AND(HT54=1,EM54=1),MIN(LV54,MA54),0)</f>
        <v>0</v>
      </c>
      <c r="MD54" s="1" t="n">
        <f aca="false">LV54-MC54</f>
        <v>0</v>
      </c>
      <c r="ME54" s="1" t="n">
        <f aca="false">IF(EW54=1,IF(ABS((1+AS_Wage)/(1+Slot14_Rate)-1)&lt;0.000000000001,(Slot14_Age-D54)*(1+Slot14_Rate)^(Slot14_Age-D54),(1+Slot14_Rate)^(Slot14_Age-D54)*(1-((1+AS_Wage)/(1+Slot14_Rate))^(Slot14_Age-D54))/(1-(1+AS_Wage)/(1+Slot14_Rate))),1)</f>
        <v>1</v>
      </c>
      <c r="MF54" s="1" t="n">
        <f aca="false">IF(AND(HT54=1,ID54&gt;0,Slot14_IsWG=1,EW54=1),MAX(0,(Slot14_Cost-EX54*(1+Slot14_Rate)^(Slot14_Age-D54))/ME54),0)</f>
        <v>0</v>
      </c>
      <c r="MG54" s="1" t="n">
        <f aca="false">IF(AND(HT54=1,ID54&gt;0,Slot14_IsWG=1,EW54=1),MIN(ID54,MF54),0)</f>
        <v>0</v>
      </c>
      <c r="MH54" s="1" t="n">
        <f aca="false">EX54+MG54</f>
        <v>0</v>
      </c>
      <c r="MI54" s="1" t="n">
        <f aca="false">IF(EW54=1,MAX(0,(Slot14_Cost-MH54*(1+Slot14_Rate)^(Slot14_Age-D54))/ME54),0)</f>
        <v>0</v>
      </c>
      <c r="MJ54" s="1" t="n">
        <f aca="false">IF(EW54=1,MAX(0,(Slot14_Cost-EX54*(1+Slot14_Rate)^(Slot14_Age-D54))/ME54),0)</f>
        <v>0</v>
      </c>
      <c r="MK54" s="1" t="n">
        <f aca="false">IF(AND(HT54=1,EW54=1),MIN(MD54,MI54),0)</f>
        <v>0</v>
      </c>
      <c r="ML54" s="1" t="n">
        <f aca="false">MD54-MK54</f>
        <v>0</v>
      </c>
      <c r="MM54" s="1" t="n">
        <f aca="false">IF(FG54=1,IF(ABS((1+AS_Wage)/(1+Slot15_Rate)-1)&lt;0.000000000001,(Slot15_Age-D54)*(1+Slot15_Rate)^(Slot15_Age-D54),(1+Slot15_Rate)^(Slot15_Age-D54)*(1-((1+AS_Wage)/(1+Slot15_Rate))^(Slot15_Age-D54))/(1-(1+AS_Wage)/(1+Slot15_Rate))),1)</f>
        <v>1</v>
      </c>
      <c r="MN54" s="1" t="n">
        <f aca="false">IF(AND(HT54=1,ID54&gt;0,Slot15_IsWG=1,FG54=1),MAX(0,(Slot15_Cost-FH54*(1+Slot15_Rate)^(Slot15_Age-D54))/MM54),0)</f>
        <v>0</v>
      </c>
      <c r="MO54" s="1" t="n">
        <f aca="false">IF(AND(HT54=1,ID54&gt;0,Slot15_IsWG=1,FG54=1),MIN(ID54,MN54),0)</f>
        <v>0</v>
      </c>
      <c r="MP54" s="1" t="n">
        <f aca="false">FH54+MO54</f>
        <v>0</v>
      </c>
      <c r="MQ54" s="1" t="n">
        <f aca="false">IF(FG54=1,MAX(0,(Slot15_Cost-MP54*(1+Slot15_Rate)^(Slot15_Age-D54))/MM54),0)</f>
        <v>0</v>
      </c>
      <c r="MR54" s="1" t="n">
        <f aca="false">IF(FG54=1,MAX(0,(Slot15_Cost-FH54*(1+Slot15_Rate)^(Slot15_Age-D54))/MM54),0)</f>
        <v>0</v>
      </c>
      <c r="MS54" s="1" t="n">
        <f aca="false">IF(AND(HT54=1,FG54=1),MIN(ML54,MQ54),0)</f>
        <v>0</v>
      </c>
      <c r="MT54" s="1" t="n">
        <f aca="false">ML54-MS54</f>
        <v>0</v>
      </c>
      <c r="MU54" s="1" t="n">
        <f aca="false">IF(FQ54=1,IF(ABS((1+AS_Wage)/(1+Slot16_Rate)-1)&lt;0.000000000001,(Slot16_Age-D54)*(1+Slot16_Rate)^(Slot16_Age-D54),(1+Slot16_Rate)^(Slot16_Age-D54)*(1-((1+AS_Wage)/(1+Slot16_Rate))^(Slot16_Age-D54))/(1-(1+AS_Wage)/(1+Slot16_Rate))),1)</f>
        <v>1</v>
      </c>
      <c r="MV54" s="1" t="n">
        <f aca="false">IF(AND(HT54=1,ID54&gt;0,Slot16_IsWG=1,FQ54=1),MAX(0,(Slot16_Cost-FR54*(1+Slot16_Rate)^(Slot16_Age-D54))/MU54),0)</f>
        <v>0</v>
      </c>
      <c r="MW54" s="1" t="n">
        <f aca="false">IF(AND(HT54=1,ID54&gt;0,Slot16_IsWG=1,FQ54=1),MIN(ID54,MV54),0)</f>
        <v>0</v>
      </c>
      <c r="MX54" s="1" t="n">
        <f aca="false">FR54+MW54</f>
        <v>0</v>
      </c>
      <c r="MY54" s="1" t="n">
        <f aca="false">IF(FQ54=1,MAX(0,(Slot16_Cost-MX54*(1+Slot16_Rate)^(Slot16_Age-D54))/MU54),0)</f>
        <v>0</v>
      </c>
      <c r="MZ54" s="1" t="n">
        <f aca="false">IF(FQ54=1,MAX(0,(Slot16_Cost-FR54*(1+Slot16_Rate)^(Slot16_Age-D54))/MU54),0)</f>
        <v>0</v>
      </c>
      <c r="NA54" s="1" t="n">
        <f aca="false">IF(AND(HT54=1,FQ54=1),MIN(MT54,MY54),0)</f>
        <v>0</v>
      </c>
      <c r="NB54" s="1" t="n">
        <f aca="false">MT54-NA54</f>
        <v>0</v>
      </c>
      <c r="NC54" s="1" t="n">
        <f aca="false">IF(GA54=1,IF(ABS((1+AS_Wage)/(1+Slot17_Rate)-1)&lt;0.000000000001,(Slot17_Age-D54)*(1+Slot17_Rate)^(Slot17_Age-D54),(1+Slot17_Rate)^(Slot17_Age-D54)*(1-((1+AS_Wage)/(1+Slot17_Rate))^(Slot17_Age-D54))/(1-(1+AS_Wage)/(1+Slot17_Rate))),1)</f>
        <v>1</v>
      </c>
      <c r="ND54" s="1" t="n">
        <f aca="false">IF(AND(HT54=1,ID54&gt;0,Slot17_IsWG=1,GA54=1),MAX(0,(Slot17_Cost-GB54*(1+Slot17_Rate)^(Slot17_Age-D54))/NC54),0)</f>
        <v>0</v>
      </c>
      <c r="NE54" s="1" t="n">
        <f aca="false">IF(AND(HT54=1,ID54&gt;0,Slot17_IsWG=1,GA54=1),MIN(ID54,ND54),0)</f>
        <v>0</v>
      </c>
      <c r="NF54" s="1" t="n">
        <f aca="false">GB54+NE54</f>
        <v>0</v>
      </c>
      <c r="NG54" s="1" t="n">
        <f aca="false">IF(GA54=1,MAX(0,(Slot17_Cost-NF54*(1+Slot17_Rate)^(Slot17_Age-D54))/NC54),0)</f>
        <v>0</v>
      </c>
      <c r="NH54" s="1" t="n">
        <f aca="false">IF(GA54=1,MAX(0,(Slot17_Cost-GB54*(1+Slot17_Rate)^(Slot17_Age-D54))/NC54),0)</f>
        <v>0</v>
      </c>
      <c r="NI54" s="1" t="n">
        <f aca="false">IF(AND(HT54=1,GA54=1),MIN(NB54,NG54),0)</f>
        <v>0</v>
      </c>
      <c r="NJ54" s="1" t="n">
        <f aca="false">NB54-NI54</f>
        <v>0</v>
      </c>
      <c r="NK54" s="1" t="n">
        <f aca="false">IF(GK54=1,IF(ABS((1+AS_Wage)/(1+Slot18_Rate)-1)&lt;0.000000000001,(Slot18_Age-D54)*(1+Slot18_Rate)^(Slot18_Age-D54),(1+Slot18_Rate)^(Slot18_Age-D54)*(1-((1+AS_Wage)/(1+Slot18_Rate))^(Slot18_Age-D54))/(1-(1+AS_Wage)/(1+Slot18_Rate))),1)</f>
        <v>1</v>
      </c>
      <c r="NL54" s="1" t="n">
        <f aca="false">IF(AND(HT54=1,ID54&gt;0,Slot18_IsWG=1,GK54=1),MAX(0,(Slot18_Cost-GL54*(1+Slot18_Rate)^(Slot18_Age-D54))/NK54),0)</f>
        <v>0</v>
      </c>
      <c r="NM54" s="1" t="n">
        <f aca="false">IF(AND(HT54=1,ID54&gt;0,Slot18_IsWG=1,GK54=1),MIN(ID54,NL54),0)</f>
        <v>0</v>
      </c>
      <c r="NN54" s="1" t="n">
        <f aca="false">GL54+NM54</f>
        <v>0</v>
      </c>
      <c r="NO54" s="1" t="n">
        <f aca="false">IF(GK54=1,MAX(0,(Slot18_Cost-NN54*(1+Slot18_Rate)^(Slot18_Age-D54))/NK54),0)</f>
        <v>0</v>
      </c>
      <c r="NP54" s="1" t="n">
        <f aca="false">IF(GK54=1,MAX(0,(Slot18_Cost-GL54*(1+Slot18_Rate)^(Slot18_Age-D54))/NK54),0)</f>
        <v>0</v>
      </c>
      <c r="NQ54" s="1" t="n">
        <f aca="false">IF(AND(HT54=1,GK54=1),MIN(NJ54,NO54),0)</f>
        <v>0</v>
      </c>
      <c r="NR54" s="1" t="n">
        <f aca="false">NJ54-NQ54</f>
        <v>0</v>
      </c>
      <c r="NS54" s="1" t="n">
        <f aca="false">IF(GU54=1,IF(ABS((1+AS_Wage)/(1+Slot19_Rate)-1)&lt;0.000000000001,(Slot19_Age-D54)*(1+Slot19_Rate)^(Slot19_Age-D54),(1+Slot19_Rate)^(Slot19_Age-D54)*(1-((1+AS_Wage)/(1+Slot19_Rate))^(Slot19_Age-D54))/(1-(1+AS_Wage)/(1+Slot19_Rate))),1)</f>
        <v>1</v>
      </c>
      <c r="NT54" s="1" t="n">
        <f aca="false">IF(AND(HT54=1,ID54&gt;0,Slot19_IsWG=1,GU54=1),MAX(0,(Slot19_Cost-GV54*(1+Slot19_Rate)^(Slot19_Age-D54))/NS54),0)</f>
        <v>0</v>
      </c>
      <c r="NU54" s="1" t="n">
        <f aca="false">IF(AND(HT54=1,ID54&gt;0,Slot19_IsWG=1,GU54=1),MIN(ID54,NT54),0)</f>
        <v>0</v>
      </c>
      <c r="NV54" s="1" t="n">
        <f aca="false">GV54+NU54</f>
        <v>0</v>
      </c>
      <c r="NW54" s="1" t="n">
        <f aca="false">IF(GU54=1,MAX(0,(Slot19_Cost-NV54*(1+Slot19_Rate)^(Slot19_Age-D54))/NS54),0)</f>
        <v>0</v>
      </c>
      <c r="NX54" s="1" t="n">
        <f aca="false">IF(GU54=1,MAX(0,(Slot19_Cost-GV54*(1+Slot19_Rate)^(Slot19_Age-D54))/NS54),0)</f>
        <v>0</v>
      </c>
      <c r="NY54" s="1" t="n">
        <f aca="false">IF(AND(HT54=1,GU54=1),MIN(NR54,NW54),0)</f>
        <v>0</v>
      </c>
      <c r="NZ54" s="1" t="n">
        <f aca="false">NR54-NY54</f>
        <v>0</v>
      </c>
      <c r="OA54" s="1" t="n">
        <f aca="false">IF(HE54=1,IF(ABS((1+AS_Wage)/(1+Slot20_Rate)-1)&lt;0.000000000001,(Slot20_Age-D54)*(1+Slot20_Rate)^(Slot20_Age-D54),(1+Slot20_Rate)^(Slot20_Age-D54)*(1-((1+AS_Wage)/(1+Slot20_Rate))^(Slot20_Age-D54))/(1-(1+AS_Wage)/(1+Slot20_Rate))),1)</f>
        <v>1</v>
      </c>
      <c r="OB54" s="1" t="n">
        <f aca="false">IF(AND(HT54=1,ID54&gt;0,Slot20_IsWG=1,HE54=1),MAX(0,(Slot20_Cost-HF54*(1+Slot20_Rate)^(Slot20_Age-D54))/OA54),0)</f>
        <v>0</v>
      </c>
      <c r="OC54" s="1" t="n">
        <f aca="false">IF(AND(HT54=1,ID54&gt;0,Slot20_IsWG=1,HE54=1),MIN(ID54,OB54),0)</f>
        <v>0</v>
      </c>
      <c r="OD54" s="1" t="n">
        <f aca="false">HF54+OC54</f>
        <v>0</v>
      </c>
      <c r="OE54" s="1" t="n">
        <f aca="false">IF(HE54=1,MAX(0,(Slot20_Cost-OD54*(1+Slot20_Rate)^(Slot20_Age-D54))/OA54),0)</f>
        <v>0</v>
      </c>
      <c r="OF54" s="1" t="n">
        <f aca="false">IF(HE54=1,MAX(0,(Slot20_Cost-HF54*(1+Slot20_Rate)^(Slot20_Age-D54))/OA54),0)</f>
        <v>0</v>
      </c>
      <c r="OG54" s="1" t="n">
        <f aca="false">IF(AND(HT54=1,HE54=1),MIN(NZ54,OE54),0)</f>
        <v>0</v>
      </c>
      <c r="OH54" s="1" t="n">
        <f aca="false">NZ54-OG54</f>
        <v>0</v>
      </c>
      <c r="OI54" s="1" t="n">
        <f aca="false">ID54-(IG54+IO54+IW54+JE54+JM54+JU54+KC54+KK54+KS54+LA54+LI54+LQ54+LY54+MG54+MO54+MW54+NE54+NM54+NU54+OC54)</f>
        <v>0</v>
      </c>
      <c r="OJ54" s="1" t="n">
        <f aca="false">IF(HT54=1,HR54-IC54-ID54,0)</f>
        <v>0</v>
      </c>
      <c r="OK54" s="1" t="n">
        <f aca="false">IF(HT54=0,-HR54,0)</f>
        <v>0</v>
      </c>
      <c r="OL54" s="1" t="n">
        <f aca="false">MIN(OK54,HJ54)</f>
        <v>0</v>
      </c>
      <c r="OM54" s="1" t="n">
        <f aca="false">OK54-OL54</f>
        <v>0</v>
      </c>
      <c r="ON54" s="1" t="n">
        <f aca="false">MIN(OM54,HK54)</f>
        <v>0</v>
      </c>
      <c r="OO54" s="1" t="n">
        <f aca="false">OM54-ON54</f>
        <v>0</v>
      </c>
      <c r="OP54" s="1" t="n">
        <f aca="false">IF(AND(HT54=0,HE54=1,OO54&gt;0),MIN(OO54,HF54),0)</f>
        <v>0</v>
      </c>
      <c r="OQ54" s="1" t="n">
        <f aca="false">OO54-OP54</f>
        <v>0</v>
      </c>
      <c r="OR54" s="1" t="n">
        <f aca="false">IF(AND(HT54=0,GU54=1,OQ54&gt;0),MIN(OQ54,GV54),0)</f>
        <v>0</v>
      </c>
      <c r="OS54" s="1" t="n">
        <f aca="false">OQ54-OR54</f>
        <v>0</v>
      </c>
      <c r="OT54" s="1" t="n">
        <f aca="false">IF(AND(HT54=0,GK54=1,OS54&gt;0),MIN(OS54,GL54),0)</f>
        <v>0</v>
      </c>
      <c r="OU54" s="1" t="n">
        <f aca="false">OS54-OT54</f>
        <v>0</v>
      </c>
      <c r="OV54" s="1" t="n">
        <f aca="false">IF(AND(HT54=0,GA54=1,OU54&gt;0),MIN(OU54,GB54),0)</f>
        <v>0</v>
      </c>
      <c r="OW54" s="1" t="n">
        <f aca="false">OU54-OV54</f>
        <v>0</v>
      </c>
      <c r="OX54" s="1" t="n">
        <f aca="false">IF(AND(HT54=0,FQ54=1,OW54&gt;0),MIN(OW54,FR54),0)</f>
        <v>0</v>
      </c>
      <c r="OY54" s="1" t="n">
        <f aca="false">OW54-OX54</f>
        <v>0</v>
      </c>
      <c r="OZ54" s="1" t="n">
        <f aca="false">IF(AND(HT54=0,FG54=1,OY54&gt;0),MIN(OY54,FH54),0)</f>
        <v>0</v>
      </c>
      <c r="PA54" s="1" t="n">
        <f aca="false">OY54-OZ54</f>
        <v>0</v>
      </c>
      <c r="PB54" s="1" t="n">
        <f aca="false">IF(AND(HT54=0,EW54=1,PA54&gt;0),MIN(PA54,EX54),0)</f>
        <v>0</v>
      </c>
      <c r="PC54" s="1" t="n">
        <f aca="false">PA54-PB54</f>
        <v>0</v>
      </c>
      <c r="PD54" s="1" t="n">
        <f aca="false">IF(AND(HT54=0,EM54=1,PC54&gt;0),MIN(PC54,EN54),0)</f>
        <v>0</v>
      </c>
      <c r="PE54" s="1" t="n">
        <f aca="false">PC54-PD54</f>
        <v>0</v>
      </c>
      <c r="PF54" s="1" t="n">
        <f aca="false">IF(AND(HT54=0,EC54=1,PE54&gt;0),MIN(PE54,ED54),0)</f>
        <v>0</v>
      </c>
      <c r="PG54" s="1" t="n">
        <f aca="false">PE54-PF54</f>
        <v>0</v>
      </c>
      <c r="PH54" s="1" t="n">
        <f aca="false">IF(AND(HT54=0,DS54=1,PG54&gt;0),MIN(PG54,DT54),0)</f>
        <v>0</v>
      </c>
      <c r="PI54" s="1" t="n">
        <f aca="false">PG54-PH54</f>
        <v>0</v>
      </c>
      <c r="PJ54" s="1" t="n">
        <f aca="false">IF(AND(HT54=0,DI54=1,PI54&gt;0),MIN(PI54,DJ54),0)</f>
        <v>0</v>
      </c>
      <c r="PK54" s="1" t="n">
        <f aca="false">PI54-PJ54</f>
        <v>0</v>
      </c>
      <c r="PL54" s="1" t="n">
        <f aca="false">IF(AND(HT54=0,CY54=1,PK54&gt;0),MIN(PK54,CZ54),0)</f>
        <v>0</v>
      </c>
      <c r="PM54" s="1" t="n">
        <f aca="false">PK54-PL54</f>
        <v>0</v>
      </c>
      <c r="PN54" s="1" t="n">
        <f aca="false">IF(AND(HT54=0,CO54=1,PM54&gt;0),MIN(PM54,CP54),0)</f>
        <v>0</v>
      </c>
      <c r="PO54" s="1" t="n">
        <f aca="false">PM54-PN54</f>
        <v>0</v>
      </c>
      <c r="PP54" s="1" t="n">
        <f aca="false">IF(AND(HT54=0,CE54=1,PO54&gt;0),MIN(PO54,CF54),0)</f>
        <v>0</v>
      </c>
      <c r="PQ54" s="1" t="n">
        <f aca="false">PO54-PP54</f>
        <v>0</v>
      </c>
      <c r="PR54" s="1" t="n">
        <f aca="false">IF(AND(HT54=0,BU54=1,PQ54&gt;0),MIN(PQ54,BV54),0)</f>
        <v>0</v>
      </c>
      <c r="PS54" s="1" t="n">
        <f aca="false">PQ54-PR54</f>
        <v>0</v>
      </c>
      <c r="PT54" s="1" t="n">
        <f aca="false">IF(AND(HT54=0,BK54=1,PS54&gt;0),MIN(PS54,BL54),0)</f>
        <v>0</v>
      </c>
      <c r="PU54" s="1" t="n">
        <f aca="false">PS54-PT54</f>
        <v>0</v>
      </c>
      <c r="PV54" s="1" t="n">
        <f aca="false">IF(AND(HT54=0,BA54=1,PU54&gt;0),MIN(PU54,BB54),0)</f>
        <v>0</v>
      </c>
      <c r="PW54" s="1" t="n">
        <f aca="false">PU54-PV54</f>
        <v>0</v>
      </c>
      <c r="PX54" s="1" t="n">
        <f aca="false">IF(AND(HT54=0,AQ54=1,PW54&gt;0),MIN(PW54,AR54),0)</f>
        <v>0</v>
      </c>
      <c r="PY54" s="1" t="n">
        <f aca="false">PW54-PX54</f>
        <v>0</v>
      </c>
      <c r="PZ54" s="1" t="n">
        <f aca="false">IF(AND(HT54=0,AG54=1,PY54&gt;0),MIN(PY54,AH54),0)</f>
        <v>0</v>
      </c>
      <c r="QA54" s="1" t="n">
        <f aca="false">PY54-PZ54</f>
        <v>0</v>
      </c>
      <c r="QB54" s="1" t="n">
        <f aca="false">IF(AND(HT54=0,V54=1,QA54&gt;0),MIN(QA54,W54),0)</f>
        <v>0</v>
      </c>
      <c r="QC54" s="1" t="n">
        <f aca="false">QA54-QB54</f>
        <v>0</v>
      </c>
      <c r="QD54" s="1" t="n">
        <f aca="false">IF(HT54=0,QC54,0)</f>
        <v>0</v>
      </c>
      <c r="QE54" s="1" t="n">
        <f aca="false">OL54+ON54+QB54+PZ54+PX54+PV54+PT54+PR54+PP54+PN54+PL54+PJ54+PH54+PF54+PD54+PB54+OZ54+OX54+OV54+OT54+OR54+OP54</f>
        <v>0</v>
      </c>
      <c r="QF54" s="1" t="n">
        <f aca="false">IF(HT54=1,HJ54+OI54+OH54+IF(F54=1,0,OJ54),HJ54-OL54)</f>
        <v>0</v>
      </c>
      <c r="QG54" s="1" t="n">
        <f aca="false">HK54-ON54</f>
        <v>0</v>
      </c>
      <c r="QH54" s="1" t="n">
        <f aca="false">IF(HT54=1,IF(F54=1,IC54+ID54,HR54),0)</f>
        <v>0</v>
      </c>
      <c r="QI54" s="1" t="n">
        <f aca="false">IF(HT54=1,IF(F54=1,HR54-IC54-ID54,0),0)</f>
        <v>0</v>
      </c>
      <c r="QJ54" s="1" t="n">
        <f aca="false">QF54*(1+GR)</f>
        <v>0</v>
      </c>
      <c r="QK54" s="1" t="n">
        <f aca="false">QG54*(1+AS_Cash)</f>
        <v>0</v>
      </c>
      <c r="QL54" s="1" t="n">
        <f aca="false">IF(V54=1,IF(HT54=1,IH54+IK54,W54-QB54)*(1+Slot1_Rate),0)</f>
        <v>0</v>
      </c>
      <c r="QM54" s="1" t="n">
        <f aca="false">IF(AND(HT54=1,V54=1),(IG54+IK54)/E54,0)</f>
        <v>0</v>
      </c>
      <c r="QN54" s="1" t="n">
        <f aca="false">IF(B54=0,IG54+IK54,0)</f>
        <v>0</v>
      </c>
      <c r="QO54" s="1" t="n">
        <f aca="false">IF(B54=0,IF(HT54=1,II54,IJ54),0)</f>
        <v>0</v>
      </c>
      <c r="QP54" s="1" t="n">
        <f aca="false">IF(AG54=1,IF(HT54=1,IP54+IS54,AH54-PZ54)*(1+Slot2_Rate),0)</f>
        <v>0</v>
      </c>
      <c r="QQ54" s="1" t="n">
        <f aca="false">IF(AND(HT54=1,AG54=1),(IO54+IS54)/E54,0)</f>
        <v>0</v>
      </c>
      <c r="QR54" s="1" t="n">
        <f aca="false">IF(B54=0,IO54+IS54,0)</f>
        <v>0</v>
      </c>
      <c r="QS54" s="1" t="n">
        <f aca="false">IF(B54=0,IF(HT54=1,IQ54,IR54),0)</f>
        <v>0</v>
      </c>
      <c r="QT54" s="1" t="n">
        <f aca="false">IF(AQ54=1,IF(HT54=1,IX54+JA54,AR54-PX54)*(1+Slot3_Rate),0)</f>
        <v>0</v>
      </c>
      <c r="QU54" s="1" t="n">
        <f aca="false">IF(AND(HT54=1,AQ54=1),(IW54+JA54)/E54,0)</f>
        <v>0</v>
      </c>
      <c r="QV54" s="1" t="n">
        <f aca="false">IF(B54=0,IW54+JA54,0)</f>
        <v>0</v>
      </c>
      <c r="QW54" s="1" t="n">
        <f aca="false">IF(B54=0,IF(HT54=1,IY54,IZ54),0)</f>
        <v>0</v>
      </c>
      <c r="QX54" s="1" t="n">
        <f aca="false">IF(BA54=1,IF(HT54=1,JF54+JI54,BB54-PV54)*(1+Slot4_Rate),0)</f>
        <v>0</v>
      </c>
      <c r="QY54" s="1" t="n">
        <f aca="false">IF(AND(HT54=1,BA54=1),(JE54+JI54)/E54,0)</f>
        <v>0</v>
      </c>
      <c r="QZ54" s="1" t="n">
        <f aca="false">IF(B54=0,JE54+JI54,0)</f>
        <v>0</v>
      </c>
      <c r="RA54" s="1" t="n">
        <f aca="false">IF(B54=0,IF(HT54=1,JG54,JH54),0)</f>
        <v>0</v>
      </c>
      <c r="RB54" s="1" t="n">
        <f aca="false">IF(BK54=1,IF(HT54=1,JN54+JQ54,BL54-PT54)*(1+Slot5_Rate),0)</f>
        <v>0</v>
      </c>
      <c r="RC54" s="1" t="n">
        <f aca="false">IF(AND(HT54=1,BK54=1),(JM54+JQ54)/E54,0)</f>
        <v>0</v>
      </c>
      <c r="RD54" s="1" t="n">
        <f aca="false">IF(B54=0,JM54+JQ54,0)</f>
        <v>0</v>
      </c>
      <c r="RE54" s="1" t="n">
        <f aca="false">IF(B54=0,IF(HT54=1,JO54,JP54),0)</f>
        <v>0</v>
      </c>
      <c r="RF54" s="1" t="n">
        <f aca="false">IF(BU54=1,IF(HT54=1,JV54+JY54,BV54-PR54)*(1+Slot6_Rate),0)</f>
        <v>0</v>
      </c>
      <c r="RG54" s="1" t="n">
        <f aca="false">IF(AND(HT54=1,BU54=1),(JU54+JY54)/E54,0)</f>
        <v>0</v>
      </c>
      <c r="RH54" s="1" t="n">
        <f aca="false">IF(B54=0,JU54+JY54,0)</f>
        <v>0</v>
      </c>
      <c r="RI54" s="1" t="n">
        <f aca="false">IF(B54=0,IF(HT54=1,JW54,JX54),0)</f>
        <v>0</v>
      </c>
      <c r="RJ54" s="1" t="n">
        <f aca="false">IF(CE54=1,IF(HT54=1,KD54+KG54,CF54-PP54)*(1+Slot7_Rate),0)</f>
        <v>0</v>
      </c>
      <c r="RK54" s="1" t="n">
        <f aca="false">IF(AND(HT54=1,CE54=1),(KC54+KG54)/E54,0)</f>
        <v>0</v>
      </c>
      <c r="RL54" s="1" t="n">
        <f aca="false">IF(B54=0,KC54+KG54,0)</f>
        <v>0</v>
      </c>
      <c r="RM54" s="1" t="n">
        <f aca="false">IF(B54=0,IF(HT54=1,KE54,KF54),0)</f>
        <v>0</v>
      </c>
      <c r="RN54" s="1" t="n">
        <f aca="false">IF(CO54=1,IF(HT54=1,KL54+KO54,CP54-PN54)*(1+Slot8_Rate),0)</f>
        <v>0</v>
      </c>
      <c r="RO54" s="1" t="n">
        <f aca="false">IF(AND(HT54=1,CO54=1),(KK54+KO54)/E54,0)</f>
        <v>0</v>
      </c>
      <c r="RP54" s="1" t="n">
        <f aca="false">IF(B54=0,KK54+KO54,0)</f>
        <v>0</v>
      </c>
      <c r="RQ54" s="1" t="n">
        <f aca="false">IF(B54=0,IF(HT54=1,KM54,KN54),0)</f>
        <v>0</v>
      </c>
      <c r="RR54" s="1" t="n">
        <f aca="false">IF(CY54=1,IF(HT54=1,KT54+KW54,CZ54-PL54)*(1+Slot9_Rate),0)</f>
        <v>0</v>
      </c>
      <c r="RS54" s="1" t="n">
        <f aca="false">IF(AND(HT54=1,CY54=1),(KS54+KW54)/E54,0)</f>
        <v>0</v>
      </c>
      <c r="RT54" s="1" t="n">
        <f aca="false">IF(B54=0,KS54+KW54,0)</f>
        <v>0</v>
      </c>
      <c r="RU54" s="1" t="n">
        <f aca="false">IF(B54=0,IF(HT54=1,KU54,KV54),0)</f>
        <v>0</v>
      </c>
      <c r="RV54" s="1" t="n">
        <f aca="false">IF(DI54=1,IF(HT54=1,LB54+LE54,DJ54-PJ54)*(1+Slot10_Rate),0)</f>
        <v>0</v>
      </c>
      <c r="RW54" s="1" t="n">
        <f aca="false">IF(AND(HT54=1,DI54=1),(LA54+LE54)/E54,0)</f>
        <v>0</v>
      </c>
      <c r="RX54" s="1" t="n">
        <f aca="false">IF(B54=0,LA54+LE54,0)</f>
        <v>0</v>
      </c>
      <c r="RY54" s="1" t="n">
        <f aca="false">IF(B54=0,IF(HT54=1,LC54,LD54),0)</f>
        <v>0</v>
      </c>
      <c r="RZ54" s="1" t="n">
        <f aca="false">IF(DS54=1,IF(HT54=1,LJ54+LM54,DT54-PH54)*(1+Slot11_Rate),0)</f>
        <v>0</v>
      </c>
      <c r="SA54" s="1" t="n">
        <f aca="false">IF(AND(HT54=1,DS54=1),(LI54+LM54)/E54,0)</f>
        <v>0</v>
      </c>
      <c r="SB54" s="1" t="n">
        <f aca="false">IF(B54=0,LI54+LM54,0)</f>
        <v>0</v>
      </c>
      <c r="SC54" s="1" t="n">
        <f aca="false">IF(B54=0,IF(HT54=1,LK54,LL54),0)</f>
        <v>0</v>
      </c>
      <c r="SD54" s="1" t="n">
        <f aca="false">IF(EC54=1,IF(HT54=1,LR54+LU54,ED54-PF54)*(1+Slot12_Rate),0)</f>
        <v>0</v>
      </c>
      <c r="SE54" s="1" t="n">
        <f aca="false">IF(AND(HT54=1,EC54=1),(LQ54+LU54)/E54,0)</f>
        <v>0</v>
      </c>
      <c r="SF54" s="1" t="n">
        <f aca="false">IF(B54=0,LQ54+LU54,0)</f>
        <v>0</v>
      </c>
      <c r="SG54" s="1" t="n">
        <f aca="false">IF(B54=0,IF(HT54=1,LS54,LT54),0)</f>
        <v>0</v>
      </c>
      <c r="SH54" s="1" t="n">
        <f aca="false">IF(EM54=1,IF(HT54=1,LZ54+MC54,EN54-PD54)*(1+Slot13_Rate),0)</f>
        <v>0</v>
      </c>
      <c r="SI54" s="1" t="n">
        <f aca="false">IF(AND(HT54=1,EM54=1),(LY54+MC54)/E54,0)</f>
        <v>0</v>
      </c>
      <c r="SJ54" s="1" t="n">
        <f aca="false">IF(B54=0,LY54+MC54,0)</f>
        <v>0</v>
      </c>
      <c r="SK54" s="1" t="n">
        <f aca="false">IF(B54=0,IF(HT54=1,MA54,MB54),0)</f>
        <v>0</v>
      </c>
      <c r="SL54" s="1" t="n">
        <f aca="false">IF(EW54=1,IF(HT54=1,MH54+MK54,EX54-PB54)*(1+Slot14_Rate),0)</f>
        <v>0</v>
      </c>
      <c r="SM54" s="1" t="n">
        <f aca="false">IF(AND(HT54=1,EW54=1),(MG54+MK54)/E54,0)</f>
        <v>0</v>
      </c>
      <c r="SN54" s="1" t="n">
        <f aca="false">IF(B54=0,MG54+MK54,0)</f>
        <v>0</v>
      </c>
      <c r="SO54" s="1" t="n">
        <f aca="false">IF(B54=0,IF(HT54=1,MI54,MJ54),0)</f>
        <v>0</v>
      </c>
      <c r="SP54" s="1" t="n">
        <f aca="false">IF(FG54=1,IF(HT54=1,MP54+MS54,FH54-OZ54)*(1+Slot15_Rate),0)</f>
        <v>0</v>
      </c>
      <c r="SQ54" s="1" t="n">
        <f aca="false">IF(AND(HT54=1,FG54=1),(MO54+MS54)/E54,0)</f>
        <v>0</v>
      </c>
      <c r="SR54" s="1" t="n">
        <f aca="false">IF(B54=0,MO54+MS54,0)</f>
        <v>0</v>
      </c>
      <c r="SS54" s="1" t="n">
        <f aca="false">IF(B54=0,IF(HT54=1,MQ54,MR54),0)</f>
        <v>0</v>
      </c>
      <c r="ST54" s="1" t="n">
        <f aca="false">IF(FQ54=1,IF(HT54=1,MX54+NA54,FR54-OX54)*(1+Slot16_Rate),0)</f>
        <v>0</v>
      </c>
      <c r="SU54" s="1" t="n">
        <f aca="false">IF(AND(HT54=1,FQ54=1),(MW54+NA54)/E54,0)</f>
        <v>0</v>
      </c>
      <c r="SV54" s="1" t="n">
        <f aca="false">IF(B54=0,MW54+NA54,0)</f>
        <v>0</v>
      </c>
      <c r="SW54" s="1" t="n">
        <f aca="false">IF(B54=0,IF(HT54=1,MY54,MZ54),0)</f>
        <v>0</v>
      </c>
      <c r="SX54" s="1" t="n">
        <f aca="false">IF(GA54=1,IF(HT54=1,NF54+NI54,GB54-OV54)*(1+Slot17_Rate),0)</f>
        <v>0</v>
      </c>
      <c r="SY54" s="1" t="n">
        <f aca="false">IF(AND(HT54=1,GA54=1),(NE54+NI54)/E54,0)</f>
        <v>0</v>
      </c>
      <c r="SZ54" s="1" t="n">
        <f aca="false">IF(B54=0,NE54+NI54,0)</f>
        <v>0</v>
      </c>
      <c r="TA54" s="1" t="n">
        <f aca="false">IF(B54=0,IF(HT54=1,NG54,NH54),0)</f>
        <v>0</v>
      </c>
      <c r="TB54" s="1" t="n">
        <f aca="false">IF(GK54=1,IF(HT54=1,NN54+NQ54,GL54-OT54)*(1+Slot18_Rate),0)</f>
        <v>0</v>
      </c>
      <c r="TC54" s="1" t="n">
        <f aca="false">IF(AND(HT54=1,GK54=1),(NM54+NQ54)/E54,0)</f>
        <v>0</v>
      </c>
      <c r="TD54" s="1" t="n">
        <f aca="false">IF(B54=0,NM54+NQ54,0)</f>
        <v>0</v>
      </c>
      <c r="TE54" s="1" t="n">
        <f aca="false">IF(B54=0,IF(HT54=1,NO54,NP54),0)</f>
        <v>0</v>
      </c>
      <c r="TF54" s="1" t="n">
        <f aca="false">IF(GU54=1,IF(HT54=1,NV54+NY54,GV54-OR54)*(1+Slot19_Rate),0)</f>
        <v>0</v>
      </c>
      <c r="TG54" s="1" t="n">
        <f aca="false">IF(AND(HT54=1,GU54=1),(NU54+NY54)/E54,0)</f>
        <v>0</v>
      </c>
      <c r="TH54" s="1" t="n">
        <f aca="false">IF(B54=0,NU54+NY54,0)</f>
        <v>0</v>
      </c>
      <c r="TI54" s="1" t="n">
        <f aca="false">IF(B54=0,IF(HT54=1,NW54,NX54),0)</f>
        <v>0</v>
      </c>
      <c r="TJ54" s="1" t="n">
        <f aca="false">IF(HE54=1,IF(HT54=1,OD54+OG54,HF54-OP54)*(1+Slot20_Rate),0)</f>
        <v>0</v>
      </c>
      <c r="TK54" s="1" t="n">
        <f aca="false">IF(AND(HT54=1,HE54=1),(OC54+OG54)/E54,0)</f>
        <v>0</v>
      </c>
      <c r="TL54" s="1" t="n">
        <f aca="false">IF(B54=0,OC54+OG54,0)</f>
        <v>0</v>
      </c>
      <c r="TM54" s="1" t="n">
        <f aca="false">IF(B54=0,IF(HT54=1,OE54,OF54),0)</f>
        <v>0</v>
      </c>
      <c r="TN54" s="1" t="n">
        <f aca="false">QJ54+QK54+QL54+QP54+QT54+QX54+RB54+RF54+RJ54+RN54+RR54+RV54+RZ54+SD54+SH54+SL54+SP54+ST54+SX54+TB54+TF54+TJ54</f>
        <v>0</v>
      </c>
      <c r="TO54" s="1" t="n">
        <f aca="false">QD54+HO54</f>
        <v>0</v>
      </c>
      <c r="TP54" s="1" t="n">
        <f aca="false">H54+R54</f>
        <v>0</v>
      </c>
      <c r="TQ54" s="1" t="n">
        <f aca="false">1-F54</f>
        <v>0</v>
      </c>
      <c r="TR54" s="1" t="n">
        <f aca="false">IF(AND(RG_Exists=1,F54=0,C54=1),H54,0)</f>
        <v>0</v>
      </c>
      <c r="TS54" s="1" t="n">
        <f aca="false">IF(AND(RG_Exists=1,F54=0,C54=1),H54-MIN(QD54,H54),0)</f>
        <v>0</v>
      </c>
      <c r="TT54" s="1" t="n">
        <f aca="false">'Plan pay &amp; tax'!AD280</f>
        <v>0</v>
      </c>
      <c r="TU54" s="1" t="n">
        <f aca="false">IF(AND(C54=1,QD54&gt;MAX(PR_Short1,TP54*PR_Short2)),1,0)</f>
        <v>0</v>
      </c>
      <c r="TV54" s="1" t="n">
        <f aca="false">MIN(G54,H54+R54)</f>
        <v>0</v>
      </c>
      <c r="TW54" s="1" t="n">
        <f aca="false">QE54+MAX(0,HP54-HO54)</f>
        <v>0</v>
      </c>
      <c r="TX54" s="1" t="n">
        <f aca="false">QD54+HO54</f>
        <v>0</v>
      </c>
      <c r="TY54" s="1" t="n">
        <f aca="false">IF(AND(C54=1,TX54&gt;PR_MinShort),1,0)</f>
        <v>0</v>
      </c>
      <c r="TZ54" s="1" t="n">
        <f aca="false">IF(AND(C54=1,TY54=0,TW54&gt;PR_MinShort),1,0)</f>
        <v>0</v>
      </c>
      <c r="UA54" s="1" t="n">
        <f aca="false">IF(AND(C54=1,QD54&gt;PR_MinShort),1,0)</f>
        <v>0</v>
      </c>
      <c r="UB54" s="1" t="n">
        <f aca="false">IF(AND(C54=1,QE54&gt;1,UI54=0),1,0)</f>
        <v>0</v>
      </c>
      <c r="UC54" s="1" t="str">
        <f aca="false">IF(C54=0,"",IF(UI54=1,"Gap to plan for: short "&amp;"€"&amp;TEXT(ROUND(TO54,0),"#,##0"),IF(QE54&gt;1,"Using savings","Comfortable")))</f>
        <v>Comfortable</v>
      </c>
      <c r="UD54" s="1" t="n">
        <f aca="false">IF(AND(INT(D54/10)*10=90,B54&gt;0),80,INT(D54/10)*10)</f>
        <v>40</v>
      </c>
      <c r="UE54" s="1" t="n">
        <f aca="false">IF(B54=0,1,IF(UD54&lt;&gt;UD53,UE53+1,UE53))</f>
        <v>5</v>
      </c>
      <c r="UF54" s="1" t="n">
        <f aca="false">IF(AND(C54=1,F54=1,QD54&gt;MAX(PR_Short1,TP54*PR_Short2)),1,0)</f>
        <v>0</v>
      </c>
      <c r="UG54" s="1" t="n">
        <f aca="false">TQ54*TU54</f>
        <v>0</v>
      </c>
      <c r="UH54" s="1" t="n">
        <f aca="false">IF(AND(U54=1,Slot1_PctLow=1),1,0)+IF(AND(AF54=1,Slot2_PctLow=1),1,0)+IF(AND(AP54=1,Slot3_PctLow=1),1,0)+IF(AND(AZ54=1,Slot4_PctLow=1),1,0)+IF(AND(BJ54=1,Slot5_PctLow=1),1,0)+IF(AND(BT54=1,Slot6_PctLow=1),1,0)+IF(AND(CD54=1,Slot7_PctLow=1),1,0)+IF(AND(CN54=1,Slot8_PctLow=1),1,0)+IF(AND(CX54=1,Slot9_PctLow=1),1,0)+IF(AND(DH54=1,Slot10_PctLow=1),1,0)+IF(AND(DR54=1,Slot11_PctLow=1),1,0)+IF(AND(EB54=1,Slot12_PctLow=1),1,0)+IF(AND(EL54=1,Slot13_PctLow=1),1,0)+IF(AND(EV54=1,Slot14_PctLow=1),1,0)+IF(AND(FF54=1,Slot15_PctLow=1),1,0)+IF(AND(FP54=1,Slot16_PctLow=1),1,0)+IF(AND(FZ54=1,Slot17_PctLow=1),1,0)+IF(AND(GJ54=1,Slot18_PctLow=1),1,0)+IF(AND(GT54=1,Slot19_PctLow=1),1,0)+IF(AND(HD54=1,Slot20_PctLow=1),1,0)</f>
        <v>0</v>
      </c>
      <c r="UI54" s="1" t="n">
        <f aca="false">IF(C54=1,IF(OR(TU54=1,UH54&gt;0),1,0),0)</f>
        <v>0</v>
      </c>
    </row>
    <row r="55" customFormat="false" ht="15" hidden="false" customHeight="true" outlineLevel="0" collapsed="false">
      <c r="B55" s="1" t="n">
        <v>47</v>
      </c>
      <c r="C55" s="1" t="n">
        <f aca="false">IF(B55&lt;=F_N,1,0)</f>
        <v>1</v>
      </c>
      <c r="D55" s="1" t="n">
        <f aca="false">'Plan pay &amp; tax'!C281</f>
        <v>47</v>
      </c>
      <c r="E55" s="111" t="n">
        <f aca="false">'Plan pay &amp; tax'!E281</f>
        <v>2.53634351519552</v>
      </c>
      <c r="F55" s="1" t="n">
        <f aca="false">'Plan pay &amp; tax'!G281</f>
        <v>1</v>
      </c>
      <c r="G55" s="1" t="n">
        <f aca="false">'Plan pay &amp; tax'!BT281-'Plan pay &amp; tax'!BS281-'Plan pay &amp; tax'!R281</f>
        <v>0</v>
      </c>
      <c r="H55" s="1" t="n">
        <f aca="false">IF(F55=1,F_CostsM*12,IF(RG_Exists=1,RG_Amount,F_CostsM*12*AS_RetireSpend))*E55+F_OneOffY*E55</f>
        <v>0</v>
      </c>
      <c r="I55" s="1" t="n">
        <f aca="false">HQ54</f>
        <v>0</v>
      </c>
      <c r="J55" s="1" t="n">
        <f aca="false">IF(I55&gt;1,'Plan debt months'!AC55,0)</f>
        <v>0</v>
      </c>
      <c r="K55" s="1" t="n">
        <f aca="false">IF(I55&gt;1,'Plan debt months'!AB55,I55)</f>
        <v>0</v>
      </c>
      <c r="L55" s="1" t="n">
        <f aca="false">N54</f>
        <v>0</v>
      </c>
      <c r="M55" s="1" t="n">
        <f aca="false">IF(L55&gt;1,'Plan debt months'!BD55,0)</f>
        <v>0</v>
      </c>
      <c r="N55" s="1" t="n">
        <f aca="false">IF(L55&gt;1,'Plan debt months'!BC55,L55)</f>
        <v>0</v>
      </c>
      <c r="O55" s="1" t="n">
        <f aca="false">Q54</f>
        <v>0</v>
      </c>
      <c r="P55" s="1" t="n">
        <f aca="false">IF(O55&gt;1,'Plan debt months'!CE55,0)</f>
        <v>0</v>
      </c>
      <c r="Q55" s="1" t="n">
        <f aca="false">IF(O55&gt;1,'Plan debt months'!CD55,O55)</f>
        <v>0</v>
      </c>
      <c r="R55" s="1" t="n">
        <f aca="false">J55+M55+P55</f>
        <v>0</v>
      </c>
      <c r="S55" s="1" t="n">
        <f aca="false">QJ54+'Plan pay &amp; tax'!Y281</f>
        <v>0</v>
      </c>
      <c r="T55" s="1" t="n">
        <f aca="false">QJ54</f>
        <v>0</v>
      </c>
      <c r="U55" s="1" t="n">
        <f aca="false">IF(AND(Slot1_On=1,D55=Slot1_Age),1,0)</f>
        <v>0</v>
      </c>
      <c r="V55" s="1" t="n">
        <f aca="false">IF(AND(Slot1_On=1,Slot1_Age&gt;D55),1,0)</f>
        <v>0</v>
      </c>
      <c r="W55" s="1" t="n">
        <f aca="false">QL54</f>
        <v>0</v>
      </c>
      <c r="X55" s="1" t="n">
        <f aca="false">U55*MIN(Slot1_Cost,W55)</f>
        <v>0</v>
      </c>
      <c r="Y55" s="1" t="n">
        <f aca="false">U55*Slot1_SpendLike*MIN(Slot1_Cost-X55,S55)</f>
        <v>0</v>
      </c>
      <c r="Z55" s="1" t="n">
        <f aca="false">X55+Y55</f>
        <v>0</v>
      </c>
      <c r="AA55" s="1" t="n">
        <f aca="false">S55-Y55+U55*IF(Slot1_SpendLike=1,W55-X55,IF(Slot1_PotFree=1,W55,0))</f>
        <v>0</v>
      </c>
      <c r="AB55" s="1" t="n">
        <f aca="false">AE55+U55*Slot1_BufPot*W55</f>
        <v>0</v>
      </c>
      <c r="AC55" s="1" t="n">
        <f aca="false">IF(AND(U55=1,Slot1_IsMfree=1),IF(Z55&gt;=Slot1_Cost-1,0,MAX(0,K55-Z55)),K55)</f>
        <v>0</v>
      </c>
      <c r="AD55" s="1" t="n">
        <f aca="false">U55*(Slot1_Cost-Z55)</f>
        <v>0</v>
      </c>
      <c r="AE55" s="1" t="n">
        <f aca="false">QK54</f>
        <v>0</v>
      </c>
      <c r="AF55" s="1" t="n">
        <f aca="false">IF(AND(Slot2_On=1,D55=Slot2_Age),1,0)</f>
        <v>0</v>
      </c>
      <c r="AG55" s="1" t="n">
        <f aca="false">IF(AND(Slot2_On=1,Slot2_Age&gt;D55),1,0)</f>
        <v>0</v>
      </c>
      <c r="AH55" s="1" t="n">
        <f aca="false">QP54</f>
        <v>0</v>
      </c>
      <c r="AI55" s="1" t="n">
        <f aca="false">AF55*MIN(Slot2_Cost,AH55)</f>
        <v>0</v>
      </c>
      <c r="AJ55" s="1" t="n">
        <f aca="false">AF55*Slot2_SpendLike*MIN(Slot2_Cost-AI55,AA55)</f>
        <v>0</v>
      </c>
      <c r="AK55" s="1" t="n">
        <f aca="false">AI55+AJ55</f>
        <v>0</v>
      </c>
      <c r="AL55" s="1" t="n">
        <f aca="false">AA55-AJ55+AF55*IF(Slot2_SpendLike=1,AH55-AI55,IF(Slot2_PotFree=1,AH55,0))</f>
        <v>0</v>
      </c>
      <c r="AM55" s="1" t="n">
        <f aca="false">AB55+AF55*Slot2_BufPot*AH55</f>
        <v>0</v>
      </c>
      <c r="AN55" s="1" t="n">
        <f aca="false">IF(AND(AF55=1,Slot2_IsMfree=1),IF(AK55&gt;=Slot2_Cost-1,0,MAX(0,AC55-AK55)),AC55)</f>
        <v>0</v>
      </c>
      <c r="AO55" s="1" t="n">
        <f aca="false">AF55*(Slot2_Cost-AK55)</f>
        <v>0</v>
      </c>
      <c r="AP55" s="1" t="n">
        <f aca="false">IF(AND(Slot3_On=1,D55=Slot3_Age),1,0)</f>
        <v>0</v>
      </c>
      <c r="AQ55" s="1" t="n">
        <f aca="false">IF(AND(Slot3_On=1,Slot3_Age&gt;D55),1,0)</f>
        <v>0</v>
      </c>
      <c r="AR55" s="1" t="n">
        <f aca="false">QT54</f>
        <v>0</v>
      </c>
      <c r="AS55" s="1" t="n">
        <f aca="false">AP55*MIN(Slot3_Cost,AR55)</f>
        <v>0</v>
      </c>
      <c r="AT55" s="1" t="n">
        <f aca="false">AP55*Slot3_SpendLike*MIN(Slot3_Cost-AS55,AL55)</f>
        <v>0</v>
      </c>
      <c r="AU55" s="1" t="n">
        <f aca="false">AS55+AT55</f>
        <v>0</v>
      </c>
      <c r="AV55" s="1" t="n">
        <f aca="false">AL55-AT55+AP55*IF(Slot3_SpendLike=1,AR55-AS55,IF(Slot3_PotFree=1,AR55,0))</f>
        <v>0</v>
      </c>
      <c r="AW55" s="1" t="n">
        <f aca="false">AM55+AP55*Slot3_BufPot*AR55</f>
        <v>0</v>
      </c>
      <c r="AX55" s="1" t="n">
        <f aca="false">IF(AND(AP55=1,Slot3_IsMfree=1),IF(AU55&gt;=Slot3_Cost-1,0,MAX(0,AN55-AU55)),AN55)</f>
        <v>0</v>
      </c>
      <c r="AY55" s="1" t="n">
        <f aca="false">AP55*(Slot3_Cost-AU55)</f>
        <v>0</v>
      </c>
      <c r="AZ55" s="1" t="n">
        <f aca="false">IF(AND(Slot4_On=1,D55=Slot4_Age),1,0)</f>
        <v>0</v>
      </c>
      <c r="BA55" s="1" t="n">
        <f aca="false">IF(AND(Slot4_On=1,Slot4_Age&gt;D55),1,0)</f>
        <v>0</v>
      </c>
      <c r="BB55" s="1" t="n">
        <f aca="false">QX54</f>
        <v>0</v>
      </c>
      <c r="BC55" s="1" t="n">
        <f aca="false">AZ55*MIN(Slot4_Cost,BB55)</f>
        <v>0</v>
      </c>
      <c r="BD55" s="1" t="n">
        <f aca="false">AZ55*Slot4_SpendLike*MIN(Slot4_Cost-BC55,AV55)</f>
        <v>0</v>
      </c>
      <c r="BE55" s="1" t="n">
        <f aca="false">BC55+BD55</f>
        <v>0</v>
      </c>
      <c r="BF55" s="1" t="n">
        <f aca="false">AV55-BD55+AZ55*IF(Slot4_SpendLike=1,BB55-BC55,IF(Slot4_PotFree=1,BB55,0))</f>
        <v>0</v>
      </c>
      <c r="BG55" s="1" t="n">
        <f aca="false">AW55+AZ55*Slot4_BufPot*BB55</f>
        <v>0</v>
      </c>
      <c r="BH55" s="1" t="n">
        <f aca="false">IF(AND(AZ55=1,Slot4_IsMfree=1),IF(BE55&gt;=Slot4_Cost-1,0,MAX(0,AX55-BE55)),AX55)</f>
        <v>0</v>
      </c>
      <c r="BI55" s="1" t="n">
        <f aca="false">AZ55*(Slot4_Cost-BE55)</f>
        <v>0</v>
      </c>
      <c r="BJ55" s="1" t="n">
        <f aca="false">IF(AND(Slot5_On=1,D55=Slot5_Age),1,0)</f>
        <v>0</v>
      </c>
      <c r="BK55" s="1" t="n">
        <f aca="false">IF(AND(Slot5_On=1,Slot5_Age&gt;D55),1,0)</f>
        <v>0</v>
      </c>
      <c r="BL55" s="1" t="n">
        <f aca="false">RB54</f>
        <v>0</v>
      </c>
      <c r="BM55" s="1" t="n">
        <f aca="false">BJ55*MIN(Slot5_Cost,BL55)</f>
        <v>0</v>
      </c>
      <c r="BN55" s="1" t="n">
        <f aca="false">BJ55*Slot5_SpendLike*MIN(Slot5_Cost-BM55,BF55)</f>
        <v>0</v>
      </c>
      <c r="BO55" s="1" t="n">
        <f aca="false">BM55+BN55</f>
        <v>0</v>
      </c>
      <c r="BP55" s="1" t="n">
        <f aca="false">BF55-BN55+BJ55*IF(Slot5_SpendLike=1,BL55-BM55,IF(Slot5_PotFree=1,BL55,0))</f>
        <v>0</v>
      </c>
      <c r="BQ55" s="1" t="n">
        <f aca="false">BG55+BJ55*Slot5_BufPot*BL55</f>
        <v>0</v>
      </c>
      <c r="BR55" s="1" t="n">
        <f aca="false">IF(AND(BJ55=1,Slot5_IsMfree=1),IF(BO55&gt;=Slot5_Cost-1,0,MAX(0,BH55-BO55)),BH55)</f>
        <v>0</v>
      </c>
      <c r="BS55" s="1" t="n">
        <f aca="false">BJ55*(Slot5_Cost-BO55)</f>
        <v>0</v>
      </c>
      <c r="BT55" s="1" t="n">
        <f aca="false">IF(AND(Slot6_On=1,D55=Slot6_Age),1,0)</f>
        <v>0</v>
      </c>
      <c r="BU55" s="1" t="n">
        <f aca="false">IF(AND(Slot6_On=1,Slot6_Age&gt;D55),1,0)</f>
        <v>0</v>
      </c>
      <c r="BV55" s="1" t="n">
        <f aca="false">RF54</f>
        <v>0</v>
      </c>
      <c r="BW55" s="1" t="n">
        <f aca="false">BT55*MIN(Slot6_Cost,BV55)</f>
        <v>0</v>
      </c>
      <c r="BX55" s="1" t="n">
        <f aca="false">BT55*Slot6_SpendLike*MIN(Slot6_Cost-BW55,BP55)</f>
        <v>0</v>
      </c>
      <c r="BY55" s="1" t="n">
        <f aca="false">BW55+BX55</f>
        <v>0</v>
      </c>
      <c r="BZ55" s="1" t="n">
        <f aca="false">BP55-BX55+BT55*IF(Slot6_SpendLike=1,BV55-BW55,IF(Slot6_PotFree=1,BV55,0))</f>
        <v>0</v>
      </c>
      <c r="CA55" s="1" t="n">
        <f aca="false">BQ55+BT55*Slot6_BufPot*BV55</f>
        <v>0</v>
      </c>
      <c r="CB55" s="1" t="n">
        <f aca="false">IF(AND(BT55=1,Slot6_IsMfree=1),IF(BY55&gt;=Slot6_Cost-1,0,MAX(0,BR55-BY55)),BR55)</f>
        <v>0</v>
      </c>
      <c r="CC55" s="1" t="n">
        <f aca="false">BT55*(Slot6_Cost-BY55)</f>
        <v>0</v>
      </c>
      <c r="CD55" s="1" t="n">
        <f aca="false">IF(AND(Slot7_On=1,D55=Slot7_Age),1,0)</f>
        <v>0</v>
      </c>
      <c r="CE55" s="1" t="n">
        <f aca="false">IF(AND(Slot7_On=1,Slot7_Age&gt;D55),1,0)</f>
        <v>0</v>
      </c>
      <c r="CF55" s="1" t="n">
        <f aca="false">RJ54</f>
        <v>0</v>
      </c>
      <c r="CG55" s="1" t="n">
        <f aca="false">CD55*MIN(Slot7_Cost,CF55)</f>
        <v>0</v>
      </c>
      <c r="CH55" s="1" t="n">
        <f aca="false">CD55*Slot7_SpendLike*MIN(Slot7_Cost-CG55,BZ55)</f>
        <v>0</v>
      </c>
      <c r="CI55" s="1" t="n">
        <f aca="false">CG55+CH55</f>
        <v>0</v>
      </c>
      <c r="CJ55" s="1" t="n">
        <f aca="false">BZ55-CH55+CD55*IF(Slot7_SpendLike=1,CF55-CG55,IF(Slot7_PotFree=1,CF55,0))</f>
        <v>0</v>
      </c>
      <c r="CK55" s="1" t="n">
        <f aca="false">CA55+CD55*Slot7_BufPot*CF55</f>
        <v>0</v>
      </c>
      <c r="CL55" s="1" t="n">
        <f aca="false">IF(AND(CD55=1,Slot7_IsMfree=1),IF(CI55&gt;=Slot7_Cost-1,0,MAX(0,CB55-CI55)),CB55)</f>
        <v>0</v>
      </c>
      <c r="CM55" s="1" t="n">
        <f aca="false">CD55*(Slot7_Cost-CI55)</f>
        <v>0</v>
      </c>
      <c r="CN55" s="1" t="n">
        <f aca="false">IF(AND(Slot8_On=1,D55=Slot8_Age),1,0)</f>
        <v>0</v>
      </c>
      <c r="CO55" s="1" t="n">
        <f aca="false">IF(AND(Slot8_On=1,Slot8_Age&gt;D55),1,0)</f>
        <v>0</v>
      </c>
      <c r="CP55" s="1" t="n">
        <f aca="false">RN54</f>
        <v>0</v>
      </c>
      <c r="CQ55" s="1" t="n">
        <f aca="false">CN55*MIN(Slot8_Cost,CP55)</f>
        <v>0</v>
      </c>
      <c r="CR55" s="1" t="n">
        <f aca="false">CN55*Slot8_SpendLike*MIN(Slot8_Cost-CQ55,CJ55)</f>
        <v>0</v>
      </c>
      <c r="CS55" s="1" t="n">
        <f aca="false">CQ55+CR55</f>
        <v>0</v>
      </c>
      <c r="CT55" s="1" t="n">
        <f aca="false">CJ55-CR55+CN55*IF(Slot8_SpendLike=1,CP55-CQ55,IF(Slot8_PotFree=1,CP55,0))</f>
        <v>0</v>
      </c>
      <c r="CU55" s="1" t="n">
        <f aca="false">CK55+CN55*Slot8_BufPot*CP55</f>
        <v>0</v>
      </c>
      <c r="CV55" s="1" t="n">
        <f aca="false">IF(AND(CN55=1,Slot8_IsMfree=1),IF(CS55&gt;=Slot8_Cost-1,0,MAX(0,CL55-CS55)),CL55)</f>
        <v>0</v>
      </c>
      <c r="CW55" s="1" t="n">
        <f aca="false">CN55*(Slot8_Cost-CS55)</f>
        <v>0</v>
      </c>
      <c r="CX55" s="1" t="n">
        <f aca="false">IF(AND(Slot9_On=1,D55=Slot9_Age),1,0)</f>
        <v>0</v>
      </c>
      <c r="CY55" s="1" t="n">
        <f aca="false">IF(AND(Slot9_On=1,Slot9_Age&gt;D55),1,0)</f>
        <v>0</v>
      </c>
      <c r="CZ55" s="1" t="n">
        <f aca="false">RR54</f>
        <v>0</v>
      </c>
      <c r="DA55" s="1" t="n">
        <f aca="false">CX55*MIN(Slot9_Cost,CZ55)</f>
        <v>0</v>
      </c>
      <c r="DB55" s="1" t="n">
        <f aca="false">CX55*Slot9_SpendLike*MIN(Slot9_Cost-DA55,CT55)</f>
        <v>0</v>
      </c>
      <c r="DC55" s="1" t="n">
        <f aca="false">DA55+DB55</f>
        <v>0</v>
      </c>
      <c r="DD55" s="1" t="n">
        <f aca="false">CT55-DB55+CX55*IF(Slot9_SpendLike=1,CZ55-DA55,IF(Slot9_PotFree=1,CZ55,0))</f>
        <v>0</v>
      </c>
      <c r="DE55" s="1" t="n">
        <f aca="false">CU55+CX55*Slot9_BufPot*CZ55</f>
        <v>0</v>
      </c>
      <c r="DF55" s="1" t="n">
        <f aca="false">IF(AND(CX55=1,Slot9_IsMfree=1),IF(DC55&gt;=Slot9_Cost-1,0,MAX(0,CV55-DC55)),CV55)</f>
        <v>0</v>
      </c>
      <c r="DG55" s="1" t="n">
        <f aca="false">CX55*(Slot9_Cost-DC55)</f>
        <v>0</v>
      </c>
      <c r="DH55" s="1" t="n">
        <f aca="false">IF(AND(Slot10_On=1,D55=Slot10_Age),1,0)</f>
        <v>0</v>
      </c>
      <c r="DI55" s="1" t="n">
        <f aca="false">IF(AND(Slot10_On=1,Slot10_Age&gt;D55),1,0)</f>
        <v>0</v>
      </c>
      <c r="DJ55" s="1" t="n">
        <f aca="false">RV54</f>
        <v>0</v>
      </c>
      <c r="DK55" s="1" t="n">
        <f aca="false">DH55*MIN(Slot10_Cost,DJ55)</f>
        <v>0</v>
      </c>
      <c r="DL55" s="1" t="n">
        <f aca="false">DH55*Slot10_SpendLike*MIN(Slot10_Cost-DK55,DD55)</f>
        <v>0</v>
      </c>
      <c r="DM55" s="1" t="n">
        <f aca="false">DK55+DL55</f>
        <v>0</v>
      </c>
      <c r="DN55" s="1" t="n">
        <f aca="false">DD55-DL55+DH55*IF(Slot10_SpendLike=1,DJ55-DK55,IF(Slot10_PotFree=1,DJ55,0))</f>
        <v>0</v>
      </c>
      <c r="DO55" s="1" t="n">
        <f aca="false">DE55+DH55*Slot10_BufPot*DJ55</f>
        <v>0</v>
      </c>
      <c r="DP55" s="1" t="n">
        <f aca="false">IF(AND(DH55=1,Slot10_IsMfree=1),IF(DM55&gt;=Slot10_Cost-1,0,MAX(0,DF55-DM55)),DF55)</f>
        <v>0</v>
      </c>
      <c r="DQ55" s="1" t="n">
        <f aca="false">DH55*(Slot10_Cost-DM55)</f>
        <v>0</v>
      </c>
      <c r="DR55" s="1" t="n">
        <f aca="false">IF(AND(Slot11_On=1,D55=Slot11_Age),1,0)</f>
        <v>0</v>
      </c>
      <c r="DS55" s="1" t="n">
        <f aca="false">IF(AND(Slot11_On=1,Slot11_Age&gt;D55),1,0)</f>
        <v>0</v>
      </c>
      <c r="DT55" s="1" t="n">
        <f aca="false">RZ54</f>
        <v>0</v>
      </c>
      <c r="DU55" s="1" t="n">
        <f aca="false">DR55*MIN(Slot11_Cost,DT55)</f>
        <v>0</v>
      </c>
      <c r="DV55" s="1" t="n">
        <f aca="false">DR55*Slot11_SpendLike*MIN(Slot11_Cost-DU55,DN55)</f>
        <v>0</v>
      </c>
      <c r="DW55" s="1" t="n">
        <f aca="false">DU55+DV55</f>
        <v>0</v>
      </c>
      <c r="DX55" s="1" t="n">
        <f aca="false">DN55-DV55+DR55*IF(Slot11_SpendLike=1,DT55-DU55,IF(Slot11_PotFree=1,DT55,0))</f>
        <v>0</v>
      </c>
      <c r="DY55" s="1" t="n">
        <f aca="false">DO55+DR55*Slot11_BufPot*DT55</f>
        <v>0</v>
      </c>
      <c r="DZ55" s="1" t="n">
        <f aca="false">IF(AND(DR55=1,Slot11_IsMfree=1),IF(DW55&gt;=Slot11_Cost-1,0,MAX(0,DP55-DW55)),DP55)</f>
        <v>0</v>
      </c>
      <c r="EA55" s="1" t="n">
        <f aca="false">DR55*(Slot11_Cost-DW55)</f>
        <v>0</v>
      </c>
      <c r="EB55" s="1" t="n">
        <f aca="false">IF(AND(Slot12_On=1,D55=Slot12_Age),1,0)</f>
        <v>0</v>
      </c>
      <c r="EC55" s="1" t="n">
        <f aca="false">IF(AND(Slot12_On=1,Slot12_Age&gt;D55),1,0)</f>
        <v>0</v>
      </c>
      <c r="ED55" s="1" t="n">
        <f aca="false">SD54</f>
        <v>0</v>
      </c>
      <c r="EE55" s="1" t="n">
        <f aca="false">EB55*MIN(Slot12_Cost,ED55)</f>
        <v>0</v>
      </c>
      <c r="EF55" s="1" t="n">
        <f aca="false">EB55*Slot12_SpendLike*MIN(Slot12_Cost-EE55,DX55)</f>
        <v>0</v>
      </c>
      <c r="EG55" s="1" t="n">
        <f aca="false">EE55+EF55</f>
        <v>0</v>
      </c>
      <c r="EH55" s="1" t="n">
        <f aca="false">DX55-EF55+EB55*IF(Slot12_SpendLike=1,ED55-EE55,IF(Slot12_PotFree=1,ED55,0))</f>
        <v>0</v>
      </c>
      <c r="EI55" s="1" t="n">
        <f aca="false">DY55+EB55*Slot12_BufPot*ED55</f>
        <v>0</v>
      </c>
      <c r="EJ55" s="1" t="n">
        <f aca="false">IF(AND(EB55=1,Slot12_IsMfree=1),IF(EG55&gt;=Slot12_Cost-1,0,MAX(0,DZ55-EG55)),DZ55)</f>
        <v>0</v>
      </c>
      <c r="EK55" s="1" t="n">
        <f aca="false">EB55*(Slot12_Cost-EG55)</f>
        <v>0</v>
      </c>
      <c r="EL55" s="1" t="n">
        <f aca="false">IF(AND(Slot13_On=1,D55=Slot13_Age),1,0)</f>
        <v>0</v>
      </c>
      <c r="EM55" s="1" t="n">
        <f aca="false">IF(AND(Slot13_On=1,Slot13_Age&gt;D55),1,0)</f>
        <v>0</v>
      </c>
      <c r="EN55" s="1" t="n">
        <f aca="false">SH54</f>
        <v>0</v>
      </c>
      <c r="EO55" s="1" t="n">
        <f aca="false">EL55*MIN(Slot13_Cost,EN55)</f>
        <v>0</v>
      </c>
      <c r="EP55" s="1" t="n">
        <f aca="false">EL55*Slot13_SpendLike*MIN(Slot13_Cost-EO55,EH55)</f>
        <v>0</v>
      </c>
      <c r="EQ55" s="1" t="n">
        <f aca="false">EO55+EP55</f>
        <v>0</v>
      </c>
      <c r="ER55" s="1" t="n">
        <f aca="false">EH55-EP55+EL55*IF(Slot13_SpendLike=1,EN55-EO55,IF(Slot13_PotFree=1,EN55,0))</f>
        <v>0</v>
      </c>
      <c r="ES55" s="1" t="n">
        <f aca="false">EI55+EL55*Slot13_BufPot*EN55</f>
        <v>0</v>
      </c>
      <c r="ET55" s="1" t="n">
        <f aca="false">IF(AND(EL55=1,Slot13_IsMfree=1),IF(EQ55&gt;=Slot13_Cost-1,0,MAX(0,EJ55-EQ55)),EJ55)</f>
        <v>0</v>
      </c>
      <c r="EU55" s="1" t="n">
        <f aca="false">EL55*(Slot13_Cost-EQ55)</f>
        <v>0</v>
      </c>
      <c r="EV55" s="1" t="n">
        <f aca="false">IF(AND(Slot14_On=1,D55=Slot14_Age),1,0)</f>
        <v>0</v>
      </c>
      <c r="EW55" s="1" t="n">
        <f aca="false">IF(AND(Slot14_On=1,Slot14_Age&gt;D55),1,0)</f>
        <v>0</v>
      </c>
      <c r="EX55" s="1" t="n">
        <f aca="false">SL54</f>
        <v>0</v>
      </c>
      <c r="EY55" s="1" t="n">
        <f aca="false">EV55*MIN(Slot14_Cost,EX55)</f>
        <v>0</v>
      </c>
      <c r="EZ55" s="1" t="n">
        <f aca="false">EV55*Slot14_SpendLike*MIN(Slot14_Cost-EY55,ER55)</f>
        <v>0</v>
      </c>
      <c r="FA55" s="1" t="n">
        <f aca="false">EY55+EZ55</f>
        <v>0</v>
      </c>
      <c r="FB55" s="1" t="n">
        <f aca="false">ER55-EZ55+EV55*IF(Slot14_SpendLike=1,EX55-EY55,IF(Slot14_PotFree=1,EX55,0))</f>
        <v>0</v>
      </c>
      <c r="FC55" s="1" t="n">
        <f aca="false">ES55+EV55*Slot14_BufPot*EX55</f>
        <v>0</v>
      </c>
      <c r="FD55" s="1" t="n">
        <f aca="false">IF(AND(EV55=1,Slot14_IsMfree=1),IF(FA55&gt;=Slot14_Cost-1,0,MAX(0,ET55-FA55)),ET55)</f>
        <v>0</v>
      </c>
      <c r="FE55" s="1" t="n">
        <f aca="false">EV55*(Slot14_Cost-FA55)</f>
        <v>0</v>
      </c>
      <c r="FF55" s="1" t="n">
        <f aca="false">IF(AND(Slot15_On=1,D55=Slot15_Age),1,0)</f>
        <v>0</v>
      </c>
      <c r="FG55" s="1" t="n">
        <f aca="false">IF(AND(Slot15_On=1,Slot15_Age&gt;D55),1,0)</f>
        <v>0</v>
      </c>
      <c r="FH55" s="1" t="n">
        <f aca="false">SP54</f>
        <v>0</v>
      </c>
      <c r="FI55" s="1" t="n">
        <f aca="false">FF55*MIN(Slot15_Cost,FH55)</f>
        <v>0</v>
      </c>
      <c r="FJ55" s="1" t="n">
        <f aca="false">FF55*Slot15_SpendLike*MIN(Slot15_Cost-FI55,FB55)</f>
        <v>0</v>
      </c>
      <c r="FK55" s="1" t="n">
        <f aca="false">FI55+FJ55</f>
        <v>0</v>
      </c>
      <c r="FL55" s="1" t="n">
        <f aca="false">FB55-FJ55+FF55*IF(Slot15_SpendLike=1,FH55-FI55,IF(Slot15_PotFree=1,FH55,0))</f>
        <v>0</v>
      </c>
      <c r="FM55" s="1" t="n">
        <f aca="false">FC55+FF55*Slot15_BufPot*FH55</f>
        <v>0</v>
      </c>
      <c r="FN55" s="1" t="n">
        <f aca="false">IF(AND(FF55=1,Slot15_IsMfree=1),IF(FK55&gt;=Slot15_Cost-1,0,MAX(0,FD55-FK55)),FD55)</f>
        <v>0</v>
      </c>
      <c r="FO55" s="1" t="n">
        <f aca="false">FF55*(Slot15_Cost-FK55)</f>
        <v>0</v>
      </c>
      <c r="FP55" s="1" t="n">
        <f aca="false">IF(AND(Slot16_On=1,D55=Slot16_Age),1,0)</f>
        <v>0</v>
      </c>
      <c r="FQ55" s="1" t="n">
        <f aca="false">IF(AND(Slot16_On=1,Slot16_Age&gt;D55),1,0)</f>
        <v>0</v>
      </c>
      <c r="FR55" s="1" t="n">
        <f aca="false">ST54</f>
        <v>0</v>
      </c>
      <c r="FS55" s="1" t="n">
        <f aca="false">FP55*MIN(Slot16_Cost,FR55)</f>
        <v>0</v>
      </c>
      <c r="FT55" s="1" t="n">
        <f aca="false">FP55*Slot16_SpendLike*MIN(Slot16_Cost-FS55,FL55)</f>
        <v>0</v>
      </c>
      <c r="FU55" s="1" t="n">
        <f aca="false">FS55+FT55</f>
        <v>0</v>
      </c>
      <c r="FV55" s="1" t="n">
        <f aca="false">FL55-FT55+FP55*IF(Slot16_SpendLike=1,FR55-FS55,IF(Slot16_PotFree=1,FR55,0))</f>
        <v>0</v>
      </c>
      <c r="FW55" s="1" t="n">
        <f aca="false">FM55+FP55*Slot16_BufPot*FR55</f>
        <v>0</v>
      </c>
      <c r="FX55" s="1" t="n">
        <f aca="false">IF(AND(FP55=1,Slot16_IsMfree=1),IF(FU55&gt;=Slot16_Cost-1,0,MAX(0,FN55-FU55)),FN55)</f>
        <v>0</v>
      </c>
      <c r="FY55" s="1" t="n">
        <f aca="false">FP55*(Slot16_Cost-FU55)</f>
        <v>0</v>
      </c>
      <c r="FZ55" s="1" t="n">
        <f aca="false">IF(AND(Slot17_On=1,D55=Slot17_Age),1,0)</f>
        <v>0</v>
      </c>
      <c r="GA55" s="1" t="n">
        <f aca="false">IF(AND(Slot17_On=1,Slot17_Age&gt;D55),1,0)</f>
        <v>0</v>
      </c>
      <c r="GB55" s="1" t="n">
        <f aca="false">SX54</f>
        <v>0</v>
      </c>
      <c r="GC55" s="1" t="n">
        <f aca="false">FZ55*MIN(Slot17_Cost,GB55)</f>
        <v>0</v>
      </c>
      <c r="GD55" s="1" t="n">
        <f aca="false">FZ55*Slot17_SpendLike*MIN(Slot17_Cost-GC55,FV55)</f>
        <v>0</v>
      </c>
      <c r="GE55" s="1" t="n">
        <f aca="false">GC55+GD55</f>
        <v>0</v>
      </c>
      <c r="GF55" s="1" t="n">
        <f aca="false">FV55-GD55+FZ55*IF(Slot17_SpendLike=1,GB55-GC55,IF(Slot17_PotFree=1,GB55,0))</f>
        <v>0</v>
      </c>
      <c r="GG55" s="1" t="n">
        <f aca="false">FW55+FZ55*Slot17_BufPot*GB55</f>
        <v>0</v>
      </c>
      <c r="GH55" s="1" t="n">
        <f aca="false">IF(AND(FZ55=1,Slot17_IsMfree=1),IF(GE55&gt;=Slot17_Cost-1,0,MAX(0,FX55-GE55)),FX55)</f>
        <v>0</v>
      </c>
      <c r="GI55" s="1" t="n">
        <f aca="false">FZ55*(Slot17_Cost-GE55)</f>
        <v>0</v>
      </c>
      <c r="GJ55" s="1" t="n">
        <f aca="false">IF(AND(Slot18_On=1,D55=Slot18_Age),1,0)</f>
        <v>0</v>
      </c>
      <c r="GK55" s="1" t="n">
        <f aca="false">IF(AND(Slot18_On=1,Slot18_Age&gt;D55),1,0)</f>
        <v>0</v>
      </c>
      <c r="GL55" s="1" t="n">
        <f aca="false">TB54</f>
        <v>0</v>
      </c>
      <c r="GM55" s="1" t="n">
        <f aca="false">GJ55*MIN(Slot18_Cost,GL55)</f>
        <v>0</v>
      </c>
      <c r="GN55" s="1" t="n">
        <f aca="false">GJ55*Slot18_SpendLike*MIN(Slot18_Cost-GM55,GF55)</f>
        <v>0</v>
      </c>
      <c r="GO55" s="1" t="n">
        <f aca="false">GM55+GN55</f>
        <v>0</v>
      </c>
      <c r="GP55" s="1" t="n">
        <f aca="false">GF55-GN55+GJ55*IF(Slot18_SpendLike=1,GL55-GM55,IF(Slot18_PotFree=1,GL55,0))</f>
        <v>0</v>
      </c>
      <c r="GQ55" s="1" t="n">
        <f aca="false">GG55+GJ55*Slot18_BufPot*GL55</f>
        <v>0</v>
      </c>
      <c r="GR55" s="1" t="n">
        <f aca="false">IF(AND(GJ55=1,Slot18_IsMfree=1),IF(GO55&gt;=Slot18_Cost-1,0,MAX(0,GH55-GO55)),GH55)</f>
        <v>0</v>
      </c>
      <c r="GS55" s="1" t="n">
        <f aca="false">GJ55*(Slot18_Cost-GO55)</f>
        <v>0</v>
      </c>
      <c r="GT55" s="1" t="n">
        <f aca="false">IF(AND(Slot19_On=1,D55=Slot19_Age),1,0)</f>
        <v>0</v>
      </c>
      <c r="GU55" s="1" t="n">
        <f aca="false">IF(AND(Slot19_On=1,Slot19_Age&gt;D55),1,0)</f>
        <v>0</v>
      </c>
      <c r="GV55" s="1" t="n">
        <f aca="false">TF54</f>
        <v>0</v>
      </c>
      <c r="GW55" s="1" t="n">
        <f aca="false">GT55*MIN(Slot19_Cost,GV55)</f>
        <v>0</v>
      </c>
      <c r="GX55" s="1" t="n">
        <f aca="false">GT55*Slot19_SpendLike*MIN(Slot19_Cost-GW55,GP55)</f>
        <v>0</v>
      </c>
      <c r="GY55" s="1" t="n">
        <f aca="false">GW55+GX55</f>
        <v>0</v>
      </c>
      <c r="GZ55" s="1" t="n">
        <f aca="false">GP55-GX55+GT55*IF(Slot19_SpendLike=1,GV55-GW55,IF(Slot19_PotFree=1,GV55,0))</f>
        <v>0</v>
      </c>
      <c r="HA55" s="1" t="n">
        <f aca="false">GQ55+GT55*Slot19_BufPot*GV55</f>
        <v>0</v>
      </c>
      <c r="HB55" s="1" t="n">
        <f aca="false">IF(AND(GT55=1,Slot19_IsMfree=1),IF(GY55&gt;=Slot19_Cost-1,0,MAX(0,GR55-GY55)),GR55)</f>
        <v>0</v>
      </c>
      <c r="HC55" s="1" t="n">
        <f aca="false">GT55*(Slot19_Cost-GY55)</f>
        <v>0</v>
      </c>
      <c r="HD55" s="1" t="n">
        <f aca="false">IF(AND(Slot20_On=1,D55=Slot20_Age),1,0)</f>
        <v>0</v>
      </c>
      <c r="HE55" s="1" t="n">
        <f aca="false">IF(AND(Slot20_On=1,Slot20_Age&gt;D55),1,0)</f>
        <v>0</v>
      </c>
      <c r="HF55" s="1" t="n">
        <f aca="false">TJ54</f>
        <v>0</v>
      </c>
      <c r="HG55" s="1" t="n">
        <f aca="false">HD55*MIN(Slot20_Cost,HF55)</f>
        <v>0</v>
      </c>
      <c r="HH55" s="1" t="n">
        <f aca="false">HD55*Slot20_SpendLike*MIN(Slot20_Cost-HG55,GZ55)</f>
        <v>0</v>
      </c>
      <c r="HI55" s="1" t="n">
        <f aca="false">HG55+HH55</f>
        <v>0</v>
      </c>
      <c r="HJ55" s="1" t="n">
        <f aca="false">GZ55-HH55+HD55*IF(Slot20_SpendLike=1,HF55-HG55,IF(Slot20_PotFree=1,HF55,0))</f>
        <v>0</v>
      </c>
      <c r="HK55" s="1" t="n">
        <f aca="false">HA55+HD55*Slot20_BufPot*HF55</f>
        <v>0</v>
      </c>
      <c r="HL55" s="1" t="n">
        <f aca="false">IF(AND(HD55=1,Slot20_IsMfree=1),IF(HI55&gt;=Slot20_Cost-1,0,MAX(0,HB55-HI55)),HB55)</f>
        <v>0</v>
      </c>
      <c r="HM55" s="1" t="n">
        <f aca="false">HD55*(Slot20_Cost-HI55)</f>
        <v>0</v>
      </c>
      <c r="HN55" s="1" t="n">
        <f aca="false">U55*Slot1_SpendLike*Z55+AF55*Slot2_SpendLike*AK55+AP55*Slot3_SpendLike*AU55+AZ55*Slot4_SpendLike*BE55+BJ55*Slot5_SpendLike*BO55+BT55*Slot6_SpendLike*BY55+CD55*Slot7_SpendLike*CI55+CN55*Slot8_SpendLike*CS55+CX55*Slot9_SpendLike*DC55+DH55*Slot10_SpendLike*DM55+DR55*Slot11_SpendLike*DW55+EB55*Slot12_SpendLike*EG55+EL55*Slot13_SpendLike*EQ55+EV55*Slot14_SpendLike*FA55+FF55*Slot15_SpendLike*FK55+FP55*Slot16_SpendLike*FU55+FZ55*Slot17_SpendLike*GE55+GJ55*Slot18_SpendLike*GO55+GT55*Slot19_SpendLike*GY55+HD55*Slot20_SpendLike*HI55</f>
        <v>0</v>
      </c>
      <c r="HO55" s="1" t="n">
        <f aca="false">AD55+AO55+AY55+BI55+BS55+CC55+CM55+CW55+DG55+DQ55+EA55+EK55+EU55+FE55+FO55+FY55+GI55+GS55+HC55+HM55</f>
        <v>0</v>
      </c>
      <c r="HP55" s="1" t="n">
        <f aca="false">U55*Slot1_Cost+AF55*Slot2_Cost+AP55*Slot3_Cost+AZ55*Slot4_Cost+BJ55*Slot5_Cost+BT55*Slot6_Cost+CD55*Slot7_Cost+CN55*Slot8_Cost+CX55*Slot9_Cost+DH55*Slot10_Cost+DR55*Slot11_Cost+EB55*Slot12_Cost+EL55*Slot13_Cost+EV55*Slot14_Cost+FF55*Slot15_Cost+FP55*Slot16_Cost+FZ55*Slot17_Cost+GJ55*Slot18_Cost+GT55*Slot19_Cost+HD55*Slot20_Cost</f>
        <v>0</v>
      </c>
      <c r="HQ55" s="1" t="n">
        <f aca="false">HL55</f>
        <v>0</v>
      </c>
      <c r="HR55" s="1" t="n">
        <f aca="false">G55-H55-R55</f>
        <v>0</v>
      </c>
      <c r="HS55" s="1" t="n">
        <f aca="false">IF(B55=0,IF(AND(Has_q6=1,In_q6=4),PR_ShareVaries*(MAX(0,HR55)/12),MIN(IF(Has_q6=1,CHOOSE(In_q6+1,PR_SaveB1,PR_SaveB2,PR_SaveB3,PR_SaveB4,0),AS_NoAnswer),AS_SaveShare*(MAX(0,HR55)/12))),HS54)</f>
        <v>0</v>
      </c>
      <c r="HT55" s="1" t="n">
        <f aca="false">IF(HR55&gt;=0,1,0)</f>
        <v>1</v>
      </c>
      <c r="HU55" s="1" t="n">
        <f aca="false">MAX(0,HR55/12/E55)</f>
        <v>0</v>
      </c>
      <c r="HV55" s="1" t="n">
        <f aca="false">IF(AND(Has_q6=1,In_q6=4),PR_ShareVaries*(HU55),MIN(IF(Has_q6=1,CHOOSE(In_q6+1,PR_SaveB1,PR_SaveB2,PR_SaveB3,PR_SaveB4,0),AS_NoAnswer),AS_SaveShare*(HU55)))</f>
        <v>0</v>
      </c>
      <c r="HW55" s="1" t="n">
        <f aca="false">IF(Has_saveM=1,IF(In_saveUp="Yes",1,IF(In_saveUp="No",0,IF(In_saveM&gt;=HS55-0.5,1,0))),0)</f>
        <v>0</v>
      </c>
      <c r="HX55" s="1" t="n">
        <f aca="false">IF(Has_saveM=1,MIN(HU55,IF(HW55=1,MAX(In_saveM,HV55),MIN(In_saveM,HV55))),HV55)</f>
        <v>0</v>
      </c>
      <c r="HY55" s="1" t="n">
        <f aca="false">IF(F55=1,HX55*12*E55,0)</f>
        <v>0</v>
      </c>
      <c r="HZ55" s="1" t="n">
        <f aca="false">MAX(0,HY55+IF(AND(WI_Retire=0,WI_M&lt;0,F55=1),WI_M*12*E55,0))</f>
        <v>0</v>
      </c>
      <c r="IA55" s="1" t="n">
        <f aca="false">Slot1_IsWG*V55+Slot2_IsWG*AG55+Slot3_IsWG*AQ55+Slot4_IsWG*BA55+Slot5_IsWG*BK55+Slot6_IsWG*BU55+Slot7_IsWG*CE55+Slot8_IsWG*CO55+Slot9_IsWG*CY55+Slot10_IsWG*DI55+Slot11_IsWG*DS55+Slot12_IsWG*EC55+Slot13_IsWG*EM55+Slot14_IsWG*EW55+Slot15_IsWG*FG55+Slot16_IsWG*FQ55+Slot17_IsWG*GA55+Slot18_IsWG*GK55+Slot19_IsWG*GU55+Slot20_IsWG*HE55</f>
        <v>0</v>
      </c>
      <c r="IB55" s="1" t="n">
        <f aca="false">IF(AND(WI_Retire=0,WI_M&gt;0,F55=1,IA55&gt;=1),WI_M*12*E55,0)</f>
        <v>0</v>
      </c>
      <c r="IC55" s="1" t="n">
        <f aca="false">IF(HT55=1,MIN(HZ55,HR55),0)</f>
        <v>0</v>
      </c>
      <c r="ID55" s="1" t="n">
        <f aca="false">IF(HT55=1,MIN(IB55,HR55-IC55),0)</f>
        <v>0</v>
      </c>
      <c r="IE55" s="1" t="n">
        <f aca="false">IF(V55=1,IF(ABS((1+AS_Wage)/(1+Slot1_Rate)-1)&lt;0.000000000001,(Slot1_Age-D55)*(1+Slot1_Rate)^(Slot1_Age-D55),(1+Slot1_Rate)^(Slot1_Age-D55)*(1-((1+AS_Wage)/(1+Slot1_Rate))^(Slot1_Age-D55))/(1-(1+AS_Wage)/(1+Slot1_Rate))),1)</f>
        <v>1</v>
      </c>
      <c r="IF55" s="1" t="n">
        <f aca="false">IF(AND(HT55=1,ID55&gt;0,Slot1_IsWG=1,V55=1),MAX(0,(Slot1_Cost-W55*(1+Slot1_Rate)^(Slot1_Age-D55))/IE55),0)</f>
        <v>0</v>
      </c>
      <c r="IG55" s="1" t="n">
        <f aca="false">IF(AND(HT55=1,ID55&gt;0,Slot1_IsWG=1,V55=1),MIN(ID55,IF55),0)</f>
        <v>0</v>
      </c>
      <c r="IH55" s="1" t="n">
        <f aca="false">W55+IG55</f>
        <v>0</v>
      </c>
      <c r="II55" s="1" t="n">
        <f aca="false">IF(V55=1,MAX(0,(Slot1_Cost-IH55*(1+Slot1_Rate)^(Slot1_Age-D55))/IE55),0)</f>
        <v>0</v>
      </c>
      <c r="IJ55" s="1" t="n">
        <f aca="false">IF(V55=1,MAX(0,(Slot1_Cost-W55*(1+Slot1_Rate)^(Slot1_Age-D55))/IE55),0)</f>
        <v>0</v>
      </c>
      <c r="IK55" s="1" t="n">
        <f aca="false">IF(AND(HT55=1,V55=1),MIN(IC55,II55),0)</f>
        <v>0</v>
      </c>
      <c r="IL55" s="1" t="n">
        <f aca="false">IC55-IK55</f>
        <v>0</v>
      </c>
      <c r="IM55" s="1" t="n">
        <f aca="false">IF(AG55=1,IF(ABS((1+AS_Wage)/(1+Slot2_Rate)-1)&lt;0.000000000001,(Slot2_Age-D55)*(1+Slot2_Rate)^(Slot2_Age-D55),(1+Slot2_Rate)^(Slot2_Age-D55)*(1-((1+AS_Wage)/(1+Slot2_Rate))^(Slot2_Age-D55))/(1-(1+AS_Wage)/(1+Slot2_Rate))),1)</f>
        <v>1</v>
      </c>
      <c r="IN55" s="1" t="n">
        <f aca="false">IF(AND(HT55=1,ID55&gt;0,Slot2_IsWG=1,AG55=1),MAX(0,(Slot2_Cost-AH55*(1+Slot2_Rate)^(Slot2_Age-D55))/IM55),0)</f>
        <v>0</v>
      </c>
      <c r="IO55" s="1" t="n">
        <f aca="false">IF(AND(HT55=1,ID55&gt;0,Slot2_IsWG=1,AG55=1),MIN(ID55,IN55),0)</f>
        <v>0</v>
      </c>
      <c r="IP55" s="1" t="n">
        <f aca="false">AH55+IO55</f>
        <v>0</v>
      </c>
      <c r="IQ55" s="1" t="n">
        <f aca="false">IF(AG55=1,MAX(0,(Slot2_Cost-IP55*(1+Slot2_Rate)^(Slot2_Age-D55))/IM55),0)</f>
        <v>0</v>
      </c>
      <c r="IR55" s="1" t="n">
        <f aca="false">IF(AG55=1,MAX(0,(Slot2_Cost-AH55*(1+Slot2_Rate)^(Slot2_Age-D55))/IM55),0)</f>
        <v>0</v>
      </c>
      <c r="IS55" s="1" t="n">
        <f aca="false">IF(AND(HT55=1,AG55=1),MIN(IL55,IQ55),0)</f>
        <v>0</v>
      </c>
      <c r="IT55" s="1" t="n">
        <f aca="false">IL55-IS55</f>
        <v>0</v>
      </c>
      <c r="IU55" s="1" t="n">
        <f aca="false">IF(AQ55=1,IF(ABS((1+AS_Wage)/(1+Slot3_Rate)-1)&lt;0.000000000001,(Slot3_Age-D55)*(1+Slot3_Rate)^(Slot3_Age-D55),(1+Slot3_Rate)^(Slot3_Age-D55)*(1-((1+AS_Wage)/(1+Slot3_Rate))^(Slot3_Age-D55))/(1-(1+AS_Wage)/(1+Slot3_Rate))),1)</f>
        <v>1</v>
      </c>
      <c r="IV55" s="1" t="n">
        <f aca="false">IF(AND(HT55=1,ID55&gt;0,Slot3_IsWG=1,AQ55=1),MAX(0,(Slot3_Cost-AR55*(1+Slot3_Rate)^(Slot3_Age-D55))/IU55),0)</f>
        <v>0</v>
      </c>
      <c r="IW55" s="1" t="n">
        <f aca="false">IF(AND(HT55=1,ID55&gt;0,Slot3_IsWG=1,AQ55=1),MIN(ID55,IV55),0)</f>
        <v>0</v>
      </c>
      <c r="IX55" s="1" t="n">
        <f aca="false">AR55+IW55</f>
        <v>0</v>
      </c>
      <c r="IY55" s="1" t="n">
        <f aca="false">IF(AQ55=1,MAX(0,(Slot3_Cost-IX55*(1+Slot3_Rate)^(Slot3_Age-D55))/IU55),0)</f>
        <v>0</v>
      </c>
      <c r="IZ55" s="1" t="n">
        <f aca="false">IF(AQ55=1,MAX(0,(Slot3_Cost-AR55*(1+Slot3_Rate)^(Slot3_Age-D55))/IU55),0)</f>
        <v>0</v>
      </c>
      <c r="JA55" s="1" t="n">
        <f aca="false">IF(AND(HT55=1,AQ55=1),MIN(IT55,IY55),0)</f>
        <v>0</v>
      </c>
      <c r="JB55" s="1" t="n">
        <f aca="false">IT55-JA55</f>
        <v>0</v>
      </c>
      <c r="JC55" s="1" t="n">
        <f aca="false">IF(BA55=1,IF(ABS((1+AS_Wage)/(1+Slot4_Rate)-1)&lt;0.000000000001,(Slot4_Age-D55)*(1+Slot4_Rate)^(Slot4_Age-D55),(1+Slot4_Rate)^(Slot4_Age-D55)*(1-((1+AS_Wage)/(1+Slot4_Rate))^(Slot4_Age-D55))/(1-(1+AS_Wage)/(1+Slot4_Rate))),1)</f>
        <v>1</v>
      </c>
      <c r="JD55" s="1" t="n">
        <f aca="false">IF(AND(HT55=1,ID55&gt;0,Slot4_IsWG=1,BA55=1),MAX(0,(Slot4_Cost-BB55*(1+Slot4_Rate)^(Slot4_Age-D55))/JC55),0)</f>
        <v>0</v>
      </c>
      <c r="JE55" s="1" t="n">
        <f aca="false">IF(AND(HT55=1,ID55&gt;0,Slot4_IsWG=1,BA55=1),MIN(ID55,JD55),0)</f>
        <v>0</v>
      </c>
      <c r="JF55" s="1" t="n">
        <f aca="false">BB55+JE55</f>
        <v>0</v>
      </c>
      <c r="JG55" s="1" t="n">
        <f aca="false">IF(BA55=1,MAX(0,(Slot4_Cost-JF55*(1+Slot4_Rate)^(Slot4_Age-D55))/JC55),0)</f>
        <v>0</v>
      </c>
      <c r="JH55" s="1" t="n">
        <f aca="false">IF(BA55=1,MAX(0,(Slot4_Cost-BB55*(1+Slot4_Rate)^(Slot4_Age-D55))/JC55),0)</f>
        <v>0</v>
      </c>
      <c r="JI55" s="1" t="n">
        <f aca="false">IF(AND(HT55=1,BA55=1),MIN(JB55,JG55),0)</f>
        <v>0</v>
      </c>
      <c r="JJ55" s="1" t="n">
        <f aca="false">JB55-JI55</f>
        <v>0</v>
      </c>
      <c r="JK55" s="1" t="n">
        <f aca="false">IF(BK55=1,IF(ABS((1+AS_Wage)/(1+Slot5_Rate)-1)&lt;0.000000000001,(Slot5_Age-D55)*(1+Slot5_Rate)^(Slot5_Age-D55),(1+Slot5_Rate)^(Slot5_Age-D55)*(1-((1+AS_Wage)/(1+Slot5_Rate))^(Slot5_Age-D55))/(1-(1+AS_Wage)/(1+Slot5_Rate))),1)</f>
        <v>1</v>
      </c>
      <c r="JL55" s="1" t="n">
        <f aca="false">IF(AND(HT55=1,ID55&gt;0,Slot5_IsWG=1,BK55=1),MAX(0,(Slot5_Cost-BL55*(1+Slot5_Rate)^(Slot5_Age-D55))/JK55),0)</f>
        <v>0</v>
      </c>
      <c r="JM55" s="1" t="n">
        <f aca="false">IF(AND(HT55=1,ID55&gt;0,Slot5_IsWG=1,BK55=1),MIN(ID55,JL55),0)</f>
        <v>0</v>
      </c>
      <c r="JN55" s="1" t="n">
        <f aca="false">BL55+JM55</f>
        <v>0</v>
      </c>
      <c r="JO55" s="1" t="n">
        <f aca="false">IF(BK55=1,MAX(0,(Slot5_Cost-JN55*(1+Slot5_Rate)^(Slot5_Age-D55))/JK55),0)</f>
        <v>0</v>
      </c>
      <c r="JP55" s="1" t="n">
        <f aca="false">IF(BK55=1,MAX(0,(Slot5_Cost-BL55*(1+Slot5_Rate)^(Slot5_Age-D55))/JK55),0)</f>
        <v>0</v>
      </c>
      <c r="JQ55" s="1" t="n">
        <f aca="false">IF(AND(HT55=1,BK55=1),MIN(JJ55,JO55),0)</f>
        <v>0</v>
      </c>
      <c r="JR55" s="1" t="n">
        <f aca="false">JJ55-JQ55</f>
        <v>0</v>
      </c>
      <c r="JS55" s="1" t="n">
        <f aca="false">IF(BU55=1,IF(ABS((1+AS_Wage)/(1+Slot6_Rate)-1)&lt;0.000000000001,(Slot6_Age-D55)*(1+Slot6_Rate)^(Slot6_Age-D55),(1+Slot6_Rate)^(Slot6_Age-D55)*(1-((1+AS_Wage)/(1+Slot6_Rate))^(Slot6_Age-D55))/(1-(1+AS_Wage)/(1+Slot6_Rate))),1)</f>
        <v>1</v>
      </c>
      <c r="JT55" s="1" t="n">
        <f aca="false">IF(AND(HT55=1,ID55&gt;0,Slot6_IsWG=1,BU55=1),MAX(0,(Slot6_Cost-BV55*(1+Slot6_Rate)^(Slot6_Age-D55))/JS55),0)</f>
        <v>0</v>
      </c>
      <c r="JU55" s="1" t="n">
        <f aca="false">IF(AND(HT55=1,ID55&gt;0,Slot6_IsWG=1,BU55=1),MIN(ID55,JT55),0)</f>
        <v>0</v>
      </c>
      <c r="JV55" s="1" t="n">
        <f aca="false">BV55+JU55</f>
        <v>0</v>
      </c>
      <c r="JW55" s="1" t="n">
        <f aca="false">IF(BU55=1,MAX(0,(Slot6_Cost-JV55*(1+Slot6_Rate)^(Slot6_Age-D55))/JS55),0)</f>
        <v>0</v>
      </c>
      <c r="JX55" s="1" t="n">
        <f aca="false">IF(BU55=1,MAX(0,(Slot6_Cost-BV55*(1+Slot6_Rate)^(Slot6_Age-D55))/JS55),0)</f>
        <v>0</v>
      </c>
      <c r="JY55" s="1" t="n">
        <f aca="false">IF(AND(HT55=1,BU55=1),MIN(JR55,JW55),0)</f>
        <v>0</v>
      </c>
      <c r="JZ55" s="1" t="n">
        <f aca="false">JR55-JY55</f>
        <v>0</v>
      </c>
      <c r="KA55" s="1" t="n">
        <f aca="false">IF(CE55=1,IF(ABS((1+AS_Wage)/(1+Slot7_Rate)-1)&lt;0.000000000001,(Slot7_Age-D55)*(1+Slot7_Rate)^(Slot7_Age-D55),(1+Slot7_Rate)^(Slot7_Age-D55)*(1-((1+AS_Wage)/(1+Slot7_Rate))^(Slot7_Age-D55))/(1-(1+AS_Wage)/(1+Slot7_Rate))),1)</f>
        <v>1</v>
      </c>
      <c r="KB55" s="1" t="n">
        <f aca="false">IF(AND(HT55=1,ID55&gt;0,Slot7_IsWG=1,CE55=1),MAX(0,(Slot7_Cost-CF55*(1+Slot7_Rate)^(Slot7_Age-D55))/KA55),0)</f>
        <v>0</v>
      </c>
      <c r="KC55" s="1" t="n">
        <f aca="false">IF(AND(HT55=1,ID55&gt;0,Slot7_IsWG=1,CE55=1),MIN(ID55,KB55),0)</f>
        <v>0</v>
      </c>
      <c r="KD55" s="1" t="n">
        <f aca="false">CF55+KC55</f>
        <v>0</v>
      </c>
      <c r="KE55" s="1" t="n">
        <f aca="false">IF(CE55=1,MAX(0,(Slot7_Cost-KD55*(1+Slot7_Rate)^(Slot7_Age-D55))/KA55),0)</f>
        <v>0</v>
      </c>
      <c r="KF55" s="1" t="n">
        <f aca="false">IF(CE55=1,MAX(0,(Slot7_Cost-CF55*(1+Slot7_Rate)^(Slot7_Age-D55))/KA55),0)</f>
        <v>0</v>
      </c>
      <c r="KG55" s="1" t="n">
        <f aca="false">IF(AND(HT55=1,CE55=1),MIN(JZ55,KE55),0)</f>
        <v>0</v>
      </c>
      <c r="KH55" s="1" t="n">
        <f aca="false">JZ55-KG55</f>
        <v>0</v>
      </c>
      <c r="KI55" s="1" t="n">
        <f aca="false">IF(CO55=1,IF(ABS((1+AS_Wage)/(1+Slot8_Rate)-1)&lt;0.000000000001,(Slot8_Age-D55)*(1+Slot8_Rate)^(Slot8_Age-D55),(1+Slot8_Rate)^(Slot8_Age-D55)*(1-((1+AS_Wage)/(1+Slot8_Rate))^(Slot8_Age-D55))/(1-(1+AS_Wage)/(1+Slot8_Rate))),1)</f>
        <v>1</v>
      </c>
      <c r="KJ55" s="1" t="n">
        <f aca="false">IF(AND(HT55=1,ID55&gt;0,Slot8_IsWG=1,CO55=1),MAX(0,(Slot8_Cost-CP55*(1+Slot8_Rate)^(Slot8_Age-D55))/KI55),0)</f>
        <v>0</v>
      </c>
      <c r="KK55" s="1" t="n">
        <f aca="false">IF(AND(HT55=1,ID55&gt;0,Slot8_IsWG=1,CO55=1),MIN(ID55,KJ55),0)</f>
        <v>0</v>
      </c>
      <c r="KL55" s="1" t="n">
        <f aca="false">CP55+KK55</f>
        <v>0</v>
      </c>
      <c r="KM55" s="1" t="n">
        <f aca="false">IF(CO55=1,MAX(0,(Slot8_Cost-KL55*(1+Slot8_Rate)^(Slot8_Age-D55))/KI55),0)</f>
        <v>0</v>
      </c>
      <c r="KN55" s="1" t="n">
        <f aca="false">IF(CO55=1,MAX(0,(Slot8_Cost-CP55*(1+Slot8_Rate)^(Slot8_Age-D55))/KI55),0)</f>
        <v>0</v>
      </c>
      <c r="KO55" s="1" t="n">
        <f aca="false">IF(AND(HT55=1,CO55=1),MIN(KH55,KM55),0)</f>
        <v>0</v>
      </c>
      <c r="KP55" s="1" t="n">
        <f aca="false">KH55-KO55</f>
        <v>0</v>
      </c>
      <c r="KQ55" s="1" t="n">
        <f aca="false">IF(CY55=1,IF(ABS((1+AS_Wage)/(1+Slot9_Rate)-1)&lt;0.000000000001,(Slot9_Age-D55)*(1+Slot9_Rate)^(Slot9_Age-D55),(1+Slot9_Rate)^(Slot9_Age-D55)*(1-((1+AS_Wage)/(1+Slot9_Rate))^(Slot9_Age-D55))/(1-(1+AS_Wage)/(1+Slot9_Rate))),1)</f>
        <v>1</v>
      </c>
      <c r="KR55" s="1" t="n">
        <f aca="false">IF(AND(HT55=1,ID55&gt;0,Slot9_IsWG=1,CY55=1),MAX(0,(Slot9_Cost-CZ55*(1+Slot9_Rate)^(Slot9_Age-D55))/KQ55),0)</f>
        <v>0</v>
      </c>
      <c r="KS55" s="1" t="n">
        <f aca="false">IF(AND(HT55=1,ID55&gt;0,Slot9_IsWG=1,CY55=1),MIN(ID55,KR55),0)</f>
        <v>0</v>
      </c>
      <c r="KT55" s="1" t="n">
        <f aca="false">CZ55+KS55</f>
        <v>0</v>
      </c>
      <c r="KU55" s="1" t="n">
        <f aca="false">IF(CY55=1,MAX(0,(Slot9_Cost-KT55*(1+Slot9_Rate)^(Slot9_Age-D55))/KQ55),0)</f>
        <v>0</v>
      </c>
      <c r="KV55" s="1" t="n">
        <f aca="false">IF(CY55=1,MAX(0,(Slot9_Cost-CZ55*(1+Slot9_Rate)^(Slot9_Age-D55))/KQ55),0)</f>
        <v>0</v>
      </c>
      <c r="KW55" s="1" t="n">
        <f aca="false">IF(AND(HT55=1,CY55=1),MIN(KP55,KU55),0)</f>
        <v>0</v>
      </c>
      <c r="KX55" s="1" t="n">
        <f aca="false">KP55-KW55</f>
        <v>0</v>
      </c>
      <c r="KY55" s="1" t="n">
        <f aca="false">IF(DI55=1,IF(ABS((1+AS_Wage)/(1+Slot10_Rate)-1)&lt;0.000000000001,(Slot10_Age-D55)*(1+Slot10_Rate)^(Slot10_Age-D55),(1+Slot10_Rate)^(Slot10_Age-D55)*(1-((1+AS_Wage)/(1+Slot10_Rate))^(Slot10_Age-D55))/(1-(1+AS_Wage)/(1+Slot10_Rate))),1)</f>
        <v>1</v>
      </c>
      <c r="KZ55" s="1" t="n">
        <f aca="false">IF(AND(HT55=1,ID55&gt;0,Slot10_IsWG=1,DI55=1),MAX(0,(Slot10_Cost-DJ55*(1+Slot10_Rate)^(Slot10_Age-D55))/KY55),0)</f>
        <v>0</v>
      </c>
      <c r="LA55" s="1" t="n">
        <f aca="false">IF(AND(HT55=1,ID55&gt;0,Slot10_IsWG=1,DI55=1),MIN(ID55,KZ55),0)</f>
        <v>0</v>
      </c>
      <c r="LB55" s="1" t="n">
        <f aca="false">DJ55+LA55</f>
        <v>0</v>
      </c>
      <c r="LC55" s="1" t="n">
        <f aca="false">IF(DI55=1,MAX(0,(Slot10_Cost-LB55*(1+Slot10_Rate)^(Slot10_Age-D55))/KY55),0)</f>
        <v>0</v>
      </c>
      <c r="LD55" s="1" t="n">
        <f aca="false">IF(DI55=1,MAX(0,(Slot10_Cost-DJ55*(1+Slot10_Rate)^(Slot10_Age-D55))/KY55),0)</f>
        <v>0</v>
      </c>
      <c r="LE55" s="1" t="n">
        <f aca="false">IF(AND(HT55=1,DI55=1),MIN(KX55,LC55),0)</f>
        <v>0</v>
      </c>
      <c r="LF55" s="1" t="n">
        <f aca="false">KX55-LE55</f>
        <v>0</v>
      </c>
      <c r="LG55" s="1" t="n">
        <f aca="false">IF(DS55=1,IF(ABS((1+AS_Wage)/(1+Slot11_Rate)-1)&lt;0.000000000001,(Slot11_Age-D55)*(1+Slot11_Rate)^(Slot11_Age-D55),(1+Slot11_Rate)^(Slot11_Age-D55)*(1-((1+AS_Wage)/(1+Slot11_Rate))^(Slot11_Age-D55))/(1-(1+AS_Wage)/(1+Slot11_Rate))),1)</f>
        <v>1</v>
      </c>
      <c r="LH55" s="1" t="n">
        <f aca="false">IF(AND(HT55=1,ID55&gt;0,Slot11_IsWG=1,DS55=1),MAX(0,(Slot11_Cost-DT55*(1+Slot11_Rate)^(Slot11_Age-D55))/LG55),0)</f>
        <v>0</v>
      </c>
      <c r="LI55" s="1" t="n">
        <f aca="false">IF(AND(HT55=1,ID55&gt;0,Slot11_IsWG=1,DS55=1),MIN(ID55,LH55),0)</f>
        <v>0</v>
      </c>
      <c r="LJ55" s="1" t="n">
        <f aca="false">DT55+LI55</f>
        <v>0</v>
      </c>
      <c r="LK55" s="1" t="n">
        <f aca="false">IF(DS55=1,MAX(0,(Slot11_Cost-LJ55*(1+Slot11_Rate)^(Slot11_Age-D55))/LG55),0)</f>
        <v>0</v>
      </c>
      <c r="LL55" s="1" t="n">
        <f aca="false">IF(DS55=1,MAX(0,(Slot11_Cost-DT55*(1+Slot11_Rate)^(Slot11_Age-D55))/LG55),0)</f>
        <v>0</v>
      </c>
      <c r="LM55" s="1" t="n">
        <f aca="false">IF(AND(HT55=1,DS55=1),MIN(LF55,LK55),0)</f>
        <v>0</v>
      </c>
      <c r="LN55" s="1" t="n">
        <f aca="false">LF55-LM55</f>
        <v>0</v>
      </c>
      <c r="LO55" s="1" t="n">
        <f aca="false">IF(EC55=1,IF(ABS((1+AS_Wage)/(1+Slot12_Rate)-1)&lt;0.000000000001,(Slot12_Age-D55)*(1+Slot12_Rate)^(Slot12_Age-D55),(1+Slot12_Rate)^(Slot12_Age-D55)*(1-((1+AS_Wage)/(1+Slot12_Rate))^(Slot12_Age-D55))/(1-(1+AS_Wage)/(1+Slot12_Rate))),1)</f>
        <v>1</v>
      </c>
      <c r="LP55" s="1" t="n">
        <f aca="false">IF(AND(HT55=1,ID55&gt;0,Slot12_IsWG=1,EC55=1),MAX(0,(Slot12_Cost-ED55*(1+Slot12_Rate)^(Slot12_Age-D55))/LO55),0)</f>
        <v>0</v>
      </c>
      <c r="LQ55" s="1" t="n">
        <f aca="false">IF(AND(HT55=1,ID55&gt;0,Slot12_IsWG=1,EC55=1),MIN(ID55,LP55),0)</f>
        <v>0</v>
      </c>
      <c r="LR55" s="1" t="n">
        <f aca="false">ED55+LQ55</f>
        <v>0</v>
      </c>
      <c r="LS55" s="1" t="n">
        <f aca="false">IF(EC55=1,MAX(0,(Slot12_Cost-LR55*(1+Slot12_Rate)^(Slot12_Age-D55))/LO55),0)</f>
        <v>0</v>
      </c>
      <c r="LT55" s="1" t="n">
        <f aca="false">IF(EC55=1,MAX(0,(Slot12_Cost-ED55*(1+Slot12_Rate)^(Slot12_Age-D55))/LO55),0)</f>
        <v>0</v>
      </c>
      <c r="LU55" s="1" t="n">
        <f aca="false">IF(AND(HT55=1,EC55=1),MIN(LN55,LS55),0)</f>
        <v>0</v>
      </c>
      <c r="LV55" s="1" t="n">
        <f aca="false">LN55-LU55</f>
        <v>0</v>
      </c>
      <c r="LW55" s="1" t="n">
        <f aca="false">IF(EM55=1,IF(ABS((1+AS_Wage)/(1+Slot13_Rate)-1)&lt;0.000000000001,(Slot13_Age-D55)*(1+Slot13_Rate)^(Slot13_Age-D55),(1+Slot13_Rate)^(Slot13_Age-D55)*(1-((1+AS_Wage)/(1+Slot13_Rate))^(Slot13_Age-D55))/(1-(1+AS_Wage)/(1+Slot13_Rate))),1)</f>
        <v>1</v>
      </c>
      <c r="LX55" s="1" t="n">
        <f aca="false">IF(AND(HT55=1,ID55&gt;0,Slot13_IsWG=1,EM55=1),MAX(0,(Slot13_Cost-EN55*(1+Slot13_Rate)^(Slot13_Age-D55))/LW55),0)</f>
        <v>0</v>
      </c>
      <c r="LY55" s="1" t="n">
        <f aca="false">IF(AND(HT55=1,ID55&gt;0,Slot13_IsWG=1,EM55=1),MIN(ID55,LX55),0)</f>
        <v>0</v>
      </c>
      <c r="LZ55" s="1" t="n">
        <f aca="false">EN55+LY55</f>
        <v>0</v>
      </c>
      <c r="MA55" s="1" t="n">
        <f aca="false">IF(EM55=1,MAX(0,(Slot13_Cost-LZ55*(1+Slot13_Rate)^(Slot13_Age-D55))/LW55),0)</f>
        <v>0</v>
      </c>
      <c r="MB55" s="1" t="n">
        <f aca="false">IF(EM55=1,MAX(0,(Slot13_Cost-EN55*(1+Slot13_Rate)^(Slot13_Age-D55))/LW55),0)</f>
        <v>0</v>
      </c>
      <c r="MC55" s="1" t="n">
        <f aca="false">IF(AND(HT55=1,EM55=1),MIN(LV55,MA55),0)</f>
        <v>0</v>
      </c>
      <c r="MD55" s="1" t="n">
        <f aca="false">LV55-MC55</f>
        <v>0</v>
      </c>
      <c r="ME55" s="1" t="n">
        <f aca="false">IF(EW55=1,IF(ABS((1+AS_Wage)/(1+Slot14_Rate)-1)&lt;0.000000000001,(Slot14_Age-D55)*(1+Slot14_Rate)^(Slot14_Age-D55),(1+Slot14_Rate)^(Slot14_Age-D55)*(1-((1+AS_Wage)/(1+Slot14_Rate))^(Slot14_Age-D55))/(1-(1+AS_Wage)/(1+Slot14_Rate))),1)</f>
        <v>1</v>
      </c>
      <c r="MF55" s="1" t="n">
        <f aca="false">IF(AND(HT55=1,ID55&gt;0,Slot14_IsWG=1,EW55=1),MAX(0,(Slot14_Cost-EX55*(1+Slot14_Rate)^(Slot14_Age-D55))/ME55),0)</f>
        <v>0</v>
      </c>
      <c r="MG55" s="1" t="n">
        <f aca="false">IF(AND(HT55=1,ID55&gt;0,Slot14_IsWG=1,EW55=1),MIN(ID55,MF55),0)</f>
        <v>0</v>
      </c>
      <c r="MH55" s="1" t="n">
        <f aca="false">EX55+MG55</f>
        <v>0</v>
      </c>
      <c r="MI55" s="1" t="n">
        <f aca="false">IF(EW55=1,MAX(0,(Slot14_Cost-MH55*(1+Slot14_Rate)^(Slot14_Age-D55))/ME55),0)</f>
        <v>0</v>
      </c>
      <c r="MJ55" s="1" t="n">
        <f aca="false">IF(EW55=1,MAX(0,(Slot14_Cost-EX55*(1+Slot14_Rate)^(Slot14_Age-D55))/ME55),0)</f>
        <v>0</v>
      </c>
      <c r="MK55" s="1" t="n">
        <f aca="false">IF(AND(HT55=1,EW55=1),MIN(MD55,MI55),0)</f>
        <v>0</v>
      </c>
      <c r="ML55" s="1" t="n">
        <f aca="false">MD55-MK55</f>
        <v>0</v>
      </c>
      <c r="MM55" s="1" t="n">
        <f aca="false">IF(FG55=1,IF(ABS((1+AS_Wage)/(1+Slot15_Rate)-1)&lt;0.000000000001,(Slot15_Age-D55)*(1+Slot15_Rate)^(Slot15_Age-D55),(1+Slot15_Rate)^(Slot15_Age-D55)*(1-((1+AS_Wage)/(1+Slot15_Rate))^(Slot15_Age-D55))/(1-(1+AS_Wage)/(1+Slot15_Rate))),1)</f>
        <v>1</v>
      </c>
      <c r="MN55" s="1" t="n">
        <f aca="false">IF(AND(HT55=1,ID55&gt;0,Slot15_IsWG=1,FG55=1),MAX(0,(Slot15_Cost-FH55*(1+Slot15_Rate)^(Slot15_Age-D55))/MM55),0)</f>
        <v>0</v>
      </c>
      <c r="MO55" s="1" t="n">
        <f aca="false">IF(AND(HT55=1,ID55&gt;0,Slot15_IsWG=1,FG55=1),MIN(ID55,MN55),0)</f>
        <v>0</v>
      </c>
      <c r="MP55" s="1" t="n">
        <f aca="false">FH55+MO55</f>
        <v>0</v>
      </c>
      <c r="MQ55" s="1" t="n">
        <f aca="false">IF(FG55=1,MAX(0,(Slot15_Cost-MP55*(1+Slot15_Rate)^(Slot15_Age-D55))/MM55),0)</f>
        <v>0</v>
      </c>
      <c r="MR55" s="1" t="n">
        <f aca="false">IF(FG55=1,MAX(0,(Slot15_Cost-FH55*(1+Slot15_Rate)^(Slot15_Age-D55))/MM55),0)</f>
        <v>0</v>
      </c>
      <c r="MS55" s="1" t="n">
        <f aca="false">IF(AND(HT55=1,FG55=1),MIN(ML55,MQ55),0)</f>
        <v>0</v>
      </c>
      <c r="MT55" s="1" t="n">
        <f aca="false">ML55-MS55</f>
        <v>0</v>
      </c>
      <c r="MU55" s="1" t="n">
        <f aca="false">IF(FQ55=1,IF(ABS((1+AS_Wage)/(1+Slot16_Rate)-1)&lt;0.000000000001,(Slot16_Age-D55)*(1+Slot16_Rate)^(Slot16_Age-D55),(1+Slot16_Rate)^(Slot16_Age-D55)*(1-((1+AS_Wage)/(1+Slot16_Rate))^(Slot16_Age-D55))/(1-(1+AS_Wage)/(1+Slot16_Rate))),1)</f>
        <v>1</v>
      </c>
      <c r="MV55" s="1" t="n">
        <f aca="false">IF(AND(HT55=1,ID55&gt;0,Slot16_IsWG=1,FQ55=1),MAX(0,(Slot16_Cost-FR55*(1+Slot16_Rate)^(Slot16_Age-D55))/MU55),0)</f>
        <v>0</v>
      </c>
      <c r="MW55" s="1" t="n">
        <f aca="false">IF(AND(HT55=1,ID55&gt;0,Slot16_IsWG=1,FQ55=1),MIN(ID55,MV55),0)</f>
        <v>0</v>
      </c>
      <c r="MX55" s="1" t="n">
        <f aca="false">FR55+MW55</f>
        <v>0</v>
      </c>
      <c r="MY55" s="1" t="n">
        <f aca="false">IF(FQ55=1,MAX(0,(Slot16_Cost-MX55*(1+Slot16_Rate)^(Slot16_Age-D55))/MU55),0)</f>
        <v>0</v>
      </c>
      <c r="MZ55" s="1" t="n">
        <f aca="false">IF(FQ55=1,MAX(0,(Slot16_Cost-FR55*(1+Slot16_Rate)^(Slot16_Age-D55))/MU55),0)</f>
        <v>0</v>
      </c>
      <c r="NA55" s="1" t="n">
        <f aca="false">IF(AND(HT55=1,FQ55=1),MIN(MT55,MY55),0)</f>
        <v>0</v>
      </c>
      <c r="NB55" s="1" t="n">
        <f aca="false">MT55-NA55</f>
        <v>0</v>
      </c>
      <c r="NC55" s="1" t="n">
        <f aca="false">IF(GA55=1,IF(ABS((1+AS_Wage)/(1+Slot17_Rate)-1)&lt;0.000000000001,(Slot17_Age-D55)*(1+Slot17_Rate)^(Slot17_Age-D55),(1+Slot17_Rate)^(Slot17_Age-D55)*(1-((1+AS_Wage)/(1+Slot17_Rate))^(Slot17_Age-D55))/(1-(1+AS_Wage)/(1+Slot17_Rate))),1)</f>
        <v>1</v>
      </c>
      <c r="ND55" s="1" t="n">
        <f aca="false">IF(AND(HT55=1,ID55&gt;0,Slot17_IsWG=1,GA55=1),MAX(0,(Slot17_Cost-GB55*(1+Slot17_Rate)^(Slot17_Age-D55))/NC55),0)</f>
        <v>0</v>
      </c>
      <c r="NE55" s="1" t="n">
        <f aca="false">IF(AND(HT55=1,ID55&gt;0,Slot17_IsWG=1,GA55=1),MIN(ID55,ND55),0)</f>
        <v>0</v>
      </c>
      <c r="NF55" s="1" t="n">
        <f aca="false">GB55+NE55</f>
        <v>0</v>
      </c>
      <c r="NG55" s="1" t="n">
        <f aca="false">IF(GA55=1,MAX(0,(Slot17_Cost-NF55*(1+Slot17_Rate)^(Slot17_Age-D55))/NC55),0)</f>
        <v>0</v>
      </c>
      <c r="NH55" s="1" t="n">
        <f aca="false">IF(GA55=1,MAX(0,(Slot17_Cost-GB55*(1+Slot17_Rate)^(Slot17_Age-D55))/NC55),0)</f>
        <v>0</v>
      </c>
      <c r="NI55" s="1" t="n">
        <f aca="false">IF(AND(HT55=1,GA55=1),MIN(NB55,NG55),0)</f>
        <v>0</v>
      </c>
      <c r="NJ55" s="1" t="n">
        <f aca="false">NB55-NI55</f>
        <v>0</v>
      </c>
      <c r="NK55" s="1" t="n">
        <f aca="false">IF(GK55=1,IF(ABS((1+AS_Wage)/(1+Slot18_Rate)-1)&lt;0.000000000001,(Slot18_Age-D55)*(1+Slot18_Rate)^(Slot18_Age-D55),(1+Slot18_Rate)^(Slot18_Age-D55)*(1-((1+AS_Wage)/(1+Slot18_Rate))^(Slot18_Age-D55))/(1-(1+AS_Wage)/(1+Slot18_Rate))),1)</f>
        <v>1</v>
      </c>
      <c r="NL55" s="1" t="n">
        <f aca="false">IF(AND(HT55=1,ID55&gt;0,Slot18_IsWG=1,GK55=1),MAX(0,(Slot18_Cost-GL55*(1+Slot18_Rate)^(Slot18_Age-D55))/NK55),0)</f>
        <v>0</v>
      </c>
      <c r="NM55" s="1" t="n">
        <f aca="false">IF(AND(HT55=1,ID55&gt;0,Slot18_IsWG=1,GK55=1),MIN(ID55,NL55),0)</f>
        <v>0</v>
      </c>
      <c r="NN55" s="1" t="n">
        <f aca="false">GL55+NM55</f>
        <v>0</v>
      </c>
      <c r="NO55" s="1" t="n">
        <f aca="false">IF(GK55=1,MAX(0,(Slot18_Cost-NN55*(1+Slot18_Rate)^(Slot18_Age-D55))/NK55),0)</f>
        <v>0</v>
      </c>
      <c r="NP55" s="1" t="n">
        <f aca="false">IF(GK55=1,MAX(0,(Slot18_Cost-GL55*(1+Slot18_Rate)^(Slot18_Age-D55))/NK55),0)</f>
        <v>0</v>
      </c>
      <c r="NQ55" s="1" t="n">
        <f aca="false">IF(AND(HT55=1,GK55=1),MIN(NJ55,NO55),0)</f>
        <v>0</v>
      </c>
      <c r="NR55" s="1" t="n">
        <f aca="false">NJ55-NQ55</f>
        <v>0</v>
      </c>
      <c r="NS55" s="1" t="n">
        <f aca="false">IF(GU55=1,IF(ABS((1+AS_Wage)/(1+Slot19_Rate)-1)&lt;0.000000000001,(Slot19_Age-D55)*(1+Slot19_Rate)^(Slot19_Age-D55),(1+Slot19_Rate)^(Slot19_Age-D55)*(1-((1+AS_Wage)/(1+Slot19_Rate))^(Slot19_Age-D55))/(1-(1+AS_Wage)/(1+Slot19_Rate))),1)</f>
        <v>1</v>
      </c>
      <c r="NT55" s="1" t="n">
        <f aca="false">IF(AND(HT55=1,ID55&gt;0,Slot19_IsWG=1,GU55=1),MAX(0,(Slot19_Cost-GV55*(1+Slot19_Rate)^(Slot19_Age-D55))/NS55),0)</f>
        <v>0</v>
      </c>
      <c r="NU55" s="1" t="n">
        <f aca="false">IF(AND(HT55=1,ID55&gt;0,Slot19_IsWG=1,GU55=1),MIN(ID55,NT55),0)</f>
        <v>0</v>
      </c>
      <c r="NV55" s="1" t="n">
        <f aca="false">GV55+NU55</f>
        <v>0</v>
      </c>
      <c r="NW55" s="1" t="n">
        <f aca="false">IF(GU55=1,MAX(0,(Slot19_Cost-NV55*(1+Slot19_Rate)^(Slot19_Age-D55))/NS55),0)</f>
        <v>0</v>
      </c>
      <c r="NX55" s="1" t="n">
        <f aca="false">IF(GU55=1,MAX(0,(Slot19_Cost-GV55*(1+Slot19_Rate)^(Slot19_Age-D55))/NS55),0)</f>
        <v>0</v>
      </c>
      <c r="NY55" s="1" t="n">
        <f aca="false">IF(AND(HT55=1,GU55=1),MIN(NR55,NW55),0)</f>
        <v>0</v>
      </c>
      <c r="NZ55" s="1" t="n">
        <f aca="false">NR55-NY55</f>
        <v>0</v>
      </c>
      <c r="OA55" s="1" t="n">
        <f aca="false">IF(HE55=1,IF(ABS((1+AS_Wage)/(1+Slot20_Rate)-1)&lt;0.000000000001,(Slot20_Age-D55)*(1+Slot20_Rate)^(Slot20_Age-D55),(1+Slot20_Rate)^(Slot20_Age-D55)*(1-((1+AS_Wage)/(1+Slot20_Rate))^(Slot20_Age-D55))/(1-(1+AS_Wage)/(1+Slot20_Rate))),1)</f>
        <v>1</v>
      </c>
      <c r="OB55" s="1" t="n">
        <f aca="false">IF(AND(HT55=1,ID55&gt;0,Slot20_IsWG=1,HE55=1),MAX(0,(Slot20_Cost-HF55*(1+Slot20_Rate)^(Slot20_Age-D55))/OA55),0)</f>
        <v>0</v>
      </c>
      <c r="OC55" s="1" t="n">
        <f aca="false">IF(AND(HT55=1,ID55&gt;0,Slot20_IsWG=1,HE55=1),MIN(ID55,OB55),0)</f>
        <v>0</v>
      </c>
      <c r="OD55" s="1" t="n">
        <f aca="false">HF55+OC55</f>
        <v>0</v>
      </c>
      <c r="OE55" s="1" t="n">
        <f aca="false">IF(HE55=1,MAX(0,(Slot20_Cost-OD55*(1+Slot20_Rate)^(Slot20_Age-D55))/OA55),0)</f>
        <v>0</v>
      </c>
      <c r="OF55" s="1" t="n">
        <f aca="false">IF(HE55=1,MAX(0,(Slot20_Cost-HF55*(1+Slot20_Rate)^(Slot20_Age-D55))/OA55),0)</f>
        <v>0</v>
      </c>
      <c r="OG55" s="1" t="n">
        <f aca="false">IF(AND(HT55=1,HE55=1),MIN(NZ55,OE55),0)</f>
        <v>0</v>
      </c>
      <c r="OH55" s="1" t="n">
        <f aca="false">NZ55-OG55</f>
        <v>0</v>
      </c>
      <c r="OI55" s="1" t="n">
        <f aca="false">ID55-(IG55+IO55+IW55+JE55+JM55+JU55+KC55+KK55+KS55+LA55+LI55+LQ55+LY55+MG55+MO55+MW55+NE55+NM55+NU55+OC55)</f>
        <v>0</v>
      </c>
      <c r="OJ55" s="1" t="n">
        <f aca="false">IF(HT55=1,HR55-IC55-ID55,0)</f>
        <v>0</v>
      </c>
      <c r="OK55" s="1" t="n">
        <f aca="false">IF(HT55=0,-HR55,0)</f>
        <v>0</v>
      </c>
      <c r="OL55" s="1" t="n">
        <f aca="false">MIN(OK55,HJ55)</f>
        <v>0</v>
      </c>
      <c r="OM55" s="1" t="n">
        <f aca="false">OK55-OL55</f>
        <v>0</v>
      </c>
      <c r="ON55" s="1" t="n">
        <f aca="false">MIN(OM55,HK55)</f>
        <v>0</v>
      </c>
      <c r="OO55" s="1" t="n">
        <f aca="false">OM55-ON55</f>
        <v>0</v>
      </c>
      <c r="OP55" s="1" t="n">
        <f aca="false">IF(AND(HT55=0,HE55=1,OO55&gt;0),MIN(OO55,HF55),0)</f>
        <v>0</v>
      </c>
      <c r="OQ55" s="1" t="n">
        <f aca="false">OO55-OP55</f>
        <v>0</v>
      </c>
      <c r="OR55" s="1" t="n">
        <f aca="false">IF(AND(HT55=0,GU55=1,OQ55&gt;0),MIN(OQ55,GV55),0)</f>
        <v>0</v>
      </c>
      <c r="OS55" s="1" t="n">
        <f aca="false">OQ55-OR55</f>
        <v>0</v>
      </c>
      <c r="OT55" s="1" t="n">
        <f aca="false">IF(AND(HT55=0,GK55=1,OS55&gt;0),MIN(OS55,GL55),0)</f>
        <v>0</v>
      </c>
      <c r="OU55" s="1" t="n">
        <f aca="false">OS55-OT55</f>
        <v>0</v>
      </c>
      <c r="OV55" s="1" t="n">
        <f aca="false">IF(AND(HT55=0,GA55=1,OU55&gt;0),MIN(OU55,GB55),0)</f>
        <v>0</v>
      </c>
      <c r="OW55" s="1" t="n">
        <f aca="false">OU55-OV55</f>
        <v>0</v>
      </c>
      <c r="OX55" s="1" t="n">
        <f aca="false">IF(AND(HT55=0,FQ55=1,OW55&gt;0),MIN(OW55,FR55),0)</f>
        <v>0</v>
      </c>
      <c r="OY55" s="1" t="n">
        <f aca="false">OW55-OX55</f>
        <v>0</v>
      </c>
      <c r="OZ55" s="1" t="n">
        <f aca="false">IF(AND(HT55=0,FG55=1,OY55&gt;0),MIN(OY55,FH55),0)</f>
        <v>0</v>
      </c>
      <c r="PA55" s="1" t="n">
        <f aca="false">OY55-OZ55</f>
        <v>0</v>
      </c>
      <c r="PB55" s="1" t="n">
        <f aca="false">IF(AND(HT55=0,EW55=1,PA55&gt;0),MIN(PA55,EX55),0)</f>
        <v>0</v>
      </c>
      <c r="PC55" s="1" t="n">
        <f aca="false">PA55-PB55</f>
        <v>0</v>
      </c>
      <c r="PD55" s="1" t="n">
        <f aca="false">IF(AND(HT55=0,EM55=1,PC55&gt;0),MIN(PC55,EN55),0)</f>
        <v>0</v>
      </c>
      <c r="PE55" s="1" t="n">
        <f aca="false">PC55-PD55</f>
        <v>0</v>
      </c>
      <c r="PF55" s="1" t="n">
        <f aca="false">IF(AND(HT55=0,EC55=1,PE55&gt;0),MIN(PE55,ED55),0)</f>
        <v>0</v>
      </c>
      <c r="PG55" s="1" t="n">
        <f aca="false">PE55-PF55</f>
        <v>0</v>
      </c>
      <c r="PH55" s="1" t="n">
        <f aca="false">IF(AND(HT55=0,DS55=1,PG55&gt;0),MIN(PG55,DT55),0)</f>
        <v>0</v>
      </c>
      <c r="PI55" s="1" t="n">
        <f aca="false">PG55-PH55</f>
        <v>0</v>
      </c>
      <c r="PJ55" s="1" t="n">
        <f aca="false">IF(AND(HT55=0,DI55=1,PI55&gt;0),MIN(PI55,DJ55),0)</f>
        <v>0</v>
      </c>
      <c r="PK55" s="1" t="n">
        <f aca="false">PI55-PJ55</f>
        <v>0</v>
      </c>
      <c r="PL55" s="1" t="n">
        <f aca="false">IF(AND(HT55=0,CY55=1,PK55&gt;0),MIN(PK55,CZ55),0)</f>
        <v>0</v>
      </c>
      <c r="PM55" s="1" t="n">
        <f aca="false">PK55-PL55</f>
        <v>0</v>
      </c>
      <c r="PN55" s="1" t="n">
        <f aca="false">IF(AND(HT55=0,CO55=1,PM55&gt;0),MIN(PM55,CP55),0)</f>
        <v>0</v>
      </c>
      <c r="PO55" s="1" t="n">
        <f aca="false">PM55-PN55</f>
        <v>0</v>
      </c>
      <c r="PP55" s="1" t="n">
        <f aca="false">IF(AND(HT55=0,CE55=1,PO55&gt;0),MIN(PO55,CF55),0)</f>
        <v>0</v>
      </c>
      <c r="PQ55" s="1" t="n">
        <f aca="false">PO55-PP55</f>
        <v>0</v>
      </c>
      <c r="PR55" s="1" t="n">
        <f aca="false">IF(AND(HT55=0,BU55=1,PQ55&gt;0),MIN(PQ55,BV55),0)</f>
        <v>0</v>
      </c>
      <c r="PS55" s="1" t="n">
        <f aca="false">PQ55-PR55</f>
        <v>0</v>
      </c>
      <c r="PT55" s="1" t="n">
        <f aca="false">IF(AND(HT55=0,BK55=1,PS55&gt;0),MIN(PS55,BL55),0)</f>
        <v>0</v>
      </c>
      <c r="PU55" s="1" t="n">
        <f aca="false">PS55-PT55</f>
        <v>0</v>
      </c>
      <c r="PV55" s="1" t="n">
        <f aca="false">IF(AND(HT55=0,BA55=1,PU55&gt;0),MIN(PU55,BB55),0)</f>
        <v>0</v>
      </c>
      <c r="PW55" s="1" t="n">
        <f aca="false">PU55-PV55</f>
        <v>0</v>
      </c>
      <c r="PX55" s="1" t="n">
        <f aca="false">IF(AND(HT55=0,AQ55=1,PW55&gt;0),MIN(PW55,AR55),0)</f>
        <v>0</v>
      </c>
      <c r="PY55" s="1" t="n">
        <f aca="false">PW55-PX55</f>
        <v>0</v>
      </c>
      <c r="PZ55" s="1" t="n">
        <f aca="false">IF(AND(HT55=0,AG55=1,PY55&gt;0),MIN(PY55,AH55),0)</f>
        <v>0</v>
      </c>
      <c r="QA55" s="1" t="n">
        <f aca="false">PY55-PZ55</f>
        <v>0</v>
      </c>
      <c r="QB55" s="1" t="n">
        <f aca="false">IF(AND(HT55=0,V55=1,QA55&gt;0),MIN(QA55,W55),0)</f>
        <v>0</v>
      </c>
      <c r="QC55" s="1" t="n">
        <f aca="false">QA55-QB55</f>
        <v>0</v>
      </c>
      <c r="QD55" s="1" t="n">
        <f aca="false">IF(HT55=0,QC55,0)</f>
        <v>0</v>
      </c>
      <c r="QE55" s="1" t="n">
        <f aca="false">OL55+ON55+QB55+PZ55+PX55+PV55+PT55+PR55+PP55+PN55+PL55+PJ55+PH55+PF55+PD55+PB55+OZ55+OX55+OV55+OT55+OR55+OP55</f>
        <v>0</v>
      </c>
      <c r="QF55" s="1" t="n">
        <f aca="false">IF(HT55=1,HJ55+OI55+OH55+IF(F55=1,0,OJ55),HJ55-OL55)</f>
        <v>0</v>
      </c>
      <c r="QG55" s="1" t="n">
        <f aca="false">HK55-ON55</f>
        <v>0</v>
      </c>
      <c r="QH55" s="1" t="n">
        <f aca="false">IF(HT55=1,IF(F55=1,IC55+ID55,HR55),0)</f>
        <v>0</v>
      </c>
      <c r="QI55" s="1" t="n">
        <f aca="false">IF(HT55=1,IF(F55=1,HR55-IC55-ID55,0),0)</f>
        <v>0</v>
      </c>
      <c r="QJ55" s="1" t="n">
        <f aca="false">QF55*(1+GR)</f>
        <v>0</v>
      </c>
      <c r="QK55" s="1" t="n">
        <f aca="false">QG55*(1+AS_Cash)</f>
        <v>0</v>
      </c>
      <c r="QL55" s="1" t="n">
        <f aca="false">IF(V55=1,IF(HT55=1,IH55+IK55,W55-QB55)*(1+Slot1_Rate),0)</f>
        <v>0</v>
      </c>
      <c r="QM55" s="1" t="n">
        <f aca="false">IF(AND(HT55=1,V55=1),(IG55+IK55)/E55,0)</f>
        <v>0</v>
      </c>
      <c r="QN55" s="1" t="n">
        <f aca="false">IF(B55=0,IG55+IK55,0)</f>
        <v>0</v>
      </c>
      <c r="QO55" s="1" t="n">
        <f aca="false">IF(B55=0,IF(HT55=1,II55,IJ55),0)</f>
        <v>0</v>
      </c>
      <c r="QP55" s="1" t="n">
        <f aca="false">IF(AG55=1,IF(HT55=1,IP55+IS55,AH55-PZ55)*(1+Slot2_Rate),0)</f>
        <v>0</v>
      </c>
      <c r="QQ55" s="1" t="n">
        <f aca="false">IF(AND(HT55=1,AG55=1),(IO55+IS55)/E55,0)</f>
        <v>0</v>
      </c>
      <c r="QR55" s="1" t="n">
        <f aca="false">IF(B55=0,IO55+IS55,0)</f>
        <v>0</v>
      </c>
      <c r="QS55" s="1" t="n">
        <f aca="false">IF(B55=0,IF(HT55=1,IQ55,IR55),0)</f>
        <v>0</v>
      </c>
      <c r="QT55" s="1" t="n">
        <f aca="false">IF(AQ55=1,IF(HT55=1,IX55+JA55,AR55-PX55)*(1+Slot3_Rate),0)</f>
        <v>0</v>
      </c>
      <c r="QU55" s="1" t="n">
        <f aca="false">IF(AND(HT55=1,AQ55=1),(IW55+JA55)/E55,0)</f>
        <v>0</v>
      </c>
      <c r="QV55" s="1" t="n">
        <f aca="false">IF(B55=0,IW55+JA55,0)</f>
        <v>0</v>
      </c>
      <c r="QW55" s="1" t="n">
        <f aca="false">IF(B55=0,IF(HT55=1,IY55,IZ55),0)</f>
        <v>0</v>
      </c>
      <c r="QX55" s="1" t="n">
        <f aca="false">IF(BA55=1,IF(HT55=1,JF55+JI55,BB55-PV55)*(1+Slot4_Rate),0)</f>
        <v>0</v>
      </c>
      <c r="QY55" s="1" t="n">
        <f aca="false">IF(AND(HT55=1,BA55=1),(JE55+JI55)/E55,0)</f>
        <v>0</v>
      </c>
      <c r="QZ55" s="1" t="n">
        <f aca="false">IF(B55=0,JE55+JI55,0)</f>
        <v>0</v>
      </c>
      <c r="RA55" s="1" t="n">
        <f aca="false">IF(B55=0,IF(HT55=1,JG55,JH55),0)</f>
        <v>0</v>
      </c>
      <c r="RB55" s="1" t="n">
        <f aca="false">IF(BK55=1,IF(HT55=1,JN55+JQ55,BL55-PT55)*(1+Slot5_Rate),0)</f>
        <v>0</v>
      </c>
      <c r="RC55" s="1" t="n">
        <f aca="false">IF(AND(HT55=1,BK55=1),(JM55+JQ55)/E55,0)</f>
        <v>0</v>
      </c>
      <c r="RD55" s="1" t="n">
        <f aca="false">IF(B55=0,JM55+JQ55,0)</f>
        <v>0</v>
      </c>
      <c r="RE55" s="1" t="n">
        <f aca="false">IF(B55=0,IF(HT55=1,JO55,JP55),0)</f>
        <v>0</v>
      </c>
      <c r="RF55" s="1" t="n">
        <f aca="false">IF(BU55=1,IF(HT55=1,JV55+JY55,BV55-PR55)*(1+Slot6_Rate),0)</f>
        <v>0</v>
      </c>
      <c r="RG55" s="1" t="n">
        <f aca="false">IF(AND(HT55=1,BU55=1),(JU55+JY55)/E55,0)</f>
        <v>0</v>
      </c>
      <c r="RH55" s="1" t="n">
        <f aca="false">IF(B55=0,JU55+JY55,0)</f>
        <v>0</v>
      </c>
      <c r="RI55" s="1" t="n">
        <f aca="false">IF(B55=0,IF(HT55=1,JW55,JX55),0)</f>
        <v>0</v>
      </c>
      <c r="RJ55" s="1" t="n">
        <f aca="false">IF(CE55=1,IF(HT55=1,KD55+KG55,CF55-PP55)*(1+Slot7_Rate),0)</f>
        <v>0</v>
      </c>
      <c r="RK55" s="1" t="n">
        <f aca="false">IF(AND(HT55=1,CE55=1),(KC55+KG55)/E55,0)</f>
        <v>0</v>
      </c>
      <c r="RL55" s="1" t="n">
        <f aca="false">IF(B55=0,KC55+KG55,0)</f>
        <v>0</v>
      </c>
      <c r="RM55" s="1" t="n">
        <f aca="false">IF(B55=0,IF(HT55=1,KE55,KF55),0)</f>
        <v>0</v>
      </c>
      <c r="RN55" s="1" t="n">
        <f aca="false">IF(CO55=1,IF(HT55=1,KL55+KO55,CP55-PN55)*(1+Slot8_Rate),0)</f>
        <v>0</v>
      </c>
      <c r="RO55" s="1" t="n">
        <f aca="false">IF(AND(HT55=1,CO55=1),(KK55+KO55)/E55,0)</f>
        <v>0</v>
      </c>
      <c r="RP55" s="1" t="n">
        <f aca="false">IF(B55=0,KK55+KO55,0)</f>
        <v>0</v>
      </c>
      <c r="RQ55" s="1" t="n">
        <f aca="false">IF(B55=0,IF(HT55=1,KM55,KN55),0)</f>
        <v>0</v>
      </c>
      <c r="RR55" s="1" t="n">
        <f aca="false">IF(CY55=1,IF(HT55=1,KT55+KW55,CZ55-PL55)*(1+Slot9_Rate),0)</f>
        <v>0</v>
      </c>
      <c r="RS55" s="1" t="n">
        <f aca="false">IF(AND(HT55=1,CY55=1),(KS55+KW55)/E55,0)</f>
        <v>0</v>
      </c>
      <c r="RT55" s="1" t="n">
        <f aca="false">IF(B55=0,KS55+KW55,0)</f>
        <v>0</v>
      </c>
      <c r="RU55" s="1" t="n">
        <f aca="false">IF(B55=0,IF(HT55=1,KU55,KV55),0)</f>
        <v>0</v>
      </c>
      <c r="RV55" s="1" t="n">
        <f aca="false">IF(DI55=1,IF(HT55=1,LB55+LE55,DJ55-PJ55)*(1+Slot10_Rate),0)</f>
        <v>0</v>
      </c>
      <c r="RW55" s="1" t="n">
        <f aca="false">IF(AND(HT55=1,DI55=1),(LA55+LE55)/E55,0)</f>
        <v>0</v>
      </c>
      <c r="RX55" s="1" t="n">
        <f aca="false">IF(B55=0,LA55+LE55,0)</f>
        <v>0</v>
      </c>
      <c r="RY55" s="1" t="n">
        <f aca="false">IF(B55=0,IF(HT55=1,LC55,LD55),0)</f>
        <v>0</v>
      </c>
      <c r="RZ55" s="1" t="n">
        <f aca="false">IF(DS55=1,IF(HT55=1,LJ55+LM55,DT55-PH55)*(1+Slot11_Rate),0)</f>
        <v>0</v>
      </c>
      <c r="SA55" s="1" t="n">
        <f aca="false">IF(AND(HT55=1,DS55=1),(LI55+LM55)/E55,0)</f>
        <v>0</v>
      </c>
      <c r="SB55" s="1" t="n">
        <f aca="false">IF(B55=0,LI55+LM55,0)</f>
        <v>0</v>
      </c>
      <c r="SC55" s="1" t="n">
        <f aca="false">IF(B55=0,IF(HT55=1,LK55,LL55),0)</f>
        <v>0</v>
      </c>
      <c r="SD55" s="1" t="n">
        <f aca="false">IF(EC55=1,IF(HT55=1,LR55+LU55,ED55-PF55)*(1+Slot12_Rate),0)</f>
        <v>0</v>
      </c>
      <c r="SE55" s="1" t="n">
        <f aca="false">IF(AND(HT55=1,EC55=1),(LQ55+LU55)/E55,0)</f>
        <v>0</v>
      </c>
      <c r="SF55" s="1" t="n">
        <f aca="false">IF(B55=0,LQ55+LU55,0)</f>
        <v>0</v>
      </c>
      <c r="SG55" s="1" t="n">
        <f aca="false">IF(B55=0,IF(HT55=1,LS55,LT55),0)</f>
        <v>0</v>
      </c>
      <c r="SH55" s="1" t="n">
        <f aca="false">IF(EM55=1,IF(HT55=1,LZ55+MC55,EN55-PD55)*(1+Slot13_Rate),0)</f>
        <v>0</v>
      </c>
      <c r="SI55" s="1" t="n">
        <f aca="false">IF(AND(HT55=1,EM55=1),(LY55+MC55)/E55,0)</f>
        <v>0</v>
      </c>
      <c r="SJ55" s="1" t="n">
        <f aca="false">IF(B55=0,LY55+MC55,0)</f>
        <v>0</v>
      </c>
      <c r="SK55" s="1" t="n">
        <f aca="false">IF(B55=0,IF(HT55=1,MA55,MB55),0)</f>
        <v>0</v>
      </c>
      <c r="SL55" s="1" t="n">
        <f aca="false">IF(EW55=1,IF(HT55=1,MH55+MK55,EX55-PB55)*(1+Slot14_Rate),0)</f>
        <v>0</v>
      </c>
      <c r="SM55" s="1" t="n">
        <f aca="false">IF(AND(HT55=1,EW55=1),(MG55+MK55)/E55,0)</f>
        <v>0</v>
      </c>
      <c r="SN55" s="1" t="n">
        <f aca="false">IF(B55=0,MG55+MK55,0)</f>
        <v>0</v>
      </c>
      <c r="SO55" s="1" t="n">
        <f aca="false">IF(B55=0,IF(HT55=1,MI55,MJ55),0)</f>
        <v>0</v>
      </c>
      <c r="SP55" s="1" t="n">
        <f aca="false">IF(FG55=1,IF(HT55=1,MP55+MS55,FH55-OZ55)*(1+Slot15_Rate),0)</f>
        <v>0</v>
      </c>
      <c r="SQ55" s="1" t="n">
        <f aca="false">IF(AND(HT55=1,FG55=1),(MO55+MS55)/E55,0)</f>
        <v>0</v>
      </c>
      <c r="SR55" s="1" t="n">
        <f aca="false">IF(B55=0,MO55+MS55,0)</f>
        <v>0</v>
      </c>
      <c r="SS55" s="1" t="n">
        <f aca="false">IF(B55=0,IF(HT55=1,MQ55,MR55),0)</f>
        <v>0</v>
      </c>
      <c r="ST55" s="1" t="n">
        <f aca="false">IF(FQ55=1,IF(HT55=1,MX55+NA55,FR55-OX55)*(1+Slot16_Rate),0)</f>
        <v>0</v>
      </c>
      <c r="SU55" s="1" t="n">
        <f aca="false">IF(AND(HT55=1,FQ55=1),(MW55+NA55)/E55,0)</f>
        <v>0</v>
      </c>
      <c r="SV55" s="1" t="n">
        <f aca="false">IF(B55=0,MW55+NA55,0)</f>
        <v>0</v>
      </c>
      <c r="SW55" s="1" t="n">
        <f aca="false">IF(B55=0,IF(HT55=1,MY55,MZ55),0)</f>
        <v>0</v>
      </c>
      <c r="SX55" s="1" t="n">
        <f aca="false">IF(GA55=1,IF(HT55=1,NF55+NI55,GB55-OV55)*(1+Slot17_Rate),0)</f>
        <v>0</v>
      </c>
      <c r="SY55" s="1" t="n">
        <f aca="false">IF(AND(HT55=1,GA55=1),(NE55+NI55)/E55,0)</f>
        <v>0</v>
      </c>
      <c r="SZ55" s="1" t="n">
        <f aca="false">IF(B55=0,NE55+NI55,0)</f>
        <v>0</v>
      </c>
      <c r="TA55" s="1" t="n">
        <f aca="false">IF(B55=0,IF(HT55=1,NG55,NH55),0)</f>
        <v>0</v>
      </c>
      <c r="TB55" s="1" t="n">
        <f aca="false">IF(GK55=1,IF(HT55=1,NN55+NQ55,GL55-OT55)*(1+Slot18_Rate),0)</f>
        <v>0</v>
      </c>
      <c r="TC55" s="1" t="n">
        <f aca="false">IF(AND(HT55=1,GK55=1),(NM55+NQ55)/E55,0)</f>
        <v>0</v>
      </c>
      <c r="TD55" s="1" t="n">
        <f aca="false">IF(B55=0,NM55+NQ55,0)</f>
        <v>0</v>
      </c>
      <c r="TE55" s="1" t="n">
        <f aca="false">IF(B55=0,IF(HT55=1,NO55,NP55),0)</f>
        <v>0</v>
      </c>
      <c r="TF55" s="1" t="n">
        <f aca="false">IF(GU55=1,IF(HT55=1,NV55+NY55,GV55-OR55)*(1+Slot19_Rate),0)</f>
        <v>0</v>
      </c>
      <c r="TG55" s="1" t="n">
        <f aca="false">IF(AND(HT55=1,GU55=1),(NU55+NY55)/E55,0)</f>
        <v>0</v>
      </c>
      <c r="TH55" s="1" t="n">
        <f aca="false">IF(B55=0,NU55+NY55,0)</f>
        <v>0</v>
      </c>
      <c r="TI55" s="1" t="n">
        <f aca="false">IF(B55=0,IF(HT55=1,NW55,NX55),0)</f>
        <v>0</v>
      </c>
      <c r="TJ55" s="1" t="n">
        <f aca="false">IF(HE55=1,IF(HT55=1,OD55+OG55,HF55-OP55)*(1+Slot20_Rate),0)</f>
        <v>0</v>
      </c>
      <c r="TK55" s="1" t="n">
        <f aca="false">IF(AND(HT55=1,HE55=1),(OC55+OG55)/E55,0)</f>
        <v>0</v>
      </c>
      <c r="TL55" s="1" t="n">
        <f aca="false">IF(B55=0,OC55+OG55,0)</f>
        <v>0</v>
      </c>
      <c r="TM55" s="1" t="n">
        <f aca="false">IF(B55=0,IF(HT55=1,OE55,OF55),0)</f>
        <v>0</v>
      </c>
      <c r="TN55" s="1" t="n">
        <f aca="false">QJ55+QK55+QL55+QP55+QT55+QX55+RB55+RF55+RJ55+RN55+RR55+RV55+RZ55+SD55+SH55+SL55+SP55+ST55+SX55+TB55+TF55+TJ55</f>
        <v>0</v>
      </c>
      <c r="TO55" s="1" t="n">
        <f aca="false">QD55+HO55</f>
        <v>0</v>
      </c>
      <c r="TP55" s="1" t="n">
        <f aca="false">H55+R55</f>
        <v>0</v>
      </c>
      <c r="TQ55" s="1" t="n">
        <f aca="false">1-F55</f>
        <v>0</v>
      </c>
      <c r="TR55" s="1" t="n">
        <f aca="false">IF(AND(RG_Exists=1,F55=0,C55=1),H55,0)</f>
        <v>0</v>
      </c>
      <c r="TS55" s="1" t="n">
        <f aca="false">IF(AND(RG_Exists=1,F55=0,C55=1),H55-MIN(QD55,H55),0)</f>
        <v>0</v>
      </c>
      <c r="TT55" s="1" t="n">
        <f aca="false">'Plan pay &amp; tax'!AD281</f>
        <v>0</v>
      </c>
      <c r="TU55" s="1" t="n">
        <f aca="false">IF(AND(C55=1,QD55&gt;MAX(PR_Short1,TP55*PR_Short2)),1,0)</f>
        <v>0</v>
      </c>
      <c r="TV55" s="1" t="n">
        <f aca="false">MIN(G55,H55+R55)</f>
        <v>0</v>
      </c>
      <c r="TW55" s="1" t="n">
        <f aca="false">QE55+MAX(0,HP55-HO55)</f>
        <v>0</v>
      </c>
      <c r="TX55" s="1" t="n">
        <f aca="false">QD55+HO55</f>
        <v>0</v>
      </c>
      <c r="TY55" s="1" t="n">
        <f aca="false">IF(AND(C55=1,TX55&gt;PR_MinShort),1,0)</f>
        <v>0</v>
      </c>
      <c r="TZ55" s="1" t="n">
        <f aca="false">IF(AND(C55=1,TY55=0,TW55&gt;PR_MinShort),1,0)</f>
        <v>0</v>
      </c>
      <c r="UA55" s="1" t="n">
        <f aca="false">IF(AND(C55=1,QD55&gt;PR_MinShort),1,0)</f>
        <v>0</v>
      </c>
      <c r="UB55" s="1" t="n">
        <f aca="false">IF(AND(C55=1,QE55&gt;1,UI55=0),1,0)</f>
        <v>0</v>
      </c>
      <c r="UC55" s="1" t="str">
        <f aca="false">IF(C55=0,"",IF(UI55=1,"Gap to plan for: short "&amp;"€"&amp;TEXT(ROUND(TO55,0),"#,##0"),IF(QE55&gt;1,"Using savings","Comfortable")))</f>
        <v>Comfortable</v>
      </c>
      <c r="UD55" s="1" t="n">
        <f aca="false">IF(AND(INT(D55/10)*10=90,B55&gt;0),80,INT(D55/10)*10)</f>
        <v>40</v>
      </c>
      <c r="UE55" s="1" t="n">
        <f aca="false">IF(B55=0,1,IF(UD55&lt;&gt;UD54,UE54+1,UE54))</f>
        <v>5</v>
      </c>
      <c r="UF55" s="1" t="n">
        <f aca="false">IF(AND(C55=1,F55=1,QD55&gt;MAX(PR_Short1,TP55*PR_Short2)),1,0)</f>
        <v>0</v>
      </c>
      <c r="UG55" s="1" t="n">
        <f aca="false">TQ55*TU55</f>
        <v>0</v>
      </c>
      <c r="UH55" s="1" t="n">
        <f aca="false">IF(AND(U55=1,Slot1_PctLow=1),1,0)+IF(AND(AF55=1,Slot2_PctLow=1),1,0)+IF(AND(AP55=1,Slot3_PctLow=1),1,0)+IF(AND(AZ55=1,Slot4_PctLow=1),1,0)+IF(AND(BJ55=1,Slot5_PctLow=1),1,0)+IF(AND(BT55=1,Slot6_PctLow=1),1,0)+IF(AND(CD55=1,Slot7_PctLow=1),1,0)+IF(AND(CN55=1,Slot8_PctLow=1),1,0)+IF(AND(CX55=1,Slot9_PctLow=1),1,0)+IF(AND(DH55=1,Slot10_PctLow=1),1,0)+IF(AND(DR55=1,Slot11_PctLow=1),1,0)+IF(AND(EB55=1,Slot12_PctLow=1),1,0)+IF(AND(EL55=1,Slot13_PctLow=1),1,0)+IF(AND(EV55=1,Slot14_PctLow=1),1,0)+IF(AND(FF55=1,Slot15_PctLow=1),1,0)+IF(AND(FP55=1,Slot16_PctLow=1),1,0)+IF(AND(FZ55=1,Slot17_PctLow=1),1,0)+IF(AND(GJ55=1,Slot18_PctLow=1),1,0)+IF(AND(GT55=1,Slot19_PctLow=1),1,0)+IF(AND(HD55=1,Slot20_PctLow=1),1,0)</f>
        <v>0</v>
      </c>
      <c r="UI55" s="1" t="n">
        <f aca="false">IF(C55=1,IF(OR(TU55=1,UH55&gt;0),1,0),0)</f>
        <v>0</v>
      </c>
    </row>
    <row r="56" customFormat="false" ht="15" hidden="false" customHeight="true" outlineLevel="0" collapsed="false">
      <c r="B56" s="1" t="n">
        <v>48</v>
      </c>
      <c r="C56" s="1" t="n">
        <f aca="false">IF(B56&lt;=F_N,1,0)</f>
        <v>1</v>
      </c>
      <c r="D56" s="1" t="n">
        <f aca="false">'Plan pay &amp; tax'!C282</f>
        <v>48</v>
      </c>
      <c r="E56" s="111" t="n">
        <f aca="false">'Plan pay &amp; tax'!E282</f>
        <v>2.58707038549943</v>
      </c>
      <c r="F56" s="1" t="n">
        <f aca="false">'Plan pay &amp; tax'!G282</f>
        <v>1</v>
      </c>
      <c r="G56" s="1" t="n">
        <f aca="false">'Plan pay &amp; tax'!BT282-'Plan pay &amp; tax'!BS282-'Plan pay &amp; tax'!R282</f>
        <v>0</v>
      </c>
      <c r="H56" s="1" t="n">
        <f aca="false">IF(F56=1,F_CostsM*12,IF(RG_Exists=1,RG_Amount,F_CostsM*12*AS_RetireSpend))*E56+F_OneOffY*E56</f>
        <v>0</v>
      </c>
      <c r="I56" s="1" t="n">
        <f aca="false">HQ55</f>
        <v>0</v>
      </c>
      <c r="J56" s="1" t="n">
        <f aca="false">IF(I56&gt;1,'Plan debt months'!AC56,0)</f>
        <v>0</v>
      </c>
      <c r="K56" s="1" t="n">
        <f aca="false">IF(I56&gt;1,'Plan debt months'!AB56,I56)</f>
        <v>0</v>
      </c>
      <c r="L56" s="1" t="n">
        <f aca="false">N55</f>
        <v>0</v>
      </c>
      <c r="M56" s="1" t="n">
        <f aca="false">IF(L56&gt;1,'Plan debt months'!BD56,0)</f>
        <v>0</v>
      </c>
      <c r="N56" s="1" t="n">
        <f aca="false">IF(L56&gt;1,'Plan debt months'!BC56,L56)</f>
        <v>0</v>
      </c>
      <c r="O56" s="1" t="n">
        <f aca="false">Q55</f>
        <v>0</v>
      </c>
      <c r="P56" s="1" t="n">
        <f aca="false">IF(O56&gt;1,'Plan debt months'!CE56,0)</f>
        <v>0</v>
      </c>
      <c r="Q56" s="1" t="n">
        <f aca="false">IF(O56&gt;1,'Plan debt months'!CD56,O56)</f>
        <v>0</v>
      </c>
      <c r="R56" s="1" t="n">
        <f aca="false">J56+M56+P56</f>
        <v>0</v>
      </c>
      <c r="S56" s="1" t="n">
        <f aca="false">QJ55+'Plan pay &amp; tax'!Y282</f>
        <v>0</v>
      </c>
      <c r="T56" s="1" t="n">
        <f aca="false">QJ55</f>
        <v>0</v>
      </c>
      <c r="U56" s="1" t="n">
        <f aca="false">IF(AND(Slot1_On=1,D56=Slot1_Age),1,0)</f>
        <v>0</v>
      </c>
      <c r="V56" s="1" t="n">
        <f aca="false">IF(AND(Slot1_On=1,Slot1_Age&gt;D56),1,0)</f>
        <v>0</v>
      </c>
      <c r="W56" s="1" t="n">
        <f aca="false">QL55</f>
        <v>0</v>
      </c>
      <c r="X56" s="1" t="n">
        <f aca="false">U56*MIN(Slot1_Cost,W56)</f>
        <v>0</v>
      </c>
      <c r="Y56" s="1" t="n">
        <f aca="false">U56*Slot1_SpendLike*MIN(Slot1_Cost-X56,S56)</f>
        <v>0</v>
      </c>
      <c r="Z56" s="1" t="n">
        <f aca="false">X56+Y56</f>
        <v>0</v>
      </c>
      <c r="AA56" s="1" t="n">
        <f aca="false">S56-Y56+U56*IF(Slot1_SpendLike=1,W56-X56,IF(Slot1_PotFree=1,W56,0))</f>
        <v>0</v>
      </c>
      <c r="AB56" s="1" t="n">
        <f aca="false">AE56+U56*Slot1_BufPot*W56</f>
        <v>0</v>
      </c>
      <c r="AC56" s="1" t="n">
        <f aca="false">IF(AND(U56=1,Slot1_IsMfree=1),IF(Z56&gt;=Slot1_Cost-1,0,MAX(0,K56-Z56)),K56)</f>
        <v>0</v>
      </c>
      <c r="AD56" s="1" t="n">
        <f aca="false">U56*(Slot1_Cost-Z56)</f>
        <v>0</v>
      </c>
      <c r="AE56" s="1" t="n">
        <f aca="false">QK55</f>
        <v>0</v>
      </c>
      <c r="AF56" s="1" t="n">
        <f aca="false">IF(AND(Slot2_On=1,D56=Slot2_Age),1,0)</f>
        <v>0</v>
      </c>
      <c r="AG56" s="1" t="n">
        <f aca="false">IF(AND(Slot2_On=1,Slot2_Age&gt;D56),1,0)</f>
        <v>0</v>
      </c>
      <c r="AH56" s="1" t="n">
        <f aca="false">QP55</f>
        <v>0</v>
      </c>
      <c r="AI56" s="1" t="n">
        <f aca="false">AF56*MIN(Slot2_Cost,AH56)</f>
        <v>0</v>
      </c>
      <c r="AJ56" s="1" t="n">
        <f aca="false">AF56*Slot2_SpendLike*MIN(Slot2_Cost-AI56,AA56)</f>
        <v>0</v>
      </c>
      <c r="AK56" s="1" t="n">
        <f aca="false">AI56+AJ56</f>
        <v>0</v>
      </c>
      <c r="AL56" s="1" t="n">
        <f aca="false">AA56-AJ56+AF56*IF(Slot2_SpendLike=1,AH56-AI56,IF(Slot2_PotFree=1,AH56,0))</f>
        <v>0</v>
      </c>
      <c r="AM56" s="1" t="n">
        <f aca="false">AB56+AF56*Slot2_BufPot*AH56</f>
        <v>0</v>
      </c>
      <c r="AN56" s="1" t="n">
        <f aca="false">IF(AND(AF56=1,Slot2_IsMfree=1),IF(AK56&gt;=Slot2_Cost-1,0,MAX(0,AC56-AK56)),AC56)</f>
        <v>0</v>
      </c>
      <c r="AO56" s="1" t="n">
        <f aca="false">AF56*(Slot2_Cost-AK56)</f>
        <v>0</v>
      </c>
      <c r="AP56" s="1" t="n">
        <f aca="false">IF(AND(Slot3_On=1,D56=Slot3_Age),1,0)</f>
        <v>0</v>
      </c>
      <c r="AQ56" s="1" t="n">
        <f aca="false">IF(AND(Slot3_On=1,Slot3_Age&gt;D56),1,0)</f>
        <v>0</v>
      </c>
      <c r="AR56" s="1" t="n">
        <f aca="false">QT55</f>
        <v>0</v>
      </c>
      <c r="AS56" s="1" t="n">
        <f aca="false">AP56*MIN(Slot3_Cost,AR56)</f>
        <v>0</v>
      </c>
      <c r="AT56" s="1" t="n">
        <f aca="false">AP56*Slot3_SpendLike*MIN(Slot3_Cost-AS56,AL56)</f>
        <v>0</v>
      </c>
      <c r="AU56" s="1" t="n">
        <f aca="false">AS56+AT56</f>
        <v>0</v>
      </c>
      <c r="AV56" s="1" t="n">
        <f aca="false">AL56-AT56+AP56*IF(Slot3_SpendLike=1,AR56-AS56,IF(Slot3_PotFree=1,AR56,0))</f>
        <v>0</v>
      </c>
      <c r="AW56" s="1" t="n">
        <f aca="false">AM56+AP56*Slot3_BufPot*AR56</f>
        <v>0</v>
      </c>
      <c r="AX56" s="1" t="n">
        <f aca="false">IF(AND(AP56=1,Slot3_IsMfree=1),IF(AU56&gt;=Slot3_Cost-1,0,MAX(0,AN56-AU56)),AN56)</f>
        <v>0</v>
      </c>
      <c r="AY56" s="1" t="n">
        <f aca="false">AP56*(Slot3_Cost-AU56)</f>
        <v>0</v>
      </c>
      <c r="AZ56" s="1" t="n">
        <f aca="false">IF(AND(Slot4_On=1,D56=Slot4_Age),1,0)</f>
        <v>0</v>
      </c>
      <c r="BA56" s="1" t="n">
        <f aca="false">IF(AND(Slot4_On=1,Slot4_Age&gt;D56),1,0)</f>
        <v>0</v>
      </c>
      <c r="BB56" s="1" t="n">
        <f aca="false">QX55</f>
        <v>0</v>
      </c>
      <c r="BC56" s="1" t="n">
        <f aca="false">AZ56*MIN(Slot4_Cost,BB56)</f>
        <v>0</v>
      </c>
      <c r="BD56" s="1" t="n">
        <f aca="false">AZ56*Slot4_SpendLike*MIN(Slot4_Cost-BC56,AV56)</f>
        <v>0</v>
      </c>
      <c r="BE56" s="1" t="n">
        <f aca="false">BC56+BD56</f>
        <v>0</v>
      </c>
      <c r="BF56" s="1" t="n">
        <f aca="false">AV56-BD56+AZ56*IF(Slot4_SpendLike=1,BB56-BC56,IF(Slot4_PotFree=1,BB56,0))</f>
        <v>0</v>
      </c>
      <c r="BG56" s="1" t="n">
        <f aca="false">AW56+AZ56*Slot4_BufPot*BB56</f>
        <v>0</v>
      </c>
      <c r="BH56" s="1" t="n">
        <f aca="false">IF(AND(AZ56=1,Slot4_IsMfree=1),IF(BE56&gt;=Slot4_Cost-1,0,MAX(0,AX56-BE56)),AX56)</f>
        <v>0</v>
      </c>
      <c r="BI56" s="1" t="n">
        <f aca="false">AZ56*(Slot4_Cost-BE56)</f>
        <v>0</v>
      </c>
      <c r="BJ56" s="1" t="n">
        <f aca="false">IF(AND(Slot5_On=1,D56=Slot5_Age),1,0)</f>
        <v>0</v>
      </c>
      <c r="BK56" s="1" t="n">
        <f aca="false">IF(AND(Slot5_On=1,Slot5_Age&gt;D56),1,0)</f>
        <v>0</v>
      </c>
      <c r="BL56" s="1" t="n">
        <f aca="false">RB55</f>
        <v>0</v>
      </c>
      <c r="BM56" s="1" t="n">
        <f aca="false">BJ56*MIN(Slot5_Cost,BL56)</f>
        <v>0</v>
      </c>
      <c r="BN56" s="1" t="n">
        <f aca="false">BJ56*Slot5_SpendLike*MIN(Slot5_Cost-BM56,BF56)</f>
        <v>0</v>
      </c>
      <c r="BO56" s="1" t="n">
        <f aca="false">BM56+BN56</f>
        <v>0</v>
      </c>
      <c r="BP56" s="1" t="n">
        <f aca="false">BF56-BN56+BJ56*IF(Slot5_SpendLike=1,BL56-BM56,IF(Slot5_PotFree=1,BL56,0))</f>
        <v>0</v>
      </c>
      <c r="BQ56" s="1" t="n">
        <f aca="false">BG56+BJ56*Slot5_BufPot*BL56</f>
        <v>0</v>
      </c>
      <c r="BR56" s="1" t="n">
        <f aca="false">IF(AND(BJ56=1,Slot5_IsMfree=1),IF(BO56&gt;=Slot5_Cost-1,0,MAX(0,BH56-BO56)),BH56)</f>
        <v>0</v>
      </c>
      <c r="BS56" s="1" t="n">
        <f aca="false">BJ56*(Slot5_Cost-BO56)</f>
        <v>0</v>
      </c>
      <c r="BT56" s="1" t="n">
        <f aca="false">IF(AND(Slot6_On=1,D56=Slot6_Age),1,0)</f>
        <v>0</v>
      </c>
      <c r="BU56" s="1" t="n">
        <f aca="false">IF(AND(Slot6_On=1,Slot6_Age&gt;D56),1,0)</f>
        <v>0</v>
      </c>
      <c r="BV56" s="1" t="n">
        <f aca="false">RF55</f>
        <v>0</v>
      </c>
      <c r="BW56" s="1" t="n">
        <f aca="false">BT56*MIN(Slot6_Cost,BV56)</f>
        <v>0</v>
      </c>
      <c r="BX56" s="1" t="n">
        <f aca="false">BT56*Slot6_SpendLike*MIN(Slot6_Cost-BW56,BP56)</f>
        <v>0</v>
      </c>
      <c r="BY56" s="1" t="n">
        <f aca="false">BW56+BX56</f>
        <v>0</v>
      </c>
      <c r="BZ56" s="1" t="n">
        <f aca="false">BP56-BX56+BT56*IF(Slot6_SpendLike=1,BV56-BW56,IF(Slot6_PotFree=1,BV56,0))</f>
        <v>0</v>
      </c>
      <c r="CA56" s="1" t="n">
        <f aca="false">BQ56+BT56*Slot6_BufPot*BV56</f>
        <v>0</v>
      </c>
      <c r="CB56" s="1" t="n">
        <f aca="false">IF(AND(BT56=1,Slot6_IsMfree=1),IF(BY56&gt;=Slot6_Cost-1,0,MAX(0,BR56-BY56)),BR56)</f>
        <v>0</v>
      </c>
      <c r="CC56" s="1" t="n">
        <f aca="false">BT56*(Slot6_Cost-BY56)</f>
        <v>0</v>
      </c>
      <c r="CD56" s="1" t="n">
        <f aca="false">IF(AND(Slot7_On=1,D56=Slot7_Age),1,0)</f>
        <v>0</v>
      </c>
      <c r="CE56" s="1" t="n">
        <f aca="false">IF(AND(Slot7_On=1,Slot7_Age&gt;D56),1,0)</f>
        <v>0</v>
      </c>
      <c r="CF56" s="1" t="n">
        <f aca="false">RJ55</f>
        <v>0</v>
      </c>
      <c r="CG56" s="1" t="n">
        <f aca="false">CD56*MIN(Slot7_Cost,CF56)</f>
        <v>0</v>
      </c>
      <c r="CH56" s="1" t="n">
        <f aca="false">CD56*Slot7_SpendLike*MIN(Slot7_Cost-CG56,BZ56)</f>
        <v>0</v>
      </c>
      <c r="CI56" s="1" t="n">
        <f aca="false">CG56+CH56</f>
        <v>0</v>
      </c>
      <c r="CJ56" s="1" t="n">
        <f aca="false">BZ56-CH56+CD56*IF(Slot7_SpendLike=1,CF56-CG56,IF(Slot7_PotFree=1,CF56,0))</f>
        <v>0</v>
      </c>
      <c r="CK56" s="1" t="n">
        <f aca="false">CA56+CD56*Slot7_BufPot*CF56</f>
        <v>0</v>
      </c>
      <c r="CL56" s="1" t="n">
        <f aca="false">IF(AND(CD56=1,Slot7_IsMfree=1),IF(CI56&gt;=Slot7_Cost-1,0,MAX(0,CB56-CI56)),CB56)</f>
        <v>0</v>
      </c>
      <c r="CM56" s="1" t="n">
        <f aca="false">CD56*(Slot7_Cost-CI56)</f>
        <v>0</v>
      </c>
      <c r="CN56" s="1" t="n">
        <f aca="false">IF(AND(Slot8_On=1,D56=Slot8_Age),1,0)</f>
        <v>0</v>
      </c>
      <c r="CO56" s="1" t="n">
        <f aca="false">IF(AND(Slot8_On=1,Slot8_Age&gt;D56),1,0)</f>
        <v>0</v>
      </c>
      <c r="CP56" s="1" t="n">
        <f aca="false">RN55</f>
        <v>0</v>
      </c>
      <c r="CQ56" s="1" t="n">
        <f aca="false">CN56*MIN(Slot8_Cost,CP56)</f>
        <v>0</v>
      </c>
      <c r="CR56" s="1" t="n">
        <f aca="false">CN56*Slot8_SpendLike*MIN(Slot8_Cost-CQ56,CJ56)</f>
        <v>0</v>
      </c>
      <c r="CS56" s="1" t="n">
        <f aca="false">CQ56+CR56</f>
        <v>0</v>
      </c>
      <c r="CT56" s="1" t="n">
        <f aca="false">CJ56-CR56+CN56*IF(Slot8_SpendLike=1,CP56-CQ56,IF(Slot8_PotFree=1,CP56,0))</f>
        <v>0</v>
      </c>
      <c r="CU56" s="1" t="n">
        <f aca="false">CK56+CN56*Slot8_BufPot*CP56</f>
        <v>0</v>
      </c>
      <c r="CV56" s="1" t="n">
        <f aca="false">IF(AND(CN56=1,Slot8_IsMfree=1),IF(CS56&gt;=Slot8_Cost-1,0,MAX(0,CL56-CS56)),CL56)</f>
        <v>0</v>
      </c>
      <c r="CW56" s="1" t="n">
        <f aca="false">CN56*(Slot8_Cost-CS56)</f>
        <v>0</v>
      </c>
      <c r="CX56" s="1" t="n">
        <f aca="false">IF(AND(Slot9_On=1,D56=Slot9_Age),1,0)</f>
        <v>0</v>
      </c>
      <c r="CY56" s="1" t="n">
        <f aca="false">IF(AND(Slot9_On=1,Slot9_Age&gt;D56),1,0)</f>
        <v>0</v>
      </c>
      <c r="CZ56" s="1" t="n">
        <f aca="false">RR55</f>
        <v>0</v>
      </c>
      <c r="DA56" s="1" t="n">
        <f aca="false">CX56*MIN(Slot9_Cost,CZ56)</f>
        <v>0</v>
      </c>
      <c r="DB56" s="1" t="n">
        <f aca="false">CX56*Slot9_SpendLike*MIN(Slot9_Cost-DA56,CT56)</f>
        <v>0</v>
      </c>
      <c r="DC56" s="1" t="n">
        <f aca="false">DA56+DB56</f>
        <v>0</v>
      </c>
      <c r="DD56" s="1" t="n">
        <f aca="false">CT56-DB56+CX56*IF(Slot9_SpendLike=1,CZ56-DA56,IF(Slot9_PotFree=1,CZ56,0))</f>
        <v>0</v>
      </c>
      <c r="DE56" s="1" t="n">
        <f aca="false">CU56+CX56*Slot9_BufPot*CZ56</f>
        <v>0</v>
      </c>
      <c r="DF56" s="1" t="n">
        <f aca="false">IF(AND(CX56=1,Slot9_IsMfree=1),IF(DC56&gt;=Slot9_Cost-1,0,MAX(0,CV56-DC56)),CV56)</f>
        <v>0</v>
      </c>
      <c r="DG56" s="1" t="n">
        <f aca="false">CX56*(Slot9_Cost-DC56)</f>
        <v>0</v>
      </c>
      <c r="DH56" s="1" t="n">
        <f aca="false">IF(AND(Slot10_On=1,D56=Slot10_Age),1,0)</f>
        <v>0</v>
      </c>
      <c r="DI56" s="1" t="n">
        <f aca="false">IF(AND(Slot10_On=1,Slot10_Age&gt;D56),1,0)</f>
        <v>0</v>
      </c>
      <c r="DJ56" s="1" t="n">
        <f aca="false">RV55</f>
        <v>0</v>
      </c>
      <c r="DK56" s="1" t="n">
        <f aca="false">DH56*MIN(Slot10_Cost,DJ56)</f>
        <v>0</v>
      </c>
      <c r="DL56" s="1" t="n">
        <f aca="false">DH56*Slot10_SpendLike*MIN(Slot10_Cost-DK56,DD56)</f>
        <v>0</v>
      </c>
      <c r="DM56" s="1" t="n">
        <f aca="false">DK56+DL56</f>
        <v>0</v>
      </c>
      <c r="DN56" s="1" t="n">
        <f aca="false">DD56-DL56+DH56*IF(Slot10_SpendLike=1,DJ56-DK56,IF(Slot10_PotFree=1,DJ56,0))</f>
        <v>0</v>
      </c>
      <c r="DO56" s="1" t="n">
        <f aca="false">DE56+DH56*Slot10_BufPot*DJ56</f>
        <v>0</v>
      </c>
      <c r="DP56" s="1" t="n">
        <f aca="false">IF(AND(DH56=1,Slot10_IsMfree=1),IF(DM56&gt;=Slot10_Cost-1,0,MAX(0,DF56-DM56)),DF56)</f>
        <v>0</v>
      </c>
      <c r="DQ56" s="1" t="n">
        <f aca="false">DH56*(Slot10_Cost-DM56)</f>
        <v>0</v>
      </c>
      <c r="DR56" s="1" t="n">
        <f aca="false">IF(AND(Slot11_On=1,D56=Slot11_Age),1,0)</f>
        <v>0</v>
      </c>
      <c r="DS56" s="1" t="n">
        <f aca="false">IF(AND(Slot11_On=1,Slot11_Age&gt;D56),1,0)</f>
        <v>0</v>
      </c>
      <c r="DT56" s="1" t="n">
        <f aca="false">RZ55</f>
        <v>0</v>
      </c>
      <c r="DU56" s="1" t="n">
        <f aca="false">DR56*MIN(Slot11_Cost,DT56)</f>
        <v>0</v>
      </c>
      <c r="DV56" s="1" t="n">
        <f aca="false">DR56*Slot11_SpendLike*MIN(Slot11_Cost-DU56,DN56)</f>
        <v>0</v>
      </c>
      <c r="DW56" s="1" t="n">
        <f aca="false">DU56+DV56</f>
        <v>0</v>
      </c>
      <c r="DX56" s="1" t="n">
        <f aca="false">DN56-DV56+DR56*IF(Slot11_SpendLike=1,DT56-DU56,IF(Slot11_PotFree=1,DT56,0))</f>
        <v>0</v>
      </c>
      <c r="DY56" s="1" t="n">
        <f aca="false">DO56+DR56*Slot11_BufPot*DT56</f>
        <v>0</v>
      </c>
      <c r="DZ56" s="1" t="n">
        <f aca="false">IF(AND(DR56=1,Slot11_IsMfree=1),IF(DW56&gt;=Slot11_Cost-1,0,MAX(0,DP56-DW56)),DP56)</f>
        <v>0</v>
      </c>
      <c r="EA56" s="1" t="n">
        <f aca="false">DR56*(Slot11_Cost-DW56)</f>
        <v>0</v>
      </c>
      <c r="EB56" s="1" t="n">
        <f aca="false">IF(AND(Slot12_On=1,D56=Slot12_Age),1,0)</f>
        <v>0</v>
      </c>
      <c r="EC56" s="1" t="n">
        <f aca="false">IF(AND(Slot12_On=1,Slot12_Age&gt;D56),1,0)</f>
        <v>0</v>
      </c>
      <c r="ED56" s="1" t="n">
        <f aca="false">SD55</f>
        <v>0</v>
      </c>
      <c r="EE56" s="1" t="n">
        <f aca="false">EB56*MIN(Slot12_Cost,ED56)</f>
        <v>0</v>
      </c>
      <c r="EF56" s="1" t="n">
        <f aca="false">EB56*Slot12_SpendLike*MIN(Slot12_Cost-EE56,DX56)</f>
        <v>0</v>
      </c>
      <c r="EG56" s="1" t="n">
        <f aca="false">EE56+EF56</f>
        <v>0</v>
      </c>
      <c r="EH56" s="1" t="n">
        <f aca="false">DX56-EF56+EB56*IF(Slot12_SpendLike=1,ED56-EE56,IF(Slot12_PotFree=1,ED56,0))</f>
        <v>0</v>
      </c>
      <c r="EI56" s="1" t="n">
        <f aca="false">DY56+EB56*Slot12_BufPot*ED56</f>
        <v>0</v>
      </c>
      <c r="EJ56" s="1" t="n">
        <f aca="false">IF(AND(EB56=1,Slot12_IsMfree=1),IF(EG56&gt;=Slot12_Cost-1,0,MAX(0,DZ56-EG56)),DZ56)</f>
        <v>0</v>
      </c>
      <c r="EK56" s="1" t="n">
        <f aca="false">EB56*(Slot12_Cost-EG56)</f>
        <v>0</v>
      </c>
      <c r="EL56" s="1" t="n">
        <f aca="false">IF(AND(Slot13_On=1,D56=Slot13_Age),1,0)</f>
        <v>0</v>
      </c>
      <c r="EM56" s="1" t="n">
        <f aca="false">IF(AND(Slot13_On=1,Slot13_Age&gt;D56),1,0)</f>
        <v>0</v>
      </c>
      <c r="EN56" s="1" t="n">
        <f aca="false">SH55</f>
        <v>0</v>
      </c>
      <c r="EO56" s="1" t="n">
        <f aca="false">EL56*MIN(Slot13_Cost,EN56)</f>
        <v>0</v>
      </c>
      <c r="EP56" s="1" t="n">
        <f aca="false">EL56*Slot13_SpendLike*MIN(Slot13_Cost-EO56,EH56)</f>
        <v>0</v>
      </c>
      <c r="EQ56" s="1" t="n">
        <f aca="false">EO56+EP56</f>
        <v>0</v>
      </c>
      <c r="ER56" s="1" t="n">
        <f aca="false">EH56-EP56+EL56*IF(Slot13_SpendLike=1,EN56-EO56,IF(Slot13_PotFree=1,EN56,0))</f>
        <v>0</v>
      </c>
      <c r="ES56" s="1" t="n">
        <f aca="false">EI56+EL56*Slot13_BufPot*EN56</f>
        <v>0</v>
      </c>
      <c r="ET56" s="1" t="n">
        <f aca="false">IF(AND(EL56=1,Slot13_IsMfree=1),IF(EQ56&gt;=Slot13_Cost-1,0,MAX(0,EJ56-EQ56)),EJ56)</f>
        <v>0</v>
      </c>
      <c r="EU56" s="1" t="n">
        <f aca="false">EL56*(Slot13_Cost-EQ56)</f>
        <v>0</v>
      </c>
      <c r="EV56" s="1" t="n">
        <f aca="false">IF(AND(Slot14_On=1,D56=Slot14_Age),1,0)</f>
        <v>0</v>
      </c>
      <c r="EW56" s="1" t="n">
        <f aca="false">IF(AND(Slot14_On=1,Slot14_Age&gt;D56),1,0)</f>
        <v>0</v>
      </c>
      <c r="EX56" s="1" t="n">
        <f aca="false">SL55</f>
        <v>0</v>
      </c>
      <c r="EY56" s="1" t="n">
        <f aca="false">EV56*MIN(Slot14_Cost,EX56)</f>
        <v>0</v>
      </c>
      <c r="EZ56" s="1" t="n">
        <f aca="false">EV56*Slot14_SpendLike*MIN(Slot14_Cost-EY56,ER56)</f>
        <v>0</v>
      </c>
      <c r="FA56" s="1" t="n">
        <f aca="false">EY56+EZ56</f>
        <v>0</v>
      </c>
      <c r="FB56" s="1" t="n">
        <f aca="false">ER56-EZ56+EV56*IF(Slot14_SpendLike=1,EX56-EY56,IF(Slot14_PotFree=1,EX56,0))</f>
        <v>0</v>
      </c>
      <c r="FC56" s="1" t="n">
        <f aca="false">ES56+EV56*Slot14_BufPot*EX56</f>
        <v>0</v>
      </c>
      <c r="FD56" s="1" t="n">
        <f aca="false">IF(AND(EV56=1,Slot14_IsMfree=1),IF(FA56&gt;=Slot14_Cost-1,0,MAX(0,ET56-FA56)),ET56)</f>
        <v>0</v>
      </c>
      <c r="FE56" s="1" t="n">
        <f aca="false">EV56*(Slot14_Cost-FA56)</f>
        <v>0</v>
      </c>
      <c r="FF56" s="1" t="n">
        <f aca="false">IF(AND(Slot15_On=1,D56=Slot15_Age),1,0)</f>
        <v>0</v>
      </c>
      <c r="FG56" s="1" t="n">
        <f aca="false">IF(AND(Slot15_On=1,Slot15_Age&gt;D56),1,0)</f>
        <v>0</v>
      </c>
      <c r="FH56" s="1" t="n">
        <f aca="false">SP55</f>
        <v>0</v>
      </c>
      <c r="FI56" s="1" t="n">
        <f aca="false">FF56*MIN(Slot15_Cost,FH56)</f>
        <v>0</v>
      </c>
      <c r="FJ56" s="1" t="n">
        <f aca="false">FF56*Slot15_SpendLike*MIN(Slot15_Cost-FI56,FB56)</f>
        <v>0</v>
      </c>
      <c r="FK56" s="1" t="n">
        <f aca="false">FI56+FJ56</f>
        <v>0</v>
      </c>
      <c r="FL56" s="1" t="n">
        <f aca="false">FB56-FJ56+FF56*IF(Slot15_SpendLike=1,FH56-FI56,IF(Slot15_PotFree=1,FH56,0))</f>
        <v>0</v>
      </c>
      <c r="FM56" s="1" t="n">
        <f aca="false">FC56+FF56*Slot15_BufPot*FH56</f>
        <v>0</v>
      </c>
      <c r="FN56" s="1" t="n">
        <f aca="false">IF(AND(FF56=1,Slot15_IsMfree=1),IF(FK56&gt;=Slot15_Cost-1,0,MAX(0,FD56-FK56)),FD56)</f>
        <v>0</v>
      </c>
      <c r="FO56" s="1" t="n">
        <f aca="false">FF56*(Slot15_Cost-FK56)</f>
        <v>0</v>
      </c>
      <c r="FP56" s="1" t="n">
        <f aca="false">IF(AND(Slot16_On=1,D56=Slot16_Age),1,0)</f>
        <v>0</v>
      </c>
      <c r="FQ56" s="1" t="n">
        <f aca="false">IF(AND(Slot16_On=1,Slot16_Age&gt;D56),1,0)</f>
        <v>0</v>
      </c>
      <c r="FR56" s="1" t="n">
        <f aca="false">ST55</f>
        <v>0</v>
      </c>
      <c r="FS56" s="1" t="n">
        <f aca="false">FP56*MIN(Slot16_Cost,FR56)</f>
        <v>0</v>
      </c>
      <c r="FT56" s="1" t="n">
        <f aca="false">FP56*Slot16_SpendLike*MIN(Slot16_Cost-FS56,FL56)</f>
        <v>0</v>
      </c>
      <c r="FU56" s="1" t="n">
        <f aca="false">FS56+FT56</f>
        <v>0</v>
      </c>
      <c r="FV56" s="1" t="n">
        <f aca="false">FL56-FT56+FP56*IF(Slot16_SpendLike=1,FR56-FS56,IF(Slot16_PotFree=1,FR56,0))</f>
        <v>0</v>
      </c>
      <c r="FW56" s="1" t="n">
        <f aca="false">FM56+FP56*Slot16_BufPot*FR56</f>
        <v>0</v>
      </c>
      <c r="FX56" s="1" t="n">
        <f aca="false">IF(AND(FP56=1,Slot16_IsMfree=1),IF(FU56&gt;=Slot16_Cost-1,0,MAX(0,FN56-FU56)),FN56)</f>
        <v>0</v>
      </c>
      <c r="FY56" s="1" t="n">
        <f aca="false">FP56*(Slot16_Cost-FU56)</f>
        <v>0</v>
      </c>
      <c r="FZ56" s="1" t="n">
        <f aca="false">IF(AND(Slot17_On=1,D56=Slot17_Age),1,0)</f>
        <v>0</v>
      </c>
      <c r="GA56" s="1" t="n">
        <f aca="false">IF(AND(Slot17_On=1,Slot17_Age&gt;D56),1,0)</f>
        <v>0</v>
      </c>
      <c r="GB56" s="1" t="n">
        <f aca="false">SX55</f>
        <v>0</v>
      </c>
      <c r="GC56" s="1" t="n">
        <f aca="false">FZ56*MIN(Slot17_Cost,GB56)</f>
        <v>0</v>
      </c>
      <c r="GD56" s="1" t="n">
        <f aca="false">FZ56*Slot17_SpendLike*MIN(Slot17_Cost-GC56,FV56)</f>
        <v>0</v>
      </c>
      <c r="GE56" s="1" t="n">
        <f aca="false">GC56+GD56</f>
        <v>0</v>
      </c>
      <c r="GF56" s="1" t="n">
        <f aca="false">FV56-GD56+FZ56*IF(Slot17_SpendLike=1,GB56-GC56,IF(Slot17_PotFree=1,GB56,0))</f>
        <v>0</v>
      </c>
      <c r="GG56" s="1" t="n">
        <f aca="false">FW56+FZ56*Slot17_BufPot*GB56</f>
        <v>0</v>
      </c>
      <c r="GH56" s="1" t="n">
        <f aca="false">IF(AND(FZ56=1,Slot17_IsMfree=1),IF(GE56&gt;=Slot17_Cost-1,0,MAX(0,FX56-GE56)),FX56)</f>
        <v>0</v>
      </c>
      <c r="GI56" s="1" t="n">
        <f aca="false">FZ56*(Slot17_Cost-GE56)</f>
        <v>0</v>
      </c>
      <c r="GJ56" s="1" t="n">
        <f aca="false">IF(AND(Slot18_On=1,D56=Slot18_Age),1,0)</f>
        <v>0</v>
      </c>
      <c r="GK56" s="1" t="n">
        <f aca="false">IF(AND(Slot18_On=1,Slot18_Age&gt;D56),1,0)</f>
        <v>0</v>
      </c>
      <c r="GL56" s="1" t="n">
        <f aca="false">TB55</f>
        <v>0</v>
      </c>
      <c r="GM56" s="1" t="n">
        <f aca="false">GJ56*MIN(Slot18_Cost,GL56)</f>
        <v>0</v>
      </c>
      <c r="GN56" s="1" t="n">
        <f aca="false">GJ56*Slot18_SpendLike*MIN(Slot18_Cost-GM56,GF56)</f>
        <v>0</v>
      </c>
      <c r="GO56" s="1" t="n">
        <f aca="false">GM56+GN56</f>
        <v>0</v>
      </c>
      <c r="GP56" s="1" t="n">
        <f aca="false">GF56-GN56+GJ56*IF(Slot18_SpendLike=1,GL56-GM56,IF(Slot18_PotFree=1,GL56,0))</f>
        <v>0</v>
      </c>
      <c r="GQ56" s="1" t="n">
        <f aca="false">GG56+GJ56*Slot18_BufPot*GL56</f>
        <v>0</v>
      </c>
      <c r="GR56" s="1" t="n">
        <f aca="false">IF(AND(GJ56=1,Slot18_IsMfree=1),IF(GO56&gt;=Slot18_Cost-1,0,MAX(0,GH56-GO56)),GH56)</f>
        <v>0</v>
      </c>
      <c r="GS56" s="1" t="n">
        <f aca="false">GJ56*(Slot18_Cost-GO56)</f>
        <v>0</v>
      </c>
      <c r="GT56" s="1" t="n">
        <f aca="false">IF(AND(Slot19_On=1,D56=Slot19_Age),1,0)</f>
        <v>0</v>
      </c>
      <c r="GU56" s="1" t="n">
        <f aca="false">IF(AND(Slot19_On=1,Slot19_Age&gt;D56),1,0)</f>
        <v>0</v>
      </c>
      <c r="GV56" s="1" t="n">
        <f aca="false">TF55</f>
        <v>0</v>
      </c>
      <c r="GW56" s="1" t="n">
        <f aca="false">GT56*MIN(Slot19_Cost,GV56)</f>
        <v>0</v>
      </c>
      <c r="GX56" s="1" t="n">
        <f aca="false">GT56*Slot19_SpendLike*MIN(Slot19_Cost-GW56,GP56)</f>
        <v>0</v>
      </c>
      <c r="GY56" s="1" t="n">
        <f aca="false">GW56+GX56</f>
        <v>0</v>
      </c>
      <c r="GZ56" s="1" t="n">
        <f aca="false">GP56-GX56+GT56*IF(Slot19_SpendLike=1,GV56-GW56,IF(Slot19_PotFree=1,GV56,0))</f>
        <v>0</v>
      </c>
      <c r="HA56" s="1" t="n">
        <f aca="false">GQ56+GT56*Slot19_BufPot*GV56</f>
        <v>0</v>
      </c>
      <c r="HB56" s="1" t="n">
        <f aca="false">IF(AND(GT56=1,Slot19_IsMfree=1),IF(GY56&gt;=Slot19_Cost-1,0,MAX(0,GR56-GY56)),GR56)</f>
        <v>0</v>
      </c>
      <c r="HC56" s="1" t="n">
        <f aca="false">GT56*(Slot19_Cost-GY56)</f>
        <v>0</v>
      </c>
      <c r="HD56" s="1" t="n">
        <f aca="false">IF(AND(Slot20_On=1,D56=Slot20_Age),1,0)</f>
        <v>0</v>
      </c>
      <c r="HE56" s="1" t="n">
        <f aca="false">IF(AND(Slot20_On=1,Slot20_Age&gt;D56),1,0)</f>
        <v>0</v>
      </c>
      <c r="HF56" s="1" t="n">
        <f aca="false">TJ55</f>
        <v>0</v>
      </c>
      <c r="HG56" s="1" t="n">
        <f aca="false">HD56*MIN(Slot20_Cost,HF56)</f>
        <v>0</v>
      </c>
      <c r="HH56" s="1" t="n">
        <f aca="false">HD56*Slot20_SpendLike*MIN(Slot20_Cost-HG56,GZ56)</f>
        <v>0</v>
      </c>
      <c r="HI56" s="1" t="n">
        <f aca="false">HG56+HH56</f>
        <v>0</v>
      </c>
      <c r="HJ56" s="1" t="n">
        <f aca="false">GZ56-HH56+HD56*IF(Slot20_SpendLike=1,HF56-HG56,IF(Slot20_PotFree=1,HF56,0))</f>
        <v>0</v>
      </c>
      <c r="HK56" s="1" t="n">
        <f aca="false">HA56+HD56*Slot20_BufPot*HF56</f>
        <v>0</v>
      </c>
      <c r="HL56" s="1" t="n">
        <f aca="false">IF(AND(HD56=1,Slot20_IsMfree=1),IF(HI56&gt;=Slot20_Cost-1,0,MAX(0,HB56-HI56)),HB56)</f>
        <v>0</v>
      </c>
      <c r="HM56" s="1" t="n">
        <f aca="false">HD56*(Slot20_Cost-HI56)</f>
        <v>0</v>
      </c>
      <c r="HN56" s="1" t="n">
        <f aca="false">U56*Slot1_SpendLike*Z56+AF56*Slot2_SpendLike*AK56+AP56*Slot3_SpendLike*AU56+AZ56*Slot4_SpendLike*BE56+BJ56*Slot5_SpendLike*BO56+BT56*Slot6_SpendLike*BY56+CD56*Slot7_SpendLike*CI56+CN56*Slot8_SpendLike*CS56+CX56*Slot9_SpendLike*DC56+DH56*Slot10_SpendLike*DM56+DR56*Slot11_SpendLike*DW56+EB56*Slot12_SpendLike*EG56+EL56*Slot13_SpendLike*EQ56+EV56*Slot14_SpendLike*FA56+FF56*Slot15_SpendLike*FK56+FP56*Slot16_SpendLike*FU56+FZ56*Slot17_SpendLike*GE56+GJ56*Slot18_SpendLike*GO56+GT56*Slot19_SpendLike*GY56+HD56*Slot20_SpendLike*HI56</f>
        <v>0</v>
      </c>
      <c r="HO56" s="1" t="n">
        <f aca="false">AD56+AO56+AY56+BI56+BS56+CC56+CM56+CW56+DG56+DQ56+EA56+EK56+EU56+FE56+FO56+FY56+GI56+GS56+HC56+HM56</f>
        <v>0</v>
      </c>
      <c r="HP56" s="1" t="n">
        <f aca="false">U56*Slot1_Cost+AF56*Slot2_Cost+AP56*Slot3_Cost+AZ56*Slot4_Cost+BJ56*Slot5_Cost+BT56*Slot6_Cost+CD56*Slot7_Cost+CN56*Slot8_Cost+CX56*Slot9_Cost+DH56*Slot10_Cost+DR56*Slot11_Cost+EB56*Slot12_Cost+EL56*Slot13_Cost+EV56*Slot14_Cost+FF56*Slot15_Cost+FP56*Slot16_Cost+FZ56*Slot17_Cost+GJ56*Slot18_Cost+GT56*Slot19_Cost+HD56*Slot20_Cost</f>
        <v>0</v>
      </c>
      <c r="HQ56" s="1" t="n">
        <f aca="false">HL56</f>
        <v>0</v>
      </c>
      <c r="HR56" s="1" t="n">
        <f aca="false">G56-H56-R56</f>
        <v>0</v>
      </c>
      <c r="HS56" s="1" t="n">
        <f aca="false">IF(B56=0,IF(AND(Has_q6=1,In_q6=4),PR_ShareVaries*(MAX(0,HR56)/12),MIN(IF(Has_q6=1,CHOOSE(In_q6+1,PR_SaveB1,PR_SaveB2,PR_SaveB3,PR_SaveB4,0),AS_NoAnswer),AS_SaveShare*(MAX(0,HR56)/12))),HS55)</f>
        <v>0</v>
      </c>
      <c r="HT56" s="1" t="n">
        <f aca="false">IF(HR56&gt;=0,1,0)</f>
        <v>1</v>
      </c>
      <c r="HU56" s="1" t="n">
        <f aca="false">MAX(0,HR56/12/E56)</f>
        <v>0</v>
      </c>
      <c r="HV56" s="1" t="n">
        <f aca="false">IF(AND(Has_q6=1,In_q6=4),PR_ShareVaries*(HU56),MIN(IF(Has_q6=1,CHOOSE(In_q6+1,PR_SaveB1,PR_SaveB2,PR_SaveB3,PR_SaveB4,0),AS_NoAnswer),AS_SaveShare*(HU56)))</f>
        <v>0</v>
      </c>
      <c r="HW56" s="1" t="n">
        <f aca="false">IF(Has_saveM=1,IF(In_saveUp="Yes",1,IF(In_saveUp="No",0,IF(In_saveM&gt;=HS56-0.5,1,0))),0)</f>
        <v>0</v>
      </c>
      <c r="HX56" s="1" t="n">
        <f aca="false">IF(Has_saveM=1,MIN(HU56,IF(HW56=1,MAX(In_saveM,HV56),MIN(In_saveM,HV56))),HV56)</f>
        <v>0</v>
      </c>
      <c r="HY56" s="1" t="n">
        <f aca="false">IF(F56=1,HX56*12*E56,0)</f>
        <v>0</v>
      </c>
      <c r="HZ56" s="1" t="n">
        <f aca="false">MAX(0,HY56+IF(AND(WI_Retire=0,WI_M&lt;0,F56=1),WI_M*12*E56,0))</f>
        <v>0</v>
      </c>
      <c r="IA56" s="1" t="n">
        <f aca="false">Slot1_IsWG*V56+Slot2_IsWG*AG56+Slot3_IsWG*AQ56+Slot4_IsWG*BA56+Slot5_IsWG*BK56+Slot6_IsWG*BU56+Slot7_IsWG*CE56+Slot8_IsWG*CO56+Slot9_IsWG*CY56+Slot10_IsWG*DI56+Slot11_IsWG*DS56+Slot12_IsWG*EC56+Slot13_IsWG*EM56+Slot14_IsWG*EW56+Slot15_IsWG*FG56+Slot16_IsWG*FQ56+Slot17_IsWG*GA56+Slot18_IsWG*GK56+Slot19_IsWG*GU56+Slot20_IsWG*HE56</f>
        <v>0</v>
      </c>
      <c r="IB56" s="1" t="n">
        <f aca="false">IF(AND(WI_Retire=0,WI_M&gt;0,F56=1,IA56&gt;=1),WI_M*12*E56,0)</f>
        <v>0</v>
      </c>
      <c r="IC56" s="1" t="n">
        <f aca="false">IF(HT56=1,MIN(HZ56,HR56),0)</f>
        <v>0</v>
      </c>
      <c r="ID56" s="1" t="n">
        <f aca="false">IF(HT56=1,MIN(IB56,HR56-IC56),0)</f>
        <v>0</v>
      </c>
      <c r="IE56" s="1" t="n">
        <f aca="false">IF(V56=1,IF(ABS((1+AS_Wage)/(1+Slot1_Rate)-1)&lt;0.000000000001,(Slot1_Age-D56)*(1+Slot1_Rate)^(Slot1_Age-D56),(1+Slot1_Rate)^(Slot1_Age-D56)*(1-((1+AS_Wage)/(1+Slot1_Rate))^(Slot1_Age-D56))/(1-(1+AS_Wage)/(1+Slot1_Rate))),1)</f>
        <v>1</v>
      </c>
      <c r="IF56" s="1" t="n">
        <f aca="false">IF(AND(HT56=1,ID56&gt;0,Slot1_IsWG=1,V56=1),MAX(0,(Slot1_Cost-W56*(1+Slot1_Rate)^(Slot1_Age-D56))/IE56),0)</f>
        <v>0</v>
      </c>
      <c r="IG56" s="1" t="n">
        <f aca="false">IF(AND(HT56=1,ID56&gt;0,Slot1_IsWG=1,V56=1),MIN(ID56,IF56),0)</f>
        <v>0</v>
      </c>
      <c r="IH56" s="1" t="n">
        <f aca="false">W56+IG56</f>
        <v>0</v>
      </c>
      <c r="II56" s="1" t="n">
        <f aca="false">IF(V56=1,MAX(0,(Slot1_Cost-IH56*(1+Slot1_Rate)^(Slot1_Age-D56))/IE56),0)</f>
        <v>0</v>
      </c>
      <c r="IJ56" s="1" t="n">
        <f aca="false">IF(V56=1,MAX(0,(Slot1_Cost-W56*(1+Slot1_Rate)^(Slot1_Age-D56))/IE56),0)</f>
        <v>0</v>
      </c>
      <c r="IK56" s="1" t="n">
        <f aca="false">IF(AND(HT56=1,V56=1),MIN(IC56,II56),0)</f>
        <v>0</v>
      </c>
      <c r="IL56" s="1" t="n">
        <f aca="false">IC56-IK56</f>
        <v>0</v>
      </c>
      <c r="IM56" s="1" t="n">
        <f aca="false">IF(AG56=1,IF(ABS((1+AS_Wage)/(1+Slot2_Rate)-1)&lt;0.000000000001,(Slot2_Age-D56)*(1+Slot2_Rate)^(Slot2_Age-D56),(1+Slot2_Rate)^(Slot2_Age-D56)*(1-((1+AS_Wage)/(1+Slot2_Rate))^(Slot2_Age-D56))/(1-(1+AS_Wage)/(1+Slot2_Rate))),1)</f>
        <v>1</v>
      </c>
      <c r="IN56" s="1" t="n">
        <f aca="false">IF(AND(HT56=1,ID56&gt;0,Slot2_IsWG=1,AG56=1),MAX(0,(Slot2_Cost-AH56*(1+Slot2_Rate)^(Slot2_Age-D56))/IM56),0)</f>
        <v>0</v>
      </c>
      <c r="IO56" s="1" t="n">
        <f aca="false">IF(AND(HT56=1,ID56&gt;0,Slot2_IsWG=1,AG56=1),MIN(ID56,IN56),0)</f>
        <v>0</v>
      </c>
      <c r="IP56" s="1" t="n">
        <f aca="false">AH56+IO56</f>
        <v>0</v>
      </c>
      <c r="IQ56" s="1" t="n">
        <f aca="false">IF(AG56=1,MAX(0,(Slot2_Cost-IP56*(1+Slot2_Rate)^(Slot2_Age-D56))/IM56),0)</f>
        <v>0</v>
      </c>
      <c r="IR56" s="1" t="n">
        <f aca="false">IF(AG56=1,MAX(0,(Slot2_Cost-AH56*(1+Slot2_Rate)^(Slot2_Age-D56))/IM56),0)</f>
        <v>0</v>
      </c>
      <c r="IS56" s="1" t="n">
        <f aca="false">IF(AND(HT56=1,AG56=1),MIN(IL56,IQ56),0)</f>
        <v>0</v>
      </c>
      <c r="IT56" s="1" t="n">
        <f aca="false">IL56-IS56</f>
        <v>0</v>
      </c>
      <c r="IU56" s="1" t="n">
        <f aca="false">IF(AQ56=1,IF(ABS((1+AS_Wage)/(1+Slot3_Rate)-1)&lt;0.000000000001,(Slot3_Age-D56)*(1+Slot3_Rate)^(Slot3_Age-D56),(1+Slot3_Rate)^(Slot3_Age-D56)*(1-((1+AS_Wage)/(1+Slot3_Rate))^(Slot3_Age-D56))/(1-(1+AS_Wage)/(1+Slot3_Rate))),1)</f>
        <v>1</v>
      </c>
      <c r="IV56" s="1" t="n">
        <f aca="false">IF(AND(HT56=1,ID56&gt;0,Slot3_IsWG=1,AQ56=1),MAX(0,(Slot3_Cost-AR56*(1+Slot3_Rate)^(Slot3_Age-D56))/IU56),0)</f>
        <v>0</v>
      </c>
      <c r="IW56" s="1" t="n">
        <f aca="false">IF(AND(HT56=1,ID56&gt;0,Slot3_IsWG=1,AQ56=1),MIN(ID56,IV56),0)</f>
        <v>0</v>
      </c>
      <c r="IX56" s="1" t="n">
        <f aca="false">AR56+IW56</f>
        <v>0</v>
      </c>
      <c r="IY56" s="1" t="n">
        <f aca="false">IF(AQ56=1,MAX(0,(Slot3_Cost-IX56*(1+Slot3_Rate)^(Slot3_Age-D56))/IU56),0)</f>
        <v>0</v>
      </c>
      <c r="IZ56" s="1" t="n">
        <f aca="false">IF(AQ56=1,MAX(0,(Slot3_Cost-AR56*(1+Slot3_Rate)^(Slot3_Age-D56))/IU56),0)</f>
        <v>0</v>
      </c>
      <c r="JA56" s="1" t="n">
        <f aca="false">IF(AND(HT56=1,AQ56=1),MIN(IT56,IY56),0)</f>
        <v>0</v>
      </c>
      <c r="JB56" s="1" t="n">
        <f aca="false">IT56-JA56</f>
        <v>0</v>
      </c>
      <c r="JC56" s="1" t="n">
        <f aca="false">IF(BA56=1,IF(ABS((1+AS_Wage)/(1+Slot4_Rate)-1)&lt;0.000000000001,(Slot4_Age-D56)*(1+Slot4_Rate)^(Slot4_Age-D56),(1+Slot4_Rate)^(Slot4_Age-D56)*(1-((1+AS_Wage)/(1+Slot4_Rate))^(Slot4_Age-D56))/(1-(1+AS_Wage)/(1+Slot4_Rate))),1)</f>
        <v>1</v>
      </c>
      <c r="JD56" s="1" t="n">
        <f aca="false">IF(AND(HT56=1,ID56&gt;0,Slot4_IsWG=1,BA56=1),MAX(0,(Slot4_Cost-BB56*(1+Slot4_Rate)^(Slot4_Age-D56))/JC56),0)</f>
        <v>0</v>
      </c>
      <c r="JE56" s="1" t="n">
        <f aca="false">IF(AND(HT56=1,ID56&gt;0,Slot4_IsWG=1,BA56=1),MIN(ID56,JD56),0)</f>
        <v>0</v>
      </c>
      <c r="JF56" s="1" t="n">
        <f aca="false">BB56+JE56</f>
        <v>0</v>
      </c>
      <c r="JG56" s="1" t="n">
        <f aca="false">IF(BA56=1,MAX(0,(Slot4_Cost-JF56*(1+Slot4_Rate)^(Slot4_Age-D56))/JC56),0)</f>
        <v>0</v>
      </c>
      <c r="JH56" s="1" t="n">
        <f aca="false">IF(BA56=1,MAX(0,(Slot4_Cost-BB56*(1+Slot4_Rate)^(Slot4_Age-D56))/JC56),0)</f>
        <v>0</v>
      </c>
      <c r="JI56" s="1" t="n">
        <f aca="false">IF(AND(HT56=1,BA56=1),MIN(JB56,JG56),0)</f>
        <v>0</v>
      </c>
      <c r="JJ56" s="1" t="n">
        <f aca="false">JB56-JI56</f>
        <v>0</v>
      </c>
      <c r="JK56" s="1" t="n">
        <f aca="false">IF(BK56=1,IF(ABS((1+AS_Wage)/(1+Slot5_Rate)-1)&lt;0.000000000001,(Slot5_Age-D56)*(1+Slot5_Rate)^(Slot5_Age-D56),(1+Slot5_Rate)^(Slot5_Age-D56)*(1-((1+AS_Wage)/(1+Slot5_Rate))^(Slot5_Age-D56))/(1-(1+AS_Wage)/(1+Slot5_Rate))),1)</f>
        <v>1</v>
      </c>
      <c r="JL56" s="1" t="n">
        <f aca="false">IF(AND(HT56=1,ID56&gt;0,Slot5_IsWG=1,BK56=1),MAX(0,(Slot5_Cost-BL56*(1+Slot5_Rate)^(Slot5_Age-D56))/JK56),0)</f>
        <v>0</v>
      </c>
      <c r="JM56" s="1" t="n">
        <f aca="false">IF(AND(HT56=1,ID56&gt;0,Slot5_IsWG=1,BK56=1),MIN(ID56,JL56),0)</f>
        <v>0</v>
      </c>
      <c r="JN56" s="1" t="n">
        <f aca="false">BL56+JM56</f>
        <v>0</v>
      </c>
      <c r="JO56" s="1" t="n">
        <f aca="false">IF(BK56=1,MAX(0,(Slot5_Cost-JN56*(1+Slot5_Rate)^(Slot5_Age-D56))/JK56),0)</f>
        <v>0</v>
      </c>
      <c r="JP56" s="1" t="n">
        <f aca="false">IF(BK56=1,MAX(0,(Slot5_Cost-BL56*(1+Slot5_Rate)^(Slot5_Age-D56))/JK56),0)</f>
        <v>0</v>
      </c>
      <c r="JQ56" s="1" t="n">
        <f aca="false">IF(AND(HT56=1,BK56=1),MIN(JJ56,JO56),0)</f>
        <v>0</v>
      </c>
      <c r="JR56" s="1" t="n">
        <f aca="false">JJ56-JQ56</f>
        <v>0</v>
      </c>
      <c r="JS56" s="1" t="n">
        <f aca="false">IF(BU56=1,IF(ABS((1+AS_Wage)/(1+Slot6_Rate)-1)&lt;0.000000000001,(Slot6_Age-D56)*(1+Slot6_Rate)^(Slot6_Age-D56),(1+Slot6_Rate)^(Slot6_Age-D56)*(1-((1+AS_Wage)/(1+Slot6_Rate))^(Slot6_Age-D56))/(1-(1+AS_Wage)/(1+Slot6_Rate))),1)</f>
        <v>1</v>
      </c>
      <c r="JT56" s="1" t="n">
        <f aca="false">IF(AND(HT56=1,ID56&gt;0,Slot6_IsWG=1,BU56=1),MAX(0,(Slot6_Cost-BV56*(1+Slot6_Rate)^(Slot6_Age-D56))/JS56),0)</f>
        <v>0</v>
      </c>
      <c r="JU56" s="1" t="n">
        <f aca="false">IF(AND(HT56=1,ID56&gt;0,Slot6_IsWG=1,BU56=1),MIN(ID56,JT56),0)</f>
        <v>0</v>
      </c>
      <c r="JV56" s="1" t="n">
        <f aca="false">BV56+JU56</f>
        <v>0</v>
      </c>
      <c r="JW56" s="1" t="n">
        <f aca="false">IF(BU56=1,MAX(0,(Slot6_Cost-JV56*(1+Slot6_Rate)^(Slot6_Age-D56))/JS56),0)</f>
        <v>0</v>
      </c>
      <c r="JX56" s="1" t="n">
        <f aca="false">IF(BU56=1,MAX(0,(Slot6_Cost-BV56*(1+Slot6_Rate)^(Slot6_Age-D56))/JS56),0)</f>
        <v>0</v>
      </c>
      <c r="JY56" s="1" t="n">
        <f aca="false">IF(AND(HT56=1,BU56=1),MIN(JR56,JW56),0)</f>
        <v>0</v>
      </c>
      <c r="JZ56" s="1" t="n">
        <f aca="false">JR56-JY56</f>
        <v>0</v>
      </c>
      <c r="KA56" s="1" t="n">
        <f aca="false">IF(CE56=1,IF(ABS((1+AS_Wage)/(1+Slot7_Rate)-1)&lt;0.000000000001,(Slot7_Age-D56)*(1+Slot7_Rate)^(Slot7_Age-D56),(1+Slot7_Rate)^(Slot7_Age-D56)*(1-((1+AS_Wage)/(1+Slot7_Rate))^(Slot7_Age-D56))/(1-(1+AS_Wage)/(1+Slot7_Rate))),1)</f>
        <v>1</v>
      </c>
      <c r="KB56" s="1" t="n">
        <f aca="false">IF(AND(HT56=1,ID56&gt;0,Slot7_IsWG=1,CE56=1),MAX(0,(Slot7_Cost-CF56*(1+Slot7_Rate)^(Slot7_Age-D56))/KA56),0)</f>
        <v>0</v>
      </c>
      <c r="KC56" s="1" t="n">
        <f aca="false">IF(AND(HT56=1,ID56&gt;0,Slot7_IsWG=1,CE56=1),MIN(ID56,KB56),0)</f>
        <v>0</v>
      </c>
      <c r="KD56" s="1" t="n">
        <f aca="false">CF56+KC56</f>
        <v>0</v>
      </c>
      <c r="KE56" s="1" t="n">
        <f aca="false">IF(CE56=1,MAX(0,(Slot7_Cost-KD56*(1+Slot7_Rate)^(Slot7_Age-D56))/KA56),0)</f>
        <v>0</v>
      </c>
      <c r="KF56" s="1" t="n">
        <f aca="false">IF(CE56=1,MAX(0,(Slot7_Cost-CF56*(1+Slot7_Rate)^(Slot7_Age-D56))/KA56),0)</f>
        <v>0</v>
      </c>
      <c r="KG56" s="1" t="n">
        <f aca="false">IF(AND(HT56=1,CE56=1),MIN(JZ56,KE56),0)</f>
        <v>0</v>
      </c>
      <c r="KH56" s="1" t="n">
        <f aca="false">JZ56-KG56</f>
        <v>0</v>
      </c>
      <c r="KI56" s="1" t="n">
        <f aca="false">IF(CO56=1,IF(ABS((1+AS_Wage)/(1+Slot8_Rate)-1)&lt;0.000000000001,(Slot8_Age-D56)*(1+Slot8_Rate)^(Slot8_Age-D56),(1+Slot8_Rate)^(Slot8_Age-D56)*(1-((1+AS_Wage)/(1+Slot8_Rate))^(Slot8_Age-D56))/(1-(1+AS_Wage)/(1+Slot8_Rate))),1)</f>
        <v>1</v>
      </c>
      <c r="KJ56" s="1" t="n">
        <f aca="false">IF(AND(HT56=1,ID56&gt;0,Slot8_IsWG=1,CO56=1),MAX(0,(Slot8_Cost-CP56*(1+Slot8_Rate)^(Slot8_Age-D56))/KI56),0)</f>
        <v>0</v>
      </c>
      <c r="KK56" s="1" t="n">
        <f aca="false">IF(AND(HT56=1,ID56&gt;0,Slot8_IsWG=1,CO56=1),MIN(ID56,KJ56),0)</f>
        <v>0</v>
      </c>
      <c r="KL56" s="1" t="n">
        <f aca="false">CP56+KK56</f>
        <v>0</v>
      </c>
      <c r="KM56" s="1" t="n">
        <f aca="false">IF(CO56=1,MAX(0,(Slot8_Cost-KL56*(1+Slot8_Rate)^(Slot8_Age-D56))/KI56),0)</f>
        <v>0</v>
      </c>
      <c r="KN56" s="1" t="n">
        <f aca="false">IF(CO56=1,MAX(0,(Slot8_Cost-CP56*(1+Slot8_Rate)^(Slot8_Age-D56))/KI56),0)</f>
        <v>0</v>
      </c>
      <c r="KO56" s="1" t="n">
        <f aca="false">IF(AND(HT56=1,CO56=1),MIN(KH56,KM56),0)</f>
        <v>0</v>
      </c>
      <c r="KP56" s="1" t="n">
        <f aca="false">KH56-KO56</f>
        <v>0</v>
      </c>
      <c r="KQ56" s="1" t="n">
        <f aca="false">IF(CY56=1,IF(ABS((1+AS_Wage)/(1+Slot9_Rate)-1)&lt;0.000000000001,(Slot9_Age-D56)*(1+Slot9_Rate)^(Slot9_Age-D56),(1+Slot9_Rate)^(Slot9_Age-D56)*(1-((1+AS_Wage)/(1+Slot9_Rate))^(Slot9_Age-D56))/(1-(1+AS_Wage)/(1+Slot9_Rate))),1)</f>
        <v>1</v>
      </c>
      <c r="KR56" s="1" t="n">
        <f aca="false">IF(AND(HT56=1,ID56&gt;0,Slot9_IsWG=1,CY56=1),MAX(0,(Slot9_Cost-CZ56*(1+Slot9_Rate)^(Slot9_Age-D56))/KQ56),0)</f>
        <v>0</v>
      </c>
      <c r="KS56" s="1" t="n">
        <f aca="false">IF(AND(HT56=1,ID56&gt;0,Slot9_IsWG=1,CY56=1),MIN(ID56,KR56),0)</f>
        <v>0</v>
      </c>
      <c r="KT56" s="1" t="n">
        <f aca="false">CZ56+KS56</f>
        <v>0</v>
      </c>
      <c r="KU56" s="1" t="n">
        <f aca="false">IF(CY56=1,MAX(0,(Slot9_Cost-KT56*(1+Slot9_Rate)^(Slot9_Age-D56))/KQ56),0)</f>
        <v>0</v>
      </c>
      <c r="KV56" s="1" t="n">
        <f aca="false">IF(CY56=1,MAX(0,(Slot9_Cost-CZ56*(1+Slot9_Rate)^(Slot9_Age-D56))/KQ56),0)</f>
        <v>0</v>
      </c>
      <c r="KW56" s="1" t="n">
        <f aca="false">IF(AND(HT56=1,CY56=1),MIN(KP56,KU56),0)</f>
        <v>0</v>
      </c>
      <c r="KX56" s="1" t="n">
        <f aca="false">KP56-KW56</f>
        <v>0</v>
      </c>
      <c r="KY56" s="1" t="n">
        <f aca="false">IF(DI56=1,IF(ABS((1+AS_Wage)/(1+Slot10_Rate)-1)&lt;0.000000000001,(Slot10_Age-D56)*(1+Slot10_Rate)^(Slot10_Age-D56),(1+Slot10_Rate)^(Slot10_Age-D56)*(1-((1+AS_Wage)/(1+Slot10_Rate))^(Slot10_Age-D56))/(1-(1+AS_Wage)/(1+Slot10_Rate))),1)</f>
        <v>1</v>
      </c>
      <c r="KZ56" s="1" t="n">
        <f aca="false">IF(AND(HT56=1,ID56&gt;0,Slot10_IsWG=1,DI56=1),MAX(0,(Slot10_Cost-DJ56*(1+Slot10_Rate)^(Slot10_Age-D56))/KY56),0)</f>
        <v>0</v>
      </c>
      <c r="LA56" s="1" t="n">
        <f aca="false">IF(AND(HT56=1,ID56&gt;0,Slot10_IsWG=1,DI56=1),MIN(ID56,KZ56),0)</f>
        <v>0</v>
      </c>
      <c r="LB56" s="1" t="n">
        <f aca="false">DJ56+LA56</f>
        <v>0</v>
      </c>
      <c r="LC56" s="1" t="n">
        <f aca="false">IF(DI56=1,MAX(0,(Slot10_Cost-LB56*(1+Slot10_Rate)^(Slot10_Age-D56))/KY56),0)</f>
        <v>0</v>
      </c>
      <c r="LD56" s="1" t="n">
        <f aca="false">IF(DI56=1,MAX(0,(Slot10_Cost-DJ56*(1+Slot10_Rate)^(Slot10_Age-D56))/KY56),0)</f>
        <v>0</v>
      </c>
      <c r="LE56" s="1" t="n">
        <f aca="false">IF(AND(HT56=1,DI56=1),MIN(KX56,LC56),0)</f>
        <v>0</v>
      </c>
      <c r="LF56" s="1" t="n">
        <f aca="false">KX56-LE56</f>
        <v>0</v>
      </c>
      <c r="LG56" s="1" t="n">
        <f aca="false">IF(DS56=1,IF(ABS((1+AS_Wage)/(1+Slot11_Rate)-1)&lt;0.000000000001,(Slot11_Age-D56)*(1+Slot11_Rate)^(Slot11_Age-D56),(1+Slot11_Rate)^(Slot11_Age-D56)*(1-((1+AS_Wage)/(1+Slot11_Rate))^(Slot11_Age-D56))/(1-(1+AS_Wage)/(1+Slot11_Rate))),1)</f>
        <v>1</v>
      </c>
      <c r="LH56" s="1" t="n">
        <f aca="false">IF(AND(HT56=1,ID56&gt;0,Slot11_IsWG=1,DS56=1),MAX(0,(Slot11_Cost-DT56*(1+Slot11_Rate)^(Slot11_Age-D56))/LG56),0)</f>
        <v>0</v>
      </c>
      <c r="LI56" s="1" t="n">
        <f aca="false">IF(AND(HT56=1,ID56&gt;0,Slot11_IsWG=1,DS56=1),MIN(ID56,LH56),0)</f>
        <v>0</v>
      </c>
      <c r="LJ56" s="1" t="n">
        <f aca="false">DT56+LI56</f>
        <v>0</v>
      </c>
      <c r="LK56" s="1" t="n">
        <f aca="false">IF(DS56=1,MAX(0,(Slot11_Cost-LJ56*(1+Slot11_Rate)^(Slot11_Age-D56))/LG56),0)</f>
        <v>0</v>
      </c>
      <c r="LL56" s="1" t="n">
        <f aca="false">IF(DS56=1,MAX(0,(Slot11_Cost-DT56*(1+Slot11_Rate)^(Slot11_Age-D56))/LG56),0)</f>
        <v>0</v>
      </c>
      <c r="LM56" s="1" t="n">
        <f aca="false">IF(AND(HT56=1,DS56=1),MIN(LF56,LK56),0)</f>
        <v>0</v>
      </c>
      <c r="LN56" s="1" t="n">
        <f aca="false">LF56-LM56</f>
        <v>0</v>
      </c>
      <c r="LO56" s="1" t="n">
        <f aca="false">IF(EC56=1,IF(ABS((1+AS_Wage)/(1+Slot12_Rate)-1)&lt;0.000000000001,(Slot12_Age-D56)*(1+Slot12_Rate)^(Slot12_Age-D56),(1+Slot12_Rate)^(Slot12_Age-D56)*(1-((1+AS_Wage)/(1+Slot12_Rate))^(Slot12_Age-D56))/(1-(1+AS_Wage)/(1+Slot12_Rate))),1)</f>
        <v>1</v>
      </c>
      <c r="LP56" s="1" t="n">
        <f aca="false">IF(AND(HT56=1,ID56&gt;0,Slot12_IsWG=1,EC56=1),MAX(0,(Slot12_Cost-ED56*(1+Slot12_Rate)^(Slot12_Age-D56))/LO56),0)</f>
        <v>0</v>
      </c>
      <c r="LQ56" s="1" t="n">
        <f aca="false">IF(AND(HT56=1,ID56&gt;0,Slot12_IsWG=1,EC56=1),MIN(ID56,LP56),0)</f>
        <v>0</v>
      </c>
      <c r="LR56" s="1" t="n">
        <f aca="false">ED56+LQ56</f>
        <v>0</v>
      </c>
      <c r="LS56" s="1" t="n">
        <f aca="false">IF(EC56=1,MAX(0,(Slot12_Cost-LR56*(1+Slot12_Rate)^(Slot12_Age-D56))/LO56),0)</f>
        <v>0</v>
      </c>
      <c r="LT56" s="1" t="n">
        <f aca="false">IF(EC56=1,MAX(0,(Slot12_Cost-ED56*(1+Slot12_Rate)^(Slot12_Age-D56))/LO56),0)</f>
        <v>0</v>
      </c>
      <c r="LU56" s="1" t="n">
        <f aca="false">IF(AND(HT56=1,EC56=1),MIN(LN56,LS56),0)</f>
        <v>0</v>
      </c>
      <c r="LV56" s="1" t="n">
        <f aca="false">LN56-LU56</f>
        <v>0</v>
      </c>
      <c r="LW56" s="1" t="n">
        <f aca="false">IF(EM56=1,IF(ABS((1+AS_Wage)/(1+Slot13_Rate)-1)&lt;0.000000000001,(Slot13_Age-D56)*(1+Slot13_Rate)^(Slot13_Age-D56),(1+Slot13_Rate)^(Slot13_Age-D56)*(1-((1+AS_Wage)/(1+Slot13_Rate))^(Slot13_Age-D56))/(1-(1+AS_Wage)/(1+Slot13_Rate))),1)</f>
        <v>1</v>
      </c>
      <c r="LX56" s="1" t="n">
        <f aca="false">IF(AND(HT56=1,ID56&gt;0,Slot13_IsWG=1,EM56=1),MAX(0,(Slot13_Cost-EN56*(1+Slot13_Rate)^(Slot13_Age-D56))/LW56),0)</f>
        <v>0</v>
      </c>
      <c r="LY56" s="1" t="n">
        <f aca="false">IF(AND(HT56=1,ID56&gt;0,Slot13_IsWG=1,EM56=1),MIN(ID56,LX56),0)</f>
        <v>0</v>
      </c>
      <c r="LZ56" s="1" t="n">
        <f aca="false">EN56+LY56</f>
        <v>0</v>
      </c>
      <c r="MA56" s="1" t="n">
        <f aca="false">IF(EM56=1,MAX(0,(Slot13_Cost-LZ56*(1+Slot13_Rate)^(Slot13_Age-D56))/LW56),0)</f>
        <v>0</v>
      </c>
      <c r="MB56" s="1" t="n">
        <f aca="false">IF(EM56=1,MAX(0,(Slot13_Cost-EN56*(1+Slot13_Rate)^(Slot13_Age-D56))/LW56),0)</f>
        <v>0</v>
      </c>
      <c r="MC56" s="1" t="n">
        <f aca="false">IF(AND(HT56=1,EM56=1),MIN(LV56,MA56),0)</f>
        <v>0</v>
      </c>
      <c r="MD56" s="1" t="n">
        <f aca="false">LV56-MC56</f>
        <v>0</v>
      </c>
      <c r="ME56" s="1" t="n">
        <f aca="false">IF(EW56=1,IF(ABS((1+AS_Wage)/(1+Slot14_Rate)-1)&lt;0.000000000001,(Slot14_Age-D56)*(1+Slot14_Rate)^(Slot14_Age-D56),(1+Slot14_Rate)^(Slot14_Age-D56)*(1-((1+AS_Wage)/(1+Slot14_Rate))^(Slot14_Age-D56))/(1-(1+AS_Wage)/(1+Slot14_Rate))),1)</f>
        <v>1</v>
      </c>
      <c r="MF56" s="1" t="n">
        <f aca="false">IF(AND(HT56=1,ID56&gt;0,Slot14_IsWG=1,EW56=1),MAX(0,(Slot14_Cost-EX56*(1+Slot14_Rate)^(Slot14_Age-D56))/ME56),0)</f>
        <v>0</v>
      </c>
      <c r="MG56" s="1" t="n">
        <f aca="false">IF(AND(HT56=1,ID56&gt;0,Slot14_IsWG=1,EW56=1),MIN(ID56,MF56),0)</f>
        <v>0</v>
      </c>
      <c r="MH56" s="1" t="n">
        <f aca="false">EX56+MG56</f>
        <v>0</v>
      </c>
      <c r="MI56" s="1" t="n">
        <f aca="false">IF(EW56=1,MAX(0,(Slot14_Cost-MH56*(1+Slot14_Rate)^(Slot14_Age-D56))/ME56),0)</f>
        <v>0</v>
      </c>
      <c r="MJ56" s="1" t="n">
        <f aca="false">IF(EW56=1,MAX(0,(Slot14_Cost-EX56*(1+Slot14_Rate)^(Slot14_Age-D56))/ME56),0)</f>
        <v>0</v>
      </c>
      <c r="MK56" s="1" t="n">
        <f aca="false">IF(AND(HT56=1,EW56=1),MIN(MD56,MI56),0)</f>
        <v>0</v>
      </c>
      <c r="ML56" s="1" t="n">
        <f aca="false">MD56-MK56</f>
        <v>0</v>
      </c>
      <c r="MM56" s="1" t="n">
        <f aca="false">IF(FG56=1,IF(ABS((1+AS_Wage)/(1+Slot15_Rate)-1)&lt;0.000000000001,(Slot15_Age-D56)*(1+Slot15_Rate)^(Slot15_Age-D56),(1+Slot15_Rate)^(Slot15_Age-D56)*(1-((1+AS_Wage)/(1+Slot15_Rate))^(Slot15_Age-D56))/(1-(1+AS_Wage)/(1+Slot15_Rate))),1)</f>
        <v>1</v>
      </c>
      <c r="MN56" s="1" t="n">
        <f aca="false">IF(AND(HT56=1,ID56&gt;0,Slot15_IsWG=1,FG56=1),MAX(0,(Slot15_Cost-FH56*(1+Slot15_Rate)^(Slot15_Age-D56))/MM56),0)</f>
        <v>0</v>
      </c>
      <c r="MO56" s="1" t="n">
        <f aca="false">IF(AND(HT56=1,ID56&gt;0,Slot15_IsWG=1,FG56=1),MIN(ID56,MN56),0)</f>
        <v>0</v>
      </c>
      <c r="MP56" s="1" t="n">
        <f aca="false">FH56+MO56</f>
        <v>0</v>
      </c>
      <c r="MQ56" s="1" t="n">
        <f aca="false">IF(FG56=1,MAX(0,(Slot15_Cost-MP56*(1+Slot15_Rate)^(Slot15_Age-D56))/MM56),0)</f>
        <v>0</v>
      </c>
      <c r="MR56" s="1" t="n">
        <f aca="false">IF(FG56=1,MAX(0,(Slot15_Cost-FH56*(1+Slot15_Rate)^(Slot15_Age-D56))/MM56),0)</f>
        <v>0</v>
      </c>
      <c r="MS56" s="1" t="n">
        <f aca="false">IF(AND(HT56=1,FG56=1),MIN(ML56,MQ56),0)</f>
        <v>0</v>
      </c>
      <c r="MT56" s="1" t="n">
        <f aca="false">ML56-MS56</f>
        <v>0</v>
      </c>
      <c r="MU56" s="1" t="n">
        <f aca="false">IF(FQ56=1,IF(ABS((1+AS_Wage)/(1+Slot16_Rate)-1)&lt;0.000000000001,(Slot16_Age-D56)*(1+Slot16_Rate)^(Slot16_Age-D56),(1+Slot16_Rate)^(Slot16_Age-D56)*(1-((1+AS_Wage)/(1+Slot16_Rate))^(Slot16_Age-D56))/(1-(1+AS_Wage)/(1+Slot16_Rate))),1)</f>
        <v>1</v>
      </c>
      <c r="MV56" s="1" t="n">
        <f aca="false">IF(AND(HT56=1,ID56&gt;0,Slot16_IsWG=1,FQ56=1),MAX(0,(Slot16_Cost-FR56*(1+Slot16_Rate)^(Slot16_Age-D56))/MU56),0)</f>
        <v>0</v>
      </c>
      <c r="MW56" s="1" t="n">
        <f aca="false">IF(AND(HT56=1,ID56&gt;0,Slot16_IsWG=1,FQ56=1),MIN(ID56,MV56),0)</f>
        <v>0</v>
      </c>
      <c r="MX56" s="1" t="n">
        <f aca="false">FR56+MW56</f>
        <v>0</v>
      </c>
      <c r="MY56" s="1" t="n">
        <f aca="false">IF(FQ56=1,MAX(0,(Slot16_Cost-MX56*(1+Slot16_Rate)^(Slot16_Age-D56))/MU56),0)</f>
        <v>0</v>
      </c>
      <c r="MZ56" s="1" t="n">
        <f aca="false">IF(FQ56=1,MAX(0,(Slot16_Cost-FR56*(1+Slot16_Rate)^(Slot16_Age-D56))/MU56),0)</f>
        <v>0</v>
      </c>
      <c r="NA56" s="1" t="n">
        <f aca="false">IF(AND(HT56=1,FQ56=1),MIN(MT56,MY56),0)</f>
        <v>0</v>
      </c>
      <c r="NB56" s="1" t="n">
        <f aca="false">MT56-NA56</f>
        <v>0</v>
      </c>
      <c r="NC56" s="1" t="n">
        <f aca="false">IF(GA56=1,IF(ABS((1+AS_Wage)/(1+Slot17_Rate)-1)&lt;0.000000000001,(Slot17_Age-D56)*(1+Slot17_Rate)^(Slot17_Age-D56),(1+Slot17_Rate)^(Slot17_Age-D56)*(1-((1+AS_Wage)/(1+Slot17_Rate))^(Slot17_Age-D56))/(1-(1+AS_Wage)/(1+Slot17_Rate))),1)</f>
        <v>1</v>
      </c>
      <c r="ND56" s="1" t="n">
        <f aca="false">IF(AND(HT56=1,ID56&gt;0,Slot17_IsWG=1,GA56=1),MAX(0,(Slot17_Cost-GB56*(1+Slot17_Rate)^(Slot17_Age-D56))/NC56),0)</f>
        <v>0</v>
      </c>
      <c r="NE56" s="1" t="n">
        <f aca="false">IF(AND(HT56=1,ID56&gt;0,Slot17_IsWG=1,GA56=1),MIN(ID56,ND56),0)</f>
        <v>0</v>
      </c>
      <c r="NF56" s="1" t="n">
        <f aca="false">GB56+NE56</f>
        <v>0</v>
      </c>
      <c r="NG56" s="1" t="n">
        <f aca="false">IF(GA56=1,MAX(0,(Slot17_Cost-NF56*(1+Slot17_Rate)^(Slot17_Age-D56))/NC56),0)</f>
        <v>0</v>
      </c>
      <c r="NH56" s="1" t="n">
        <f aca="false">IF(GA56=1,MAX(0,(Slot17_Cost-GB56*(1+Slot17_Rate)^(Slot17_Age-D56))/NC56),0)</f>
        <v>0</v>
      </c>
      <c r="NI56" s="1" t="n">
        <f aca="false">IF(AND(HT56=1,GA56=1),MIN(NB56,NG56),0)</f>
        <v>0</v>
      </c>
      <c r="NJ56" s="1" t="n">
        <f aca="false">NB56-NI56</f>
        <v>0</v>
      </c>
      <c r="NK56" s="1" t="n">
        <f aca="false">IF(GK56=1,IF(ABS((1+AS_Wage)/(1+Slot18_Rate)-1)&lt;0.000000000001,(Slot18_Age-D56)*(1+Slot18_Rate)^(Slot18_Age-D56),(1+Slot18_Rate)^(Slot18_Age-D56)*(1-((1+AS_Wage)/(1+Slot18_Rate))^(Slot18_Age-D56))/(1-(1+AS_Wage)/(1+Slot18_Rate))),1)</f>
        <v>1</v>
      </c>
      <c r="NL56" s="1" t="n">
        <f aca="false">IF(AND(HT56=1,ID56&gt;0,Slot18_IsWG=1,GK56=1),MAX(0,(Slot18_Cost-GL56*(1+Slot18_Rate)^(Slot18_Age-D56))/NK56),0)</f>
        <v>0</v>
      </c>
      <c r="NM56" s="1" t="n">
        <f aca="false">IF(AND(HT56=1,ID56&gt;0,Slot18_IsWG=1,GK56=1),MIN(ID56,NL56),0)</f>
        <v>0</v>
      </c>
      <c r="NN56" s="1" t="n">
        <f aca="false">GL56+NM56</f>
        <v>0</v>
      </c>
      <c r="NO56" s="1" t="n">
        <f aca="false">IF(GK56=1,MAX(0,(Slot18_Cost-NN56*(1+Slot18_Rate)^(Slot18_Age-D56))/NK56),0)</f>
        <v>0</v>
      </c>
      <c r="NP56" s="1" t="n">
        <f aca="false">IF(GK56=1,MAX(0,(Slot18_Cost-GL56*(1+Slot18_Rate)^(Slot18_Age-D56))/NK56),0)</f>
        <v>0</v>
      </c>
      <c r="NQ56" s="1" t="n">
        <f aca="false">IF(AND(HT56=1,GK56=1),MIN(NJ56,NO56),0)</f>
        <v>0</v>
      </c>
      <c r="NR56" s="1" t="n">
        <f aca="false">NJ56-NQ56</f>
        <v>0</v>
      </c>
      <c r="NS56" s="1" t="n">
        <f aca="false">IF(GU56=1,IF(ABS((1+AS_Wage)/(1+Slot19_Rate)-1)&lt;0.000000000001,(Slot19_Age-D56)*(1+Slot19_Rate)^(Slot19_Age-D56),(1+Slot19_Rate)^(Slot19_Age-D56)*(1-((1+AS_Wage)/(1+Slot19_Rate))^(Slot19_Age-D56))/(1-(1+AS_Wage)/(1+Slot19_Rate))),1)</f>
        <v>1</v>
      </c>
      <c r="NT56" s="1" t="n">
        <f aca="false">IF(AND(HT56=1,ID56&gt;0,Slot19_IsWG=1,GU56=1),MAX(0,(Slot19_Cost-GV56*(1+Slot19_Rate)^(Slot19_Age-D56))/NS56),0)</f>
        <v>0</v>
      </c>
      <c r="NU56" s="1" t="n">
        <f aca="false">IF(AND(HT56=1,ID56&gt;0,Slot19_IsWG=1,GU56=1),MIN(ID56,NT56),0)</f>
        <v>0</v>
      </c>
      <c r="NV56" s="1" t="n">
        <f aca="false">GV56+NU56</f>
        <v>0</v>
      </c>
      <c r="NW56" s="1" t="n">
        <f aca="false">IF(GU56=1,MAX(0,(Slot19_Cost-NV56*(1+Slot19_Rate)^(Slot19_Age-D56))/NS56),0)</f>
        <v>0</v>
      </c>
      <c r="NX56" s="1" t="n">
        <f aca="false">IF(GU56=1,MAX(0,(Slot19_Cost-GV56*(1+Slot19_Rate)^(Slot19_Age-D56))/NS56),0)</f>
        <v>0</v>
      </c>
      <c r="NY56" s="1" t="n">
        <f aca="false">IF(AND(HT56=1,GU56=1),MIN(NR56,NW56),0)</f>
        <v>0</v>
      </c>
      <c r="NZ56" s="1" t="n">
        <f aca="false">NR56-NY56</f>
        <v>0</v>
      </c>
      <c r="OA56" s="1" t="n">
        <f aca="false">IF(HE56=1,IF(ABS((1+AS_Wage)/(1+Slot20_Rate)-1)&lt;0.000000000001,(Slot20_Age-D56)*(1+Slot20_Rate)^(Slot20_Age-D56),(1+Slot20_Rate)^(Slot20_Age-D56)*(1-((1+AS_Wage)/(1+Slot20_Rate))^(Slot20_Age-D56))/(1-(1+AS_Wage)/(1+Slot20_Rate))),1)</f>
        <v>1</v>
      </c>
      <c r="OB56" s="1" t="n">
        <f aca="false">IF(AND(HT56=1,ID56&gt;0,Slot20_IsWG=1,HE56=1),MAX(0,(Slot20_Cost-HF56*(1+Slot20_Rate)^(Slot20_Age-D56))/OA56),0)</f>
        <v>0</v>
      </c>
      <c r="OC56" s="1" t="n">
        <f aca="false">IF(AND(HT56=1,ID56&gt;0,Slot20_IsWG=1,HE56=1),MIN(ID56,OB56),0)</f>
        <v>0</v>
      </c>
      <c r="OD56" s="1" t="n">
        <f aca="false">HF56+OC56</f>
        <v>0</v>
      </c>
      <c r="OE56" s="1" t="n">
        <f aca="false">IF(HE56=1,MAX(0,(Slot20_Cost-OD56*(1+Slot20_Rate)^(Slot20_Age-D56))/OA56),0)</f>
        <v>0</v>
      </c>
      <c r="OF56" s="1" t="n">
        <f aca="false">IF(HE56=1,MAX(0,(Slot20_Cost-HF56*(1+Slot20_Rate)^(Slot20_Age-D56))/OA56),0)</f>
        <v>0</v>
      </c>
      <c r="OG56" s="1" t="n">
        <f aca="false">IF(AND(HT56=1,HE56=1),MIN(NZ56,OE56),0)</f>
        <v>0</v>
      </c>
      <c r="OH56" s="1" t="n">
        <f aca="false">NZ56-OG56</f>
        <v>0</v>
      </c>
      <c r="OI56" s="1" t="n">
        <f aca="false">ID56-(IG56+IO56+IW56+JE56+JM56+JU56+KC56+KK56+KS56+LA56+LI56+LQ56+LY56+MG56+MO56+MW56+NE56+NM56+NU56+OC56)</f>
        <v>0</v>
      </c>
      <c r="OJ56" s="1" t="n">
        <f aca="false">IF(HT56=1,HR56-IC56-ID56,0)</f>
        <v>0</v>
      </c>
      <c r="OK56" s="1" t="n">
        <f aca="false">IF(HT56=0,-HR56,0)</f>
        <v>0</v>
      </c>
      <c r="OL56" s="1" t="n">
        <f aca="false">MIN(OK56,HJ56)</f>
        <v>0</v>
      </c>
      <c r="OM56" s="1" t="n">
        <f aca="false">OK56-OL56</f>
        <v>0</v>
      </c>
      <c r="ON56" s="1" t="n">
        <f aca="false">MIN(OM56,HK56)</f>
        <v>0</v>
      </c>
      <c r="OO56" s="1" t="n">
        <f aca="false">OM56-ON56</f>
        <v>0</v>
      </c>
      <c r="OP56" s="1" t="n">
        <f aca="false">IF(AND(HT56=0,HE56=1,OO56&gt;0),MIN(OO56,HF56),0)</f>
        <v>0</v>
      </c>
      <c r="OQ56" s="1" t="n">
        <f aca="false">OO56-OP56</f>
        <v>0</v>
      </c>
      <c r="OR56" s="1" t="n">
        <f aca="false">IF(AND(HT56=0,GU56=1,OQ56&gt;0),MIN(OQ56,GV56),0)</f>
        <v>0</v>
      </c>
      <c r="OS56" s="1" t="n">
        <f aca="false">OQ56-OR56</f>
        <v>0</v>
      </c>
      <c r="OT56" s="1" t="n">
        <f aca="false">IF(AND(HT56=0,GK56=1,OS56&gt;0),MIN(OS56,GL56),0)</f>
        <v>0</v>
      </c>
      <c r="OU56" s="1" t="n">
        <f aca="false">OS56-OT56</f>
        <v>0</v>
      </c>
      <c r="OV56" s="1" t="n">
        <f aca="false">IF(AND(HT56=0,GA56=1,OU56&gt;0),MIN(OU56,GB56),0)</f>
        <v>0</v>
      </c>
      <c r="OW56" s="1" t="n">
        <f aca="false">OU56-OV56</f>
        <v>0</v>
      </c>
      <c r="OX56" s="1" t="n">
        <f aca="false">IF(AND(HT56=0,FQ56=1,OW56&gt;0),MIN(OW56,FR56),0)</f>
        <v>0</v>
      </c>
      <c r="OY56" s="1" t="n">
        <f aca="false">OW56-OX56</f>
        <v>0</v>
      </c>
      <c r="OZ56" s="1" t="n">
        <f aca="false">IF(AND(HT56=0,FG56=1,OY56&gt;0),MIN(OY56,FH56),0)</f>
        <v>0</v>
      </c>
      <c r="PA56" s="1" t="n">
        <f aca="false">OY56-OZ56</f>
        <v>0</v>
      </c>
      <c r="PB56" s="1" t="n">
        <f aca="false">IF(AND(HT56=0,EW56=1,PA56&gt;0),MIN(PA56,EX56),0)</f>
        <v>0</v>
      </c>
      <c r="PC56" s="1" t="n">
        <f aca="false">PA56-PB56</f>
        <v>0</v>
      </c>
      <c r="PD56" s="1" t="n">
        <f aca="false">IF(AND(HT56=0,EM56=1,PC56&gt;0),MIN(PC56,EN56),0)</f>
        <v>0</v>
      </c>
      <c r="PE56" s="1" t="n">
        <f aca="false">PC56-PD56</f>
        <v>0</v>
      </c>
      <c r="PF56" s="1" t="n">
        <f aca="false">IF(AND(HT56=0,EC56=1,PE56&gt;0),MIN(PE56,ED56),0)</f>
        <v>0</v>
      </c>
      <c r="PG56" s="1" t="n">
        <f aca="false">PE56-PF56</f>
        <v>0</v>
      </c>
      <c r="PH56" s="1" t="n">
        <f aca="false">IF(AND(HT56=0,DS56=1,PG56&gt;0),MIN(PG56,DT56),0)</f>
        <v>0</v>
      </c>
      <c r="PI56" s="1" t="n">
        <f aca="false">PG56-PH56</f>
        <v>0</v>
      </c>
      <c r="PJ56" s="1" t="n">
        <f aca="false">IF(AND(HT56=0,DI56=1,PI56&gt;0),MIN(PI56,DJ56),0)</f>
        <v>0</v>
      </c>
      <c r="PK56" s="1" t="n">
        <f aca="false">PI56-PJ56</f>
        <v>0</v>
      </c>
      <c r="PL56" s="1" t="n">
        <f aca="false">IF(AND(HT56=0,CY56=1,PK56&gt;0),MIN(PK56,CZ56),0)</f>
        <v>0</v>
      </c>
      <c r="PM56" s="1" t="n">
        <f aca="false">PK56-PL56</f>
        <v>0</v>
      </c>
      <c r="PN56" s="1" t="n">
        <f aca="false">IF(AND(HT56=0,CO56=1,PM56&gt;0),MIN(PM56,CP56),0)</f>
        <v>0</v>
      </c>
      <c r="PO56" s="1" t="n">
        <f aca="false">PM56-PN56</f>
        <v>0</v>
      </c>
      <c r="PP56" s="1" t="n">
        <f aca="false">IF(AND(HT56=0,CE56=1,PO56&gt;0),MIN(PO56,CF56),0)</f>
        <v>0</v>
      </c>
      <c r="PQ56" s="1" t="n">
        <f aca="false">PO56-PP56</f>
        <v>0</v>
      </c>
      <c r="PR56" s="1" t="n">
        <f aca="false">IF(AND(HT56=0,BU56=1,PQ56&gt;0),MIN(PQ56,BV56),0)</f>
        <v>0</v>
      </c>
      <c r="PS56" s="1" t="n">
        <f aca="false">PQ56-PR56</f>
        <v>0</v>
      </c>
      <c r="PT56" s="1" t="n">
        <f aca="false">IF(AND(HT56=0,BK56=1,PS56&gt;0),MIN(PS56,BL56),0)</f>
        <v>0</v>
      </c>
      <c r="PU56" s="1" t="n">
        <f aca="false">PS56-PT56</f>
        <v>0</v>
      </c>
      <c r="PV56" s="1" t="n">
        <f aca="false">IF(AND(HT56=0,BA56=1,PU56&gt;0),MIN(PU56,BB56),0)</f>
        <v>0</v>
      </c>
      <c r="PW56" s="1" t="n">
        <f aca="false">PU56-PV56</f>
        <v>0</v>
      </c>
      <c r="PX56" s="1" t="n">
        <f aca="false">IF(AND(HT56=0,AQ56=1,PW56&gt;0),MIN(PW56,AR56),0)</f>
        <v>0</v>
      </c>
      <c r="PY56" s="1" t="n">
        <f aca="false">PW56-PX56</f>
        <v>0</v>
      </c>
      <c r="PZ56" s="1" t="n">
        <f aca="false">IF(AND(HT56=0,AG56=1,PY56&gt;0),MIN(PY56,AH56),0)</f>
        <v>0</v>
      </c>
      <c r="QA56" s="1" t="n">
        <f aca="false">PY56-PZ56</f>
        <v>0</v>
      </c>
      <c r="QB56" s="1" t="n">
        <f aca="false">IF(AND(HT56=0,V56=1,QA56&gt;0),MIN(QA56,W56),0)</f>
        <v>0</v>
      </c>
      <c r="QC56" s="1" t="n">
        <f aca="false">QA56-QB56</f>
        <v>0</v>
      </c>
      <c r="QD56" s="1" t="n">
        <f aca="false">IF(HT56=0,QC56,0)</f>
        <v>0</v>
      </c>
      <c r="QE56" s="1" t="n">
        <f aca="false">OL56+ON56+QB56+PZ56+PX56+PV56+PT56+PR56+PP56+PN56+PL56+PJ56+PH56+PF56+PD56+PB56+OZ56+OX56+OV56+OT56+OR56+OP56</f>
        <v>0</v>
      </c>
      <c r="QF56" s="1" t="n">
        <f aca="false">IF(HT56=1,HJ56+OI56+OH56+IF(F56=1,0,OJ56),HJ56-OL56)</f>
        <v>0</v>
      </c>
      <c r="QG56" s="1" t="n">
        <f aca="false">HK56-ON56</f>
        <v>0</v>
      </c>
      <c r="QH56" s="1" t="n">
        <f aca="false">IF(HT56=1,IF(F56=1,IC56+ID56,HR56),0)</f>
        <v>0</v>
      </c>
      <c r="QI56" s="1" t="n">
        <f aca="false">IF(HT56=1,IF(F56=1,HR56-IC56-ID56,0),0)</f>
        <v>0</v>
      </c>
      <c r="QJ56" s="1" t="n">
        <f aca="false">QF56*(1+GR)</f>
        <v>0</v>
      </c>
      <c r="QK56" s="1" t="n">
        <f aca="false">QG56*(1+AS_Cash)</f>
        <v>0</v>
      </c>
      <c r="QL56" s="1" t="n">
        <f aca="false">IF(V56=1,IF(HT56=1,IH56+IK56,W56-QB56)*(1+Slot1_Rate),0)</f>
        <v>0</v>
      </c>
      <c r="QM56" s="1" t="n">
        <f aca="false">IF(AND(HT56=1,V56=1),(IG56+IK56)/E56,0)</f>
        <v>0</v>
      </c>
      <c r="QN56" s="1" t="n">
        <f aca="false">IF(B56=0,IG56+IK56,0)</f>
        <v>0</v>
      </c>
      <c r="QO56" s="1" t="n">
        <f aca="false">IF(B56=0,IF(HT56=1,II56,IJ56),0)</f>
        <v>0</v>
      </c>
      <c r="QP56" s="1" t="n">
        <f aca="false">IF(AG56=1,IF(HT56=1,IP56+IS56,AH56-PZ56)*(1+Slot2_Rate),0)</f>
        <v>0</v>
      </c>
      <c r="QQ56" s="1" t="n">
        <f aca="false">IF(AND(HT56=1,AG56=1),(IO56+IS56)/E56,0)</f>
        <v>0</v>
      </c>
      <c r="QR56" s="1" t="n">
        <f aca="false">IF(B56=0,IO56+IS56,0)</f>
        <v>0</v>
      </c>
      <c r="QS56" s="1" t="n">
        <f aca="false">IF(B56=0,IF(HT56=1,IQ56,IR56),0)</f>
        <v>0</v>
      </c>
      <c r="QT56" s="1" t="n">
        <f aca="false">IF(AQ56=1,IF(HT56=1,IX56+JA56,AR56-PX56)*(1+Slot3_Rate),0)</f>
        <v>0</v>
      </c>
      <c r="QU56" s="1" t="n">
        <f aca="false">IF(AND(HT56=1,AQ56=1),(IW56+JA56)/E56,0)</f>
        <v>0</v>
      </c>
      <c r="QV56" s="1" t="n">
        <f aca="false">IF(B56=0,IW56+JA56,0)</f>
        <v>0</v>
      </c>
      <c r="QW56" s="1" t="n">
        <f aca="false">IF(B56=0,IF(HT56=1,IY56,IZ56),0)</f>
        <v>0</v>
      </c>
      <c r="QX56" s="1" t="n">
        <f aca="false">IF(BA56=1,IF(HT56=1,JF56+JI56,BB56-PV56)*(1+Slot4_Rate),0)</f>
        <v>0</v>
      </c>
      <c r="QY56" s="1" t="n">
        <f aca="false">IF(AND(HT56=1,BA56=1),(JE56+JI56)/E56,0)</f>
        <v>0</v>
      </c>
      <c r="QZ56" s="1" t="n">
        <f aca="false">IF(B56=0,JE56+JI56,0)</f>
        <v>0</v>
      </c>
      <c r="RA56" s="1" t="n">
        <f aca="false">IF(B56=0,IF(HT56=1,JG56,JH56),0)</f>
        <v>0</v>
      </c>
      <c r="RB56" s="1" t="n">
        <f aca="false">IF(BK56=1,IF(HT56=1,JN56+JQ56,BL56-PT56)*(1+Slot5_Rate),0)</f>
        <v>0</v>
      </c>
      <c r="RC56" s="1" t="n">
        <f aca="false">IF(AND(HT56=1,BK56=1),(JM56+JQ56)/E56,0)</f>
        <v>0</v>
      </c>
      <c r="RD56" s="1" t="n">
        <f aca="false">IF(B56=0,JM56+JQ56,0)</f>
        <v>0</v>
      </c>
      <c r="RE56" s="1" t="n">
        <f aca="false">IF(B56=0,IF(HT56=1,JO56,JP56),0)</f>
        <v>0</v>
      </c>
      <c r="RF56" s="1" t="n">
        <f aca="false">IF(BU56=1,IF(HT56=1,JV56+JY56,BV56-PR56)*(1+Slot6_Rate),0)</f>
        <v>0</v>
      </c>
      <c r="RG56" s="1" t="n">
        <f aca="false">IF(AND(HT56=1,BU56=1),(JU56+JY56)/E56,0)</f>
        <v>0</v>
      </c>
      <c r="RH56" s="1" t="n">
        <f aca="false">IF(B56=0,JU56+JY56,0)</f>
        <v>0</v>
      </c>
      <c r="RI56" s="1" t="n">
        <f aca="false">IF(B56=0,IF(HT56=1,JW56,JX56),0)</f>
        <v>0</v>
      </c>
      <c r="RJ56" s="1" t="n">
        <f aca="false">IF(CE56=1,IF(HT56=1,KD56+KG56,CF56-PP56)*(1+Slot7_Rate),0)</f>
        <v>0</v>
      </c>
      <c r="RK56" s="1" t="n">
        <f aca="false">IF(AND(HT56=1,CE56=1),(KC56+KG56)/E56,0)</f>
        <v>0</v>
      </c>
      <c r="RL56" s="1" t="n">
        <f aca="false">IF(B56=0,KC56+KG56,0)</f>
        <v>0</v>
      </c>
      <c r="RM56" s="1" t="n">
        <f aca="false">IF(B56=0,IF(HT56=1,KE56,KF56),0)</f>
        <v>0</v>
      </c>
      <c r="RN56" s="1" t="n">
        <f aca="false">IF(CO56=1,IF(HT56=1,KL56+KO56,CP56-PN56)*(1+Slot8_Rate),0)</f>
        <v>0</v>
      </c>
      <c r="RO56" s="1" t="n">
        <f aca="false">IF(AND(HT56=1,CO56=1),(KK56+KO56)/E56,0)</f>
        <v>0</v>
      </c>
      <c r="RP56" s="1" t="n">
        <f aca="false">IF(B56=0,KK56+KO56,0)</f>
        <v>0</v>
      </c>
      <c r="RQ56" s="1" t="n">
        <f aca="false">IF(B56=0,IF(HT56=1,KM56,KN56),0)</f>
        <v>0</v>
      </c>
      <c r="RR56" s="1" t="n">
        <f aca="false">IF(CY56=1,IF(HT56=1,KT56+KW56,CZ56-PL56)*(1+Slot9_Rate),0)</f>
        <v>0</v>
      </c>
      <c r="RS56" s="1" t="n">
        <f aca="false">IF(AND(HT56=1,CY56=1),(KS56+KW56)/E56,0)</f>
        <v>0</v>
      </c>
      <c r="RT56" s="1" t="n">
        <f aca="false">IF(B56=0,KS56+KW56,0)</f>
        <v>0</v>
      </c>
      <c r="RU56" s="1" t="n">
        <f aca="false">IF(B56=0,IF(HT56=1,KU56,KV56),0)</f>
        <v>0</v>
      </c>
      <c r="RV56" s="1" t="n">
        <f aca="false">IF(DI56=1,IF(HT56=1,LB56+LE56,DJ56-PJ56)*(1+Slot10_Rate),0)</f>
        <v>0</v>
      </c>
      <c r="RW56" s="1" t="n">
        <f aca="false">IF(AND(HT56=1,DI56=1),(LA56+LE56)/E56,0)</f>
        <v>0</v>
      </c>
      <c r="RX56" s="1" t="n">
        <f aca="false">IF(B56=0,LA56+LE56,0)</f>
        <v>0</v>
      </c>
      <c r="RY56" s="1" t="n">
        <f aca="false">IF(B56=0,IF(HT56=1,LC56,LD56),0)</f>
        <v>0</v>
      </c>
      <c r="RZ56" s="1" t="n">
        <f aca="false">IF(DS56=1,IF(HT56=1,LJ56+LM56,DT56-PH56)*(1+Slot11_Rate),0)</f>
        <v>0</v>
      </c>
      <c r="SA56" s="1" t="n">
        <f aca="false">IF(AND(HT56=1,DS56=1),(LI56+LM56)/E56,0)</f>
        <v>0</v>
      </c>
      <c r="SB56" s="1" t="n">
        <f aca="false">IF(B56=0,LI56+LM56,0)</f>
        <v>0</v>
      </c>
      <c r="SC56" s="1" t="n">
        <f aca="false">IF(B56=0,IF(HT56=1,LK56,LL56),0)</f>
        <v>0</v>
      </c>
      <c r="SD56" s="1" t="n">
        <f aca="false">IF(EC56=1,IF(HT56=1,LR56+LU56,ED56-PF56)*(1+Slot12_Rate),0)</f>
        <v>0</v>
      </c>
      <c r="SE56" s="1" t="n">
        <f aca="false">IF(AND(HT56=1,EC56=1),(LQ56+LU56)/E56,0)</f>
        <v>0</v>
      </c>
      <c r="SF56" s="1" t="n">
        <f aca="false">IF(B56=0,LQ56+LU56,0)</f>
        <v>0</v>
      </c>
      <c r="SG56" s="1" t="n">
        <f aca="false">IF(B56=0,IF(HT56=1,LS56,LT56),0)</f>
        <v>0</v>
      </c>
      <c r="SH56" s="1" t="n">
        <f aca="false">IF(EM56=1,IF(HT56=1,LZ56+MC56,EN56-PD56)*(1+Slot13_Rate),0)</f>
        <v>0</v>
      </c>
      <c r="SI56" s="1" t="n">
        <f aca="false">IF(AND(HT56=1,EM56=1),(LY56+MC56)/E56,0)</f>
        <v>0</v>
      </c>
      <c r="SJ56" s="1" t="n">
        <f aca="false">IF(B56=0,LY56+MC56,0)</f>
        <v>0</v>
      </c>
      <c r="SK56" s="1" t="n">
        <f aca="false">IF(B56=0,IF(HT56=1,MA56,MB56),0)</f>
        <v>0</v>
      </c>
      <c r="SL56" s="1" t="n">
        <f aca="false">IF(EW56=1,IF(HT56=1,MH56+MK56,EX56-PB56)*(1+Slot14_Rate),0)</f>
        <v>0</v>
      </c>
      <c r="SM56" s="1" t="n">
        <f aca="false">IF(AND(HT56=1,EW56=1),(MG56+MK56)/E56,0)</f>
        <v>0</v>
      </c>
      <c r="SN56" s="1" t="n">
        <f aca="false">IF(B56=0,MG56+MK56,0)</f>
        <v>0</v>
      </c>
      <c r="SO56" s="1" t="n">
        <f aca="false">IF(B56=0,IF(HT56=1,MI56,MJ56),0)</f>
        <v>0</v>
      </c>
      <c r="SP56" s="1" t="n">
        <f aca="false">IF(FG56=1,IF(HT56=1,MP56+MS56,FH56-OZ56)*(1+Slot15_Rate),0)</f>
        <v>0</v>
      </c>
      <c r="SQ56" s="1" t="n">
        <f aca="false">IF(AND(HT56=1,FG56=1),(MO56+MS56)/E56,0)</f>
        <v>0</v>
      </c>
      <c r="SR56" s="1" t="n">
        <f aca="false">IF(B56=0,MO56+MS56,0)</f>
        <v>0</v>
      </c>
      <c r="SS56" s="1" t="n">
        <f aca="false">IF(B56=0,IF(HT56=1,MQ56,MR56),0)</f>
        <v>0</v>
      </c>
      <c r="ST56" s="1" t="n">
        <f aca="false">IF(FQ56=1,IF(HT56=1,MX56+NA56,FR56-OX56)*(1+Slot16_Rate),0)</f>
        <v>0</v>
      </c>
      <c r="SU56" s="1" t="n">
        <f aca="false">IF(AND(HT56=1,FQ56=1),(MW56+NA56)/E56,0)</f>
        <v>0</v>
      </c>
      <c r="SV56" s="1" t="n">
        <f aca="false">IF(B56=0,MW56+NA56,0)</f>
        <v>0</v>
      </c>
      <c r="SW56" s="1" t="n">
        <f aca="false">IF(B56=0,IF(HT56=1,MY56,MZ56),0)</f>
        <v>0</v>
      </c>
      <c r="SX56" s="1" t="n">
        <f aca="false">IF(GA56=1,IF(HT56=1,NF56+NI56,GB56-OV56)*(1+Slot17_Rate),0)</f>
        <v>0</v>
      </c>
      <c r="SY56" s="1" t="n">
        <f aca="false">IF(AND(HT56=1,GA56=1),(NE56+NI56)/E56,0)</f>
        <v>0</v>
      </c>
      <c r="SZ56" s="1" t="n">
        <f aca="false">IF(B56=0,NE56+NI56,0)</f>
        <v>0</v>
      </c>
      <c r="TA56" s="1" t="n">
        <f aca="false">IF(B56=0,IF(HT56=1,NG56,NH56),0)</f>
        <v>0</v>
      </c>
      <c r="TB56" s="1" t="n">
        <f aca="false">IF(GK56=1,IF(HT56=1,NN56+NQ56,GL56-OT56)*(1+Slot18_Rate),0)</f>
        <v>0</v>
      </c>
      <c r="TC56" s="1" t="n">
        <f aca="false">IF(AND(HT56=1,GK56=1),(NM56+NQ56)/E56,0)</f>
        <v>0</v>
      </c>
      <c r="TD56" s="1" t="n">
        <f aca="false">IF(B56=0,NM56+NQ56,0)</f>
        <v>0</v>
      </c>
      <c r="TE56" s="1" t="n">
        <f aca="false">IF(B56=0,IF(HT56=1,NO56,NP56),0)</f>
        <v>0</v>
      </c>
      <c r="TF56" s="1" t="n">
        <f aca="false">IF(GU56=1,IF(HT56=1,NV56+NY56,GV56-OR56)*(1+Slot19_Rate),0)</f>
        <v>0</v>
      </c>
      <c r="TG56" s="1" t="n">
        <f aca="false">IF(AND(HT56=1,GU56=1),(NU56+NY56)/E56,0)</f>
        <v>0</v>
      </c>
      <c r="TH56" s="1" t="n">
        <f aca="false">IF(B56=0,NU56+NY56,0)</f>
        <v>0</v>
      </c>
      <c r="TI56" s="1" t="n">
        <f aca="false">IF(B56=0,IF(HT56=1,NW56,NX56),0)</f>
        <v>0</v>
      </c>
      <c r="TJ56" s="1" t="n">
        <f aca="false">IF(HE56=1,IF(HT56=1,OD56+OG56,HF56-OP56)*(1+Slot20_Rate),0)</f>
        <v>0</v>
      </c>
      <c r="TK56" s="1" t="n">
        <f aca="false">IF(AND(HT56=1,HE56=1),(OC56+OG56)/E56,0)</f>
        <v>0</v>
      </c>
      <c r="TL56" s="1" t="n">
        <f aca="false">IF(B56=0,OC56+OG56,0)</f>
        <v>0</v>
      </c>
      <c r="TM56" s="1" t="n">
        <f aca="false">IF(B56=0,IF(HT56=1,OE56,OF56),0)</f>
        <v>0</v>
      </c>
      <c r="TN56" s="1" t="n">
        <f aca="false">QJ56+QK56+QL56+QP56+QT56+QX56+RB56+RF56+RJ56+RN56+RR56+RV56+RZ56+SD56+SH56+SL56+SP56+ST56+SX56+TB56+TF56+TJ56</f>
        <v>0</v>
      </c>
      <c r="TO56" s="1" t="n">
        <f aca="false">QD56+HO56</f>
        <v>0</v>
      </c>
      <c r="TP56" s="1" t="n">
        <f aca="false">H56+R56</f>
        <v>0</v>
      </c>
      <c r="TQ56" s="1" t="n">
        <f aca="false">1-F56</f>
        <v>0</v>
      </c>
      <c r="TR56" s="1" t="n">
        <f aca="false">IF(AND(RG_Exists=1,F56=0,C56=1),H56,0)</f>
        <v>0</v>
      </c>
      <c r="TS56" s="1" t="n">
        <f aca="false">IF(AND(RG_Exists=1,F56=0,C56=1),H56-MIN(QD56,H56),0)</f>
        <v>0</v>
      </c>
      <c r="TT56" s="1" t="n">
        <f aca="false">'Plan pay &amp; tax'!AD282</f>
        <v>0</v>
      </c>
      <c r="TU56" s="1" t="n">
        <f aca="false">IF(AND(C56=1,QD56&gt;MAX(PR_Short1,TP56*PR_Short2)),1,0)</f>
        <v>0</v>
      </c>
      <c r="TV56" s="1" t="n">
        <f aca="false">MIN(G56,H56+R56)</f>
        <v>0</v>
      </c>
      <c r="TW56" s="1" t="n">
        <f aca="false">QE56+MAX(0,HP56-HO56)</f>
        <v>0</v>
      </c>
      <c r="TX56" s="1" t="n">
        <f aca="false">QD56+HO56</f>
        <v>0</v>
      </c>
      <c r="TY56" s="1" t="n">
        <f aca="false">IF(AND(C56=1,TX56&gt;PR_MinShort),1,0)</f>
        <v>0</v>
      </c>
      <c r="TZ56" s="1" t="n">
        <f aca="false">IF(AND(C56=1,TY56=0,TW56&gt;PR_MinShort),1,0)</f>
        <v>0</v>
      </c>
      <c r="UA56" s="1" t="n">
        <f aca="false">IF(AND(C56=1,QD56&gt;PR_MinShort),1,0)</f>
        <v>0</v>
      </c>
      <c r="UB56" s="1" t="n">
        <f aca="false">IF(AND(C56=1,QE56&gt;1,UI56=0),1,0)</f>
        <v>0</v>
      </c>
      <c r="UC56" s="1" t="str">
        <f aca="false">IF(C56=0,"",IF(UI56=1,"Gap to plan for: short "&amp;"€"&amp;TEXT(ROUND(TO56,0),"#,##0"),IF(QE56&gt;1,"Using savings","Comfortable")))</f>
        <v>Comfortable</v>
      </c>
      <c r="UD56" s="1" t="n">
        <f aca="false">IF(AND(INT(D56/10)*10=90,B56&gt;0),80,INT(D56/10)*10)</f>
        <v>40</v>
      </c>
      <c r="UE56" s="1" t="n">
        <f aca="false">IF(B56=0,1,IF(UD56&lt;&gt;UD55,UE55+1,UE55))</f>
        <v>5</v>
      </c>
      <c r="UF56" s="1" t="n">
        <f aca="false">IF(AND(C56=1,F56=1,QD56&gt;MAX(PR_Short1,TP56*PR_Short2)),1,0)</f>
        <v>0</v>
      </c>
      <c r="UG56" s="1" t="n">
        <f aca="false">TQ56*TU56</f>
        <v>0</v>
      </c>
      <c r="UH56" s="1" t="n">
        <f aca="false">IF(AND(U56=1,Slot1_PctLow=1),1,0)+IF(AND(AF56=1,Slot2_PctLow=1),1,0)+IF(AND(AP56=1,Slot3_PctLow=1),1,0)+IF(AND(AZ56=1,Slot4_PctLow=1),1,0)+IF(AND(BJ56=1,Slot5_PctLow=1),1,0)+IF(AND(BT56=1,Slot6_PctLow=1),1,0)+IF(AND(CD56=1,Slot7_PctLow=1),1,0)+IF(AND(CN56=1,Slot8_PctLow=1),1,0)+IF(AND(CX56=1,Slot9_PctLow=1),1,0)+IF(AND(DH56=1,Slot10_PctLow=1),1,0)+IF(AND(DR56=1,Slot11_PctLow=1),1,0)+IF(AND(EB56=1,Slot12_PctLow=1),1,0)+IF(AND(EL56=1,Slot13_PctLow=1),1,0)+IF(AND(EV56=1,Slot14_PctLow=1),1,0)+IF(AND(FF56=1,Slot15_PctLow=1),1,0)+IF(AND(FP56=1,Slot16_PctLow=1),1,0)+IF(AND(FZ56=1,Slot17_PctLow=1),1,0)+IF(AND(GJ56=1,Slot18_PctLow=1),1,0)+IF(AND(GT56=1,Slot19_PctLow=1),1,0)+IF(AND(HD56=1,Slot20_PctLow=1),1,0)</f>
        <v>0</v>
      </c>
      <c r="UI56" s="1" t="n">
        <f aca="false">IF(C56=1,IF(OR(TU56=1,UH56&gt;0),1,0),0)</f>
        <v>0</v>
      </c>
    </row>
    <row r="57" customFormat="false" ht="15" hidden="false" customHeight="true" outlineLevel="0" collapsed="false">
      <c r="B57" s="1" t="n">
        <v>49</v>
      </c>
      <c r="C57" s="1" t="n">
        <f aca="false">IF(B57&lt;=F_N,1,0)</f>
        <v>1</v>
      </c>
      <c r="D57" s="1" t="n">
        <f aca="false">'Plan pay &amp; tax'!C283</f>
        <v>49</v>
      </c>
      <c r="E57" s="111" t="n">
        <f aca="false">'Plan pay &amp; tax'!E283</f>
        <v>2.63881179320942</v>
      </c>
      <c r="F57" s="1" t="n">
        <f aca="false">'Plan pay &amp; tax'!G283</f>
        <v>1</v>
      </c>
      <c r="G57" s="1" t="n">
        <f aca="false">'Plan pay &amp; tax'!BT283-'Plan pay &amp; tax'!BS283-'Plan pay &amp; tax'!R283</f>
        <v>0</v>
      </c>
      <c r="H57" s="1" t="n">
        <f aca="false">IF(F57=1,F_CostsM*12,IF(RG_Exists=1,RG_Amount,F_CostsM*12*AS_RetireSpend))*E57+F_OneOffY*E57</f>
        <v>0</v>
      </c>
      <c r="I57" s="1" t="n">
        <f aca="false">HQ56</f>
        <v>0</v>
      </c>
      <c r="J57" s="1" t="n">
        <f aca="false">IF(I57&gt;1,'Plan debt months'!AC57,0)</f>
        <v>0</v>
      </c>
      <c r="K57" s="1" t="n">
        <f aca="false">IF(I57&gt;1,'Plan debt months'!AB57,I57)</f>
        <v>0</v>
      </c>
      <c r="L57" s="1" t="n">
        <f aca="false">N56</f>
        <v>0</v>
      </c>
      <c r="M57" s="1" t="n">
        <f aca="false">IF(L57&gt;1,'Plan debt months'!BD57,0)</f>
        <v>0</v>
      </c>
      <c r="N57" s="1" t="n">
        <f aca="false">IF(L57&gt;1,'Plan debt months'!BC57,L57)</f>
        <v>0</v>
      </c>
      <c r="O57" s="1" t="n">
        <f aca="false">Q56</f>
        <v>0</v>
      </c>
      <c r="P57" s="1" t="n">
        <f aca="false">IF(O57&gt;1,'Plan debt months'!CE57,0)</f>
        <v>0</v>
      </c>
      <c r="Q57" s="1" t="n">
        <f aca="false">IF(O57&gt;1,'Plan debt months'!CD57,O57)</f>
        <v>0</v>
      </c>
      <c r="R57" s="1" t="n">
        <f aca="false">J57+M57+P57</f>
        <v>0</v>
      </c>
      <c r="S57" s="1" t="n">
        <f aca="false">QJ56+'Plan pay &amp; tax'!Y283</f>
        <v>0</v>
      </c>
      <c r="T57" s="1" t="n">
        <f aca="false">QJ56</f>
        <v>0</v>
      </c>
      <c r="U57" s="1" t="n">
        <f aca="false">IF(AND(Slot1_On=1,D57=Slot1_Age),1,0)</f>
        <v>0</v>
      </c>
      <c r="V57" s="1" t="n">
        <f aca="false">IF(AND(Slot1_On=1,Slot1_Age&gt;D57),1,0)</f>
        <v>0</v>
      </c>
      <c r="W57" s="1" t="n">
        <f aca="false">QL56</f>
        <v>0</v>
      </c>
      <c r="X57" s="1" t="n">
        <f aca="false">U57*MIN(Slot1_Cost,W57)</f>
        <v>0</v>
      </c>
      <c r="Y57" s="1" t="n">
        <f aca="false">U57*Slot1_SpendLike*MIN(Slot1_Cost-X57,S57)</f>
        <v>0</v>
      </c>
      <c r="Z57" s="1" t="n">
        <f aca="false">X57+Y57</f>
        <v>0</v>
      </c>
      <c r="AA57" s="1" t="n">
        <f aca="false">S57-Y57+U57*IF(Slot1_SpendLike=1,W57-X57,IF(Slot1_PotFree=1,W57,0))</f>
        <v>0</v>
      </c>
      <c r="AB57" s="1" t="n">
        <f aca="false">AE57+U57*Slot1_BufPot*W57</f>
        <v>0</v>
      </c>
      <c r="AC57" s="1" t="n">
        <f aca="false">IF(AND(U57=1,Slot1_IsMfree=1),IF(Z57&gt;=Slot1_Cost-1,0,MAX(0,K57-Z57)),K57)</f>
        <v>0</v>
      </c>
      <c r="AD57" s="1" t="n">
        <f aca="false">U57*(Slot1_Cost-Z57)</f>
        <v>0</v>
      </c>
      <c r="AE57" s="1" t="n">
        <f aca="false">QK56</f>
        <v>0</v>
      </c>
      <c r="AF57" s="1" t="n">
        <f aca="false">IF(AND(Slot2_On=1,D57=Slot2_Age),1,0)</f>
        <v>0</v>
      </c>
      <c r="AG57" s="1" t="n">
        <f aca="false">IF(AND(Slot2_On=1,Slot2_Age&gt;D57),1,0)</f>
        <v>0</v>
      </c>
      <c r="AH57" s="1" t="n">
        <f aca="false">QP56</f>
        <v>0</v>
      </c>
      <c r="AI57" s="1" t="n">
        <f aca="false">AF57*MIN(Slot2_Cost,AH57)</f>
        <v>0</v>
      </c>
      <c r="AJ57" s="1" t="n">
        <f aca="false">AF57*Slot2_SpendLike*MIN(Slot2_Cost-AI57,AA57)</f>
        <v>0</v>
      </c>
      <c r="AK57" s="1" t="n">
        <f aca="false">AI57+AJ57</f>
        <v>0</v>
      </c>
      <c r="AL57" s="1" t="n">
        <f aca="false">AA57-AJ57+AF57*IF(Slot2_SpendLike=1,AH57-AI57,IF(Slot2_PotFree=1,AH57,0))</f>
        <v>0</v>
      </c>
      <c r="AM57" s="1" t="n">
        <f aca="false">AB57+AF57*Slot2_BufPot*AH57</f>
        <v>0</v>
      </c>
      <c r="AN57" s="1" t="n">
        <f aca="false">IF(AND(AF57=1,Slot2_IsMfree=1),IF(AK57&gt;=Slot2_Cost-1,0,MAX(0,AC57-AK57)),AC57)</f>
        <v>0</v>
      </c>
      <c r="AO57" s="1" t="n">
        <f aca="false">AF57*(Slot2_Cost-AK57)</f>
        <v>0</v>
      </c>
      <c r="AP57" s="1" t="n">
        <f aca="false">IF(AND(Slot3_On=1,D57=Slot3_Age),1,0)</f>
        <v>0</v>
      </c>
      <c r="AQ57" s="1" t="n">
        <f aca="false">IF(AND(Slot3_On=1,Slot3_Age&gt;D57),1,0)</f>
        <v>0</v>
      </c>
      <c r="AR57" s="1" t="n">
        <f aca="false">QT56</f>
        <v>0</v>
      </c>
      <c r="AS57" s="1" t="n">
        <f aca="false">AP57*MIN(Slot3_Cost,AR57)</f>
        <v>0</v>
      </c>
      <c r="AT57" s="1" t="n">
        <f aca="false">AP57*Slot3_SpendLike*MIN(Slot3_Cost-AS57,AL57)</f>
        <v>0</v>
      </c>
      <c r="AU57" s="1" t="n">
        <f aca="false">AS57+AT57</f>
        <v>0</v>
      </c>
      <c r="AV57" s="1" t="n">
        <f aca="false">AL57-AT57+AP57*IF(Slot3_SpendLike=1,AR57-AS57,IF(Slot3_PotFree=1,AR57,0))</f>
        <v>0</v>
      </c>
      <c r="AW57" s="1" t="n">
        <f aca="false">AM57+AP57*Slot3_BufPot*AR57</f>
        <v>0</v>
      </c>
      <c r="AX57" s="1" t="n">
        <f aca="false">IF(AND(AP57=1,Slot3_IsMfree=1),IF(AU57&gt;=Slot3_Cost-1,0,MAX(0,AN57-AU57)),AN57)</f>
        <v>0</v>
      </c>
      <c r="AY57" s="1" t="n">
        <f aca="false">AP57*(Slot3_Cost-AU57)</f>
        <v>0</v>
      </c>
      <c r="AZ57" s="1" t="n">
        <f aca="false">IF(AND(Slot4_On=1,D57=Slot4_Age),1,0)</f>
        <v>0</v>
      </c>
      <c r="BA57" s="1" t="n">
        <f aca="false">IF(AND(Slot4_On=1,Slot4_Age&gt;D57),1,0)</f>
        <v>0</v>
      </c>
      <c r="BB57" s="1" t="n">
        <f aca="false">QX56</f>
        <v>0</v>
      </c>
      <c r="BC57" s="1" t="n">
        <f aca="false">AZ57*MIN(Slot4_Cost,BB57)</f>
        <v>0</v>
      </c>
      <c r="BD57" s="1" t="n">
        <f aca="false">AZ57*Slot4_SpendLike*MIN(Slot4_Cost-BC57,AV57)</f>
        <v>0</v>
      </c>
      <c r="BE57" s="1" t="n">
        <f aca="false">BC57+BD57</f>
        <v>0</v>
      </c>
      <c r="BF57" s="1" t="n">
        <f aca="false">AV57-BD57+AZ57*IF(Slot4_SpendLike=1,BB57-BC57,IF(Slot4_PotFree=1,BB57,0))</f>
        <v>0</v>
      </c>
      <c r="BG57" s="1" t="n">
        <f aca="false">AW57+AZ57*Slot4_BufPot*BB57</f>
        <v>0</v>
      </c>
      <c r="BH57" s="1" t="n">
        <f aca="false">IF(AND(AZ57=1,Slot4_IsMfree=1),IF(BE57&gt;=Slot4_Cost-1,0,MAX(0,AX57-BE57)),AX57)</f>
        <v>0</v>
      </c>
      <c r="BI57" s="1" t="n">
        <f aca="false">AZ57*(Slot4_Cost-BE57)</f>
        <v>0</v>
      </c>
      <c r="BJ57" s="1" t="n">
        <f aca="false">IF(AND(Slot5_On=1,D57=Slot5_Age),1,0)</f>
        <v>0</v>
      </c>
      <c r="BK57" s="1" t="n">
        <f aca="false">IF(AND(Slot5_On=1,Slot5_Age&gt;D57),1,0)</f>
        <v>0</v>
      </c>
      <c r="BL57" s="1" t="n">
        <f aca="false">RB56</f>
        <v>0</v>
      </c>
      <c r="BM57" s="1" t="n">
        <f aca="false">BJ57*MIN(Slot5_Cost,BL57)</f>
        <v>0</v>
      </c>
      <c r="BN57" s="1" t="n">
        <f aca="false">BJ57*Slot5_SpendLike*MIN(Slot5_Cost-BM57,BF57)</f>
        <v>0</v>
      </c>
      <c r="BO57" s="1" t="n">
        <f aca="false">BM57+BN57</f>
        <v>0</v>
      </c>
      <c r="BP57" s="1" t="n">
        <f aca="false">BF57-BN57+BJ57*IF(Slot5_SpendLike=1,BL57-BM57,IF(Slot5_PotFree=1,BL57,0))</f>
        <v>0</v>
      </c>
      <c r="BQ57" s="1" t="n">
        <f aca="false">BG57+BJ57*Slot5_BufPot*BL57</f>
        <v>0</v>
      </c>
      <c r="BR57" s="1" t="n">
        <f aca="false">IF(AND(BJ57=1,Slot5_IsMfree=1),IF(BO57&gt;=Slot5_Cost-1,0,MAX(0,BH57-BO57)),BH57)</f>
        <v>0</v>
      </c>
      <c r="BS57" s="1" t="n">
        <f aca="false">BJ57*(Slot5_Cost-BO57)</f>
        <v>0</v>
      </c>
      <c r="BT57" s="1" t="n">
        <f aca="false">IF(AND(Slot6_On=1,D57=Slot6_Age),1,0)</f>
        <v>0</v>
      </c>
      <c r="BU57" s="1" t="n">
        <f aca="false">IF(AND(Slot6_On=1,Slot6_Age&gt;D57),1,0)</f>
        <v>0</v>
      </c>
      <c r="BV57" s="1" t="n">
        <f aca="false">RF56</f>
        <v>0</v>
      </c>
      <c r="BW57" s="1" t="n">
        <f aca="false">BT57*MIN(Slot6_Cost,BV57)</f>
        <v>0</v>
      </c>
      <c r="BX57" s="1" t="n">
        <f aca="false">BT57*Slot6_SpendLike*MIN(Slot6_Cost-BW57,BP57)</f>
        <v>0</v>
      </c>
      <c r="BY57" s="1" t="n">
        <f aca="false">BW57+BX57</f>
        <v>0</v>
      </c>
      <c r="BZ57" s="1" t="n">
        <f aca="false">BP57-BX57+BT57*IF(Slot6_SpendLike=1,BV57-BW57,IF(Slot6_PotFree=1,BV57,0))</f>
        <v>0</v>
      </c>
      <c r="CA57" s="1" t="n">
        <f aca="false">BQ57+BT57*Slot6_BufPot*BV57</f>
        <v>0</v>
      </c>
      <c r="CB57" s="1" t="n">
        <f aca="false">IF(AND(BT57=1,Slot6_IsMfree=1),IF(BY57&gt;=Slot6_Cost-1,0,MAX(0,BR57-BY57)),BR57)</f>
        <v>0</v>
      </c>
      <c r="CC57" s="1" t="n">
        <f aca="false">BT57*(Slot6_Cost-BY57)</f>
        <v>0</v>
      </c>
      <c r="CD57" s="1" t="n">
        <f aca="false">IF(AND(Slot7_On=1,D57=Slot7_Age),1,0)</f>
        <v>0</v>
      </c>
      <c r="CE57" s="1" t="n">
        <f aca="false">IF(AND(Slot7_On=1,Slot7_Age&gt;D57),1,0)</f>
        <v>0</v>
      </c>
      <c r="CF57" s="1" t="n">
        <f aca="false">RJ56</f>
        <v>0</v>
      </c>
      <c r="CG57" s="1" t="n">
        <f aca="false">CD57*MIN(Slot7_Cost,CF57)</f>
        <v>0</v>
      </c>
      <c r="CH57" s="1" t="n">
        <f aca="false">CD57*Slot7_SpendLike*MIN(Slot7_Cost-CG57,BZ57)</f>
        <v>0</v>
      </c>
      <c r="CI57" s="1" t="n">
        <f aca="false">CG57+CH57</f>
        <v>0</v>
      </c>
      <c r="CJ57" s="1" t="n">
        <f aca="false">BZ57-CH57+CD57*IF(Slot7_SpendLike=1,CF57-CG57,IF(Slot7_PotFree=1,CF57,0))</f>
        <v>0</v>
      </c>
      <c r="CK57" s="1" t="n">
        <f aca="false">CA57+CD57*Slot7_BufPot*CF57</f>
        <v>0</v>
      </c>
      <c r="CL57" s="1" t="n">
        <f aca="false">IF(AND(CD57=1,Slot7_IsMfree=1),IF(CI57&gt;=Slot7_Cost-1,0,MAX(0,CB57-CI57)),CB57)</f>
        <v>0</v>
      </c>
      <c r="CM57" s="1" t="n">
        <f aca="false">CD57*(Slot7_Cost-CI57)</f>
        <v>0</v>
      </c>
      <c r="CN57" s="1" t="n">
        <f aca="false">IF(AND(Slot8_On=1,D57=Slot8_Age),1,0)</f>
        <v>0</v>
      </c>
      <c r="CO57" s="1" t="n">
        <f aca="false">IF(AND(Slot8_On=1,Slot8_Age&gt;D57),1,0)</f>
        <v>0</v>
      </c>
      <c r="CP57" s="1" t="n">
        <f aca="false">RN56</f>
        <v>0</v>
      </c>
      <c r="CQ57" s="1" t="n">
        <f aca="false">CN57*MIN(Slot8_Cost,CP57)</f>
        <v>0</v>
      </c>
      <c r="CR57" s="1" t="n">
        <f aca="false">CN57*Slot8_SpendLike*MIN(Slot8_Cost-CQ57,CJ57)</f>
        <v>0</v>
      </c>
      <c r="CS57" s="1" t="n">
        <f aca="false">CQ57+CR57</f>
        <v>0</v>
      </c>
      <c r="CT57" s="1" t="n">
        <f aca="false">CJ57-CR57+CN57*IF(Slot8_SpendLike=1,CP57-CQ57,IF(Slot8_PotFree=1,CP57,0))</f>
        <v>0</v>
      </c>
      <c r="CU57" s="1" t="n">
        <f aca="false">CK57+CN57*Slot8_BufPot*CP57</f>
        <v>0</v>
      </c>
      <c r="CV57" s="1" t="n">
        <f aca="false">IF(AND(CN57=1,Slot8_IsMfree=1),IF(CS57&gt;=Slot8_Cost-1,0,MAX(0,CL57-CS57)),CL57)</f>
        <v>0</v>
      </c>
      <c r="CW57" s="1" t="n">
        <f aca="false">CN57*(Slot8_Cost-CS57)</f>
        <v>0</v>
      </c>
      <c r="CX57" s="1" t="n">
        <f aca="false">IF(AND(Slot9_On=1,D57=Slot9_Age),1,0)</f>
        <v>0</v>
      </c>
      <c r="CY57" s="1" t="n">
        <f aca="false">IF(AND(Slot9_On=1,Slot9_Age&gt;D57),1,0)</f>
        <v>0</v>
      </c>
      <c r="CZ57" s="1" t="n">
        <f aca="false">RR56</f>
        <v>0</v>
      </c>
      <c r="DA57" s="1" t="n">
        <f aca="false">CX57*MIN(Slot9_Cost,CZ57)</f>
        <v>0</v>
      </c>
      <c r="DB57" s="1" t="n">
        <f aca="false">CX57*Slot9_SpendLike*MIN(Slot9_Cost-DA57,CT57)</f>
        <v>0</v>
      </c>
      <c r="DC57" s="1" t="n">
        <f aca="false">DA57+DB57</f>
        <v>0</v>
      </c>
      <c r="DD57" s="1" t="n">
        <f aca="false">CT57-DB57+CX57*IF(Slot9_SpendLike=1,CZ57-DA57,IF(Slot9_PotFree=1,CZ57,0))</f>
        <v>0</v>
      </c>
      <c r="DE57" s="1" t="n">
        <f aca="false">CU57+CX57*Slot9_BufPot*CZ57</f>
        <v>0</v>
      </c>
      <c r="DF57" s="1" t="n">
        <f aca="false">IF(AND(CX57=1,Slot9_IsMfree=1),IF(DC57&gt;=Slot9_Cost-1,0,MAX(0,CV57-DC57)),CV57)</f>
        <v>0</v>
      </c>
      <c r="DG57" s="1" t="n">
        <f aca="false">CX57*(Slot9_Cost-DC57)</f>
        <v>0</v>
      </c>
      <c r="DH57" s="1" t="n">
        <f aca="false">IF(AND(Slot10_On=1,D57=Slot10_Age),1,0)</f>
        <v>0</v>
      </c>
      <c r="DI57" s="1" t="n">
        <f aca="false">IF(AND(Slot10_On=1,Slot10_Age&gt;D57),1,0)</f>
        <v>0</v>
      </c>
      <c r="DJ57" s="1" t="n">
        <f aca="false">RV56</f>
        <v>0</v>
      </c>
      <c r="DK57" s="1" t="n">
        <f aca="false">DH57*MIN(Slot10_Cost,DJ57)</f>
        <v>0</v>
      </c>
      <c r="DL57" s="1" t="n">
        <f aca="false">DH57*Slot10_SpendLike*MIN(Slot10_Cost-DK57,DD57)</f>
        <v>0</v>
      </c>
      <c r="DM57" s="1" t="n">
        <f aca="false">DK57+DL57</f>
        <v>0</v>
      </c>
      <c r="DN57" s="1" t="n">
        <f aca="false">DD57-DL57+DH57*IF(Slot10_SpendLike=1,DJ57-DK57,IF(Slot10_PotFree=1,DJ57,0))</f>
        <v>0</v>
      </c>
      <c r="DO57" s="1" t="n">
        <f aca="false">DE57+DH57*Slot10_BufPot*DJ57</f>
        <v>0</v>
      </c>
      <c r="DP57" s="1" t="n">
        <f aca="false">IF(AND(DH57=1,Slot10_IsMfree=1),IF(DM57&gt;=Slot10_Cost-1,0,MAX(0,DF57-DM57)),DF57)</f>
        <v>0</v>
      </c>
      <c r="DQ57" s="1" t="n">
        <f aca="false">DH57*(Slot10_Cost-DM57)</f>
        <v>0</v>
      </c>
      <c r="DR57" s="1" t="n">
        <f aca="false">IF(AND(Slot11_On=1,D57=Slot11_Age),1,0)</f>
        <v>0</v>
      </c>
      <c r="DS57" s="1" t="n">
        <f aca="false">IF(AND(Slot11_On=1,Slot11_Age&gt;D57),1,0)</f>
        <v>0</v>
      </c>
      <c r="DT57" s="1" t="n">
        <f aca="false">RZ56</f>
        <v>0</v>
      </c>
      <c r="DU57" s="1" t="n">
        <f aca="false">DR57*MIN(Slot11_Cost,DT57)</f>
        <v>0</v>
      </c>
      <c r="DV57" s="1" t="n">
        <f aca="false">DR57*Slot11_SpendLike*MIN(Slot11_Cost-DU57,DN57)</f>
        <v>0</v>
      </c>
      <c r="DW57" s="1" t="n">
        <f aca="false">DU57+DV57</f>
        <v>0</v>
      </c>
      <c r="DX57" s="1" t="n">
        <f aca="false">DN57-DV57+DR57*IF(Slot11_SpendLike=1,DT57-DU57,IF(Slot11_PotFree=1,DT57,0))</f>
        <v>0</v>
      </c>
      <c r="DY57" s="1" t="n">
        <f aca="false">DO57+DR57*Slot11_BufPot*DT57</f>
        <v>0</v>
      </c>
      <c r="DZ57" s="1" t="n">
        <f aca="false">IF(AND(DR57=1,Slot11_IsMfree=1),IF(DW57&gt;=Slot11_Cost-1,0,MAX(0,DP57-DW57)),DP57)</f>
        <v>0</v>
      </c>
      <c r="EA57" s="1" t="n">
        <f aca="false">DR57*(Slot11_Cost-DW57)</f>
        <v>0</v>
      </c>
      <c r="EB57" s="1" t="n">
        <f aca="false">IF(AND(Slot12_On=1,D57=Slot12_Age),1,0)</f>
        <v>0</v>
      </c>
      <c r="EC57" s="1" t="n">
        <f aca="false">IF(AND(Slot12_On=1,Slot12_Age&gt;D57),1,0)</f>
        <v>0</v>
      </c>
      <c r="ED57" s="1" t="n">
        <f aca="false">SD56</f>
        <v>0</v>
      </c>
      <c r="EE57" s="1" t="n">
        <f aca="false">EB57*MIN(Slot12_Cost,ED57)</f>
        <v>0</v>
      </c>
      <c r="EF57" s="1" t="n">
        <f aca="false">EB57*Slot12_SpendLike*MIN(Slot12_Cost-EE57,DX57)</f>
        <v>0</v>
      </c>
      <c r="EG57" s="1" t="n">
        <f aca="false">EE57+EF57</f>
        <v>0</v>
      </c>
      <c r="EH57" s="1" t="n">
        <f aca="false">DX57-EF57+EB57*IF(Slot12_SpendLike=1,ED57-EE57,IF(Slot12_PotFree=1,ED57,0))</f>
        <v>0</v>
      </c>
      <c r="EI57" s="1" t="n">
        <f aca="false">DY57+EB57*Slot12_BufPot*ED57</f>
        <v>0</v>
      </c>
      <c r="EJ57" s="1" t="n">
        <f aca="false">IF(AND(EB57=1,Slot12_IsMfree=1),IF(EG57&gt;=Slot12_Cost-1,0,MAX(0,DZ57-EG57)),DZ57)</f>
        <v>0</v>
      </c>
      <c r="EK57" s="1" t="n">
        <f aca="false">EB57*(Slot12_Cost-EG57)</f>
        <v>0</v>
      </c>
      <c r="EL57" s="1" t="n">
        <f aca="false">IF(AND(Slot13_On=1,D57=Slot13_Age),1,0)</f>
        <v>0</v>
      </c>
      <c r="EM57" s="1" t="n">
        <f aca="false">IF(AND(Slot13_On=1,Slot13_Age&gt;D57),1,0)</f>
        <v>0</v>
      </c>
      <c r="EN57" s="1" t="n">
        <f aca="false">SH56</f>
        <v>0</v>
      </c>
      <c r="EO57" s="1" t="n">
        <f aca="false">EL57*MIN(Slot13_Cost,EN57)</f>
        <v>0</v>
      </c>
      <c r="EP57" s="1" t="n">
        <f aca="false">EL57*Slot13_SpendLike*MIN(Slot13_Cost-EO57,EH57)</f>
        <v>0</v>
      </c>
      <c r="EQ57" s="1" t="n">
        <f aca="false">EO57+EP57</f>
        <v>0</v>
      </c>
      <c r="ER57" s="1" t="n">
        <f aca="false">EH57-EP57+EL57*IF(Slot13_SpendLike=1,EN57-EO57,IF(Slot13_PotFree=1,EN57,0))</f>
        <v>0</v>
      </c>
      <c r="ES57" s="1" t="n">
        <f aca="false">EI57+EL57*Slot13_BufPot*EN57</f>
        <v>0</v>
      </c>
      <c r="ET57" s="1" t="n">
        <f aca="false">IF(AND(EL57=1,Slot13_IsMfree=1),IF(EQ57&gt;=Slot13_Cost-1,0,MAX(0,EJ57-EQ57)),EJ57)</f>
        <v>0</v>
      </c>
      <c r="EU57" s="1" t="n">
        <f aca="false">EL57*(Slot13_Cost-EQ57)</f>
        <v>0</v>
      </c>
      <c r="EV57" s="1" t="n">
        <f aca="false">IF(AND(Slot14_On=1,D57=Slot14_Age),1,0)</f>
        <v>0</v>
      </c>
      <c r="EW57" s="1" t="n">
        <f aca="false">IF(AND(Slot14_On=1,Slot14_Age&gt;D57),1,0)</f>
        <v>0</v>
      </c>
      <c r="EX57" s="1" t="n">
        <f aca="false">SL56</f>
        <v>0</v>
      </c>
      <c r="EY57" s="1" t="n">
        <f aca="false">EV57*MIN(Slot14_Cost,EX57)</f>
        <v>0</v>
      </c>
      <c r="EZ57" s="1" t="n">
        <f aca="false">EV57*Slot14_SpendLike*MIN(Slot14_Cost-EY57,ER57)</f>
        <v>0</v>
      </c>
      <c r="FA57" s="1" t="n">
        <f aca="false">EY57+EZ57</f>
        <v>0</v>
      </c>
      <c r="FB57" s="1" t="n">
        <f aca="false">ER57-EZ57+EV57*IF(Slot14_SpendLike=1,EX57-EY57,IF(Slot14_PotFree=1,EX57,0))</f>
        <v>0</v>
      </c>
      <c r="FC57" s="1" t="n">
        <f aca="false">ES57+EV57*Slot14_BufPot*EX57</f>
        <v>0</v>
      </c>
      <c r="FD57" s="1" t="n">
        <f aca="false">IF(AND(EV57=1,Slot14_IsMfree=1),IF(FA57&gt;=Slot14_Cost-1,0,MAX(0,ET57-FA57)),ET57)</f>
        <v>0</v>
      </c>
      <c r="FE57" s="1" t="n">
        <f aca="false">EV57*(Slot14_Cost-FA57)</f>
        <v>0</v>
      </c>
      <c r="FF57" s="1" t="n">
        <f aca="false">IF(AND(Slot15_On=1,D57=Slot15_Age),1,0)</f>
        <v>0</v>
      </c>
      <c r="FG57" s="1" t="n">
        <f aca="false">IF(AND(Slot15_On=1,Slot15_Age&gt;D57),1,0)</f>
        <v>0</v>
      </c>
      <c r="FH57" s="1" t="n">
        <f aca="false">SP56</f>
        <v>0</v>
      </c>
      <c r="FI57" s="1" t="n">
        <f aca="false">FF57*MIN(Slot15_Cost,FH57)</f>
        <v>0</v>
      </c>
      <c r="FJ57" s="1" t="n">
        <f aca="false">FF57*Slot15_SpendLike*MIN(Slot15_Cost-FI57,FB57)</f>
        <v>0</v>
      </c>
      <c r="FK57" s="1" t="n">
        <f aca="false">FI57+FJ57</f>
        <v>0</v>
      </c>
      <c r="FL57" s="1" t="n">
        <f aca="false">FB57-FJ57+FF57*IF(Slot15_SpendLike=1,FH57-FI57,IF(Slot15_PotFree=1,FH57,0))</f>
        <v>0</v>
      </c>
      <c r="FM57" s="1" t="n">
        <f aca="false">FC57+FF57*Slot15_BufPot*FH57</f>
        <v>0</v>
      </c>
      <c r="FN57" s="1" t="n">
        <f aca="false">IF(AND(FF57=1,Slot15_IsMfree=1),IF(FK57&gt;=Slot15_Cost-1,0,MAX(0,FD57-FK57)),FD57)</f>
        <v>0</v>
      </c>
      <c r="FO57" s="1" t="n">
        <f aca="false">FF57*(Slot15_Cost-FK57)</f>
        <v>0</v>
      </c>
      <c r="FP57" s="1" t="n">
        <f aca="false">IF(AND(Slot16_On=1,D57=Slot16_Age),1,0)</f>
        <v>0</v>
      </c>
      <c r="FQ57" s="1" t="n">
        <f aca="false">IF(AND(Slot16_On=1,Slot16_Age&gt;D57),1,0)</f>
        <v>0</v>
      </c>
      <c r="FR57" s="1" t="n">
        <f aca="false">ST56</f>
        <v>0</v>
      </c>
      <c r="FS57" s="1" t="n">
        <f aca="false">FP57*MIN(Slot16_Cost,FR57)</f>
        <v>0</v>
      </c>
      <c r="FT57" s="1" t="n">
        <f aca="false">FP57*Slot16_SpendLike*MIN(Slot16_Cost-FS57,FL57)</f>
        <v>0</v>
      </c>
      <c r="FU57" s="1" t="n">
        <f aca="false">FS57+FT57</f>
        <v>0</v>
      </c>
      <c r="FV57" s="1" t="n">
        <f aca="false">FL57-FT57+FP57*IF(Slot16_SpendLike=1,FR57-FS57,IF(Slot16_PotFree=1,FR57,0))</f>
        <v>0</v>
      </c>
      <c r="FW57" s="1" t="n">
        <f aca="false">FM57+FP57*Slot16_BufPot*FR57</f>
        <v>0</v>
      </c>
      <c r="FX57" s="1" t="n">
        <f aca="false">IF(AND(FP57=1,Slot16_IsMfree=1),IF(FU57&gt;=Slot16_Cost-1,0,MAX(0,FN57-FU57)),FN57)</f>
        <v>0</v>
      </c>
      <c r="FY57" s="1" t="n">
        <f aca="false">FP57*(Slot16_Cost-FU57)</f>
        <v>0</v>
      </c>
      <c r="FZ57" s="1" t="n">
        <f aca="false">IF(AND(Slot17_On=1,D57=Slot17_Age),1,0)</f>
        <v>0</v>
      </c>
      <c r="GA57" s="1" t="n">
        <f aca="false">IF(AND(Slot17_On=1,Slot17_Age&gt;D57),1,0)</f>
        <v>0</v>
      </c>
      <c r="GB57" s="1" t="n">
        <f aca="false">SX56</f>
        <v>0</v>
      </c>
      <c r="GC57" s="1" t="n">
        <f aca="false">FZ57*MIN(Slot17_Cost,GB57)</f>
        <v>0</v>
      </c>
      <c r="GD57" s="1" t="n">
        <f aca="false">FZ57*Slot17_SpendLike*MIN(Slot17_Cost-GC57,FV57)</f>
        <v>0</v>
      </c>
      <c r="GE57" s="1" t="n">
        <f aca="false">GC57+GD57</f>
        <v>0</v>
      </c>
      <c r="GF57" s="1" t="n">
        <f aca="false">FV57-GD57+FZ57*IF(Slot17_SpendLike=1,GB57-GC57,IF(Slot17_PotFree=1,GB57,0))</f>
        <v>0</v>
      </c>
      <c r="GG57" s="1" t="n">
        <f aca="false">FW57+FZ57*Slot17_BufPot*GB57</f>
        <v>0</v>
      </c>
      <c r="GH57" s="1" t="n">
        <f aca="false">IF(AND(FZ57=1,Slot17_IsMfree=1),IF(GE57&gt;=Slot17_Cost-1,0,MAX(0,FX57-GE57)),FX57)</f>
        <v>0</v>
      </c>
      <c r="GI57" s="1" t="n">
        <f aca="false">FZ57*(Slot17_Cost-GE57)</f>
        <v>0</v>
      </c>
      <c r="GJ57" s="1" t="n">
        <f aca="false">IF(AND(Slot18_On=1,D57=Slot18_Age),1,0)</f>
        <v>0</v>
      </c>
      <c r="GK57" s="1" t="n">
        <f aca="false">IF(AND(Slot18_On=1,Slot18_Age&gt;D57),1,0)</f>
        <v>0</v>
      </c>
      <c r="GL57" s="1" t="n">
        <f aca="false">TB56</f>
        <v>0</v>
      </c>
      <c r="GM57" s="1" t="n">
        <f aca="false">GJ57*MIN(Slot18_Cost,GL57)</f>
        <v>0</v>
      </c>
      <c r="GN57" s="1" t="n">
        <f aca="false">GJ57*Slot18_SpendLike*MIN(Slot18_Cost-GM57,GF57)</f>
        <v>0</v>
      </c>
      <c r="GO57" s="1" t="n">
        <f aca="false">GM57+GN57</f>
        <v>0</v>
      </c>
      <c r="GP57" s="1" t="n">
        <f aca="false">GF57-GN57+GJ57*IF(Slot18_SpendLike=1,GL57-GM57,IF(Slot18_PotFree=1,GL57,0))</f>
        <v>0</v>
      </c>
      <c r="GQ57" s="1" t="n">
        <f aca="false">GG57+GJ57*Slot18_BufPot*GL57</f>
        <v>0</v>
      </c>
      <c r="GR57" s="1" t="n">
        <f aca="false">IF(AND(GJ57=1,Slot18_IsMfree=1),IF(GO57&gt;=Slot18_Cost-1,0,MAX(0,GH57-GO57)),GH57)</f>
        <v>0</v>
      </c>
      <c r="GS57" s="1" t="n">
        <f aca="false">GJ57*(Slot18_Cost-GO57)</f>
        <v>0</v>
      </c>
      <c r="GT57" s="1" t="n">
        <f aca="false">IF(AND(Slot19_On=1,D57=Slot19_Age),1,0)</f>
        <v>0</v>
      </c>
      <c r="GU57" s="1" t="n">
        <f aca="false">IF(AND(Slot19_On=1,Slot19_Age&gt;D57),1,0)</f>
        <v>0</v>
      </c>
      <c r="GV57" s="1" t="n">
        <f aca="false">TF56</f>
        <v>0</v>
      </c>
      <c r="GW57" s="1" t="n">
        <f aca="false">GT57*MIN(Slot19_Cost,GV57)</f>
        <v>0</v>
      </c>
      <c r="GX57" s="1" t="n">
        <f aca="false">GT57*Slot19_SpendLike*MIN(Slot19_Cost-GW57,GP57)</f>
        <v>0</v>
      </c>
      <c r="GY57" s="1" t="n">
        <f aca="false">GW57+GX57</f>
        <v>0</v>
      </c>
      <c r="GZ57" s="1" t="n">
        <f aca="false">GP57-GX57+GT57*IF(Slot19_SpendLike=1,GV57-GW57,IF(Slot19_PotFree=1,GV57,0))</f>
        <v>0</v>
      </c>
      <c r="HA57" s="1" t="n">
        <f aca="false">GQ57+GT57*Slot19_BufPot*GV57</f>
        <v>0</v>
      </c>
      <c r="HB57" s="1" t="n">
        <f aca="false">IF(AND(GT57=1,Slot19_IsMfree=1),IF(GY57&gt;=Slot19_Cost-1,0,MAX(0,GR57-GY57)),GR57)</f>
        <v>0</v>
      </c>
      <c r="HC57" s="1" t="n">
        <f aca="false">GT57*(Slot19_Cost-GY57)</f>
        <v>0</v>
      </c>
      <c r="HD57" s="1" t="n">
        <f aca="false">IF(AND(Slot20_On=1,D57=Slot20_Age),1,0)</f>
        <v>0</v>
      </c>
      <c r="HE57" s="1" t="n">
        <f aca="false">IF(AND(Slot20_On=1,Slot20_Age&gt;D57),1,0)</f>
        <v>0</v>
      </c>
      <c r="HF57" s="1" t="n">
        <f aca="false">TJ56</f>
        <v>0</v>
      </c>
      <c r="HG57" s="1" t="n">
        <f aca="false">HD57*MIN(Slot20_Cost,HF57)</f>
        <v>0</v>
      </c>
      <c r="HH57" s="1" t="n">
        <f aca="false">HD57*Slot20_SpendLike*MIN(Slot20_Cost-HG57,GZ57)</f>
        <v>0</v>
      </c>
      <c r="HI57" s="1" t="n">
        <f aca="false">HG57+HH57</f>
        <v>0</v>
      </c>
      <c r="HJ57" s="1" t="n">
        <f aca="false">GZ57-HH57+HD57*IF(Slot20_SpendLike=1,HF57-HG57,IF(Slot20_PotFree=1,HF57,0))</f>
        <v>0</v>
      </c>
      <c r="HK57" s="1" t="n">
        <f aca="false">HA57+HD57*Slot20_BufPot*HF57</f>
        <v>0</v>
      </c>
      <c r="HL57" s="1" t="n">
        <f aca="false">IF(AND(HD57=1,Slot20_IsMfree=1),IF(HI57&gt;=Slot20_Cost-1,0,MAX(0,HB57-HI57)),HB57)</f>
        <v>0</v>
      </c>
      <c r="HM57" s="1" t="n">
        <f aca="false">HD57*(Slot20_Cost-HI57)</f>
        <v>0</v>
      </c>
      <c r="HN57" s="1" t="n">
        <f aca="false">U57*Slot1_SpendLike*Z57+AF57*Slot2_SpendLike*AK57+AP57*Slot3_SpendLike*AU57+AZ57*Slot4_SpendLike*BE57+BJ57*Slot5_SpendLike*BO57+BT57*Slot6_SpendLike*BY57+CD57*Slot7_SpendLike*CI57+CN57*Slot8_SpendLike*CS57+CX57*Slot9_SpendLike*DC57+DH57*Slot10_SpendLike*DM57+DR57*Slot11_SpendLike*DW57+EB57*Slot12_SpendLike*EG57+EL57*Slot13_SpendLike*EQ57+EV57*Slot14_SpendLike*FA57+FF57*Slot15_SpendLike*FK57+FP57*Slot16_SpendLike*FU57+FZ57*Slot17_SpendLike*GE57+GJ57*Slot18_SpendLike*GO57+GT57*Slot19_SpendLike*GY57+HD57*Slot20_SpendLike*HI57</f>
        <v>0</v>
      </c>
      <c r="HO57" s="1" t="n">
        <f aca="false">AD57+AO57+AY57+BI57+BS57+CC57+CM57+CW57+DG57+DQ57+EA57+EK57+EU57+FE57+FO57+FY57+GI57+GS57+HC57+HM57</f>
        <v>0</v>
      </c>
      <c r="HP57" s="1" t="n">
        <f aca="false">U57*Slot1_Cost+AF57*Slot2_Cost+AP57*Slot3_Cost+AZ57*Slot4_Cost+BJ57*Slot5_Cost+BT57*Slot6_Cost+CD57*Slot7_Cost+CN57*Slot8_Cost+CX57*Slot9_Cost+DH57*Slot10_Cost+DR57*Slot11_Cost+EB57*Slot12_Cost+EL57*Slot13_Cost+EV57*Slot14_Cost+FF57*Slot15_Cost+FP57*Slot16_Cost+FZ57*Slot17_Cost+GJ57*Slot18_Cost+GT57*Slot19_Cost+HD57*Slot20_Cost</f>
        <v>0</v>
      </c>
      <c r="HQ57" s="1" t="n">
        <f aca="false">HL57</f>
        <v>0</v>
      </c>
      <c r="HR57" s="1" t="n">
        <f aca="false">G57-H57-R57</f>
        <v>0</v>
      </c>
      <c r="HS57" s="1" t="n">
        <f aca="false">IF(B57=0,IF(AND(Has_q6=1,In_q6=4),PR_ShareVaries*(MAX(0,HR57)/12),MIN(IF(Has_q6=1,CHOOSE(In_q6+1,PR_SaveB1,PR_SaveB2,PR_SaveB3,PR_SaveB4,0),AS_NoAnswer),AS_SaveShare*(MAX(0,HR57)/12))),HS56)</f>
        <v>0</v>
      </c>
      <c r="HT57" s="1" t="n">
        <f aca="false">IF(HR57&gt;=0,1,0)</f>
        <v>1</v>
      </c>
      <c r="HU57" s="1" t="n">
        <f aca="false">MAX(0,HR57/12/E57)</f>
        <v>0</v>
      </c>
      <c r="HV57" s="1" t="n">
        <f aca="false">IF(AND(Has_q6=1,In_q6=4),PR_ShareVaries*(HU57),MIN(IF(Has_q6=1,CHOOSE(In_q6+1,PR_SaveB1,PR_SaveB2,PR_SaveB3,PR_SaveB4,0),AS_NoAnswer),AS_SaveShare*(HU57)))</f>
        <v>0</v>
      </c>
      <c r="HW57" s="1" t="n">
        <f aca="false">IF(Has_saveM=1,IF(In_saveUp="Yes",1,IF(In_saveUp="No",0,IF(In_saveM&gt;=HS57-0.5,1,0))),0)</f>
        <v>0</v>
      </c>
      <c r="HX57" s="1" t="n">
        <f aca="false">IF(Has_saveM=1,MIN(HU57,IF(HW57=1,MAX(In_saveM,HV57),MIN(In_saveM,HV57))),HV57)</f>
        <v>0</v>
      </c>
      <c r="HY57" s="1" t="n">
        <f aca="false">IF(F57=1,HX57*12*E57,0)</f>
        <v>0</v>
      </c>
      <c r="HZ57" s="1" t="n">
        <f aca="false">MAX(0,HY57+IF(AND(WI_Retire=0,WI_M&lt;0,F57=1),WI_M*12*E57,0))</f>
        <v>0</v>
      </c>
      <c r="IA57" s="1" t="n">
        <f aca="false">Slot1_IsWG*V57+Slot2_IsWG*AG57+Slot3_IsWG*AQ57+Slot4_IsWG*BA57+Slot5_IsWG*BK57+Slot6_IsWG*BU57+Slot7_IsWG*CE57+Slot8_IsWG*CO57+Slot9_IsWG*CY57+Slot10_IsWG*DI57+Slot11_IsWG*DS57+Slot12_IsWG*EC57+Slot13_IsWG*EM57+Slot14_IsWG*EW57+Slot15_IsWG*FG57+Slot16_IsWG*FQ57+Slot17_IsWG*GA57+Slot18_IsWG*GK57+Slot19_IsWG*GU57+Slot20_IsWG*HE57</f>
        <v>0</v>
      </c>
      <c r="IB57" s="1" t="n">
        <f aca="false">IF(AND(WI_Retire=0,WI_M&gt;0,F57=1,IA57&gt;=1),WI_M*12*E57,0)</f>
        <v>0</v>
      </c>
      <c r="IC57" s="1" t="n">
        <f aca="false">IF(HT57=1,MIN(HZ57,HR57),0)</f>
        <v>0</v>
      </c>
      <c r="ID57" s="1" t="n">
        <f aca="false">IF(HT57=1,MIN(IB57,HR57-IC57),0)</f>
        <v>0</v>
      </c>
      <c r="IE57" s="1" t="n">
        <f aca="false">IF(V57=1,IF(ABS((1+AS_Wage)/(1+Slot1_Rate)-1)&lt;0.000000000001,(Slot1_Age-D57)*(1+Slot1_Rate)^(Slot1_Age-D57),(1+Slot1_Rate)^(Slot1_Age-D57)*(1-((1+AS_Wage)/(1+Slot1_Rate))^(Slot1_Age-D57))/(1-(1+AS_Wage)/(1+Slot1_Rate))),1)</f>
        <v>1</v>
      </c>
      <c r="IF57" s="1" t="n">
        <f aca="false">IF(AND(HT57=1,ID57&gt;0,Slot1_IsWG=1,V57=1),MAX(0,(Slot1_Cost-W57*(1+Slot1_Rate)^(Slot1_Age-D57))/IE57),0)</f>
        <v>0</v>
      </c>
      <c r="IG57" s="1" t="n">
        <f aca="false">IF(AND(HT57=1,ID57&gt;0,Slot1_IsWG=1,V57=1),MIN(ID57,IF57),0)</f>
        <v>0</v>
      </c>
      <c r="IH57" s="1" t="n">
        <f aca="false">W57+IG57</f>
        <v>0</v>
      </c>
      <c r="II57" s="1" t="n">
        <f aca="false">IF(V57=1,MAX(0,(Slot1_Cost-IH57*(1+Slot1_Rate)^(Slot1_Age-D57))/IE57),0)</f>
        <v>0</v>
      </c>
      <c r="IJ57" s="1" t="n">
        <f aca="false">IF(V57=1,MAX(0,(Slot1_Cost-W57*(1+Slot1_Rate)^(Slot1_Age-D57))/IE57),0)</f>
        <v>0</v>
      </c>
      <c r="IK57" s="1" t="n">
        <f aca="false">IF(AND(HT57=1,V57=1),MIN(IC57,II57),0)</f>
        <v>0</v>
      </c>
      <c r="IL57" s="1" t="n">
        <f aca="false">IC57-IK57</f>
        <v>0</v>
      </c>
      <c r="IM57" s="1" t="n">
        <f aca="false">IF(AG57=1,IF(ABS((1+AS_Wage)/(1+Slot2_Rate)-1)&lt;0.000000000001,(Slot2_Age-D57)*(1+Slot2_Rate)^(Slot2_Age-D57),(1+Slot2_Rate)^(Slot2_Age-D57)*(1-((1+AS_Wage)/(1+Slot2_Rate))^(Slot2_Age-D57))/(1-(1+AS_Wage)/(1+Slot2_Rate))),1)</f>
        <v>1</v>
      </c>
      <c r="IN57" s="1" t="n">
        <f aca="false">IF(AND(HT57=1,ID57&gt;0,Slot2_IsWG=1,AG57=1),MAX(0,(Slot2_Cost-AH57*(1+Slot2_Rate)^(Slot2_Age-D57))/IM57),0)</f>
        <v>0</v>
      </c>
      <c r="IO57" s="1" t="n">
        <f aca="false">IF(AND(HT57=1,ID57&gt;0,Slot2_IsWG=1,AG57=1),MIN(ID57,IN57),0)</f>
        <v>0</v>
      </c>
      <c r="IP57" s="1" t="n">
        <f aca="false">AH57+IO57</f>
        <v>0</v>
      </c>
      <c r="IQ57" s="1" t="n">
        <f aca="false">IF(AG57=1,MAX(0,(Slot2_Cost-IP57*(1+Slot2_Rate)^(Slot2_Age-D57))/IM57),0)</f>
        <v>0</v>
      </c>
      <c r="IR57" s="1" t="n">
        <f aca="false">IF(AG57=1,MAX(0,(Slot2_Cost-AH57*(1+Slot2_Rate)^(Slot2_Age-D57))/IM57),0)</f>
        <v>0</v>
      </c>
      <c r="IS57" s="1" t="n">
        <f aca="false">IF(AND(HT57=1,AG57=1),MIN(IL57,IQ57),0)</f>
        <v>0</v>
      </c>
      <c r="IT57" s="1" t="n">
        <f aca="false">IL57-IS57</f>
        <v>0</v>
      </c>
      <c r="IU57" s="1" t="n">
        <f aca="false">IF(AQ57=1,IF(ABS((1+AS_Wage)/(1+Slot3_Rate)-1)&lt;0.000000000001,(Slot3_Age-D57)*(1+Slot3_Rate)^(Slot3_Age-D57),(1+Slot3_Rate)^(Slot3_Age-D57)*(1-((1+AS_Wage)/(1+Slot3_Rate))^(Slot3_Age-D57))/(1-(1+AS_Wage)/(1+Slot3_Rate))),1)</f>
        <v>1</v>
      </c>
      <c r="IV57" s="1" t="n">
        <f aca="false">IF(AND(HT57=1,ID57&gt;0,Slot3_IsWG=1,AQ57=1),MAX(0,(Slot3_Cost-AR57*(1+Slot3_Rate)^(Slot3_Age-D57))/IU57),0)</f>
        <v>0</v>
      </c>
      <c r="IW57" s="1" t="n">
        <f aca="false">IF(AND(HT57=1,ID57&gt;0,Slot3_IsWG=1,AQ57=1),MIN(ID57,IV57),0)</f>
        <v>0</v>
      </c>
      <c r="IX57" s="1" t="n">
        <f aca="false">AR57+IW57</f>
        <v>0</v>
      </c>
      <c r="IY57" s="1" t="n">
        <f aca="false">IF(AQ57=1,MAX(0,(Slot3_Cost-IX57*(1+Slot3_Rate)^(Slot3_Age-D57))/IU57),0)</f>
        <v>0</v>
      </c>
      <c r="IZ57" s="1" t="n">
        <f aca="false">IF(AQ57=1,MAX(0,(Slot3_Cost-AR57*(1+Slot3_Rate)^(Slot3_Age-D57))/IU57),0)</f>
        <v>0</v>
      </c>
      <c r="JA57" s="1" t="n">
        <f aca="false">IF(AND(HT57=1,AQ57=1),MIN(IT57,IY57),0)</f>
        <v>0</v>
      </c>
      <c r="JB57" s="1" t="n">
        <f aca="false">IT57-JA57</f>
        <v>0</v>
      </c>
      <c r="JC57" s="1" t="n">
        <f aca="false">IF(BA57=1,IF(ABS((1+AS_Wage)/(1+Slot4_Rate)-1)&lt;0.000000000001,(Slot4_Age-D57)*(1+Slot4_Rate)^(Slot4_Age-D57),(1+Slot4_Rate)^(Slot4_Age-D57)*(1-((1+AS_Wage)/(1+Slot4_Rate))^(Slot4_Age-D57))/(1-(1+AS_Wage)/(1+Slot4_Rate))),1)</f>
        <v>1</v>
      </c>
      <c r="JD57" s="1" t="n">
        <f aca="false">IF(AND(HT57=1,ID57&gt;0,Slot4_IsWG=1,BA57=1),MAX(0,(Slot4_Cost-BB57*(1+Slot4_Rate)^(Slot4_Age-D57))/JC57),0)</f>
        <v>0</v>
      </c>
      <c r="JE57" s="1" t="n">
        <f aca="false">IF(AND(HT57=1,ID57&gt;0,Slot4_IsWG=1,BA57=1),MIN(ID57,JD57),0)</f>
        <v>0</v>
      </c>
      <c r="JF57" s="1" t="n">
        <f aca="false">BB57+JE57</f>
        <v>0</v>
      </c>
      <c r="JG57" s="1" t="n">
        <f aca="false">IF(BA57=1,MAX(0,(Slot4_Cost-JF57*(1+Slot4_Rate)^(Slot4_Age-D57))/JC57),0)</f>
        <v>0</v>
      </c>
      <c r="JH57" s="1" t="n">
        <f aca="false">IF(BA57=1,MAX(0,(Slot4_Cost-BB57*(1+Slot4_Rate)^(Slot4_Age-D57))/JC57),0)</f>
        <v>0</v>
      </c>
      <c r="JI57" s="1" t="n">
        <f aca="false">IF(AND(HT57=1,BA57=1),MIN(JB57,JG57),0)</f>
        <v>0</v>
      </c>
      <c r="JJ57" s="1" t="n">
        <f aca="false">JB57-JI57</f>
        <v>0</v>
      </c>
      <c r="JK57" s="1" t="n">
        <f aca="false">IF(BK57=1,IF(ABS((1+AS_Wage)/(1+Slot5_Rate)-1)&lt;0.000000000001,(Slot5_Age-D57)*(1+Slot5_Rate)^(Slot5_Age-D57),(1+Slot5_Rate)^(Slot5_Age-D57)*(1-((1+AS_Wage)/(1+Slot5_Rate))^(Slot5_Age-D57))/(1-(1+AS_Wage)/(1+Slot5_Rate))),1)</f>
        <v>1</v>
      </c>
      <c r="JL57" s="1" t="n">
        <f aca="false">IF(AND(HT57=1,ID57&gt;0,Slot5_IsWG=1,BK57=1),MAX(0,(Slot5_Cost-BL57*(1+Slot5_Rate)^(Slot5_Age-D57))/JK57),0)</f>
        <v>0</v>
      </c>
      <c r="JM57" s="1" t="n">
        <f aca="false">IF(AND(HT57=1,ID57&gt;0,Slot5_IsWG=1,BK57=1),MIN(ID57,JL57),0)</f>
        <v>0</v>
      </c>
      <c r="JN57" s="1" t="n">
        <f aca="false">BL57+JM57</f>
        <v>0</v>
      </c>
      <c r="JO57" s="1" t="n">
        <f aca="false">IF(BK57=1,MAX(0,(Slot5_Cost-JN57*(1+Slot5_Rate)^(Slot5_Age-D57))/JK57),0)</f>
        <v>0</v>
      </c>
      <c r="JP57" s="1" t="n">
        <f aca="false">IF(BK57=1,MAX(0,(Slot5_Cost-BL57*(1+Slot5_Rate)^(Slot5_Age-D57))/JK57),0)</f>
        <v>0</v>
      </c>
      <c r="JQ57" s="1" t="n">
        <f aca="false">IF(AND(HT57=1,BK57=1),MIN(JJ57,JO57),0)</f>
        <v>0</v>
      </c>
      <c r="JR57" s="1" t="n">
        <f aca="false">JJ57-JQ57</f>
        <v>0</v>
      </c>
      <c r="JS57" s="1" t="n">
        <f aca="false">IF(BU57=1,IF(ABS((1+AS_Wage)/(1+Slot6_Rate)-1)&lt;0.000000000001,(Slot6_Age-D57)*(1+Slot6_Rate)^(Slot6_Age-D57),(1+Slot6_Rate)^(Slot6_Age-D57)*(1-((1+AS_Wage)/(1+Slot6_Rate))^(Slot6_Age-D57))/(1-(1+AS_Wage)/(1+Slot6_Rate))),1)</f>
        <v>1</v>
      </c>
      <c r="JT57" s="1" t="n">
        <f aca="false">IF(AND(HT57=1,ID57&gt;0,Slot6_IsWG=1,BU57=1),MAX(0,(Slot6_Cost-BV57*(1+Slot6_Rate)^(Slot6_Age-D57))/JS57),0)</f>
        <v>0</v>
      </c>
      <c r="JU57" s="1" t="n">
        <f aca="false">IF(AND(HT57=1,ID57&gt;0,Slot6_IsWG=1,BU57=1),MIN(ID57,JT57),0)</f>
        <v>0</v>
      </c>
      <c r="JV57" s="1" t="n">
        <f aca="false">BV57+JU57</f>
        <v>0</v>
      </c>
      <c r="JW57" s="1" t="n">
        <f aca="false">IF(BU57=1,MAX(0,(Slot6_Cost-JV57*(1+Slot6_Rate)^(Slot6_Age-D57))/JS57),0)</f>
        <v>0</v>
      </c>
      <c r="JX57" s="1" t="n">
        <f aca="false">IF(BU57=1,MAX(0,(Slot6_Cost-BV57*(1+Slot6_Rate)^(Slot6_Age-D57))/JS57),0)</f>
        <v>0</v>
      </c>
      <c r="JY57" s="1" t="n">
        <f aca="false">IF(AND(HT57=1,BU57=1),MIN(JR57,JW57),0)</f>
        <v>0</v>
      </c>
      <c r="JZ57" s="1" t="n">
        <f aca="false">JR57-JY57</f>
        <v>0</v>
      </c>
      <c r="KA57" s="1" t="n">
        <f aca="false">IF(CE57=1,IF(ABS((1+AS_Wage)/(1+Slot7_Rate)-1)&lt;0.000000000001,(Slot7_Age-D57)*(1+Slot7_Rate)^(Slot7_Age-D57),(1+Slot7_Rate)^(Slot7_Age-D57)*(1-((1+AS_Wage)/(1+Slot7_Rate))^(Slot7_Age-D57))/(1-(1+AS_Wage)/(1+Slot7_Rate))),1)</f>
        <v>1</v>
      </c>
      <c r="KB57" s="1" t="n">
        <f aca="false">IF(AND(HT57=1,ID57&gt;0,Slot7_IsWG=1,CE57=1),MAX(0,(Slot7_Cost-CF57*(1+Slot7_Rate)^(Slot7_Age-D57))/KA57),0)</f>
        <v>0</v>
      </c>
      <c r="KC57" s="1" t="n">
        <f aca="false">IF(AND(HT57=1,ID57&gt;0,Slot7_IsWG=1,CE57=1),MIN(ID57,KB57),0)</f>
        <v>0</v>
      </c>
      <c r="KD57" s="1" t="n">
        <f aca="false">CF57+KC57</f>
        <v>0</v>
      </c>
      <c r="KE57" s="1" t="n">
        <f aca="false">IF(CE57=1,MAX(0,(Slot7_Cost-KD57*(1+Slot7_Rate)^(Slot7_Age-D57))/KA57),0)</f>
        <v>0</v>
      </c>
      <c r="KF57" s="1" t="n">
        <f aca="false">IF(CE57=1,MAX(0,(Slot7_Cost-CF57*(1+Slot7_Rate)^(Slot7_Age-D57))/KA57),0)</f>
        <v>0</v>
      </c>
      <c r="KG57" s="1" t="n">
        <f aca="false">IF(AND(HT57=1,CE57=1),MIN(JZ57,KE57),0)</f>
        <v>0</v>
      </c>
      <c r="KH57" s="1" t="n">
        <f aca="false">JZ57-KG57</f>
        <v>0</v>
      </c>
      <c r="KI57" s="1" t="n">
        <f aca="false">IF(CO57=1,IF(ABS((1+AS_Wage)/(1+Slot8_Rate)-1)&lt;0.000000000001,(Slot8_Age-D57)*(1+Slot8_Rate)^(Slot8_Age-D57),(1+Slot8_Rate)^(Slot8_Age-D57)*(1-((1+AS_Wage)/(1+Slot8_Rate))^(Slot8_Age-D57))/(1-(1+AS_Wage)/(1+Slot8_Rate))),1)</f>
        <v>1</v>
      </c>
      <c r="KJ57" s="1" t="n">
        <f aca="false">IF(AND(HT57=1,ID57&gt;0,Slot8_IsWG=1,CO57=1),MAX(0,(Slot8_Cost-CP57*(1+Slot8_Rate)^(Slot8_Age-D57))/KI57),0)</f>
        <v>0</v>
      </c>
      <c r="KK57" s="1" t="n">
        <f aca="false">IF(AND(HT57=1,ID57&gt;0,Slot8_IsWG=1,CO57=1),MIN(ID57,KJ57),0)</f>
        <v>0</v>
      </c>
      <c r="KL57" s="1" t="n">
        <f aca="false">CP57+KK57</f>
        <v>0</v>
      </c>
      <c r="KM57" s="1" t="n">
        <f aca="false">IF(CO57=1,MAX(0,(Slot8_Cost-KL57*(1+Slot8_Rate)^(Slot8_Age-D57))/KI57),0)</f>
        <v>0</v>
      </c>
      <c r="KN57" s="1" t="n">
        <f aca="false">IF(CO57=1,MAX(0,(Slot8_Cost-CP57*(1+Slot8_Rate)^(Slot8_Age-D57))/KI57),0)</f>
        <v>0</v>
      </c>
      <c r="KO57" s="1" t="n">
        <f aca="false">IF(AND(HT57=1,CO57=1),MIN(KH57,KM57),0)</f>
        <v>0</v>
      </c>
      <c r="KP57" s="1" t="n">
        <f aca="false">KH57-KO57</f>
        <v>0</v>
      </c>
      <c r="KQ57" s="1" t="n">
        <f aca="false">IF(CY57=1,IF(ABS((1+AS_Wage)/(1+Slot9_Rate)-1)&lt;0.000000000001,(Slot9_Age-D57)*(1+Slot9_Rate)^(Slot9_Age-D57),(1+Slot9_Rate)^(Slot9_Age-D57)*(1-((1+AS_Wage)/(1+Slot9_Rate))^(Slot9_Age-D57))/(1-(1+AS_Wage)/(1+Slot9_Rate))),1)</f>
        <v>1</v>
      </c>
      <c r="KR57" s="1" t="n">
        <f aca="false">IF(AND(HT57=1,ID57&gt;0,Slot9_IsWG=1,CY57=1),MAX(0,(Slot9_Cost-CZ57*(1+Slot9_Rate)^(Slot9_Age-D57))/KQ57),0)</f>
        <v>0</v>
      </c>
      <c r="KS57" s="1" t="n">
        <f aca="false">IF(AND(HT57=1,ID57&gt;0,Slot9_IsWG=1,CY57=1),MIN(ID57,KR57),0)</f>
        <v>0</v>
      </c>
      <c r="KT57" s="1" t="n">
        <f aca="false">CZ57+KS57</f>
        <v>0</v>
      </c>
      <c r="KU57" s="1" t="n">
        <f aca="false">IF(CY57=1,MAX(0,(Slot9_Cost-KT57*(1+Slot9_Rate)^(Slot9_Age-D57))/KQ57),0)</f>
        <v>0</v>
      </c>
      <c r="KV57" s="1" t="n">
        <f aca="false">IF(CY57=1,MAX(0,(Slot9_Cost-CZ57*(1+Slot9_Rate)^(Slot9_Age-D57))/KQ57),0)</f>
        <v>0</v>
      </c>
      <c r="KW57" s="1" t="n">
        <f aca="false">IF(AND(HT57=1,CY57=1),MIN(KP57,KU57),0)</f>
        <v>0</v>
      </c>
      <c r="KX57" s="1" t="n">
        <f aca="false">KP57-KW57</f>
        <v>0</v>
      </c>
      <c r="KY57" s="1" t="n">
        <f aca="false">IF(DI57=1,IF(ABS((1+AS_Wage)/(1+Slot10_Rate)-1)&lt;0.000000000001,(Slot10_Age-D57)*(1+Slot10_Rate)^(Slot10_Age-D57),(1+Slot10_Rate)^(Slot10_Age-D57)*(1-((1+AS_Wage)/(1+Slot10_Rate))^(Slot10_Age-D57))/(1-(1+AS_Wage)/(1+Slot10_Rate))),1)</f>
        <v>1</v>
      </c>
      <c r="KZ57" s="1" t="n">
        <f aca="false">IF(AND(HT57=1,ID57&gt;0,Slot10_IsWG=1,DI57=1),MAX(0,(Slot10_Cost-DJ57*(1+Slot10_Rate)^(Slot10_Age-D57))/KY57),0)</f>
        <v>0</v>
      </c>
      <c r="LA57" s="1" t="n">
        <f aca="false">IF(AND(HT57=1,ID57&gt;0,Slot10_IsWG=1,DI57=1),MIN(ID57,KZ57),0)</f>
        <v>0</v>
      </c>
      <c r="LB57" s="1" t="n">
        <f aca="false">DJ57+LA57</f>
        <v>0</v>
      </c>
      <c r="LC57" s="1" t="n">
        <f aca="false">IF(DI57=1,MAX(0,(Slot10_Cost-LB57*(1+Slot10_Rate)^(Slot10_Age-D57))/KY57),0)</f>
        <v>0</v>
      </c>
      <c r="LD57" s="1" t="n">
        <f aca="false">IF(DI57=1,MAX(0,(Slot10_Cost-DJ57*(1+Slot10_Rate)^(Slot10_Age-D57))/KY57),0)</f>
        <v>0</v>
      </c>
      <c r="LE57" s="1" t="n">
        <f aca="false">IF(AND(HT57=1,DI57=1),MIN(KX57,LC57),0)</f>
        <v>0</v>
      </c>
      <c r="LF57" s="1" t="n">
        <f aca="false">KX57-LE57</f>
        <v>0</v>
      </c>
      <c r="LG57" s="1" t="n">
        <f aca="false">IF(DS57=1,IF(ABS((1+AS_Wage)/(1+Slot11_Rate)-1)&lt;0.000000000001,(Slot11_Age-D57)*(1+Slot11_Rate)^(Slot11_Age-D57),(1+Slot11_Rate)^(Slot11_Age-D57)*(1-((1+AS_Wage)/(1+Slot11_Rate))^(Slot11_Age-D57))/(1-(1+AS_Wage)/(1+Slot11_Rate))),1)</f>
        <v>1</v>
      </c>
      <c r="LH57" s="1" t="n">
        <f aca="false">IF(AND(HT57=1,ID57&gt;0,Slot11_IsWG=1,DS57=1),MAX(0,(Slot11_Cost-DT57*(1+Slot11_Rate)^(Slot11_Age-D57))/LG57),0)</f>
        <v>0</v>
      </c>
      <c r="LI57" s="1" t="n">
        <f aca="false">IF(AND(HT57=1,ID57&gt;0,Slot11_IsWG=1,DS57=1),MIN(ID57,LH57),0)</f>
        <v>0</v>
      </c>
      <c r="LJ57" s="1" t="n">
        <f aca="false">DT57+LI57</f>
        <v>0</v>
      </c>
      <c r="LK57" s="1" t="n">
        <f aca="false">IF(DS57=1,MAX(0,(Slot11_Cost-LJ57*(1+Slot11_Rate)^(Slot11_Age-D57))/LG57),0)</f>
        <v>0</v>
      </c>
      <c r="LL57" s="1" t="n">
        <f aca="false">IF(DS57=1,MAX(0,(Slot11_Cost-DT57*(1+Slot11_Rate)^(Slot11_Age-D57))/LG57),0)</f>
        <v>0</v>
      </c>
      <c r="LM57" s="1" t="n">
        <f aca="false">IF(AND(HT57=1,DS57=1),MIN(LF57,LK57),0)</f>
        <v>0</v>
      </c>
      <c r="LN57" s="1" t="n">
        <f aca="false">LF57-LM57</f>
        <v>0</v>
      </c>
      <c r="LO57" s="1" t="n">
        <f aca="false">IF(EC57=1,IF(ABS((1+AS_Wage)/(1+Slot12_Rate)-1)&lt;0.000000000001,(Slot12_Age-D57)*(1+Slot12_Rate)^(Slot12_Age-D57),(1+Slot12_Rate)^(Slot12_Age-D57)*(1-((1+AS_Wage)/(1+Slot12_Rate))^(Slot12_Age-D57))/(1-(1+AS_Wage)/(1+Slot12_Rate))),1)</f>
        <v>1</v>
      </c>
      <c r="LP57" s="1" t="n">
        <f aca="false">IF(AND(HT57=1,ID57&gt;0,Slot12_IsWG=1,EC57=1),MAX(0,(Slot12_Cost-ED57*(1+Slot12_Rate)^(Slot12_Age-D57))/LO57),0)</f>
        <v>0</v>
      </c>
      <c r="LQ57" s="1" t="n">
        <f aca="false">IF(AND(HT57=1,ID57&gt;0,Slot12_IsWG=1,EC57=1),MIN(ID57,LP57),0)</f>
        <v>0</v>
      </c>
      <c r="LR57" s="1" t="n">
        <f aca="false">ED57+LQ57</f>
        <v>0</v>
      </c>
      <c r="LS57" s="1" t="n">
        <f aca="false">IF(EC57=1,MAX(0,(Slot12_Cost-LR57*(1+Slot12_Rate)^(Slot12_Age-D57))/LO57),0)</f>
        <v>0</v>
      </c>
      <c r="LT57" s="1" t="n">
        <f aca="false">IF(EC57=1,MAX(0,(Slot12_Cost-ED57*(1+Slot12_Rate)^(Slot12_Age-D57))/LO57),0)</f>
        <v>0</v>
      </c>
      <c r="LU57" s="1" t="n">
        <f aca="false">IF(AND(HT57=1,EC57=1),MIN(LN57,LS57),0)</f>
        <v>0</v>
      </c>
      <c r="LV57" s="1" t="n">
        <f aca="false">LN57-LU57</f>
        <v>0</v>
      </c>
      <c r="LW57" s="1" t="n">
        <f aca="false">IF(EM57=1,IF(ABS((1+AS_Wage)/(1+Slot13_Rate)-1)&lt;0.000000000001,(Slot13_Age-D57)*(1+Slot13_Rate)^(Slot13_Age-D57),(1+Slot13_Rate)^(Slot13_Age-D57)*(1-((1+AS_Wage)/(1+Slot13_Rate))^(Slot13_Age-D57))/(1-(1+AS_Wage)/(1+Slot13_Rate))),1)</f>
        <v>1</v>
      </c>
      <c r="LX57" s="1" t="n">
        <f aca="false">IF(AND(HT57=1,ID57&gt;0,Slot13_IsWG=1,EM57=1),MAX(0,(Slot13_Cost-EN57*(1+Slot13_Rate)^(Slot13_Age-D57))/LW57),0)</f>
        <v>0</v>
      </c>
      <c r="LY57" s="1" t="n">
        <f aca="false">IF(AND(HT57=1,ID57&gt;0,Slot13_IsWG=1,EM57=1),MIN(ID57,LX57),0)</f>
        <v>0</v>
      </c>
      <c r="LZ57" s="1" t="n">
        <f aca="false">EN57+LY57</f>
        <v>0</v>
      </c>
      <c r="MA57" s="1" t="n">
        <f aca="false">IF(EM57=1,MAX(0,(Slot13_Cost-LZ57*(1+Slot13_Rate)^(Slot13_Age-D57))/LW57),0)</f>
        <v>0</v>
      </c>
      <c r="MB57" s="1" t="n">
        <f aca="false">IF(EM57=1,MAX(0,(Slot13_Cost-EN57*(1+Slot13_Rate)^(Slot13_Age-D57))/LW57),0)</f>
        <v>0</v>
      </c>
      <c r="MC57" s="1" t="n">
        <f aca="false">IF(AND(HT57=1,EM57=1),MIN(LV57,MA57),0)</f>
        <v>0</v>
      </c>
      <c r="MD57" s="1" t="n">
        <f aca="false">LV57-MC57</f>
        <v>0</v>
      </c>
      <c r="ME57" s="1" t="n">
        <f aca="false">IF(EW57=1,IF(ABS((1+AS_Wage)/(1+Slot14_Rate)-1)&lt;0.000000000001,(Slot14_Age-D57)*(1+Slot14_Rate)^(Slot14_Age-D57),(1+Slot14_Rate)^(Slot14_Age-D57)*(1-((1+AS_Wage)/(1+Slot14_Rate))^(Slot14_Age-D57))/(1-(1+AS_Wage)/(1+Slot14_Rate))),1)</f>
        <v>1</v>
      </c>
      <c r="MF57" s="1" t="n">
        <f aca="false">IF(AND(HT57=1,ID57&gt;0,Slot14_IsWG=1,EW57=1),MAX(0,(Slot14_Cost-EX57*(1+Slot14_Rate)^(Slot14_Age-D57))/ME57),0)</f>
        <v>0</v>
      </c>
      <c r="MG57" s="1" t="n">
        <f aca="false">IF(AND(HT57=1,ID57&gt;0,Slot14_IsWG=1,EW57=1),MIN(ID57,MF57),0)</f>
        <v>0</v>
      </c>
      <c r="MH57" s="1" t="n">
        <f aca="false">EX57+MG57</f>
        <v>0</v>
      </c>
      <c r="MI57" s="1" t="n">
        <f aca="false">IF(EW57=1,MAX(0,(Slot14_Cost-MH57*(1+Slot14_Rate)^(Slot14_Age-D57))/ME57),0)</f>
        <v>0</v>
      </c>
      <c r="MJ57" s="1" t="n">
        <f aca="false">IF(EW57=1,MAX(0,(Slot14_Cost-EX57*(1+Slot14_Rate)^(Slot14_Age-D57))/ME57),0)</f>
        <v>0</v>
      </c>
      <c r="MK57" s="1" t="n">
        <f aca="false">IF(AND(HT57=1,EW57=1),MIN(MD57,MI57),0)</f>
        <v>0</v>
      </c>
      <c r="ML57" s="1" t="n">
        <f aca="false">MD57-MK57</f>
        <v>0</v>
      </c>
      <c r="MM57" s="1" t="n">
        <f aca="false">IF(FG57=1,IF(ABS((1+AS_Wage)/(1+Slot15_Rate)-1)&lt;0.000000000001,(Slot15_Age-D57)*(1+Slot15_Rate)^(Slot15_Age-D57),(1+Slot15_Rate)^(Slot15_Age-D57)*(1-((1+AS_Wage)/(1+Slot15_Rate))^(Slot15_Age-D57))/(1-(1+AS_Wage)/(1+Slot15_Rate))),1)</f>
        <v>1</v>
      </c>
      <c r="MN57" s="1" t="n">
        <f aca="false">IF(AND(HT57=1,ID57&gt;0,Slot15_IsWG=1,FG57=1),MAX(0,(Slot15_Cost-FH57*(1+Slot15_Rate)^(Slot15_Age-D57))/MM57),0)</f>
        <v>0</v>
      </c>
      <c r="MO57" s="1" t="n">
        <f aca="false">IF(AND(HT57=1,ID57&gt;0,Slot15_IsWG=1,FG57=1),MIN(ID57,MN57),0)</f>
        <v>0</v>
      </c>
      <c r="MP57" s="1" t="n">
        <f aca="false">FH57+MO57</f>
        <v>0</v>
      </c>
      <c r="MQ57" s="1" t="n">
        <f aca="false">IF(FG57=1,MAX(0,(Slot15_Cost-MP57*(1+Slot15_Rate)^(Slot15_Age-D57))/MM57),0)</f>
        <v>0</v>
      </c>
      <c r="MR57" s="1" t="n">
        <f aca="false">IF(FG57=1,MAX(0,(Slot15_Cost-FH57*(1+Slot15_Rate)^(Slot15_Age-D57))/MM57),0)</f>
        <v>0</v>
      </c>
      <c r="MS57" s="1" t="n">
        <f aca="false">IF(AND(HT57=1,FG57=1),MIN(ML57,MQ57),0)</f>
        <v>0</v>
      </c>
      <c r="MT57" s="1" t="n">
        <f aca="false">ML57-MS57</f>
        <v>0</v>
      </c>
      <c r="MU57" s="1" t="n">
        <f aca="false">IF(FQ57=1,IF(ABS((1+AS_Wage)/(1+Slot16_Rate)-1)&lt;0.000000000001,(Slot16_Age-D57)*(1+Slot16_Rate)^(Slot16_Age-D57),(1+Slot16_Rate)^(Slot16_Age-D57)*(1-((1+AS_Wage)/(1+Slot16_Rate))^(Slot16_Age-D57))/(1-(1+AS_Wage)/(1+Slot16_Rate))),1)</f>
        <v>1</v>
      </c>
      <c r="MV57" s="1" t="n">
        <f aca="false">IF(AND(HT57=1,ID57&gt;0,Slot16_IsWG=1,FQ57=1),MAX(0,(Slot16_Cost-FR57*(1+Slot16_Rate)^(Slot16_Age-D57))/MU57),0)</f>
        <v>0</v>
      </c>
      <c r="MW57" s="1" t="n">
        <f aca="false">IF(AND(HT57=1,ID57&gt;0,Slot16_IsWG=1,FQ57=1),MIN(ID57,MV57),0)</f>
        <v>0</v>
      </c>
      <c r="MX57" s="1" t="n">
        <f aca="false">FR57+MW57</f>
        <v>0</v>
      </c>
      <c r="MY57" s="1" t="n">
        <f aca="false">IF(FQ57=1,MAX(0,(Slot16_Cost-MX57*(1+Slot16_Rate)^(Slot16_Age-D57))/MU57),0)</f>
        <v>0</v>
      </c>
      <c r="MZ57" s="1" t="n">
        <f aca="false">IF(FQ57=1,MAX(0,(Slot16_Cost-FR57*(1+Slot16_Rate)^(Slot16_Age-D57))/MU57),0)</f>
        <v>0</v>
      </c>
      <c r="NA57" s="1" t="n">
        <f aca="false">IF(AND(HT57=1,FQ57=1),MIN(MT57,MY57),0)</f>
        <v>0</v>
      </c>
      <c r="NB57" s="1" t="n">
        <f aca="false">MT57-NA57</f>
        <v>0</v>
      </c>
      <c r="NC57" s="1" t="n">
        <f aca="false">IF(GA57=1,IF(ABS((1+AS_Wage)/(1+Slot17_Rate)-1)&lt;0.000000000001,(Slot17_Age-D57)*(1+Slot17_Rate)^(Slot17_Age-D57),(1+Slot17_Rate)^(Slot17_Age-D57)*(1-((1+AS_Wage)/(1+Slot17_Rate))^(Slot17_Age-D57))/(1-(1+AS_Wage)/(1+Slot17_Rate))),1)</f>
        <v>1</v>
      </c>
      <c r="ND57" s="1" t="n">
        <f aca="false">IF(AND(HT57=1,ID57&gt;0,Slot17_IsWG=1,GA57=1),MAX(0,(Slot17_Cost-GB57*(1+Slot17_Rate)^(Slot17_Age-D57))/NC57),0)</f>
        <v>0</v>
      </c>
      <c r="NE57" s="1" t="n">
        <f aca="false">IF(AND(HT57=1,ID57&gt;0,Slot17_IsWG=1,GA57=1),MIN(ID57,ND57),0)</f>
        <v>0</v>
      </c>
      <c r="NF57" s="1" t="n">
        <f aca="false">GB57+NE57</f>
        <v>0</v>
      </c>
      <c r="NG57" s="1" t="n">
        <f aca="false">IF(GA57=1,MAX(0,(Slot17_Cost-NF57*(1+Slot17_Rate)^(Slot17_Age-D57))/NC57),0)</f>
        <v>0</v>
      </c>
      <c r="NH57" s="1" t="n">
        <f aca="false">IF(GA57=1,MAX(0,(Slot17_Cost-GB57*(1+Slot17_Rate)^(Slot17_Age-D57))/NC57),0)</f>
        <v>0</v>
      </c>
      <c r="NI57" s="1" t="n">
        <f aca="false">IF(AND(HT57=1,GA57=1),MIN(NB57,NG57),0)</f>
        <v>0</v>
      </c>
      <c r="NJ57" s="1" t="n">
        <f aca="false">NB57-NI57</f>
        <v>0</v>
      </c>
      <c r="NK57" s="1" t="n">
        <f aca="false">IF(GK57=1,IF(ABS((1+AS_Wage)/(1+Slot18_Rate)-1)&lt;0.000000000001,(Slot18_Age-D57)*(1+Slot18_Rate)^(Slot18_Age-D57),(1+Slot18_Rate)^(Slot18_Age-D57)*(1-((1+AS_Wage)/(1+Slot18_Rate))^(Slot18_Age-D57))/(1-(1+AS_Wage)/(1+Slot18_Rate))),1)</f>
        <v>1</v>
      </c>
      <c r="NL57" s="1" t="n">
        <f aca="false">IF(AND(HT57=1,ID57&gt;0,Slot18_IsWG=1,GK57=1),MAX(0,(Slot18_Cost-GL57*(1+Slot18_Rate)^(Slot18_Age-D57))/NK57),0)</f>
        <v>0</v>
      </c>
      <c r="NM57" s="1" t="n">
        <f aca="false">IF(AND(HT57=1,ID57&gt;0,Slot18_IsWG=1,GK57=1),MIN(ID57,NL57),0)</f>
        <v>0</v>
      </c>
      <c r="NN57" s="1" t="n">
        <f aca="false">GL57+NM57</f>
        <v>0</v>
      </c>
      <c r="NO57" s="1" t="n">
        <f aca="false">IF(GK57=1,MAX(0,(Slot18_Cost-NN57*(1+Slot18_Rate)^(Slot18_Age-D57))/NK57),0)</f>
        <v>0</v>
      </c>
      <c r="NP57" s="1" t="n">
        <f aca="false">IF(GK57=1,MAX(0,(Slot18_Cost-GL57*(1+Slot18_Rate)^(Slot18_Age-D57))/NK57),0)</f>
        <v>0</v>
      </c>
      <c r="NQ57" s="1" t="n">
        <f aca="false">IF(AND(HT57=1,GK57=1),MIN(NJ57,NO57),0)</f>
        <v>0</v>
      </c>
      <c r="NR57" s="1" t="n">
        <f aca="false">NJ57-NQ57</f>
        <v>0</v>
      </c>
      <c r="NS57" s="1" t="n">
        <f aca="false">IF(GU57=1,IF(ABS((1+AS_Wage)/(1+Slot19_Rate)-1)&lt;0.000000000001,(Slot19_Age-D57)*(1+Slot19_Rate)^(Slot19_Age-D57),(1+Slot19_Rate)^(Slot19_Age-D57)*(1-((1+AS_Wage)/(1+Slot19_Rate))^(Slot19_Age-D57))/(1-(1+AS_Wage)/(1+Slot19_Rate))),1)</f>
        <v>1</v>
      </c>
      <c r="NT57" s="1" t="n">
        <f aca="false">IF(AND(HT57=1,ID57&gt;0,Slot19_IsWG=1,GU57=1),MAX(0,(Slot19_Cost-GV57*(1+Slot19_Rate)^(Slot19_Age-D57))/NS57),0)</f>
        <v>0</v>
      </c>
      <c r="NU57" s="1" t="n">
        <f aca="false">IF(AND(HT57=1,ID57&gt;0,Slot19_IsWG=1,GU57=1),MIN(ID57,NT57),0)</f>
        <v>0</v>
      </c>
      <c r="NV57" s="1" t="n">
        <f aca="false">GV57+NU57</f>
        <v>0</v>
      </c>
      <c r="NW57" s="1" t="n">
        <f aca="false">IF(GU57=1,MAX(0,(Slot19_Cost-NV57*(1+Slot19_Rate)^(Slot19_Age-D57))/NS57),0)</f>
        <v>0</v>
      </c>
      <c r="NX57" s="1" t="n">
        <f aca="false">IF(GU57=1,MAX(0,(Slot19_Cost-GV57*(1+Slot19_Rate)^(Slot19_Age-D57))/NS57),0)</f>
        <v>0</v>
      </c>
      <c r="NY57" s="1" t="n">
        <f aca="false">IF(AND(HT57=1,GU57=1),MIN(NR57,NW57),0)</f>
        <v>0</v>
      </c>
      <c r="NZ57" s="1" t="n">
        <f aca="false">NR57-NY57</f>
        <v>0</v>
      </c>
      <c r="OA57" s="1" t="n">
        <f aca="false">IF(HE57=1,IF(ABS((1+AS_Wage)/(1+Slot20_Rate)-1)&lt;0.000000000001,(Slot20_Age-D57)*(1+Slot20_Rate)^(Slot20_Age-D57),(1+Slot20_Rate)^(Slot20_Age-D57)*(1-((1+AS_Wage)/(1+Slot20_Rate))^(Slot20_Age-D57))/(1-(1+AS_Wage)/(1+Slot20_Rate))),1)</f>
        <v>1</v>
      </c>
      <c r="OB57" s="1" t="n">
        <f aca="false">IF(AND(HT57=1,ID57&gt;0,Slot20_IsWG=1,HE57=1),MAX(0,(Slot20_Cost-HF57*(1+Slot20_Rate)^(Slot20_Age-D57))/OA57),0)</f>
        <v>0</v>
      </c>
      <c r="OC57" s="1" t="n">
        <f aca="false">IF(AND(HT57=1,ID57&gt;0,Slot20_IsWG=1,HE57=1),MIN(ID57,OB57),0)</f>
        <v>0</v>
      </c>
      <c r="OD57" s="1" t="n">
        <f aca="false">HF57+OC57</f>
        <v>0</v>
      </c>
      <c r="OE57" s="1" t="n">
        <f aca="false">IF(HE57=1,MAX(0,(Slot20_Cost-OD57*(1+Slot20_Rate)^(Slot20_Age-D57))/OA57),0)</f>
        <v>0</v>
      </c>
      <c r="OF57" s="1" t="n">
        <f aca="false">IF(HE57=1,MAX(0,(Slot20_Cost-HF57*(1+Slot20_Rate)^(Slot20_Age-D57))/OA57),0)</f>
        <v>0</v>
      </c>
      <c r="OG57" s="1" t="n">
        <f aca="false">IF(AND(HT57=1,HE57=1),MIN(NZ57,OE57),0)</f>
        <v>0</v>
      </c>
      <c r="OH57" s="1" t="n">
        <f aca="false">NZ57-OG57</f>
        <v>0</v>
      </c>
      <c r="OI57" s="1" t="n">
        <f aca="false">ID57-(IG57+IO57+IW57+JE57+JM57+JU57+KC57+KK57+KS57+LA57+LI57+LQ57+LY57+MG57+MO57+MW57+NE57+NM57+NU57+OC57)</f>
        <v>0</v>
      </c>
      <c r="OJ57" s="1" t="n">
        <f aca="false">IF(HT57=1,HR57-IC57-ID57,0)</f>
        <v>0</v>
      </c>
      <c r="OK57" s="1" t="n">
        <f aca="false">IF(HT57=0,-HR57,0)</f>
        <v>0</v>
      </c>
      <c r="OL57" s="1" t="n">
        <f aca="false">MIN(OK57,HJ57)</f>
        <v>0</v>
      </c>
      <c r="OM57" s="1" t="n">
        <f aca="false">OK57-OL57</f>
        <v>0</v>
      </c>
      <c r="ON57" s="1" t="n">
        <f aca="false">MIN(OM57,HK57)</f>
        <v>0</v>
      </c>
      <c r="OO57" s="1" t="n">
        <f aca="false">OM57-ON57</f>
        <v>0</v>
      </c>
      <c r="OP57" s="1" t="n">
        <f aca="false">IF(AND(HT57=0,HE57=1,OO57&gt;0),MIN(OO57,HF57),0)</f>
        <v>0</v>
      </c>
      <c r="OQ57" s="1" t="n">
        <f aca="false">OO57-OP57</f>
        <v>0</v>
      </c>
      <c r="OR57" s="1" t="n">
        <f aca="false">IF(AND(HT57=0,GU57=1,OQ57&gt;0),MIN(OQ57,GV57),0)</f>
        <v>0</v>
      </c>
      <c r="OS57" s="1" t="n">
        <f aca="false">OQ57-OR57</f>
        <v>0</v>
      </c>
      <c r="OT57" s="1" t="n">
        <f aca="false">IF(AND(HT57=0,GK57=1,OS57&gt;0),MIN(OS57,GL57),0)</f>
        <v>0</v>
      </c>
      <c r="OU57" s="1" t="n">
        <f aca="false">OS57-OT57</f>
        <v>0</v>
      </c>
      <c r="OV57" s="1" t="n">
        <f aca="false">IF(AND(HT57=0,GA57=1,OU57&gt;0),MIN(OU57,GB57),0)</f>
        <v>0</v>
      </c>
      <c r="OW57" s="1" t="n">
        <f aca="false">OU57-OV57</f>
        <v>0</v>
      </c>
      <c r="OX57" s="1" t="n">
        <f aca="false">IF(AND(HT57=0,FQ57=1,OW57&gt;0),MIN(OW57,FR57),0)</f>
        <v>0</v>
      </c>
      <c r="OY57" s="1" t="n">
        <f aca="false">OW57-OX57</f>
        <v>0</v>
      </c>
      <c r="OZ57" s="1" t="n">
        <f aca="false">IF(AND(HT57=0,FG57=1,OY57&gt;0),MIN(OY57,FH57),0)</f>
        <v>0</v>
      </c>
      <c r="PA57" s="1" t="n">
        <f aca="false">OY57-OZ57</f>
        <v>0</v>
      </c>
      <c r="PB57" s="1" t="n">
        <f aca="false">IF(AND(HT57=0,EW57=1,PA57&gt;0),MIN(PA57,EX57),0)</f>
        <v>0</v>
      </c>
      <c r="PC57" s="1" t="n">
        <f aca="false">PA57-PB57</f>
        <v>0</v>
      </c>
      <c r="PD57" s="1" t="n">
        <f aca="false">IF(AND(HT57=0,EM57=1,PC57&gt;0),MIN(PC57,EN57),0)</f>
        <v>0</v>
      </c>
      <c r="PE57" s="1" t="n">
        <f aca="false">PC57-PD57</f>
        <v>0</v>
      </c>
      <c r="PF57" s="1" t="n">
        <f aca="false">IF(AND(HT57=0,EC57=1,PE57&gt;0),MIN(PE57,ED57),0)</f>
        <v>0</v>
      </c>
      <c r="PG57" s="1" t="n">
        <f aca="false">PE57-PF57</f>
        <v>0</v>
      </c>
      <c r="PH57" s="1" t="n">
        <f aca="false">IF(AND(HT57=0,DS57=1,PG57&gt;0),MIN(PG57,DT57),0)</f>
        <v>0</v>
      </c>
      <c r="PI57" s="1" t="n">
        <f aca="false">PG57-PH57</f>
        <v>0</v>
      </c>
      <c r="PJ57" s="1" t="n">
        <f aca="false">IF(AND(HT57=0,DI57=1,PI57&gt;0),MIN(PI57,DJ57),0)</f>
        <v>0</v>
      </c>
      <c r="PK57" s="1" t="n">
        <f aca="false">PI57-PJ57</f>
        <v>0</v>
      </c>
      <c r="PL57" s="1" t="n">
        <f aca="false">IF(AND(HT57=0,CY57=1,PK57&gt;0),MIN(PK57,CZ57),0)</f>
        <v>0</v>
      </c>
      <c r="PM57" s="1" t="n">
        <f aca="false">PK57-PL57</f>
        <v>0</v>
      </c>
      <c r="PN57" s="1" t="n">
        <f aca="false">IF(AND(HT57=0,CO57=1,PM57&gt;0),MIN(PM57,CP57),0)</f>
        <v>0</v>
      </c>
      <c r="PO57" s="1" t="n">
        <f aca="false">PM57-PN57</f>
        <v>0</v>
      </c>
      <c r="PP57" s="1" t="n">
        <f aca="false">IF(AND(HT57=0,CE57=1,PO57&gt;0),MIN(PO57,CF57),0)</f>
        <v>0</v>
      </c>
      <c r="PQ57" s="1" t="n">
        <f aca="false">PO57-PP57</f>
        <v>0</v>
      </c>
      <c r="PR57" s="1" t="n">
        <f aca="false">IF(AND(HT57=0,BU57=1,PQ57&gt;0),MIN(PQ57,BV57),0)</f>
        <v>0</v>
      </c>
      <c r="PS57" s="1" t="n">
        <f aca="false">PQ57-PR57</f>
        <v>0</v>
      </c>
      <c r="PT57" s="1" t="n">
        <f aca="false">IF(AND(HT57=0,BK57=1,PS57&gt;0),MIN(PS57,BL57),0)</f>
        <v>0</v>
      </c>
      <c r="PU57" s="1" t="n">
        <f aca="false">PS57-PT57</f>
        <v>0</v>
      </c>
      <c r="PV57" s="1" t="n">
        <f aca="false">IF(AND(HT57=0,BA57=1,PU57&gt;0),MIN(PU57,BB57),0)</f>
        <v>0</v>
      </c>
      <c r="PW57" s="1" t="n">
        <f aca="false">PU57-PV57</f>
        <v>0</v>
      </c>
      <c r="PX57" s="1" t="n">
        <f aca="false">IF(AND(HT57=0,AQ57=1,PW57&gt;0),MIN(PW57,AR57),0)</f>
        <v>0</v>
      </c>
      <c r="PY57" s="1" t="n">
        <f aca="false">PW57-PX57</f>
        <v>0</v>
      </c>
      <c r="PZ57" s="1" t="n">
        <f aca="false">IF(AND(HT57=0,AG57=1,PY57&gt;0),MIN(PY57,AH57),0)</f>
        <v>0</v>
      </c>
      <c r="QA57" s="1" t="n">
        <f aca="false">PY57-PZ57</f>
        <v>0</v>
      </c>
      <c r="QB57" s="1" t="n">
        <f aca="false">IF(AND(HT57=0,V57=1,QA57&gt;0),MIN(QA57,W57),0)</f>
        <v>0</v>
      </c>
      <c r="QC57" s="1" t="n">
        <f aca="false">QA57-QB57</f>
        <v>0</v>
      </c>
      <c r="QD57" s="1" t="n">
        <f aca="false">IF(HT57=0,QC57,0)</f>
        <v>0</v>
      </c>
      <c r="QE57" s="1" t="n">
        <f aca="false">OL57+ON57+QB57+PZ57+PX57+PV57+PT57+PR57+PP57+PN57+PL57+PJ57+PH57+PF57+PD57+PB57+OZ57+OX57+OV57+OT57+OR57+OP57</f>
        <v>0</v>
      </c>
      <c r="QF57" s="1" t="n">
        <f aca="false">IF(HT57=1,HJ57+OI57+OH57+IF(F57=1,0,OJ57),HJ57-OL57)</f>
        <v>0</v>
      </c>
      <c r="QG57" s="1" t="n">
        <f aca="false">HK57-ON57</f>
        <v>0</v>
      </c>
      <c r="QH57" s="1" t="n">
        <f aca="false">IF(HT57=1,IF(F57=1,IC57+ID57,HR57),0)</f>
        <v>0</v>
      </c>
      <c r="QI57" s="1" t="n">
        <f aca="false">IF(HT57=1,IF(F57=1,HR57-IC57-ID57,0),0)</f>
        <v>0</v>
      </c>
      <c r="QJ57" s="1" t="n">
        <f aca="false">QF57*(1+GR)</f>
        <v>0</v>
      </c>
      <c r="QK57" s="1" t="n">
        <f aca="false">QG57*(1+AS_Cash)</f>
        <v>0</v>
      </c>
      <c r="QL57" s="1" t="n">
        <f aca="false">IF(V57=1,IF(HT57=1,IH57+IK57,W57-QB57)*(1+Slot1_Rate),0)</f>
        <v>0</v>
      </c>
      <c r="QM57" s="1" t="n">
        <f aca="false">IF(AND(HT57=1,V57=1),(IG57+IK57)/E57,0)</f>
        <v>0</v>
      </c>
      <c r="QN57" s="1" t="n">
        <f aca="false">IF(B57=0,IG57+IK57,0)</f>
        <v>0</v>
      </c>
      <c r="QO57" s="1" t="n">
        <f aca="false">IF(B57=0,IF(HT57=1,II57,IJ57),0)</f>
        <v>0</v>
      </c>
      <c r="QP57" s="1" t="n">
        <f aca="false">IF(AG57=1,IF(HT57=1,IP57+IS57,AH57-PZ57)*(1+Slot2_Rate),0)</f>
        <v>0</v>
      </c>
      <c r="QQ57" s="1" t="n">
        <f aca="false">IF(AND(HT57=1,AG57=1),(IO57+IS57)/E57,0)</f>
        <v>0</v>
      </c>
      <c r="QR57" s="1" t="n">
        <f aca="false">IF(B57=0,IO57+IS57,0)</f>
        <v>0</v>
      </c>
      <c r="QS57" s="1" t="n">
        <f aca="false">IF(B57=0,IF(HT57=1,IQ57,IR57),0)</f>
        <v>0</v>
      </c>
      <c r="QT57" s="1" t="n">
        <f aca="false">IF(AQ57=1,IF(HT57=1,IX57+JA57,AR57-PX57)*(1+Slot3_Rate),0)</f>
        <v>0</v>
      </c>
      <c r="QU57" s="1" t="n">
        <f aca="false">IF(AND(HT57=1,AQ57=1),(IW57+JA57)/E57,0)</f>
        <v>0</v>
      </c>
      <c r="QV57" s="1" t="n">
        <f aca="false">IF(B57=0,IW57+JA57,0)</f>
        <v>0</v>
      </c>
      <c r="QW57" s="1" t="n">
        <f aca="false">IF(B57=0,IF(HT57=1,IY57,IZ57),0)</f>
        <v>0</v>
      </c>
      <c r="QX57" s="1" t="n">
        <f aca="false">IF(BA57=1,IF(HT57=1,JF57+JI57,BB57-PV57)*(1+Slot4_Rate),0)</f>
        <v>0</v>
      </c>
      <c r="QY57" s="1" t="n">
        <f aca="false">IF(AND(HT57=1,BA57=1),(JE57+JI57)/E57,0)</f>
        <v>0</v>
      </c>
      <c r="QZ57" s="1" t="n">
        <f aca="false">IF(B57=0,JE57+JI57,0)</f>
        <v>0</v>
      </c>
      <c r="RA57" s="1" t="n">
        <f aca="false">IF(B57=0,IF(HT57=1,JG57,JH57),0)</f>
        <v>0</v>
      </c>
      <c r="RB57" s="1" t="n">
        <f aca="false">IF(BK57=1,IF(HT57=1,JN57+JQ57,BL57-PT57)*(1+Slot5_Rate),0)</f>
        <v>0</v>
      </c>
      <c r="RC57" s="1" t="n">
        <f aca="false">IF(AND(HT57=1,BK57=1),(JM57+JQ57)/E57,0)</f>
        <v>0</v>
      </c>
      <c r="RD57" s="1" t="n">
        <f aca="false">IF(B57=0,JM57+JQ57,0)</f>
        <v>0</v>
      </c>
      <c r="RE57" s="1" t="n">
        <f aca="false">IF(B57=0,IF(HT57=1,JO57,JP57),0)</f>
        <v>0</v>
      </c>
      <c r="RF57" s="1" t="n">
        <f aca="false">IF(BU57=1,IF(HT57=1,JV57+JY57,BV57-PR57)*(1+Slot6_Rate),0)</f>
        <v>0</v>
      </c>
      <c r="RG57" s="1" t="n">
        <f aca="false">IF(AND(HT57=1,BU57=1),(JU57+JY57)/E57,0)</f>
        <v>0</v>
      </c>
      <c r="RH57" s="1" t="n">
        <f aca="false">IF(B57=0,JU57+JY57,0)</f>
        <v>0</v>
      </c>
      <c r="RI57" s="1" t="n">
        <f aca="false">IF(B57=0,IF(HT57=1,JW57,JX57),0)</f>
        <v>0</v>
      </c>
      <c r="RJ57" s="1" t="n">
        <f aca="false">IF(CE57=1,IF(HT57=1,KD57+KG57,CF57-PP57)*(1+Slot7_Rate),0)</f>
        <v>0</v>
      </c>
      <c r="RK57" s="1" t="n">
        <f aca="false">IF(AND(HT57=1,CE57=1),(KC57+KG57)/E57,0)</f>
        <v>0</v>
      </c>
      <c r="RL57" s="1" t="n">
        <f aca="false">IF(B57=0,KC57+KG57,0)</f>
        <v>0</v>
      </c>
      <c r="RM57" s="1" t="n">
        <f aca="false">IF(B57=0,IF(HT57=1,KE57,KF57),0)</f>
        <v>0</v>
      </c>
      <c r="RN57" s="1" t="n">
        <f aca="false">IF(CO57=1,IF(HT57=1,KL57+KO57,CP57-PN57)*(1+Slot8_Rate),0)</f>
        <v>0</v>
      </c>
      <c r="RO57" s="1" t="n">
        <f aca="false">IF(AND(HT57=1,CO57=1),(KK57+KO57)/E57,0)</f>
        <v>0</v>
      </c>
      <c r="RP57" s="1" t="n">
        <f aca="false">IF(B57=0,KK57+KO57,0)</f>
        <v>0</v>
      </c>
      <c r="RQ57" s="1" t="n">
        <f aca="false">IF(B57=0,IF(HT57=1,KM57,KN57),0)</f>
        <v>0</v>
      </c>
      <c r="RR57" s="1" t="n">
        <f aca="false">IF(CY57=1,IF(HT57=1,KT57+KW57,CZ57-PL57)*(1+Slot9_Rate),0)</f>
        <v>0</v>
      </c>
      <c r="RS57" s="1" t="n">
        <f aca="false">IF(AND(HT57=1,CY57=1),(KS57+KW57)/E57,0)</f>
        <v>0</v>
      </c>
      <c r="RT57" s="1" t="n">
        <f aca="false">IF(B57=0,KS57+KW57,0)</f>
        <v>0</v>
      </c>
      <c r="RU57" s="1" t="n">
        <f aca="false">IF(B57=0,IF(HT57=1,KU57,KV57),0)</f>
        <v>0</v>
      </c>
      <c r="RV57" s="1" t="n">
        <f aca="false">IF(DI57=1,IF(HT57=1,LB57+LE57,DJ57-PJ57)*(1+Slot10_Rate),0)</f>
        <v>0</v>
      </c>
      <c r="RW57" s="1" t="n">
        <f aca="false">IF(AND(HT57=1,DI57=1),(LA57+LE57)/E57,0)</f>
        <v>0</v>
      </c>
      <c r="RX57" s="1" t="n">
        <f aca="false">IF(B57=0,LA57+LE57,0)</f>
        <v>0</v>
      </c>
      <c r="RY57" s="1" t="n">
        <f aca="false">IF(B57=0,IF(HT57=1,LC57,LD57),0)</f>
        <v>0</v>
      </c>
      <c r="RZ57" s="1" t="n">
        <f aca="false">IF(DS57=1,IF(HT57=1,LJ57+LM57,DT57-PH57)*(1+Slot11_Rate),0)</f>
        <v>0</v>
      </c>
      <c r="SA57" s="1" t="n">
        <f aca="false">IF(AND(HT57=1,DS57=1),(LI57+LM57)/E57,0)</f>
        <v>0</v>
      </c>
      <c r="SB57" s="1" t="n">
        <f aca="false">IF(B57=0,LI57+LM57,0)</f>
        <v>0</v>
      </c>
      <c r="SC57" s="1" t="n">
        <f aca="false">IF(B57=0,IF(HT57=1,LK57,LL57),0)</f>
        <v>0</v>
      </c>
      <c r="SD57" s="1" t="n">
        <f aca="false">IF(EC57=1,IF(HT57=1,LR57+LU57,ED57-PF57)*(1+Slot12_Rate),0)</f>
        <v>0</v>
      </c>
      <c r="SE57" s="1" t="n">
        <f aca="false">IF(AND(HT57=1,EC57=1),(LQ57+LU57)/E57,0)</f>
        <v>0</v>
      </c>
      <c r="SF57" s="1" t="n">
        <f aca="false">IF(B57=0,LQ57+LU57,0)</f>
        <v>0</v>
      </c>
      <c r="SG57" s="1" t="n">
        <f aca="false">IF(B57=0,IF(HT57=1,LS57,LT57),0)</f>
        <v>0</v>
      </c>
      <c r="SH57" s="1" t="n">
        <f aca="false">IF(EM57=1,IF(HT57=1,LZ57+MC57,EN57-PD57)*(1+Slot13_Rate),0)</f>
        <v>0</v>
      </c>
      <c r="SI57" s="1" t="n">
        <f aca="false">IF(AND(HT57=1,EM57=1),(LY57+MC57)/E57,0)</f>
        <v>0</v>
      </c>
      <c r="SJ57" s="1" t="n">
        <f aca="false">IF(B57=0,LY57+MC57,0)</f>
        <v>0</v>
      </c>
      <c r="SK57" s="1" t="n">
        <f aca="false">IF(B57=0,IF(HT57=1,MA57,MB57),0)</f>
        <v>0</v>
      </c>
      <c r="SL57" s="1" t="n">
        <f aca="false">IF(EW57=1,IF(HT57=1,MH57+MK57,EX57-PB57)*(1+Slot14_Rate),0)</f>
        <v>0</v>
      </c>
      <c r="SM57" s="1" t="n">
        <f aca="false">IF(AND(HT57=1,EW57=1),(MG57+MK57)/E57,0)</f>
        <v>0</v>
      </c>
      <c r="SN57" s="1" t="n">
        <f aca="false">IF(B57=0,MG57+MK57,0)</f>
        <v>0</v>
      </c>
      <c r="SO57" s="1" t="n">
        <f aca="false">IF(B57=0,IF(HT57=1,MI57,MJ57),0)</f>
        <v>0</v>
      </c>
      <c r="SP57" s="1" t="n">
        <f aca="false">IF(FG57=1,IF(HT57=1,MP57+MS57,FH57-OZ57)*(1+Slot15_Rate),0)</f>
        <v>0</v>
      </c>
      <c r="SQ57" s="1" t="n">
        <f aca="false">IF(AND(HT57=1,FG57=1),(MO57+MS57)/E57,0)</f>
        <v>0</v>
      </c>
      <c r="SR57" s="1" t="n">
        <f aca="false">IF(B57=0,MO57+MS57,0)</f>
        <v>0</v>
      </c>
      <c r="SS57" s="1" t="n">
        <f aca="false">IF(B57=0,IF(HT57=1,MQ57,MR57),0)</f>
        <v>0</v>
      </c>
      <c r="ST57" s="1" t="n">
        <f aca="false">IF(FQ57=1,IF(HT57=1,MX57+NA57,FR57-OX57)*(1+Slot16_Rate),0)</f>
        <v>0</v>
      </c>
      <c r="SU57" s="1" t="n">
        <f aca="false">IF(AND(HT57=1,FQ57=1),(MW57+NA57)/E57,0)</f>
        <v>0</v>
      </c>
      <c r="SV57" s="1" t="n">
        <f aca="false">IF(B57=0,MW57+NA57,0)</f>
        <v>0</v>
      </c>
      <c r="SW57" s="1" t="n">
        <f aca="false">IF(B57=0,IF(HT57=1,MY57,MZ57),0)</f>
        <v>0</v>
      </c>
      <c r="SX57" s="1" t="n">
        <f aca="false">IF(GA57=1,IF(HT57=1,NF57+NI57,GB57-OV57)*(1+Slot17_Rate),0)</f>
        <v>0</v>
      </c>
      <c r="SY57" s="1" t="n">
        <f aca="false">IF(AND(HT57=1,GA57=1),(NE57+NI57)/E57,0)</f>
        <v>0</v>
      </c>
      <c r="SZ57" s="1" t="n">
        <f aca="false">IF(B57=0,NE57+NI57,0)</f>
        <v>0</v>
      </c>
      <c r="TA57" s="1" t="n">
        <f aca="false">IF(B57=0,IF(HT57=1,NG57,NH57),0)</f>
        <v>0</v>
      </c>
      <c r="TB57" s="1" t="n">
        <f aca="false">IF(GK57=1,IF(HT57=1,NN57+NQ57,GL57-OT57)*(1+Slot18_Rate),0)</f>
        <v>0</v>
      </c>
      <c r="TC57" s="1" t="n">
        <f aca="false">IF(AND(HT57=1,GK57=1),(NM57+NQ57)/E57,0)</f>
        <v>0</v>
      </c>
      <c r="TD57" s="1" t="n">
        <f aca="false">IF(B57=0,NM57+NQ57,0)</f>
        <v>0</v>
      </c>
      <c r="TE57" s="1" t="n">
        <f aca="false">IF(B57=0,IF(HT57=1,NO57,NP57),0)</f>
        <v>0</v>
      </c>
      <c r="TF57" s="1" t="n">
        <f aca="false">IF(GU57=1,IF(HT57=1,NV57+NY57,GV57-OR57)*(1+Slot19_Rate),0)</f>
        <v>0</v>
      </c>
      <c r="TG57" s="1" t="n">
        <f aca="false">IF(AND(HT57=1,GU57=1),(NU57+NY57)/E57,0)</f>
        <v>0</v>
      </c>
      <c r="TH57" s="1" t="n">
        <f aca="false">IF(B57=0,NU57+NY57,0)</f>
        <v>0</v>
      </c>
      <c r="TI57" s="1" t="n">
        <f aca="false">IF(B57=0,IF(HT57=1,NW57,NX57),0)</f>
        <v>0</v>
      </c>
      <c r="TJ57" s="1" t="n">
        <f aca="false">IF(HE57=1,IF(HT57=1,OD57+OG57,HF57-OP57)*(1+Slot20_Rate),0)</f>
        <v>0</v>
      </c>
      <c r="TK57" s="1" t="n">
        <f aca="false">IF(AND(HT57=1,HE57=1),(OC57+OG57)/E57,0)</f>
        <v>0</v>
      </c>
      <c r="TL57" s="1" t="n">
        <f aca="false">IF(B57=0,OC57+OG57,0)</f>
        <v>0</v>
      </c>
      <c r="TM57" s="1" t="n">
        <f aca="false">IF(B57=0,IF(HT57=1,OE57,OF57),0)</f>
        <v>0</v>
      </c>
      <c r="TN57" s="1" t="n">
        <f aca="false">QJ57+QK57+QL57+QP57+QT57+QX57+RB57+RF57+RJ57+RN57+RR57+RV57+RZ57+SD57+SH57+SL57+SP57+ST57+SX57+TB57+TF57+TJ57</f>
        <v>0</v>
      </c>
      <c r="TO57" s="1" t="n">
        <f aca="false">QD57+HO57</f>
        <v>0</v>
      </c>
      <c r="TP57" s="1" t="n">
        <f aca="false">H57+R57</f>
        <v>0</v>
      </c>
      <c r="TQ57" s="1" t="n">
        <f aca="false">1-F57</f>
        <v>0</v>
      </c>
      <c r="TR57" s="1" t="n">
        <f aca="false">IF(AND(RG_Exists=1,F57=0,C57=1),H57,0)</f>
        <v>0</v>
      </c>
      <c r="TS57" s="1" t="n">
        <f aca="false">IF(AND(RG_Exists=1,F57=0,C57=1),H57-MIN(QD57,H57),0)</f>
        <v>0</v>
      </c>
      <c r="TT57" s="1" t="n">
        <f aca="false">'Plan pay &amp; tax'!AD283</f>
        <v>0</v>
      </c>
      <c r="TU57" s="1" t="n">
        <f aca="false">IF(AND(C57=1,QD57&gt;MAX(PR_Short1,TP57*PR_Short2)),1,0)</f>
        <v>0</v>
      </c>
      <c r="TV57" s="1" t="n">
        <f aca="false">MIN(G57,H57+R57)</f>
        <v>0</v>
      </c>
      <c r="TW57" s="1" t="n">
        <f aca="false">QE57+MAX(0,HP57-HO57)</f>
        <v>0</v>
      </c>
      <c r="TX57" s="1" t="n">
        <f aca="false">QD57+HO57</f>
        <v>0</v>
      </c>
      <c r="TY57" s="1" t="n">
        <f aca="false">IF(AND(C57=1,TX57&gt;PR_MinShort),1,0)</f>
        <v>0</v>
      </c>
      <c r="TZ57" s="1" t="n">
        <f aca="false">IF(AND(C57=1,TY57=0,TW57&gt;PR_MinShort),1,0)</f>
        <v>0</v>
      </c>
      <c r="UA57" s="1" t="n">
        <f aca="false">IF(AND(C57=1,QD57&gt;PR_MinShort),1,0)</f>
        <v>0</v>
      </c>
      <c r="UB57" s="1" t="n">
        <f aca="false">IF(AND(C57=1,QE57&gt;1,UI57=0),1,0)</f>
        <v>0</v>
      </c>
      <c r="UC57" s="1" t="str">
        <f aca="false">IF(C57=0,"",IF(UI57=1,"Gap to plan for: short "&amp;"€"&amp;TEXT(ROUND(TO57,0),"#,##0"),IF(QE57&gt;1,"Using savings","Comfortable")))</f>
        <v>Comfortable</v>
      </c>
      <c r="UD57" s="1" t="n">
        <f aca="false">IF(AND(INT(D57/10)*10=90,B57&gt;0),80,INT(D57/10)*10)</f>
        <v>40</v>
      </c>
      <c r="UE57" s="1" t="n">
        <f aca="false">IF(B57=0,1,IF(UD57&lt;&gt;UD56,UE56+1,UE56))</f>
        <v>5</v>
      </c>
      <c r="UF57" s="1" t="n">
        <f aca="false">IF(AND(C57=1,F57=1,QD57&gt;MAX(PR_Short1,TP57*PR_Short2)),1,0)</f>
        <v>0</v>
      </c>
      <c r="UG57" s="1" t="n">
        <f aca="false">TQ57*TU57</f>
        <v>0</v>
      </c>
      <c r="UH57" s="1" t="n">
        <f aca="false">IF(AND(U57=1,Slot1_PctLow=1),1,0)+IF(AND(AF57=1,Slot2_PctLow=1),1,0)+IF(AND(AP57=1,Slot3_PctLow=1),1,0)+IF(AND(AZ57=1,Slot4_PctLow=1),1,0)+IF(AND(BJ57=1,Slot5_PctLow=1),1,0)+IF(AND(BT57=1,Slot6_PctLow=1),1,0)+IF(AND(CD57=1,Slot7_PctLow=1),1,0)+IF(AND(CN57=1,Slot8_PctLow=1),1,0)+IF(AND(CX57=1,Slot9_PctLow=1),1,0)+IF(AND(DH57=1,Slot10_PctLow=1),1,0)+IF(AND(DR57=1,Slot11_PctLow=1),1,0)+IF(AND(EB57=1,Slot12_PctLow=1),1,0)+IF(AND(EL57=1,Slot13_PctLow=1),1,0)+IF(AND(EV57=1,Slot14_PctLow=1),1,0)+IF(AND(FF57=1,Slot15_PctLow=1),1,0)+IF(AND(FP57=1,Slot16_PctLow=1),1,0)+IF(AND(FZ57=1,Slot17_PctLow=1),1,0)+IF(AND(GJ57=1,Slot18_PctLow=1),1,0)+IF(AND(GT57=1,Slot19_PctLow=1),1,0)+IF(AND(HD57=1,Slot20_PctLow=1),1,0)</f>
        <v>0</v>
      </c>
      <c r="UI57" s="1" t="n">
        <f aca="false">IF(C57=1,IF(OR(TU57=1,UH57&gt;0),1,0),0)</f>
        <v>0</v>
      </c>
    </row>
    <row r="58" customFormat="false" ht="15" hidden="false" customHeight="true" outlineLevel="0" collapsed="false">
      <c r="B58" s="1" t="n">
        <v>50</v>
      </c>
      <c r="C58" s="1" t="n">
        <f aca="false">IF(B58&lt;=F_N,1,0)</f>
        <v>1</v>
      </c>
      <c r="D58" s="1" t="n">
        <f aca="false">'Plan pay &amp; tax'!C284</f>
        <v>50</v>
      </c>
      <c r="E58" s="111" t="n">
        <f aca="false">'Plan pay &amp; tax'!E284</f>
        <v>2.69158802907361</v>
      </c>
      <c r="F58" s="1" t="n">
        <f aca="false">'Plan pay &amp; tax'!G284</f>
        <v>1</v>
      </c>
      <c r="G58" s="1" t="n">
        <f aca="false">'Plan pay &amp; tax'!BT284-'Plan pay &amp; tax'!BS284-'Plan pay &amp; tax'!R284</f>
        <v>0</v>
      </c>
      <c r="H58" s="1" t="n">
        <f aca="false">IF(F58=1,F_CostsM*12,IF(RG_Exists=1,RG_Amount,F_CostsM*12*AS_RetireSpend))*E58+F_OneOffY*E58</f>
        <v>0</v>
      </c>
      <c r="I58" s="1" t="n">
        <f aca="false">HQ57</f>
        <v>0</v>
      </c>
      <c r="J58" s="1" t="n">
        <f aca="false">IF(I58&gt;1,'Plan debt months'!AC58,0)</f>
        <v>0</v>
      </c>
      <c r="K58" s="1" t="n">
        <f aca="false">IF(I58&gt;1,'Plan debt months'!AB58,I58)</f>
        <v>0</v>
      </c>
      <c r="L58" s="1" t="n">
        <f aca="false">N57</f>
        <v>0</v>
      </c>
      <c r="M58" s="1" t="n">
        <f aca="false">IF(L58&gt;1,'Plan debt months'!BD58,0)</f>
        <v>0</v>
      </c>
      <c r="N58" s="1" t="n">
        <f aca="false">IF(L58&gt;1,'Plan debt months'!BC58,L58)</f>
        <v>0</v>
      </c>
      <c r="O58" s="1" t="n">
        <f aca="false">Q57</f>
        <v>0</v>
      </c>
      <c r="P58" s="1" t="n">
        <f aca="false">IF(O58&gt;1,'Plan debt months'!CE58,0)</f>
        <v>0</v>
      </c>
      <c r="Q58" s="1" t="n">
        <f aca="false">IF(O58&gt;1,'Plan debt months'!CD58,O58)</f>
        <v>0</v>
      </c>
      <c r="R58" s="1" t="n">
        <f aca="false">J58+M58+P58</f>
        <v>0</v>
      </c>
      <c r="S58" s="1" t="n">
        <f aca="false">QJ57+'Plan pay &amp; tax'!Y284</f>
        <v>0</v>
      </c>
      <c r="T58" s="1" t="n">
        <f aca="false">QJ57</f>
        <v>0</v>
      </c>
      <c r="U58" s="1" t="n">
        <f aca="false">IF(AND(Slot1_On=1,D58=Slot1_Age),1,0)</f>
        <v>0</v>
      </c>
      <c r="V58" s="1" t="n">
        <f aca="false">IF(AND(Slot1_On=1,Slot1_Age&gt;D58),1,0)</f>
        <v>0</v>
      </c>
      <c r="W58" s="1" t="n">
        <f aca="false">QL57</f>
        <v>0</v>
      </c>
      <c r="X58" s="1" t="n">
        <f aca="false">U58*MIN(Slot1_Cost,W58)</f>
        <v>0</v>
      </c>
      <c r="Y58" s="1" t="n">
        <f aca="false">U58*Slot1_SpendLike*MIN(Slot1_Cost-X58,S58)</f>
        <v>0</v>
      </c>
      <c r="Z58" s="1" t="n">
        <f aca="false">X58+Y58</f>
        <v>0</v>
      </c>
      <c r="AA58" s="1" t="n">
        <f aca="false">S58-Y58+U58*IF(Slot1_SpendLike=1,W58-X58,IF(Slot1_PotFree=1,W58,0))</f>
        <v>0</v>
      </c>
      <c r="AB58" s="1" t="n">
        <f aca="false">AE58+U58*Slot1_BufPot*W58</f>
        <v>0</v>
      </c>
      <c r="AC58" s="1" t="n">
        <f aca="false">IF(AND(U58=1,Slot1_IsMfree=1),IF(Z58&gt;=Slot1_Cost-1,0,MAX(0,K58-Z58)),K58)</f>
        <v>0</v>
      </c>
      <c r="AD58" s="1" t="n">
        <f aca="false">U58*(Slot1_Cost-Z58)</f>
        <v>0</v>
      </c>
      <c r="AE58" s="1" t="n">
        <f aca="false">QK57</f>
        <v>0</v>
      </c>
      <c r="AF58" s="1" t="n">
        <f aca="false">IF(AND(Slot2_On=1,D58=Slot2_Age),1,0)</f>
        <v>0</v>
      </c>
      <c r="AG58" s="1" t="n">
        <f aca="false">IF(AND(Slot2_On=1,Slot2_Age&gt;D58),1,0)</f>
        <v>0</v>
      </c>
      <c r="AH58" s="1" t="n">
        <f aca="false">QP57</f>
        <v>0</v>
      </c>
      <c r="AI58" s="1" t="n">
        <f aca="false">AF58*MIN(Slot2_Cost,AH58)</f>
        <v>0</v>
      </c>
      <c r="AJ58" s="1" t="n">
        <f aca="false">AF58*Slot2_SpendLike*MIN(Slot2_Cost-AI58,AA58)</f>
        <v>0</v>
      </c>
      <c r="AK58" s="1" t="n">
        <f aca="false">AI58+AJ58</f>
        <v>0</v>
      </c>
      <c r="AL58" s="1" t="n">
        <f aca="false">AA58-AJ58+AF58*IF(Slot2_SpendLike=1,AH58-AI58,IF(Slot2_PotFree=1,AH58,0))</f>
        <v>0</v>
      </c>
      <c r="AM58" s="1" t="n">
        <f aca="false">AB58+AF58*Slot2_BufPot*AH58</f>
        <v>0</v>
      </c>
      <c r="AN58" s="1" t="n">
        <f aca="false">IF(AND(AF58=1,Slot2_IsMfree=1),IF(AK58&gt;=Slot2_Cost-1,0,MAX(0,AC58-AK58)),AC58)</f>
        <v>0</v>
      </c>
      <c r="AO58" s="1" t="n">
        <f aca="false">AF58*(Slot2_Cost-AK58)</f>
        <v>0</v>
      </c>
      <c r="AP58" s="1" t="n">
        <f aca="false">IF(AND(Slot3_On=1,D58=Slot3_Age),1,0)</f>
        <v>0</v>
      </c>
      <c r="AQ58" s="1" t="n">
        <f aca="false">IF(AND(Slot3_On=1,Slot3_Age&gt;D58),1,0)</f>
        <v>0</v>
      </c>
      <c r="AR58" s="1" t="n">
        <f aca="false">QT57</f>
        <v>0</v>
      </c>
      <c r="AS58" s="1" t="n">
        <f aca="false">AP58*MIN(Slot3_Cost,AR58)</f>
        <v>0</v>
      </c>
      <c r="AT58" s="1" t="n">
        <f aca="false">AP58*Slot3_SpendLike*MIN(Slot3_Cost-AS58,AL58)</f>
        <v>0</v>
      </c>
      <c r="AU58" s="1" t="n">
        <f aca="false">AS58+AT58</f>
        <v>0</v>
      </c>
      <c r="AV58" s="1" t="n">
        <f aca="false">AL58-AT58+AP58*IF(Slot3_SpendLike=1,AR58-AS58,IF(Slot3_PotFree=1,AR58,0))</f>
        <v>0</v>
      </c>
      <c r="AW58" s="1" t="n">
        <f aca="false">AM58+AP58*Slot3_BufPot*AR58</f>
        <v>0</v>
      </c>
      <c r="AX58" s="1" t="n">
        <f aca="false">IF(AND(AP58=1,Slot3_IsMfree=1),IF(AU58&gt;=Slot3_Cost-1,0,MAX(0,AN58-AU58)),AN58)</f>
        <v>0</v>
      </c>
      <c r="AY58" s="1" t="n">
        <f aca="false">AP58*(Slot3_Cost-AU58)</f>
        <v>0</v>
      </c>
      <c r="AZ58" s="1" t="n">
        <f aca="false">IF(AND(Slot4_On=1,D58=Slot4_Age),1,0)</f>
        <v>0</v>
      </c>
      <c r="BA58" s="1" t="n">
        <f aca="false">IF(AND(Slot4_On=1,Slot4_Age&gt;D58),1,0)</f>
        <v>0</v>
      </c>
      <c r="BB58" s="1" t="n">
        <f aca="false">QX57</f>
        <v>0</v>
      </c>
      <c r="BC58" s="1" t="n">
        <f aca="false">AZ58*MIN(Slot4_Cost,BB58)</f>
        <v>0</v>
      </c>
      <c r="BD58" s="1" t="n">
        <f aca="false">AZ58*Slot4_SpendLike*MIN(Slot4_Cost-BC58,AV58)</f>
        <v>0</v>
      </c>
      <c r="BE58" s="1" t="n">
        <f aca="false">BC58+BD58</f>
        <v>0</v>
      </c>
      <c r="BF58" s="1" t="n">
        <f aca="false">AV58-BD58+AZ58*IF(Slot4_SpendLike=1,BB58-BC58,IF(Slot4_PotFree=1,BB58,0))</f>
        <v>0</v>
      </c>
      <c r="BG58" s="1" t="n">
        <f aca="false">AW58+AZ58*Slot4_BufPot*BB58</f>
        <v>0</v>
      </c>
      <c r="BH58" s="1" t="n">
        <f aca="false">IF(AND(AZ58=1,Slot4_IsMfree=1),IF(BE58&gt;=Slot4_Cost-1,0,MAX(0,AX58-BE58)),AX58)</f>
        <v>0</v>
      </c>
      <c r="BI58" s="1" t="n">
        <f aca="false">AZ58*(Slot4_Cost-BE58)</f>
        <v>0</v>
      </c>
      <c r="BJ58" s="1" t="n">
        <f aca="false">IF(AND(Slot5_On=1,D58=Slot5_Age),1,0)</f>
        <v>0</v>
      </c>
      <c r="BK58" s="1" t="n">
        <f aca="false">IF(AND(Slot5_On=1,Slot5_Age&gt;D58),1,0)</f>
        <v>0</v>
      </c>
      <c r="BL58" s="1" t="n">
        <f aca="false">RB57</f>
        <v>0</v>
      </c>
      <c r="BM58" s="1" t="n">
        <f aca="false">BJ58*MIN(Slot5_Cost,BL58)</f>
        <v>0</v>
      </c>
      <c r="BN58" s="1" t="n">
        <f aca="false">BJ58*Slot5_SpendLike*MIN(Slot5_Cost-BM58,BF58)</f>
        <v>0</v>
      </c>
      <c r="BO58" s="1" t="n">
        <f aca="false">BM58+BN58</f>
        <v>0</v>
      </c>
      <c r="BP58" s="1" t="n">
        <f aca="false">BF58-BN58+BJ58*IF(Slot5_SpendLike=1,BL58-BM58,IF(Slot5_PotFree=1,BL58,0))</f>
        <v>0</v>
      </c>
      <c r="BQ58" s="1" t="n">
        <f aca="false">BG58+BJ58*Slot5_BufPot*BL58</f>
        <v>0</v>
      </c>
      <c r="BR58" s="1" t="n">
        <f aca="false">IF(AND(BJ58=1,Slot5_IsMfree=1),IF(BO58&gt;=Slot5_Cost-1,0,MAX(0,BH58-BO58)),BH58)</f>
        <v>0</v>
      </c>
      <c r="BS58" s="1" t="n">
        <f aca="false">BJ58*(Slot5_Cost-BO58)</f>
        <v>0</v>
      </c>
      <c r="BT58" s="1" t="n">
        <f aca="false">IF(AND(Slot6_On=1,D58=Slot6_Age),1,0)</f>
        <v>0</v>
      </c>
      <c r="BU58" s="1" t="n">
        <f aca="false">IF(AND(Slot6_On=1,Slot6_Age&gt;D58),1,0)</f>
        <v>0</v>
      </c>
      <c r="BV58" s="1" t="n">
        <f aca="false">RF57</f>
        <v>0</v>
      </c>
      <c r="BW58" s="1" t="n">
        <f aca="false">BT58*MIN(Slot6_Cost,BV58)</f>
        <v>0</v>
      </c>
      <c r="BX58" s="1" t="n">
        <f aca="false">BT58*Slot6_SpendLike*MIN(Slot6_Cost-BW58,BP58)</f>
        <v>0</v>
      </c>
      <c r="BY58" s="1" t="n">
        <f aca="false">BW58+BX58</f>
        <v>0</v>
      </c>
      <c r="BZ58" s="1" t="n">
        <f aca="false">BP58-BX58+BT58*IF(Slot6_SpendLike=1,BV58-BW58,IF(Slot6_PotFree=1,BV58,0))</f>
        <v>0</v>
      </c>
      <c r="CA58" s="1" t="n">
        <f aca="false">BQ58+BT58*Slot6_BufPot*BV58</f>
        <v>0</v>
      </c>
      <c r="CB58" s="1" t="n">
        <f aca="false">IF(AND(BT58=1,Slot6_IsMfree=1),IF(BY58&gt;=Slot6_Cost-1,0,MAX(0,BR58-BY58)),BR58)</f>
        <v>0</v>
      </c>
      <c r="CC58" s="1" t="n">
        <f aca="false">BT58*(Slot6_Cost-BY58)</f>
        <v>0</v>
      </c>
      <c r="CD58" s="1" t="n">
        <f aca="false">IF(AND(Slot7_On=1,D58=Slot7_Age),1,0)</f>
        <v>0</v>
      </c>
      <c r="CE58" s="1" t="n">
        <f aca="false">IF(AND(Slot7_On=1,Slot7_Age&gt;D58),1,0)</f>
        <v>0</v>
      </c>
      <c r="CF58" s="1" t="n">
        <f aca="false">RJ57</f>
        <v>0</v>
      </c>
      <c r="CG58" s="1" t="n">
        <f aca="false">CD58*MIN(Slot7_Cost,CF58)</f>
        <v>0</v>
      </c>
      <c r="CH58" s="1" t="n">
        <f aca="false">CD58*Slot7_SpendLike*MIN(Slot7_Cost-CG58,BZ58)</f>
        <v>0</v>
      </c>
      <c r="CI58" s="1" t="n">
        <f aca="false">CG58+CH58</f>
        <v>0</v>
      </c>
      <c r="CJ58" s="1" t="n">
        <f aca="false">BZ58-CH58+CD58*IF(Slot7_SpendLike=1,CF58-CG58,IF(Slot7_PotFree=1,CF58,0))</f>
        <v>0</v>
      </c>
      <c r="CK58" s="1" t="n">
        <f aca="false">CA58+CD58*Slot7_BufPot*CF58</f>
        <v>0</v>
      </c>
      <c r="CL58" s="1" t="n">
        <f aca="false">IF(AND(CD58=1,Slot7_IsMfree=1),IF(CI58&gt;=Slot7_Cost-1,0,MAX(0,CB58-CI58)),CB58)</f>
        <v>0</v>
      </c>
      <c r="CM58" s="1" t="n">
        <f aca="false">CD58*(Slot7_Cost-CI58)</f>
        <v>0</v>
      </c>
      <c r="CN58" s="1" t="n">
        <f aca="false">IF(AND(Slot8_On=1,D58=Slot8_Age),1,0)</f>
        <v>0</v>
      </c>
      <c r="CO58" s="1" t="n">
        <f aca="false">IF(AND(Slot8_On=1,Slot8_Age&gt;D58),1,0)</f>
        <v>0</v>
      </c>
      <c r="CP58" s="1" t="n">
        <f aca="false">RN57</f>
        <v>0</v>
      </c>
      <c r="CQ58" s="1" t="n">
        <f aca="false">CN58*MIN(Slot8_Cost,CP58)</f>
        <v>0</v>
      </c>
      <c r="CR58" s="1" t="n">
        <f aca="false">CN58*Slot8_SpendLike*MIN(Slot8_Cost-CQ58,CJ58)</f>
        <v>0</v>
      </c>
      <c r="CS58" s="1" t="n">
        <f aca="false">CQ58+CR58</f>
        <v>0</v>
      </c>
      <c r="CT58" s="1" t="n">
        <f aca="false">CJ58-CR58+CN58*IF(Slot8_SpendLike=1,CP58-CQ58,IF(Slot8_PotFree=1,CP58,0))</f>
        <v>0</v>
      </c>
      <c r="CU58" s="1" t="n">
        <f aca="false">CK58+CN58*Slot8_BufPot*CP58</f>
        <v>0</v>
      </c>
      <c r="CV58" s="1" t="n">
        <f aca="false">IF(AND(CN58=1,Slot8_IsMfree=1),IF(CS58&gt;=Slot8_Cost-1,0,MAX(0,CL58-CS58)),CL58)</f>
        <v>0</v>
      </c>
      <c r="CW58" s="1" t="n">
        <f aca="false">CN58*(Slot8_Cost-CS58)</f>
        <v>0</v>
      </c>
      <c r="CX58" s="1" t="n">
        <f aca="false">IF(AND(Slot9_On=1,D58=Slot9_Age),1,0)</f>
        <v>0</v>
      </c>
      <c r="CY58" s="1" t="n">
        <f aca="false">IF(AND(Slot9_On=1,Slot9_Age&gt;D58),1,0)</f>
        <v>0</v>
      </c>
      <c r="CZ58" s="1" t="n">
        <f aca="false">RR57</f>
        <v>0</v>
      </c>
      <c r="DA58" s="1" t="n">
        <f aca="false">CX58*MIN(Slot9_Cost,CZ58)</f>
        <v>0</v>
      </c>
      <c r="DB58" s="1" t="n">
        <f aca="false">CX58*Slot9_SpendLike*MIN(Slot9_Cost-DA58,CT58)</f>
        <v>0</v>
      </c>
      <c r="DC58" s="1" t="n">
        <f aca="false">DA58+DB58</f>
        <v>0</v>
      </c>
      <c r="DD58" s="1" t="n">
        <f aca="false">CT58-DB58+CX58*IF(Slot9_SpendLike=1,CZ58-DA58,IF(Slot9_PotFree=1,CZ58,0))</f>
        <v>0</v>
      </c>
      <c r="DE58" s="1" t="n">
        <f aca="false">CU58+CX58*Slot9_BufPot*CZ58</f>
        <v>0</v>
      </c>
      <c r="DF58" s="1" t="n">
        <f aca="false">IF(AND(CX58=1,Slot9_IsMfree=1),IF(DC58&gt;=Slot9_Cost-1,0,MAX(0,CV58-DC58)),CV58)</f>
        <v>0</v>
      </c>
      <c r="DG58" s="1" t="n">
        <f aca="false">CX58*(Slot9_Cost-DC58)</f>
        <v>0</v>
      </c>
      <c r="DH58" s="1" t="n">
        <f aca="false">IF(AND(Slot10_On=1,D58=Slot10_Age),1,0)</f>
        <v>0</v>
      </c>
      <c r="DI58" s="1" t="n">
        <f aca="false">IF(AND(Slot10_On=1,Slot10_Age&gt;D58),1,0)</f>
        <v>0</v>
      </c>
      <c r="DJ58" s="1" t="n">
        <f aca="false">RV57</f>
        <v>0</v>
      </c>
      <c r="DK58" s="1" t="n">
        <f aca="false">DH58*MIN(Slot10_Cost,DJ58)</f>
        <v>0</v>
      </c>
      <c r="DL58" s="1" t="n">
        <f aca="false">DH58*Slot10_SpendLike*MIN(Slot10_Cost-DK58,DD58)</f>
        <v>0</v>
      </c>
      <c r="DM58" s="1" t="n">
        <f aca="false">DK58+DL58</f>
        <v>0</v>
      </c>
      <c r="DN58" s="1" t="n">
        <f aca="false">DD58-DL58+DH58*IF(Slot10_SpendLike=1,DJ58-DK58,IF(Slot10_PotFree=1,DJ58,0))</f>
        <v>0</v>
      </c>
      <c r="DO58" s="1" t="n">
        <f aca="false">DE58+DH58*Slot10_BufPot*DJ58</f>
        <v>0</v>
      </c>
      <c r="DP58" s="1" t="n">
        <f aca="false">IF(AND(DH58=1,Slot10_IsMfree=1),IF(DM58&gt;=Slot10_Cost-1,0,MAX(0,DF58-DM58)),DF58)</f>
        <v>0</v>
      </c>
      <c r="DQ58" s="1" t="n">
        <f aca="false">DH58*(Slot10_Cost-DM58)</f>
        <v>0</v>
      </c>
      <c r="DR58" s="1" t="n">
        <f aca="false">IF(AND(Slot11_On=1,D58=Slot11_Age),1,0)</f>
        <v>0</v>
      </c>
      <c r="DS58" s="1" t="n">
        <f aca="false">IF(AND(Slot11_On=1,Slot11_Age&gt;D58),1,0)</f>
        <v>0</v>
      </c>
      <c r="DT58" s="1" t="n">
        <f aca="false">RZ57</f>
        <v>0</v>
      </c>
      <c r="DU58" s="1" t="n">
        <f aca="false">DR58*MIN(Slot11_Cost,DT58)</f>
        <v>0</v>
      </c>
      <c r="DV58" s="1" t="n">
        <f aca="false">DR58*Slot11_SpendLike*MIN(Slot11_Cost-DU58,DN58)</f>
        <v>0</v>
      </c>
      <c r="DW58" s="1" t="n">
        <f aca="false">DU58+DV58</f>
        <v>0</v>
      </c>
      <c r="DX58" s="1" t="n">
        <f aca="false">DN58-DV58+DR58*IF(Slot11_SpendLike=1,DT58-DU58,IF(Slot11_PotFree=1,DT58,0))</f>
        <v>0</v>
      </c>
      <c r="DY58" s="1" t="n">
        <f aca="false">DO58+DR58*Slot11_BufPot*DT58</f>
        <v>0</v>
      </c>
      <c r="DZ58" s="1" t="n">
        <f aca="false">IF(AND(DR58=1,Slot11_IsMfree=1),IF(DW58&gt;=Slot11_Cost-1,0,MAX(0,DP58-DW58)),DP58)</f>
        <v>0</v>
      </c>
      <c r="EA58" s="1" t="n">
        <f aca="false">DR58*(Slot11_Cost-DW58)</f>
        <v>0</v>
      </c>
      <c r="EB58" s="1" t="n">
        <f aca="false">IF(AND(Slot12_On=1,D58=Slot12_Age),1,0)</f>
        <v>0</v>
      </c>
      <c r="EC58" s="1" t="n">
        <f aca="false">IF(AND(Slot12_On=1,Slot12_Age&gt;D58),1,0)</f>
        <v>0</v>
      </c>
      <c r="ED58" s="1" t="n">
        <f aca="false">SD57</f>
        <v>0</v>
      </c>
      <c r="EE58" s="1" t="n">
        <f aca="false">EB58*MIN(Slot12_Cost,ED58)</f>
        <v>0</v>
      </c>
      <c r="EF58" s="1" t="n">
        <f aca="false">EB58*Slot12_SpendLike*MIN(Slot12_Cost-EE58,DX58)</f>
        <v>0</v>
      </c>
      <c r="EG58" s="1" t="n">
        <f aca="false">EE58+EF58</f>
        <v>0</v>
      </c>
      <c r="EH58" s="1" t="n">
        <f aca="false">DX58-EF58+EB58*IF(Slot12_SpendLike=1,ED58-EE58,IF(Slot12_PotFree=1,ED58,0))</f>
        <v>0</v>
      </c>
      <c r="EI58" s="1" t="n">
        <f aca="false">DY58+EB58*Slot12_BufPot*ED58</f>
        <v>0</v>
      </c>
      <c r="EJ58" s="1" t="n">
        <f aca="false">IF(AND(EB58=1,Slot12_IsMfree=1),IF(EG58&gt;=Slot12_Cost-1,0,MAX(0,DZ58-EG58)),DZ58)</f>
        <v>0</v>
      </c>
      <c r="EK58" s="1" t="n">
        <f aca="false">EB58*(Slot12_Cost-EG58)</f>
        <v>0</v>
      </c>
      <c r="EL58" s="1" t="n">
        <f aca="false">IF(AND(Slot13_On=1,D58=Slot13_Age),1,0)</f>
        <v>0</v>
      </c>
      <c r="EM58" s="1" t="n">
        <f aca="false">IF(AND(Slot13_On=1,Slot13_Age&gt;D58),1,0)</f>
        <v>0</v>
      </c>
      <c r="EN58" s="1" t="n">
        <f aca="false">SH57</f>
        <v>0</v>
      </c>
      <c r="EO58" s="1" t="n">
        <f aca="false">EL58*MIN(Slot13_Cost,EN58)</f>
        <v>0</v>
      </c>
      <c r="EP58" s="1" t="n">
        <f aca="false">EL58*Slot13_SpendLike*MIN(Slot13_Cost-EO58,EH58)</f>
        <v>0</v>
      </c>
      <c r="EQ58" s="1" t="n">
        <f aca="false">EO58+EP58</f>
        <v>0</v>
      </c>
      <c r="ER58" s="1" t="n">
        <f aca="false">EH58-EP58+EL58*IF(Slot13_SpendLike=1,EN58-EO58,IF(Slot13_PotFree=1,EN58,0))</f>
        <v>0</v>
      </c>
      <c r="ES58" s="1" t="n">
        <f aca="false">EI58+EL58*Slot13_BufPot*EN58</f>
        <v>0</v>
      </c>
      <c r="ET58" s="1" t="n">
        <f aca="false">IF(AND(EL58=1,Slot13_IsMfree=1),IF(EQ58&gt;=Slot13_Cost-1,0,MAX(0,EJ58-EQ58)),EJ58)</f>
        <v>0</v>
      </c>
      <c r="EU58" s="1" t="n">
        <f aca="false">EL58*(Slot13_Cost-EQ58)</f>
        <v>0</v>
      </c>
      <c r="EV58" s="1" t="n">
        <f aca="false">IF(AND(Slot14_On=1,D58=Slot14_Age),1,0)</f>
        <v>0</v>
      </c>
      <c r="EW58" s="1" t="n">
        <f aca="false">IF(AND(Slot14_On=1,Slot14_Age&gt;D58),1,0)</f>
        <v>0</v>
      </c>
      <c r="EX58" s="1" t="n">
        <f aca="false">SL57</f>
        <v>0</v>
      </c>
      <c r="EY58" s="1" t="n">
        <f aca="false">EV58*MIN(Slot14_Cost,EX58)</f>
        <v>0</v>
      </c>
      <c r="EZ58" s="1" t="n">
        <f aca="false">EV58*Slot14_SpendLike*MIN(Slot14_Cost-EY58,ER58)</f>
        <v>0</v>
      </c>
      <c r="FA58" s="1" t="n">
        <f aca="false">EY58+EZ58</f>
        <v>0</v>
      </c>
      <c r="FB58" s="1" t="n">
        <f aca="false">ER58-EZ58+EV58*IF(Slot14_SpendLike=1,EX58-EY58,IF(Slot14_PotFree=1,EX58,0))</f>
        <v>0</v>
      </c>
      <c r="FC58" s="1" t="n">
        <f aca="false">ES58+EV58*Slot14_BufPot*EX58</f>
        <v>0</v>
      </c>
      <c r="FD58" s="1" t="n">
        <f aca="false">IF(AND(EV58=1,Slot14_IsMfree=1),IF(FA58&gt;=Slot14_Cost-1,0,MAX(0,ET58-FA58)),ET58)</f>
        <v>0</v>
      </c>
      <c r="FE58" s="1" t="n">
        <f aca="false">EV58*(Slot14_Cost-FA58)</f>
        <v>0</v>
      </c>
      <c r="FF58" s="1" t="n">
        <f aca="false">IF(AND(Slot15_On=1,D58=Slot15_Age),1,0)</f>
        <v>0</v>
      </c>
      <c r="FG58" s="1" t="n">
        <f aca="false">IF(AND(Slot15_On=1,Slot15_Age&gt;D58),1,0)</f>
        <v>0</v>
      </c>
      <c r="FH58" s="1" t="n">
        <f aca="false">SP57</f>
        <v>0</v>
      </c>
      <c r="FI58" s="1" t="n">
        <f aca="false">FF58*MIN(Slot15_Cost,FH58)</f>
        <v>0</v>
      </c>
      <c r="FJ58" s="1" t="n">
        <f aca="false">FF58*Slot15_SpendLike*MIN(Slot15_Cost-FI58,FB58)</f>
        <v>0</v>
      </c>
      <c r="FK58" s="1" t="n">
        <f aca="false">FI58+FJ58</f>
        <v>0</v>
      </c>
      <c r="FL58" s="1" t="n">
        <f aca="false">FB58-FJ58+FF58*IF(Slot15_SpendLike=1,FH58-FI58,IF(Slot15_PotFree=1,FH58,0))</f>
        <v>0</v>
      </c>
      <c r="FM58" s="1" t="n">
        <f aca="false">FC58+FF58*Slot15_BufPot*FH58</f>
        <v>0</v>
      </c>
      <c r="FN58" s="1" t="n">
        <f aca="false">IF(AND(FF58=1,Slot15_IsMfree=1),IF(FK58&gt;=Slot15_Cost-1,0,MAX(0,FD58-FK58)),FD58)</f>
        <v>0</v>
      </c>
      <c r="FO58" s="1" t="n">
        <f aca="false">FF58*(Slot15_Cost-FK58)</f>
        <v>0</v>
      </c>
      <c r="FP58" s="1" t="n">
        <f aca="false">IF(AND(Slot16_On=1,D58=Slot16_Age),1,0)</f>
        <v>0</v>
      </c>
      <c r="FQ58" s="1" t="n">
        <f aca="false">IF(AND(Slot16_On=1,Slot16_Age&gt;D58),1,0)</f>
        <v>0</v>
      </c>
      <c r="FR58" s="1" t="n">
        <f aca="false">ST57</f>
        <v>0</v>
      </c>
      <c r="FS58" s="1" t="n">
        <f aca="false">FP58*MIN(Slot16_Cost,FR58)</f>
        <v>0</v>
      </c>
      <c r="FT58" s="1" t="n">
        <f aca="false">FP58*Slot16_SpendLike*MIN(Slot16_Cost-FS58,FL58)</f>
        <v>0</v>
      </c>
      <c r="FU58" s="1" t="n">
        <f aca="false">FS58+FT58</f>
        <v>0</v>
      </c>
      <c r="FV58" s="1" t="n">
        <f aca="false">FL58-FT58+FP58*IF(Slot16_SpendLike=1,FR58-FS58,IF(Slot16_PotFree=1,FR58,0))</f>
        <v>0</v>
      </c>
      <c r="FW58" s="1" t="n">
        <f aca="false">FM58+FP58*Slot16_BufPot*FR58</f>
        <v>0</v>
      </c>
      <c r="FX58" s="1" t="n">
        <f aca="false">IF(AND(FP58=1,Slot16_IsMfree=1),IF(FU58&gt;=Slot16_Cost-1,0,MAX(0,FN58-FU58)),FN58)</f>
        <v>0</v>
      </c>
      <c r="FY58" s="1" t="n">
        <f aca="false">FP58*(Slot16_Cost-FU58)</f>
        <v>0</v>
      </c>
      <c r="FZ58" s="1" t="n">
        <f aca="false">IF(AND(Slot17_On=1,D58=Slot17_Age),1,0)</f>
        <v>0</v>
      </c>
      <c r="GA58" s="1" t="n">
        <f aca="false">IF(AND(Slot17_On=1,Slot17_Age&gt;D58),1,0)</f>
        <v>0</v>
      </c>
      <c r="GB58" s="1" t="n">
        <f aca="false">SX57</f>
        <v>0</v>
      </c>
      <c r="GC58" s="1" t="n">
        <f aca="false">FZ58*MIN(Slot17_Cost,GB58)</f>
        <v>0</v>
      </c>
      <c r="GD58" s="1" t="n">
        <f aca="false">FZ58*Slot17_SpendLike*MIN(Slot17_Cost-GC58,FV58)</f>
        <v>0</v>
      </c>
      <c r="GE58" s="1" t="n">
        <f aca="false">GC58+GD58</f>
        <v>0</v>
      </c>
      <c r="GF58" s="1" t="n">
        <f aca="false">FV58-GD58+FZ58*IF(Slot17_SpendLike=1,GB58-GC58,IF(Slot17_PotFree=1,GB58,0))</f>
        <v>0</v>
      </c>
      <c r="GG58" s="1" t="n">
        <f aca="false">FW58+FZ58*Slot17_BufPot*GB58</f>
        <v>0</v>
      </c>
      <c r="GH58" s="1" t="n">
        <f aca="false">IF(AND(FZ58=1,Slot17_IsMfree=1),IF(GE58&gt;=Slot17_Cost-1,0,MAX(0,FX58-GE58)),FX58)</f>
        <v>0</v>
      </c>
      <c r="GI58" s="1" t="n">
        <f aca="false">FZ58*(Slot17_Cost-GE58)</f>
        <v>0</v>
      </c>
      <c r="GJ58" s="1" t="n">
        <f aca="false">IF(AND(Slot18_On=1,D58=Slot18_Age),1,0)</f>
        <v>0</v>
      </c>
      <c r="GK58" s="1" t="n">
        <f aca="false">IF(AND(Slot18_On=1,Slot18_Age&gt;D58),1,0)</f>
        <v>0</v>
      </c>
      <c r="GL58" s="1" t="n">
        <f aca="false">TB57</f>
        <v>0</v>
      </c>
      <c r="GM58" s="1" t="n">
        <f aca="false">GJ58*MIN(Slot18_Cost,GL58)</f>
        <v>0</v>
      </c>
      <c r="GN58" s="1" t="n">
        <f aca="false">GJ58*Slot18_SpendLike*MIN(Slot18_Cost-GM58,GF58)</f>
        <v>0</v>
      </c>
      <c r="GO58" s="1" t="n">
        <f aca="false">GM58+GN58</f>
        <v>0</v>
      </c>
      <c r="GP58" s="1" t="n">
        <f aca="false">GF58-GN58+GJ58*IF(Slot18_SpendLike=1,GL58-GM58,IF(Slot18_PotFree=1,GL58,0))</f>
        <v>0</v>
      </c>
      <c r="GQ58" s="1" t="n">
        <f aca="false">GG58+GJ58*Slot18_BufPot*GL58</f>
        <v>0</v>
      </c>
      <c r="GR58" s="1" t="n">
        <f aca="false">IF(AND(GJ58=1,Slot18_IsMfree=1),IF(GO58&gt;=Slot18_Cost-1,0,MAX(0,GH58-GO58)),GH58)</f>
        <v>0</v>
      </c>
      <c r="GS58" s="1" t="n">
        <f aca="false">GJ58*(Slot18_Cost-GO58)</f>
        <v>0</v>
      </c>
      <c r="GT58" s="1" t="n">
        <f aca="false">IF(AND(Slot19_On=1,D58=Slot19_Age),1,0)</f>
        <v>0</v>
      </c>
      <c r="GU58" s="1" t="n">
        <f aca="false">IF(AND(Slot19_On=1,Slot19_Age&gt;D58),1,0)</f>
        <v>0</v>
      </c>
      <c r="GV58" s="1" t="n">
        <f aca="false">TF57</f>
        <v>0</v>
      </c>
      <c r="GW58" s="1" t="n">
        <f aca="false">GT58*MIN(Slot19_Cost,GV58)</f>
        <v>0</v>
      </c>
      <c r="GX58" s="1" t="n">
        <f aca="false">GT58*Slot19_SpendLike*MIN(Slot19_Cost-GW58,GP58)</f>
        <v>0</v>
      </c>
      <c r="GY58" s="1" t="n">
        <f aca="false">GW58+GX58</f>
        <v>0</v>
      </c>
      <c r="GZ58" s="1" t="n">
        <f aca="false">GP58-GX58+GT58*IF(Slot19_SpendLike=1,GV58-GW58,IF(Slot19_PotFree=1,GV58,0))</f>
        <v>0</v>
      </c>
      <c r="HA58" s="1" t="n">
        <f aca="false">GQ58+GT58*Slot19_BufPot*GV58</f>
        <v>0</v>
      </c>
      <c r="HB58" s="1" t="n">
        <f aca="false">IF(AND(GT58=1,Slot19_IsMfree=1),IF(GY58&gt;=Slot19_Cost-1,0,MAX(0,GR58-GY58)),GR58)</f>
        <v>0</v>
      </c>
      <c r="HC58" s="1" t="n">
        <f aca="false">GT58*(Slot19_Cost-GY58)</f>
        <v>0</v>
      </c>
      <c r="HD58" s="1" t="n">
        <f aca="false">IF(AND(Slot20_On=1,D58=Slot20_Age),1,0)</f>
        <v>0</v>
      </c>
      <c r="HE58" s="1" t="n">
        <f aca="false">IF(AND(Slot20_On=1,Slot20_Age&gt;D58),1,0)</f>
        <v>0</v>
      </c>
      <c r="HF58" s="1" t="n">
        <f aca="false">TJ57</f>
        <v>0</v>
      </c>
      <c r="HG58" s="1" t="n">
        <f aca="false">HD58*MIN(Slot20_Cost,HF58)</f>
        <v>0</v>
      </c>
      <c r="HH58" s="1" t="n">
        <f aca="false">HD58*Slot20_SpendLike*MIN(Slot20_Cost-HG58,GZ58)</f>
        <v>0</v>
      </c>
      <c r="HI58" s="1" t="n">
        <f aca="false">HG58+HH58</f>
        <v>0</v>
      </c>
      <c r="HJ58" s="1" t="n">
        <f aca="false">GZ58-HH58+HD58*IF(Slot20_SpendLike=1,HF58-HG58,IF(Slot20_PotFree=1,HF58,0))</f>
        <v>0</v>
      </c>
      <c r="HK58" s="1" t="n">
        <f aca="false">HA58+HD58*Slot20_BufPot*HF58</f>
        <v>0</v>
      </c>
      <c r="HL58" s="1" t="n">
        <f aca="false">IF(AND(HD58=1,Slot20_IsMfree=1),IF(HI58&gt;=Slot20_Cost-1,0,MAX(0,HB58-HI58)),HB58)</f>
        <v>0</v>
      </c>
      <c r="HM58" s="1" t="n">
        <f aca="false">HD58*(Slot20_Cost-HI58)</f>
        <v>0</v>
      </c>
      <c r="HN58" s="1" t="n">
        <f aca="false">U58*Slot1_SpendLike*Z58+AF58*Slot2_SpendLike*AK58+AP58*Slot3_SpendLike*AU58+AZ58*Slot4_SpendLike*BE58+BJ58*Slot5_SpendLike*BO58+BT58*Slot6_SpendLike*BY58+CD58*Slot7_SpendLike*CI58+CN58*Slot8_SpendLike*CS58+CX58*Slot9_SpendLike*DC58+DH58*Slot10_SpendLike*DM58+DR58*Slot11_SpendLike*DW58+EB58*Slot12_SpendLike*EG58+EL58*Slot13_SpendLike*EQ58+EV58*Slot14_SpendLike*FA58+FF58*Slot15_SpendLike*FK58+FP58*Slot16_SpendLike*FU58+FZ58*Slot17_SpendLike*GE58+GJ58*Slot18_SpendLike*GO58+GT58*Slot19_SpendLike*GY58+HD58*Slot20_SpendLike*HI58</f>
        <v>0</v>
      </c>
      <c r="HO58" s="1" t="n">
        <f aca="false">AD58+AO58+AY58+BI58+BS58+CC58+CM58+CW58+DG58+DQ58+EA58+EK58+EU58+FE58+FO58+FY58+GI58+GS58+HC58+HM58</f>
        <v>0</v>
      </c>
      <c r="HP58" s="1" t="n">
        <f aca="false">U58*Slot1_Cost+AF58*Slot2_Cost+AP58*Slot3_Cost+AZ58*Slot4_Cost+BJ58*Slot5_Cost+BT58*Slot6_Cost+CD58*Slot7_Cost+CN58*Slot8_Cost+CX58*Slot9_Cost+DH58*Slot10_Cost+DR58*Slot11_Cost+EB58*Slot12_Cost+EL58*Slot13_Cost+EV58*Slot14_Cost+FF58*Slot15_Cost+FP58*Slot16_Cost+FZ58*Slot17_Cost+GJ58*Slot18_Cost+GT58*Slot19_Cost+HD58*Slot20_Cost</f>
        <v>0</v>
      </c>
      <c r="HQ58" s="1" t="n">
        <f aca="false">HL58</f>
        <v>0</v>
      </c>
      <c r="HR58" s="1" t="n">
        <f aca="false">G58-H58-R58</f>
        <v>0</v>
      </c>
      <c r="HS58" s="1" t="n">
        <f aca="false">IF(B58=0,IF(AND(Has_q6=1,In_q6=4),PR_ShareVaries*(MAX(0,HR58)/12),MIN(IF(Has_q6=1,CHOOSE(In_q6+1,PR_SaveB1,PR_SaveB2,PR_SaveB3,PR_SaveB4,0),AS_NoAnswer),AS_SaveShare*(MAX(0,HR58)/12))),HS57)</f>
        <v>0</v>
      </c>
      <c r="HT58" s="1" t="n">
        <f aca="false">IF(HR58&gt;=0,1,0)</f>
        <v>1</v>
      </c>
      <c r="HU58" s="1" t="n">
        <f aca="false">MAX(0,HR58/12/E58)</f>
        <v>0</v>
      </c>
      <c r="HV58" s="1" t="n">
        <f aca="false">IF(AND(Has_q6=1,In_q6=4),PR_ShareVaries*(HU58),MIN(IF(Has_q6=1,CHOOSE(In_q6+1,PR_SaveB1,PR_SaveB2,PR_SaveB3,PR_SaveB4,0),AS_NoAnswer),AS_SaveShare*(HU58)))</f>
        <v>0</v>
      </c>
      <c r="HW58" s="1" t="n">
        <f aca="false">IF(Has_saveM=1,IF(In_saveUp="Yes",1,IF(In_saveUp="No",0,IF(In_saveM&gt;=HS58-0.5,1,0))),0)</f>
        <v>0</v>
      </c>
      <c r="HX58" s="1" t="n">
        <f aca="false">IF(Has_saveM=1,MIN(HU58,IF(HW58=1,MAX(In_saveM,HV58),MIN(In_saveM,HV58))),HV58)</f>
        <v>0</v>
      </c>
      <c r="HY58" s="1" t="n">
        <f aca="false">IF(F58=1,HX58*12*E58,0)</f>
        <v>0</v>
      </c>
      <c r="HZ58" s="1" t="n">
        <f aca="false">MAX(0,HY58+IF(AND(WI_Retire=0,WI_M&lt;0,F58=1),WI_M*12*E58,0))</f>
        <v>0</v>
      </c>
      <c r="IA58" s="1" t="n">
        <f aca="false">Slot1_IsWG*V58+Slot2_IsWG*AG58+Slot3_IsWG*AQ58+Slot4_IsWG*BA58+Slot5_IsWG*BK58+Slot6_IsWG*BU58+Slot7_IsWG*CE58+Slot8_IsWG*CO58+Slot9_IsWG*CY58+Slot10_IsWG*DI58+Slot11_IsWG*DS58+Slot12_IsWG*EC58+Slot13_IsWG*EM58+Slot14_IsWG*EW58+Slot15_IsWG*FG58+Slot16_IsWG*FQ58+Slot17_IsWG*GA58+Slot18_IsWG*GK58+Slot19_IsWG*GU58+Slot20_IsWG*HE58</f>
        <v>0</v>
      </c>
      <c r="IB58" s="1" t="n">
        <f aca="false">IF(AND(WI_Retire=0,WI_M&gt;0,F58=1,IA58&gt;=1),WI_M*12*E58,0)</f>
        <v>0</v>
      </c>
      <c r="IC58" s="1" t="n">
        <f aca="false">IF(HT58=1,MIN(HZ58,HR58),0)</f>
        <v>0</v>
      </c>
      <c r="ID58" s="1" t="n">
        <f aca="false">IF(HT58=1,MIN(IB58,HR58-IC58),0)</f>
        <v>0</v>
      </c>
      <c r="IE58" s="1" t="n">
        <f aca="false">IF(V58=1,IF(ABS((1+AS_Wage)/(1+Slot1_Rate)-1)&lt;0.000000000001,(Slot1_Age-D58)*(1+Slot1_Rate)^(Slot1_Age-D58),(1+Slot1_Rate)^(Slot1_Age-D58)*(1-((1+AS_Wage)/(1+Slot1_Rate))^(Slot1_Age-D58))/(1-(1+AS_Wage)/(1+Slot1_Rate))),1)</f>
        <v>1</v>
      </c>
      <c r="IF58" s="1" t="n">
        <f aca="false">IF(AND(HT58=1,ID58&gt;0,Slot1_IsWG=1,V58=1),MAX(0,(Slot1_Cost-W58*(1+Slot1_Rate)^(Slot1_Age-D58))/IE58),0)</f>
        <v>0</v>
      </c>
      <c r="IG58" s="1" t="n">
        <f aca="false">IF(AND(HT58=1,ID58&gt;0,Slot1_IsWG=1,V58=1),MIN(ID58,IF58),0)</f>
        <v>0</v>
      </c>
      <c r="IH58" s="1" t="n">
        <f aca="false">W58+IG58</f>
        <v>0</v>
      </c>
      <c r="II58" s="1" t="n">
        <f aca="false">IF(V58=1,MAX(0,(Slot1_Cost-IH58*(1+Slot1_Rate)^(Slot1_Age-D58))/IE58),0)</f>
        <v>0</v>
      </c>
      <c r="IJ58" s="1" t="n">
        <f aca="false">IF(V58=1,MAX(0,(Slot1_Cost-W58*(1+Slot1_Rate)^(Slot1_Age-D58))/IE58),0)</f>
        <v>0</v>
      </c>
      <c r="IK58" s="1" t="n">
        <f aca="false">IF(AND(HT58=1,V58=1),MIN(IC58,II58),0)</f>
        <v>0</v>
      </c>
      <c r="IL58" s="1" t="n">
        <f aca="false">IC58-IK58</f>
        <v>0</v>
      </c>
      <c r="IM58" s="1" t="n">
        <f aca="false">IF(AG58=1,IF(ABS((1+AS_Wage)/(1+Slot2_Rate)-1)&lt;0.000000000001,(Slot2_Age-D58)*(1+Slot2_Rate)^(Slot2_Age-D58),(1+Slot2_Rate)^(Slot2_Age-D58)*(1-((1+AS_Wage)/(1+Slot2_Rate))^(Slot2_Age-D58))/(1-(1+AS_Wage)/(1+Slot2_Rate))),1)</f>
        <v>1</v>
      </c>
      <c r="IN58" s="1" t="n">
        <f aca="false">IF(AND(HT58=1,ID58&gt;0,Slot2_IsWG=1,AG58=1),MAX(0,(Slot2_Cost-AH58*(1+Slot2_Rate)^(Slot2_Age-D58))/IM58),0)</f>
        <v>0</v>
      </c>
      <c r="IO58" s="1" t="n">
        <f aca="false">IF(AND(HT58=1,ID58&gt;0,Slot2_IsWG=1,AG58=1),MIN(ID58,IN58),0)</f>
        <v>0</v>
      </c>
      <c r="IP58" s="1" t="n">
        <f aca="false">AH58+IO58</f>
        <v>0</v>
      </c>
      <c r="IQ58" s="1" t="n">
        <f aca="false">IF(AG58=1,MAX(0,(Slot2_Cost-IP58*(1+Slot2_Rate)^(Slot2_Age-D58))/IM58),0)</f>
        <v>0</v>
      </c>
      <c r="IR58" s="1" t="n">
        <f aca="false">IF(AG58=1,MAX(0,(Slot2_Cost-AH58*(1+Slot2_Rate)^(Slot2_Age-D58))/IM58),0)</f>
        <v>0</v>
      </c>
      <c r="IS58" s="1" t="n">
        <f aca="false">IF(AND(HT58=1,AG58=1),MIN(IL58,IQ58),0)</f>
        <v>0</v>
      </c>
      <c r="IT58" s="1" t="n">
        <f aca="false">IL58-IS58</f>
        <v>0</v>
      </c>
      <c r="IU58" s="1" t="n">
        <f aca="false">IF(AQ58=1,IF(ABS((1+AS_Wage)/(1+Slot3_Rate)-1)&lt;0.000000000001,(Slot3_Age-D58)*(1+Slot3_Rate)^(Slot3_Age-D58),(1+Slot3_Rate)^(Slot3_Age-D58)*(1-((1+AS_Wage)/(1+Slot3_Rate))^(Slot3_Age-D58))/(1-(1+AS_Wage)/(1+Slot3_Rate))),1)</f>
        <v>1</v>
      </c>
      <c r="IV58" s="1" t="n">
        <f aca="false">IF(AND(HT58=1,ID58&gt;0,Slot3_IsWG=1,AQ58=1),MAX(0,(Slot3_Cost-AR58*(1+Slot3_Rate)^(Slot3_Age-D58))/IU58),0)</f>
        <v>0</v>
      </c>
      <c r="IW58" s="1" t="n">
        <f aca="false">IF(AND(HT58=1,ID58&gt;0,Slot3_IsWG=1,AQ58=1),MIN(ID58,IV58),0)</f>
        <v>0</v>
      </c>
      <c r="IX58" s="1" t="n">
        <f aca="false">AR58+IW58</f>
        <v>0</v>
      </c>
      <c r="IY58" s="1" t="n">
        <f aca="false">IF(AQ58=1,MAX(0,(Slot3_Cost-IX58*(1+Slot3_Rate)^(Slot3_Age-D58))/IU58),0)</f>
        <v>0</v>
      </c>
      <c r="IZ58" s="1" t="n">
        <f aca="false">IF(AQ58=1,MAX(0,(Slot3_Cost-AR58*(1+Slot3_Rate)^(Slot3_Age-D58))/IU58),0)</f>
        <v>0</v>
      </c>
      <c r="JA58" s="1" t="n">
        <f aca="false">IF(AND(HT58=1,AQ58=1),MIN(IT58,IY58),0)</f>
        <v>0</v>
      </c>
      <c r="JB58" s="1" t="n">
        <f aca="false">IT58-JA58</f>
        <v>0</v>
      </c>
      <c r="JC58" s="1" t="n">
        <f aca="false">IF(BA58=1,IF(ABS((1+AS_Wage)/(1+Slot4_Rate)-1)&lt;0.000000000001,(Slot4_Age-D58)*(1+Slot4_Rate)^(Slot4_Age-D58),(1+Slot4_Rate)^(Slot4_Age-D58)*(1-((1+AS_Wage)/(1+Slot4_Rate))^(Slot4_Age-D58))/(1-(1+AS_Wage)/(1+Slot4_Rate))),1)</f>
        <v>1</v>
      </c>
      <c r="JD58" s="1" t="n">
        <f aca="false">IF(AND(HT58=1,ID58&gt;0,Slot4_IsWG=1,BA58=1),MAX(0,(Slot4_Cost-BB58*(1+Slot4_Rate)^(Slot4_Age-D58))/JC58),0)</f>
        <v>0</v>
      </c>
      <c r="JE58" s="1" t="n">
        <f aca="false">IF(AND(HT58=1,ID58&gt;0,Slot4_IsWG=1,BA58=1),MIN(ID58,JD58),0)</f>
        <v>0</v>
      </c>
      <c r="JF58" s="1" t="n">
        <f aca="false">BB58+JE58</f>
        <v>0</v>
      </c>
      <c r="JG58" s="1" t="n">
        <f aca="false">IF(BA58=1,MAX(0,(Slot4_Cost-JF58*(1+Slot4_Rate)^(Slot4_Age-D58))/JC58),0)</f>
        <v>0</v>
      </c>
      <c r="JH58" s="1" t="n">
        <f aca="false">IF(BA58=1,MAX(0,(Slot4_Cost-BB58*(1+Slot4_Rate)^(Slot4_Age-D58))/JC58),0)</f>
        <v>0</v>
      </c>
      <c r="JI58" s="1" t="n">
        <f aca="false">IF(AND(HT58=1,BA58=1),MIN(JB58,JG58),0)</f>
        <v>0</v>
      </c>
      <c r="JJ58" s="1" t="n">
        <f aca="false">JB58-JI58</f>
        <v>0</v>
      </c>
      <c r="JK58" s="1" t="n">
        <f aca="false">IF(BK58=1,IF(ABS((1+AS_Wage)/(1+Slot5_Rate)-1)&lt;0.000000000001,(Slot5_Age-D58)*(1+Slot5_Rate)^(Slot5_Age-D58),(1+Slot5_Rate)^(Slot5_Age-D58)*(1-((1+AS_Wage)/(1+Slot5_Rate))^(Slot5_Age-D58))/(1-(1+AS_Wage)/(1+Slot5_Rate))),1)</f>
        <v>1</v>
      </c>
      <c r="JL58" s="1" t="n">
        <f aca="false">IF(AND(HT58=1,ID58&gt;0,Slot5_IsWG=1,BK58=1),MAX(0,(Slot5_Cost-BL58*(1+Slot5_Rate)^(Slot5_Age-D58))/JK58),0)</f>
        <v>0</v>
      </c>
      <c r="JM58" s="1" t="n">
        <f aca="false">IF(AND(HT58=1,ID58&gt;0,Slot5_IsWG=1,BK58=1),MIN(ID58,JL58),0)</f>
        <v>0</v>
      </c>
      <c r="JN58" s="1" t="n">
        <f aca="false">BL58+JM58</f>
        <v>0</v>
      </c>
      <c r="JO58" s="1" t="n">
        <f aca="false">IF(BK58=1,MAX(0,(Slot5_Cost-JN58*(1+Slot5_Rate)^(Slot5_Age-D58))/JK58),0)</f>
        <v>0</v>
      </c>
      <c r="JP58" s="1" t="n">
        <f aca="false">IF(BK58=1,MAX(0,(Slot5_Cost-BL58*(1+Slot5_Rate)^(Slot5_Age-D58))/JK58),0)</f>
        <v>0</v>
      </c>
      <c r="JQ58" s="1" t="n">
        <f aca="false">IF(AND(HT58=1,BK58=1),MIN(JJ58,JO58),0)</f>
        <v>0</v>
      </c>
      <c r="JR58" s="1" t="n">
        <f aca="false">JJ58-JQ58</f>
        <v>0</v>
      </c>
      <c r="JS58" s="1" t="n">
        <f aca="false">IF(BU58=1,IF(ABS((1+AS_Wage)/(1+Slot6_Rate)-1)&lt;0.000000000001,(Slot6_Age-D58)*(1+Slot6_Rate)^(Slot6_Age-D58),(1+Slot6_Rate)^(Slot6_Age-D58)*(1-((1+AS_Wage)/(1+Slot6_Rate))^(Slot6_Age-D58))/(1-(1+AS_Wage)/(1+Slot6_Rate))),1)</f>
        <v>1</v>
      </c>
      <c r="JT58" s="1" t="n">
        <f aca="false">IF(AND(HT58=1,ID58&gt;0,Slot6_IsWG=1,BU58=1),MAX(0,(Slot6_Cost-BV58*(1+Slot6_Rate)^(Slot6_Age-D58))/JS58),0)</f>
        <v>0</v>
      </c>
      <c r="JU58" s="1" t="n">
        <f aca="false">IF(AND(HT58=1,ID58&gt;0,Slot6_IsWG=1,BU58=1),MIN(ID58,JT58),0)</f>
        <v>0</v>
      </c>
      <c r="JV58" s="1" t="n">
        <f aca="false">BV58+JU58</f>
        <v>0</v>
      </c>
      <c r="JW58" s="1" t="n">
        <f aca="false">IF(BU58=1,MAX(0,(Slot6_Cost-JV58*(1+Slot6_Rate)^(Slot6_Age-D58))/JS58),0)</f>
        <v>0</v>
      </c>
      <c r="JX58" s="1" t="n">
        <f aca="false">IF(BU58=1,MAX(0,(Slot6_Cost-BV58*(1+Slot6_Rate)^(Slot6_Age-D58))/JS58),0)</f>
        <v>0</v>
      </c>
      <c r="JY58" s="1" t="n">
        <f aca="false">IF(AND(HT58=1,BU58=1),MIN(JR58,JW58),0)</f>
        <v>0</v>
      </c>
      <c r="JZ58" s="1" t="n">
        <f aca="false">JR58-JY58</f>
        <v>0</v>
      </c>
      <c r="KA58" s="1" t="n">
        <f aca="false">IF(CE58=1,IF(ABS((1+AS_Wage)/(1+Slot7_Rate)-1)&lt;0.000000000001,(Slot7_Age-D58)*(1+Slot7_Rate)^(Slot7_Age-D58),(1+Slot7_Rate)^(Slot7_Age-D58)*(1-((1+AS_Wage)/(1+Slot7_Rate))^(Slot7_Age-D58))/(1-(1+AS_Wage)/(1+Slot7_Rate))),1)</f>
        <v>1</v>
      </c>
      <c r="KB58" s="1" t="n">
        <f aca="false">IF(AND(HT58=1,ID58&gt;0,Slot7_IsWG=1,CE58=1),MAX(0,(Slot7_Cost-CF58*(1+Slot7_Rate)^(Slot7_Age-D58))/KA58),0)</f>
        <v>0</v>
      </c>
      <c r="KC58" s="1" t="n">
        <f aca="false">IF(AND(HT58=1,ID58&gt;0,Slot7_IsWG=1,CE58=1),MIN(ID58,KB58),0)</f>
        <v>0</v>
      </c>
      <c r="KD58" s="1" t="n">
        <f aca="false">CF58+KC58</f>
        <v>0</v>
      </c>
      <c r="KE58" s="1" t="n">
        <f aca="false">IF(CE58=1,MAX(0,(Slot7_Cost-KD58*(1+Slot7_Rate)^(Slot7_Age-D58))/KA58),0)</f>
        <v>0</v>
      </c>
      <c r="KF58" s="1" t="n">
        <f aca="false">IF(CE58=1,MAX(0,(Slot7_Cost-CF58*(1+Slot7_Rate)^(Slot7_Age-D58))/KA58),0)</f>
        <v>0</v>
      </c>
      <c r="KG58" s="1" t="n">
        <f aca="false">IF(AND(HT58=1,CE58=1),MIN(JZ58,KE58),0)</f>
        <v>0</v>
      </c>
      <c r="KH58" s="1" t="n">
        <f aca="false">JZ58-KG58</f>
        <v>0</v>
      </c>
      <c r="KI58" s="1" t="n">
        <f aca="false">IF(CO58=1,IF(ABS((1+AS_Wage)/(1+Slot8_Rate)-1)&lt;0.000000000001,(Slot8_Age-D58)*(1+Slot8_Rate)^(Slot8_Age-D58),(1+Slot8_Rate)^(Slot8_Age-D58)*(1-((1+AS_Wage)/(1+Slot8_Rate))^(Slot8_Age-D58))/(1-(1+AS_Wage)/(1+Slot8_Rate))),1)</f>
        <v>1</v>
      </c>
      <c r="KJ58" s="1" t="n">
        <f aca="false">IF(AND(HT58=1,ID58&gt;0,Slot8_IsWG=1,CO58=1),MAX(0,(Slot8_Cost-CP58*(1+Slot8_Rate)^(Slot8_Age-D58))/KI58),0)</f>
        <v>0</v>
      </c>
      <c r="KK58" s="1" t="n">
        <f aca="false">IF(AND(HT58=1,ID58&gt;0,Slot8_IsWG=1,CO58=1),MIN(ID58,KJ58),0)</f>
        <v>0</v>
      </c>
      <c r="KL58" s="1" t="n">
        <f aca="false">CP58+KK58</f>
        <v>0</v>
      </c>
      <c r="KM58" s="1" t="n">
        <f aca="false">IF(CO58=1,MAX(0,(Slot8_Cost-KL58*(1+Slot8_Rate)^(Slot8_Age-D58))/KI58),0)</f>
        <v>0</v>
      </c>
      <c r="KN58" s="1" t="n">
        <f aca="false">IF(CO58=1,MAX(0,(Slot8_Cost-CP58*(1+Slot8_Rate)^(Slot8_Age-D58))/KI58),0)</f>
        <v>0</v>
      </c>
      <c r="KO58" s="1" t="n">
        <f aca="false">IF(AND(HT58=1,CO58=1),MIN(KH58,KM58),0)</f>
        <v>0</v>
      </c>
      <c r="KP58" s="1" t="n">
        <f aca="false">KH58-KO58</f>
        <v>0</v>
      </c>
      <c r="KQ58" s="1" t="n">
        <f aca="false">IF(CY58=1,IF(ABS((1+AS_Wage)/(1+Slot9_Rate)-1)&lt;0.000000000001,(Slot9_Age-D58)*(1+Slot9_Rate)^(Slot9_Age-D58),(1+Slot9_Rate)^(Slot9_Age-D58)*(1-((1+AS_Wage)/(1+Slot9_Rate))^(Slot9_Age-D58))/(1-(1+AS_Wage)/(1+Slot9_Rate))),1)</f>
        <v>1</v>
      </c>
      <c r="KR58" s="1" t="n">
        <f aca="false">IF(AND(HT58=1,ID58&gt;0,Slot9_IsWG=1,CY58=1),MAX(0,(Slot9_Cost-CZ58*(1+Slot9_Rate)^(Slot9_Age-D58))/KQ58),0)</f>
        <v>0</v>
      </c>
      <c r="KS58" s="1" t="n">
        <f aca="false">IF(AND(HT58=1,ID58&gt;0,Slot9_IsWG=1,CY58=1),MIN(ID58,KR58),0)</f>
        <v>0</v>
      </c>
      <c r="KT58" s="1" t="n">
        <f aca="false">CZ58+KS58</f>
        <v>0</v>
      </c>
      <c r="KU58" s="1" t="n">
        <f aca="false">IF(CY58=1,MAX(0,(Slot9_Cost-KT58*(1+Slot9_Rate)^(Slot9_Age-D58))/KQ58),0)</f>
        <v>0</v>
      </c>
      <c r="KV58" s="1" t="n">
        <f aca="false">IF(CY58=1,MAX(0,(Slot9_Cost-CZ58*(1+Slot9_Rate)^(Slot9_Age-D58))/KQ58),0)</f>
        <v>0</v>
      </c>
      <c r="KW58" s="1" t="n">
        <f aca="false">IF(AND(HT58=1,CY58=1),MIN(KP58,KU58),0)</f>
        <v>0</v>
      </c>
      <c r="KX58" s="1" t="n">
        <f aca="false">KP58-KW58</f>
        <v>0</v>
      </c>
      <c r="KY58" s="1" t="n">
        <f aca="false">IF(DI58=1,IF(ABS((1+AS_Wage)/(1+Slot10_Rate)-1)&lt;0.000000000001,(Slot10_Age-D58)*(1+Slot10_Rate)^(Slot10_Age-D58),(1+Slot10_Rate)^(Slot10_Age-D58)*(1-((1+AS_Wage)/(1+Slot10_Rate))^(Slot10_Age-D58))/(1-(1+AS_Wage)/(1+Slot10_Rate))),1)</f>
        <v>1</v>
      </c>
      <c r="KZ58" s="1" t="n">
        <f aca="false">IF(AND(HT58=1,ID58&gt;0,Slot10_IsWG=1,DI58=1),MAX(0,(Slot10_Cost-DJ58*(1+Slot10_Rate)^(Slot10_Age-D58))/KY58),0)</f>
        <v>0</v>
      </c>
      <c r="LA58" s="1" t="n">
        <f aca="false">IF(AND(HT58=1,ID58&gt;0,Slot10_IsWG=1,DI58=1),MIN(ID58,KZ58),0)</f>
        <v>0</v>
      </c>
      <c r="LB58" s="1" t="n">
        <f aca="false">DJ58+LA58</f>
        <v>0</v>
      </c>
      <c r="LC58" s="1" t="n">
        <f aca="false">IF(DI58=1,MAX(0,(Slot10_Cost-LB58*(1+Slot10_Rate)^(Slot10_Age-D58))/KY58),0)</f>
        <v>0</v>
      </c>
      <c r="LD58" s="1" t="n">
        <f aca="false">IF(DI58=1,MAX(0,(Slot10_Cost-DJ58*(1+Slot10_Rate)^(Slot10_Age-D58))/KY58),0)</f>
        <v>0</v>
      </c>
      <c r="LE58" s="1" t="n">
        <f aca="false">IF(AND(HT58=1,DI58=1),MIN(KX58,LC58),0)</f>
        <v>0</v>
      </c>
      <c r="LF58" s="1" t="n">
        <f aca="false">KX58-LE58</f>
        <v>0</v>
      </c>
      <c r="LG58" s="1" t="n">
        <f aca="false">IF(DS58=1,IF(ABS((1+AS_Wage)/(1+Slot11_Rate)-1)&lt;0.000000000001,(Slot11_Age-D58)*(1+Slot11_Rate)^(Slot11_Age-D58),(1+Slot11_Rate)^(Slot11_Age-D58)*(1-((1+AS_Wage)/(1+Slot11_Rate))^(Slot11_Age-D58))/(1-(1+AS_Wage)/(1+Slot11_Rate))),1)</f>
        <v>1</v>
      </c>
      <c r="LH58" s="1" t="n">
        <f aca="false">IF(AND(HT58=1,ID58&gt;0,Slot11_IsWG=1,DS58=1),MAX(0,(Slot11_Cost-DT58*(1+Slot11_Rate)^(Slot11_Age-D58))/LG58),0)</f>
        <v>0</v>
      </c>
      <c r="LI58" s="1" t="n">
        <f aca="false">IF(AND(HT58=1,ID58&gt;0,Slot11_IsWG=1,DS58=1),MIN(ID58,LH58),0)</f>
        <v>0</v>
      </c>
      <c r="LJ58" s="1" t="n">
        <f aca="false">DT58+LI58</f>
        <v>0</v>
      </c>
      <c r="LK58" s="1" t="n">
        <f aca="false">IF(DS58=1,MAX(0,(Slot11_Cost-LJ58*(1+Slot11_Rate)^(Slot11_Age-D58))/LG58),0)</f>
        <v>0</v>
      </c>
      <c r="LL58" s="1" t="n">
        <f aca="false">IF(DS58=1,MAX(0,(Slot11_Cost-DT58*(1+Slot11_Rate)^(Slot11_Age-D58))/LG58),0)</f>
        <v>0</v>
      </c>
      <c r="LM58" s="1" t="n">
        <f aca="false">IF(AND(HT58=1,DS58=1),MIN(LF58,LK58),0)</f>
        <v>0</v>
      </c>
      <c r="LN58" s="1" t="n">
        <f aca="false">LF58-LM58</f>
        <v>0</v>
      </c>
      <c r="LO58" s="1" t="n">
        <f aca="false">IF(EC58=1,IF(ABS((1+AS_Wage)/(1+Slot12_Rate)-1)&lt;0.000000000001,(Slot12_Age-D58)*(1+Slot12_Rate)^(Slot12_Age-D58),(1+Slot12_Rate)^(Slot12_Age-D58)*(1-((1+AS_Wage)/(1+Slot12_Rate))^(Slot12_Age-D58))/(1-(1+AS_Wage)/(1+Slot12_Rate))),1)</f>
        <v>1</v>
      </c>
      <c r="LP58" s="1" t="n">
        <f aca="false">IF(AND(HT58=1,ID58&gt;0,Slot12_IsWG=1,EC58=1),MAX(0,(Slot12_Cost-ED58*(1+Slot12_Rate)^(Slot12_Age-D58))/LO58),0)</f>
        <v>0</v>
      </c>
      <c r="LQ58" s="1" t="n">
        <f aca="false">IF(AND(HT58=1,ID58&gt;0,Slot12_IsWG=1,EC58=1),MIN(ID58,LP58),0)</f>
        <v>0</v>
      </c>
      <c r="LR58" s="1" t="n">
        <f aca="false">ED58+LQ58</f>
        <v>0</v>
      </c>
      <c r="LS58" s="1" t="n">
        <f aca="false">IF(EC58=1,MAX(0,(Slot12_Cost-LR58*(1+Slot12_Rate)^(Slot12_Age-D58))/LO58),0)</f>
        <v>0</v>
      </c>
      <c r="LT58" s="1" t="n">
        <f aca="false">IF(EC58=1,MAX(0,(Slot12_Cost-ED58*(1+Slot12_Rate)^(Slot12_Age-D58))/LO58),0)</f>
        <v>0</v>
      </c>
      <c r="LU58" s="1" t="n">
        <f aca="false">IF(AND(HT58=1,EC58=1),MIN(LN58,LS58),0)</f>
        <v>0</v>
      </c>
      <c r="LV58" s="1" t="n">
        <f aca="false">LN58-LU58</f>
        <v>0</v>
      </c>
      <c r="LW58" s="1" t="n">
        <f aca="false">IF(EM58=1,IF(ABS((1+AS_Wage)/(1+Slot13_Rate)-1)&lt;0.000000000001,(Slot13_Age-D58)*(1+Slot13_Rate)^(Slot13_Age-D58),(1+Slot13_Rate)^(Slot13_Age-D58)*(1-((1+AS_Wage)/(1+Slot13_Rate))^(Slot13_Age-D58))/(1-(1+AS_Wage)/(1+Slot13_Rate))),1)</f>
        <v>1</v>
      </c>
      <c r="LX58" s="1" t="n">
        <f aca="false">IF(AND(HT58=1,ID58&gt;0,Slot13_IsWG=1,EM58=1),MAX(0,(Slot13_Cost-EN58*(1+Slot13_Rate)^(Slot13_Age-D58))/LW58),0)</f>
        <v>0</v>
      </c>
      <c r="LY58" s="1" t="n">
        <f aca="false">IF(AND(HT58=1,ID58&gt;0,Slot13_IsWG=1,EM58=1),MIN(ID58,LX58),0)</f>
        <v>0</v>
      </c>
      <c r="LZ58" s="1" t="n">
        <f aca="false">EN58+LY58</f>
        <v>0</v>
      </c>
      <c r="MA58" s="1" t="n">
        <f aca="false">IF(EM58=1,MAX(0,(Slot13_Cost-LZ58*(1+Slot13_Rate)^(Slot13_Age-D58))/LW58),0)</f>
        <v>0</v>
      </c>
      <c r="MB58" s="1" t="n">
        <f aca="false">IF(EM58=1,MAX(0,(Slot13_Cost-EN58*(1+Slot13_Rate)^(Slot13_Age-D58))/LW58),0)</f>
        <v>0</v>
      </c>
      <c r="MC58" s="1" t="n">
        <f aca="false">IF(AND(HT58=1,EM58=1),MIN(LV58,MA58),0)</f>
        <v>0</v>
      </c>
      <c r="MD58" s="1" t="n">
        <f aca="false">LV58-MC58</f>
        <v>0</v>
      </c>
      <c r="ME58" s="1" t="n">
        <f aca="false">IF(EW58=1,IF(ABS((1+AS_Wage)/(1+Slot14_Rate)-1)&lt;0.000000000001,(Slot14_Age-D58)*(1+Slot14_Rate)^(Slot14_Age-D58),(1+Slot14_Rate)^(Slot14_Age-D58)*(1-((1+AS_Wage)/(1+Slot14_Rate))^(Slot14_Age-D58))/(1-(1+AS_Wage)/(1+Slot14_Rate))),1)</f>
        <v>1</v>
      </c>
      <c r="MF58" s="1" t="n">
        <f aca="false">IF(AND(HT58=1,ID58&gt;0,Slot14_IsWG=1,EW58=1),MAX(0,(Slot14_Cost-EX58*(1+Slot14_Rate)^(Slot14_Age-D58))/ME58),0)</f>
        <v>0</v>
      </c>
      <c r="MG58" s="1" t="n">
        <f aca="false">IF(AND(HT58=1,ID58&gt;0,Slot14_IsWG=1,EW58=1),MIN(ID58,MF58),0)</f>
        <v>0</v>
      </c>
      <c r="MH58" s="1" t="n">
        <f aca="false">EX58+MG58</f>
        <v>0</v>
      </c>
      <c r="MI58" s="1" t="n">
        <f aca="false">IF(EW58=1,MAX(0,(Slot14_Cost-MH58*(1+Slot14_Rate)^(Slot14_Age-D58))/ME58),0)</f>
        <v>0</v>
      </c>
      <c r="MJ58" s="1" t="n">
        <f aca="false">IF(EW58=1,MAX(0,(Slot14_Cost-EX58*(1+Slot14_Rate)^(Slot14_Age-D58))/ME58),0)</f>
        <v>0</v>
      </c>
      <c r="MK58" s="1" t="n">
        <f aca="false">IF(AND(HT58=1,EW58=1),MIN(MD58,MI58),0)</f>
        <v>0</v>
      </c>
      <c r="ML58" s="1" t="n">
        <f aca="false">MD58-MK58</f>
        <v>0</v>
      </c>
      <c r="MM58" s="1" t="n">
        <f aca="false">IF(FG58=1,IF(ABS((1+AS_Wage)/(1+Slot15_Rate)-1)&lt;0.000000000001,(Slot15_Age-D58)*(1+Slot15_Rate)^(Slot15_Age-D58),(1+Slot15_Rate)^(Slot15_Age-D58)*(1-((1+AS_Wage)/(1+Slot15_Rate))^(Slot15_Age-D58))/(1-(1+AS_Wage)/(1+Slot15_Rate))),1)</f>
        <v>1</v>
      </c>
      <c r="MN58" s="1" t="n">
        <f aca="false">IF(AND(HT58=1,ID58&gt;0,Slot15_IsWG=1,FG58=1),MAX(0,(Slot15_Cost-FH58*(1+Slot15_Rate)^(Slot15_Age-D58))/MM58),0)</f>
        <v>0</v>
      </c>
      <c r="MO58" s="1" t="n">
        <f aca="false">IF(AND(HT58=1,ID58&gt;0,Slot15_IsWG=1,FG58=1),MIN(ID58,MN58),0)</f>
        <v>0</v>
      </c>
      <c r="MP58" s="1" t="n">
        <f aca="false">FH58+MO58</f>
        <v>0</v>
      </c>
      <c r="MQ58" s="1" t="n">
        <f aca="false">IF(FG58=1,MAX(0,(Slot15_Cost-MP58*(1+Slot15_Rate)^(Slot15_Age-D58))/MM58),0)</f>
        <v>0</v>
      </c>
      <c r="MR58" s="1" t="n">
        <f aca="false">IF(FG58=1,MAX(0,(Slot15_Cost-FH58*(1+Slot15_Rate)^(Slot15_Age-D58))/MM58),0)</f>
        <v>0</v>
      </c>
      <c r="MS58" s="1" t="n">
        <f aca="false">IF(AND(HT58=1,FG58=1),MIN(ML58,MQ58),0)</f>
        <v>0</v>
      </c>
      <c r="MT58" s="1" t="n">
        <f aca="false">ML58-MS58</f>
        <v>0</v>
      </c>
      <c r="MU58" s="1" t="n">
        <f aca="false">IF(FQ58=1,IF(ABS((1+AS_Wage)/(1+Slot16_Rate)-1)&lt;0.000000000001,(Slot16_Age-D58)*(1+Slot16_Rate)^(Slot16_Age-D58),(1+Slot16_Rate)^(Slot16_Age-D58)*(1-((1+AS_Wage)/(1+Slot16_Rate))^(Slot16_Age-D58))/(1-(1+AS_Wage)/(1+Slot16_Rate))),1)</f>
        <v>1</v>
      </c>
      <c r="MV58" s="1" t="n">
        <f aca="false">IF(AND(HT58=1,ID58&gt;0,Slot16_IsWG=1,FQ58=1),MAX(0,(Slot16_Cost-FR58*(1+Slot16_Rate)^(Slot16_Age-D58))/MU58),0)</f>
        <v>0</v>
      </c>
      <c r="MW58" s="1" t="n">
        <f aca="false">IF(AND(HT58=1,ID58&gt;0,Slot16_IsWG=1,FQ58=1),MIN(ID58,MV58),0)</f>
        <v>0</v>
      </c>
      <c r="MX58" s="1" t="n">
        <f aca="false">FR58+MW58</f>
        <v>0</v>
      </c>
      <c r="MY58" s="1" t="n">
        <f aca="false">IF(FQ58=1,MAX(0,(Slot16_Cost-MX58*(1+Slot16_Rate)^(Slot16_Age-D58))/MU58),0)</f>
        <v>0</v>
      </c>
      <c r="MZ58" s="1" t="n">
        <f aca="false">IF(FQ58=1,MAX(0,(Slot16_Cost-FR58*(1+Slot16_Rate)^(Slot16_Age-D58))/MU58),0)</f>
        <v>0</v>
      </c>
      <c r="NA58" s="1" t="n">
        <f aca="false">IF(AND(HT58=1,FQ58=1),MIN(MT58,MY58),0)</f>
        <v>0</v>
      </c>
      <c r="NB58" s="1" t="n">
        <f aca="false">MT58-NA58</f>
        <v>0</v>
      </c>
      <c r="NC58" s="1" t="n">
        <f aca="false">IF(GA58=1,IF(ABS((1+AS_Wage)/(1+Slot17_Rate)-1)&lt;0.000000000001,(Slot17_Age-D58)*(1+Slot17_Rate)^(Slot17_Age-D58),(1+Slot17_Rate)^(Slot17_Age-D58)*(1-((1+AS_Wage)/(1+Slot17_Rate))^(Slot17_Age-D58))/(1-(1+AS_Wage)/(1+Slot17_Rate))),1)</f>
        <v>1</v>
      </c>
      <c r="ND58" s="1" t="n">
        <f aca="false">IF(AND(HT58=1,ID58&gt;0,Slot17_IsWG=1,GA58=1),MAX(0,(Slot17_Cost-GB58*(1+Slot17_Rate)^(Slot17_Age-D58))/NC58),0)</f>
        <v>0</v>
      </c>
      <c r="NE58" s="1" t="n">
        <f aca="false">IF(AND(HT58=1,ID58&gt;0,Slot17_IsWG=1,GA58=1),MIN(ID58,ND58),0)</f>
        <v>0</v>
      </c>
      <c r="NF58" s="1" t="n">
        <f aca="false">GB58+NE58</f>
        <v>0</v>
      </c>
      <c r="NG58" s="1" t="n">
        <f aca="false">IF(GA58=1,MAX(0,(Slot17_Cost-NF58*(1+Slot17_Rate)^(Slot17_Age-D58))/NC58),0)</f>
        <v>0</v>
      </c>
      <c r="NH58" s="1" t="n">
        <f aca="false">IF(GA58=1,MAX(0,(Slot17_Cost-GB58*(1+Slot17_Rate)^(Slot17_Age-D58))/NC58),0)</f>
        <v>0</v>
      </c>
      <c r="NI58" s="1" t="n">
        <f aca="false">IF(AND(HT58=1,GA58=1),MIN(NB58,NG58),0)</f>
        <v>0</v>
      </c>
      <c r="NJ58" s="1" t="n">
        <f aca="false">NB58-NI58</f>
        <v>0</v>
      </c>
      <c r="NK58" s="1" t="n">
        <f aca="false">IF(GK58=1,IF(ABS((1+AS_Wage)/(1+Slot18_Rate)-1)&lt;0.000000000001,(Slot18_Age-D58)*(1+Slot18_Rate)^(Slot18_Age-D58),(1+Slot18_Rate)^(Slot18_Age-D58)*(1-((1+AS_Wage)/(1+Slot18_Rate))^(Slot18_Age-D58))/(1-(1+AS_Wage)/(1+Slot18_Rate))),1)</f>
        <v>1</v>
      </c>
      <c r="NL58" s="1" t="n">
        <f aca="false">IF(AND(HT58=1,ID58&gt;0,Slot18_IsWG=1,GK58=1),MAX(0,(Slot18_Cost-GL58*(1+Slot18_Rate)^(Slot18_Age-D58))/NK58),0)</f>
        <v>0</v>
      </c>
      <c r="NM58" s="1" t="n">
        <f aca="false">IF(AND(HT58=1,ID58&gt;0,Slot18_IsWG=1,GK58=1),MIN(ID58,NL58),0)</f>
        <v>0</v>
      </c>
      <c r="NN58" s="1" t="n">
        <f aca="false">GL58+NM58</f>
        <v>0</v>
      </c>
      <c r="NO58" s="1" t="n">
        <f aca="false">IF(GK58=1,MAX(0,(Slot18_Cost-NN58*(1+Slot18_Rate)^(Slot18_Age-D58))/NK58),0)</f>
        <v>0</v>
      </c>
      <c r="NP58" s="1" t="n">
        <f aca="false">IF(GK58=1,MAX(0,(Slot18_Cost-GL58*(1+Slot18_Rate)^(Slot18_Age-D58))/NK58),0)</f>
        <v>0</v>
      </c>
      <c r="NQ58" s="1" t="n">
        <f aca="false">IF(AND(HT58=1,GK58=1),MIN(NJ58,NO58),0)</f>
        <v>0</v>
      </c>
      <c r="NR58" s="1" t="n">
        <f aca="false">NJ58-NQ58</f>
        <v>0</v>
      </c>
      <c r="NS58" s="1" t="n">
        <f aca="false">IF(GU58=1,IF(ABS((1+AS_Wage)/(1+Slot19_Rate)-1)&lt;0.000000000001,(Slot19_Age-D58)*(1+Slot19_Rate)^(Slot19_Age-D58),(1+Slot19_Rate)^(Slot19_Age-D58)*(1-((1+AS_Wage)/(1+Slot19_Rate))^(Slot19_Age-D58))/(1-(1+AS_Wage)/(1+Slot19_Rate))),1)</f>
        <v>1</v>
      </c>
      <c r="NT58" s="1" t="n">
        <f aca="false">IF(AND(HT58=1,ID58&gt;0,Slot19_IsWG=1,GU58=1),MAX(0,(Slot19_Cost-GV58*(1+Slot19_Rate)^(Slot19_Age-D58))/NS58),0)</f>
        <v>0</v>
      </c>
      <c r="NU58" s="1" t="n">
        <f aca="false">IF(AND(HT58=1,ID58&gt;0,Slot19_IsWG=1,GU58=1),MIN(ID58,NT58),0)</f>
        <v>0</v>
      </c>
      <c r="NV58" s="1" t="n">
        <f aca="false">GV58+NU58</f>
        <v>0</v>
      </c>
      <c r="NW58" s="1" t="n">
        <f aca="false">IF(GU58=1,MAX(0,(Slot19_Cost-NV58*(1+Slot19_Rate)^(Slot19_Age-D58))/NS58),0)</f>
        <v>0</v>
      </c>
      <c r="NX58" s="1" t="n">
        <f aca="false">IF(GU58=1,MAX(0,(Slot19_Cost-GV58*(1+Slot19_Rate)^(Slot19_Age-D58))/NS58),0)</f>
        <v>0</v>
      </c>
      <c r="NY58" s="1" t="n">
        <f aca="false">IF(AND(HT58=1,GU58=1),MIN(NR58,NW58),0)</f>
        <v>0</v>
      </c>
      <c r="NZ58" s="1" t="n">
        <f aca="false">NR58-NY58</f>
        <v>0</v>
      </c>
      <c r="OA58" s="1" t="n">
        <f aca="false">IF(HE58=1,IF(ABS((1+AS_Wage)/(1+Slot20_Rate)-1)&lt;0.000000000001,(Slot20_Age-D58)*(1+Slot20_Rate)^(Slot20_Age-D58),(1+Slot20_Rate)^(Slot20_Age-D58)*(1-((1+AS_Wage)/(1+Slot20_Rate))^(Slot20_Age-D58))/(1-(1+AS_Wage)/(1+Slot20_Rate))),1)</f>
        <v>1</v>
      </c>
      <c r="OB58" s="1" t="n">
        <f aca="false">IF(AND(HT58=1,ID58&gt;0,Slot20_IsWG=1,HE58=1),MAX(0,(Slot20_Cost-HF58*(1+Slot20_Rate)^(Slot20_Age-D58))/OA58),0)</f>
        <v>0</v>
      </c>
      <c r="OC58" s="1" t="n">
        <f aca="false">IF(AND(HT58=1,ID58&gt;0,Slot20_IsWG=1,HE58=1),MIN(ID58,OB58),0)</f>
        <v>0</v>
      </c>
      <c r="OD58" s="1" t="n">
        <f aca="false">HF58+OC58</f>
        <v>0</v>
      </c>
      <c r="OE58" s="1" t="n">
        <f aca="false">IF(HE58=1,MAX(0,(Slot20_Cost-OD58*(1+Slot20_Rate)^(Slot20_Age-D58))/OA58),0)</f>
        <v>0</v>
      </c>
      <c r="OF58" s="1" t="n">
        <f aca="false">IF(HE58=1,MAX(0,(Slot20_Cost-HF58*(1+Slot20_Rate)^(Slot20_Age-D58))/OA58),0)</f>
        <v>0</v>
      </c>
      <c r="OG58" s="1" t="n">
        <f aca="false">IF(AND(HT58=1,HE58=1),MIN(NZ58,OE58),0)</f>
        <v>0</v>
      </c>
      <c r="OH58" s="1" t="n">
        <f aca="false">NZ58-OG58</f>
        <v>0</v>
      </c>
      <c r="OI58" s="1" t="n">
        <f aca="false">ID58-(IG58+IO58+IW58+JE58+JM58+JU58+KC58+KK58+KS58+LA58+LI58+LQ58+LY58+MG58+MO58+MW58+NE58+NM58+NU58+OC58)</f>
        <v>0</v>
      </c>
      <c r="OJ58" s="1" t="n">
        <f aca="false">IF(HT58=1,HR58-IC58-ID58,0)</f>
        <v>0</v>
      </c>
      <c r="OK58" s="1" t="n">
        <f aca="false">IF(HT58=0,-HR58,0)</f>
        <v>0</v>
      </c>
      <c r="OL58" s="1" t="n">
        <f aca="false">MIN(OK58,HJ58)</f>
        <v>0</v>
      </c>
      <c r="OM58" s="1" t="n">
        <f aca="false">OK58-OL58</f>
        <v>0</v>
      </c>
      <c r="ON58" s="1" t="n">
        <f aca="false">MIN(OM58,HK58)</f>
        <v>0</v>
      </c>
      <c r="OO58" s="1" t="n">
        <f aca="false">OM58-ON58</f>
        <v>0</v>
      </c>
      <c r="OP58" s="1" t="n">
        <f aca="false">IF(AND(HT58=0,HE58=1,OO58&gt;0),MIN(OO58,HF58),0)</f>
        <v>0</v>
      </c>
      <c r="OQ58" s="1" t="n">
        <f aca="false">OO58-OP58</f>
        <v>0</v>
      </c>
      <c r="OR58" s="1" t="n">
        <f aca="false">IF(AND(HT58=0,GU58=1,OQ58&gt;0),MIN(OQ58,GV58),0)</f>
        <v>0</v>
      </c>
      <c r="OS58" s="1" t="n">
        <f aca="false">OQ58-OR58</f>
        <v>0</v>
      </c>
      <c r="OT58" s="1" t="n">
        <f aca="false">IF(AND(HT58=0,GK58=1,OS58&gt;0),MIN(OS58,GL58),0)</f>
        <v>0</v>
      </c>
      <c r="OU58" s="1" t="n">
        <f aca="false">OS58-OT58</f>
        <v>0</v>
      </c>
      <c r="OV58" s="1" t="n">
        <f aca="false">IF(AND(HT58=0,GA58=1,OU58&gt;0),MIN(OU58,GB58),0)</f>
        <v>0</v>
      </c>
      <c r="OW58" s="1" t="n">
        <f aca="false">OU58-OV58</f>
        <v>0</v>
      </c>
      <c r="OX58" s="1" t="n">
        <f aca="false">IF(AND(HT58=0,FQ58=1,OW58&gt;0),MIN(OW58,FR58),0)</f>
        <v>0</v>
      </c>
      <c r="OY58" s="1" t="n">
        <f aca="false">OW58-OX58</f>
        <v>0</v>
      </c>
      <c r="OZ58" s="1" t="n">
        <f aca="false">IF(AND(HT58=0,FG58=1,OY58&gt;0),MIN(OY58,FH58),0)</f>
        <v>0</v>
      </c>
      <c r="PA58" s="1" t="n">
        <f aca="false">OY58-OZ58</f>
        <v>0</v>
      </c>
      <c r="PB58" s="1" t="n">
        <f aca="false">IF(AND(HT58=0,EW58=1,PA58&gt;0),MIN(PA58,EX58),0)</f>
        <v>0</v>
      </c>
      <c r="PC58" s="1" t="n">
        <f aca="false">PA58-PB58</f>
        <v>0</v>
      </c>
      <c r="PD58" s="1" t="n">
        <f aca="false">IF(AND(HT58=0,EM58=1,PC58&gt;0),MIN(PC58,EN58),0)</f>
        <v>0</v>
      </c>
      <c r="PE58" s="1" t="n">
        <f aca="false">PC58-PD58</f>
        <v>0</v>
      </c>
      <c r="PF58" s="1" t="n">
        <f aca="false">IF(AND(HT58=0,EC58=1,PE58&gt;0),MIN(PE58,ED58),0)</f>
        <v>0</v>
      </c>
      <c r="PG58" s="1" t="n">
        <f aca="false">PE58-PF58</f>
        <v>0</v>
      </c>
      <c r="PH58" s="1" t="n">
        <f aca="false">IF(AND(HT58=0,DS58=1,PG58&gt;0),MIN(PG58,DT58),0)</f>
        <v>0</v>
      </c>
      <c r="PI58" s="1" t="n">
        <f aca="false">PG58-PH58</f>
        <v>0</v>
      </c>
      <c r="PJ58" s="1" t="n">
        <f aca="false">IF(AND(HT58=0,DI58=1,PI58&gt;0),MIN(PI58,DJ58),0)</f>
        <v>0</v>
      </c>
      <c r="PK58" s="1" t="n">
        <f aca="false">PI58-PJ58</f>
        <v>0</v>
      </c>
      <c r="PL58" s="1" t="n">
        <f aca="false">IF(AND(HT58=0,CY58=1,PK58&gt;0),MIN(PK58,CZ58),0)</f>
        <v>0</v>
      </c>
      <c r="PM58" s="1" t="n">
        <f aca="false">PK58-PL58</f>
        <v>0</v>
      </c>
      <c r="PN58" s="1" t="n">
        <f aca="false">IF(AND(HT58=0,CO58=1,PM58&gt;0),MIN(PM58,CP58),0)</f>
        <v>0</v>
      </c>
      <c r="PO58" s="1" t="n">
        <f aca="false">PM58-PN58</f>
        <v>0</v>
      </c>
      <c r="PP58" s="1" t="n">
        <f aca="false">IF(AND(HT58=0,CE58=1,PO58&gt;0),MIN(PO58,CF58),0)</f>
        <v>0</v>
      </c>
      <c r="PQ58" s="1" t="n">
        <f aca="false">PO58-PP58</f>
        <v>0</v>
      </c>
      <c r="PR58" s="1" t="n">
        <f aca="false">IF(AND(HT58=0,BU58=1,PQ58&gt;0),MIN(PQ58,BV58),0)</f>
        <v>0</v>
      </c>
      <c r="PS58" s="1" t="n">
        <f aca="false">PQ58-PR58</f>
        <v>0</v>
      </c>
      <c r="PT58" s="1" t="n">
        <f aca="false">IF(AND(HT58=0,BK58=1,PS58&gt;0),MIN(PS58,BL58),0)</f>
        <v>0</v>
      </c>
      <c r="PU58" s="1" t="n">
        <f aca="false">PS58-PT58</f>
        <v>0</v>
      </c>
      <c r="PV58" s="1" t="n">
        <f aca="false">IF(AND(HT58=0,BA58=1,PU58&gt;0),MIN(PU58,BB58),0)</f>
        <v>0</v>
      </c>
      <c r="PW58" s="1" t="n">
        <f aca="false">PU58-PV58</f>
        <v>0</v>
      </c>
      <c r="PX58" s="1" t="n">
        <f aca="false">IF(AND(HT58=0,AQ58=1,PW58&gt;0),MIN(PW58,AR58),0)</f>
        <v>0</v>
      </c>
      <c r="PY58" s="1" t="n">
        <f aca="false">PW58-PX58</f>
        <v>0</v>
      </c>
      <c r="PZ58" s="1" t="n">
        <f aca="false">IF(AND(HT58=0,AG58=1,PY58&gt;0),MIN(PY58,AH58),0)</f>
        <v>0</v>
      </c>
      <c r="QA58" s="1" t="n">
        <f aca="false">PY58-PZ58</f>
        <v>0</v>
      </c>
      <c r="QB58" s="1" t="n">
        <f aca="false">IF(AND(HT58=0,V58=1,QA58&gt;0),MIN(QA58,W58),0)</f>
        <v>0</v>
      </c>
      <c r="QC58" s="1" t="n">
        <f aca="false">QA58-QB58</f>
        <v>0</v>
      </c>
      <c r="QD58" s="1" t="n">
        <f aca="false">IF(HT58=0,QC58,0)</f>
        <v>0</v>
      </c>
      <c r="QE58" s="1" t="n">
        <f aca="false">OL58+ON58+QB58+PZ58+PX58+PV58+PT58+PR58+PP58+PN58+PL58+PJ58+PH58+PF58+PD58+PB58+OZ58+OX58+OV58+OT58+OR58+OP58</f>
        <v>0</v>
      </c>
      <c r="QF58" s="1" t="n">
        <f aca="false">IF(HT58=1,HJ58+OI58+OH58+IF(F58=1,0,OJ58),HJ58-OL58)</f>
        <v>0</v>
      </c>
      <c r="QG58" s="1" t="n">
        <f aca="false">HK58-ON58</f>
        <v>0</v>
      </c>
      <c r="QH58" s="1" t="n">
        <f aca="false">IF(HT58=1,IF(F58=1,IC58+ID58,HR58),0)</f>
        <v>0</v>
      </c>
      <c r="QI58" s="1" t="n">
        <f aca="false">IF(HT58=1,IF(F58=1,HR58-IC58-ID58,0),0)</f>
        <v>0</v>
      </c>
      <c r="QJ58" s="1" t="n">
        <f aca="false">QF58*(1+GR)</f>
        <v>0</v>
      </c>
      <c r="QK58" s="1" t="n">
        <f aca="false">QG58*(1+AS_Cash)</f>
        <v>0</v>
      </c>
      <c r="QL58" s="1" t="n">
        <f aca="false">IF(V58=1,IF(HT58=1,IH58+IK58,W58-QB58)*(1+Slot1_Rate),0)</f>
        <v>0</v>
      </c>
      <c r="QM58" s="1" t="n">
        <f aca="false">IF(AND(HT58=1,V58=1),(IG58+IK58)/E58,0)</f>
        <v>0</v>
      </c>
      <c r="QN58" s="1" t="n">
        <f aca="false">IF(B58=0,IG58+IK58,0)</f>
        <v>0</v>
      </c>
      <c r="QO58" s="1" t="n">
        <f aca="false">IF(B58=0,IF(HT58=1,II58,IJ58),0)</f>
        <v>0</v>
      </c>
      <c r="QP58" s="1" t="n">
        <f aca="false">IF(AG58=1,IF(HT58=1,IP58+IS58,AH58-PZ58)*(1+Slot2_Rate),0)</f>
        <v>0</v>
      </c>
      <c r="QQ58" s="1" t="n">
        <f aca="false">IF(AND(HT58=1,AG58=1),(IO58+IS58)/E58,0)</f>
        <v>0</v>
      </c>
      <c r="QR58" s="1" t="n">
        <f aca="false">IF(B58=0,IO58+IS58,0)</f>
        <v>0</v>
      </c>
      <c r="QS58" s="1" t="n">
        <f aca="false">IF(B58=0,IF(HT58=1,IQ58,IR58),0)</f>
        <v>0</v>
      </c>
      <c r="QT58" s="1" t="n">
        <f aca="false">IF(AQ58=1,IF(HT58=1,IX58+JA58,AR58-PX58)*(1+Slot3_Rate),0)</f>
        <v>0</v>
      </c>
      <c r="QU58" s="1" t="n">
        <f aca="false">IF(AND(HT58=1,AQ58=1),(IW58+JA58)/E58,0)</f>
        <v>0</v>
      </c>
      <c r="QV58" s="1" t="n">
        <f aca="false">IF(B58=0,IW58+JA58,0)</f>
        <v>0</v>
      </c>
      <c r="QW58" s="1" t="n">
        <f aca="false">IF(B58=0,IF(HT58=1,IY58,IZ58),0)</f>
        <v>0</v>
      </c>
      <c r="QX58" s="1" t="n">
        <f aca="false">IF(BA58=1,IF(HT58=1,JF58+JI58,BB58-PV58)*(1+Slot4_Rate),0)</f>
        <v>0</v>
      </c>
      <c r="QY58" s="1" t="n">
        <f aca="false">IF(AND(HT58=1,BA58=1),(JE58+JI58)/E58,0)</f>
        <v>0</v>
      </c>
      <c r="QZ58" s="1" t="n">
        <f aca="false">IF(B58=0,JE58+JI58,0)</f>
        <v>0</v>
      </c>
      <c r="RA58" s="1" t="n">
        <f aca="false">IF(B58=0,IF(HT58=1,JG58,JH58),0)</f>
        <v>0</v>
      </c>
      <c r="RB58" s="1" t="n">
        <f aca="false">IF(BK58=1,IF(HT58=1,JN58+JQ58,BL58-PT58)*(1+Slot5_Rate),0)</f>
        <v>0</v>
      </c>
      <c r="RC58" s="1" t="n">
        <f aca="false">IF(AND(HT58=1,BK58=1),(JM58+JQ58)/E58,0)</f>
        <v>0</v>
      </c>
      <c r="RD58" s="1" t="n">
        <f aca="false">IF(B58=0,JM58+JQ58,0)</f>
        <v>0</v>
      </c>
      <c r="RE58" s="1" t="n">
        <f aca="false">IF(B58=0,IF(HT58=1,JO58,JP58),0)</f>
        <v>0</v>
      </c>
      <c r="RF58" s="1" t="n">
        <f aca="false">IF(BU58=1,IF(HT58=1,JV58+JY58,BV58-PR58)*(1+Slot6_Rate),0)</f>
        <v>0</v>
      </c>
      <c r="RG58" s="1" t="n">
        <f aca="false">IF(AND(HT58=1,BU58=1),(JU58+JY58)/E58,0)</f>
        <v>0</v>
      </c>
      <c r="RH58" s="1" t="n">
        <f aca="false">IF(B58=0,JU58+JY58,0)</f>
        <v>0</v>
      </c>
      <c r="RI58" s="1" t="n">
        <f aca="false">IF(B58=0,IF(HT58=1,JW58,JX58),0)</f>
        <v>0</v>
      </c>
      <c r="RJ58" s="1" t="n">
        <f aca="false">IF(CE58=1,IF(HT58=1,KD58+KG58,CF58-PP58)*(1+Slot7_Rate),0)</f>
        <v>0</v>
      </c>
      <c r="RK58" s="1" t="n">
        <f aca="false">IF(AND(HT58=1,CE58=1),(KC58+KG58)/E58,0)</f>
        <v>0</v>
      </c>
      <c r="RL58" s="1" t="n">
        <f aca="false">IF(B58=0,KC58+KG58,0)</f>
        <v>0</v>
      </c>
      <c r="RM58" s="1" t="n">
        <f aca="false">IF(B58=0,IF(HT58=1,KE58,KF58),0)</f>
        <v>0</v>
      </c>
      <c r="RN58" s="1" t="n">
        <f aca="false">IF(CO58=1,IF(HT58=1,KL58+KO58,CP58-PN58)*(1+Slot8_Rate),0)</f>
        <v>0</v>
      </c>
      <c r="RO58" s="1" t="n">
        <f aca="false">IF(AND(HT58=1,CO58=1),(KK58+KO58)/E58,0)</f>
        <v>0</v>
      </c>
      <c r="RP58" s="1" t="n">
        <f aca="false">IF(B58=0,KK58+KO58,0)</f>
        <v>0</v>
      </c>
      <c r="RQ58" s="1" t="n">
        <f aca="false">IF(B58=0,IF(HT58=1,KM58,KN58),0)</f>
        <v>0</v>
      </c>
      <c r="RR58" s="1" t="n">
        <f aca="false">IF(CY58=1,IF(HT58=1,KT58+KW58,CZ58-PL58)*(1+Slot9_Rate),0)</f>
        <v>0</v>
      </c>
      <c r="RS58" s="1" t="n">
        <f aca="false">IF(AND(HT58=1,CY58=1),(KS58+KW58)/E58,0)</f>
        <v>0</v>
      </c>
      <c r="RT58" s="1" t="n">
        <f aca="false">IF(B58=0,KS58+KW58,0)</f>
        <v>0</v>
      </c>
      <c r="RU58" s="1" t="n">
        <f aca="false">IF(B58=0,IF(HT58=1,KU58,KV58),0)</f>
        <v>0</v>
      </c>
      <c r="RV58" s="1" t="n">
        <f aca="false">IF(DI58=1,IF(HT58=1,LB58+LE58,DJ58-PJ58)*(1+Slot10_Rate),0)</f>
        <v>0</v>
      </c>
      <c r="RW58" s="1" t="n">
        <f aca="false">IF(AND(HT58=1,DI58=1),(LA58+LE58)/E58,0)</f>
        <v>0</v>
      </c>
      <c r="RX58" s="1" t="n">
        <f aca="false">IF(B58=0,LA58+LE58,0)</f>
        <v>0</v>
      </c>
      <c r="RY58" s="1" t="n">
        <f aca="false">IF(B58=0,IF(HT58=1,LC58,LD58),0)</f>
        <v>0</v>
      </c>
      <c r="RZ58" s="1" t="n">
        <f aca="false">IF(DS58=1,IF(HT58=1,LJ58+LM58,DT58-PH58)*(1+Slot11_Rate),0)</f>
        <v>0</v>
      </c>
      <c r="SA58" s="1" t="n">
        <f aca="false">IF(AND(HT58=1,DS58=1),(LI58+LM58)/E58,0)</f>
        <v>0</v>
      </c>
      <c r="SB58" s="1" t="n">
        <f aca="false">IF(B58=0,LI58+LM58,0)</f>
        <v>0</v>
      </c>
      <c r="SC58" s="1" t="n">
        <f aca="false">IF(B58=0,IF(HT58=1,LK58,LL58),0)</f>
        <v>0</v>
      </c>
      <c r="SD58" s="1" t="n">
        <f aca="false">IF(EC58=1,IF(HT58=1,LR58+LU58,ED58-PF58)*(1+Slot12_Rate),0)</f>
        <v>0</v>
      </c>
      <c r="SE58" s="1" t="n">
        <f aca="false">IF(AND(HT58=1,EC58=1),(LQ58+LU58)/E58,0)</f>
        <v>0</v>
      </c>
      <c r="SF58" s="1" t="n">
        <f aca="false">IF(B58=0,LQ58+LU58,0)</f>
        <v>0</v>
      </c>
      <c r="SG58" s="1" t="n">
        <f aca="false">IF(B58=0,IF(HT58=1,LS58,LT58),0)</f>
        <v>0</v>
      </c>
      <c r="SH58" s="1" t="n">
        <f aca="false">IF(EM58=1,IF(HT58=1,LZ58+MC58,EN58-PD58)*(1+Slot13_Rate),0)</f>
        <v>0</v>
      </c>
      <c r="SI58" s="1" t="n">
        <f aca="false">IF(AND(HT58=1,EM58=1),(LY58+MC58)/E58,0)</f>
        <v>0</v>
      </c>
      <c r="SJ58" s="1" t="n">
        <f aca="false">IF(B58=0,LY58+MC58,0)</f>
        <v>0</v>
      </c>
      <c r="SK58" s="1" t="n">
        <f aca="false">IF(B58=0,IF(HT58=1,MA58,MB58),0)</f>
        <v>0</v>
      </c>
      <c r="SL58" s="1" t="n">
        <f aca="false">IF(EW58=1,IF(HT58=1,MH58+MK58,EX58-PB58)*(1+Slot14_Rate),0)</f>
        <v>0</v>
      </c>
      <c r="SM58" s="1" t="n">
        <f aca="false">IF(AND(HT58=1,EW58=1),(MG58+MK58)/E58,0)</f>
        <v>0</v>
      </c>
      <c r="SN58" s="1" t="n">
        <f aca="false">IF(B58=0,MG58+MK58,0)</f>
        <v>0</v>
      </c>
      <c r="SO58" s="1" t="n">
        <f aca="false">IF(B58=0,IF(HT58=1,MI58,MJ58),0)</f>
        <v>0</v>
      </c>
      <c r="SP58" s="1" t="n">
        <f aca="false">IF(FG58=1,IF(HT58=1,MP58+MS58,FH58-OZ58)*(1+Slot15_Rate),0)</f>
        <v>0</v>
      </c>
      <c r="SQ58" s="1" t="n">
        <f aca="false">IF(AND(HT58=1,FG58=1),(MO58+MS58)/E58,0)</f>
        <v>0</v>
      </c>
      <c r="SR58" s="1" t="n">
        <f aca="false">IF(B58=0,MO58+MS58,0)</f>
        <v>0</v>
      </c>
      <c r="SS58" s="1" t="n">
        <f aca="false">IF(B58=0,IF(HT58=1,MQ58,MR58),0)</f>
        <v>0</v>
      </c>
      <c r="ST58" s="1" t="n">
        <f aca="false">IF(FQ58=1,IF(HT58=1,MX58+NA58,FR58-OX58)*(1+Slot16_Rate),0)</f>
        <v>0</v>
      </c>
      <c r="SU58" s="1" t="n">
        <f aca="false">IF(AND(HT58=1,FQ58=1),(MW58+NA58)/E58,0)</f>
        <v>0</v>
      </c>
      <c r="SV58" s="1" t="n">
        <f aca="false">IF(B58=0,MW58+NA58,0)</f>
        <v>0</v>
      </c>
      <c r="SW58" s="1" t="n">
        <f aca="false">IF(B58=0,IF(HT58=1,MY58,MZ58),0)</f>
        <v>0</v>
      </c>
      <c r="SX58" s="1" t="n">
        <f aca="false">IF(GA58=1,IF(HT58=1,NF58+NI58,GB58-OV58)*(1+Slot17_Rate),0)</f>
        <v>0</v>
      </c>
      <c r="SY58" s="1" t="n">
        <f aca="false">IF(AND(HT58=1,GA58=1),(NE58+NI58)/E58,0)</f>
        <v>0</v>
      </c>
      <c r="SZ58" s="1" t="n">
        <f aca="false">IF(B58=0,NE58+NI58,0)</f>
        <v>0</v>
      </c>
      <c r="TA58" s="1" t="n">
        <f aca="false">IF(B58=0,IF(HT58=1,NG58,NH58),0)</f>
        <v>0</v>
      </c>
      <c r="TB58" s="1" t="n">
        <f aca="false">IF(GK58=1,IF(HT58=1,NN58+NQ58,GL58-OT58)*(1+Slot18_Rate),0)</f>
        <v>0</v>
      </c>
      <c r="TC58" s="1" t="n">
        <f aca="false">IF(AND(HT58=1,GK58=1),(NM58+NQ58)/E58,0)</f>
        <v>0</v>
      </c>
      <c r="TD58" s="1" t="n">
        <f aca="false">IF(B58=0,NM58+NQ58,0)</f>
        <v>0</v>
      </c>
      <c r="TE58" s="1" t="n">
        <f aca="false">IF(B58=0,IF(HT58=1,NO58,NP58),0)</f>
        <v>0</v>
      </c>
      <c r="TF58" s="1" t="n">
        <f aca="false">IF(GU58=1,IF(HT58=1,NV58+NY58,GV58-OR58)*(1+Slot19_Rate),0)</f>
        <v>0</v>
      </c>
      <c r="TG58" s="1" t="n">
        <f aca="false">IF(AND(HT58=1,GU58=1),(NU58+NY58)/E58,0)</f>
        <v>0</v>
      </c>
      <c r="TH58" s="1" t="n">
        <f aca="false">IF(B58=0,NU58+NY58,0)</f>
        <v>0</v>
      </c>
      <c r="TI58" s="1" t="n">
        <f aca="false">IF(B58=0,IF(HT58=1,NW58,NX58),0)</f>
        <v>0</v>
      </c>
      <c r="TJ58" s="1" t="n">
        <f aca="false">IF(HE58=1,IF(HT58=1,OD58+OG58,HF58-OP58)*(1+Slot20_Rate),0)</f>
        <v>0</v>
      </c>
      <c r="TK58" s="1" t="n">
        <f aca="false">IF(AND(HT58=1,HE58=1),(OC58+OG58)/E58,0)</f>
        <v>0</v>
      </c>
      <c r="TL58" s="1" t="n">
        <f aca="false">IF(B58=0,OC58+OG58,0)</f>
        <v>0</v>
      </c>
      <c r="TM58" s="1" t="n">
        <f aca="false">IF(B58=0,IF(HT58=1,OE58,OF58),0)</f>
        <v>0</v>
      </c>
      <c r="TN58" s="1" t="n">
        <f aca="false">QJ58+QK58+QL58+QP58+QT58+QX58+RB58+RF58+RJ58+RN58+RR58+RV58+RZ58+SD58+SH58+SL58+SP58+ST58+SX58+TB58+TF58+TJ58</f>
        <v>0</v>
      </c>
      <c r="TO58" s="1" t="n">
        <f aca="false">QD58+HO58</f>
        <v>0</v>
      </c>
      <c r="TP58" s="1" t="n">
        <f aca="false">H58+R58</f>
        <v>0</v>
      </c>
      <c r="TQ58" s="1" t="n">
        <f aca="false">1-F58</f>
        <v>0</v>
      </c>
      <c r="TR58" s="1" t="n">
        <f aca="false">IF(AND(RG_Exists=1,F58=0,C58=1),H58,0)</f>
        <v>0</v>
      </c>
      <c r="TS58" s="1" t="n">
        <f aca="false">IF(AND(RG_Exists=1,F58=0,C58=1),H58-MIN(QD58,H58),0)</f>
        <v>0</v>
      </c>
      <c r="TT58" s="1" t="n">
        <f aca="false">'Plan pay &amp; tax'!AD284</f>
        <v>0</v>
      </c>
      <c r="TU58" s="1" t="n">
        <f aca="false">IF(AND(C58=1,QD58&gt;MAX(PR_Short1,TP58*PR_Short2)),1,0)</f>
        <v>0</v>
      </c>
      <c r="TV58" s="1" t="n">
        <f aca="false">MIN(G58,H58+R58)</f>
        <v>0</v>
      </c>
      <c r="TW58" s="1" t="n">
        <f aca="false">QE58+MAX(0,HP58-HO58)</f>
        <v>0</v>
      </c>
      <c r="TX58" s="1" t="n">
        <f aca="false">QD58+HO58</f>
        <v>0</v>
      </c>
      <c r="TY58" s="1" t="n">
        <f aca="false">IF(AND(C58=1,TX58&gt;PR_MinShort),1,0)</f>
        <v>0</v>
      </c>
      <c r="TZ58" s="1" t="n">
        <f aca="false">IF(AND(C58=1,TY58=0,TW58&gt;PR_MinShort),1,0)</f>
        <v>0</v>
      </c>
      <c r="UA58" s="1" t="n">
        <f aca="false">IF(AND(C58=1,QD58&gt;PR_MinShort),1,0)</f>
        <v>0</v>
      </c>
      <c r="UB58" s="1" t="n">
        <f aca="false">IF(AND(C58=1,QE58&gt;1,UI58=0),1,0)</f>
        <v>0</v>
      </c>
      <c r="UC58" s="1" t="str">
        <f aca="false">IF(C58=0,"",IF(UI58=1,"Gap to plan for: short "&amp;"€"&amp;TEXT(ROUND(TO58,0),"#,##0"),IF(QE58&gt;1,"Using savings","Comfortable")))</f>
        <v>Comfortable</v>
      </c>
      <c r="UD58" s="1" t="n">
        <f aca="false">IF(AND(INT(D58/10)*10=90,B58&gt;0),80,INT(D58/10)*10)</f>
        <v>50</v>
      </c>
      <c r="UE58" s="1" t="n">
        <f aca="false">IF(B58=0,1,IF(UD58&lt;&gt;UD57,UE57+1,UE57))</f>
        <v>6</v>
      </c>
      <c r="UF58" s="1" t="n">
        <f aca="false">IF(AND(C58=1,F58=1,QD58&gt;MAX(PR_Short1,TP58*PR_Short2)),1,0)</f>
        <v>0</v>
      </c>
      <c r="UG58" s="1" t="n">
        <f aca="false">TQ58*TU58</f>
        <v>0</v>
      </c>
      <c r="UH58" s="1" t="n">
        <f aca="false">IF(AND(U58=1,Slot1_PctLow=1),1,0)+IF(AND(AF58=1,Slot2_PctLow=1),1,0)+IF(AND(AP58=1,Slot3_PctLow=1),1,0)+IF(AND(AZ58=1,Slot4_PctLow=1),1,0)+IF(AND(BJ58=1,Slot5_PctLow=1),1,0)+IF(AND(BT58=1,Slot6_PctLow=1),1,0)+IF(AND(CD58=1,Slot7_PctLow=1),1,0)+IF(AND(CN58=1,Slot8_PctLow=1),1,0)+IF(AND(CX58=1,Slot9_PctLow=1),1,0)+IF(AND(DH58=1,Slot10_PctLow=1),1,0)+IF(AND(DR58=1,Slot11_PctLow=1),1,0)+IF(AND(EB58=1,Slot12_PctLow=1),1,0)+IF(AND(EL58=1,Slot13_PctLow=1),1,0)+IF(AND(EV58=1,Slot14_PctLow=1),1,0)+IF(AND(FF58=1,Slot15_PctLow=1),1,0)+IF(AND(FP58=1,Slot16_PctLow=1),1,0)+IF(AND(FZ58=1,Slot17_PctLow=1),1,0)+IF(AND(GJ58=1,Slot18_PctLow=1),1,0)+IF(AND(GT58=1,Slot19_PctLow=1),1,0)+IF(AND(HD58=1,Slot20_PctLow=1),1,0)</f>
        <v>0</v>
      </c>
      <c r="UI58" s="1" t="n">
        <f aca="false">IF(C58=1,IF(OR(TU58=1,UH58&gt;0),1,0),0)</f>
        <v>0</v>
      </c>
    </row>
    <row r="59" customFormat="false" ht="15" hidden="false" customHeight="true" outlineLevel="0" collapsed="false">
      <c r="B59" s="1" t="n">
        <v>51</v>
      </c>
      <c r="C59" s="1" t="n">
        <f aca="false">IF(B59&lt;=F_N,1,0)</f>
        <v>1</v>
      </c>
      <c r="D59" s="1" t="n">
        <f aca="false">'Plan pay &amp; tax'!C285</f>
        <v>51</v>
      </c>
      <c r="E59" s="111" t="n">
        <f aca="false">'Plan pay &amp; tax'!E285</f>
        <v>2.74541978965508</v>
      </c>
      <c r="F59" s="1" t="n">
        <f aca="false">'Plan pay &amp; tax'!G285</f>
        <v>1</v>
      </c>
      <c r="G59" s="1" t="n">
        <f aca="false">'Plan pay &amp; tax'!BT285-'Plan pay &amp; tax'!BS285-'Plan pay &amp; tax'!R285</f>
        <v>0</v>
      </c>
      <c r="H59" s="1" t="n">
        <f aca="false">IF(F59=1,F_CostsM*12,IF(RG_Exists=1,RG_Amount,F_CostsM*12*AS_RetireSpend))*E59+F_OneOffY*E59</f>
        <v>0</v>
      </c>
      <c r="I59" s="1" t="n">
        <f aca="false">HQ58</f>
        <v>0</v>
      </c>
      <c r="J59" s="1" t="n">
        <f aca="false">IF(I59&gt;1,'Plan debt months'!AC59,0)</f>
        <v>0</v>
      </c>
      <c r="K59" s="1" t="n">
        <f aca="false">IF(I59&gt;1,'Plan debt months'!AB59,I59)</f>
        <v>0</v>
      </c>
      <c r="L59" s="1" t="n">
        <f aca="false">N58</f>
        <v>0</v>
      </c>
      <c r="M59" s="1" t="n">
        <f aca="false">IF(L59&gt;1,'Plan debt months'!BD59,0)</f>
        <v>0</v>
      </c>
      <c r="N59" s="1" t="n">
        <f aca="false">IF(L59&gt;1,'Plan debt months'!BC59,L59)</f>
        <v>0</v>
      </c>
      <c r="O59" s="1" t="n">
        <f aca="false">Q58</f>
        <v>0</v>
      </c>
      <c r="P59" s="1" t="n">
        <f aca="false">IF(O59&gt;1,'Plan debt months'!CE59,0)</f>
        <v>0</v>
      </c>
      <c r="Q59" s="1" t="n">
        <f aca="false">IF(O59&gt;1,'Plan debt months'!CD59,O59)</f>
        <v>0</v>
      </c>
      <c r="R59" s="1" t="n">
        <f aca="false">J59+M59+P59</f>
        <v>0</v>
      </c>
      <c r="S59" s="1" t="n">
        <f aca="false">QJ58+'Plan pay &amp; tax'!Y285</f>
        <v>0</v>
      </c>
      <c r="T59" s="1" t="n">
        <f aca="false">QJ58</f>
        <v>0</v>
      </c>
      <c r="U59" s="1" t="n">
        <f aca="false">IF(AND(Slot1_On=1,D59=Slot1_Age),1,0)</f>
        <v>0</v>
      </c>
      <c r="V59" s="1" t="n">
        <f aca="false">IF(AND(Slot1_On=1,Slot1_Age&gt;D59),1,0)</f>
        <v>0</v>
      </c>
      <c r="W59" s="1" t="n">
        <f aca="false">QL58</f>
        <v>0</v>
      </c>
      <c r="X59" s="1" t="n">
        <f aca="false">U59*MIN(Slot1_Cost,W59)</f>
        <v>0</v>
      </c>
      <c r="Y59" s="1" t="n">
        <f aca="false">U59*Slot1_SpendLike*MIN(Slot1_Cost-X59,S59)</f>
        <v>0</v>
      </c>
      <c r="Z59" s="1" t="n">
        <f aca="false">X59+Y59</f>
        <v>0</v>
      </c>
      <c r="AA59" s="1" t="n">
        <f aca="false">S59-Y59+U59*IF(Slot1_SpendLike=1,W59-X59,IF(Slot1_PotFree=1,W59,0))</f>
        <v>0</v>
      </c>
      <c r="AB59" s="1" t="n">
        <f aca="false">AE59+U59*Slot1_BufPot*W59</f>
        <v>0</v>
      </c>
      <c r="AC59" s="1" t="n">
        <f aca="false">IF(AND(U59=1,Slot1_IsMfree=1),IF(Z59&gt;=Slot1_Cost-1,0,MAX(0,K59-Z59)),K59)</f>
        <v>0</v>
      </c>
      <c r="AD59" s="1" t="n">
        <f aca="false">U59*(Slot1_Cost-Z59)</f>
        <v>0</v>
      </c>
      <c r="AE59" s="1" t="n">
        <f aca="false">QK58</f>
        <v>0</v>
      </c>
      <c r="AF59" s="1" t="n">
        <f aca="false">IF(AND(Slot2_On=1,D59=Slot2_Age),1,0)</f>
        <v>0</v>
      </c>
      <c r="AG59" s="1" t="n">
        <f aca="false">IF(AND(Slot2_On=1,Slot2_Age&gt;D59),1,0)</f>
        <v>0</v>
      </c>
      <c r="AH59" s="1" t="n">
        <f aca="false">QP58</f>
        <v>0</v>
      </c>
      <c r="AI59" s="1" t="n">
        <f aca="false">AF59*MIN(Slot2_Cost,AH59)</f>
        <v>0</v>
      </c>
      <c r="AJ59" s="1" t="n">
        <f aca="false">AF59*Slot2_SpendLike*MIN(Slot2_Cost-AI59,AA59)</f>
        <v>0</v>
      </c>
      <c r="AK59" s="1" t="n">
        <f aca="false">AI59+AJ59</f>
        <v>0</v>
      </c>
      <c r="AL59" s="1" t="n">
        <f aca="false">AA59-AJ59+AF59*IF(Slot2_SpendLike=1,AH59-AI59,IF(Slot2_PotFree=1,AH59,0))</f>
        <v>0</v>
      </c>
      <c r="AM59" s="1" t="n">
        <f aca="false">AB59+AF59*Slot2_BufPot*AH59</f>
        <v>0</v>
      </c>
      <c r="AN59" s="1" t="n">
        <f aca="false">IF(AND(AF59=1,Slot2_IsMfree=1),IF(AK59&gt;=Slot2_Cost-1,0,MAX(0,AC59-AK59)),AC59)</f>
        <v>0</v>
      </c>
      <c r="AO59" s="1" t="n">
        <f aca="false">AF59*(Slot2_Cost-AK59)</f>
        <v>0</v>
      </c>
      <c r="AP59" s="1" t="n">
        <f aca="false">IF(AND(Slot3_On=1,D59=Slot3_Age),1,0)</f>
        <v>0</v>
      </c>
      <c r="AQ59" s="1" t="n">
        <f aca="false">IF(AND(Slot3_On=1,Slot3_Age&gt;D59),1,0)</f>
        <v>0</v>
      </c>
      <c r="AR59" s="1" t="n">
        <f aca="false">QT58</f>
        <v>0</v>
      </c>
      <c r="AS59" s="1" t="n">
        <f aca="false">AP59*MIN(Slot3_Cost,AR59)</f>
        <v>0</v>
      </c>
      <c r="AT59" s="1" t="n">
        <f aca="false">AP59*Slot3_SpendLike*MIN(Slot3_Cost-AS59,AL59)</f>
        <v>0</v>
      </c>
      <c r="AU59" s="1" t="n">
        <f aca="false">AS59+AT59</f>
        <v>0</v>
      </c>
      <c r="AV59" s="1" t="n">
        <f aca="false">AL59-AT59+AP59*IF(Slot3_SpendLike=1,AR59-AS59,IF(Slot3_PotFree=1,AR59,0))</f>
        <v>0</v>
      </c>
      <c r="AW59" s="1" t="n">
        <f aca="false">AM59+AP59*Slot3_BufPot*AR59</f>
        <v>0</v>
      </c>
      <c r="AX59" s="1" t="n">
        <f aca="false">IF(AND(AP59=1,Slot3_IsMfree=1),IF(AU59&gt;=Slot3_Cost-1,0,MAX(0,AN59-AU59)),AN59)</f>
        <v>0</v>
      </c>
      <c r="AY59" s="1" t="n">
        <f aca="false">AP59*(Slot3_Cost-AU59)</f>
        <v>0</v>
      </c>
      <c r="AZ59" s="1" t="n">
        <f aca="false">IF(AND(Slot4_On=1,D59=Slot4_Age),1,0)</f>
        <v>0</v>
      </c>
      <c r="BA59" s="1" t="n">
        <f aca="false">IF(AND(Slot4_On=1,Slot4_Age&gt;D59),1,0)</f>
        <v>0</v>
      </c>
      <c r="BB59" s="1" t="n">
        <f aca="false">QX58</f>
        <v>0</v>
      </c>
      <c r="BC59" s="1" t="n">
        <f aca="false">AZ59*MIN(Slot4_Cost,BB59)</f>
        <v>0</v>
      </c>
      <c r="BD59" s="1" t="n">
        <f aca="false">AZ59*Slot4_SpendLike*MIN(Slot4_Cost-BC59,AV59)</f>
        <v>0</v>
      </c>
      <c r="BE59" s="1" t="n">
        <f aca="false">BC59+BD59</f>
        <v>0</v>
      </c>
      <c r="BF59" s="1" t="n">
        <f aca="false">AV59-BD59+AZ59*IF(Slot4_SpendLike=1,BB59-BC59,IF(Slot4_PotFree=1,BB59,0))</f>
        <v>0</v>
      </c>
      <c r="BG59" s="1" t="n">
        <f aca="false">AW59+AZ59*Slot4_BufPot*BB59</f>
        <v>0</v>
      </c>
      <c r="BH59" s="1" t="n">
        <f aca="false">IF(AND(AZ59=1,Slot4_IsMfree=1),IF(BE59&gt;=Slot4_Cost-1,0,MAX(0,AX59-BE59)),AX59)</f>
        <v>0</v>
      </c>
      <c r="BI59" s="1" t="n">
        <f aca="false">AZ59*(Slot4_Cost-BE59)</f>
        <v>0</v>
      </c>
      <c r="BJ59" s="1" t="n">
        <f aca="false">IF(AND(Slot5_On=1,D59=Slot5_Age),1,0)</f>
        <v>0</v>
      </c>
      <c r="BK59" s="1" t="n">
        <f aca="false">IF(AND(Slot5_On=1,Slot5_Age&gt;D59),1,0)</f>
        <v>0</v>
      </c>
      <c r="BL59" s="1" t="n">
        <f aca="false">RB58</f>
        <v>0</v>
      </c>
      <c r="BM59" s="1" t="n">
        <f aca="false">BJ59*MIN(Slot5_Cost,BL59)</f>
        <v>0</v>
      </c>
      <c r="BN59" s="1" t="n">
        <f aca="false">BJ59*Slot5_SpendLike*MIN(Slot5_Cost-BM59,BF59)</f>
        <v>0</v>
      </c>
      <c r="BO59" s="1" t="n">
        <f aca="false">BM59+BN59</f>
        <v>0</v>
      </c>
      <c r="BP59" s="1" t="n">
        <f aca="false">BF59-BN59+BJ59*IF(Slot5_SpendLike=1,BL59-BM59,IF(Slot5_PotFree=1,BL59,0))</f>
        <v>0</v>
      </c>
      <c r="BQ59" s="1" t="n">
        <f aca="false">BG59+BJ59*Slot5_BufPot*BL59</f>
        <v>0</v>
      </c>
      <c r="BR59" s="1" t="n">
        <f aca="false">IF(AND(BJ59=1,Slot5_IsMfree=1),IF(BO59&gt;=Slot5_Cost-1,0,MAX(0,BH59-BO59)),BH59)</f>
        <v>0</v>
      </c>
      <c r="BS59" s="1" t="n">
        <f aca="false">BJ59*(Slot5_Cost-BO59)</f>
        <v>0</v>
      </c>
      <c r="BT59" s="1" t="n">
        <f aca="false">IF(AND(Slot6_On=1,D59=Slot6_Age),1,0)</f>
        <v>0</v>
      </c>
      <c r="BU59" s="1" t="n">
        <f aca="false">IF(AND(Slot6_On=1,Slot6_Age&gt;D59),1,0)</f>
        <v>0</v>
      </c>
      <c r="BV59" s="1" t="n">
        <f aca="false">RF58</f>
        <v>0</v>
      </c>
      <c r="BW59" s="1" t="n">
        <f aca="false">BT59*MIN(Slot6_Cost,BV59)</f>
        <v>0</v>
      </c>
      <c r="BX59" s="1" t="n">
        <f aca="false">BT59*Slot6_SpendLike*MIN(Slot6_Cost-BW59,BP59)</f>
        <v>0</v>
      </c>
      <c r="BY59" s="1" t="n">
        <f aca="false">BW59+BX59</f>
        <v>0</v>
      </c>
      <c r="BZ59" s="1" t="n">
        <f aca="false">BP59-BX59+BT59*IF(Slot6_SpendLike=1,BV59-BW59,IF(Slot6_PotFree=1,BV59,0))</f>
        <v>0</v>
      </c>
      <c r="CA59" s="1" t="n">
        <f aca="false">BQ59+BT59*Slot6_BufPot*BV59</f>
        <v>0</v>
      </c>
      <c r="CB59" s="1" t="n">
        <f aca="false">IF(AND(BT59=1,Slot6_IsMfree=1),IF(BY59&gt;=Slot6_Cost-1,0,MAX(0,BR59-BY59)),BR59)</f>
        <v>0</v>
      </c>
      <c r="CC59" s="1" t="n">
        <f aca="false">BT59*(Slot6_Cost-BY59)</f>
        <v>0</v>
      </c>
      <c r="CD59" s="1" t="n">
        <f aca="false">IF(AND(Slot7_On=1,D59=Slot7_Age),1,0)</f>
        <v>0</v>
      </c>
      <c r="CE59" s="1" t="n">
        <f aca="false">IF(AND(Slot7_On=1,Slot7_Age&gt;D59),1,0)</f>
        <v>0</v>
      </c>
      <c r="CF59" s="1" t="n">
        <f aca="false">RJ58</f>
        <v>0</v>
      </c>
      <c r="CG59" s="1" t="n">
        <f aca="false">CD59*MIN(Slot7_Cost,CF59)</f>
        <v>0</v>
      </c>
      <c r="CH59" s="1" t="n">
        <f aca="false">CD59*Slot7_SpendLike*MIN(Slot7_Cost-CG59,BZ59)</f>
        <v>0</v>
      </c>
      <c r="CI59" s="1" t="n">
        <f aca="false">CG59+CH59</f>
        <v>0</v>
      </c>
      <c r="CJ59" s="1" t="n">
        <f aca="false">BZ59-CH59+CD59*IF(Slot7_SpendLike=1,CF59-CG59,IF(Slot7_PotFree=1,CF59,0))</f>
        <v>0</v>
      </c>
      <c r="CK59" s="1" t="n">
        <f aca="false">CA59+CD59*Slot7_BufPot*CF59</f>
        <v>0</v>
      </c>
      <c r="CL59" s="1" t="n">
        <f aca="false">IF(AND(CD59=1,Slot7_IsMfree=1),IF(CI59&gt;=Slot7_Cost-1,0,MAX(0,CB59-CI59)),CB59)</f>
        <v>0</v>
      </c>
      <c r="CM59" s="1" t="n">
        <f aca="false">CD59*(Slot7_Cost-CI59)</f>
        <v>0</v>
      </c>
      <c r="CN59" s="1" t="n">
        <f aca="false">IF(AND(Slot8_On=1,D59=Slot8_Age),1,0)</f>
        <v>0</v>
      </c>
      <c r="CO59" s="1" t="n">
        <f aca="false">IF(AND(Slot8_On=1,Slot8_Age&gt;D59),1,0)</f>
        <v>0</v>
      </c>
      <c r="CP59" s="1" t="n">
        <f aca="false">RN58</f>
        <v>0</v>
      </c>
      <c r="CQ59" s="1" t="n">
        <f aca="false">CN59*MIN(Slot8_Cost,CP59)</f>
        <v>0</v>
      </c>
      <c r="CR59" s="1" t="n">
        <f aca="false">CN59*Slot8_SpendLike*MIN(Slot8_Cost-CQ59,CJ59)</f>
        <v>0</v>
      </c>
      <c r="CS59" s="1" t="n">
        <f aca="false">CQ59+CR59</f>
        <v>0</v>
      </c>
      <c r="CT59" s="1" t="n">
        <f aca="false">CJ59-CR59+CN59*IF(Slot8_SpendLike=1,CP59-CQ59,IF(Slot8_PotFree=1,CP59,0))</f>
        <v>0</v>
      </c>
      <c r="CU59" s="1" t="n">
        <f aca="false">CK59+CN59*Slot8_BufPot*CP59</f>
        <v>0</v>
      </c>
      <c r="CV59" s="1" t="n">
        <f aca="false">IF(AND(CN59=1,Slot8_IsMfree=1),IF(CS59&gt;=Slot8_Cost-1,0,MAX(0,CL59-CS59)),CL59)</f>
        <v>0</v>
      </c>
      <c r="CW59" s="1" t="n">
        <f aca="false">CN59*(Slot8_Cost-CS59)</f>
        <v>0</v>
      </c>
      <c r="CX59" s="1" t="n">
        <f aca="false">IF(AND(Slot9_On=1,D59=Slot9_Age),1,0)</f>
        <v>0</v>
      </c>
      <c r="CY59" s="1" t="n">
        <f aca="false">IF(AND(Slot9_On=1,Slot9_Age&gt;D59),1,0)</f>
        <v>0</v>
      </c>
      <c r="CZ59" s="1" t="n">
        <f aca="false">RR58</f>
        <v>0</v>
      </c>
      <c r="DA59" s="1" t="n">
        <f aca="false">CX59*MIN(Slot9_Cost,CZ59)</f>
        <v>0</v>
      </c>
      <c r="DB59" s="1" t="n">
        <f aca="false">CX59*Slot9_SpendLike*MIN(Slot9_Cost-DA59,CT59)</f>
        <v>0</v>
      </c>
      <c r="DC59" s="1" t="n">
        <f aca="false">DA59+DB59</f>
        <v>0</v>
      </c>
      <c r="DD59" s="1" t="n">
        <f aca="false">CT59-DB59+CX59*IF(Slot9_SpendLike=1,CZ59-DA59,IF(Slot9_PotFree=1,CZ59,0))</f>
        <v>0</v>
      </c>
      <c r="DE59" s="1" t="n">
        <f aca="false">CU59+CX59*Slot9_BufPot*CZ59</f>
        <v>0</v>
      </c>
      <c r="DF59" s="1" t="n">
        <f aca="false">IF(AND(CX59=1,Slot9_IsMfree=1),IF(DC59&gt;=Slot9_Cost-1,0,MAX(0,CV59-DC59)),CV59)</f>
        <v>0</v>
      </c>
      <c r="DG59" s="1" t="n">
        <f aca="false">CX59*(Slot9_Cost-DC59)</f>
        <v>0</v>
      </c>
      <c r="DH59" s="1" t="n">
        <f aca="false">IF(AND(Slot10_On=1,D59=Slot10_Age),1,0)</f>
        <v>0</v>
      </c>
      <c r="DI59" s="1" t="n">
        <f aca="false">IF(AND(Slot10_On=1,Slot10_Age&gt;D59),1,0)</f>
        <v>0</v>
      </c>
      <c r="DJ59" s="1" t="n">
        <f aca="false">RV58</f>
        <v>0</v>
      </c>
      <c r="DK59" s="1" t="n">
        <f aca="false">DH59*MIN(Slot10_Cost,DJ59)</f>
        <v>0</v>
      </c>
      <c r="DL59" s="1" t="n">
        <f aca="false">DH59*Slot10_SpendLike*MIN(Slot10_Cost-DK59,DD59)</f>
        <v>0</v>
      </c>
      <c r="DM59" s="1" t="n">
        <f aca="false">DK59+DL59</f>
        <v>0</v>
      </c>
      <c r="DN59" s="1" t="n">
        <f aca="false">DD59-DL59+DH59*IF(Slot10_SpendLike=1,DJ59-DK59,IF(Slot10_PotFree=1,DJ59,0))</f>
        <v>0</v>
      </c>
      <c r="DO59" s="1" t="n">
        <f aca="false">DE59+DH59*Slot10_BufPot*DJ59</f>
        <v>0</v>
      </c>
      <c r="DP59" s="1" t="n">
        <f aca="false">IF(AND(DH59=1,Slot10_IsMfree=1),IF(DM59&gt;=Slot10_Cost-1,0,MAX(0,DF59-DM59)),DF59)</f>
        <v>0</v>
      </c>
      <c r="DQ59" s="1" t="n">
        <f aca="false">DH59*(Slot10_Cost-DM59)</f>
        <v>0</v>
      </c>
      <c r="DR59" s="1" t="n">
        <f aca="false">IF(AND(Slot11_On=1,D59=Slot11_Age),1,0)</f>
        <v>0</v>
      </c>
      <c r="DS59" s="1" t="n">
        <f aca="false">IF(AND(Slot11_On=1,Slot11_Age&gt;D59),1,0)</f>
        <v>0</v>
      </c>
      <c r="DT59" s="1" t="n">
        <f aca="false">RZ58</f>
        <v>0</v>
      </c>
      <c r="DU59" s="1" t="n">
        <f aca="false">DR59*MIN(Slot11_Cost,DT59)</f>
        <v>0</v>
      </c>
      <c r="DV59" s="1" t="n">
        <f aca="false">DR59*Slot11_SpendLike*MIN(Slot11_Cost-DU59,DN59)</f>
        <v>0</v>
      </c>
      <c r="DW59" s="1" t="n">
        <f aca="false">DU59+DV59</f>
        <v>0</v>
      </c>
      <c r="DX59" s="1" t="n">
        <f aca="false">DN59-DV59+DR59*IF(Slot11_SpendLike=1,DT59-DU59,IF(Slot11_PotFree=1,DT59,0))</f>
        <v>0</v>
      </c>
      <c r="DY59" s="1" t="n">
        <f aca="false">DO59+DR59*Slot11_BufPot*DT59</f>
        <v>0</v>
      </c>
      <c r="DZ59" s="1" t="n">
        <f aca="false">IF(AND(DR59=1,Slot11_IsMfree=1),IF(DW59&gt;=Slot11_Cost-1,0,MAX(0,DP59-DW59)),DP59)</f>
        <v>0</v>
      </c>
      <c r="EA59" s="1" t="n">
        <f aca="false">DR59*(Slot11_Cost-DW59)</f>
        <v>0</v>
      </c>
      <c r="EB59" s="1" t="n">
        <f aca="false">IF(AND(Slot12_On=1,D59=Slot12_Age),1,0)</f>
        <v>0</v>
      </c>
      <c r="EC59" s="1" t="n">
        <f aca="false">IF(AND(Slot12_On=1,Slot12_Age&gt;D59),1,0)</f>
        <v>0</v>
      </c>
      <c r="ED59" s="1" t="n">
        <f aca="false">SD58</f>
        <v>0</v>
      </c>
      <c r="EE59" s="1" t="n">
        <f aca="false">EB59*MIN(Slot12_Cost,ED59)</f>
        <v>0</v>
      </c>
      <c r="EF59" s="1" t="n">
        <f aca="false">EB59*Slot12_SpendLike*MIN(Slot12_Cost-EE59,DX59)</f>
        <v>0</v>
      </c>
      <c r="EG59" s="1" t="n">
        <f aca="false">EE59+EF59</f>
        <v>0</v>
      </c>
      <c r="EH59" s="1" t="n">
        <f aca="false">DX59-EF59+EB59*IF(Slot12_SpendLike=1,ED59-EE59,IF(Slot12_PotFree=1,ED59,0))</f>
        <v>0</v>
      </c>
      <c r="EI59" s="1" t="n">
        <f aca="false">DY59+EB59*Slot12_BufPot*ED59</f>
        <v>0</v>
      </c>
      <c r="EJ59" s="1" t="n">
        <f aca="false">IF(AND(EB59=1,Slot12_IsMfree=1),IF(EG59&gt;=Slot12_Cost-1,0,MAX(0,DZ59-EG59)),DZ59)</f>
        <v>0</v>
      </c>
      <c r="EK59" s="1" t="n">
        <f aca="false">EB59*(Slot12_Cost-EG59)</f>
        <v>0</v>
      </c>
      <c r="EL59" s="1" t="n">
        <f aca="false">IF(AND(Slot13_On=1,D59=Slot13_Age),1,0)</f>
        <v>0</v>
      </c>
      <c r="EM59" s="1" t="n">
        <f aca="false">IF(AND(Slot13_On=1,Slot13_Age&gt;D59),1,0)</f>
        <v>0</v>
      </c>
      <c r="EN59" s="1" t="n">
        <f aca="false">SH58</f>
        <v>0</v>
      </c>
      <c r="EO59" s="1" t="n">
        <f aca="false">EL59*MIN(Slot13_Cost,EN59)</f>
        <v>0</v>
      </c>
      <c r="EP59" s="1" t="n">
        <f aca="false">EL59*Slot13_SpendLike*MIN(Slot13_Cost-EO59,EH59)</f>
        <v>0</v>
      </c>
      <c r="EQ59" s="1" t="n">
        <f aca="false">EO59+EP59</f>
        <v>0</v>
      </c>
      <c r="ER59" s="1" t="n">
        <f aca="false">EH59-EP59+EL59*IF(Slot13_SpendLike=1,EN59-EO59,IF(Slot13_PotFree=1,EN59,0))</f>
        <v>0</v>
      </c>
      <c r="ES59" s="1" t="n">
        <f aca="false">EI59+EL59*Slot13_BufPot*EN59</f>
        <v>0</v>
      </c>
      <c r="ET59" s="1" t="n">
        <f aca="false">IF(AND(EL59=1,Slot13_IsMfree=1),IF(EQ59&gt;=Slot13_Cost-1,0,MAX(0,EJ59-EQ59)),EJ59)</f>
        <v>0</v>
      </c>
      <c r="EU59" s="1" t="n">
        <f aca="false">EL59*(Slot13_Cost-EQ59)</f>
        <v>0</v>
      </c>
      <c r="EV59" s="1" t="n">
        <f aca="false">IF(AND(Slot14_On=1,D59=Slot14_Age),1,0)</f>
        <v>0</v>
      </c>
      <c r="EW59" s="1" t="n">
        <f aca="false">IF(AND(Slot14_On=1,Slot14_Age&gt;D59),1,0)</f>
        <v>0</v>
      </c>
      <c r="EX59" s="1" t="n">
        <f aca="false">SL58</f>
        <v>0</v>
      </c>
      <c r="EY59" s="1" t="n">
        <f aca="false">EV59*MIN(Slot14_Cost,EX59)</f>
        <v>0</v>
      </c>
      <c r="EZ59" s="1" t="n">
        <f aca="false">EV59*Slot14_SpendLike*MIN(Slot14_Cost-EY59,ER59)</f>
        <v>0</v>
      </c>
      <c r="FA59" s="1" t="n">
        <f aca="false">EY59+EZ59</f>
        <v>0</v>
      </c>
      <c r="FB59" s="1" t="n">
        <f aca="false">ER59-EZ59+EV59*IF(Slot14_SpendLike=1,EX59-EY59,IF(Slot14_PotFree=1,EX59,0))</f>
        <v>0</v>
      </c>
      <c r="FC59" s="1" t="n">
        <f aca="false">ES59+EV59*Slot14_BufPot*EX59</f>
        <v>0</v>
      </c>
      <c r="FD59" s="1" t="n">
        <f aca="false">IF(AND(EV59=1,Slot14_IsMfree=1),IF(FA59&gt;=Slot14_Cost-1,0,MAX(0,ET59-FA59)),ET59)</f>
        <v>0</v>
      </c>
      <c r="FE59" s="1" t="n">
        <f aca="false">EV59*(Slot14_Cost-FA59)</f>
        <v>0</v>
      </c>
      <c r="FF59" s="1" t="n">
        <f aca="false">IF(AND(Slot15_On=1,D59=Slot15_Age),1,0)</f>
        <v>0</v>
      </c>
      <c r="FG59" s="1" t="n">
        <f aca="false">IF(AND(Slot15_On=1,Slot15_Age&gt;D59),1,0)</f>
        <v>0</v>
      </c>
      <c r="FH59" s="1" t="n">
        <f aca="false">SP58</f>
        <v>0</v>
      </c>
      <c r="FI59" s="1" t="n">
        <f aca="false">FF59*MIN(Slot15_Cost,FH59)</f>
        <v>0</v>
      </c>
      <c r="FJ59" s="1" t="n">
        <f aca="false">FF59*Slot15_SpendLike*MIN(Slot15_Cost-FI59,FB59)</f>
        <v>0</v>
      </c>
      <c r="FK59" s="1" t="n">
        <f aca="false">FI59+FJ59</f>
        <v>0</v>
      </c>
      <c r="FL59" s="1" t="n">
        <f aca="false">FB59-FJ59+FF59*IF(Slot15_SpendLike=1,FH59-FI59,IF(Slot15_PotFree=1,FH59,0))</f>
        <v>0</v>
      </c>
      <c r="FM59" s="1" t="n">
        <f aca="false">FC59+FF59*Slot15_BufPot*FH59</f>
        <v>0</v>
      </c>
      <c r="FN59" s="1" t="n">
        <f aca="false">IF(AND(FF59=1,Slot15_IsMfree=1),IF(FK59&gt;=Slot15_Cost-1,0,MAX(0,FD59-FK59)),FD59)</f>
        <v>0</v>
      </c>
      <c r="FO59" s="1" t="n">
        <f aca="false">FF59*(Slot15_Cost-FK59)</f>
        <v>0</v>
      </c>
      <c r="FP59" s="1" t="n">
        <f aca="false">IF(AND(Slot16_On=1,D59=Slot16_Age),1,0)</f>
        <v>0</v>
      </c>
      <c r="FQ59" s="1" t="n">
        <f aca="false">IF(AND(Slot16_On=1,Slot16_Age&gt;D59),1,0)</f>
        <v>0</v>
      </c>
      <c r="FR59" s="1" t="n">
        <f aca="false">ST58</f>
        <v>0</v>
      </c>
      <c r="FS59" s="1" t="n">
        <f aca="false">FP59*MIN(Slot16_Cost,FR59)</f>
        <v>0</v>
      </c>
      <c r="FT59" s="1" t="n">
        <f aca="false">FP59*Slot16_SpendLike*MIN(Slot16_Cost-FS59,FL59)</f>
        <v>0</v>
      </c>
      <c r="FU59" s="1" t="n">
        <f aca="false">FS59+FT59</f>
        <v>0</v>
      </c>
      <c r="FV59" s="1" t="n">
        <f aca="false">FL59-FT59+FP59*IF(Slot16_SpendLike=1,FR59-FS59,IF(Slot16_PotFree=1,FR59,0))</f>
        <v>0</v>
      </c>
      <c r="FW59" s="1" t="n">
        <f aca="false">FM59+FP59*Slot16_BufPot*FR59</f>
        <v>0</v>
      </c>
      <c r="FX59" s="1" t="n">
        <f aca="false">IF(AND(FP59=1,Slot16_IsMfree=1),IF(FU59&gt;=Slot16_Cost-1,0,MAX(0,FN59-FU59)),FN59)</f>
        <v>0</v>
      </c>
      <c r="FY59" s="1" t="n">
        <f aca="false">FP59*(Slot16_Cost-FU59)</f>
        <v>0</v>
      </c>
      <c r="FZ59" s="1" t="n">
        <f aca="false">IF(AND(Slot17_On=1,D59=Slot17_Age),1,0)</f>
        <v>0</v>
      </c>
      <c r="GA59" s="1" t="n">
        <f aca="false">IF(AND(Slot17_On=1,Slot17_Age&gt;D59),1,0)</f>
        <v>0</v>
      </c>
      <c r="GB59" s="1" t="n">
        <f aca="false">SX58</f>
        <v>0</v>
      </c>
      <c r="GC59" s="1" t="n">
        <f aca="false">FZ59*MIN(Slot17_Cost,GB59)</f>
        <v>0</v>
      </c>
      <c r="GD59" s="1" t="n">
        <f aca="false">FZ59*Slot17_SpendLike*MIN(Slot17_Cost-GC59,FV59)</f>
        <v>0</v>
      </c>
      <c r="GE59" s="1" t="n">
        <f aca="false">GC59+GD59</f>
        <v>0</v>
      </c>
      <c r="GF59" s="1" t="n">
        <f aca="false">FV59-GD59+FZ59*IF(Slot17_SpendLike=1,GB59-GC59,IF(Slot17_PotFree=1,GB59,0))</f>
        <v>0</v>
      </c>
      <c r="GG59" s="1" t="n">
        <f aca="false">FW59+FZ59*Slot17_BufPot*GB59</f>
        <v>0</v>
      </c>
      <c r="GH59" s="1" t="n">
        <f aca="false">IF(AND(FZ59=1,Slot17_IsMfree=1),IF(GE59&gt;=Slot17_Cost-1,0,MAX(0,FX59-GE59)),FX59)</f>
        <v>0</v>
      </c>
      <c r="GI59" s="1" t="n">
        <f aca="false">FZ59*(Slot17_Cost-GE59)</f>
        <v>0</v>
      </c>
      <c r="GJ59" s="1" t="n">
        <f aca="false">IF(AND(Slot18_On=1,D59=Slot18_Age),1,0)</f>
        <v>0</v>
      </c>
      <c r="GK59" s="1" t="n">
        <f aca="false">IF(AND(Slot18_On=1,Slot18_Age&gt;D59),1,0)</f>
        <v>0</v>
      </c>
      <c r="GL59" s="1" t="n">
        <f aca="false">TB58</f>
        <v>0</v>
      </c>
      <c r="GM59" s="1" t="n">
        <f aca="false">GJ59*MIN(Slot18_Cost,GL59)</f>
        <v>0</v>
      </c>
      <c r="GN59" s="1" t="n">
        <f aca="false">GJ59*Slot18_SpendLike*MIN(Slot18_Cost-GM59,GF59)</f>
        <v>0</v>
      </c>
      <c r="GO59" s="1" t="n">
        <f aca="false">GM59+GN59</f>
        <v>0</v>
      </c>
      <c r="GP59" s="1" t="n">
        <f aca="false">GF59-GN59+GJ59*IF(Slot18_SpendLike=1,GL59-GM59,IF(Slot18_PotFree=1,GL59,0))</f>
        <v>0</v>
      </c>
      <c r="GQ59" s="1" t="n">
        <f aca="false">GG59+GJ59*Slot18_BufPot*GL59</f>
        <v>0</v>
      </c>
      <c r="GR59" s="1" t="n">
        <f aca="false">IF(AND(GJ59=1,Slot18_IsMfree=1),IF(GO59&gt;=Slot18_Cost-1,0,MAX(0,GH59-GO59)),GH59)</f>
        <v>0</v>
      </c>
      <c r="GS59" s="1" t="n">
        <f aca="false">GJ59*(Slot18_Cost-GO59)</f>
        <v>0</v>
      </c>
      <c r="GT59" s="1" t="n">
        <f aca="false">IF(AND(Slot19_On=1,D59=Slot19_Age),1,0)</f>
        <v>0</v>
      </c>
      <c r="GU59" s="1" t="n">
        <f aca="false">IF(AND(Slot19_On=1,Slot19_Age&gt;D59),1,0)</f>
        <v>0</v>
      </c>
      <c r="GV59" s="1" t="n">
        <f aca="false">TF58</f>
        <v>0</v>
      </c>
      <c r="GW59" s="1" t="n">
        <f aca="false">GT59*MIN(Slot19_Cost,GV59)</f>
        <v>0</v>
      </c>
      <c r="GX59" s="1" t="n">
        <f aca="false">GT59*Slot19_SpendLike*MIN(Slot19_Cost-GW59,GP59)</f>
        <v>0</v>
      </c>
      <c r="GY59" s="1" t="n">
        <f aca="false">GW59+GX59</f>
        <v>0</v>
      </c>
      <c r="GZ59" s="1" t="n">
        <f aca="false">GP59-GX59+GT59*IF(Slot19_SpendLike=1,GV59-GW59,IF(Slot19_PotFree=1,GV59,0))</f>
        <v>0</v>
      </c>
      <c r="HA59" s="1" t="n">
        <f aca="false">GQ59+GT59*Slot19_BufPot*GV59</f>
        <v>0</v>
      </c>
      <c r="HB59" s="1" t="n">
        <f aca="false">IF(AND(GT59=1,Slot19_IsMfree=1),IF(GY59&gt;=Slot19_Cost-1,0,MAX(0,GR59-GY59)),GR59)</f>
        <v>0</v>
      </c>
      <c r="HC59" s="1" t="n">
        <f aca="false">GT59*(Slot19_Cost-GY59)</f>
        <v>0</v>
      </c>
      <c r="HD59" s="1" t="n">
        <f aca="false">IF(AND(Slot20_On=1,D59=Slot20_Age),1,0)</f>
        <v>0</v>
      </c>
      <c r="HE59" s="1" t="n">
        <f aca="false">IF(AND(Slot20_On=1,Slot20_Age&gt;D59),1,0)</f>
        <v>0</v>
      </c>
      <c r="HF59" s="1" t="n">
        <f aca="false">TJ58</f>
        <v>0</v>
      </c>
      <c r="HG59" s="1" t="n">
        <f aca="false">HD59*MIN(Slot20_Cost,HF59)</f>
        <v>0</v>
      </c>
      <c r="HH59" s="1" t="n">
        <f aca="false">HD59*Slot20_SpendLike*MIN(Slot20_Cost-HG59,GZ59)</f>
        <v>0</v>
      </c>
      <c r="HI59" s="1" t="n">
        <f aca="false">HG59+HH59</f>
        <v>0</v>
      </c>
      <c r="HJ59" s="1" t="n">
        <f aca="false">GZ59-HH59+HD59*IF(Slot20_SpendLike=1,HF59-HG59,IF(Slot20_PotFree=1,HF59,0))</f>
        <v>0</v>
      </c>
      <c r="HK59" s="1" t="n">
        <f aca="false">HA59+HD59*Slot20_BufPot*HF59</f>
        <v>0</v>
      </c>
      <c r="HL59" s="1" t="n">
        <f aca="false">IF(AND(HD59=1,Slot20_IsMfree=1),IF(HI59&gt;=Slot20_Cost-1,0,MAX(0,HB59-HI59)),HB59)</f>
        <v>0</v>
      </c>
      <c r="HM59" s="1" t="n">
        <f aca="false">HD59*(Slot20_Cost-HI59)</f>
        <v>0</v>
      </c>
      <c r="HN59" s="1" t="n">
        <f aca="false">U59*Slot1_SpendLike*Z59+AF59*Slot2_SpendLike*AK59+AP59*Slot3_SpendLike*AU59+AZ59*Slot4_SpendLike*BE59+BJ59*Slot5_SpendLike*BO59+BT59*Slot6_SpendLike*BY59+CD59*Slot7_SpendLike*CI59+CN59*Slot8_SpendLike*CS59+CX59*Slot9_SpendLike*DC59+DH59*Slot10_SpendLike*DM59+DR59*Slot11_SpendLike*DW59+EB59*Slot12_SpendLike*EG59+EL59*Slot13_SpendLike*EQ59+EV59*Slot14_SpendLike*FA59+FF59*Slot15_SpendLike*FK59+FP59*Slot16_SpendLike*FU59+FZ59*Slot17_SpendLike*GE59+GJ59*Slot18_SpendLike*GO59+GT59*Slot19_SpendLike*GY59+HD59*Slot20_SpendLike*HI59</f>
        <v>0</v>
      </c>
      <c r="HO59" s="1" t="n">
        <f aca="false">AD59+AO59+AY59+BI59+BS59+CC59+CM59+CW59+DG59+DQ59+EA59+EK59+EU59+FE59+FO59+FY59+GI59+GS59+HC59+HM59</f>
        <v>0</v>
      </c>
      <c r="HP59" s="1" t="n">
        <f aca="false">U59*Slot1_Cost+AF59*Slot2_Cost+AP59*Slot3_Cost+AZ59*Slot4_Cost+BJ59*Slot5_Cost+BT59*Slot6_Cost+CD59*Slot7_Cost+CN59*Slot8_Cost+CX59*Slot9_Cost+DH59*Slot10_Cost+DR59*Slot11_Cost+EB59*Slot12_Cost+EL59*Slot13_Cost+EV59*Slot14_Cost+FF59*Slot15_Cost+FP59*Slot16_Cost+FZ59*Slot17_Cost+GJ59*Slot18_Cost+GT59*Slot19_Cost+HD59*Slot20_Cost</f>
        <v>0</v>
      </c>
      <c r="HQ59" s="1" t="n">
        <f aca="false">HL59</f>
        <v>0</v>
      </c>
      <c r="HR59" s="1" t="n">
        <f aca="false">G59-H59-R59</f>
        <v>0</v>
      </c>
      <c r="HS59" s="1" t="n">
        <f aca="false">IF(B59=0,IF(AND(Has_q6=1,In_q6=4),PR_ShareVaries*(MAX(0,HR59)/12),MIN(IF(Has_q6=1,CHOOSE(In_q6+1,PR_SaveB1,PR_SaveB2,PR_SaveB3,PR_SaveB4,0),AS_NoAnswer),AS_SaveShare*(MAX(0,HR59)/12))),HS58)</f>
        <v>0</v>
      </c>
      <c r="HT59" s="1" t="n">
        <f aca="false">IF(HR59&gt;=0,1,0)</f>
        <v>1</v>
      </c>
      <c r="HU59" s="1" t="n">
        <f aca="false">MAX(0,HR59/12/E59)</f>
        <v>0</v>
      </c>
      <c r="HV59" s="1" t="n">
        <f aca="false">IF(AND(Has_q6=1,In_q6=4),PR_ShareVaries*(HU59),MIN(IF(Has_q6=1,CHOOSE(In_q6+1,PR_SaveB1,PR_SaveB2,PR_SaveB3,PR_SaveB4,0),AS_NoAnswer),AS_SaveShare*(HU59)))</f>
        <v>0</v>
      </c>
      <c r="HW59" s="1" t="n">
        <f aca="false">IF(Has_saveM=1,IF(In_saveUp="Yes",1,IF(In_saveUp="No",0,IF(In_saveM&gt;=HS59-0.5,1,0))),0)</f>
        <v>0</v>
      </c>
      <c r="HX59" s="1" t="n">
        <f aca="false">IF(Has_saveM=1,MIN(HU59,IF(HW59=1,MAX(In_saveM,HV59),MIN(In_saveM,HV59))),HV59)</f>
        <v>0</v>
      </c>
      <c r="HY59" s="1" t="n">
        <f aca="false">IF(F59=1,HX59*12*E59,0)</f>
        <v>0</v>
      </c>
      <c r="HZ59" s="1" t="n">
        <f aca="false">MAX(0,HY59+IF(AND(WI_Retire=0,WI_M&lt;0,F59=1),WI_M*12*E59,0))</f>
        <v>0</v>
      </c>
      <c r="IA59" s="1" t="n">
        <f aca="false">Slot1_IsWG*V59+Slot2_IsWG*AG59+Slot3_IsWG*AQ59+Slot4_IsWG*BA59+Slot5_IsWG*BK59+Slot6_IsWG*BU59+Slot7_IsWG*CE59+Slot8_IsWG*CO59+Slot9_IsWG*CY59+Slot10_IsWG*DI59+Slot11_IsWG*DS59+Slot12_IsWG*EC59+Slot13_IsWG*EM59+Slot14_IsWG*EW59+Slot15_IsWG*FG59+Slot16_IsWG*FQ59+Slot17_IsWG*GA59+Slot18_IsWG*GK59+Slot19_IsWG*GU59+Slot20_IsWG*HE59</f>
        <v>0</v>
      </c>
      <c r="IB59" s="1" t="n">
        <f aca="false">IF(AND(WI_Retire=0,WI_M&gt;0,F59=1,IA59&gt;=1),WI_M*12*E59,0)</f>
        <v>0</v>
      </c>
      <c r="IC59" s="1" t="n">
        <f aca="false">IF(HT59=1,MIN(HZ59,HR59),0)</f>
        <v>0</v>
      </c>
      <c r="ID59" s="1" t="n">
        <f aca="false">IF(HT59=1,MIN(IB59,HR59-IC59),0)</f>
        <v>0</v>
      </c>
      <c r="IE59" s="1" t="n">
        <f aca="false">IF(V59=1,IF(ABS((1+AS_Wage)/(1+Slot1_Rate)-1)&lt;0.000000000001,(Slot1_Age-D59)*(1+Slot1_Rate)^(Slot1_Age-D59),(1+Slot1_Rate)^(Slot1_Age-D59)*(1-((1+AS_Wage)/(1+Slot1_Rate))^(Slot1_Age-D59))/(1-(1+AS_Wage)/(1+Slot1_Rate))),1)</f>
        <v>1</v>
      </c>
      <c r="IF59" s="1" t="n">
        <f aca="false">IF(AND(HT59=1,ID59&gt;0,Slot1_IsWG=1,V59=1),MAX(0,(Slot1_Cost-W59*(1+Slot1_Rate)^(Slot1_Age-D59))/IE59),0)</f>
        <v>0</v>
      </c>
      <c r="IG59" s="1" t="n">
        <f aca="false">IF(AND(HT59=1,ID59&gt;0,Slot1_IsWG=1,V59=1),MIN(ID59,IF59),0)</f>
        <v>0</v>
      </c>
      <c r="IH59" s="1" t="n">
        <f aca="false">W59+IG59</f>
        <v>0</v>
      </c>
      <c r="II59" s="1" t="n">
        <f aca="false">IF(V59=1,MAX(0,(Slot1_Cost-IH59*(1+Slot1_Rate)^(Slot1_Age-D59))/IE59),0)</f>
        <v>0</v>
      </c>
      <c r="IJ59" s="1" t="n">
        <f aca="false">IF(V59=1,MAX(0,(Slot1_Cost-W59*(1+Slot1_Rate)^(Slot1_Age-D59))/IE59),0)</f>
        <v>0</v>
      </c>
      <c r="IK59" s="1" t="n">
        <f aca="false">IF(AND(HT59=1,V59=1),MIN(IC59,II59),0)</f>
        <v>0</v>
      </c>
      <c r="IL59" s="1" t="n">
        <f aca="false">IC59-IK59</f>
        <v>0</v>
      </c>
      <c r="IM59" s="1" t="n">
        <f aca="false">IF(AG59=1,IF(ABS((1+AS_Wage)/(1+Slot2_Rate)-1)&lt;0.000000000001,(Slot2_Age-D59)*(1+Slot2_Rate)^(Slot2_Age-D59),(1+Slot2_Rate)^(Slot2_Age-D59)*(1-((1+AS_Wage)/(1+Slot2_Rate))^(Slot2_Age-D59))/(1-(1+AS_Wage)/(1+Slot2_Rate))),1)</f>
        <v>1</v>
      </c>
      <c r="IN59" s="1" t="n">
        <f aca="false">IF(AND(HT59=1,ID59&gt;0,Slot2_IsWG=1,AG59=1),MAX(0,(Slot2_Cost-AH59*(1+Slot2_Rate)^(Slot2_Age-D59))/IM59),0)</f>
        <v>0</v>
      </c>
      <c r="IO59" s="1" t="n">
        <f aca="false">IF(AND(HT59=1,ID59&gt;0,Slot2_IsWG=1,AG59=1),MIN(ID59,IN59),0)</f>
        <v>0</v>
      </c>
      <c r="IP59" s="1" t="n">
        <f aca="false">AH59+IO59</f>
        <v>0</v>
      </c>
      <c r="IQ59" s="1" t="n">
        <f aca="false">IF(AG59=1,MAX(0,(Slot2_Cost-IP59*(1+Slot2_Rate)^(Slot2_Age-D59))/IM59),0)</f>
        <v>0</v>
      </c>
      <c r="IR59" s="1" t="n">
        <f aca="false">IF(AG59=1,MAX(0,(Slot2_Cost-AH59*(1+Slot2_Rate)^(Slot2_Age-D59))/IM59),0)</f>
        <v>0</v>
      </c>
      <c r="IS59" s="1" t="n">
        <f aca="false">IF(AND(HT59=1,AG59=1),MIN(IL59,IQ59),0)</f>
        <v>0</v>
      </c>
      <c r="IT59" s="1" t="n">
        <f aca="false">IL59-IS59</f>
        <v>0</v>
      </c>
      <c r="IU59" s="1" t="n">
        <f aca="false">IF(AQ59=1,IF(ABS((1+AS_Wage)/(1+Slot3_Rate)-1)&lt;0.000000000001,(Slot3_Age-D59)*(1+Slot3_Rate)^(Slot3_Age-D59),(1+Slot3_Rate)^(Slot3_Age-D59)*(1-((1+AS_Wage)/(1+Slot3_Rate))^(Slot3_Age-D59))/(1-(1+AS_Wage)/(1+Slot3_Rate))),1)</f>
        <v>1</v>
      </c>
      <c r="IV59" s="1" t="n">
        <f aca="false">IF(AND(HT59=1,ID59&gt;0,Slot3_IsWG=1,AQ59=1),MAX(0,(Slot3_Cost-AR59*(1+Slot3_Rate)^(Slot3_Age-D59))/IU59),0)</f>
        <v>0</v>
      </c>
      <c r="IW59" s="1" t="n">
        <f aca="false">IF(AND(HT59=1,ID59&gt;0,Slot3_IsWG=1,AQ59=1),MIN(ID59,IV59),0)</f>
        <v>0</v>
      </c>
      <c r="IX59" s="1" t="n">
        <f aca="false">AR59+IW59</f>
        <v>0</v>
      </c>
      <c r="IY59" s="1" t="n">
        <f aca="false">IF(AQ59=1,MAX(0,(Slot3_Cost-IX59*(1+Slot3_Rate)^(Slot3_Age-D59))/IU59),0)</f>
        <v>0</v>
      </c>
      <c r="IZ59" s="1" t="n">
        <f aca="false">IF(AQ59=1,MAX(0,(Slot3_Cost-AR59*(1+Slot3_Rate)^(Slot3_Age-D59))/IU59),0)</f>
        <v>0</v>
      </c>
      <c r="JA59" s="1" t="n">
        <f aca="false">IF(AND(HT59=1,AQ59=1),MIN(IT59,IY59),0)</f>
        <v>0</v>
      </c>
      <c r="JB59" s="1" t="n">
        <f aca="false">IT59-JA59</f>
        <v>0</v>
      </c>
      <c r="JC59" s="1" t="n">
        <f aca="false">IF(BA59=1,IF(ABS((1+AS_Wage)/(1+Slot4_Rate)-1)&lt;0.000000000001,(Slot4_Age-D59)*(1+Slot4_Rate)^(Slot4_Age-D59),(1+Slot4_Rate)^(Slot4_Age-D59)*(1-((1+AS_Wage)/(1+Slot4_Rate))^(Slot4_Age-D59))/(1-(1+AS_Wage)/(1+Slot4_Rate))),1)</f>
        <v>1</v>
      </c>
      <c r="JD59" s="1" t="n">
        <f aca="false">IF(AND(HT59=1,ID59&gt;0,Slot4_IsWG=1,BA59=1),MAX(0,(Slot4_Cost-BB59*(1+Slot4_Rate)^(Slot4_Age-D59))/JC59),0)</f>
        <v>0</v>
      </c>
      <c r="JE59" s="1" t="n">
        <f aca="false">IF(AND(HT59=1,ID59&gt;0,Slot4_IsWG=1,BA59=1),MIN(ID59,JD59),0)</f>
        <v>0</v>
      </c>
      <c r="JF59" s="1" t="n">
        <f aca="false">BB59+JE59</f>
        <v>0</v>
      </c>
      <c r="JG59" s="1" t="n">
        <f aca="false">IF(BA59=1,MAX(0,(Slot4_Cost-JF59*(1+Slot4_Rate)^(Slot4_Age-D59))/JC59),0)</f>
        <v>0</v>
      </c>
      <c r="JH59" s="1" t="n">
        <f aca="false">IF(BA59=1,MAX(0,(Slot4_Cost-BB59*(1+Slot4_Rate)^(Slot4_Age-D59))/JC59),0)</f>
        <v>0</v>
      </c>
      <c r="JI59" s="1" t="n">
        <f aca="false">IF(AND(HT59=1,BA59=1),MIN(JB59,JG59),0)</f>
        <v>0</v>
      </c>
      <c r="JJ59" s="1" t="n">
        <f aca="false">JB59-JI59</f>
        <v>0</v>
      </c>
      <c r="JK59" s="1" t="n">
        <f aca="false">IF(BK59=1,IF(ABS((1+AS_Wage)/(1+Slot5_Rate)-1)&lt;0.000000000001,(Slot5_Age-D59)*(1+Slot5_Rate)^(Slot5_Age-D59),(1+Slot5_Rate)^(Slot5_Age-D59)*(1-((1+AS_Wage)/(1+Slot5_Rate))^(Slot5_Age-D59))/(1-(1+AS_Wage)/(1+Slot5_Rate))),1)</f>
        <v>1</v>
      </c>
      <c r="JL59" s="1" t="n">
        <f aca="false">IF(AND(HT59=1,ID59&gt;0,Slot5_IsWG=1,BK59=1),MAX(0,(Slot5_Cost-BL59*(1+Slot5_Rate)^(Slot5_Age-D59))/JK59),0)</f>
        <v>0</v>
      </c>
      <c r="JM59" s="1" t="n">
        <f aca="false">IF(AND(HT59=1,ID59&gt;0,Slot5_IsWG=1,BK59=1),MIN(ID59,JL59),0)</f>
        <v>0</v>
      </c>
      <c r="JN59" s="1" t="n">
        <f aca="false">BL59+JM59</f>
        <v>0</v>
      </c>
      <c r="JO59" s="1" t="n">
        <f aca="false">IF(BK59=1,MAX(0,(Slot5_Cost-JN59*(1+Slot5_Rate)^(Slot5_Age-D59))/JK59),0)</f>
        <v>0</v>
      </c>
      <c r="JP59" s="1" t="n">
        <f aca="false">IF(BK59=1,MAX(0,(Slot5_Cost-BL59*(1+Slot5_Rate)^(Slot5_Age-D59))/JK59),0)</f>
        <v>0</v>
      </c>
      <c r="JQ59" s="1" t="n">
        <f aca="false">IF(AND(HT59=1,BK59=1),MIN(JJ59,JO59),0)</f>
        <v>0</v>
      </c>
      <c r="JR59" s="1" t="n">
        <f aca="false">JJ59-JQ59</f>
        <v>0</v>
      </c>
      <c r="JS59" s="1" t="n">
        <f aca="false">IF(BU59=1,IF(ABS((1+AS_Wage)/(1+Slot6_Rate)-1)&lt;0.000000000001,(Slot6_Age-D59)*(1+Slot6_Rate)^(Slot6_Age-D59),(1+Slot6_Rate)^(Slot6_Age-D59)*(1-((1+AS_Wage)/(1+Slot6_Rate))^(Slot6_Age-D59))/(1-(1+AS_Wage)/(1+Slot6_Rate))),1)</f>
        <v>1</v>
      </c>
      <c r="JT59" s="1" t="n">
        <f aca="false">IF(AND(HT59=1,ID59&gt;0,Slot6_IsWG=1,BU59=1),MAX(0,(Slot6_Cost-BV59*(1+Slot6_Rate)^(Slot6_Age-D59))/JS59),0)</f>
        <v>0</v>
      </c>
      <c r="JU59" s="1" t="n">
        <f aca="false">IF(AND(HT59=1,ID59&gt;0,Slot6_IsWG=1,BU59=1),MIN(ID59,JT59),0)</f>
        <v>0</v>
      </c>
      <c r="JV59" s="1" t="n">
        <f aca="false">BV59+JU59</f>
        <v>0</v>
      </c>
      <c r="JW59" s="1" t="n">
        <f aca="false">IF(BU59=1,MAX(0,(Slot6_Cost-JV59*(1+Slot6_Rate)^(Slot6_Age-D59))/JS59),0)</f>
        <v>0</v>
      </c>
      <c r="JX59" s="1" t="n">
        <f aca="false">IF(BU59=1,MAX(0,(Slot6_Cost-BV59*(1+Slot6_Rate)^(Slot6_Age-D59))/JS59),0)</f>
        <v>0</v>
      </c>
      <c r="JY59" s="1" t="n">
        <f aca="false">IF(AND(HT59=1,BU59=1),MIN(JR59,JW59),0)</f>
        <v>0</v>
      </c>
      <c r="JZ59" s="1" t="n">
        <f aca="false">JR59-JY59</f>
        <v>0</v>
      </c>
      <c r="KA59" s="1" t="n">
        <f aca="false">IF(CE59=1,IF(ABS((1+AS_Wage)/(1+Slot7_Rate)-1)&lt;0.000000000001,(Slot7_Age-D59)*(1+Slot7_Rate)^(Slot7_Age-D59),(1+Slot7_Rate)^(Slot7_Age-D59)*(1-((1+AS_Wage)/(1+Slot7_Rate))^(Slot7_Age-D59))/(1-(1+AS_Wage)/(1+Slot7_Rate))),1)</f>
        <v>1</v>
      </c>
      <c r="KB59" s="1" t="n">
        <f aca="false">IF(AND(HT59=1,ID59&gt;0,Slot7_IsWG=1,CE59=1),MAX(0,(Slot7_Cost-CF59*(1+Slot7_Rate)^(Slot7_Age-D59))/KA59),0)</f>
        <v>0</v>
      </c>
      <c r="KC59" s="1" t="n">
        <f aca="false">IF(AND(HT59=1,ID59&gt;0,Slot7_IsWG=1,CE59=1),MIN(ID59,KB59),0)</f>
        <v>0</v>
      </c>
      <c r="KD59" s="1" t="n">
        <f aca="false">CF59+KC59</f>
        <v>0</v>
      </c>
      <c r="KE59" s="1" t="n">
        <f aca="false">IF(CE59=1,MAX(0,(Slot7_Cost-KD59*(1+Slot7_Rate)^(Slot7_Age-D59))/KA59),0)</f>
        <v>0</v>
      </c>
      <c r="KF59" s="1" t="n">
        <f aca="false">IF(CE59=1,MAX(0,(Slot7_Cost-CF59*(1+Slot7_Rate)^(Slot7_Age-D59))/KA59),0)</f>
        <v>0</v>
      </c>
      <c r="KG59" s="1" t="n">
        <f aca="false">IF(AND(HT59=1,CE59=1),MIN(JZ59,KE59),0)</f>
        <v>0</v>
      </c>
      <c r="KH59" s="1" t="n">
        <f aca="false">JZ59-KG59</f>
        <v>0</v>
      </c>
      <c r="KI59" s="1" t="n">
        <f aca="false">IF(CO59=1,IF(ABS((1+AS_Wage)/(1+Slot8_Rate)-1)&lt;0.000000000001,(Slot8_Age-D59)*(1+Slot8_Rate)^(Slot8_Age-D59),(1+Slot8_Rate)^(Slot8_Age-D59)*(1-((1+AS_Wage)/(1+Slot8_Rate))^(Slot8_Age-D59))/(1-(1+AS_Wage)/(1+Slot8_Rate))),1)</f>
        <v>1</v>
      </c>
      <c r="KJ59" s="1" t="n">
        <f aca="false">IF(AND(HT59=1,ID59&gt;0,Slot8_IsWG=1,CO59=1),MAX(0,(Slot8_Cost-CP59*(1+Slot8_Rate)^(Slot8_Age-D59))/KI59),0)</f>
        <v>0</v>
      </c>
      <c r="KK59" s="1" t="n">
        <f aca="false">IF(AND(HT59=1,ID59&gt;0,Slot8_IsWG=1,CO59=1),MIN(ID59,KJ59),0)</f>
        <v>0</v>
      </c>
      <c r="KL59" s="1" t="n">
        <f aca="false">CP59+KK59</f>
        <v>0</v>
      </c>
      <c r="KM59" s="1" t="n">
        <f aca="false">IF(CO59=1,MAX(0,(Slot8_Cost-KL59*(1+Slot8_Rate)^(Slot8_Age-D59))/KI59),0)</f>
        <v>0</v>
      </c>
      <c r="KN59" s="1" t="n">
        <f aca="false">IF(CO59=1,MAX(0,(Slot8_Cost-CP59*(1+Slot8_Rate)^(Slot8_Age-D59))/KI59),0)</f>
        <v>0</v>
      </c>
      <c r="KO59" s="1" t="n">
        <f aca="false">IF(AND(HT59=1,CO59=1),MIN(KH59,KM59),0)</f>
        <v>0</v>
      </c>
      <c r="KP59" s="1" t="n">
        <f aca="false">KH59-KO59</f>
        <v>0</v>
      </c>
      <c r="KQ59" s="1" t="n">
        <f aca="false">IF(CY59=1,IF(ABS((1+AS_Wage)/(1+Slot9_Rate)-1)&lt;0.000000000001,(Slot9_Age-D59)*(1+Slot9_Rate)^(Slot9_Age-D59),(1+Slot9_Rate)^(Slot9_Age-D59)*(1-((1+AS_Wage)/(1+Slot9_Rate))^(Slot9_Age-D59))/(1-(1+AS_Wage)/(1+Slot9_Rate))),1)</f>
        <v>1</v>
      </c>
      <c r="KR59" s="1" t="n">
        <f aca="false">IF(AND(HT59=1,ID59&gt;0,Slot9_IsWG=1,CY59=1),MAX(0,(Slot9_Cost-CZ59*(1+Slot9_Rate)^(Slot9_Age-D59))/KQ59),0)</f>
        <v>0</v>
      </c>
      <c r="KS59" s="1" t="n">
        <f aca="false">IF(AND(HT59=1,ID59&gt;0,Slot9_IsWG=1,CY59=1),MIN(ID59,KR59),0)</f>
        <v>0</v>
      </c>
      <c r="KT59" s="1" t="n">
        <f aca="false">CZ59+KS59</f>
        <v>0</v>
      </c>
      <c r="KU59" s="1" t="n">
        <f aca="false">IF(CY59=1,MAX(0,(Slot9_Cost-KT59*(1+Slot9_Rate)^(Slot9_Age-D59))/KQ59),0)</f>
        <v>0</v>
      </c>
      <c r="KV59" s="1" t="n">
        <f aca="false">IF(CY59=1,MAX(0,(Slot9_Cost-CZ59*(1+Slot9_Rate)^(Slot9_Age-D59))/KQ59),0)</f>
        <v>0</v>
      </c>
      <c r="KW59" s="1" t="n">
        <f aca="false">IF(AND(HT59=1,CY59=1),MIN(KP59,KU59),0)</f>
        <v>0</v>
      </c>
      <c r="KX59" s="1" t="n">
        <f aca="false">KP59-KW59</f>
        <v>0</v>
      </c>
      <c r="KY59" s="1" t="n">
        <f aca="false">IF(DI59=1,IF(ABS((1+AS_Wage)/(1+Slot10_Rate)-1)&lt;0.000000000001,(Slot10_Age-D59)*(1+Slot10_Rate)^(Slot10_Age-D59),(1+Slot10_Rate)^(Slot10_Age-D59)*(1-((1+AS_Wage)/(1+Slot10_Rate))^(Slot10_Age-D59))/(1-(1+AS_Wage)/(1+Slot10_Rate))),1)</f>
        <v>1</v>
      </c>
      <c r="KZ59" s="1" t="n">
        <f aca="false">IF(AND(HT59=1,ID59&gt;0,Slot10_IsWG=1,DI59=1),MAX(0,(Slot10_Cost-DJ59*(1+Slot10_Rate)^(Slot10_Age-D59))/KY59),0)</f>
        <v>0</v>
      </c>
      <c r="LA59" s="1" t="n">
        <f aca="false">IF(AND(HT59=1,ID59&gt;0,Slot10_IsWG=1,DI59=1),MIN(ID59,KZ59),0)</f>
        <v>0</v>
      </c>
      <c r="LB59" s="1" t="n">
        <f aca="false">DJ59+LA59</f>
        <v>0</v>
      </c>
      <c r="LC59" s="1" t="n">
        <f aca="false">IF(DI59=1,MAX(0,(Slot10_Cost-LB59*(1+Slot10_Rate)^(Slot10_Age-D59))/KY59),0)</f>
        <v>0</v>
      </c>
      <c r="LD59" s="1" t="n">
        <f aca="false">IF(DI59=1,MAX(0,(Slot10_Cost-DJ59*(1+Slot10_Rate)^(Slot10_Age-D59))/KY59),0)</f>
        <v>0</v>
      </c>
      <c r="LE59" s="1" t="n">
        <f aca="false">IF(AND(HT59=1,DI59=1),MIN(KX59,LC59),0)</f>
        <v>0</v>
      </c>
      <c r="LF59" s="1" t="n">
        <f aca="false">KX59-LE59</f>
        <v>0</v>
      </c>
      <c r="LG59" s="1" t="n">
        <f aca="false">IF(DS59=1,IF(ABS((1+AS_Wage)/(1+Slot11_Rate)-1)&lt;0.000000000001,(Slot11_Age-D59)*(1+Slot11_Rate)^(Slot11_Age-D59),(1+Slot11_Rate)^(Slot11_Age-D59)*(1-((1+AS_Wage)/(1+Slot11_Rate))^(Slot11_Age-D59))/(1-(1+AS_Wage)/(1+Slot11_Rate))),1)</f>
        <v>1</v>
      </c>
      <c r="LH59" s="1" t="n">
        <f aca="false">IF(AND(HT59=1,ID59&gt;0,Slot11_IsWG=1,DS59=1),MAX(0,(Slot11_Cost-DT59*(1+Slot11_Rate)^(Slot11_Age-D59))/LG59),0)</f>
        <v>0</v>
      </c>
      <c r="LI59" s="1" t="n">
        <f aca="false">IF(AND(HT59=1,ID59&gt;0,Slot11_IsWG=1,DS59=1),MIN(ID59,LH59),0)</f>
        <v>0</v>
      </c>
      <c r="LJ59" s="1" t="n">
        <f aca="false">DT59+LI59</f>
        <v>0</v>
      </c>
      <c r="LK59" s="1" t="n">
        <f aca="false">IF(DS59=1,MAX(0,(Slot11_Cost-LJ59*(1+Slot11_Rate)^(Slot11_Age-D59))/LG59),0)</f>
        <v>0</v>
      </c>
      <c r="LL59" s="1" t="n">
        <f aca="false">IF(DS59=1,MAX(0,(Slot11_Cost-DT59*(1+Slot11_Rate)^(Slot11_Age-D59))/LG59),0)</f>
        <v>0</v>
      </c>
      <c r="LM59" s="1" t="n">
        <f aca="false">IF(AND(HT59=1,DS59=1),MIN(LF59,LK59),0)</f>
        <v>0</v>
      </c>
      <c r="LN59" s="1" t="n">
        <f aca="false">LF59-LM59</f>
        <v>0</v>
      </c>
      <c r="LO59" s="1" t="n">
        <f aca="false">IF(EC59=1,IF(ABS((1+AS_Wage)/(1+Slot12_Rate)-1)&lt;0.000000000001,(Slot12_Age-D59)*(1+Slot12_Rate)^(Slot12_Age-D59),(1+Slot12_Rate)^(Slot12_Age-D59)*(1-((1+AS_Wage)/(1+Slot12_Rate))^(Slot12_Age-D59))/(1-(1+AS_Wage)/(1+Slot12_Rate))),1)</f>
        <v>1</v>
      </c>
      <c r="LP59" s="1" t="n">
        <f aca="false">IF(AND(HT59=1,ID59&gt;0,Slot12_IsWG=1,EC59=1),MAX(0,(Slot12_Cost-ED59*(1+Slot12_Rate)^(Slot12_Age-D59))/LO59),0)</f>
        <v>0</v>
      </c>
      <c r="LQ59" s="1" t="n">
        <f aca="false">IF(AND(HT59=1,ID59&gt;0,Slot12_IsWG=1,EC59=1),MIN(ID59,LP59),0)</f>
        <v>0</v>
      </c>
      <c r="LR59" s="1" t="n">
        <f aca="false">ED59+LQ59</f>
        <v>0</v>
      </c>
      <c r="LS59" s="1" t="n">
        <f aca="false">IF(EC59=1,MAX(0,(Slot12_Cost-LR59*(1+Slot12_Rate)^(Slot12_Age-D59))/LO59),0)</f>
        <v>0</v>
      </c>
      <c r="LT59" s="1" t="n">
        <f aca="false">IF(EC59=1,MAX(0,(Slot12_Cost-ED59*(1+Slot12_Rate)^(Slot12_Age-D59))/LO59),0)</f>
        <v>0</v>
      </c>
      <c r="LU59" s="1" t="n">
        <f aca="false">IF(AND(HT59=1,EC59=1),MIN(LN59,LS59),0)</f>
        <v>0</v>
      </c>
      <c r="LV59" s="1" t="n">
        <f aca="false">LN59-LU59</f>
        <v>0</v>
      </c>
      <c r="LW59" s="1" t="n">
        <f aca="false">IF(EM59=1,IF(ABS((1+AS_Wage)/(1+Slot13_Rate)-1)&lt;0.000000000001,(Slot13_Age-D59)*(1+Slot13_Rate)^(Slot13_Age-D59),(1+Slot13_Rate)^(Slot13_Age-D59)*(1-((1+AS_Wage)/(1+Slot13_Rate))^(Slot13_Age-D59))/(1-(1+AS_Wage)/(1+Slot13_Rate))),1)</f>
        <v>1</v>
      </c>
      <c r="LX59" s="1" t="n">
        <f aca="false">IF(AND(HT59=1,ID59&gt;0,Slot13_IsWG=1,EM59=1),MAX(0,(Slot13_Cost-EN59*(1+Slot13_Rate)^(Slot13_Age-D59))/LW59),0)</f>
        <v>0</v>
      </c>
      <c r="LY59" s="1" t="n">
        <f aca="false">IF(AND(HT59=1,ID59&gt;0,Slot13_IsWG=1,EM59=1),MIN(ID59,LX59),0)</f>
        <v>0</v>
      </c>
      <c r="LZ59" s="1" t="n">
        <f aca="false">EN59+LY59</f>
        <v>0</v>
      </c>
      <c r="MA59" s="1" t="n">
        <f aca="false">IF(EM59=1,MAX(0,(Slot13_Cost-LZ59*(1+Slot13_Rate)^(Slot13_Age-D59))/LW59),0)</f>
        <v>0</v>
      </c>
      <c r="MB59" s="1" t="n">
        <f aca="false">IF(EM59=1,MAX(0,(Slot13_Cost-EN59*(1+Slot13_Rate)^(Slot13_Age-D59))/LW59),0)</f>
        <v>0</v>
      </c>
      <c r="MC59" s="1" t="n">
        <f aca="false">IF(AND(HT59=1,EM59=1),MIN(LV59,MA59),0)</f>
        <v>0</v>
      </c>
      <c r="MD59" s="1" t="n">
        <f aca="false">LV59-MC59</f>
        <v>0</v>
      </c>
      <c r="ME59" s="1" t="n">
        <f aca="false">IF(EW59=1,IF(ABS((1+AS_Wage)/(1+Slot14_Rate)-1)&lt;0.000000000001,(Slot14_Age-D59)*(1+Slot14_Rate)^(Slot14_Age-D59),(1+Slot14_Rate)^(Slot14_Age-D59)*(1-((1+AS_Wage)/(1+Slot14_Rate))^(Slot14_Age-D59))/(1-(1+AS_Wage)/(1+Slot14_Rate))),1)</f>
        <v>1</v>
      </c>
      <c r="MF59" s="1" t="n">
        <f aca="false">IF(AND(HT59=1,ID59&gt;0,Slot14_IsWG=1,EW59=1),MAX(0,(Slot14_Cost-EX59*(1+Slot14_Rate)^(Slot14_Age-D59))/ME59),0)</f>
        <v>0</v>
      </c>
      <c r="MG59" s="1" t="n">
        <f aca="false">IF(AND(HT59=1,ID59&gt;0,Slot14_IsWG=1,EW59=1),MIN(ID59,MF59),0)</f>
        <v>0</v>
      </c>
      <c r="MH59" s="1" t="n">
        <f aca="false">EX59+MG59</f>
        <v>0</v>
      </c>
      <c r="MI59" s="1" t="n">
        <f aca="false">IF(EW59=1,MAX(0,(Slot14_Cost-MH59*(1+Slot14_Rate)^(Slot14_Age-D59))/ME59),0)</f>
        <v>0</v>
      </c>
      <c r="MJ59" s="1" t="n">
        <f aca="false">IF(EW59=1,MAX(0,(Slot14_Cost-EX59*(1+Slot14_Rate)^(Slot14_Age-D59))/ME59),0)</f>
        <v>0</v>
      </c>
      <c r="MK59" s="1" t="n">
        <f aca="false">IF(AND(HT59=1,EW59=1),MIN(MD59,MI59),0)</f>
        <v>0</v>
      </c>
      <c r="ML59" s="1" t="n">
        <f aca="false">MD59-MK59</f>
        <v>0</v>
      </c>
      <c r="MM59" s="1" t="n">
        <f aca="false">IF(FG59=1,IF(ABS((1+AS_Wage)/(1+Slot15_Rate)-1)&lt;0.000000000001,(Slot15_Age-D59)*(1+Slot15_Rate)^(Slot15_Age-D59),(1+Slot15_Rate)^(Slot15_Age-D59)*(1-((1+AS_Wage)/(1+Slot15_Rate))^(Slot15_Age-D59))/(1-(1+AS_Wage)/(1+Slot15_Rate))),1)</f>
        <v>1</v>
      </c>
      <c r="MN59" s="1" t="n">
        <f aca="false">IF(AND(HT59=1,ID59&gt;0,Slot15_IsWG=1,FG59=1),MAX(0,(Slot15_Cost-FH59*(1+Slot15_Rate)^(Slot15_Age-D59))/MM59),0)</f>
        <v>0</v>
      </c>
      <c r="MO59" s="1" t="n">
        <f aca="false">IF(AND(HT59=1,ID59&gt;0,Slot15_IsWG=1,FG59=1),MIN(ID59,MN59),0)</f>
        <v>0</v>
      </c>
      <c r="MP59" s="1" t="n">
        <f aca="false">FH59+MO59</f>
        <v>0</v>
      </c>
      <c r="MQ59" s="1" t="n">
        <f aca="false">IF(FG59=1,MAX(0,(Slot15_Cost-MP59*(1+Slot15_Rate)^(Slot15_Age-D59))/MM59),0)</f>
        <v>0</v>
      </c>
      <c r="MR59" s="1" t="n">
        <f aca="false">IF(FG59=1,MAX(0,(Slot15_Cost-FH59*(1+Slot15_Rate)^(Slot15_Age-D59))/MM59),0)</f>
        <v>0</v>
      </c>
      <c r="MS59" s="1" t="n">
        <f aca="false">IF(AND(HT59=1,FG59=1),MIN(ML59,MQ59),0)</f>
        <v>0</v>
      </c>
      <c r="MT59" s="1" t="n">
        <f aca="false">ML59-MS59</f>
        <v>0</v>
      </c>
      <c r="MU59" s="1" t="n">
        <f aca="false">IF(FQ59=1,IF(ABS((1+AS_Wage)/(1+Slot16_Rate)-1)&lt;0.000000000001,(Slot16_Age-D59)*(1+Slot16_Rate)^(Slot16_Age-D59),(1+Slot16_Rate)^(Slot16_Age-D59)*(1-((1+AS_Wage)/(1+Slot16_Rate))^(Slot16_Age-D59))/(1-(1+AS_Wage)/(1+Slot16_Rate))),1)</f>
        <v>1</v>
      </c>
      <c r="MV59" s="1" t="n">
        <f aca="false">IF(AND(HT59=1,ID59&gt;0,Slot16_IsWG=1,FQ59=1),MAX(0,(Slot16_Cost-FR59*(1+Slot16_Rate)^(Slot16_Age-D59))/MU59),0)</f>
        <v>0</v>
      </c>
      <c r="MW59" s="1" t="n">
        <f aca="false">IF(AND(HT59=1,ID59&gt;0,Slot16_IsWG=1,FQ59=1),MIN(ID59,MV59),0)</f>
        <v>0</v>
      </c>
      <c r="MX59" s="1" t="n">
        <f aca="false">FR59+MW59</f>
        <v>0</v>
      </c>
      <c r="MY59" s="1" t="n">
        <f aca="false">IF(FQ59=1,MAX(0,(Slot16_Cost-MX59*(1+Slot16_Rate)^(Slot16_Age-D59))/MU59),0)</f>
        <v>0</v>
      </c>
      <c r="MZ59" s="1" t="n">
        <f aca="false">IF(FQ59=1,MAX(0,(Slot16_Cost-FR59*(1+Slot16_Rate)^(Slot16_Age-D59))/MU59),0)</f>
        <v>0</v>
      </c>
      <c r="NA59" s="1" t="n">
        <f aca="false">IF(AND(HT59=1,FQ59=1),MIN(MT59,MY59),0)</f>
        <v>0</v>
      </c>
      <c r="NB59" s="1" t="n">
        <f aca="false">MT59-NA59</f>
        <v>0</v>
      </c>
      <c r="NC59" s="1" t="n">
        <f aca="false">IF(GA59=1,IF(ABS((1+AS_Wage)/(1+Slot17_Rate)-1)&lt;0.000000000001,(Slot17_Age-D59)*(1+Slot17_Rate)^(Slot17_Age-D59),(1+Slot17_Rate)^(Slot17_Age-D59)*(1-((1+AS_Wage)/(1+Slot17_Rate))^(Slot17_Age-D59))/(1-(1+AS_Wage)/(1+Slot17_Rate))),1)</f>
        <v>1</v>
      </c>
      <c r="ND59" s="1" t="n">
        <f aca="false">IF(AND(HT59=1,ID59&gt;0,Slot17_IsWG=1,GA59=1),MAX(0,(Slot17_Cost-GB59*(1+Slot17_Rate)^(Slot17_Age-D59))/NC59),0)</f>
        <v>0</v>
      </c>
      <c r="NE59" s="1" t="n">
        <f aca="false">IF(AND(HT59=1,ID59&gt;0,Slot17_IsWG=1,GA59=1),MIN(ID59,ND59),0)</f>
        <v>0</v>
      </c>
      <c r="NF59" s="1" t="n">
        <f aca="false">GB59+NE59</f>
        <v>0</v>
      </c>
      <c r="NG59" s="1" t="n">
        <f aca="false">IF(GA59=1,MAX(0,(Slot17_Cost-NF59*(1+Slot17_Rate)^(Slot17_Age-D59))/NC59),0)</f>
        <v>0</v>
      </c>
      <c r="NH59" s="1" t="n">
        <f aca="false">IF(GA59=1,MAX(0,(Slot17_Cost-GB59*(1+Slot17_Rate)^(Slot17_Age-D59))/NC59),0)</f>
        <v>0</v>
      </c>
      <c r="NI59" s="1" t="n">
        <f aca="false">IF(AND(HT59=1,GA59=1),MIN(NB59,NG59),0)</f>
        <v>0</v>
      </c>
      <c r="NJ59" s="1" t="n">
        <f aca="false">NB59-NI59</f>
        <v>0</v>
      </c>
      <c r="NK59" s="1" t="n">
        <f aca="false">IF(GK59=1,IF(ABS((1+AS_Wage)/(1+Slot18_Rate)-1)&lt;0.000000000001,(Slot18_Age-D59)*(1+Slot18_Rate)^(Slot18_Age-D59),(1+Slot18_Rate)^(Slot18_Age-D59)*(1-((1+AS_Wage)/(1+Slot18_Rate))^(Slot18_Age-D59))/(1-(1+AS_Wage)/(1+Slot18_Rate))),1)</f>
        <v>1</v>
      </c>
      <c r="NL59" s="1" t="n">
        <f aca="false">IF(AND(HT59=1,ID59&gt;0,Slot18_IsWG=1,GK59=1),MAX(0,(Slot18_Cost-GL59*(1+Slot18_Rate)^(Slot18_Age-D59))/NK59),0)</f>
        <v>0</v>
      </c>
      <c r="NM59" s="1" t="n">
        <f aca="false">IF(AND(HT59=1,ID59&gt;0,Slot18_IsWG=1,GK59=1),MIN(ID59,NL59),0)</f>
        <v>0</v>
      </c>
      <c r="NN59" s="1" t="n">
        <f aca="false">GL59+NM59</f>
        <v>0</v>
      </c>
      <c r="NO59" s="1" t="n">
        <f aca="false">IF(GK59=1,MAX(0,(Slot18_Cost-NN59*(1+Slot18_Rate)^(Slot18_Age-D59))/NK59),0)</f>
        <v>0</v>
      </c>
      <c r="NP59" s="1" t="n">
        <f aca="false">IF(GK59=1,MAX(0,(Slot18_Cost-GL59*(1+Slot18_Rate)^(Slot18_Age-D59))/NK59),0)</f>
        <v>0</v>
      </c>
      <c r="NQ59" s="1" t="n">
        <f aca="false">IF(AND(HT59=1,GK59=1),MIN(NJ59,NO59),0)</f>
        <v>0</v>
      </c>
      <c r="NR59" s="1" t="n">
        <f aca="false">NJ59-NQ59</f>
        <v>0</v>
      </c>
      <c r="NS59" s="1" t="n">
        <f aca="false">IF(GU59=1,IF(ABS((1+AS_Wage)/(1+Slot19_Rate)-1)&lt;0.000000000001,(Slot19_Age-D59)*(1+Slot19_Rate)^(Slot19_Age-D59),(1+Slot19_Rate)^(Slot19_Age-D59)*(1-((1+AS_Wage)/(1+Slot19_Rate))^(Slot19_Age-D59))/(1-(1+AS_Wage)/(1+Slot19_Rate))),1)</f>
        <v>1</v>
      </c>
      <c r="NT59" s="1" t="n">
        <f aca="false">IF(AND(HT59=1,ID59&gt;0,Slot19_IsWG=1,GU59=1),MAX(0,(Slot19_Cost-GV59*(1+Slot19_Rate)^(Slot19_Age-D59))/NS59),0)</f>
        <v>0</v>
      </c>
      <c r="NU59" s="1" t="n">
        <f aca="false">IF(AND(HT59=1,ID59&gt;0,Slot19_IsWG=1,GU59=1),MIN(ID59,NT59),0)</f>
        <v>0</v>
      </c>
      <c r="NV59" s="1" t="n">
        <f aca="false">GV59+NU59</f>
        <v>0</v>
      </c>
      <c r="NW59" s="1" t="n">
        <f aca="false">IF(GU59=1,MAX(0,(Slot19_Cost-NV59*(1+Slot19_Rate)^(Slot19_Age-D59))/NS59),0)</f>
        <v>0</v>
      </c>
      <c r="NX59" s="1" t="n">
        <f aca="false">IF(GU59=1,MAX(0,(Slot19_Cost-GV59*(1+Slot19_Rate)^(Slot19_Age-D59))/NS59),0)</f>
        <v>0</v>
      </c>
      <c r="NY59" s="1" t="n">
        <f aca="false">IF(AND(HT59=1,GU59=1),MIN(NR59,NW59),0)</f>
        <v>0</v>
      </c>
      <c r="NZ59" s="1" t="n">
        <f aca="false">NR59-NY59</f>
        <v>0</v>
      </c>
      <c r="OA59" s="1" t="n">
        <f aca="false">IF(HE59=1,IF(ABS((1+AS_Wage)/(1+Slot20_Rate)-1)&lt;0.000000000001,(Slot20_Age-D59)*(1+Slot20_Rate)^(Slot20_Age-D59),(1+Slot20_Rate)^(Slot20_Age-D59)*(1-((1+AS_Wage)/(1+Slot20_Rate))^(Slot20_Age-D59))/(1-(1+AS_Wage)/(1+Slot20_Rate))),1)</f>
        <v>1</v>
      </c>
      <c r="OB59" s="1" t="n">
        <f aca="false">IF(AND(HT59=1,ID59&gt;0,Slot20_IsWG=1,HE59=1),MAX(0,(Slot20_Cost-HF59*(1+Slot20_Rate)^(Slot20_Age-D59))/OA59),0)</f>
        <v>0</v>
      </c>
      <c r="OC59" s="1" t="n">
        <f aca="false">IF(AND(HT59=1,ID59&gt;0,Slot20_IsWG=1,HE59=1),MIN(ID59,OB59),0)</f>
        <v>0</v>
      </c>
      <c r="OD59" s="1" t="n">
        <f aca="false">HF59+OC59</f>
        <v>0</v>
      </c>
      <c r="OE59" s="1" t="n">
        <f aca="false">IF(HE59=1,MAX(0,(Slot20_Cost-OD59*(1+Slot20_Rate)^(Slot20_Age-D59))/OA59),0)</f>
        <v>0</v>
      </c>
      <c r="OF59" s="1" t="n">
        <f aca="false">IF(HE59=1,MAX(0,(Slot20_Cost-HF59*(1+Slot20_Rate)^(Slot20_Age-D59))/OA59),0)</f>
        <v>0</v>
      </c>
      <c r="OG59" s="1" t="n">
        <f aca="false">IF(AND(HT59=1,HE59=1),MIN(NZ59,OE59),0)</f>
        <v>0</v>
      </c>
      <c r="OH59" s="1" t="n">
        <f aca="false">NZ59-OG59</f>
        <v>0</v>
      </c>
      <c r="OI59" s="1" t="n">
        <f aca="false">ID59-(IG59+IO59+IW59+JE59+JM59+JU59+KC59+KK59+KS59+LA59+LI59+LQ59+LY59+MG59+MO59+MW59+NE59+NM59+NU59+OC59)</f>
        <v>0</v>
      </c>
      <c r="OJ59" s="1" t="n">
        <f aca="false">IF(HT59=1,HR59-IC59-ID59,0)</f>
        <v>0</v>
      </c>
      <c r="OK59" s="1" t="n">
        <f aca="false">IF(HT59=0,-HR59,0)</f>
        <v>0</v>
      </c>
      <c r="OL59" s="1" t="n">
        <f aca="false">MIN(OK59,HJ59)</f>
        <v>0</v>
      </c>
      <c r="OM59" s="1" t="n">
        <f aca="false">OK59-OL59</f>
        <v>0</v>
      </c>
      <c r="ON59" s="1" t="n">
        <f aca="false">MIN(OM59,HK59)</f>
        <v>0</v>
      </c>
      <c r="OO59" s="1" t="n">
        <f aca="false">OM59-ON59</f>
        <v>0</v>
      </c>
      <c r="OP59" s="1" t="n">
        <f aca="false">IF(AND(HT59=0,HE59=1,OO59&gt;0),MIN(OO59,HF59),0)</f>
        <v>0</v>
      </c>
      <c r="OQ59" s="1" t="n">
        <f aca="false">OO59-OP59</f>
        <v>0</v>
      </c>
      <c r="OR59" s="1" t="n">
        <f aca="false">IF(AND(HT59=0,GU59=1,OQ59&gt;0),MIN(OQ59,GV59),0)</f>
        <v>0</v>
      </c>
      <c r="OS59" s="1" t="n">
        <f aca="false">OQ59-OR59</f>
        <v>0</v>
      </c>
      <c r="OT59" s="1" t="n">
        <f aca="false">IF(AND(HT59=0,GK59=1,OS59&gt;0),MIN(OS59,GL59),0)</f>
        <v>0</v>
      </c>
      <c r="OU59" s="1" t="n">
        <f aca="false">OS59-OT59</f>
        <v>0</v>
      </c>
      <c r="OV59" s="1" t="n">
        <f aca="false">IF(AND(HT59=0,GA59=1,OU59&gt;0),MIN(OU59,GB59),0)</f>
        <v>0</v>
      </c>
      <c r="OW59" s="1" t="n">
        <f aca="false">OU59-OV59</f>
        <v>0</v>
      </c>
      <c r="OX59" s="1" t="n">
        <f aca="false">IF(AND(HT59=0,FQ59=1,OW59&gt;0),MIN(OW59,FR59),0)</f>
        <v>0</v>
      </c>
      <c r="OY59" s="1" t="n">
        <f aca="false">OW59-OX59</f>
        <v>0</v>
      </c>
      <c r="OZ59" s="1" t="n">
        <f aca="false">IF(AND(HT59=0,FG59=1,OY59&gt;0),MIN(OY59,FH59),0)</f>
        <v>0</v>
      </c>
      <c r="PA59" s="1" t="n">
        <f aca="false">OY59-OZ59</f>
        <v>0</v>
      </c>
      <c r="PB59" s="1" t="n">
        <f aca="false">IF(AND(HT59=0,EW59=1,PA59&gt;0),MIN(PA59,EX59),0)</f>
        <v>0</v>
      </c>
      <c r="PC59" s="1" t="n">
        <f aca="false">PA59-PB59</f>
        <v>0</v>
      </c>
      <c r="PD59" s="1" t="n">
        <f aca="false">IF(AND(HT59=0,EM59=1,PC59&gt;0),MIN(PC59,EN59),0)</f>
        <v>0</v>
      </c>
      <c r="PE59" s="1" t="n">
        <f aca="false">PC59-PD59</f>
        <v>0</v>
      </c>
      <c r="PF59" s="1" t="n">
        <f aca="false">IF(AND(HT59=0,EC59=1,PE59&gt;0),MIN(PE59,ED59),0)</f>
        <v>0</v>
      </c>
      <c r="PG59" s="1" t="n">
        <f aca="false">PE59-PF59</f>
        <v>0</v>
      </c>
      <c r="PH59" s="1" t="n">
        <f aca="false">IF(AND(HT59=0,DS59=1,PG59&gt;0),MIN(PG59,DT59),0)</f>
        <v>0</v>
      </c>
      <c r="PI59" s="1" t="n">
        <f aca="false">PG59-PH59</f>
        <v>0</v>
      </c>
      <c r="PJ59" s="1" t="n">
        <f aca="false">IF(AND(HT59=0,DI59=1,PI59&gt;0),MIN(PI59,DJ59),0)</f>
        <v>0</v>
      </c>
      <c r="PK59" s="1" t="n">
        <f aca="false">PI59-PJ59</f>
        <v>0</v>
      </c>
      <c r="PL59" s="1" t="n">
        <f aca="false">IF(AND(HT59=0,CY59=1,PK59&gt;0),MIN(PK59,CZ59),0)</f>
        <v>0</v>
      </c>
      <c r="PM59" s="1" t="n">
        <f aca="false">PK59-PL59</f>
        <v>0</v>
      </c>
      <c r="PN59" s="1" t="n">
        <f aca="false">IF(AND(HT59=0,CO59=1,PM59&gt;0),MIN(PM59,CP59),0)</f>
        <v>0</v>
      </c>
      <c r="PO59" s="1" t="n">
        <f aca="false">PM59-PN59</f>
        <v>0</v>
      </c>
      <c r="PP59" s="1" t="n">
        <f aca="false">IF(AND(HT59=0,CE59=1,PO59&gt;0),MIN(PO59,CF59),0)</f>
        <v>0</v>
      </c>
      <c r="PQ59" s="1" t="n">
        <f aca="false">PO59-PP59</f>
        <v>0</v>
      </c>
      <c r="PR59" s="1" t="n">
        <f aca="false">IF(AND(HT59=0,BU59=1,PQ59&gt;0),MIN(PQ59,BV59),0)</f>
        <v>0</v>
      </c>
      <c r="PS59" s="1" t="n">
        <f aca="false">PQ59-PR59</f>
        <v>0</v>
      </c>
      <c r="PT59" s="1" t="n">
        <f aca="false">IF(AND(HT59=0,BK59=1,PS59&gt;0),MIN(PS59,BL59),0)</f>
        <v>0</v>
      </c>
      <c r="PU59" s="1" t="n">
        <f aca="false">PS59-PT59</f>
        <v>0</v>
      </c>
      <c r="PV59" s="1" t="n">
        <f aca="false">IF(AND(HT59=0,BA59=1,PU59&gt;0),MIN(PU59,BB59),0)</f>
        <v>0</v>
      </c>
      <c r="PW59" s="1" t="n">
        <f aca="false">PU59-PV59</f>
        <v>0</v>
      </c>
      <c r="PX59" s="1" t="n">
        <f aca="false">IF(AND(HT59=0,AQ59=1,PW59&gt;0),MIN(PW59,AR59),0)</f>
        <v>0</v>
      </c>
      <c r="PY59" s="1" t="n">
        <f aca="false">PW59-PX59</f>
        <v>0</v>
      </c>
      <c r="PZ59" s="1" t="n">
        <f aca="false">IF(AND(HT59=0,AG59=1,PY59&gt;0),MIN(PY59,AH59),0)</f>
        <v>0</v>
      </c>
      <c r="QA59" s="1" t="n">
        <f aca="false">PY59-PZ59</f>
        <v>0</v>
      </c>
      <c r="QB59" s="1" t="n">
        <f aca="false">IF(AND(HT59=0,V59=1,QA59&gt;0),MIN(QA59,W59),0)</f>
        <v>0</v>
      </c>
      <c r="QC59" s="1" t="n">
        <f aca="false">QA59-QB59</f>
        <v>0</v>
      </c>
      <c r="QD59" s="1" t="n">
        <f aca="false">IF(HT59=0,QC59,0)</f>
        <v>0</v>
      </c>
      <c r="QE59" s="1" t="n">
        <f aca="false">OL59+ON59+QB59+PZ59+PX59+PV59+PT59+PR59+PP59+PN59+PL59+PJ59+PH59+PF59+PD59+PB59+OZ59+OX59+OV59+OT59+OR59+OP59</f>
        <v>0</v>
      </c>
      <c r="QF59" s="1" t="n">
        <f aca="false">IF(HT59=1,HJ59+OI59+OH59+IF(F59=1,0,OJ59),HJ59-OL59)</f>
        <v>0</v>
      </c>
      <c r="QG59" s="1" t="n">
        <f aca="false">HK59-ON59</f>
        <v>0</v>
      </c>
      <c r="QH59" s="1" t="n">
        <f aca="false">IF(HT59=1,IF(F59=1,IC59+ID59,HR59),0)</f>
        <v>0</v>
      </c>
      <c r="QI59" s="1" t="n">
        <f aca="false">IF(HT59=1,IF(F59=1,HR59-IC59-ID59,0),0)</f>
        <v>0</v>
      </c>
      <c r="QJ59" s="1" t="n">
        <f aca="false">QF59*(1+GR)</f>
        <v>0</v>
      </c>
      <c r="QK59" s="1" t="n">
        <f aca="false">QG59*(1+AS_Cash)</f>
        <v>0</v>
      </c>
      <c r="QL59" s="1" t="n">
        <f aca="false">IF(V59=1,IF(HT59=1,IH59+IK59,W59-QB59)*(1+Slot1_Rate),0)</f>
        <v>0</v>
      </c>
      <c r="QM59" s="1" t="n">
        <f aca="false">IF(AND(HT59=1,V59=1),(IG59+IK59)/E59,0)</f>
        <v>0</v>
      </c>
      <c r="QN59" s="1" t="n">
        <f aca="false">IF(B59=0,IG59+IK59,0)</f>
        <v>0</v>
      </c>
      <c r="QO59" s="1" t="n">
        <f aca="false">IF(B59=0,IF(HT59=1,II59,IJ59),0)</f>
        <v>0</v>
      </c>
      <c r="QP59" s="1" t="n">
        <f aca="false">IF(AG59=1,IF(HT59=1,IP59+IS59,AH59-PZ59)*(1+Slot2_Rate),0)</f>
        <v>0</v>
      </c>
      <c r="QQ59" s="1" t="n">
        <f aca="false">IF(AND(HT59=1,AG59=1),(IO59+IS59)/E59,0)</f>
        <v>0</v>
      </c>
      <c r="QR59" s="1" t="n">
        <f aca="false">IF(B59=0,IO59+IS59,0)</f>
        <v>0</v>
      </c>
      <c r="QS59" s="1" t="n">
        <f aca="false">IF(B59=0,IF(HT59=1,IQ59,IR59),0)</f>
        <v>0</v>
      </c>
      <c r="QT59" s="1" t="n">
        <f aca="false">IF(AQ59=1,IF(HT59=1,IX59+JA59,AR59-PX59)*(1+Slot3_Rate),0)</f>
        <v>0</v>
      </c>
      <c r="QU59" s="1" t="n">
        <f aca="false">IF(AND(HT59=1,AQ59=1),(IW59+JA59)/E59,0)</f>
        <v>0</v>
      </c>
      <c r="QV59" s="1" t="n">
        <f aca="false">IF(B59=0,IW59+JA59,0)</f>
        <v>0</v>
      </c>
      <c r="QW59" s="1" t="n">
        <f aca="false">IF(B59=0,IF(HT59=1,IY59,IZ59),0)</f>
        <v>0</v>
      </c>
      <c r="QX59" s="1" t="n">
        <f aca="false">IF(BA59=1,IF(HT59=1,JF59+JI59,BB59-PV59)*(1+Slot4_Rate),0)</f>
        <v>0</v>
      </c>
      <c r="QY59" s="1" t="n">
        <f aca="false">IF(AND(HT59=1,BA59=1),(JE59+JI59)/E59,0)</f>
        <v>0</v>
      </c>
      <c r="QZ59" s="1" t="n">
        <f aca="false">IF(B59=0,JE59+JI59,0)</f>
        <v>0</v>
      </c>
      <c r="RA59" s="1" t="n">
        <f aca="false">IF(B59=0,IF(HT59=1,JG59,JH59),0)</f>
        <v>0</v>
      </c>
      <c r="RB59" s="1" t="n">
        <f aca="false">IF(BK59=1,IF(HT59=1,JN59+JQ59,BL59-PT59)*(1+Slot5_Rate),0)</f>
        <v>0</v>
      </c>
      <c r="RC59" s="1" t="n">
        <f aca="false">IF(AND(HT59=1,BK59=1),(JM59+JQ59)/E59,0)</f>
        <v>0</v>
      </c>
      <c r="RD59" s="1" t="n">
        <f aca="false">IF(B59=0,JM59+JQ59,0)</f>
        <v>0</v>
      </c>
      <c r="RE59" s="1" t="n">
        <f aca="false">IF(B59=0,IF(HT59=1,JO59,JP59),0)</f>
        <v>0</v>
      </c>
      <c r="RF59" s="1" t="n">
        <f aca="false">IF(BU59=1,IF(HT59=1,JV59+JY59,BV59-PR59)*(1+Slot6_Rate),0)</f>
        <v>0</v>
      </c>
      <c r="RG59" s="1" t="n">
        <f aca="false">IF(AND(HT59=1,BU59=1),(JU59+JY59)/E59,0)</f>
        <v>0</v>
      </c>
      <c r="RH59" s="1" t="n">
        <f aca="false">IF(B59=0,JU59+JY59,0)</f>
        <v>0</v>
      </c>
      <c r="RI59" s="1" t="n">
        <f aca="false">IF(B59=0,IF(HT59=1,JW59,JX59),0)</f>
        <v>0</v>
      </c>
      <c r="RJ59" s="1" t="n">
        <f aca="false">IF(CE59=1,IF(HT59=1,KD59+KG59,CF59-PP59)*(1+Slot7_Rate),0)</f>
        <v>0</v>
      </c>
      <c r="RK59" s="1" t="n">
        <f aca="false">IF(AND(HT59=1,CE59=1),(KC59+KG59)/E59,0)</f>
        <v>0</v>
      </c>
      <c r="RL59" s="1" t="n">
        <f aca="false">IF(B59=0,KC59+KG59,0)</f>
        <v>0</v>
      </c>
      <c r="RM59" s="1" t="n">
        <f aca="false">IF(B59=0,IF(HT59=1,KE59,KF59),0)</f>
        <v>0</v>
      </c>
      <c r="RN59" s="1" t="n">
        <f aca="false">IF(CO59=1,IF(HT59=1,KL59+KO59,CP59-PN59)*(1+Slot8_Rate),0)</f>
        <v>0</v>
      </c>
      <c r="RO59" s="1" t="n">
        <f aca="false">IF(AND(HT59=1,CO59=1),(KK59+KO59)/E59,0)</f>
        <v>0</v>
      </c>
      <c r="RP59" s="1" t="n">
        <f aca="false">IF(B59=0,KK59+KO59,0)</f>
        <v>0</v>
      </c>
      <c r="RQ59" s="1" t="n">
        <f aca="false">IF(B59=0,IF(HT59=1,KM59,KN59),0)</f>
        <v>0</v>
      </c>
      <c r="RR59" s="1" t="n">
        <f aca="false">IF(CY59=1,IF(HT59=1,KT59+KW59,CZ59-PL59)*(1+Slot9_Rate),0)</f>
        <v>0</v>
      </c>
      <c r="RS59" s="1" t="n">
        <f aca="false">IF(AND(HT59=1,CY59=1),(KS59+KW59)/E59,0)</f>
        <v>0</v>
      </c>
      <c r="RT59" s="1" t="n">
        <f aca="false">IF(B59=0,KS59+KW59,0)</f>
        <v>0</v>
      </c>
      <c r="RU59" s="1" t="n">
        <f aca="false">IF(B59=0,IF(HT59=1,KU59,KV59),0)</f>
        <v>0</v>
      </c>
      <c r="RV59" s="1" t="n">
        <f aca="false">IF(DI59=1,IF(HT59=1,LB59+LE59,DJ59-PJ59)*(1+Slot10_Rate),0)</f>
        <v>0</v>
      </c>
      <c r="RW59" s="1" t="n">
        <f aca="false">IF(AND(HT59=1,DI59=1),(LA59+LE59)/E59,0)</f>
        <v>0</v>
      </c>
      <c r="RX59" s="1" t="n">
        <f aca="false">IF(B59=0,LA59+LE59,0)</f>
        <v>0</v>
      </c>
      <c r="RY59" s="1" t="n">
        <f aca="false">IF(B59=0,IF(HT59=1,LC59,LD59),0)</f>
        <v>0</v>
      </c>
      <c r="RZ59" s="1" t="n">
        <f aca="false">IF(DS59=1,IF(HT59=1,LJ59+LM59,DT59-PH59)*(1+Slot11_Rate),0)</f>
        <v>0</v>
      </c>
      <c r="SA59" s="1" t="n">
        <f aca="false">IF(AND(HT59=1,DS59=1),(LI59+LM59)/E59,0)</f>
        <v>0</v>
      </c>
      <c r="SB59" s="1" t="n">
        <f aca="false">IF(B59=0,LI59+LM59,0)</f>
        <v>0</v>
      </c>
      <c r="SC59" s="1" t="n">
        <f aca="false">IF(B59=0,IF(HT59=1,LK59,LL59),0)</f>
        <v>0</v>
      </c>
      <c r="SD59" s="1" t="n">
        <f aca="false">IF(EC59=1,IF(HT59=1,LR59+LU59,ED59-PF59)*(1+Slot12_Rate),0)</f>
        <v>0</v>
      </c>
      <c r="SE59" s="1" t="n">
        <f aca="false">IF(AND(HT59=1,EC59=1),(LQ59+LU59)/E59,0)</f>
        <v>0</v>
      </c>
      <c r="SF59" s="1" t="n">
        <f aca="false">IF(B59=0,LQ59+LU59,0)</f>
        <v>0</v>
      </c>
      <c r="SG59" s="1" t="n">
        <f aca="false">IF(B59=0,IF(HT59=1,LS59,LT59),0)</f>
        <v>0</v>
      </c>
      <c r="SH59" s="1" t="n">
        <f aca="false">IF(EM59=1,IF(HT59=1,LZ59+MC59,EN59-PD59)*(1+Slot13_Rate),0)</f>
        <v>0</v>
      </c>
      <c r="SI59" s="1" t="n">
        <f aca="false">IF(AND(HT59=1,EM59=1),(LY59+MC59)/E59,0)</f>
        <v>0</v>
      </c>
      <c r="SJ59" s="1" t="n">
        <f aca="false">IF(B59=0,LY59+MC59,0)</f>
        <v>0</v>
      </c>
      <c r="SK59" s="1" t="n">
        <f aca="false">IF(B59=0,IF(HT59=1,MA59,MB59),0)</f>
        <v>0</v>
      </c>
      <c r="SL59" s="1" t="n">
        <f aca="false">IF(EW59=1,IF(HT59=1,MH59+MK59,EX59-PB59)*(1+Slot14_Rate),0)</f>
        <v>0</v>
      </c>
      <c r="SM59" s="1" t="n">
        <f aca="false">IF(AND(HT59=1,EW59=1),(MG59+MK59)/E59,0)</f>
        <v>0</v>
      </c>
      <c r="SN59" s="1" t="n">
        <f aca="false">IF(B59=0,MG59+MK59,0)</f>
        <v>0</v>
      </c>
      <c r="SO59" s="1" t="n">
        <f aca="false">IF(B59=0,IF(HT59=1,MI59,MJ59),0)</f>
        <v>0</v>
      </c>
      <c r="SP59" s="1" t="n">
        <f aca="false">IF(FG59=1,IF(HT59=1,MP59+MS59,FH59-OZ59)*(1+Slot15_Rate),0)</f>
        <v>0</v>
      </c>
      <c r="SQ59" s="1" t="n">
        <f aca="false">IF(AND(HT59=1,FG59=1),(MO59+MS59)/E59,0)</f>
        <v>0</v>
      </c>
      <c r="SR59" s="1" t="n">
        <f aca="false">IF(B59=0,MO59+MS59,0)</f>
        <v>0</v>
      </c>
      <c r="SS59" s="1" t="n">
        <f aca="false">IF(B59=0,IF(HT59=1,MQ59,MR59),0)</f>
        <v>0</v>
      </c>
      <c r="ST59" s="1" t="n">
        <f aca="false">IF(FQ59=1,IF(HT59=1,MX59+NA59,FR59-OX59)*(1+Slot16_Rate),0)</f>
        <v>0</v>
      </c>
      <c r="SU59" s="1" t="n">
        <f aca="false">IF(AND(HT59=1,FQ59=1),(MW59+NA59)/E59,0)</f>
        <v>0</v>
      </c>
      <c r="SV59" s="1" t="n">
        <f aca="false">IF(B59=0,MW59+NA59,0)</f>
        <v>0</v>
      </c>
      <c r="SW59" s="1" t="n">
        <f aca="false">IF(B59=0,IF(HT59=1,MY59,MZ59),0)</f>
        <v>0</v>
      </c>
      <c r="SX59" s="1" t="n">
        <f aca="false">IF(GA59=1,IF(HT59=1,NF59+NI59,GB59-OV59)*(1+Slot17_Rate),0)</f>
        <v>0</v>
      </c>
      <c r="SY59" s="1" t="n">
        <f aca="false">IF(AND(HT59=1,GA59=1),(NE59+NI59)/E59,0)</f>
        <v>0</v>
      </c>
      <c r="SZ59" s="1" t="n">
        <f aca="false">IF(B59=0,NE59+NI59,0)</f>
        <v>0</v>
      </c>
      <c r="TA59" s="1" t="n">
        <f aca="false">IF(B59=0,IF(HT59=1,NG59,NH59),0)</f>
        <v>0</v>
      </c>
      <c r="TB59" s="1" t="n">
        <f aca="false">IF(GK59=1,IF(HT59=1,NN59+NQ59,GL59-OT59)*(1+Slot18_Rate),0)</f>
        <v>0</v>
      </c>
      <c r="TC59" s="1" t="n">
        <f aca="false">IF(AND(HT59=1,GK59=1),(NM59+NQ59)/E59,0)</f>
        <v>0</v>
      </c>
      <c r="TD59" s="1" t="n">
        <f aca="false">IF(B59=0,NM59+NQ59,0)</f>
        <v>0</v>
      </c>
      <c r="TE59" s="1" t="n">
        <f aca="false">IF(B59=0,IF(HT59=1,NO59,NP59),0)</f>
        <v>0</v>
      </c>
      <c r="TF59" s="1" t="n">
        <f aca="false">IF(GU59=1,IF(HT59=1,NV59+NY59,GV59-OR59)*(1+Slot19_Rate),0)</f>
        <v>0</v>
      </c>
      <c r="TG59" s="1" t="n">
        <f aca="false">IF(AND(HT59=1,GU59=1),(NU59+NY59)/E59,0)</f>
        <v>0</v>
      </c>
      <c r="TH59" s="1" t="n">
        <f aca="false">IF(B59=0,NU59+NY59,0)</f>
        <v>0</v>
      </c>
      <c r="TI59" s="1" t="n">
        <f aca="false">IF(B59=0,IF(HT59=1,NW59,NX59),0)</f>
        <v>0</v>
      </c>
      <c r="TJ59" s="1" t="n">
        <f aca="false">IF(HE59=1,IF(HT59=1,OD59+OG59,HF59-OP59)*(1+Slot20_Rate),0)</f>
        <v>0</v>
      </c>
      <c r="TK59" s="1" t="n">
        <f aca="false">IF(AND(HT59=1,HE59=1),(OC59+OG59)/E59,0)</f>
        <v>0</v>
      </c>
      <c r="TL59" s="1" t="n">
        <f aca="false">IF(B59=0,OC59+OG59,0)</f>
        <v>0</v>
      </c>
      <c r="TM59" s="1" t="n">
        <f aca="false">IF(B59=0,IF(HT59=1,OE59,OF59),0)</f>
        <v>0</v>
      </c>
      <c r="TN59" s="1" t="n">
        <f aca="false">QJ59+QK59+QL59+QP59+QT59+QX59+RB59+RF59+RJ59+RN59+RR59+RV59+RZ59+SD59+SH59+SL59+SP59+ST59+SX59+TB59+TF59+TJ59</f>
        <v>0</v>
      </c>
      <c r="TO59" s="1" t="n">
        <f aca="false">QD59+HO59</f>
        <v>0</v>
      </c>
      <c r="TP59" s="1" t="n">
        <f aca="false">H59+R59</f>
        <v>0</v>
      </c>
      <c r="TQ59" s="1" t="n">
        <f aca="false">1-F59</f>
        <v>0</v>
      </c>
      <c r="TR59" s="1" t="n">
        <f aca="false">IF(AND(RG_Exists=1,F59=0,C59=1),H59,0)</f>
        <v>0</v>
      </c>
      <c r="TS59" s="1" t="n">
        <f aca="false">IF(AND(RG_Exists=1,F59=0,C59=1),H59-MIN(QD59,H59),0)</f>
        <v>0</v>
      </c>
      <c r="TT59" s="1" t="n">
        <f aca="false">'Plan pay &amp; tax'!AD285</f>
        <v>0</v>
      </c>
      <c r="TU59" s="1" t="n">
        <f aca="false">IF(AND(C59=1,QD59&gt;MAX(PR_Short1,TP59*PR_Short2)),1,0)</f>
        <v>0</v>
      </c>
      <c r="TV59" s="1" t="n">
        <f aca="false">MIN(G59,H59+R59)</f>
        <v>0</v>
      </c>
      <c r="TW59" s="1" t="n">
        <f aca="false">QE59+MAX(0,HP59-HO59)</f>
        <v>0</v>
      </c>
      <c r="TX59" s="1" t="n">
        <f aca="false">QD59+HO59</f>
        <v>0</v>
      </c>
      <c r="TY59" s="1" t="n">
        <f aca="false">IF(AND(C59=1,TX59&gt;PR_MinShort),1,0)</f>
        <v>0</v>
      </c>
      <c r="TZ59" s="1" t="n">
        <f aca="false">IF(AND(C59=1,TY59=0,TW59&gt;PR_MinShort),1,0)</f>
        <v>0</v>
      </c>
      <c r="UA59" s="1" t="n">
        <f aca="false">IF(AND(C59=1,QD59&gt;PR_MinShort),1,0)</f>
        <v>0</v>
      </c>
      <c r="UB59" s="1" t="n">
        <f aca="false">IF(AND(C59=1,QE59&gt;1,UI59=0),1,0)</f>
        <v>0</v>
      </c>
      <c r="UC59" s="1" t="str">
        <f aca="false">IF(C59=0,"",IF(UI59=1,"Gap to plan for: short "&amp;"€"&amp;TEXT(ROUND(TO59,0),"#,##0"),IF(QE59&gt;1,"Using savings","Comfortable")))</f>
        <v>Comfortable</v>
      </c>
      <c r="UD59" s="1" t="n">
        <f aca="false">IF(AND(INT(D59/10)*10=90,B59&gt;0),80,INT(D59/10)*10)</f>
        <v>50</v>
      </c>
      <c r="UE59" s="1" t="n">
        <f aca="false">IF(B59=0,1,IF(UD59&lt;&gt;UD58,UE58+1,UE58))</f>
        <v>6</v>
      </c>
      <c r="UF59" s="1" t="n">
        <f aca="false">IF(AND(C59=1,F59=1,QD59&gt;MAX(PR_Short1,TP59*PR_Short2)),1,0)</f>
        <v>0</v>
      </c>
      <c r="UG59" s="1" t="n">
        <f aca="false">TQ59*TU59</f>
        <v>0</v>
      </c>
      <c r="UH59" s="1" t="n">
        <f aca="false">IF(AND(U59=1,Slot1_PctLow=1),1,0)+IF(AND(AF59=1,Slot2_PctLow=1),1,0)+IF(AND(AP59=1,Slot3_PctLow=1),1,0)+IF(AND(AZ59=1,Slot4_PctLow=1),1,0)+IF(AND(BJ59=1,Slot5_PctLow=1),1,0)+IF(AND(BT59=1,Slot6_PctLow=1),1,0)+IF(AND(CD59=1,Slot7_PctLow=1),1,0)+IF(AND(CN59=1,Slot8_PctLow=1),1,0)+IF(AND(CX59=1,Slot9_PctLow=1),1,0)+IF(AND(DH59=1,Slot10_PctLow=1),1,0)+IF(AND(DR59=1,Slot11_PctLow=1),1,0)+IF(AND(EB59=1,Slot12_PctLow=1),1,0)+IF(AND(EL59=1,Slot13_PctLow=1),1,0)+IF(AND(EV59=1,Slot14_PctLow=1),1,0)+IF(AND(FF59=1,Slot15_PctLow=1),1,0)+IF(AND(FP59=1,Slot16_PctLow=1),1,0)+IF(AND(FZ59=1,Slot17_PctLow=1),1,0)+IF(AND(GJ59=1,Slot18_PctLow=1),1,0)+IF(AND(GT59=1,Slot19_PctLow=1),1,0)+IF(AND(HD59=1,Slot20_PctLow=1),1,0)</f>
        <v>0</v>
      </c>
      <c r="UI59" s="1" t="n">
        <f aca="false">IF(C59=1,IF(OR(TU59=1,UH59&gt;0),1,0),0)</f>
        <v>0</v>
      </c>
    </row>
    <row r="60" customFormat="false" ht="15" hidden="false" customHeight="true" outlineLevel="0" collapsed="false">
      <c r="B60" s="1" t="n">
        <v>52</v>
      </c>
      <c r="C60" s="1" t="n">
        <f aca="false">IF(B60&lt;=F_N,1,0)</f>
        <v>1</v>
      </c>
      <c r="D60" s="1" t="n">
        <f aca="false">'Plan pay &amp; tax'!C286</f>
        <v>52</v>
      </c>
      <c r="E60" s="111" t="n">
        <f aca="false">'Plan pay &amp; tax'!E286</f>
        <v>2.80032818544818</v>
      </c>
      <c r="F60" s="1" t="n">
        <f aca="false">'Plan pay &amp; tax'!G286</f>
        <v>1</v>
      </c>
      <c r="G60" s="1" t="n">
        <f aca="false">'Plan pay &amp; tax'!BT286-'Plan pay &amp; tax'!BS286-'Plan pay &amp; tax'!R286</f>
        <v>0</v>
      </c>
      <c r="H60" s="1" t="n">
        <f aca="false">IF(F60=1,F_CostsM*12,IF(RG_Exists=1,RG_Amount,F_CostsM*12*AS_RetireSpend))*E60+F_OneOffY*E60</f>
        <v>0</v>
      </c>
      <c r="I60" s="1" t="n">
        <f aca="false">HQ59</f>
        <v>0</v>
      </c>
      <c r="J60" s="1" t="n">
        <f aca="false">IF(I60&gt;1,'Plan debt months'!AC60,0)</f>
        <v>0</v>
      </c>
      <c r="K60" s="1" t="n">
        <f aca="false">IF(I60&gt;1,'Plan debt months'!AB60,I60)</f>
        <v>0</v>
      </c>
      <c r="L60" s="1" t="n">
        <f aca="false">N59</f>
        <v>0</v>
      </c>
      <c r="M60" s="1" t="n">
        <f aca="false">IF(L60&gt;1,'Plan debt months'!BD60,0)</f>
        <v>0</v>
      </c>
      <c r="N60" s="1" t="n">
        <f aca="false">IF(L60&gt;1,'Plan debt months'!BC60,L60)</f>
        <v>0</v>
      </c>
      <c r="O60" s="1" t="n">
        <f aca="false">Q59</f>
        <v>0</v>
      </c>
      <c r="P60" s="1" t="n">
        <f aca="false">IF(O60&gt;1,'Plan debt months'!CE60,0)</f>
        <v>0</v>
      </c>
      <c r="Q60" s="1" t="n">
        <f aca="false">IF(O60&gt;1,'Plan debt months'!CD60,O60)</f>
        <v>0</v>
      </c>
      <c r="R60" s="1" t="n">
        <f aca="false">J60+M60+P60</f>
        <v>0</v>
      </c>
      <c r="S60" s="1" t="n">
        <f aca="false">QJ59+'Plan pay &amp; tax'!Y286</f>
        <v>0</v>
      </c>
      <c r="T60" s="1" t="n">
        <f aca="false">QJ59</f>
        <v>0</v>
      </c>
      <c r="U60" s="1" t="n">
        <f aca="false">IF(AND(Slot1_On=1,D60=Slot1_Age),1,0)</f>
        <v>0</v>
      </c>
      <c r="V60" s="1" t="n">
        <f aca="false">IF(AND(Slot1_On=1,Slot1_Age&gt;D60),1,0)</f>
        <v>0</v>
      </c>
      <c r="W60" s="1" t="n">
        <f aca="false">QL59</f>
        <v>0</v>
      </c>
      <c r="X60" s="1" t="n">
        <f aca="false">U60*MIN(Slot1_Cost,W60)</f>
        <v>0</v>
      </c>
      <c r="Y60" s="1" t="n">
        <f aca="false">U60*Slot1_SpendLike*MIN(Slot1_Cost-X60,S60)</f>
        <v>0</v>
      </c>
      <c r="Z60" s="1" t="n">
        <f aca="false">X60+Y60</f>
        <v>0</v>
      </c>
      <c r="AA60" s="1" t="n">
        <f aca="false">S60-Y60+U60*IF(Slot1_SpendLike=1,W60-X60,IF(Slot1_PotFree=1,W60,0))</f>
        <v>0</v>
      </c>
      <c r="AB60" s="1" t="n">
        <f aca="false">AE60+U60*Slot1_BufPot*W60</f>
        <v>0</v>
      </c>
      <c r="AC60" s="1" t="n">
        <f aca="false">IF(AND(U60=1,Slot1_IsMfree=1),IF(Z60&gt;=Slot1_Cost-1,0,MAX(0,K60-Z60)),K60)</f>
        <v>0</v>
      </c>
      <c r="AD60" s="1" t="n">
        <f aca="false">U60*(Slot1_Cost-Z60)</f>
        <v>0</v>
      </c>
      <c r="AE60" s="1" t="n">
        <f aca="false">QK59</f>
        <v>0</v>
      </c>
      <c r="AF60" s="1" t="n">
        <f aca="false">IF(AND(Slot2_On=1,D60=Slot2_Age),1,0)</f>
        <v>0</v>
      </c>
      <c r="AG60" s="1" t="n">
        <f aca="false">IF(AND(Slot2_On=1,Slot2_Age&gt;D60),1,0)</f>
        <v>0</v>
      </c>
      <c r="AH60" s="1" t="n">
        <f aca="false">QP59</f>
        <v>0</v>
      </c>
      <c r="AI60" s="1" t="n">
        <f aca="false">AF60*MIN(Slot2_Cost,AH60)</f>
        <v>0</v>
      </c>
      <c r="AJ60" s="1" t="n">
        <f aca="false">AF60*Slot2_SpendLike*MIN(Slot2_Cost-AI60,AA60)</f>
        <v>0</v>
      </c>
      <c r="AK60" s="1" t="n">
        <f aca="false">AI60+AJ60</f>
        <v>0</v>
      </c>
      <c r="AL60" s="1" t="n">
        <f aca="false">AA60-AJ60+AF60*IF(Slot2_SpendLike=1,AH60-AI60,IF(Slot2_PotFree=1,AH60,0))</f>
        <v>0</v>
      </c>
      <c r="AM60" s="1" t="n">
        <f aca="false">AB60+AF60*Slot2_BufPot*AH60</f>
        <v>0</v>
      </c>
      <c r="AN60" s="1" t="n">
        <f aca="false">IF(AND(AF60=1,Slot2_IsMfree=1),IF(AK60&gt;=Slot2_Cost-1,0,MAX(0,AC60-AK60)),AC60)</f>
        <v>0</v>
      </c>
      <c r="AO60" s="1" t="n">
        <f aca="false">AF60*(Slot2_Cost-AK60)</f>
        <v>0</v>
      </c>
      <c r="AP60" s="1" t="n">
        <f aca="false">IF(AND(Slot3_On=1,D60=Slot3_Age),1,0)</f>
        <v>0</v>
      </c>
      <c r="AQ60" s="1" t="n">
        <f aca="false">IF(AND(Slot3_On=1,Slot3_Age&gt;D60),1,0)</f>
        <v>0</v>
      </c>
      <c r="AR60" s="1" t="n">
        <f aca="false">QT59</f>
        <v>0</v>
      </c>
      <c r="AS60" s="1" t="n">
        <f aca="false">AP60*MIN(Slot3_Cost,AR60)</f>
        <v>0</v>
      </c>
      <c r="AT60" s="1" t="n">
        <f aca="false">AP60*Slot3_SpendLike*MIN(Slot3_Cost-AS60,AL60)</f>
        <v>0</v>
      </c>
      <c r="AU60" s="1" t="n">
        <f aca="false">AS60+AT60</f>
        <v>0</v>
      </c>
      <c r="AV60" s="1" t="n">
        <f aca="false">AL60-AT60+AP60*IF(Slot3_SpendLike=1,AR60-AS60,IF(Slot3_PotFree=1,AR60,0))</f>
        <v>0</v>
      </c>
      <c r="AW60" s="1" t="n">
        <f aca="false">AM60+AP60*Slot3_BufPot*AR60</f>
        <v>0</v>
      </c>
      <c r="AX60" s="1" t="n">
        <f aca="false">IF(AND(AP60=1,Slot3_IsMfree=1),IF(AU60&gt;=Slot3_Cost-1,0,MAX(0,AN60-AU60)),AN60)</f>
        <v>0</v>
      </c>
      <c r="AY60" s="1" t="n">
        <f aca="false">AP60*(Slot3_Cost-AU60)</f>
        <v>0</v>
      </c>
      <c r="AZ60" s="1" t="n">
        <f aca="false">IF(AND(Slot4_On=1,D60=Slot4_Age),1,0)</f>
        <v>0</v>
      </c>
      <c r="BA60" s="1" t="n">
        <f aca="false">IF(AND(Slot4_On=1,Slot4_Age&gt;D60),1,0)</f>
        <v>0</v>
      </c>
      <c r="BB60" s="1" t="n">
        <f aca="false">QX59</f>
        <v>0</v>
      </c>
      <c r="BC60" s="1" t="n">
        <f aca="false">AZ60*MIN(Slot4_Cost,BB60)</f>
        <v>0</v>
      </c>
      <c r="BD60" s="1" t="n">
        <f aca="false">AZ60*Slot4_SpendLike*MIN(Slot4_Cost-BC60,AV60)</f>
        <v>0</v>
      </c>
      <c r="BE60" s="1" t="n">
        <f aca="false">BC60+BD60</f>
        <v>0</v>
      </c>
      <c r="BF60" s="1" t="n">
        <f aca="false">AV60-BD60+AZ60*IF(Slot4_SpendLike=1,BB60-BC60,IF(Slot4_PotFree=1,BB60,0))</f>
        <v>0</v>
      </c>
      <c r="BG60" s="1" t="n">
        <f aca="false">AW60+AZ60*Slot4_BufPot*BB60</f>
        <v>0</v>
      </c>
      <c r="BH60" s="1" t="n">
        <f aca="false">IF(AND(AZ60=1,Slot4_IsMfree=1),IF(BE60&gt;=Slot4_Cost-1,0,MAX(0,AX60-BE60)),AX60)</f>
        <v>0</v>
      </c>
      <c r="BI60" s="1" t="n">
        <f aca="false">AZ60*(Slot4_Cost-BE60)</f>
        <v>0</v>
      </c>
      <c r="BJ60" s="1" t="n">
        <f aca="false">IF(AND(Slot5_On=1,D60=Slot5_Age),1,0)</f>
        <v>0</v>
      </c>
      <c r="BK60" s="1" t="n">
        <f aca="false">IF(AND(Slot5_On=1,Slot5_Age&gt;D60),1,0)</f>
        <v>0</v>
      </c>
      <c r="BL60" s="1" t="n">
        <f aca="false">RB59</f>
        <v>0</v>
      </c>
      <c r="BM60" s="1" t="n">
        <f aca="false">BJ60*MIN(Slot5_Cost,BL60)</f>
        <v>0</v>
      </c>
      <c r="BN60" s="1" t="n">
        <f aca="false">BJ60*Slot5_SpendLike*MIN(Slot5_Cost-BM60,BF60)</f>
        <v>0</v>
      </c>
      <c r="BO60" s="1" t="n">
        <f aca="false">BM60+BN60</f>
        <v>0</v>
      </c>
      <c r="BP60" s="1" t="n">
        <f aca="false">BF60-BN60+BJ60*IF(Slot5_SpendLike=1,BL60-BM60,IF(Slot5_PotFree=1,BL60,0))</f>
        <v>0</v>
      </c>
      <c r="BQ60" s="1" t="n">
        <f aca="false">BG60+BJ60*Slot5_BufPot*BL60</f>
        <v>0</v>
      </c>
      <c r="BR60" s="1" t="n">
        <f aca="false">IF(AND(BJ60=1,Slot5_IsMfree=1),IF(BO60&gt;=Slot5_Cost-1,0,MAX(0,BH60-BO60)),BH60)</f>
        <v>0</v>
      </c>
      <c r="BS60" s="1" t="n">
        <f aca="false">BJ60*(Slot5_Cost-BO60)</f>
        <v>0</v>
      </c>
      <c r="BT60" s="1" t="n">
        <f aca="false">IF(AND(Slot6_On=1,D60=Slot6_Age),1,0)</f>
        <v>0</v>
      </c>
      <c r="BU60" s="1" t="n">
        <f aca="false">IF(AND(Slot6_On=1,Slot6_Age&gt;D60),1,0)</f>
        <v>0</v>
      </c>
      <c r="BV60" s="1" t="n">
        <f aca="false">RF59</f>
        <v>0</v>
      </c>
      <c r="BW60" s="1" t="n">
        <f aca="false">BT60*MIN(Slot6_Cost,BV60)</f>
        <v>0</v>
      </c>
      <c r="BX60" s="1" t="n">
        <f aca="false">BT60*Slot6_SpendLike*MIN(Slot6_Cost-BW60,BP60)</f>
        <v>0</v>
      </c>
      <c r="BY60" s="1" t="n">
        <f aca="false">BW60+BX60</f>
        <v>0</v>
      </c>
      <c r="BZ60" s="1" t="n">
        <f aca="false">BP60-BX60+BT60*IF(Slot6_SpendLike=1,BV60-BW60,IF(Slot6_PotFree=1,BV60,0))</f>
        <v>0</v>
      </c>
      <c r="CA60" s="1" t="n">
        <f aca="false">BQ60+BT60*Slot6_BufPot*BV60</f>
        <v>0</v>
      </c>
      <c r="CB60" s="1" t="n">
        <f aca="false">IF(AND(BT60=1,Slot6_IsMfree=1),IF(BY60&gt;=Slot6_Cost-1,0,MAX(0,BR60-BY60)),BR60)</f>
        <v>0</v>
      </c>
      <c r="CC60" s="1" t="n">
        <f aca="false">BT60*(Slot6_Cost-BY60)</f>
        <v>0</v>
      </c>
      <c r="CD60" s="1" t="n">
        <f aca="false">IF(AND(Slot7_On=1,D60=Slot7_Age),1,0)</f>
        <v>0</v>
      </c>
      <c r="CE60" s="1" t="n">
        <f aca="false">IF(AND(Slot7_On=1,Slot7_Age&gt;D60),1,0)</f>
        <v>0</v>
      </c>
      <c r="CF60" s="1" t="n">
        <f aca="false">RJ59</f>
        <v>0</v>
      </c>
      <c r="CG60" s="1" t="n">
        <f aca="false">CD60*MIN(Slot7_Cost,CF60)</f>
        <v>0</v>
      </c>
      <c r="CH60" s="1" t="n">
        <f aca="false">CD60*Slot7_SpendLike*MIN(Slot7_Cost-CG60,BZ60)</f>
        <v>0</v>
      </c>
      <c r="CI60" s="1" t="n">
        <f aca="false">CG60+CH60</f>
        <v>0</v>
      </c>
      <c r="CJ60" s="1" t="n">
        <f aca="false">BZ60-CH60+CD60*IF(Slot7_SpendLike=1,CF60-CG60,IF(Slot7_PotFree=1,CF60,0))</f>
        <v>0</v>
      </c>
      <c r="CK60" s="1" t="n">
        <f aca="false">CA60+CD60*Slot7_BufPot*CF60</f>
        <v>0</v>
      </c>
      <c r="CL60" s="1" t="n">
        <f aca="false">IF(AND(CD60=1,Slot7_IsMfree=1),IF(CI60&gt;=Slot7_Cost-1,0,MAX(0,CB60-CI60)),CB60)</f>
        <v>0</v>
      </c>
      <c r="CM60" s="1" t="n">
        <f aca="false">CD60*(Slot7_Cost-CI60)</f>
        <v>0</v>
      </c>
      <c r="CN60" s="1" t="n">
        <f aca="false">IF(AND(Slot8_On=1,D60=Slot8_Age),1,0)</f>
        <v>0</v>
      </c>
      <c r="CO60" s="1" t="n">
        <f aca="false">IF(AND(Slot8_On=1,Slot8_Age&gt;D60),1,0)</f>
        <v>0</v>
      </c>
      <c r="CP60" s="1" t="n">
        <f aca="false">RN59</f>
        <v>0</v>
      </c>
      <c r="CQ60" s="1" t="n">
        <f aca="false">CN60*MIN(Slot8_Cost,CP60)</f>
        <v>0</v>
      </c>
      <c r="CR60" s="1" t="n">
        <f aca="false">CN60*Slot8_SpendLike*MIN(Slot8_Cost-CQ60,CJ60)</f>
        <v>0</v>
      </c>
      <c r="CS60" s="1" t="n">
        <f aca="false">CQ60+CR60</f>
        <v>0</v>
      </c>
      <c r="CT60" s="1" t="n">
        <f aca="false">CJ60-CR60+CN60*IF(Slot8_SpendLike=1,CP60-CQ60,IF(Slot8_PotFree=1,CP60,0))</f>
        <v>0</v>
      </c>
      <c r="CU60" s="1" t="n">
        <f aca="false">CK60+CN60*Slot8_BufPot*CP60</f>
        <v>0</v>
      </c>
      <c r="CV60" s="1" t="n">
        <f aca="false">IF(AND(CN60=1,Slot8_IsMfree=1),IF(CS60&gt;=Slot8_Cost-1,0,MAX(0,CL60-CS60)),CL60)</f>
        <v>0</v>
      </c>
      <c r="CW60" s="1" t="n">
        <f aca="false">CN60*(Slot8_Cost-CS60)</f>
        <v>0</v>
      </c>
      <c r="CX60" s="1" t="n">
        <f aca="false">IF(AND(Slot9_On=1,D60=Slot9_Age),1,0)</f>
        <v>0</v>
      </c>
      <c r="CY60" s="1" t="n">
        <f aca="false">IF(AND(Slot9_On=1,Slot9_Age&gt;D60),1,0)</f>
        <v>0</v>
      </c>
      <c r="CZ60" s="1" t="n">
        <f aca="false">RR59</f>
        <v>0</v>
      </c>
      <c r="DA60" s="1" t="n">
        <f aca="false">CX60*MIN(Slot9_Cost,CZ60)</f>
        <v>0</v>
      </c>
      <c r="DB60" s="1" t="n">
        <f aca="false">CX60*Slot9_SpendLike*MIN(Slot9_Cost-DA60,CT60)</f>
        <v>0</v>
      </c>
      <c r="DC60" s="1" t="n">
        <f aca="false">DA60+DB60</f>
        <v>0</v>
      </c>
      <c r="DD60" s="1" t="n">
        <f aca="false">CT60-DB60+CX60*IF(Slot9_SpendLike=1,CZ60-DA60,IF(Slot9_PotFree=1,CZ60,0))</f>
        <v>0</v>
      </c>
      <c r="DE60" s="1" t="n">
        <f aca="false">CU60+CX60*Slot9_BufPot*CZ60</f>
        <v>0</v>
      </c>
      <c r="DF60" s="1" t="n">
        <f aca="false">IF(AND(CX60=1,Slot9_IsMfree=1),IF(DC60&gt;=Slot9_Cost-1,0,MAX(0,CV60-DC60)),CV60)</f>
        <v>0</v>
      </c>
      <c r="DG60" s="1" t="n">
        <f aca="false">CX60*(Slot9_Cost-DC60)</f>
        <v>0</v>
      </c>
      <c r="DH60" s="1" t="n">
        <f aca="false">IF(AND(Slot10_On=1,D60=Slot10_Age),1,0)</f>
        <v>0</v>
      </c>
      <c r="DI60" s="1" t="n">
        <f aca="false">IF(AND(Slot10_On=1,Slot10_Age&gt;D60),1,0)</f>
        <v>0</v>
      </c>
      <c r="DJ60" s="1" t="n">
        <f aca="false">RV59</f>
        <v>0</v>
      </c>
      <c r="DK60" s="1" t="n">
        <f aca="false">DH60*MIN(Slot10_Cost,DJ60)</f>
        <v>0</v>
      </c>
      <c r="DL60" s="1" t="n">
        <f aca="false">DH60*Slot10_SpendLike*MIN(Slot10_Cost-DK60,DD60)</f>
        <v>0</v>
      </c>
      <c r="DM60" s="1" t="n">
        <f aca="false">DK60+DL60</f>
        <v>0</v>
      </c>
      <c r="DN60" s="1" t="n">
        <f aca="false">DD60-DL60+DH60*IF(Slot10_SpendLike=1,DJ60-DK60,IF(Slot10_PotFree=1,DJ60,0))</f>
        <v>0</v>
      </c>
      <c r="DO60" s="1" t="n">
        <f aca="false">DE60+DH60*Slot10_BufPot*DJ60</f>
        <v>0</v>
      </c>
      <c r="DP60" s="1" t="n">
        <f aca="false">IF(AND(DH60=1,Slot10_IsMfree=1),IF(DM60&gt;=Slot10_Cost-1,0,MAX(0,DF60-DM60)),DF60)</f>
        <v>0</v>
      </c>
      <c r="DQ60" s="1" t="n">
        <f aca="false">DH60*(Slot10_Cost-DM60)</f>
        <v>0</v>
      </c>
      <c r="DR60" s="1" t="n">
        <f aca="false">IF(AND(Slot11_On=1,D60=Slot11_Age),1,0)</f>
        <v>0</v>
      </c>
      <c r="DS60" s="1" t="n">
        <f aca="false">IF(AND(Slot11_On=1,Slot11_Age&gt;D60),1,0)</f>
        <v>0</v>
      </c>
      <c r="DT60" s="1" t="n">
        <f aca="false">RZ59</f>
        <v>0</v>
      </c>
      <c r="DU60" s="1" t="n">
        <f aca="false">DR60*MIN(Slot11_Cost,DT60)</f>
        <v>0</v>
      </c>
      <c r="DV60" s="1" t="n">
        <f aca="false">DR60*Slot11_SpendLike*MIN(Slot11_Cost-DU60,DN60)</f>
        <v>0</v>
      </c>
      <c r="DW60" s="1" t="n">
        <f aca="false">DU60+DV60</f>
        <v>0</v>
      </c>
      <c r="DX60" s="1" t="n">
        <f aca="false">DN60-DV60+DR60*IF(Slot11_SpendLike=1,DT60-DU60,IF(Slot11_PotFree=1,DT60,0))</f>
        <v>0</v>
      </c>
      <c r="DY60" s="1" t="n">
        <f aca="false">DO60+DR60*Slot11_BufPot*DT60</f>
        <v>0</v>
      </c>
      <c r="DZ60" s="1" t="n">
        <f aca="false">IF(AND(DR60=1,Slot11_IsMfree=1),IF(DW60&gt;=Slot11_Cost-1,0,MAX(0,DP60-DW60)),DP60)</f>
        <v>0</v>
      </c>
      <c r="EA60" s="1" t="n">
        <f aca="false">DR60*(Slot11_Cost-DW60)</f>
        <v>0</v>
      </c>
      <c r="EB60" s="1" t="n">
        <f aca="false">IF(AND(Slot12_On=1,D60=Slot12_Age),1,0)</f>
        <v>0</v>
      </c>
      <c r="EC60" s="1" t="n">
        <f aca="false">IF(AND(Slot12_On=1,Slot12_Age&gt;D60),1,0)</f>
        <v>0</v>
      </c>
      <c r="ED60" s="1" t="n">
        <f aca="false">SD59</f>
        <v>0</v>
      </c>
      <c r="EE60" s="1" t="n">
        <f aca="false">EB60*MIN(Slot12_Cost,ED60)</f>
        <v>0</v>
      </c>
      <c r="EF60" s="1" t="n">
        <f aca="false">EB60*Slot12_SpendLike*MIN(Slot12_Cost-EE60,DX60)</f>
        <v>0</v>
      </c>
      <c r="EG60" s="1" t="n">
        <f aca="false">EE60+EF60</f>
        <v>0</v>
      </c>
      <c r="EH60" s="1" t="n">
        <f aca="false">DX60-EF60+EB60*IF(Slot12_SpendLike=1,ED60-EE60,IF(Slot12_PotFree=1,ED60,0))</f>
        <v>0</v>
      </c>
      <c r="EI60" s="1" t="n">
        <f aca="false">DY60+EB60*Slot12_BufPot*ED60</f>
        <v>0</v>
      </c>
      <c r="EJ60" s="1" t="n">
        <f aca="false">IF(AND(EB60=1,Slot12_IsMfree=1),IF(EG60&gt;=Slot12_Cost-1,0,MAX(0,DZ60-EG60)),DZ60)</f>
        <v>0</v>
      </c>
      <c r="EK60" s="1" t="n">
        <f aca="false">EB60*(Slot12_Cost-EG60)</f>
        <v>0</v>
      </c>
      <c r="EL60" s="1" t="n">
        <f aca="false">IF(AND(Slot13_On=1,D60=Slot13_Age),1,0)</f>
        <v>0</v>
      </c>
      <c r="EM60" s="1" t="n">
        <f aca="false">IF(AND(Slot13_On=1,Slot13_Age&gt;D60),1,0)</f>
        <v>0</v>
      </c>
      <c r="EN60" s="1" t="n">
        <f aca="false">SH59</f>
        <v>0</v>
      </c>
      <c r="EO60" s="1" t="n">
        <f aca="false">EL60*MIN(Slot13_Cost,EN60)</f>
        <v>0</v>
      </c>
      <c r="EP60" s="1" t="n">
        <f aca="false">EL60*Slot13_SpendLike*MIN(Slot13_Cost-EO60,EH60)</f>
        <v>0</v>
      </c>
      <c r="EQ60" s="1" t="n">
        <f aca="false">EO60+EP60</f>
        <v>0</v>
      </c>
      <c r="ER60" s="1" t="n">
        <f aca="false">EH60-EP60+EL60*IF(Slot13_SpendLike=1,EN60-EO60,IF(Slot13_PotFree=1,EN60,0))</f>
        <v>0</v>
      </c>
      <c r="ES60" s="1" t="n">
        <f aca="false">EI60+EL60*Slot13_BufPot*EN60</f>
        <v>0</v>
      </c>
      <c r="ET60" s="1" t="n">
        <f aca="false">IF(AND(EL60=1,Slot13_IsMfree=1),IF(EQ60&gt;=Slot13_Cost-1,0,MAX(0,EJ60-EQ60)),EJ60)</f>
        <v>0</v>
      </c>
      <c r="EU60" s="1" t="n">
        <f aca="false">EL60*(Slot13_Cost-EQ60)</f>
        <v>0</v>
      </c>
      <c r="EV60" s="1" t="n">
        <f aca="false">IF(AND(Slot14_On=1,D60=Slot14_Age),1,0)</f>
        <v>0</v>
      </c>
      <c r="EW60" s="1" t="n">
        <f aca="false">IF(AND(Slot14_On=1,Slot14_Age&gt;D60),1,0)</f>
        <v>0</v>
      </c>
      <c r="EX60" s="1" t="n">
        <f aca="false">SL59</f>
        <v>0</v>
      </c>
      <c r="EY60" s="1" t="n">
        <f aca="false">EV60*MIN(Slot14_Cost,EX60)</f>
        <v>0</v>
      </c>
      <c r="EZ60" s="1" t="n">
        <f aca="false">EV60*Slot14_SpendLike*MIN(Slot14_Cost-EY60,ER60)</f>
        <v>0</v>
      </c>
      <c r="FA60" s="1" t="n">
        <f aca="false">EY60+EZ60</f>
        <v>0</v>
      </c>
      <c r="FB60" s="1" t="n">
        <f aca="false">ER60-EZ60+EV60*IF(Slot14_SpendLike=1,EX60-EY60,IF(Slot14_PotFree=1,EX60,0))</f>
        <v>0</v>
      </c>
      <c r="FC60" s="1" t="n">
        <f aca="false">ES60+EV60*Slot14_BufPot*EX60</f>
        <v>0</v>
      </c>
      <c r="FD60" s="1" t="n">
        <f aca="false">IF(AND(EV60=1,Slot14_IsMfree=1),IF(FA60&gt;=Slot14_Cost-1,0,MAX(0,ET60-FA60)),ET60)</f>
        <v>0</v>
      </c>
      <c r="FE60" s="1" t="n">
        <f aca="false">EV60*(Slot14_Cost-FA60)</f>
        <v>0</v>
      </c>
      <c r="FF60" s="1" t="n">
        <f aca="false">IF(AND(Slot15_On=1,D60=Slot15_Age),1,0)</f>
        <v>0</v>
      </c>
      <c r="FG60" s="1" t="n">
        <f aca="false">IF(AND(Slot15_On=1,Slot15_Age&gt;D60),1,0)</f>
        <v>0</v>
      </c>
      <c r="FH60" s="1" t="n">
        <f aca="false">SP59</f>
        <v>0</v>
      </c>
      <c r="FI60" s="1" t="n">
        <f aca="false">FF60*MIN(Slot15_Cost,FH60)</f>
        <v>0</v>
      </c>
      <c r="FJ60" s="1" t="n">
        <f aca="false">FF60*Slot15_SpendLike*MIN(Slot15_Cost-FI60,FB60)</f>
        <v>0</v>
      </c>
      <c r="FK60" s="1" t="n">
        <f aca="false">FI60+FJ60</f>
        <v>0</v>
      </c>
      <c r="FL60" s="1" t="n">
        <f aca="false">FB60-FJ60+FF60*IF(Slot15_SpendLike=1,FH60-FI60,IF(Slot15_PotFree=1,FH60,0))</f>
        <v>0</v>
      </c>
      <c r="FM60" s="1" t="n">
        <f aca="false">FC60+FF60*Slot15_BufPot*FH60</f>
        <v>0</v>
      </c>
      <c r="FN60" s="1" t="n">
        <f aca="false">IF(AND(FF60=1,Slot15_IsMfree=1),IF(FK60&gt;=Slot15_Cost-1,0,MAX(0,FD60-FK60)),FD60)</f>
        <v>0</v>
      </c>
      <c r="FO60" s="1" t="n">
        <f aca="false">FF60*(Slot15_Cost-FK60)</f>
        <v>0</v>
      </c>
      <c r="FP60" s="1" t="n">
        <f aca="false">IF(AND(Slot16_On=1,D60=Slot16_Age),1,0)</f>
        <v>0</v>
      </c>
      <c r="FQ60" s="1" t="n">
        <f aca="false">IF(AND(Slot16_On=1,Slot16_Age&gt;D60),1,0)</f>
        <v>0</v>
      </c>
      <c r="FR60" s="1" t="n">
        <f aca="false">ST59</f>
        <v>0</v>
      </c>
      <c r="FS60" s="1" t="n">
        <f aca="false">FP60*MIN(Slot16_Cost,FR60)</f>
        <v>0</v>
      </c>
      <c r="FT60" s="1" t="n">
        <f aca="false">FP60*Slot16_SpendLike*MIN(Slot16_Cost-FS60,FL60)</f>
        <v>0</v>
      </c>
      <c r="FU60" s="1" t="n">
        <f aca="false">FS60+FT60</f>
        <v>0</v>
      </c>
      <c r="FV60" s="1" t="n">
        <f aca="false">FL60-FT60+FP60*IF(Slot16_SpendLike=1,FR60-FS60,IF(Slot16_PotFree=1,FR60,0))</f>
        <v>0</v>
      </c>
      <c r="FW60" s="1" t="n">
        <f aca="false">FM60+FP60*Slot16_BufPot*FR60</f>
        <v>0</v>
      </c>
      <c r="FX60" s="1" t="n">
        <f aca="false">IF(AND(FP60=1,Slot16_IsMfree=1),IF(FU60&gt;=Slot16_Cost-1,0,MAX(0,FN60-FU60)),FN60)</f>
        <v>0</v>
      </c>
      <c r="FY60" s="1" t="n">
        <f aca="false">FP60*(Slot16_Cost-FU60)</f>
        <v>0</v>
      </c>
      <c r="FZ60" s="1" t="n">
        <f aca="false">IF(AND(Slot17_On=1,D60=Slot17_Age),1,0)</f>
        <v>0</v>
      </c>
      <c r="GA60" s="1" t="n">
        <f aca="false">IF(AND(Slot17_On=1,Slot17_Age&gt;D60),1,0)</f>
        <v>0</v>
      </c>
      <c r="GB60" s="1" t="n">
        <f aca="false">SX59</f>
        <v>0</v>
      </c>
      <c r="GC60" s="1" t="n">
        <f aca="false">FZ60*MIN(Slot17_Cost,GB60)</f>
        <v>0</v>
      </c>
      <c r="GD60" s="1" t="n">
        <f aca="false">FZ60*Slot17_SpendLike*MIN(Slot17_Cost-GC60,FV60)</f>
        <v>0</v>
      </c>
      <c r="GE60" s="1" t="n">
        <f aca="false">GC60+GD60</f>
        <v>0</v>
      </c>
      <c r="GF60" s="1" t="n">
        <f aca="false">FV60-GD60+FZ60*IF(Slot17_SpendLike=1,GB60-GC60,IF(Slot17_PotFree=1,GB60,0))</f>
        <v>0</v>
      </c>
      <c r="GG60" s="1" t="n">
        <f aca="false">FW60+FZ60*Slot17_BufPot*GB60</f>
        <v>0</v>
      </c>
      <c r="GH60" s="1" t="n">
        <f aca="false">IF(AND(FZ60=1,Slot17_IsMfree=1),IF(GE60&gt;=Slot17_Cost-1,0,MAX(0,FX60-GE60)),FX60)</f>
        <v>0</v>
      </c>
      <c r="GI60" s="1" t="n">
        <f aca="false">FZ60*(Slot17_Cost-GE60)</f>
        <v>0</v>
      </c>
      <c r="GJ60" s="1" t="n">
        <f aca="false">IF(AND(Slot18_On=1,D60=Slot18_Age),1,0)</f>
        <v>0</v>
      </c>
      <c r="GK60" s="1" t="n">
        <f aca="false">IF(AND(Slot18_On=1,Slot18_Age&gt;D60),1,0)</f>
        <v>0</v>
      </c>
      <c r="GL60" s="1" t="n">
        <f aca="false">TB59</f>
        <v>0</v>
      </c>
      <c r="GM60" s="1" t="n">
        <f aca="false">GJ60*MIN(Slot18_Cost,GL60)</f>
        <v>0</v>
      </c>
      <c r="GN60" s="1" t="n">
        <f aca="false">GJ60*Slot18_SpendLike*MIN(Slot18_Cost-GM60,GF60)</f>
        <v>0</v>
      </c>
      <c r="GO60" s="1" t="n">
        <f aca="false">GM60+GN60</f>
        <v>0</v>
      </c>
      <c r="GP60" s="1" t="n">
        <f aca="false">GF60-GN60+GJ60*IF(Slot18_SpendLike=1,GL60-GM60,IF(Slot18_PotFree=1,GL60,0))</f>
        <v>0</v>
      </c>
      <c r="GQ60" s="1" t="n">
        <f aca="false">GG60+GJ60*Slot18_BufPot*GL60</f>
        <v>0</v>
      </c>
      <c r="GR60" s="1" t="n">
        <f aca="false">IF(AND(GJ60=1,Slot18_IsMfree=1),IF(GO60&gt;=Slot18_Cost-1,0,MAX(0,GH60-GO60)),GH60)</f>
        <v>0</v>
      </c>
      <c r="GS60" s="1" t="n">
        <f aca="false">GJ60*(Slot18_Cost-GO60)</f>
        <v>0</v>
      </c>
      <c r="GT60" s="1" t="n">
        <f aca="false">IF(AND(Slot19_On=1,D60=Slot19_Age),1,0)</f>
        <v>0</v>
      </c>
      <c r="GU60" s="1" t="n">
        <f aca="false">IF(AND(Slot19_On=1,Slot19_Age&gt;D60),1,0)</f>
        <v>0</v>
      </c>
      <c r="GV60" s="1" t="n">
        <f aca="false">TF59</f>
        <v>0</v>
      </c>
      <c r="GW60" s="1" t="n">
        <f aca="false">GT60*MIN(Slot19_Cost,GV60)</f>
        <v>0</v>
      </c>
      <c r="GX60" s="1" t="n">
        <f aca="false">GT60*Slot19_SpendLike*MIN(Slot19_Cost-GW60,GP60)</f>
        <v>0</v>
      </c>
      <c r="GY60" s="1" t="n">
        <f aca="false">GW60+GX60</f>
        <v>0</v>
      </c>
      <c r="GZ60" s="1" t="n">
        <f aca="false">GP60-GX60+GT60*IF(Slot19_SpendLike=1,GV60-GW60,IF(Slot19_PotFree=1,GV60,0))</f>
        <v>0</v>
      </c>
      <c r="HA60" s="1" t="n">
        <f aca="false">GQ60+GT60*Slot19_BufPot*GV60</f>
        <v>0</v>
      </c>
      <c r="HB60" s="1" t="n">
        <f aca="false">IF(AND(GT60=1,Slot19_IsMfree=1),IF(GY60&gt;=Slot19_Cost-1,0,MAX(0,GR60-GY60)),GR60)</f>
        <v>0</v>
      </c>
      <c r="HC60" s="1" t="n">
        <f aca="false">GT60*(Slot19_Cost-GY60)</f>
        <v>0</v>
      </c>
      <c r="HD60" s="1" t="n">
        <f aca="false">IF(AND(Slot20_On=1,D60=Slot20_Age),1,0)</f>
        <v>0</v>
      </c>
      <c r="HE60" s="1" t="n">
        <f aca="false">IF(AND(Slot20_On=1,Slot20_Age&gt;D60),1,0)</f>
        <v>0</v>
      </c>
      <c r="HF60" s="1" t="n">
        <f aca="false">TJ59</f>
        <v>0</v>
      </c>
      <c r="HG60" s="1" t="n">
        <f aca="false">HD60*MIN(Slot20_Cost,HF60)</f>
        <v>0</v>
      </c>
      <c r="HH60" s="1" t="n">
        <f aca="false">HD60*Slot20_SpendLike*MIN(Slot20_Cost-HG60,GZ60)</f>
        <v>0</v>
      </c>
      <c r="HI60" s="1" t="n">
        <f aca="false">HG60+HH60</f>
        <v>0</v>
      </c>
      <c r="HJ60" s="1" t="n">
        <f aca="false">GZ60-HH60+HD60*IF(Slot20_SpendLike=1,HF60-HG60,IF(Slot20_PotFree=1,HF60,0))</f>
        <v>0</v>
      </c>
      <c r="HK60" s="1" t="n">
        <f aca="false">HA60+HD60*Slot20_BufPot*HF60</f>
        <v>0</v>
      </c>
      <c r="HL60" s="1" t="n">
        <f aca="false">IF(AND(HD60=1,Slot20_IsMfree=1),IF(HI60&gt;=Slot20_Cost-1,0,MAX(0,HB60-HI60)),HB60)</f>
        <v>0</v>
      </c>
      <c r="HM60" s="1" t="n">
        <f aca="false">HD60*(Slot20_Cost-HI60)</f>
        <v>0</v>
      </c>
      <c r="HN60" s="1" t="n">
        <f aca="false">U60*Slot1_SpendLike*Z60+AF60*Slot2_SpendLike*AK60+AP60*Slot3_SpendLike*AU60+AZ60*Slot4_SpendLike*BE60+BJ60*Slot5_SpendLike*BO60+BT60*Slot6_SpendLike*BY60+CD60*Slot7_SpendLike*CI60+CN60*Slot8_SpendLike*CS60+CX60*Slot9_SpendLike*DC60+DH60*Slot10_SpendLike*DM60+DR60*Slot11_SpendLike*DW60+EB60*Slot12_SpendLike*EG60+EL60*Slot13_SpendLike*EQ60+EV60*Slot14_SpendLike*FA60+FF60*Slot15_SpendLike*FK60+FP60*Slot16_SpendLike*FU60+FZ60*Slot17_SpendLike*GE60+GJ60*Slot18_SpendLike*GO60+GT60*Slot19_SpendLike*GY60+HD60*Slot20_SpendLike*HI60</f>
        <v>0</v>
      </c>
      <c r="HO60" s="1" t="n">
        <f aca="false">AD60+AO60+AY60+BI60+BS60+CC60+CM60+CW60+DG60+DQ60+EA60+EK60+EU60+FE60+FO60+FY60+GI60+GS60+HC60+HM60</f>
        <v>0</v>
      </c>
      <c r="HP60" s="1" t="n">
        <f aca="false">U60*Slot1_Cost+AF60*Slot2_Cost+AP60*Slot3_Cost+AZ60*Slot4_Cost+BJ60*Slot5_Cost+BT60*Slot6_Cost+CD60*Slot7_Cost+CN60*Slot8_Cost+CX60*Slot9_Cost+DH60*Slot10_Cost+DR60*Slot11_Cost+EB60*Slot12_Cost+EL60*Slot13_Cost+EV60*Slot14_Cost+FF60*Slot15_Cost+FP60*Slot16_Cost+FZ60*Slot17_Cost+GJ60*Slot18_Cost+GT60*Slot19_Cost+HD60*Slot20_Cost</f>
        <v>0</v>
      </c>
      <c r="HQ60" s="1" t="n">
        <f aca="false">HL60</f>
        <v>0</v>
      </c>
      <c r="HR60" s="1" t="n">
        <f aca="false">G60-H60-R60</f>
        <v>0</v>
      </c>
      <c r="HS60" s="1" t="n">
        <f aca="false">IF(B60=0,IF(AND(Has_q6=1,In_q6=4),PR_ShareVaries*(MAX(0,HR60)/12),MIN(IF(Has_q6=1,CHOOSE(In_q6+1,PR_SaveB1,PR_SaveB2,PR_SaveB3,PR_SaveB4,0),AS_NoAnswer),AS_SaveShare*(MAX(0,HR60)/12))),HS59)</f>
        <v>0</v>
      </c>
      <c r="HT60" s="1" t="n">
        <f aca="false">IF(HR60&gt;=0,1,0)</f>
        <v>1</v>
      </c>
      <c r="HU60" s="1" t="n">
        <f aca="false">MAX(0,HR60/12/E60)</f>
        <v>0</v>
      </c>
      <c r="HV60" s="1" t="n">
        <f aca="false">IF(AND(Has_q6=1,In_q6=4),PR_ShareVaries*(HU60),MIN(IF(Has_q6=1,CHOOSE(In_q6+1,PR_SaveB1,PR_SaveB2,PR_SaveB3,PR_SaveB4,0),AS_NoAnswer),AS_SaveShare*(HU60)))</f>
        <v>0</v>
      </c>
      <c r="HW60" s="1" t="n">
        <f aca="false">IF(Has_saveM=1,IF(In_saveUp="Yes",1,IF(In_saveUp="No",0,IF(In_saveM&gt;=HS60-0.5,1,0))),0)</f>
        <v>0</v>
      </c>
      <c r="HX60" s="1" t="n">
        <f aca="false">IF(Has_saveM=1,MIN(HU60,IF(HW60=1,MAX(In_saveM,HV60),MIN(In_saveM,HV60))),HV60)</f>
        <v>0</v>
      </c>
      <c r="HY60" s="1" t="n">
        <f aca="false">IF(F60=1,HX60*12*E60,0)</f>
        <v>0</v>
      </c>
      <c r="HZ60" s="1" t="n">
        <f aca="false">MAX(0,HY60+IF(AND(WI_Retire=0,WI_M&lt;0,F60=1),WI_M*12*E60,0))</f>
        <v>0</v>
      </c>
      <c r="IA60" s="1" t="n">
        <f aca="false">Slot1_IsWG*V60+Slot2_IsWG*AG60+Slot3_IsWG*AQ60+Slot4_IsWG*BA60+Slot5_IsWG*BK60+Slot6_IsWG*BU60+Slot7_IsWG*CE60+Slot8_IsWG*CO60+Slot9_IsWG*CY60+Slot10_IsWG*DI60+Slot11_IsWG*DS60+Slot12_IsWG*EC60+Slot13_IsWG*EM60+Slot14_IsWG*EW60+Slot15_IsWG*FG60+Slot16_IsWG*FQ60+Slot17_IsWG*GA60+Slot18_IsWG*GK60+Slot19_IsWG*GU60+Slot20_IsWG*HE60</f>
        <v>0</v>
      </c>
      <c r="IB60" s="1" t="n">
        <f aca="false">IF(AND(WI_Retire=0,WI_M&gt;0,F60=1,IA60&gt;=1),WI_M*12*E60,0)</f>
        <v>0</v>
      </c>
      <c r="IC60" s="1" t="n">
        <f aca="false">IF(HT60=1,MIN(HZ60,HR60),0)</f>
        <v>0</v>
      </c>
      <c r="ID60" s="1" t="n">
        <f aca="false">IF(HT60=1,MIN(IB60,HR60-IC60),0)</f>
        <v>0</v>
      </c>
      <c r="IE60" s="1" t="n">
        <f aca="false">IF(V60=1,IF(ABS((1+AS_Wage)/(1+Slot1_Rate)-1)&lt;0.000000000001,(Slot1_Age-D60)*(1+Slot1_Rate)^(Slot1_Age-D60),(1+Slot1_Rate)^(Slot1_Age-D60)*(1-((1+AS_Wage)/(1+Slot1_Rate))^(Slot1_Age-D60))/(1-(1+AS_Wage)/(1+Slot1_Rate))),1)</f>
        <v>1</v>
      </c>
      <c r="IF60" s="1" t="n">
        <f aca="false">IF(AND(HT60=1,ID60&gt;0,Slot1_IsWG=1,V60=1),MAX(0,(Slot1_Cost-W60*(1+Slot1_Rate)^(Slot1_Age-D60))/IE60),0)</f>
        <v>0</v>
      </c>
      <c r="IG60" s="1" t="n">
        <f aca="false">IF(AND(HT60=1,ID60&gt;0,Slot1_IsWG=1,V60=1),MIN(ID60,IF60),0)</f>
        <v>0</v>
      </c>
      <c r="IH60" s="1" t="n">
        <f aca="false">W60+IG60</f>
        <v>0</v>
      </c>
      <c r="II60" s="1" t="n">
        <f aca="false">IF(V60=1,MAX(0,(Slot1_Cost-IH60*(1+Slot1_Rate)^(Slot1_Age-D60))/IE60),0)</f>
        <v>0</v>
      </c>
      <c r="IJ60" s="1" t="n">
        <f aca="false">IF(V60=1,MAX(0,(Slot1_Cost-W60*(1+Slot1_Rate)^(Slot1_Age-D60))/IE60),0)</f>
        <v>0</v>
      </c>
      <c r="IK60" s="1" t="n">
        <f aca="false">IF(AND(HT60=1,V60=1),MIN(IC60,II60),0)</f>
        <v>0</v>
      </c>
      <c r="IL60" s="1" t="n">
        <f aca="false">IC60-IK60</f>
        <v>0</v>
      </c>
      <c r="IM60" s="1" t="n">
        <f aca="false">IF(AG60=1,IF(ABS((1+AS_Wage)/(1+Slot2_Rate)-1)&lt;0.000000000001,(Slot2_Age-D60)*(1+Slot2_Rate)^(Slot2_Age-D60),(1+Slot2_Rate)^(Slot2_Age-D60)*(1-((1+AS_Wage)/(1+Slot2_Rate))^(Slot2_Age-D60))/(1-(1+AS_Wage)/(1+Slot2_Rate))),1)</f>
        <v>1</v>
      </c>
      <c r="IN60" s="1" t="n">
        <f aca="false">IF(AND(HT60=1,ID60&gt;0,Slot2_IsWG=1,AG60=1),MAX(0,(Slot2_Cost-AH60*(1+Slot2_Rate)^(Slot2_Age-D60))/IM60),0)</f>
        <v>0</v>
      </c>
      <c r="IO60" s="1" t="n">
        <f aca="false">IF(AND(HT60=1,ID60&gt;0,Slot2_IsWG=1,AG60=1),MIN(ID60,IN60),0)</f>
        <v>0</v>
      </c>
      <c r="IP60" s="1" t="n">
        <f aca="false">AH60+IO60</f>
        <v>0</v>
      </c>
      <c r="IQ60" s="1" t="n">
        <f aca="false">IF(AG60=1,MAX(0,(Slot2_Cost-IP60*(1+Slot2_Rate)^(Slot2_Age-D60))/IM60),0)</f>
        <v>0</v>
      </c>
      <c r="IR60" s="1" t="n">
        <f aca="false">IF(AG60=1,MAX(0,(Slot2_Cost-AH60*(1+Slot2_Rate)^(Slot2_Age-D60))/IM60),0)</f>
        <v>0</v>
      </c>
      <c r="IS60" s="1" t="n">
        <f aca="false">IF(AND(HT60=1,AG60=1),MIN(IL60,IQ60),0)</f>
        <v>0</v>
      </c>
      <c r="IT60" s="1" t="n">
        <f aca="false">IL60-IS60</f>
        <v>0</v>
      </c>
      <c r="IU60" s="1" t="n">
        <f aca="false">IF(AQ60=1,IF(ABS((1+AS_Wage)/(1+Slot3_Rate)-1)&lt;0.000000000001,(Slot3_Age-D60)*(1+Slot3_Rate)^(Slot3_Age-D60),(1+Slot3_Rate)^(Slot3_Age-D60)*(1-((1+AS_Wage)/(1+Slot3_Rate))^(Slot3_Age-D60))/(1-(1+AS_Wage)/(1+Slot3_Rate))),1)</f>
        <v>1</v>
      </c>
      <c r="IV60" s="1" t="n">
        <f aca="false">IF(AND(HT60=1,ID60&gt;0,Slot3_IsWG=1,AQ60=1),MAX(0,(Slot3_Cost-AR60*(1+Slot3_Rate)^(Slot3_Age-D60))/IU60),0)</f>
        <v>0</v>
      </c>
      <c r="IW60" s="1" t="n">
        <f aca="false">IF(AND(HT60=1,ID60&gt;0,Slot3_IsWG=1,AQ60=1),MIN(ID60,IV60),0)</f>
        <v>0</v>
      </c>
      <c r="IX60" s="1" t="n">
        <f aca="false">AR60+IW60</f>
        <v>0</v>
      </c>
      <c r="IY60" s="1" t="n">
        <f aca="false">IF(AQ60=1,MAX(0,(Slot3_Cost-IX60*(1+Slot3_Rate)^(Slot3_Age-D60))/IU60),0)</f>
        <v>0</v>
      </c>
      <c r="IZ60" s="1" t="n">
        <f aca="false">IF(AQ60=1,MAX(0,(Slot3_Cost-AR60*(1+Slot3_Rate)^(Slot3_Age-D60))/IU60),0)</f>
        <v>0</v>
      </c>
      <c r="JA60" s="1" t="n">
        <f aca="false">IF(AND(HT60=1,AQ60=1),MIN(IT60,IY60),0)</f>
        <v>0</v>
      </c>
      <c r="JB60" s="1" t="n">
        <f aca="false">IT60-JA60</f>
        <v>0</v>
      </c>
      <c r="JC60" s="1" t="n">
        <f aca="false">IF(BA60=1,IF(ABS((1+AS_Wage)/(1+Slot4_Rate)-1)&lt;0.000000000001,(Slot4_Age-D60)*(1+Slot4_Rate)^(Slot4_Age-D60),(1+Slot4_Rate)^(Slot4_Age-D60)*(1-((1+AS_Wage)/(1+Slot4_Rate))^(Slot4_Age-D60))/(1-(1+AS_Wage)/(1+Slot4_Rate))),1)</f>
        <v>1</v>
      </c>
      <c r="JD60" s="1" t="n">
        <f aca="false">IF(AND(HT60=1,ID60&gt;0,Slot4_IsWG=1,BA60=1),MAX(0,(Slot4_Cost-BB60*(1+Slot4_Rate)^(Slot4_Age-D60))/JC60),0)</f>
        <v>0</v>
      </c>
      <c r="JE60" s="1" t="n">
        <f aca="false">IF(AND(HT60=1,ID60&gt;0,Slot4_IsWG=1,BA60=1),MIN(ID60,JD60),0)</f>
        <v>0</v>
      </c>
      <c r="JF60" s="1" t="n">
        <f aca="false">BB60+JE60</f>
        <v>0</v>
      </c>
      <c r="JG60" s="1" t="n">
        <f aca="false">IF(BA60=1,MAX(0,(Slot4_Cost-JF60*(1+Slot4_Rate)^(Slot4_Age-D60))/JC60),0)</f>
        <v>0</v>
      </c>
      <c r="JH60" s="1" t="n">
        <f aca="false">IF(BA60=1,MAX(0,(Slot4_Cost-BB60*(1+Slot4_Rate)^(Slot4_Age-D60))/JC60),0)</f>
        <v>0</v>
      </c>
      <c r="JI60" s="1" t="n">
        <f aca="false">IF(AND(HT60=1,BA60=1),MIN(JB60,JG60),0)</f>
        <v>0</v>
      </c>
      <c r="JJ60" s="1" t="n">
        <f aca="false">JB60-JI60</f>
        <v>0</v>
      </c>
      <c r="JK60" s="1" t="n">
        <f aca="false">IF(BK60=1,IF(ABS((1+AS_Wage)/(1+Slot5_Rate)-1)&lt;0.000000000001,(Slot5_Age-D60)*(1+Slot5_Rate)^(Slot5_Age-D60),(1+Slot5_Rate)^(Slot5_Age-D60)*(1-((1+AS_Wage)/(1+Slot5_Rate))^(Slot5_Age-D60))/(1-(1+AS_Wage)/(1+Slot5_Rate))),1)</f>
        <v>1</v>
      </c>
      <c r="JL60" s="1" t="n">
        <f aca="false">IF(AND(HT60=1,ID60&gt;0,Slot5_IsWG=1,BK60=1),MAX(0,(Slot5_Cost-BL60*(1+Slot5_Rate)^(Slot5_Age-D60))/JK60),0)</f>
        <v>0</v>
      </c>
      <c r="JM60" s="1" t="n">
        <f aca="false">IF(AND(HT60=1,ID60&gt;0,Slot5_IsWG=1,BK60=1),MIN(ID60,JL60),0)</f>
        <v>0</v>
      </c>
      <c r="JN60" s="1" t="n">
        <f aca="false">BL60+JM60</f>
        <v>0</v>
      </c>
      <c r="JO60" s="1" t="n">
        <f aca="false">IF(BK60=1,MAX(0,(Slot5_Cost-JN60*(1+Slot5_Rate)^(Slot5_Age-D60))/JK60),0)</f>
        <v>0</v>
      </c>
      <c r="JP60" s="1" t="n">
        <f aca="false">IF(BK60=1,MAX(0,(Slot5_Cost-BL60*(1+Slot5_Rate)^(Slot5_Age-D60))/JK60),0)</f>
        <v>0</v>
      </c>
      <c r="JQ60" s="1" t="n">
        <f aca="false">IF(AND(HT60=1,BK60=1),MIN(JJ60,JO60),0)</f>
        <v>0</v>
      </c>
      <c r="JR60" s="1" t="n">
        <f aca="false">JJ60-JQ60</f>
        <v>0</v>
      </c>
      <c r="JS60" s="1" t="n">
        <f aca="false">IF(BU60=1,IF(ABS((1+AS_Wage)/(1+Slot6_Rate)-1)&lt;0.000000000001,(Slot6_Age-D60)*(1+Slot6_Rate)^(Slot6_Age-D60),(1+Slot6_Rate)^(Slot6_Age-D60)*(1-((1+AS_Wage)/(1+Slot6_Rate))^(Slot6_Age-D60))/(1-(1+AS_Wage)/(1+Slot6_Rate))),1)</f>
        <v>1</v>
      </c>
      <c r="JT60" s="1" t="n">
        <f aca="false">IF(AND(HT60=1,ID60&gt;0,Slot6_IsWG=1,BU60=1),MAX(0,(Slot6_Cost-BV60*(1+Slot6_Rate)^(Slot6_Age-D60))/JS60),0)</f>
        <v>0</v>
      </c>
      <c r="JU60" s="1" t="n">
        <f aca="false">IF(AND(HT60=1,ID60&gt;0,Slot6_IsWG=1,BU60=1),MIN(ID60,JT60),0)</f>
        <v>0</v>
      </c>
      <c r="JV60" s="1" t="n">
        <f aca="false">BV60+JU60</f>
        <v>0</v>
      </c>
      <c r="JW60" s="1" t="n">
        <f aca="false">IF(BU60=1,MAX(0,(Slot6_Cost-JV60*(1+Slot6_Rate)^(Slot6_Age-D60))/JS60),0)</f>
        <v>0</v>
      </c>
      <c r="JX60" s="1" t="n">
        <f aca="false">IF(BU60=1,MAX(0,(Slot6_Cost-BV60*(1+Slot6_Rate)^(Slot6_Age-D60))/JS60),0)</f>
        <v>0</v>
      </c>
      <c r="JY60" s="1" t="n">
        <f aca="false">IF(AND(HT60=1,BU60=1),MIN(JR60,JW60),0)</f>
        <v>0</v>
      </c>
      <c r="JZ60" s="1" t="n">
        <f aca="false">JR60-JY60</f>
        <v>0</v>
      </c>
      <c r="KA60" s="1" t="n">
        <f aca="false">IF(CE60=1,IF(ABS((1+AS_Wage)/(1+Slot7_Rate)-1)&lt;0.000000000001,(Slot7_Age-D60)*(1+Slot7_Rate)^(Slot7_Age-D60),(1+Slot7_Rate)^(Slot7_Age-D60)*(1-((1+AS_Wage)/(1+Slot7_Rate))^(Slot7_Age-D60))/(1-(1+AS_Wage)/(1+Slot7_Rate))),1)</f>
        <v>1</v>
      </c>
      <c r="KB60" s="1" t="n">
        <f aca="false">IF(AND(HT60=1,ID60&gt;0,Slot7_IsWG=1,CE60=1),MAX(0,(Slot7_Cost-CF60*(1+Slot7_Rate)^(Slot7_Age-D60))/KA60),0)</f>
        <v>0</v>
      </c>
      <c r="KC60" s="1" t="n">
        <f aca="false">IF(AND(HT60=1,ID60&gt;0,Slot7_IsWG=1,CE60=1),MIN(ID60,KB60),0)</f>
        <v>0</v>
      </c>
      <c r="KD60" s="1" t="n">
        <f aca="false">CF60+KC60</f>
        <v>0</v>
      </c>
      <c r="KE60" s="1" t="n">
        <f aca="false">IF(CE60=1,MAX(0,(Slot7_Cost-KD60*(1+Slot7_Rate)^(Slot7_Age-D60))/KA60),0)</f>
        <v>0</v>
      </c>
      <c r="KF60" s="1" t="n">
        <f aca="false">IF(CE60=1,MAX(0,(Slot7_Cost-CF60*(1+Slot7_Rate)^(Slot7_Age-D60))/KA60),0)</f>
        <v>0</v>
      </c>
      <c r="KG60" s="1" t="n">
        <f aca="false">IF(AND(HT60=1,CE60=1),MIN(JZ60,KE60),0)</f>
        <v>0</v>
      </c>
      <c r="KH60" s="1" t="n">
        <f aca="false">JZ60-KG60</f>
        <v>0</v>
      </c>
      <c r="KI60" s="1" t="n">
        <f aca="false">IF(CO60=1,IF(ABS((1+AS_Wage)/(1+Slot8_Rate)-1)&lt;0.000000000001,(Slot8_Age-D60)*(1+Slot8_Rate)^(Slot8_Age-D60),(1+Slot8_Rate)^(Slot8_Age-D60)*(1-((1+AS_Wage)/(1+Slot8_Rate))^(Slot8_Age-D60))/(1-(1+AS_Wage)/(1+Slot8_Rate))),1)</f>
        <v>1</v>
      </c>
      <c r="KJ60" s="1" t="n">
        <f aca="false">IF(AND(HT60=1,ID60&gt;0,Slot8_IsWG=1,CO60=1),MAX(0,(Slot8_Cost-CP60*(1+Slot8_Rate)^(Slot8_Age-D60))/KI60),0)</f>
        <v>0</v>
      </c>
      <c r="KK60" s="1" t="n">
        <f aca="false">IF(AND(HT60=1,ID60&gt;0,Slot8_IsWG=1,CO60=1),MIN(ID60,KJ60),0)</f>
        <v>0</v>
      </c>
      <c r="KL60" s="1" t="n">
        <f aca="false">CP60+KK60</f>
        <v>0</v>
      </c>
      <c r="KM60" s="1" t="n">
        <f aca="false">IF(CO60=1,MAX(0,(Slot8_Cost-KL60*(1+Slot8_Rate)^(Slot8_Age-D60))/KI60),0)</f>
        <v>0</v>
      </c>
      <c r="KN60" s="1" t="n">
        <f aca="false">IF(CO60=1,MAX(0,(Slot8_Cost-CP60*(1+Slot8_Rate)^(Slot8_Age-D60))/KI60),0)</f>
        <v>0</v>
      </c>
      <c r="KO60" s="1" t="n">
        <f aca="false">IF(AND(HT60=1,CO60=1),MIN(KH60,KM60),0)</f>
        <v>0</v>
      </c>
      <c r="KP60" s="1" t="n">
        <f aca="false">KH60-KO60</f>
        <v>0</v>
      </c>
      <c r="KQ60" s="1" t="n">
        <f aca="false">IF(CY60=1,IF(ABS((1+AS_Wage)/(1+Slot9_Rate)-1)&lt;0.000000000001,(Slot9_Age-D60)*(1+Slot9_Rate)^(Slot9_Age-D60),(1+Slot9_Rate)^(Slot9_Age-D60)*(1-((1+AS_Wage)/(1+Slot9_Rate))^(Slot9_Age-D60))/(1-(1+AS_Wage)/(1+Slot9_Rate))),1)</f>
        <v>1</v>
      </c>
      <c r="KR60" s="1" t="n">
        <f aca="false">IF(AND(HT60=1,ID60&gt;0,Slot9_IsWG=1,CY60=1),MAX(0,(Slot9_Cost-CZ60*(1+Slot9_Rate)^(Slot9_Age-D60))/KQ60),0)</f>
        <v>0</v>
      </c>
      <c r="KS60" s="1" t="n">
        <f aca="false">IF(AND(HT60=1,ID60&gt;0,Slot9_IsWG=1,CY60=1),MIN(ID60,KR60),0)</f>
        <v>0</v>
      </c>
      <c r="KT60" s="1" t="n">
        <f aca="false">CZ60+KS60</f>
        <v>0</v>
      </c>
      <c r="KU60" s="1" t="n">
        <f aca="false">IF(CY60=1,MAX(0,(Slot9_Cost-KT60*(1+Slot9_Rate)^(Slot9_Age-D60))/KQ60),0)</f>
        <v>0</v>
      </c>
      <c r="KV60" s="1" t="n">
        <f aca="false">IF(CY60=1,MAX(0,(Slot9_Cost-CZ60*(1+Slot9_Rate)^(Slot9_Age-D60))/KQ60),0)</f>
        <v>0</v>
      </c>
      <c r="KW60" s="1" t="n">
        <f aca="false">IF(AND(HT60=1,CY60=1),MIN(KP60,KU60),0)</f>
        <v>0</v>
      </c>
      <c r="KX60" s="1" t="n">
        <f aca="false">KP60-KW60</f>
        <v>0</v>
      </c>
      <c r="KY60" s="1" t="n">
        <f aca="false">IF(DI60=1,IF(ABS((1+AS_Wage)/(1+Slot10_Rate)-1)&lt;0.000000000001,(Slot10_Age-D60)*(1+Slot10_Rate)^(Slot10_Age-D60),(1+Slot10_Rate)^(Slot10_Age-D60)*(1-((1+AS_Wage)/(1+Slot10_Rate))^(Slot10_Age-D60))/(1-(1+AS_Wage)/(1+Slot10_Rate))),1)</f>
        <v>1</v>
      </c>
      <c r="KZ60" s="1" t="n">
        <f aca="false">IF(AND(HT60=1,ID60&gt;0,Slot10_IsWG=1,DI60=1),MAX(0,(Slot10_Cost-DJ60*(1+Slot10_Rate)^(Slot10_Age-D60))/KY60),0)</f>
        <v>0</v>
      </c>
      <c r="LA60" s="1" t="n">
        <f aca="false">IF(AND(HT60=1,ID60&gt;0,Slot10_IsWG=1,DI60=1),MIN(ID60,KZ60),0)</f>
        <v>0</v>
      </c>
      <c r="LB60" s="1" t="n">
        <f aca="false">DJ60+LA60</f>
        <v>0</v>
      </c>
      <c r="LC60" s="1" t="n">
        <f aca="false">IF(DI60=1,MAX(0,(Slot10_Cost-LB60*(1+Slot10_Rate)^(Slot10_Age-D60))/KY60),0)</f>
        <v>0</v>
      </c>
      <c r="LD60" s="1" t="n">
        <f aca="false">IF(DI60=1,MAX(0,(Slot10_Cost-DJ60*(1+Slot10_Rate)^(Slot10_Age-D60))/KY60),0)</f>
        <v>0</v>
      </c>
      <c r="LE60" s="1" t="n">
        <f aca="false">IF(AND(HT60=1,DI60=1),MIN(KX60,LC60),0)</f>
        <v>0</v>
      </c>
      <c r="LF60" s="1" t="n">
        <f aca="false">KX60-LE60</f>
        <v>0</v>
      </c>
      <c r="LG60" s="1" t="n">
        <f aca="false">IF(DS60=1,IF(ABS((1+AS_Wage)/(1+Slot11_Rate)-1)&lt;0.000000000001,(Slot11_Age-D60)*(1+Slot11_Rate)^(Slot11_Age-D60),(1+Slot11_Rate)^(Slot11_Age-D60)*(1-((1+AS_Wage)/(1+Slot11_Rate))^(Slot11_Age-D60))/(1-(1+AS_Wage)/(1+Slot11_Rate))),1)</f>
        <v>1</v>
      </c>
      <c r="LH60" s="1" t="n">
        <f aca="false">IF(AND(HT60=1,ID60&gt;0,Slot11_IsWG=1,DS60=1),MAX(0,(Slot11_Cost-DT60*(1+Slot11_Rate)^(Slot11_Age-D60))/LG60),0)</f>
        <v>0</v>
      </c>
      <c r="LI60" s="1" t="n">
        <f aca="false">IF(AND(HT60=1,ID60&gt;0,Slot11_IsWG=1,DS60=1),MIN(ID60,LH60),0)</f>
        <v>0</v>
      </c>
      <c r="LJ60" s="1" t="n">
        <f aca="false">DT60+LI60</f>
        <v>0</v>
      </c>
      <c r="LK60" s="1" t="n">
        <f aca="false">IF(DS60=1,MAX(0,(Slot11_Cost-LJ60*(1+Slot11_Rate)^(Slot11_Age-D60))/LG60),0)</f>
        <v>0</v>
      </c>
      <c r="LL60" s="1" t="n">
        <f aca="false">IF(DS60=1,MAX(0,(Slot11_Cost-DT60*(1+Slot11_Rate)^(Slot11_Age-D60))/LG60),0)</f>
        <v>0</v>
      </c>
      <c r="LM60" s="1" t="n">
        <f aca="false">IF(AND(HT60=1,DS60=1),MIN(LF60,LK60),0)</f>
        <v>0</v>
      </c>
      <c r="LN60" s="1" t="n">
        <f aca="false">LF60-LM60</f>
        <v>0</v>
      </c>
      <c r="LO60" s="1" t="n">
        <f aca="false">IF(EC60=1,IF(ABS((1+AS_Wage)/(1+Slot12_Rate)-1)&lt;0.000000000001,(Slot12_Age-D60)*(1+Slot12_Rate)^(Slot12_Age-D60),(1+Slot12_Rate)^(Slot12_Age-D60)*(1-((1+AS_Wage)/(1+Slot12_Rate))^(Slot12_Age-D60))/(1-(1+AS_Wage)/(1+Slot12_Rate))),1)</f>
        <v>1</v>
      </c>
      <c r="LP60" s="1" t="n">
        <f aca="false">IF(AND(HT60=1,ID60&gt;0,Slot12_IsWG=1,EC60=1),MAX(0,(Slot12_Cost-ED60*(1+Slot12_Rate)^(Slot12_Age-D60))/LO60),0)</f>
        <v>0</v>
      </c>
      <c r="LQ60" s="1" t="n">
        <f aca="false">IF(AND(HT60=1,ID60&gt;0,Slot12_IsWG=1,EC60=1),MIN(ID60,LP60),0)</f>
        <v>0</v>
      </c>
      <c r="LR60" s="1" t="n">
        <f aca="false">ED60+LQ60</f>
        <v>0</v>
      </c>
      <c r="LS60" s="1" t="n">
        <f aca="false">IF(EC60=1,MAX(0,(Slot12_Cost-LR60*(1+Slot12_Rate)^(Slot12_Age-D60))/LO60),0)</f>
        <v>0</v>
      </c>
      <c r="LT60" s="1" t="n">
        <f aca="false">IF(EC60=1,MAX(0,(Slot12_Cost-ED60*(1+Slot12_Rate)^(Slot12_Age-D60))/LO60),0)</f>
        <v>0</v>
      </c>
      <c r="LU60" s="1" t="n">
        <f aca="false">IF(AND(HT60=1,EC60=1),MIN(LN60,LS60),0)</f>
        <v>0</v>
      </c>
      <c r="LV60" s="1" t="n">
        <f aca="false">LN60-LU60</f>
        <v>0</v>
      </c>
      <c r="LW60" s="1" t="n">
        <f aca="false">IF(EM60=1,IF(ABS((1+AS_Wage)/(1+Slot13_Rate)-1)&lt;0.000000000001,(Slot13_Age-D60)*(1+Slot13_Rate)^(Slot13_Age-D60),(1+Slot13_Rate)^(Slot13_Age-D60)*(1-((1+AS_Wage)/(1+Slot13_Rate))^(Slot13_Age-D60))/(1-(1+AS_Wage)/(1+Slot13_Rate))),1)</f>
        <v>1</v>
      </c>
      <c r="LX60" s="1" t="n">
        <f aca="false">IF(AND(HT60=1,ID60&gt;0,Slot13_IsWG=1,EM60=1),MAX(0,(Slot13_Cost-EN60*(1+Slot13_Rate)^(Slot13_Age-D60))/LW60),0)</f>
        <v>0</v>
      </c>
      <c r="LY60" s="1" t="n">
        <f aca="false">IF(AND(HT60=1,ID60&gt;0,Slot13_IsWG=1,EM60=1),MIN(ID60,LX60),0)</f>
        <v>0</v>
      </c>
      <c r="LZ60" s="1" t="n">
        <f aca="false">EN60+LY60</f>
        <v>0</v>
      </c>
      <c r="MA60" s="1" t="n">
        <f aca="false">IF(EM60=1,MAX(0,(Slot13_Cost-LZ60*(1+Slot13_Rate)^(Slot13_Age-D60))/LW60),0)</f>
        <v>0</v>
      </c>
      <c r="MB60" s="1" t="n">
        <f aca="false">IF(EM60=1,MAX(0,(Slot13_Cost-EN60*(1+Slot13_Rate)^(Slot13_Age-D60))/LW60),0)</f>
        <v>0</v>
      </c>
      <c r="MC60" s="1" t="n">
        <f aca="false">IF(AND(HT60=1,EM60=1),MIN(LV60,MA60),0)</f>
        <v>0</v>
      </c>
      <c r="MD60" s="1" t="n">
        <f aca="false">LV60-MC60</f>
        <v>0</v>
      </c>
      <c r="ME60" s="1" t="n">
        <f aca="false">IF(EW60=1,IF(ABS((1+AS_Wage)/(1+Slot14_Rate)-1)&lt;0.000000000001,(Slot14_Age-D60)*(1+Slot14_Rate)^(Slot14_Age-D60),(1+Slot14_Rate)^(Slot14_Age-D60)*(1-((1+AS_Wage)/(1+Slot14_Rate))^(Slot14_Age-D60))/(1-(1+AS_Wage)/(1+Slot14_Rate))),1)</f>
        <v>1</v>
      </c>
      <c r="MF60" s="1" t="n">
        <f aca="false">IF(AND(HT60=1,ID60&gt;0,Slot14_IsWG=1,EW60=1),MAX(0,(Slot14_Cost-EX60*(1+Slot14_Rate)^(Slot14_Age-D60))/ME60),0)</f>
        <v>0</v>
      </c>
      <c r="MG60" s="1" t="n">
        <f aca="false">IF(AND(HT60=1,ID60&gt;0,Slot14_IsWG=1,EW60=1),MIN(ID60,MF60),0)</f>
        <v>0</v>
      </c>
      <c r="MH60" s="1" t="n">
        <f aca="false">EX60+MG60</f>
        <v>0</v>
      </c>
      <c r="MI60" s="1" t="n">
        <f aca="false">IF(EW60=1,MAX(0,(Slot14_Cost-MH60*(1+Slot14_Rate)^(Slot14_Age-D60))/ME60),0)</f>
        <v>0</v>
      </c>
      <c r="MJ60" s="1" t="n">
        <f aca="false">IF(EW60=1,MAX(0,(Slot14_Cost-EX60*(1+Slot14_Rate)^(Slot14_Age-D60))/ME60),0)</f>
        <v>0</v>
      </c>
      <c r="MK60" s="1" t="n">
        <f aca="false">IF(AND(HT60=1,EW60=1),MIN(MD60,MI60),0)</f>
        <v>0</v>
      </c>
      <c r="ML60" s="1" t="n">
        <f aca="false">MD60-MK60</f>
        <v>0</v>
      </c>
      <c r="MM60" s="1" t="n">
        <f aca="false">IF(FG60=1,IF(ABS((1+AS_Wage)/(1+Slot15_Rate)-1)&lt;0.000000000001,(Slot15_Age-D60)*(1+Slot15_Rate)^(Slot15_Age-D60),(1+Slot15_Rate)^(Slot15_Age-D60)*(1-((1+AS_Wage)/(1+Slot15_Rate))^(Slot15_Age-D60))/(1-(1+AS_Wage)/(1+Slot15_Rate))),1)</f>
        <v>1</v>
      </c>
      <c r="MN60" s="1" t="n">
        <f aca="false">IF(AND(HT60=1,ID60&gt;0,Slot15_IsWG=1,FG60=1),MAX(0,(Slot15_Cost-FH60*(1+Slot15_Rate)^(Slot15_Age-D60))/MM60),0)</f>
        <v>0</v>
      </c>
      <c r="MO60" s="1" t="n">
        <f aca="false">IF(AND(HT60=1,ID60&gt;0,Slot15_IsWG=1,FG60=1),MIN(ID60,MN60),0)</f>
        <v>0</v>
      </c>
      <c r="MP60" s="1" t="n">
        <f aca="false">FH60+MO60</f>
        <v>0</v>
      </c>
      <c r="MQ60" s="1" t="n">
        <f aca="false">IF(FG60=1,MAX(0,(Slot15_Cost-MP60*(1+Slot15_Rate)^(Slot15_Age-D60))/MM60),0)</f>
        <v>0</v>
      </c>
      <c r="MR60" s="1" t="n">
        <f aca="false">IF(FG60=1,MAX(0,(Slot15_Cost-FH60*(1+Slot15_Rate)^(Slot15_Age-D60))/MM60),0)</f>
        <v>0</v>
      </c>
      <c r="MS60" s="1" t="n">
        <f aca="false">IF(AND(HT60=1,FG60=1),MIN(ML60,MQ60),0)</f>
        <v>0</v>
      </c>
      <c r="MT60" s="1" t="n">
        <f aca="false">ML60-MS60</f>
        <v>0</v>
      </c>
      <c r="MU60" s="1" t="n">
        <f aca="false">IF(FQ60=1,IF(ABS((1+AS_Wage)/(1+Slot16_Rate)-1)&lt;0.000000000001,(Slot16_Age-D60)*(1+Slot16_Rate)^(Slot16_Age-D60),(1+Slot16_Rate)^(Slot16_Age-D60)*(1-((1+AS_Wage)/(1+Slot16_Rate))^(Slot16_Age-D60))/(1-(1+AS_Wage)/(1+Slot16_Rate))),1)</f>
        <v>1</v>
      </c>
      <c r="MV60" s="1" t="n">
        <f aca="false">IF(AND(HT60=1,ID60&gt;0,Slot16_IsWG=1,FQ60=1),MAX(0,(Slot16_Cost-FR60*(1+Slot16_Rate)^(Slot16_Age-D60))/MU60),0)</f>
        <v>0</v>
      </c>
      <c r="MW60" s="1" t="n">
        <f aca="false">IF(AND(HT60=1,ID60&gt;0,Slot16_IsWG=1,FQ60=1),MIN(ID60,MV60),0)</f>
        <v>0</v>
      </c>
      <c r="MX60" s="1" t="n">
        <f aca="false">FR60+MW60</f>
        <v>0</v>
      </c>
      <c r="MY60" s="1" t="n">
        <f aca="false">IF(FQ60=1,MAX(0,(Slot16_Cost-MX60*(1+Slot16_Rate)^(Slot16_Age-D60))/MU60),0)</f>
        <v>0</v>
      </c>
      <c r="MZ60" s="1" t="n">
        <f aca="false">IF(FQ60=1,MAX(0,(Slot16_Cost-FR60*(1+Slot16_Rate)^(Slot16_Age-D60))/MU60),0)</f>
        <v>0</v>
      </c>
      <c r="NA60" s="1" t="n">
        <f aca="false">IF(AND(HT60=1,FQ60=1),MIN(MT60,MY60),0)</f>
        <v>0</v>
      </c>
      <c r="NB60" s="1" t="n">
        <f aca="false">MT60-NA60</f>
        <v>0</v>
      </c>
      <c r="NC60" s="1" t="n">
        <f aca="false">IF(GA60=1,IF(ABS((1+AS_Wage)/(1+Slot17_Rate)-1)&lt;0.000000000001,(Slot17_Age-D60)*(1+Slot17_Rate)^(Slot17_Age-D60),(1+Slot17_Rate)^(Slot17_Age-D60)*(1-((1+AS_Wage)/(1+Slot17_Rate))^(Slot17_Age-D60))/(1-(1+AS_Wage)/(1+Slot17_Rate))),1)</f>
        <v>1</v>
      </c>
      <c r="ND60" s="1" t="n">
        <f aca="false">IF(AND(HT60=1,ID60&gt;0,Slot17_IsWG=1,GA60=1),MAX(0,(Slot17_Cost-GB60*(1+Slot17_Rate)^(Slot17_Age-D60))/NC60),0)</f>
        <v>0</v>
      </c>
      <c r="NE60" s="1" t="n">
        <f aca="false">IF(AND(HT60=1,ID60&gt;0,Slot17_IsWG=1,GA60=1),MIN(ID60,ND60),0)</f>
        <v>0</v>
      </c>
      <c r="NF60" s="1" t="n">
        <f aca="false">GB60+NE60</f>
        <v>0</v>
      </c>
      <c r="NG60" s="1" t="n">
        <f aca="false">IF(GA60=1,MAX(0,(Slot17_Cost-NF60*(1+Slot17_Rate)^(Slot17_Age-D60))/NC60),0)</f>
        <v>0</v>
      </c>
      <c r="NH60" s="1" t="n">
        <f aca="false">IF(GA60=1,MAX(0,(Slot17_Cost-GB60*(1+Slot17_Rate)^(Slot17_Age-D60))/NC60),0)</f>
        <v>0</v>
      </c>
      <c r="NI60" s="1" t="n">
        <f aca="false">IF(AND(HT60=1,GA60=1),MIN(NB60,NG60),0)</f>
        <v>0</v>
      </c>
      <c r="NJ60" s="1" t="n">
        <f aca="false">NB60-NI60</f>
        <v>0</v>
      </c>
      <c r="NK60" s="1" t="n">
        <f aca="false">IF(GK60=1,IF(ABS((1+AS_Wage)/(1+Slot18_Rate)-1)&lt;0.000000000001,(Slot18_Age-D60)*(1+Slot18_Rate)^(Slot18_Age-D60),(1+Slot18_Rate)^(Slot18_Age-D60)*(1-((1+AS_Wage)/(1+Slot18_Rate))^(Slot18_Age-D60))/(1-(1+AS_Wage)/(1+Slot18_Rate))),1)</f>
        <v>1</v>
      </c>
      <c r="NL60" s="1" t="n">
        <f aca="false">IF(AND(HT60=1,ID60&gt;0,Slot18_IsWG=1,GK60=1),MAX(0,(Slot18_Cost-GL60*(1+Slot18_Rate)^(Slot18_Age-D60))/NK60),0)</f>
        <v>0</v>
      </c>
      <c r="NM60" s="1" t="n">
        <f aca="false">IF(AND(HT60=1,ID60&gt;0,Slot18_IsWG=1,GK60=1),MIN(ID60,NL60),0)</f>
        <v>0</v>
      </c>
      <c r="NN60" s="1" t="n">
        <f aca="false">GL60+NM60</f>
        <v>0</v>
      </c>
      <c r="NO60" s="1" t="n">
        <f aca="false">IF(GK60=1,MAX(0,(Slot18_Cost-NN60*(1+Slot18_Rate)^(Slot18_Age-D60))/NK60),0)</f>
        <v>0</v>
      </c>
      <c r="NP60" s="1" t="n">
        <f aca="false">IF(GK60=1,MAX(0,(Slot18_Cost-GL60*(1+Slot18_Rate)^(Slot18_Age-D60))/NK60),0)</f>
        <v>0</v>
      </c>
      <c r="NQ60" s="1" t="n">
        <f aca="false">IF(AND(HT60=1,GK60=1),MIN(NJ60,NO60),0)</f>
        <v>0</v>
      </c>
      <c r="NR60" s="1" t="n">
        <f aca="false">NJ60-NQ60</f>
        <v>0</v>
      </c>
      <c r="NS60" s="1" t="n">
        <f aca="false">IF(GU60=1,IF(ABS((1+AS_Wage)/(1+Slot19_Rate)-1)&lt;0.000000000001,(Slot19_Age-D60)*(1+Slot19_Rate)^(Slot19_Age-D60),(1+Slot19_Rate)^(Slot19_Age-D60)*(1-((1+AS_Wage)/(1+Slot19_Rate))^(Slot19_Age-D60))/(1-(1+AS_Wage)/(1+Slot19_Rate))),1)</f>
        <v>1</v>
      </c>
      <c r="NT60" s="1" t="n">
        <f aca="false">IF(AND(HT60=1,ID60&gt;0,Slot19_IsWG=1,GU60=1),MAX(0,(Slot19_Cost-GV60*(1+Slot19_Rate)^(Slot19_Age-D60))/NS60),0)</f>
        <v>0</v>
      </c>
      <c r="NU60" s="1" t="n">
        <f aca="false">IF(AND(HT60=1,ID60&gt;0,Slot19_IsWG=1,GU60=1),MIN(ID60,NT60),0)</f>
        <v>0</v>
      </c>
      <c r="NV60" s="1" t="n">
        <f aca="false">GV60+NU60</f>
        <v>0</v>
      </c>
      <c r="NW60" s="1" t="n">
        <f aca="false">IF(GU60=1,MAX(0,(Slot19_Cost-NV60*(1+Slot19_Rate)^(Slot19_Age-D60))/NS60),0)</f>
        <v>0</v>
      </c>
      <c r="NX60" s="1" t="n">
        <f aca="false">IF(GU60=1,MAX(0,(Slot19_Cost-GV60*(1+Slot19_Rate)^(Slot19_Age-D60))/NS60),0)</f>
        <v>0</v>
      </c>
      <c r="NY60" s="1" t="n">
        <f aca="false">IF(AND(HT60=1,GU60=1),MIN(NR60,NW60),0)</f>
        <v>0</v>
      </c>
      <c r="NZ60" s="1" t="n">
        <f aca="false">NR60-NY60</f>
        <v>0</v>
      </c>
      <c r="OA60" s="1" t="n">
        <f aca="false">IF(HE60=1,IF(ABS((1+AS_Wage)/(1+Slot20_Rate)-1)&lt;0.000000000001,(Slot20_Age-D60)*(1+Slot20_Rate)^(Slot20_Age-D60),(1+Slot20_Rate)^(Slot20_Age-D60)*(1-((1+AS_Wage)/(1+Slot20_Rate))^(Slot20_Age-D60))/(1-(1+AS_Wage)/(1+Slot20_Rate))),1)</f>
        <v>1</v>
      </c>
      <c r="OB60" s="1" t="n">
        <f aca="false">IF(AND(HT60=1,ID60&gt;0,Slot20_IsWG=1,HE60=1),MAX(0,(Slot20_Cost-HF60*(1+Slot20_Rate)^(Slot20_Age-D60))/OA60),0)</f>
        <v>0</v>
      </c>
      <c r="OC60" s="1" t="n">
        <f aca="false">IF(AND(HT60=1,ID60&gt;0,Slot20_IsWG=1,HE60=1),MIN(ID60,OB60),0)</f>
        <v>0</v>
      </c>
      <c r="OD60" s="1" t="n">
        <f aca="false">HF60+OC60</f>
        <v>0</v>
      </c>
      <c r="OE60" s="1" t="n">
        <f aca="false">IF(HE60=1,MAX(0,(Slot20_Cost-OD60*(1+Slot20_Rate)^(Slot20_Age-D60))/OA60),0)</f>
        <v>0</v>
      </c>
      <c r="OF60" s="1" t="n">
        <f aca="false">IF(HE60=1,MAX(0,(Slot20_Cost-HF60*(1+Slot20_Rate)^(Slot20_Age-D60))/OA60),0)</f>
        <v>0</v>
      </c>
      <c r="OG60" s="1" t="n">
        <f aca="false">IF(AND(HT60=1,HE60=1),MIN(NZ60,OE60),0)</f>
        <v>0</v>
      </c>
      <c r="OH60" s="1" t="n">
        <f aca="false">NZ60-OG60</f>
        <v>0</v>
      </c>
      <c r="OI60" s="1" t="n">
        <f aca="false">ID60-(IG60+IO60+IW60+JE60+JM60+JU60+KC60+KK60+KS60+LA60+LI60+LQ60+LY60+MG60+MO60+MW60+NE60+NM60+NU60+OC60)</f>
        <v>0</v>
      </c>
      <c r="OJ60" s="1" t="n">
        <f aca="false">IF(HT60=1,HR60-IC60-ID60,0)</f>
        <v>0</v>
      </c>
      <c r="OK60" s="1" t="n">
        <f aca="false">IF(HT60=0,-HR60,0)</f>
        <v>0</v>
      </c>
      <c r="OL60" s="1" t="n">
        <f aca="false">MIN(OK60,HJ60)</f>
        <v>0</v>
      </c>
      <c r="OM60" s="1" t="n">
        <f aca="false">OK60-OL60</f>
        <v>0</v>
      </c>
      <c r="ON60" s="1" t="n">
        <f aca="false">MIN(OM60,HK60)</f>
        <v>0</v>
      </c>
      <c r="OO60" s="1" t="n">
        <f aca="false">OM60-ON60</f>
        <v>0</v>
      </c>
      <c r="OP60" s="1" t="n">
        <f aca="false">IF(AND(HT60=0,HE60=1,OO60&gt;0),MIN(OO60,HF60),0)</f>
        <v>0</v>
      </c>
      <c r="OQ60" s="1" t="n">
        <f aca="false">OO60-OP60</f>
        <v>0</v>
      </c>
      <c r="OR60" s="1" t="n">
        <f aca="false">IF(AND(HT60=0,GU60=1,OQ60&gt;0),MIN(OQ60,GV60),0)</f>
        <v>0</v>
      </c>
      <c r="OS60" s="1" t="n">
        <f aca="false">OQ60-OR60</f>
        <v>0</v>
      </c>
      <c r="OT60" s="1" t="n">
        <f aca="false">IF(AND(HT60=0,GK60=1,OS60&gt;0),MIN(OS60,GL60),0)</f>
        <v>0</v>
      </c>
      <c r="OU60" s="1" t="n">
        <f aca="false">OS60-OT60</f>
        <v>0</v>
      </c>
      <c r="OV60" s="1" t="n">
        <f aca="false">IF(AND(HT60=0,GA60=1,OU60&gt;0),MIN(OU60,GB60),0)</f>
        <v>0</v>
      </c>
      <c r="OW60" s="1" t="n">
        <f aca="false">OU60-OV60</f>
        <v>0</v>
      </c>
      <c r="OX60" s="1" t="n">
        <f aca="false">IF(AND(HT60=0,FQ60=1,OW60&gt;0),MIN(OW60,FR60),0)</f>
        <v>0</v>
      </c>
      <c r="OY60" s="1" t="n">
        <f aca="false">OW60-OX60</f>
        <v>0</v>
      </c>
      <c r="OZ60" s="1" t="n">
        <f aca="false">IF(AND(HT60=0,FG60=1,OY60&gt;0),MIN(OY60,FH60),0)</f>
        <v>0</v>
      </c>
      <c r="PA60" s="1" t="n">
        <f aca="false">OY60-OZ60</f>
        <v>0</v>
      </c>
      <c r="PB60" s="1" t="n">
        <f aca="false">IF(AND(HT60=0,EW60=1,PA60&gt;0),MIN(PA60,EX60),0)</f>
        <v>0</v>
      </c>
      <c r="PC60" s="1" t="n">
        <f aca="false">PA60-PB60</f>
        <v>0</v>
      </c>
      <c r="PD60" s="1" t="n">
        <f aca="false">IF(AND(HT60=0,EM60=1,PC60&gt;0),MIN(PC60,EN60),0)</f>
        <v>0</v>
      </c>
      <c r="PE60" s="1" t="n">
        <f aca="false">PC60-PD60</f>
        <v>0</v>
      </c>
      <c r="PF60" s="1" t="n">
        <f aca="false">IF(AND(HT60=0,EC60=1,PE60&gt;0),MIN(PE60,ED60),0)</f>
        <v>0</v>
      </c>
      <c r="PG60" s="1" t="n">
        <f aca="false">PE60-PF60</f>
        <v>0</v>
      </c>
      <c r="PH60" s="1" t="n">
        <f aca="false">IF(AND(HT60=0,DS60=1,PG60&gt;0),MIN(PG60,DT60),0)</f>
        <v>0</v>
      </c>
      <c r="PI60" s="1" t="n">
        <f aca="false">PG60-PH60</f>
        <v>0</v>
      </c>
      <c r="PJ60" s="1" t="n">
        <f aca="false">IF(AND(HT60=0,DI60=1,PI60&gt;0),MIN(PI60,DJ60),0)</f>
        <v>0</v>
      </c>
      <c r="PK60" s="1" t="n">
        <f aca="false">PI60-PJ60</f>
        <v>0</v>
      </c>
      <c r="PL60" s="1" t="n">
        <f aca="false">IF(AND(HT60=0,CY60=1,PK60&gt;0),MIN(PK60,CZ60),0)</f>
        <v>0</v>
      </c>
      <c r="PM60" s="1" t="n">
        <f aca="false">PK60-PL60</f>
        <v>0</v>
      </c>
      <c r="PN60" s="1" t="n">
        <f aca="false">IF(AND(HT60=0,CO60=1,PM60&gt;0),MIN(PM60,CP60),0)</f>
        <v>0</v>
      </c>
      <c r="PO60" s="1" t="n">
        <f aca="false">PM60-PN60</f>
        <v>0</v>
      </c>
      <c r="PP60" s="1" t="n">
        <f aca="false">IF(AND(HT60=0,CE60=1,PO60&gt;0),MIN(PO60,CF60),0)</f>
        <v>0</v>
      </c>
      <c r="PQ60" s="1" t="n">
        <f aca="false">PO60-PP60</f>
        <v>0</v>
      </c>
      <c r="PR60" s="1" t="n">
        <f aca="false">IF(AND(HT60=0,BU60=1,PQ60&gt;0),MIN(PQ60,BV60),0)</f>
        <v>0</v>
      </c>
      <c r="PS60" s="1" t="n">
        <f aca="false">PQ60-PR60</f>
        <v>0</v>
      </c>
      <c r="PT60" s="1" t="n">
        <f aca="false">IF(AND(HT60=0,BK60=1,PS60&gt;0),MIN(PS60,BL60),0)</f>
        <v>0</v>
      </c>
      <c r="PU60" s="1" t="n">
        <f aca="false">PS60-PT60</f>
        <v>0</v>
      </c>
      <c r="PV60" s="1" t="n">
        <f aca="false">IF(AND(HT60=0,BA60=1,PU60&gt;0),MIN(PU60,BB60),0)</f>
        <v>0</v>
      </c>
      <c r="PW60" s="1" t="n">
        <f aca="false">PU60-PV60</f>
        <v>0</v>
      </c>
      <c r="PX60" s="1" t="n">
        <f aca="false">IF(AND(HT60=0,AQ60=1,PW60&gt;0),MIN(PW60,AR60),0)</f>
        <v>0</v>
      </c>
      <c r="PY60" s="1" t="n">
        <f aca="false">PW60-PX60</f>
        <v>0</v>
      </c>
      <c r="PZ60" s="1" t="n">
        <f aca="false">IF(AND(HT60=0,AG60=1,PY60&gt;0),MIN(PY60,AH60),0)</f>
        <v>0</v>
      </c>
      <c r="QA60" s="1" t="n">
        <f aca="false">PY60-PZ60</f>
        <v>0</v>
      </c>
      <c r="QB60" s="1" t="n">
        <f aca="false">IF(AND(HT60=0,V60=1,QA60&gt;0),MIN(QA60,W60),0)</f>
        <v>0</v>
      </c>
      <c r="QC60" s="1" t="n">
        <f aca="false">QA60-QB60</f>
        <v>0</v>
      </c>
      <c r="QD60" s="1" t="n">
        <f aca="false">IF(HT60=0,QC60,0)</f>
        <v>0</v>
      </c>
      <c r="QE60" s="1" t="n">
        <f aca="false">OL60+ON60+QB60+PZ60+PX60+PV60+PT60+PR60+PP60+PN60+PL60+PJ60+PH60+PF60+PD60+PB60+OZ60+OX60+OV60+OT60+OR60+OP60</f>
        <v>0</v>
      </c>
      <c r="QF60" s="1" t="n">
        <f aca="false">IF(HT60=1,HJ60+OI60+OH60+IF(F60=1,0,OJ60),HJ60-OL60)</f>
        <v>0</v>
      </c>
      <c r="QG60" s="1" t="n">
        <f aca="false">HK60-ON60</f>
        <v>0</v>
      </c>
      <c r="QH60" s="1" t="n">
        <f aca="false">IF(HT60=1,IF(F60=1,IC60+ID60,HR60),0)</f>
        <v>0</v>
      </c>
      <c r="QI60" s="1" t="n">
        <f aca="false">IF(HT60=1,IF(F60=1,HR60-IC60-ID60,0),0)</f>
        <v>0</v>
      </c>
      <c r="QJ60" s="1" t="n">
        <f aca="false">QF60*(1+GR)</f>
        <v>0</v>
      </c>
      <c r="QK60" s="1" t="n">
        <f aca="false">QG60*(1+AS_Cash)</f>
        <v>0</v>
      </c>
      <c r="QL60" s="1" t="n">
        <f aca="false">IF(V60=1,IF(HT60=1,IH60+IK60,W60-QB60)*(1+Slot1_Rate),0)</f>
        <v>0</v>
      </c>
      <c r="QM60" s="1" t="n">
        <f aca="false">IF(AND(HT60=1,V60=1),(IG60+IK60)/E60,0)</f>
        <v>0</v>
      </c>
      <c r="QN60" s="1" t="n">
        <f aca="false">IF(B60=0,IG60+IK60,0)</f>
        <v>0</v>
      </c>
      <c r="QO60" s="1" t="n">
        <f aca="false">IF(B60=0,IF(HT60=1,II60,IJ60),0)</f>
        <v>0</v>
      </c>
      <c r="QP60" s="1" t="n">
        <f aca="false">IF(AG60=1,IF(HT60=1,IP60+IS60,AH60-PZ60)*(1+Slot2_Rate),0)</f>
        <v>0</v>
      </c>
      <c r="QQ60" s="1" t="n">
        <f aca="false">IF(AND(HT60=1,AG60=1),(IO60+IS60)/E60,0)</f>
        <v>0</v>
      </c>
      <c r="QR60" s="1" t="n">
        <f aca="false">IF(B60=0,IO60+IS60,0)</f>
        <v>0</v>
      </c>
      <c r="QS60" s="1" t="n">
        <f aca="false">IF(B60=0,IF(HT60=1,IQ60,IR60),0)</f>
        <v>0</v>
      </c>
      <c r="QT60" s="1" t="n">
        <f aca="false">IF(AQ60=1,IF(HT60=1,IX60+JA60,AR60-PX60)*(1+Slot3_Rate),0)</f>
        <v>0</v>
      </c>
      <c r="QU60" s="1" t="n">
        <f aca="false">IF(AND(HT60=1,AQ60=1),(IW60+JA60)/E60,0)</f>
        <v>0</v>
      </c>
      <c r="QV60" s="1" t="n">
        <f aca="false">IF(B60=0,IW60+JA60,0)</f>
        <v>0</v>
      </c>
      <c r="QW60" s="1" t="n">
        <f aca="false">IF(B60=0,IF(HT60=1,IY60,IZ60),0)</f>
        <v>0</v>
      </c>
      <c r="QX60" s="1" t="n">
        <f aca="false">IF(BA60=1,IF(HT60=1,JF60+JI60,BB60-PV60)*(1+Slot4_Rate),0)</f>
        <v>0</v>
      </c>
      <c r="QY60" s="1" t="n">
        <f aca="false">IF(AND(HT60=1,BA60=1),(JE60+JI60)/E60,0)</f>
        <v>0</v>
      </c>
      <c r="QZ60" s="1" t="n">
        <f aca="false">IF(B60=0,JE60+JI60,0)</f>
        <v>0</v>
      </c>
      <c r="RA60" s="1" t="n">
        <f aca="false">IF(B60=0,IF(HT60=1,JG60,JH60),0)</f>
        <v>0</v>
      </c>
      <c r="RB60" s="1" t="n">
        <f aca="false">IF(BK60=1,IF(HT60=1,JN60+JQ60,BL60-PT60)*(1+Slot5_Rate),0)</f>
        <v>0</v>
      </c>
      <c r="RC60" s="1" t="n">
        <f aca="false">IF(AND(HT60=1,BK60=1),(JM60+JQ60)/E60,0)</f>
        <v>0</v>
      </c>
      <c r="RD60" s="1" t="n">
        <f aca="false">IF(B60=0,JM60+JQ60,0)</f>
        <v>0</v>
      </c>
      <c r="RE60" s="1" t="n">
        <f aca="false">IF(B60=0,IF(HT60=1,JO60,JP60),0)</f>
        <v>0</v>
      </c>
      <c r="RF60" s="1" t="n">
        <f aca="false">IF(BU60=1,IF(HT60=1,JV60+JY60,BV60-PR60)*(1+Slot6_Rate),0)</f>
        <v>0</v>
      </c>
      <c r="RG60" s="1" t="n">
        <f aca="false">IF(AND(HT60=1,BU60=1),(JU60+JY60)/E60,0)</f>
        <v>0</v>
      </c>
      <c r="RH60" s="1" t="n">
        <f aca="false">IF(B60=0,JU60+JY60,0)</f>
        <v>0</v>
      </c>
      <c r="RI60" s="1" t="n">
        <f aca="false">IF(B60=0,IF(HT60=1,JW60,JX60),0)</f>
        <v>0</v>
      </c>
      <c r="RJ60" s="1" t="n">
        <f aca="false">IF(CE60=1,IF(HT60=1,KD60+KG60,CF60-PP60)*(1+Slot7_Rate),0)</f>
        <v>0</v>
      </c>
      <c r="RK60" s="1" t="n">
        <f aca="false">IF(AND(HT60=1,CE60=1),(KC60+KG60)/E60,0)</f>
        <v>0</v>
      </c>
      <c r="RL60" s="1" t="n">
        <f aca="false">IF(B60=0,KC60+KG60,0)</f>
        <v>0</v>
      </c>
      <c r="RM60" s="1" t="n">
        <f aca="false">IF(B60=0,IF(HT60=1,KE60,KF60),0)</f>
        <v>0</v>
      </c>
      <c r="RN60" s="1" t="n">
        <f aca="false">IF(CO60=1,IF(HT60=1,KL60+KO60,CP60-PN60)*(1+Slot8_Rate),0)</f>
        <v>0</v>
      </c>
      <c r="RO60" s="1" t="n">
        <f aca="false">IF(AND(HT60=1,CO60=1),(KK60+KO60)/E60,0)</f>
        <v>0</v>
      </c>
      <c r="RP60" s="1" t="n">
        <f aca="false">IF(B60=0,KK60+KO60,0)</f>
        <v>0</v>
      </c>
      <c r="RQ60" s="1" t="n">
        <f aca="false">IF(B60=0,IF(HT60=1,KM60,KN60),0)</f>
        <v>0</v>
      </c>
      <c r="RR60" s="1" t="n">
        <f aca="false">IF(CY60=1,IF(HT60=1,KT60+KW60,CZ60-PL60)*(1+Slot9_Rate),0)</f>
        <v>0</v>
      </c>
      <c r="RS60" s="1" t="n">
        <f aca="false">IF(AND(HT60=1,CY60=1),(KS60+KW60)/E60,0)</f>
        <v>0</v>
      </c>
      <c r="RT60" s="1" t="n">
        <f aca="false">IF(B60=0,KS60+KW60,0)</f>
        <v>0</v>
      </c>
      <c r="RU60" s="1" t="n">
        <f aca="false">IF(B60=0,IF(HT60=1,KU60,KV60),0)</f>
        <v>0</v>
      </c>
      <c r="RV60" s="1" t="n">
        <f aca="false">IF(DI60=1,IF(HT60=1,LB60+LE60,DJ60-PJ60)*(1+Slot10_Rate),0)</f>
        <v>0</v>
      </c>
      <c r="RW60" s="1" t="n">
        <f aca="false">IF(AND(HT60=1,DI60=1),(LA60+LE60)/E60,0)</f>
        <v>0</v>
      </c>
      <c r="RX60" s="1" t="n">
        <f aca="false">IF(B60=0,LA60+LE60,0)</f>
        <v>0</v>
      </c>
      <c r="RY60" s="1" t="n">
        <f aca="false">IF(B60=0,IF(HT60=1,LC60,LD60),0)</f>
        <v>0</v>
      </c>
      <c r="RZ60" s="1" t="n">
        <f aca="false">IF(DS60=1,IF(HT60=1,LJ60+LM60,DT60-PH60)*(1+Slot11_Rate),0)</f>
        <v>0</v>
      </c>
      <c r="SA60" s="1" t="n">
        <f aca="false">IF(AND(HT60=1,DS60=1),(LI60+LM60)/E60,0)</f>
        <v>0</v>
      </c>
      <c r="SB60" s="1" t="n">
        <f aca="false">IF(B60=0,LI60+LM60,0)</f>
        <v>0</v>
      </c>
      <c r="SC60" s="1" t="n">
        <f aca="false">IF(B60=0,IF(HT60=1,LK60,LL60),0)</f>
        <v>0</v>
      </c>
      <c r="SD60" s="1" t="n">
        <f aca="false">IF(EC60=1,IF(HT60=1,LR60+LU60,ED60-PF60)*(1+Slot12_Rate),0)</f>
        <v>0</v>
      </c>
      <c r="SE60" s="1" t="n">
        <f aca="false">IF(AND(HT60=1,EC60=1),(LQ60+LU60)/E60,0)</f>
        <v>0</v>
      </c>
      <c r="SF60" s="1" t="n">
        <f aca="false">IF(B60=0,LQ60+LU60,0)</f>
        <v>0</v>
      </c>
      <c r="SG60" s="1" t="n">
        <f aca="false">IF(B60=0,IF(HT60=1,LS60,LT60),0)</f>
        <v>0</v>
      </c>
      <c r="SH60" s="1" t="n">
        <f aca="false">IF(EM60=1,IF(HT60=1,LZ60+MC60,EN60-PD60)*(1+Slot13_Rate),0)</f>
        <v>0</v>
      </c>
      <c r="SI60" s="1" t="n">
        <f aca="false">IF(AND(HT60=1,EM60=1),(LY60+MC60)/E60,0)</f>
        <v>0</v>
      </c>
      <c r="SJ60" s="1" t="n">
        <f aca="false">IF(B60=0,LY60+MC60,0)</f>
        <v>0</v>
      </c>
      <c r="SK60" s="1" t="n">
        <f aca="false">IF(B60=0,IF(HT60=1,MA60,MB60),0)</f>
        <v>0</v>
      </c>
      <c r="SL60" s="1" t="n">
        <f aca="false">IF(EW60=1,IF(HT60=1,MH60+MK60,EX60-PB60)*(1+Slot14_Rate),0)</f>
        <v>0</v>
      </c>
      <c r="SM60" s="1" t="n">
        <f aca="false">IF(AND(HT60=1,EW60=1),(MG60+MK60)/E60,0)</f>
        <v>0</v>
      </c>
      <c r="SN60" s="1" t="n">
        <f aca="false">IF(B60=0,MG60+MK60,0)</f>
        <v>0</v>
      </c>
      <c r="SO60" s="1" t="n">
        <f aca="false">IF(B60=0,IF(HT60=1,MI60,MJ60),0)</f>
        <v>0</v>
      </c>
      <c r="SP60" s="1" t="n">
        <f aca="false">IF(FG60=1,IF(HT60=1,MP60+MS60,FH60-OZ60)*(1+Slot15_Rate),0)</f>
        <v>0</v>
      </c>
      <c r="SQ60" s="1" t="n">
        <f aca="false">IF(AND(HT60=1,FG60=1),(MO60+MS60)/E60,0)</f>
        <v>0</v>
      </c>
      <c r="SR60" s="1" t="n">
        <f aca="false">IF(B60=0,MO60+MS60,0)</f>
        <v>0</v>
      </c>
      <c r="SS60" s="1" t="n">
        <f aca="false">IF(B60=0,IF(HT60=1,MQ60,MR60),0)</f>
        <v>0</v>
      </c>
      <c r="ST60" s="1" t="n">
        <f aca="false">IF(FQ60=1,IF(HT60=1,MX60+NA60,FR60-OX60)*(1+Slot16_Rate),0)</f>
        <v>0</v>
      </c>
      <c r="SU60" s="1" t="n">
        <f aca="false">IF(AND(HT60=1,FQ60=1),(MW60+NA60)/E60,0)</f>
        <v>0</v>
      </c>
      <c r="SV60" s="1" t="n">
        <f aca="false">IF(B60=0,MW60+NA60,0)</f>
        <v>0</v>
      </c>
      <c r="SW60" s="1" t="n">
        <f aca="false">IF(B60=0,IF(HT60=1,MY60,MZ60),0)</f>
        <v>0</v>
      </c>
      <c r="SX60" s="1" t="n">
        <f aca="false">IF(GA60=1,IF(HT60=1,NF60+NI60,GB60-OV60)*(1+Slot17_Rate),0)</f>
        <v>0</v>
      </c>
      <c r="SY60" s="1" t="n">
        <f aca="false">IF(AND(HT60=1,GA60=1),(NE60+NI60)/E60,0)</f>
        <v>0</v>
      </c>
      <c r="SZ60" s="1" t="n">
        <f aca="false">IF(B60=0,NE60+NI60,0)</f>
        <v>0</v>
      </c>
      <c r="TA60" s="1" t="n">
        <f aca="false">IF(B60=0,IF(HT60=1,NG60,NH60),0)</f>
        <v>0</v>
      </c>
      <c r="TB60" s="1" t="n">
        <f aca="false">IF(GK60=1,IF(HT60=1,NN60+NQ60,GL60-OT60)*(1+Slot18_Rate),0)</f>
        <v>0</v>
      </c>
      <c r="TC60" s="1" t="n">
        <f aca="false">IF(AND(HT60=1,GK60=1),(NM60+NQ60)/E60,0)</f>
        <v>0</v>
      </c>
      <c r="TD60" s="1" t="n">
        <f aca="false">IF(B60=0,NM60+NQ60,0)</f>
        <v>0</v>
      </c>
      <c r="TE60" s="1" t="n">
        <f aca="false">IF(B60=0,IF(HT60=1,NO60,NP60),0)</f>
        <v>0</v>
      </c>
      <c r="TF60" s="1" t="n">
        <f aca="false">IF(GU60=1,IF(HT60=1,NV60+NY60,GV60-OR60)*(1+Slot19_Rate),0)</f>
        <v>0</v>
      </c>
      <c r="TG60" s="1" t="n">
        <f aca="false">IF(AND(HT60=1,GU60=1),(NU60+NY60)/E60,0)</f>
        <v>0</v>
      </c>
      <c r="TH60" s="1" t="n">
        <f aca="false">IF(B60=0,NU60+NY60,0)</f>
        <v>0</v>
      </c>
      <c r="TI60" s="1" t="n">
        <f aca="false">IF(B60=0,IF(HT60=1,NW60,NX60),0)</f>
        <v>0</v>
      </c>
      <c r="TJ60" s="1" t="n">
        <f aca="false">IF(HE60=1,IF(HT60=1,OD60+OG60,HF60-OP60)*(1+Slot20_Rate),0)</f>
        <v>0</v>
      </c>
      <c r="TK60" s="1" t="n">
        <f aca="false">IF(AND(HT60=1,HE60=1),(OC60+OG60)/E60,0)</f>
        <v>0</v>
      </c>
      <c r="TL60" s="1" t="n">
        <f aca="false">IF(B60=0,OC60+OG60,0)</f>
        <v>0</v>
      </c>
      <c r="TM60" s="1" t="n">
        <f aca="false">IF(B60=0,IF(HT60=1,OE60,OF60),0)</f>
        <v>0</v>
      </c>
      <c r="TN60" s="1" t="n">
        <f aca="false">QJ60+QK60+QL60+QP60+QT60+QX60+RB60+RF60+RJ60+RN60+RR60+RV60+RZ60+SD60+SH60+SL60+SP60+ST60+SX60+TB60+TF60+TJ60</f>
        <v>0</v>
      </c>
      <c r="TO60" s="1" t="n">
        <f aca="false">QD60+HO60</f>
        <v>0</v>
      </c>
      <c r="TP60" s="1" t="n">
        <f aca="false">H60+R60</f>
        <v>0</v>
      </c>
      <c r="TQ60" s="1" t="n">
        <f aca="false">1-F60</f>
        <v>0</v>
      </c>
      <c r="TR60" s="1" t="n">
        <f aca="false">IF(AND(RG_Exists=1,F60=0,C60=1),H60,0)</f>
        <v>0</v>
      </c>
      <c r="TS60" s="1" t="n">
        <f aca="false">IF(AND(RG_Exists=1,F60=0,C60=1),H60-MIN(QD60,H60),0)</f>
        <v>0</v>
      </c>
      <c r="TT60" s="1" t="n">
        <f aca="false">'Plan pay &amp; tax'!AD286</f>
        <v>0</v>
      </c>
      <c r="TU60" s="1" t="n">
        <f aca="false">IF(AND(C60=1,QD60&gt;MAX(PR_Short1,TP60*PR_Short2)),1,0)</f>
        <v>0</v>
      </c>
      <c r="TV60" s="1" t="n">
        <f aca="false">MIN(G60,H60+R60)</f>
        <v>0</v>
      </c>
      <c r="TW60" s="1" t="n">
        <f aca="false">QE60+MAX(0,HP60-HO60)</f>
        <v>0</v>
      </c>
      <c r="TX60" s="1" t="n">
        <f aca="false">QD60+HO60</f>
        <v>0</v>
      </c>
      <c r="TY60" s="1" t="n">
        <f aca="false">IF(AND(C60=1,TX60&gt;PR_MinShort),1,0)</f>
        <v>0</v>
      </c>
      <c r="TZ60" s="1" t="n">
        <f aca="false">IF(AND(C60=1,TY60=0,TW60&gt;PR_MinShort),1,0)</f>
        <v>0</v>
      </c>
      <c r="UA60" s="1" t="n">
        <f aca="false">IF(AND(C60=1,QD60&gt;PR_MinShort),1,0)</f>
        <v>0</v>
      </c>
      <c r="UB60" s="1" t="n">
        <f aca="false">IF(AND(C60=1,QE60&gt;1,UI60=0),1,0)</f>
        <v>0</v>
      </c>
      <c r="UC60" s="1" t="str">
        <f aca="false">IF(C60=0,"",IF(UI60=1,"Gap to plan for: short "&amp;"€"&amp;TEXT(ROUND(TO60,0),"#,##0"),IF(QE60&gt;1,"Using savings","Comfortable")))</f>
        <v>Comfortable</v>
      </c>
      <c r="UD60" s="1" t="n">
        <f aca="false">IF(AND(INT(D60/10)*10=90,B60&gt;0),80,INT(D60/10)*10)</f>
        <v>50</v>
      </c>
      <c r="UE60" s="1" t="n">
        <f aca="false">IF(B60=0,1,IF(UD60&lt;&gt;UD59,UE59+1,UE59))</f>
        <v>6</v>
      </c>
      <c r="UF60" s="1" t="n">
        <f aca="false">IF(AND(C60=1,F60=1,QD60&gt;MAX(PR_Short1,TP60*PR_Short2)),1,0)</f>
        <v>0</v>
      </c>
      <c r="UG60" s="1" t="n">
        <f aca="false">TQ60*TU60</f>
        <v>0</v>
      </c>
      <c r="UH60" s="1" t="n">
        <f aca="false">IF(AND(U60=1,Slot1_PctLow=1),1,0)+IF(AND(AF60=1,Slot2_PctLow=1),1,0)+IF(AND(AP60=1,Slot3_PctLow=1),1,0)+IF(AND(AZ60=1,Slot4_PctLow=1),1,0)+IF(AND(BJ60=1,Slot5_PctLow=1),1,0)+IF(AND(BT60=1,Slot6_PctLow=1),1,0)+IF(AND(CD60=1,Slot7_PctLow=1),1,0)+IF(AND(CN60=1,Slot8_PctLow=1),1,0)+IF(AND(CX60=1,Slot9_PctLow=1),1,0)+IF(AND(DH60=1,Slot10_PctLow=1),1,0)+IF(AND(DR60=1,Slot11_PctLow=1),1,0)+IF(AND(EB60=1,Slot12_PctLow=1),1,0)+IF(AND(EL60=1,Slot13_PctLow=1),1,0)+IF(AND(EV60=1,Slot14_PctLow=1),1,0)+IF(AND(FF60=1,Slot15_PctLow=1),1,0)+IF(AND(FP60=1,Slot16_PctLow=1),1,0)+IF(AND(FZ60=1,Slot17_PctLow=1),1,0)+IF(AND(GJ60=1,Slot18_PctLow=1),1,0)+IF(AND(GT60=1,Slot19_PctLow=1),1,0)+IF(AND(HD60=1,Slot20_PctLow=1),1,0)</f>
        <v>0</v>
      </c>
      <c r="UI60" s="1" t="n">
        <f aca="false">IF(C60=1,IF(OR(TU60=1,UH60&gt;0),1,0),0)</f>
        <v>0</v>
      </c>
    </row>
    <row r="61" customFormat="false" ht="15" hidden="false" customHeight="true" outlineLevel="0" collapsed="false">
      <c r="B61" s="1" t="n">
        <v>53</v>
      </c>
      <c r="C61" s="1" t="n">
        <f aca="false">IF(B61&lt;=F_N,1,0)</f>
        <v>1</v>
      </c>
      <c r="D61" s="1" t="n">
        <f aca="false">'Plan pay &amp; tax'!C287</f>
        <v>53</v>
      </c>
      <c r="E61" s="111" t="n">
        <f aca="false">'Plan pay &amp; tax'!E287</f>
        <v>2.85633474915715</v>
      </c>
      <c r="F61" s="1" t="n">
        <f aca="false">'Plan pay &amp; tax'!G287</f>
        <v>1</v>
      </c>
      <c r="G61" s="1" t="n">
        <f aca="false">'Plan pay &amp; tax'!BT287-'Plan pay &amp; tax'!BS287-'Plan pay &amp; tax'!R287</f>
        <v>0</v>
      </c>
      <c r="H61" s="1" t="n">
        <f aca="false">IF(F61=1,F_CostsM*12,IF(RG_Exists=1,RG_Amount,F_CostsM*12*AS_RetireSpend))*E61+F_OneOffY*E61</f>
        <v>0</v>
      </c>
      <c r="I61" s="1" t="n">
        <f aca="false">HQ60</f>
        <v>0</v>
      </c>
      <c r="J61" s="1" t="n">
        <f aca="false">IF(I61&gt;1,'Plan debt months'!AC61,0)</f>
        <v>0</v>
      </c>
      <c r="K61" s="1" t="n">
        <f aca="false">IF(I61&gt;1,'Plan debt months'!AB61,I61)</f>
        <v>0</v>
      </c>
      <c r="L61" s="1" t="n">
        <f aca="false">N60</f>
        <v>0</v>
      </c>
      <c r="M61" s="1" t="n">
        <f aca="false">IF(L61&gt;1,'Plan debt months'!BD61,0)</f>
        <v>0</v>
      </c>
      <c r="N61" s="1" t="n">
        <f aca="false">IF(L61&gt;1,'Plan debt months'!BC61,L61)</f>
        <v>0</v>
      </c>
      <c r="O61" s="1" t="n">
        <f aca="false">Q60</f>
        <v>0</v>
      </c>
      <c r="P61" s="1" t="n">
        <f aca="false">IF(O61&gt;1,'Plan debt months'!CE61,0)</f>
        <v>0</v>
      </c>
      <c r="Q61" s="1" t="n">
        <f aca="false">IF(O61&gt;1,'Plan debt months'!CD61,O61)</f>
        <v>0</v>
      </c>
      <c r="R61" s="1" t="n">
        <f aca="false">J61+M61+P61</f>
        <v>0</v>
      </c>
      <c r="S61" s="1" t="n">
        <f aca="false">QJ60+'Plan pay &amp; tax'!Y287</f>
        <v>0</v>
      </c>
      <c r="T61" s="1" t="n">
        <f aca="false">QJ60</f>
        <v>0</v>
      </c>
      <c r="U61" s="1" t="n">
        <f aca="false">IF(AND(Slot1_On=1,D61=Slot1_Age),1,0)</f>
        <v>0</v>
      </c>
      <c r="V61" s="1" t="n">
        <f aca="false">IF(AND(Slot1_On=1,Slot1_Age&gt;D61),1,0)</f>
        <v>0</v>
      </c>
      <c r="W61" s="1" t="n">
        <f aca="false">QL60</f>
        <v>0</v>
      </c>
      <c r="X61" s="1" t="n">
        <f aca="false">U61*MIN(Slot1_Cost,W61)</f>
        <v>0</v>
      </c>
      <c r="Y61" s="1" t="n">
        <f aca="false">U61*Slot1_SpendLike*MIN(Slot1_Cost-X61,S61)</f>
        <v>0</v>
      </c>
      <c r="Z61" s="1" t="n">
        <f aca="false">X61+Y61</f>
        <v>0</v>
      </c>
      <c r="AA61" s="1" t="n">
        <f aca="false">S61-Y61+U61*IF(Slot1_SpendLike=1,W61-X61,IF(Slot1_PotFree=1,W61,0))</f>
        <v>0</v>
      </c>
      <c r="AB61" s="1" t="n">
        <f aca="false">AE61+U61*Slot1_BufPot*W61</f>
        <v>0</v>
      </c>
      <c r="AC61" s="1" t="n">
        <f aca="false">IF(AND(U61=1,Slot1_IsMfree=1),IF(Z61&gt;=Slot1_Cost-1,0,MAX(0,K61-Z61)),K61)</f>
        <v>0</v>
      </c>
      <c r="AD61" s="1" t="n">
        <f aca="false">U61*(Slot1_Cost-Z61)</f>
        <v>0</v>
      </c>
      <c r="AE61" s="1" t="n">
        <f aca="false">QK60</f>
        <v>0</v>
      </c>
      <c r="AF61" s="1" t="n">
        <f aca="false">IF(AND(Slot2_On=1,D61=Slot2_Age),1,0)</f>
        <v>0</v>
      </c>
      <c r="AG61" s="1" t="n">
        <f aca="false">IF(AND(Slot2_On=1,Slot2_Age&gt;D61),1,0)</f>
        <v>0</v>
      </c>
      <c r="AH61" s="1" t="n">
        <f aca="false">QP60</f>
        <v>0</v>
      </c>
      <c r="AI61" s="1" t="n">
        <f aca="false">AF61*MIN(Slot2_Cost,AH61)</f>
        <v>0</v>
      </c>
      <c r="AJ61" s="1" t="n">
        <f aca="false">AF61*Slot2_SpendLike*MIN(Slot2_Cost-AI61,AA61)</f>
        <v>0</v>
      </c>
      <c r="AK61" s="1" t="n">
        <f aca="false">AI61+AJ61</f>
        <v>0</v>
      </c>
      <c r="AL61" s="1" t="n">
        <f aca="false">AA61-AJ61+AF61*IF(Slot2_SpendLike=1,AH61-AI61,IF(Slot2_PotFree=1,AH61,0))</f>
        <v>0</v>
      </c>
      <c r="AM61" s="1" t="n">
        <f aca="false">AB61+AF61*Slot2_BufPot*AH61</f>
        <v>0</v>
      </c>
      <c r="AN61" s="1" t="n">
        <f aca="false">IF(AND(AF61=1,Slot2_IsMfree=1),IF(AK61&gt;=Slot2_Cost-1,0,MAX(0,AC61-AK61)),AC61)</f>
        <v>0</v>
      </c>
      <c r="AO61" s="1" t="n">
        <f aca="false">AF61*(Slot2_Cost-AK61)</f>
        <v>0</v>
      </c>
      <c r="AP61" s="1" t="n">
        <f aca="false">IF(AND(Slot3_On=1,D61=Slot3_Age),1,0)</f>
        <v>0</v>
      </c>
      <c r="AQ61" s="1" t="n">
        <f aca="false">IF(AND(Slot3_On=1,Slot3_Age&gt;D61),1,0)</f>
        <v>0</v>
      </c>
      <c r="AR61" s="1" t="n">
        <f aca="false">QT60</f>
        <v>0</v>
      </c>
      <c r="AS61" s="1" t="n">
        <f aca="false">AP61*MIN(Slot3_Cost,AR61)</f>
        <v>0</v>
      </c>
      <c r="AT61" s="1" t="n">
        <f aca="false">AP61*Slot3_SpendLike*MIN(Slot3_Cost-AS61,AL61)</f>
        <v>0</v>
      </c>
      <c r="AU61" s="1" t="n">
        <f aca="false">AS61+AT61</f>
        <v>0</v>
      </c>
      <c r="AV61" s="1" t="n">
        <f aca="false">AL61-AT61+AP61*IF(Slot3_SpendLike=1,AR61-AS61,IF(Slot3_PotFree=1,AR61,0))</f>
        <v>0</v>
      </c>
      <c r="AW61" s="1" t="n">
        <f aca="false">AM61+AP61*Slot3_BufPot*AR61</f>
        <v>0</v>
      </c>
      <c r="AX61" s="1" t="n">
        <f aca="false">IF(AND(AP61=1,Slot3_IsMfree=1),IF(AU61&gt;=Slot3_Cost-1,0,MAX(0,AN61-AU61)),AN61)</f>
        <v>0</v>
      </c>
      <c r="AY61" s="1" t="n">
        <f aca="false">AP61*(Slot3_Cost-AU61)</f>
        <v>0</v>
      </c>
      <c r="AZ61" s="1" t="n">
        <f aca="false">IF(AND(Slot4_On=1,D61=Slot4_Age),1,0)</f>
        <v>0</v>
      </c>
      <c r="BA61" s="1" t="n">
        <f aca="false">IF(AND(Slot4_On=1,Slot4_Age&gt;D61),1,0)</f>
        <v>0</v>
      </c>
      <c r="BB61" s="1" t="n">
        <f aca="false">QX60</f>
        <v>0</v>
      </c>
      <c r="BC61" s="1" t="n">
        <f aca="false">AZ61*MIN(Slot4_Cost,BB61)</f>
        <v>0</v>
      </c>
      <c r="BD61" s="1" t="n">
        <f aca="false">AZ61*Slot4_SpendLike*MIN(Slot4_Cost-BC61,AV61)</f>
        <v>0</v>
      </c>
      <c r="BE61" s="1" t="n">
        <f aca="false">BC61+BD61</f>
        <v>0</v>
      </c>
      <c r="BF61" s="1" t="n">
        <f aca="false">AV61-BD61+AZ61*IF(Slot4_SpendLike=1,BB61-BC61,IF(Slot4_PotFree=1,BB61,0))</f>
        <v>0</v>
      </c>
      <c r="BG61" s="1" t="n">
        <f aca="false">AW61+AZ61*Slot4_BufPot*BB61</f>
        <v>0</v>
      </c>
      <c r="BH61" s="1" t="n">
        <f aca="false">IF(AND(AZ61=1,Slot4_IsMfree=1),IF(BE61&gt;=Slot4_Cost-1,0,MAX(0,AX61-BE61)),AX61)</f>
        <v>0</v>
      </c>
      <c r="BI61" s="1" t="n">
        <f aca="false">AZ61*(Slot4_Cost-BE61)</f>
        <v>0</v>
      </c>
      <c r="BJ61" s="1" t="n">
        <f aca="false">IF(AND(Slot5_On=1,D61=Slot5_Age),1,0)</f>
        <v>0</v>
      </c>
      <c r="BK61" s="1" t="n">
        <f aca="false">IF(AND(Slot5_On=1,Slot5_Age&gt;D61),1,0)</f>
        <v>0</v>
      </c>
      <c r="BL61" s="1" t="n">
        <f aca="false">RB60</f>
        <v>0</v>
      </c>
      <c r="BM61" s="1" t="n">
        <f aca="false">BJ61*MIN(Slot5_Cost,BL61)</f>
        <v>0</v>
      </c>
      <c r="BN61" s="1" t="n">
        <f aca="false">BJ61*Slot5_SpendLike*MIN(Slot5_Cost-BM61,BF61)</f>
        <v>0</v>
      </c>
      <c r="BO61" s="1" t="n">
        <f aca="false">BM61+BN61</f>
        <v>0</v>
      </c>
      <c r="BP61" s="1" t="n">
        <f aca="false">BF61-BN61+BJ61*IF(Slot5_SpendLike=1,BL61-BM61,IF(Slot5_PotFree=1,BL61,0))</f>
        <v>0</v>
      </c>
      <c r="BQ61" s="1" t="n">
        <f aca="false">BG61+BJ61*Slot5_BufPot*BL61</f>
        <v>0</v>
      </c>
      <c r="BR61" s="1" t="n">
        <f aca="false">IF(AND(BJ61=1,Slot5_IsMfree=1),IF(BO61&gt;=Slot5_Cost-1,0,MAX(0,BH61-BO61)),BH61)</f>
        <v>0</v>
      </c>
      <c r="BS61" s="1" t="n">
        <f aca="false">BJ61*(Slot5_Cost-BO61)</f>
        <v>0</v>
      </c>
      <c r="BT61" s="1" t="n">
        <f aca="false">IF(AND(Slot6_On=1,D61=Slot6_Age),1,0)</f>
        <v>0</v>
      </c>
      <c r="BU61" s="1" t="n">
        <f aca="false">IF(AND(Slot6_On=1,Slot6_Age&gt;D61),1,0)</f>
        <v>0</v>
      </c>
      <c r="BV61" s="1" t="n">
        <f aca="false">RF60</f>
        <v>0</v>
      </c>
      <c r="BW61" s="1" t="n">
        <f aca="false">BT61*MIN(Slot6_Cost,BV61)</f>
        <v>0</v>
      </c>
      <c r="BX61" s="1" t="n">
        <f aca="false">BT61*Slot6_SpendLike*MIN(Slot6_Cost-BW61,BP61)</f>
        <v>0</v>
      </c>
      <c r="BY61" s="1" t="n">
        <f aca="false">BW61+BX61</f>
        <v>0</v>
      </c>
      <c r="BZ61" s="1" t="n">
        <f aca="false">BP61-BX61+BT61*IF(Slot6_SpendLike=1,BV61-BW61,IF(Slot6_PotFree=1,BV61,0))</f>
        <v>0</v>
      </c>
      <c r="CA61" s="1" t="n">
        <f aca="false">BQ61+BT61*Slot6_BufPot*BV61</f>
        <v>0</v>
      </c>
      <c r="CB61" s="1" t="n">
        <f aca="false">IF(AND(BT61=1,Slot6_IsMfree=1),IF(BY61&gt;=Slot6_Cost-1,0,MAX(0,BR61-BY61)),BR61)</f>
        <v>0</v>
      </c>
      <c r="CC61" s="1" t="n">
        <f aca="false">BT61*(Slot6_Cost-BY61)</f>
        <v>0</v>
      </c>
      <c r="CD61" s="1" t="n">
        <f aca="false">IF(AND(Slot7_On=1,D61=Slot7_Age),1,0)</f>
        <v>0</v>
      </c>
      <c r="CE61" s="1" t="n">
        <f aca="false">IF(AND(Slot7_On=1,Slot7_Age&gt;D61),1,0)</f>
        <v>0</v>
      </c>
      <c r="CF61" s="1" t="n">
        <f aca="false">RJ60</f>
        <v>0</v>
      </c>
      <c r="CG61" s="1" t="n">
        <f aca="false">CD61*MIN(Slot7_Cost,CF61)</f>
        <v>0</v>
      </c>
      <c r="CH61" s="1" t="n">
        <f aca="false">CD61*Slot7_SpendLike*MIN(Slot7_Cost-CG61,BZ61)</f>
        <v>0</v>
      </c>
      <c r="CI61" s="1" t="n">
        <f aca="false">CG61+CH61</f>
        <v>0</v>
      </c>
      <c r="CJ61" s="1" t="n">
        <f aca="false">BZ61-CH61+CD61*IF(Slot7_SpendLike=1,CF61-CG61,IF(Slot7_PotFree=1,CF61,0))</f>
        <v>0</v>
      </c>
      <c r="CK61" s="1" t="n">
        <f aca="false">CA61+CD61*Slot7_BufPot*CF61</f>
        <v>0</v>
      </c>
      <c r="CL61" s="1" t="n">
        <f aca="false">IF(AND(CD61=1,Slot7_IsMfree=1),IF(CI61&gt;=Slot7_Cost-1,0,MAX(0,CB61-CI61)),CB61)</f>
        <v>0</v>
      </c>
      <c r="CM61" s="1" t="n">
        <f aca="false">CD61*(Slot7_Cost-CI61)</f>
        <v>0</v>
      </c>
      <c r="CN61" s="1" t="n">
        <f aca="false">IF(AND(Slot8_On=1,D61=Slot8_Age),1,0)</f>
        <v>0</v>
      </c>
      <c r="CO61" s="1" t="n">
        <f aca="false">IF(AND(Slot8_On=1,Slot8_Age&gt;D61),1,0)</f>
        <v>0</v>
      </c>
      <c r="CP61" s="1" t="n">
        <f aca="false">RN60</f>
        <v>0</v>
      </c>
      <c r="CQ61" s="1" t="n">
        <f aca="false">CN61*MIN(Slot8_Cost,CP61)</f>
        <v>0</v>
      </c>
      <c r="CR61" s="1" t="n">
        <f aca="false">CN61*Slot8_SpendLike*MIN(Slot8_Cost-CQ61,CJ61)</f>
        <v>0</v>
      </c>
      <c r="CS61" s="1" t="n">
        <f aca="false">CQ61+CR61</f>
        <v>0</v>
      </c>
      <c r="CT61" s="1" t="n">
        <f aca="false">CJ61-CR61+CN61*IF(Slot8_SpendLike=1,CP61-CQ61,IF(Slot8_PotFree=1,CP61,0))</f>
        <v>0</v>
      </c>
      <c r="CU61" s="1" t="n">
        <f aca="false">CK61+CN61*Slot8_BufPot*CP61</f>
        <v>0</v>
      </c>
      <c r="CV61" s="1" t="n">
        <f aca="false">IF(AND(CN61=1,Slot8_IsMfree=1),IF(CS61&gt;=Slot8_Cost-1,0,MAX(0,CL61-CS61)),CL61)</f>
        <v>0</v>
      </c>
      <c r="CW61" s="1" t="n">
        <f aca="false">CN61*(Slot8_Cost-CS61)</f>
        <v>0</v>
      </c>
      <c r="CX61" s="1" t="n">
        <f aca="false">IF(AND(Slot9_On=1,D61=Slot9_Age),1,0)</f>
        <v>0</v>
      </c>
      <c r="CY61" s="1" t="n">
        <f aca="false">IF(AND(Slot9_On=1,Slot9_Age&gt;D61),1,0)</f>
        <v>0</v>
      </c>
      <c r="CZ61" s="1" t="n">
        <f aca="false">RR60</f>
        <v>0</v>
      </c>
      <c r="DA61" s="1" t="n">
        <f aca="false">CX61*MIN(Slot9_Cost,CZ61)</f>
        <v>0</v>
      </c>
      <c r="DB61" s="1" t="n">
        <f aca="false">CX61*Slot9_SpendLike*MIN(Slot9_Cost-DA61,CT61)</f>
        <v>0</v>
      </c>
      <c r="DC61" s="1" t="n">
        <f aca="false">DA61+DB61</f>
        <v>0</v>
      </c>
      <c r="DD61" s="1" t="n">
        <f aca="false">CT61-DB61+CX61*IF(Slot9_SpendLike=1,CZ61-DA61,IF(Slot9_PotFree=1,CZ61,0))</f>
        <v>0</v>
      </c>
      <c r="DE61" s="1" t="n">
        <f aca="false">CU61+CX61*Slot9_BufPot*CZ61</f>
        <v>0</v>
      </c>
      <c r="DF61" s="1" t="n">
        <f aca="false">IF(AND(CX61=1,Slot9_IsMfree=1),IF(DC61&gt;=Slot9_Cost-1,0,MAX(0,CV61-DC61)),CV61)</f>
        <v>0</v>
      </c>
      <c r="DG61" s="1" t="n">
        <f aca="false">CX61*(Slot9_Cost-DC61)</f>
        <v>0</v>
      </c>
      <c r="DH61" s="1" t="n">
        <f aca="false">IF(AND(Slot10_On=1,D61=Slot10_Age),1,0)</f>
        <v>0</v>
      </c>
      <c r="DI61" s="1" t="n">
        <f aca="false">IF(AND(Slot10_On=1,Slot10_Age&gt;D61),1,0)</f>
        <v>0</v>
      </c>
      <c r="DJ61" s="1" t="n">
        <f aca="false">RV60</f>
        <v>0</v>
      </c>
      <c r="DK61" s="1" t="n">
        <f aca="false">DH61*MIN(Slot10_Cost,DJ61)</f>
        <v>0</v>
      </c>
      <c r="DL61" s="1" t="n">
        <f aca="false">DH61*Slot10_SpendLike*MIN(Slot10_Cost-DK61,DD61)</f>
        <v>0</v>
      </c>
      <c r="DM61" s="1" t="n">
        <f aca="false">DK61+DL61</f>
        <v>0</v>
      </c>
      <c r="DN61" s="1" t="n">
        <f aca="false">DD61-DL61+DH61*IF(Slot10_SpendLike=1,DJ61-DK61,IF(Slot10_PotFree=1,DJ61,0))</f>
        <v>0</v>
      </c>
      <c r="DO61" s="1" t="n">
        <f aca="false">DE61+DH61*Slot10_BufPot*DJ61</f>
        <v>0</v>
      </c>
      <c r="DP61" s="1" t="n">
        <f aca="false">IF(AND(DH61=1,Slot10_IsMfree=1),IF(DM61&gt;=Slot10_Cost-1,0,MAX(0,DF61-DM61)),DF61)</f>
        <v>0</v>
      </c>
      <c r="DQ61" s="1" t="n">
        <f aca="false">DH61*(Slot10_Cost-DM61)</f>
        <v>0</v>
      </c>
      <c r="DR61" s="1" t="n">
        <f aca="false">IF(AND(Slot11_On=1,D61=Slot11_Age),1,0)</f>
        <v>0</v>
      </c>
      <c r="DS61" s="1" t="n">
        <f aca="false">IF(AND(Slot11_On=1,Slot11_Age&gt;D61),1,0)</f>
        <v>0</v>
      </c>
      <c r="DT61" s="1" t="n">
        <f aca="false">RZ60</f>
        <v>0</v>
      </c>
      <c r="DU61" s="1" t="n">
        <f aca="false">DR61*MIN(Slot11_Cost,DT61)</f>
        <v>0</v>
      </c>
      <c r="DV61" s="1" t="n">
        <f aca="false">DR61*Slot11_SpendLike*MIN(Slot11_Cost-DU61,DN61)</f>
        <v>0</v>
      </c>
      <c r="DW61" s="1" t="n">
        <f aca="false">DU61+DV61</f>
        <v>0</v>
      </c>
      <c r="DX61" s="1" t="n">
        <f aca="false">DN61-DV61+DR61*IF(Slot11_SpendLike=1,DT61-DU61,IF(Slot11_PotFree=1,DT61,0))</f>
        <v>0</v>
      </c>
      <c r="DY61" s="1" t="n">
        <f aca="false">DO61+DR61*Slot11_BufPot*DT61</f>
        <v>0</v>
      </c>
      <c r="DZ61" s="1" t="n">
        <f aca="false">IF(AND(DR61=1,Slot11_IsMfree=1),IF(DW61&gt;=Slot11_Cost-1,0,MAX(0,DP61-DW61)),DP61)</f>
        <v>0</v>
      </c>
      <c r="EA61" s="1" t="n">
        <f aca="false">DR61*(Slot11_Cost-DW61)</f>
        <v>0</v>
      </c>
      <c r="EB61" s="1" t="n">
        <f aca="false">IF(AND(Slot12_On=1,D61=Slot12_Age),1,0)</f>
        <v>0</v>
      </c>
      <c r="EC61" s="1" t="n">
        <f aca="false">IF(AND(Slot12_On=1,Slot12_Age&gt;D61),1,0)</f>
        <v>0</v>
      </c>
      <c r="ED61" s="1" t="n">
        <f aca="false">SD60</f>
        <v>0</v>
      </c>
      <c r="EE61" s="1" t="n">
        <f aca="false">EB61*MIN(Slot12_Cost,ED61)</f>
        <v>0</v>
      </c>
      <c r="EF61" s="1" t="n">
        <f aca="false">EB61*Slot12_SpendLike*MIN(Slot12_Cost-EE61,DX61)</f>
        <v>0</v>
      </c>
      <c r="EG61" s="1" t="n">
        <f aca="false">EE61+EF61</f>
        <v>0</v>
      </c>
      <c r="EH61" s="1" t="n">
        <f aca="false">DX61-EF61+EB61*IF(Slot12_SpendLike=1,ED61-EE61,IF(Slot12_PotFree=1,ED61,0))</f>
        <v>0</v>
      </c>
      <c r="EI61" s="1" t="n">
        <f aca="false">DY61+EB61*Slot12_BufPot*ED61</f>
        <v>0</v>
      </c>
      <c r="EJ61" s="1" t="n">
        <f aca="false">IF(AND(EB61=1,Slot12_IsMfree=1),IF(EG61&gt;=Slot12_Cost-1,0,MAX(0,DZ61-EG61)),DZ61)</f>
        <v>0</v>
      </c>
      <c r="EK61" s="1" t="n">
        <f aca="false">EB61*(Slot12_Cost-EG61)</f>
        <v>0</v>
      </c>
      <c r="EL61" s="1" t="n">
        <f aca="false">IF(AND(Slot13_On=1,D61=Slot13_Age),1,0)</f>
        <v>0</v>
      </c>
      <c r="EM61" s="1" t="n">
        <f aca="false">IF(AND(Slot13_On=1,Slot13_Age&gt;D61),1,0)</f>
        <v>0</v>
      </c>
      <c r="EN61" s="1" t="n">
        <f aca="false">SH60</f>
        <v>0</v>
      </c>
      <c r="EO61" s="1" t="n">
        <f aca="false">EL61*MIN(Slot13_Cost,EN61)</f>
        <v>0</v>
      </c>
      <c r="EP61" s="1" t="n">
        <f aca="false">EL61*Slot13_SpendLike*MIN(Slot13_Cost-EO61,EH61)</f>
        <v>0</v>
      </c>
      <c r="EQ61" s="1" t="n">
        <f aca="false">EO61+EP61</f>
        <v>0</v>
      </c>
      <c r="ER61" s="1" t="n">
        <f aca="false">EH61-EP61+EL61*IF(Slot13_SpendLike=1,EN61-EO61,IF(Slot13_PotFree=1,EN61,0))</f>
        <v>0</v>
      </c>
      <c r="ES61" s="1" t="n">
        <f aca="false">EI61+EL61*Slot13_BufPot*EN61</f>
        <v>0</v>
      </c>
      <c r="ET61" s="1" t="n">
        <f aca="false">IF(AND(EL61=1,Slot13_IsMfree=1),IF(EQ61&gt;=Slot13_Cost-1,0,MAX(0,EJ61-EQ61)),EJ61)</f>
        <v>0</v>
      </c>
      <c r="EU61" s="1" t="n">
        <f aca="false">EL61*(Slot13_Cost-EQ61)</f>
        <v>0</v>
      </c>
      <c r="EV61" s="1" t="n">
        <f aca="false">IF(AND(Slot14_On=1,D61=Slot14_Age),1,0)</f>
        <v>0</v>
      </c>
      <c r="EW61" s="1" t="n">
        <f aca="false">IF(AND(Slot14_On=1,Slot14_Age&gt;D61),1,0)</f>
        <v>0</v>
      </c>
      <c r="EX61" s="1" t="n">
        <f aca="false">SL60</f>
        <v>0</v>
      </c>
      <c r="EY61" s="1" t="n">
        <f aca="false">EV61*MIN(Slot14_Cost,EX61)</f>
        <v>0</v>
      </c>
      <c r="EZ61" s="1" t="n">
        <f aca="false">EV61*Slot14_SpendLike*MIN(Slot14_Cost-EY61,ER61)</f>
        <v>0</v>
      </c>
      <c r="FA61" s="1" t="n">
        <f aca="false">EY61+EZ61</f>
        <v>0</v>
      </c>
      <c r="FB61" s="1" t="n">
        <f aca="false">ER61-EZ61+EV61*IF(Slot14_SpendLike=1,EX61-EY61,IF(Slot14_PotFree=1,EX61,0))</f>
        <v>0</v>
      </c>
      <c r="FC61" s="1" t="n">
        <f aca="false">ES61+EV61*Slot14_BufPot*EX61</f>
        <v>0</v>
      </c>
      <c r="FD61" s="1" t="n">
        <f aca="false">IF(AND(EV61=1,Slot14_IsMfree=1),IF(FA61&gt;=Slot14_Cost-1,0,MAX(0,ET61-FA61)),ET61)</f>
        <v>0</v>
      </c>
      <c r="FE61" s="1" t="n">
        <f aca="false">EV61*(Slot14_Cost-FA61)</f>
        <v>0</v>
      </c>
      <c r="FF61" s="1" t="n">
        <f aca="false">IF(AND(Slot15_On=1,D61=Slot15_Age),1,0)</f>
        <v>0</v>
      </c>
      <c r="FG61" s="1" t="n">
        <f aca="false">IF(AND(Slot15_On=1,Slot15_Age&gt;D61),1,0)</f>
        <v>0</v>
      </c>
      <c r="FH61" s="1" t="n">
        <f aca="false">SP60</f>
        <v>0</v>
      </c>
      <c r="FI61" s="1" t="n">
        <f aca="false">FF61*MIN(Slot15_Cost,FH61)</f>
        <v>0</v>
      </c>
      <c r="FJ61" s="1" t="n">
        <f aca="false">FF61*Slot15_SpendLike*MIN(Slot15_Cost-FI61,FB61)</f>
        <v>0</v>
      </c>
      <c r="FK61" s="1" t="n">
        <f aca="false">FI61+FJ61</f>
        <v>0</v>
      </c>
      <c r="FL61" s="1" t="n">
        <f aca="false">FB61-FJ61+FF61*IF(Slot15_SpendLike=1,FH61-FI61,IF(Slot15_PotFree=1,FH61,0))</f>
        <v>0</v>
      </c>
      <c r="FM61" s="1" t="n">
        <f aca="false">FC61+FF61*Slot15_BufPot*FH61</f>
        <v>0</v>
      </c>
      <c r="FN61" s="1" t="n">
        <f aca="false">IF(AND(FF61=1,Slot15_IsMfree=1),IF(FK61&gt;=Slot15_Cost-1,0,MAX(0,FD61-FK61)),FD61)</f>
        <v>0</v>
      </c>
      <c r="FO61" s="1" t="n">
        <f aca="false">FF61*(Slot15_Cost-FK61)</f>
        <v>0</v>
      </c>
      <c r="FP61" s="1" t="n">
        <f aca="false">IF(AND(Slot16_On=1,D61=Slot16_Age),1,0)</f>
        <v>0</v>
      </c>
      <c r="FQ61" s="1" t="n">
        <f aca="false">IF(AND(Slot16_On=1,Slot16_Age&gt;D61),1,0)</f>
        <v>0</v>
      </c>
      <c r="FR61" s="1" t="n">
        <f aca="false">ST60</f>
        <v>0</v>
      </c>
      <c r="FS61" s="1" t="n">
        <f aca="false">FP61*MIN(Slot16_Cost,FR61)</f>
        <v>0</v>
      </c>
      <c r="FT61" s="1" t="n">
        <f aca="false">FP61*Slot16_SpendLike*MIN(Slot16_Cost-FS61,FL61)</f>
        <v>0</v>
      </c>
      <c r="FU61" s="1" t="n">
        <f aca="false">FS61+FT61</f>
        <v>0</v>
      </c>
      <c r="FV61" s="1" t="n">
        <f aca="false">FL61-FT61+FP61*IF(Slot16_SpendLike=1,FR61-FS61,IF(Slot16_PotFree=1,FR61,0))</f>
        <v>0</v>
      </c>
      <c r="FW61" s="1" t="n">
        <f aca="false">FM61+FP61*Slot16_BufPot*FR61</f>
        <v>0</v>
      </c>
      <c r="FX61" s="1" t="n">
        <f aca="false">IF(AND(FP61=1,Slot16_IsMfree=1),IF(FU61&gt;=Slot16_Cost-1,0,MAX(0,FN61-FU61)),FN61)</f>
        <v>0</v>
      </c>
      <c r="FY61" s="1" t="n">
        <f aca="false">FP61*(Slot16_Cost-FU61)</f>
        <v>0</v>
      </c>
      <c r="FZ61" s="1" t="n">
        <f aca="false">IF(AND(Slot17_On=1,D61=Slot17_Age),1,0)</f>
        <v>0</v>
      </c>
      <c r="GA61" s="1" t="n">
        <f aca="false">IF(AND(Slot17_On=1,Slot17_Age&gt;D61),1,0)</f>
        <v>0</v>
      </c>
      <c r="GB61" s="1" t="n">
        <f aca="false">SX60</f>
        <v>0</v>
      </c>
      <c r="GC61" s="1" t="n">
        <f aca="false">FZ61*MIN(Slot17_Cost,GB61)</f>
        <v>0</v>
      </c>
      <c r="GD61" s="1" t="n">
        <f aca="false">FZ61*Slot17_SpendLike*MIN(Slot17_Cost-GC61,FV61)</f>
        <v>0</v>
      </c>
      <c r="GE61" s="1" t="n">
        <f aca="false">GC61+GD61</f>
        <v>0</v>
      </c>
      <c r="GF61" s="1" t="n">
        <f aca="false">FV61-GD61+FZ61*IF(Slot17_SpendLike=1,GB61-GC61,IF(Slot17_PotFree=1,GB61,0))</f>
        <v>0</v>
      </c>
      <c r="GG61" s="1" t="n">
        <f aca="false">FW61+FZ61*Slot17_BufPot*GB61</f>
        <v>0</v>
      </c>
      <c r="GH61" s="1" t="n">
        <f aca="false">IF(AND(FZ61=1,Slot17_IsMfree=1),IF(GE61&gt;=Slot17_Cost-1,0,MAX(0,FX61-GE61)),FX61)</f>
        <v>0</v>
      </c>
      <c r="GI61" s="1" t="n">
        <f aca="false">FZ61*(Slot17_Cost-GE61)</f>
        <v>0</v>
      </c>
      <c r="GJ61" s="1" t="n">
        <f aca="false">IF(AND(Slot18_On=1,D61=Slot18_Age),1,0)</f>
        <v>0</v>
      </c>
      <c r="GK61" s="1" t="n">
        <f aca="false">IF(AND(Slot18_On=1,Slot18_Age&gt;D61),1,0)</f>
        <v>0</v>
      </c>
      <c r="GL61" s="1" t="n">
        <f aca="false">TB60</f>
        <v>0</v>
      </c>
      <c r="GM61" s="1" t="n">
        <f aca="false">GJ61*MIN(Slot18_Cost,GL61)</f>
        <v>0</v>
      </c>
      <c r="GN61" s="1" t="n">
        <f aca="false">GJ61*Slot18_SpendLike*MIN(Slot18_Cost-GM61,GF61)</f>
        <v>0</v>
      </c>
      <c r="GO61" s="1" t="n">
        <f aca="false">GM61+GN61</f>
        <v>0</v>
      </c>
      <c r="GP61" s="1" t="n">
        <f aca="false">GF61-GN61+GJ61*IF(Slot18_SpendLike=1,GL61-GM61,IF(Slot18_PotFree=1,GL61,0))</f>
        <v>0</v>
      </c>
      <c r="GQ61" s="1" t="n">
        <f aca="false">GG61+GJ61*Slot18_BufPot*GL61</f>
        <v>0</v>
      </c>
      <c r="GR61" s="1" t="n">
        <f aca="false">IF(AND(GJ61=1,Slot18_IsMfree=1),IF(GO61&gt;=Slot18_Cost-1,0,MAX(0,GH61-GO61)),GH61)</f>
        <v>0</v>
      </c>
      <c r="GS61" s="1" t="n">
        <f aca="false">GJ61*(Slot18_Cost-GO61)</f>
        <v>0</v>
      </c>
      <c r="GT61" s="1" t="n">
        <f aca="false">IF(AND(Slot19_On=1,D61=Slot19_Age),1,0)</f>
        <v>0</v>
      </c>
      <c r="GU61" s="1" t="n">
        <f aca="false">IF(AND(Slot19_On=1,Slot19_Age&gt;D61),1,0)</f>
        <v>0</v>
      </c>
      <c r="GV61" s="1" t="n">
        <f aca="false">TF60</f>
        <v>0</v>
      </c>
      <c r="GW61" s="1" t="n">
        <f aca="false">GT61*MIN(Slot19_Cost,GV61)</f>
        <v>0</v>
      </c>
      <c r="GX61" s="1" t="n">
        <f aca="false">GT61*Slot19_SpendLike*MIN(Slot19_Cost-GW61,GP61)</f>
        <v>0</v>
      </c>
      <c r="GY61" s="1" t="n">
        <f aca="false">GW61+GX61</f>
        <v>0</v>
      </c>
      <c r="GZ61" s="1" t="n">
        <f aca="false">GP61-GX61+GT61*IF(Slot19_SpendLike=1,GV61-GW61,IF(Slot19_PotFree=1,GV61,0))</f>
        <v>0</v>
      </c>
      <c r="HA61" s="1" t="n">
        <f aca="false">GQ61+GT61*Slot19_BufPot*GV61</f>
        <v>0</v>
      </c>
      <c r="HB61" s="1" t="n">
        <f aca="false">IF(AND(GT61=1,Slot19_IsMfree=1),IF(GY61&gt;=Slot19_Cost-1,0,MAX(0,GR61-GY61)),GR61)</f>
        <v>0</v>
      </c>
      <c r="HC61" s="1" t="n">
        <f aca="false">GT61*(Slot19_Cost-GY61)</f>
        <v>0</v>
      </c>
      <c r="HD61" s="1" t="n">
        <f aca="false">IF(AND(Slot20_On=1,D61=Slot20_Age),1,0)</f>
        <v>0</v>
      </c>
      <c r="HE61" s="1" t="n">
        <f aca="false">IF(AND(Slot20_On=1,Slot20_Age&gt;D61),1,0)</f>
        <v>0</v>
      </c>
      <c r="HF61" s="1" t="n">
        <f aca="false">TJ60</f>
        <v>0</v>
      </c>
      <c r="HG61" s="1" t="n">
        <f aca="false">HD61*MIN(Slot20_Cost,HF61)</f>
        <v>0</v>
      </c>
      <c r="HH61" s="1" t="n">
        <f aca="false">HD61*Slot20_SpendLike*MIN(Slot20_Cost-HG61,GZ61)</f>
        <v>0</v>
      </c>
      <c r="HI61" s="1" t="n">
        <f aca="false">HG61+HH61</f>
        <v>0</v>
      </c>
      <c r="HJ61" s="1" t="n">
        <f aca="false">GZ61-HH61+HD61*IF(Slot20_SpendLike=1,HF61-HG61,IF(Slot20_PotFree=1,HF61,0))</f>
        <v>0</v>
      </c>
      <c r="HK61" s="1" t="n">
        <f aca="false">HA61+HD61*Slot20_BufPot*HF61</f>
        <v>0</v>
      </c>
      <c r="HL61" s="1" t="n">
        <f aca="false">IF(AND(HD61=1,Slot20_IsMfree=1),IF(HI61&gt;=Slot20_Cost-1,0,MAX(0,HB61-HI61)),HB61)</f>
        <v>0</v>
      </c>
      <c r="HM61" s="1" t="n">
        <f aca="false">HD61*(Slot20_Cost-HI61)</f>
        <v>0</v>
      </c>
      <c r="HN61" s="1" t="n">
        <f aca="false">U61*Slot1_SpendLike*Z61+AF61*Slot2_SpendLike*AK61+AP61*Slot3_SpendLike*AU61+AZ61*Slot4_SpendLike*BE61+BJ61*Slot5_SpendLike*BO61+BT61*Slot6_SpendLike*BY61+CD61*Slot7_SpendLike*CI61+CN61*Slot8_SpendLike*CS61+CX61*Slot9_SpendLike*DC61+DH61*Slot10_SpendLike*DM61+DR61*Slot11_SpendLike*DW61+EB61*Slot12_SpendLike*EG61+EL61*Slot13_SpendLike*EQ61+EV61*Slot14_SpendLike*FA61+FF61*Slot15_SpendLike*FK61+FP61*Slot16_SpendLike*FU61+FZ61*Slot17_SpendLike*GE61+GJ61*Slot18_SpendLike*GO61+GT61*Slot19_SpendLike*GY61+HD61*Slot20_SpendLike*HI61</f>
        <v>0</v>
      </c>
      <c r="HO61" s="1" t="n">
        <f aca="false">AD61+AO61+AY61+BI61+BS61+CC61+CM61+CW61+DG61+DQ61+EA61+EK61+EU61+FE61+FO61+FY61+GI61+GS61+HC61+HM61</f>
        <v>0</v>
      </c>
      <c r="HP61" s="1" t="n">
        <f aca="false">U61*Slot1_Cost+AF61*Slot2_Cost+AP61*Slot3_Cost+AZ61*Slot4_Cost+BJ61*Slot5_Cost+BT61*Slot6_Cost+CD61*Slot7_Cost+CN61*Slot8_Cost+CX61*Slot9_Cost+DH61*Slot10_Cost+DR61*Slot11_Cost+EB61*Slot12_Cost+EL61*Slot13_Cost+EV61*Slot14_Cost+FF61*Slot15_Cost+FP61*Slot16_Cost+FZ61*Slot17_Cost+GJ61*Slot18_Cost+GT61*Slot19_Cost+HD61*Slot20_Cost</f>
        <v>0</v>
      </c>
      <c r="HQ61" s="1" t="n">
        <f aca="false">HL61</f>
        <v>0</v>
      </c>
      <c r="HR61" s="1" t="n">
        <f aca="false">G61-H61-R61</f>
        <v>0</v>
      </c>
      <c r="HS61" s="1" t="n">
        <f aca="false">IF(B61=0,IF(AND(Has_q6=1,In_q6=4),PR_ShareVaries*(MAX(0,HR61)/12),MIN(IF(Has_q6=1,CHOOSE(In_q6+1,PR_SaveB1,PR_SaveB2,PR_SaveB3,PR_SaveB4,0),AS_NoAnswer),AS_SaveShare*(MAX(0,HR61)/12))),HS60)</f>
        <v>0</v>
      </c>
      <c r="HT61" s="1" t="n">
        <f aca="false">IF(HR61&gt;=0,1,0)</f>
        <v>1</v>
      </c>
      <c r="HU61" s="1" t="n">
        <f aca="false">MAX(0,HR61/12/E61)</f>
        <v>0</v>
      </c>
      <c r="HV61" s="1" t="n">
        <f aca="false">IF(AND(Has_q6=1,In_q6=4),PR_ShareVaries*(HU61),MIN(IF(Has_q6=1,CHOOSE(In_q6+1,PR_SaveB1,PR_SaveB2,PR_SaveB3,PR_SaveB4,0),AS_NoAnswer),AS_SaveShare*(HU61)))</f>
        <v>0</v>
      </c>
      <c r="HW61" s="1" t="n">
        <f aca="false">IF(Has_saveM=1,IF(In_saveUp="Yes",1,IF(In_saveUp="No",0,IF(In_saveM&gt;=HS61-0.5,1,0))),0)</f>
        <v>0</v>
      </c>
      <c r="HX61" s="1" t="n">
        <f aca="false">IF(Has_saveM=1,MIN(HU61,IF(HW61=1,MAX(In_saveM,HV61),MIN(In_saveM,HV61))),HV61)</f>
        <v>0</v>
      </c>
      <c r="HY61" s="1" t="n">
        <f aca="false">IF(F61=1,HX61*12*E61,0)</f>
        <v>0</v>
      </c>
      <c r="HZ61" s="1" t="n">
        <f aca="false">MAX(0,HY61+IF(AND(WI_Retire=0,WI_M&lt;0,F61=1),WI_M*12*E61,0))</f>
        <v>0</v>
      </c>
      <c r="IA61" s="1" t="n">
        <f aca="false">Slot1_IsWG*V61+Slot2_IsWG*AG61+Slot3_IsWG*AQ61+Slot4_IsWG*BA61+Slot5_IsWG*BK61+Slot6_IsWG*BU61+Slot7_IsWG*CE61+Slot8_IsWG*CO61+Slot9_IsWG*CY61+Slot10_IsWG*DI61+Slot11_IsWG*DS61+Slot12_IsWG*EC61+Slot13_IsWG*EM61+Slot14_IsWG*EW61+Slot15_IsWG*FG61+Slot16_IsWG*FQ61+Slot17_IsWG*GA61+Slot18_IsWG*GK61+Slot19_IsWG*GU61+Slot20_IsWG*HE61</f>
        <v>0</v>
      </c>
      <c r="IB61" s="1" t="n">
        <f aca="false">IF(AND(WI_Retire=0,WI_M&gt;0,F61=1,IA61&gt;=1),WI_M*12*E61,0)</f>
        <v>0</v>
      </c>
      <c r="IC61" s="1" t="n">
        <f aca="false">IF(HT61=1,MIN(HZ61,HR61),0)</f>
        <v>0</v>
      </c>
      <c r="ID61" s="1" t="n">
        <f aca="false">IF(HT61=1,MIN(IB61,HR61-IC61),0)</f>
        <v>0</v>
      </c>
      <c r="IE61" s="1" t="n">
        <f aca="false">IF(V61=1,IF(ABS((1+AS_Wage)/(1+Slot1_Rate)-1)&lt;0.000000000001,(Slot1_Age-D61)*(1+Slot1_Rate)^(Slot1_Age-D61),(1+Slot1_Rate)^(Slot1_Age-D61)*(1-((1+AS_Wage)/(1+Slot1_Rate))^(Slot1_Age-D61))/(1-(1+AS_Wage)/(1+Slot1_Rate))),1)</f>
        <v>1</v>
      </c>
      <c r="IF61" s="1" t="n">
        <f aca="false">IF(AND(HT61=1,ID61&gt;0,Slot1_IsWG=1,V61=1),MAX(0,(Slot1_Cost-W61*(1+Slot1_Rate)^(Slot1_Age-D61))/IE61),0)</f>
        <v>0</v>
      </c>
      <c r="IG61" s="1" t="n">
        <f aca="false">IF(AND(HT61=1,ID61&gt;0,Slot1_IsWG=1,V61=1),MIN(ID61,IF61),0)</f>
        <v>0</v>
      </c>
      <c r="IH61" s="1" t="n">
        <f aca="false">W61+IG61</f>
        <v>0</v>
      </c>
      <c r="II61" s="1" t="n">
        <f aca="false">IF(V61=1,MAX(0,(Slot1_Cost-IH61*(1+Slot1_Rate)^(Slot1_Age-D61))/IE61),0)</f>
        <v>0</v>
      </c>
      <c r="IJ61" s="1" t="n">
        <f aca="false">IF(V61=1,MAX(0,(Slot1_Cost-W61*(1+Slot1_Rate)^(Slot1_Age-D61))/IE61),0)</f>
        <v>0</v>
      </c>
      <c r="IK61" s="1" t="n">
        <f aca="false">IF(AND(HT61=1,V61=1),MIN(IC61,II61),0)</f>
        <v>0</v>
      </c>
      <c r="IL61" s="1" t="n">
        <f aca="false">IC61-IK61</f>
        <v>0</v>
      </c>
      <c r="IM61" s="1" t="n">
        <f aca="false">IF(AG61=1,IF(ABS((1+AS_Wage)/(1+Slot2_Rate)-1)&lt;0.000000000001,(Slot2_Age-D61)*(1+Slot2_Rate)^(Slot2_Age-D61),(1+Slot2_Rate)^(Slot2_Age-D61)*(1-((1+AS_Wage)/(1+Slot2_Rate))^(Slot2_Age-D61))/(1-(1+AS_Wage)/(1+Slot2_Rate))),1)</f>
        <v>1</v>
      </c>
      <c r="IN61" s="1" t="n">
        <f aca="false">IF(AND(HT61=1,ID61&gt;0,Slot2_IsWG=1,AG61=1),MAX(0,(Slot2_Cost-AH61*(1+Slot2_Rate)^(Slot2_Age-D61))/IM61),0)</f>
        <v>0</v>
      </c>
      <c r="IO61" s="1" t="n">
        <f aca="false">IF(AND(HT61=1,ID61&gt;0,Slot2_IsWG=1,AG61=1),MIN(ID61,IN61),0)</f>
        <v>0</v>
      </c>
      <c r="IP61" s="1" t="n">
        <f aca="false">AH61+IO61</f>
        <v>0</v>
      </c>
      <c r="IQ61" s="1" t="n">
        <f aca="false">IF(AG61=1,MAX(0,(Slot2_Cost-IP61*(1+Slot2_Rate)^(Slot2_Age-D61))/IM61),0)</f>
        <v>0</v>
      </c>
      <c r="IR61" s="1" t="n">
        <f aca="false">IF(AG61=1,MAX(0,(Slot2_Cost-AH61*(1+Slot2_Rate)^(Slot2_Age-D61))/IM61),0)</f>
        <v>0</v>
      </c>
      <c r="IS61" s="1" t="n">
        <f aca="false">IF(AND(HT61=1,AG61=1),MIN(IL61,IQ61),0)</f>
        <v>0</v>
      </c>
      <c r="IT61" s="1" t="n">
        <f aca="false">IL61-IS61</f>
        <v>0</v>
      </c>
      <c r="IU61" s="1" t="n">
        <f aca="false">IF(AQ61=1,IF(ABS((1+AS_Wage)/(1+Slot3_Rate)-1)&lt;0.000000000001,(Slot3_Age-D61)*(1+Slot3_Rate)^(Slot3_Age-D61),(1+Slot3_Rate)^(Slot3_Age-D61)*(1-((1+AS_Wage)/(1+Slot3_Rate))^(Slot3_Age-D61))/(1-(1+AS_Wage)/(1+Slot3_Rate))),1)</f>
        <v>1</v>
      </c>
      <c r="IV61" s="1" t="n">
        <f aca="false">IF(AND(HT61=1,ID61&gt;0,Slot3_IsWG=1,AQ61=1),MAX(0,(Slot3_Cost-AR61*(1+Slot3_Rate)^(Slot3_Age-D61))/IU61),0)</f>
        <v>0</v>
      </c>
      <c r="IW61" s="1" t="n">
        <f aca="false">IF(AND(HT61=1,ID61&gt;0,Slot3_IsWG=1,AQ61=1),MIN(ID61,IV61),0)</f>
        <v>0</v>
      </c>
      <c r="IX61" s="1" t="n">
        <f aca="false">AR61+IW61</f>
        <v>0</v>
      </c>
      <c r="IY61" s="1" t="n">
        <f aca="false">IF(AQ61=1,MAX(0,(Slot3_Cost-IX61*(1+Slot3_Rate)^(Slot3_Age-D61))/IU61),0)</f>
        <v>0</v>
      </c>
      <c r="IZ61" s="1" t="n">
        <f aca="false">IF(AQ61=1,MAX(0,(Slot3_Cost-AR61*(1+Slot3_Rate)^(Slot3_Age-D61))/IU61),0)</f>
        <v>0</v>
      </c>
      <c r="JA61" s="1" t="n">
        <f aca="false">IF(AND(HT61=1,AQ61=1),MIN(IT61,IY61),0)</f>
        <v>0</v>
      </c>
      <c r="JB61" s="1" t="n">
        <f aca="false">IT61-JA61</f>
        <v>0</v>
      </c>
      <c r="JC61" s="1" t="n">
        <f aca="false">IF(BA61=1,IF(ABS((1+AS_Wage)/(1+Slot4_Rate)-1)&lt;0.000000000001,(Slot4_Age-D61)*(1+Slot4_Rate)^(Slot4_Age-D61),(1+Slot4_Rate)^(Slot4_Age-D61)*(1-((1+AS_Wage)/(1+Slot4_Rate))^(Slot4_Age-D61))/(1-(1+AS_Wage)/(1+Slot4_Rate))),1)</f>
        <v>1</v>
      </c>
      <c r="JD61" s="1" t="n">
        <f aca="false">IF(AND(HT61=1,ID61&gt;0,Slot4_IsWG=1,BA61=1),MAX(0,(Slot4_Cost-BB61*(1+Slot4_Rate)^(Slot4_Age-D61))/JC61),0)</f>
        <v>0</v>
      </c>
      <c r="JE61" s="1" t="n">
        <f aca="false">IF(AND(HT61=1,ID61&gt;0,Slot4_IsWG=1,BA61=1),MIN(ID61,JD61),0)</f>
        <v>0</v>
      </c>
      <c r="JF61" s="1" t="n">
        <f aca="false">BB61+JE61</f>
        <v>0</v>
      </c>
      <c r="JG61" s="1" t="n">
        <f aca="false">IF(BA61=1,MAX(0,(Slot4_Cost-JF61*(1+Slot4_Rate)^(Slot4_Age-D61))/JC61),0)</f>
        <v>0</v>
      </c>
      <c r="JH61" s="1" t="n">
        <f aca="false">IF(BA61=1,MAX(0,(Slot4_Cost-BB61*(1+Slot4_Rate)^(Slot4_Age-D61))/JC61),0)</f>
        <v>0</v>
      </c>
      <c r="JI61" s="1" t="n">
        <f aca="false">IF(AND(HT61=1,BA61=1),MIN(JB61,JG61),0)</f>
        <v>0</v>
      </c>
      <c r="JJ61" s="1" t="n">
        <f aca="false">JB61-JI61</f>
        <v>0</v>
      </c>
      <c r="JK61" s="1" t="n">
        <f aca="false">IF(BK61=1,IF(ABS((1+AS_Wage)/(1+Slot5_Rate)-1)&lt;0.000000000001,(Slot5_Age-D61)*(1+Slot5_Rate)^(Slot5_Age-D61),(1+Slot5_Rate)^(Slot5_Age-D61)*(1-((1+AS_Wage)/(1+Slot5_Rate))^(Slot5_Age-D61))/(1-(1+AS_Wage)/(1+Slot5_Rate))),1)</f>
        <v>1</v>
      </c>
      <c r="JL61" s="1" t="n">
        <f aca="false">IF(AND(HT61=1,ID61&gt;0,Slot5_IsWG=1,BK61=1),MAX(0,(Slot5_Cost-BL61*(1+Slot5_Rate)^(Slot5_Age-D61))/JK61),0)</f>
        <v>0</v>
      </c>
      <c r="JM61" s="1" t="n">
        <f aca="false">IF(AND(HT61=1,ID61&gt;0,Slot5_IsWG=1,BK61=1),MIN(ID61,JL61),0)</f>
        <v>0</v>
      </c>
      <c r="JN61" s="1" t="n">
        <f aca="false">BL61+JM61</f>
        <v>0</v>
      </c>
      <c r="JO61" s="1" t="n">
        <f aca="false">IF(BK61=1,MAX(0,(Slot5_Cost-JN61*(1+Slot5_Rate)^(Slot5_Age-D61))/JK61),0)</f>
        <v>0</v>
      </c>
      <c r="JP61" s="1" t="n">
        <f aca="false">IF(BK61=1,MAX(0,(Slot5_Cost-BL61*(1+Slot5_Rate)^(Slot5_Age-D61))/JK61),0)</f>
        <v>0</v>
      </c>
      <c r="JQ61" s="1" t="n">
        <f aca="false">IF(AND(HT61=1,BK61=1),MIN(JJ61,JO61),0)</f>
        <v>0</v>
      </c>
      <c r="JR61" s="1" t="n">
        <f aca="false">JJ61-JQ61</f>
        <v>0</v>
      </c>
      <c r="JS61" s="1" t="n">
        <f aca="false">IF(BU61=1,IF(ABS((1+AS_Wage)/(1+Slot6_Rate)-1)&lt;0.000000000001,(Slot6_Age-D61)*(1+Slot6_Rate)^(Slot6_Age-D61),(1+Slot6_Rate)^(Slot6_Age-D61)*(1-((1+AS_Wage)/(1+Slot6_Rate))^(Slot6_Age-D61))/(1-(1+AS_Wage)/(1+Slot6_Rate))),1)</f>
        <v>1</v>
      </c>
      <c r="JT61" s="1" t="n">
        <f aca="false">IF(AND(HT61=1,ID61&gt;0,Slot6_IsWG=1,BU61=1),MAX(0,(Slot6_Cost-BV61*(1+Slot6_Rate)^(Slot6_Age-D61))/JS61),0)</f>
        <v>0</v>
      </c>
      <c r="JU61" s="1" t="n">
        <f aca="false">IF(AND(HT61=1,ID61&gt;0,Slot6_IsWG=1,BU61=1),MIN(ID61,JT61),0)</f>
        <v>0</v>
      </c>
      <c r="JV61" s="1" t="n">
        <f aca="false">BV61+JU61</f>
        <v>0</v>
      </c>
      <c r="JW61" s="1" t="n">
        <f aca="false">IF(BU61=1,MAX(0,(Slot6_Cost-JV61*(1+Slot6_Rate)^(Slot6_Age-D61))/JS61),0)</f>
        <v>0</v>
      </c>
      <c r="JX61" s="1" t="n">
        <f aca="false">IF(BU61=1,MAX(0,(Slot6_Cost-BV61*(1+Slot6_Rate)^(Slot6_Age-D61))/JS61),0)</f>
        <v>0</v>
      </c>
      <c r="JY61" s="1" t="n">
        <f aca="false">IF(AND(HT61=1,BU61=1),MIN(JR61,JW61),0)</f>
        <v>0</v>
      </c>
      <c r="JZ61" s="1" t="n">
        <f aca="false">JR61-JY61</f>
        <v>0</v>
      </c>
      <c r="KA61" s="1" t="n">
        <f aca="false">IF(CE61=1,IF(ABS((1+AS_Wage)/(1+Slot7_Rate)-1)&lt;0.000000000001,(Slot7_Age-D61)*(1+Slot7_Rate)^(Slot7_Age-D61),(1+Slot7_Rate)^(Slot7_Age-D61)*(1-((1+AS_Wage)/(1+Slot7_Rate))^(Slot7_Age-D61))/(1-(1+AS_Wage)/(1+Slot7_Rate))),1)</f>
        <v>1</v>
      </c>
      <c r="KB61" s="1" t="n">
        <f aca="false">IF(AND(HT61=1,ID61&gt;0,Slot7_IsWG=1,CE61=1),MAX(0,(Slot7_Cost-CF61*(1+Slot7_Rate)^(Slot7_Age-D61))/KA61),0)</f>
        <v>0</v>
      </c>
      <c r="KC61" s="1" t="n">
        <f aca="false">IF(AND(HT61=1,ID61&gt;0,Slot7_IsWG=1,CE61=1),MIN(ID61,KB61),0)</f>
        <v>0</v>
      </c>
      <c r="KD61" s="1" t="n">
        <f aca="false">CF61+KC61</f>
        <v>0</v>
      </c>
      <c r="KE61" s="1" t="n">
        <f aca="false">IF(CE61=1,MAX(0,(Slot7_Cost-KD61*(1+Slot7_Rate)^(Slot7_Age-D61))/KA61),0)</f>
        <v>0</v>
      </c>
      <c r="KF61" s="1" t="n">
        <f aca="false">IF(CE61=1,MAX(0,(Slot7_Cost-CF61*(1+Slot7_Rate)^(Slot7_Age-D61))/KA61),0)</f>
        <v>0</v>
      </c>
      <c r="KG61" s="1" t="n">
        <f aca="false">IF(AND(HT61=1,CE61=1),MIN(JZ61,KE61),0)</f>
        <v>0</v>
      </c>
      <c r="KH61" s="1" t="n">
        <f aca="false">JZ61-KG61</f>
        <v>0</v>
      </c>
      <c r="KI61" s="1" t="n">
        <f aca="false">IF(CO61=1,IF(ABS((1+AS_Wage)/(1+Slot8_Rate)-1)&lt;0.000000000001,(Slot8_Age-D61)*(1+Slot8_Rate)^(Slot8_Age-D61),(1+Slot8_Rate)^(Slot8_Age-D61)*(1-((1+AS_Wage)/(1+Slot8_Rate))^(Slot8_Age-D61))/(1-(1+AS_Wage)/(1+Slot8_Rate))),1)</f>
        <v>1</v>
      </c>
      <c r="KJ61" s="1" t="n">
        <f aca="false">IF(AND(HT61=1,ID61&gt;0,Slot8_IsWG=1,CO61=1),MAX(0,(Slot8_Cost-CP61*(1+Slot8_Rate)^(Slot8_Age-D61))/KI61),0)</f>
        <v>0</v>
      </c>
      <c r="KK61" s="1" t="n">
        <f aca="false">IF(AND(HT61=1,ID61&gt;0,Slot8_IsWG=1,CO61=1),MIN(ID61,KJ61),0)</f>
        <v>0</v>
      </c>
      <c r="KL61" s="1" t="n">
        <f aca="false">CP61+KK61</f>
        <v>0</v>
      </c>
      <c r="KM61" s="1" t="n">
        <f aca="false">IF(CO61=1,MAX(0,(Slot8_Cost-KL61*(1+Slot8_Rate)^(Slot8_Age-D61))/KI61),0)</f>
        <v>0</v>
      </c>
      <c r="KN61" s="1" t="n">
        <f aca="false">IF(CO61=1,MAX(0,(Slot8_Cost-CP61*(1+Slot8_Rate)^(Slot8_Age-D61))/KI61),0)</f>
        <v>0</v>
      </c>
      <c r="KO61" s="1" t="n">
        <f aca="false">IF(AND(HT61=1,CO61=1),MIN(KH61,KM61),0)</f>
        <v>0</v>
      </c>
      <c r="KP61" s="1" t="n">
        <f aca="false">KH61-KO61</f>
        <v>0</v>
      </c>
      <c r="KQ61" s="1" t="n">
        <f aca="false">IF(CY61=1,IF(ABS((1+AS_Wage)/(1+Slot9_Rate)-1)&lt;0.000000000001,(Slot9_Age-D61)*(1+Slot9_Rate)^(Slot9_Age-D61),(1+Slot9_Rate)^(Slot9_Age-D61)*(1-((1+AS_Wage)/(1+Slot9_Rate))^(Slot9_Age-D61))/(1-(1+AS_Wage)/(1+Slot9_Rate))),1)</f>
        <v>1</v>
      </c>
      <c r="KR61" s="1" t="n">
        <f aca="false">IF(AND(HT61=1,ID61&gt;0,Slot9_IsWG=1,CY61=1),MAX(0,(Slot9_Cost-CZ61*(1+Slot9_Rate)^(Slot9_Age-D61))/KQ61),0)</f>
        <v>0</v>
      </c>
      <c r="KS61" s="1" t="n">
        <f aca="false">IF(AND(HT61=1,ID61&gt;0,Slot9_IsWG=1,CY61=1),MIN(ID61,KR61),0)</f>
        <v>0</v>
      </c>
      <c r="KT61" s="1" t="n">
        <f aca="false">CZ61+KS61</f>
        <v>0</v>
      </c>
      <c r="KU61" s="1" t="n">
        <f aca="false">IF(CY61=1,MAX(0,(Slot9_Cost-KT61*(1+Slot9_Rate)^(Slot9_Age-D61))/KQ61),0)</f>
        <v>0</v>
      </c>
      <c r="KV61" s="1" t="n">
        <f aca="false">IF(CY61=1,MAX(0,(Slot9_Cost-CZ61*(1+Slot9_Rate)^(Slot9_Age-D61))/KQ61),0)</f>
        <v>0</v>
      </c>
      <c r="KW61" s="1" t="n">
        <f aca="false">IF(AND(HT61=1,CY61=1),MIN(KP61,KU61),0)</f>
        <v>0</v>
      </c>
      <c r="KX61" s="1" t="n">
        <f aca="false">KP61-KW61</f>
        <v>0</v>
      </c>
      <c r="KY61" s="1" t="n">
        <f aca="false">IF(DI61=1,IF(ABS((1+AS_Wage)/(1+Slot10_Rate)-1)&lt;0.000000000001,(Slot10_Age-D61)*(1+Slot10_Rate)^(Slot10_Age-D61),(1+Slot10_Rate)^(Slot10_Age-D61)*(1-((1+AS_Wage)/(1+Slot10_Rate))^(Slot10_Age-D61))/(1-(1+AS_Wage)/(1+Slot10_Rate))),1)</f>
        <v>1</v>
      </c>
      <c r="KZ61" s="1" t="n">
        <f aca="false">IF(AND(HT61=1,ID61&gt;0,Slot10_IsWG=1,DI61=1),MAX(0,(Slot10_Cost-DJ61*(1+Slot10_Rate)^(Slot10_Age-D61))/KY61),0)</f>
        <v>0</v>
      </c>
      <c r="LA61" s="1" t="n">
        <f aca="false">IF(AND(HT61=1,ID61&gt;0,Slot10_IsWG=1,DI61=1),MIN(ID61,KZ61),0)</f>
        <v>0</v>
      </c>
      <c r="LB61" s="1" t="n">
        <f aca="false">DJ61+LA61</f>
        <v>0</v>
      </c>
      <c r="LC61" s="1" t="n">
        <f aca="false">IF(DI61=1,MAX(0,(Slot10_Cost-LB61*(1+Slot10_Rate)^(Slot10_Age-D61))/KY61),0)</f>
        <v>0</v>
      </c>
      <c r="LD61" s="1" t="n">
        <f aca="false">IF(DI61=1,MAX(0,(Slot10_Cost-DJ61*(1+Slot10_Rate)^(Slot10_Age-D61))/KY61),0)</f>
        <v>0</v>
      </c>
      <c r="LE61" s="1" t="n">
        <f aca="false">IF(AND(HT61=1,DI61=1),MIN(KX61,LC61),0)</f>
        <v>0</v>
      </c>
      <c r="LF61" s="1" t="n">
        <f aca="false">KX61-LE61</f>
        <v>0</v>
      </c>
      <c r="LG61" s="1" t="n">
        <f aca="false">IF(DS61=1,IF(ABS((1+AS_Wage)/(1+Slot11_Rate)-1)&lt;0.000000000001,(Slot11_Age-D61)*(1+Slot11_Rate)^(Slot11_Age-D61),(1+Slot11_Rate)^(Slot11_Age-D61)*(1-((1+AS_Wage)/(1+Slot11_Rate))^(Slot11_Age-D61))/(1-(1+AS_Wage)/(1+Slot11_Rate))),1)</f>
        <v>1</v>
      </c>
      <c r="LH61" s="1" t="n">
        <f aca="false">IF(AND(HT61=1,ID61&gt;0,Slot11_IsWG=1,DS61=1),MAX(0,(Slot11_Cost-DT61*(1+Slot11_Rate)^(Slot11_Age-D61))/LG61),0)</f>
        <v>0</v>
      </c>
      <c r="LI61" s="1" t="n">
        <f aca="false">IF(AND(HT61=1,ID61&gt;0,Slot11_IsWG=1,DS61=1),MIN(ID61,LH61),0)</f>
        <v>0</v>
      </c>
      <c r="LJ61" s="1" t="n">
        <f aca="false">DT61+LI61</f>
        <v>0</v>
      </c>
      <c r="LK61" s="1" t="n">
        <f aca="false">IF(DS61=1,MAX(0,(Slot11_Cost-LJ61*(1+Slot11_Rate)^(Slot11_Age-D61))/LG61),0)</f>
        <v>0</v>
      </c>
      <c r="LL61" s="1" t="n">
        <f aca="false">IF(DS61=1,MAX(0,(Slot11_Cost-DT61*(1+Slot11_Rate)^(Slot11_Age-D61))/LG61),0)</f>
        <v>0</v>
      </c>
      <c r="LM61" s="1" t="n">
        <f aca="false">IF(AND(HT61=1,DS61=1),MIN(LF61,LK61),0)</f>
        <v>0</v>
      </c>
      <c r="LN61" s="1" t="n">
        <f aca="false">LF61-LM61</f>
        <v>0</v>
      </c>
      <c r="LO61" s="1" t="n">
        <f aca="false">IF(EC61=1,IF(ABS((1+AS_Wage)/(1+Slot12_Rate)-1)&lt;0.000000000001,(Slot12_Age-D61)*(1+Slot12_Rate)^(Slot12_Age-D61),(1+Slot12_Rate)^(Slot12_Age-D61)*(1-((1+AS_Wage)/(1+Slot12_Rate))^(Slot12_Age-D61))/(1-(1+AS_Wage)/(1+Slot12_Rate))),1)</f>
        <v>1</v>
      </c>
      <c r="LP61" s="1" t="n">
        <f aca="false">IF(AND(HT61=1,ID61&gt;0,Slot12_IsWG=1,EC61=1),MAX(0,(Slot12_Cost-ED61*(1+Slot12_Rate)^(Slot12_Age-D61))/LO61),0)</f>
        <v>0</v>
      </c>
      <c r="LQ61" s="1" t="n">
        <f aca="false">IF(AND(HT61=1,ID61&gt;0,Slot12_IsWG=1,EC61=1),MIN(ID61,LP61),0)</f>
        <v>0</v>
      </c>
      <c r="LR61" s="1" t="n">
        <f aca="false">ED61+LQ61</f>
        <v>0</v>
      </c>
      <c r="LS61" s="1" t="n">
        <f aca="false">IF(EC61=1,MAX(0,(Slot12_Cost-LR61*(1+Slot12_Rate)^(Slot12_Age-D61))/LO61),0)</f>
        <v>0</v>
      </c>
      <c r="LT61" s="1" t="n">
        <f aca="false">IF(EC61=1,MAX(0,(Slot12_Cost-ED61*(1+Slot12_Rate)^(Slot12_Age-D61))/LO61),0)</f>
        <v>0</v>
      </c>
      <c r="LU61" s="1" t="n">
        <f aca="false">IF(AND(HT61=1,EC61=1),MIN(LN61,LS61),0)</f>
        <v>0</v>
      </c>
      <c r="LV61" s="1" t="n">
        <f aca="false">LN61-LU61</f>
        <v>0</v>
      </c>
      <c r="LW61" s="1" t="n">
        <f aca="false">IF(EM61=1,IF(ABS((1+AS_Wage)/(1+Slot13_Rate)-1)&lt;0.000000000001,(Slot13_Age-D61)*(1+Slot13_Rate)^(Slot13_Age-D61),(1+Slot13_Rate)^(Slot13_Age-D61)*(1-((1+AS_Wage)/(1+Slot13_Rate))^(Slot13_Age-D61))/(1-(1+AS_Wage)/(1+Slot13_Rate))),1)</f>
        <v>1</v>
      </c>
      <c r="LX61" s="1" t="n">
        <f aca="false">IF(AND(HT61=1,ID61&gt;0,Slot13_IsWG=1,EM61=1),MAX(0,(Slot13_Cost-EN61*(1+Slot13_Rate)^(Slot13_Age-D61))/LW61),0)</f>
        <v>0</v>
      </c>
      <c r="LY61" s="1" t="n">
        <f aca="false">IF(AND(HT61=1,ID61&gt;0,Slot13_IsWG=1,EM61=1),MIN(ID61,LX61),0)</f>
        <v>0</v>
      </c>
      <c r="LZ61" s="1" t="n">
        <f aca="false">EN61+LY61</f>
        <v>0</v>
      </c>
      <c r="MA61" s="1" t="n">
        <f aca="false">IF(EM61=1,MAX(0,(Slot13_Cost-LZ61*(1+Slot13_Rate)^(Slot13_Age-D61))/LW61),0)</f>
        <v>0</v>
      </c>
      <c r="MB61" s="1" t="n">
        <f aca="false">IF(EM61=1,MAX(0,(Slot13_Cost-EN61*(1+Slot13_Rate)^(Slot13_Age-D61))/LW61),0)</f>
        <v>0</v>
      </c>
      <c r="MC61" s="1" t="n">
        <f aca="false">IF(AND(HT61=1,EM61=1),MIN(LV61,MA61),0)</f>
        <v>0</v>
      </c>
      <c r="MD61" s="1" t="n">
        <f aca="false">LV61-MC61</f>
        <v>0</v>
      </c>
      <c r="ME61" s="1" t="n">
        <f aca="false">IF(EW61=1,IF(ABS((1+AS_Wage)/(1+Slot14_Rate)-1)&lt;0.000000000001,(Slot14_Age-D61)*(1+Slot14_Rate)^(Slot14_Age-D61),(1+Slot14_Rate)^(Slot14_Age-D61)*(1-((1+AS_Wage)/(1+Slot14_Rate))^(Slot14_Age-D61))/(1-(1+AS_Wage)/(1+Slot14_Rate))),1)</f>
        <v>1</v>
      </c>
      <c r="MF61" s="1" t="n">
        <f aca="false">IF(AND(HT61=1,ID61&gt;0,Slot14_IsWG=1,EW61=1),MAX(0,(Slot14_Cost-EX61*(1+Slot14_Rate)^(Slot14_Age-D61))/ME61),0)</f>
        <v>0</v>
      </c>
      <c r="MG61" s="1" t="n">
        <f aca="false">IF(AND(HT61=1,ID61&gt;0,Slot14_IsWG=1,EW61=1),MIN(ID61,MF61),0)</f>
        <v>0</v>
      </c>
      <c r="MH61" s="1" t="n">
        <f aca="false">EX61+MG61</f>
        <v>0</v>
      </c>
      <c r="MI61" s="1" t="n">
        <f aca="false">IF(EW61=1,MAX(0,(Slot14_Cost-MH61*(1+Slot14_Rate)^(Slot14_Age-D61))/ME61),0)</f>
        <v>0</v>
      </c>
      <c r="MJ61" s="1" t="n">
        <f aca="false">IF(EW61=1,MAX(0,(Slot14_Cost-EX61*(1+Slot14_Rate)^(Slot14_Age-D61))/ME61),0)</f>
        <v>0</v>
      </c>
      <c r="MK61" s="1" t="n">
        <f aca="false">IF(AND(HT61=1,EW61=1),MIN(MD61,MI61),0)</f>
        <v>0</v>
      </c>
      <c r="ML61" s="1" t="n">
        <f aca="false">MD61-MK61</f>
        <v>0</v>
      </c>
      <c r="MM61" s="1" t="n">
        <f aca="false">IF(FG61=1,IF(ABS((1+AS_Wage)/(1+Slot15_Rate)-1)&lt;0.000000000001,(Slot15_Age-D61)*(1+Slot15_Rate)^(Slot15_Age-D61),(1+Slot15_Rate)^(Slot15_Age-D61)*(1-((1+AS_Wage)/(1+Slot15_Rate))^(Slot15_Age-D61))/(1-(1+AS_Wage)/(1+Slot15_Rate))),1)</f>
        <v>1</v>
      </c>
      <c r="MN61" s="1" t="n">
        <f aca="false">IF(AND(HT61=1,ID61&gt;0,Slot15_IsWG=1,FG61=1),MAX(0,(Slot15_Cost-FH61*(1+Slot15_Rate)^(Slot15_Age-D61))/MM61),0)</f>
        <v>0</v>
      </c>
      <c r="MO61" s="1" t="n">
        <f aca="false">IF(AND(HT61=1,ID61&gt;0,Slot15_IsWG=1,FG61=1),MIN(ID61,MN61),0)</f>
        <v>0</v>
      </c>
      <c r="MP61" s="1" t="n">
        <f aca="false">FH61+MO61</f>
        <v>0</v>
      </c>
      <c r="MQ61" s="1" t="n">
        <f aca="false">IF(FG61=1,MAX(0,(Slot15_Cost-MP61*(1+Slot15_Rate)^(Slot15_Age-D61))/MM61),0)</f>
        <v>0</v>
      </c>
      <c r="MR61" s="1" t="n">
        <f aca="false">IF(FG61=1,MAX(0,(Slot15_Cost-FH61*(1+Slot15_Rate)^(Slot15_Age-D61))/MM61),0)</f>
        <v>0</v>
      </c>
      <c r="MS61" s="1" t="n">
        <f aca="false">IF(AND(HT61=1,FG61=1),MIN(ML61,MQ61),0)</f>
        <v>0</v>
      </c>
      <c r="MT61" s="1" t="n">
        <f aca="false">ML61-MS61</f>
        <v>0</v>
      </c>
      <c r="MU61" s="1" t="n">
        <f aca="false">IF(FQ61=1,IF(ABS((1+AS_Wage)/(1+Slot16_Rate)-1)&lt;0.000000000001,(Slot16_Age-D61)*(1+Slot16_Rate)^(Slot16_Age-D61),(1+Slot16_Rate)^(Slot16_Age-D61)*(1-((1+AS_Wage)/(1+Slot16_Rate))^(Slot16_Age-D61))/(1-(1+AS_Wage)/(1+Slot16_Rate))),1)</f>
        <v>1</v>
      </c>
      <c r="MV61" s="1" t="n">
        <f aca="false">IF(AND(HT61=1,ID61&gt;0,Slot16_IsWG=1,FQ61=1),MAX(0,(Slot16_Cost-FR61*(1+Slot16_Rate)^(Slot16_Age-D61))/MU61),0)</f>
        <v>0</v>
      </c>
      <c r="MW61" s="1" t="n">
        <f aca="false">IF(AND(HT61=1,ID61&gt;0,Slot16_IsWG=1,FQ61=1),MIN(ID61,MV61),0)</f>
        <v>0</v>
      </c>
      <c r="MX61" s="1" t="n">
        <f aca="false">FR61+MW61</f>
        <v>0</v>
      </c>
      <c r="MY61" s="1" t="n">
        <f aca="false">IF(FQ61=1,MAX(0,(Slot16_Cost-MX61*(1+Slot16_Rate)^(Slot16_Age-D61))/MU61),0)</f>
        <v>0</v>
      </c>
      <c r="MZ61" s="1" t="n">
        <f aca="false">IF(FQ61=1,MAX(0,(Slot16_Cost-FR61*(1+Slot16_Rate)^(Slot16_Age-D61))/MU61),0)</f>
        <v>0</v>
      </c>
      <c r="NA61" s="1" t="n">
        <f aca="false">IF(AND(HT61=1,FQ61=1),MIN(MT61,MY61),0)</f>
        <v>0</v>
      </c>
      <c r="NB61" s="1" t="n">
        <f aca="false">MT61-NA61</f>
        <v>0</v>
      </c>
      <c r="NC61" s="1" t="n">
        <f aca="false">IF(GA61=1,IF(ABS((1+AS_Wage)/(1+Slot17_Rate)-1)&lt;0.000000000001,(Slot17_Age-D61)*(1+Slot17_Rate)^(Slot17_Age-D61),(1+Slot17_Rate)^(Slot17_Age-D61)*(1-((1+AS_Wage)/(1+Slot17_Rate))^(Slot17_Age-D61))/(1-(1+AS_Wage)/(1+Slot17_Rate))),1)</f>
        <v>1</v>
      </c>
      <c r="ND61" s="1" t="n">
        <f aca="false">IF(AND(HT61=1,ID61&gt;0,Slot17_IsWG=1,GA61=1),MAX(0,(Slot17_Cost-GB61*(1+Slot17_Rate)^(Slot17_Age-D61))/NC61),0)</f>
        <v>0</v>
      </c>
      <c r="NE61" s="1" t="n">
        <f aca="false">IF(AND(HT61=1,ID61&gt;0,Slot17_IsWG=1,GA61=1),MIN(ID61,ND61),0)</f>
        <v>0</v>
      </c>
      <c r="NF61" s="1" t="n">
        <f aca="false">GB61+NE61</f>
        <v>0</v>
      </c>
      <c r="NG61" s="1" t="n">
        <f aca="false">IF(GA61=1,MAX(0,(Slot17_Cost-NF61*(1+Slot17_Rate)^(Slot17_Age-D61))/NC61),0)</f>
        <v>0</v>
      </c>
      <c r="NH61" s="1" t="n">
        <f aca="false">IF(GA61=1,MAX(0,(Slot17_Cost-GB61*(1+Slot17_Rate)^(Slot17_Age-D61))/NC61),0)</f>
        <v>0</v>
      </c>
      <c r="NI61" s="1" t="n">
        <f aca="false">IF(AND(HT61=1,GA61=1),MIN(NB61,NG61),0)</f>
        <v>0</v>
      </c>
      <c r="NJ61" s="1" t="n">
        <f aca="false">NB61-NI61</f>
        <v>0</v>
      </c>
      <c r="NK61" s="1" t="n">
        <f aca="false">IF(GK61=1,IF(ABS((1+AS_Wage)/(1+Slot18_Rate)-1)&lt;0.000000000001,(Slot18_Age-D61)*(1+Slot18_Rate)^(Slot18_Age-D61),(1+Slot18_Rate)^(Slot18_Age-D61)*(1-((1+AS_Wage)/(1+Slot18_Rate))^(Slot18_Age-D61))/(1-(1+AS_Wage)/(1+Slot18_Rate))),1)</f>
        <v>1</v>
      </c>
      <c r="NL61" s="1" t="n">
        <f aca="false">IF(AND(HT61=1,ID61&gt;0,Slot18_IsWG=1,GK61=1),MAX(0,(Slot18_Cost-GL61*(1+Slot18_Rate)^(Slot18_Age-D61))/NK61),0)</f>
        <v>0</v>
      </c>
      <c r="NM61" s="1" t="n">
        <f aca="false">IF(AND(HT61=1,ID61&gt;0,Slot18_IsWG=1,GK61=1),MIN(ID61,NL61),0)</f>
        <v>0</v>
      </c>
      <c r="NN61" s="1" t="n">
        <f aca="false">GL61+NM61</f>
        <v>0</v>
      </c>
      <c r="NO61" s="1" t="n">
        <f aca="false">IF(GK61=1,MAX(0,(Slot18_Cost-NN61*(1+Slot18_Rate)^(Slot18_Age-D61))/NK61),0)</f>
        <v>0</v>
      </c>
      <c r="NP61" s="1" t="n">
        <f aca="false">IF(GK61=1,MAX(0,(Slot18_Cost-GL61*(1+Slot18_Rate)^(Slot18_Age-D61))/NK61),0)</f>
        <v>0</v>
      </c>
      <c r="NQ61" s="1" t="n">
        <f aca="false">IF(AND(HT61=1,GK61=1),MIN(NJ61,NO61),0)</f>
        <v>0</v>
      </c>
      <c r="NR61" s="1" t="n">
        <f aca="false">NJ61-NQ61</f>
        <v>0</v>
      </c>
      <c r="NS61" s="1" t="n">
        <f aca="false">IF(GU61=1,IF(ABS((1+AS_Wage)/(1+Slot19_Rate)-1)&lt;0.000000000001,(Slot19_Age-D61)*(1+Slot19_Rate)^(Slot19_Age-D61),(1+Slot19_Rate)^(Slot19_Age-D61)*(1-((1+AS_Wage)/(1+Slot19_Rate))^(Slot19_Age-D61))/(1-(1+AS_Wage)/(1+Slot19_Rate))),1)</f>
        <v>1</v>
      </c>
      <c r="NT61" s="1" t="n">
        <f aca="false">IF(AND(HT61=1,ID61&gt;0,Slot19_IsWG=1,GU61=1),MAX(0,(Slot19_Cost-GV61*(1+Slot19_Rate)^(Slot19_Age-D61))/NS61),0)</f>
        <v>0</v>
      </c>
      <c r="NU61" s="1" t="n">
        <f aca="false">IF(AND(HT61=1,ID61&gt;0,Slot19_IsWG=1,GU61=1),MIN(ID61,NT61),0)</f>
        <v>0</v>
      </c>
      <c r="NV61" s="1" t="n">
        <f aca="false">GV61+NU61</f>
        <v>0</v>
      </c>
      <c r="NW61" s="1" t="n">
        <f aca="false">IF(GU61=1,MAX(0,(Slot19_Cost-NV61*(1+Slot19_Rate)^(Slot19_Age-D61))/NS61),0)</f>
        <v>0</v>
      </c>
      <c r="NX61" s="1" t="n">
        <f aca="false">IF(GU61=1,MAX(0,(Slot19_Cost-GV61*(1+Slot19_Rate)^(Slot19_Age-D61))/NS61),0)</f>
        <v>0</v>
      </c>
      <c r="NY61" s="1" t="n">
        <f aca="false">IF(AND(HT61=1,GU61=1),MIN(NR61,NW61),0)</f>
        <v>0</v>
      </c>
      <c r="NZ61" s="1" t="n">
        <f aca="false">NR61-NY61</f>
        <v>0</v>
      </c>
      <c r="OA61" s="1" t="n">
        <f aca="false">IF(HE61=1,IF(ABS((1+AS_Wage)/(1+Slot20_Rate)-1)&lt;0.000000000001,(Slot20_Age-D61)*(1+Slot20_Rate)^(Slot20_Age-D61),(1+Slot20_Rate)^(Slot20_Age-D61)*(1-((1+AS_Wage)/(1+Slot20_Rate))^(Slot20_Age-D61))/(1-(1+AS_Wage)/(1+Slot20_Rate))),1)</f>
        <v>1</v>
      </c>
      <c r="OB61" s="1" t="n">
        <f aca="false">IF(AND(HT61=1,ID61&gt;0,Slot20_IsWG=1,HE61=1),MAX(0,(Slot20_Cost-HF61*(1+Slot20_Rate)^(Slot20_Age-D61))/OA61),0)</f>
        <v>0</v>
      </c>
      <c r="OC61" s="1" t="n">
        <f aca="false">IF(AND(HT61=1,ID61&gt;0,Slot20_IsWG=1,HE61=1),MIN(ID61,OB61),0)</f>
        <v>0</v>
      </c>
      <c r="OD61" s="1" t="n">
        <f aca="false">HF61+OC61</f>
        <v>0</v>
      </c>
      <c r="OE61" s="1" t="n">
        <f aca="false">IF(HE61=1,MAX(0,(Slot20_Cost-OD61*(1+Slot20_Rate)^(Slot20_Age-D61))/OA61),0)</f>
        <v>0</v>
      </c>
      <c r="OF61" s="1" t="n">
        <f aca="false">IF(HE61=1,MAX(0,(Slot20_Cost-HF61*(1+Slot20_Rate)^(Slot20_Age-D61))/OA61),0)</f>
        <v>0</v>
      </c>
      <c r="OG61" s="1" t="n">
        <f aca="false">IF(AND(HT61=1,HE61=1),MIN(NZ61,OE61),0)</f>
        <v>0</v>
      </c>
      <c r="OH61" s="1" t="n">
        <f aca="false">NZ61-OG61</f>
        <v>0</v>
      </c>
      <c r="OI61" s="1" t="n">
        <f aca="false">ID61-(IG61+IO61+IW61+JE61+JM61+JU61+KC61+KK61+KS61+LA61+LI61+LQ61+LY61+MG61+MO61+MW61+NE61+NM61+NU61+OC61)</f>
        <v>0</v>
      </c>
      <c r="OJ61" s="1" t="n">
        <f aca="false">IF(HT61=1,HR61-IC61-ID61,0)</f>
        <v>0</v>
      </c>
      <c r="OK61" s="1" t="n">
        <f aca="false">IF(HT61=0,-HR61,0)</f>
        <v>0</v>
      </c>
      <c r="OL61" s="1" t="n">
        <f aca="false">MIN(OK61,HJ61)</f>
        <v>0</v>
      </c>
      <c r="OM61" s="1" t="n">
        <f aca="false">OK61-OL61</f>
        <v>0</v>
      </c>
      <c r="ON61" s="1" t="n">
        <f aca="false">MIN(OM61,HK61)</f>
        <v>0</v>
      </c>
      <c r="OO61" s="1" t="n">
        <f aca="false">OM61-ON61</f>
        <v>0</v>
      </c>
      <c r="OP61" s="1" t="n">
        <f aca="false">IF(AND(HT61=0,HE61=1,OO61&gt;0),MIN(OO61,HF61),0)</f>
        <v>0</v>
      </c>
      <c r="OQ61" s="1" t="n">
        <f aca="false">OO61-OP61</f>
        <v>0</v>
      </c>
      <c r="OR61" s="1" t="n">
        <f aca="false">IF(AND(HT61=0,GU61=1,OQ61&gt;0),MIN(OQ61,GV61),0)</f>
        <v>0</v>
      </c>
      <c r="OS61" s="1" t="n">
        <f aca="false">OQ61-OR61</f>
        <v>0</v>
      </c>
      <c r="OT61" s="1" t="n">
        <f aca="false">IF(AND(HT61=0,GK61=1,OS61&gt;0),MIN(OS61,GL61),0)</f>
        <v>0</v>
      </c>
      <c r="OU61" s="1" t="n">
        <f aca="false">OS61-OT61</f>
        <v>0</v>
      </c>
      <c r="OV61" s="1" t="n">
        <f aca="false">IF(AND(HT61=0,GA61=1,OU61&gt;0),MIN(OU61,GB61),0)</f>
        <v>0</v>
      </c>
      <c r="OW61" s="1" t="n">
        <f aca="false">OU61-OV61</f>
        <v>0</v>
      </c>
      <c r="OX61" s="1" t="n">
        <f aca="false">IF(AND(HT61=0,FQ61=1,OW61&gt;0),MIN(OW61,FR61),0)</f>
        <v>0</v>
      </c>
      <c r="OY61" s="1" t="n">
        <f aca="false">OW61-OX61</f>
        <v>0</v>
      </c>
      <c r="OZ61" s="1" t="n">
        <f aca="false">IF(AND(HT61=0,FG61=1,OY61&gt;0),MIN(OY61,FH61),0)</f>
        <v>0</v>
      </c>
      <c r="PA61" s="1" t="n">
        <f aca="false">OY61-OZ61</f>
        <v>0</v>
      </c>
      <c r="PB61" s="1" t="n">
        <f aca="false">IF(AND(HT61=0,EW61=1,PA61&gt;0),MIN(PA61,EX61),0)</f>
        <v>0</v>
      </c>
      <c r="PC61" s="1" t="n">
        <f aca="false">PA61-PB61</f>
        <v>0</v>
      </c>
      <c r="PD61" s="1" t="n">
        <f aca="false">IF(AND(HT61=0,EM61=1,PC61&gt;0),MIN(PC61,EN61),0)</f>
        <v>0</v>
      </c>
      <c r="PE61" s="1" t="n">
        <f aca="false">PC61-PD61</f>
        <v>0</v>
      </c>
      <c r="PF61" s="1" t="n">
        <f aca="false">IF(AND(HT61=0,EC61=1,PE61&gt;0),MIN(PE61,ED61),0)</f>
        <v>0</v>
      </c>
      <c r="PG61" s="1" t="n">
        <f aca="false">PE61-PF61</f>
        <v>0</v>
      </c>
      <c r="PH61" s="1" t="n">
        <f aca="false">IF(AND(HT61=0,DS61=1,PG61&gt;0),MIN(PG61,DT61),0)</f>
        <v>0</v>
      </c>
      <c r="PI61" s="1" t="n">
        <f aca="false">PG61-PH61</f>
        <v>0</v>
      </c>
      <c r="PJ61" s="1" t="n">
        <f aca="false">IF(AND(HT61=0,DI61=1,PI61&gt;0),MIN(PI61,DJ61),0)</f>
        <v>0</v>
      </c>
      <c r="PK61" s="1" t="n">
        <f aca="false">PI61-PJ61</f>
        <v>0</v>
      </c>
      <c r="PL61" s="1" t="n">
        <f aca="false">IF(AND(HT61=0,CY61=1,PK61&gt;0),MIN(PK61,CZ61),0)</f>
        <v>0</v>
      </c>
      <c r="PM61" s="1" t="n">
        <f aca="false">PK61-PL61</f>
        <v>0</v>
      </c>
      <c r="PN61" s="1" t="n">
        <f aca="false">IF(AND(HT61=0,CO61=1,PM61&gt;0),MIN(PM61,CP61),0)</f>
        <v>0</v>
      </c>
      <c r="PO61" s="1" t="n">
        <f aca="false">PM61-PN61</f>
        <v>0</v>
      </c>
      <c r="PP61" s="1" t="n">
        <f aca="false">IF(AND(HT61=0,CE61=1,PO61&gt;0),MIN(PO61,CF61),0)</f>
        <v>0</v>
      </c>
      <c r="PQ61" s="1" t="n">
        <f aca="false">PO61-PP61</f>
        <v>0</v>
      </c>
      <c r="PR61" s="1" t="n">
        <f aca="false">IF(AND(HT61=0,BU61=1,PQ61&gt;0),MIN(PQ61,BV61),0)</f>
        <v>0</v>
      </c>
      <c r="PS61" s="1" t="n">
        <f aca="false">PQ61-PR61</f>
        <v>0</v>
      </c>
      <c r="PT61" s="1" t="n">
        <f aca="false">IF(AND(HT61=0,BK61=1,PS61&gt;0),MIN(PS61,BL61),0)</f>
        <v>0</v>
      </c>
      <c r="PU61" s="1" t="n">
        <f aca="false">PS61-PT61</f>
        <v>0</v>
      </c>
      <c r="PV61" s="1" t="n">
        <f aca="false">IF(AND(HT61=0,BA61=1,PU61&gt;0),MIN(PU61,BB61),0)</f>
        <v>0</v>
      </c>
      <c r="PW61" s="1" t="n">
        <f aca="false">PU61-PV61</f>
        <v>0</v>
      </c>
      <c r="PX61" s="1" t="n">
        <f aca="false">IF(AND(HT61=0,AQ61=1,PW61&gt;0),MIN(PW61,AR61),0)</f>
        <v>0</v>
      </c>
      <c r="PY61" s="1" t="n">
        <f aca="false">PW61-PX61</f>
        <v>0</v>
      </c>
      <c r="PZ61" s="1" t="n">
        <f aca="false">IF(AND(HT61=0,AG61=1,PY61&gt;0),MIN(PY61,AH61),0)</f>
        <v>0</v>
      </c>
      <c r="QA61" s="1" t="n">
        <f aca="false">PY61-PZ61</f>
        <v>0</v>
      </c>
      <c r="QB61" s="1" t="n">
        <f aca="false">IF(AND(HT61=0,V61=1,QA61&gt;0),MIN(QA61,W61),0)</f>
        <v>0</v>
      </c>
      <c r="QC61" s="1" t="n">
        <f aca="false">QA61-QB61</f>
        <v>0</v>
      </c>
      <c r="QD61" s="1" t="n">
        <f aca="false">IF(HT61=0,QC61,0)</f>
        <v>0</v>
      </c>
      <c r="QE61" s="1" t="n">
        <f aca="false">OL61+ON61+QB61+PZ61+PX61+PV61+PT61+PR61+PP61+PN61+PL61+PJ61+PH61+PF61+PD61+PB61+OZ61+OX61+OV61+OT61+OR61+OP61</f>
        <v>0</v>
      </c>
      <c r="QF61" s="1" t="n">
        <f aca="false">IF(HT61=1,HJ61+OI61+OH61+IF(F61=1,0,OJ61),HJ61-OL61)</f>
        <v>0</v>
      </c>
      <c r="QG61" s="1" t="n">
        <f aca="false">HK61-ON61</f>
        <v>0</v>
      </c>
      <c r="QH61" s="1" t="n">
        <f aca="false">IF(HT61=1,IF(F61=1,IC61+ID61,HR61),0)</f>
        <v>0</v>
      </c>
      <c r="QI61" s="1" t="n">
        <f aca="false">IF(HT61=1,IF(F61=1,HR61-IC61-ID61,0),0)</f>
        <v>0</v>
      </c>
      <c r="QJ61" s="1" t="n">
        <f aca="false">QF61*(1+GR)</f>
        <v>0</v>
      </c>
      <c r="QK61" s="1" t="n">
        <f aca="false">QG61*(1+AS_Cash)</f>
        <v>0</v>
      </c>
      <c r="QL61" s="1" t="n">
        <f aca="false">IF(V61=1,IF(HT61=1,IH61+IK61,W61-QB61)*(1+Slot1_Rate),0)</f>
        <v>0</v>
      </c>
      <c r="QM61" s="1" t="n">
        <f aca="false">IF(AND(HT61=1,V61=1),(IG61+IK61)/E61,0)</f>
        <v>0</v>
      </c>
      <c r="QN61" s="1" t="n">
        <f aca="false">IF(B61=0,IG61+IK61,0)</f>
        <v>0</v>
      </c>
      <c r="QO61" s="1" t="n">
        <f aca="false">IF(B61=0,IF(HT61=1,II61,IJ61),0)</f>
        <v>0</v>
      </c>
      <c r="QP61" s="1" t="n">
        <f aca="false">IF(AG61=1,IF(HT61=1,IP61+IS61,AH61-PZ61)*(1+Slot2_Rate),0)</f>
        <v>0</v>
      </c>
      <c r="QQ61" s="1" t="n">
        <f aca="false">IF(AND(HT61=1,AG61=1),(IO61+IS61)/E61,0)</f>
        <v>0</v>
      </c>
      <c r="QR61" s="1" t="n">
        <f aca="false">IF(B61=0,IO61+IS61,0)</f>
        <v>0</v>
      </c>
      <c r="QS61" s="1" t="n">
        <f aca="false">IF(B61=0,IF(HT61=1,IQ61,IR61),0)</f>
        <v>0</v>
      </c>
      <c r="QT61" s="1" t="n">
        <f aca="false">IF(AQ61=1,IF(HT61=1,IX61+JA61,AR61-PX61)*(1+Slot3_Rate),0)</f>
        <v>0</v>
      </c>
      <c r="QU61" s="1" t="n">
        <f aca="false">IF(AND(HT61=1,AQ61=1),(IW61+JA61)/E61,0)</f>
        <v>0</v>
      </c>
      <c r="QV61" s="1" t="n">
        <f aca="false">IF(B61=0,IW61+JA61,0)</f>
        <v>0</v>
      </c>
      <c r="QW61" s="1" t="n">
        <f aca="false">IF(B61=0,IF(HT61=1,IY61,IZ61),0)</f>
        <v>0</v>
      </c>
      <c r="QX61" s="1" t="n">
        <f aca="false">IF(BA61=1,IF(HT61=1,JF61+JI61,BB61-PV61)*(1+Slot4_Rate),0)</f>
        <v>0</v>
      </c>
      <c r="QY61" s="1" t="n">
        <f aca="false">IF(AND(HT61=1,BA61=1),(JE61+JI61)/E61,0)</f>
        <v>0</v>
      </c>
      <c r="QZ61" s="1" t="n">
        <f aca="false">IF(B61=0,JE61+JI61,0)</f>
        <v>0</v>
      </c>
      <c r="RA61" s="1" t="n">
        <f aca="false">IF(B61=0,IF(HT61=1,JG61,JH61),0)</f>
        <v>0</v>
      </c>
      <c r="RB61" s="1" t="n">
        <f aca="false">IF(BK61=1,IF(HT61=1,JN61+JQ61,BL61-PT61)*(1+Slot5_Rate),0)</f>
        <v>0</v>
      </c>
      <c r="RC61" s="1" t="n">
        <f aca="false">IF(AND(HT61=1,BK61=1),(JM61+JQ61)/E61,0)</f>
        <v>0</v>
      </c>
      <c r="RD61" s="1" t="n">
        <f aca="false">IF(B61=0,JM61+JQ61,0)</f>
        <v>0</v>
      </c>
      <c r="RE61" s="1" t="n">
        <f aca="false">IF(B61=0,IF(HT61=1,JO61,JP61),0)</f>
        <v>0</v>
      </c>
      <c r="RF61" s="1" t="n">
        <f aca="false">IF(BU61=1,IF(HT61=1,JV61+JY61,BV61-PR61)*(1+Slot6_Rate),0)</f>
        <v>0</v>
      </c>
      <c r="RG61" s="1" t="n">
        <f aca="false">IF(AND(HT61=1,BU61=1),(JU61+JY61)/E61,0)</f>
        <v>0</v>
      </c>
      <c r="RH61" s="1" t="n">
        <f aca="false">IF(B61=0,JU61+JY61,0)</f>
        <v>0</v>
      </c>
      <c r="RI61" s="1" t="n">
        <f aca="false">IF(B61=0,IF(HT61=1,JW61,JX61),0)</f>
        <v>0</v>
      </c>
      <c r="RJ61" s="1" t="n">
        <f aca="false">IF(CE61=1,IF(HT61=1,KD61+KG61,CF61-PP61)*(1+Slot7_Rate),0)</f>
        <v>0</v>
      </c>
      <c r="RK61" s="1" t="n">
        <f aca="false">IF(AND(HT61=1,CE61=1),(KC61+KG61)/E61,0)</f>
        <v>0</v>
      </c>
      <c r="RL61" s="1" t="n">
        <f aca="false">IF(B61=0,KC61+KG61,0)</f>
        <v>0</v>
      </c>
      <c r="RM61" s="1" t="n">
        <f aca="false">IF(B61=0,IF(HT61=1,KE61,KF61),0)</f>
        <v>0</v>
      </c>
      <c r="RN61" s="1" t="n">
        <f aca="false">IF(CO61=1,IF(HT61=1,KL61+KO61,CP61-PN61)*(1+Slot8_Rate),0)</f>
        <v>0</v>
      </c>
      <c r="RO61" s="1" t="n">
        <f aca="false">IF(AND(HT61=1,CO61=1),(KK61+KO61)/E61,0)</f>
        <v>0</v>
      </c>
      <c r="RP61" s="1" t="n">
        <f aca="false">IF(B61=0,KK61+KO61,0)</f>
        <v>0</v>
      </c>
      <c r="RQ61" s="1" t="n">
        <f aca="false">IF(B61=0,IF(HT61=1,KM61,KN61),0)</f>
        <v>0</v>
      </c>
      <c r="RR61" s="1" t="n">
        <f aca="false">IF(CY61=1,IF(HT61=1,KT61+KW61,CZ61-PL61)*(1+Slot9_Rate),0)</f>
        <v>0</v>
      </c>
      <c r="RS61" s="1" t="n">
        <f aca="false">IF(AND(HT61=1,CY61=1),(KS61+KW61)/E61,0)</f>
        <v>0</v>
      </c>
      <c r="RT61" s="1" t="n">
        <f aca="false">IF(B61=0,KS61+KW61,0)</f>
        <v>0</v>
      </c>
      <c r="RU61" s="1" t="n">
        <f aca="false">IF(B61=0,IF(HT61=1,KU61,KV61),0)</f>
        <v>0</v>
      </c>
      <c r="RV61" s="1" t="n">
        <f aca="false">IF(DI61=1,IF(HT61=1,LB61+LE61,DJ61-PJ61)*(1+Slot10_Rate),0)</f>
        <v>0</v>
      </c>
      <c r="RW61" s="1" t="n">
        <f aca="false">IF(AND(HT61=1,DI61=1),(LA61+LE61)/E61,0)</f>
        <v>0</v>
      </c>
      <c r="RX61" s="1" t="n">
        <f aca="false">IF(B61=0,LA61+LE61,0)</f>
        <v>0</v>
      </c>
      <c r="RY61" s="1" t="n">
        <f aca="false">IF(B61=0,IF(HT61=1,LC61,LD61),0)</f>
        <v>0</v>
      </c>
      <c r="RZ61" s="1" t="n">
        <f aca="false">IF(DS61=1,IF(HT61=1,LJ61+LM61,DT61-PH61)*(1+Slot11_Rate),0)</f>
        <v>0</v>
      </c>
      <c r="SA61" s="1" t="n">
        <f aca="false">IF(AND(HT61=1,DS61=1),(LI61+LM61)/E61,0)</f>
        <v>0</v>
      </c>
      <c r="SB61" s="1" t="n">
        <f aca="false">IF(B61=0,LI61+LM61,0)</f>
        <v>0</v>
      </c>
      <c r="SC61" s="1" t="n">
        <f aca="false">IF(B61=0,IF(HT61=1,LK61,LL61),0)</f>
        <v>0</v>
      </c>
      <c r="SD61" s="1" t="n">
        <f aca="false">IF(EC61=1,IF(HT61=1,LR61+LU61,ED61-PF61)*(1+Slot12_Rate),0)</f>
        <v>0</v>
      </c>
      <c r="SE61" s="1" t="n">
        <f aca="false">IF(AND(HT61=1,EC61=1),(LQ61+LU61)/E61,0)</f>
        <v>0</v>
      </c>
      <c r="SF61" s="1" t="n">
        <f aca="false">IF(B61=0,LQ61+LU61,0)</f>
        <v>0</v>
      </c>
      <c r="SG61" s="1" t="n">
        <f aca="false">IF(B61=0,IF(HT61=1,LS61,LT61),0)</f>
        <v>0</v>
      </c>
      <c r="SH61" s="1" t="n">
        <f aca="false">IF(EM61=1,IF(HT61=1,LZ61+MC61,EN61-PD61)*(1+Slot13_Rate),0)</f>
        <v>0</v>
      </c>
      <c r="SI61" s="1" t="n">
        <f aca="false">IF(AND(HT61=1,EM61=1),(LY61+MC61)/E61,0)</f>
        <v>0</v>
      </c>
      <c r="SJ61" s="1" t="n">
        <f aca="false">IF(B61=0,LY61+MC61,0)</f>
        <v>0</v>
      </c>
      <c r="SK61" s="1" t="n">
        <f aca="false">IF(B61=0,IF(HT61=1,MA61,MB61),0)</f>
        <v>0</v>
      </c>
      <c r="SL61" s="1" t="n">
        <f aca="false">IF(EW61=1,IF(HT61=1,MH61+MK61,EX61-PB61)*(1+Slot14_Rate),0)</f>
        <v>0</v>
      </c>
      <c r="SM61" s="1" t="n">
        <f aca="false">IF(AND(HT61=1,EW61=1),(MG61+MK61)/E61,0)</f>
        <v>0</v>
      </c>
      <c r="SN61" s="1" t="n">
        <f aca="false">IF(B61=0,MG61+MK61,0)</f>
        <v>0</v>
      </c>
      <c r="SO61" s="1" t="n">
        <f aca="false">IF(B61=0,IF(HT61=1,MI61,MJ61),0)</f>
        <v>0</v>
      </c>
      <c r="SP61" s="1" t="n">
        <f aca="false">IF(FG61=1,IF(HT61=1,MP61+MS61,FH61-OZ61)*(1+Slot15_Rate),0)</f>
        <v>0</v>
      </c>
      <c r="SQ61" s="1" t="n">
        <f aca="false">IF(AND(HT61=1,FG61=1),(MO61+MS61)/E61,0)</f>
        <v>0</v>
      </c>
      <c r="SR61" s="1" t="n">
        <f aca="false">IF(B61=0,MO61+MS61,0)</f>
        <v>0</v>
      </c>
      <c r="SS61" s="1" t="n">
        <f aca="false">IF(B61=0,IF(HT61=1,MQ61,MR61),0)</f>
        <v>0</v>
      </c>
      <c r="ST61" s="1" t="n">
        <f aca="false">IF(FQ61=1,IF(HT61=1,MX61+NA61,FR61-OX61)*(1+Slot16_Rate),0)</f>
        <v>0</v>
      </c>
      <c r="SU61" s="1" t="n">
        <f aca="false">IF(AND(HT61=1,FQ61=1),(MW61+NA61)/E61,0)</f>
        <v>0</v>
      </c>
      <c r="SV61" s="1" t="n">
        <f aca="false">IF(B61=0,MW61+NA61,0)</f>
        <v>0</v>
      </c>
      <c r="SW61" s="1" t="n">
        <f aca="false">IF(B61=0,IF(HT61=1,MY61,MZ61),0)</f>
        <v>0</v>
      </c>
      <c r="SX61" s="1" t="n">
        <f aca="false">IF(GA61=1,IF(HT61=1,NF61+NI61,GB61-OV61)*(1+Slot17_Rate),0)</f>
        <v>0</v>
      </c>
      <c r="SY61" s="1" t="n">
        <f aca="false">IF(AND(HT61=1,GA61=1),(NE61+NI61)/E61,0)</f>
        <v>0</v>
      </c>
      <c r="SZ61" s="1" t="n">
        <f aca="false">IF(B61=0,NE61+NI61,0)</f>
        <v>0</v>
      </c>
      <c r="TA61" s="1" t="n">
        <f aca="false">IF(B61=0,IF(HT61=1,NG61,NH61),0)</f>
        <v>0</v>
      </c>
      <c r="TB61" s="1" t="n">
        <f aca="false">IF(GK61=1,IF(HT61=1,NN61+NQ61,GL61-OT61)*(1+Slot18_Rate),0)</f>
        <v>0</v>
      </c>
      <c r="TC61" s="1" t="n">
        <f aca="false">IF(AND(HT61=1,GK61=1),(NM61+NQ61)/E61,0)</f>
        <v>0</v>
      </c>
      <c r="TD61" s="1" t="n">
        <f aca="false">IF(B61=0,NM61+NQ61,0)</f>
        <v>0</v>
      </c>
      <c r="TE61" s="1" t="n">
        <f aca="false">IF(B61=0,IF(HT61=1,NO61,NP61),0)</f>
        <v>0</v>
      </c>
      <c r="TF61" s="1" t="n">
        <f aca="false">IF(GU61=1,IF(HT61=1,NV61+NY61,GV61-OR61)*(1+Slot19_Rate),0)</f>
        <v>0</v>
      </c>
      <c r="TG61" s="1" t="n">
        <f aca="false">IF(AND(HT61=1,GU61=1),(NU61+NY61)/E61,0)</f>
        <v>0</v>
      </c>
      <c r="TH61" s="1" t="n">
        <f aca="false">IF(B61=0,NU61+NY61,0)</f>
        <v>0</v>
      </c>
      <c r="TI61" s="1" t="n">
        <f aca="false">IF(B61=0,IF(HT61=1,NW61,NX61),0)</f>
        <v>0</v>
      </c>
      <c r="TJ61" s="1" t="n">
        <f aca="false">IF(HE61=1,IF(HT61=1,OD61+OG61,HF61-OP61)*(1+Slot20_Rate),0)</f>
        <v>0</v>
      </c>
      <c r="TK61" s="1" t="n">
        <f aca="false">IF(AND(HT61=1,HE61=1),(OC61+OG61)/E61,0)</f>
        <v>0</v>
      </c>
      <c r="TL61" s="1" t="n">
        <f aca="false">IF(B61=0,OC61+OG61,0)</f>
        <v>0</v>
      </c>
      <c r="TM61" s="1" t="n">
        <f aca="false">IF(B61=0,IF(HT61=1,OE61,OF61),0)</f>
        <v>0</v>
      </c>
      <c r="TN61" s="1" t="n">
        <f aca="false">QJ61+QK61+QL61+QP61+QT61+QX61+RB61+RF61+RJ61+RN61+RR61+RV61+RZ61+SD61+SH61+SL61+SP61+ST61+SX61+TB61+TF61+TJ61</f>
        <v>0</v>
      </c>
      <c r="TO61" s="1" t="n">
        <f aca="false">QD61+HO61</f>
        <v>0</v>
      </c>
      <c r="TP61" s="1" t="n">
        <f aca="false">H61+R61</f>
        <v>0</v>
      </c>
      <c r="TQ61" s="1" t="n">
        <f aca="false">1-F61</f>
        <v>0</v>
      </c>
      <c r="TR61" s="1" t="n">
        <f aca="false">IF(AND(RG_Exists=1,F61=0,C61=1),H61,0)</f>
        <v>0</v>
      </c>
      <c r="TS61" s="1" t="n">
        <f aca="false">IF(AND(RG_Exists=1,F61=0,C61=1),H61-MIN(QD61,H61),0)</f>
        <v>0</v>
      </c>
      <c r="TT61" s="1" t="n">
        <f aca="false">'Plan pay &amp; tax'!AD287</f>
        <v>0</v>
      </c>
      <c r="TU61" s="1" t="n">
        <f aca="false">IF(AND(C61=1,QD61&gt;MAX(PR_Short1,TP61*PR_Short2)),1,0)</f>
        <v>0</v>
      </c>
      <c r="TV61" s="1" t="n">
        <f aca="false">MIN(G61,H61+R61)</f>
        <v>0</v>
      </c>
      <c r="TW61" s="1" t="n">
        <f aca="false">QE61+MAX(0,HP61-HO61)</f>
        <v>0</v>
      </c>
      <c r="TX61" s="1" t="n">
        <f aca="false">QD61+HO61</f>
        <v>0</v>
      </c>
      <c r="TY61" s="1" t="n">
        <f aca="false">IF(AND(C61=1,TX61&gt;PR_MinShort),1,0)</f>
        <v>0</v>
      </c>
      <c r="TZ61" s="1" t="n">
        <f aca="false">IF(AND(C61=1,TY61=0,TW61&gt;PR_MinShort),1,0)</f>
        <v>0</v>
      </c>
      <c r="UA61" s="1" t="n">
        <f aca="false">IF(AND(C61=1,QD61&gt;PR_MinShort),1,0)</f>
        <v>0</v>
      </c>
      <c r="UB61" s="1" t="n">
        <f aca="false">IF(AND(C61=1,QE61&gt;1,UI61=0),1,0)</f>
        <v>0</v>
      </c>
      <c r="UC61" s="1" t="str">
        <f aca="false">IF(C61=0,"",IF(UI61=1,"Gap to plan for: short "&amp;"€"&amp;TEXT(ROUND(TO61,0),"#,##0"),IF(QE61&gt;1,"Using savings","Comfortable")))</f>
        <v>Comfortable</v>
      </c>
      <c r="UD61" s="1" t="n">
        <f aca="false">IF(AND(INT(D61/10)*10=90,B61&gt;0),80,INT(D61/10)*10)</f>
        <v>50</v>
      </c>
      <c r="UE61" s="1" t="n">
        <f aca="false">IF(B61=0,1,IF(UD61&lt;&gt;UD60,UE60+1,UE60))</f>
        <v>6</v>
      </c>
      <c r="UF61" s="1" t="n">
        <f aca="false">IF(AND(C61=1,F61=1,QD61&gt;MAX(PR_Short1,TP61*PR_Short2)),1,0)</f>
        <v>0</v>
      </c>
      <c r="UG61" s="1" t="n">
        <f aca="false">TQ61*TU61</f>
        <v>0</v>
      </c>
      <c r="UH61" s="1" t="n">
        <f aca="false">IF(AND(U61=1,Slot1_PctLow=1),1,0)+IF(AND(AF61=1,Slot2_PctLow=1),1,0)+IF(AND(AP61=1,Slot3_PctLow=1),1,0)+IF(AND(AZ61=1,Slot4_PctLow=1),1,0)+IF(AND(BJ61=1,Slot5_PctLow=1),1,0)+IF(AND(BT61=1,Slot6_PctLow=1),1,0)+IF(AND(CD61=1,Slot7_PctLow=1),1,0)+IF(AND(CN61=1,Slot8_PctLow=1),1,0)+IF(AND(CX61=1,Slot9_PctLow=1),1,0)+IF(AND(DH61=1,Slot10_PctLow=1),1,0)+IF(AND(DR61=1,Slot11_PctLow=1),1,0)+IF(AND(EB61=1,Slot12_PctLow=1),1,0)+IF(AND(EL61=1,Slot13_PctLow=1),1,0)+IF(AND(EV61=1,Slot14_PctLow=1),1,0)+IF(AND(FF61=1,Slot15_PctLow=1),1,0)+IF(AND(FP61=1,Slot16_PctLow=1),1,0)+IF(AND(FZ61=1,Slot17_PctLow=1),1,0)+IF(AND(GJ61=1,Slot18_PctLow=1),1,0)+IF(AND(GT61=1,Slot19_PctLow=1),1,0)+IF(AND(HD61=1,Slot20_PctLow=1),1,0)</f>
        <v>0</v>
      </c>
      <c r="UI61" s="1" t="n">
        <f aca="false">IF(C61=1,IF(OR(TU61=1,UH61&gt;0),1,0),0)</f>
        <v>0</v>
      </c>
    </row>
    <row r="62" customFormat="false" ht="15" hidden="false" customHeight="true" outlineLevel="0" collapsed="false">
      <c r="B62" s="1" t="n">
        <v>54</v>
      </c>
      <c r="C62" s="1" t="n">
        <f aca="false">IF(B62&lt;=F_N,1,0)</f>
        <v>1</v>
      </c>
      <c r="D62" s="1" t="n">
        <f aca="false">'Plan pay &amp; tax'!C288</f>
        <v>54</v>
      </c>
      <c r="E62" s="111" t="n">
        <f aca="false">'Plan pay &amp; tax'!E288</f>
        <v>2.91346144414029</v>
      </c>
      <c r="F62" s="1" t="n">
        <f aca="false">'Plan pay &amp; tax'!G288</f>
        <v>1</v>
      </c>
      <c r="G62" s="1" t="n">
        <f aca="false">'Plan pay &amp; tax'!BT288-'Plan pay &amp; tax'!BS288-'Plan pay &amp; tax'!R288</f>
        <v>0</v>
      </c>
      <c r="H62" s="1" t="n">
        <f aca="false">IF(F62=1,F_CostsM*12,IF(RG_Exists=1,RG_Amount,F_CostsM*12*AS_RetireSpend))*E62+F_OneOffY*E62</f>
        <v>0</v>
      </c>
      <c r="I62" s="1" t="n">
        <f aca="false">HQ61</f>
        <v>0</v>
      </c>
      <c r="J62" s="1" t="n">
        <f aca="false">IF(I62&gt;1,'Plan debt months'!AC62,0)</f>
        <v>0</v>
      </c>
      <c r="K62" s="1" t="n">
        <f aca="false">IF(I62&gt;1,'Plan debt months'!AB62,I62)</f>
        <v>0</v>
      </c>
      <c r="L62" s="1" t="n">
        <f aca="false">N61</f>
        <v>0</v>
      </c>
      <c r="M62" s="1" t="n">
        <f aca="false">IF(L62&gt;1,'Plan debt months'!BD62,0)</f>
        <v>0</v>
      </c>
      <c r="N62" s="1" t="n">
        <f aca="false">IF(L62&gt;1,'Plan debt months'!BC62,L62)</f>
        <v>0</v>
      </c>
      <c r="O62" s="1" t="n">
        <f aca="false">Q61</f>
        <v>0</v>
      </c>
      <c r="P62" s="1" t="n">
        <f aca="false">IF(O62&gt;1,'Plan debt months'!CE62,0)</f>
        <v>0</v>
      </c>
      <c r="Q62" s="1" t="n">
        <f aca="false">IF(O62&gt;1,'Plan debt months'!CD62,O62)</f>
        <v>0</v>
      </c>
      <c r="R62" s="1" t="n">
        <f aca="false">J62+M62+P62</f>
        <v>0</v>
      </c>
      <c r="S62" s="1" t="n">
        <f aca="false">QJ61+'Plan pay &amp; tax'!Y288</f>
        <v>0</v>
      </c>
      <c r="T62" s="1" t="n">
        <f aca="false">QJ61</f>
        <v>0</v>
      </c>
      <c r="U62" s="1" t="n">
        <f aca="false">IF(AND(Slot1_On=1,D62=Slot1_Age),1,0)</f>
        <v>0</v>
      </c>
      <c r="V62" s="1" t="n">
        <f aca="false">IF(AND(Slot1_On=1,Slot1_Age&gt;D62),1,0)</f>
        <v>0</v>
      </c>
      <c r="W62" s="1" t="n">
        <f aca="false">QL61</f>
        <v>0</v>
      </c>
      <c r="X62" s="1" t="n">
        <f aca="false">U62*MIN(Slot1_Cost,W62)</f>
        <v>0</v>
      </c>
      <c r="Y62" s="1" t="n">
        <f aca="false">U62*Slot1_SpendLike*MIN(Slot1_Cost-X62,S62)</f>
        <v>0</v>
      </c>
      <c r="Z62" s="1" t="n">
        <f aca="false">X62+Y62</f>
        <v>0</v>
      </c>
      <c r="AA62" s="1" t="n">
        <f aca="false">S62-Y62+U62*IF(Slot1_SpendLike=1,W62-X62,IF(Slot1_PotFree=1,W62,0))</f>
        <v>0</v>
      </c>
      <c r="AB62" s="1" t="n">
        <f aca="false">AE62+U62*Slot1_BufPot*W62</f>
        <v>0</v>
      </c>
      <c r="AC62" s="1" t="n">
        <f aca="false">IF(AND(U62=1,Slot1_IsMfree=1),IF(Z62&gt;=Slot1_Cost-1,0,MAX(0,K62-Z62)),K62)</f>
        <v>0</v>
      </c>
      <c r="AD62" s="1" t="n">
        <f aca="false">U62*(Slot1_Cost-Z62)</f>
        <v>0</v>
      </c>
      <c r="AE62" s="1" t="n">
        <f aca="false">QK61</f>
        <v>0</v>
      </c>
      <c r="AF62" s="1" t="n">
        <f aca="false">IF(AND(Slot2_On=1,D62=Slot2_Age),1,0)</f>
        <v>0</v>
      </c>
      <c r="AG62" s="1" t="n">
        <f aca="false">IF(AND(Slot2_On=1,Slot2_Age&gt;D62),1,0)</f>
        <v>0</v>
      </c>
      <c r="AH62" s="1" t="n">
        <f aca="false">QP61</f>
        <v>0</v>
      </c>
      <c r="AI62" s="1" t="n">
        <f aca="false">AF62*MIN(Slot2_Cost,AH62)</f>
        <v>0</v>
      </c>
      <c r="AJ62" s="1" t="n">
        <f aca="false">AF62*Slot2_SpendLike*MIN(Slot2_Cost-AI62,AA62)</f>
        <v>0</v>
      </c>
      <c r="AK62" s="1" t="n">
        <f aca="false">AI62+AJ62</f>
        <v>0</v>
      </c>
      <c r="AL62" s="1" t="n">
        <f aca="false">AA62-AJ62+AF62*IF(Slot2_SpendLike=1,AH62-AI62,IF(Slot2_PotFree=1,AH62,0))</f>
        <v>0</v>
      </c>
      <c r="AM62" s="1" t="n">
        <f aca="false">AB62+AF62*Slot2_BufPot*AH62</f>
        <v>0</v>
      </c>
      <c r="AN62" s="1" t="n">
        <f aca="false">IF(AND(AF62=1,Slot2_IsMfree=1),IF(AK62&gt;=Slot2_Cost-1,0,MAX(0,AC62-AK62)),AC62)</f>
        <v>0</v>
      </c>
      <c r="AO62" s="1" t="n">
        <f aca="false">AF62*(Slot2_Cost-AK62)</f>
        <v>0</v>
      </c>
      <c r="AP62" s="1" t="n">
        <f aca="false">IF(AND(Slot3_On=1,D62=Slot3_Age),1,0)</f>
        <v>0</v>
      </c>
      <c r="AQ62" s="1" t="n">
        <f aca="false">IF(AND(Slot3_On=1,Slot3_Age&gt;D62),1,0)</f>
        <v>0</v>
      </c>
      <c r="AR62" s="1" t="n">
        <f aca="false">QT61</f>
        <v>0</v>
      </c>
      <c r="AS62" s="1" t="n">
        <f aca="false">AP62*MIN(Slot3_Cost,AR62)</f>
        <v>0</v>
      </c>
      <c r="AT62" s="1" t="n">
        <f aca="false">AP62*Slot3_SpendLike*MIN(Slot3_Cost-AS62,AL62)</f>
        <v>0</v>
      </c>
      <c r="AU62" s="1" t="n">
        <f aca="false">AS62+AT62</f>
        <v>0</v>
      </c>
      <c r="AV62" s="1" t="n">
        <f aca="false">AL62-AT62+AP62*IF(Slot3_SpendLike=1,AR62-AS62,IF(Slot3_PotFree=1,AR62,0))</f>
        <v>0</v>
      </c>
      <c r="AW62" s="1" t="n">
        <f aca="false">AM62+AP62*Slot3_BufPot*AR62</f>
        <v>0</v>
      </c>
      <c r="AX62" s="1" t="n">
        <f aca="false">IF(AND(AP62=1,Slot3_IsMfree=1),IF(AU62&gt;=Slot3_Cost-1,0,MAX(0,AN62-AU62)),AN62)</f>
        <v>0</v>
      </c>
      <c r="AY62" s="1" t="n">
        <f aca="false">AP62*(Slot3_Cost-AU62)</f>
        <v>0</v>
      </c>
      <c r="AZ62" s="1" t="n">
        <f aca="false">IF(AND(Slot4_On=1,D62=Slot4_Age),1,0)</f>
        <v>0</v>
      </c>
      <c r="BA62" s="1" t="n">
        <f aca="false">IF(AND(Slot4_On=1,Slot4_Age&gt;D62),1,0)</f>
        <v>0</v>
      </c>
      <c r="BB62" s="1" t="n">
        <f aca="false">QX61</f>
        <v>0</v>
      </c>
      <c r="BC62" s="1" t="n">
        <f aca="false">AZ62*MIN(Slot4_Cost,BB62)</f>
        <v>0</v>
      </c>
      <c r="BD62" s="1" t="n">
        <f aca="false">AZ62*Slot4_SpendLike*MIN(Slot4_Cost-BC62,AV62)</f>
        <v>0</v>
      </c>
      <c r="BE62" s="1" t="n">
        <f aca="false">BC62+BD62</f>
        <v>0</v>
      </c>
      <c r="BF62" s="1" t="n">
        <f aca="false">AV62-BD62+AZ62*IF(Slot4_SpendLike=1,BB62-BC62,IF(Slot4_PotFree=1,BB62,0))</f>
        <v>0</v>
      </c>
      <c r="BG62" s="1" t="n">
        <f aca="false">AW62+AZ62*Slot4_BufPot*BB62</f>
        <v>0</v>
      </c>
      <c r="BH62" s="1" t="n">
        <f aca="false">IF(AND(AZ62=1,Slot4_IsMfree=1),IF(BE62&gt;=Slot4_Cost-1,0,MAX(0,AX62-BE62)),AX62)</f>
        <v>0</v>
      </c>
      <c r="BI62" s="1" t="n">
        <f aca="false">AZ62*(Slot4_Cost-BE62)</f>
        <v>0</v>
      </c>
      <c r="BJ62" s="1" t="n">
        <f aca="false">IF(AND(Slot5_On=1,D62=Slot5_Age),1,0)</f>
        <v>0</v>
      </c>
      <c r="BK62" s="1" t="n">
        <f aca="false">IF(AND(Slot5_On=1,Slot5_Age&gt;D62),1,0)</f>
        <v>0</v>
      </c>
      <c r="BL62" s="1" t="n">
        <f aca="false">RB61</f>
        <v>0</v>
      </c>
      <c r="BM62" s="1" t="n">
        <f aca="false">BJ62*MIN(Slot5_Cost,BL62)</f>
        <v>0</v>
      </c>
      <c r="BN62" s="1" t="n">
        <f aca="false">BJ62*Slot5_SpendLike*MIN(Slot5_Cost-BM62,BF62)</f>
        <v>0</v>
      </c>
      <c r="BO62" s="1" t="n">
        <f aca="false">BM62+BN62</f>
        <v>0</v>
      </c>
      <c r="BP62" s="1" t="n">
        <f aca="false">BF62-BN62+BJ62*IF(Slot5_SpendLike=1,BL62-BM62,IF(Slot5_PotFree=1,BL62,0))</f>
        <v>0</v>
      </c>
      <c r="BQ62" s="1" t="n">
        <f aca="false">BG62+BJ62*Slot5_BufPot*BL62</f>
        <v>0</v>
      </c>
      <c r="BR62" s="1" t="n">
        <f aca="false">IF(AND(BJ62=1,Slot5_IsMfree=1),IF(BO62&gt;=Slot5_Cost-1,0,MAX(0,BH62-BO62)),BH62)</f>
        <v>0</v>
      </c>
      <c r="BS62" s="1" t="n">
        <f aca="false">BJ62*(Slot5_Cost-BO62)</f>
        <v>0</v>
      </c>
      <c r="BT62" s="1" t="n">
        <f aca="false">IF(AND(Slot6_On=1,D62=Slot6_Age),1,0)</f>
        <v>0</v>
      </c>
      <c r="BU62" s="1" t="n">
        <f aca="false">IF(AND(Slot6_On=1,Slot6_Age&gt;D62),1,0)</f>
        <v>0</v>
      </c>
      <c r="BV62" s="1" t="n">
        <f aca="false">RF61</f>
        <v>0</v>
      </c>
      <c r="BW62" s="1" t="n">
        <f aca="false">BT62*MIN(Slot6_Cost,BV62)</f>
        <v>0</v>
      </c>
      <c r="BX62" s="1" t="n">
        <f aca="false">BT62*Slot6_SpendLike*MIN(Slot6_Cost-BW62,BP62)</f>
        <v>0</v>
      </c>
      <c r="BY62" s="1" t="n">
        <f aca="false">BW62+BX62</f>
        <v>0</v>
      </c>
      <c r="BZ62" s="1" t="n">
        <f aca="false">BP62-BX62+BT62*IF(Slot6_SpendLike=1,BV62-BW62,IF(Slot6_PotFree=1,BV62,0))</f>
        <v>0</v>
      </c>
      <c r="CA62" s="1" t="n">
        <f aca="false">BQ62+BT62*Slot6_BufPot*BV62</f>
        <v>0</v>
      </c>
      <c r="CB62" s="1" t="n">
        <f aca="false">IF(AND(BT62=1,Slot6_IsMfree=1),IF(BY62&gt;=Slot6_Cost-1,0,MAX(0,BR62-BY62)),BR62)</f>
        <v>0</v>
      </c>
      <c r="CC62" s="1" t="n">
        <f aca="false">BT62*(Slot6_Cost-BY62)</f>
        <v>0</v>
      </c>
      <c r="CD62" s="1" t="n">
        <f aca="false">IF(AND(Slot7_On=1,D62=Slot7_Age),1,0)</f>
        <v>0</v>
      </c>
      <c r="CE62" s="1" t="n">
        <f aca="false">IF(AND(Slot7_On=1,Slot7_Age&gt;D62),1,0)</f>
        <v>0</v>
      </c>
      <c r="CF62" s="1" t="n">
        <f aca="false">RJ61</f>
        <v>0</v>
      </c>
      <c r="CG62" s="1" t="n">
        <f aca="false">CD62*MIN(Slot7_Cost,CF62)</f>
        <v>0</v>
      </c>
      <c r="CH62" s="1" t="n">
        <f aca="false">CD62*Slot7_SpendLike*MIN(Slot7_Cost-CG62,BZ62)</f>
        <v>0</v>
      </c>
      <c r="CI62" s="1" t="n">
        <f aca="false">CG62+CH62</f>
        <v>0</v>
      </c>
      <c r="CJ62" s="1" t="n">
        <f aca="false">BZ62-CH62+CD62*IF(Slot7_SpendLike=1,CF62-CG62,IF(Slot7_PotFree=1,CF62,0))</f>
        <v>0</v>
      </c>
      <c r="CK62" s="1" t="n">
        <f aca="false">CA62+CD62*Slot7_BufPot*CF62</f>
        <v>0</v>
      </c>
      <c r="CL62" s="1" t="n">
        <f aca="false">IF(AND(CD62=1,Slot7_IsMfree=1),IF(CI62&gt;=Slot7_Cost-1,0,MAX(0,CB62-CI62)),CB62)</f>
        <v>0</v>
      </c>
      <c r="CM62" s="1" t="n">
        <f aca="false">CD62*(Slot7_Cost-CI62)</f>
        <v>0</v>
      </c>
      <c r="CN62" s="1" t="n">
        <f aca="false">IF(AND(Slot8_On=1,D62=Slot8_Age),1,0)</f>
        <v>0</v>
      </c>
      <c r="CO62" s="1" t="n">
        <f aca="false">IF(AND(Slot8_On=1,Slot8_Age&gt;D62),1,0)</f>
        <v>0</v>
      </c>
      <c r="CP62" s="1" t="n">
        <f aca="false">RN61</f>
        <v>0</v>
      </c>
      <c r="CQ62" s="1" t="n">
        <f aca="false">CN62*MIN(Slot8_Cost,CP62)</f>
        <v>0</v>
      </c>
      <c r="CR62" s="1" t="n">
        <f aca="false">CN62*Slot8_SpendLike*MIN(Slot8_Cost-CQ62,CJ62)</f>
        <v>0</v>
      </c>
      <c r="CS62" s="1" t="n">
        <f aca="false">CQ62+CR62</f>
        <v>0</v>
      </c>
      <c r="CT62" s="1" t="n">
        <f aca="false">CJ62-CR62+CN62*IF(Slot8_SpendLike=1,CP62-CQ62,IF(Slot8_PotFree=1,CP62,0))</f>
        <v>0</v>
      </c>
      <c r="CU62" s="1" t="n">
        <f aca="false">CK62+CN62*Slot8_BufPot*CP62</f>
        <v>0</v>
      </c>
      <c r="CV62" s="1" t="n">
        <f aca="false">IF(AND(CN62=1,Slot8_IsMfree=1),IF(CS62&gt;=Slot8_Cost-1,0,MAX(0,CL62-CS62)),CL62)</f>
        <v>0</v>
      </c>
      <c r="CW62" s="1" t="n">
        <f aca="false">CN62*(Slot8_Cost-CS62)</f>
        <v>0</v>
      </c>
      <c r="CX62" s="1" t="n">
        <f aca="false">IF(AND(Slot9_On=1,D62=Slot9_Age),1,0)</f>
        <v>0</v>
      </c>
      <c r="CY62" s="1" t="n">
        <f aca="false">IF(AND(Slot9_On=1,Slot9_Age&gt;D62),1,0)</f>
        <v>0</v>
      </c>
      <c r="CZ62" s="1" t="n">
        <f aca="false">RR61</f>
        <v>0</v>
      </c>
      <c r="DA62" s="1" t="n">
        <f aca="false">CX62*MIN(Slot9_Cost,CZ62)</f>
        <v>0</v>
      </c>
      <c r="DB62" s="1" t="n">
        <f aca="false">CX62*Slot9_SpendLike*MIN(Slot9_Cost-DA62,CT62)</f>
        <v>0</v>
      </c>
      <c r="DC62" s="1" t="n">
        <f aca="false">DA62+DB62</f>
        <v>0</v>
      </c>
      <c r="DD62" s="1" t="n">
        <f aca="false">CT62-DB62+CX62*IF(Slot9_SpendLike=1,CZ62-DA62,IF(Slot9_PotFree=1,CZ62,0))</f>
        <v>0</v>
      </c>
      <c r="DE62" s="1" t="n">
        <f aca="false">CU62+CX62*Slot9_BufPot*CZ62</f>
        <v>0</v>
      </c>
      <c r="DF62" s="1" t="n">
        <f aca="false">IF(AND(CX62=1,Slot9_IsMfree=1),IF(DC62&gt;=Slot9_Cost-1,0,MAX(0,CV62-DC62)),CV62)</f>
        <v>0</v>
      </c>
      <c r="DG62" s="1" t="n">
        <f aca="false">CX62*(Slot9_Cost-DC62)</f>
        <v>0</v>
      </c>
      <c r="DH62" s="1" t="n">
        <f aca="false">IF(AND(Slot10_On=1,D62=Slot10_Age),1,0)</f>
        <v>0</v>
      </c>
      <c r="DI62" s="1" t="n">
        <f aca="false">IF(AND(Slot10_On=1,Slot10_Age&gt;D62),1,0)</f>
        <v>0</v>
      </c>
      <c r="DJ62" s="1" t="n">
        <f aca="false">RV61</f>
        <v>0</v>
      </c>
      <c r="DK62" s="1" t="n">
        <f aca="false">DH62*MIN(Slot10_Cost,DJ62)</f>
        <v>0</v>
      </c>
      <c r="DL62" s="1" t="n">
        <f aca="false">DH62*Slot10_SpendLike*MIN(Slot10_Cost-DK62,DD62)</f>
        <v>0</v>
      </c>
      <c r="DM62" s="1" t="n">
        <f aca="false">DK62+DL62</f>
        <v>0</v>
      </c>
      <c r="DN62" s="1" t="n">
        <f aca="false">DD62-DL62+DH62*IF(Slot10_SpendLike=1,DJ62-DK62,IF(Slot10_PotFree=1,DJ62,0))</f>
        <v>0</v>
      </c>
      <c r="DO62" s="1" t="n">
        <f aca="false">DE62+DH62*Slot10_BufPot*DJ62</f>
        <v>0</v>
      </c>
      <c r="DP62" s="1" t="n">
        <f aca="false">IF(AND(DH62=1,Slot10_IsMfree=1),IF(DM62&gt;=Slot10_Cost-1,0,MAX(0,DF62-DM62)),DF62)</f>
        <v>0</v>
      </c>
      <c r="DQ62" s="1" t="n">
        <f aca="false">DH62*(Slot10_Cost-DM62)</f>
        <v>0</v>
      </c>
      <c r="DR62" s="1" t="n">
        <f aca="false">IF(AND(Slot11_On=1,D62=Slot11_Age),1,0)</f>
        <v>0</v>
      </c>
      <c r="DS62" s="1" t="n">
        <f aca="false">IF(AND(Slot11_On=1,Slot11_Age&gt;D62),1,0)</f>
        <v>0</v>
      </c>
      <c r="DT62" s="1" t="n">
        <f aca="false">RZ61</f>
        <v>0</v>
      </c>
      <c r="DU62" s="1" t="n">
        <f aca="false">DR62*MIN(Slot11_Cost,DT62)</f>
        <v>0</v>
      </c>
      <c r="DV62" s="1" t="n">
        <f aca="false">DR62*Slot11_SpendLike*MIN(Slot11_Cost-DU62,DN62)</f>
        <v>0</v>
      </c>
      <c r="DW62" s="1" t="n">
        <f aca="false">DU62+DV62</f>
        <v>0</v>
      </c>
      <c r="DX62" s="1" t="n">
        <f aca="false">DN62-DV62+DR62*IF(Slot11_SpendLike=1,DT62-DU62,IF(Slot11_PotFree=1,DT62,0))</f>
        <v>0</v>
      </c>
      <c r="DY62" s="1" t="n">
        <f aca="false">DO62+DR62*Slot11_BufPot*DT62</f>
        <v>0</v>
      </c>
      <c r="DZ62" s="1" t="n">
        <f aca="false">IF(AND(DR62=1,Slot11_IsMfree=1),IF(DW62&gt;=Slot11_Cost-1,0,MAX(0,DP62-DW62)),DP62)</f>
        <v>0</v>
      </c>
      <c r="EA62" s="1" t="n">
        <f aca="false">DR62*(Slot11_Cost-DW62)</f>
        <v>0</v>
      </c>
      <c r="EB62" s="1" t="n">
        <f aca="false">IF(AND(Slot12_On=1,D62=Slot12_Age),1,0)</f>
        <v>0</v>
      </c>
      <c r="EC62" s="1" t="n">
        <f aca="false">IF(AND(Slot12_On=1,Slot12_Age&gt;D62),1,0)</f>
        <v>0</v>
      </c>
      <c r="ED62" s="1" t="n">
        <f aca="false">SD61</f>
        <v>0</v>
      </c>
      <c r="EE62" s="1" t="n">
        <f aca="false">EB62*MIN(Slot12_Cost,ED62)</f>
        <v>0</v>
      </c>
      <c r="EF62" s="1" t="n">
        <f aca="false">EB62*Slot12_SpendLike*MIN(Slot12_Cost-EE62,DX62)</f>
        <v>0</v>
      </c>
      <c r="EG62" s="1" t="n">
        <f aca="false">EE62+EF62</f>
        <v>0</v>
      </c>
      <c r="EH62" s="1" t="n">
        <f aca="false">DX62-EF62+EB62*IF(Slot12_SpendLike=1,ED62-EE62,IF(Slot12_PotFree=1,ED62,0))</f>
        <v>0</v>
      </c>
      <c r="EI62" s="1" t="n">
        <f aca="false">DY62+EB62*Slot12_BufPot*ED62</f>
        <v>0</v>
      </c>
      <c r="EJ62" s="1" t="n">
        <f aca="false">IF(AND(EB62=1,Slot12_IsMfree=1),IF(EG62&gt;=Slot12_Cost-1,0,MAX(0,DZ62-EG62)),DZ62)</f>
        <v>0</v>
      </c>
      <c r="EK62" s="1" t="n">
        <f aca="false">EB62*(Slot12_Cost-EG62)</f>
        <v>0</v>
      </c>
      <c r="EL62" s="1" t="n">
        <f aca="false">IF(AND(Slot13_On=1,D62=Slot13_Age),1,0)</f>
        <v>0</v>
      </c>
      <c r="EM62" s="1" t="n">
        <f aca="false">IF(AND(Slot13_On=1,Slot13_Age&gt;D62),1,0)</f>
        <v>0</v>
      </c>
      <c r="EN62" s="1" t="n">
        <f aca="false">SH61</f>
        <v>0</v>
      </c>
      <c r="EO62" s="1" t="n">
        <f aca="false">EL62*MIN(Slot13_Cost,EN62)</f>
        <v>0</v>
      </c>
      <c r="EP62" s="1" t="n">
        <f aca="false">EL62*Slot13_SpendLike*MIN(Slot13_Cost-EO62,EH62)</f>
        <v>0</v>
      </c>
      <c r="EQ62" s="1" t="n">
        <f aca="false">EO62+EP62</f>
        <v>0</v>
      </c>
      <c r="ER62" s="1" t="n">
        <f aca="false">EH62-EP62+EL62*IF(Slot13_SpendLike=1,EN62-EO62,IF(Slot13_PotFree=1,EN62,0))</f>
        <v>0</v>
      </c>
      <c r="ES62" s="1" t="n">
        <f aca="false">EI62+EL62*Slot13_BufPot*EN62</f>
        <v>0</v>
      </c>
      <c r="ET62" s="1" t="n">
        <f aca="false">IF(AND(EL62=1,Slot13_IsMfree=1),IF(EQ62&gt;=Slot13_Cost-1,0,MAX(0,EJ62-EQ62)),EJ62)</f>
        <v>0</v>
      </c>
      <c r="EU62" s="1" t="n">
        <f aca="false">EL62*(Slot13_Cost-EQ62)</f>
        <v>0</v>
      </c>
      <c r="EV62" s="1" t="n">
        <f aca="false">IF(AND(Slot14_On=1,D62=Slot14_Age),1,0)</f>
        <v>0</v>
      </c>
      <c r="EW62" s="1" t="n">
        <f aca="false">IF(AND(Slot14_On=1,Slot14_Age&gt;D62),1,0)</f>
        <v>0</v>
      </c>
      <c r="EX62" s="1" t="n">
        <f aca="false">SL61</f>
        <v>0</v>
      </c>
      <c r="EY62" s="1" t="n">
        <f aca="false">EV62*MIN(Slot14_Cost,EX62)</f>
        <v>0</v>
      </c>
      <c r="EZ62" s="1" t="n">
        <f aca="false">EV62*Slot14_SpendLike*MIN(Slot14_Cost-EY62,ER62)</f>
        <v>0</v>
      </c>
      <c r="FA62" s="1" t="n">
        <f aca="false">EY62+EZ62</f>
        <v>0</v>
      </c>
      <c r="FB62" s="1" t="n">
        <f aca="false">ER62-EZ62+EV62*IF(Slot14_SpendLike=1,EX62-EY62,IF(Slot14_PotFree=1,EX62,0))</f>
        <v>0</v>
      </c>
      <c r="FC62" s="1" t="n">
        <f aca="false">ES62+EV62*Slot14_BufPot*EX62</f>
        <v>0</v>
      </c>
      <c r="FD62" s="1" t="n">
        <f aca="false">IF(AND(EV62=1,Slot14_IsMfree=1),IF(FA62&gt;=Slot14_Cost-1,0,MAX(0,ET62-FA62)),ET62)</f>
        <v>0</v>
      </c>
      <c r="FE62" s="1" t="n">
        <f aca="false">EV62*(Slot14_Cost-FA62)</f>
        <v>0</v>
      </c>
      <c r="FF62" s="1" t="n">
        <f aca="false">IF(AND(Slot15_On=1,D62=Slot15_Age),1,0)</f>
        <v>0</v>
      </c>
      <c r="FG62" s="1" t="n">
        <f aca="false">IF(AND(Slot15_On=1,Slot15_Age&gt;D62),1,0)</f>
        <v>0</v>
      </c>
      <c r="FH62" s="1" t="n">
        <f aca="false">SP61</f>
        <v>0</v>
      </c>
      <c r="FI62" s="1" t="n">
        <f aca="false">FF62*MIN(Slot15_Cost,FH62)</f>
        <v>0</v>
      </c>
      <c r="FJ62" s="1" t="n">
        <f aca="false">FF62*Slot15_SpendLike*MIN(Slot15_Cost-FI62,FB62)</f>
        <v>0</v>
      </c>
      <c r="FK62" s="1" t="n">
        <f aca="false">FI62+FJ62</f>
        <v>0</v>
      </c>
      <c r="FL62" s="1" t="n">
        <f aca="false">FB62-FJ62+FF62*IF(Slot15_SpendLike=1,FH62-FI62,IF(Slot15_PotFree=1,FH62,0))</f>
        <v>0</v>
      </c>
      <c r="FM62" s="1" t="n">
        <f aca="false">FC62+FF62*Slot15_BufPot*FH62</f>
        <v>0</v>
      </c>
      <c r="FN62" s="1" t="n">
        <f aca="false">IF(AND(FF62=1,Slot15_IsMfree=1),IF(FK62&gt;=Slot15_Cost-1,0,MAX(0,FD62-FK62)),FD62)</f>
        <v>0</v>
      </c>
      <c r="FO62" s="1" t="n">
        <f aca="false">FF62*(Slot15_Cost-FK62)</f>
        <v>0</v>
      </c>
      <c r="FP62" s="1" t="n">
        <f aca="false">IF(AND(Slot16_On=1,D62=Slot16_Age),1,0)</f>
        <v>0</v>
      </c>
      <c r="FQ62" s="1" t="n">
        <f aca="false">IF(AND(Slot16_On=1,Slot16_Age&gt;D62),1,0)</f>
        <v>0</v>
      </c>
      <c r="FR62" s="1" t="n">
        <f aca="false">ST61</f>
        <v>0</v>
      </c>
      <c r="FS62" s="1" t="n">
        <f aca="false">FP62*MIN(Slot16_Cost,FR62)</f>
        <v>0</v>
      </c>
      <c r="FT62" s="1" t="n">
        <f aca="false">FP62*Slot16_SpendLike*MIN(Slot16_Cost-FS62,FL62)</f>
        <v>0</v>
      </c>
      <c r="FU62" s="1" t="n">
        <f aca="false">FS62+FT62</f>
        <v>0</v>
      </c>
      <c r="FV62" s="1" t="n">
        <f aca="false">FL62-FT62+FP62*IF(Slot16_SpendLike=1,FR62-FS62,IF(Slot16_PotFree=1,FR62,0))</f>
        <v>0</v>
      </c>
      <c r="FW62" s="1" t="n">
        <f aca="false">FM62+FP62*Slot16_BufPot*FR62</f>
        <v>0</v>
      </c>
      <c r="FX62" s="1" t="n">
        <f aca="false">IF(AND(FP62=1,Slot16_IsMfree=1),IF(FU62&gt;=Slot16_Cost-1,0,MAX(0,FN62-FU62)),FN62)</f>
        <v>0</v>
      </c>
      <c r="FY62" s="1" t="n">
        <f aca="false">FP62*(Slot16_Cost-FU62)</f>
        <v>0</v>
      </c>
      <c r="FZ62" s="1" t="n">
        <f aca="false">IF(AND(Slot17_On=1,D62=Slot17_Age),1,0)</f>
        <v>0</v>
      </c>
      <c r="GA62" s="1" t="n">
        <f aca="false">IF(AND(Slot17_On=1,Slot17_Age&gt;D62),1,0)</f>
        <v>0</v>
      </c>
      <c r="GB62" s="1" t="n">
        <f aca="false">SX61</f>
        <v>0</v>
      </c>
      <c r="GC62" s="1" t="n">
        <f aca="false">FZ62*MIN(Slot17_Cost,GB62)</f>
        <v>0</v>
      </c>
      <c r="GD62" s="1" t="n">
        <f aca="false">FZ62*Slot17_SpendLike*MIN(Slot17_Cost-GC62,FV62)</f>
        <v>0</v>
      </c>
      <c r="GE62" s="1" t="n">
        <f aca="false">GC62+GD62</f>
        <v>0</v>
      </c>
      <c r="GF62" s="1" t="n">
        <f aca="false">FV62-GD62+FZ62*IF(Slot17_SpendLike=1,GB62-GC62,IF(Slot17_PotFree=1,GB62,0))</f>
        <v>0</v>
      </c>
      <c r="GG62" s="1" t="n">
        <f aca="false">FW62+FZ62*Slot17_BufPot*GB62</f>
        <v>0</v>
      </c>
      <c r="GH62" s="1" t="n">
        <f aca="false">IF(AND(FZ62=1,Slot17_IsMfree=1),IF(GE62&gt;=Slot17_Cost-1,0,MAX(0,FX62-GE62)),FX62)</f>
        <v>0</v>
      </c>
      <c r="GI62" s="1" t="n">
        <f aca="false">FZ62*(Slot17_Cost-GE62)</f>
        <v>0</v>
      </c>
      <c r="GJ62" s="1" t="n">
        <f aca="false">IF(AND(Slot18_On=1,D62=Slot18_Age),1,0)</f>
        <v>0</v>
      </c>
      <c r="GK62" s="1" t="n">
        <f aca="false">IF(AND(Slot18_On=1,Slot18_Age&gt;D62),1,0)</f>
        <v>0</v>
      </c>
      <c r="GL62" s="1" t="n">
        <f aca="false">TB61</f>
        <v>0</v>
      </c>
      <c r="GM62" s="1" t="n">
        <f aca="false">GJ62*MIN(Slot18_Cost,GL62)</f>
        <v>0</v>
      </c>
      <c r="GN62" s="1" t="n">
        <f aca="false">GJ62*Slot18_SpendLike*MIN(Slot18_Cost-GM62,GF62)</f>
        <v>0</v>
      </c>
      <c r="GO62" s="1" t="n">
        <f aca="false">GM62+GN62</f>
        <v>0</v>
      </c>
      <c r="GP62" s="1" t="n">
        <f aca="false">GF62-GN62+GJ62*IF(Slot18_SpendLike=1,GL62-GM62,IF(Slot18_PotFree=1,GL62,0))</f>
        <v>0</v>
      </c>
      <c r="GQ62" s="1" t="n">
        <f aca="false">GG62+GJ62*Slot18_BufPot*GL62</f>
        <v>0</v>
      </c>
      <c r="GR62" s="1" t="n">
        <f aca="false">IF(AND(GJ62=1,Slot18_IsMfree=1),IF(GO62&gt;=Slot18_Cost-1,0,MAX(0,GH62-GO62)),GH62)</f>
        <v>0</v>
      </c>
      <c r="GS62" s="1" t="n">
        <f aca="false">GJ62*(Slot18_Cost-GO62)</f>
        <v>0</v>
      </c>
      <c r="GT62" s="1" t="n">
        <f aca="false">IF(AND(Slot19_On=1,D62=Slot19_Age),1,0)</f>
        <v>0</v>
      </c>
      <c r="GU62" s="1" t="n">
        <f aca="false">IF(AND(Slot19_On=1,Slot19_Age&gt;D62),1,0)</f>
        <v>0</v>
      </c>
      <c r="GV62" s="1" t="n">
        <f aca="false">TF61</f>
        <v>0</v>
      </c>
      <c r="GW62" s="1" t="n">
        <f aca="false">GT62*MIN(Slot19_Cost,GV62)</f>
        <v>0</v>
      </c>
      <c r="GX62" s="1" t="n">
        <f aca="false">GT62*Slot19_SpendLike*MIN(Slot19_Cost-GW62,GP62)</f>
        <v>0</v>
      </c>
      <c r="GY62" s="1" t="n">
        <f aca="false">GW62+GX62</f>
        <v>0</v>
      </c>
      <c r="GZ62" s="1" t="n">
        <f aca="false">GP62-GX62+GT62*IF(Slot19_SpendLike=1,GV62-GW62,IF(Slot19_PotFree=1,GV62,0))</f>
        <v>0</v>
      </c>
      <c r="HA62" s="1" t="n">
        <f aca="false">GQ62+GT62*Slot19_BufPot*GV62</f>
        <v>0</v>
      </c>
      <c r="HB62" s="1" t="n">
        <f aca="false">IF(AND(GT62=1,Slot19_IsMfree=1),IF(GY62&gt;=Slot19_Cost-1,0,MAX(0,GR62-GY62)),GR62)</f>
        <v>0</v>
      </c>
      <c r="HC62" s="1" t="n">
        <f aca="false">GT62*(Slot19_Cost-GY62)</f>
        <v>0</v>
      </c>
      <c r="HD62" s="1" t="n">
        <f aca="false">IF(AND(Slot20_On=1,D62=Slot20_Age),1,0)</f>
        <v>0</v>
      </c>
      <c r="HE62" s="1" t="n">
        <f aca="false">IF(AND(Slot20_On=1,Slot20_Age&gt;D62),1,0)</f>
        <v>0</v>
      </c>
      <c r="HF62" s="1" t="n">
        <f aca="false">TJ61</f>
        <v>0</v>
      </c>
      <c r="HG62" s="1" t="n">
        <f aca="false">HD62*MIN(Slot20_Cost,HF62)</f>
        <v>0</v>
      </c>
      <c r="HH62" s="1" t="n">
        <f aca="false">HD62*Slot20_SpendLike*MIN(Slot20_Cost-HG62,GZ62)</f>
        <v>0</v>
      </c>
      <c r="HI62" s="1" t="n">
        <f aca="false">HG62+HH62</f>
        <v>0</v>
      </c>
      <c r="HJ62" s="1" t="n">
        <f aca="false">GZ62-HH62+HD62*IF(Slot20_SpendLike=1,HF62-HG62,IF(Slot20_PotFree=1,HF62,0))</f>
        <v>0</v>
      </c>
      <c r="HK62" s="1" t="n">
        <f aca="false">HA62+HD62*Slot20_BufPot*HF62</f>
        <v>0</v>
      </c>
      <c r="HL62" s="1" t="n">
        <f aca="false">IF(AND(HD62=1,Slot20_IsMfree=1),IF(HI62&gt;=Slot20_Cost-1,0,MAX(0,HB62-HI62)),HB62)</f>
        <v>0</v>
      </c>
      <c r="HM62" s="1" t="n">
        <f aca="false">HD62*(Slot20_Cost-HI62)</f>
        <v>0</v>
      </c>
      <c r="HN62" s="1" t="n">
        <f aca="false">U62*Slot1_SpendLike*Z62+AF62*Slot2_SpendLike*AK62+AP62*Slot3_SpendLike*AU62+AZ62*Slot4_SpendLike*BE62+BJ62*Slot5_SpendLike*BO62+BT62*Slot6_SpendLike*BY62+CD62*Slot7_SpendLike*CI62+CN62*Slot8_SpendLike*CS62+CX62*Slot9_SpendLike*DC62+DH62*Slot10_SpendLike*DM62+DR62*Slot11_SpendLike*DW62+EB62*Slot12_SpendLike*EG62+EL62*Slot13_SpendLike*EQ62+EV62*Slot14_SpendLike*FA62+FF62*Slot15_SpendLike*FK62+FP62*Slot16_SpendLike*FU62+FZ62*Slot17_SpendLike*GE62+GJ62*Slot18_SpendLike*GO62+GT62*Slot19_SpendLike*GY62+HD62*Slot20_SpendLike*HI62</f>
        <v>0</v>
      </c>
      <c r="HO62" s="1" t="n">
        <f aca="false">AD62+AO62+AY62+BI62+BS62+CC62+CM62+CW62+DG62+DQ62+EA62+EK62+EU62+FE62+FO62+FY62+GI62+GS62+HC62+HM62</f>
        <v>0</v>
      </c>
      <c r="HP62" s="1" t="n">
        <f aca="false">U62*Slot1_Cost+AF62*Slot2_Cost+AP62*Slot3_Cost+AZ62*Slot4_Cost+BJ62*Slot5_Cost+BT62*Slot6_Cost+CD62*Slot7_Cost+CN62*Slot8_Cost+CX62*Slot9_Cost+DH62*Slot10_Cost+DR62*Slot11_Cost+EB62*Slot12_Cost+EL62*Slot13_Cost+EV62*Slot14_Cost+FF62*Slot15_Cost+FP62*Slot16_Cost+FZ62*Slot17_Cost+GJ62*Slot18_Cost+GT62*Slot19_Cost+HD62*Slot20_Cost</f>
        <v>0</v>
      </c>
      <c r="HQ62" s="1" t="n">
        <f aca="false">HL62</f>
        <v>0</v>
      </c>
      <c r="HR62" s="1" t="n">
        <f aca="false">G62-H62-R62</f>
        <v>0</v>
      </c>
      <c r="HS62" s="1" t="n">
        <f aca="false">IF(B62=0,IF(AND(Has_q6=1,In_q6=4),PR_ShareVaries*(MAX(0,HR62)/12),MIN(IF(Has_q6=1,CHOOSE(In_q6+1,PR_SaveB1,PR_SaveB2,PR_SaveB3,PR_SaveB4,0),AS_NoAnswer),AS_SaveShare*(MAX(0,HR62)/12))),HS61)</f>
        <v>0</v>
      </c>
      <c r="HT62" s="1" t="n">
        <f aca="false">IF(HR62&gt;=0,1,0)</f>
        <v>1</v>
      </c>
      <c r="HU62" s="1" t="n">
        <f aca="false">MAX(0,HR62/12/E62)</f>
        <v>0</v>
      </c>
      <c r="HV62" s="1" t="n">
        <f aca="false">IF(AND(Has_q6=1,In_q6=4),PR_ShareVaries*(HU62),MIN(IF(Has_q6=1,CHOOSE(In_q6+1,PR_SaveB1,PR_SaveB2,PR_SaveB3,PR_SaveB4,0),AS_NoAnswer),AS_SaveShare*(HU62)))</f>
        <v>0</v>
      </c>
      <c r="HW62" s="1" t="n">
        <f aca="false">IF(Has_saveM=1,IF(In_saveUp="Yes",1,IF(In_saveUp="No",0,IF(In_saveM&gt;=HS62-0.5,1,0))),0)</f>
        <v>0</v>
      </c>
      <c r="HX62" s="1" t="n">
        <f aca="false">IF(Has_saveM=1,MIN(HU62,IF(HW62=1,MAX(In_saveM,HV62),MIN(In_saveM,HV62))),HV62)</f>
        <v>0</v>
      </c>
      <c r="HY62" s="1" t="n">
        <f aca="false">IF(F62=1,HX62*12*E62,0)</f>
        <v>0</v>
      </c>
      <c r="HZ62" s="1" t="n">
        <f aca="false">MAX(0,HY62+IF(AND(WI_Retire=0,WI_M&lt;0,F62=1),WI_M*12*E62,0))</f>
        <v>0</v>
      </c>
      <c r="IA62" s="1" t="n">
        <f aca="false">Slot1_IsWG*V62+Slot2_IsWG*AG62+Slot3_IsWG*AQ62+Slot4_IsWG*BA62+Slot5_IsWG*BK62+Slot6_IsWG*BU62+Slot7_IsWG*CE62+Slot8_IsWG*CO62+Slot9_IsWG*CY62+Slot10_IsWG*DI62+Slot11_IsWG*DS62+Slot12_IsWG*EC62+Slot13_IsWG*EM62+Slot14_IsWG*EW62+Slot15_IsWG*FG62+Slot16_IsWG*FQ62+Slot17_IsWG*GA62+Slot18_IsWG*GK62+Slot19_IsWG*GU62+Slot20_IsWG*HE62</f>
        <v>0</v>
      </c>
      <c r="IB62" s="1" t="n">
        <f aca="false">IF(AND(WI_Retire=0,WI_M&gt;0,F62=1,IA62&gt;=1),WI_M*12*E62,0)</f>
        <v>0</v>
      </c>
      <c r="IC62" s="1" t="n">
        <f aca="false">IF(HT62=1,MIN(HZ62,HR62),0)</f>
        <v>0</v>
      </c>
      <c r="ID62" s="1" t="n">
        <f aca="false">IF(HT62=1,MIN(IB62,HR62-IC62),0)</f>
        <v>0</v>
      </c>
      <c r="IE62" s="1" t="n">
        <f aca="false">IF(V62=1,IF(ABS((1+AS_Wage)/(1+Slot1_Rate)-1)&lt;0.000000000001,(Slot1_Age-D62)*(1+Slot1_Rate)^(Slot1_Age-D62),(1+Slot1_Rate)^(Slot1_Age-D62)*(1-((1+AS_Wage)/(1+Slot1_Rate))^(Slot1_Age-D62))/(1-(1+AS_Wage)/(1+Slot1_Rate))),1)</f>
        <v>1</v>
      </c>
      <c r="IF62" s="1" t="n">
        <f aca="false">IF(AND(HT62=1,ID62&gt;0,Slot1_IsWG=1,V62=1),MAX(0,(Slot1_Cost-W62*(1+Slot1_Rate)^(Slot1_Age-D62))/IE62),0)</f>
        <v>0</v>
      </c>
      <c r="IG62" s="1" t="n">
        <f aca="false">IF(AND(HT62=1,ID62&gt;0,Slot1_IsWG=1,V62=1),MIN(ID62,IF62),0)</f>
        <v>0</v>
      </c>
      <c r="IH62" s="1" t="n">
        <f aca="false">W62+IG62</f>
        <v>0</v>
      </c>
      <c r="II62" s="1" t="n">
        <f aca="false">IF(V62=1,MAX(0,(Slot1_Cost-IH62*(1+Slot1_Rate)^(Slot1_Age-D62))/IE62),0)</f>
        <v>0</v>
      </c>
      <c r="IJ62" s="1" t="n">
        <f aca="false">IF(V62=1,MAX(0,(Slot1_Cost-W62*(1+Slot1_Rate)^(Slot1_Age-D62))/IE62),0)</f>
        <v>0</v>
      </c>
      <c r="IK62" s="1" t="n">
        <f aca="false">IF(AND(HT62=1,V62=1),MIN(IC62,II62),0)</f>
        <v>0</v>
      </c>
      <c r="IL62" s="1" t="n">
        <f aca="false">IC62-IK62</f>
        <v>0</v>
      </c>
      <c r="IM62" s="1" t="n">
        <f aca="false">IF(AG62=1,IF(ABS((1+AS_Wage)/(1+Slot2_Rate)-1)&lt;0.000000000001,(Slot2_Age-D62)*(1+Slot2_Rate)^(Slot2_Age-D62),(1+Slot2_Rate)^(Slot2_Age-D62)*(1-((1+AS_Wage)/(1+Slot2_Rate))^(Slot2_Age-D62))/(1-(1+AS_Wage)/(1+Slot2_Rate))),1)</f>
        <v>1</v>
      </c>
      <c r="IN62" s="1" t="n">
        <f aca="false">IF(AND(HT62=1,ID62&gt;0,Slot2_IsWG=1,AG62=1),MAX(0,(Slot2_Cost-AH62*(1+Slot2_Rate)^(Slot2_Age-D62))/IM62),0)</f>
        <v>0</v>
      </c>
      <c r="IO62" s="1" t="n">
        <f aca="false">IF(AND(HT62=1,ID62&gt;0,Slot2_IsWG=1,AG62=1),MIN(ID62,IN62),0)</f>
        <v>0</v>
      </c>
      <c r="IP62" s="1" t="n">
        <f aca="false">AH62+IO62</f>
        <v>0</v>
      </c>
      <c r="IQ62" s="1" t="n">
        <f aca="false">IF(AG62=1,MAX(0,(Slot2_Cost-IP62*(1+Slot2_Rate)^(Slot2_Age-D62))/IM62),0)</f>
        <v>0</v>
      </c>
      <c r="IR62" s="1" t="n">
        <f aca="false">IF(AG62=1,MAX(0,(Slot2_Cost-AH62*(1+Slot2_Rate)^(Slot2_Age-D62))/IM62),0)</f>
        <v>0</v>
      </c>
      <c r="IS62" s="1" t="n">
        <f aca="false">IF(AND(HT62=1,AG62=1),MIN(IL62,IQ62),0)</f>
        <v>0</v>
      </c>
      <c r="IT62" s="1" t="n">
        <f aca="false">IL62-IS62</f>
        <v>0</v>
      </c>
      <c r="IU62" s="1" t="n">
        <f aca="false">IF(AQ62=1,IF(ABS((1+AS_Wage)/(1+Slot3_Rate)-1)&lt;0.000000000001,(Slot3_Age-D62)*(1+Slot3_Rate)^(Slot3_Age-D62),(1+Slot3_Rate)^(Slot3_Age-D62)*(1-((1+AS_Wage)/(1+Slot3_Rate))^(Slot3_Age-D62))/(1-(1+AS_Wage)/(1+Slot3_Rate))),1)</f>
        <v>1</v>
      </c>
      <c r="IV62" s="1" t="n">
        <f aca="false">IF(AND(HT62=1,ID62&gt;0,Slot3_IsWG=1,AQ62=1),MAX(0,(Slot3_Cost-AR62*(1+Slot3_Rate)^(Slot3_Age-D62))/IU62),0)</f>
        <v>0</v>
      </c>
      <c r="IW62" s="1" t="n">
        <f aca="false">IF(AND(HT62=1,ID62&gt;0,Slot3_IsWG=1,AQ62=1),MIN(ID62,IV62),0)</f>
        <v>0</v>
      </c>
      <c r="IX62" s="1" t="n">
        <f aca="false">AR62+IW62</f>
        <v>0</v>
      </c>
      <c r="IY62" s="1" t="n">
        <f aca="false">IF(AQ62=1,MAX(0,(Slot3_Cost-IX62*(1+Slot3_Rate)^(Slot3_Age-D62))/IU62),0)</f>
        <v>0</v>
      </c>
      <c r="IZ62" s="1" t="n">
        <f aca="false">IF(AQ62=1,MAX(0,(Slot3_Cost-AR62*(1+Slot3_Rate)^(Slot3_Age-D62))/IU62),0)</f>
        <v>0</v>
      </c>
      <c r="JA62" s="1" t="n">
        <f aca="false">IF(AND(HT62=1,AQ62=1),MIN(IT62,IY62),0)</f>
        <v>0</v>
      </c>
      <c r="JB62" s="1" t="n">
        <f aca="false">IT62-JA62</f>
        <v>0</v>
      </c>
      <c r="JC62" s="1" t="n">
        <f aca="false">IF(BA62=1,IF(ABS((1+AS_Wage)/(1+Slot4_Rate)-1)&lt;0.000000000001,(Slot4_Age-D62)*(1+Slot4_Rate)^(Slot4_Age-D62),(1+Slot4_Rate)^(Slot4_Age-D62)*(1-((1+AS_Wage)/(1+Slot4_Rate))^(Slot4_Age-D62))/(1-(1+AS_Wage)/(1+Slot4_Rate))),1)</f>
        <v>1</v>
      </c>
      <c r="JD62" s="1" t="n">
        <f aca="false">IF(AND(HT62=1,ID62&gt;0,Slot4_IsWG=1,BA62=1),MAX(0,(Slot4_Cost-BB62*(1+Slot4_Rate)^(Slot4_Age-D62))/JC62),0)</f>
        <v>0</v>
      </c>
      <c r="JE62" s="1" t="n">
        <f aca="false">IF(AND(HT62=1,ID62&gt;0,Slot4_IsWG=1,BA62=1),MIN(ID62,JD62),0)</f>
        <v>0</v>
      </c>
      <c r="JF62" s="1" t="n">
        <f aca="false">BB62+JE62</f>
        <v>0</v>
      </c>
      <c r="JG62" s="1" t="n">
        <f aca="false">IF(BA62=1,MAX(0,(Slot4_Cost-JF62*(1+Slot4_Rate)^(Slot4_Age-D62))/JC62),0)</f>
        <v>0</v>
      </c>
      <c r="JH62" s="1" t="n">
        <f aca="false">IF(BA62=1,MAX(0,(Slot4_Cost-BB62*(1+Slot4_Rate)^(Slot4_Age-D62))/JC62),0)</f>
        <v>0</v>
      </c>
      <c r="JI62" s="1" t="n">
        <f aca="false">IF(AND(HT62=1,BA62=1),MIN(JB62,JG62),0)</f>
        <v>0</v>
      </c>
      <c r="JJ62" s="1" t="n">
        <f aca="false">JB62-JI62</f>
        <v>0</v>
      </c>
      <c r="JK62" s="1" t="n">
        <f aca="false">IF(BK62=1,IF(ABS((1+AS_Wage)/(1+Slot5_Rate)-1)&lt;0.000000000001,(Slot5_Age-D62)*(1+Slot5_Rate)^(Slot5_Age-D62),(1+Slot5_Rate)^(Slot5_Age-D62)*(1-((1+AS_Wage)/(1+Slot5_Rate))^(Slot5_Age-D62))/(1-(1+AS_Wage)/(1+Slot5_Rate))),1)</f>
        <v>1</v>
      </c>
      <c r="JL62" s="1" t="n">
        <f aca="false">IF(AND(HT62=1,ID62&gt;0,Slot5_IsWG=1,BK62=1),MAX(0,(Slot5_Cost-BL62*(1+Slot5_Rate)^(Slot5_Age-D62))/JK62),0)</f>
        <v>0</v>
      </c>
      <c r="JM62" s="1" t="n">
        <f aca="false">IF(AND(HT62=1,ID62&gt;0,Slot5_IsWG=1,BK62=1),MIN(ID62,JL62),0)</f>
        <v>0</v>
      </c>
      <c r="JN62" s="1" t="n">
        <f aca="false">BL62+JM62</f>
        <v>0</v>
      </c>
      <c r="JO62" s="1" t="n">
        <f aca="false">IF(BK62=1,MAX(0,(Slot5_Cost-JN62*(1+Slot5_Rate)^(Slot5_Age-D62))/JK62),0)</f>
        <v>0</v>
      </c>
      <c r="JP62" s="1" t="n">
        <f aca="false">IF(BK62=1,MAX(0,(Slot5_Cost-BL62*(1+Slot5_Rate)^(Slot5_Age-D62))/JK62),0)</f>
        <v>0</v>
      </c>
      <c r="JQ62" s="1" t="n">
        <f aca="false">IF(AND(HT62=1,BK62=1),MIN(JJ62,JO62),0)</f>
        <v>0</v>
      </c>
      <c r="JR62" s="1" t="n">
        <f aca="false">JJ62-JQ62</f>
        <v>0</v>
      </c>
      <c r="JS62" s="1" t="n">
        <f aca="false">IF(BU62=1,IF(ABS((1+AS_Wage)/(1+Slot6_Rate)-1)&lt;0.000000000001,(Slot6_Age-D62)*(1+Slot6_Rate)^(Slot6_Age-D62),(1+Slot6_Rate)^(Slot6_Age-D62)*(1-((1+AS_Wage)/(1+Slot6_Rate))^(Slot6_Age-D62))/(1-(1+AS_Wage)/(1+Slot6_Rate))),1)</f>
        <v>1</v>
      </c>
      <c r="JT62" s="1" t="n">
        <f aca="false">IF(AND(HT62=1,ID62&gt;0,Slot6_IsWG=1,BU62=1),MAX(0,(Slot6_Cost-BV62*(1+Slot6_Rate)^(Slot6_Age-D62))/JS62),0)</f>
        <v>0</v>
      </c>
      <c r="JU62" s="1" t="n">
        <f aca="false">IF(AND(HT62=1,ID62&gt;0,Slot6_IsWG=1,BU62=1),MIN(ID62,JT62),0)</f>
        <v>0</v>
      </c>
      <c r="JV62" s="1" t="n">
        <f aca="false">BV62+JU62</f>
        <v>0</v>
      </c>
      <c r="JW62" s="1" t="n">
        <f aca="false">IF(BU62=1,MAX(0,(Slot6_Cost-JV62*(1+Slot6_Rate)^(Slot6_Age-D62))/JS62),0)</f>
        <v>0</v>
      </c>
      <c r="JX62" s="1" t="n">
        <f aca="false">IF(BU62=1,MAX(0,(Slot6_Cost-BV62*(1+Slot6_Rate)^(Slot6_Age-D62))/JS62),0)</f>
        <v>0</v>
      </c>
      <c r="JY62" s="1" t="n">
        <f aca="false">IF(AND(HT62=1,BU62=1),MIN(JR62,JW62),0)</f>
        <v>0</v>
      </c>
      <c r="JZ62" s="1" t="n">
        <f aca="false">JR62-JY62</f>
        <v>0</v>
      </c>
      <c r="KA62" s="1" t="n">
        <f aca="false">IF(CE62=1,IF(ABS((1+AS_Wage)/(1+Slot7_Rate)-1)&lt;0.000000000001,(Slot7_Age-D62)*(1+Slot7_Rate)^(Slot7_Age-D62),(1+Slot7_Rate)^(Slot7_Age-D62)*(1-((1+AS_Wage)/(1+Slot7_Rate))^(Slot7_Age-D62))/(1-(1+AS_Wage)/(1+Slot7_Rate))),1)</f>
        <v>1</v>
      </c>
      <c r="KB62" s="1" t="n">
        <f aca="false">IF(AND(HT62=1,ID62&gt;0,Slot7_IsWG=1,CE62=1),MAX(0,(Slot7_Cost-CF62*(1+Slot7_Rate)^(Slot7_Age-D62))/KA62),0)</f>
        <v>0</v>
      </c>
      <c r="KC62" s="1" t="n">
        <f aca="false">IF(AND(HT62=1,ID62&gt;0,Slot7_IsWG=1,CE62=1),MIN(ID62,KB62),0)</f>
        <v>0</v>
      </c>
      <c r="KD62" s="1" t="n">
        <f aca="false">CF62+KC62</f>
        <v>0</v>
      </c>
      <c r="KE62" s="1" t="n">
        <f aca="false">IF(CE62=1,MAX(0,(Slot7_Cost-KD62*(1+Slot7_Rate)^(Slot7_Age-D62))/KA62),0)</f>
        <v>0</v>
      </c>
      <c r="KF62" s="1" t="n">
        <f aca="false">IF(CE62=1,MAX(0,(Slot7_Cost-CF62*(1+Slot7_Rate)^(Slot7_Age-D62))/KA62),0)</f>
        <v>0</v>
      </c>
      <c r="KG62" s="1" t="n">
        <f aca="false">IF(AND(HT62=1,CE62=1),MIN(JZ62,KE62),0)</f>
        <v>0</v>
      </c>
      <c r="KH62" s="1" t="n">
        <f aca="false">JZ62-KG62</f>
        <v>0</v>
      </c>
      <c r="KI62" s="1" t="n">
        <f aca="false">IF(CO62=1,IF(ABS((1+AS_Wage)/(1+Slot8_Rate)-1)&lt;0.000000000001,(Slot8_Age-D62)*(1+Slot8_Rate)^(Slot8_Age-D62),(1+Slot8_Rate)^(Slot8_Age-D62)*(1-((1+AS_Wage)/(1+Slot8_Rate))^(Slot8_Age-D62))/(1-(1+AS_Wage)/(1+Slot8_Rate))),1)</f>
        <v>1</v>
      </c>
      <c r="KJ62" s="1" t="n">
        <f aca="false">IF(AND(HT62=1,ID62&gt;0,Slot8_IsWG=1,CO62=1),MAX(0,(Slot8_Cost-CP62*(1+Slot8_Rate)^(Slot8_Age-D62))/KI62),0)</f>
        <v>0</v>
      </c>
      <c r="KK62" s="1" t="n">
        <f aca="false">IF(AND(HT62=1,ID62&gt;0,Slot8_IsWG=1,CO62=1),MIN(ID62,KJ62),0)</f>
        <v>0</v>
      </c>
      <c r="KL62" s="1" t="n">
        <f aca="false">CP62+KK62</f>
        <v>0</v>
      </c>
      <c r="KM62" s="1" t="n">
        <f aca="false">IF(CO62=1,MAX(0,(Slot8_Cost-KL62*(1+Slot8_Rate)^(Slot8_Age-D62))/KI62),0)</f>
        <v>0</v>
      </c>
      <c r="KN62" s="1" t="n">
        <f aca="false">IF(CO62=1,MAX(0,(Slot8_Cost-CP62*(1+Slot8_Rate)^(Slot8_Age-D62))/KI62),0)</f>
        <v>0</v>
      </c>
      <c r="KO62" s="1" t="n">
        <f aca="false">IF(AND(HT62=1,CO62=1),MIN(KH62,KM62),0)</f>
        <v>0</v>
      </c>
      <c r="KP62" s="1" t="n">
        <f aca="false">KH62-KO62</f>
        <v>0</v>
      </c>
      <c r="KQ62" s="1" t="n">
        <f aca="false">IF(CY62=1,IF(ABS((1+AS_Wage)/(1+Slot9_Rate)-1)&lt;0.000000000001,(Slot9_Age-D62)*(1+Slot9_Rate)^(Slot9_Age-D62),(1+Slot9_Rate)^(Slot9_Age-D62)*(1-((1+AS_Wage)/(1+Slot9_Rate))^(Slot9_Age-D62))/(1-(1+AS_Wage)/(1+Slot9_Rate))),1)</f>
        <v>1</v>
      </c>
      <c r="KR62" s="1" t="n">
        <f aca="false">IF(AND(HT62=1,ID62&gt;0,Slot9_IsWG=1,CY62=1),MAX(0,(Slot9_Cost-CZ62*(1+Slot9_Rate)^(Slot9_Age-D62))/KQ62),0)</f>
        <v>0</v>
      </c>
      <c r="KS62" s="1" t="n">
        <f aca="false">IF(AND(HT62=1,ID62&gt;0,Slot9_IsWG=1,CY62=1),MIN(ID62,KR62),0)</f>
        <v>0</v>
      </c>
      <c r="KT62" s="1" t="n">
        <f aca="false">CZ62+KS62</f>
        <v>0</v>
      </c>
      <c r="KU62" s="1" t="n">
        <f aca="false">IF(CY62=1,MAX(0,(Slot9_Cost-KT62*(1+Slot9_Rate)^(Slot9_Age-D62))/KQ62),0)</f>
        <v>0</v>
      </c>
      <c r="KV62" s="1" t="n">
        <f aca="false">IF(CY62=1,MAX(0,(Slot9_Cost-CZ62*(1+Slot9_Rate)^(Slot9_Age-D62))/KQ62),0)</f>
        <v>0</v>
      </c>
      <c r="KW62" s="1" t="n">
        <f aca="false">IF(AND(HT62=1,CY62=1),MIN(KP62,KU62),0)</f>
        <v>0</v>
      </c>
      <c r="KX62" s="1" t="n">
        <f aca="false">KP62-KW62</f>
        <v>0</v>
      </c>
      <c r="KY62" s="1" t="n">
        <f aca="false">IF(DI62=1,IF(ABS((1+AS_Wage)/(1+Slot10_Rate)-1)&lt;0.000000000001,(Slot10_Age-D62)*(1+Slot10_Rate)^(Slot10_Age-D62),(1+Slot10_Rate)^(Slot10_Age-D62)*(1-((1+AS_Wage)/(1+Slot10_Rate))^(Slot10_Age-D62))/(1-(1+AS_Wage)/(1+Slot10_Rate))),1)</f>
        <v>1</v>
      </c>
      <c r="KZ62" s="1" t="n">
        <f aca="false">IF(AND(HT62=1,ID62&gt;0,Slot10_IsWG=1,DI62=1),MAX(0,(Slot10_Cost-DJ62*(1+Slot10_Rate)^(Slot10_Age-D62))/KY62),0)</f>
        <v>0</v>
      </c>
      <c r="LA62" s="1" t="n">
        <f aca="false">IF(AND(HT62=1,ID62&gt;0,Slot10_IsWG=1,DI62=1),MIN(ID62,KZ62),0)</f>
        <v>0</v>
      </c>
      <c r="LB62" s="1" t="n">
        <f aca="false">DJ62+LA62</f>
        <v>0</v>
      </c>
      <c r="LC62" s="1" t="n">
        <f aca="false">IF(DI62=1,MAX(0,(Slot10_Cost-LB62*(1+Slot10_Rate)^(Slot10_Age-D62))/KY62),0)</f>
        <v>0</v>
      </c>
      <c r="LD62" s="1" t="n">
        <f aca="false">IF(DI62=1,MAX(0,(Slot10_Cost-DJ62*(1+Slot10_Rate)^(Slot10_Age-D62))/KY62),0)</f>
        <v>0</v>
      </c>
      <c r="LE62" s="1" t="n">
        <f aca="false">IF(AND(HT62=1,DI62=1),MIN(KX62,LC62),0)</f>
        <v>0</v>
      </c>
      <c r="LF62" s="1" t="n">
        <f aca="false">KX62-LE62</f>
        <v>0</v>
      </c>
      <c r="LG62" s="1" t="n">
        <f aca="false">IF(DS62=1,IF(ABS((1+AS_Wage)/(1+Slot11_Rate)-1)&lt;0.000000000001,(Slot11_Age-D62)*(1+Slot11_Rate)^(Slot11_Age-D62),(1+Slot11_Rate)^(Slot11_Age-D62)*(1-((1+AS_Wage)/(1+Slot11_Rate))^(Slot11_Age-D62))/(1-(1+AS_Wage)/(1+Slot11_Rate))),1)</f>
        <v>1</v>
      </c>
      <c r="LH62" s="1" t="n">
        <f aca="false">IF(AND(HT62=1,ID62&gt;0,Slot11_IsWG=1,DS62=1),MAX(0,(Slot11_Cost-DT62*(1+Slot11_Rate)^(Slot11_Age-D62))/LG62),0)</f>
        <v>0</v>
      </c>
      <c r="LI62" s="1" t="n">
        <f aca="false">IF(AND(HT62=1,ID62&gt;0,Slot11_IsWG=1,DS62=1),MIN(ID62,LH62),0)</f>
        <v>0</v>
      </c>
      <c r="LJ62" s="1" t="n">
        <f aca="false">DT62+LI62</f>
        <v>0</v>
      </c>
      <c r="LK62" s="1" t="n">
        <f aca="false">IF(DS62=1,MAX(0,(Slot11_Cost-LJ62*(1+Slot11_Rate)^(Slot11_Age-D62))/LG62),0)</f>
        <v>0</v>
      </c>
      <c r="LL62" s="1" t="n">
        <f aca="false">IF(DS62=1,MAX(0,(Slot11_Cost-DT62*(1+Slot11_Rate)^(Slot11_Age-D62))/LG62),0)</f>
        <v>0</v>
      </c>
      <c r="LM62" s="1" t="n">
        <f aca="false">IF(AND(HT62=1,DS62=1),MIN(LF62,LK62),0)</f>
        <v>0</v>
      </c>
      <c r="LN62" s="1" t="n">
        <f aca="false">LF62-LM62</f>
        <v>0</v>
      </c>
      <c r="LO62" s="1" t="n">
        <f aca="false">IF(EC62=1,IF(ABS((1+AS_Wage)/(1+Slot12_Rate)-1)&lt;0.000000000001,(Slot12_Age-D62)*(1+Slot12_Rate)^(Slot12_Age-D62),(1+Slot12_Rate)^(Slot12_Age-D62)*(1-((1+AS_Wage)/(1+Slot12_Rate))^(Slot12_Age-D62))/(1-(1+AS_Wage)/(1+Slot12_Rate))),1)</f>
        <v>1</v>
      </c>
      <c r="LP62" s="1" t="n">
        <f aca="false">IF(AND(HT62=1,ID62&gt;0,Slot12_IsWG=1,EC62=1),MAX(0,(Slot12_Cost-ED62*(1+Slot12_Rate)^(Slot12_Age-D62))/LO62),0)</f>
        <v>0</v>
      </c>
      <c r="LQ62" s="1" t="n">
        <f aca="false">IF(AND(HT62=1,ID62&gt;0,Slot12_IsWG=1,EC62=1),MIN(ID62,LP62),0)</f>
        <v>0</v>
      </c>
      <c r="LR62" s="1" t="n">
        <f aca="false">ED62+LQ62</f>
        <v>0</v>
      </c>
      <c r="LS62" s="1" t="n">
        <f aca="false">IF(EC62=1,MAX(0,(Slot12_Cost-LR62*(1+Slot12_Rate)^(Slot12_Age-D62))/LO62),0)</f>
        <v>0</v>
      </c>
      <c r="LT62" s="1" t="n">
        <f aca="false">IF(EC62=1,MAX(0,(Slot12_Cost-ED62*(1+Slot12_Rate)^(Slot12_Age-D62))/LO62),0)</f>
        <v>0</v>
      </c>
      <c r="LU62" s="1" t="n">
        <f aca="false">IF(AND(HT62=1,EC62=1),MIN(LN62,LS62),0)</f>
        <v>0</v>
      </c>
      <c r="LV62" s="1" t="n">
        <f aca="false">LN62-LU62</f>
        <v>0</v>
      </c>
      <c r="LW62" s="1" t="n">
        <f aca="false">IF(EM62=1,IF(ABS((1+AS_Wage)/(1+Slot13_Rate)-1)&lt;0.000000000001,(Slot13_Age-D62)*(1+Slot13_Rate)^(Slot13_Age-D62),(1+Slot13_Rate)^(Slot13_Age-D62)*(1-((1+AS_Wage)/(1+Slot13_Rate))^(Slot13_Age-D62))/(1-(1+AS_Wage)/(1+Slot13_Rate))),1)</f>
        <v>1</v>
      </c>
      <c r="LX62" s="1" t="n">
        <f aca="false">IF(AND(HT62=1,ID62&gt;0,Slot13_IsWG=1,EM62=1),MAX(0,(Slot13_Cost-EN62*(1+Slot13_Rate)^(Slot13_Age-D62))/LW62),0)</f>
        <v>0</v>
      </c>
      <c r="LY62" s="1" t="n">
        <f aca="false">IF(AND(HT62=1,ID62&gt;0,Slot13_IsWG=1,EM62=1),MIN(ID62,LX62),0)</f>
        <v>0</v>
      </c>
      <c r="LZ62" s="1" t="n">
        <f aca="false">EN62+LY62</f>
        <v>0</v>
      </c>
      <c r="MA62" s="1" t="n">
        <f aca="false">IF(EM62=1,MAX(0,(Slot13_Cost-LZ62*(1+Slot13_Rate)^(Slot13_Age-D62))/LW62),0)</f>
        <v>0</v>
      </c>
      <c r="MB62" s="1" t="n">
        <f aca="false">IF(EM62=1,MAX(0,(Slot13_Cost-EN62*(1+Slot13_Rate)^(Slot13_Age-D62))/LW62),0)</f>
        <v>0</v>
      </c>
      <c r="MC62" s="1" t="n">
        <f aca="false">IF(AND(HT62=1,EM62=1),MIN(LV62,MA62),0)</f>
        <v>0</v>
      </c>
      <c r="MD62" s="1" t="n">
        <f aca="false">LV62-MC62</f>
        <v>0</v>
      </c>
      <c r="ME62" s="1" t="n">
        <f aca="false">IF(EW62=1,IF(ABS((1+AS_Wage)/(1+Slot14_Rate)-1)&lt;0.000000000001,(Slot14_Age-D62)*(1+Slot14_Rate)^(Slot14_Age-D62),(1+Slot14_Rate)^(Slot14_Age-D62)*(1-((1+AS_Wage)/(1+Slot14_Rate))^(Slot14_Age-D62))/(1-(1+AS_Wage)/(1+Slot14_Rate))),1)</f>
        <v>1</v>
      </c>
      <c r="MF62" s="1" t="n">
        <f aca="false">IF(AND(HT62=1,ID62&gt;0,Slot14_IsWG=1,EW62=1),MAX(0,(Slot14_Cost-EX62*(1+Slot14_Rate)^(Slot14_Age-D62))/ME62),0)</f>
        <v>0</v>
      </c>
      <c r="MG62" s="1" t="n">
        <f aca="false">IF(AND(HT62=1,ID62&gt;0,Slot14_IsWG=1,EW62=1),MIN(ID62,MF62),0)</f>
        <v>0</v>
      </c>
      <c r="MH62" s="1" t="n">
        <f aca="false">EX62+MG62</f>
        <v>0</v>
      </c>
      <c r="MI62" s="1" t="n">
        <f aca="false">IF(EW62=1,MAX(0,(Slot14_Cost-MH62*(1+Slot14_Rate)^(Slot14_Age-D62))/ME62),0)</f>
        <v>0</v>
      </c>
      <c r="MJ62" s="1" t="n">
        <f aca="false">IF(EW62=1,MAX(0,(Slot14_Cost-EX62*(1+Slot14_Rate)^(Slot14_Age-D62))/ME62),0)</f>
        <v>0</v>
      </c>
      <c r="MK62" s="1" t="n">
        <f aca="false">IF(AND(HT62=1,EW62=1),MIN(MD62,MI62),0)</f>
        <v>0</v>
      </c>
      <c r="ML62" s="1" t="n">
        <f aca="false">MD62-MK62</f>
        <v>0</v>
      </c>
      <c r="MM62" s="1" t="n">
        <f aca="false">IF(FG62=1,IF(ABS((1+AS_Wage)/(1+Slot15_Rate)-1)&lt;0.000000000001,(Slot15_Age-D62)*(1+Slot15_Rate)^(Slot15_Age-D62),(1+Slot15_Rate)^(Slot15_Age-D62)*(1-((1+AS_Wage)/(1+Slot15_Rate))^(Slot15_Age-D62))/(1-(1+AS_Wage)/(1+Slot15_Rate))),1)</f>
        <v>1</v>
      </c>
      <c r="MN62" s="1" t="n">
        <f aca="false">IF(AND(HT62=1,ID62&gt;0,Slot15_IsWG=1,FG62=1),MAX(0,(Slot15_Cost-FH62*(1+Slot15_Rate)^(Slot15_Age-D62))/MM62),0)</f>
        <v>0</v>
      </c>
      <c r="MO62" s="1" t="n">
        <f aca="false">IF(AND(HT62=1,ID62&gt;0,Slot15_IsWG=1,FG62=1),MIN(ID62,MN62),0)</f>
        <v>0</v>
      </c>
      <c r="MP62" s="1" t="n">
        <f aca="false">FH62+MO62</f>
        <v>0</v>
      </c>
      <c r="MQ62" s="1" t="n">
        <f aca="false">IF(FG62=1,MAX(0,(Slot15_Cost-MP62*(1+Slot15_Rate)^(Slot15_Age-D62))/MM62),0)</f>
        <v>0</v>
      </c>
      <c r="MR62" s="1" t="n">
        <f aca="false">IF(FG62=1,MAX(0,(Slot15_Cost-FH62*(1+Slot15_Rate)^(Slot15_Age-D62))/MM62),0)</f>
        <v>0</v>
      </c>
      <c r="MS62" s="1" t="n">
        <f aca="false">IF(AND(HT62=1,FG62=1),MIN(ML62,MQ62),0)</f>
        <v>0</v>
      </c>
      <c r="MT62" s="1" t="n">
        <f aca="false">ML62-MS62</f>
        <v>0</v>
      </c>
      <c r="MU62" s="1" t="n">
        <f aca="false">IF(FQ62=1,IF(ABS((1+AS_Wage)/(1+Slot16_Rate)-1)&lt;0.000000000001,(Slot16_Age-D62)*(1+Slot16_Rate)^(Slot16_Age-D62),(1+Slot16_Rate)^(Slot16_Age-D62)*(1-((1+AS_Wage)/(1+Slot16_Rate))^(Slot16_Age-D62))/(1-(1+AS_Wage)/(1+Slot16_Rate))),1)</f>
        <v>1</v>
      </c>
      <c r="MV62" s="1" t="n">
        <f aca="false">IF(AND(HT62=1,ID62&gt;0,Slot16_IsWG=1,FQ62=1),MAX(0,(Slot16_Cost-FR62*(1+Slot16_Rate)^(Slot16_Age-D62))/MU62),0)</f>
        <v>0</v>
      </c>
      <c r="MW62" s="1" t="n">
        <f aca="false">IF(AND(HT62=1,ID62&gt;0,Slot16_IsWG=1,FQ62=1),MIN(ID62,MV62),0)</f>
        <v>0</v>
      </c>
      <c r="MX62" s="1" t="n">
        <f aca="false">FR62+MW62</f>
        <v>0</v>
      </c>
      <c r="MY62" s="1" t="n">
        <f aca="false">IF(FQ62=1,MAX(0,(Slot16_Cost-MX62*(1+Slot16_Rate)^(Slot16_Age-D62))/MU62),0)</f>
        <v>0</v>
      </c>
      <c r="MZ62" s="1" t="n">
        <f aca="false">IF(FQ62=1,MAX(0,(Slot16_Cost-FR62*(1+Slot16_Rate)^(Slot16_Age-D62))/MU62),0)</f>
        <v>0</v>
      </c>
      <c r="NA62" s="1" t="n">
        <f aca="false">IF(AND(HT62=1,FQ62=1),MIN(MT62,MY62),0)</f>
        <v>0</v>
      </c>
      <c r="NB62" s="1" t="n">
        <f aca="false">MT62-NA62</f>
        <v>0</v>
      </c>
      <c r="NC62" s="1" t="n">
        <f aca="false">IF(GA62=1,IF(ABS((1+AS_Wage)/(1+Slot17_Rate)-1)&lt;0.000000000001,(Slot17_Age-D62)*(1+Slot17_Rate)^(Slot17_Age-D62),(1+Slot17_Rate)^(Slot17_Age-D62)*(1-((1+AS_Wage)/(1+Slot17_Rate))^(Slot17_Age-D62))/(1-(1+AS_Wage)/(1+Slot17_Rate))),1)</f>
        <v>1</v>
      </c>
      <c r="ND62" s="1" t="n">
        <f aca="false">IF(AND(HT62=1,ID62&gt;0,Slot17_IsWG=1,GA62=1),MAX(0,(Slot17_Cost-GB62*(1+Slot17_Rate)^(Slot17_Age-D62))/NC62),0)</f>
        <v>0</v>
      </c>
      <c r="NE62" s="1" t="n">
        <f aca="false">IF(AND(HT62=1,ID62&gt;0,Slot17_IsWG=1,GA62=1),MIN(ID62,ND62),0)</f>
        <v>0</v>
      </c>
      <c r="NF62" s="1" t="n">
        <f aca="false">GB62+NE62</f>
        <v>0</v>
      </c>
      <c r="NG62" s="1" t="n">
        <f aca="false">IF(GA62=1,MAX(0,(Slot17_Cost-NF62*(1+Slot17_Rate)^(Slot17_Age-D62))/NC62),0)</f>
        <v>0</v>
      </c>
      <c r="NH62" s="1" t="n">
        <f aca="false">IF(GA62=1,MAX(0,(Slot17_Cost-GB62*(1+Slot17_Rate)^(Slot17_Age-D62))/NC62),0)</f>
        <v>0</v>
      </c>
      <c r="NI62" s="1" t="n">
        <f aca="false">IF(AND(HT62=1,GA62=1),MIN(NB62,NG62),0)</f>
        <v>0</v>
      </c>
      <c r="NJ62" s="1" t="n">
        <f aca="false">NB62-NI62</f>
        <v>0</v>
      </c>
      <c r="NK62" s="1" t="n">
        <f aca="false">IF(GK62=1,IF(ABS((1+AS_Wage)/(1+Slot18_Rate)-1)&lt;0.000000000001,(Slot18_Age-D62)*(1+Slot18_Rate)^(Slot18_Age-D62),(1+Slot18_Rate)^(Slot18_Age-D62)*(1-((1+AS_Wage)/(1+Slot18_Rate))^(Slot18_Age-D62))/(1-(1+AS_Wage)/(1+Slot18_Rate))),1)</f>
        <v>1</v>
      </c>
      <c r="NL62" s="1" t="n">
        <f aca="false">IF(AND(HT62=1,ID62&gt;0,Slot18_IsWG=1,GK62=1),MAX(0,(Slot18_Cost-GL62*(1+Slot18_Rate)^(Slot18_Age-D62))/NK62),0)</f>
        <v>0</v>
      </c>
      <c r="NM62" s="1" t="n">
        <f aca="false">IF(AND(HT62=1,ID62&gt;0,Slot18_IsWG=1,GK62=1),MIN(ID62,NL62),0)</f>
        <v>0</v>
      </c>
      <c r="NN62" s="1" t="n">
        <f aca="false">GL62+NM62</f>
        <v>0</v>
      </c>
      <c r="NO62" s="1" t="n">
        <f aca="false">IF(GK62=1,MAX(0,(Slot18_Cost-NN62*(1+Slot18_Rate)^(Slot18_Age-D62))/NK62),0)</f>
        <v>0</v>
      </c>
      <c r="NP62" s="1" t="n">
        <f aca="false">IF(GK62=1,MAX(0,(Slot18_Cost-GL62*(1+Slot18_Rate)^(Slot18_Age-D62))/NK62),0)</f>
        <v>0</v>
      </c>
      <c r="NQ62" s="1" t="n">
        <f aca="false">IF(AND(HT62=1,GK62=1),MIN(NJ62,NO62),0)</f>
        <v>0</v>
      </c>
      <c r="NR62" s="1" t="n">
        <f aca="false">NJ62-NQ62</f>
        <v>0</v>
      </c>
      <c r="NS62" s="1" t="n">
        <f aca="false">IF(GU62=1,IF(ABS((1+AS_Wage)/(1+Slot19_Rate)-1)&lt;0.000000000001,(Slot19_Age-D62)*(1+Slot19_Rate)^(Slot19_Age-D62),(1+Slot19_Rate)^(Slot19_Age-D62)*(1-((1+AS_Wage)/(1+Slot19_Rate))^(Slot19_Age-D62))/(1-(1+AS_Wage)/(1+Slot19_Rate))),1)</f>
        <v>1</v>
      </c>
      <c r="NT62" s="1" t="n">
        <f aca="false">IF(AND(HT62=1,ID62&gt;0,Slot19_IsWG=1,GU62=1),MAX(0,(Slot19_Cost-GV62*(1+Slot19_Rate)^(Slot19_Age-D62))/NS62),0)</f>
        <v>0</v>
      </c>
      <c r="NU62" s="1" t="n">
        <f aca="false">IF(AND(HT62=1,ID62&gt;0,Slot19_IsWG=1,GU62=1),MIN(ID62,NT62),0)</f>
        <v>0</v>
      </c>
      <c r="NV62" s="1" t="n">
        <f aca="false">GV62+NU62</f>
        <v>0</v>
      </c>
      <c r="NW62" s="1" t="n">
        <f aca="false">IF(GU62=1,MAX(0,(Slot19_Cost-NV62*(1+Slot19_Rate)^(Slot19_Age-D62))/NS62),0)</f>
        <v>0</v>
      </c>
      <c r="NX62" s="1" t="n">
        <f aca="false">IF(GU62=1,MAX(0,(Slot19_Cost-GV62*(1+Slot19_Rate)^(Slot19_Age-D62))/NS62),0)</f>
        <v>0</v>
      </c>
      <c r="NY62" s="1" t="n">
        <f aca="false">IF(AND(HT62=1,GU62=1),MIN(NR62,NW62),0)</f>
        <v>0</v>
      </c>
      <c r="NZ62" s="1" t="n">
        <f aca="false">NR62-NY62</f>
        <v>0</v>
      </c>
      <c r="OA62" s="1" t="n">
        <f aca="false">IF(HE62=1,IF(ABS((1+AS_Wage)/(1+Slot20_Rate)-1)&lt;0.000000000001,(Slot20_Age-D62)*(1+Slot20_Rate)^(Slot20_Age-D62),(1+Slot20_Rate)^(Slot20_Age-D62)*(1-((1+AS_Wage)/(1+Slot20_Rate))^(Slot20_Age-D62))/(1-(1+AS_Wage)/(1+Slot20_Rate))),1)</f>
        <v>1</v>
      </c>
      <c r="OB62" s="1" t="n">
        <f aca="false">IF(AND(HT62=1,ID62&gt;0,Slot20_IsWG=1,HE62=1),MAX(0,(Slot20_Cost-HF62*(1+Slot20_Rate)^(Slot20_Age-D62))/OA62),0)</f>
        <v>0</v>
      </c>
      <c r="OC62" s="1" t="n">
        <f aca="false">IF(AND(HT62=1,ID62&gt;0,Slot20_IsWG=1,HE62=1),MIN(ID62,OB62),0)</f>
        <v>0</v>
      </c>
      <c r="OD62" s="1" t="n">
        <f aca="false">HF62+OC62</f>
        <v>0</v>
      </c>
      <c r="OE62" s="1" t="n">
        <f aca="false">IF(HE62=1,MAX(0,(Slot20_Cost-OD62*(1+Slot20_Rate)^(Slot20_Age-D62))/OA62),0)</f>
        <v>0</v>
      </c>
      <c r="OF62" s="1" t="n">
        <f aca="false">IF(HE62=1,MAX(0,(Slot20_Cost-HF62*(1+Slot20_Rate)^(Slot20_Age-D62))/OA62),0)</f>
        <v>0</v>
      </c>
      <c r="OG62" s="1" t="n">
        <f aca="false">IF(AND(HT62=1,HE62=1),MIN(NZ62,OE62),0)</f>
        <v>0</v>
      </c>
      <c r="OH62" s="1" t="n">
        <f aca="false">NZ62-OG62</f>
        <v>0</v>
      </c>
      <c r="OI62" s="1" t="n">
        <f aca="false">ID62-(IG62+IO62+IW62+JE62+JM62+JU62+KC62+KK62+KS62+LA62+LI62+LQ62+LY62+MG62+MO62+MW62+NE62+NM62+NU62+OC62)</f>
        <v>0</v>
      </c>
      <c r="OJ62" s="1" t="n">
        <f aca="false">IF(HT62=1,HR62-IC62-ID62,0)</f>
        <v>0</v>
      </c>
      <c r="OK62" s="1" t="n">
        <f aca="false">IF(HT62=0,-HR62,0)</f>
        <v>0</v>
      </c>
      <c r="OL62" s="1" t="n">
        <f aca="false">MIN(OK62,HJ62)</f>
        <v>0</v>
      </c>
      <c r="OM62" s="1" t="n">
        <f aca="false">OK62-OL62</f>
        <v>0</v>
      </c>
      <c r="ON62" s="1" t="n">
        <f aca="false">MIN(OM62,HK62)</f>
        <v>0</v>
      </c>
      <c r="OO62" s="1" t="n">
        <f aca="false">OM62-ON62</f>
        <v>0</v>
      </c>
      <c r="OP62" s="1" t="n">
        <f aca="false">IF(AND(HT62=0,HE62=1,OO62&gt;0),MIN(OO62,HF62),0)</f>
        <v>0</v>
      </c>
      <c r="OQ62" s="1" t="n">
        <f aca="false">OO62-OP62</f>
        <v>0</v>
      </c>
      <c r="OR62" s="1" t="n">
        <f aca="false">IF(AND(HT62=0,GU62=1,OQ62&gt;0),MIN(OQ62,GV62),0)</f>
        <v>0</v>
      </c>
      <c r="OS62" s="1" t="n">
        <f aca="false">OQ62-OR62</f>
        <v>0</v>
      </c>
      <c r="OT62" s="1" t="n">
        <f aca="false">IF(AND(HT62=0,GK62=1,OS62&gt;0),MIN(OS62,GL62),0)</f>
        <v>0</v>
      </c>
      <c r="OU62" s="1" t="n">
        <f aca="false">OS62-OT62</f>
        <v>0</v>
      </c>
      <c r="OV62" s="1" t="n">
        <f aca="false">IF(AND(HT62=0,GA62=1,OU62&gt;0),MIN(OU62,GB62),0)</f>
        <v>0</v>
      </c>
      <c r="OW62" s="1" t="n">
        <f aca="false">OU62-OV62</f>
        <v>0</v>
      </c>
      <c r="OX62" s="1" t="n">
        <f aca="false">IF(AND(HT62=0,FQ62=1,OW62&gt;0),MIN(OW62,FR62),0)</f>
        <v>0</v>
      </c>
      <c r="OY62" s="1" t="n">
        <f aca="false">OW62-OX62</f>
        <v>0</v>
      </c>
      <c r="OZ62" s="1" t="n">
        <f aca="false">IF(AND(HT62=0,FG62=1,OY62&gt;0),MIN(OY62,FH62),0)</f>
        <v>0</v>
      </c>
      <c r="PA62" s="1" t="n">
        <f aca="false">OY62-OZ62</f>
        <v>0</v>
      </c>
      <c r="PB62" s="1" t="n">
        <f aca="false">IF(AND(HT62=0,EW62=1,PA62&gt;0),MIN(PA62,EX62),0)</f>
        <v>0</v>
      </c>
      <c r="PC62" s="1" t="n">
        <f aca="false">PA62-PB62</f>
        <v>0</v>
      </c>
      <c r="PD62" s="1" t="n">
        <f aca="false">IF(AND(HT62=0,EM62=1,PC62&gt;0),MIN(PC62,EN62),0)</f>
        <v>0</v>
      </c>
      <c r="PE62" s="1" t="n">
        <f aca="false">PC62-PD62</f>
        <v>0</v>
      </c>
      <c r="PF62" s="1" t="n">
        <f aca="false">IF(AND(HT62=0,EC62=1,PE62&gt;0),MIN(PE62,ED62),0)</f>
        <v>0</v>
      </c>
      <c r="PG62" s="1" t="n">
        <f aca="false">PE62-PF62</f>
        <v>0</v>
      </c>
      <c r="PH62" s="1" t="n">
        <f aca="false">IF(AND(HT62=0,DS62=1,PG62&gt;0),MIN(PG62,DT62),0)</f>
        <v>0</v>
      </c>
      <c r="PI62" s="1" t="n">
        <f aca="false">PG62-PH62</f>
        <v>0</v>
      </c>
      <c r="PJ62" s="1" t="n">
        <f aca="false">IF(AND(HT62=0,DI62=1,PI62&gt;0),MIN(PI62,DJ62),0)</f>
        <v>0</v>
      </c>
      <c r="PK62" s="1" t="n">
        <f aca="false">PI62-PJ62</f>
        <v>0</v>
      </c>
      <c r="PL62" s="1" t="n">
        <f aca="false">IF(AND(HT62=0,CY62=1,PK62&gt;0),MIN(PK62,CZ62),0)</f>
        <v>0</v>
      </c>
      <c r="PM62" s="1" t="n">
        <f aca="false">PK62-PL62</f>
        <v>0</v>
      </c>
      <c r="PN62" s="1" t="n">
        <f aca="false">IF(AND(HT62=0,CO62=1,PM62&gt;0),MIN(PM62,CP62),0)</f>
        <v>0</v>
      </c>
      <c r="PO62" s="1" t="n">
        <f aca="false">PM62-PN62</f>
        <v>0</v>
      </c>
      <c r="PP62" s="1" t="n">
        <f aca="false">IF(AND(HT62=0,CE62=1,PO62&gt;0),MIN(PO62,CF62),0)</f>
        <v>0</v>
      </c>
      <c r="PQ62" s="1" t="n">
        <f aca="false">PO62-PP62</f>
        <v>0</v>
      </c>
      <c r="PR62" s="1" t="n">
        <f aca="false">IF(AND(HT62=0,BU62=1,PQ62&gt;0),MIN(PQ62,BV62),0)</f>
        <v>0</v>
      </c>
      <c r="PS62" s="1" t="n">
        <f aca="false">PQ62-PR62</f>
        <v>0</v>
      </c>
      <c r="PT62" s="1" t="n">
        <f aca="false">IF(AND(HT62=0,BK62=1,PS62&gt;0),MIN(PS62,BL62),0)</f>
        <v>0</v>
      </c>
      <c r="PU62" s="1" t="n">
        <f aca="false">PS62-PT62</f>
        <v>0</v>
      </c>
      <c r="PV62" s="1" t="n">
        <f aca="false">IF(AND(HT62=0,BA62=1,PU62&gt;0),MIN(PU62,BB62),0)</f>
        <v>0</v>
      </c>
      <c r="PW62" s="1" t="n">
        <f aca="false">PU62-PV62</f>
        <v>0</v>
      </c>
      <c r="PX62" s="1" t="n">
        <f aca="false">IF(AND(HT62=0,AQ62=1,PW62&gt;0),MIN(PW62,AR62),0)</f>
        <v>0</v>
      </c>
      <c r="PY62" s="1" t="n">
        <f aca="false">PW62-PX62</f>
        <v>0</v>
      </c>
      <c r="PZ62" s="1" t="n">
        <f aca="false">IF(AND(HT62=0,AG62=1,PY62&gt;0),MIN(PY62,AH62),0)</f>
        <v>0</v>
      </c>
      <c r="QA62" s="1" t="n">
        <f aca="false">PY62-PZ62</f>
        <v>0</v>
      </c>
      <c r="QB62" s="1" t="n">
        <f aca="false">IF(AND(HT62=0,V62=1,QA62&gt;0),MIN(QA62,W62),0)</f>
        <v>0</v>
      </c>
      <c r="QC62" s="1" t="n">
        <f aca="false">QA62-QB62</f>
        <v>0</v>
      </c>
      <c r="QD62" s="1" t="n">
        <f aca="false">IF(HT62=0,QC62,0)</f>
        <v>0</v>
      </c>
      <c r="QE62" s="1" t="n">
        <f aca="false">OL62+ON62+QB62+PZ62+PX62+PV62+PT62+PR62+PP62+PN62+PL62+PJ62+PH62+PF62+PD62+PB62+OZ62+OX62+OV62+OT62+OR62+OP62</f>
        <v>0</v>
      </c>
      <c r="QF62" s="1" t="n">
        <f aca="false">IF(HT62=1,HJ62+OI62+OH62+IF(F62=1,0,OJ62),HJ62-OL62)</f>
        <v>0</v>
      </c>
      <c r="QG62" s="1" t="n">
        <f aca="false">HK62-ON62</f>
        <v>0</v>
      </c>
      <c r="QH62" s="1" t="n">
        <f aca="false">IF(HT62=1,IF(F62=1,IC62+ID62,HR62),0)</f>
        <v>0</v>
      </c>
      <c r="QI62" s="1" t="n">
        <f aca="false">IF(HT62=1,IF(F62=1,HR62-IC62-ID62,0),0)</f>
        <v>0</v>
      </c>
      <c r="QJ62" s="1" t="n">
        <f aca="false">QF62*(1+GR)</f>
        <v>0</v>
      </c>
      <c r="QK62" s="1" t="n">
        <f aca="false">QG62*(1+AS_Cash)</f>
        <v>0</v>
      </c>
      <c r="QL62" s="1" t="n">
        <f aca="false">IF(V62=1,IF(HT62=1,IH62+IK62,W62-QB62)*(1+Slot1_Rate),0)</f>
        <v>0</v>
      </c>
      <c r="QM62" s="1" t="n">
        <f aca="false">IF(AND(HT62=1,V62=1),(IG62+IK62)/E62,0)</f>
        <v>0</v>
      </c>
      <c r="QN62" s="1" t="n">
        <f aca="false">IF(B62=0,IG62+IK62,0)</f>
        <v>0</v>
      </c>
      <c r="QO62" s="1" t="n">
        <f aca="false">IF(B62=0,IF(HT62=1,II62,IJ62),0)</f>
        <v>0</v>
      </c>
      <c r="QP62" s="1" t="n">
        <f aca="false">IF(AG62=1,IF(HT62=1,IP62+IS62,AH62-PZ62)*(1+Slot2_Rate),0)</f>
        <v>0</v>
      </c>
      <c r="QQ62" s="1" t="n">
        <f aca="false">IF(AND(HT62=1,AG62=1),(IO62+IS62)/E62,0)</f>
        <v>0</v>
      </c>
      <c r="QR62" s="1" t="n">
        <f aca="false">IF(B62=0,IO62+IS62,0)</f>
        <v>0</v>
      </c>
      <c r="QS62" s="1" t="n">
        <f aca="false">IF(B62=0,IF(HT62=1,IQ62,IR62),0)</f>
        <v>0</v>
      </c>
      <c r="QT62" s="1" t="n">
        <f aca="false">IF(AQ62=1,IF(HT62=1,IX62+JA62,AR62-PX62)*(1+Slot3_Rate),0)</f>
        <v>0</v>
      </c>
      <c r="QU62" s="1" t="n">
        <f aca="false">IF(AND(HT62=1,AQ62=1),(IW62+JA62)/E62,0)</f>
        <v>0</v>
      </c>
      <c r="QV62" s="1" t="n">
        <f aca="false">IF(B62=0,IW62+JA62,0)</f>
        <v>0</v>
      </c>
      <c r="QW62" s="1" t="n">
        <f aca="false">IF(B62=0,IF(HT62=1,IY62,IZ62),0)</f>
        <v>0</v>
      </c>
      <c r="QX62" s="1" t="n">
        <f aca="false">IF(BA62=1,IF(HT62=1,JF62+JI62,BB62-PV62)*(1+Slot4_Rate),0)</f>
        <v>0</v>
      </c>
      <c r="QY62" s="1" t="n">
        <f aca="false">IF(AND(HT62=1,BA62=1),(JE62+JI62)/E62,0)</f>
        <v>0</v>
      </c>
      <c r="QZ62" s="1" t="n">
        <f aca="false">IF(B62=0,JE62+JI62,0)</f>
        <v>0</v>
      </c>
      <c r="RA62" s="1" t="n">
        <f aca="false">IF(B62=0,IF(HT62=1,JG62,JH62),0)</f>
        <v>0</v>
      </c>
      <c r="RB62" s="1" t="n">
        <f aca="false">IF(BK62=1,IF(HT62=1,JN62+JQ62,BL62-PT62)*(1+Slot5_Rate),0)</f>
        <v>0</v>
      </c>
      <c r="RC62" s="1" t="n">
        <f aca="false">IF(AND(HT62=1,BK62=1),(JM62+JQ62)/E62,0)</f>
        <v>0</v>
      </c>
      <c r="RD62" s="1" t="n">
        <f aca="false">IF(B62=0,JM62+JQ62,0)</f>
        <v>0</v>
      </c>
      <c r="RE62" s="1" t="n">
        <f aca="false">IF(B62=0,IF(HT62=1,JO62,JP62),0)</f>
        <v>0</v>
      </c>
      <c r="RF62" s="1" t="n">
        <f aca="false">IF(BU62=1,IF(HT62=1,JV62+JY62,BV62-PR62)*(1+Slot6_Rate),0)</f>
        <v>0</v>
      </c>
      <c r="RG62" s="1" t="n">
        <f aca="false">IF(AND(HT62=1,BU62=1),(JU62+JY62)/E62,0)</f>
        <v>0</v>
      </c>
      <c r="RH62" s="1" t="n">
        <f aca="false">IF(B62=0,JU62+JY62,0)</f>
        <v>0</v>
      </c>
      <c r="RI62" s="1" t="n">
        <f aca="false">IF(B62=0,IF(HT62=1,JW62,JX62),0)</f>
        <v>0</v>
      </c>
      <c r="RJ62" s="1" t="n">
        <f aca="false">IF(CE62=1,IF(HT62=1,KD62+KG62,CF62-PP62)*(1+Slot7_Rate),0)</f>
        <v>0</v>
      </c>
      <c r="RK62" s="1" t="n">
        <f aca="false">IF(AND(HT62=1,CE62=1),(KC62+KG62)/E62,0)</f>
        <v>0</v>
      </c>
      <c r="RL62" s="1" t="n">
        <f aca="false">IF(B62=0,KC62+KG62,0)</f>
        <v>0</v>
      </c>
      <c r="RM62" s="1" t="n">
        <f aca="false">IF(B62=0,IF(HT62=1,KE62,KF62),0)</f>
        <v>0</v>
      </c>
      <c r="RN62" s="1" t="n">
        <f aca="false">IF(CO62=1,IF(HT62=1,KL62+KO62,CP62-PN62)*(1+Slot8_Rate),0)</f>
        <v>0</v>
      </c>
      <c r="RO62" s="1" t="n">
        <f aca="false">IF(AND(HT62=1,CO62=1),(KK62+KO62)/E62,0)</f>
        <v>0</v>
      </c>
      <c r="RP62" s="1" t="n">
        <f aca="false">IF(B62=0,KK62+KO62,0)</f>
        <v>0</v>
      </c>
      <c r="RQ62" s="1" t="n">
        <f aca="false">IF(B62=0,IF(HT62=1,KM62,KN62),0)</f>
        <v>0</v>
      </c>
      <c r="RR62" s="1" t="n">
        <f aca="false">IF(CY62=1,IF(HT62=1,KT62+KW62,CZ62-PL62)*(1+Slot9_Rate),0)</f>
        <v>0</v>
      </c>
      <c r="RS62" s="1" t="n">
        <f aca="false">IF(AND(HT62=1,CY62=1),(KS62+KW62)/E62,0)</f>
        <v>0</v>
      </c>
      <c r="RT62" s="1" t="n">
        <f aca="false">IF(B62=0,KS62+KW62,0)</f>
        <v>0</v>
      </c>
      <c r="RU62" s="1" t="n">
        <f aca="false">IF(B62=0,IF(HT62=1,KU62,KV62),0)</f>
        <v>0</v>
      </c>
      <c r="RV62" s="1" t="n">
        <f aca="false">IF(DI62=1,IF(HT62=1,LB62+LE62,DJ62-PJ62)*(1+Slot10_Rate),0)</f>
        <v>0</v>
      </c>
      <c r="RW62" s="1" t="n">
        <f aca="false">IF(AND(HT62=1,DI62=1),(LA62+LE62)/E62,0)</f>
        <v>0</v>
      </c>
      <c r="RX62" s="1" t="n">
        <f aca="false">IF(B62=0,LA62+LE62,0)</f>
        <v>0</v>
      </c>
      <c r="RY62" s="1" t="n">
        <f aca="false">IF(B62=0,IF(HT62=1,LC62,LD62),0)</f>
        <v>0</v>
      </c>
      <c r="RZ62" s="1" t="n">
        <f aca="false">IF(DS62=1,IF(HT62=1,LJ62+LM62,DT62-PH62)*(1+Slot11_Rate),0)</f>
        <v>0</v>
      </c>
      <c r="SA62" s="1" t="n">
        <f aca="false">IF(AND(HT62=1,DS62=1),(LI62+LM62)/E62,0)</f>
        <v>0</v>
      </c>
      <c r="SB62" s="1" t="n">
        <f aca="false">IF(B62=0,LI62+LM62,0)</f>
        <v>0</v>
      </c>
      <c r="SC62" s="1" t="n">
        <f aca="false">IF(B62=0,IF(HT62=1,LK62,LL62),0)</f>
        <v>0</v>
      </c>
      <c r="SD62" s="1" t="n">
        <f aca="false">IF(EC62=1,IF(HT62=1,LR62+LU62,ED62-PF62)*(1+Slot12_Rate),0)</f>
        <v>0</v>
      </c>
      <c r="SE62" s="1" t="n">
        <f aca="false">IF(AND(HT62=1,EC62=1),(LQ62+LU62)/E62,0)</f>
        <v>0</v>
      </c>
      <c r="SF62" s="1" t="n">
        <f aca="false">IF(B62=0,LQ62+LU62,0)</f>
        <v>0</v>
      </c>
      <c r="SG62" s="1" t="n">
        <f aca="false">IF(B62=0,IF(HT62=1,LS62,LT62),0)</f>
        <v>0</v>
      </c>
      <c r="SH62" s="1" t="n">
        <f aca="false">IF(EM62=1,IF(HT62=1,LZ62+MC62,EN62-PD62)*(1+Slot13_Rate),0)</f>
        <v>0</v>
      </c>
      <c r="SI62" s="1" t="n">
        <f aca="false">IF(AND(HT62=1,EM62=1),(LY62+MC62)/E62,0)</f>
        <v>0</v>
      </c>
      <c r="SJ62" s="1" t="n">
        <f aca="false">IF(B62=0,LY62+MC62,0)</f>
        <v>0</v>
      </c>
      <c r="SK62" s="1" t="n">
        <f aca="false">IF(B62=0,IF(HT62=1,MA62,MB62),0)</f>
        <v>0</v>
      </c>
      <c r="SL62" s="1" t="n">
        <f aca="false">IF(EW62=1,IF(HT62=1,MH62+MK62,EX62-PB62)*(1+Slot14_Rate),0)</f>
        <v>0</v>
      </c>
      <c r="SM62" s="1" t="n">
        <f aca="false">IF(AND(HT62=1,EW62=1),(MG62+MK62)/E62,0)</f>
        <v>0</v>
      </c>
      <c r="SN62" s="1" t="n">
        <f aca="false">IF(B62=0,MG62+MK62,0)</f>
        <v>0</v>
      </c>
      <c r="SO62" s="1" t="n">
        <f aca="false">IF(B62=0,IF(HT62=1,MI62,MJ62),0)</f>
        <v>0</v>
      </c>
      <c r="SP62" s="1" t="n">
        <f aca="false">IF(FG62=1,IF(HT62=1,MP62+MS62,FH62-OZ62)*(1+Slot15_Rate),0)</f>
        <v>0</v>
      </c>
      <c r="SQ62" s="1" t="n">
        <f aca="false">IF(AND(HT62=1,FG62=1),(MO62+MS62)/E62,0)</f>
        <v>0</v>
      </c>
      <c r="SR62" s="1" t="n">
        <f aca="false">IF(B62=0,MO62+MS62,0)</f>
        <v>0</v>
      </c>
      <c r="SS62" s="1" t="n">
        <f aca="false">IF(B62=0,IF(HT62=1,MQ62,MR62),0)</f>
        <v>0</v>
      </c>
      <c r="ST62" s="1" t="n">
        <f aca="false">IF(FQ62=1,IF(HT62=1,MX62+NA62,FR62-OX62)*(1+Slot16_Rate),0)</f>
        <v>0</v>
      </c>
      <c r="SU62" s="1" t="n">
        <f aca="false">IF(AND(HT62=1,FQ62=1),(MW62+NA62)/E62,0)</f>
        <v>0</v>
      </c>
      <c r="SV62" s="1" t="n">
        <f aca="false">IF(B62=0,MW62+NA62,0)</f>
        <v>0</v>
      </c>
      <c r="SW62" s="1" t="n">
        <f aca="false">IF(B62=0,IF(HT62=1,MY62,MZ62),0)</f>
        <v>0</v>
      </c>
      <c r="SX62" s="1" t="n">
        <f aca="false">IF(GA62=1,IF(HT62=1,NF62+NI62,GB62-OV62)*(1+Slot17_Rate),0)</f>
        <v>0</v>
      </c>
      <c r="SY62" s="1" t="n">
        <f aca="false">IF(AND(HT62=1,GA62=1),(NE62+NI62)/E62,0)</f>
        <v>0</v>
      </c>
      <c r="SZ62" s="1" t="n">
        <f aca="false">IF(B62=0,NE62+NI62,0)</f>
        <v>0</v>
      </c>
      <c r="TA62" s="1" t="n">
        <f aca="false">IF(B62=0,IF(HT62=1,NG62,NH62),0)</f>
        <v>0</v>
      </c>
      <c r="TB62" s="1" t="n">
        <f aca="false">IF(GK62=1,IF(HT62=1,NN62+NQ62,GL62-OT62)*(1+Slot18_Rate),0)</f>
        <v>0</v>
      </c>
      <c r="TC62" s="1" t="n">
        <f aca="false">IF(AND(HT62=1,GK62=1),(NM62+NQ62)/E62,0)</f>
        <v>0</v>
      </c>
      <c r="TD62" s="1" t="n">
        <f aca="false">IF(B62=0,NM62+NQ62,0)</f>
        <v>0</v>
      </c>
      <c r="TE62" s="1" t="n">
        <f aca="false">IF(B62=0,IF(HT62=1,NO62,NP62),0)</f>
        <v>0</v>
      </c>
      <c r="TF62" s="1" t="n">
        <f aca="false">IF(GU62=1,IF(HT62=1,NV62+NY62,GV62-OR62)*(1+Slot19_Rate),0)</f>
        <v>0</v>
      </c>
      <c r="TG62" s="1" t="n">
        <f aca="false">IF(AND(HT62=1,GU62=1),(NU62+NY62)/E62,0)</f>
        <v>0</v>
      </c>
      <c r="TH62" s="1" t="n">
        <f aca="false">IF(B62=0,NU62+NY62,0)</f>
        <v>0</v>
      </c>
      <c r="TI62" s="1" t="n">
        <f aca="false">IF(B62=0,IF(HT62=1,NW62,NX62),0)</f>
        <v>0</v>
      </c>
      <c r="TJ62" s="1" t="n">
        <f aca="false">IF(HE62=1,IF(HT62=1,OD62+OG62,HF62-OP62)*(1+Slot20_Rate),0)</f>
        <v>0</v>
      </c>
      <c r="TK62" s="1" t="n">
        <f aca="false">IF(AND(HT62=1,HE62=1),(OC62+OG62)/E62,0)</f>
        <v>0</v>
      </c>
      <c r="TL62" s="1" t="n">
        <f aca="false">IF(B62=0,OC62+OG62,0)</f>
        <v>0</v>
      </c>
      <c r="TM62" s="1" t="n">
        <f aca="false">IF(B62=0,IF(HT62=1,OE62,OF62),0)</f>
        <v>0</v>
      </c>
      <c r="TN62" s="1" t="n">
        <f aca="false">QJ62+QK62+QL62+QP62+QT62+QX62+RB62+RF62+RJ62+RN62+RR62+RV62+RZ62+SD62+SH62+SL62+SP62+ST62+SX62+TB62+TF62+TJ62</f>
        <v>0</v>
      </c>
      <c r="TO62" s="1" t="n">
        <f aca="false">QD62+HO62</f>
        <v>0</v>
      </c>
      <c r="TP62" s="1" t="n">
        <f aca="false">H62+R62</f>
        <v>0</v>
      </c>
      <c r="TQ62" s="1" t="n">
        <f aca="false">1-F62</f>
        <v>0</v>
      </c>
      <c r="TR62" s="1" t="n">
        <f aca="false">IF(AND(RG_Exists=1,F62=0,C62=1),H62,0)</f>
        <v>0</v>
      </c>
      <c r="TS62" s="1" t="n">
        <f aca="false">IF(AND(RG_Exists=1,F62=0,C62=1),H62-MIN(QD62,H62),0)</f>
        <v>0</v>
      </c>
      <c r="TT62" s="1" t="n">
        <f aca="false">'Plan pay &amp; tax'!AD288</f>
        <v>0</v>
      </c>
      <c r="TU62" s="1" t="n">
        <f aca="false">IF(AND(C62=1,QD62&gt;MAX(PR_Short1,TP62*PR_Short2)),1,0)</f>
        <v>0</v>
      </c>
      <c r="TV62" s="1" t="n">
        <f aca="false">MIN(G62,H62+R62)</f>
        <v>0</v>
      </c>
      <c r="TW62" s="1" t="n">
        <f aca="false">QE62+MAX(0,HP62-HO62)</f>
        <v>0</v>
      </c>
      <c r="TX62" s="1" t="n">
        <f aca="false">QD62+HO62</f>
        <v>0</v>
      </c>
      <c r="TY62" s="1" t="n">
        <f aca="false">IF(AND(C62=1,TX62&gt;PR_MinShort),1,0)</f>
        <v>0</v>
      </c>
      <c r="TZ62" s="1" t="n">
        <f aca="false">IF(AND(C62=1,TY62=0,TW62&gt;PR_MinShort),1,0)</f>
        <v>0</v>
      </c>
      <c r="UA62" s="1" t="n">
        <f aca="false">IF(AND(C62=1,QD62&gt;PR_MinShort),1,0)</f>
        <v>0</v>
      </c>
      <c r="UB62" s="1" t="n">
        <f aca="false">IF(AND(C62=1,QE62&gt;1,UI62=0),1,0)</f>
        <v>0</v>
      </c>
      <c r="UC62" s="1" t="str">
        <f aca="false">IF(C62=0,"",IF(UI62=1,"Gap to plan for: short "&amp;"€"&amp;TEXT(ROUND(TO62,0),"#,##0"),IF(QE62&gt;1,"Using savings","Comfortable")))</f>
        <v>Comfortable</v>
      </c>
      <c r="UD62" s="1" t="n">
        <f aca="false">IF(AND(INT(D62/10)*10=90,B62&gt;0),80,INT(D62/10)*10)</f>
        <v>50</v>
      </c>
      <c r="UE62" s="1" t="n">
        <f aca="false">IF(B62=0,1,IF(UD62&lt;&gt;UD61,UE61+1,UE61))</f>
        <v>6</v>
      </c>
      <c r="UF62" s="1" t="n">
        <f aca="false">IF(AND(C62=1,F62=1,QD62&gt;MAX(PR_Short1,TP62*PR_Short2)),1,0)</f>
        <v>0</v>
      </c>
      <c r="UG62" s="1" t="n">
        <f aca="false">TQ62*TU62</f>
        <v>0</v>
      </c>
      <c r="UH62" s="1" t="n">
        <f aca="false">IF(AND(U62=1,Slot1_PctLow=1),1,0)+IF(AND(AF62=1,Slot2_PctLow=1),1,0)+IF(AND(AP62=1,Slot3_PctLow=1),1,0)+IF(AND(AZ62=1,Slot4_PctLow=1),1,0)+IF(AND(BJ62=1,Slot5_PctLow=1),1,0)+IF(AND(BT62=1,Slot6_PctLow=1),1,0)+IF(AND(CD62=1,Slot7_PctLow=1),1,0)+IF(AND(CN62=1,Slot8_PctLow=1),1,0)+IF(AND(CX62=1,Slot9_PctLow=1),1,0)+IF(AND(DH62=1,Slot10_PctLow=1),1,0)+IF(AND(DR62=1,Slot11_PctLow=1),1,0)+IF(AND(EB62=1,Slot12_PctLow=1),1,0)+IF(AND(EL62=1,Slot13_PctLow=1),1,0)+IF(AND(EV62=1,Slot14_PctLow=1),1,0)+IF(AND(FF62=1,Slot15_PctLow=1),1,0)+IF(AND(FP62=1,Slot16_PctLow=1),1,0)+IF(AND(FZ62=1,Slot17_PctLow=1),1,0)+IF(AND(GJ62=1,Slot18_PctLow=1),1,0)+IF(AND(GT62=1,Slot19_PctLow=1),1,0)+IF(AND(HD62=1,Slot20_PctLow=1),1,0)</f>
        <v>0</v>
      </c>
      <c r="UI62" s="1" t="n">
        <f aca="false">IF(C62=1,IF(OR(TU62=1,UH62&gt;0),1,0),0)</f>
        <v>0</v>
      </c>
    </row>
    <row r="63" customFormat="false" ht="15" hidden="false" customHeight="true" outlineLevel="0" collapsed="false">
      <c r="B63" s="1" t="n">
        <v>55</v>
      </c>
      <c r="C63" s="1" t="n">
        <f aca="false">IF(B63&lt;=F_N,1,0)</f>
        <v>1</v>
      </c>
      <c r="D63" s="1" t="n">
        <f aca="false">'Plan pay &amp; tax'!C289</f>
        <v>55</v>
      </c>
      <c r="E63" s="111" t="n">
        <f aca="false">'Plan pay &amp; tax'!E289</f>
        <v>2.97173067302309</v>
      </c>
      <c r="F63" s="1" t="n">
        <f aca="false">'Plan pay &amp; tax'!G289</f>
        <v>1</v>
      </c>
      <c r="G63" s="1" t="n">
        <f aca="false">'Plan pay &amp; tax'!BT289-'Plan pay &amp; tax'!BS289-'Plan pay &amp; tax'!R289</f>
        <v>0</v>
      </c>
      <c r="H63" s="1" t="n">
        <f aca="false">IF(F63=1,F_CostsM*12,IF(RG_Exists=1,RG_Amount,F_CostsM*12*AS_RetireSpend))*E63+F_OneOffY*E63</f>
        <v>0</v>
      </c>
      <c r="I63" s="1" t="n">
        <f aca="false">HQ62</f>
        <v>0</v>
      </c>
      <c r="J63" s="1" t="n">
        <f aca="false">IF(I63&gt;1,'Plan debt months'!AC63,0)</f>
        <v>0</v>
      </c>
      <c r="K63" s="1" t="n">
        <f aca="false">IF(I63&gt;1,'Plan debt months'!AB63,I63)</f>
        <v>0</v>
      </c>
      <c r="L63" s="1" t="n">
        <f aca="false">N62</f>
        <v>0</v>
      </c>
      <c r="M63" s="1" t="n">
        <f aca="false">IF(L63&gt;1,'Plan debt months'!BD63,0)</f>
        <v>0</v>
      </c>
      <c r="N63" s="1" t="n">
        <f aca="false">IF(L63&gt;1,'Plan debt months'!BC63,L63)</f>
        <v>0</v>
      </c>
      <c r="O63" s="1" t="n">
        <f aca="false">Q62</f>
        <v>0</v>
      </c>
      <c r="P63" s="1" t="n">
        <f aca="false">IF(O63&gt;1,'Plan debt months'!CE63,0)</f>
        <v>0</v>
      </c>
      <c r="Q63" s="1" t="n">
        <f aca="false">IF(O63&gt;1,'Plan debt months'!CD63,O63)</f>
        <v>0</v>
      </c>
      <c r="R63" s="1" t="n">
        <f aca="false">J63+M63+P63</f>
        <v>0</v>
      </c>
      <c r="S63" s="1" t="n">
        <f aca="false">QJ62+'Plan pay &amp; tax'!Y289</f>
        <v>0</v>
      </c>
      <c r="T63" s="1" t="n">
        <f aca="false">QJ62</f>
        <v>0</v>
      </c>
      <c r="U63" s="1" t="n">
        <f aca="false">IF(AND(Slot1_On=1,D63=Slot1_Age),1,0)</f>
        <v>0</v>
      </c>
      <c r="V63" s="1" t="n">
        <f aca="false">IF(AND(Slot1_On=1,Slot1_Age&gt;D63),1,0)</f>
        <v>0</v>
      </c>
      <c r="W63" s="1" t="n">
        <f aca="false">QL62</f>
        <v>0</v>
      </c>
      <c r="X63" s="1" t="n">
        <f aca="false">U63*MIN(Slot1_Cost,W63)</f>
        <v>0</v>
      </c>
      <c r="Y63" s="1" t="n">
        <f aca="false">U63*Slot1_SpendLike*MIN(Slot1_Cost-X63,S63)</f>
        <v>0</v>
      </c>
      <c r="Z63" s="1" t="n">
        <f aca="false">X63+Y63</f>
        <v>0</v>
      </c>
      <c r="AA63" s="1" t="n">
        <f aca="false">S63-Y63+U63*IF(Slot1_SpendLike=1,W63-X63,IF(Slot1_PotFree=1,W63,0))</f>
        <v>0</v>
      </c>
      <c r="AB63" s="1" t="n">
        <f aca="false">AE63+U63*Slot1_BufPot*W63</f>
        <v>0</v>
      </c>
      <c r="AC63" s="1" t="n">
        <f aca="false">IF(AND(U63=1,Slot1_IsMfree=1),IF(Z63&gt;=Slot1_Cost-1,0,MAX(0,K63-Z63)),K63)</f>
        <v>0</v>
      </c>
      <c r="AD63" s="1" t="n">
        <f aca="false">U63*(Slot1_Cost-Z63)</f>
        <v>0</v>
      </c>
      <c r="AE63" s="1" t="n">
        <f aca="false">QK62</f>
        <v>0</v>
      </c>
      <c r="AF63" s="1" t="n">
        <f aca="false">IF(AND(Slot2_On=1,D63=Slot2_Age),1,0)</f>
        <v>0</v>
      </c>
      <c r="AG63" s="1" t="n">
        <f aca="false">IF(AND(Slot2_On=1,Slot2_Age&gt;D63),1,0)</f>
        <v>0</v>
      </c>
      <c r="AH63" s="1" t="n">
        <f aca="false">QP62</f>
        <v>0</v>
      </c>
      <c r="AI63" s="1" t="n">
        <f aca="false">AF63*MIN(Slot2_Cost,AH63)</f>
        <v>0</v>
      </c>
      <c r="AJ63" s="1" t="n">
        <f aca="false">AF63*Slot2_SpendLike*MIN(Slot2_Cost-AI63,AA63)</f>
        <v>0</v>
      </c>
      <c r="AK63" s="1" t="n">
        <f aca="false">AI63+AJ63</f>
        <v>0</v>
      </c>
      <c r="AL63" s="1" t="n">
        <f aca="false">AA63-AJ63+AF63*IF(Slot2_SpendLike=1,AH63-AI63,IF(Slot2_PotFree=1,AH63,0))</f>
        <v>0</v>
      </c>
      <c r="AM63" s="1" t="n">
        <f aca="false">AB63+AF63*Slot2_BufPot*AH63</f>
        <v>0</v>
      </c>
      <c r="AN63" s="1" t="n">
        <f aca="false">IF(AND(AF63=1,Slot2_IsMfree=1),IF(AK63&gt;=Slot2_Cost-1,0,MAX(0,AC63-AK63)),AC63)</f>
        <v>0</v>
      </c>
      <c r="AO63" s="1" t="n">
        <f aca="false">AF63*(Slot2_Cost-AK63)</f>
        <v>0</v>
      </c>
      <c r="AP63" s="1" t="n">
        <f aca="false">IF(AND(Slot3_On=1,D63=Slot3_Age),1,0)</f>
        <v>0</v>
      </c>
      <c r="AQ63" s="1" t="n">
        <f aca="false">IF(AND(Slot3_On=1,Slot3_Age&gt;D63),1,0)</f>
        <v>0</v>
      </c>
      <c r="AR63" s="1" t="n">
        <f aca="false">QT62</f>
        <v>0</v>
      </c>
      <c r="AS63" s="1" t="n">
        <f aca="false">AP63*MIN(Slot3_Cost,AR63)</f>
        <v>0</v>
      </c>
      <c r="AT63" s="1" t="n">
        <f aca="false">AP63*Slot3_SpendLike*MIN(Slot3_Cost-AS63,AL63)</f>
        <v>0</v>
      </c>
      <c r="AU63" s="1" t="n">
        <f aca="false">AS63+AT63</f>
        <v>0</v>
      </c>
      <c r="AV63" s="1" t="n">
        <f aca="false">AL63-AT63+AP63*IF(Slot3_SpendLike=1,AR63-AS63,IF(Slot3_PotFree=1,AR63,0))</f>
        <v>0</v>
      </c>
      <c r="AW63" s="1" t="n">
        <f aca="false">AM63+AP63*Slot3_BufPot*AR63</f>
        <v>0</v>
      </c>
      <c r="AX63" s="1" t="n">
        <f aca="false">IF(AND(AP63=1,Slot3_IsMfree=1),IF(AU63&gt;=Slot3_Cost-1,0,MAX(0,AN63-AU63)),AN63)</f>
        <v>0</v>
      </c>
      <c r="AY63" s="1" t="n">
        <f aca="false">AP63*(Slot3_Cost-AU63)</f>
        <v>0</v>
      </c>
      <c r="AZ63" s="1" t="n">
        <f aca="false">IF(AND(Slot4_On=1,D63=Slot4_Age),1,0)</f>
        <v>0</v>
      </c>
      <c r="BA63" s="1" t="n">
        <f aca="false">IF(AND(Slot4_On=1,Slot4_Age&gt;D63),1,0)</f>
        <v>0</v>
      </c>
      <c r="BB63" s="1" t="n">
        <f aca="false">QX62</f>
        <v>0</v>
      </c>
      <c r="BC63" s="1" t="n">
        <f aca="false">AZ63*MIN(Slot4_Cost,BB63)</f>
        <v>0</v>
      </c>
      <c r="BD63" s="1" t="n">
        <f aca="false">AZ63*Slot4_SpendLike*MIN(Slot4_Cost-BC63,AV63)</f>
        <v>0</v>
      </c>
      <c r="BE63" s="1" t="n">
        <f aca="false">BC63+BD63</f>
        <v>0</v>
      </c>
      <c r="BF63" s="1" t="n">
        <f aca="false">AV63-BD63+AZ63*IF(Slot4_SpendLike=1,BB63-BC63,IF(Slot4_PotFree=1,BB63,0))</f>
        <v>0</v>
      </c>
      <c r="BG63" s="1" t="n">
        <f aca="false">AW63+AZ63*Slot4_BufPot*BB63</f>
        <v>0</v>
      </c>
      <c r="BH63" s="1" t="n">
        <f aca="false">IF(AND(AZ63=1,Slot4_IsMfree=1),IF(BE63&gt;=Slot4_Cost-1,0,MAX(0,AX63-BE63)),AX63)</f>
        <v>0</v>
      </c>
      <c r="BI63" s="1" t="n">
        <f aca="false">AZ63*(Slot4_Cost-BE63)</f>
        <v>0</v>
      </c>
      <c r="BJ63" s="1" t="n">
        <f aca="false">IF(AND(Slot5_On=1,D63=Slot5_Age),1,0)</f>
        <v>0</v>
      </c>
      <c r="BK63" s="1" t="n">
        <f aca="false">IF(AND(Slot5_On=1,Slot5_Age&gt;D63),1,0)</f>
        <v>0</v>
      </c>
      <c r="BL63" s="1" t="n">
        <f aca="false">RB62</f>
        <v>0</v>
      </c>
      <c r="BM63" s="1" t="n">
        <f aca="false">BJ63*MIN(Slot5_Cost,BL63)</f>
        <v>0</v>
      </c>
      <c r="BN63" s="1" t="n">
        <f aca="false">BJ63*Slot5_SpendLike*MIN(Slot5_Cost-BM63,BF63)</f>
        <v>0</v>
      </c>
      <c r="BO63" s="1" t="n">
        <f aca="false">BM63+BN63</f>
        <v>0</v>
      </c>
      <c r="BP63" s="1" t="n">
        <f aca="false">BF63-BN63+BJ63*IF(Slot5_SpendLike=1,BL63-BM63,IF(Slot5_PotFree=1,BL63,0))</f>
        <v>0</v>
      </c>
      <c r="BQ63" s="1" t="n">
        <f aca="false">BG63+BJ63*Slot5_BufPot*BL63</f>
        <v>0</v>
      </c>
      <c r="BR63" s="1" t="n">
        <f aca="false">IF(AND(BJ63=1,Slot5_IsMfree=1),IF(BO63&gt;=Slot5_Cost-1,0,MAX(0,BH63-BO63)),BH63)</f>
        <v>0</v>
      </c>
      <c r="BS63" s="1" t="n">
        <f aca="false">BJ63*(Slot5_Cost-BO63)</f>
        <v>0</v>
      </c>
      <c r="BT63" s="1" t="n">
        <f aca="false">IF(AND(Slot6_On=1,D63=Slot6_Age),1,0)</f>
        <v>0</v>
      </c>
      <c r="BU63" s="1" t="n">
        <f aca="false">IF(AND(Slot6_On=1,Slot6_Age&gt;D63),1,0)</f>
        <v>0</v>
      </c>
      <c r="BV63" s="1" t="n">
        <f aca="false">RF62</f>
        <v>0</v>
      </c>
      <c r="BW63" s="1" t="n">
        <f aca="false">BT63*MIN(Slot6_Cost,BV63)</f>
        <v>0</v>
      </c>
      <c r="BX63" s="1" t="n">
        <f aca="false">BT63*Slot6_SpendLike*MIN(Slot6_Cost-BW63,BP63)</f>
        <v>0</v>
      </c>
      <c r="BY63" s="1" t="n">
        <f aca="false">BW63+BX63</f>
        <v>0</v>
      </c>
      <c r="BZ63" s="1" t="n">
        <f aca="false">BP63-BX63+BT63*IF(Slot6_SpendLike=1,BV63-BW63,IF(Slot6_PotFree=1,BV63,0))</f>
        <v>0</v>
      </c>
      <c r="CA63" s="1" t="n">
        <f aca="false">BQ63+BT63*Slot6_BufPot*BV63</f>
        <v>0</v>
      </c>
      <c r="CB63" s="1" t="n">
        <f aca="false">IF(AND(BT63=1,Slot6_IsMfree=1),IF(BY63&gt;=Slot6_Cost-1,0,MAX(0,BR63-BY63)),BR63)</f>
        <v>0</v>
      </c>
      <c r="CC63" s="1" t="n">
        <f aca="false">BT63*(Slot6_Cost-BY63)</f>
        <v>0</v>
      </c>
      <c r="CD63" s="1" t="n">
        <f aca="false">IF(AND(Slot7_On=1,D63=Slot7_Age),1,0)</f>
        <v>0</v>
      </c>
      <c r="CE63" s="1" t="n">
        <f aca="false">IF(AND(Slot7_On=1,Slot7_Age&gt;D63),1,0)</f>
        <v>0</v>
      </c>
      <c r="CF63" s="1" t="n">
        <f aca="false">RJ62</f>
        <v>0</v>
      </c>
      <c r="CG63" s="1" t="n">
        <f aca="false">CD63*MIN(Slot7_Cost,CF63)</f>
        <v>0</v>
      </c>
      <c r="CH63" s="1" t="n">
        <f aca="false">CD63*Slot7_SpendLike*MIN(Slot7_Cost-CG63,BZ63)</f>
        <v>0</v>
      </c>
      <c r="CI63" s="1" t="n">
        <f aca="false">CG63+CH63</f>
        <v>0</v>
      </c>
      <c r="CJ63" s="1" t="n">
        <f aca="false">BZ63-CH63+CD63*IF(Slot7_SpendLike=1,CF63-CG63,IF(Slot7_PotFree=1,CF63,0))</f>
        <v>0</v>
      </c>
      <c r="CK63" s="1" t="n">
        <f aca="false">CA63+CD63*Slot7_BufPot*CF63</f>
        <v>0</v>
      </c>
      <c r="CL63" s="1" t="n">
        <f aca="false">IF(AND(CD63=1,Slot7_IsMfree=1),IF(CI63&gt;=Slot7_Cost-1,0,MAX(0,CB63-CI63)),CB63)</f>
        <v>0</v>
      </c>
      <c r="CM63" s="1" t="n">
        <f aca="false">CD63*(Slot7_Cost-CI63)</f>
        <v>0</v>
      </c>
      <c r="CN63" s="1" t="n">
        <f aca="false">IF(AND(Slot8_On=1,D63=Slot8_Age),1,0)</f>
        <v>0</v>
      </c>
      <c r="CO63" s="1" t="n">
        <f aca="false">IF(AND(Slot8_On=1,Slot8_Age&gt;D63),1,0)</f>
        <v>0</v>
      </c>
      <c r="CP63" s="1" t="n">
        <f aca="false">RN62</f>
        <v>0</v>
      </c>
      <c r="CQ63" s="1" t="n">
        <f aca="false">CN63*MIN(Slot8_Cost,CP63)</f>
        <v>0</v>
      </c>
      <c r="CR63" s="1" t="n">
        <f aca="false">CN63*Slot8_SpendLike*MIN(Slot8_Cost-CQ63,CJ63)</f>
        <v>0</v>
      </c>
      <c r="CS63" s="1" t="n">
        <f aca="false">CQ63+CR63</f>
        <v>0</v>
      </c>
      <c r="CT63" s="1" t="n">
        <f aca="false">CJ63-CR63+CN63*IF(Slot8_SpendLike=1,CP63-CQ63,IF(Slot8_PotFree=1,CP63,0))</f>
        <v>0</v>
      </c>
      <c r="CU63" s="1" t="n">
        <f aca="false">CK63+CN63*Slot8_BufPot*CP63</f>
        <v>0</v>
      </c>
      <c r="CV63" s="1" t="n">
        <f aca="false">IF(AND(CN63=1,Slot8_IsMfree=1),IF(CS63&gt;=Slot8_Cost-1,0,MAX(0,CL63-CS63)),CL63)</f>
        <v>0</v>
      </c>
      <c r="CW63" s="1" t="n">
        <f aca="false">CN63*(Slot8_Cost-CS63)</f>
        <v>0</v>
      </c>
      <c r="CX63" s="1" t="n">
        <f aca="false">IF(AND(Slot9_On=1,D63=Slot9_Age),1,0)</f>
        <v>0</v>
      </c>
      <c r="CY63" s="1" t="n">
        <f aca="false">IF(AND(Slot9_On=1,Slot9_Age&gt;D63),1,0)</f>
        <v>0</v>
      </c>
      <c r="CZ63" s="1" t="n">
        <f aca="false">RR62</f>
        <v>0</v>
      </c>
      <c r="DA63" s="1" t="n">
        <f aca="false">CX63*MIN(Slot9_Cost,CZ63)</f>
        <v>0</v>
      </c>
      <c r="DB63" s="1" t="n">
        <f aca="false">CX63*Slot9_SpendLike*MIN(Slot9_Cost-DA63,CT63)</f>
        <v>0</v>
      </c>
      <c r="DC63" s="1" t="n">
        <f aca="false">DA63+DB63</f>
        <v>0</v>
      </c>
      <c r="DD63" s="1" t="n">
        <f aca="false">CT63-DB63+CX63*IF(Slot9_SpendLike=1,CZ63-DA63,IF(Slot9_PotFree=1,CZ63,0))</f>
        <v>0</v>
      </c>
      <c r="DE63" s="1" t="n">
        <f aca="false">CU63+CX63*Slot9_BufPot*CZ63</f>
        <v>0</v>
      </c>
      <c r="DF63" s="1" t="n">
        <f aca="false">IF(AND(CX63=1,Slot9_IsMfree=1),IF(DC63&gt;=Slot9_Cost-1,0,MAX(0,CV63-DC63)),CV63)</f>
        <v>0</v>
      </c>
      <c r="DG63" s="1" t="n">
        <f aca="false">CX63*(Slot9_Cost-DC63)</f>
        <v>0</v>
      </c>
      <c r="DH63" s="1" t="n">
        <f aca="false">IF(AND(Slot10_On=1,D63=Slot10_Age),1,0)</f>
        <v>0</v>
      </c>
      <c r="DI63" s="1" t="n">
        <f aca="false">IF(AND(Slot10_On=1,Slot10_Age&gt;D63),1,0)</f>
        <v>0</v>
      </c>
      <c r="DJ63" s="1" t="n">
        <f aca="false">RV62</f>
        <v>0</v>
      </c>
      <c r="DK63" s="1" t="n">
        <f aca="false">DH63*MIN(Slot10_Cost,DJ63)</f>
        <v>0</v>
      </c>
      <c r="DL63" s="1" t="n">
        <f aca="false">DH63*Slot10_SpendLike*MIN(Slot10_Cost-DK63,DD63)</f>
        <v>0</v>
      </c>
      <c r="DM63" s="1" t="n">
        <f aca="false">DK63+DL63</f>
        <v>0</v>
      </c>
      <c r="DN63" s="1" t="n">
        <f aca="false">DD63-DL63+DH63*IF(Slot10_SpendLike=1,DJ63-DK63,IF(Slot10_PotFree=1,DJ63,0))</f>
        <v>0</v>
      </c>
      <c r="DO63" s="1" t="n">
        <f aca="false">DE63+DH63*Slot10_BufPot*DJ63</f>
        <v>0</v>
      </c>
      <c r="DP63" s="1" t="n">
        <f aca="false">IF(AND(DH63=1,Slot10_IsMfree=1),IF(DM63&gt;=Slot10_Cost-1,0,MAX(0,DF63-DM63)),DF63)</f>
        <v>0</v>
      </c>
      <c r="DQ63" s="1" t="n">
        <f aca="false">DH63*(Slot10_Cost-DM63)</f>
        <v>0</v>
      </c>
      <c r="DR63" s="1" t="n">
        <f aca="false">IF(AND(Slot11_On=1,D63=Slot11_Age),1,0)</f>
        <v>0</v>
      </c>
      <c r="DS63" s="1" t="n">
        <f aca="false">IF(AND(Slot11_On=1,Slot11_Age&gt;D63),1,0)</f>
        <v>0</v>
      </c>
      <c r="DT63" s="1" t="n">
        <f aca="false">RZ62</f>
        <v>0</v>
      </c>
      <c r="DU63" s="1" t="n">
        <f aca="false">DR63*MIN(Slot11_Cost,DT63)</f>
        <v>0</v>
      </c>
      <c r="DV63" s="1" t="n">
        <f aca="false">DR63*Slot11_SpendLike*MIN(Slot11_Cost-DU63,DN63)</f>
        <v>0</v>
      </c>
      <c r="DW63" s="1" t="n">
        <f aca="false">DU63+DV63</f>
        <v>0</v>
      </c>
      <c r="DX63" s="1" t="n">
        <f aca="false">DN63-DV63+DR63*IF(Slot11_SpendLike=1,DT63-DU63,IF(Slot11_PotFree=1,DT63,0))</f>
        <v>0</v>
      </c>
      <c r="DY63" s="1" t="n">
        <f aca="false">DO63+DR63*Slot11_BufPot*DT63</f>
        <v>0</v>
      </c>
      <c r="DZ63" s="1" t="n">
        <f aca="false">IF(AND(DR63=1,Slot11_IsMfree=1),IF(DW63&gt;=Slot11_Cost-1,0,MAX(0,DP63-DW63)),DP63)</f>
        <v>0</v>
      </c>
      <c r="EA63" s="1" t="n">
        <f aca="false">DR63*(Slot11_Cost-DW63)</f>
        <v>0</v>
      </c>
      <c r="EB63" s="1" t="n">
        <f aca="false">IF(AND(Slot12_On=1,D63=Slot12_Age),1,0)</f>
        <v>0</v>
      </c>
      <c r="EC63" s="1" t="n">
        <f aca="false">IF(AND(Slot12_On=1,Slot12_Age&gt;D63),1,0)</f>
        <v>0</v>
      </c>
      <c r="ED63" s="1" t="n">
        <f aca="false">SD62</f>
        <v>0</v>
      </c>
      <c r="EE63" s="1" t="n">
        <f aca="false">EB63*MIN(Slot12_Cost,ED63)</f>
        <v>0</v>
      </c>
      <c r="EF63" s="1" t="n">
        <f aca="false">EB63*Slot12_SpendLike*MIN(Slot12_Cost-EE63,DX63)</f>
        <v>0</v>
      </c>
      <c r="EG63" s="1" t="n">
        <f aca="false">EE63+EF63</f>
        <v>0</v>
      </c>
      <c r="EH63" s="1" t="n">
        <f aca="false">DX63-EF63+EB63*IF(Slot12_SpendLike=1,ED63-EE63,IF(Slot12_PotFree=1,ED63,0))</f>
        <v>0</v>
      </c>
      <c r="EI63" s="1" t="n">
        <f aca="false">DY63+EB63*Slot12_BufPot*ED63</f>
        <v>0</v>
      </c>
      <c r="EJ63" s="1" t="n">
        <f aca="false">IF(AND(EB63=1,Slot12_IsMfree=1),IF(EG63&gt;=Slot12_Cost-1,0,MAX(0,DZ63-EG63)),DZ63)</f>
        <v>0</v>
      </c>
      <c r="EK63" s="1" t="n">
        <f aca="false">EB63*(Slot12_Cost-EG63)</f>
        <v>0</v>
      </c>
      <c r="EL63" s="1" t="n">
        <f aca="false">IF(AND(Slot13_On=1,D63=Slot13_Age),1,0)</f>
        <v>0</v>
      </c>
      <c r="EM63" s="1" t="n">
        <f aca="false">IF(AND(Slot13_On=1,Slot13_Age&gt;D63),1,0)</f>
        <v>0</v>
      </c>
      <c r="EN63" s="1" t="n">
        <f aca="false">SH62</f>
        <v>0</v>
      </c>
      <c r="EO63" s="1" t="n">
        <f aca="false">EL63*MIN(Slot13_Cost,EN63)</f>
        <v>0</v>
      </c>
      <c r="EP63" s="1" t="n">
        <f aca="false">EL63*Slot13_SpendLike*MIN(Slot13_Cost-EO63,EH63)</f>
        <v>0</v>
      </c>
      <c r="EQ63" s="1" t="n">
        <f aca="false">EO63+EP63</f>
        <v>0</v>
      </c>
      <c r="ER63" s="1" t="n">
        <f aca="false">EH63-EP63+EL63*IF(Slot13_SpendLike=1,EN63-EO63,IF(Slot13_PotFree=1,EN63,0))</f>
        <v>0</v>
      </c>
      <c r="ES63" s="1" t="n">
        <f aca="false">EI63+EL63*Slot13_BufPot*EN63</f>
        <v>0</v>
      </c>
      <c r="ET63" s="1" t="n">
        <f aca="false">IF(AND(EL63=1,Slot13_IsMfree=1),IF(EQ63&gt;=Slot13_Cost-1,0,MAX(0,EJ63-EQ63)),EJ63)</f>
        <v>0</v>
      </c>
      <c r="EU63" s="1" t="n">
        <f aca="false">EL63*(Slot13_Cost-EQ63)</f>
        <v>0</v>
      </c>
      <c r="EV63" s="1" t="n">
        <f aca="false">IF(AND(Slot14_On=1,D63=Slot14_Age),1,0)</f>
        <v>0</v>
      </c>
      <c r="EW63" s="1" t="n">
        <f aca="false">IF(AND(Slot14_On=1,Slot14_Age&gt;D63),1,0)</f>
        <v>0</v>
      </c>
      <c r="EX63" s="1" t="n">
        <f aca="false">SL62</f>
        <v>0</v>
      </c>
      <c r="EY63" s="1" t="n">
        <f aca="false">EV63*MIN(Slot14_Cost,EX63)</f>
        <v>0</v>
      </c>
      <c r="EZ63" s="1" t="n">
        <f aca="false">EV63*Slot14_SpendLike*MIN(Slot14_Cost-EY63,ER63)</f>
        <v>0</v>
      </c>
      <c r="FA63" s="1" t="n">
        <f aca="false">EY63+EZ63</f>
        <v>0</v>
      </c>
      <c r="FB63" s="1" t="n">
        <f aca="false">ER63-EZ63+EV63*IF(Slot14_SpendLike=1,EX63-EY63,IF(Slot14_PotFree=1,EX63,0))</f>
        <v>0</v>
      </c>
      <c r="FC63" s="1" t="n">
        <f aca="false">ES63+EV63*Slot14_BufPot*EX63</f>
        <v>0</v>
      </c>
      <c r="FD63" s="1" t="n">
        <f aca="false">IF(AND(EV63=1,Slot14_IsMfree=1),IF(FA63&gt;=Slot14_Cost-1,0,MAX(0,ET63-FA63)),ET63)</f>
        <v>0</v>
      </c>
      <c r="FE63" s="1" t="n">
        <f aca="false">EV63*(Slot14_Cost-FA63)</f>
        <v>0</v>
      </c>
      <c r="FF63" s="1" t="n">
        <f aca="false">IF(AND(Slot15_On=1,D63=Slot15_Age),1,0)</f>
        <v>0</v>
      </c>
      <c r="FG63" s="1" t="n">
        <f aca="false">IF(AND(Slot15_On=1,Slot15_Age&gt;D63),1,0)</f>
        <v>0</v>
      </c>
      <c r="FH63" s="1" t="n">
        <f aca="false">SP62</f>
        <v>0</v>
      </c>
      <c r="FI63" s="1" t="n">
        <f aca="false">FF63*MIN(Slot15_Cost,FH63)</f>
        <v>0</v>
      </c>
      <c r="FJ63" s="1" t="n">
        <f aca="false">FF63*Slot15_SpendLike*MIN(Slot15_Cost-FI63,FB63)</f>
        <v>0</v>
      </c>
      <c r="FK63" s="1" t="n">
        <f aca="false">FI63+FJ63</f>
        <v>0</v>
      </c>
      <c r="FL63" s="1" t="n">
        <f aca="false">FB63-FJ63+FF63*IF(Slot15_SpendLike=1,FH63-FI63,IF(Slot15_PotFree=1,FH63,0))</f>
        <v>0</v>
      </c>
      <c r="FM63" s="1" t="n">
        <f aca="false">FC63+FF63*Slot15_BufPot*FH63</f>
        <v>0</v>
      </c>
      <c r="FN63" s="1" t="n">
        <f aca="false">IF(AND(FF63=1,Slot15_IsMfree=1),IF(FK63&gt;=Slot15_Cost-1,0,MAX(0,FD63-FK63)),FD63)</f>
        <v>0</v>
      </c>
      <c r="FO63" s="1" t="n">
        <f aca="false">FF63*(Slot15_Cost-FK63)</f>
        <v>0</v>
      </c>
      <c r="FP63" s="1" t="n">
        <f aca="false">IF(AND(Slot16_On=1,D63=Slot16_Age),1,0)</f>
        <v>0</v>
      </c>
      <c r="FQ63" s="1" t="n">
        <f aca="false">IF(AND(Slot16_On=1,Slot16_Age&gt;D63),1,0)</f>
        <v>0</v>
      </c>
      <c r="FR63" s="1" t="n">
        <f aca="false">ST62</f>
        <v>0</v>
      </c>
      <c r="FS63" s="1" t="n">
        <f aca="false">FP63*MIN(Slot16_Cost,FR63)</f>
        <v>0</v>
      </c>
      <c r="FT63" s="1" t="n">
        <f aca="false">FP63*Slot16_SpendLike*MIN(Slot16_Cost-FS63,FL63)</f>
        <v>0</v>
      </c>
      <c r="FU63" s="1" t="n">
        <f aca="false">FS63+FT63</f>
        <v>0</v>
      </c>
      <c r="FV63" s="1" t="n">
        <f aca="false">FL63-FT63+FP63*IF(Slot16_SpendLike=1,FR63-FS63,IF(Slot16_PotFree=1,FR63,0))</f>
        <v>0</v>
      </c>
      <c r="FW63" s="1" t="n">
        <f aca="false">FM63+FP63*Slot16_BufPot*FR63</f>
        <v>0</v>
      </c>
      <c r="FX63" s="1" t="n">
        <f aca="false">IF(AND(FP63=1,Slot16_IsMfree=1),IF(FU63&gt;=Slot16_Cost-1,0,MAX(0,FN63-FU63)),FN63)</f>
        <v>0</v>
      </c>
      <c r="FY63" s="1" t="n">
        <f aca="false">FP63*(Slot16_Cost-FU63)</f>
        <v>0</v>
      </c>
      <c r="FZ63" s="1" t="n">
        <f aca="false">IF(AND(Slot17_On=1,D63=Slot17_Age),1,0)</f>
        <v>0</v>
      </c>
      <c r="GA63" s="1" t="n">
        <f aca="false">IF(AND(Slot17_On=1,Slot17_Age&gt;D63),1,0)</f>
        <v>0</v>
      </c>
      <c r="GB63" s="1" t="n">
        <f aca="false">SX62</f>
        <v>0</v>
      </c>
      <c r="GC63" s="1" t="n">
        <f aca="false">FZ63*MIN(Slot17_Cost,GB63)</f>
        <v>0</v>
      </c>
      <c r="GD63" s="1" t="n">
        <f aca="false">FZ63*Slot17_SpendLike*MIN(Slot17_Cost-GC63,FV63)</f>
        <v>0</v>
      </c>
      <c r="GE63" s="1" t="n">
        <f aca="false">GC63+GD63</f>
        <v>0</v>
      </c>
      <c r="GF63" s="1" t="n">
        <f aca="false">FV63-GD63+FZ63*IF(Slot17_SpendLike=1,GB63-GC63,IF(Slot17_PotFree=1,GB63,0))</f>
        <v>0</v>
      </c>
      <c r="GG63" s="1" t="n">
        <f aca="false">FW63+FZ63*Slot17_BufPot*GB63</f>
        <v>0</v>
      </c>
      <c r="GH63" s="1" t="n">
        <f aca="false">IF(AND(FZ63=1,Slot17_IsMfree=1),IF(GE63&gt;=Slot17_Cost-1,0,MAX(0,FX63-GE63)),FX63)</f>
        <v>0</v>
      </c>
      <c r="GI63" s="1" t="n">
        <f aca="false">FZ63*(Slot17_Cost-GE63)</f>
        <v>0</v>
      </c>
      <c r="GJ63" s="1" t="n">
        <f aca="false">IF(AND(Slot18_On=1,D63=Slot18_Age),1,0)</f>
        <v>0</v>
      </c>
      <c r="GK63" s="1" t="n">
        <f aca="false">IF(AND(Slot18_On=1,Slot18_Age&gt;D63),1,0)</f>
        <v>0</v>
      </c>
      <c r="GL63" s="1" t="n">
        <f aca="false">TB62</f>
        <v>0</v>
      </c>
      <c r="GM63" s="1" t="n">
        <f aca="false">GJ63*MIN(Slot18_Cost,GL63)</f>
        <v>0</v>
      </c>
      <c r="GN63" s="1" t="n">
        <f aca="false">GJ63*Slot18_SpendLike*MIN(Slot18_Cost-GM63,GF63)</f>
        <v>0</v>
      </c>
      <c r="GO63" s="1" t="n">
        <f aca="false">GM63+GN63</f>
        <v>0</v>
      </c>
      <c r="GP63" s="1" t="n">
        <f aca="false">GF63-GN63+GJ63*IF(Slot18_SpendLike=1,GL63-GM63,IF(Slot18_PotFree=1,GL63,0))</f>
        <v>0</v>
      </c>
      <c r="GQ63" s="1" t="n">
        <f aca="false">GG63+GJ63*Slot18_BufPot*GL63</f>
        <v>0</v>
      </c>
      <c r="GR63" s="1" t="n">
        <f aca="false">IF(AND(GJ63=1,Slot18_IsMfree=1),IF(GO63&gt;=Slot18_Cost-1,0,MAX(0,GH63-GO63)),GH63)</f>
        <v>0</v>
      </c>
      <c r="GS63" s="1" t="n">
        <f aca="false">GJ63*(Slot18_Cost-GO63)</f>
        <v>0</v>
      </c>
      <c r="GT63" s="1" t="n">
        <f aca="false">IF(AND(Slot19_On=1,D63=Slot19_Age),1,0)</f>
        <v>0</v>
      </c>
      <c r="GU63" s="1" t="n">
        <f aca="false">IF(AND(Slot19_On=1,Slot19_Age&gt;D63),1,0)</f>
        <v>0</v>
      </c>
      <c r="GV63" s="1" t="n">
        <f aca="false">TF62</f>
        <v>0</v>
      </c>
      <c r="GW63" s="1" t="n">
        <f aca="false">GT63*MIN(Slot19_Cost,GV63)</f>
        <v>0</v>
      </c>
      <c r="GX63" s="1" t="n">
        <f aca="false">GT63*Slot19_SpendLike*MIN(Slot19_Cost-GW63,GP63)</f>
        <v>0</v>
      </c>
      <c r="GY63" s="1" t="n">
        <f aca="false">GW63+GX63</f>
        <v>0</v>
      </c>
      <c r="GZ63" s="1" t="n">
        <f aca="false">GP63-GX63+GT63*IF(Slot19_SpendLike=1,GV63-GW63,IF(Slot19_PotFree=1,GV63,0))</f>
        <v>0</v>
      </c>
      <c r="HA63" s="1" t="n">
        <f aca="false">GQ63+GT63*Slot19_BufPot*GV63</f>
        <v>0</v>
      </c>
      <c r="HB63" s="1" t="n">
        <f aca="false">IF(AND(GT63=1,Slot19_IsMfree=1),IF(GY63&gt;=Slot19_Cost-1,0,MAX(0,GR63-GY63)),GR63)</f>
        <v>0</v>
      </c>
      <c r="HC63" s="1" t="n">
        <f aca="false">GT63*(Slot19_Cost-GY63)</f>
        <v>0</v>
      </c>
      <c r="HD63" s="1" t="n">
        <f aca="false">IF(AND(Slot20_On=1,D63=Slot20_Age),1,0)</f>
        <v>0</v>
      </c>
      <c r="HE63" s="1" t="n">
        <f aca="false">IF(AND(Slot20_On=1,Slot20_Age&gt;D63),1,0)</f>
        <v>0</v>
      </c>
      <c r="HF63" s="1" t="n">
        <f aca="false">TJ62</f>
        <v>0</v>
      </c>
      <c r="HG63" s="1" t="n">
        <f aca="false">HD63*MIN(Slot20_Cost,HF63)</f>
        <v>0</v>
      </c>
      <c r="HH63" s="1" t="n">
        <f aca="false">HD63*Slot20_SpendLike*MIN(Slot20_Cost-HG63,GZ63)</f>
        <v>0</v>
      </c>
      <c r="HI63" s="1" t="n">
        <f aca="false">HG63+HH63</f>
        <v>0</v>
      </c>
      <c r="HJ63" s="1" t="n">
        <f aca="false">GZ63-HH63+HD63*IF(Slot20_SpendLike=1,HF63-HG63,IF(Slot20_PotFree=1,HF63,0))</f>
        <v>0</v>
      </c>
      <c r="HK63" s="1" t="n">
        <f aca="false">HA63+HD63*Slot20_BufPot*HF63</f>
        <v>0</v>
      </c>
      <c r="HL63" s="1" t="n">
        <f aca="false">IF(AND(HD63=1,Slot20_IsMfree=1),IF(HI63&gt;=Slot20_Cost-1,0,MAX(0,HB63-HI63)),HB63)</f>
        <v>0</v>
      </c>
      <c r="HM63" s="1" t="n">
        <f aca="false">HD63*(Slot20_Cost-HI63)</f>
        <v>0</v>
      </c>
      <c r="HN63" s="1" t="n">
        <f aca="false">U63*Slot1_SpendLike*Z63+AF63*Slot2_SpendLike*AK63+AP63*Slot3_SpendLike*AU63+AZ63*Slot4_SpendLike*BE63+BJ63*Slot5_SpendLike*BO63+BT63*Slot6_SpendLike*BY63+CD63*Slot7_SpendLike*CI63+CN63*Slot8_SpendLike*CS63+CX63*Slot9_SpendLike*DC63+DH63*Slot10_SpendLike*DM63+DR63*Slot11_SpendLike*DW63+EB63*Slot12_SpendLike*EG63+EL63*Slot13_SpendLike*EQ63+EV63*Slot14_SpendLike*FA63+FF63*Slot15_SpendLike*FK63+FP63*Slot16_SpendLike*FU63+FZ63*Slot17_SpendLike*GE63+GJ63*Slot18_SpendLike*GO63+GT63*Slot19_SpendLike*GY63+HD63*Slot20_SpendLike*HI63</f>
        <v>0</v>
      </c>
      <c r="HO63" s="1" t="n">
        <f aca="false">AD63+AO63+AY63+BI63+BS63+CC63+CM63+CW63+DG63+DQ63+EA63+EK63+EU63+FE63+FO63+FY63+GI63+GS63+HC63+HM63</f>
        <v>0</v>
      </c>
      <c r="HP63" s="1" t="n">
        <f aca="false">U63*Slot1_Cost+AF63*Slot2_Cost+AP63*Slot3_Cost+AZ63*Slot4_Cost+BJ63*Slot5_Cost+BT63*Slot6_Cost+CD63*Slot7_Cost+CN63*Slot8_Cost+CX63*Slot9_Cost+DH63*Slot10_Cost+DR63*Slot11_Cost+EB63*Slot12_Cost+EL63*Slot13_Cost+EV63*Slot14_Cost+FF63*Slot15_Cost+FP63*Slot16_Cost+FZ63*Slot17_Cost+GJ63*Slot18_Cost+GT63*Slot19_Cost+HD63*Slot20_Cost</f>
        <v>0</v>
      </c>
      <c r="HQ63" s="1" t="n">
        <f aca="false">HL63</f>
        <v>0</v>
      </c>
      <c r="HR63" s="1" t="n">
        <f aca="false">G63-H63-R63</f>
        <v>0</v>
      </c>
      <c r="HS63" s="1" t="n">
        <f aca="false">IF(B63=0,IF(AND(Has_q6=1,In_q6=4),PR_ShareVaries*(MAX(0,HR63)/12),MIN(IF(Has_q6=1,CHOOSE(In_q6+1,PR_SaveB1,PR_SaveB2,PR_SaveB3,PR_SaveB4,0),AS_NoAnswer),AS_SaveShare*(MAX(0,HR63)/12))),HS62)</f>
        <v>0</v>
      </c>
      <c r="HT63" s="1" t="n">
        <f aca="false">IF(HR63&gt;=0,1,0)</f>
        <v>1</v>
      </c>
      <c r="HU63" s="1" t="n">
        <f aca="false">MAX(0,HR63/12/E63)</f>
        <v>0</v>
      </c>
      <c r="HV63" s="1" t="n">
        <f aca="false">IF(AND(Has_q6=1,In_q6=4),PR_ShareVaries*(HU63),MIN(IF(Has_q6=1,CHOOSE(In_q6+1,PR_SaveB1,PR_SaveB2,PR_SaveB3,PR_SaveB4,0),AS_NoAnswer),AS_SaveShare*(HU63)))</f>
        <v>0</v>
      </c>
      <c r="HW63" s="1" t="n">
        <f aca="false">IF(Has_saveM=1,IF(In_saveUp="Yes",1,IF(In_saveUp="No",0,IF(In_saveM&gt;=HS63-0.5,1,0))),0)</f>
        <v>0</v>
      </c>
      <c r="HX63" s="1" t="n">
        <f aca="false">IF(Has_saveM=1,MIN(HU63,IF(HW63=1,MAX(In_saveM,HV63),MIN(In_saveM,HV63))),HV63)</f>
        <v>0</v>
      </c>
      <c r="HY63" s="1" t="n">
        <f aca="false">IF(F63=1,HX63*12*E63,0)</f>
        <v>0</v>
      </c>
      <c r="HZ63" s="1" t="n">
        <f aca="false">MAX(0,HY63+IF(AND(WI_Retire=0,WI_M&lt;0,F63=1),WI_M*12*E63,0))</f>
        <v>0</v>
      </c>
      <c r="IA63" s="1" t="n">
        <f aca="false">Slot1_IsWG*V63+Slot2_IsWG*AG63+Slot3_IsWG*AQ63+Slot4_IsWG*BA63+Slot5_IsWG*BK63+Slot6_IsWG*BU63+Slot7_IsWG*CE63+Slot8_IsWG*CO63+Slot9_IsWG*CY63+Slot10_IsWG*DI63+Slot11_IsWG*DS63+Slot12_IsWG*EC63+Slot13_IsWG*EM63+Slot14_IsWG*EW63+Slot15_IsWG*FG63+Slot16_IsWG*FQ63+Slot17_IsWG*GA63+Slot18_IsWG*GK63+Slot19_IsWG*GU63+Slot20_IsWG*HE63</f>
        <v>0</v>
      </c>
      <c r="IB63" s="1" t="n">
        <f aca="false">IF(AND(WI_Retire=0,WI_M&gt;0,F63=1,IA63&gt;=1),WI_M*12*E63,0)</f>
        <v>0</v>
      </c>
      <c r="IC63" s="1" t="n">
        <f aca="false">IF(HT63=1,MIN(HZ63,HR63),0)</f>
        <v>0</v>
      </c>
      <c r="ID63" s="1" t="n">
        <f aca="false">IF(HT63=1,MIN(IB63,HR63-IC63),0)</f>
        <v>0</v>
      </c>
      <c r="IE63" s="1" t="n">
        <f aca="false">IF(V63=1,IF(ABS((1+AS_Wage)/(1+Slot1_Rate)-1)&lt;0.000000000001,(Slot1_Age-D63)*(1+Slot1_Rate)^(Slot1_Age-D63),(1+Slot1_Rate)^(Slot1_Age-D63)*(1-((1+AS_Wage)/(1+Slot1_Rate))^(Slot1_Age-D63))/(1-(1+AS_Wage)/(1+Slot1_Rate))),1)</f>
        <v>1</v>
      </c>
      <c r="IF63" s="1" t="n">
        <f aca="false">IF(AND(HT63=1,ID63&gt;0,Slot1_IsWG=1,V63=1),MAX(0,(Slot1_Cost-W63*(1+Slot1_Rate)^(Slot1_Age-D63))/IE63),0)</f>
        <v>0</v>
      </c>
      <c r="IG63" s="1" t="n">
        <f aca="false">IF(AND(HT63=1,ID63&gt;0,Slot1_IsWG=1,V63=1),MIN(ID63,IF63),0)</f>
        <v>0</v>
      </c>
      <c r="IH63" s="1" t="n">
        <f aca="false">W63+IG63</f>
        <v>0</v>
      </c>
      <c r="II63" s="1" t="n">
        <f aca="false">IF(V63=1,MAX(0,(Slot1_Cost-IH63*(1+Slot1_Rate)^(Slot1_Age-D63))/IE63),0)</f>
        <v>0</v>
      </c>
      <c r="IJ63" s="1" t="n">
        <f aca="false">IF(V63=1,MAX(0,(Slot1_Cost-W63*(1+Slot1_Rate)^(Slot1_Age-D63))/IE63),0)</f>
        <v>0</v>
      </c>
      <c r="IK63" s="1" t="n">
        <f aca="false">IF(AND(HT63=1,V63=1),MIN(IC63,II63),0)</f>
        <v>0</v>
      </c>
      <c r="IL63" s="1" t="n">
        <f aca="false">IC63-IK63</f>
        <v>0</v>
      </c>
      <c r="IM63" s="1" t="n">
        <f aca="false">IF(AG63=1,IF(ABS((1+AS_Wage)/(1+Slot2_Rate)-1)&lt;0.000000000001,(Slot2_Age-D63)*(1+Slot2_Rate)^(Slot2_Age-D63),(1+Slot2_Rate)^(Slot2_Age-D63)*(1-((1+AS_Wage)/(1+Slot2_Rate))^(Slot2_Age-D63))/(1-(1+AS_Wage)/(1+Slot2_Rate))),1)</f>
        <v>1</v>
      </c>
      <c r="IN63" s="1" t="n">
        <f aca="false">IF(AND(HT63=1,ID63&gt;0,Slot2_IsWG=1,AG63=1),MAX(0,(Slot2_Cost-AH63*(1+Slot2_Rate)^(Slot2_Age-D63))/IM63),0)</f>
        <v>0</v>
      </c>
      <c r="IO63" s="1" t="n">
        <f aca="false">IF(AND(HT63=1,ID63&gt;0,Slot2_IsWG=1,AG63=1),MIN(ID63,IN63),0)</f>
        <v>0</v>
      </c>
      <c r="IP63" s="1" t="n">
        <f aca="false">AH63+IO63</f>
        <v>0</v>
      </c>
      <c r="IQ63" s="1" t="n">
        <f aca="false">IF(AG63=1,MAX(0,(Slot2_Cost-IP63*(1+Slot2_Rate)^(Slot2_Age-D63))/IM63),0)</f>
        <v>0</v>
      </c>
      <c r="IR63" s="1" t="n">
        <f aca="false">IF(AG63=1,MAX(0,(Slot2_Cost-AH63*(1+Slot2_Rate)^(Slot2_Age-D63))/IM63),0)</f>
        <v>0</v>
      </c>
      <c r="IS63" s="1" t="n">
        <f aca="false">IF(AND(HT63=1,AG63=1),MIN(IL63,IQ63),0)</f>
        <v>0</v>
      </c>
      <c r="IT63" s="1" t="n">
        <f aca="false">IL63-IS63</f>
        <v>0</v>
      </c>
      <c r="IU63" s="1" t="n">
        <f aca="false">IF(AQ63=1,IF(ABS((1+AS_Wage)/(1+Slot3_Rate)-1)&lt;0.000000000001,(Slot3_Age-D63)*(1+Slot3_Rate)^(Slot3_Age-D63),(1+Slot3_Rate)^(Slot3_Age-D63)*(1-((1+AS_Wage)/(1+Slot3_Rate))^(Slot3_Age-D63))/(1-(1+AS_Wage)/(1+Slot3_Rate))),1)</f>
        <v>1</v>
      </c>
      <c r="IV63" s="1" t="n">
        <f aca="false">IF(AND(HT63=1,ID63&gt;0,Slot3_IsWG=1,AQ63=1),MAX(0,(Slot3_Cost-AR63*(1+Slot3_Rate)^(Slot3_Age-D63))/IU63),0)</f>
        <v>0</v>
      </c>
      <c r="IW63" s="1" t="n">
        <f aca="false">IF(AND(HT63=1,ID63&gt;0,Slot3_IsWG=1,AQ63=1),MIN(ID63,IV63),0)</f>
        <v>0</v>
      </c>
      <c r="IX63" s="1" t="n">
        <f aca="false">AR63+IW63</f>
        <v>0</v>
      </c>
      <c r="IY63" s="1" t="n">
        <f aca="false">IF(AQ63=1,MAX(0,(Slot3_Cost-IX63*(1+Slot3_Rate)^(Slot3_Age-D63))/IU63),0)</f>
        <v>0</v>
      </c>
      <c r="IZ63" s="1" t="n">
        <f aca="false">IF(AQ63=1,MAX(0,(Slot3_Cost-AR63*(1+Slot3_Rate)^(Slot3_Age-D63))/IU63),0)</f>
        <v>0</v>
      </c>
      <c r="JA63" s="1" t="n">
        <f aca="false">IF(AND(HT63=1,AQ63=1),MIN(IT63,IY63),0)</f>
        <v>0</v>
      </c>
      <c r="JB63" s="1" t="n">
        <f aca="false">IT63-JA63</f>
        <v>0</v>
      </c>
      <c r="JC63" s="1" t="n">
        <f aca="false">IF(BA63=1,IF(ABS((1+AS_Wage)/(1+Slot4_Rate)-1)&lt;0.000000000001,(Slot4_Age-D63)*(1+Slot4_Rate)^(Slot4_Age-D63),(1+Slot4_Rate)^(Slot4_Age-D63)*(1-((1+AS_Wage)/(1+Slot4_Rate))^(Slot4_Age-D63))/(1-(1+AS_Wage)/(1+Slot4_Rate))),1)</f>
        <v>1</v>
      </c>
      <c r="JD63" s="1" t="n">
        <f aca="false">IF(AND(HT63=1,ID63&gt;0,Slot4_IsWG=1,BA63=1),MAX(0,(Slot4_Cost-BB63*(1+Slot4_Rate)^(Slot4_Age-D63))/JC63),0)</f>
        <v>0</v>
      </c>
      <c r="JE63" s="1" t="n">
        <f aca="false">IF(AND(HT63=1,ID63&gt;0,Slot4_IsWG=1,BA63=1),MIN(ID63,JD63),0)</f>
        <v>0</v>
      </c>
      <c r="JF63" s="1" t="n">
        <f aca="false">BB63+JE63</f>
        <v>0</v>
      </c>
      <c r="JG63" s="1" t="n">
        <f aca="false">IF(BA63=1,MAX(0,(Slot4_Cost-JF63*(1+Slot4_Rate)^(Slot4_Age-D63))/JC63),0)</f>
        <v>0</v>
      </c>
      <c r="JH63" s="1" t="n">
        <f aca="false">IF(BA63=1,MAX(0,(Slot4_Cost-BB63*(1+Slot4_Rate)^(Slot4_Age-D63))/JC63),0)</f>
        <v>0</v>
      </c>
      <c r="JI63" s="1" t="n">
        <f aca="false">IF(AND(HT63=1,BA63=1),MIN(JB63,JG63),0)</f>
        <v>0</v>
      </c>
      <c r="JJ63" s="1" t="n">
        <f aca="false">JB63-JI63</f>
        <v>0</v>
      </c>
      <c r="JK63" s="1" t="n">
        <f aca="false">IF(BK63=1,IF(ABS((1+AS_Wage)/(1+Slot5_Rate)-1)&lt;0.000000000001,(Slot5_Age-D63)*(1+Slot5_Rate)^(Slot5_Age-D63),(1+Slot5_Rate)^(Slot5_Age-D63)*(1-((1+AS_Wage)/(1+Slot5_Rate))^(Slot5_Age-D63))/(1-(1+AS_Wage)/(1+Slot5_Rate))),1)</f>
        <v>1</v>
      </c>
      <c r="JL63" s="1" t="n">
        <f aca="false">IF(AND(HT63=1,ID63&gt;0,Slot5_IsWG=1,BK63=1),MAX(0,(Slot5_Cost-BL63*(1+Slot5_Rate)^(Slot5_Age-D63))/JK63),0)</f>
        <v>0</v>
      </c>
      <c r="JM63" s="1" t="n">
        <f aca="false">IF(AND(HT63=1,ID63&gt;0,Slot5_IsWG=1,BK63=1),MIN(ID63,JL63),0)</f>
        <v>0</v>
      </c>
      <c r="JN63" s="1" t="n">
        <f aca="false">BL63+JM63</f>
        <v>0</v>
      </c>
      <c r="JO63" s="1" t="n">
        <f aca="false">IF(BK63=1,MAX(0,(Slot5_Cost-JN63*(1+Slot5_Rate)^(Slot5_Age-D63))/JK63),0)</f>
        <v>0</v>
      </c>
      <c r="JP63" s="1" t="n">
        <f aca="false">IF(BK63=1,MAX(0,(Slot5_Cost-BL63*(1+Slot5_Rate)^(Slot5_Age-D63))/JK63),0)</f>
        <v>0</v>
      </c>
      <c r="JQ63" s="1" t="n">
        <f aca="false">IF(AND(HT63=1,BK63=1),MIN(JJ63,JO63),0)</f>
        <v>0</v>
      </c>
      <c r="JR63" s="1" t="n">
        <f aca="false">JJ63-JQ63</f>
        <v>0</v>
      </c>
      <c r="JS63" s="1" t="n">
        <f aca="false">IF(BU63=1,IF(ABS((1+AS_Wage)/(1+Slot6_Rate)-1)&lt;0.000000000001,(Slot6_Age-D63)*(1+Slot6_Rate)^(Slot6_Age-D63),(1+Slot6_Rate)^(Slot6_Age-D63)*(1-((1+AS_Wage)/(1+Slot6_Rate))^(Slot6_Age-D63))/(1-(1+AS_Wage)/(1+Slot6_Rate))),1)</f>
        <v>1</v>
      </c>
      <c r="JT63" s="1" t="n">
        <f aca="false">IF(AND(HT63=1,ID63&gt;0,Slot6_IsWG=1,BU63=1),MAX(0,(Slot6_Cost-BV63*(1+Slot6_Rate)^(Slot6_Age-D63))/JS63),0)</f>
        <v>0</v>
      </c>
      <c r="JU63" s="1" t="n">
        <f aca="false">IF(AND(HT63=1,ID63&gt;0,Slot6_IsWG=1,BU63=1),MIN(ID63,JT63),0)</f>
        <v>0</v>
      </c>
      <c r="JV63" s="1" t="n">
        <f aca="false">BV63+JU63</f>
        <v>0</v>
      </c>
      <c r="JW63" s="1" t="n">
        <f aca="false">IF(BU63=1,MAX(0,(Slot6_Cost-JV63*(1+Slot6_Rate)^(Slot6_Age-D63))/JS63),0)</f>
        <v>0</v>
      </c>
      <c r="JX63" s="1" t="n">
        <f aca="false">IF(BU63=1,MAX(0,(Slot6_Cost-BV63*(1+Slot6_Rate)^(Slot6_Age-D63))/JS63),0)</f>
        <v>0</v>
      </c>
      <c r="JY63" s="1" t="n">
        <f aca="false">IF(AND(HT63=1,BU63=1),MIN(JR63,JW63),0)</f>
        <v>0</v>
      </c>
      <c r="JZ63" s="1" t="n">
        <f aca="false">JR63-JY63</f>
        <v>0</v>
      </c>
      <c r="KA63" s="1" t="n">
        <f aca="false">IF(CE63=1,IF(ABS((1+AS_Wage)/(1+Slot7_Rate)-1)&lt;0.000000000001,(Slot7_Age-D63)*(1+Slot7_Rate)^(Slot7_Age-D63),(1+Slot7_Rate)^(Slot7_Age-D63)*(1-((1+AS_Wage)/(1+Slot7_Rate))^(Slot7_Age-D63))/(1-(1+AS_Wage)/(1+Slot7_Rate))),1)</f>
        <v>1</v>
      </c>
      <c r="KB63" s="1" t="n">
        <f aca="false">IF(AND(HT63=1,ID63&gt;0,Slot7_IsWG=1,CE63=1),MAX(0,(Slot7_Cost-CF63*(1+Slot7_Rate)^(Slot7_Age-D63))/KA63),0)</f>
        <v>0</v>
      </c>
      <c r="KC63" s="1" t="n">
        <f aca="false">IF(AND(HT63=1,ID63&gt;0,Slot7_IsWG=1,CE63=1),MIN(ID63,KB63),0)</f>
        <v>0</v>
      </c>
      <c r="KD63" s="1" t="n">
        <f aca="false">CF63+KC63</f>
        <v>0</v>
      </c>
      <c r="KE63" s="1" t="n">
        <f aca="false">IF(CE63=1,MAX(0,(Slot7_Cost-KD63*(1+Slot7_Rate)^(Slot7_Age-D63))/KA63),0)</f>
        <v>0</v>
      </c>
      <c r="KF63" s="1" t="n">
        <f aca="false">IF(CE63=1,MAX(0,(Slot7_Cost-CF63*(1+Slot7_Rate)^(Slot7_Age-D63))/KA63),0)</f>
        <v>0</v>
      </c>
      <c r="KG63" s="1" t="n">
        <f aca="false">IF(AND(HT63=1,CE63=1),MIN(JZ63,KE63),0)</f>
        <v>0</v>
      </c>
      <c r="KH63" s="1" t="n">
        <f aca="false">JZ63-KG63</f>
        <v>0</v>
      </c>
      <c r="KI63" s="1" t="n">
        <f aca="false">IF(CO63=1,IF(ABS((1+AS_Wage)/(1+Slot8_Rate)-1)&lt;0.000000000001,(Slot8_Age-D63)*(1+Slot8_Rate)^(Slot8_Age-D63),(1+Slot8_Rate)^(Slot8_Age-D63)*(1-((1+AS_Wage)/(1+Slot8_Rate))^(Slot8_Age-D63))/(1-(1+AS_Wage)/(1+Slot8_Rate))),1)</f>
        <v>1</v>
      </c>
      <c r="KJ63" s="1" t="n">
        <f aca="false">IF(AND(HT63=1,ID63&gt;0,Slot8_IsWG=1,CO63=1),MAX(0,(Slot8_Cost-CP63*(1+Slot8_Rate)^(Slot8_Age-D63))/KI63),0)</f>
        <v>0</v>
      </c>
      <c r="KK63" s="1" t="n">
        <f aca="false">IF(AND(HT63=1,ID63&gt;0,Slot8_IsWG=1,CO63=1),MIN(ID63,KJ63),0)</f>
        <v>0</v>
      </c>
      <c r="KL63" s="1" t="n">
        <f aca="false">CP63+KK63</f>
        <v>0</v>
      </c>
      <c r="KM63" s="1" t="n">
        <f aca="false">IF(CO63=1,MAX(0,(Slot8_Cost-KL63*(1+Slot8_Rate)^(Slot8_Age-D63))/KI63),0)</f>
        <v>0</v>
      </c>
      <c r="KN63" s="1" t="n">
        <f aca="false">IF(CO63=1,MAX(0,(Slot8_Cost-CP63*(1+Slot8_Rate)^(Slot8_Age-D63))/KI63),0)</f>
        <v>0</v>
      </c>
      <c r="KO63" s="1" t="n">
        <f aca="false">IF(AND(HT63=1,CO63=1),MIN(KH63,KM63),0)</f>
        <v>0</v>
      </c>
      <c r="KP63" s="1" t="n">
        <f aca="false">KH63-KO63</f>
        <v>0</v>
      </c>
      <c r="KQ63" s="1" t="n">
        <f aca="false">IF(CY63=1,IF(ABS((1+AS_Wage)/(1+Slot9_Rate)-1)&lt;0.000000000001,(Slot9_Age-D63)*(1+Slot9_Rate)^(Slot9_Age-D63),(1+Slot9_Rate)^(Slot9_Age-D63)*(1-((1+AS_Wage)/(1+Slot9_Rate))^(Slot9_Age-D63))/(1-(1+AS_Wage)/(1+Slot9_Rate))),1)</f>
        <v>1</v>
      </c>
      <c r="KR63" s="1" t="n">
        <f aca="false">IF(AND(HT63=1,ID63&gt;0,Slot9_IsWG=1,CY63=1),MAX(0,(Slot9_Cost-CZ63*(1+Slot9_Rate)^(Slot9_Age-D63))/KQ63),0)</f>
        <v>0</v>
      </c>
      <c r="KS63" s="1" t="n">
        <f aca="false">IF(AND(HT63=1,ID63&gt;0,Slot9_IsWG=1,CY63=1),MIN(ID63,KR63),0)</f>
        <v>0</v>
      </c>
      <c r="KT63" s="1" t="n">
        <f aca="false">CZ63+KS63</f>
        <v>0</v>
      </c>
      <c r="KU63" s="1" t="n">
        <f aca="false">IF(CY63=1,MAX(0,(Slot9_Cost-KT63*(1+Slot9_Rate)^(Slot9_Age-D63))/KQ63),0)</f>
        <v>0</v>
      </c>
      <c r="KV63" s="1" t="n">
        <f aca="false">IF(CY63=1,MAX(0,(Slot9_Cost-CZ63*(1+Slot9_Rate)^(Slot9_Age-D63))/KQ63),0)</f>
        <v>0</v>
      </c>
      <c r="KW63" s="1" t="n">
        <f aca="false">IF(AND(HT63=1,CY63=1),MIN(KP63,KU63),0)</f>
        <v>0</v>
      </c>
      <c r="KX63" s="1" t="n">
        <f aca="false">KP63-KW63</f>
        <v>0</v>
      </c>
      <c r="KY63" s="1" t="n">
        <f aca="false">IF(DI63=1,IF(ABS((1+AS_Wage)/(1+Slot10_Rate)-1)&lt;0.000000000001,(Slot10_Age-D63)*(1+Slot10_Rate)^(Slot10_Age-D63),(1+Slot10_Rate)^(Slot10_Age-D63)*(1-((1+AS_Wage)/(1+Slot10_Rate))^(Slot10_Age-D63))/(1-(1+AS_Wage)/(1+Slot10_Rate))),1)</f>
        <v>1</v>
      </c>
      <c r="KZ63" s="1" t="n">
        <f aca="false">IF(AND(HT63=1,ID63&gt;0,Slot10_IsWG=1,DI63=1),MAX(0,(Slot10_Cost-DJ63*(1+Slot10_Rate)^(Slot10_Age-D63))/KY63),0)</f>
        <v>0</v>
      </c>
      <c r="LA63" s="1" t="n">
        <f aca="false">IF(AND(HT63=1,ID63&gt;0,Slot10_IsWG=1,DI63=1),MIN(ID63,KZ63),0)</f>
        <v>0</v>
      </c>
      <c r="LB63" s="1" t="n">
        <f aca="false">DJ63+LA63</f>
        <v>0</v>
      </c>
      <c r="LC63" s="1" t="n">
        <f aca="false">IF(DI63=1,MAX(0,(Slot10_Cost-LB63*(1+Slot10_Rate)^(Slot10_Age-D63))/KY63),0)</f>
        <v>0</v>
      </c>
      <c r="LD63" s="1" t="n">
        <f aca="false">IF(DI63=1,MAX(0,(Slot10_Cost-DJ63*(1+Slot10_Rate)^(Slot10_Age-D63))/KY63),0)</f>
        <v>0</v>
      </c>
      <c r="LE63" s="1" t="n">
        <f aca="false">IF(AND(HT63=1,DI63=1),MIN(KX63,LC63),0)</f>
        <v>0</v>
      </c>
      <c r="LF63" s="1" t="n">
        <f aca="false">KX63-LE63</f>
        <v>0</v>
      </c>
      <c r="LG63" s="1" t="n">
        <f aca="false">IF(DS63=1,IF(ABS((1+AS_Wage)/(1+Slot11_Rate)-1)&lt;0.000000000001,(Slot11_Age-D63)*(1+Slot11_Rate)^(Slot11_Age-D63),(1+Slot11_Rate)^(Slot11_Age-D63)*(1-((1+AS_Wage)/(1+Slot11_Rate))^(Slot11_Age-D63))/(1-(1+AS_Wage)/(1+Slot11_Rate))),1)</f>
        <v>1</v>
      </c>
      <c r="LH63" s="1" t="n">
        <f aca="false">IF(AND(HT63=1,ID63&gt;0,Slot11_IsWG=1,DS63=1),MAX(0,(Slot11_Cost-DT63*(1+Slot11_Rate)^(Slot11_Age-D63))/LG63),0)</f>
        <v>0</v>
      </c>
      <c r="LI63" s="1" t="n">
        <f aca="false">IF(AND(HT63=1,ID63&gt;0,Slot11_IsWG=1,DS63=1),MIN(ID63,LH63),0)</f>
        <v>0</v>
      </c>
      <c r="LJ63" s="1" t="n">
        <f aca="false">DT63+LI63</f>
        <v>0</v>
      </c>
      <c r="LK63" s="1" t="n">
        <f aca="false">IF(DS63=1,MAX(0,(Slot11_Cost-LJ63*(1+Slot11_Rate)^(Slot11_Age-D63))/LG63),0)</f>
        <v>0</v>
      </c>
      <c r="LL63" s="1" t="n">
        <f aca="false">IF(DS63=1,MAX(0,(Slot11_Cost-DT63*(1+Slot11_Rate)^(Slot11_Age-D63))/LG63),0)</f>
        <v>0</v>
      </c>
      <c r="LM63" s="1" t="n">
        <f aca="false">IF(AND(HT63=1,DS63=1),MIN(LF63,LK63),0)</f>
        <v>0</v>
      </c>
      <c r="LN63" s="1" t="n">
        <f aca="false">LF63-LM63</f>
        <v>0</v>
      </c>
      <c r="LO63" s="1" t="n">
        <f aca="false">IF(EC63=1,IF(ABS((1+AS_Wage)/(1+Slot12_Rate)-1)&lt;0.000000000001,(Slot12_Age-D63)*(1+Slot12_Rate)^(Slot12_Age-D63),(1+Slot12_Rate)^(Slot12_Age-D63)*(1-((1+AS_Wage)/(1+Slot12_Rate))^(Slot12_Age-D63))/(1-(1+AS_Wage)/(1+Slot12_Rate))),1)</f>
        <v>1</v>
      </c>
      <c r="LP63" s="1" t="n">
        <f aca="false">IF(AND(HT63=1,ID63&gt;0,Slot12_IsWG=1,EC63=1),MAX(0,(Slot12_Cost-ED63*(1+Slot12_Rate)^(Slot12_Age-D63))/LO63),0)</f>
        <v>0</v>
      </c>
      <c r="LQ63" s="1" t="n">
        <f aca="false">IF(AND(HT63=1,ID63&gt;0,Slot12_IsWG=1,EC63=1),MIN(ID63,LP63),0)</f>
        <v>0</v>
      </c>
      <c r="LR63" s="1" t="n">
        <f aca="false">ED63+LQ63</f>
        <v>0</v>
      </c>
      <c r="LS63" s="1" t="n">
        <f aca="false">IF(EC63=1,MAX(0,(Slot12_Cost-LR63*(1+Slot12_Rate)^(Slot12_Age-D63))/LO63),0)</f>
        <v>0</v>
      </c>
      <c r="LT63" s="1" t="n">
        <f aca="false">IF(EC63=1,MAX(0,(Slot12_Cost-ED63*(1+Slot12_Rate)^(Slot12_Age-D63))/LO63),0)</f>
        <v>0</v>
      </c>
      <c r="LU63" s="1" t="n">
        <f aca="false">IF(AND(HT63=1,EC63=1),MIN(LN63,LS63),0)</f>
        <v>0</v>
      </c>
      <c r="LV63" s="1" t="n">
        <f aca="false">LN63-LU63</f>
        <v>0</v>
      </c>
      <c r="LW63" s="1" t="n">
        <f aca="false">IF(EM63=1,IF(ABS((1+AS_Wage)/(1+Slot13_Rate)-1)&lt;0.000000000001,(Slot13_Age-D63)*(1+Slot13_Rate)^(Slot13_Age-D63),(1+Slot13_Rate)^(Slot13_Age-D63)*(1-((1+AS_Wage)/(1+Slot13_Rate))^(Slot13_Age-D63))/(1-(1+AS_Wage)/(1+Slot13_Rate))),1)</f>
        <v>1</v>
      </c>
      <c r="LX63" s="1" t="n">
        <f aca="false">IF(AND(HT63=1,ID63&gt;0,Slot13_IsWG=1,EM63=1),MAX(0,(Slot13_Cost-EN63*(1+Slot13_Rate)^(Slot13_Age-D63))/LW63),0)</f>
        <v>0</v>
      </c>
      <c r="LY63" s="1" t="n">
        <f aca="false">IF(AND(HT63=1,ID63&gt;0,Slot13_IsWG=1,EM63=1),MIN(ID63,LX63),0)</f>
        <v>0</v>
      </c>
      <c r="LZ63" s="1" t="n">
        <f aca="false">EN63+LY63</f>
        <v>0</v>
      </c>
      <c r="MA63" s="1" t="n">
        <f aca="false">IF(EM63=1,MAX(0,(Slot13_Cost-LZ63*(1+Slot13_Rate)^(Slot13_Age-D63))/LW63),0)</f>
        <v>0</v>
      </c>
      <c r="MB63" s="1" t="n">
        <f aca="false">IF(EM63=1,MAX(0,(Slot13_Cost-EN63*(1+Slot13_Rate)^(Slot13_Age-D63))/LW63),0)</f>
        <v>0</v>
      </c>
      <c r="MC63" s="1" t="n">
        <f aca="false">IF(AND(HT63=1,EM63=1),MIN(LV63,MA63),0)</f>
        <v>0</v>
      </c>
      <c r="MD63" s="1" t="n">
        <f aca="false">LV63-MC63</f>
        <v>0</v>
      </c>
      <c r="ME63" s="1" t="n">
        <f aca="false">IF(EW63=1,IF(ABS((1+AS_Wage)/(1+Slot14_Rate)-1)&lt;0.000000000001,(Slot14_Age-D63)*(1+Slot14_Rate)^(Slot14_Age-D63),(1+Slot14_Rate)^(Slot14_Age-D63)*(1-((1+AS_Wage)/(1+Slot14_Rate))^(Slot14_Age-D63))/(1-(1+AS_Wage)/(1+Slot14_Rate))),1)</f>
        <v>1</v>
      </c>
      <c r="MF63" s="1" t="n">
        <f aca="false">IF(AND(HT63=1,ID63&gt;0,Slot14_IsWG=1,EW63=1),MAX(0,(Slot14_Cost-EX63*(1+Slot14_Rate)^(Slot14_Age-D63))/ME63),0)</f>
        <v>0</v>
      </c>
      <c r="MG63" s="1" t="n">
        <f aca="false">IF(AND(HT63=1,ID63&gt;0,Slot14_IsWG=1,EW63=1),MIN(ID63,MF63),0)</f>
        <v>0</v>
      </c>
      <c r="MH63" s="1" t="n">
        <f aca="false">EX63+MG63</f>
        <v>0</v>
      </c>
      <c r="MI63" s="1" t="n">
        <f aca="false">IF(EW63=1,MAX(0,(Slot14_Cost-MH63*(1+Slot14_Rate)^(Slot14_Age-D63))/ME63),0)</f>
        <v>0</v>
      </c>
      <c r="MJ63" s="1" t="n">
        <f aca="false">IF(EW63=1,MAX(0,(Slot14_Cost-EX63*(1+Slot14_Rate)^(Slot14_Age-D63))/ME63),0)</f>
        <v>0</v>
      </c>
      <c r="MK63" s="1" t="n">
        <f aca="false">IF(AND(HT63=1,EW63=1),MIN(MD63,MI63),0)</f>
        <v>0</v>
      </c>
      <c r="ML63" s="1" t="n">
        <f aca="false">MD63-MK63</f>
        <v>0</v>
      </c>
      <c r="MM63" s="1" t="n">
        <f aca="false">IF(FG63=1,IF(ABS((1+AS_Wage)/(1+Slot15_Rate)-1)&lt;0.000000000001,(Slot15_Age-D63)*(1+Slot15_Rate)^(Slot15_Age-D63),(1+Slot15_Rate)^(Slot15_Age-D63)*(1-((1+AS_Wage)/(1+Slot15_Rate))^(Slot15_Age-D63))/(1-(1+AS_Wage)/(1+Slot15_Rate))),1)</f>
        <v>1</v>
      </c>
      <c r="MN63" s="1" t="n">
        <f aca="false">IF(AND(HT63=1,ID63&gt;0,Slot15_IsWG=1,FG63=1),MAX(0,(Slot15_Cost-FH63*(1+Slot15_Rate)^(Slot15_Age-D63))/MM63),0)</f>
        <v>0</v>
      </c>
      <c r="MO63" s="1" t="n">
        <f aca="false">IF(AND(HT63=1,ID63&gt;0,Slot15_IsWG=1,FG63=1),MIN(ID63,MN63),0)</f>
        <v>0</v>
      </c>
      <c r="MP63" s="1" t="n">
        <f aca="false">FH63+MO63</f>
        <v>0</v>
      </c>
      <c r="MQ63" s="1" t="n">
        <f aca="false">IF(FG63=1,MAX(0,(Slot15_Cost-MP63*(1+Slot15_Rate)^(Slot15_Age-D63))/MM63),0)</f>
        <v>0</v>
      </c>
      <c r="MR63" s="1" t="n">
        <f aca="false">IF(FG63=1,MAX(0,(Slot15_Cost-FH63*(1+Slot15_Rate)^(Slot15_Age-D63))/MM63),0)</f>
        <v>0</v>
      </c>
      <c r="MS63" s="1" t="n">
        <f aca="false">IF(AND(HT63=1,FG63=1),MIN(ML63,MQ63),0)</f>
        <v>0</v>
      </c>
      <c r="MT63" s="1" t="n">
        <f aca="false">ML63-MS63</f>
        <v>0</v>
      </c>
      <c r="MU63" s="1" t="n">
        <f aca="false">IF(FQ63=1,IF(ABS((1+AS_Wage)/(1+Slot16_Rate)-1)&lt;0.000000000001,(Slot16_Age-D63)*(1+Slot16_Rate)^(Slot16_Age-D63),(1+Slot16_Rate)^(Slot16_Age-D63)*(1-((1+AS_Wage)/(1+Slot16_Rate))^(Slot16_Age-D63))/(1-(1+AS_Wage)/(1+Slot16_Rate))),1)</f>
        <v>1</v>
      </c>
      <c r="MV63" s="1" t="n">
        <f aca="false">IF(AND(HT63=1,ID63&gt;0,Slot16_IsWG=1,FQ63=1),MAX(0,(Slot16_Cost-FR63*(1+Slot16_Rate)^(Slot16_Age-D63))/MU63),0)</f>
        <v>0</v>
      </c>
      <c r="MW63" s="1" t="n">
        <f aca="false">IF(AND(HT63=1,ID63&gt;0,Slot16_IsWG=1,FQ63=1),MIN(ID63,MV63),0)</f>
        <v>0</v>
      </c>
      <c r="MX63" s="1" t="n">
        <f aca="false">FR63+MW63</f>
        <v>0</v>
      </c>
      <c r="MY63" s="1" t="n">
        <f aca="false">IF(FQ63=1,MAX(0,(Slot16_Cost-MX63*(1+Slot16_Rate)^(Slot16_Age-D63))/MU63),0)</f>
        <v>0</v>
      </c>
      <c r="MZ63" s="1" t="n">
        <f aca="false">IF(FQ63=1,MAX(0,(Slot16_Cost-FR63*(1+Slot16_Rate)^(Slot16_Age-D63))/MU63),0)</f>
        <v>0</v>
      </c>
      <c r="NA63" s="1" t="n">
        <f aca="false">IF(AND(HT63=1,FQ63=1),MIN(MT63,MY63),0)</f>
        <v>0</v>
      </c>
      <c r="NB63" s="1" t="n">
        <f aca="false">MT63-NA63</f>
        <v>0</v>
      </c>
      <c r="NC63" s="1" t="n">
        <f aca="false">IF(GA63=1,IF(ABS((1+AS_Wage)/(1+Slot17_Rate)-1)&lt;0.000000000001,(Slot17_Age-D63)*(1+Slot17_Rate)^(Slot17_Age-D63),(1+Slot17_Rate)^(Slot17_Age-D63)*(1-((1+AS_Wage)/(1+Slot17_Rate))^(Slot17_Age-D63))/(1-(1+AS_Wage)/(1+Slot17_Rate))),1)</f>
        <v>1</v>
      </c>
      <c r="ND63" s="1" t="n">
        <f aca="false">IF(AND(HT63=1,ID63&gt;0,Slot17_IsWG=1,GA63=1),MAX(0,(Slot17_Cost-GB63*(1+Slot17_Rate)^(Slot17_Age-D63))/NC63),0)</f>
        <v>0</v>
      </c>
      <c r="NE63" s="1" t="n">
        <f aca="false">IF(AND(HT63=1,ID63&gt;0,Slot17_IsWG=1,GA63=1),MIN(ID63,ND63),0)</f>
        <v>0</v>
      </c>
      <c r="NF63" s="1" t="n">
        <f aca="false">GB63+NE63</f>
        <v>0</v>
      </c>
      <c r="NG63" s="1" t="n">
        <f aca="false">IF(GA63=1,MAX(0,(Slot17_Cost-NF63*(1+Slot17_Rate)^(Slot17_Age-D63))/NC63),0)</f>
        <v>0</v>
      </c>
      <c r="NH63" s="1" t="n">
        <f aca="false">IF(GA63=1,MAX(0,(Slot17_Cost-GB63*(1+Slot17_Rate)^(Slot17_Age-D63))/NC63),0)</f>
        <v>0</v>
      </c>
      <c r="NI63" s="1" t="n">
        <f aca="false">IF(AND(HT63=1,GA63=1),MIN(NB63,NG63),0)</f>
        <v>0</v>
      </c>
      <c r="NJ63" s="1" t="n">
        <f aca="false">NB63-NI63</f>
        <v>0</v>
      </c>
      <c r="NK63" s="1" t="n">
        <f aca="false">IF(GK63=1,IF(ABS((1+AS_Wage)/(1+Slot18_Rate)-1)&lt;0.000000000001,(Slot18_Age-D63)*(1+Slot18_Rate)^(Slot18_Age-D63),(1+Slot18_Rate)^(Slot18_Age-D63)*(1-((1+AS_Wage)/(1+Slot18_Rate))^(Slot18_Age-D63))/(1-(1+AS_Wage)/(1+Slot18_Rate))),1)</f>
        <v>1</v>
      </c>
      <c r="NL63" s="1" t="n">
        <f aca="false">IF(AND(HT63=1,ID63&gt;0,Slot18_IsWG=1,GK63=1),MAX(0,(Slot18_Cost-GL63*(1+Slot18_Rate)^(Slot18_Age-D63))/NK63),0)</f>
        <v>0</v>
      </c>
      <c r="NM63" s="1" t="n">
        <f aca="false">IF(AND(HT63=1,ID63&gt;0,Slot18_IsWG=1,GK63=1),MIN(ID63,NL63),0)</f>
        <v>0</v>
      </c>
      <c r="NN63" s="1" t="n">
        <f aca="false">GL63+NM63</f>
        <v>0</v>
      </c>
      <c r="NO63" s="1" t="n">
        <f aca="false">IF(GK63=1,MAX(0,(Slot18_Cost-NN63*(1+Slot18_Rate)^(Slot18_Age-D63))/NK63),0)</f>
        <v>0</v>
      </c>
      <c r="NP63" s="1" t="n">
        <f aca="false">IF(GK63=1,MAX(0,(Slot18_Cost-GL63*(1+Slot18_Rate)^(Slot18_Age-D63))/NK63),0)</f>
        <v>0</v>
      </c>
      <c r="NQ63" s="1" t="n">
        <f aca="false">IF(AND(HT63=1,GK63=1),MIN(NJ63,NO63),0)</f>
        <v>0</v>
      </c>
      <c r="NR63" s="1" t="n">
        <f aca="false">NJ63-NQ63</f>
        <v>0</v>
      </c>
      <c r="NS63" s="1" t="n">
        <f aca="false">IF(GU63=1,IF(ABS((1+AS_Wage)/(1+Slot19_Rate)-1)&lt;0.000000000001,(Slot19_Age-D63)*(1+Slot19_Rate)^(Slot19_Age-D63),(1+Slot19_Rate)^(Slot19_Age-D63)*(1-((1+AS_Wage)/(1+Slot19_Rate))^(Slot19_Age-D63))/(1-(1+AS_Wage)/(1+Slot19_Rate))),1)</f>
        <v>1</v>
      </c>
      <c r="NT63" s="1" t="n">
        <f aca="false">IF(AND(HT63=1,ID63&gt;0,Slot19_IsWG=1,GU63=1),MAX(0,(Slot19_Cost-GV63*(1+Slot19_Rate)^(Slot19_Age-D63))/NS63),0)</f>
        <v>0</v>
      </c>
      <c r="NU63" s="1" t="n">
        <f aca="false">IF(AND(HT63=1,ID63&gt;0,Slot19_IsWG=1,GU63=1),MIN(ID63,NT63),0)</f>
        <v>0</v>
      </c>
      <c r="NV63" s="1" t="n">
        <f aca="false">GV63+NU63</f>
        <v>0</v>
      </c>
      <c r="NW63" s="1" t="n">
        <f aca="false">IF(GU63=1,MAX(0,(Slot19_Cost-NV63*(1+Slot19_Rate)^(Slot19_Age-D63))/NS63),0)</f>
        <v>0</v>
      </c>
      <c r="NX63" s="1" t="n">
        <f aca="false">IF(GU63=1,MAX(0,(Slot19_Cost-GV63*(1+Slot19_Rate)^(Slot19_Age-D63))/NS63),0)</f>
        <v>0</v>
      </c>
      <c r="NY63" s="1" t="n">
        <f aca="false">IF(AND(HT63=1,GU63=1),MIN(NR63,NW63),0)</f>
        <v>0</v>
      </c>
      <c r="NZ63" s="1" t="n">
        <f aca="false">NR63-NY63</f>
        <v>0</v>
      </c>
      <c r="OA63" s="1" t="n">
        <f aca="false">IF(HE63=1,IF(ABS((1+AS_Wage)/(1+Slot20_Rate)-1)&lt;0.000000000001,(Slot20_Age-D63)*(1+Slot20_Rate)^(Slot20_Age-D63),(1+Slot20_Rate)^(Slot20_Age-D63)*(1-((1+AS_Wage)/(1+Slot20_Rate))^(Slot20_Age-D63))/(1-(1+AS_Wage)/(1+Slot20_Rate))),1)</f>
        <v>1</v>
      </c>
      <c r="OB63" s="1" t="n">
        <f aca="false">IF(AND(HT63=1,ID63&gt;0,Slot20_IsWG=1,HE63=1),MAX(0,(Slot20_Cost-HF63*(1+Slot20_Rate)^(Slot20_Age-D63))/OA63),0)</f>
        <v>0</v>
      </c>
      <c r="OC63" s="1" t="n">
        <f aca="false">IF(AND(HT63=1,ID63&gt;0,Slot20_IsWG=1,HE63=1),MIN(ID63,OB63),0)</f>
        <v>0</v>
      </c>
      <c r="OD63" s="1" t="n">
        <f aca="false">HF63+OC63</f>
        <v>0</v>
      </c>
      <c r="OE63" s="1" t="n">
        <f aca="false">IF(HE63=1,MAX(0,(Slot20_Cost-OD63*(1+Slot20_Rate)^(Slot20_Age-D63))/OA63),0)</f>
        <v>0</v>
      </c>
      <c r="OF63" s="1" t="n">
        <f aca="false">IF(HE63=1,MAX(0,(Slot20_Cost-HF63*(1+Slot20_Rate)^(Slot20_Age-D63))/OA63),0)</f>
        <v>0</v>
      </c>
      <c r="OG63" s="1" t="n">
        <f aca="false">IF(AND(HT63=1,HE63=1),MIN(NZ63,OE63),0)</f>
        <v>0</v>
      </c>
      <c r="OH63" s="1" t="n">
        <f aca="false">NZ63-OG63</f>
        <v>0</v>
      </c>
      <c r="OI63" s="1" t="n">
        <f aca="false">ID63-(IG63+IO63+IW63+JE63+JM63+JU63+KC63+KK63+KS63+LA63+LI63+LQ63+LY63+MG63+MO63+MW63+NE63+NM63+NU63+OC63)</f>
        <v>0</v>
      </c>
      <c r="OJ63" s="1" t="n">
        <f aca="false">IF(HT63=1,HR63-IC63-ID63,0)</f>
        <v>0</v>
      </c>
      <c r="OK63" s="1" t="n">
        <f aca="false">IF(HT63=0,-HR63,0)</f>
        <v>0</v>
      </c>
      <c r="OL63" s="1" t="n">
        <f aca="false">MIN(OK63,HJ63)</f>
        <v>0</v>
      </c>
      <c r="OM63" s="1" t="n">
        <f aca="false">OK63-OL63</f>
        <v>0</v>
      </c>
      <c r="ON63" s="1" t="n">
        <f aca="false">MIN(OM63,HK63)</f>
        <v>0</v>
      </c>
      <c r="OO63" s="1" t="n">
        <f aca="false">OM63-ON63</f>
        <v>0</v>
      </c>
      <c r="OP63" s="1" t="n">
        <f aca="false">IF(AND(HT63=0,HE63=1,OO63&gt;0),MIN(OO63,HF63),0)</f>
        <v>0</v>
      </c>
      <c r="OQ63" s="1" t="n">
        <f aca="false">OO63-OP63</f>
        <v>0</v>
      </c>
      <c r="OR63" s="1" t="n">
        <f aca="false">IF(AND(HT63=0,GU63=1,OQ63&gt;0),MIN(OQ63,GV63),0)</f>
        <v>0</v>
      </c>
      <c r="OS63" s="1" t="n">
        <f aca="false">OQ63-OR63</f>
        <v>0</v>
      </c>
      <c r="OT63" s="1" t="n">
        <f aca="false">IF(AND(HT63=0,GK63=1,OS63&gt;0),MIN(OS63,GL63),0)</f>
        <v>0</v>
      </c>
      <c r="OU63" s="1" t="n">
        <f aca="false">OS63-OT63</f>
        <v>0</v>
      </c>
      <c r="OV63" s="1" t="n">
        <f aca="false">IF(AND(HT63=0,GA63=1,OU63&gt;0),MIN(OU63,GB63),0)</f>
        <v>0</v>
      </c>
      <c r="OW63" s="1" t="n">
        <f aca="false">OU63-OV63</f>
        <v>0</v>
      </c>
      <c r="OX63" s="1" t="n">
        <f aca="false">IF(AND(HT63=0,FQ63=1,OW63&gt;0),MIN(OW63,FR63),0)</f>
        <v>0</v>
      </c>
      <c r="OY63" s="1" t="n">
        <f aca="false">OW63-OX63</f>
        <v>0</v>
      </c>
      <c r="OZ63" s="1" t="n">
        <f aca="false">IF(AND(HT63=0,FG63=1,OY63&gt;0),MIN(OY63,FH63),0)</f>
        <v>0</v>
      </c>
      <c r="PA63" s="1" t="n">
        <f aca="false">OY63-OZ63</f>
        <v>0</v>
      </c>
      <c r="PB63" s="1" t="n">
        <f aca="false">IF(AND(HT63=0,EW63=1,PA63&gt;0),MIN(PA63,EX63),0)</f>
        <v>0</v>
      </c>
      <c r="PC63" s="1" t="n">
        <f aca="false">PA63-PB63</f>
        <v>0</v>
      </c>
      <c r="PD63" s="1" t="n">
        <f aca="false">IF(AND(HT63=0,EM63=1,PC63&gt;0),MIN(PC63,EN63),0)</f>
        <v>0</v>
      </c>
      <c r="PE63" s="1" t="n">
        <f aca="false">PC63-PD63</f>
        <v>0</v>
      </c>
      <c r="PF63" s="1" t="n">
        <f aca="false">IF(AND(HT63=0,EC63=1,PE63&gt;0),MIN(PE63,ED63),0)</f>
        <v>0</v>
      </c>
      <c r="PG63" s="1" t="n">
        <f aca="false">PE63-PF63</f>
        <v>0</v>
      </c>
      <c r="PH63" s="1" t="n">
        <f aca="false">IF(AND(HT63=0,DS63=1,PG63&gt;0),MIN(PG63,DT63),0)</f>
        <v>0</v>
      </c>
      <c r="PI63" s="1" t="n">
        <f aca="false">PG63-PH63</f>
        <v>0</v>
      </c>
      <c r="PJ63" s="1" t="n">
        <f aca="false">IF(AND(HT63=0,DI63=1,PI63&gt;0),MIN(PI63,DJ63),0)</f>
        <v>0</v>
      </c>
      <c r="PK63" s="1" t="n">
        <f aca="false">PI63-PJ63</f>
        <v>0</v>
      </c>
      <c r="PL63" s="1" t="n">
        <f aca="false">IF(AND(HT63=0,CY63=1,PK63&gt;0),MIN(PK63,CZ63),0)</f>
        <v>0</v>
      </c>
      <c r="PM63" s="1" t="n">
        <f aca="false">PK63-PL63</f>
        <v>0</v>
      </c>
      <c r="PN63" s="1" t="n">
        <f aca="false">IF(AND(HT63=0,CO63=1,PM63&gt;0),MIN(PM63,CP63),0)</f>
        <v>0</v>
      </c>
      <c r="PO63" s="1" t="n">
        <f aca="false">PM63-PN63</f>
        <v>0</v>
      </c>
      <c r="PP63" s="1" t="n">
        <f aca="false">IF(AND(HT63=0,CE63=1,PO63&gt;0),MIN(PO63,CF63),0)</f>
        <v>0</v>
      </c>
      <c r="PQ63" s="1" t="n">
        <f aca="false">PO63-PP63</f>
        <v>0</v>
      </c>
      <c r="PR63" s="1" t="n">
        <f aca="false">IF(AND(HT63=0,BU63=1,PQ63&gt;0),MIN(PQ63,BV63),0)</f>
        <v>0</v>
      </c>
      <c r="PS63" s="1" t="n">
        <f aca="false">PQ63-PR63</f>
        <v>0</v>
      </c>
      <c r="PT63" s="1" t="n">
        <f aca="false">IF(AND(HT63=0,BK63=1,PS63&gt;0),MIN(PS63,BL63),0)</f>
        <v>0</v>
      </c>
      <c r="PU63" s="1" t="n">
        <f aca="false">PS63-PT63</f>
        <v>0</v>
      </c>
      <c r="PV63" s="1" t="n">
        <f aca="false">IF(AND(HT63=0,BA63=1,PU63&gt;0),MIN(PU63,BB63),0)</f>
        <v>0</v>
      </c>
      <c r="PW63" s="1" t="n">
        <f aca="false">PU63-PV63</f>
        <v>0</v>
      </c>
      <c r="PX63" s="1" t="n">
        <f aca="false">IF(AND(HT63=0,AQ63=1,PW63&gt;0),MIN(PW63,AR63),0)</f>
        <v>0</v>
      </c>
      <c r="PY63" s="1" t="n">
        <f aca="false">PW63-PX63</f>
        <v>0</v>
      </c>
      <c r="PZ63" s="1" t="n">
        <f aca="false">IF(AND(HT63=0,AG63=1,PY63&gt;0),MIN(PY63,AH63),0)</f>
        <v>0</v>
      </c>
      <c r="QA63" s="1" t="n">
        <f aca="false">PY63-PZ63</f>
        <v>0</v>
      </c>
      <c r="QB63" s="1" t="n">
        <f aca="false">IF(AND(HT63=0,V63=1,QA63&gt;0),MIN(QA63,W63),0)</f>
        <v>0</v>
      </c>
      <c r="QC63" s="1" t="n">
        <f aca="false">QA63-QB63</f>
        <v>0</v>
      </c>
      <c r="QD63" s="1" t="n">
        <f aca="false">IF(HT63=0,QC63,0)</f>
        <v>0</v>
      </c>
      <c r="QE63" s="1" t="n">
        <f aca="false">OL63+ON63+QB63+PZ63+PX63+PV63+PT63+PR63+PP63+PN63+PL63+PJ63+PH63+PF63+PD63+PB63+OZ63+OX63+OV63+OT63+OR63+OP63</f>
        <v>0</v>
      </c>
      <c r="QF63" s="1" t="n">
        <f aca="false">IF(HT63=1,HJ63+OI63+OH63+IF(F63=1,0,OJ63),HJ63-OL63)</f>
        <v>0</v>
      </c>
      <c r="QG63" s="1" t="n">
        <f aca="false">HK63-ON63</f>
        <v>0</v>
      </c>
      <c r="QH63" s="1" t="n">
        <f aca="false">IF(HT63=1,IF(F63=1,IC63+ID63,HR63),0)</f>
        <v>0</v>
      </c>
      <c r="QI63" s="1" t="n">
        <f aca="false">IF(HT63=1,IF(F63=1,HR63-IC63-ID63,0),0)</f>
        <v>0</v>
      </c>
      <c r="QJ63" s="1" t="n">
        <f aca="false">QF63*(1+GR)</f>
        <v>0</v>
      </c>
      <c r="QK63" s="1" t="n">
        <f aca="false">QG63*(1+AS_Cash)</f>
        <v>0</v>
      </c>
      <c r="QL63" s="1" t="n">
        <f aca="false">IF(V63=1,IF(HT63=1,IH63+IK63,W63-QB63)*(1+Slot1_Rate),0)</f>
        <v>0</v>
      </c>
      <c r="QM63" s="1" t="n">
        <f aca="false">IF(AND(HT63=1,V63=1),(IG63+IK63)/E63,0)</f>
        <v>0</v>
      </c>
      <c r="QN63" s="1" t="n">
        <f aca="false">IF(B63=0,IG63+IK63,0)</f>
        <v>0</v>
      </c>
      <c r="QO63" s="1" t="n">
        <f aca="false">IF(B63=0,IF(HT63=1,II63,IJ63),0)</f>
        <v>0</v>
      </c>
      <c r="QP63" s="1" t="n">
        <f aca="false">IF(AG63=1,IF(HT63=1,IP63+IS63,AH63-PZ63)*(1+Slot2_Rate),0)</f>
        <v>0</v>
      </c>
      <c r="QQ63" s="1" t="n">
        <f aca="false">IF(AND(HT63=1,AG63=1),(IO63+IS63)/E63,0)</f>
        <v>0</v>
      </c>
      <c r="QR63" s="1" t="n">
        <f aca="false">IF(B63=0,IO63+IS63,0)</f>
        <v>0</v>
      </c>
      <c r="QS63" s="1" t="n">
        <f aca="false">IF(B63=0,IF(HT63=1,IQ63,IR63),0)</f>
        <v>0</v>
      </c>
      <c r="QT63" s="1" t="n">
        <f aca="false">IF(AQ63=1,IF(HT63=1,IX63+JA63,AR63-PX63)*(1+Slot3_Rate),0)</f>
        <v>0</v>
      </c>
      <c r="QU63" s="1" t="n">
        <f aca="false">IF(AND(HT63=1,AQ63=1),(IW63+JA63)/E63,0)</f>
        <v>0</v>
      </c>
      <c r="QV63" s="1" t="n">
        <f aca="false">IF(B63=0,IW63+JA63,0)</f>
        <v>0</v>
      </c>
      <c r="QW63" s="1" t="n">
        <f aca="false">IF(B63=0,IF(HT63=1,IY63,IZ63),0)</f>
        <v>0</v>
      </c>
      <c r="QX63" s="1" t="n">
        <f aca="false">IF(BA63=1,IF(HT63=1,JF63+JI63,BB63-PV63)*(1+Slot4_Rate),0)</f>
        <v>0</v>
      </c>
      <c r="QY63" s="1" t="n">
        <f aca="false">IF(AND(HT63=1,BA63=1),(JE63+JI63)/E63,0)</f>
        <v>0</v>
      </c>
      <c r="QZ63" s="1" t="n">
        <f aca="false">IF(B63=0,JE63+JI63,0)</f>
        <v>0</v>
      </c>
      <c r="RA63" s="1" t="n">
        <f aca="false">IF(B63=0,IF(HT63=1,JG63,JH63),0)</f>
        <v>0</v>
      </c>
      <c r="RB63" s="1" t="n">
        <f aca="false">IF(BK63=1,IF(HT63=1,JN63+JQ63,BL63-PT63)*(1+Slot5_Rate),0)</f>
        <v>0</v>
      </c>
      <c r="RC63" s="1" t="n">
        <f aca="false">IF(AND(HT63=1,BK63=1),(JM63+JQ63)/E63,0)</f>
        <v>0</v>
      </c>
      <c r="RD63" s="1" t="n">
        <f aca="false">IF(B63=0,JM63+JQ63,0)</f>
        <v>0</v>
      </c>
      <c r="RE63" s="1" t="n">
        <f aca="false">IF(B63=0,IF(HT63=1,JO63,JP63),0)</f>
        <v>0</v>
      </c>
      <c r="RF63" s="1" t="n">
        <f aca="false">IF(BU63=1,IF(HT63=1,JV63+JY63,BV63-PR63)*(1+Slot6_Rate),0)</f>
        <v>0</v>
      </c>
      <c r="RG63" s="1" t="n">
        <f aca="false">IF(AND(HT63=1,BU63=1),(JU63+JY63)/E63,0)</f>
        <v>0</v>
      </c>
      <c r="RH63" s="1" t="n">
        <f aca="false">IF(B63=0,JU63+JY63,0)</f>
        <v>0</v>
      </c>
      <c r="RI63" s="1" t="n">
        <f aca="false">IF(B63=0,IF(HT63=1,JW63,JX63),0)</f>
        <v>0</v>
      </c>
      <c r="RJ63" s="1" t="n">
        <f aca="false">IF(CE63=1,IF(HT63=1,KD63+KG63,CF63-PP63)*(1+Slot7_Rate),0)</f>
        <v>0</v>
      </c>
      <c r="RK63" s="1" t="n">
        <f aca="false">IF(AND(HT63=1,CE63=1),(KC63+KG63)/E63,0)</f>
        <v>0</v>
      </c>
      <c r="RL63" s="1" t="n">
        <f aca="false">IF(B63=0,KC63+KG63,0)</f>
        <v>0</v>
      </c>
      <c r="RM63" s="1" t="n">
        <f aca="false">IF(B63=0,IF(HT63=1,KE63,KF63),0)</f>
        <v>0</v>
      </c>
      <c r="RN63" s="1" t="n">
        <f aca="false">IF(CO63=1,IF(HT63=1,KL63+KO63,CP63-PN63)*(1+Slot8_Rate),0)</f>
        <v>0</v>
      </c>
      <c r="RO63" s="1" t="n">
        <f aca="false">IF(AND(HT63=1,CO63=1),(KK63+KO63)/E63,0)</f>
        <v>0</v>
      </c>
      <c r="RP63" s="1" t="n">
        <f aca="false">IF(B63=0,KK63+KO63,0)</f>
        <v>0</v>
      </c>
      <c r="RQ63" s="1" t="n">
        <f aca="false">IF(B63=0,IF(HT63=1,KM63,KN63),0)</f>
        <v>0</v>
      </c>
      <c r="RR63" s="1" t="n">
        <f aca="false">IF(CY63=1,IF(HT63=1,KT63+KW63,CZ63-PL63)*(1+Slot9_Rate),0)</f>
        <v>0</v>
      </c>
      <c r="RS63" s="1" t="n">
        <f aca="false">IF(AND(HT63=1,CY63=1),(KS63+KW63)/E63,0)</f>
        <v>0</v>
      </c>
      <c r="RT63" s="1" t="n">
        <f aca="false">IF(B63=0,KS63+KW63,0)</f>
        <v>0</v>
      </c>
      <c r="RU63" s="1" t="n">
        <f aca="false">IF(B63=0,IF(HT63=1,KU63,KV63),0)</f>
        <v>0</v>
      </c>
      <c r="RV63" s="1" t="n">
        <f aca="false">IF(DI63=1,IF(HT63=1,LB63+LE63,DJ63-PJ63)*(1+Slot10_Rate),0)</f>
        <v>0</v>
      </c>
      <c r="RW63" s="1" t="n">
        <f aca="false">IF(AND(HT63=1,DI63=1),(LA63+LE63)/E63,0)</f>
        <v>0</v>
      </c>
      <c r="RX63" s="1" t="n">
        <f aca="false">IF(B63=0,LA63+LE63,0)</f>
        <v>0</v>
      </c>
      <c r="RY63" s="1" t="n">
        <f aca="false">IF(B63=0,IF(HT63=1,LC63,LD63),0)</f>
        <v>0</v>
      </c>
      <c r="RZ63" s="1" t="n">
        <f aca="false">IF(DS63=1,IF(HT63=1,LJ63+LM63,DT63-PH63)*(1+Slot11_Rate),0)</f>
        <v>0</v>
      </c>
      <c r="SA63" s="1" t="n">
        <f aca="false">IF(AND(HT63=1,DS63=1),(LI63+LM63)/E63,0)</f>
        <v>0</v>
      </c>
      <c r="SB63" s="1" t="n">
        <f aca="false">IF(B63=0,LI63+LM63,0)</f>
        <v>0</v>
      </c>
      <c r="SC63" s="1" t="n">
        <f aca="false">IF(B63=0,IF(HT63=1,LK63,LL63),0)</f>
        <v>0</v>
      </c>
      <c r="SD63" s="1" t="n">
        <f aca="false">IF(EC63=1,IF(HT63=1,LR63+LU63,ED63-PF63)*(1+Slot12_Rate),0)</f>
        <v>0</v>
      </c>
      <c r="SE63" s="1" t="n">
        <f aca="false">IF(AND(HT63=1,EC63=1),(LQ63+LU63)/E63,0)</f>
        <v>0</v>
      </c>
      <c r="SF63" s="1" t="n">
        <f aca="false">IF(B63=0,LQ63+LU63,0)</f>
        <v>0</v>
      </c>
      <c r="SG63" s="1" t="n">
        <f aca="false">IF(B63=0,IF(HT63=1,LS63,LT63),0)</f>
        <v>0</v>
      </c>
      <c r="SH63" s="1" t="n">
        <f aca="false">IF(EM63=1,IF(HT63=1,LZ63+MC63,EN63-PD63)*(1+Slot13_Rate),0)</f>
        <v>0</v>
      </c>
      <c r="SI63" s="1" t="n">
        <f aca="false">IF(AND(HT63=1,EM63=1),(LY63+MC63)/E63,0)</f>
        <v>0</v>
      </c>
      <c r="SJ63" s="1" t="n">
        <f aca="false">IF(B63=0,LY63+MC63,0)</f>
        <v>0</v>
      </c>
      <c r="SK63" s="1" t="n">
        <f aca="false">IF(B63=0,IF(HT63=1,MA63,MB63),0)</f>
        <v>0</v>
      </c>
      <c r="SL63" s="1" t="n">
        <f aca="false">IF(EW63=1,IF(HT63=1,MH63+MK63,EX63-PB63)*(1+Slot14_Rate),0)</f>
        <v>0</v>
      </c>
      <c r="SM63" s="1" t="n">
        <f aca="false">IF(AND(HT63=1,EW63=1),(MG63+MK63)/E63,0)</f>
        <v>0</v>
      </c>
      <c r="SN63" s="1" t="n">
        <f aca="false">IF(B63=0,MG63+MK63,0)</f>
        <v>0</v>
      </c>
      <c r="SO63" s="1" t="n">
        <f aca="false">IF(B63=0,IF(HT63=1,MI63,MJ63),0)</f>
        <v>0</v>
      </c>
      <c r="SP63" s="1" t="n">
        <f aca="false">IF(FG63=1,IF(HT63=1,MP63+MS63,FH63-OZ63)*(1+Slot15_Rate),0)</f>
        <v>0</v>
      </c>
      <c r="SQ63" s="1" t="n">
        <f aca="false">IF(AND(HT63=1,FG63=1),(MO63+MS63)/E63,0)</f>
        <v>0</v>
      </c>
      <c r="SR63" s="1" t="n">
        <f aca="false">IF(B63=0,MO63+MS63,0)</f>
        <v>0</v>
      </c>
      <c r="SS63" s="1" t="n">
        <f aca="false">IF(B63=0,IF(HT63=1,MQ63,MR63),0)</f>
        <v>0</v>
      </c>
      <c r="ST63" s="1" t="n">
        <f aca="false">IF(FQ63=1,IF(HT63=1,MX63+NA63,FR63-OX63)*(1+Slot16_Rate),0)</f>
        <v>0</v>
      </c>
      <c r="SU63" s="1" t="n">
        <f aca="false">IF(AND(HT63=1,FQ63=1),(MW63+NA63)/E63,0)</f>
        <v>0</v>
      </c>
      <c r="SV63" s="1" t="n">
        <f aca="false">IF(B63=0,MW63+NA63,0)</f>
        <v>0</v>
      </c>
      <c r="SW63" s="1" t="n">
        <f aca="false">IF(B63=0,IF(HT63=1,MY63,MZ63),0)</f>
        <v>0</v>
      </c>
      <c r="SX63" s="1" t="n">
        <f aca="false">IF(GA63=1,IF(HT63=1,NF63+NI63,GB63-OV63)*(1+Slot17_Rate),0)</f>
        <v>0</v>
      </c>
      <c r="SY63" s="1" t="n">
        <f aca="false">IF(AND(HT63=1,GA63=1),(NE63+NI63)/E63,0)</f>
        <v>0</v>
      </c>
      <c r="SZ63" s="1" t="n">
        <f aca="false">IF(B63=0,NE63+NI63,0)</f>
        <v>0</v>
      </c>
      <c r="TA63" s="1" t="n">
        <f aca="false">IF(B63=0,IF(HT63=1,NG63,NH63),0)</f>
        <v>0</v>
      </c>
      <c r="TB63" s="1" t="n">
        <f aca="false">IF(GK63=1,IF(HT63=1,NN63+NQ63,GL63-OT63)*(1+Slot18_Rate),0)</f>
        <v>0</v>
      </c>
      <c r="TC63" s="1" t="n">
        <f aca="false">IF(AND(HT63=1,GK63=1),(NM63+NQ63)/E63,0)</f>
        <v>0</v>
      </c>
      <c r="TD63" s="1" t="n">
        <f aca="false">IF(B63=0,NM63+NQ63,0)</f>
        <v>0</v>
      </c>
      <c r="TE63" s="1" t="n">
        <f aca="false">IF(B63=0,IF(HT63=1,NO63,NP63),0)</f>
        <v>0</v>
      </c>
      <c r="TF63" s="1" t="n">
        <f aca="false">IF(GU63=1,IF(HT63=1,NV63+NY63,GV63-OR63)*(1+Slot19_Rate),0)</f>
        <v>0</v>
      </c>
      <c r="TG63" s="1" t="n">
        <f aca="false">IF(AND(HT63=1,GU63=1),(NU63+NY63)/E63,0)</f>
        <v>0</v>
      </c>
      <c r="TH63" s="1" t="n">
        <f aca="false">IF(B63=0,NU63+NY63,0)</f>
        <v>0</v>
      </c>
      <c r="TI63" s="1" t="n">
        <f aca="false">IF(B63=0,IF(HT63=1,NW63,NX63),0)</f>
        <v>0</v>
      </c>
      <c r="TJ63" s="1" t="n">
        <f aca="false">IF(HE63=1,IF(HT63=1,OD63+OG63,HF63-OP63)*(1+Slot20_Rate),0)</f>
        <v>0</v>
      </c>
      <c r="TK63" s="1" t="n">
        <f aca="false">IF(AND(HT63=1,HE63=1),(OC63+OG63)/E63,0)</f>
        <v>0</v>
      </c>
      <c r="TL63" s="1" t="n">
        <f aca="false">IF(B63=0,OC63+OG63,0)</f>
        <v>0</v>
      </c>
      <c r="TM63" s="1" t="n">
        <f aca="false">IF(B63=0,IF(HT63=1,OE63,OF63),0)</f>
        <v>0</v>
      </c>
      <c r="TN63" s="1" t="n">
        <f aca="false">QJ63+QK63+QL63+QP63+QT63+QX63+RB63+RF63+RJ63+RN63+RR63+RV63+RZ63+SD63+SH63+SL63+SP63+ST63+SX63+TB63+TF63+TJ63</f>
        <v>0</v>
      </c>
      <c r="TO63" s="1" t="n">
        <f aca="false">QD63+HO63</f>
        <v>0</v>
      </c>
      <c r="TP63" s="1" t="n">
        <f aca="false">H63+R63</f>
        <v>0</v>
      </c>
      <c r="TQ63" s="1" t="n">
        <f aca="false">1-F63</f>
        <v>0</v>
      </c>
      <c r="TR63" s="1" t="n">
        <f aca="false">IF(AND(RG_Exists=1,F63=0,C63=1),H63,0)</f>
        <v>0</v>
      </c>
      <c r="TS63" s="1" t="n">
        <f aca="false">IF(AND(RG_Exists=1,F63=0,C63=1),H63-MIN(QD63,H63),0)</f>
        <v>0</v>
      </c>
      <c r="TT63" s="1" t="n">
        <f aca="false">'Plan pay &amp; tax'!AD289</f>
        <v>0</v>
      </c>
      <c r="TU63" s="1" t="n">
        <f aca="false">IF(AND(C63=1,QD63&gt;MAX(PR_Short1,TP63*PR_Short2)),1,0)</f>
        <v>0</v>
      </c>
      <c r="TV63" s="1" t="n">
        <f aca="false">MIN(G63,H63+R63)</f>
        <v>0</v>
      </c>
      <c r="TW63" s="1" t="n">
        <f aca="false">QE63+MAX(0,HP63-HO63)</f>
        <v>0</v>
      </c>
      <c r="TX63" s="1" t="n">
        <f aca="false">QD63+HO63</f>
        <v>0</v>
      </c>
      <c r="TY63" s="1" t="n">
        <f aca="false">IF(AND(C63=1,TX63&gt;PR_MinShort),1,0)</f>
        <v>0</v>
      </c>
      <c r="TZ63" s="1" t="n">
        <f aca="false">IF(AND(C63=1,TY63=0,TW63&gt;PR_MinShort),1,0)</f>
        <v>0</v>
      </c>
      <c r="UA63" s="1" t="n">
        <f aca="false">IF(AND(C63=1,QD63&gt;PR_MinShort),1,0)</f>
        <v>0</v>
      </c>
      <c r="UB63" s="1" t="n">
        <f aca="false">IF(AND(C63=1,QE63&gt;1,UI63=0),1,0)</f>
        <v>0</v>
      </c>
      <c r="UC63" s="1" t="str">
        <f aca="false">IF(C63=0,"",IF(UI63=1,"Gap to plan for: short "&amp;"€"&amp;TEXT(ROUND(TO63,0),"#,##0"),IF(QE63&gt;1,"Using savings","Comfortable")))</f>
        <v>Comfortable</v>
      </c>
      <c r="UD63" s="1" t="n">
        <f aca="false">IF(AND(INT(D63/10)*10=90,B63&gt;0),80,INT(D63/10)*10)</f>
        <v>50</v>
      </c>
      <c r="UE63" s="1" t="n">
        <f aca="false">IF(B63=0,1,IF(UD63&lt;&gt;UD62,UE62+1,UE62))</f>
        <v>6</v>
      </c>
      <c r="UF63" s="1" t="n">
        <f aca="false">IF(AND(C63=1,F63=1,QD63&gt;MAX(PR_Short1,TP63*PR_Short2)),1,0)</f>
        <v>0</v>
      </c>
      <c r="UG63" s="1" t="n">
        <f aca="false">TQ63*TU63</f>
        <v>0</v>
      </c>
      <c r="UH63" s="1" t="n">
        <f aca="false">IF(AND(U63=1,Slot1_PctLow=1),1,0)+IF(AND(AF63=1,Slot2_PctLow=1),1,0)+IF(AND(AP63=1,Slot3_PctLow=1),1,0)+IF(AND(AZ63=1,Slot4_PctLow=1),1,0)+IF(AND(BJ63=1,Slot5_PctLow=1),1,0)+IF(AND(BT63=1,Slot6_PctLow=1),1,0)+IF(AND(CD63=1,Slot7_PctLow=1),1,0)+IF(AND(CN63=1,Slot8_PctLow=1),1,0)+IF(AND(CX63=1,Slot9_PctLow=1),1,0)+IF(AND(DH63=1,Slot10_PctLow=1),1,0)+IF(AND(DR63=1,Slot11_PctLow=1),1,0)+IF(AND(EB63=1,Slot12_PctLow=1),1,0)+IF(AND(EL63=1,Slot13_PctLow=1),1,0)+IF(AND(EV63=1,Slot14_PctLow=1),1,0)+IF(AND(FF63=1,Slot15_PctLow=1),1,0)+IF(AND(FP63=1,Slot16_PctLow=1),1,0)+IF(AND(FZ63=1,Slot17_PctLow=1),1,0)+IF(AND(GJ63=1,Slot18_PctLow=1),1,0)+IF(AND(GT63=1,Slot19_PctLow=1),1,0)+IF(AND(HD63=1,Slot20_PctLow=1),1,0)</f>
        <v>0</v>
      </c>
      <c r="UI63" s="1" t="n">
        <f aca="false">IF(C63=1,IF(OR(TU63=1,UH63&gt;0),1,0),0)</f>
        <v>0</v>
      </c>
    </row>
    <row r="64" customFormat="false" ht="15" hidden="false" customHeight="true" outlineLevel="0" collapsed="false">
      <c r="B64" s="1" t="n">
        <v>56</v>
      </c>
      <c r="C64" s="1" t="n">
        <f aca="false">IF(B64&lt;=F_N,1,0)</f>
        <v>1</v>
      </c>
      <c r="D64" s="1" t="n">
        <f aca="false">'Plan pay &amp; tax'!C290</f>
        <v>56</v>
      </c>
      <c r="E64" s="111" t="n">
        <f aca="false">'Plan pay &amp; tax'!E290</f>
        <v>3.03116528648356</v>
      </c>
      <c r="F64" s="1" t="n">
        <f aca="false">'Plan pay &amp; tax'!G290</f>
        <v>1</v>
      </c>
      <c r="G64" s="1" t="n">
        <f aca="false">'Plan pay &amp; tax'!BT290-'Plan pay &amp; tax'!BS290-'Plan pay &amp; tax'!R290</f>
        <v>0</v>
      </c>
      <c r="H64" s="1" t="n">
        <f aca="false">IF(F64=1,F_CostsM*12,IF(RG_Exists=1,RG_Amount,F_CostsM*12*AS_RetireSpend))*E64+F_OneOffY*E64</f>
        <v>0</v>
      </c>
      <c r="I64" s="1" t="n">
        <f aca="false">HQ63</f>
        <v>0</v>
      </c>
      <c r="J64" s="1" t="n">
        <f aca="false">IF(I64&gt;1,'Plan debt months'!AC64,0)</f>
        <v>0</v>
      </c>
      <c r="K64" s="1" t="n">
        <f aca="false">IF(I64&gt;1,'Plan debt months'!AB64,I64)</f>
        <v>0</v>
      </c>
      <c r="L64" s="1" t="n">
        <f aca="false">N63</f>
        <v>0</v>
      </c>
      <c r="M64" s="1" t="n">
        <f aca="false">IF(L64&gt;1,'Plan debt months'!BD64,0)</f>
        <v>0</v>
      </c>
      <c r="N64" s="1" t="n">
        <f aca="false">IF(L64&gt;1,'Plan debt months'!BC64,L64)</f>
        <v>0</v>
      </c>
      <c r="O64" s="1" t="n">
        <f aca="false">Q63</f>
        <v>0</v>
      </c>
      <c r="P64" s="1" t="n">
        <f aca="false">IF(O64&gt;1,'Plan debt months'!CE64,0)</f>
        <v>0</v>
      </c>
      <c r="Q64" s="1" t="n">
        <f aca="false">IF(O64&gt;1,'Plan debt months'!CD64,O64)</f>
        <v>0</v>
      </c>
      <c r="R64" s="1" t="n">
        <f aca="false">J64+M64+P64</f>
        <v>0</v>
      </c>
      <c r="S64" s="1" t="n">
        <f aca="false">QJ63+'Plan pay &amp; tax'!Y290</f>
        <v>0</v>
      </c>
      <c r="T64" s="1" t="n">
        <f aca="false">QJ63</f>
        <v>0</v>
      </c>
      <c r="U64" s="1" t="n">
        <f aca="false">IF(AND(Slot1_On=1,D64=Slot1_Age),1,0)</f>
        <v>0</v>
      </c>
      <c r="V64" s="1" t="n">
        <f aca="false">IF(AND(Slot1_On=1,Slot1_Age&gt;D64),1,0)</f>
        <v>0</v>
      </c>
      <c r="W64" s="1" t="n">
        <f aca="false">QL63</f>
        <v>0</v>
      </c>
      <c r="X64" s="1" t="n">
        <f aca="false">U64*MIN(Slot1_Cost,W64)</f>
        <v>0</v>
      </c>
      <c r="Y64" s="1" t="n">
        <f aca="false">U64*Slot1_SpendLike*MIN(Slot1_Cost-X64,S64)</f>
        <v>0</v>
      </c>
      <c r="Z64" s="1" t="n">
        <f aca="false">X64+Y64</f>
        <v>0</v>
      </c>
      <c r="AA64" s="1" t="n">
        <f aca="false">S64-Y64+U64*IF(Slot1_SpendLike=1,W64-X64,IF(Slot1_PotFree=1,W64,0))</f>
        <v>0</v>
      </c>
      <c r="AB64" s="1" t="n">
        <f aca="false">AE64+U64*Slot1_BufPot*W64</f>
        <v>0</v>
      </c>
      <c r="AC64" s="1" t="n">
        <f aca="false">IF(AND(U64=1,Slot1_IsMfree=1),IF(Z64&gt;=Slot1_Cost-1,0,MAX(0,K64-Z64)),K64)</f>
        <v>0</v>
      </c>
      <c r="AD64" s="1" t="n">
        <f aca="false">U64*(Slot1_Cost-Z64)</f>
        <v>0</v>
      </c>
      <c r="AE64" s="1" t="n">
        <f aca="false">QK63</f>
        <v>0</v>
      </c>
      <c r="AF64" s="1" t="n">
        <f aca="false">IF(AND(Slot2_On=1,D64=Slot2_Age),1,0)</f>
        <v>0</v>
      </c>
      <c r="AG64" s="1" t="n">
        <f aca="false">IF(AND(Slot2_On=1,Slot2_Age&gt;D64),1,0)</f>
        <v>0</v>
      </c>
      <c r="AH64" s="1" t="n">
        <f aca="false">QP63</f>
        <v>0</v>
      </c>
      <c r="AI64" s="1" t="n">
        <f aca="false">AF64*MIN(Slot2_Cost,AH64)</f>
        <v>0</v>
      </c>
      <c r="AJ64" s="1" t="n">
        <f aca="false">AF64*Slot2_SpendLike*MIN(Slot2_Cost-AI64,AA64)</f>
        <v>0</v>
      </c>
      <c r="AK64" s="1" t="n">
        <f aca="false">AI64+AJ64</f>
        <v>0</v>
      </c>
      <c r="AL64" s="1" t="n">
        <f aca="false">AA64-AJ64+AF64*IF(Slot2_SpendLike=1,AH64-AI64,IF(Slot2_PotFree=1,AH64,0))</f>
        <v>0</v>
      </c>
      <c r="AM64" s="1" t="n">
        <f aca="false">AB64+AF64*Slot2_BufPot*AH64</f>
        <v>0</v>
      </c>
      <c r="AN64" s="1" t="n">
        <f aca="false">IF(AND(AF64=1,Slot2_IsMfree=1),IF(AK64&gt;=Slot2_Cost-1,0,MAX(0,AC64-AK64)),AC64)</f>
        <v>0</v>
      </c>
      <c r="AO64" s="1" t="n">
        <f aca="false">AF64*(Slot2_Cost-AK64)</f>
        <v>0</v>
      </c>
      <c r="AP64" s="1" t="n">
        <f aca="false">IF(AND(Slot3_On=1,D64=Slot3_Age),1,0)</f>
        <v>0</v>
      </c>
      <c r="AQ64" s="1" t="n">
        <f aca="false">IF(AND(Slot3_On=1,Slot3_Age&gt;D64),1,0)</f>
        <v>0</v>
      </c>
      <c r="AR64" s="1" t="n">
        <f aca="false">QT63</f>
        <v>0</v>
      </c>
      <c r="AS64" s="1" t="n">
        <f aca="false">AP64*MIN(Slot3_Cost,AR64)</f>
        <v>0</v>
      </c>
      <c r="AT64" s="1" t="n">
        <f aca="false">AP64*Slot3_SpendLike*MIN(Slot3_Cost-AS64,AL64)</f>
        <v>0</v>
      </c>
      <c r="AU64" s="1" t="n">
        <f aca="false">AS64+AT64</f>
        <v>0</v>
      </c>
      <c r="AV64" s="1" t="n">
        <f aca="false">AL64-AT64+AP64*IF(Slot3_SpendLike=1,AR64-AS64,IF(Slot3_PotFree=1,AR64,0))</f>
        <v>0</v>
      </c>
      <c r="AW64" s="1" t="n">
        <f aca="false">AM64+AP64*Slot3_BufPot*AR64</f>
        <v>0</v>
      </c>
      <c r="AX64" s="1" t="n">
        <f aca="false">IF(AND(AP64=1,Slot3_IsMfree=1),IF(AU64&gt;=Slot3_Cost-1,0,MAX(0,AN64-AU64)),AN64)</f>
        <v>0</v>
      </c>
      <c r="AY64" s="1" t="n">
        <f aca="false">AP64*(Slot3_Cost-AU64)</f>
        <v>0</v>
      </c>
      <c r="AZ64" s="1" t="n">
        <f aca="false">IF(AND(Slot4_On=1,D64=Slot4_Age),1,0)</f>
        <v>0</v>
      </c>
      <c r="BA64" s="1" t="n">
        <f aca="false">IF(AND(Slot4_On=1,Slot4_Age&gt;D64),1,0)</f>
        <v>0</v>
      </c>
      <c r="BB64" s="1" t="n">
        <f aca="false">QX63</f>
        <v>0</v>
      </c>
      <c r="BC64" s="1" t="n">
        <f aca="false">AZ64*MIN(Slot4_Cost,BB64)</f>
        <v>0</v>
      </c>
      <c r="BD64" s="1" t="n">
        <f aca="false">AZ64*Slot4_SpendLike*MIN(Slot4_Cost-BC64,AV64)</f>
        <v>0</v>
      </c>
      <c r="BE64" s="1" t="n">
        <f aca="false">BC64+BD64</f>
        <v>0</v>
      </c>
      <c r="BF64" s="1" t="n">
        <f aca="false">AV64-BD64+AZ64*IF(Slot4_SpendLike=1,BB64-BC64,IF(Slot4_PotFree=1,BB64,0))</f>
        <v>0</v>
      </c>
      <c r="BG64" s="1" t="n">
        <f aca="false">AW64+AZ64*Slot4_BufPot*BB64</f>
        <v>0</v>
      </c>
      <c r="BH64" s="1" t="n">
        <f aca="false">IF(AND(AZ64=1,Slot4_IsMfree=1),IF(BE64&gt;=Slot4_Cost-1,0,MAX(0,AX64-BE64)),AX64)</f>
        <v>0</v>
      </c>
      <c r="BI64" s="1" t="n">
        <f aca="false">AZ64*(Slot4_Cost-BE64)</f>
        <v>0</v>
      </c>
      <c r="BJ64" s="1" t="n">
        <f aca="false">IF(AND(Slot5_On=1,D64=Slot5_Age),1,0)</f>
        <v>0</v>
      </c>
      <c r="BK64" s="1" t="n">
        <f aca="false">IF(AND(Slot5_On=1,Slot5_Age&gt;D64),1,0)</f>
        <v>0</v>
      </c>
      <c r="BL64" s="1" t="n">
        <f aca="false">RB63</f>
        <v>0</v>
      </c>
      <c r="BM64" s="1" t="n">
        <f aca="false">BJ64*MIN(Slot5_Cost,BL64)</f>
        <v>0</v>
      </c>
      <c r="BN64" s="1" t="n">
        <f aca="false">BJ64*Slot5_SpendLike*MIN(Slot5_Cost-BM64,BF64)</f>
        <v>0</v>
      </c>
      <c r="BO64" s="1" t="n">
        <f aca="false">BM64+BN64</f>
        <v>0</v>
      </c>
      <c r="BP64" s="1" t="n">
        <f aca="false">BF64-BN64+BJ64*IF(Slot5_SpendLike=1,BL64-BM64,IF(Slot5_PotFree=1,BL64,0))</f>
        <v>0</v>
      </c>
      <c r="BQ64" s="1" t="n">
        <f aca="false">BG64+BJ64*Slot5_BufPot*BL64</f>
        <v>0</v>
      </c>
      <c r="BR64" s="1" t="n">
        <f aca="false">IF(AND(BJ64=1,Slot5_IsMfree=1),IF(BO64&gt;=Slot5_Cost-1,0,MAX(0,BH64-BO64)),BH64)</f>
        <v>0</v>
      </c>
      <c r="BS64" s="1" t="n">
        <f aca="false">BJ64*(Slot5_Cost-BO64)</f>
        <v>0</v>
      </c>
      <c r="BT64" s="1" t="n">
        <f aca="false">IF(AND(Slot6_On=1,D64=Slot6_Age),1,0)</f>
        <v>0</v>
      </c>
      <c r="BU64" s="1" t="n">
        <f aca="false">IF(AND(Slot6_On=1,Slot6_Age&gt;D64),1,0)</f>
        <v>0</v>
      </c>
      <c r="BV64" s="1" t="n">
        <f aca="false">RF63</f>
        <v>0</v>
      </c>
      <c r="BW64" s="1" t="n">
        <f aca="false">BT64*MIN(Slot6_Cost,BV64)</f>
        <v>0</v>
      </c>
      <c r="BX64" s="1" t="n">
        <f aca="false">BT64*Slot6_SpendLike*MIN(Slot6_Cost-BW64,BP64)</f>
        <v>0</v>
      </c>
      <c r="BY64" s="1" t="n">
        <f aca="false">BW64+BX64</f>
        <v>0</v>
      </c>
      <c r="BZ64" s="1" t="n">
        <f aca="false">BP64-BX64+BT64*IF(Slot6_SpendLike=1,BV64-BW64,IF(Slot6_PotFree=1,BV64,0))</f>
        <v>0</v>
      </c>
      <c r="CA64" s="1" t="n">
        <f aca="false">BQ64+BT64*Slot6_BufPot*BV64</f>
        <v>0</v>
      </c>
      <c r="CB64" s="1" t="n">
        <f aca="false">IF(AND(BT64=1,Slot6_IsMfree=1),IF(BY64&gt;=Slot6_Cost-1,0,MAX(0,BR64-BY64)),BR64)</f>
        <v>0</v>
      </c>
      <c r="CC64" s="1" t="n">
        <f aca="false">BT64*(Slot6_Cost-BY64)</f>
        <v>0</v>
      </c>
      <c r="CD64" s="1" t="n">
        <f aca="false">IF(AND(Slot7_On=1,D64=Slot7_Age),1,0)</f>
        <v>0</v>
      </c>
      <c r="CE64" s="1" t="n">
        <f aca="false">IF(AND(Slot7_On=1,Slot7_Age&gt;D64),1,0)</f>
        <v>0</v>
      </c>
      <c r="CF64" s="1" t="n">
        <f aca="false">RJ63</f>
        <v>0</v>
      </c>
      <c r="CG64" s="1" t="n">
        <f aca="false">CD64*MIN(Slot7_Cost,CF64)</f>
        <v>0</v>
      </c>
      <c r="CH64" s="1" t="n">
        <f aca="false">CD64*Slot7_SpendLike*MIN(Slot7_Cost-CG64,BZ64)</f>
        <v>0</v>
      </c>
      <c r="CI64" s="1" t="n">
        <f aca="false">CG64+CH64</f>
        <v>0</v>
      </c>
      <c r="CJ64" s="1" t="n">
        <f aca="false">BZ64-CH64+CD64*IF(Slot7_SpendLike=1,CF64-CG64,IF(Slot7_PotFree=1,CF64,0))</f>
        <v>0</v>
      </c>
      <c r="CK64" s="1" t="n">
        <f aca="false">CA64+CD64*Slot7_BufPot*CF64</f>
        <v>0</v>
      </c>
      <c r="CL64" s="1" t="n">
        <f aca="false">IF(AND(CD64=1,Slot7_IsMfree=1),IF(CI64&gt;=Slot7_Cost-1,0,MAX(0,CB64-CI64)),CB64)</f>
        <v>0</v>
      </c>
      <c r="CM64" s="1" t="n">
        <f aca="false">CD64*(Slot7_Cost-CI64)</f>
        <v>0</v>
      </c>
      <c r="CN64" s="1" t="n">
        <f aca="false">IF(AND(Slot8_On=1,D64=Slot8_Age),1,0)</f>
        <v>0</v>
      </c>
      <c r="CO64" s="1" t="n">
        <f aca="false">IF(AND(Slot8_On=1,Slot8_Age&gt;D64),1,0)</f>
        <v>0</v>
      </c>
      <c r="CP64" s="1" t="n">
        <f aca="false">RN63</f>
        <v>0</v>
      </c>
      <c r="CQ64" s="1" t="n">
        <f aca="false">CN64*MIN(Slot8_Cost,CP64)</f>
        <v>0</v>
      </c>
      <c r="CR64" s="1" t="n">
        <f aca="false">CN64*Slot8_SpendLike*MIN(Slot8_Cost-CQ64,CJ64)</f>
        <v>0</v>
      </c>
      <c r="CS64" s="1" t="n">
        <f aca="false">CQ64+CR64</f>
        <v>0</v>
      </c>
      <c r="CT64" s="1" t="n">
        <f aca="false">CJ64-CR64+CN64*IF(Slot8_SpendLike=1,CP64-CQ64,IF(Slot8_PotFree=1,CP64,0))</f>
        <v>0</v>
      </c>
      <c r="CU64" s="1" t="n">
        <f aca="false">CK64+CN64*Slot8_BufPot*CP64</f>
        <v>0</v>
      </c>
      <c r="CV64" s="1" t="n">
        <f aca="false">IF(AND(CN64=1,Slot8_IsMfree=1),IF(CS64&gt;=Slot8_Cost-1,0,MAX(0,CL64-CS64)),CL64)</f>
        <v>0</v>
      </c>
      <c r="CW64" s="1" t="n">
        <f aca="false">CN64*(Slot8_Cost-CS64)</f>
        <v>0</v>
      </c>
      <c r="CX64" s="1" t="n">
        <f aca="false">IF(AND(Slot9_On=1,D64=Slot9_Age),1,0)</f>
        <v>0</v>
      </c>
      <c r="CY64" s="1" t="n">
        <f aca="false">IF(AND(Slot9_On=1,Slot9_Age&gt;D64),1,0)</f>
        <v>0</v>
      </c>
      <c r="CZ64" s="1" t="n">
        <f aca="false">RR63</f>
        <v>0</v>
      </c>
      <c r="DA64" s="1" t="n">
        <f aca="false">CX64*MIN(Slot9_Cost,CZ64)</f>
        <v>0</v>
      </c>
      <c r="DB64" s="1" t="n">
        <f aca="false">CX64*Slot9_SpendLike*MIN(Slot9_Cost-DA64,CT64)</f>
        <v>0</v>
      </c>
      <c r="DC64" s="1" t="n">
        <f aca="false">DA64+DB64</f>
        <v>0</v>
      </c>
      <c r="DD64" s="1" t="n">
        <f aca="false">CT64-DB64+CX64*IF(Slot9_SpendLike=1,CZ64-DA64,IF(Slot9_PotFree=1,CZ64,0))</f>
        <v>0</v>
      </c>
      <c r="DE64" s="1" t="n">
        <f aca="false">CU64+CX64*Slot9_BufPot*CZ64</f>
        <v>0</v>
      </c>
      <c r="DF64" s="1" t="n">
        <f aca="false">IF(AND(CX64=1,Slot9_IsMfree=1),IF(DC64&gt;=Slot9_Cost-1,0,MAX(0,CV64-DC64)),CV64)</f>
        <v>0</v>
      </c>
      <c r="DG64" s="1" t="n">
        <f aca="false">CX64*(Slot9_Cost-DC64)</f>
        <v>0</v>
      </c>
      <c r="DH64" s="1" t="n">
        <f aca="false">IF(AND(Slot10_On=1,D64=Slot10_Age),1,0)</f>
        <v>0</v>
      </c>
      <c r="DI64" s="1" t="n">
        <f aca="false">IF(AND(Slot10_On=1,Slot10_Age&gt;D64),1,0)</f>
        <v>0</v>
      </c>
      <c r="DJ64" s="1" t="n">
        <f aca="false">RV63</f>
        <v>0</v>
      </c>
      <c r="DK64" s="1" t="n">
        <f aca="false">DH64*MIN(Slot10_Cost,DJ64)</f>
        <v>0</v>
      </c>
      <c r="DL64" s="1" t="n">
        <f aca="false">DH64*Slot10_SpendLike*MIN(Slot10_Cost-DK64,DD64)</f>
        <v>0</v>
      </c>
      <c r="DM64" s="1" t="n">
        <f aca="false">DK64+DL64</f>
        <v>0</v>
      </c>
      <c r="DN64" s="1" t="n">
        <f aca="false">DD64-DL64+DH64*IF(Slot10_SpendLike=1,DJ64-DK64,IF(Slot10_PotFree=1,DJ64,0))</f>
        <v>0</v>
      </c>
      <c r="DO64" s="1" t="n">
        <f aca="false">DE64+DH64*Slot10_BufPot*DJ64</f>
        <v>0</v>
      </c>
      <c r="DP64" s="1" t="n">
        <f aca="false">IF(AND(DH64=1,Slot10_IsMfree=1),IF(DM64&gt;=Slot10_Cost-1,0,MAX(0,DF64-DM64)),DF64)</f>
        <v>0</v>
      </c>
      <c r="DQ64" s="1" t="n">
        <f aca="false">DH64*(Slot10_Cost-DM64)</f>
        <v>0</v>
      </c>
      <c r="DR64" s="1" t="n">
        <f aca="false">IF(AND(Slot11_On=1,D64=Slot11_Age),1,0)</f>
        <v>0</v>
      </c>
      <c r="DS64" s="1" t="n">
        <f aca="false">IF(AND(Slot11_On=1,Slot11_Age&gt;D64),1,0)</f>
        <v>0</v>
      </c>
      <c r="DT64" s="1" t="n">
        <f aca="false">RZ63</f>
        <v>0</v>
      </c>
      <c r="DU64" s="1" t="n">
        <f aca="false">DR64*MIN(Slot11_Cost,DT64)</f>
        <v>0</v>
      </c>
      <c r="DV64" s="1" t="n">
        <f aca="false">DR64*Slot11_SpendLike*MIN(Slot11_Cost-DU64,DN64)</f>
        <v>0</v>
      </c>
      <c r="DW64" s="1" t="n">
        <f aca="false">DU64+DV64</f>
        <v>0</v>
      </c>
      <c r="DX64" s="1" t="n">
        <f aca="false">DN64-DV64+DR64*IF(Slot11_SpendLike=1,DT64-DU64,IF(Slot11_PotFree=1,DT64,0))</f>
        <v>0</v>
      </c>
      <c r="DY64" s="1" t="n">
        <f aca="false">DO64+DR64*Slot11_BufPot*DT64</f>
        <v>0</v>
      </c>
      <c r="DZ64" s="1" t="n">
        <f aca="false">IF(AND(DR64=1,Slot11_IsMfree=1),IF(DW64&gt;=Slot11_Cost-1,0,MAX(0,DP64-DW64)),DP64)</f>
        <v>0</v>
      </c>
      <c r="EA64" s="1" t="n">
        <f aca="false">DR64*(Slot11_Cost-DW64)</f>
        <v>0</v>
      </c>
      <c r="EB64" s="1" t="n">
        <f aca="false">IF(AND(Slot12_On=1,D64=Slot12_Age),1,0)</f>
        <v>0</v>
      </c>
      <c r="EC64" s="1" t="n">
        <f aca="false">IF(AND(Slot12_On=1,Slot12_Age&gt;D64),1,0)</f>
        <v>0</v>
      </c>
      <c r="ED64" s="1" t="n">
        <f aca="false">SD63</f>
        <v>0</v>
      </c>
      <c r="EE64" s="1" t="n">
        <f aca="false">EB64*MIN(Slot12_Cost,ED64)</f>
        <v>0</v>
      </c>
      <c r="EF64" s="1" t="n">
        <f aca="false">EB64*Slot12_SpendLike*MIN(Slot12_Cost-EE64,DX64)</f>
        <v>0</v>
      </c>
      <c r="EG64" s="1" t="n">
        <f aca="false">EE64+EF64</f>
        <v>0</v>
      </c>
      <c r="EH64" s="1" t="n">
        <f aca="false">DX64-EF64+EB64*IF(Slot12_SpendLike=1,ED64-EE64,IF(Slot12_PotFree=1,ED64,0))</f>
        <v>0</v>
      </c>
      <c r="EI64" s="1" t="n">
        <f aca="false">DY64+EB64*Slot12_BufPot*ED64</f>
        <v>0</v>
      </c>
      <c r="EJ64" s="1" t="n">
        <f aca="false">IF(AND(EB64=1,Slot12_IsMfree=1),IF(EG64&gt;=Slot12_Cost-1,0,MAX(0,DZ64-EG64)),DZ64)</f>
        <v>0</v>
      </c>
      <c r="EK64" s="1" t="n">
        <f aca="false">EB64*(Slot12_Cost-EG64)</f>
        <v>0</v>
      </c>
      <c r="EL64" s="1" t="n">
        <f aca="false">IF(AND(Slot13_On=1,D64=Slot13_Age),1,0)</f>
        <v>0</v>
      </c>
      <c r="EM64" s="1" t="n">
        <f aca="false">IF(AND(Slot13_On=1,Slot13_Age&gt;D64),1,0)</f>
        <v>0</v>
      </c>
      <c r="EN64" s="1" t="n">
        <f aca="false">SH63</f>
        <v>0</v>
      </c>
      <c r="EO64" s="1" t="n">
        <f aca="false">EL64*MIN(Slot13_Cost,EN64)</f>
        <v>0</v>
      </c>
      <c r="EP64" s="1" t="n">
        <f aca="false">EL64*Slot13_SpendLike*MIN(Slot13_Cost-EO64,EH64)</f>
        <v>0</v>
      </c>
      <c r="EQ64" s="1" t="n">
        <f aca="false">EO64+EP64</f>
        <v>0</v>
      </c>
      <c r="ER64" s="1" t="n">
        <f aca="false">EH64-EP64+EL64*IF(Slot13_SpendLike=1,EN64-EO64,IF(Slot13_PotFree=1,EN64,0))</f>
        <v>0</v>
      </c>
      <c r="ES64" s="1" t="n">
        <f aca="false">EI64+EL64*Slot13_BufPot*EN64</f>
        <v>0</v>
      </c>
      <c r="ET64" s="1" t="n">
        <f aca="false">IF(AND(EL64=1,Slot13_IsMfree=1),IF(EQ64&gt;=Slot13_Cost-1,0,MAX(0,EJ64-EQ64)),EJ64)</f>
        <v>0</v>
      </c>
      <c r="EU64" s="1" t="n">
        <f aca="false">EL64*(Slot13_Cost-EQ64)</f>
        <v>0</v>
      </c>
      <c r="EV64" s="1" t="n">
        <f aca="false">IF(AND(Slot14_On=1,D64=Slot14_Age),1,0)</f>
        <v>0</v>
      </c>
      <c r="EW64" s="1" t="n">
        <f aca="false">IF(AND(Slot14_On=1,Slot14_Age&gt;D64),1,0)</f>
        <v>0</v>
      </c>
      <c r="EX64" s="1" t="n">
        <f aca="false">SL63</f>
        <v>0</v>
      </c>
      <c r="EY64" s="1" t="n">
        <f aca="false">EV64*MIN(Slot14_Cost,EX64)</f>
        <v>0</v>
      </c>
      <c r="EZ64" s="1" t="n">
        <f aca="false">EV64*Slot14_SpendLike*MIN(Slot14_Cost-EY64,ER64)</f>
        <v>0</v>
      </c>
      <c r="FA64" s="1" t="n">
        <f aca="false">EY64+EZ64</f>
        <v>0</v>
      </c>
      <c r="FB64" s="1" t="n">
        <f aca="false">ER64-EZ64+EV64*IF(Slot14_SpendLike=1,EX64-EY64,IF(Slot14_PotFree=1,EX64,0))</f>
        <v>0</v>
      </c>
      <c r="FC64" s="1" t="n">
        <f aca="false">ES64+EV64*Slot14_BufPot*EX64</f>
        <v>0</v>
      </c>
      <c r="FD64" s="1" t="n">
        <f aca="false">IF(AND(EV64=1,Slot14_IsMfree=1),IF(FA64&gt;=Slot14_Cost-1,0,MAX(0,ET64-FA64)),ET64)</f>
        <v>0</v>
      </c>
      <c r="FE64" s="1" t="n">
        <f aca="false">EV64*(Slot14_Cost-FA64)</f>
        <v>0</v>
      </c>
      <c r="FF64" s="1" t="n">
        <f aca="false">IF(AND(Slot15_On=1,D64=Slot15_Age),1,0)</f>
        <v>0</v>
      </c>
      <c r="FG64" s="1" t="n">
        <f aca="false">IF(AND(Slot15_On=1,Slot15_Age&gt;D64),1,0)</f>
        <v>0</v>
      </c>
      <c r="FH64" s="1" t="n">
        <f aca="false">SP63</f>
        <v>0</v>
      </c>
      <c r="FI64" s="1" t="n">
        <f aca="false">FF64*MIN(Slot15_Cost,FH64)</f>
        <v>0</v>
      </c>
      <c r="FJ64" s="1" t="n">
        <f aca="false">FF64*Slot15_SpendLike*MIN(Slot15_Cost-FI64,FB64)</f>
        <v>0</v>
      </c>
      <c r="FK64" s="1" t="n">
        <f aca="false">FI64+FJ64</f>
        <v>0</v>
      </c>
      <c r="FL64" s="1" t="n">
        <f aca="false">FB64-FJ64+FF64*IF(Slot15_SpendLike=1,FH64-FI64,IF(Slot15_PotFree=1,FH64,0))</f>
        <v>0</v>
      </c>
      <c r="FM64" s="1" t="n">
        <f aca="false">FC64+FF64*Slot15_BufPot*FH64</f>
        <v>0</v>
      </c>
      <c r="FN64" s="1" t="n">
        <f aca="false">IF(AND(FF64=1,Slot15_IsMfree=1),IF(FK64&gt;=Slot15_Cost-1,0,MAX(0,FD64-FK64)),FD64)</f>
        <v>0</v>
      </c>
      <c r="FO64" s="1" t="n">
        <f aca="false">FF64*(Slot15_Cost-FK64)</f>
        <v>0</v>
      </c>
      <c r="FP64" s="1" t="n">
        <f aca="false">IF(AND(Slot16_On=1,D64=Slot16_Age),1,0)</f>
        <v>0</v>
      </c>
      <c r="FQ64" s="1" t="n">
        <f aca="false">IF(AND(Slot16_On=1,Slot16_Age&gt;D64),1,0)</f>
        <v>0</v>
      </c>
      <c r="FR64" s="1" t="n">
        <f aca="false">ST63</f>
        <v>0</v>
      </c>
      <c r="FS64" s="1" t="n">
        <f aca="false">FP64*MIN(Slot16_Cost,FR64)</f>
        <v>0</v>
      </c>
      <c r="FT64" s="1" t="n">
        <f aca="false">FP64*Slot16_SpendLike*MIN(Slot16_Cost-FS64,FL64)</f>
        <v>0</v>
      </c>
      <c r="FU64" s="1" t="n">
        <f aca="false">FS64+FT64</f>
        <v>0</v>
      </c>
      <c r="FV64" s="1" t="n">
        <f aca="false">FL64-FT64+FP64*IF(Slot16_SpendLike=1,FR64-FS64,IF(Slot16_PotFree=1,FR64,0))</f>
        <v>0</v>
      </c>
      <c r="FW64" s="1" t="n">
        <f aca="false">FM64+FP64*Slot16_BufPot*FR64</f>
        <v>0</v>
      </c>
      <c r="FX64" s="1" t="n">
        <f aca="false">IF(AND(FP64=1,Slot16_IsMfree=1),IF(FU64&gt;=Slot16_Cost-1,0,MAX(0,FN64-FU64)),FN64)</f>
        <v>0</v>
      </c>
      <c r="FY64" s="1" t="n">
        <f aca="false">FP64*(Slot16_Cost-FU64)</f>
        <v>0</v>
      </c>
      <c r="FZ64" s="1" t="n">
        <f aca="false">IF(AND(Slot17_On=1,D64=Slot17_Age),1,0)</f>
        <v>0</v>
      </c>
      <c r="GA64" s="1" t="n">
        <f aca="false">IF(AND(Slot17_On=1,Slot17_Age&gt;D64),1,0)</f>
        <v>0</v>
      </c>
      <c r="GB64" s="1" t="n">
        <f aca="false">SX63</f>
        <v>0</v>
      </c>
      <c r="GC64" s="1" t="n">
        <f aca="false">FZ64*MIN(Slot17_Cost,GB64)</f>
        <v>0</v>
      </c>
      <c r="GD64" s="1" t="n">
        <f aca="false">FZ64*Slot17_SpendLike*MIN(Slot17_Cost-GC64,FV64)</f>
        <v>0</v>
      </c>
      <c r="GE64" s="1" t="n">
        <f aca="false">GC64+GD64</f>
        <v>0</v>
      </c>
      <c r="GF64" s="1" t="n">
        <f aca="false">FV64-GD64+FZ64*IF(Slot17_SpendLike=1,GB64-GC64,IF(Slot17_PotFree=1,GB64,0))</f>
        <v>0</v>
      </c>
      <c r="GG64" s="1" t="n">
        <f aca="false">FW64+FZ64*Slot17_BufPot*GB64</f>
        <v>0</v>
      </c>
      <c r="GH64" s="1" t="n">
        <f aca="false">IF(AND(FZ64=1,Slot17_IsMfree=1),IF(GE64&gt;=Slot17_Cost-1,0,MAX(0,FX64-GE64)),FX64)</f>
        <v>0</v>
      </c>
      <c r="GI64" s="1" t="n">
        <f aca="false">FZ64*(Slot17_Cost-GE64)</f>
        <v>0</v>
      </c>
      <c r="GJ64" s="1" t="n">
        <f aca="false">IF(AND(Slot18_On=1,D64=Slot18_Age),1,0)</f>
        <v>0</v>
      </c>
      <c r="GK64" s="1" t="n">
        <f aca="false">IF(AND(Slot18_On=1,Slot18_Age&gt;D64),1,0)</f>
        <v>0</v>
      </c>
      <c r="GL64" s="1" t="n">
        <f aca="false">TB63</f>
        <v>0</v>
      </c>
      <c r="GM64" s="1" t="n">
        <f aca="false">GJ64*MIN(Slot18_Cost,GL64)</f>
        <v>0</v>
      </c>
      <c r="GN64" s="1" t="n">
        <f aca="false">GJ64*Slot18_SpendLike*MIN(Slot18_Cost-GM64,GF64)</f>
        <v>0</v>
      </c>
      <c r="GO64" s="1" t="n">
        <f aca="false">GM64+GN64</f>
        <v>0</v>
      </c>
      <c r="GP64" s="1" t="n">
        <f aca="false">GF64-GN64+GJ64*IF(Slot18_SpendLike=1,GL64-GM64,IF(Slot18_PotFree=1,GL64,0))</f>
        <v>0</v>
      </c>
      <c r="GQ64" s="1" t="n">
        <f aca="false">GG64+GJ64*Slot18_BufPot*GL64</f>
        <v>0</v>
      </c>
      <c r="GR64" s="1" t="n">
        <f aca="false">IF(AND(GJ64=1,Slot18_IsMfree=1),IF(GO64&gt;=Slot18_Cost-1,0,MAX(0,GH64-GO64)),GH64)</f>
        <v>0</v>
      </c>
      <c r="GS64" s="1" t="n">
        <f aca="false">GJ64*(Slot18_Cost-GO64)</f>
        <v>0</v>
      </c>
      <c r="GT64" s="1" t="n">
        <f aca="false">IF(AND(Slot19_On=1,D64=Slot19_Age),1,0)</f>
        <v>0</v>
      </c>
      <c r="GU64" s="1" t="n">
        <f aca="false">IF(AND(Slot19_On=1,Slot19_Age&gt;D64),1,0)</f>
        <v>0</v>
      </c>
      <c r="GV64" s="1" t="n">
        <f aca="false">TF63</f>
        <v>0</v>
      </c>
      <c r="GW64" s="1" t="n">
        <f aca="false">GT64*MIN(Slot19_Cost,GV64)</f>
        <v>0</v>
      </c>
      <c r="GX64" s="1" t="n">
        <f aca="false">GT64*Slot19_SpendLike*MIN(Slot19_Cost-GW64,GP64)</f>
        <v>0</v>
      </c>
      <c r="GY64" s="1" t="n">
        <f aca="false">GW64+GX64</f>
        <v>0</v>
      </c>
      <c r="GZ64" s="1" t="n">
        <f aca="false">GP64-GX64+GT64*IF(Slot19_SpendLike=1,GV64-GW64,IF(Slot19_PotFree=1,GV64,0))</f>
        <v>0</v>
      </c>
      <c r="HA64" s="1" t="n">
        <f aca="false">GQ64+GT64*Slot19_BufPot*GV64</f>
        <v>0</v>
      </c>
      <c r="HB64" s="1" t="n">
        <f aca="false">IF(AND(GT64=1,Slot19_IsMfree=1),IF(GY64&gt;=Slot19_Cost-1,0,MAX(0,GR64-GY64)),GR64)</f>
        <v>0</v>
      </c>
      <c r="HC64" s="1" t="n">
        <f aca="false">GT64*(Slot19_Cost-GY64)</f>
        <v>0</v>
      </c>
      <c r="HD64" s="1" t="n">
        <f aca="false">IF(AND(Slot20_On=1,D64=Slot20_Age),1,0)</f>
        <v>0</v>
      </c>
      <c r="HE64" s="1" t="n">
        <f aca="false">IF(AND(Slot20_On=1,Slot20_Age&gt;D64),1,0)</f>
        <v>0</v>
      </c>
      <c r="HF64" s="1" t="n">
        <f aca="false">TJ63</f>
        <v>0</v>
      </c>
      <c r="HG64" s="1" t="n">
        <f aca="false">HD64*MIN(Slot20_Cost,HF64)</f>
        <v>0</v>
      </c>
      <c r="HH64" s="1" t="n">
        <f aca="false">HD64*Slot20_SpendLike*MIN(Slot20_Cost-HG64,GZ64)</f>
        <v>0</v>
      </c>
      <c r="HI64" s="1" t="n">
        <f aca="false">HG64+HH64</f>
        <v>0</v>
      </c>
      <c r="HJ64" s="1" t="n">
        <f aca="false">GZ64-HH64+HD64*IF(Slot20_SpendLike=1,HF64-HG64,IF(Slot20_PotFree=1,HF64,0))</f>
        <v>0</v>
      </c>
      <c r="HK64" s="1" t="n">
        <f aca="false">HA64+HD64*Slot20_BufPot*HF64</f>
        <v>0</v>
      </c>
      <c r="HL64" s="1" t="n">
        <f aca="false">IF(AND(HD64=1,Slot20_IsMfree=1),IF(HI64&gt;=Slot20_Cost-1,0,MAX(0,HB64-HI64)),HB64)</f>
        <v>0</v>
      </c>
      <c r="HM64" s="1" t="n">
        <f aca="false">HD64*(Slot20_Cost-HI64)</f>
        <v>0</v>
      </c>
      <c r="HN64" s="1" t="n">
        <f aca="false">U64*Slot1_SpendLike*Z64+AF64*Slot2_SpendLike*AK64+AP64*Slot3_SpendLike*AU64+AZ64*Slot4_SpendLike*BE64+BJ64*Slot5_SpendLike*BO64+BT64*Slot6_SpendLike*BY64+CD64*Slot7_SpendLike*CI64+CN64*Slot8_SpendLike*CS64+CX64*Slot9_SpendLike*DC64+DH64*Slot10_SpendLike*DM64+DR64*Slot11_SpendLike*DW64+EB64*Slot12_SpendLike*EG64+EL64*Slot13_SpendLike*EQ64+EV64*Slot14_SpendLike*FA64+FF64*Slot15_SpendLike*FK64+FP64*Slot16_SpendLike*FU64+FZ64*Slot17_SpendLike*GE64+GJ64*Slot18_SpendLike*GO64+GT64*Slot19_SpendLike*GY64+HD64*Slot20_SpendLike*HI64</f>
        <v>0</v>
      </c>
      <c r="HO64" s="1" t="n">
        <f aca="false">AD64+AO64+AY64+BI64+BS64+CC64+CM64+CW64+DG64+DQ64+EA64+EK64+EU64+FE64+FO64+FY64+GI64+GS64+HC64+HM64</f>
        <v>0</v>
      </c>
      <c r="HP64" s="1" t="n">
        <f aca="false">U64*Slot1_Cost+AF64*Slot2_Cost+AP64*Slot3_Cost+AZ64*Slot4_Cost+BJ64*Slot5_Cost+BT64*Slot6_Cost+CD64*Slot7_Cost+CN64*Slot8_Cost+CX64*Slot9_Cost+DH64*Slot10_Cost+DR64*Slot11_Cost+EB64*Slot12_Cost+EL64*Slot13_Cost+EV64*Slot14_Cost+FF64*Slot15_Cost+FP64*Slot16_Cost+FZ64*Slot17_Cost+GJ64*Slot18_Cost+GT64*Slot19_Cost+HD64*Slot20_Cost</f>
        <v>0</v>
      </c>
      <c r="HQ64" s="1" t="n">
        <f aca="false">HL64</f>
        <v>0</v>
      </c>
      <c r="HR64" s="1" t="n">
        <f aca="false">G64-H64-R64</f>
        <v>0</v>
      </c>
      <c r="HS64" s="1" t="n">
        <f aca="false">IF(B64=0,IF(AND(Has_q6=1,In_q6=4),PR_ShareVaries*(MAX(0,HR64)/12),MIN(IF(Has_q6=1,CHOOSE(In_q6+1,PR_SaveB1,PR_SaveB2,PR_SaveB3,PR_SaveB4,0),AS_NoAnswer),AS_SaveShare*(MAX(0,HR64)/12))),HS63)</f>
        <v>0</v>
      </c>
      <c r="HT64" s="1" t="n">
        <f aca="false">IF(HR64&gt;=0,1,0)</f>
        <v>1</v>
      </c>
      <c r="HU64" s="1" t="n">
        <f aca="false">MAX(0,HR64/12/E64)</f>
        <v>0</v>
      </c>
      <c r="HV64" s="1" t="n">
        <f aca="false">IF(AND(Has_q6=1,In_q6=4),PR_ShareVaries*(HU64),MIN(IF(Has_q6=1,CHOOSE(In_q6+1,PR_SaveB1,PR_SaveB2,PR_SaveB3,PR_SaveB4,0),AS_NoAnswer),AS_SaveShare*(HU64)))</f>
        <v>0</v>
      </c>
      <c r="HW64" s="1" t="n">
        <f aca="false">IF(Has_saveM=1,IF(In_saveUp="Yes",1,IF(In_saveUp="No",0,IF(In_saveM&gt;=HS64-0.5,1,0))),0)</f>
        <v>0</v>
      </c>
      <c r="HX64" s="1" t="n">
        <f aca="false">IF(Has_saveM=1,MIN(HU64,IF(HW64=1,MAX(In_saveM,HV64),MIN(In_saveM,HV64))),HV64)</f>
        <v>0</v>
      </c>
      <c r="HY64" s="1" t="n">
        <f aca="false">IF(F64=1,HX64*12*E64,0)</f>
        <v>0</v>
      </c>
      <c r="HZ64" s="1" t="n">
        <f aca="false">MAX(0,HY64+IF(AND(WI_Retire=0,WI_M&lt;0,F64=1),WI_M*12*E64,0))</f>
        <v>0</v>
      </c>
      <c r="IA64" s="1" t="n">
        <f aca="false">Slot1_IsWG*V64+Slot2_IsWG*AG64+Slot3_IsWG*AQ64+Slot4_IsWG*BA64+Slot5_IsWG*BK64+Slot6_IsWG*BU64+Slot7_IsWG*CE64+Slot8_IsWG*CO64+Slot9_IsWG*CY64+Slot10_IsWG*DI64+Slot11_IsWG*DS64+Slot12_IsWG*EC64+Slot13_IsWG*EM64+Slot14_IsWG*EW64+Slot15_IsWG*FG64+Slot16_IsWG*FQ64+Slot17_IsWG*GA64+Slot18_IsWG*GK64+Slot19_IsWG*GU64+Slot20_IsWG*HE64</f>
        <v>0</v>
      </c>
      <c r="IB64" s="1" t="n">
        <f aca="false">IF(AND(WI_Retire=0,WI_M&gt;0,F64=1,IA64&gt;=1),WI_M*12*E64,0)</f>
        <v>0</v>
      </c>
      <c r="IC64" s="1" t="n">
        <f aca="false">IF(HT64=1,MIN(HZ64,HR64),0)</f>
        <v>0</v>
      </c>
      <c r="ID64" s="1" t="n">
        <f aca="false">IF(HT64=1,MIN(IB64,HR64-IC64),0)</f>
        <v>0</v>
      </c>
      <c r="IE64" s="1" t="n">
        <f aca="false">IF(V64=1,IF(ABS((1+AS_Wage)/(1+Slot1_Rate)-1)&lt;0.000000000001,(Slot1_Age-D64)*(1+Slot1_Rate)^(Slot1_Age-D64),(1+Slot1_Rate)^(Slot1_Age-D64)*(1-((1+AS_Wage)/(1+Slot1_Rate))^(Slot1_Age-D64))/(1-(1+AS_Wage)/(1+Slot1_Rate))),1)</f>
        <v>1</v>
      </c>
      <c r="IF64" s="1" t="n">
        <f aca="false">IF(AND(HT64=1,ID64&gt;0,Slot1_IsWG=1,V64=1),MAX(0,(Slot1_Cost-W64*(1+Slot1_Rate)^(Slot1_Age-D64))/IE64),0)</f>
        <v>0</v>
      </c>
      <c r="IG64" s="1" t="n">
        <f aca="false">IF(AND(HT64=1,ID64&gt;0,Slot1_IsWG=1,V64=1),MIN(ID64,IF64),0)</f>
        <v>0</v>
      </c>
      <c r="IH64" s="1" t="n">
        <f aca="false">W64+IG64</f>
        <v>0</v>
      </c>
      <c r="II64" s="1" t="n">
        <f aca="false">IF(V64=1,MAX(0,(Slot1_Cost-IH64*(1+Slot1_Rate)^(Slot1_Age-D64))/IE64),0)</f>
        <v>0</v>
      </c>
      <c r="IJ64" s="1" t="n">
        <f aca="false">IF(V64=1,MAX(0,(Slot1_Cost-W64*(1+Slot1_Rate)^(Slot1_Age-D64))/IE64),0)</f>
        <v>0</v>
      </c>
      <c r="IK64" s="1" t="n">
        <f aca="false">IF(AND(HT64=1,V64=1),MIN(IC64,II64),0)</f>
        <v>0</v>
      </c>
      <c r="IL64" s="1" t="n">
        <f aca="false">IC64-IK64</f>
        <v>0</v>
      </c>
      <c r="IM64" s="1" t="n">
        <f aca="false">IF(AG64=1,IF(ABS((1+AS_Wage)/(1+Slot2_Rate)-1)&lt;0.000000000001,(Slot2_Age-D64)*(1+Slot2_Rate)^(Slot2_Age-D64),(1+Slot2_Rate)^(Slot2_Age-D64)*(1-((1+AS_Wage)/(1+Slot2_Rate))^(Slot2_Age-D64))/(1-(1+AS_Wage)/(1+Slot2_Rate))),1)</f>
        <v>1</v>
      </c>
      <c r="IN64" s="1" t="n">
        <f aca="false">IF(AND(HT64=1,ID64&gt;0,Slot2_IsWG=1,AG64=1),MAX(0,(Slot2_Cost-AH64*(1+Slot2_Rate)^(Slot2_Age-D64))/IM64),0)</f>
        <v>0</v>
      </c>
      <c r="IO64" s="1" t="n">
        <f aca="false">IF(AND(HT64=1,ID64&gt;0,Slot2_IsWG=1,AG64=1),MIN(ID64,IN64),0)</f>
        <v>0</v>
      </c>
      <c r="IP64" s="1" t="n">
        <f aca="false">AH64+IO64</f>
        <v>0</v>
      </c>
      <c r="IQ64" s="1" t="n">
        <f aca="false">IF(AG64=1,MAX(0,(Slot2_Cost-IP64*(1+Slot2_Rate)^(Slot2_Age-D64))/IM64),0)</f>
        <v>0</v>
      </c>
      <c r="IR64" s="1" t="n">
        <f aca="false">IF(AG64=1,MAX(0,(Slot2_Cost-AH64*(1+Slot2_Rate)^(Slot2_Age-D64))/IM64),0)</f>
        <v>0</v>
      </c>
      <c r="IS64" s="1" t="n">
        <f aca="false">IF(AND(HT64=1,AG64=1),MIN(IL64,IQ64),0)</f>
        <v>0</v>
      </c>
      <c r="IT64" s="1" t="n">
        <f aca="false">IL64-IS64</f>
        <v>0</v>
      </c>
      <c r="IU64" s="1" t="n">
        <f aca="false">IF(AQ64=1,IF(ABS((1+AS_Wage)/(1+Slot3_Rate)-1)&lt;0.000000000001,(Slot3_Age-D64)*(1+Slot3_Rate)^(Slot3_Age-D64),(1+Slot3_Rate)^(Slot3_Age-D64)*(1-((1+AS_Wage)/(1+Slot3_Rate))^(Slot3_Age-D64))/(1-(1+AS_Wage)/(1+Slot3_Rate))),1)</f>
        <v>1</v>
      </c>
      <c r="IV64" s="1" t="n">
        <f aca="false">IF(AND(HT64=1,ID64&gt;0,Slot3_IsWG=1,AQ64=1),MAX(0,(Slot3_Cost-AR64*(1+Slot3_Rate)^(Slot3_Age-D64))/IU64),0)</f>
        <v>0</v>
      </c>
      <c r="IW64" s="1" t="n">
        <f aca="false">IF(AND(HT64=1,ID64&gt;0,Slot3_IsWG=1,AQ64=1),MIN(ID64,IV64),0)</f>
        <v>0</v>
      </c>
      <c r="IX64" s="1" t="n">
        <f aca="false">AR64+IW64</f>
        <v>0</v>
      </c>
      <c r="IY64" s="1" t="n">
        <f aca="false">IF(AQ64=1,MAX(0,(Slot3_Cost-IX64*(1+Slot3_Rate)^(Slot3_Age-D64))/IU64),0)</f>
        <v>0</v>
      </c>
      <c r="IZ64" s="1" t="n">
        <f aca="false">IF(AQ64=1,MAX(0,(Slot3_Cost-AR64*(1+Slot3_Rate)^(Slot3_Age-D64))/IU64),0)</f>
        <v>0</v>
      </c>
      <c r="JA64" s="1" t="n">
        <f aca="false">IF(AND(HT64=1,AQ64=1),MIN(IT64,IY64),0)</f>
        <v>0</v>
      </c>
      <c r="JB64" s="1" t="n">
        <f aca="false">IT64-JA64</f>
        <v>0</v>
      </c>
      <c r="JC64" s="1" t="n">
        <f aca="false">IF(BA64=1,IF(ABS((1+AS_Wage)/(1+Slot4_Rate)-1)&lt;0.000000000001,(Slot4_Age-D64)*(1+Slot4_Rate)^(Slot4_Age-D64),(1+Slot4_Rate)^(Slot4_Age-D64)*(1-((1+AS_Wage)/(1+Slot4_Rate))^(Slot4_Age-D64))/(1-(1+AS_Wage)/(1+Slot4_Rate))),1)</f>
        <v>1</v>
      </c>
      <c r="JD64" s="1" t="n">
        <f aca="false">IF(AND(HT64=1,ID64&gt;0,Slot4_IsWG=1,BA64=1),MAX(0,(Slot4_Cost-BB64*(1+Slot4_Rate)^(Slot4_Age-D64))/JC64),0)</f>
        <v>0</v>
      </c>
      <c r="JE64" s="1" t="n">
        <f aca="false">IF(AND(HT64=1,ID64&gt;0,Slot4_IsWG=1,BA64=1),MIN(ID64,JD64),0)</f>
        <v>0</v>
      </c>
      <c r="JF64" s="1" t="n">
        <f aca="false">BB64+JE64</f>
        <v>0</v>
      </c>
      <c r="JG64" s="1" t="n">
        <f aca="false">IF(BA64=1,MAX(0,(Slot4_Cost-JF64*(1+Slot4_Rate)^(Slot4_Age-D64))/JC64),0)</f>
        <v>0</v>
      </c>
      <c r="JH64" s="1" t="n">
        <f aca="false">IF(BA64=1,MAX(0,(Slot4_Cost-BB64*(1+Slot4_Rate)^(Slot4_Age-D64))/JC64),0)</f>
        <v>0</v>
      </c>
      <c r="JI64" s="1" t="n">
        <f aca="false">IF(AND(HT64=1,BA64=1),MIN(JB64,JG64),0)</f>
        <v>0</v>
      </c>
      <c r="JJ64" s="1" t="n">
        <f aca="false">JB64-JI64</f>
        <v>0</v>
      </c>
      <c r="JK64" s="1" t="n">
        <f aca="false">IF(BK64=1,IF(ABS((1+AS_Wage)/(1+Slot5_Rate)-1)&lt;0.000000000001,(Slot5_Age-D64)*(1+Slot5_Rate)^(Slot5_Age-D64),(1+Slot5_Rate)^(Slot5_Age-D64)*(1-((1+AS_Wage)/(1+Slot5_Rate))^(Slot5_Age-D64))/(1-(1+AS_Wage)/(1+Slot5_Rate))),1)</f>
        <v>1</v>
      </c>
      <c r="JL64" s="1" t="n">
        <f aca="false">IF(AND(HT64=1,ID64&gt;0,Slot5_IsWG=1,BK64=1),MAX(0,(Slot5_Cost-BL64*(1+Slot5_Rate)^(Slot5_Age-D64))/JK64),0)</f>
        <v>0</v>
      </c>
      <c r="JM64" s="1" t="n">
        <f aca="false">IF(AND(HT64=1,ID64&gt;0,Slot5_IsWG=1,BK64=1),MIN(ID64,JL64),0)</f>
        <v>0</v>
      </c>
      <c r="JN64" s="1" t="n">
        <f aca="false">BL64+JM64</f>
        <v>0</v>
      </c>
      <c r="JO64" s="1" t="n">
        <f aca="false">IF(BK64=1,MAX(0,(Slot5_Cost-JN64*(1+Slot5_Rate)^(Slot5_Age-D64))/JK64),0)</f>
        <v>0</v>
      </c>
      <c r="JP64" s="1" t="n">
        <f aca="false">IF(BK64=1,MAX(0,(Slot5_Cost-BL64*(1+Slot5_Rate)^(Slot5_Age-D64))/JK64),0)</f>
        <v>0</v>
      </c>
      <c r="JQ64" s="1" t="n">
        <f aca="false">IF(AND(HT64=1,BK64=1),MIN(JJ64,JO64),0)</f>
        <v>0</v>
      </c>
      <c r="JR64" s="1" t="n">
        <f aca="false">JJ64-JQ64</f>
        <v>0</v>
      </c>
      <c r="JS64" s="1" t="n">
        <f aca="false">IF(BU64=1,IF(ABS((1+AS_Wage)/(1+Slot6_Rate)-1)&lt;0.000000000001,(Slot6_Age-D64)*(1+Slot6_Rate)^(Slot6_Age-D64),(1+Slot6_Rate)^(Slot6_Age-D64)*(1-((1+AS_Wage)/(1+Slot6_Rate))^(Slot6_Age-D64))/(1-(1+AS_Wage)/(1+Slot6_Rate))),1)</f>
        <v>1</v>
      </c>
      <c r="JT64" s="1" t="n">
        <f aca="false">IF(AND(HT64=1,ID64&gt;0,Slot6_IsWG=1,BU64=1),MAX(0,(Slot6_Cost-BV64*(1+Slot6_Rate)^(Slot6_Age-D64))/JS64),0)</f>
        <v>0</v>
      </c>
      <c r="JU64" s="1" t="n">
        <f aca="false">IF(AND(HT64=1,ID64&gt;0,Slot6_IsWG=1,BU64=1),MIN(ID64,JT64),0)</f>
        <v>0</v>
      </c>
      <c r="JV64" s="1" t="n">
        <f aca="false">BV64+JU64</f>
        <v>0</v>
      </c>
      <c r="JW64" s="1" t="n">
        <f aca="false">IF(BU64=1,MAX(0,(Slot6_Cost-JV64*(1+Slot6_Rate)^(Slot6_Age-D64))/JS64),0)</f>
        <v>0</v>
      </c>
      <c r="JX64" s="1" t="n">
        <f aca="false">IF(BU64=1,MAX(0,(Slot6_Cost-BV64*(1+Slot6_Rate)^(Slot6_Age-D64))/JS64),0)</f>
        <v>0</v>
      </c>
      <c r="JY64" s="1" t="n">
        <f aca="false">IF(AND(HT64=1,BU64=1),MIN(JR64,JW64),0)</f>
        <v>0</v>
      </c>
      <c r="JZ64" s="1" t="n">
        <f aca="false">JR64-JY64</f>
        <v>0</v>
      </c>
      <c r="KA64" s="1" t="n">
        <f aca="false">IF(CE64=1,IF(ABS((1+AS_Wage)/(1+Slot7_Rate)-1)&lt;0.000000000001,(Slot7_Age-D64)*(1+Slot7_Rate)^(Slot7_Age-D64),(1+Slot7_Rate)^(Slot7_Age-D64)*(1-((1+AS_Wage)/(1+Slot7_Rate))^(Slot7_Age-D64))/(1-(1+AS_Wage)/(1+Slot7_Rate))),1)</f>
        <v>1</v>
      </c>
      <c r="KB64" s="1" t="n">
        <f aca="false">IF(AND(HT64=1,ID64&gt;0,Slot7_IsWG=1,CE64=1),MAX(0,(Slot7_Cost-CF64*(1+Slot7_Rate)^(Slot7_Age-D64))/KA64),0)</f>
        <v>0</v>
      </c>
      <c r="KC64" s="1" t="n">
        <f aca="false">IF(AND(HT64=1,ID64&gt;0,Slot7_IsWG=1,CE64=1),MIN(ID64,KB64),0)</f>
        <v>0</v>
      </c>
      <c r="KD64" s="1" t="n">
        <f aca="false">CF64+KC64</f>
        <v>0</v>
      </c>
      <c r="KE64" s="1" t="n">
        <f aca="false">IF(CE64=1,MAX(0,(Slot7_Cost-KD64*(1+Slot7_Rate)^(Slot7_Age-D64))/KA64),0)</f>
        <v>0</v>
      </c>
      <c r="KF64" s="1" t="n">
        <f aca="false">IF(CE64=1,MAX(0,(Slot7_Cost-CF64*(1+Slot7_Rate)^(Slot7_Age-D64))/KA64),0)</f>
        <v>0</v>
      </c>
      <c r="KG64" s="1" t="n">
        <f aca="false">IF(AND(HT64=1,CE64=1),MIN(JZ64,KE64),0)</f>
        <v>0</v>
      </c>
      <c r="KH64" s="1" t="n">
        <f aca="false">JZ64-KG64</f>
        <v>0</v>
      </c>
      <c r="KI64" s="1" t="n">
        <f aca="false">IF(CO64=1,IF(ABS((1+AS_Wage)/(1+Slot8_Rate)-1)&lt;0.000000000001,(Slot8_Age-D64)*(1+Slot8_Rate)^(Slot8_Age-D64),(1+Slot8_Rate)^(Slot8_Age-D64)*(1-((1+AS_Wage)/(1+Slot8_Rate))^(Slot8_Age-D64))/(1-(1+AS_Wage)/(1+Slot8_Rate))),1)</f>
        <v>1</v>
      </c>
      <c r="KJ64" s="1" t="n">
        <f aca="false">IF(AND(HT64=1,ID64&gt;0,Slot8_IsWG=1,CO64=1),MAX(0,(Slot8_Cost-CP64*(1+Slot8_Rate)^(Slot8_Age-D64))/KI64),0)</f>
        <v>0</v>
      </c>
      <c r="KK64" s="1" t="n">
        <f aca="false">IF(AND(HT64=1,ID64&gt;0,Slot8_IsWG=1,CO64=1),MIN(ID64,KJ64),0)</f>
        <v>0</v>
      </c>
      <c r="KL64" s="1" t="n">
        <f aca="false">CP64+KK64</f>
        <v>0</v>
      </c>
      <c r="KM64" s="1" t="n">
        <f aca="false">IF(CO64=1,MAX(0,(Slot8_Cost-KL64*(1+Slot8_Rate)^(Slot8_Age-D64))/KI64),0)</f>
        <v>0</v>
      </c>
      <c r="KN64" s="1" t="n">
        <f aca="false">IF(CO64=1,MAX(0,(Slot8_Cost-CP64*(1+Slot8_Rate)^(Slot8_Age-D64))/KI64),0)</f>
        <v>0</v>
      </c>
      <c r="KO64" s="1" t="n">
        <f aca="false">IF(AND(HT64=1,CO64=1),MIN(KH64,KM64),0)</f>
        <v>0</v>
      </c>
      <c r="KP64" s="1" t="n">
        <f aca="false">KH64-KO64</f>
        <v>0</v>
      </c>
      <c r="KQ64" s="1" t="n">
        <f aca="false">IF(CY64=1,IF(ABS((1+AS_Wage)/(1+Slot9_Rate)-1)&lt;0.000000000001,(Slot9_Age-D64)*(1+Slot9_Rate)^(Slot9_Age-D64),(1+Slot9_Rate)^(Slot9_Age-D64)*(1-((1+AS_Wage)/(1+Slot9_Rate))^(Slot9_Age-D64))/(1-(1+AS_Wage)/(1+Slot9_Rate))),1)</f>
        <v>1</v>
      </c>
      <c r="KR64" s="1" t="n">
        <f aca="false">IF(AND(HT64=1,ID64&gt;0,Slot9_IsWG=1,CY64=1),MAX(0,(Slot9_Cost-CZ64*(1+Slot9_Rate)^(Slot9_Age-D64))/KQ64),0)</f>
        <v>0</v>
      </c>
      <c r="KS64" s="1" t="n">
        <f aca="false">IF(AND(HT64=1,ID64&gt;0,Slot9_IsWG=1,CY64=1),MIN(ID64,KR64),0)</f>
        <v>0</v>
      </c>
      <c r="KT64" s="1" t="n">
        <f aca="false">CZ64+KS64</f>
        <v>0</v>
      </c>
      <c r="KU64" s="1" t="n">
        <f aca="false">IF(CY64=1,MAX(0,(Slot9_Cost-KT64*(1+Slot9_Rate)^(Slot9_Age-D64))/KQ64),0)</f>
        <v>0</v>
      </c>
      <c r="KV64" s="1" t="n">
        <f aca="false">IF(CY64=1,MAX(0,(Slot9_Cost-CZ64*(1+Slot9_Rate)^(Slot9_Age-D64))/KQ64),0)</f>
        <v>0</v>
      </c>
      <c r="KW64" s="1" t="n">
        <f aca="false">IF(AND(HT64=1,CY64=1),MIN(KP64,KU64),0)</f>
        <v>0</v>
      </c>
      <c r="KX64" s="1" t="n">
        <f aca="false">KP64-KW64</f>
        <v>0</v>
      </c>
      <c r="KY64" s="1" t="n">
        <f aca="false">IF(DI64=1,IF(ABS((1+AS_Wage)/(1+Slot10_Rate)-1)&lt;0.000000000001,(Slot10_Age-D64)*(1+Slot10_Rate)^(Slot10_Age-D64),(1+Slot10_Rate)^(Slot10_Age-D64)*(1-((1+AS_Wage)/(1+Slot10_Rate))^(Slot10_Age-D64))/(1-(1+AS_Wage)/(1+Slot10_Rate))),1)</f>
        <v>1</v>
      </c>
      <c r="KZ64" s="1" t="n">
        <f aca="false">IF(AND(HT64=1,ID64&gt;0,Slot10_IsWG=1,DI64=1),MAX(0,(Slot10_Cost-DJ64*(1+Slot10_Rate)^(Slot10_Age-D64))/KY64),0)</f>
        <v>0</v>
      </c>
      <c r="LA64" s="1" t="n">
        <f aca="false">IF(AND(HT64=1,ID64&gt;0,Slot10_IsWG=1,DI64=1),MIN(ID64,KZ64),0)</f>
        <v>0</v>
      </c>
      <c r="LB64" s="1" t="n">
        <f aca="false">DJ64+LA64</f>
        <v>0</v>
      </c>
      <c r="LC64" s="1" t="n">
        <f aca="false">IF(DI64=1,MAX(0,(Slot10_Cost-LB64*(1+Slot10_Rate)^(Slot10_Age-D64))/KY64),0)</f>
        <v>0</v>
      </c>
      <c r="LD64" s="1" t="n">
        <f aca="false">IF(DI64=1,MAX(0,(Slot10_Cost-DJ64*(1+Slot10_Rate)^(Slot10_Age-D64))/KY64),0)</f>
        <v>0</v>
      </c>
      <c r="LE64" s="1" t="n">
        <f aca="false">IF(AND(HT64=1,DI64=1),MIN(KX64,LC64),0)</f>
        <v>0</v>
      </c>
      <c r="LF64" s="1" t="n">
        <f aca="false">KX64-LE64</f>
        <v>0</v>
      </c>
      <c r="LG64" s="1" t="n">
        <f aca="false">IF(DS64=1,IF(ABS((1+AS_Wage)/(1+Slot11_Rate)-1)&lt;0.000000000001,(Slot11_Age-D64)*(1+Slot11_Rate)^(Slot11_Age-D64),(1+Slot11_Rate)^(Slot11_Age-D64)*(1-((1+AS_Wage)/(1+Slot11_Rate))^(Slot11_Age-D64))/(1-(1+AS_Wage)/(1+Slot11_Rate))),1)</f>
        <v>1</v>
      </c>
      <c r="LH64" s="1" t="n">
        <f aca="false">IF(AND(HT64=1,ID64&gt;0,Slot11_IsWG=1,DS64=1),MAX(0,(Slot11_Cost-DT64*(1+Slot11_Rate)^(Slot11_Age-D64))/LG64),0)</f>
        <v>0</v>
      </c>
      <c r="LI64" s="1" t="n">
        <f aca="false">IF(AND(HT64=1,ID64&gt;0,Slot11_IsWG=1,DS64=1),MIN(ID64,LH64),0)</f>
        <v>0</v>
      </c>
      <c r="LJ64" s="1" t="n">
        <f aca="false">DT64+LI64</f>
        <v>0</v>
      </c>
      <c r="LK64" s="1" t="n">
        <f aca="false">IF(DS64=1,MAX(0,(Slot11_Cost-LJ64*(1+Slot11_Rate)^(Slot11_Age-D64))/LG64),0)</f>
        <v>0</v>
      </c>
      <c r="LL64" s="1" t="n">
        <f aca="false">IF(DS64=1,MAX(0,(Slot11_Cost-DT64*(1+Slot11_Rate)^(Slot11_Age-D64))/LG64),0)</f>
        <v>0</v>
      </c>
      <c r="LM64" s="1" t="n">
        <f aca="false">IF(AND(HT64=1,DS64=1),MIN(LF64,LK64),0)</f>
        <v>0</v>
      </c>
      <c r="LN64" s="1" t="n">
        <f aca="false">LF64-LM64</f>
        <v>0</v>
      </c>
      <c r="LO64" s="1" t="n">
        <f aca="false">IF(EC64=1,IF(ABS((1+AS_Wage)/(1+Slot12_Rate)-1)&lt;0.000000000001,(Slot12_Age-D64)*(1+Slot12_Rate)^(Slot12_Age-D64),(1+Slot12_Rate)^(Slot12_Age-D64)*(1-((1+AS_Wage)/(1+Slot12_Rate))^(Slot12_Age-D64))/(1-(1+AS_Wage)/(1+Slot12_Rate))),1)</f>
        <v>1</v>
      </c>
      <c r="LP64" s="1" t="n">
        <f aca="false">IF(AND(HT64=1,ID64&gt;0,Slot12_IsWG=1,EC64=1),MAX(0,(Slot12_Cost-ED64*(1+Slot12_Rate)^(Slot12_Age-D64))/LO64),0)</f>
        <v>0</v>
      </c>
      <c r="LQ64" s="1" t="n">
        <f aca="false">IF(AND(HT64=1,ID64&gt;0,Slot12_IsWG=1,EC64=1),MIN(ID64,LP64),0)</f>
        <v>0</v>
      </c>
      <c r="LR64" s="1" t="n">
        <f aca="false">ED64+LQ64</f>
        <v>0</v>
      </c>
      <c r="LS64" s="1" t="n">
        <f aca="false">IF(EC64=1,MAX(0,(Slot12_Cost-LR64*(1+Slot12_Rate)^(Slot12_Age-D64))/LO64),0)</f>
        <v>0</v>
      </c>
      <c r="LT64" s="1" t="n">
        <f aca="false">IF(EC64=1,MAX(0,(Slot12_Cost-ED64*(1+Slot12_Rate)^(Slot12_Age-D64))/LO64),0)</f>
        <v>0</v>
      </c>
      <c r="LU64" s="1" t="n">
        <f aca="false">IF(AND(HT64=1,EC64=1),MIN(LN64,LS64),0)</f>
        <v>0</v>
      </c>
      <c r="LV64" s="1" t="n">
        <f aca="false">LN64-LU64</f>
        <v>0</v>
      </c>
      <c r="LW64" s="1" t="n">
        <f aca="false">IF(EM64=1,IF(ABS((1+AS_Wage)/(1+Slot13_Rate)-1)&lt;0.000000000001,(Slot13_Age-D64)*(1+Slot13_Rate)^(Slot13_Age-D64),(1+Slot13_Rate)^(Slot13_Age-D64)*(1-((1+AS_Wage)/(1+Slot13_Rate))^(Slot13_Age-D64))/(1-(1+AS_Wage)/(1+Slot13_Rate))),1)</f>
        <v>1</v>
      </c>
      <c r="LX64" s="1" t="n">
        <f aca="false">IF(AND(HT64=1,ID64&gt;0,Slot13_IsWG=1,EM64=1),MAX(0,(Slot13_Cost-EN64*(1+Slot13_Rate)^(Slot13_Age-D64))/LW64),0)</f>
        <v>0</v>
      </c>
      <c r="LY64" s="1" t="n">
        <f aca="false">IF(AND(HT64=1,ID64&gt;0,Slot13_IsWG=1,EM64=1),MIN(ID64,LX64),0)</f>
        <v>0</v>
      </c>
      <c r="LZ64" s="1" t="n">
        <f aca="false">EN64+LY64</f>
        <v>0</v>
      </c>
      <c r="MA64" s="1" t="n">
        <f aca="false">IF(EM64=1,MAX(0,(Slot13_Cost-LZ64*(1+Slot13_Rate)^(Slot13_Age-D64))/LW64),0)</f>
        <v>0</v>
      </c>
      <c r="MB64" s="1" t="n">
        <f aca="false">IF(EM64=1,MAX(0,(Slot13_Cost-EN64*(1+Slot13_Rate)^(Slot13_Age-D64))/LW64),0)</f>
        <v>0</v>
      </c>
      <c r="MC64" s="1" t="n">
        <f aca="false">IF(AND(HT64=1,EM64=1),MIN(LV64,MA64),0)</f>
        <v>0</v>
      </c>
      <c r="MD64" s="1" t="n">
        <f aca="false">LV64-MC64</f>
        <v>0</v>
      </c>
      <c r="ME64" s="1" t="n">
        <f aca="false">IF(EW64=1,IF(ABS((1+AS_Wage)/(1+Slot14_Rate)-1)&lt;0.000000000001,(Slot14_Age-D64)*(1+Slot14_Rate)^(Slot14_Age-D64),(1+Slot14_Rate)^(Slot14_Age-D64)*(1-((1+AS_Wage)/(1+Slot14_Rate))^(Slot14_Age-D64))/(1-(1+AS_Wage)/(1+Slot14_Rate))),1)</f>
        <v>1</v>
      </c>
      <c r="MF64" s="1" t="n">
        <f aca="false">IF(AND(HT64=1,ID64&gt;0,Slot14_IsWG=1,EW64=1),MAX(0,(Slot14_Cost-EX64*(1+Slot14_Rate)^(Slot14_Age-D64))/ME64),0)</f>
        <v>0</v>
      </c>
      <c r="MG64" s="1" t="n">
        <f aca="false">IF(AND(HT64=1,ID64&gt;0,Slot14_IsWG=1,EW64=1),MIN(ID64,MF64),0)</f>
        <v>0</v>
      </c>
      <c r="MH64" s="1" t="n">
        <f aca="false">EX64+MG64</f>
        <v>0</v>
      </c>
      <c r="MI64" s="1" t="n">
        <f aca="false">IF(EW64=1,MAX(0,(Slot14_Cost-MH64*(1+Slot14_Rate)^(Slot14_Age-D64))/ME64),0)</f>
        <v>0</v>
      </c>
      <c r="MJ64" s="1" t="n">
        <f aca="false">IF(EW64=1,MAX(0,(Slot14_Cost-EX64*(1+Slot14_Rate)^(Slot14_Age-D64))/ME64),0)</f>
        <v>0</v>
      </c>
      <c r="MK64" s="1" t="n">
        <f aca="false">IF(AND(HT64=1,EW64=1),MIN(MD64,MI64),0)</f>
        <v>0</v>
      </c>
      <c r="ML64" s="1" t="n">
        <f aca="false">MD64-MK64</f>
        <v>0</v>
      </c>
      <c r="MM64" s="1" t="n">
        <f aca="false">IF(FG64=1,IF(ABS((1+AS_Wage)/(1+Slot15_Rate)-1)&lt;0.000000000001,(Slot15_Age-D64)*(1+Slot15_Rate)^(Slot15_Age-D64),(1+Slot15_Rate)^(Slot15_Age-D64)*(1-((1+AS_Wage)/(1+Slot15_Rate))^(Slot15_Age-D64))/(1-(1+AS_Wage)/(1+Slot15_Rate))),1)</f>
        <v>1</v>
      </c>
      <c r="MN64" s="1" t="n">
        <f aca="false">IF(AND(HT64=1,ID64&gt;0,Slot15_IsWG=1,FG64=1),MAX(0,(Slot15_Cost-FH64*(1+Slot15_Rate)^(Slot15_Age-D64))/MM64),0)</f>
        <v>0</v>
      </c>
      <c r="MO64" s="1" t="n">
        <f aca="false">IF(AND(HT64=1,ID64&gt;0,Slot15_IsWG=1,FG64=1),MIN(ID64,MN64),0)</f>
        <v>0</v>
      </c>
      <c r="MP64" s="1" t="n">
        <f aca="false">FH64+MO64</f>
        <v>0</v>
      </c>
      <c r="MQ64" s="1" t="n">
        <f aca="false">IF(FG64=1,MAX(0,(Slot15_Cost-MP64*(1+Slot15_Rate)^(Slot15_Age-D64))/MM64),0)</f>
        <v>0</v>
      </c>
      <c r="MR64" s="1" t="n">
        <f aca="false">IF(FG64=1,MAX(0,(Slot15_Cost-FH64*(1+Slot15_Rate)^(Slot15_Age-D64))/MM64),0)</f>
        <v>0</v>
      </c>
      <c r="MS64" s="1" t="n">
        <f aca="false">IF(AND(HT64=1,FG64=1),MIN(ML64,MQ64),0)</f>
        <v>0</v>
      </c>
      <c r="MT64" s="1" t="n">
        <f aca="false">ML64-MS64</f>
        <v>0</v>
      </c>
      <c r="MU64" s="1" t="n">
        <f aca="false">IF(FQ64=1,IF(ABS((1+AS_Wage)/(1+Slot16_Rate)-1)&lt;0.000000000001,(Slot16_Age-D64)*(1+Slot16_Rate)^(Slot16_Age-D64),(1+Slot16_Rate)^(Slot16_Age-D64)*(1-((1+AS_Wage)/(1+Slot16_Rate))^(Slot16_Age-D64))/(1-(1+AS_Wage)/(1+Slot16_Rate))),1)</f>
        <v>1</v>
      </c>
      <c r="MV64" s="1" t="n">
        <f aca="false">IF(AND(HT64=1,ID64&gt;0,Slot16_IsWG=1,FQ64=1),MAX(0,(Slot16_Cost-FR64*(1+Slot16_Rate)^(Slot16_Age-D64))/MU64),0)</f>
        <v>0</v>
      </c>
      <c r="MW64" s="1" t="n">
        <f aca="false">IF(AND(HT64=1,ID64&gt;0,Slot16_IsWG=1,FQ64=1),MIN(ID64,MV64),0)</f>
        <v>0</v>
      </c>
      <c r="MX64" s="1" t="n">
        <f aca="false">FR64+MW64</f>
        <v>0</v>
      </c>
      <c r="MY64" s="1" t="n">
        <f aca="false">IF(FQ64=1,MAX(0,(Slot16_Cost-MX64*(1+Slot16_Rate)^(Slot16_Age-D64))/MU64),0)</f>
        <v>0</v>
      </c>
      <c r="MZ64" s="1" t="n">
        <f aca="false">IF(FQ64=1,MAX(0,(Slot16_Cost-FR64*(1+Slot16_Rate)^(Slot16_Age-D64))/MU64),0)</f>
        <v>0</v>
      </c>
      <c r="NA64" s="1" t="n">
        <f aca="false">IF(AND(HT64=1,FQ64=1),MIN(MT64,MY64),0)</f>
        <v>0</v>
      </c>
      <c r="NB64" s="1" t="n">
        <f aca="false">MT64-NA64</f>
        <v>0</v>
      </c>
      <c r="NC64" s="1" t="n">
        <f aca="false">IF(GA64=1,IF(ABS((1+AS_Wage)/(1+Slot17_Rate)-1)&lt;0.000000000001,(Slot17_Age-D64)*(1+Slot17_Rate)^(Slot17_Age-D64),(1+Slot17_Rate)^(Slot17_Age-D64)*(1-((1+AS_Wage)/(1+Slot17_Rate))^(Slot17_Age-D64))/(1-(1+AS_Wage)/(1+Slot17_Rate))),1)</f>
        <v>1</v>
      </c>
      <c r="ND64" s="1" t="n">
        <f aca="false">IF(AND(HT64=1,ID64&gt;0,Slot17_IsWG=1,GA64=1),MAX(0,(Slot17_Cost-GB64*(1+Slot17_Rate)^(Slot17_Age-D64))/NC64),0)</f>
        <v>0</v>
      </c>
      <c r="NE64" s="1" t="n">
        <f aca="false">IF(AND(HT64=1,ID64&gt;0,Slot17_IsWG=1,GA64=1),MIN(ID64,ND64),0)</f>
        <v>0</v>
      </c>
      <c r="NF64" s="1" t="n">
        <f aca="false">GB64+NE64</f>
        <v>0</v>
      </c>
      <c r="NG64" s="1" t="n">
        <f aca="false">IF(GA64=1,MAX(0,(Slot17_Cost-NF64*(1+Slot17_Rate)^(Slot17_Age-D64))/NC64),0)</f>
        <v>0</v>
      </c>
      <c r="NH64" s="1" t="n">
        <f aca="false">IF(GA64=1,MAX(0,(Slot17_Cost-GB64*(1+Slot17_Rate)^(Slot17_Age-D64))/NC64),0)</f>
        <v>0</v>
      </c>
      <c r="NI64" s="1" t="n">
        <f aca="false">IF(AND(HT64=1,GA64=1),MIN(NB64,NG64),0)</f>
        <v>0</v>
      </c>
      <c r="NJ64" s="1" t="n">
        <f aca="false">NB64-NI64</f>
        <v>0</v>
      </c>
      <c r="NK64" s="1" t="n">
        <f aca="false">IF(GK64=1,IF(ABS((1+AS_Wage)/(1+Slot18_Rate)-1)&lt;0.000000000001,(Slot18_Age-D64)*(1+Slot18_Rate)^(Slot18_Age-D64),(1+Slot18_Rate)^(Slot18_Age-D64)*(1-((1+AS_Wage)/(1+Slot18_Rate))^(Slot18_Age-D64))/(1-(1+AS_Wage)/(1+Slot18_Rate))),1)</f>
        <v>1</v>
      </c>
      <c r="NL64" s="1" t="n">
        <f aca="false">IF(AND(HT64=1,ID64&gt;0,Slot18_IsWG=1,GK64=1),MAX(0,(Slot18_Cost-GL64*(1+Slot18_Rate)^(Slot18_Age-D64))/NK64),0)</f>
        <v>0</v>
      </c>
      <c r="NM64" s="1" t="n">
        <f aca="false">IF(AND(HT64=1,ID64&gt;0,Slot18_IsWG=1,GK64=1),MIN(ID64,NL64),0)</f>
        <v>0</v>
      </c>
      <c r="NN64" s="1" t="n">
        <f aca="false">GL64+NM64</f>
        <v>0</v>
      </c>
      <c r="NO64" s="1" t="n">
        <f aca="false">IF(GK64=1,MAX(0,(Slot18_Cost-NN64*(1+Slot18_Rate)^(Slot18_Age-D64))/NK64),0)</f>
        <v>0</v>
      </c>
      <c r="NP64" s="1" t="n">
        <f aca="false">IF(GK64=1,MAX(0,(Slot18_Cost-GL64*(1+Slot18_Rate)^(Slot18_Age-D64))/NK64),0)</f>
        <v>0</v>
      </c>
      <c r="NQ64" s="1" t="n">
        <f aca="false">IF(AND(HT64=1,GK64=1),MIN(NJ64,NO64),0)</f>
        <v>0</v>
      </c>
      <c r="NR64" s="1" t="n">
        <f aca="false">NJ64-NQ64</f>
        <v>0</v>
      </c>
      <c r="NS64" s="1" t="n">
        <f aca="false">IF(GU64=1,IF(ABS((1+AS_Wage)/(1+Slot19_Rate)-1)&lt;0.000000000001,(Slot19_Age-D64)*(1+Slot19_Rate)^(Slot19_Age-D64),(1+Slot19_Rate)^(Slot19_Age-D64)*(1-((1+AS_Wage)/(1+Slot19_Rate))^(Slot19_Age-D64))/(1-(1+AS_Wage)/(1+Slot19_Rate))),1)</f>
        <v>1</v>
      </c>
      <c r="NT64" s="1" t="n">
        <f aca="false">IF(AND(HT64=1,ID64&gt;0,Slot19_IsWG=1,GU64=1),MAX(0,(Slot19_Cost-GV64*(1+Slot19_Rate)^(Slot19_Age-D64))/NS64),0)</f>
        <v>0</v>
      </c>
      <c r="NU64" s="1" t="n">
        <f aca="false">IF(AND(HT64=1,ID64&gt;0,Slot19_IsWG=1,GU64=1),MIN(ID64,NT64),0)</f>
        <v>0</v>
      </c>
      <c r="NV64" s="1" t="n">
        <f aca="false">GV64+NU64</f>
        <v>0</v>
      </c>
      <c r="NW64" s="1" t="n">
        <f aca="false">IF(GU64=1,MAX(0,(Slot19_Cost-NV64*(1+Slot19_Rate)^(Slot19_Age-D64))/NS64),0)</f>
        <v>0</v>
      </c>
      <c r="NX64" s="1" t="n">
        <f aca="false">IF(GU64=1,MAX(0,(Slot19_Cost-GV64*(1+Slot19_Rate)^(Slot19_Age-D64))/NS64),0)</f>
        <v>0</v>
      </c>
      <c r="NY64" s="1" t="n">
        <f aca="false">IF(AND(HT64=1,GU64=1),MIN(NR64,NW64),0)</f>
        <v>0</v>
      </c>
      <c r="NZ64" s="1" t="n">
        <f aca="false">NR64-NY64</f>
        <v>0</v>
      </c>
      <c r="OA64" s="1" t="n">
        <f aca="false">IF(HE64=1,IF(ABS((1+AS_Wage)/(1+Slot20_Rate)-1)&lt;0.000000000001,(Slot20_Age-D64)*(1+Slot20_Rate)^(Slot20_Age-D64),(1+Slot20_Rate)^(Slot20_Age-D64)*(1-((1+AS_Wage)/(1+Slot20_Rate))^(Slot20_Age-D64))/(1-(1+AS_Wage)/(1+Slot20_Rate))),1)</f>
        <v>1</v>
      </c>
      <c r="OB64" s="1" t="n">
        <f aca="false">IF(AND(HT64=1,ID64&gt;0,Slot20_IsWG=1,HE64=1),MAX(0,(Slot20_Cost-HF64*(1+Slot20_Rate)^(Slot20_Age-D64))/OA64),0)</f>
        <v>0</v>
      </c>
      <c r="OC64" s="1" t="n">
        <f aca="false">IF(AND(HT64=1,ID64&gt;0,Slot20_IsWG=1,HE64=1),MIN(ID64,OB64),0)</f>
        <v>0</v>
      </c>
      <c r="OD64" s="1" t="n">
        <f aca="false">HF64+OC64</f>
        <v>0</v>
      </c>
      <c r="OE64" s="1" t="n">
        <f aca="false">IF(HE64=1,MAX(0,(Slot20_Cost-OD64*(1+Slot20_Rate)^(Slot20_Age-D64))/OA64),0)</f>
        <v>0</v>
      </c>
      <c r="OF64" s="1" t="n">
        <f aca="false">IF(HE64=1,MAX(0,(Slot20_Cost-HF64*(1+Slot20_Rate)^(Slot20_Age-D64))/OA64),0)</f>
        <v>0</v>
      </c>
      <c r="OG64" s="1" t="n">
        <f aca="false">IF(AND(HT64=1,HE64=1),MIN(NZ64,OE64),0)</f>
        <v>0</v>
      </c>
      <c r="OH64" s="1" t="n">
        <f aca="false">NZ64-OG64</f>
        <v>0</v>
      </c>
      <c r="OI64" s="1" t="n">
        <f aca="false">ID64-(IG64+IO64+IW64+JE64+JM64+JU64+KC64+KK64+KS64+LA64+LI64+LQ64+LY64+MG64+MO64+MW64+NE64+NM64+NU64+OC64)</f>
        <v>0</v>
      </c>
      <c r="OJ64" s="1" t="n">
        <f aca="false">IF(HT64=1,HR64-IC64-ID64,0)</f>
        <v>0</v>
      </c>
      <c r="OK64" s="1" t="n">
        <f aca="false">IF(HT64=0,-HR64,0)</f>
        <v>0</v>
      </c>
      <c r="OL64" s="1" t="n">
        <f aca="false">MIN(OK64,HJ64)</f>
        <v>0</v>
      </c>
      <c r="OM64" s="1" t="n">
        <f aca="false">OK64-OL64</f>
        <v>0</v>
      </c>
      <c r="ON64" s="1" t="n">
        <f aca="false">MIN(OM64,HK64)</f>
        <v>0</v>
      </c>
      <c r="OO64" s="1" t="n">
        <f aca="false">OM64-ON64</f>
        <v>0</v>
      </c>
      <c r="OP64" s="1" t="n">
        <f aca="false">IF(AND(HT64=0,HE64=1,OO64&gt;0),MIN(OO64,HF64),0)</f>
        <v>0</v>
      </c>
      <c r="OQ64" s="1" t="n">
        <f aca="false">OO64-OP64</f>
        <v>0</v>
      </c>
      <c r="OR64" s="1" t="n">
        <f aca="false">IF(AND(HT64=0,GU64=1,OQ64&gt;0),MIN(OQ64,GV64),0)</f>
        <v>0</v>
      </c>
      <c r="OS64" s="1" t="n">
        <f aca="false">OQ64-OR64</f>
        <v>0</v>
      </c>
      <c r="OT64" s="1" t="n">
        <f aca="false">IF(AND(HT64=0,GK64=1,OS64&gt;0),MIN(OS64,GL64),0)</f>
        <v>0</v>
      </c>
      <c r="OU64" s="1" t="n">
        <f aca="false">OS64-OT64</f>
        <v>0</v>
      </c>
      <c r="OV64" s="1" t="n">
        <f aca="false">IF(AND(HT64=0,GA64=1,OU64&gt;0),MIN(OU64,GB64),0)</f>
        <v>0</v>
      </c>
      <c r="OW64" s="1" t="n">
        <f aca="false">OU64-OV64</f>
        <v>0</v>
      </c>
      <c r="OX64" s="1" t="n">
        <f aca="false">IF(AND(HT64=0,FQ64=1,OW64&gt;0),MIN(OW64,FR64),0)</f>
        <v>0</v>
      </c>
      <c r="OY64" s="1" t="n">
        <f aca="false">OW64-OX64</f>
        <v>0</v>
      </c>
      <c r="OZ64" s="1" t="n">
        <f aca="false">IF(AND(HT64=0,FG64=1,OY64&gt;0),MIN(OY64,FH64),0)</f>
        <v>0</v>
      </c>
      <c r="PA64" s="1" t="n">
        <f aca="false">OY64-OZ64</f>
        <v>0</v>
      </c>
      <c r="PB64" s="1" t="n">
        <f aca="false">IF(AND(HT64=0,EW64=1,PA64&gt;0),MIN(PA64,EX64),0)</f>
        <v>0</v>
      </c>
      <c r="PC64" s="1" t="n">
        <f aca="false">PA64-PB64</f>
        <v>0</v>
      </c>
      <c r="PD64" s="1" t="n">
        <f aca="false">IF(AND(HT64=0,EM64=1,PC64&gt;0),MIN(PC64,EN64),0)</f>
        <v>0</v>
      </c>
      <c r="PE64" s="1" t="n">
        <f aca="false">PC64-PD64</f>
        <v>0</v>
      </c>
      <c r="PF64" s="1" t="n">
        <f aca="false">IF(AND(HT64=0,EC64=1,PE64&gt;0),MIN(PE64,ED64),0)</f>
        <v>0</v>
      </c>
      <c r="PG64" s="1" t="n">
        <f aca="false">PE64-PF64</f>
        <v>0</v>
      </c>
      <c r="PH64" s="1" t="n">
        <f aca="false">IF(AND(HT64=0,DS64=1,PG64&gt;0),MIN(PG64,DT64),0)</f>
        <v>0</v>
      </c>
      <c r="PI64" s="1" t="n">
        <f aca="false">PG64-PH64</f>
        <v>0</v>
      </c>
      <c r="PJ64" s="1" t="n">
        <f aca="false">IF(AND(HT64=0,DI64=1,PI64&gt;0),MIN(PI64,DJ64),0)</f>
        <v>0</v>
      </c>
      <c r="PK64" s="1" t="n">
        <f aca="false">PI64-PJ64</f>
        <v>0</v>
      </c>
      <c r="PL64" s="1" t="n">
        <f aca="false">IF(AND(HT64=0,CY64=1,PK64&gt;0),MIN(PK64,CZ64),0)</f>
        <v>0</v>
      </c>
      <c r="PM64" s="1" t="n">
        <f aca="false">PK64-PL64</f>
        <v>0</v>
      </c>
      <c r="PN64" s="1" t="n">
        <f aca="false">IF(AND(HT64=0,CO64=1,PM64&gt;0),MIN(PM64,CP64),0)</f>
        <v>0</v>
      </c>
      <c r="PO64" s="1" t="n">
        <f aca="false">PM64-PN64</f>
        <v>0</v>
      </c>
      <c r="PP64" s="1" t="n">
        <f aca="false">IF(AND(HT64=0,CE64=1,PO64&gt;0),MIN(PO64,CF64),0)</f>
        <v>0</v>
      </c>
      <c r="PQ64" s="1" t="n">
        <f aca="false">PO64-PP64</f>
        <v>0</v>
      </c>
      <c r="PR64" s="1" t="n">
        <f aca="false">IF(AND(HT64=0,BU64=1,PQ64&gt;0),MIN(PQ64,BV64),0)</f>
        <v>0</v>
      </c>
      <c r="PS64" s="1" t="n">
        <f aca="false">PQ64-PR64</f>
        <v>0</v>
      </c>
      <c r="PT64" s="1" t="n">
        <f aca="false">IF(AND(HT64=0,BK64=1,PS64&gt;0),MIN(PS64,BL64),0)</f>
        <v>0</v>
      </c>
      <c r="PU64" s="1" t="n">
        <f aca="false">PS64-PT64</f>
        <v>0</v>
      </c>
      <c r="PV64" s="1" t="n">
        <f aca="false">IF(AND(HT64=0,BA64=1,PU64&gt;0),MIN(PU64,BB64),0)</f>
        <v>0</v>
      </c>
      <c r="PW64" s="1" t="n">
        <f aca="false">PU64-PV64</f>
        <v>0</v>
      </c>
      <c r="PX64" s="1" t="n">
        <f aca="false">IF(AND(HT64=0,AQ64=1,PW64&gt;0),MIN(PW64,AR64),0)</f>
        <v>0</v>
      </c>
      <c r="PY64" s="1" t="n">
        <f aca="false">PW64-PX64</f>
        <v>0</v>
      </c>
      <c r="PZ64" s="1" t="n">
        <f aca="false">IF(AND(HT64=0,AG64=1,PY64&gt;0),MIN(PY64,AH64),0)</f>
        <v>0</v>
      </c>
      <c r="QA64" s="1" t="n">
        <f aca="false">PY64-PZ64</f>
        <v>0</v>
      </c>
      <c r="QB64" s="1" t="n">
        <f aca="false">IF(AND(HT64=0,V64=1,QA64&gt;0),MIN(QA64,W64),0)</f>
        <v>0</v>
      </c>
      <c r="QC64" s="1" t="n">
        <f aca="false">QA64-QB64</f>
        <v>0</v>
      </c>
      <c r="QD64" s="1" t="n">
        <f aca="false">IF(HT64=0,QC64,0)</f>
        <v>0</v>
      </c>
      <c r="QE64" s="1" t="n">
        <f aca="false">OL64+ON64+QB64+PZ64+PX64+PV64+PT64+PR64+PP64+PN64+PL64+PJ64+PH64+PF64+PD64+PB64+OZ64+OX64+OV64+OT64+OR64+OP64</f>
        <v>0</v>
      </c>
      <c r="QF64" s="1" t="n">
        <f aca="false">IF(HT64=1,HJ64+OI64+OH64+IF(F64=1,0,OJ64),HJ64-OL64)</f>
        <v>0</v>
      </c>
      <c r="QG64" s="1" t="n">
        <f aca="false">HK64-ON64</f>
        <v>0</v>
      </c>
      <c r="QH64" s="1" t="n">
        <f aca="false">IF(HT64=1,IF(F64=1,IC64+ID64,HR64),0)</f>
        <v>0</v>
      </c>
      <c r="QI64" s="1" t="n">
        <f aca="false">IF(HT64=1,IF(F64=1,HR64-IC64-ID64,0),0)</f>
        <v>0</v>
      </c>
      <c r="QJ64" s="1" t="n">
        <f aca="false">QF64*(1+GR)</f>
        <v>0</v>
      </c>
      <c r="QK64" s="1" t="n">
        <f aca="false">QG64*(1+AS_Cash)</f>
        <v>0</v>
      </c>
      <c r="QL64" s="1" t="n">
        <f aca="false">IF(V64=1,IF(HT64=1,IH64+IK64,W64-QB64)*(1+Slot1_Rate),0)</f>
        <v>0</v>
      </c>
      <c r="QM64" s="1" t="n">
        <f aca="false">IF(AND(HT64=1,V64=1),(IG64+IK64)/E64,0)</f>
        <v>0</v>
      </c>
      <c r="QN64" s="1" t="n">
        <f aca="false">IF(B64=0,IG64+IK64,0)</f>
        <v>0</v>
      </c>
      <c r="QO64" s="1" t="n">
        <f aca="false">IF(B64=0,IF(HT64=1,II64,IJ64),0)</f>
        <v>0</v>
      </c>
      <c r="QP64" s="1" t="n">
        <f aca="false">IF(AG64=1,IF(HT64=1,IP64+IS64,AH64-PZ64)*(1+Slot2_Rate),0)</f>
        <v>0</v>
      </c>
      <c r="QQ64" s="1" t="n">
        <f aca="false">IF(AND(HT64=1,AG64=1),(IO64+IS64)/E64,0)</f>
        <v>0</v>
      </c>
      <c r="QR64" s="1" t="n">
        <f aca="false">IF(B64=0,IO64+IS64,0)</f>
        <v>0</v>
      </c>
      <c r="QS64" s="1" t="n">
        <f aca="false">IF(B64=0,IF(HT64=1,IQ64,IR64),0)</f>
        <v>0</v>
      </c>
      <c r="QT64" s="1" t="n">
        <f aca="false">IF(AQ64=1,IF(HT64=1,IX64+JA64,AR64-PX64)*(1+Slot3_Rate),0)</f>
        <v>0</v>
      </c>
      <c r="QU64" s="1" t="n">
        <f aca="false">IF(AND(HT64=1,AQ64=1),(IW64+JA64)/E64,0)</f>
        <v>0</v>
      </c>
      <c r="QV64" s="1" t="n">
        <f aca="false">IF(B64=0,IW64+JA64,0)</f>
        <v>0</v>
      </c>
      <c r="QW64" s="1" t="n">
        <f aca="false">IF(B64=0,IF(HT64=1,IY64,IZ64),0)</f>
        <v>0</v>
      </c>
      <c r="QX64" s="1" t="n">
        <f aca="false">IF(BA64=1,IF(HT64=1,JF64+JI64,BB64-PV64)*(1+Slot4_Rate),0)</f>
        <v>0</v>
      </c>
      <c r="QY64" s="1" t="n">
        <f aca="false">IF(AND(HT64=1,BA64=1),(JE64+JI64)/E64,0)</f>
        <v>0</v>
      </c>
      <c r="QZ64" s="1" t="n">
        <f aca="false">IF(B64=0,JE64+JI64,0)</f>
        <v>0</v>
      </c>
      <c r="RA64" s="1" t="n">
        <f aca="false">IF(B64=0,IF(HT64=1,JG64,JH64),0)</f>
        <v>0</v>
      </c>
      <c r="RB64" s="1" t="n">
        <f aca="false">IF(BK64=1,IF(HT64=1,JN64+JQ64,BL64-PT64)*(1+Slot5_Rate),0)</f>
        <v>0</v>
      </c>
      <c r="RC64" s="1" t="n">
        <f aca="false">IF(AND(HT64=1,BK64=1),(JM64+JQ64)/E64,0)</f>
        <v>0</v>
      </c>
      <c r="RD64" s="1" t="n">
        <f aca="false">IF(B64=0,JM64+JQ64,0)</f>
        <v>0</v>
      </c>
      <c r="RE64" s="1" t="n">
        <f aca="false">IF(B64=0,IF(HT64=1,JO64,JP64),0)</f>
        <v>0</v>
      </c>
      <c r="RF64" s="1" t="n">
        <f aca="false">IF(BU64=1,IF(HT64=1,JV64+JY64,BV64-PR64)*(1+Slot6_Rate),0)</f>
        <v>0</v>
      </c>
      <c r="RG64" s="1" t="n">
        <f aca="false">IF(AND(HT64=1,BU64=1),(JU64+JY64)/E64,0)</f>
        <v>0</v>
      </c>
      <c r="RH64" s="1" t="n">
        <f aca="false">IF(B64=0,JU64+JY64,0)</f>
        <v>0</v>
      </c>
      <c r="RI64" s="1" t="n">
        <f aca="false">IF(B64=0,IF(HT64=1,JW64,JX64),0)</f>
        <v>0</v>
      </c>
      <c r="RJ64" s="1" t="n">
        <f aca="false">IF(CE64=1,IF(HT64=1,KD64+KG64,CF64-PP64)*(1+Slot7_Rate),0)</f>
        <v>0</v>
      </c>
      <c r="RK64" s="1" t="n">
        <f aca="false">IF(AND(HT64=1,CE64=1),(KC64+KG64)/E64,0)</f>
        <v>0</v>
      </c>
      <c r="RL64" s="1" t="n">
        <f aca="false">IF(B64=0,KC64+KG64,0)</f>
        <v>0</v>
      </c>
      <c r="RM64" s="1" t="n">
        <f aca="false">IF(B64=0,IF(HT64=1,KE64,KF64),0)</f>
        <v>0</v>
      </c>
      <c r="RN64" s="1" t="n">
        <f aca="false">IF(CO64=1,IF(HT64=1,KL64+KO64,CP64-PN64)*(1+Slot8_Rate),0)</f>
        <v>0</v>
      </c>
      <c r="RO64" s="1" t="n">
        <f aca="false">IF(AND(HT64=1,CO64=1),(KK64+KO64)/E64,0)</f>
        <v>0</v>
      </c>
      <c r="RP64" s="1" t="n">
        <f aca="false">IF(B64=0,KK64+KO64,0)</f>
        <v>0</v>
      </c>
      <c r="RQ64" s="1" t="n">
        <f aca="false">IF(B64=0,IF(HT64=1,KM64,KN64),0)</f>
        <v>0</v>
      </c>
      <c r="RR64" s="1" t="n">
        <f aca="false">IF(CY64=1,IF(HT64=1,KT64+KW64,CZ64-PL64)*(1+Slot9_Rate),0)</f>
        <v>0</v>
      </c>
      <c r="RS64" s="1" t="n">
        <f aca="false">IF(AND(HT64=1,CY64=1),(KS64+KW64)/E64,0)</f>
        <v>0</v>
      </c>
      <c r="RT64" s="1" t="n">
        <f aca="false">IF(B64=0,KS64+KW64,0)</f>
        <v>0</v>
      </c>
      <c r="RU64" s="1" t="n">
        <f aca="false">IF(B64=0,IF(HT64=1,KU64,KV64),0)</f>
        <v>0</v>
      </c>
      <c r="RV64" s="1" t="n">
        <f aca="false">IF(DI64=1,IF(HT64=1,LB64+LE64,DJ64-PJ64)*(1+Slot10_Rate),0)</f>
        <v>0</v>
      </c>
      <c r="RW64" s="1" t="n">
        <f aca="false">IF(AND(HT64=1,DI64=1),(LA64+LE64)/E64,0)</f>
        <v>0</v>
      </c>
      <c r="RX64" s="1" t="n">
        <f aca="false">IF(B64=0,LA64+LE64,0)</f>
        <v>0</v>
      </c>
      <c r="RY64" s="1" t="n">
        <f aca="false">IF(B64=0,IF(HT64=1,LC64,LD64),0)</f>
        <v>0</v>
      </c>
      <c r="RZ64" s="1" t="n">
        <f aca="false">IF(DS64=1,IF(HT64=1,LJ64+LM64,DT64-PH64)*(1+Slot11_Rate),0)</f>
        <v>0</v>
      </c>
      <c r="SA64" s="1" t="n">
        <f aca="false">IF(AND(HT64=1,DS64=1),(LI64+LM64)/E64,0)</f>
        <v>0</v>
      </c>
      <c r="SB64" s="1" t="n">
        <f aca="false">IF(B64=0,LI64+LM64,0)</f>
        <v>0</v>
      </c>
      <c r="SC64" s="1" t="n">
        <f aca="false">IF(B64=0,IF(HT64=1,LK64,LL64),0)</f>
        <v>0</v>
      </c>
      <c r="SD64" s="1" t="n">
        <f aca="false">IF(EC64=1,IF(HT64=1,LR64+LU64,ED64-PF64)*(1+Slot12_Rate),0)</f>
        <v>0</v>
      </c>
      <c r="SE64" s="1" t="n">
        <f aca="false">IF(AND(HT64=1,EC64=1),(LQ64+LU64)/E64,0)</f>
        <v>0</v>
      </c>
      <c r="SF64" s="1" t="n">
        <f aca="false">IF(B64=0,LQ64+LU64,0)</f>
        <v>0</v>
      </c>
      <c r="SG64" s="1" t="n">
        <f aca="false">IF(B64=0,IF(HT64=1,LS64,LT64),0)</f>
        <v>0</v>
      </c>
      <c r="SH64" s="1" t="n">
        <f aca="false">IF(EM64=1,IF(HT64=1,LZ64+MC64,EN64-PD64)*(1+Slot13_Rate),0)</f>
        <v>0</v>
      </c>
      <c r="SI64" s="1" t="n">
        <f aca="false">IF(AND(HT64=1,EM64=1),(LY64+MC64)/E64,0)</f>
        <v>0</v>
      </c>
      <c r="SJ64" s="1" t="n">
        <f aca="false">IF(B64=0,LY64+MC64,0)</f>
        <v>0</v>
      </c>
      <c r="SK64" s="1" t="n">
        <f aca="false">IF(B64=0,IF(HT64=1,MA64,MB64),0)</f>
        <v>0</v>
      </c>
      <c r="SL64" s="1" t="n">
        <f aca="false">IF(EW64=1,IF(HT64=1,MH64+MK64,EX64-PB64)*(1+Slot14_Rate),0)</f>
        <v>0</v>
      </c>
      <c r="SM64" s="1" t="n">
        <f aca="false">IF(AND(HT64=1,EW64=1),(MG64+MK64)/E64,0)</f>
        <v>0</v>
      </c>
      <c r="SN64" s="1" t="n">
        <f aca="false">IF(B64=0,MG64+MK64,0)</f>
        <v>0</v>
      </c>
      <c r="SO64" s="1" t="n">
        <f aca="false">IF(B64=0,IF(HT64=1,MI64,MJ64),0)</f>
        <v>0</v>
      </c>
      <c r="SP64" s="1" t="n">
        <f aca="false">IF(FG64=1,IF(HT64=1,MP64+MS64,FH64-OZ64)*(1+Slot15_Rate),0)</f>
        <v>0</v>
      </c>
      <c r="SQ64" s="1" t="n">
        <f aca="false">IF(AND(HT64=1,FG64=1),(MO64+MS64)/E64,0)</f>
        <v>0</v>
      </c>
      <c r="SR64" s="1" t="n">
        <f aca="false">IF(B64=0,MO64+MS64,0)</f>
        <v>0</v>
      </c>
      <c r="SS64" s="1" t="n">
        <f aca="false">IF(B64=0,IF(HT64=1,MQ64,MR64),0)</f>
        <v>0</v>
      </c>
      <c r="ST64" s="1" t="n">
        <f aca="false">IF(FQ64=1,IF(HT64=1,MX64+NA64,FR64-OX64)*(1+Slot16_Rate),0)</f>
        <v>0</v>
      </c>
      <c r="SU64" s="1" t="n">
        <f aca="false">IF(AND(HT64=1,FQ64=1),(MW64+NA64)/E64,0)</f>
        <v>0</v>
      </c>
      <c r="SV64" s="1" t="n">
        <f aca="false">IF(B64=0,MW64+NA64,0)</f>
        <v>0</v>
      </c>
      <c r="SW64" s="1" t="n">
        <f aca="false">IF(B64=0,IF(HT64=1,MY64,MZ64),0)</f>
        <v>0</v>
      </c>
      <c r="SX64" s="1" t="n">
        <f aca="false">IF(GA64=1,IF(HT64=1,NF64+NI64,GB64-OV64)*(1+Slot17_Rate),0)</f>
        <v>0</v>
      </c>
      <c r="SY64" s="1" t="n">
        <f aca="false">IF(AND(HT64=1,GA64=1),(NE64+NI64)/E64,0)</f>
        <v>0</v>
      </c>
      <c r="SZ64" s="1" t="n">
        <f aca="false">IF(B64=0,NE64+NI64,0)</f>
        <v>0</v>
      </c>
      <c r="TA64" s="1" t="n">
        <f aca="false">IF(B64=0,IF(HT64=1,NG64,NH64),0)</f>
        <v>0</v>
      </c>
      <c r="TB64" s="1" t="n">
        <f aca="false">IF(GK64=1,IF(HT64=1,NN64+NQ64,GL64-OT64)*(1+Slot18_Rate),0)</f>
        <v>0</v>
      </c>
      <c r="TC64" s="1" t="n">
        <f aca="false">IF(AND(HT64=1,GK64=1),(NM64+NQ64)/E64,0)</f>
        <v>0</v>
      </c>
      <c r="TD64" s="1" t="n">
        <f aca="false">IF(B64=0,NM64+NQ64,0)</f>
        <v>0</v>
      </c>
      <c r="TE64" s="1" t="n">
        <f aca="false">IF(B64=0,IF(HT64=1,NO64,NP64),0)</f>
        <v>0</v>
      </c>
      <c r="TF64" s="1" t="n">
        <f aca="false">IF(GU64=1,IF(HT64=1,NV64+NY64,GV64-OR64)*(1+Slot19_Rate),0)</f>
        <v>0</v>
      </c>
      <c r="TG64" s="1" t="n">
        <f aca="false">IF(AND(HT64=1,GU64=1),(NU64+NY64)/E64,0)</f>
        <v>0</v>
      </c>
      <c r="TH64" s="1" t="n">
        <f aca="false">IF(B64=0,NU64+NY64,0)</f>
        <v>0</v>
      </c>
      <c r="TI64" s="1" t="n">
        <f aca="false">IF(B64=0,IF(HT64=1,NW64,NX64),0)</f>
        <v>0</v>
      </c>
      <c r="TJ64" s="1" t="n">
        <f aca="false">IF(HE64=1,IF(HT64=1,OD64+OG64,HF64-OP64)*(1+Slot20_Rate),0)</f>
        <v>0</v>
      </c>
      <c r="TK64" s="1" t="n">
        <f aca="false">IF(AND(HT64=1,HE64=1),(OC64+OG64)/E64,0)</f>
        <v>0</v>
      </c>
      <c r="TL64" s="1" t="n">
        <f aca="false">IF(B64=0,OC64+OG64,0)</f>
        <v>0</v>
      </c>
      <c r="TM64" s="1" t="n">
        <f aca="false">IF(B64=0,IF(HT64=1,OE64,OF64),0)</f>
        <v>0</v>
      </c>
      <c r="TN64" s="1" t="n">
        <f aca="false">QJ64+QK64+QL64+QP64+QT64+QX64+RB64+RF64+RJ64+RN64+RR64+RV64+RZ64+SD64+SH64+SL64+SP64+ST64+SX64+TB64+TF64+TJ64</f>
        <v>0</v>
      </c>
      <c r="TO64" s="1" t="n">
        <f aca="false">QD64+HO64</f>
        <v>0</v>
      </c>
      <c r="TP64" s="1" t="n">
        <f aca="false">H64+R64</f>
        <v>0</v>
      </c>
      <c r="TQ64" s="1" t="n">
        <f aca="false">1-F64</f>
        <v>0</v>
      </c>
      <c r="TR64" s="1" t="n">
        <f aca="false">IF(AND(RG_Exists=1,F64=0,C64=1),H64,0)</f>
        <v>0</v>
      </c>
      <c r="TS64" s="1" t="n">
        <f aca="false">IF(AND(RG_Exists=1,F64=0,C64=1),H64-MIN(QD64,H64),0)</f>
        <v>0</v>
      </c>
      <c r="TT64" s="1" t="n">
        <f aca="false">'Plan pay &amp; tax'!AD290</f>
        <v>0</v>
      </c>
      <c r="TU64" s="1" t="n">
        <f aca="false">IF(AND(C64=1,QD64&gt;MAX(PR_Short1,TP64*PR_Short2)),1,0)</f>
        <v>0</v>
      </c>
      <c r="TV64" s="1" t="n">
        <f aca="false">MIN(G64,H64+R64)</f>
        <v>0</v>
      </c>
      <c r="TW64" s="1" t="n">
        <f aca="false">QE64+MAX(0,HP64-HO64)</f>
        <v>0</v>
      </c>
      <c r="TX64" s="1" t="n">
        <f aca="false">QD64+HO64</f>
        <v>0</v>
      </c>
      <c r="TY64" s="1" t="n">
        <f aca="false">IF(AND(C64=1,TX64&gt;PR_MinShort),1,0)</f>
        <v>0</v>
      </c>
      <c r="TZ64" s="1" t="n">
        <f aca="false">IF(AND(C64=1,TY64=0,TW64&gt;PR_MinShort),1,0)</f>
        <v>0</v>
      </c>
      <c r="UA64" s="1" t="n">
        <f aca="false">IF(AND(C64=1,QD64&gt;PR_MinShort),1,0)</f>
        <v>0</v>
      </c>
      <c r="UB64" s="1" t="n">
        <f aca="false">IF(AND(C64=1,QE64&gt;1,UI64=0),1,0)</f>
        <v>0</v>
      </c>
      <c r="UC64" s="1" t="str">
        <f aca="false">IF(C64=0,"",IF(UI64=1,"Gap to plan for: short "&amp;"€"&amp;TEXT(ROUND(TO64,0),"#,##0"),IF(QE64&gt;1,"Using savings","Comfortable")))</f>
        <v>Comfortable</v>
      </c>
      <c r="UD64" s="1" t="n">
        <f aca="false">IF(AND(INT(D64/10)*10=90,B64&gt;0),80,INT(D64/10)*10)</f>
        <v>50</v>
      </c>
      <c r="UE64" s="1" t="n">
        <f aca="false">IF(B64=0,1,IF(UD64&lt;&gt;UD63,UE63+1,UE63))</f>
        <v>6</v>
      </c>
      <c r="UF64" s="1" t="n">
        <f aca="false">IF(AND(C64=1,F64=1,QD64&gt;MAX(PR_Short1,TP64*PR_Short2)),1,0)</f>
        <v>0</v>
      </c>
      <c r="UG64" s="1" t="n">
        <f aca="false">TQ64*TU64</f>
        <v>0</v>
      </c>
      <c r="UH64" s="1" t="n">
        <f aca="false">IF(AND(U64=1,Slot1_PctLow=1),1,0)+IF(AND(AF64=1,Slot2_PctLow=1),1,0)+IF(AND(AP64=1,Slot3_PctLow=1),1,0)+IF(AND(AZ64=1,Slot4_PctLow=1),1,0)+IF(AND(BJ64=1,Slot5_PctLow=1),1,0)+IF(AND(BT64=1,Slot6_PctLow=1),1,0)+IF(AND(CD64=1,Slot7_PctLow=1),1,0)+IF(AND(CN64=1,Slot8_PctLow=1),1,0)+IF(AND(CX64=1,Slot9_PctLow=1),1,0)+IF(AND(DH64=1,Slot10_PctLow=1),1,0)+IF(AND(DR64=1,Slot11_PctLow=1),1,0)+IF(AND(EB64=1,Slot12_PctLow=1),1,0)+IF(AND(EL64=1,Slot13_PctLow=1),1,0)+IF(AND(EV64=1,Slot14_PctLow=1),1,0)+IF(AND(FF64=1,Slot15_PctLow=1),1,0)+IF(AND(FP64=1,Slot16_PctLow=1),1,0)+IF(AND(FZ64=1,Slot17_PctLow=1),1,0)+IF(AND(GJ64=1,Slot18_PctLow=1),1,0)+IF(AND(GT64=1,Slot19_PctLow=1),1,0)+IF(AND(HD64=1,Slot20_PctLow=1),1,0)</f>
        <v>0</v>
      </c>
      <c r="UI64" s="1" t="n">
        <f aca="false">IF(C64=1,IF(OR(TU64=1,UH64&gt;0),1,0),0)</f>
        <v>0</v>
      </c>
    </row>
    <row r="65" customFormat="false" ht="15" hidden="false" customHeight="true" outlineLevel="0" collapsed="false">
      <c r="B65" s="1" t="n">
        <v>57</v>
      </c>
      <c r="C65" s="1" t="n">
        <f aca="false">IF(B65&lt;=F_N,1,0)</f>
        <v>1</v>
      </c>
      <c r="D65" s="1" t="n">
        <f aca="false">'Plan pay &amp; tax'!C291</f>
        <v>57</v>
      </c>
      <c r="E65" s="111" t="n">
        <f aca="false">'Plan pay &amp; tax'!E291</f>
        <v>3.09178859221323</v>
      </c>
      <c r="F65" s="1" t="n">
        <f aca="false">'Plan pay &amp; tax'!G291</f>
        <v>1</v>
      </c>
      <c r="G65" s="1" t="n">
        <f aca="false">'Plan pay &amp; tax'!BT291-'Plan pay &amp; tax'!BS291-'Plan pay &amp; tax'!R291</f>
        <v>0</v>
      </c>
      <c r="H65" s="1" t="n">
        <f aca="false">IF(F65=1,F_CostsM*12,IF(RG_Exists=1,RG_Amount,F_CostsM*12*AS_RetireSpend))*E65+F_OneOffY*E65</f>
        <v>0</v>
      </c>
      <c r="I65" s="1" t="n">
        <f aca="false">HQ64</f>
        <v>0</v>
      </c>
      <c r="J65" s="1" t="n">
        <f aca="false">IF(I65&gt;1,'Plan debt months'!AC65,0)</f>
        <v>0</v>
      </c>
      <c r="K65" s="1" t="n">
        <f aca="false">IF(I65&gt;1,'Plan debt months'!AB65,I65)</f>
        <v>0</v>
      </c>
      <c r="L65" s="1" t="n">
        <f aca="false">N64</f>
        <v>0</v>
      </c>
      <c r="M65" s="1" t="n">
        <f aca="false">IF(L65&gt;1,'Plan debt months'!BD65,0)</f>
        <v>0</v>
      </c>
      <c r="N65" s="1" t="n">
        <f aca="false">IF(L65&gt;1,'Plan debt months'!BC65,L65)</f>
        <v>0</v>
      </c>
      <c r="O65" s="1" t="n">
        <f aca="false">Q64</f>
        <v>0</v>
      </c>
      <c r="P65" s="1" t="n">
        <f aca="false">IF(O65&gt;1,'Plan debt months'!CE65,0)</f>
        <v>0</v>
      </c>
      <c r="Q65" s="1" t="n">
        <f aca="false">IF(O65&gt;1,'Plan debt months'!CD65,O65)</f>
        <v>0</v>
      </c>
      <c r="R65" s="1" t="n">
        <f aca="false">J65+M65+P65</f>
        <v>0</v>
      </c>
      <c r="S65" s="1" t="n">
        <f aca="false">QJ64+'Plan pay &amp; tax'!Y291</f>
        <v>0</v>
      </c>
      <c r="T65" s="1" t="n">
        <f aca="false">QJ64</f>
        <v>0</v>
      </c>
      <c r="U65" s="1" t="n">
        <f aca="false">IF(AND(Slot1_On=1,D65=Slot1_Age),1,0)</f>
        <v>0</v>
      </c>
      <c r="V65" s="1" t="n">
        <f aca="false">IF(AND(Slot1_On=1,Slot1_Age&gt;D65),1,0)</f>
        <v>0</v>
      </c>
      <c r="W65" s="1" t="n">
        <f aca="false">QL64</f>
        <v>0</v>
      </c>
      <c r="X65" s="1" t="n">
        <f aca="false">U65*MIN(Slot1_Cost,W65)</f>
        <v>0</v>
      </c>
      <c r="Y65" s="1" t="n">
        <f aca="false">U65*Slot1_SpendLike*MIN(Slot1_Cost-X65,S65)</f>
        <v>0</v>
      </c>
      <c r="Z65" s="1" t="n">
        <f aca="false">X65+Y65</f>
        <v>0</v>
      </c>
      <c r="AA65" s="1" t="n">
        <f aca="false">S65-Y65+U65*IF(Slot1_SpendLike=1,W65-X65,IF(Slot1_PotFree=1,W65,0))</f>
        <v>0</v>
      </c>
      <c r="AB65" s="1" t="n">
        <f aca="false">AE65+U65*Slot1_BufPot*W65</f>
        <v>0</v>
      </c>
      <c r="AC65" s="1" t="n">
        <f aca="false">IF(AND(U65=1,Slot1_IsMfree=1),IF(Z65&gt;=Slot1_Cost-1,0,MAX(0,K65-Z65)),K65)</f>
        <v>0</v>
      </c>
      <c r="AD65" s="1" t="n">
        <f aca="false">U65*(Slot1_Cost-Z65)</f>
        <v>0</v>
      </c>
      <c r="AE65" s="1" t="n">
        <f aca="false">QK64</f>
        <v>0</v>
      </c>
      <c r="AF65" s="1" t="n">
        <f aca="false">IF(AND(Slot2_On=1,D65=Slot2_Age),1,0)</f>
        <v>0</v>
      </c>
      <c r="AG65" s="1" t="n">
        <f aca="false">IF(AND(Slot2_On=1,Slot2_Age&gt;D65),1,0)</f>
        <v>0</v>
      </c>
      <c r="AH65" s="1" t="n">
        <f aca="false">QP64</f>
        <v>0</v>
      </c>
      <c r="AI65" s="1" t="n">
        <f aca="false">AF65*MIN(Slot2_Cost,AH65)</f>
        <v>0</v>
      </c>
      <c r="AJ65" s="1" t="n">
        <f aca="false">AF65*Slot2_SpendLike*MIN(Slot2_Cost-AI65,AA65)</f>
        <v>0</v>
      </c>
      <c r="AK65" s="1" t="n">
        <f aca="false">AI65+AJ65</f>
        <v>0</v>
      </c>
      <c r="AL65" s="1" t="n">
        <f aca="false">AA65-AJ65+AF65*IF(Slot2_SpendLike=1,AH65-AI65,IF(Slot2_PotFree=1,AH65,0))</f>
        <v>0</v>
      </c>
      <c r="AM65" s="1" t="n">
        <f aca="false">AB65+AF65*Slot2_BufPot*AH65</f>
        <v>0</v>
      </c>
      <c r="AN65" s="1" t="n">
        <f aca="false">IF(AND(AF65=1,Slot2_IsMfree=1),IF(AK65&gt;=Slot2_Cost-1,0,MAX(0,AC65-AK65)),AC65)</f>
        <v>0</v>
      </c>
      <c r="AO65" s="1" t="n">
        <f aca="false">AF65*(Slot2_Cost-AK65)</f>
        <v>0</v>
      </c>
      <c r="AP65" s="1" t="n">
        <f aca="false">IF(AND(Slot3_On=1,D65=Slot3_Age),1,0)</f>
        <v>0</v>
      </c>
      <c r="AQ65" s="1" t="n">
        <f aca="false">IF(AND(Slot3_On=1,Slot3_Age&gt;D65),1,0)</f>
        <v>0</v>
      </c>
      <c r="AR65" s="1" t="n">
        <f aca="false">QT64</f>
        <v>0</v>
      </c>
      <c r="AS65" s="1" t="n">
        <f aca="false">AP65*MIN(Slot3_Cost,AR65)</f>
        <v>0</v>
      </c>
      <c r="AT65" s="1" t="n">
        <f aca="false">AP65*Slot3_SpendLike*MIN(Slot3_Cost-AS65,AL65)</f>
        <v>0</v>
      </c>
      <c r="AU65" s="1" t="n">
        <f aca="false">AS65+AT65</f>
        <v>0</v>
      </c>
      <c r="AV65" s="1" t="n">
        <f aca="false">AL65-AT65+AP65*IF(Slot3_SpendLike=1,AR65-AS65,IF(Slot3_PotFree=1,AR65,0))</f>
        <v>0</v>
      </c>
      <c r="AW65" s="1" t="n">
        <f aca="false">AM65+AP65*Slot3_BufPot*AR65</f>
        <v>0</v>
      </c>
      <c r="AX65" s="1" t="n">
        <f aca="false">IF(AND(AP65=1,Slot3_IsMfree=1),IF(AU65&gt;=Slot3_Cost-1,0,MAX(0,AN65-AU65)),AN65)</f>
        <v>0</v>
      </c>
      <c r="AY65" s="1" t="n">
        <f aca="false">AP65*(Slot3_Cost-AU65)</f>
        <v>0</v>
      </c>
      <c r="AZ65" s="1" t="n">
        <f aca="false">IF(AND(Slot4_On=1,D65=Slot4_Age),1,0)</f>
        <v>0</v>
      </c>
      <c r="BA65" s="1" t="n">
        <f aca="false">IF(AND(Slot4_On=1,Slot4_Age&gt;D65),1,0)</f>
        <v>0</v>
      </c>
      <c r="BB65" s="1" t="n">
        <f aca="false">QX64</f>
        <v>0</v>
      </c>
      <c r="BC65" s="1" t="n">
        <f aca="false">AZ65*MIN(Slot4_Cost,BB65)</f>
        <v>0</v>
      </c>
      <c r="BD65" s="1" t="n">
        <f aca="false">AZ65*Slot4_SpendLike*MIN(Slot4_Cost-BC65,AV65)</f>
        <v>0</v>
      </c>
      <c r="BE65" s="1" t="n">
        <f aca="false">BC65+BD65</f>
        <v>0</v>
      </c>
      <c r="BF65" s="1" t="n">
        <f aca="false">AV65-BD65+AZ65*IF(Slot4_SpendLike=1,BB65-BC65,IF(Slot4_PotFree=1,BB65,0))</f>
        <v>0</v>
      </c>
      <c r="BG65" s="1" t="n">
        <f aca="false">AW65+AZ65*Slot4_BufPot*BB65</f>
        <v>0</v>
      </c>
      <c r="BH65" s="1" t="n">
        <f aca="false">IF(AND(AZ65=1,Slot4_IsMfree=1),IF(BE65&gt;=Slot4_Cost-1,0,MAX(0,AX65-BE65)),AX65)</f>
        <v>0</v>
      </c>
      <c r="BI65" s="1" t="n">
        <f aca="false">AZ65*(Slot4_Cost-BE65)</f>
        <v>0</v>
      </c>
      <c r="BJ65" s="1" t="n">
        <f aca="false">IF(AND(Slot5_On=1,D65=Slot5_Age),1,0)</f>
        <v>0</v>
      </c>
      <c r="BK65" s="1" t="n">
        <f aca="false">IF(AND(Slot5_On=1,Slot5_Age&gt;D65),1,0)</f>
        <v>0</v>
      </c>
      <c r="BL65" s="1" t="n">
        <f aca="false">RB64</f>
        <v>0</v>
      </c>
      <c r="BM65" s="1" t="n">
        <f aca="false">BJ65*MIN(Slot5_Cost,BL65)</f>
        <v>0</v>
      </c>
      <c r="BN65" s="1" t="n">
        <f aca="false">BJ65*Slot5_SpendLike*MIN(Slot5_Cost-BM65,BF65)</f>
        <v>0</v>
      </c>
      <c r="BO65" s="1" t="n">
        <f aca="false">BM65+BN65</f>
        <v>0</v>
      </c>
      <c r="BP65" s="1" t="n">
        <f aca="false">BF65-BN65+BJ65*IF(Slot5_SpendLike=1,BL65-BM65,IF(Slot5_PotFree=1,BL65,0))</f>
        <v>0</v>
      </c>
      <c r="BQ65" s="1" t="n">
        <f aca="false">BG65+BJ65*Slot5_BufPot*BL65</f>
        <v>0</v>
      </c>
      <c r="BR65" s="1" t="n">
        <f aca="false">IF(AND(BJ65=1,Slot5_IsMfree=1),IF(BO65&gt;=Slot5_Cost-1,0,MAX(0,BH65-BO65)),BH65)</f>
        <v>0</v>
      </c>
      <c r="BS65" s="1" t="n">
        <f aca="false">BJ65*(Slot5_Cost-BO65)</f>
        <v>0</v>
      </c>
      <c r="BT65" s="1" t="n">
        <f aca="false">IF(AND(Slot6_On=1,D65=Slot6_Age),1,0)</f>
        <v>0</v>
      </c>
      <c r="BU65" s="1" t="n">
        <f aca="false">IF(AND(Slot6_On=1,Slot6_Age&gt;D65),1,0)</f>
        <v>0</v>
      </c>
      <c r="BV65" s="1" t="n">
        <f aca="false">RF64</f>
        <v>0</v>
      </c>
      <c r="BW65" s="1" t="n">
        <f aca="false">BT65*MIN(Slot6_Cost,BV65)</f>
        <v>0</v>
      </c>
      <c r="BX65" s="1" t="n">
        <f aca="false">BT65*Slot6_SpendLike*MIN(Slot6_Cost-BW65,BP65)</f>
        <v>0</v>
      </c>
      <c r="BY65" s="1" t="n">
        <f aca="false">BW65+BX65</f>
        <v>0</v>
      </c>
      <c r="BZ65" s="1" t="n">
        <f aca="false">BP65-BX65+BT65*IF(Slot6_SpendLike=1,BV65-BW65,IF(Slot6_PotFree=1,BV65,0))</f>
        <v>0</v>
      </c>
      <c r="CA65" s="1" t="n">
        <f aca="false">BQ65+BT65*Slot6_BufPot*BV65</f>
        <v>0</v>
      </c>
      <c r="CB65" s="1" t="n">
        <f aca="false">IF(AND(BT65=1,Slot6_IsMfree=1),IF(BY65&gt;=Slot6_Cost-1,0,MAX(0,BR65-BY65)),BR65)</f>
        <v>0</v>
      </c>
      <c r="CC65" s="1" t="n">
        <f aca="false">BT65*(Slot6_Cost-BY65)</f>
        <v>0</v>
      </c>
      <c r="CD65" s="1" t="n">
        <f aca="false">IF(AND(Slot7_On=1,D65=Slot7_Age),1,0)</f>
        <v>0</v>
      </c>
      <c r="CE65" s="1" t="n">
        <f aca="false">IF(AND(Slot7_On=1,Slot7_Age&gt;D65),1,0)</f>
        <v>0</v>
      </c>
      <c r="CF65" s="1" t="n">
        <f aca="false">RJ64</f>
        <v>0</v>
      </c>
      <c r="CG65" s="1" t="n">
        <f aca="false">CD65*MIN(Slot7_Cost,CF65)</f>
        <v>0</v>
      </c>
      <c r="CH65" s="1" t="n">
        <f aca="false">CD65*Slot7_SpendLike*MIN(Slot7_Cost-CG65,BZ65)</f>
        <v>0</v>
      </c>
      <c r="CI65" s="1" t="n">
        <f aca="false">CG65+CH65</f>
        <v>0</v>
      </c>
      <c r="CJ65" s="1" t="n">
        <f aca="false">BZ65-CH65+CD65*IF(Slot7_SpendLike=1,CF65-CG65,IF(Slot7_PotFree=1,CF65,0))</f>
        <v>0</v>
      </c>
      <c r="CK65" s="1" t="n">
        <f aca="false">CA65+CD65*Slot7_BufPot*CF65</f>
        <v>0</v>
      </c>
      <c r="CL65" s="1" t="n">
        <f aca="false">IF(AND(CD65=1,Slot7_IsMfree=1),IF(CI65&gt;=Slot7_Cost-1,0,MAX(0,CB65-CI65)),CB65)</f>
        <v>0</v>
      </c>
      <c r="CM65" s="1" t="n">
        <f aca="false">CD65*(Slot7_Cost-CI65)</f>
        <v>0</v>
      </c>
      <c r="CN65" s="1" t="n">
        <f aca="false">IF(AND(Slot8_On=1,D65=Slot8_Age),1,0)</f>
        <v>0</v>
      </c>
      <c r="CO65" s="1" t="n">
        <f aca="false">IF(AND(Slot8_On=1,Slot8_Age&gt;D65),1,0)</f>
        <v>0</v>
      </c>
      <c r="CP65" s="1" t="n">
        <f aca="false">RN64</f>
        <v>0</v>
      </c>
      <c r="CQ65" s="1" t="n">
        <f aca="false">CN65*MIN(Slot8_Cost,CP65)</f>
        <v>0</v>
      </c>
      <c r="CR65" s="1" t="n">
        <f aca="false">CN65*Slot8_SpendLike*MIN(Slot8_Cost-CQ65,CJ65)</f>
        <v>0</v>
      </c>
      <c r="CS65" s="1" t="n">
        <f aca="false">CQ65+CR65</f>
        <v>0</v>
      </c>
      <c r="CT65" s="1" t="n">
        <f aca="false">CJ65-CR65+CN65*IF(Slot8_SpendLike=1,CP65-CQ65,IF(Slot8_PotFree=1,CP65,0))</f>
        <v>0</v>
      </c>
      <c r="CU65" s="1" t="n">
        <f aca="false">CK65+CN65*Slot8_BufPot*CP65</f>
        <v>0</v>
      </c>
      <c r="CV65" s="1" t="n">
        <f aca="false">IF(AND(CN65=1,Slot8_IsMfree=1),IF(CS65&gt;=Slot8_Cost-1,0,MAX(0,CL65-CS65)),CL65)</f>
        <v>0</v>
      </c>
      <c r="CW65" s="1" t="n">
        <f aca="false">CN65*(Slot8_Cost-CS65)</f>
        <v>0</v>
      </c>
      <c r="CX65" s="1" t="n">
        <f aca="false">IF(AND(Slot9_On=1,D65=Slot9_Age),1,0)</f>
        <v>0</v>
      </c>
      <c r="CY65" s="1" t="n">
        <f aca="false">IF(AND(Slot9_On=1,Slot9_Age&gt;D65),1,0)</f>
        <v>0</v>
      </c>
      <c r="CZ65" s="1" t="n">
        <f aca="false">RR64</f>
        <v>0</v>
      </c>
      <c r="DA65" s="1" t="n">
        <f aca="false">CX65*MIN(Slot9_Cost,CZ65)</f>
        <v>0</v>
      </c>
      <c r="DB65" s="1" t="n">
        <f aca="false">CX65*Slot9_SpendLike*MIN(Slot9_Cost-DA65,CT65)</f>
        <v>0</v>
      </c>
      <c r="DC65" s="1" t="n">
        <f aca="false">DA65+DB65</f>
        <v>0</v>
      </c>
      <c r="DD65" s="1" t="n">
        <f aca="false">CT65-DB65+CX65*IF(Slot9_SpendLike=1,CZ65-DA65,IF(Slot9_PotFree=1,CZ65,0))</f>
        <v>0</v>
      </c>
      <c r="DE65" s="1" t="n">
        <f aca="false">CU65+CX65*Slot9_BufPot*CZ65</f>
        <v>0</v>
      </c>
      <c r="DF65" s="1" t="n">
        <f aca="false">IF(AND(CX65=1,Slot9_IsMfree=1),IF(DC65&gt;=Slot9_Cost-1,0,MAX(0,CV65-DC65)),CV65)</f>
        <v>0</v>
      </c>
      <c r="DG65" s="1" t="n">
        <f aca="false">CX65*(Slot9_Cost-DC65)</f>
        <v>0</v>
      </c>
      <c r="DH65" s="1" t="n">
        <f aca="false">IF(AND(Slot10_On=1,D65=Slot10_Age),1,0)</f>
        <v>0</v>
      </c>
      <c r="DI65" s="1" t="n">
        <f aca="false">IF(AND(Slot10_On=1,Slot10_Age&gt;D65),1,0)</f>
        <v>0</v>
      </c>
      <c r="DJ65" s="1" t="n">
        <f aca="false">RV64</f>
        <v>0</v>
      </c>
      <c r="DK65" s="1" t="n">
        <f aca="false">DH65*MIN(Slot10_Cost,DJ65)</f>
        <v>0</v>
      </c>
      <c r="DL65" s="1" t="n">
        <f aca="false">DH65*Slot10_SpendLike*MIN(Slot10_Cost-DK65,DD65)</f>
        <v>0</v>
      </c>
      <c r="DM65" s="1" t="n">
        <f aca="false">DK65+DL65</f>
        <v>0</v>
      </c>
      <c r="DN65" s="1" t="n">
        <f aca="false">DD65-DL65+DH65*IF(Slot10_SpendLike=1,DJ65-DK65,IF(Slot10_PotFree=1,DJ65,0))</f>
        <v>0</v>
      </c>
      <c r="DO65" s="1" t="n">
        <f aca="false">DE65+DH65*Slot10_BufPot*DJ65</f>
        <v>0</v>
      </c>
      <c r="DP65" s="1" t="n">
        <f aca="false">IF(AND(DH65=1,Slot10_IsMfree=1),IF(DM65&gt;=Slot10_Cost-1,0,MAX(0,DF65-DM65)),DF65)</f>
        <v>0</v>
      </c>
      <c r="DQ65" s="1" t="n">
        <f aca="false">DH65*(Slot10_Cost-DM65)</f>
        <v>0</v>
      </c>
      <c r="DR65" s="1" t="n">
        <f aca="false">IF(AND(Slot11_On=1,D65=Slot11_Age),1,0)</f>
        <v>0</v>
      </c>
      <c r="DS65" s="1" t="n">
        <f aca="false">IF(AND(Slot11_On=1,Slot11_Age&gt;D65),1,0)</f>
        <v>0</v>
      </c>
      <c r="DT65" s="1" t="n">
        <f aca="false">RZ64</f>
        <v>0</v>
      </c>
      <c r="DU65" s="1" t="n">
        <f aca="false">DR65*MIN(Slot11_Cost,DT65)</f>
        <v>0</v>
      </c>
      <c r="DV65" s="1" t="n">
        <f aca="false">DR65*Slot11_SpendLike*MIN(Slot11_Cost-DU65,DN65)</f>
        <v>0</v>
      </c>
      <c r="DW65" s="1" t="n">
        <f aca="false">DU65+DV65</f>
        <v>0</v>
      </c>
      <c r="DX65" s="1" t="n">
        <f aca="false">DN65-DV65+DR65*IF(Slot11_SpendLike=1,DT65-DU65,IF(Slot11_PotFree=1,DT65,0))</f>
        <v>0</v>
      </c>
      <c r="DY65" s="1" t="n">
        <f aca="false">DO65+DR65*Slot11_BufPot*DT65</f>
        <v>0</v>
      </c>
      <c r="DZ65" s="1" t="n">
        <f aca="false">IF(AND(DR65=1,Slot11_IsMfree=1),IF(DW65&gt;=Slot11_Cost-1,0,MAX(0,DP65-DW65)),DP65)</f>
        <v>0</v>
      </c>
      <c r="EA65" s="1" t="n">
        <f aca="false">DR65*(Slot11_Cost-DW65)</f>
        <v>0</v>
      </c>
      <c r="EB65" s="1" t="n">
        <f aca="false">IF(AND(Slot12_On=1,D65=Slot12_Age),1,0)</f>
        <v>0</v>
      </c>
      <c r="EC65" s="1" t="n">
        <f aca="false">IF(AND(Slot12_On=1,Slot12_Age&gt;D65),1,0)</f>
        <v>0</v>
      </c>
      <c r="ED65" s="1" t="n">
        <f aca="false">SD64</f>
        <v>0</v>
      </c>
      <c r="EE65" s="1" t="n">
        <f aca="false">EB65*MIN(Slot12_Cost,ED65)</f>
        <v>0</v>
      </c>
      <c r="EF65" s="1" t="n">
        <f aca="false">EB65*Slot12_SpendLike*MIN(Slot12_Cost-EE65,DX65)</f>
        <v>0</v>
      </c>
      <c r="EG65" s="1" t="n">
        <f aca="false">EE65+EF65</f>
        <v>0</v>
      </c>
      <c r="EH65" s="1" t="n">
        <f aca="false">DX65-EF65+EB65*IF(Slot12_SpendLike=1,ED65-EE65,IF(Slot12_PotFree=1,ED65,0))</f>
        <v>0</v>
      </c>
      <c r="EI65" s="1" t="n">
        <f aca="false">DY65+EB65*Slot12_BufPot*ED65</f>
        <v>0</v>
      </c>
      <c r="EJ65" s="1" t="n">
        <f aca="false">IF(AND(EB65=1,Slot12_IsMfree=1),IF(EG65&gt;=Slot12_Cost-1,0,MAX(0,DZ65-EG65)),DZ65)</f>
        <v>0</v>
      </c>
      <c r="EK65" s="1" t="n">
        <f aca="false">EB65*(Slot12_Cost-EG65)</f>
        <v>0</v>
      </c>
      <c r="EL65" s="1" t="n">
        <f aca="false">IF(AND(Slot13_On=1,D65=Slot13_Age),1,0)</f>
        <v>0</v>
      </c>
      <c r="EM65" s="1" t="n">
        <f aca="false">IF(AND(Slot13_On=1,Slot13_Age&gt;D65),1,0)</f>
        <v>0</v>
      </c>
      <c r="EN65" s="1" t="n">
        <f aca="false">SH64</f>
        <v>0</v>
      </c>
      <c r="EO65" s="1" t="n">
        <f aca="false">EL65*MIN(Slot13_Cost,EN65)</f>
        <v>0</v>
      </c>
      <c r="EP65" s="1" t="n">
        <f aca="false">EL65*Slot13_SpendLike*MIN(Slot13_Cost-EO65,EH65)</f>
        <v>0</v>
      </c>
      <c r="EQ65" s="1" t="n">
        <f aca="false">EO65+EP65</f>
        <v>0</v>
      </c>
      <c r="ER65" s="1" t="n">
        <f aca="false">EH65-EP65+EL65*IF(Slot13_SpendLike=1,EN65-EO65,IF(Slot13_PotFree=1,EN65,0))</f>
        <v>0</v>
      </c>
      <c r="ES65" s="1" t="n">
        <f aca="false">EI65+EL65*Slot13_BufPot*EN65</f>
        <v>0</v>
      </c>
      <c r="ET65" s="1" t="n">
        <f aca="false">IF(AND(EL65=1,Slot13_IsMfree=1),IF(EQ65&gt;=Slot13_Cost-1,0,MAX(0,EJ65-EQ65)),EJ65)</f>
        <v>0</v>
      </c>
      <c r="EU65" s="1" t="n">
        <f aca="false">EL65*(Slot13_Cost-EQ65)</f>
        <v>0</v>
      </c>
      <c r="EV65" s="1" t="n">
        <f aca="false">IF(AND(Slot14_On=1,D65=Slot14_Age),1,0)</f>
        <v>0</v>
      </c>
      <c r="EW65" s="1" t="n">
        <f aca="false">IF(AND(Slot14_On=1,Slot14_Age&gt;D65),1,0)</f>
        <v>0</v>
      </c>
      <c r="EX65" s="1" t="n">
        <f aca="false">SL64</f>
        <v>0</v>
      </c>
      <c r="EY65" s="1" t="n">
        <f aca="false">EV65*MIN(Slot14_Cost,EX65)</f>
        <v>0</v>
      </c>
      <c r="EZ65" s="1" t="n">
        <f aca="false">EV65*Slot14_SpendLike*MIN(Slot14_Cost-EY65,ER65)</f>
        <v>0</v>
      </c>
      <c r="FA65" s="1" t="n">
        <f aca="false">EY65+EZ65</f>
        <v>0</v>
      </c>
      <c r="FB65" s="1" t="n">
        <f aca="false">ER65-EZ65+EV65*IF(Slot14_SpendLike=1,EX65-EY65,IF(Slot14_PotFree=1,EX65,0))</f>
        <v>0</v>
      </c>
      <c r="FC65" s="1" t="n">
        <f aca="false">ES65+EV65*Slot14_BufPot*EX65</f>
        <v>0</v>
      </c>
      <c r="FD65" s="1" t="n">
        <f aca="false">IF(AND(EV65=1,Slot14_IsMfree=1),IF(FA65&gt;=Slot14_Cost-1,0,MAX(0,ET65-FA65)),ET65)</f>
        <v>0</v>
      </c>
      <c r="FE65" s="1" t="n">
        <f aca="false">EV65*(Slot14_Cost-FA65)</f>
        <v>0</v>
      </c>
      <c r="FF65" s="1" t="n">
        <f aca="false">IF(AND(Slot15_On=1,D65=Slot15_Age),1,0)</f>
        <v>0</v>
      </c>
      <c r="FG65" s="1" t="n">
        <f aca="false">IF(AND(Slot15_On=1,Slot15_Age&gt;D65),1,0)</f>
        <v>0</v>
      </c>
      <c r="FH65" s="1" t="n">
        <f aca="false">SP64</f>
        <v>0</v>
      </c>
      <c r="FI65" s="1" t="n">
        <f aca="false">FF65*MIN(Slot15_Cost,FH65)</f>
        <v>0</v>
      </c>
      <c r="FJ65" s="1" t="n">
        <f aca="false">FF65*Slot15_SpendLike*MIN(Slot15_Cost-FI65,FB65)</f>
        <v>0</v>
      </c>
      <c r="FK65" s="1" t="n">
        <f aca="false">FI65+FJ65</f>
        <v>0</v>
      </c>
      <c r="FL65" s="1" t="n">
        <f aca="false">FB65-FJ65+FF65*IF(Slot15_SpendLike=1,FH65-FI65,IF(Slot15_PotFree=1,FH65,0))</f>
        <v>0</v>
      </c>
      <c r="FM65" s="1" t="n">
        <f aca="false">FC65+FF65*Slot15_BufPot*FH65</f>
        <v>0</v>
      </c>
      <c r="FN65" s="1" t="n">
        <f aca="false">IF(AND(FF65=1,Slot15_IsMfree=1),IF(FK65&gt;=Slot15_Cost-1,0,MAX(0,FD65-FK65)),FD65)</f>
        <v>0</v>
      </c>
      <c r="FO65" s="1" t="n">
        <f aca="false">FF65*(Slot15_Cost-FK65)</f>
        <v>0</v>
      </c>
      <c r="FP65" s="1" t="n">
        <f aca="false">IF(AND(Slot16_On=1,D65=Slot16_Age),1,0)</f>
        <v>0</v>
      </c>
      <c r="FQ65" s="1" t="n">
        <f aca="false">IF(AND(Slot16_On=1,Slot16_Age&gt;D65),1,0)</f>
        <v>0</v>
      </c>
      <c r="FR65" s="1" t="n">
        <f aca="false">ST64</f>
        <v>0</v>
      </c>
      <c r="FS65" s="1" t="n">
        <f aca="false">FP65*MIN(Slot16_Cost,FR65)</f>
        <v>0</v>
      </c>
      <c r="FT65" s="1" t="n">
        <f aca="false">FP65*Slot16_SpendLike*MIN(Slot16_Cost-FS65,FL65)</f>
        <v>0</v>
      </c>
      <c r="FU65" s="1" t="n">
        <f aca="false">FS65+FT65</f>
        <v>0</v>
      </c>
      <c r="FV65" s="1" t="n">
        <f aca="false">FL65-FT65+FP65*IF(Slot16_SpendLike=1,FR65-FS65,IF(Slot16_PotFree=1,FR65,0))</f>
        <v>0</v>
      </c>
      <c r="FW65" s="1" t="n">
        <f aca="false">FM65+FP65*Slot16_BufPot*FR65</f>
        <v>0</v>
      </c>
      <c r="FX65" s="1" t="n">
        <f aca="false">IF(AND(FP65=1,Slot16_IsMfree=1),IF(FU65&gt;=Slot16_Cost-1,0,MAX(0,FN65-FU65)),FN65)</f>
        <v>0</v>
      </c>
      <c r="FY65" s="1" t="n">
        <f aca="false">FP65*(Slot16_Cost-FU65)</f>
        <v>0</v>
      </c>
      <c r="FZ65" s="1" t="n">
        <f aca="false">IF(AND(Slot17_On=1,D65=Slot17_Age),1,0)</f>
        <v>0</v>
      </c>
      <c r="GA65" s="1" t="n">
        <f aca="false">IF(AND(Slot17_On=1,Slot17_Age&gt;D65),1,0)</f>
        <v>0</v>
      </c>
      <c r="GB65" s="1" t="n">
        <f aca="false">SX64</f>
        <v>0</v>
      </c>
      <c r="GC65" s="1" t="n">
        <f aca="false">FZ65*MIN(Slot17_Cost,GB65)</f>
        <v>0</v>
      </c>
      <c r="GD65" s="1" t="n">
        <f aca="false">FZ65*Slot17_SpendLike*MIN(Slot17_Cost-GC65,FV65)</f>
        <v>0</v>
      </c>
      <c r="GE65" s="1" t="n">
        <f aca="false">GC65+GD65</f>
        <v>0</v>
      </c>
      <c r="GF65" s="1" t="n">
        <f aca="false">FV65-GD65+FZ65*IF(Slot17_SpendLike=1,GB65-GC65,IF(Slot17_PotFree=1,GB65,0))</f>
        <v>0</v>
      </c>
      <c r="GG65" s="1" t="n">
        <f aca="false">FW65+FZ65*Slot17_BufPot*GB65</f>
        <v>0</v>
      </c>
      <c r="GH65" s="1" t="n">
        <f aca="false">IF(AND(FZ65=1,Slot17_IsMfree=1),IF(GE65&gt;=Slot17_Cost-1,0,MAX(0,FX65-GE65)),FX65)</f>
        <v>0</v>
      </c>
      <c r="GI65" s="1" t="n">
        <f aca="false">FZ65*(Slot17_Cost-GE65)</f>
        <v>0</v>
      </c>
      <c r="GJ65" s="1" t="n">
        <f aca="false">IF(AND(Slot18_On=1,D65=Slot18_Age),1,0)</f>
        <v>0</v>
      </c>
      <c r="GK65" s="1" t="n">
        <f aca="false">IF(AND(Slot18_On=1,Slot18_Age&gt;D65),1,0)</f>
        <v>0</v>
      </c>
      <c r="GL65" s="1" t="n">
        <f aca="false">TB64</f>
        <v>0</v>
      </c>
      <c r="GM65" s="1" t="n">
        <f aca="false">GJ65*MIN(Slot18_Cost,GL65)</f>
        <v>0</v>
      </c>
      <c r="GN65" s="1" t="n">
        <f aca="false">GJ65*Slot18_SpendLike*MIN(Slot18_Cost-GM65,GF65)</f>
        <v>0</v>
      </c>
      <c r="GO65" s="1" t="n">
        <f aca="false">GM65+GN65</f>
        <v>0</v>
      </c>
      <c r="GP65" s="1" t="n">
        <f aca="false">GF65-GN65+GJ65*IF(Slot18_SpendLike=1,GL65-GM65,IF(Slot18_PotFree=1,GL65,0))</f>
        <v>0</v>
      </c>
      <c r="GQ65" s="1" t="n">
        <f aca="false">GG65+GJ65*Slot18_BufPot*GL65</f>
        <v>0</v>
      </c>
      <c r="GR65" s="1" t="n">
        <f aca="false">IF(AND(GJ65=1,Slot18_IsMfree=1),IF(GO65&gt;=Slot18_Cost-1,0,MAX(0,GH65-GO65)),GH65)</f>
        <v>0</v>
      </c>
      <c r="GS65" s="1" t="n">
        <f aca="false">GJ65*(Slot18_Cost-GO65)</f>
        <v>0</v>
      </c>
      <c r="GT65" s="1" t="n">
        <f aca="false">IF(AND(Slot19_On=1,D65=Slot19_Age),1,0)</f>
        <v>0</v>
      </c>
      <c r="GU65" s="1" t="n">
        <f aca="false">IF(AND(Slot19_On=1,Slot19_Age&gt;D65),1,0)</f>
        <v>0</v>
      </c>
      <c r="GV65" s="1" t="n">
        <f aca="false">TF64</f>
        <v>0</v>
      </c>
      <c r="GW65" s="1" t="n">
        <f aca="false">GT65*MIN(Slot19_Cost,GV65)</f>
        <v>0</v>
      </c>
      <c r="GX65" s="1" t="n">
        <f aca="false">GT65*Slot19_SpendLike*MIN(Slot19_Cost-GW65,GP65)</f>
        <v>0</v>
      </c>
      <c r="GY65" s="1" t="n">
        <f aca="false">GW65+GX65</f>
        <v>0</v>
      </c>
      <c r="GZ65" s="1" t="n">
        <f aca="false">GP65-GX65+GT65*IF(Slot19_SpendLike=1,GV65-GW65,IF(Slot19_PotFree=1,GV65,0))</f>
        <v>0</v>
      </c>
      <c r="HA65" s="1" t="n">
        <f aca="false">GQ65+GT65*Slot19_BufPot*GV65</f>
        <v>0</v>
      </c>
      <c r="HB65" s="1" t="n">
        <f aca="false">IF(AND(GT65=1,Slot19_IsMfree=1),IF(GY65&gt;=Slot19_Cost-1,0,MAX(0,GR65-GY65)),GR65)</f>
        <v>0</v>
      </c>
      <c r="HC65" s="1" t="n">
        <f aca="false">GT65*(Slot19_Cost-GY65)</f>
        <v>0</v>
      </c>
      <c r="HD65" s="1" t="n">
        <f aca="false">IF(AND(Slot20_On=1,D65=Slot20_Age),1,0)</f>
        <v>0</v>
      </c>
      <c r="HE65" s="1" t="n">
        <f aca="false">IF(AND(Slot20_On=1,Slot20_Age&gt;D65),1,0)</f>
        <v>0</v>
      </c>
      <c r="HF65" s="1" t="n">
        <f aca="false">TJ64</f>
        <v>0</v>
      </c>
      <c r="HG65" s="1" t="n">
        <f aca="false">HD65*MIN(Slot20_Cost,HF65)</f>
        <v>0</v>
      </c>
      <c r="HH65" s="1" t="n">
        <f aca="false">HD65*Slot20_SpendLike*MIN(Slot20_Cost-HG65,GZ65)</f>
        <v>0</v>
      </c>
      <c r="HI65" s="1" t="n">
        <f aca="false">HG65+HH65</f>
        <v>0</v>
      </c>
      <c r="HJ65" s="1" t="n">
        <f aca="false">GZ65-HH65+HD65*IF(Slot20_SpendLike=1,HF65-HG65,IF(Slot20_PotFree=1,HF65,0))</f>
        <v>0</v>
      </c>
      <c r="HK65" s="1" t="n">
        <f aca="false">HA65+HD65*Slot20_BufPot*HF65</f>
        <v>0</v>
      </c>
      <c r="HL65" s="1" t="n">
        <f aca="false">IF(AND(HD65=1,Slot20_IsMfree=1),IF(HI65&gt;=Slot20_Cost-1,0,MAX(0,HB65-HI65)),HB65)</f>
        <v>0</v>
      </c>
      <c r="HM65" s="1" t="n">
        <f aca="false">HD65*(Slot20_Cost-HI65)</f>
        <v>0</v>
      </c>
      <c r="HN65" s="1" t="n">
        <f aca="false">U65*Slot1_SpendLike*Z65+AF65*Slot2_SpendLike*AK65+AP65*Slot3_SpendLike*AU65+AZ65*Slot4_SpendLike*BE65+BJ65*Slot5_SpendLike*BO65+BT65*Slot6_SpendLike*BY65+CD65*Slot7_SpendLike*CI65+CN65*Slot8_SpendLike*CS65+CX65*Slot9_SpendLike*DC65+DH65*Slot10_SpendLike*DM65+DR65*Slot11_SpendLike*DW65+EB65*Slot12_SpendLike*EG65+EL65*Slot13_SpendLike*EQ65+EV65*Slot14_SpendLike*FA65+FF65*Slot15_SpendLike*FK65+FP65*Slot16_SpendLike*FU65+FZ65*Slot17_SpendLike*GE65+GJ65*Slot18_SpendLike*GO65+GT65*Slot19_SpendLike*GY65+HD65*Slot20_SpendLike*HI65</f>
        <v>0</v>
      </c>
      <c r="HO65" s="1" t="n">
        <f aca="false">AD65+AO65+AY65+BI65+BS65+CC65+CM65+CW65+DG65+DQ65+EA65+EK65+EU65+FE65+FO65+FY65+GI65+GS65+HC65+HM65</f>
        <v>0</v>
      </c>
      <c r="HP65" s="1" t="n">
        <f aca="false">U65*Slot1_Cost+AF65*Slot2_Cost+AP65*Slot3_Cost+AZ65*Slot4_Cost+BJ65*Slot5_Cost+BT65*Slot6_Cost+CD65*Slot7_Cost+CN65*Slot8_Cost+CX65*Slot9_Cost+DH65*Slot10_Cost+DR65*Slot11_Cost+EB65*Slot12_Cost+EL65*Slot13_Cost+EV65*Slot14_Cost+FF65*Slot15_Cost+FP65*Slot16_Cost+FZ65*Slot17_Cost+GJ65*Slot18_Cost+GT65*Slot19_Cost+HD65*Slot20_Cost</f>
        <v>0</v>
      </c>
      <c r="HQ65" s="1" t="n">
        <f aca="false">HL65</f>
        <v>0</v>
      </c>
      <c r="HR65" s="1" t="n">
        <f aca="false">G65-H65-R65</f>
        <v>0</v>
      </c>
      <c r="HS65" s="1" t="n">
        <f aca="false">IF(B65=0,IF(AND(Has_q6=1,In_q6=4),PR_ShareVaries*(MAX(0,HR65)/12),MIN(IF(Has_q6=1,CHOOSE(In_q6+1,PR_SaveB1,PR_SaveB2,PR_SaveB3,PR_SaveB4,0),AS_NoAnswer),AS_SaveShare*(MAX(0,HR65)/12))),HS64)</f>
        <v>0</v>
      </c>
      <c r="HT65" s="1" t="n">
        <f aca="false">IF(HR65&gt;=0,1,0)</f>
        <v>1</v>
      </c>
      <c r="HU65" s="1" t="n">
        <f aca="false">MAX(0,HR65/12/E65)</f>
        <v>0</v>
      </c>
      <c r="HV65" s="1" t="n">
        <f aca="false">IF(AND(Has_q6=1,In_q6=4),PR_ShareVaries*(HU65),MIN(IF(Has_q6=1,CHOOSE(In_q6+1,PR_SaveB1,PR_SaveB2,PR_SaveB3,PR_SaveB4,0),AS_NoAnswer),AS_SaveShare*(HU65)))</f>
        <v>0</v>
      </c>
      <c r="HW65" s="1" t="n">
        <f aca="false">IF(Has_saveM=1,IF(In_saveUp="Yes",1,IF(In_saveUp="No",0,IF(In_saveM&gt;=HS65-0.5,1,0))),0)</f>
        <v>0</v>
      </c>
      <c r="HX65" s="1" t="n">
        <f aca="false">IF(Has_saveM=1,MIN(HU65,IF(HW65=1,MAX(In_saveM,HV65),MIN(In_saveM,HV65))),HV65)</f>
        <v>0</v>
      </c>
      <c r="HY65" s="1" t="n">
        <f aca="false">IF(F65=1,HX65*12*E65,0)</f>
        <v>0</v>
      </c>
      <c r="HZ65" s="1" t="n">
        <f aca="false">MAX(0,HY65+IF(AND(WI_Retire=0,WI_M&lt;0,F65=1),WI_M*12*E65,0))</f>
        <v>0</v>
      </c>
      <c r="IA65" s="1" t="n">
        <f aca="false">Slot1_IsWG*V65+Slot2_IsWG*AG65+Slot3_IsWG*AQ65+Slot4_IsWG*BA65+Slot5_IsWG*BK65+Slot6_IsWG*BU65+Slot7_IsWG*CE65+Slot8_IsWG*CO65+Slot9_IsWG*CY65+Slot10_IsWG*DI65+Slot11_IsWG*DS65+Slot12_IsWG*EC65+Slot13_IsWG*EM65+Slot14_IsWG*EW65+Slot15_IsWG*FG65+Slot16_IsWG*FQ65+Slot17_IsWG*GA65+Slot18_IsWG*GK65+Slot19_IsWG*GU65+Slot20_IsWG*HE65</f>
        <v>0</v>
      </c>
      <c r="IB65" s="1" t="n">
        <f aca="false">IF(AND(WI_Retire=0,WI_M&gt;0,F65=1,IA65&gt;=1),WI_M*12*E65,0)</f>
        <v>0</v>
      </c>
      <c r="IC65" s="1" t="n">
        <f aca="false">IF(HT65=1,MIN(HZ65,HR65),0)</f>
        <v>0</v>
      </c>
      <c r="ID65" s="1" t="n">
        <f aca="false">IF(HT65=1,MIN(IB65,HR65-IC65),0)</f>
        <v>0</v>
      </c>
      <c r="IE65" s="1" t="n">
        <f aca="false">IF(V65=1,IF(ABS((1+AS_Wage)/(1+Slot1_Rate)-1)&lt;0.000000000001,(Slot1_Age-D65)*(1+Slot1_Rate)^(Slot1_Age-D65),(1+Slot1_Rate)^(Slot1_Age-D65)*(1-((1+AS_Wage)/(1+Slot1_Rate))^(Slot1_Age-D65))/(1-(1+AS_Wage)/(1+Slot1_Rate))),1)</f>
        <v>1</v>
      </c>
      <c r="IF65" s="1" t="n">
        <f aca="false">IF(AND(HT65=1,ID65&gt;0,Slot1_IsWG=1,V65=1),MAX(0,(Slot1_Cost-W65*(1+Slot1_Rate)^(Slot1_Age-D65))/IE65),0)</f>
        <v>0</v>
      </c>
      <c r="IG65" s="1" t="n">
        <f aca="false">IF(AND(HT65=1,ID65&gt;0,Slot1_IsWG=1,V65=1),MIN(ID65,IF65),0)</f>
        <v>0</v>
      </c>
      <c r="IH65" s="1" t="n">
        <f aca="false">W65+IG65</f>
        <v>0</v>
      </c>
      <c r="II65" s="1" t="n">
        <f aca="false">IF(V65=1,MAX(0,(Slot1_Cost-IH65*(1+Slot1_Rate)^(Slot1_Age-D65))/IE65),0)</f>
        <v>0</v>
      </c>
      <c r="IJ65" s="1" t="n">
        <f aca="false">IF(V65=1,MAX(0,(Slot1_Cost-W65*(1+Slot1_Rate)^(Slot1_Age-D65))/IE65),0)</f>
        <v>0</v>
      </c>
      <c r="IK65" s="1" t="n">
        <f aca="false">IF(AND(HT65=1,V65=1),MIN(IC65,II65),0)</f>
        <v>0</v>
      </c>
      <c r="IL65" s="1" t="n">
        <f aca="false">IC65-IK65</f>
        <v>0</v>
      </c>
      <c r="IM65" s="1" t="n">
        <f aca="false">IF(AG65=1,IF(ABS((1+AS_Wage)/(1+Slot2_Rate)-1)&lt;0.000000000001,(Slot2_Age-D65)*(1+Slot2_Rate)^(Slot2_Age-D65),(1+Slot2_Rate)^(Slot2_Age-D65)*(1-((1+AS_Wage)/(1+Slot2_Rate))^(Slot2_Age-D65))/(1-(1+AS_Wage)/(1+Slot2_Rate))),1)</f>
        <v>1</v>
      </c>
      <c r="IN65" s="1" t="n">
        <f aca="false">IF(AND(HT65=1,ID65&gt;0,Slot2_IsWG=1,AG65=1),MAX(0,(Slot2_Cost-AH65*(1+Slot2_Rate)^(Slot2_Age-D65))/IM65),0)</f>
        <v>0</v>
      </c>
      <c r="IO65" s="1" t="n">
        <f aca="false">IF(AND(HT65=1,ID65&gt;0,Slot2_IsWG=1,AG65=1),MIN(ID65,IN65),0)</f>
        <v>0</v>
      </c>
      <c r="IP65" s="1" t="n">
        <f aca="false">AH65+IO65</f>
        <v>0</v>
      </c>
      <c r="IQ65" s="1" t="n">
        <f aca="false">IF(AG65=1,MAX(0,(Slot2_Cost-IP65*(1+Slot2_Rate)^(Slot2_Age-D65))/IM65),0)</f>
        <v>0</v>
      </c>
      <c r="IR65" s="1" t="n">
        <f aca="false">IF(AG65=1,MAX(0,(Slot2_Cost-AH65*(1+Slot2_Rate)^(Slot2_Age-D65))/IM65),0)</f>
        <v>0</v>
      </c>
      <c r="IS65" s="1" t="n">
        <f aca="false">IF(AND(HT65=1,AG65=1),MIN(IL65,IQ65),0)</f>
        <v>0</v>
      </c>
      <c r="IT65" s="1" t="n">
        <f aca="false">IL65-IS65</f>
        <v>0</v>
      </c>
      <c r="IU65" s="1" t="n">
        <f aca="false">IF(AQ65=1,IF(ABS((1+AS_Wage)/(1+Slot3_Rate)-1)&lt;0.000000000001,(Slot3_Age-D65)*(1+Slot3_Rate)^(Slot3_Age-D65),(1+Slot3_Rate)^(Slot3_Age-D65)*(1-((1+AS_Wage)/(1+Slot3_Rate))^(Slot3_Age-D65))/(1-(1+AS_Wage)/(1+Slot3_Rate))),1)</f>
        <v>1</v>
      </c>
      <c r="IV65" s="1" t="n">
        <f aca="false">IF(AND(HT65=1,ID65&gt;0,Slot3_IsWG=1,AQ65=1),MAX(0,(Slot3_Cost-AR65*(1+Slot3_Rate)^(Slot3_Age-D65))/IU65),0)</f>
        <v>0</v>
      </c>
      <c r="IW65" s="1" t="n">
        <f aca="false">IF(AND(HT65=1,ID65&gt;0,Slot3_IsWG=1,AQ65=1),MIN(ID65,IV65),0)</f>
        <v>0</v>
      </c>
      <c r="IX65" s="1" t="n">
        <f aca="false">AR65+IW65</f>
        <v>0</v>
      </c>
      <c r="IY65" s="1" t="n">
        <f aca="false">IF(AQ65=1,MAX(0,(Slot3_Cost-IX65*(1+Slot3_Rate)^(Slot3_Age-D65))/IU65),0)</f>
        <v>0</v>
      </c>
      <c r="IZ65" s="1" t="n">
        <f aca="false">IF(AQ65=1,MAX(0,(Slot3_Cost-AR65*(1+Slot3_Rate)^(Slot3_Age-D65))/IU65),0)</f>
        <v>0</v>
      </c>
      <c r="JA65" s="1" t="n">
        <f aca="false">IF(AND(HT65=1,AQ65=1),MIN(IT65,IY65),0)</f>
        <v>0</v>
      </c>
      <c r="JB65" s="1" t="n">
        <f aca="false">IT65-JA65</f>
        <v>0</v>
      </c>
      <c r="JC65" s="1" t="n">
        <f aca="false">IF(BA65=1,IF(ABS((1+AS_Wage)/(1+Slot4_Rate)-1)&lt;0.000000000001,(Slot4_Age-D65)*(1+Slot4_Rate)^(Slot4_Age-D65),(1+Slot4_Rate)^(Slot4_Age-D65)*(1-((1+AS_Wage)/(1+Slot4_Rate))^(Slot4_Age-D65))/(1-(1+AS_Wage)/(1+Slot4_Rate))),1)</f>
        <v>1</v>
      </c>
      <c r="JD65" s="1" t="n">
        <f aca="false">IF(AND(HT65=1,ID65&gt;0,Slot4_IsWG=1,BA65=1),MAX(0,(Slot4_Cost-BB65*(1+Slot4_Rate)^(Slot4_Age-D65))/JC65),0)</f>
        <v>0</v>
      </c>
      <c r="JE65" s="1" t="n">
        <f aca="false">IF(AND(HT65=1,ID65&gt;0,Slot4_IsWG=1,BA65=1),MIN(ID65,JD65),0)</f>
        <v>0</v>
      </c>
      <c r="JF65" s="1" t="n">
        <f aca="false">BB65+JE65</f>
        <v>0</v>
      </c>
      <c r="JG65" s="1" t="n">
        <f aca="false">IF(BA65=1,MAX(0,(Slot4_Cost-JF65*(1+Slot4_Rate)^(Slot4_Age-D65))/JC65),0)</f>
        <v>0</v>
      </c>
      <c r="JH65" s="1" t="n">
        <f aca="false">IF(BA65=1,MAX(0,(Slot4_Cost-BB65*(1+Slot4_Rate)^(Slot4_Age-D65))/JC65),0)</f>
        <v>0</v>
      </c>
      <c r="JI65" s="1" t="n">
        <f aca="false">IF(AND(HT65=1,BA65=1),MIN(JB65,JG65),0)</f>
        <v>0</v>
      </c>
      <c r="JJ65" s="1" t="n">
        <f aca="false">JB65-JI65</f>
        <v>0</v>
      </c>
      <c r="JK65" s="1" t="n">
        <f aca="false">IF(BK65=1,IF(ABS((1+AS_Wage)/(1+Slot5_Rate)-1)&lt;0.000000000001,(Slot5_Age-D65)*(1+Slot5_Rate)^(Slot5_Age-D65),(1+Slot5_Rate)^(Slot5_Age-D65)*(1-((1+AS_Wage)/(1+Slot5_Rate))^(Slot5_Age-D65))/(1-(1+AS_Wage)/(1+Slot5_Rate))),1)</f>
        <v>1</v>
      </c>
      <c r="JL65" s="1" t="n">
        <f aca="false">IF(AND(HT65=1,ID65&gt;0,Slot5_IsWG=1,BK65=1),MAX(0,(Slot5_Cost-BL65*(1+Slot5_Rate)^(Slot5_Age-D65))/JK65),0)</f>
        <v>0</v>
      </c>
      <c r="JM65" s="1" t="n">
        <f aca="false">IF(AND(HT65=1,ID65&gt;0,Slot5_IsWG=1,BK65=1),MIN(ID65,JL65),0)</f>
        <v>0</v>
      </c>
      <c r="JN65" s="1" t="n">
        <f aca="false">BL65+JM65</f>
        <v>0</v>
      </c>
      <c r="JO65" s="1" t="n">
        <f aca="false">IF(BK65=1,MAX(0,(Slot5_Cost-JN65*(1+Slot5_Rate)^(Slot5_Age-D65))/JK65),0)</f>
        <v>0</v>
      </c>
      <c r="JP65" s="1" t="n">
        <f aca="false">IF(BK65=1,MAX(0,(Slot5_Cost-BL65*(1+Slot5_Rate)^(Slot5_Age-D65))/JK65),0)</f>
        <v>0</v>
      </c>
      <c r="JQ65" s="1" t="n">
        <f aca="false">IF(AND(HT65=1,BK65=1),MIN(JJ65,JO65),0)</f>
        <v>0</v>
      </c>
      <c r="JR65" s="1" t="n">
        <f aca="false">JJ65-JQ65</f>
        <v>0</v>
      </c>
      <c r="JS65" s="1" t="n">
        <f aca="false">IF(BU65=1,IF(ABS((1+AS_Wage)/(1+Slot6_Rate)-1)&lt;0.000000000001,(Slot6_Age-D65)*(1+Slot6_Rate)^(Slot6_Age-D65),(1+Slot6_Rate)^(Slot6_Age-D65)*(1-((1+AS_Wage)/(1+Slot6_Rate))^(Slot6_Age-D65))/(1-(1+AS_Wage)/(1+Slot6_Rate))),1)</f>
        <v>1</v>
      </c>
      <c r="JT65" s="1" t="n">
        <f aca="false">IF(AND(HT65=1,ID65&gt;0,Slot6_IsWG=1,BU65=1),MAX(0,(Slot6_Cost-BV65*(1+Slot6_Rate)^(Slot6_Age-D65))/JS65),0)</f>
        <v>0</v>
      </c>
      <c r="JU65" s="1" t="n">
        <f aca="false">IF(AND(HT65=1,ID65&gt;0,Slot6_IsWG=1,BU65=1),MIN(ID65,JT65),0)</f>
        <v>0</v>
      </c>
      <c r="JV65" s="1" t="n">
        <f aca="false">BV65+JU65</f>
        <v>0</v>
      </c>
      <c r="JW65" s="1" t="n">
        <f aca="false">IF(BU65=1,MAX(0,(Slot6_Cost-JV65*(1+Slot6_Rate)^(Slot6_Age-D65))/JS65),0)</f>
        <v>0</v>
      </c>
      <c r="JX65" s="1" t="n">
        <f aca="false">IF(BU65=1,MAX(0,(Slot6_Cost-BV65*(1+Slot6_Rate)^(Slot6_Age-D65))/JS65),0)</f>
        <v>0</v>
      </c>
      <c r="JY65" s="1" t="n">
        <f aca="false">IF(AND(HT65=1,BU65=1),MIN(JR65,JW65),0)</f>
        <v>0</v>
      </c>
      <c r="JZ65" s="1" t="n">
        <f aca="false">JR65-JY65</f>
        <v>0</v>
      </c>
      <c r="KA65" s="1" t="n">
        <f aca="false">IF(CE65=1,IF(ABS((1+AS_Wage)/(1+Slot7_Rate)-1)&lt;0.000000000001,(Slot7_Age-D65)*(1+Slot7_Rate)^(Slot7_Age-D65),(1+Slot7_Rate)^(Slot7_Age-D65)*(1-((1+AS_Wage)/(1+Slot7_Rate))^(Slot7_Age-D65))/(1-(1+AS_Wage)/(1+Slot7_Rate))),1)</f>
        <v>1</v>
      </c>
      <c r="KB65" s="1" t="n">
        <f aca="false">IF(AND(HT65=1,ID65&gt;0,Slot7_IsWG=1,CE65=1),MAX(0,(Slot7_Cost-CF65*(1+Slot7_Rate)^(Slot7_Age-D65))/KA65),0)</f>
        <v>0</v>
      </c>
      <c r="KC65" s="1" t="n">
        <f aca="false">IF(AND(HT65=1,ID65&gt;0,Slot7_IsWG=1,CE65=1),MIN(ID65,KB65),0)</f>
        <v>0</v>
      </c>
      <c r="KD65" s="1" t="n">
        <f aca="false">CF65+KC65</f>
        <v>0</v>
      </c>
      <c r="KE65" s="1" t="n">
        <f aca="false">IF(CE65=1,MAX(0,(Slot7_Cost-KD65*(1+Slot7_Rate)^(Slot7_Age-D65))/KA65),0)</f>
        <v>0</v>
      </c>
      <c r="KF65" s="1" t="n">
        <f aca="false">IF(CE65=1,MAX(0,(Slot7_Cost-CF65*(1+Slot7_Rate)^(Slot7_Age-D65))/KA65),0)</f>
        <v>0</v>
      </c>
      <c r="KG65" s="1" t="n">
        <f aca="false">IF(AND(HT65=1,CE65=1),MIN(JZ65,KE65),0)</f>
        <v>0</v>
      </c>
      <c r="KH65" s="1" t="n">
        <f aca="false">JZ65-KG65</f>
        <v>0</v>
      </c>
      <c r="KI65" s="1" t="n">
        <f aca="false">IF(CO65=1,IF(ABS((1+AS_Wage)/(1+Slot8_Rate)-1)&lt;0.000000000001,(Slot8_Age-D65)*(1+Slot8_Rate)^(Slot8_Age-D65),(1+Slot8_Rate)^(Slot8_Age-D65)*(1-((1+AS_Wage)/(1+Slot8_Rate))^(Slot8_Age-D65))/(1-(1+AS_Wage)/(1+Slot8_Rate))),1)</f>
        <v>1</v>
      </c>
      <c r="KJ65" s="1" t="n">
        <f aca="false">IF(AND(HT65=1,ID65&gt;0,Slot8_IsWG=1,CO65=1),MAX(0,(Slot8_Cost-CP65*(1+Slot8_Rate)^(Slot8_Age-D65))/KI65),0)</f>
        <v>0</v>
      </c>
      <c r="KK65" s="1" t="n">
        <f aca="false">IF(AND(HT65=1,ID65&gt;0,Slot8_IsWG=1,CO65=1),MIN(ID65,KJ65),0)</f>
        <v>0</v>
      </c>
      <c r="KL65" s="1" t="n">
        <f aca="false">CP65+KK65</f>
        <v>0</v>
      </c>
      <c r="KM65" s="1" t="n">
        <f aca="false">IF(CO65=1,MAX(0,(Slot8_Cost-KL65*(1+Slot8_Rate)^(Slot8_Age-D65))/KI65),0)</f>
        <v>0</v>
      </c>
      <c r="KN65" s="1" t="n">
        <f aca="false">IF(CO65=1,MAX(0,(Slot8_Cost-CP65*(1+Slot8_Rate)^(Slot8_Age-D65))/KI65),0)</f>
        <v>0</v>
      </c>
      <c r="KO65" s="1" t="n">
        <f aca="false">IF(AND(HT65=1,CO65=1),MIN(KH65,KM65),0)</f>
        <v>0</v>
      </c>
      <c r="KP65" s="1" t="n">
        <f aca="false">KH65-KO65</f>
        <v>0</v>
      </c>
      <c r="KQ65" s="1" t="n">
        <f aca="false">IF(CY65=1,IF(ABS((1+AS_Wage)/(1+Slot9_Rate)-1)&lt;0.000000000001,(Slot9_Age-D65)*(1+Slot9_Rate)^(Slot9_Age-D65),(1+Slot9_Rate)^(Slot9_Age-D65)*(1-((1+AS_Wage)/(1+Slot9_Rate))^(Slot9_Age-D65))/(1-(1+AS_Wage)/(1+Slot9_Rate))),1)</f>
        <v>1</v>
      </c>
      <c r="KR65" s="1" t="n">
        <f aca="false">IF(AND(HT65=1,ID65&gt;0,Slot9_IsWG=1,CY65=1),MAX(0,(Slot9_Cost-CZ65*(1+Slot9_Rate)^(Slot9_Age-D65))/KQ65),0)</f>
        <v>0</v>
      </c>
      <c r="KS65" s="1" t="n">
        <f aca="false">IF(AND(HT65=1,ID65&gt;0,Slot9_IsWG=1,CY65=1),MIN(ID65,KR65),0)</f>
        <v>0</v>
      </c>
      <c r="KT65" s="1" t="n">
        <f aca="false">CZ65+KS65</f>
        <v>0</v>
      </c>
      <c r="KU65" s="1" t="n">
        <f aca="false">IF(CY65=1,MAX(0,(Slot9_Cost-KT65*(1+Slot9_Rate)^(Slot9_Age-D65))/KQ65),0)</f>
        <v>0</v>
      </c>
      <c r="KV65" s="1" t="n">
        <f aca="false">IF(CY65=1,MAX(0,(Slot9_Cost-CZ65*(1+Slot9_Rate)^(Slot9_Age-D65))/KQ65),0)</f>
        <v>0</v>
      </c>
      <c r="KW65" s="1" t="n">
        <f aca="false">IF(AND(HT65=1,CY65=1),MIN(KP65,KU65),0)</f>
        <v>0</v>
      </c>
      <c r="KX65" s="1" t="n">
        <f aca="false">KP65-KW65</f>
        <v>0</v>
      </c>
      <c r="KY65" s="1" t="n">
        <f aca="false">IF(DI65=1,IF(ABS((1+AS_Wage)/(1+Slot10_Rate)-1)&lt;0.000000000001,(Slot10_Age-D65)*(1+Slot10_Rate)^(Slot10_Age-D65),(1+Slot10_Rate)^(Slot10_Age-D65)*(1-((1+AS_Wage)/(1+Slot10_Rate))^(Slot10_Age-D65))/(1-(1+AS_Wage)/(1+Slot10_Rate))),1)</f>
        <v>1</v>
      </c>
      <c r="KZ65" s="1" t="n">
        <f aca="false">IF(AND(HT65=1,ID65&gt;0,Slot10_IsWG=1,DI65=1),MAX(0,(Slot10_Cost-DJ65*(1+Slot10_Rate)^(Slot10_Age-D65))/KY65),0)</f>
        <v>0</v>
      </c>
      <c r="LA65" s="1" t="n">
        <f aca="false">IF(AND(HT65=1,ID65&gt;0,Slot10_IsWG=1,DI65=1),MIN(ID65,KZ65),0)</f>
        <v>0</v>
      </c>
      <c r="LB65" s="1" t="n">
        <f aca="false">DJ65+LA65</f>
        <v>0</v>
      </c>
      <c r="LC65" s="1" t="n">
        <f aca="false">IF(DI65=1,MAX(0,(Slot10_Cost-LB65*(1+Slot10_Rate)^(Slot10_Age-D65))/KY65),0)</f>
        <v>0</v>
      </c>
      <c r="LD65" s="1" t="n">
        <f aca="false">IF(DI65=1,MAX(0,(Slot10_Cost-DJ65*(1+Slot10_Rate)^(Slot10_Age-D65))/KY65),0)</f>
        <v>0</v>
      </c>
      <c r="LE65" s="1" t="n">
        <f aca="false">IF(AND(HT65=1,DI65=1),MIN(KX65,LC65),0)</f>
        <v>0</v>
      </c>
      <c r="LF65" s="1" t="n">
        <f aca="false">KX65-LE65</f>
        <v>0</v>
      </c>
      <c r="LG65" s="1" t="n">
        <f aca="false">IF(DS65=1,IF(ABS((1+AS_Wage)/(1+Slot11_Rate)-1)&lt;0.000000000001,(Slot11_Age-D65)*(1+Slot11_Rate)^(Slot11_Age-D65),(1+Slot11_Rate)^(Slot11_Age-D65)*(1-((1+AS_Wage)/(1+Slot11_Rate))^(Slot11_Age-D65))/(1-(1+AS_Wage)/(1+Slot11_Rate))),1)</f>
        <v>1</v>
      </c>
      <c r="LH65" s="1" t="n">
        <f aca="false">IF(AND(HT65=1,ID65&gt;0,Slot11_IsWG=1,DS65=1),MAX(0,(Slot11_Cost-DT65*(1+Slot11_Rate)^(Slot11_Age-D65))/LG65),0)</f>
        <v>0</v>
      </c>
      <c r="LI65" s="1" t="n">
        <f aca="false">IF(AND(HT65=1,ID65&gt;0,Slot11_IsWG=1,DS65=1),MIN(ID65,LH65),0)</f>
        <v>0</v>
      </c>
      <c r="LJ65" s="1" t="n">
        <f aca="false">DT65+LI65</f>
        <v>0</v>
      </c>
      <c r="LK65" s="1" t="n">
        <f aca="false">IF(DS65=1,MAX(0,(Slot11_Cost-LJ65*(1+Slot11_Rate)^(Slot11_Age-D65))/LG65),0)</f>
        <v>0</v>
      </c>
      <c r="LL65" s="1" t="n">
        <f aca="false">IF(DS65=1,MAX(0,(Slot11_Cost-DT65*(1+Slot11_Rate)^(Slot11_Age-D65))/LG65),0)</f>
        <v>0</v>
      </c>
      <c r="LM65" s="1" t="n">
        <f aca="false">IF(AND(HT65=1,DS65=1),MIN(LF65,LK65),0)</f>
        <v>0</v>
      </c>
      <c r="LN65" s="1" t="n">
        <f aca="false">LF65-LM65</f>
        <v>0</v>
      </c>
      <c r="LO65" s="1" t="n">
        <f aca="false">IF(EC65=1,IF(ABS((1+AS_Wage)/(1+Slot12_Rate)-1)&lt;0.000000000001,(Slot12_Age-D65)*(1+Slot12_Rate)^(Slot12_Age-D65),(1+Slot12_Rate)^(Slot12_Age-D65)*(1-((1+AS_Wage)/(1+Slot12_Rate))^(Slot12_Age-D65))/(1-(1+AS_Wage)/(1+Slot12_Rate))),1)</f>
        <v>1</v>
      </c>
      <c r="LP65" s="1" t="n">
        <f aca="false">IF(AND(HT65=1,ID65&gt;0,Slot12_IsWG=1,EC65=1),MAX(0,(Slot12_Cost-ED65*(1+Slot12_Rate)^(Slot12_Age-D65))/LO65),0)</f>
        <v>0</v>
      </c>
      <c r="LQ65" s="1" t="n">
        <f aca="false">IF(AND(HT65=1,ID65&gt;0,Slot12_IsWG=1,EC65=1),MIN(ID65,LP65),0)</f>
        <v>0</v>
      </c>
      <c r="LR65" s="1" t="n">
        <f aca="false">ED65+LQ65</f>
        <v>0</v>
      </c>
      <c r="LS65" s="1" t="n">
        <f aca="false">IF(EC65=1,MAX(0,(Slot12_Cost-LR65*(1+Slot12_Rate)^(Slot12_Age-D65))/LO65),0)</f>
        <v>0</v>
      </c>
      <c r="LT65" s="1" t="n">
        <f aca="false">IF(EC65=1,MAX(0,(Slot12_Cost-ED65*(1+Slot12_Rate)^(Slot12_Age-D65))/LO65),0)</f>
        <v>0</v>
      </c>
      <c r="LU65" s="1" t="n">
        <f aca="false">IF(AND(HT65=1,EC65=1),MIN(LN65,LS65),0)</f>
        <v>0</v>
      </c>
      <c r="LV65" s="1" t="n">
        <f aca="false">LN65-LU65</f>
        <v>0</v>
      </c>
      <c r="LW65" s="1" t="n">
        <f aca="false">IF(EM65=1,IF(ABS((1+AS_Wage)/(1+Slot13_Rate)-1)&lt;0.000000000001,(Slot13_Age-D65)*(1+Slot13_Rate)^(Slot13_Age-D65),(1+Slot13_Rate)^(Slot13_Age-D65)*(1-((1+AS_Wage)/(1+Slot13_Rate))^(Slot13_Age-D65))/(1-(1+AS_Wage)/(1+Slot13_Rate))),1)</f>
        <v>1</v>
      </c>
      <c r="LX65" s="1" t="n">
        <f aca="false">IF(AND(HT65=1,ID65&gt;0,Slot13_IsWG=1,EM65=1),MAX(0,(Slot13_Cost-EN65*(1+Slot13_Rate)^(Slot13_Age-D65))/LW65),0)</f>
        <v>0</v>
      </c>
      <c r="LY65" s="1" t="n">
        <f aca="false">IF(AND(HT65=1,ID65&gt;0,Slot13_IsWG=1,EM65=1),MIN(ID65,LX65),0)</f>
        <v>0</v>
      </c>
      <c r="LZ65" s="1" t="n">
        <f aca="false">EN65+LY65</f>
        <v>0</v>
      </c>
      <c r="MA65" s="1" t="n">
        <f aca="false">IF(EM65=1,MAX(0,(Slot13_Cost-LZ65*(1+Slot13_Rate)^(Slot13_Age-D65))/LW65),0)</f>
        <v>0</v>
      </c>
      <c r="MB65" s="1" t="n">
        <f aca="false">IF(EM65=1,MAX(0,(Slot13_Cost-EN65*(1+Slot13_Rate)^(Slot13_Age-D65))/LW65),0)</f>
        <v>0</v>
      </c>
      <c r="MC65" s="1" t="n">
        <f aca="false">IF(AND(HT65=1,EM65=1),MIN(LV65,MA65),0)</f>
        <v>0</v>
      </c>
      <c r="MD65" s="1" t="n">
        <f aca="false">LV65-MC65</f>
        <v>0</v>
      </c>
      <c r="ME65" s="1" t="n">
        <f aca="false">IF(EW65=1,IF(ABS((1+AS_Wage)/(1+Slot14_Rate)-1)&lt;0.000000000001,(Slot14_Age-D65)*(1+Slot14_Rate)^(Slot14_Age-D65),(1+Slot14_Rate)^(Slot14_Age-D65)*(1-((1+AS_Wage)/(1+Slot14_Rate))^(Slot14_Age-D65))/(1-(1+AS_Wage)/(1+Slot14_Rate))),1)</f>
        <v>1</v>
      </c>
      <c r="MF65" s="1" t="n">
        <f aca="false">IF(AND(HT65=1,ID65&gt;0,Slot14_IsWG=1,EW65=1),MAX(0,(Slot14_Cost-EX65*(1+Slot14_Rate)^(Slot14_Age-D65))/ME65),0)</f>
        <v>0</v>
      </c>
      <c r="MG65" s="1" t="n">
        <f aca="false">IF(AND(HT65=1,ID65&gt;0,Slot14_IsWG=1,EW65=1),MIN(ID65,MF65),0)</f>
        <v>0</v>
      </c>
      <c r="MH65" s="1" t="n">
        <f aca="false">EX65+MG65</f>
        <v>0</v>
      </c>
      <c r="MI65" s="1" t="n">
        <f aca="false">IF(EW65=1,MAX(0,(Slot14_Cost-MH65*(1+Slot14_Rate)^(Slot14_Age-D65))/ME65),0)</f>
        <v>0</v>
      </c>
      <c r="MJ65" s="1" t="n">
        <f aca="false">IF(EW65=1,MAX(0,(Slot14_Cost-EX65*(1+Slot14_Rate)^(Slot14_Age-D65))/ME65),0)</f>
        <v>0</v>
      </c>
      <c r="MK65" s="1" t="n">
        <f aca="false">IF(AND(HT65=1,EW65=1),MIN(MD65,MI65),0)</f>
        <v>0</v>
      </c>
      <c r="ML65" s="1" t="n">
        <f aca="false">MD65-MK65</f>
        <v>0</v>
      </c>
      <c r="MM65" s="1" t="n">
        <f aca="false">IF(FG65=1,IF(ABS((1+AS_Wage)/(1+Slot15_Rate)-1)&lt;0.000000000001,(Slot15_Age-D65)*(1+Slot15_Rate)^(Slot15_Age-D65),(1+Slot15_Rate)^(Slot15_Age-D65)*(1-((1+AS_Wage)/(1+Slot15_Rate))^(Slot15_Age-D65))/(1-(1+AS_Wage)/(1+Slot15_Rate))),1)</f>
        <v>1</v>
      </c>
      <c r="MN65" s="1" t="n">
        <f aca="false">IF(AND(HT65=1,ID65&gt;0,Slot15_IsWG=1,FG65=1),MAX(0,(Slot15_Cost-FH65*(1+Slot15_Rate)^(Slot15_Age-D65))/MM65),0)</f>
        <v>0</v>
      </c>
      <c r="MO65" s="1" t="n">
        <f aca="false">IF(AND(HT65=1,ID65&gt;0,Slot15_IsWG=1,FG65=1),MIN(ID65,MN65),0)</f>
        <v>0</v>
      </c>
      <c r="MP65" s="1" t="n">
        <f aca="false">FH65+MO65</f>
        <v>0</v>
      </c>
      <c r="MQ65" s="1" t="n">
        <f aca="false">IF(FG65=1,MAX(0,(Slot15_Cost-MP65*(1+Slot15_Rate)^(Slot15_Age-D65))/MM65),0)</f>
        <v>0</v>
      </c>
      <c r="MR65" s="1" t="n">
        <f aca="false">IF(FG65=1,MAX(0,(Slot15_Cost-FH65*(1+Slot15_Rate)^(Slot15_Age-D65))/MM65),0)</f>
        <v>0</v>
      </c>
      <c r="MS65" s="1" t="n">
        <f aca="false">IF(AND(HT65=1,FG65=1),MIN(ML65,MQ65),0)</f>
        <v>0</v>
      </c>
      <c r="MT65" s="1" t="n">
        <f aca="false">ML65-MS65</f>
        <v>0</v>
      </c>
      <c r="MU65" s="1" t="n">
        <f aca="false">IF(FQ65=1,IF(ABS((1+AS_Wage)/(1+Slot16_Rate)-1)&lt;0.000000000001,(Slot16_Age-D65)*(1+Slot16_Rate)^(Slot16_Age-D65),(1+Slot16_Rate)^(Slot16_Age-D65)*(1-((1+AS_Wage)/(1+Slot16_Rate))^(Slot16_Age-D65))/(1-(1+AS_Wage)/(1+Slot16_Rate))),1)</f>
        <v>1</v>
      </c>
      <c r="MV65" s="1" t="n">
        <f aca="false">IF(AND(HT65=1,ID65&gt;0,Slot16_IsWG=1,FQ65=1),MAX(0,(Slot16_Cost-FR65*(1+Slot16_Rate)^(Slot16_Age-D65))/MU65),0)</f>
        <v>0</v>
      </c>
      <c r="MW65" s="1" t="n">
        <f aca="false">IF(AND(HT65=1,ID65&gt;0,Slot16_IsWG=1,FQ65=1),MIN(ID65,MV65),0)</f>
        <v>0</v>
      </c>
      <c r="MX65" s="1" t="n">
        <f aca="false">FR65+MW65</f>
        <v>0</v>
      </c>
      <c r="MY65" s="1" t="n">
        <f aca="false">IF(FQ65=1,MAX(0,(Slot16_Cost-MX65*(1+Slot16_Rate)^(Slot16_Age-D65))/MU65),0)</f>
        <v>0</v>
      </c>
      <c r="MZ65" s="1" t="n">
        <f aca="false">IF(FQ65=1,MAX(0,(Slot16_Cost-FR65*(1+Slot16_Rate)^(Slot16_Age-D65))/MU65),0)</f>
        <v>0</v>
      </c>
      <c r="NA65" s="1" t="n">
        <f aca="false">IF(AND(HT65=1,FQ65=1),MIN(MT65,MY65),0)</f>
        <v>0</v>
      </c>
      <c r="NB65" s="1" t="n">
        <f aca="false">MT65-NA65</f>
        <v>0</v>
      </c>
      <c r="NC65" s="1" t="n">
        <f aca="false">IF(GA65=1,IF(ABS((1+AS_Wage)/(1+Slot17_Rate)-1)&lt;0.000000000001,(Slot17_Age-D65)*(1+Slot17_Rate)^(Slot17_Age-D65),(1+Slot17_Rate)^(Slot17_Age-D65)*(1-((1+AS_Wage)/(1+Slot17_Rate))^(Slot17_Age-D65))/(1-(1+AS_Wage)/(1+Slot17_Rate))),1)</f>
        <v>1</v>
      </c>
      <c r="ND65" s="1" t="n">
        <f aca="false">IF(AND(HT65=1,ID65&gt;0,Slot17_IsWG=1,GA65=1),MAX(0,(Slot17_Cost-GB65*(1+Slot17_Rate)^(Slot17_Age-D65))/NC65),0)</f>
        <v>0</v>
      </c>
      <c r="NE65" s="1" t="n">
        <f aca="false">IF(AND(HT65=1,ID65&gt;0,Slot17_IsWG=1,GA65=1),MIN(ID65,ND65),0)</f>
        <v>0</v>
      </c>
      <c r="NF65" s="1" t="n">
        <f aca="false">GB65+NE65</f>
        <v>0</v>
      </c>
      <c r="NG65" s="1" t="n">
        <f aca="false">IF(GA65=1,MAX(0,(Slot17_Cost-NF65*(1+Slot17_Rate)^(Slot17_Age-D65))/NC65),0)</f>
        <v>0</v>
      </c>
      <c r="NH65" s="1" t="n">
        <f aca="false">IF(GA65=1,MAX(0,(Slot17_Cost-GB65*(1+Slot17_Rate)^(Slot17_Age-D65))/NC65),0)</f>
        <v>0</v>
      </c>
      <c r="NI65" s="1" t="n">
        <f aca="false">IF(AND(HT65=1,GA65=1),MIN(NB65,NG65),0)</f>
        <v>0</v>
      </c>
      <c r="NJ65" s="1" t="n">
        <f aca="false">NB65-NI65</f>
        <v>0</v>
      </c>
      <c r="NK65" s="1" t="n">
        <f aca="false">IF(GK65=1,IF(ABS((1+AS_Wage)/(1+Slot18_Rate)-1)&lt;0.000000000001,(Slot18_Age-D65)*(1+Slot18_Rate)^(Slot18_Age-D65),(1+Slot18_Rate)^(Slot18_Age-D65)*(1-((1+AS_Wage)/(1+Slot18_Rate))^(Slot18_Age-D65))/(1-(1+AS_Wage)/(1+Slot18_Rate))),1)</f>
        <v>1</v>
      </c>
      <c r="NL65" s="1" t="n">
        <f aca="false">IF(AND(HT65=1,ID65&gt;0,Slot18_IsWG=1,GK65=1),MAX(0,(Slot18_Cost-GL65*(1+Slot18_Rate)^(Slot18_Age-D65))/NK65),0)</f>
        <v>0</v>
      </c>
      <c r="NM65" s="1" t="n">
        <f aca="false">IF(AND(HT65=1,ID65&gt;0,Slot18_IsWG=1,GK65=1),MIN(ID65,NL65),0)</f>
        <v>0</v>
      </c>
      <c r="NN65" s="1" t="n">
        <f aca="false">GL65+NM65</f>
        <v>0</v>
      </c>
      <c r="NO65" s="1" t="n">
        <f aca="false">IF(GK65=1,MAX(0,(Slot18_Cost-NN65*(1+Slot18_Rate)^(Slot18_Age-D65))/NK65),0)</f>
        <v>0</v>
      </c>
      <c r="NP65" s="1" t="n">
        <f aca="false">IF(GK65=1,MAX(0,(Slot18_Cost-GL65*(1+Slot18_Rate)^(Slot18_Age-D65))/NK65),0)</f>
        <v>0</v>
      </c>
      <c r="NQ65" s="1" t="n">
        <f aca="false">IF(AND(HT65=1,GK65=1),MIN(NJ65,NO65),0)</f>
        <v>0</v>
      </c>
      <c r="NR65" s="1" t="n">
        <f aca="false">NJ65-NQ65</f>
        <v>0</v>
      </c>
      <c r="NS65" s="1" t="n">
        <f aca="false">IF(GU65=1,IF(ABS((1+AS_Wage)/(1+Slot19_Rate)-1)&lt;0.000000000001,(Slot19_Age-D65)*(1+Slot19_Rate)^(Slot19_Age-D65),(1+Slot19_Rate)^(Slot19_Age-D65)*(1-((1+AS_Wage)/(1+Slot19_Rate))^(Slot19_Age-D65))/(1-(1+AS_Wage)/(1+Slot19_Rate))),1)</f>
        <v>1</v>
      </c>
      <c r="NT65" s="1" t="n">
        <f aca="false">IF(AND(HT65=1,ID65&gt;0,Slot19_IsWG=1,GU65=1),MAX(0,(Slot19_Cost-GV65*(1+Slot19_Rate)^(Slot19_Age-D65))/NS65),0)</f>
        <v>0</v>
      </c>
      <c r="NU65" s="1" t="n">
        <f aca="false">IF(AND(HT65=1,ID65&gt;0,Slot19_IsWG=1,GU65=1),MIN(ID65,NT65),0)</f>
        <v>0</v>
      </c>
      <c r="NV65" s="1" t="n">
        <f aca="false">GV65+NU65</f>
        <v>0</v>
      </c>
      <c r="NW65" s="1" t="n">
        <f aca="false">IF(GU65=1,MAX(0,(Slot19_Cost-NV65*(1+Slot19_Rate)^(Slot19_Age-D65))/NS65),0)</f>
        <v>0</v>
      </c>
      <c r="NX65" s="1" t="n">
        <f aca="false">IF(GU65=1,MAX(0,(Slot19_Cost-GV65*(1+Slot19_Rate)^(Slot19_Age-D65))/NS65),0)</f>
        <v>0</v>
      </c>
      <c r="NY65" s="1" t="n">
        <f aca="false">IF(AND(HT65=1,GU65=1),MIN(NR65,NW65),0)</f>
        <v>0</v>
      </c>
      <c r="NZ65" s="1" t="n">
        <f aca="false">NR65-NY65</f>
        <v>0</v>
      </c>
      <c r="OA65" s="1" t="n">
        <f aca="false">IF(HE65=1,IF(ABS((1+AS_Wage)/(1+Slot20_Rate)-1)&lt;0.000000000001,(Slot20_Age-D65)*(1+Slot20_Rate)^(Slot20_Age-D65),(1+Slot20_Rate)^(Slot20_Age-D65)*(1-((1+AS_Wage)/(1+Slot20_Rate))^(Slot20_Age-D65))/(1-(1+AS_Wage)/(1+Slot20_Rate))),1)</f>
        <v>1</v>
      </c>
      <c r="OB65" s="1" t="n">
        <f aca="false">IF(AND(HT65=1,ID65&gt;0,Slot20_IsWG=1,HE65=1),MAX(0,(Slot20_Cost-HF65*(1+Slot20_Rate)^(Slot20_Age-D65))/OA65),0)</f>
        <v>0</v>
      </c>
      <c r="OC65" s="1" t="n">
        <f aca="false">IF(AND(HT65=1,ID65&gt;0,Slot20_IsWG=1,HE65=1),MIN(ID65,OB65),0)</f>
        <v>0</v>
      </c>
      <c r="OD65" s="1" t="n">
        <f aca="false">HF65+OC65</f>
        <v>0</v>
      </c>
      <c r="OE65" s="1" t="n">
        <f aca="false">IF(HE65=1,MAX(0,(Slot20_Cost-OD65*(1+Slot20_Rate)^(Slot20_Age-D65))/OA65),0)</f>
        <v>0</v>
      </c>
      <c r="OF65" s="1" t="n">
        <f aca="false">IF(HE65=1,MAX(0,(Slot20_Cost-HF65*(1+Slot20_Rate)^(Slot20_Age-D65))/OA65),0)</f>
        <v>0</v>
      </c>
      <c r="OG65" s="1" t="n">
        <f aca="false">IF(AND(HT65=1,HE65=1),MIN(NZ65,OE65),0)</f>
        <v>0</v>
      </c>
      <c r="OH65" s="1" t="n">
        <f aca="false">NZ65-OG65</f>
        <v>0</v>
      </c>
      <c r="OI65" s="1" t="n">
        <f aca="false">ID65-(IG65+IO65+IW65+JE65+JM65+JU65+KC65+KK65+KS65+LA65+LI65+LQ65+LY65+MG65+MO65+MW65+NE65+NM65+NU65+OC65)</f>
        <v>0</v>
      </c>
      <c r="OJ65" s="1" t="n">
        <f aca="false">IF(HT65=1,HR65-IC65-ID65,0)</f>
        <v>0</v>
      </c>
      <c r="OK65" s="1" t="n">
        <f aca="false">IF(HT65=0,-HR65,0)</f>
        <v>0</v>
      </c>
      <c r="OL65" s="1" t="n">
        <f aca="false">MIN(OK65,HJ65)</f>
        <v>0</v>
      </c>
      <c r="OM65" s="1" t="n">
        <f aca="false">OK65-OL65</f>
        <v>0</v>
      </c>
      <c r="ON65" s="1" t="n">
        <f aca="false">MIN(OM65,HK65)</f>
        <v>0</v>
      </c>
      <c r="OO65" s="1" t="n">
        <f aca="false">OM65-ON65</f>
        <v>0</v>
      </c>
      <c r="OP65" s="1" t="n">
        <f aca="false">IF(AND(HT65=0,HE65=1,OO65&gt;0),MIN(OO65,HF65),0)</f>
        <v>0</v>
      </c>
      <c r="OQ65" s="1" t="n">
        <f aca="false">OO65-OP65</f>
        <v>0</v>
      </c>
      <c r="OR65" s="1" t="n">
        <f aca="false">IF(AND(HT65=0,GU65=1,OQ65&gt;0),MIN(OQ65,GV65),0)</f>
        <v>0</v>
      </c>
      <c r="OS65" s="1" t="n">
        <f aca="false">OQ65-OR65</f>
        <v>0</v>
      </c>
      <c r="OT65" s="1" t="n">
        <f aca="false">IF(AND(HT65=0,GK65=1,OS65&gt;0),MIN(OS65,GL65),0)</f>
        <v>0</v>
      </c>
      <c r="OU65" s="1" t="n">
        <f aca="false">OS65-OT65</f>
        <v>0</v>
      </c>
      <c r="OV65" s="1" t="n">
        <f aca="false">IF(AND(HT65=0,GA65=1,OU65&gt;0),MIN(OU65,GB65),0)</f>
        <v>0</v>
      </c>
      <c r="OW65" s="1" t="n">
        <f aca="false">OU65-OV65</f>
        <v>0</v>
      </c>
      <c r="OX65" s="1" t="n">
        <f aca="false">IF(AND(HT65=0,FQ65=1,OW65&gt;0),MIN(OW65,FR65),0)</f>
        <v>0</v>
      </c>
      <c r="OY65" s="1" t="n">
        <f aca="false">OW65-OX65</f>
        <v>0</v>
      </c>
      <c r="OZ65" s="1" t="n">
        <f aca="false">IF(AND(HT65=0,FG65=1,OY65&gt;0),MIN(OY65,FH65),0)</f>
        <v>0</v>
      </c>
      <c r="PA65" s="1" t="n">
        <f aca="false">OY65-OZ65</f>
        <v>0</v>
      </c>
      <c r="PB65" s="1" t="n">
        <f aca="false">IF(AND(HT65=0,EW65=1,PA65&gt;0),MIN(PA65,EX65),0)</f>
        <v>0</v>
      </c>
      <c r="PC65" s="1" t="n">
        <f aca="false">PA65-PB65</f>
        <v>0</v>
      </c>
      <c r="PD65" s="1" t="n">
        <f aca="false">IF(AND(HT65=0,EM65=1,PC65&gt;0),MIN(PC65,EN65),0)</f>
        <v>0</v>
      </c>
      <c r="PE65" s="1" t="n">
        <f aca="false">PC65-PD65</f>
        <v>0</v>
      </c>
      <c r="PF65" s="1" t="n">
        <f aca="false">IF(AND(HT65=0,EC65=1,PE65&gt;0),MIN(PE65,ED65),0)</f>
        <v>0</v>
      </c>
      <c r="PG65" s="1" t="n">
        <f aca="false">PE65-PF65</f>
        <v>0</v>
      </c>
      <c r="PH65" s="1" t="n">
        <f aca="false">IF(AND(HT65=0,DS65=1,PG65&gt;0),MIN(PG65,DT65),0)</f>
        <v>0</v>
      </c>
      <c r="PI65" s="1" t="n">
        <f aca="false">PG65-PH65</f>
        <v>0</v>
      </c>
      <c r="PJ65" s="1" t="n">
        <f aca="false">IF(AND(HT65=0,DI65=1,PI65&gt;0),MIN(PI65,DJ65),0)</f>
        <v>0</v>
      </c>
      <c r="PK65" s="1" t="n">
        <f aca="false">PI65-PJ65</f>
        <v>0</v>
      </c>
      <c r="PL65" s="1" t="n">
        <f aca="false">IF(AND(HT65=0,CY65=1,PK65&gt;0),MIN(PK65,CZ65),0)</f>
        <v>0</v>
      </c>
      <c r="PM65" s="1" t="n">
        <f aca="false">PK65-PL65</f>
        <v>0</v>
      </c>
      <c r="PN65" s="1" t="n">
        <f aca="false">IF(AND(HT65=0,CO65=1,PM65&gt;0),MIN(PM65,CP65),0)</f>
        <v>0</v>
      </c>
      <c r="PO65" s="1" t="n">
        <f aca="false">PM65-PN65</f>
        <v>0</v>
      </c>
      <c r="PP65" s="1" t="n">
        <f aca="false">IF(AND(HT65=0,CE65=1,PO65&gt;0),MIN(PO65,CF65),0)</f>
        <v>0</v>
      </c>
      <c r="PQ65" s="1" t="n">
        <f aca="false">PO65-PP65</f>
        <v>0</v>
      </c>
      <c r="PR65" s="1" t="n">
        <f aca="false">IF(AND(HT65=0,BU65=1,PQ65&gt;0),MIN(PQ65,BV65),0)</f>
        <v>0</v>
      </c>
      <c r="PS65" s="1" t="n">
        <f aca="false">PQ65-PR65</f>
        <v>0</v>
      </c>
      <c r="PT65" s="1" t="n">
        <f aca="false">IF(AND(HT65=0,BK65=1,PS65&gt;0),MIN(PS65,BL65),0)</f>
        <v>0</v>
      </c>
      <c r="PU65" s="1" t="n">
        <f aca="false">PS65-PT65</f>
        <v>0</v>
      </c>
      <c r="PV65" s="1" t="n">
        <f aca="false">IF(AND(HT65=0,BA65=1,PU65&gt;0),MIN(PU65,BB65),0)</f>
        <v>0</v>
      </c>
      <c r="PW65" s="1" t="n">
        <f aca="false">PU65-PV65</f>
        <v>0</v>
      </c>
      <c r="PX65" s="1" t="n">
        <f aca="false">IF(AND(HT65=0,AQ65=1,PW65&gt;0),MIN(PW65,AR65),0)</f>
        <v>0</v>
      </c>
      <c r="PY65" s="1" t="n">
        <f aca="false">PW65-PX65</f>
        <v>0</v>
      </c>
      <c r="PZ65" s="1" t="n">
        <f aca="false">IF(AND(HT65=0,AG65=1,PY65&gt;0),MIN(PY65,AH65),0)</f>
        <v>0</v>
      </c>
      <c r="QA65" s="1" t="n">
        <f aca="false">PY65-PZ65</f>
        <v>0</v>
      </c>
      <c r="QB65" s="1" t="n">
        <f aca="false">IF(AND(HT65=0,V65=1,QA65&gt;0),MIN(QA65,W65),0)</f>
        <v>0</v>
      </c>
      <c r="QC65" s="1" t="n">
        <f aca="false">QA65-QB65</f>
        <v>0</v>
      </c>
      <c r="QD65" s="1" t="n">
        <f aca="false">IF(HT65=0,QC65,0)</f>
        <v>0</v>
      </c>
      <c r="QE65" s="1" t="n">
        <f aca="false">OL65+ON65+QB65+PZ65+PX65+PV65+PT65+PR65+PP65+PN65+PL65+PJ65+PH65+PF65+PD65+PB65+OZ65+OX65+OV65+OT65+OR65+OP65</f>
        <v>0</v>
      </c>
      <c r="QF65" s="1" t="n">
        <f aca="false">IF(HT65=1,HJ65+OI65+OH65+IF(F65=1,0,OJ65),HJ65-OL65)</f>
        <v>0</v>
      </c>
      <c r="QG65" s="1" t="n">
        <f aca="false">HK65-ON65</f>
        <v>0</v>
      </c>
      <c r="QH65" s="1" t="n">
        <f aca="false">IF(HT65=1,IF(F65=1,IC65+ID65,HR65),0)</f>
        <v>0</v>
      </c>
      <c r="QI65" s="1" t="n">
        <f aca="false">IF(HT65=1,IF(F65=1,HR65-IC65-ID65,0),0)</f>
        <v>0</v>
      </c>
      <c r="QJ65" s="1" t="n">
        <f aca="false">QF65*(1+GR)</f>
        <v>0</v>
      </c>
      <c r="QK65" s="1" t="n">
        <f aca="false">QG65*(1+AS_Cash)</f>
        <v>0</v>
      </c>
      <c r="QL65" s="1" t="n">
        <f aca="false">IF(V65=1,IF(HT65=1,IH65+IK65,W65-QB65)*(1+Slot1_Rate),0)</f>
        <v>0</v>
      </c>
      <c r="QM65" s="1" t="n">
        <f aca="false">IF(AND(HT65=1,V65=1),(IG65+IK65)/E65,0)</f>
        <v>0</v>
      </c>
      <c r="QN65" s="1" t="n">
        <f aca="false">IF(B65=0,IG65+IK65,0)</f>
        <v>0</v>
      </c>
      <c r="QO65" s="1" t="n">
        <f aca="false">IF(B65=0,IF(HT65=1,II65,IJ65),0)</f>
        <v>0</v>
      </c>
      <c r="QP65" s="1" t="n">
        <f aca="false">IF(AG65=1,IF(HT65=1,IP65+IS65,AH65-PZ65)*(1+Slot2_Rate),0)</f>
        <v>0</v>
      </c>
      <c r="QQ65" s="1" t="n">
        <f aca="false">IF(AND(HT65=1,AG65=1),(IO65+IS65)/E65,0)</f>
        <v>0</v>
      </c>
      <c r="QR65" s="1" t="n">
        <f aca="false">IF(B65=0,IO65+IS65,0)</f>
        <v>0</v>
      </c>
      <c r="QS65" s="1" t="n">
        <f aca="false">IF(B65=0,IF(HT65=1,IQ65,IR65),0)</f>
        <v>0</v>
      </c>
      <c r="QT65" s="1" t="n">
        <f aca="false">IF(AQ65=1,IF(HT65=1,IX65+JA65,AR65-PX65)*(1+Slot3_Rate),0)</f>
        <v>0</v>
      </c>
      <c r="QU65" s="1" t="n">
        <f aca="false">IF(AND(HT65=1,AQ65=1),(IW65+JA65)/E65,0)</f>
        <v>0</v>
      </c>
      <c r="QV65" s="1" t="n">
        <f aca="false">IF(B65=0,IW65+JA65,0)</f>
        <v>0</v>
      </c>
      <c r="QW65" s="1" t="n">
        <f aca="false">IF(B65=0,IF(HT65=1,IY65,IZ65),0)</f>
        <v>0</v>
      </c>
      <c r="QX65" s="1" t="n">
        <f aca="false">IF(BA65=1,IF(HT65=1,JF65+JI65,BB65-PV65)*(1+Slot4_Rate),0)</f>
        <v>0</v>
      </c>
      <c r="QY65" s="1" t="n">
        <f aca="false">IF(AND(HT65=1,BA65=1),(JE65+JI65)/E65,0)</f>
        <v>0</v>
      </c>
      <c r="QZ65" s="1" t="n">
        <f aca="false">IF(B65=0,JE65+JI65,0)</f>
        <v>0</v>
      </c>
      <c r="RA65" s="1" t="n">
        <f aca="false">IF(B65=0,IF(HT65=1,JG65,JH65),0)</f>
        <v>0</v>
      </c>
      <c r="RB65" s="1" t="n">
        <f aca="false">IF(BK65=1,IF(HT65=1,JN65+JQ65,BL65-PT65)*(1+Slot5_Rate),0)</f>
        <v>0</v>
      </c>
      <c r="RC65" s="1" t="n">
        <f aca="false">IF(AND(HT65=1,BK65=1),(JM65+JQ65)/E65,0)</f>
        <v>0</v>
      </c>
      <c r="RD65" s="1" t="n">
        <f aca="false">IF(B65=0,JM65+JQ65,0)</f>
        <v>0</v>
      </c>
      <c r="RE65" s="1" t="n">
        <f aca="false">IF(B65=0,IF(HT65=1,JO65,JP65),0)</f>
        <v>0</v>
      </c>
      <c r="RF65" s="1" t="n">
        <f aca="false">IF(BU65=1,IF(HT65=1,JV65+JY65,BV65-PR65)*(1+Slot6_Rate),0)</f>
        <v>0</v>
      </c>
      <c r="RG65" s="1" t="n">
        <f aca="false">IF(AND(HT65=1,BU65=1),(JU65+JY65)/E65,0)</f>
        <v>0</v>
      </c>
      <c r="RH65" s="1" t="n">
        <f aca="false">IF(B65=0,JU65+JY65,0)</f>
        <v>0</v>
      </c>
      <c r="RI65" s="1" t="n">
        <f aca="false">IF(B65=0,IF(HT65=1,JW65,JX65),0)</f>
        <v>0</v>
      </c>
      <c r="RJ65" s="1" t="n">
        <f aca="false">IF(CE65=1,IF(HT65=1,KD65+KG65,CF65-PP65)*(1+Slot7_Rate),0)</f>
        <v>0</v>
      </c>
      <c r="RK65" s="1" t="n">
        <f aca="false">IF(AND(HT65=1,CE65=1),(KC65+KG65)/E65,0)</f>
        <v>0</v>
      </c>
      <c r="RL65" s="1" t="n">
        <f aca="false">IF(B65=0,KC65+KG65,0)</f>
        <v>0</v>
      </c>
      <c r="RM65" s="1" t="n">
        <f aca="false">IF(B65=0,IF(HT65=1,KE65,KF65),0)</f>
        <v>0</v>
      </c>
      <c r="RN65" s="1" t="n">
        <f aca="false">IF(CO65=1,IF(HT65=1,KL65+KO65,CP65-PN65)*(1+Slot8_Rate),0)</f>
        <v>0</v>
      </c>
      <c r="RO65" s="1" t="n">
        <f aca="false">IF(AND(HT65=1,CO65=1),(KK65+KO65)/E65,0)</f>
        <v>0</v>
      </c>
      <c r="RP65" s="1" t="n">
        <f aca="false">IF(B65=0,KK65+KO65,0)</f>
        <v>0</v>
      </c>
      <c r="RQ65" s="1" t="n">
        <f aca="false">IF(B65=0,IF(HT65=1,KM65,KN65),0)</f>
        <v>0</v>
      </c>
      <c r="RR65" s="1" t="n">
        <f aca="false">IF(CY65=1,IF(HT65=1,KT65+KW65,CZ65-PL65)*(1+Slot9_Rate),0)</f>
        <v>0</v>
      </c>
      <c r="RS65" s="1" t="n">
        <f aca="false">IF(AND(HT65=1,CY65=1),(KS65+KW65)/E65,0)</f>
        <v>0</v>
      </c>
      <c r="RT65" s="1" t="n">
        <f aca="false">IF(B65=0,KS65+KW65,0)</f>
        <v>0</v>
      </c>
      <c r="RU65" s="1" t="n">
        <f aca="false">IF(B65=0,IF(HT65=1,KU65,KV65),0)</f>
        <v>0</v>
      </c>
      <c r="RV65" s="1" t="n">
        <f aca="false">IF(DI65=1,IF(HT65=1,LB65+LE65,DJ65-PJ65)*(1+Slot10_Rate),0)</f>
        <v>0</v>
      </c>
      <c r="RW65" s="1" t="n">
        <f aca="false">IF(AND(HT65=1,DI65=1),(LA65+LE65)/E65,0)</f>
        <v>0</v>
      </c>
      <c r="RX65" s="1" t="n">
        <f aca="false">IF(B65=0,LA65+LE65,0)</f>
        <v>0</v>
      </c>
      <c r="RY65" s="1" t="n">
        <f aca="false">IF(B65=0,IF(HT65=1,LC65,LD65),0)</f>
        <v>0</v>
      </c>
      <c r="RZ65" s="1" t="n">
        <f aca="false">IF(DS65=1,IF(HT65=1,LJ65+LM65,DT65-PH65)*(1+Slot11_Rate),0)</f>
        <v>0</v>
      </c>
      <c r="SA65" s="1" t="n">
        <f aca="false">IF(AND(HT65=1,DS65=1),(LI65+LM65)/E65,0)</f>
        <v>0</v>
      </c>
      <c r="SB65" s="1" t="n">
        <f aca="false">IF(B65=0,LI65+LM65,0)</f>
        <v>0</v>
      </c>
      <c r="SC65" s="1" t="n">
        <f aca="false">IF(B65=0,IF(HT65=1,LK65,LL65),0)</f>
        <v>0</v>
      </c>
      <c r="SD65" s="1" t="n">
        <f aca="false">IF(EC65=1,IF(HT65=1,LR65+LU65,ED65-PF65)*(1+Slot12_Rate),0)</f>
        <v>0</v>
      </c>
      <c r="SE65" s="1" t="n">
        <f aca="false">IF(AND(HT65=1,EC65=1),(LQ65+LU65)/E65,0)</f>
        <v>0</v>
      </c>
      <c r="SF65" s="1" t="n">
        <f aca="false">IF(B65=0,LQ65+LU65,0)</f>
        <v>0</v>
      </c>
      <c r="SG65" s="1" t="n">
        <f aca="false">IF(B65=0,IF(HT65=1,LS65,LT65),0)</f>
        <v>0</v>
      </c>
      <c r="SH65" s="1" t="n">
        <f aca="false">IF(EM65=1,IF(HT65=1,LZ65+MC65,EN65-PD65)*(1+Slot13_Rate),0)</f>
        <v>0</v>
      </c>
      <c r="SI65" s="1" t="n">
        <f aca="false">IF(AND(HT65=1,EM65=1),(LY65+MC65)/E65,0)</f>
        <v>0</v>
      </c>
      <c r="SJ65" s="1" t="n">
        <f aca="false">IF(B65=0,LY65+MC65,0)</f>
        <v>0</v>
      </c>
      <c r="SK65" s="1" t="n">
        <f aca="false">IF(B65=0,IF(HT65=1,MA65,MB65),0)</f>
        <v>0</v>
      </c>
      <c r="SL65" s="1" t="n">
        <f aca="false">IF(EW65=1,IF(HT65=1,MH65+MK65,EX65-PB65)*(1+Slot14_Rate),0)</f>
        <v>0</v>
      </c>
      <c r="SM65" s="1" t="n">
        <f aca="false">IF(AND(HT65=1,EW65=1),(MG65+MK65)/E65,0)</f>
        <v>0</v>
      </c>
      <c r="SN65" s="1" t="n">
        <f aca="false">IF(B65=0,MG65+MK65,0)</f>
        <v>0</v>
      </c>
      <c r="SO65" s="1" t="n">
        <f aca="false">IF(B65=0,IF(HT65=1,MI65,MJ65),0)</f>
        <v>0</v>
      </c>
      <c r="SP65" s="1" t="n">
        <f aca="false">IF(FG65=1,IF(HT65=1,MP65+MS65,FH65-OZ65)*(1+Slot15_Rate),0)</f>
        <v>0</v>
      </c>
      <c r="SQ65" s="1" t="n">
        <f aca="false">IF(AND(HT65=1,FG65=1),(MO65+MS65)/E65,0)</f>
        <v>0</v>
      </c>
      <c r="SR65" s="1" t="n">
        <f aca="false">IF(B65=0,MO65+MS65,0)</f>
        <v>0</v>
      </c>
      <c r="SS65" s="1" t="n">
        <f aca="false">IF(B65=0,IF(HT65=1,MQ65,MR65),0)</f>
        <v>0</v>
      </c>
      <c r="ST65" s="1" t="n">
        <f aca="false">IF(FQ65=1,IF(HT65=1,MX65+NA65,FR65-OX65)*(1+Slot16_Rate),0)</f>
        <v>0</v>
      </c>
      <c r="SU65" s="1" t="n">
        <f aca="false">IF(AND(HT65=1,FQ65=1),(MW65+NA65)/E65,0)</f>
        <v>0</v>
      </c>
      <c r="SV65" s="1" t="n">
        <f aca="false">IF(B65=0,MW65+NA65,0)</f>
        <v>0</v>
      </c>
      <c r="SW65" s="1" t="n">
        <f aca="false">IF(B65=0,IF(HT65=1,MY65,MZ65),0)</f>
        <v>0</v>
      </c>
      <c r="SX65" s="1" t="n">
        <f aca="false">IF(GA65=1,IF(HT65=1,NF65+NI65,GB65-OV65)*(1+Slot17_Rate),0)</f>
        <v>0</v>
      </c>
      <c r="SY65" s="1" t="n">
        <f aca="false">IF(AND(HT65=1,GA65=1),(NE65+NI65)/E65,0)</f>
        <v>0</v>
      </c>
      <c r="SZ65" s="1" t="n">
        <f aca="false">IF(B65=0,NE65+NI65,0)</f>
        <v>0</v>
      </c>
      <c r="TA65" s="1" t="n">
        <f aca="false">IF(B65=0,IF(HT65=1,NG65,NH65),0)</f>
        <v>0</v>
      </c>
      <c r="TB65" s="1" t="n">
        <f aca="false">IF(GK65=1,IF(HT65=1,NN65+NQ65,GL65-OT65)*(1+Slot18_Rate),0)</f>
        <v>0</v>
      </c>
      <c r="TC65" s="1" t="n">
        <f aca="false">IF(AND(HT65=1,GK65=1),(NM65+NQ65)/E65,0)</f>
        <v>0</v>
      </c>
      <c r="TD65" s="1" t="n">
        <f aca="false">IF(B65=0,NM65+NQ65,0)</f>
        <v>0</v>
      </c>
      <c r="TE65" s="1" t="n">
        <f aca="false">IF(B65=0,IF(HT65=1,NO65,NP65),0)</f>
        <v>0</v>
      </c>
      <c r="TF65" s="1" t="n">
        <f aca="false">IF(GU65=1,IF(HT65=1,NV65+NY65,GV65-OR65)*(1+Slot19_Rate),0)</f>
        <v>0</v>
      </c>
      <c r="TG65" s="1" t="n">
        <f aca="false">IF(AND(HT65=1,GU65=1),(NU65+NY65)/E65,0)</f>
        <v>0</v>
      </c>
      <c r="TH65" s="1" t="n">
        <f aca="false">IF(B65=0,NU65+NY65,0)</f>
        <v>0</v>
      </c>
      <c r="TI65" s="1" t="n">
        <f aca="false">IF(B65=0,IF(HT65=1,NW65,NX65),0)</f>
        <v>0</v>
      </c>
      <c r="TJ65" s="1" t="n">
        <f aca="false">IF(HE65=1,IF(HT65=1,OD65+OG65,HF65-OP65)*(1+Slot20_Rate),0)</f>
        <v>0</v>
      </c>
      <c r="TK65" s="1" t="n">
        <f aca="false">IF(AND(HT65=1,HE65=1),(OC65+OG65)/E65,0)</f>
        <v>0</v>
      </c>
      <c r="TL65" s="1" t="n">
        <f aca="false">IF(B65=0,OC65+OG65,0)</f>
        <v>0</v>
      </c>
      <c r="TM65" s="1" t="n">
        <f aca="false">IF(B65=0,IF(HT65=1,OE65,OF65),0)</f>
        <v>0</v>
      </c>
      <c r="TN65" s="1" t="n">
        <f aca="false">QJ65+QK65+QL65+QP65+QT65+QX65+RB65+RF65+RJ65+RN65+RR65+RV65+RZ65+SD65+SH65+SL65+SP65+ST65+SX65+TB65+TF65+TJ65</f>
        <v>0</v>
      </c>
      <c r="TO65" s="1" t="n">
        <f aca="false">QD65+HO65</f>
        <v>0</v>
      </c>
      <c r="TP65" s="1" t="n">
        <f aca="false">H65+R65</f>
        <v>0</v>
      </c>
      <c r="TQ65" s="1" t="n">
        <f aca="false">1-F65</f>
        <v>0</v>
      </c>
      <c r="TR65" s="1" t="n">
        <f aca="false">IF(AND(RG_Exists=1,F65=0,C65=1),H65,0)</f>
        <v>0</v>
      </c>
      <c r="TS65" s="1" t="n">
        <f aca="false">IF(AND(RG_Exists=1,F65=0,C65=1),H65-MIN(QD65,H65),0)</f>
        <v>0</v>
      </c>
      <c r="TT65" s="1" t="n">
        <f aca="false">'Plan pay &amp; tax'!AD291</f>
        <v>0</v>
      </c>
      <c r="TU65" s="1" t="n">
        <f aca="false">IF(AND(C65=1,QD65&gt;MAX(PR_Short1,TP65*PR_Short2)),1,0)</f>
        <v>0</v>
      </c>
      <c r="TV65" s="1" t="n">
        <f aca="false">MIN(G65,H65+R65)</f>
        <v>0</v>
      </c>
      <c r="TW65" s="1" t="n">
        <f aca="false">QE65+MAX(0,HP65-HO65)</f>
        <v>0</v>
      </c>
      <c r="TX65" s="1" t="n">
        <f aca="false">QD65+HO65</f>
        <v>0</v>
      </c>
      <c r="TY65" s="1" t="n">
        <f aca="false">IF(AND(C65=1,TX65&gt;PR_MinShort),1,0)</f>
        <v>0</v>
      </c>
      <c r="TZ65" s="1" t="n">
        <f aca="false">IF(AND(C65=1,TY65=0,TW65&gt;PR_MinShort),1,0)</f>
        <v>0</v>
      </c>
      <c r="UA65" s="1" t="n">
        <f aca="false">IF(AND(C65=1,QD65&gt;PR_MinShort),1,0)</f>
        <v>0</v>
      </c>
      <c r="UB65" s="1" t="n">
        <f aca="false">IF(AND(C65=1,QE65&gt;1,UI65=0),1,0)</f>
        <v>0</v>
      </c>
      <c r="UC65" s="1" t="str">
        <f aca="false">IF(C65=0,"",IF(UI65=1,"Gap to plan for: short "&amp;"€"&amp;TEXT(ROUND(TO65,0),"#,##0"),IF(QE65&gt;1,"Using savings","Comfortable")))</f>
        <v>Comfortable</v>
      </c>
      <c r="UD65" s="1" t="n">
        <f aca="false">IF(AND(INT(D65/10)*10=90,B65&gt;0),80,INT(D65/10)*10)</f>
        <v>50</v>
      </c>
      <c r="UE65" s="1" t="n">
        <f aca="false">IF(B65=0,1,IF(UD65&lt;&gt;UD64,UE64+1,UE64))</f>
        <v>6</v>
      </c>
      <c r="UF65" s="1" t="n">
        <f aca="false">IF(AND(C65=1,F65=1,QD65&gt;MAX(PR_Short1,TP65*PR_Short2)),1,0)</f>
        <v>0</v>
      </c>
      <c r="UG65" s="1" t="n">
        <f aca="false">TQ65*TU65</f>
        <v>0</v>
      </c>
      <c r="UH65" s="1" t="n">
        <f aca="false">IF(AND(U65=1,Slot1_PctLow=1),1,0)+IF(AND(AF65=1,Slot2_PctLow=1),1,0)+IF(AND(AP65=1,Slot3_PctLow=1),1,0)+IF(AND(AZ65=1,Slot4_PctLow=1),1,0)+IF(AND(BJ65=1,Slot5_PctLow=1),1,0)+IF(AND(BT65=1,Slot6_PctLow=1),1,0)+IF(AND(CD65=1,Slot7_PctLow=1),1,0)+IF(AND(CN65=1,Slot8_PctLow=1),1,0)+IF(AND(CX65=1,Slot9_PctLow=1),1,0)+IF(AND(DH65=1,Slot10_PctLow=1),1,0)+IF(AND(DR65=1,Slot11_PctLow=1),1,0)+IF(AND(EB65=1,Slot12_PctLow=1),1,0)+IF(AND(EL65=1,Slot13_PctLow=1),1,0)+IF(AND(EV65=1,Slot14_PctLow=1),1,0)+IF(AND(FF65=1,Slot15_PctLow=1),1,0)+IF(AND(FP65=1,Slot16_PctLow=1),1,0)+IF(AND(FZ65=1,Slot17_PctLow=1),1,0)+IF(AND(GJ65=1,Slot18_PctLow=1),1,0)+IF(AND(GT65=1,Slot19_PctLow=1),1,0)+IF(AND(HD65=1,Slot20_PctLow=1),1,0)</f>
        <v>0</v>
      </c>
      <c r="UI65" s="1" t="n">
        <f aca="false">IF(C65=1,IF(OR(TU65=1,UH65&gt;0),1,0),0)</f>
        <v>0</v>
      </c>
    </row>
    <row r="66" customFormat="false" ht="15" hidden="false" customHeight="true" outlineLevel="0" collapsed="false">
      <c r="B66" s="1" t="n">
        <v>58</v>
      </c>
      <c r="C66" s="1" t="n">
        <f aca="false">IF(B66&lt;=F_N,1,0)</f>
        <v>1</v>
      </c>
      <c r="D66" s="1" t="n">
        <f aca="false">'Plan pay &amp; tax'!C292</f>
        <v>58</v>
      </c>
      <c r="E66" s="111" t="n">
        <f aca="false">'Plan pay &amp; tax'!E292</f>
        <v>3.15362436405749</v>
      </c>
      <c r="F66" s="1" t="n">
        <f aca="false">'Plan pay &amp; tax'!G292</f>
        <v>1</v>
      </c>
      <c r="G66" s="1" t="n">
        <f aca="false">'Plan pay &amp; tax'!BT292-'Plan pay &amp; tax'!BS292-'Plan pay &amp; tax'!R292</f>
        <v>0</v>
      </c>
      <c r="H66" s="1" t="n">
        <f aca="false">IF(F66=1,F_CostsM*12,IF(RG_Exists=1,RG_Amount,F_CostsM*12*AS_RetireSpend))*E66+F_OneOffY*E66</f>
        <v>0</v>
      </c>
      <c r="I66" s="1" t="n">
        <f aca="false">HQ65</f>
        <v>0</v>
      </c>
      <c r="J66" s="1" t="n">
        <f aca="false">IF(I66&gt;1,'Plan debt months'!AC66,0)</f>
        <v>0</v>
      </c>
      <c r="K66" s="1" t="n">
        <f aca="false">IF(I66&gt;1,'Plan debt months'!AB66,I66)</f>
        <v>0</v>
      </c>
      <c r="L66" s="1" t="n">
        <f aca="false">N65</f>
        <v>0</v>
      </c>
      <c r="M66" s="1" t="n">
        <f aca="false">IF(L66&gt;1,'Plan debt months'!BD66,0)</f>
        <v>0</v>
      </c>
      <c r="N66" s="1" t="n">
        <f aca="false">IF(L66&gt;1,'Plan debt months'!BC66,L66)</f>
        <v>0</v>
      </c>
      <c r="O66" s="1" t="n">
        <f aca="false">Q65</f>
        <v>0</v>
      </c>
      <c r="P66" s="1" t="n">
        <f aca="false">IF(O66&gt;1,'Plan debt months'!CE66,0)</f>
        <v>0</v>
      </c>
      <c r="Q66" s="1" t="n">
        <f aca="false">IF(O66&gt;1,'Plan debt months'!CD66,O66)</f>
        <v>0</v>
      </c>
      <c r="R66" s="1" t="n">
        <f aca="false">J66+M66+P66</f>
        <v>0</v>
      </c>
      <c r="S66" s="1" t="n">
        <f aca="false">QJ65+'Plan pay &amp; tax'!Y292</f>
        <v>0</v>
      </c>
      <c r="T66" s="1" t="n">
        <f aca="false">QJ65</f>
        <v>0</v>
      </c>
      <c r="U66" s="1" t="n">
        <f aca="false">IF(AND(Slot1_On=1,D66=Slot1_Age),1,0)</f>
        <v>0</v>
      </c>
      <c r="V66" s="1" t="n">
        <f aca="false">IF(AND(Slot1_On=1,Slot1_Age&gt;D66),1,0)</f>
        <v>0</v>
      </c>
      <c r="W66" s="1" t="n">
        <f aca="false">QL65</f>
        <v>0</v>
      </c>
      <c r="X66" s="1" t="n">
        <f aca="false">U66*MIN(Slot1_Cost,W66)</f>
        <v>0</v>
      </c>
      <c r="Y66" s="1" t="n">
        <f aca="false">U66*Slot1_SpendLike*MIN(Slot1_Cost-X66,S66)</f>
        <v>0</v>
      </c>
      <c r="Z66" s="1" t="n">
        <f aca="false">X66+Y66</f>
        <v>0</v>
      </c>
      <c r="AA66" s="1" t="n">
        <f aca="false">S66-Y66+U66*IF(Slot1_SpendLike=1,W66-X66,IF(Slot1_PotFree=1,W66,0))</f>
        <v>0</v>
      </c>
      <c r="AB66" s="1" t="n">
        <f aca="false">AE66+U66*Slot1_BufPot*W66</f>
        <v>0</v>
      </c>
      <c r="AC66" s="1" t="n">
        <f aca="false">IF(AND(U66=1,Slot1_IsMfree=1),IF(Z66&gt;=Slot1_Cost-1,0,MAX(0,K66-Z66)),K66)</f>
        <v>0</v>
      </c>
      <c r="AD66" s="1" t="n">
        <f aca="false">U66*(Slot1_Cost-Z66)</f>
        <v>0</v>
      </c>
      <c r="AE66" s="1" t="n">
        <f aca="false">QK65</f>
        <v>0</v>
      </c>
      <c r="AF66" s="1" t="n">
        <f aca="false">IF(AND(Slot2_On=1,D66=Slot2_Age),1,0)</f>
        <v>0</v>
      </c>
      <c r="AG66" s="1" t="n">
        <f aca="false">IF(AND(Slot2_On=1,Slot2_Age&gt;D66),1,0)</f>
        <v>0</v>
      </c>
      <c r="AH66" s="1" t="n">
        <f aca="false">QP65</f>
        <v>0</v>
      </c>
      <c r="AI66" s="1" t="n">
        <f aca="false">AF66*MIN(Slot2_Cost,AH66)</f>
        <v>0</v>
      </c>
      <c r="AJ66" s="1" t="n">
        <f aca="false">AF66*Slot2_SpendLike*MIN(Slot2_Cost-AI66,AA66)</f>
        <v>0</v>
      </c>
      <c r="AK66" s="1" t="n">
        <f aca="false">AI66+AJ66</f>
        <v>0</v>
      </c>
      <c r="AL66" s="1" t="n">
        <f aca="false">AA66-AJ66+AF66*IF(Slot2_SpendLike=1,AH66-AI66,IF(Slot2_PotFree=1,AH66,0))</f>
        <v>0</v>
      </c>
      <c r="AM66" s="1" t="n">
        <f aca="false">AB66+AF66*Slot2_BufPot*AH66</f>
        <v>0</v>
      </c>
      <c r="AN66" s="1" t="n">
        <f aca="false">IF(AND(AF66=1,Slot2_IsMfree=1),IF(AK66&gt;=Slot2_Cost-1,0,MAX(0,AC66-AK66)),AC66)</f>
        <v>0</v>
      </c>
      <c r="AO66" s="1" t="n">
        <f aca="false">AF66*(Slot2_Cost-AK66)</f>
        <v>0</v>
      </c>
      <c r="AP66" s="1" t="n">
        <f aca="false">IF(AND(Slot3_On=1,D66=Slot3_Age),1,0)</f>
        <v>0</v>
      </c>
      <c r="AQ66" s="1" t="n">
        <f aca="false">IF(AND(Slot3_On=1,Slot3_Age&gt;D66),1,0)</f>
        <v>0</v>
      </c>
      <c r="AR66" s="1" t="n">
        <f aca="false">QT65</f>
        <v>0</v>
      </c>
      <c r="AS66" s="1" t="n">
        <f aca="false">AP66*MIN(Slot3_Cost,AR66)</f>
        <v>0</v>
      </c>
      <c r="AT66" s="1" t="n">
        <f aca="false">AP66*Slot3_SpendLike*MIN(Slot3_Cost-AS66,AL66)</f>
        <v>0</v>
      </c>
      <c r="AU66" s="1" t="n">
        <f aca="false">AS66+AT66</f>
        <v>0</v>
      </c>
      <c r="AV66" s="1" t="n">
        <f aca="false">AL66-AT66+AP66*IF(Slot3_SpendLike=1,AR66-AS66,IF(Slot3_PotFree=1,AR66,0))</f>
        <v>0</v>
      </c>
      <c r="AW66" s="1" t="n">
        <f aca="false">AM66+AP66*Slot3_BufPot*AR66</f>
        <v>0</v>
      </c>
      <c r="AX66" s="1" t="n">
        <f aca="false">IF(AND(AP66=1,Slot3_IsMfree=1),IF(AU66&gt;=Slot3_Cost-1,0,MAX(0,AN66-AU66)),AN66)</f>
        <v>0</v>
      </c>
      <c r="AY66" s="1" t="n">
        <f aca="false">AP66*(Slot3_Cost-AU66)</f>
        <v>0</v>
      </c>
      <c r="AZ66" s="1" t="n">
        <f aca="false">IF(AND(Slot4_On=1,D66=Slot4_Age),1,0)</f>
        <v>0</v>
      </c>
      <c r="BA66" s="1" t="n">
        <f aca="false">IF(AND(Slot4_On=1,Slot4_Age&gt;D66),1,0)</f>
        <v>0</v>
      </c>
      <c r="BB66" s="1" t="n">
        <f aca="false">QX65</f>
        <v>0</v>
      </c>
      <c r="BC66" s="1" t="n">
        <f aca="false">AZ66*MIN(Slot4_Cost,BB66)</f>
        <v>0</v>
      </c>
      <c r="BD66" s="1" t="n">
        <f aca="false">AZ66*Slot4_SpendLike*MIN(Slot4_Cost-BC66,AV66)</f>
        <v>0</v>
      </c>
      <c r="BE66" s="1" t="n">
        <f aca="false">BC66+BD66</f>
        <v>0</v>
      </c>
      <c r="BF66" s="1" t="n">
        <f aca="false">AV66-BD66+AZ66*IF(Slot4_SpendLike=1,BB66-BC66,IF(Slot4_PotFree=1,BB66,0))</f>
        <v>0</v>
      </c>
      <c r="BG66" s="1" t="n">
        <f aca="false">AW66+AZ66*Slot4_BufPot*BB66</f>
        <v>0</v>
      </c>
      <c r="BH66" s="1" t="n">
        <f aca="false">IF(AND(AZ66=1,Slot4_IsMfree=1),IF(BE66&gt;=Slot4_Cost-1,0,MAX(0,AX66-BE66)),AX66)</f>
        <v>0</v>
      </c>
      <c r="BI66" s="1" t="n">
        <f aca="false">AZ66*(Slot4_Cost-BE66)</f>
        <v>0</v>
      </c>
      <c r="BJ66" s="1" t="n">
        <f aca="false">IF(AND(Slot5_On=1,D66=Slot5_Age),1,0)</f>
        <v>0</v>
      </c>
      <c r="BK66" s="1" t="n">
        <f aca="false">IF(AND(Slot5_On=1,Slot5_Age&gt;D66),1,0)</f>
        <v>0</v>
      </c>
      <c r="BL66" s="1" t="n">
        <f aca="false">RB65</f>
        <v>0</v>
      </c>
      <c r="BM66" s="1" t="n">
        <f aca="false">BJ66*MIN(Slot5_Cost,BL66)</f>
        <v>0</v>
      </c>
      <c r="BN66" s="1" t="n">
        <f aca="false">BJ66*Slot5_SpendLike*MIN(Slot5_Cost-BM66,BF66)</f>
        <v>0</v>
      </c>
      <c r="BO66" s="1" t="n">
        <f aca="false">BM66+BN66</f>
        <v>0</v>
      </c>
      <c r="BP66" s="1" t="n">
        <f aca="false">BF66-BN66+BJ66*IF(Slot5_SpendLike=1,BL66-BM66,IF(Slot5_PotFree=1,BL66,0))</f>
        <v>0</v>
      </c>
      <c r="BQ66" s="1" t="n">
        <f aca="false">BG66+BJ66*Slot5_BufPot*BL66</f>
        <v>0</v>
      </c>
      <c r="BR66" s="1" t="n">
        <f aca="false">IF(AND(BJ66=1,Slot5_IsMfree=1),IF(BO66&gt;=Slot5_Cost-1,0,MAX(0,BH66-BO66)),BH66)</f>
        <v>0</v>
      </c>
      <c r="BS66" s="1" t="n">
        <f aca="false">BJ66*(Slot5_Cost-BO66)</f>
        <v>0</v>
      </c>
      <c r="BT66" s="1" t="n">
        <f aca="false">IF(AND(Slot6_On=1,D66=Slot6_Age),1,0)</f>
        <v>0</v>
      </c>
      <c r="BU66" s="1" t="n">
        <f aca="false">IF(AND(Slot6_On=1,Slot6_Age&gt;D66),1,0)</f>
        <v>0</v>
      </c>
      <c r="BV66" s="1" t="n">
        <f aca="false">RF65</f>
        <v>0</v>
      </c>
      <c r="BW66" s="1" t="n">
        <f aca="false">BT66*MIN(Slot6_Cost,BV66)</f>
        <v>0</v>
      </c>
      <c r="BX66" s="1" t="n">
        <f aca="false">BT66*Slot6_SpendLike*MIN(Slot6_Cost-BW66,BP66)</f>
        <v>0</v>
      </c>
      <c r="BY66" s="1" t="n">
        <f aca="false">BW66+BX66</f>
        <v>0</v>
      </c>
      <c r="BZ66" s="1" t="n">
        <f aca="false">BP66-BX66+BT66*IF(Slot6_SpendLike=1,BV66-BW66,IF(Slot6_PotFree=1,BV66,0))</f>
        <v>0</v>
      </c>
      <c r="CA66" s="1" t="n">
        <f aca="false">BQ66+BT66*Slot6_BufPot*BV66</f>
        <v>0</v>
      </c>
      <c r="CB66" s="1" t="n">
        <f aca="false">IF(AND(BT66=1,Slot6_IsMfree=1),IF(BY66&gt;=Slot6_Cost-1,0,MAX(0,BR66-BY66)),BR66)</f>
        <v>0</v>
      </c>
      <c r="CC66" s="1" t="n">
        <f aca="false">BT66*(Slot6_Cost-BY66)</f>
        <v>0</v>
      </c>
      <c r="CD66" s="1" t="n">
        <f aca="false">IF(AND(Slot7_On=1,D66=Slot7_Age),1,0)</f>
        <v>0</v>
      </c>
      <c r="CE66" s="1" t="n">
        <f aca="false">IF(AND(Slot7_On=1,Slot7_Age&gt;D66),1,0)</f>
        <v>0</v>
      </c>
      <c r="CF66" s="1" t="n">
        <f aca="false">RJ65</f>
        <v>0</v>
      </c>
      <c r="CG66" s="1" t="n">
        <f aca="false">CD66*MIN(Slot7_Cost,CF66)</f>
        <v>0</v>
      </c>
      <c r="CH66" s="1" t="n">
        <f aca="false">CD66*Slot7_SpendLike*MIN(Slot7_Cost-CG66,BZ66)</f>
        <v>0</v>
      </c>
      <c r="CI66" s="1" t="n">
        <f aca="false">CG66+CH66</f>
        <v>0</v>
      </c>
      <c r="CJ66" s="1" t="n">
        <f aca="false">BZ66-CH66+CD66*IF(Slot7_SpendLike=1,CF66-CG66,IF(Slot7_PotFree=1,CF66,0))</f>
        <v>0</v>
      </c>
      <c r="CK66" s="1" t="n">
        <f aca="false">CA66+CD66*Slot7_BufPot*CF66</f>
        <v>0</v>
      </c>
      <c r="CL66" s="1" t="n">
        <f aca="false">IF(AND(CD66=1,Slot7_IsMfree=1),IF(CI66&gt;=Slot7_Cost-1,0,MAX(0,CB66-CI66)),CB66)</f>
        <v>0</v>
      </c>
      <c r="CM66" s="1" t="n">
        <f aca="false">CD66*(Slot7_Cost-CI66)</f>
        <v>0</v>
      </c>
      <c r="CN66" s="1" t="n">
        <f aca="false">IF(AND(Slot8_On=1,D66=Slot8_Age),1,0)</f>
        <v>0</v>
      </c>
      <c r="CO66" s="1" t="n">
        <f aca="false">IF(AND(Slot8_On=1,Slot8_Age&gt;D66),1,0)</f>
        <v>0</v>
      </c>
      <c r="CP66" s="1" t="n">
        <f aca="false">RN65</f>
        <v>0</v>
      </c>
      <c r="CQ66" s="1" t="n">
        <f aca="false">CN66*MIN(Slot8_Cost,CP66)</f>
        <v>0</v>
      </c>
      <c r="CR66" s="1" t="n">
        <f aca="false">CN66*Slot8_SpendLike*MIN(Slot8_Cost-CQ66,CJ66)</f>
        <v>0</v>
      </c>
      <c r="CS66" s="1" t="n">
        <f aca="false">CQ66+CR66</f>
        <v>0</v>
      </c>
      <c r="CT66" s="1" t="n">
        <f aca="false">CJ66-CR66+CN66*IF(Slot8_SpendLike=1,CP66-CQ66,IF(Slot8_PotFree=1,CP66,0))</f>
        <v>0</v>
      </c>
      <c r="CU66" s="1" t="n">
        <f aca="false">CK66+CN66*Slot8_BufPot*CP66</f>
        <v>0</v>
      </c>
      <c r="CV66" s="1" t="n">
        <f aca="false">IF(AND(CN66=1,Slot8_IsMfree=1),IF(CS66&gt;=Slot8_Cost-1,0,MAX(0,CL66-CS66)),CL66)</f>
        <v>0</v>
      </c>
      <c r="CW66" s="1" t="n">
        <f aca="false">CN66*(Slot8_Cost-CS66)</f>
        <v>0</v>
      </c>
      <c r="CX66" s="1" t="n">
        <f aca="false">IF(AND(Slot9_On=1,D66=Slot9_Age),1,0)</f>
        <v>0</v>
      </c>
      <c r="CY66" s="1" t="n">
        <f aca="false">IF(AND(Slot9_On=1,Slot9_Age&gt;D66),1,0)</f>
        <v>0</v>
      </c>
      <c r="CZ66" s="1" t="n">
        <f aca="false">RR65</f>
        <v>0</v>
      </c>
      <c r="DA66" s="1" t="n">
        <f aca="false">CX66*MIN(Slot9_Cost,CZ66)</f>
        <v>0</v>
      </c>
      <c r="DB66" s="1" t="n">
        <f aca="false">CX66*Slot9_SpendLike*MIN(Slot9_Cost-DA66,CT66)</f>
        <v>0</v>
      </c>
      <c r="DC66" s="1" t="n">
        <f aca="false">DA66+DB66</f>
        <v>0</v>
      </c>
      <c r="DD66" s="1" t="n">
        <f aca="false">CT66-DB66+CX66*IF(Slot9_SpendLike=1,CZ66-DA66,IF(Slot9_PotFree=1,CZ66,0))</f>
        <v>0</v>
      </c>
      <c r="DE66" s="1" t="n">
        <f aca="false">CU66+CX66*Slot9_BufPot*CZ66</f>
        <v>0</v>
      </c>
      <c r="DF66" s="1" t="n">
        <f aca="false">IF(AND(CX66=1,Slot9_IsMfree=1),IF(DC66&gt;=Slot9_Cost-1,0,MAX(0,CV66-DC66)),CV66)</f>
        <v>0</v>
      </c>
      <c r="DG66" s="1" t="n">
        <f aca="false">CX66*(Slot9_Cost-DC66)</f>
        <v>0</v>
      </c>
      <c r="DH66" s="1" t="n">
        <f aca="false">IF(AND(Slot10_On=1,D66=Slot10_Age),1,0)</f>
        <v>0</v>
      </c>
      <c r="DI66" s="1" t="n">
        <f aca="false">IF(AND(Slot10_On=1,Slot10_Age&gt;D66),1,0)</f>
        <v>0</v>
      </c>
      <c r="DJ66" s="1" t="n">
        <f aca="false">RV65</f>
        <v>0</v>
      </c>
      <c r="DK66" s="1" t="n">
        <f aca="false">DH66*MIN(Slot10_Cost,DJ66)</f>
        <v>0</v>
      </c>
      <c r="DL66" s="1" t="n">
        <f aca="false">DH66*Slot10_SpendLike*MIN(Slot10_Cost-DK66,DD66)</f>
        <v>0</v>
      </c>
      <c r="DM66" s="1" t="n">
        <f aca="false">DK66+DL66</f>
        <v>0</v>
      </c>
      <c r="DN66" s="1" t="n">
        <f aca="false">DD66-DL66+DH66*IF(Slot10_SpendLike=1,DJ66-DK66,IF(Slot10_PotFree=1,DJ66,0))</f>
        <v>0</v>
      </c>
      <c r="DO66" s="1" t="n">
        <f aca="false">DE66+DH66*Slot10_BufPot*DJ66</f>
        <v>0</v>
      </c>
      <c r="DP66" s="1" t="n">
        <f aca="false">IF(AND(DH66=1,Slot10_IsMfree=1),IF(DM66&gt;=Slot10_Cost-1,0,MAX(0,DF66-DM66)),DF66)</f>
        <v>0</v>
      </c>
      <c r="DQ66" s="1" t="n">
        <f aca="false">DH66*(Slot10_Cost-DM66)</f>
        <v>0</v>
      </c>
      <c r="DR66" s="1" t="n">
        <f aca="false">IF(AND(Slot11_On=1,D66=Slot11_Age),1,0)</f>
        <v>0</v>
      </c>
      <c r="DS66" s="1" t="n">
        <f aca="false">IF(AND(Slot11_On=1,Slot11_Age&gt;D66),1,0)</f>
        <v>0</v>
      </c>
      <c r="DT66" s="1" t="n">
        <f aca="false">RZ65</f>
        <v>0</v>
      </c>
      <c r="DU66" s="1" t="n">
        <f aca="false">DR66*MIN(Slot11_Cost,DT66)</f>
        <v>0</v>
      </c>
      <c r="DV66" s="1" t="n">
        <f aca="false">DR66*Slot11_SpendLike*MIN(Slot11_Cost-DU66,DN66)</f>
        <v>0</v>
      </c>
      <c r="DW66" s="1" t="n">
        <f aca="false">DU66+DV66</f>
        <v>0</v>
      </c>
      <c r="DX66" s="1" t="n">
        <f aca="false">DN66-DV66+DR66*IF(Slot11_SpendLike=1,DT66-DU66,IF(Slot11_PotFree=1,DT66,0))</f>
        <v>0</v>
      </c>
      <c r="DY66" s="1" t="n">
        <f aca="false">DO66+DR66*Slot11_BufPot*DT66</f>
        <v>0</v>
      </c>
      <c r="DZ66" s="1" t="n">
        <f aca="false">IF(AND(DR66=1,Slot11_IsMfree=1),IF(DW66&gt;=Slot11_Cost-1,0,MAX(0,DP66-DW66)),DP66)</f>
        <v>0</v>
      </c>
      <c r="EA66" s="1" t="n">
        <f aca="false">DR66*(Slot11_Cost-DW66)</f>
        <v>0</v>
      </c>
      <c r="EB66" s="1" t="n">
        <f aca="false">IF(AND(Slot12_On=1,D66=Slot12_Age),1,0)</f>
        <v>0</v>
      </c>
      <c r="EC66" s="1" t="n">
        <f aca="false">IF(AND(Slot12_On=1,Slot12_Age&gt;D66),1,0)</f>
        <v>0</v>
      </c>
      <c r="ED66" s="1" t="n">
        <f aca="false">SD65</f>
        <v>0</v>
      </c>
      <c r="EE66" s="1" t="n">
        <f aca="false">EB66*MIN(Slot12_Cost,ED66)</f>
        <v>0</v>
      </c>
      <c r="EF66" s="1" t="n">
        <f aca="false">EB66*Slot12_SpendLike*MIN(Slot12_Cost-EE66,DX66)</f>
        <v>0</v>
      </c>
      <c r="EG66" s="1" t="n">
        <f aca="false">EE66+EF66</f>
        <v>0</v>
      </c>
      <c r="EH66" s="1" t="n">
        <f aca="false">DX66-EF66+EB66*IF(Slot12_SpendLike=1,ED66-EE66,IF(Slot12_PotFree=1,ED66,0))</f>
        <v>0</v>
      </c>
      <c r="EI66" s="1" t="n">
        <f aca="false">DY66+EB66*Slot12_BufPot*ED66</f>
        <v>0</v>
      </c>
      <c r="EJ66" s="1" t="n">
        <f aca="false">IF(AND(EB66=1,Slot12_IsMfree=1),IF(EG66&gt;=Slot12_Cost-1,0,MAX(0,DZ66-EG66)),DZ66)</f>
        <v>0</v>
      </c>
      <c r="EK66" s="1" t="n">
        <f aca="false">EB66*(Slot12_Cost-EG66)</f>
        <v>0</v>
      </c>
      <c r="EL66" s="1" t="n">
        <f aca="false">IF(AND(Slot13_On=1,D66=Slot13_Age),1,0)</f>
        <v>0</v>
      </c>
      <c r="EM66" s="1" t="n">
        <f aca="false">IF(AND(Slot13_On=1,Slot13_Age&gt;D66),1,0)</f>
        <v>0</v>
      </c>
      <c r="EN66" s="1" t="n">
        <f aca="false">SH65</f>
        <v>0</v>
      </c>
      <c r="EO66" s="1" t="n">
        <f aca="false">EL66*MIN(Slot13_Cost,EN66)</f>
        <v>0</v>
      </c>
      <c r="EP66" s="1" t="n">
        <f aca="false">EL66*Slot13_SpendLike*MIN(Slot13_Cost-EO66,EH66)</f>
        <v>0</v>
      </c>
      <c r="EQ66" s="1" t="n">
        <f aca="false">EO66+EP66</f>
        <v>0</v>
      </c>
      <c r="ER66" s="1" t="n">
        <f aca="false">EH66-EP66+EL66*IF(Slot13_SpendLike=1,EN66-EO66,IF(Slot13_PotFree=1,EN66,0))</f>
        <v>0</v>
      </c>
      <c r="ES66" s="1" t="n">
        <f aca="false">EI66+EL66*Slot13_BufPot*EN66</f>
        <v>0</v>
      </c>
      <c r="ET66" s="1" t="n">
        <f aca="false">IF(AND(EL66=1,Slot13_IsMfree=1),IF(EQ66&gt;=Slot13_Cost-1,0,MAX(0,EJ66-EQ66)),EJ66)</f>
        <v>0</v>
      </c>
      <c r="EU66" s="1" t="n">
        <f aca="false">EL66*(Slot13_Cost-EQ66)</f>
        <v>0</v>
      </c>
      <c r="EV66" s="1" t="n">
        <f aca="false">IF(AND(Slot14_On=1,D66=Slot14_Age),1,0)</f>
        <v>0</v>
      </c>
      <c r="EW66" s="1" t="n">
        <f aca="false">IF(AND(Slot14_On=1,Slot14_Age&gt;D66),1,0)</f>
        <v>0</v>
      </c>
      <c r="EX66" s="1" t="n">
        <f aca="false">SL65</f>
        <v>0</v>
      </c>
      <c r="EY66" s="1" t="n">
        <f aca="false">EV66*MIN(Slot14_Cost,EX66)</f>
        <v>0</v>
      </c>
      <c r="EZ66" s="1" t="n">
        <f aca="false">EV66*Slot14_SpendLike*MIN(Slot14_Cost-EY66,ER66)</f>
        <v>0</v>
      </c>
      <c r="FA66" s="1" t="n">
        <f aca="false">EY66+EZ66</f>
        <v>0</v>
      </c>
      <c r="FB66" s="1" t="n">
        <f aca="false">ER66-EZ66+EV66*IF(Slot14_SpendLike=1,EX66-EY66,IF(Slot14_PotFree=1,EX66,0))</f>
        <v>0</v>
      </c>
      <c r="FC66" s="1" t="n">
        <f aca="false">ES66+EV66*Slot14_BufPot*EX66</f>
        <v>0</v>
      </c>
      <c r="FD66" s="1" t="n">
        <f aca="false">IF(AND(EV66=1,Slot14_IsMfree=1),IF(FA66&gt;=Slot14_Cost-1,0,MAX(0,ET66-FA66)),ET66)</f>
        <v>0</v>
      </c>
      <c r="FE66" s="1" t="n">
        <f aca="false">EV66*(Slot14_Cost-FA66)</f>
        <v>0</v>
      </c>
      <c r="FF66" s="1" t="n">
        <f aca="false">IF(AND(Slot15_On=1,D66=Slot15_Age),1,0)</f>
        <v>0</v>
      </c>
      <c r="FG66" s="1" t="n">
        <f aca="false">IF(AND(Slot15_On=1,Slot15_Age&gt;D66),1,0)</f>
        <v>0</v>
      </c>
      <c r="FH66" s="1" t="n">
        <f aca="false">SP65</f>
        <v>0</v>
      </c>
      <c r="FI66" s="1" t="n">
        <f aca="false">FF66*MIN(Slot15_Cost,FH66)</f>
        <v>0</v>
      </c>
      <c r="FJ66" s="1" t="n">
        <f aca="false">FF66*Slot15_SpendLike*MIN(Slot15_Cost-FI66,FB66)</f>
        <v>0</v>
      </c>
      <c r="FK66" s="1" t="n">
        <f aca="false">FI66+FJ66</f>
        <v>0</v>
      </c>
      <c r="FL66" s="1" t="n">
        <f aca="false">FB66-FJ66+FF66*IF(Slot15_SpendLike=1,FH66-FI66,IF(Slot15_PotFree=1,FH66,0))</f>
        <v>0</v>
      </c>
      <c r="FM66" s="1" t="n">
        <f aca="false">FC66+FF66*Slot15_BufPot*FH66</f>
        <v>0</v>
      </c>
      <c r="FN66" s="1" t="n">
        <f aca="false">IF(AND(FF66=1,Slot15_IsMfree=1),IF(FK66&gt;=Slot15_Cost-1,0,MAX(0,FD66-FK66)),FD66)</f>
        <v>0</v>
      </c>
      <c r="FO66" s="1" t="n">
        <f aca="false">FF66*(Slot15_Cost-FK66)</f>
        <v>0</v>
      </c>
      <c r="FP66" s="1" t="n">
        <f aca="false">IF(AND(Slot16_On=1,D66=Slot16_Age),1,0)</f>
        <v>0</v>
      </c>
      <c r="FQ66" s="1" t="n">
        <f aca="false">IF(AND(Slot16_On=1,Slot16_Age&gt;D66),1,0)</f>
        <v>0</v>
      </c>
      <c r="FR66" s="1" t="n">
        <f aca="false">ST65</f>
        <v>0</v>
      </c>
      <c r="FS66" s="1" t="n">
        <f aca="false">FP66*MIN(Slot16_Cost,FR66)</f>
        <v>0</v>
      </c>
      <c r="FT66" s="1" t="n">
        <f aca="false">FP66*Slot16_SpendLike*MIN(Slot16_Cost-FS66,FL66)</f>
        <v>0</v>
      </c>
      <c r="FU66" s="1" t="n">
        <f aca="false">FS66+FT66</f>
        <v>0</v>
      </c>
      <c r="FV66" s="1" t="n">
        <f aca="false">FL66-FT66+FP66*IF(Slot16_SpendLike=1,FR66-FS66,IF(Slot16_PotFree=1,FR66,0))</f>
        <v>0</v>
      </c>
      <c r="FW66" s="1" t="n">
        <f aca="false">FM66+FP66*Slot16_BufPot*FR66</f>
        <v>0</v>
      </c>
      <c r="FX66" s="1" t="n">
        <f aca="false">IF(AND(FP66=1,Slot16_IsMfree=1),IF(FU66&gt;=Slot16_Cost-1,0,MAX(0,FN66-FU66)),FN66)</f>
        <v>0</v>
      </c>
      <c r="FY66" s="1" t="n">
        <f aca="false">FP66*(Slot16_Cost-FU66)</f>
        <v>0</v>
      </c>
      <c r="FZ66" s="1" t="n">
        <f aca="false">IF(AND(Slot17_On=1,D66=Slot17_Age),1,0)</f>
        <v>0</v>
      </c>
      <c r="GA66" s="1" t="n">
        <f aca="false">IF(AND(Slot17_On=1,Slot17_Age&gt;D66),1,0)</f>
        <v>0</v>
      </c>
      <c r="GB66" s="1" t="n">
        <f aca="false">SX65</f>
        <v>0</v>
      </c>
      <c r="GC66" s="1" t="n">
        <f aca="false">FZ66*MIN(Slot17_Cost,GB66)</f>
        <v>0</v>
      </c>
      <c r="GD66" s="1" t="n">
        <f aca="false">FZ66*Slot17_SpendLike*MIN(Slot17_Cost-GC66,FV66)</f>
        <v>0</v>
      </c>
      <c r="GE66" s="1" t="n">
        <f aca="false">GC66+GD66</f>
        <v>0</v>
      </c>
      <c r="GF66" s="1" t="n">
        <f aca="false">FV66-GD66+FZ66*IF(Slot17_SpendLike=1,GB66-GC66,IF(Slot17_PotFree=1,GB66,0))</f>
        <v>0</v>
      </c>
      <c r="GG66" s="1" t="n">
        <f aca="false">FW66+FZ66*Slot17_BufPot*GB66</f>
        <v>0</v>
      </c>
      <c r="GH66" s="1" t="n">
        <f aca="false">IF(AND(FZ66=1,Slot17_IsMfree=1),IF(GE66&gt;=Slot17_Cost-1,0,MAX(0,FX66-GE66)),FX66)</f>
        <v>0</v>
      </c>
      <c r="GI66" s="1" t="n">
        <f aca="false">FZ66*(Slot17_Cost-GE66)</f>
        <v>0</v>
      </c>
      <c r="GJ66" s="1" t="n">
        <f aca="false">IF(AND(Slot18_On=1,D66=Slot18_Age),1,0)</f>
        <v>0</v>
      </c>
      <c r="GK66" s="1" t="n">
        <f aca="false">IF(AND(Slot18_On=1,Slot18_Age&gt;D66),1,0)</f>
        <v>0</v>
      </c>
      <c r="GL66" s="1" t="n">
        <f aca="false">TB65</f>
        <v>0</v>
      </c>
      <c r="GM66" s="1" t="n">
        <f aca="false">GJ66*MIN(Slot18_Cost,GL66)</f>
        <v>0</v>
      </c>
      <c r="GN66" s="1" t="n">
        <f aca="false">GJ66*Slot18_SpendLike*MIN(Slot18_Cost-GM66,GF66)</f>
        <v>0</v>
      </c>
      <c r="GO66" s="1" t="n">
        <f aca="false">GM66+GN66</f>
        <v>0</v>
      </c>
      <c r="GP66" s="1" t="n">
        <f aca="false">GF66-GN66+GJ66*IF(Slot18_SpendLike=1,GL66-GM66,IF(Slot18_PotFree=1,GL66,0))</f>
        <v>0</v>
      </c>
      <c r="GQ66" s="1" t="n">
        <f aca="false">GG66+GJ66*Slot18_BufPot*GL66</f>
        <v>0</v>
      </c>
      <c r="GR66" s="1" t="n">
        <f aca="false">IF(AND(GJ66=1,Slot18_IsMfree=1),IF(GO66&gt;=Slot18_Cost-1,0,MAX(0,GH66-GO66)),GH66)</f>
        <v>0</v>
      </c>
      <c r="GS66" s="1" t="n">
        <f aca="false">GJ66*(Slot18_Cost-GO66)</f>
        <v>0</v>
      </c>
      <c r="GT66" s="1" t="n">
        <f aca="false">IF(AND(Slot19_On=1,D66=Slot19_Age),1,0)</f>
        <v>0</v>
      </c>
      <c r="GU66" s="1" t="n">
        <f aca="false">IF(AND(Slot19_On=1,Slot19_Age&gt;D66),1,0)</f>
        <v>0</v>
      </c>
      <c r="GV66" s="1" t="n">
        <f aca="false">TF65</f>
        <v>0</v>
      </c>
      <c r="GW66" s="1" t="n">
        <f aca="false">GT66*MIN(Slot19_Cost,GV66)</f>
        <v>0</v>
      </c>
      <c r="GX66" s="1" t="n">
        <f aca="false">GT66*Slot19_SpendLike*MIN(Slot19_Cost-GW66,GP66)</f>
        <v>0</v>
      </c>
      <c r="GY66" s="1" t="n">
        <f aca="false">GW66+GX66</f>
        <v>0</v>
      </c>
      <c r="GZ66" s="1" t="n">
        <f aca="false">GP66-GX66+GT66*IF(Slot19_SpendLike=1,GV66-GW66,IF(Slot19_PotFree=1,GV66,0))</f>
        <v>0</v>
      </c>
      <c r="HA66" s="1" t="n">
        <f aca="false">GQ66+GT66*Slot19_BufPot*GV66</f>
        <v>0</v>
      </c>
      <c r="HB66" s="1" t="n">
        <f aca="false">IF(AND(GT66=1,Slot19_IsMfree=1),IF(GY66&gt;=Slot19_Cost-1,0,MAX(0,GR66-GY66)),GR66)</f>
        <v>0</v>
      </c>
      <c r="HC66" s="1" t="n">
        <f aca="false">GT66*(Slot19_Cost-GY66)</f>
        <v>0</v>
      </c>
      <c r="HD66" s="1" t="n">
        <f aca="false">IF(AND(Slot20_On=1,D66=Slot20_Age),1,0)</f>
        <v>0</v>
      </c>
      <c r="HE66" s="1" t="n">
        <f aca="false">IF(AND(Slot20_On=1,Slot20_Age&gt;D66),1,0)</f>
        <v>0</v>
      </c>
      <c r="HF66" s="1" t="n">
        <f aca="false">TJ65</f>
        <v>0</v>
      </c>
      <c r="HG66" s="1" t="n">
        <f aca="false">HD66*MIN(Slot20_Cost,HF66)</f>
        <v>0</v>
      </c>
      <c r="HH66" s="1" t="n">
        <f aca="false">HD66*Slot20_SpendLike*MIN(Slot20_Cost-HG66,GZ66)</f>
        <v>0</v>
      </c>
      <c r="HI66" s="1" t="n">
        <f aca="false">HG66+HH66</f>
        <v>0</v>
      </c>
      <c r="HJ66" s="1" t="n">
        <f aca="false">GZ66-HH66+HD66*IF(Slot20_SpendLike=1,HF66-HG66,IF(Slot20_PotFree=1,HF66,0))</f>
        <v>0</v>
      </c>
      <c r="HK66" s="1" t="n">
        <f aca="false">HA66+HD66*Slot20_BufPot*HF66</f>
        <v>0</v>
      </c>
      <c r="HL66" s="1" t="n">
        <f aca="false">IF(AND(HD66=1,Slot20_IsMfree=1),IF(HI66&gt;=Slot20_Cost-1,0,MAX(0,HB66-HI66)),HB66)</f>
        <v>0</v>
      </c>
      <c r="HM66" s="1" t="n">
        <f aca="false">HD66*(Slot20_Cost-HI66)</f>
        <v>0</v>
      </c>
      <c r="HN66" s="1" t="n">
        <f aca="false">U66*Slot1_SpendLike*Z66+AF66*Slot2_SpendLike*AK66+AP66*Slot3_SpendLike*AU66+AZ66*Slot4_SpendLike*BE66+BJ66*Slot5_SpendLike*BO66+BT66*Slot6_SpendLike*BY66+CD66*Slot7_SpendLike*CI66+CN66*Slot8_SpendLike*CS66+CX66*Slot9_SpendLike*DC66+DH66*Slot10_SpendLike*DM66+DR66*Slot11_SpendLike*DW66+EB66*Slot12_SpendLike*EG66+EL66*Slot13_SpendLike*EQ66+EV66*Slot14_SpendLike*FA66+FF66*Slot15_SpendLike*FK66+FP66*Slot16_SpendLike*FU66+FZ66*Slot17_SpendLike*GE66+GJ66*Slot18_SpendLike*GO66+GT66*Slot19_SpendLike*GY66+HD66*Slot20_SpendLike*HI66</f>
        <v>0</v>
      </c>
      <c r="HO66" s="1" t="n">
        <f aca="false">AD66+AO66+AY66+BI66+BS66+CC66+CM66+CW66+DG66+DQ66+EA66+EK66+EU66+FE66+FO66+FY66+GI66+GS66+HC66+HM66</f>
        <v>0</v>
      </c>
      <c r="HP66" s="1" t="n">
        <f aca="false">U66*Slot1_Cost+AF66*Slot2_Cost+AP66*Slot3_Cost+AZ66*Slot4_Cost+BJ66*Slot5_Cost+BT66*Slot6_Cost+CD66*Slot7_Cost+CN66*Slot8_Cost+CX66*Slot9_Cost+DH66*Slot10_Cost+DR66*Slot11_Cost+EB66*Slot12_Cost+EL66*Slot13_Cost+EV66*Slot14_Cost+FF66*Slot15_Cost+FP66*Slot16_Cost+FZ66*Slot17_Cost+GJ66*Slot18_Cost+GT66*Slot19_Cost+HD66*Slot20_Cost</f>
        <v>0</v>
      </c>
      <c r="HQ66" s="1" t="n">
        <f aca="false">HL66</f>
        <v>0</v>
      </c>
      <c r="HR66" s="1" t="n">
        <f aca="false">G66-H66-R66</f>
        <v>0</v>
      </c>
      <c r="HS66" s="1" t="n">
        <f aca="false">IF(B66=0,IF(AND(Has_q6=1,In_q6=4),PR_ShareVaries*(MAX(0,HR66)/12),MIN(IF(Has_q6=1,CHOOSE(In_q6+1,PR_SaveB1,PR_SaveB2,PR_SaveB3,PR_SaveB4,0),AS_NoAnswer),AS_SaveShare*(MAX(0,HR66)/12))),HS65)</f>
        <v>0</v>
      </c>
      <c r="HT66" s="1" t="n">
        <f aca="false">IF(HR66&gt;=0,1,0)</f>
        <v>1</v>
      </c>
      <c r="HU66" s="1" t="n">
        <f aca="false">MAX(0,HR66/12/E66)</f>
        <v>0</v>
      </c>
      <c r="HV66" s="1" t="n">
        <f aca="false">IF(AND(Has_q6=1,In_q6=4),PR_ShareVaries*(HU66),MIN(IF(Has_q6=1,CHOOSE(In_q6+1,PR_SaveB1,PR_SaveB2,PR_SaveB3,PR_SaveB4,0),AS_NoAnswer),AS_SaveShare*(HU66)))</f>
        <v>0</v>
      </c>
      <c r="HW66" s="1" t="n">
        <f aca="false">IF(Has_saveM=1,IF(In_saveUp="Yes",1,IF(In_saveUp="No",0,IF(In_saveM&gt;=HS66-0.5,1,0))),0)</f>
        <v>0</v>
      </c>
      <c r="HX66" s="1" t="n">
        <f aca="false">IF(Has_saveM=1,MIN(HU66,IF(HW66=1,MAX(In_saveM,HV66),MIN(In_saveM,HV66))),HV66)</f>
        <v>0</v>
      </c>
      <c r="HY66" s="1" t="n">
        <f aca="false">IF(F66=1,HX66*12*E66,0)</f>
        <v>0</v>
      </c>
      <c r="HZ66" s="1" t="n">
        <f aca="false">MAX(0,HY66+IF(AND(WI_Retire=0,WI_M&lt;0,F66=1),WI_M*12*E66,0))</f>
        <v>0</v>
      </c>
      <c r="IA66" s="1" t="n">
        <f aca="false">Slot1_IsWG*V66+Slot2_IsWG*AG66+Slot3_IsWG*AQ66+Slot4_IsWG*BA66+Slot5_IsWG*BK66+Slot6_IsWG*BU66+Slot7_IsWG*CE66+Slot8_IsWG*CO66+Slot9_IsWG*CY66+Slot10_IsWG*DI66+Slot11_IsWG*DS66+Slot12_IsWG*EC66+Slot13_IsWG*EM66+Slot14_IsWG*EW66+Slot15_IsWG*FG66+Slot16_IsWG*FQ66+Slot17_IsWG*GA66+Slot18_IsWG*GK66+Slot19_IsWG*GU66+Slot20_IsWG*HE66</f>
        <v>0</v>
      </c>
      <c r="IB66" s="1" t="n">
        <f aca="false">IF(AND(WI_Retire=0,WI_M&gt;0,F66=1,IA66&gt;=1),WI_M*12*E66,0)</f>
        <v>0</v>
      </c>
      <c r="IC66" s="1" t="n">
        <f aca="false">IF(HT66=1,MIN(HZ66,HR66),0)</f>
        <v>0</v>
      </c>
      <c r="ID66" s="1" t="n">
        <f aca="false">IF(HT66=1,MIN(IB66,HR66-IC66),0)</f>
        <v>0</v>
      </c>
      <c r="IE66" s="1" t="n">
        <f aca="false">IF(V66=1,IF(ABS((1+AS_Wage)/(1+Slot1_Rate)-1)&lt;0.000000000001,(Slot1_Age-D66)*(1+Slot1_Rate)^(Slot1_Age-D66),(1+Slot1_Rate)^(Slot1_Age-D66)*(1-((1+AS_Wage)/(1+Slot1_Rate))^(Slot1_Age-D66))/(1-(1+AS_Wage)/(1+Slot1_Rate))),1)</f>
        <v>1</v>
      </c>
      <c r="IF66" s="1" t="n">
        <f aca="false">IF(AND(HT66=1,ID66&gt;0,Slot1_IsWG=1,V66=1),MAX(0,(Slot1_Cost-W66*(1+Slot1_Rate)^(Slot1_Age-D66))/IE66),0)</f>
        <v>0</v>
      </c>
      <c r="IG66" s="1" t="n">
        <f aca="false">IF(AND(HT66=1,ID66&gt;0,Slot1_IsWG=1,V66=1),MIN(ID66,IF66),0)</f>
        <v>0</v>
      </c>
      <c r="IH66" s="1" t="n">
        <f aca="false">W66+IG66</f>
        <v>0</v>
      </c>
      <c r="II66" s="1" t="n">
        <f aca="false">IF(V66=1,MAX(0,(Slot1_Cost-IH66*(1+Slot1_Rate)^(Slot1_Age-D66))/IE66),0)</f>
        <v>0</v>
      </c>
      <c r="IJ66" s="1" t="n">
        <f aca="false">IF(V66=1,MAX(0,(Slot1_Cost-W66*(1+Slot1_Rate)^(Slot1_Age-D66))/IE66),0)</f>
        <v>0</v>
      </c>
      <c r="IK66" s="1" t="n">
        <f aca="false">IF(AND(HT66=1,V66=1),MIN(IC66,II66),0)</f>
        <v>0</v>
      </c>
      <c r="IL66" s="1" t="n">
        <f aca="false">IC66-IK66</f>
        <v>0</v>
      </c>
      <c r="IM66" s="1" t="n">
        <f aca="false">IF(AG66=1,IF(ABS((1+AS_Wage)/(1+Slot2_Rate)-1)&lt;0.000000000001,(Slot2_Age-D66)*(1+Slot2_Rate)^(Slot2_Age-D66),(1+Slot2_Rate)^(Slot2_Age-D66)*(1-((1+AS_Wage)/(1+Slot2_Rate))^(Slot2_Age-D66))/(1-(1+AS_Wage)/(1+Slot2_Rate))),1)</f>
        <v>1</v>
      </c>
      <c r="IN66" s="1" t="n">
        <f aca="false">IF(AND(HT66=1,ID66&gt;0,Slot2_IsWG=1,AG66=1),MAX(0,(Slot2_Cost-AH66*(1+Slot2_Rate)^(Slot2_Age-D66))/IM66),0)</f>
        <v>0</v>
      </c>
      <c r="IO66" s="1" t="n">
        <f aca="false">IF(AND(HT66=1,ID66&gt;0,Slot2_IsWG=1,AG66=1),MIN(ID66,IN66),0)</f>
        <v>0</v>
      </c>
      <c r="IP66" s="1" t="n">
        <f aca="false">AH66+IO66</f>
        <v>0</v>
      </c>
      <c r="IQ66" s="1" t="n">
        <f aca="false">IF(AG66=1,MAX(0,(Slot2_Cost-IP66*(1+Slot2_Rate)^(Slot2_Age-D66))/IM66),0)</f>
        <v>0</v>
      </c>
      <c r="IR66" s="1" t="n">
        <f aca="false">IF(AG66=1,MAX(0,(Slot2_Cost-AH66*(1+Slot2_Rate)^(Slot2_Age-D66))/IM66),0)</f>
        <v>0</v>
      </c>
      <c r="IS66" s="1" t="n">
        <f aca="false">IF(AND(HT66=1,AG66=1),MIN(IL66,IQ66),0)</f>
        <v>0</v>
      </c>
      <c r="IT66" s="1" t="n">
        <f aca="false">IL66-IS66</f>
        <v>0</v>
      </c>
      <c r="IU66" s="1" t="n">
        <f aca="false">IF(AQ66=1,IF(ABS((1+AS_Wage)/(1+Slot3_Rate)-1)&lt;0.000000000001,(Slot3_Age-D66)*(1+Slot3_Rate)^(Slot3_Age-D66),(1+Slot3_Rate)^(Slot3_Age-D66)*(1-((1+AS_Wage)/(1+Slot3_Rate))^(Slot3_Age-D66))/(1-(1+AS_Wage)/(1+Slot3_Rate))),1)</f>
        <v>1</v>
      </c>
      <c r="IV66" s="1" t="n">
        <f aca="false">IF(AND(HT66=1,ID66&gt;0,Slot3_IsWG=1,AQ66=1),MAX(0,(Slot3_Cost-AR66*(1+Slot3_Rate)^(Slot3_Age-D66))/IU66),0)</f>
        <v>0</v>
      </c>
      <c r="IW66" s="1" t="n">
        <f aca="false">IF(AND(HT66=1,ID66&gt;0,Slot3_IsWG=1,AQ66=1),MIN(ID66,IV66),0)</f>
        <v>0</v>
      </c>
      <c r="IX66" s="1" t="n">
        <f aca="false">AR66+IW66</f>
        <v>0</v>
      </c>
      <c r="IY66" s="1" t="n">
        <f aca="false">IF(AQ66=1,MAX(0,(Slot3_Cost-IX66*(1+Slot3_Rate)^(Slot3_Age-D66))/IU66),0)</f>
        <v>0</v>
      </c>
      <c r="IZ66" s="1" t="n">
        <f aca="false">IF(AQ66=1,MAX(0,(Slot3_Cost-AR66*(1+Slot3_Rate)^(Slot3_Age-D66))/IU66),0)</f>
        <v>0</v>
      </c>
      <c r="JA66" s="1" t="n">
        <f aca="false">IF(AND(HT66=1,AQ66=1),MIN(IT66,IY66),0)</f>
        <v>0</v>
      </c>
      <c r="JB66" s="1" t="n">
        <f aca="false">IT66-JA66</f>
        <v>0</v>
      </c>
      <c r="JC66" s="1" t="n">
        <f aca="false">IF(BA66=1,IF(ABS((1+AS_Wage)/(1+Slot4_Rate)-1)&lt;0.000000000001,(Slot4_Age-D66)*(1+Slot4_Rate)^(Slot4_Age-D66),(1+Slot4_Rate)^(Slot4_Age-D66)*(1-((1+AS_Wage)/(1+Slot4_Rate))^(Slot4_Age-D66))/(1-(1+AS_Wage)/(1+Slot4_Rate))),1)</f>
        <v>1</v>
      </c>
      <c r="JD66" s="1" t="n">
        <f aca="false">IF(AND(HT66=1,ID66&gt;0,Slot4_IsWG=1,BA66=1),MAX(0,(Slot4_Cost-BB66*(1+Slot4_Rate)^(Slot4_Age-D66))/JC66),0)</f>
        <v>0</v>
      </c>
      <c r="JE66" s="1" t="n">
        <f aca="false">IF(AND(HT66=1,ID66&gt;0,Slot4_IsWG=1,BA66=1),MIN(ID66,JD66),0)</f>
        <v>0</v>
      </c>
      <c r="JF66" s="1" t="n">
        <f aca="false">BB66+JE66</f>
        <v>0</v>
      </c>
      <c r="JG66" s="1" t="n">
        <f aca="false">IF(BA66=1,MAX(0,(Slot4_Cost-JF66*(1+Slot4_Rate)^(Slot4_Age-D66))/JC66),0)</f>
        <v>0</v>
      </c>
      <c r="JH66" s="1" t="n">
        <f aca="false">IF(BA66=1,MAX(0,(Slot4_Cost-BB66*(1+Slot4_Rate)^(Slot4_Age-D66))/JC66),0)</f>
        <v>0</v>
      </c>
      <c r="JI66" s="1" t="n">
        <f aca="false">IF(AND(HT66=1,BA66=1),MIN(JB66,JG66),0)</f>
        <v>0</v>
      </c>
      <c r="JJ66" s="1" t="n">
        <f aca="false">JB66-JI66</f>
        <v>0</v>
      </c>
      <c r="JK66" s="1" t="n">
        <f aca="false">IF(BK66=1,IF(ABS((1+AS_Wage)/(1+Slot5_Rate)-1)&lt;0.000000000001,(Slot5_Age-D66)*(1+Slot5_Rate)^(Slot5_Age-D66),(1+Slot5_Rate)^(Slot5_Age-D66)*(1-((1+AS_Wage)/(1+Slot5_Rate))^(Slot5_Age-D66))/(1-(1+AS_Wage)/(1+Slot5_Rate))),1)</f>
        <v>1</v>
      </c>
      <c r="JL66" s="1" t="n">
        <f aca="false">IF(AND(HT66=1,ID66&gt;0,Slot5_IsWG=1,BK66=1),MAX(0,(Slot5_Cost-BL66*(1+Slot5_Rate)^(Slot5_Age-D66))/JK66),0)</f>
        <v>0</v>
      </c>
      <c r="JM66" s="1" t="n">
        <f aca="false">IF(AND(HT66=1,ID66&gt;0,Slot5_IsWG=1,BK66=1),MIN(ID66,JL66),0)</f>
        <v>0</v>
      </c>
      <c r="JN66" s="1" t="n">
        <f aca="false">BL66+JM66</f>
        <v>0</v>
      </c>
      <c r="JO66" s="1" t="n">
        <f aca="false">IF(BK66=1,MAX(0,(Slot5_Cost-JN66*(1+Slot5_Rate)^(Slot5_Age-D66))/JK66),0)</f>
        <v>0</v>
      </c>
      <c r="JP66" s="1" t="n">
        <f aca="false">IF(BK66=1,MAX(0,(Slot5_Cost-BL66*(1+Slot5_Rate)^(Slot5_Age-D66))/JK66),0)</f>
        <v>0</v>
      </c>
      <c r="JQ66" s="1" t="n">
        <f aca="false">IF(AND(HT66=1,BK66=1),MIN(JJ66,JO66),0)</f>
        <v>0</v>
      </c>
      <c r="JR66" s="1" t="n">
        <f aca="false">JJ66-JQ66</f>
        <v>0</v>
      </c>
      <c r="JS66" s="1" t="n">
        <f aca="false">IF(BU66=1,IF(ABS((1+AS_Wage)/(1+Slot6_Rate)-1)&lt;0.000000000001,(Slot6_Age-D66)*(1+Slot6_Rate)^(Slot6_Age-D66),(1+Slot6_Rate)^(Slot6_Age-D66)*(1-((1+AS_Wage)/(1+Slot6_Rate))^(Slot6_Age-D66))/(1-(1+AS_Wage)/(1+Slot6_Rate))),1)</f>
        <v>1</v>
      </c>
      <c r="JT66" s="1" t="n">
        <f aca="false">IF(AND(HT66=1,ID66&gt;0,Slot6_IsWG=1,BU66=1),MAX(0,(Slot6_Cost-BV66*(1+Slot6_Rate)^(Slot6_Age-D66))/JS66),0)</f>
        <v>0</v>
      </c>
      <c r="JU66" s="1" t="n">
        <f aca="false">IF(AND(HT66=1,ID66&gt;0,Slot6_IsWG=1,BU66=1),MIN(ID66,JT66),0)</f>
        <v>0</v>
      </c>
      <c r="JV66" s="1" t="n">
        <f aca="false">BV66+JU66</f>
        <v>0</v>
      </c>
      <c r="JW66" s="1" t="n">
        <f aca="false">IF(BU66=1,MAX(0,(Slot6_Cost-JV66*(1+Slot6_Rate)^(Slot6_Age-D66))/JS66),0)</f>
        <v>0</v>
      </c>
      <c r="JX66" s="1" t="n">
        <f aca="false">IF(BU66=1,MAX(0,(Slot6_Cost-BV66*(1+Slot6_Rate)^(Slot6_Age-D66))/JS66),0)</f>
        <v>0</v>
      </c>
      <c r="JY66" s="1" t="n">
        <f aca="false">IF(AND(HT66=1,BU66=1),MIN(JR66,JW66),0)</f>
        <v>0</v>
      </c>
      <c r="JZ66" s="1" t="n">
        <f aca="false">JR66-JY66</f>
        <v>0</v>
      </c>
      <c r="KA66" s="1" t="n">
        <f aca="false">IF(CE66=1,IF(ABS((1+AS_Wage)/(1+Slot7_Rate)-1)&lt;0.000000000001,(Slot7_Age-D66)*(1+Slot7_Rate)^(Slot7_Age-D66),(1+Slot7_Rate)^(Slot7_Age-D66)*(1-((1+AS_Wage)/(1+Slot7_Rate))^(Slot7_Age-D66))/(1-(1+AS_Wage)/(1+Slot7_Rate))),1)</f>
        <v>1</v>
      </c>
      <c r="KB66" s="1" t="n">
        <f aca="false">IF(AND(HT66=1,ID66&gt;0,Slot7_IsWG=1,CE66=1),MAX(0,(Slot7_Cost-CF66*(1+Slot7_Rate)^(Slot7_Age-D66))/KA66),0)</f>
        <v>0</v>
      </c>
      <c r="KC66" s="1" t="n">
        <f aca="false">IF(AND(HT66=1,ID66&gt;0,Slot7_IsWG=1,CE66=1),MIN(ID66,KB66),0)</f>
        <v>0</v>
      </c>
      <c r="KD66" s="1" t="n">
        <f aca="false">CF66+KC66</f>
        <v>0</v>
      </c>
      <c r="KE66" s="1" t="n">
        <f aca="false">IF(CE66=1,MAX(0,(Slot7_Cost-KD66*(1+Slot7_Rate)^(Slot7_Age-D66))/KA66),0)</f>
        <v>0</v>
      </c>
      <c r="KF66" s="1" t="n">
        <f aca="false">IF(CE66=1,MAX(0,(Slot7_Cost-CF66*(1+Slot7_Rate)^(Slot7_Age-D66))/KA66),0)</f>
        <v>0</v>
      </c>
      <c r="KG66" s="1" t="n">
        <f aca="false">IF(AND(HT66=1,CE66=1),MIN(JZ66,KE66),0)</f>
        <v>0</v>
      </c>
      <c r="KH66" s="1" t="n">
        <f aca="false">JZ66-KG66</f>
        <v>0</v>
      </c>
      <c r="KI66" s="1" t="n">
        <f aca="false">IF(CO66=1,IF(ABS((1+AS_Wage)/(1+Slot8_Rate)-1)&lt;0.000000000001,(Slot8_Age-D66)*(1+Slot8_Rate)^(Slot8_Age-D66),(1+Slot8_Rate)^(Slot8_Age-D66)*(1-((1+AS_Wage)/(1+Slot8_Rate))^(Slot8_Age-D66))/(1-(1+AS_Wage)/(1+Slot8_Rate))),1)</f>
        <v>1</v>
      </c>
      <c r="KJ66" s="1" t="n">
        <f aca="false">IF(AND(HT66=1,ID66&gt;0,Slot8_IsWG=1,CO66=1),MAX(0,(Slot8_Cost-CP66*(1+Slot8_Rate)^(Slot8_Age-D66))/KI66),0)</f>
        <v>0</v>
      </c>
      <c r="KK66" s="1" t="n">
        <f aca="false">IF(AND(HT66=1,ID66&gt;0,Slot8_IsWG=1,CO66=1),MIN(ID66,KJ66),0)</f>
        <v>0</v>
      </c>
      <c r="KL66" s="1" t="n">
        <f aca="false">CP66+KK66</f>
        <v>0</v>
      </c>
      <c r="KM66" s="1" t="n">
        <f aca="false">IF(CO66=1,MAX(0,(Slot8_Cost-KL66*(1+Slot8_Rate)^(Slot8_Age-D66))/KI66),0)</f>
        <v>0</v>
      </c>
      <c r="KN66" s="1" t="n">
        <f aca="false">IF(CO66=1,MAX(0,(Slot8_Cost-CP66*(1+Slot8_Rate)^(Slot8_Age-D66))/KI66),0)</f>
        <v>0</v>
      </c>
      <c r="KO66" s="1" t="n">
        <f aca="false">IF(AND(HT66=1,CO66=1),MIN(KH66,KM66),0)</f>
        <v>0</v>
      </c>
      <c r="KP66" s="1" t="n">
        <f aca="false">KH66-KO66</f>
        <v>0</v>
      </c>
      <c r="KQ66" s="1" t="n">
        <f aca="false">IF(CY66=1,IF(ABS((1+AS_Wage)/(1+Slot9_Rate)-1)&lt;0.000000000001,(Slot9_Age-D66)*(1+Slot9_Rate)^(Slot9_Age-D66),(1+Slot9_Rate)^(Slot9_Age-D66)*(1-((1+AS_Wage)/(1+Slot9_Rate))^(Slot9_Age-D66))/(1-(1+AS_Wage)/(1+Slot9_Rate))),1)</f>
        <v>1</v>
      </c>
      <c r="KR66" s="1" t="n">
        <f aca="false">IF(AND(HT66=1,ID66&gt;0,Slot9_IsWG=1,CY66=1),MAX(0,(Slot9_Cost-CZ66*(1+Slot9_Rate)^(Slot9_Age-D66))/KQ66),0)</f>
        <v>0</v>
      </c>
      <c r="KS66" s="1" t="n">
        <f aca="false">IF(AND(HT66=1,ID66&gt;0,Slot9_IsWG=1,CY66=1),MIN(ID66,KR66),0)</f>
        <v>0</v>
      </c>
      <c r="KT66" s="1" t="n">
        <f aca="false">CZ66+KS66</f>
        <v>0</v>
      </c>
      <c r="KU66" s="1" t="n">
        <f aca="false">IF(CY66=1,MAX(0,(Slot9_Cost-KT66*(1+Slot9_Rate)^(Slot9_Age-D66))/KQ66),0)</f>
        <v>0</v>
      </c>
      <c r="KV66" s="1" t="n">
        <f aca="false">IF(CY66=1,MAX(0,(Slot9_Cost-CZ66*(1+Slot9_Rate)^(Slot9_Age-D66))/KQ66),0)</f>
        <v>0</v>
      </c>
      <c r="KW66" s="1" t="n">
        <f aca="false">IF(AND(HT66=1,CY66=1),MIN(KP66,KU66),0)</f>
        <v>0</v>
      </c>
      <c r="KX66" s="1" t="n">
        <f aca="false">KP66-KW66</f>
        <v>0</v>
      </c>
      <c r="KY66" s="1" t="n">
        <f aca="false">IF(DI66=1,IF(ABS((1+AS_Wage)/(1+Slot10_Rate)-1)&lt;0.000000000001,(Slot10_Age-D66)*(1+Slot10_Rate)^(Slot10_Age-D66),(1+Slot10_Rate)^(Slot10_Age-D66)*(1-((1+AS_Wage)/(1+Slot10_Rate))^(Slot10_Age-D66))/(1-(1+AS_Wage)/(1+Slot10_Rate))),1)</f>
        <v>1</v>
      </c>
      <c r="KZ66" s="1" t="n">
        <f aca="false">IF(AND(HT66=1,ID66&gt;0,Slot10_IsWG=1,DI66=1),MAX(0,(Slot10_Cost-DJ66*(1+Slot10_Rate)^(Slot10_Age-D66))/KY66),0)</f>
        <v>0</v>
      </c>
      <c r="LA66" s="1" t="n">
        <f aca="false">IF(AND(HT66=1,ID66&gt;0,Slot10_IsWG=1,DI66=1),MIN(ID66,KZ66),0)</f>
        <v>0</v>
      </c>
      <c r="LB66" s="1" t="n">
        <f aca="false">DJ66+LA66</f>
        <v>0</v>
      </c>
      <c r="LC66" s="1" t="n">
        <f aca="false">IF(DI66=1,MAX(0,(Slot10_Cost-LB66*(1+Slot10_Rate)^(Slot10_Age-D66))/KY66),0)</f>
        <v>0</v>
      </c>
      <c r="LD66" s="1" t="n">
        <f aca="false">IF(DI66=1,MAX(0,(Slot10_Cost-DJ66*(1+Slot10_Rate)^(Slot10_Age-D66))/KY66),0)</f>
        <v>0</v>
      </c>
      <c r="LE66" s="1" t="n">
        <f aca="false">IF(AND(HT66=1,DI66=1),MIN(KX66,LC66),0)</f>
        <v>0</v>
      </c>
      <c r="LF66" s="1" t="n">
        <f aca="false">KX66-LE66</f>
        <v>0</v>
      </c>
      <c r="LG66" s="1" t="n">
        <f aca="false">IF(DS66=1,IF(ABS((1+AS_Wage)/(1+Slot11_Rate)-1)&lt;0.000000000001,(Slot11_Age-D66)*(1+Slot11_Rate)^(Slot11_Age-D66),(1+Slot11_Rate)^(Slot11_Age-D66)*(1-((1+AS_Wage)/(1+Slot11_Rate))^(Slot11_Age-D66))/(1-(1+AS_Wage)/(1+Slot11_Rate))),1)</f>
        <v>1</v>
      </c>
      <c r="LH66" s="1" t="n">
        <f aca="false">IF(AND(HT66=1,ID66&gt;0,Slot11_IsWG=1,DS66=1),MAX(0,(Slot11_Cost-DT66*(1+Slot11_Rate)^(Slot11_Age-D66))/LG66),0)</f>
        <v>0</v>
      </c>
      <c r="LI66" s="1" t="n">
        <f aca="false">IF(AND(HT66=1,ID66&gt;0,Slot11_IsWG=1,DS66=1),MIN(ID66,LH66),0)</f>
        <v>0</v>
      </c>
      <c r="LJ66" s="1" t="n">
        <f aca="false">DT66+LI66</f>
        <v>0</v>
      </c>
      <c r="LK66" s="1" t="n">
        <f aca="false">IF(DS66=1,MAX(0,(Slot11_Cost-LJ66*(1+Slot11_Rate)^(Slot11_Age-D66))/LG66),0)</f>
        <v>0</v>
      </c>
      <c r="LL66" s="1" t="n">
        <f aca="false">IF(DS66=1,MAX(0,(Slot11_Cost-DT66*(1+Slot11_Rate)^(Slot11_Age-D66))/LG66),0)</f>
        <v>0</v>
      </c>
      <c r="LM66" s="1" t="n">
        <f aca="false">IF(AND(HT66=1,DS66=1),MIN(LF66,LK66),0)</f>
        <v>0</v>
      </c>
      <c r="LN66" s="1" t="n">
        <f aca="false">LF66-LM66</f>
        <v>0</v>
      </c>
      <c r="LO66" s="1" t="n">
        <f aca="false">IF(EC66=1,IF(ABS((1+AS_Wage)/(1+Slot12_Rate)-1)&lt;0.000000000001,(Slot12_Age-D66)*(1+Slot12_Rate)^(Slot12_Age-D66),(1+Slot12_Rate)^(Slot12_Age-D66)*(1-((1+AS_Wage)/(1+Slot12_Rate))^(Slot12_Age-D66))/(1-(1+AS_Wage)/(1+Slot12_Rate))),1)</f>
        <v>1</v>
      </c>
      <c r="LP66" s="1" t="n">
        <f aca="false">IF(AND(HT66=1,ID66&gt;0,Slot12_IsWG=1,EC66=1),MAX(0,(Slot12_Cost-ED66*(1+Slot12_Rate)^(Slot12_Age-D66))/LO66),0)</f>
        <v>0</v>
      </c>
      <c r="LQ66" s="1" t="n">
        <f aca="false">IF(AND(HT66=1,ID66&gt;0,Slot12_IsWG=1,EC66=1),MIN(ID66,LP66),0)</f>
        <v>0</v>
      </c>
      <c r="LR66" s="1" t="n">
        <f aca="false">ED66+LQ66</f>
        <v>0</v>
      </c>
      <c r="LS66" s="1" t="n">
        <f aca="false">IF(EC66=1,MAX(0,(Slot12_Cost-LR66*(1+Slot12_Rate)^(Slot12_Age-D66))/LO66),0)</f>
        <v>0</v>
      </c>
      <c r="LT66" s="1" t="n">
        <f aca="false">IF(EC66=1,MAX(0,(Slot12_Cost-ED66*(1+Slot12_Rate)^(Slot12_Age-D66))/LO66),0)</f>
        <v>0</v>
      </c>
      <c r="LU66" s="1" t="n">
        <f aca="false">IF(AND(HT66=1,EC66=1),MIN(LN66,LS66),0)</f>
        <v>0</v>
      </c>
      <c r="LV66" s="1" t="n">
        <f aca="false">LN66-LU66</f>
        <v>0</v>
      </c>
      <c r="LW66" s="1" t="n">
        <f aca="false">IF(EM66=1,IF(ABS((1+AS_Wage)/(1+Slot13_Rate)-1)&lt;0.000000000001,(Slot13_Age-D66)*(1+Slot13_Rate)^(Slot13_Age-D66),(1+Slot13_Rate)^(Slot13_Age-D66)*(1-((1+AS_Wage)/(1+Slot13_Rate))^(Slot13_Age-D66))/(1-(1+AS_Wage)/(1+Slot13_Rate))),1)</f>
        <v>1</v>
      </c>
      <c r="LX66" s="1" t="n">
        <f aca="false">IF(AND(HT66=1,ID66&gt;0,Slot13_IsWG=1,EM66=1),MAX(0,(Slot13_Cost-EN66*(1+Slot13_Rate)^(Slot13_Age-D66))/LW66),0)</f>
        <v>0</v>
      </c>
      <c r="LY66" s="1" t="n">
        <f aca="false">IF(AND(HT66=1,ID66&gt;0,Slot13_IsWG=1,EM66=1),MIN(ID66,LX66),0)</f>
        <v>0</v>
      </c>
      <c r="LZ66" s="1" t="n">
        <f aca="false">EN66+LY66</f>
        <v>0</v>
      </c>
      <c r="MA66" s="1" t="n">
        <f aca="false">IF(EM66=1,MAX(0,(Slot13_Cost-LZ66*(1+Slot13_Rate)^(Slot13_Age-D66))/LW66),0)</f>
        <v>0</v>
      </c>
      <c r="MB66" s="1" t="n">
        <f aca="false">IF(EM66=1,MAX(0,(Slot13_Cost-EN66*(1+Slot13_Rate)^(Slot13_Age-D66))/LW66),0)</f>
        <v>0</v>
      </c>
      <c r="MC66" s="1" t="n">
        <f aca="false">IF(AND(HT66=1,EM66=1),MIN(LV66,MA66),0)</f>
        <v>0</v>
      </c>
      <c r="MD66" s="1" t="n">
        <f aca="false">LV66-MC66</f>
        <v>0</v>
      </c>
      <c r="ME66" s="1" t="n">
        <f aca="false">IF(EW66=1,IF(ABS((1+AS_Wage)/(1+Slot14_Rate)-1)&lt;0.000000000001,(Slot14_Age-D66)*(1+Slot14_Rate)^(Slot14_Age-D66),(1+Slot14_Rate)^(Slot14_Age-D66)*(1-((1+AS_Wage)/(1+Slot14_Rate))^(Slot14_Age-D66))/(1-(1+AS_Wage)/(1+Slot14_Rate))),1)</f>
        <v>1</v>
      </c>
      <c r="MF66" s="1" t="n">
        <f aca="false">IF(AND(HT66=1,ID66&gt;0,Slot14_IsWG=1,EW66=1),MAX(0,(Slot14_Cost-EX66*(1+Slot14_Rate)^(Slot14_Age-D66))/ME66),0)</f>
        <v>0</v>
      </c>
      <c r="MG66" s="1" t="n">
        <f aca="false">IF(AND(HT66=1,ID66&gt;0,Slot14_IsWG=1,EW66=1),MIN(ID66,MF66),0)</f>
        <v>0</v>
      </c>
      <c r="MH66" s="1" t="n">
        <f aca="false">EX66+MG66</f>
        <v>0</v>
      </c>
      <c r="MI66" s="1" t="n">
        <f aca="false">IF(EW66=1,MAX(0,(Slot14_Cost-MH66*(1+Slot14_Rate)^(Slot14_Age-D66))/ME66),0)</f>
        <v>0</v>
      </c>
      <c r="MJ66" s="1" t="n">
        <f aca="false">IF(EW66=1,MAX(0,(Slot14_Cost-EX66*(1+Slot14_Rate)^(Slot14_Age-D66))/ME66),0)</f>
        <v>0</v>
      </c>
      <c r="MK66" s="1" t="n">
        <f aca="false">IF(AND(HT66=1,EW66=1),MIN(MD66,MI66),0)</f>
        <v>0</v>
      </c>
      <c r="ML66" s="1" t="n">
        <f aca="false">MD66-MK66</f>
        <v>0</v>
      </c>
      <c r="MM66" s="1" t="n">
        <f aca="false">IF(FG66=1,IF(ABS((1+AS_Wage)/(1+Slot15_Rate)-1)&lt;0.000000000001,(Slot15_Age-D66)*(1+Slot15_Rate)^(Slot15_Age-D66),(1+Slot15_Rate)^(Slot15_Age-D66)*(1-((1+AS_Wage)/(1+Slot15_Rate))^(Slot15_Age-D66))/(1-(1+AS_Wage)/(1+Slot15_Rate))),1)</f>
        <v>1</v>
      </c>
      <c r="MN66" s="1" t="n">
        <f aca="false">IF(AND(HT66=1,ID66&gt;0,Slot15_IsWG=1,FG66=1),MAX(0,(Slot15_Cost-FH66*(1+Slot15_Rate)^(Slot15_Age-D66))/MM66),0)</f>
        <v>0</v>
      </c>
      <c r="MO66" s="1" t="n">
        <f aca="false">IF(AND(HT66=1,ID66&gt;0,Slot15_IsWG=1,FG66=1),MIN(ID66,MN66),0)</f>
        <v>0</v>
      </c>
      <c r="MP66" s="1" t="n">
        <f aca="false">FH66+MO66</f>
        <v>0</v>
      </c>
      <c r="MQ66" s="1" t="n">
        <f aca="false">IF(FG66=1,MAX(0,(Slot15_Cost-MP66*(1+Slot15_Rate)^(Slot15_Age-D66))/MM66),0)</f>
        <v>0</v>
      </c>
      <c r="MR66" s="1" t="n">
        <f aca="false">IF(FG66=1,MAX(0,(Slot15_Cost-FH66*(1+Slot15_Rate)^(Slot15_Age-D66))/MM66),0)</f>
        <v>0</v>
      </c>
      <c r="MS66" s="1" t="n">
        <f aca="false">IF(AND(HT66=1,FG66=1),MIN(ML66,MQ66),0)</f>
        <v>0</v>
      </c>
      <c r="MT66" s="1" t="n">
        <f aca="false">ML66-MS66</f>
        <v>0</v>
      </c>
      <c r="MU66" s="1" t="n">
        <f aca="false">IF(FQ66=1,IF(ABS((1+AS_Wage)/(1+Slot16_Rate)-1)&lt;0.000000000001,(Slot16_Age-D66)*(1+Slot16_Rate)^(Slot16_Age-D66),(1+Slot16_Rate)^(Slot16_Age-D66)*(1-((1+AS_Wage)/(1+Slot16_Rate))^(Slot16_Age-D66))/(1-(1+AS_Wage)/(1+Slot16_Rate))),1)</f>
        <v>1</v>
      </c>
      <c r="MV66" s="1" t="n">
        <f aca="false">IF(AND(HT66=1,ID66&gt;0,Slot16_IsWG=1,FQ66=1),MAX(0,(Slot16_Cost-FR66*(1+Slot16_Rate)^(Slot16_Age-D66))/MU66),0)</f>
        <v>0</v>
      </c>
      <c r="MW66" s="1" t="n">
        <f aca="false">IF(AND(HT66=1,ID66&gt;0,Slot16_IsWG=1,FQ66=1),MIN(ID66,MV66),0)</f>
        <v>0</v>
      </c>
      <c r="MX66" s="1" t="n">
        <f aca="false">FR66+MW66</f>
        <v>0</v>
      </c>
      <c r="MY66" s="1" t="n">
        <f aca="false">IF(FQ66=1,MAX(0,(Slot16_Cost-MX66*(1+Slot16_Rate)^(Slot16_Age-D66))/MU66),0)</f>
        <v>0</v>
      </c>
      <c r="MZ66" s="1" t="n">
        <f aca="false">IF(FQ66=1,MAX(0,(Slot16_Cost-FR66*(1+Slot16_Rate)^(Slot16_Age-D66))/MU66),0)</f>
        <v>0</v>
      </c>
      <c r="NA66" s="1" t="n">
        <f aca="false">IF(AND(HT66=1,FQ66=1),MIN(MT66,MY66),0)</f>
        <v>0</v>
      </c>
      <c r="NB66" s="1" t="n">
        <f aca="false">MT66-NA66</f>
        <v>0</v>
      </c>
      <c r="NC66" s="1" t="n">
        <f aca="false">IF(GA66=1,IF(ABS((1+AS_Wage)/(1+Slot17_Rate)-1)&lt;0.000000000001,(Slot17_Age-D66)*(1+Slot17_Rate)^(Slot17_Age-D66),(1+Slot17_Rate)^(Slot17_Age-D66)*(1-((1+AS_Wage)/(1+Slot17_Rate))^(Slot17_Age-D66))/(1-(1+AS_Wage)/(1+Slot17_Rate))),1)</f>
        <v>1</v>
      </c>
      <c r="ND66" s="1" t="n">
        <f aca="false">IF(AND(HT66=1,ID66&gt;0,Slot17_IsWG=1,GA66=1),MAX(0,(Slot17_Cost-GB66*(1+Slot17_Rate)^(Slot17_Age-D66))/NC66),0)</f>
        <v>0</v>
      </c>
      <c r="NE66" s="1" t="n">
        <f aca="false">IF(AND(HT66=1,ID66&gt;0,Slot17_IsWG=1,GA66=1),MIN(ID66,ND66),0)</f>
        <v>0</v>
      </c>
      <c r="NF66" s="1" t="n">
        <f aca="false">GB66+NE66</f>
        <v>0</v>
      </c>
      <c r="NG66" s="1" t="n">
        <f aca="false">IF(GA66=1,MAX(0,(Slot17_Cost-NF66*(1+Slot17_Rate)^(Slot17_Age-D66))/NC66),0)</f>
        <v>0</v>
      </c>
      <c r="NH66" s="1" t="n">
        <f aca="false">IF(GA66=1,MAX(0,(Slot17_Cost-GB66*(1+Slot17_Rate)^(Slot17_Age-D66))/NC66),0)</f>
        <v>0</v>
      </c>
      <c r="NI66" s="1" t="n">
        <f aca="false">IF(AND(HT66=1,GA66=1),MIN(NB66,NG66),0)</f>
        <v>0</v>
      </c>
      <c r="NJ66" s="1" t="n">
        <f aca="false">NB66-NI66</f>
        <v>0</v>
      </c>
      <c r="NK66" s="1" t="n">
        <f aca="false">IF(GK66=1,IF(ABS((1+AS_Wage)/(1+Slot18_Rate)-1)&lt;0.000000000001,(Slot18_Age-D66)*(1+Slot18_Rate)^(Slot18_Age-D66),(1+Slot18_Rate)^(Slot18_Age-D66)*(1-((1+AS_Wage)/(1+Slot18_Rate))^(Slot18_Age-D66))/(1-(1+AS_Wage)/(1+Slot18_Rate))),1)</f>
        <v>1</v>
      </c>
      <c r="NL66" s="1" t="n">
        <f aca="false">IF(AND(HT66=1,ID66&gt;0,Slot18_IsWG=1,GK66=1),MAX(0,(Slot18_Cost-GL66*(1+Slot18_Rate)^(Slot18_Age-D66))/NK66),0)</f>
        <v>0</v>
      </c>
      <c r="NM66" s="1" t="n">
        <f aca="false">IF(AND(HT66=1,ID66&gt;0,Slot18_IsWG=1,GK66=1),MIN(ID66,NL66),0)</f>
        <v>0</v>
      </c>
      <c r="NN66" s="1" t="n">
        <f aca="false">GL66+NM66</f>
        <v>0</v>
      </c>
      <c r="NO66" s="1" t="n">
        <f aca="false">IF(GK66=1,MAX(0,(Slot18_Cost-NN66*(1+Slot18_Rate)^(Slot18_Age-D66))/NK66),0)</f>
        <v>0</v>
      </c>
      <c r="NP66" s="1" t="n">
        <f aca="false">IF(GK66=1,MAX(0,(Slot18_Cost-GL66*(1+Slot18_Rate)^(Slot18_Age-D66))/NK66),0)</f>
        <v>0</v>
      </c>
      <c r="NQ66" s="1" t="n">
        <f aca="false">IF(AND(HT66=1,GK66=1),MIN(NJ66,NO66),0)</f>
        <v>0</v>
      </c>
      <c r="NR66" s="1" t="n">
        <f aca="false">NJ66-NQ66</f>
        <v>0</v>
      </c>
      <c r="NS66" s="1" t="n">
        <f aca="false">IF(GU66=1,IF(ABS((1+AS_Wage)/(1+Slot19_Rate)-1)&lt;0.000000000001,(Slot19_Age-D66)*(1+Slot19_Rate)^(Slot19_Age-D66),(1+Slot19_Rate)^(Slot19_Age-D66)*(1-((1+AS_Wage)/(1+Slot19_Rate))^(Slot19_Age-D66))/(1-(1+AS_Wage)/(1+Slot19_Rate))),1)</f>
        <v>1</v>
      </c>
      <c r="NT66" s="1" t="n">
        <f aca="false">IF(AND(HT66=1,ID66&gt;0,Slot19_IsWG=1,GU66=1),MAX(0,(Slot19_Cost-GV66*(1+Slot19_Rate)^(Slot19_Age-D66))/NS66),0)</f>
        <v>0</v>
      </c>
      <c r="NU66" s="1" t="n">
        <f aca="false">IF(AND(HT66=1,ID66&gt;0,Slot19_IsWG=1,GU66=1),MIN(ID66,NT66),0)</f>
        <v>0</v>
      </c>
      <c r="NV66" s="1" t="n">
        <f aca="false">GV66+NU66</f>
        <v>0</v>
      </c>
      <c r="NW66" s="1" t="n">
        <f aca="false">IF(GU66=1,MAX(0,(Slot19_Cost-NV66*(1+Slot19_Rate)^(Slot19_Age-D66))/NS66),0)</f>
        <v>0</v>
      </c>
      <c r="NX66" s="1" t="n">
        <f aca="false">IF(GU66=1,MAX(0,(Slot19_Cost-GV66*(1+Slot19_Rate)^(Slot19_Age-D66))/NS66),0)</f>
        <v>0</v>
      </c>
      <c r="NY66" s="1" t="n">
        <f aca="false">IF(AND(HT66=1,GU66=1),MIN(NR66,NW66),0)</f>
        <v>0</v>
      </c>
      <c r="NZ66" s="1" t="n">
        <f aca="false">NR66-NY66</f>
        <v>0</v>
      </c>
      <c r="OA66" s="1" t="n">
        <f aca="false">IF(HE66=1,IF(ABS((1+AS_Wage)/(1+Slot20_Rate)-1)&lt;0.000000000001,(Slot20_Age-D66)*(1+Slot20_Rate)^(Slot20_Age-D66),(1+Slot20_Rate)^(Slot20_Age-D66)*(1-((1+AS_Wage)/(1+Slot20_Rate))^(Slot20_Age-D66))/(1-(1+AS_Wage)/(1+Slot20_Rate))),1)</f>
        <v>1</v>
      </c>
      <c r="OB66" s="1" t="n">
        <f aca="false">IF(AND(HT66=1,ID66&gt;0,Slot20_IsWG=1,HE66=1),MAX(0,(Slot20_Cost-HF66*(1+Slot20_Rate)^(Slot20_Age-D66))/OA66),0)</f>
        <v>0</v>
      </c>
      <c r="OC66" s="1" t="n">
        <f aca="false">IF(AND(HT66=1,ID66&gt;0,Slot20_IsWG=1,HE66=1),MIN(ID66,OB66),0)</f>
        <v>0</v>
      </c>
      <c r="OD66" s="1" t="n">
        <f aca="false">HF66+OC66</f>
        <v>0</v>
      </c>
      <c r="OE66" s="1" t="n">
        <f aca="false">IF(HE66=1,MAX(0,(Slot20_Cost-OD66*(1+Slot20_Rate)^(Slot20_Age-D66))/OA66),0)</f>
        <v>0</v>
      </c>
      <c r="OF66" s="1" t="n">
        <f aca="false">IF(HE66=1,MAX(0,(Slot20_Cost-HF66*(1+Slot20_Rate)^(Slot20_Age-D66))/OA66),0)</f>
        <v>0</v>
      </c>
      <c r="OG66" s="1" t="n">
        <f aca="false">IF(AND(HT66=1,HE66=1),MIN(NZ66,OE66),0)</f>
        <v>0</v>
      </c>
      <c r="OH66" s="1" t="n">
        <f aca="false">NZ66-OG66</f>
        <v>0</v>
      </c>
      <c r="OI66" s="1" t="n">
        <f aca="false">ID66-(IG66+IO66+IW66+JE66+JM66+JU66+KC66+KK66+KS66+LA66+LI66+LQ66+LY66+MG66+MO66+MW66+NE66+NM66+NU66+OC66)</f>
        <v>0</v>
      </c>
      <c r="OJ66" s="1" t="n">
        <f aca="false">IF(HT66=1,HR66-IC66-ID66,0)</f>
        <v>0</v>
      </c>
      <c r="OK66" s="1" t="n">
        <f aca="false">IF(HT66=0,-HR66,0)</f>
        <v>0</v>
      </c>
      <c r="OL66" s="1" t="n">
        <f aca="false">MIN(OK66,HJ66)</f>
        <v>0</v>
      </c>
      <c r="OM66" s="1" t="n">
        <f aca="false">OK66-OL66</f>
        <v>0</v>
      </c>
      <c r="ON66" s="1" t="n">
        <f aca="false">MIN(OM66,HK66)</f>
        <v>0</v>
      </c>
      <c r="OO66" s="1" t="n">
        <f aca="false">OM66-ON66</f>
        <v>0</v>
      </c>
      <c r="OP66" s="1" t="n">
        <f aca="false">IF(AND(HT66=0,HE66=1,OO66&gt;0),MIN(OO66,HF66),0)</f>
        <v>0</v>
      </c>
      <c r="OQ66" s="1" t="n">
        <f aca="false">OO66-OP66</f>
        <v>0</v>
      </c>
      <c r="OR66" s="1" t="n">
        <f aca="false">IF(AND(HT66=0,GU66=1,OQ66&gt;0),MIN(OQ66,GV66),0)</f>
        <v>0</v>
      </c>
      <c r="OS66" s="1" t="n">
        <f aca="false">OQ66-OR66</f>
        <v>0</v>
      </c>
      <c r="OT66" s="1" t="n">
        <f aca="false">IF(AND(HT66=0,GK66=1,OS66&gt;0),MIN(OS66,GL66),0)</f>
        <v>0</v>
      </c>
      <c r="OU66" s="1" t="n">
        <f aca="false">OS66-OT66</f>
        <v>0</v>
      </c>
      <c r="OV66" s="1" t="n">
        <f aca="false">IF(AND(HT66=0,GA66=1,OU66&gt;0),MIN(OU66,GB66),0)</f>
        <v>0</v>
      </c>
      <c r="OW66" s="1" t="n">
        <f aca="false">OU66-OV66</f>
        <v>0</v>
      </c>
      <c r="OX66" s="1" t="n">
        <f aca="false">IF(AND(HT66=0,FQ66=1,OW66&gt;0),MIN(OW66,FR66),0)</f>
        <v>0</v>
      </c>
      <c r="OY66" s="1" t="n">
        <f aca="false">OW66-OX66</f>
        <v>0</v>
      </c>
      <c r="OZ66" s="1" t="n">
        <f aca="false">IF(AND(HT66=0,FG66=1,OY66&gt;0),MIN(OY66,FH66),0)</f>
        <v>0</v>
      </c>
      <c r="PA66" s="1" t="n">
        <f aca="false">OY66-OZ66</f>
        <v>0</v>
      </c>
      <c r="PB66" s="1" t="n">
        <f aca="false">IF(AND(HT66=0,EW66=1,PA66&gt;0),MIN(PA66,EX66),0)</f>
        <v>0</v>
      </c>
      <c r="PC66" s="1" t="n">
        <f aca="false">PA66-PB66</f>
        <v>0</v>
      </c>
      <c r="PD66" s="1" t="n">
        <f aca="false">IF(AND(HT66=0,EM66=1,PC66&gt;0),MIN(PC66,EN66),0)</f>
        <v>0</v>
      </c>
      <c r="PE66" s="1" t="n">
        <f aca="false">PC66-PD66</f>
        <v>0</v>
      </c>
      <c r="PF66" s="1" t="n">
        <f aca="false">IF(AND(HT66=0,EC66=1,PE66&gt;0),MIN(PE66,ED66),0)</f>
        <v>0</v>
      </c>
      <c r="PG66" s="1" t="n">
        <f aca="false">PE66-PF66</f>
        <v>0</v>
      </c>
      <c r="PH66" s="1" t="n">
        <f aca="false">IF(AND(HT66=0,DS66=1,PG66&gt;0),MIN(PG66,DT66),0)</f>
        <v>0</v>
      </c>
      <c r="PI66" s="1" t="n">
        <f aca="false">PG66-PH66</f>
        <v>0</v>
      </c>
      <c r="PJ66" s="1" t="n">
        <f aca="false">IF(AND(HT66=0,DI66=1,PI66&gt;0),MIN(PI66,DJ66),0)</f>
        <v>0</v>
      </c>
      <c r="PK66" s="1" t="n">
        <f aca="false">PI66-PJ66</f>
        <v>0</v>
      </c>
      <c r="PL66" s="1" t="n">
        <f aca="false">IF(AND(HT66=0,CY66=1,PK66&gt;0),MIN(PK66,CZ66),0)</f>
        <v>0</v>
      </c>
      <c r="PM66" s="1" t="n">
        <f aca="false">PK66-PL66</f>
        <v>0</v>
      </c>
      <c r="PN66" s="1" t="n">
        <f aca="false">IF(AND(HT66=0,CO66=1,PM66&gt;0),MIN(PM66,CP66),0)</f>
        <v>0</v>
      </c>
      <c r="PO66" s="1" t="n">
        <f aca="false">PM66-PN66</f>
        <v>0</v>
      </c>
      <c r="PP66" s="1" t="n">
        <f aca="false">IF(AND(HT66=0,CE66=1,PO66&gt;0),MIN(PO66,CF66),0)</f>
        <v>0</v>
      </c>
      <c r="PQ66" s="1" t="n">
        <f aca="false">PO66-PP66</f>
        <v>0</v>
      </c>
      <c r="PR66" s="1" t="n">
        <f aca="false">IF(AND(HT66=0,BU66=1,PQ66&gt;0),MIN(PQ66,BV66),0)</f>
        <v>0</v>
      </c>
      <c r="PS66" s="1" t="n">
        <f aca="false">PQ66-PR66</f>
        <v>0</v>
      </c>
      <c r="PT66" s="1" t="n">
        <f aca="false">IF(AND(HT66=0,BK66=1,PS66&gt;0),MIN(PS66,BL66),0)</f>
        <v>0</v>
      </c>
      <c r="PU66" s="1" t="n">
        <f aca="false">PS66-PT66</f>
        <v>0</v>
      </c>
      <c r="PV66" s="1" t="n">
        <f aca="false">IF(AND(HT66=0,BA66=1,PU66&gt;0),MIN(PU66,BB66),0)</f>
        <v>0</v>
      </c>
      <c r="PW66" s="1" t="n">
        <f aca="false">PU66-PV66</f>
        <v>0</v>
      </c>
      <c r="PX66" s="1" t="n">
        <f aca="false">IF(AND(HT66=0,AQ66=1,PW66&gt;0),MIN(PW66,AR66),0)</f>
        <v>0</v>
      </c>
      <c r="PY66" s="1" t="n">
        <f aca="false">PW66-PX66</f>
        <v>0</v>
      </c>
      <c r="PZ66" s="1" t="n">
        <f aca="false">IF(AND(HT66=0,AG66=1,PY66&gt;0),MIN(PY66,AH66),0)</f>
        <v>0</v>
      </c>
      <c r="QA66" s="1" t="n">
        <f aca="false">PY66-PZ66</f>
        <v>0</v>
      </c>
      <c r="QB66" s="1" t="n">
        <f aca="false">IF(AND(HT66=0,V66=1,QA66&gt;0),MIN(QA66,W66),0)</f>
        <v>0</v>
      </c>
      <c r="QC66" s="1" t="n">
        <f aca="false">QA66-QB66</f>
        <v>0</v>
      </c>
      <c r="QD66" s="1" t="n">
        <f aca="false">IF(HT66=0,QC66,0)</f>
        <v>0</v>
      </c>
      <c r="QE66" s="1" t="n">
        <f aca="false">OL66+ON66+QB66+PZ66+PX66+PV66+PT66+PR66+PP66+PN66+PL66+PJ66+PH66+PF66+PD66+PB66+OZ66+OX66+OV66+OT66+OR66+OP66</f>
        <v>0</v>
      </c>
      <c r="QF66" s="1" t="n">
        <f aca="false">IF(HT66=1,HJ66+OI66+OH66+IF(F66=1,0,OJ66),HJ66-OL66)</f>
        <v>0</v>
      </c>
      <c r="QG66" s="1" t="n">
        <f aca="false">HK66-ON66</f>
        <v>0</v>
      </c>
      <c r="QH66" s="1" t="n">
        <f aca="false">IF(HT66=1,IF(F66=1,IC66+ID66,HR66),0)</f>
        <v>0</v>
      </c>
      <c r="QI66" s="1" t="n">
        <f aca="false">IF(HT66=1,IF(F66=1,HR66-IC66-ID66,0),0)</f>
        <v>0</v>
      </c>
      <c r="QJ66" s="1" t="n">
        <f aca="false">QF66*(1+GR)</f>
        <v>0</v>
      </c>
      <c r="QK66" s="1" t="n">
        <f aca="false">QG66*(1+AS_Cash)</f>
        <v>0</v>
      </c>
      <c r="QL66" s="1" t="n">
        <f aca="false">IF(V66=1,IF(HT66=1,IH66+IK66,W66-QB66)*(1+Slot1_Rate),0)</f>
        <v>0</v>
      </c>
      <c r="QM66" s="1" t="n">
        <f aca="false">IF(AND(HT66=1,V66=1),(IG66+IK66)/E66,0)</f>
        <v>0</v>
      </c>
      <c r="QN66" s="1" t="n">
        <f aca="false">IF(B66=0,IG66+IK66,0)</f>
        <v>0</v>
      </c>
      <c r="QO66" s="1" t="n">
        <f aca="false">IF(B66=0,IF(HT66=1,II66,IJ66),0)</f>
        <v>0</v>
      </c>
      <c r="QP66" s="1" t="n">
        <f aca="false">IF(AG66=1,IF(HT66=1,IP66+IS66,AH66-PZ66)*(1+Slot2_Rate),0)</f>
        <v>0</v>
      </c>
      <c r="QQ66" s="1" t="n">
        <f aca="false">IF(AND(HT66=1,AG66=1),(IO66+IS66)/E66,0)</f>
        <v>0</v>
      </c>
      <c r="QR66" s="1" t="n">
        <f aca="false">IF(B66=0,IO66+IS66,0)</f>
        <v>0</v>
      </c>
      <c r="QS66" s="1" t="n">
        <f aca="false">IF(B66=0,IF(HT66=1,IQ66,IR66),0)</f>
        <v>0</v>
      </c>
      <c r="QT66" s="1" t="n">
        <f aca="false">IF(AQ66=1,IF(HT66=1,IX66+JA66,AR66-PX66)*(1+Slot3_Rate),0)</f>
        <v>0</v>
      </c>
      <c r="QU66" s="1" t="n">
        <f aca="false">IF(AND(HT66=1,AQ66=1),(IW66+JA66)/E66,0)</f>
        <v>0</v>
      </c>
      <c r="QV66" s="1" t="n">
        <f aca="false">IF(B66=0,IW66+JA66,0)</f>
        <v>0</v>
      </c>
      <c r="QW66" s="1" t="n">
        <f aca="false">IF(B66=0,IF(HT66=1,IY66,IZ66),0)</f>
        <v>0</v>
      </c>
      <c r="QX66" s="1" t="n">
        <f aca="false">IF(BA66=1,IF(HT66=1,JF66+JI66,BB66-PV66)*(1+Slot4_Rate),0)</f>
        <v>0</v>
      </c>
      <c r="QY66" s="1" t="n">
        <f aca="false">IF(AND(HT66=1,BA66=1),(JE66+JI66)/E66,0)</f>
        <v>0</v>
      </c>
      <c r="QZ66" s="1" t="n">
        <f aca="false">IF(B66=0,JE66+JI66,0)</f>
        <v>0</v>
      </c>
      <c r="RA66" s="1" t="n">
        <f aca="false">IF(B66=0,IF(HT66=1,JG66,JH66),0)</f>
        <v>0</v>
      </c>
      <c r="RB66" s="1" t="n">
        <f aca="false">IF(BK66=1,IF(HT66=1,JN66+JQ66,BL66-PT66)*(1+Slot5_Rate),0)</f>
        <v>0</v>
      </c>
      <c r="RC66" s="1" t="n">
        <f aca="false">IF(AND(HT66=1,BK66=1),(JM66+JQ66)/E66,0)</f>
        <v>0</v>
      </c>
      <c r="RD66" s="1" t="n">
        <f aca="false">IF(B66=0,JM66+JQ66,0)</f>
        <v>0</v>
      </c>
      <c r="RE66" s="1" t="n">
        <f aca="false">IF(B66=0,IF(HT66=1,JO66,JP66),0)</f>
        <v>0</v>
      </c>
      <c r="RF66" s="1" t="n">
        <f aca="false">IF(BU66=1,IF(HT66=1,JV66+JY66,BV66-PR66)*(1+Slot6_Rate),0)</f>
        <v>0</v>
      </c>
      <c r="RG66" s="1" t="n">
        <f aca="false">IF(AND(HT66=1,BU66=1),(JU66+JY66)/E66,0)</f>
        <v>0</v>
      </c>
      <c r="RH66" s="1" t="n">
        <f aca="false">IF(B66=0,JU66+JY66,0)</f>
        <v>0</v>
      </c>
      <c r="RI66" s="1" t="n">
        <f aca="false">IF(B66=0,IF(HT66=1,JW66,JX66),0)</f>
        <v>0</v>
      </c>
      <c r="RJ66" s="1" t="n">
        <f aca="false">IF(CE66=1,IF(HT66=1,KD66+KG66,CF66-PP66)*(1+Slot7_Rate),0)</f>
        <v>0</v>
      </c>
      <c r="RK66" s="1" t="n">
        <f aca="false">IF(AND(HT66=1,CE66=1),(KC66+KG66)/E66,0)</f>
        <v>0</v>
      </c>
      <c r="RL66" s="1" t="n">
        <f aca="false">IF(B66=0,KC66+KG66,0)</f>
        <v>0</v>
      </c>
      <c r="RM66" s="1" t="n">
        <f aca="false">IF(B66=0,IF(HT66=1,KE66,KF66),0)</f>
        <v>0</v>
      </c>
      <c r="RN66" s="1" t="n">
        <f aca="false">IF(CO66=1,IF(HT66=1,KL66+KO66,CP66-PN66)*(1+Slot8_Rate),0)</f>
        <v>0</v>
      </c>
      <c r="RO66" s="1" t="n">
        <f aca="false">IF(AND(HT66=1,CO66=1),(KK66+KO66)/E66,0)</f>
        <v>0</v>
      </c>
      <c r="RP66" s="1" t="n">
        <f aca="false">IF(B66=0,KK66+KO66,0)</f>
        <v>0</v>
      </c>
      <c r="RQ66" s="1" t="n">
        <f aca="false">IF(B66=0,IF(HT66=1,KM66,KN66),0)</f>
        <v>0</v>
      </c>
      <c r="RR66" s="1" t="n">
        <f aca="false">IF(CY66=1,IF(HT66=1,KT66+KW66,CZ66-PL66)*(1+Slot9_Rate),0)</f>
        <v>0</v>
      </c>
      <c r="RS66" s="1" t="n">
        <f aca="false">IF(AND(HT66=1,CY66=1),(KS66+KW66)/E66,0)</f>
        <v>0</v>
      </c>
      <c r="RT66" s="1" t="n">
        <f aca="false">IF(B66=0,KS66+KW66,0)</f>
        <v>0</v>
      </c>
      <c r="RU66" s="1" t="n">
        <f aca="false">IF(B66=0,IF(HT66=1,KU66,KV66),0)</f>
        <v>0</v>
      </c>
      <c r="RV66" s="1" t="n">
        <f aca="false">IF(DI66=1,IF(HT66=1,LB66+LE66,DJ66-PJ66)*(1+Slot10_Rate),0)</f>
        <v>0</v>
      </c>
      <c r="RW66" s="1" t="n">
        <f aca="false">IF(AND(HT66=1,DI66=1),(LA66+LE66)/E66,0)</f>
        <v>0</v>
      </c>
      <c r="RX66" s="1" t="n">
        <f aca="false">IF(B66=0,LA66+LE66,0)</f>
        <v>0</v>
      </c>
      <c r="RY66" s="1" t="n">
        <f aca="false">IF(B66=0,IF(HT66=1,LC66,LD66),0)</f>
        <v>0</v>
      </c>
      <c r="RZ66" s="1" t="n">
        <f aca="false">IF(DS66=1,IF(HT66=1,LJ66+LM66,DT66-PH66)*(1+Slot11_Rate),0)</f>
        <v>0</v>
      </c>
      <c r="SA66" s="1" t="n">
        <f aca="false">IF(AND(HT66=1,DS66=1),(LI66+LM66)/E66,0)</f>
        <v>0</v>
      </c>
      <c r="SB66" s="1" t="n">
        <f aca="false">IF(B66=0,LI66+LM66,0)</f>
        <v>0</v>
      </c>
      <c r="SC66" s="1" t="n">
        <f aca="false">IF(B66=0,IF(HT66=1,LK66,LL66),0)</f>
        <v>0</v>
      </c>
      <c r="SD66" s="1" t="n">
        <f aca="false">IF(EC66=1,IF(HT66=1,LR66+LU66,ED66-PF66)*(1+Slot12_Rate),0)</f>
        <v>0</v>
      </c>
      <c r="SE66" s="1" t="n">
        <f aca="false">IF(AND(HT66=1,EC66=1),(LQ66+LU66)/E66,0)</f>
        <v>0</v>
      </c>
      <c r="SF66" s="1" t="n">
        <f aca="false">IF(B66=0,LQ66+LU66,0)</f>
        <v>0</v>
      </c>
      <c r="SG66" s="1" t="n">
        <f aca="false">IF(B66=0,IF(HT66=1,LS66,LT66),0)</f>
        <v>0</v>
      </c>
      <c r="SH66" s="1" t="n">
        <f aca="false">IF(EM66=1,IF(HT66=1,LZ66+MC66,EN66-PD66)*(1+Slot13_Rate),0)</f>
        <v>0</v>
      </c>
      <c r="SI66" s="1" t="n">
        <f aca="false">IF(AND(HT66=1,EM66=1),(LY66+MC66)/E66,0)</f>
        <v>0</v>
      </c>
      <c r="SJ66" s="1" t="n">
        <f aca="false">IF(B66=0,LY66+MC66,0)</f>
        <v>0</v>
      </c>
      <c r="SK66" s="1" t="n">
        <f aca="false">IF(B66=0,IF(HT66=1,MA66,MB66),0)</f>
        <v>0</v>
      </c>
      <c r="SL66" s="1" t="n">
        <f aca="false">IF(EW66=1,IF(HT66=1,MH66+MK66,EX66-PB66)*(1+Slot14_Rate),0)</f>
        <v>0</v>
      </c>
      <c r="SM66" s="1" t="n">
        <f aca="false">IF(AND(HT66=1,EW66=1),(MG66+MK66)/E66,0)</f>
        <v>0</v>
      </c>
      <c r="SN66" s="1" t="n">
        <f aca="false">IF(B66=0,MG66+MK66,0)</f>
        <v>0</v>
      </c>
      <c r="SO66" s="1" t="n">
        <f aca="false">IF(B66=0,IF(HT66=1,MI66,MJ66),0)</f>
        <v>0</v>
      </c>
      <c r="SP66" s="1" t="n">
        <f aca="false">IF(FG66=1,IF(HT66=1,MP66+MS66,FH66-OZ66)*(1+Slot15_Rate),0)</f>
        <v>0</v>
      </c>
      <c r="SQ66" s="1" t="n">
        <f aca="false">IF(AND(HT66=1,FG66=1),(MO66+MS66)/E66,0)</f>
        <v>0</v>
      </c>
      <c r="SR66" s="1" t="n">
        <f aca="false">IF(B66=0,MO66+MS66,0)</f>
        <v>0</v>
      </c>
      <c r="SS66" s="1" t="n">
        <f aca="false">IF(B66=0,IF(HT66=1,MQ66,MR66),0)</f>
        <v>0</v>
      </c>
      <c r="ST66" s="1" t="n">
        <f aca="false">IF(FQ66=1,IF(HT66=1,MX66+NA66,FR66-OX66)*(1+Slot16_Rate),0)</f>
        <v>0</v>
      </c>
      <c r="SU66" s="1" t="n">
        <f aca="false">IF(AND(HT66=1,FQ66=1),(MW66+NA66)/E66,0)</f>
        <v>0</v>
      </c>
      <c r="SV66" s="1" t="n">
        <f aca="false">IF(B66=0,MW66+NA66,0)</f>
        <v>0</v>
      </c>
      <c r="SW66" s="1" t="n">
        <f aca="false">IF(B66=0,IF(HT66=1,MY66,MZ66),0)</f>
        <v>0</v>
      </c>
      <c r="SX66" s="1" t="n">
        <f aca="false">IF(GA66=1,IF(HT66=1,NF66+NI66,GB66-OV66)*(1+Slot17_Rate),0)</f>
        <v>0</v>
      </c>
      <c r="SY66" s="1" t="n">
        <f aca="false">IF(AND(HT66=1,GA66=1),(NE66+NI66)/E66,0)</f>
        <v>0</v>
      </c>
      <c r="SZ66" s="1" t="n">
        <f aca="false">IF(B66=0,NE66+NI66,0)</f>
        <v>0</v>
      </c>
      <c r="TA66" s="1" t="n">
        <f aca="false">IF(B66=0,IF(HT66=1,NG66,NH66),0)</f>
        <v>0</v>
      </c>
      <c r="TB66" s="1" t="n">
        <f aca="false">IF(GK66=1,IF(HT66=1,NN66+NQ66,GL66-OT66)*(1+Slot18_Rate),0)</f>
        <v>0</v>
      </c>
      <c r="TC66" s="1" t="n">
        <f aca="false">IF(AND(HT66=1,GK66=1),(NM66+NQ66)/E66,0)</f>
        <v>0</v>
      </c>
      <c r="TD66" s="1" t="n">
        <f aca="false">IF(B66=0,NM66+NQ66,0)</f>
        <v>0</v>
      </c>
      <c r="TE66" s="1" t="n">
        <f aca="false">IF(B66=0,IF(HT66=1,NO66,NP66),0)</f>
        <v>0</v>
      </c>
      <c r="TF66" s="1" t="n">
        <f aca="false">IF(GU66=1,IF(HT66=1,NV66+NY66,GV66-OR66)*(1+Slot19_Rate),0)</f>
        <v>0</v>
      </c>
      <c r="TG66" s="1" t="n">
        <f aca="false">IF(AND(HT66=1,GU66=1),(NU66+NY66)/E66,0)</f>
        <v>0</v>
      </c>
      <c r="TH66" s="1" t="n">
        <f aca="false">IF(B66=0,NU66+NY66,0)</f>
        <v>0</v>
      </c>
      <c r="TI66" s="1" t="n">
        <f aca="false">IF(B66=0,IF(HT66=1,NW66,NX66),0)</f>
        <v>0</v>
      </c>
      <c r="TJ66" s="1" t="n">
        <f aca="false">IF(HE66=1,IF(HT66=1,OD66+OG66,HF66-OP66)*(1+Slot20_Rate),0)</f>
        <v>0</v>
      </c>
      <c r="TK66" s="1" t="n">
        <f aca="false">IF(AND(HT66=1,HE66=1),(OC66+OG66)/E66,0)</f>
        <v>0</v>
      </c>
      <c r="TL66" s="1" t="n">
        <f aca="false">IF(B66=0,OC66+OG66,0)</f>
        <v>0</v>
      </c>
      <c r="TM66" s="1" t="n">
        <f aca="false">IF(B66=0,IF(HT66=1,OE66,OF66),0)</f>
        <v>0</v>
      </c>
      <c r="TN66" s="1" t="n">
        <f aca="false">QJ66+QK66+QL66+QP66+QT66+QX66+RB66+RF66+RJ66+RN66+RR66+RV66+RZ66+SD66+SH66+SL66+SP66+ST66+SX66+TB66+TF66+TJ66</f>
        <v>0</v>
      </c>
      <c r="TO66" s="1" t="n">
        <f aca="false">QD66+HO66</f>
        <v>0</v>
      </c>
      <c r="TP66" s="1" t="n">
        <f aca="false">H66+R66</f>
        <v>0</v>
      </c>
      <c r="TQ66" s="1" t="n">
        <f aca="false">1-F66</f>
        <v>0</v>
      </c>
      <c r="TR66" s="1" t="n">
        <f aca="false">IF(AND(RG_Exists=1,F66=0,C66=1),H66,0)</f>
        <v>0</v>
      </c>
      <c r="TS66" s="1" t="n">
        <f aca="false">IF(AND(RG_Exists=1,F66=0,C66=1),H66-MIN(QD66,H66),0)</f>
        <v>0</v>
      </c>
      <c r="TT66" s="1" t="n">
        <f aca="false">'Plan pay &amp; tax'!AD292</f>
        <v>0</v>
      </c>
      <c r="TU66" s="1" t="n">
        <f aca="false">IF(AND(C66=1,QD66&gt;MAX(PR_Short1,TP66*PR_Short2)),1,0)</f>
        <v>0</v>
      </c>
      <c r="TV66" s="1" t="n">
        <f aca="false">MIN(G66,H66+R66)</f>
        <v>0</v>
      </c>
      <c r="TW66" s="1" t="n">
        <f aca="false">QE66+MAX(0,HP66-HO66)</f>
        <v>0</v>
      </c>
      <c r="TX66" s="1" t="n">
        <f aca="false">QD66+HO66</f>
        <v>0</v>
      </c>
      <c r="TY66" s="1" t="n">
        <f aca="false">IF(AND(C66=1,TX66&gt;PR_MinShort),1,0)</f>
        <v>0</v>
      </c>
      <c r="TZ66" s="1" t="n">
        <f aca="false">IF(AND(C66=1,TY66=0,TW66&gt;PR_MinShort),1,0)</f>
        <v>0</v>
      </c>
      <c r="UA66" s="1" t="n">
        <f aca="false">IF(AND(C66=1,QD66&gt;PR_MinShort),1,0)</f>
        <v>0</v>
      </c>
      <c r="UB66" s="1" t="n">
        <f aca="false">IF(AND(C66=1,QE66&gt;1,UI66=0),1,0)</f>
        <v>0</v>
      </c>
      <c r="UC66" s="1" t="str">
        <f aca="false">IF(C66=0,"",IF(UI66=1,"Gap to plan for: short "&amp;"€"&amp;TEXT(ROUND(TO66,0),"#,##0"),IF(QE66&gt;1,"Using savings","Comfortable")))</f>
        <v>Comfortable</v>
      </c>
      <c r="UD66" s="1" t="n">
        <f aca="false">IF(AND(INT(D66/10)*10=90,B66&gt;0),80,INT(D66/10)*10)</f>
        <v>50</v>
      </c>
      <c r="UE66" s="1" t="n">
        <f aca="false">IF(B66=0,1,IF(UD66&lt;&gt;UD65,UE65+1,UE65))</f>
        <v>6</v>
      </c>
      <c r="UF66" s="1" t="n">
        <f aca="false">IF(AND(C66=1,F66=1,QD66&gt;MAX(PR_Short1,TP66*PR_Short2)),1,0)</f>
        <v>0</v>
      </c>
      <c r="UG66" s="1" t="n">
        <f aca="false">TQ66*TU66</f>
        <v>0</v>
      </c>
      <c r="UH66" s="1" t="n">
        <f aca="false">IF(AND(U66=1,Slot1_PctLow=1),1,0)+IF(AND(AF66=1,Slot2_PctLow=1),1,0)+IF(AND(AP66=1,Slot3_PctLow=1),1,0)+IF(AND(AZ66=1,Slot4_PctLow=1),1,0)+IF(AND(BJ66=1,Slot5_PctLow=1),1,0)+IF(AND(BT66=1,Slot6_PctLow=1),1,0)+IF(AND(CD66=1,Slot7_PctLow=1),1,0)+IF(AND(CN66=1,Slot8_PctLow=1),1,0)+IF(AND(CX66=1,Slot9_PctLow=1),1,0)+IF(AND(DH66=1,Slot10_PctLow=1),1,0)+IF(AND(DR66=1,Slot11_PctLow=1),1,0)+IF(AND(EB66=1,Slot12_PctLow=1),1,0)+IF(AND(EL66=1,Slot13_PctLow=1),1,0)+IF(AND(EV66=1,Slot14_PctLow=1),1,0)+IF(AND(FF66=1,Slot15_PctLow=1),1,0)+IF(AND(FP66=1,Slot16_PctLow=1),1,0)+IF(AND(FZ66=1,Slot17_PctLow=1),1,0)+IF(AND(GJ66=1,Slot18_PctLow=1),1,0)+IF(AND(GT66=1,Slot19_PctLow=1),1,0)+IF(AND(HD66=1,Slot20_PctLow=1),1,0)</f>
        <v>0</v>
      </c>
      <c r="UI66" s="1" t="n">
        <f aca="false">IF(C66=1,IF(OR(TU66=1,UH66&gt;0),1,0),0)</f>
        <v>0</v>
      </c>
    </row>
    <row r="67" customFormat="false" ht="15" hidden="false" customHeight="true" outlineLevel="0" collapsed="false">
      <c r="B67" s="1" t="n">
        <v>59</v>
      </c>
      <c r="C67" s="1" t="n">
        <f aca="false">IF(B67&lt;=F_N,1,0)</f>
        <v>1</v>
      </c>
      <c r="D67" s="1" t="n">
        <f aca="false">'Plan pay &amp; tax'!C293</f>
        <v>59</v>
      </c>
      <c r="E67" s="111" t="n">
        <f aca="false">'Plan pay &amp; tax'!E293</f>
        <v>3.21669685133864</v>
      </c>
      <c r="F67" s="1" t="n">
        <f aca="false">'Plan pay &amp; tax'!G293</f>
        <v>1</v>
      </c>
      <c r="G67" s="1" t="n">
        <f aca="false">'Plan pay &amp; tax'!BT293-'Plan pay &amp; tax'!BS293-'Plan pay &amp; tax'!R293</f>
        <v>0</v>
      </c>
      <c r="H67" s="1" t="n">
        <f aca="false">IF(F67=1,F_CostsM*12,IF(RG_Exists=1,RG_Amount,F_CostsM*12*AS_RetireSpend))*E67+F_OneOffY*E67</f>
        <v>0</v>
      </c>
      <c r="I67" s="1" t="n">
        <f aca="false">HQ66</f>
        <v>0</v>
      </c>
      <c r="J67" s="1" t="n">
        <f aca="false">IF(I67&gt;1,'Plan debt months'!AC67,0)</f>
        <v>0</v>
      </c>
      <c r="K67" s="1" t="n">
        <f aca="false">IF(I67&gt;1,'Plan debt months'!AB67,I67)</f>
        <v>0</v>
      </c>
      <c r="L67" s="1" t="n">
        <f aca="false">N66</f>
        <v>0</v>
      </c>
      <c r="M67" s="1" t="n">
        <f aca="false">IF(L67&gt;1,'Plan debt months'!BD67,0)</f>
        <v>0</v>
      </c>
      <c r="N67" s="1" t="n">
        <f aca="false">IF(L67&gt;1,'Plan debt months'!BC67,L67)</f>
        <v>0</v>
      </c>
      <c r="O67" s="1" t="n">
        <f aca="false">Q66</f>
        <v>0</v>
      </c>
      <c r="P67" s="1" t="n">
        <f aca="false">IF(O67&gt;1,'Plan debt months'!CE67,0)</f>
        <v>0</v>
      </c>
      <c r="Q67" s="1" t="n">
        <f aca="false">IF(O67&gt;1,'Plan debt months'!CD67,O67)</f>
        <v>0</v>
      </c>
      <c r="R67" s="1" t="n">
        <f aca="false">J67+M67+P67</f>
        <v>0</v>
      </c>
      <c r="S67" s="1" t="n">
        <f aca="false">QJ66+'Plan pay &amp; tax'!Y293</f>
        <v>0</v>
      </c>
      <c r="T67" s="1" t="n">
        <f aca="false">QJ66</f>
        <v>0</v>
      </c>
      <c r="U67" s="1" t="n">
        <f aca="false">IF(AND(Slot1_On=1,D67=Slot1_Age),1,0)</f>
        <v>0</v>
      </c>
      <c r="V67" s="1" t="n">
        <f aca="false">IF(AND(Slot1_On=1,Slot1_Age&gt;D67),1,0)</f>
        <v>0</v>
      </c>
      <c r="W67" s="1" t="n">
        <f aca="false">QL66</f>
        <v>0</v>
      </c>
      <c r="X67" s="1" t="n">
        <f aca="false">U67*MIN(Slot1_Cost,W67)</f>
        <v>0</v>
      </c>
      <c r="Y67" s="1" t="n">
        <f aca="false">U67*Slot1_SpendLike*MIN(Slot1_Cost-X67,S67)</f>
        <v>0</v>
      </c>
      <c r="Z67" s="1" t="n">
        <f aca="false">X67+Y67</f>
        <v>0</v>
      </c>
      <c r="AA67" s="1" t="n">
        <f aca="false">S67-Y67+U67*IF(Slot1_SpendLike=1,W67-X67,IF(Slot1_PotFree=1,W67,0))</f>
        <v>0</v>
      </c>
      <c r="AB67" s="1" t="n">
        <f aca="false">AE67+U67*Slot1_BufPot*W67</f>
        <v>0</v>
      </c>
      <c r="AC67" s="1" t="n">
        <f aca="false">IF(AND(U67=1,Slot1_IsMfree=1),IF(Z67&gt;=Slot1_Cost-1,0,MAX(0,K67-Z67)),K67)</f>
        <v>0</v>
      </c>
      <c r="AD67" s="1" t="n">
        <f aca="false">U67*(Slot1_Cost-Z67)</f>
        <v>0</v>
      </c>
      <c r="AE67" s="1" t="n">
        <f aca="false">QK66</f>
        <v>0</v>
      </c>
      <c r="AF67" s="1" t="n">
        <f aca="false">IF(AND(Slot2_On=1,D67=Slot2_Age),1,0)</f>
        <v>0</v>
      </c>
      <c r="AG67" s="1" t="n">
        <f aca="false">IF(AND(Slot2_On=1,Slot2_Age&gt;D67),1,0)</f>
        <v>0</v>
      </c>
      <c r="AH67" s="1" t="n">
        <f aca="false">QP66</f>
        <v>0</v>
      </c>
      <c r="AI67" s="1" t="n">
        <f aca="false">AF67*MIN(Slot2_Cost,AH67)</f>
        <v>0</v>
      </c>
      <c r="AJ67" s="1" t="n">
        <f aca="false">AF67*Slot2_SpendLike*MIN(Slot2_Cost-AI67,AA67)</f>
        <v>0</v>
      </c>
      <c r="AK67" s="1" t="n">
        <f aca="false">AI67+AJ67</f>
        <v>0</v>
      </c>
      <c r="AL67" s="1" t="n">
        <f aca="false">AA67-AJ67+AF67*IF(Slot2_SpendLike=1,AH67-AI67,IF(Slot2_PotFree=1,AH67,0))</f>
        <v>0</v>
      </c>
      <c r="AM67" s="1" t="n">
        <f aca="false">AB67+AF67*Slot2_BufPot*AH67</f>
        <v>0</v>
      </c>
      <c r="AN67" s="1" t="n">
        <f aca="false">IF(AND(AF67=1,Slot2_IsMfree=1),IF(AK67&gt;=Slot2_Cost-1,0,MAX(0,AC67-AK67)),AC67)</f>
        <v>0</v>
      </c>
      <c r="AO67" s="1" t="n">
        <f aca="false">AF67*(Slot2_Cost-AK67)</f>
        <v>0</v>
      </c>
      <c r="AP67" s="1" t="n">
        <f aca="false">IF(AND(Slot3_On=1,D67=Slot3_Age),1,0)</f>
        <v>0</v>
      </c>
      <c r="AQ67" s="1" t="n">
        <f aca="false">IF(AND(Slot3_On=1,Slot3_Age&gt;D67),1,0)</f>
        <v>0</v>
      </c>
      <c r="AR67" s="1" t="n">
        <f aca="false">QT66</f>
        <v>0</v>
      </c>
      <c r="AS67" s="1" t="n">
        <f aca="false">AP67*MIN(Slot3_Cost,AR67)</f>
        <v>0</v>
      </c>
      <c r="AT67" s="1" t="n">
        <f aca="false">AP67*Slot3_SpendLike*MIN(Slot3_Cost-AS67,AL67)</f>
        <v>0</v>
      </c>
      <c r="AU67" s="1" t="n">
        <f aca="false">AS67+AT67</f>
        <v>0</v>
      </c>
      <c r="AV67" s="1" t="n">
        <f aca="false">AL67-AT67+AP67*IF(Slot3_SpendLike=1,AR67-AS67,IF(Slot3_PotFree=1,AR67,0))</f>
        <v>0</v>
      </c>
      <c r="AW67" s="1" t="n">
        <f aca="false">AM67+AP67*Slot3_BufPot*AR67</f>
        <v>0</v>
      </c>
      <c r="AX67" s="1" t="n">
        <f aca="false">IF(AND(AP67=1,Slot3_IsMfree=1),IF(AU67&gt;=Slot3_Cost-1,0,MAX(0,AN67-AU67)),AN67)</f>
        <v>0</v>
      </c>
      <c r="AY67" s="1" t="n">
        <f aca="false">AP67*(Slot3_Cost-AU67)</f>
        <v>0</v>
      </c>
      <c r="AZ67" s="1" t="n">
        <f aca="false">IF(AND(Slot4_On=1,D67=Slot4_Age),1,0)</f>
        <v>0</v>
      </c>
      <c r="BA67" s="1" t="n">
        <f aca="false">IF(AND(Slot4_On=1,Slot4_Age&gt;D67),1,0)</f>
        <v>0</v>
      </c>
      <c r="BB67" s="1" t="n">
        <f aca="false">QX66</f>
        <v>0</v>
      </c>
      <c r="BC67" s="1" t="n">
        <f aca="false">AZ67*MIN(Slot4_Cost,BB67)</f>
        <v>0</v>
      </c>
      <c r="BD67" s="1" t="n">
        <f aca="false">AZ67*Slot4_SpendLike*MIN(Slot4_Cost-BC67,AV67)</f>
        <v>0</v>
      </c>
      <c r="BE67" s="1" t="n">
        <f aca="false">BC67+BD67</f>
        <v>0</v>
      </c>
      <c r="BF67" s="1" t="n">
        <f aca="false">AV67-BD67+AZ67*IF(Slot4_SpendLike=1,BB67-BC67,IF(Slot4_PotFree=1,BB67,0))</f>
        <v>0</v>
      </c>
      <c r="BG67" s="1" t="n">
        <f aca="false">AW67+AZ67*Slot4_BufPot*BB67</f>
        <v>0</v>
      </c>
      <c r="BH67" s="1" t="n">
        <f aca="false">IF(AND(AZ67=1,Slot4_IsMfree=1),IF(BE67&gt;=Slot4_Cost-1,0,MAX(0,AX67-BE67)),AX67)</f>
        <v>0</v>
      </c>
      <c r="BI67" s="1" t="n">
        <f aca="false">AZ67*(Slot4_Cost-BE67)</f>
        <v>0</v>
      </c>
      <c r="BJ67" s="1" t="n">
        <f aca="false">IF(AND(Slot5_On=1,D67=Slot5_Age),1,0)</f>
        <v>0</v>
      </c>
      <c r="BK67" s="1" t="n">
        <f aca="false">IF(AND(Slot5_On=1,Slot5_Age&gt;D67),1,0)</f>
        <v>0</v>
      </c>
      <c r="BL67" s="1" t="n">
        <f aca="false">RB66</f>
        <v>0</v>
      </c>
      <c r="BM67" s="1" t="n">
        <f aca="false">BJ67*MIN(Slot5_Cost,BL67)</f>
        <v>0</v>
      </c>
      <c r="BN67" s="1" t="n">
        <f aca="false">BJ67*Slot5_SpendLike*MIN(Slot5_Cost-BM67,BF67)</f>
        <v>0</v>
      </c>
      <c r="BO67" s="1" t="n">
        <f aca="false">BM67+BN67</f>
        <v>0</v>
      </c>
      <c r="BP67" s="1" t="n">
        <f aca="false">BF67-BN67+BJ67*IF(Slot5_SpendLike=1,BL67-BM67,IF(Slot5_PotFree=1,BL67,0))</f>
        <v>0</v>
      </c>
      <c r="BQ67" s="1" t="n">
        <f aca="false">BG67+BJ67*Slot5_BufPot*BL67</f>
        <v>0</v>
      </c>
      <c r="BR67" s="1" t="n">
        <f aca="false">IF(AND(BJ67=1,Slot5_IsMfree=1),IF(BO67&gt;=Slot5_Cost-1,0,MAX(0,BH67-BO67)),BH67)</f>
        <v>0</v>
      </c>
      <c r="BS67" s="1" t="n">
        <f aca="false">BJ67*(Slot5_Cost-BO67)</f>
        <v>0</v>
      </c>
      <c r="BT67" s="1" t="n">
        <f aca="false">IF(AND(Slot6_On=1,D67=Slot6_Age),1,0)</f>
        <v>0</v>
      </c>
      <c r="BU67" s="1" t="n">
        <f aca="false">IF(AND(Slot6_On=1,Slot6_Age&gt;D67),1,0)</f>
        <v>0</v>
      </c>
      <c r="BV67" s="1" t="n">
        <f aca="false">RF66</f>
        <v>0</v>
      </c>
      <c r="BW67" s="1" t="n">
        <f aca="false">BT67*MIN(Slot6_Cost,BV67)</f>
        <v>0</v>
      </c>
      <c r="BX67" s="1" t="n">
        <f aca="false">BT67*Slot6_SpendLike*MIN(Slot6_Cost-BW67,BP67)</f>
        <v>0</v>
      </c>
      <c r="BY67" s="1" t="n">
        <f aca="false">BW67+BX67</f>
        <v>0</v>
      </c>
      <c r="BZ67" s="1" t="n">
        <f aca="false">BP67-BX67+BT67*IF(Slot6_SpendLike=1,BV67-BW67,IF(Slot6_PotFree=1,BV67,0))</f>
        <v>0</v>
      </c>
      <c r="CA67" s="1" t="n">
        <f aca="false">BQ67+BT67*Slot6_BufPot*BV67</f>
        <v>0</v>
      </c>
      <c r="CB67" s="1" t="n">
        <f aca="false">IF(AND(BT67=1,Slot6_IsMfree=1),IF(BY67&gt;=Slot6_Cost-1,0,MAX(0,BR67-BY67)),BR67)</f>
        <v>0</v>
      </c>
      <c r="CC67" s="1" t="n">
        <f aca="false">BT67*(Slot6_Cost-BY67)</f>
        <v>0</v>
      </c>
      <c r="CD67" s="1" t="n">
        <f aca="false">IF(AND(Slot7_On=1,D67=Slot7_Age),1,0)</f>
        <v>0</v>
      </c>
      <c r="CE67" s="1" t="n">
        <f aca="false">IF(AND(Slot7_On=1,Slot7_Age&gt;D67),1,0)</f>
        <v>0</v>
      </c>
      <c r="CF67" s="1" t="n">
        <f aca="false">RJ66</f>
        <v>0</v>
      </c>
      <c r="CG67" s="1" t="n">
        <f aca="false">CD67*MIN(Slot7_Cost,CF67)</f>
        <v>0</v>
      </c>
      <c r="CH67" s="1" t="n">
        <f aca="false">CD67*Slot7_SpendLike*MIN(Slot7_Cost-CG67,BZ67)</f>
        <v>0</v>
      </c>
      <c r="CI67" s="1" t="n">
        <f aca="false">CG67+CH67</f>
        <v>0</v>
      </c>
      <c r="CJ67" s="1" t="n">
        <f aca="false">BZ67-CH67+CD67*IF(Slot7_SpendLike=1,CF67-CG67,IF(Slot7_PotFree=1,CF67,0))</f>
        <v>0</v>
      </c>
      <c r="CK67" s="1" t="n">
        <f aca="false">CA67+CD67*Slot7_BufPot*CF67</f>
        <v>0</v>
      </c>
      <c r="CL67" s="1" t="n">
        <f aca="false">IF(AND(CD67=1,Slot7_IsMfree=1),IF(CI67&gt;=Slot7_Cost-1,0,MAX(0,CB67-CI67)),CB67)</f>
        <v>0</v>
      </c>
      <c r="CM67" s="1" t="n">
        <f aca="false">CD67*(Slot7_Cost-CI67)</f>
        <v>0</v>
      </c>
      <c r="CN67" s="1" t="n">
        <f aca="false">IF(AND(Slot8_On=1,D67=Slot8_Age),1,0)</f>
        <v>0</v>
      </c>
      <c r="CO67" s="1" t="n">
        <f aca="false">IF(AND(Slot8_On=1,Slot8_Age&gt;D67),1,0)</f>
        <v>0</v>
      </c>
      <c r="CP67" s="1" t="n">
        <f aca="false">RN66</f>
        <v>0</v>
      </c>
      <c r="CQ67" s="1" t="n">
        <f aca="false">CN67*MIN(Slot8_Cost,CP67)</f>
        <v>0</v>
      </c>
      <c r="CR67" s="1" t="n">
        <f aca="false">CN67*Slot8_SpendLike*MIN(Slot8_Cost-CQ67,CJ67)</f>
        <v>0</v>
      </c>
      <c r="CS67" s="1" t="n">
        <f aca="false">CQ67+CR67</f>
        <v>0</v>
      </c>
      <c r="CT67" s="1" t="n">
        <f aca="false">CJ67-CR67+CN67*IF(Slot8_SpendLike=1,CP67-CQ67,IF(Slot8_PotFree=1,CP67,0))</f>
        <v>0</v>
      </c>
      <c r="CU67" s="1" t="n">
        <f aca="false">CK67+CN67*Slot8_BufPot*CP67</f>
        <v>0</v>
      </c>
      <c r="CV67" s="1" t="n">
        <f aca="false">IF(AND(CN67=1,Slot8_IsMfree=1),IF(CS67&gt;=Slot8_Cost-1,0,MAX(0,CL67-CS67)),CL67)</f>
        <v>0</v>
      </c>
      <c r="CW67" s="1" t="n">
        <f aca="false">CN67*(Slot8_Cost-CS67)</f>
        <v>0</v>
      </c>
      <c r="CX67" s="1" t="n">
        <f aca="false">IF(AND(Slot9_On=1,D67=Slot9_Age),1,0)</f>
        <v>0</v>
      </c>
      <c r="CY67" s="1" t="n">
        <f aca="false">IF(AND(Slot9_On=1,Slot9_Age&gt;D67),1,0)</f>
        <v>0</v>
      </c>
      <c r="CZ67" s="1" t="n">
        <f aca="false">RR66</f>
        <v>0</v>
      </c>
      <c r="DA67" s="1" t="n">
        <f aca="false">CX67*MIN(Slot9_Cost,CZ67)</f>
        <v>0</v>
      </c>
      <c r="DB67" s="1" t="n">
        <f aca="false">CX67*Slot9_SpendLike*MIN(Slot9_Cost-DA67,CT67)</f>
        <v>0</v>
      </c>
      <c r="DC67" s="1" t="n">
        <f aca="false">DA67+DB67</f>
        <v>0</v>
      </c>
      <c r="DD67" s="1" t="n">
        <f aca="false">CT67-DB67+CX67*IF(Slot9_SpendLike=1,CZ67-DA67,IF(Slot9_PotFree=1,CZ67,0))</f>
        <v>0</v>
      </c>
      <c r="DE67" s="1" t="n">
        <f aca="false">CU67+CX67*Slot9_BufPot*CZ67</f>
        <v>0</v>
      </c>
      <c r="DF67" s="1" t="n">
        <f aca="false">IF(AND(CX67=1,Slot9_IsMfree=1),IF(DC67&gt;=Slot9_Cost-1,0,MAX(0,CV67-DC67)),CV67)</f>
        <v>0</v>
      </c>
      <c r="DG67" s="1" t="n">
        <f aca="false">CX67*(Slot9_Cost-DC67)</f>
        <v>0</v>
      </c>
      <c r="DH67" s="1" t="n">
        <f aca="false">IF(AND(Slot10_On=1,D67=Slot10_Age),1,0)</f>
        <v>0</v>
      </c>
      <c r="DI67" s="1" t="n">
        <f aca="false">IF(AND(Slot10_On=1,Slot10_Age&gt;D67),1,0)</f>
        <v>0</v>
      </c>
      <c r="DJ67" s="1" t="n">
        <f aca="false">RV66</f>
        <v>0</v>
      </c>
      <c r="DK67" s="1" t="n">
        <f aca="false">DH67*MIN(Slot10_Cost,DJ67)</f>
        <v>0</v>
      </c>
      <c r="DL67" s="1" t="n">
        <f aca="false">DH67*Slot10_SpendLike*MIN(Slot10_Cost-DK67,DD67)</f>
        <v>0</v>
      </c>
      <c r="DM67" s="1" t="n">
        <f aca="false">DK67+DL67</f>
        <v>0</v>
      </c>
      <c r="DN67" s="1" t="n">
        <f aca="false">DD67-DL67+DH67*IF(Slot10_SpendLike=1,DJ67-DK67,IF(Slot10_PotFree=1,DJ67,0))</f>
        <v>0</v>
      </c>
      <c r="DO67" s="1" t="n">
        <f aca="false">DE67+DH67*Slot10_BufPot*DJ67</f>
        <v>0</v>
      </c>
      <c r="DP67" s="1" t="n">
        <f aca="false">IF(AND(DH67=1,Slot10_IsMfree=1),IF(DM67&gt;=Slot10_Cost-1,0,MAX(0,DF67-DM67)),DF67)</f>
        <v>0</v>
      </c>
      <c r="DQ67" s="1" t="n">
        <f aca="false">DH67*(Slot10_Cost-DM67)</f>
        <v>0</v>
      </c>
      <c r="DR67" s="1" t="n">
        <f aca="false">IF(AND(Slot11_On=1,D67=Slot11_Age),1,0)</f>
        <v>0</v>
      </c>
      <c r="DS67" s="1" t="n">
        <f aca="false">IF(AND(Slot11_On=1,Slot11_Age&gt;D67),1,0)</f>
        <v>0</v>
      </c>
      <c r="DT67" s="1" t="n">
        <f aca="false">RZ66</f>
        <v>0</v>
      </c>
      <c r="DU67" s="1" t="n">
        <f aca="false">DR67*MIN(Slot11_Cost,DT67)</f>
        <v>0</v>
      </c>
      <c r="DV67" s="1" t="n">
        <f aca="false">DR67*Slot11_SpendLike*MIN(Slot11_Cost-DU67,DN67)</f>
        <v>0</v>
      </c>
      <c r="DW67" s="1" t="n">
        <f aca="false">DU67+DV67</f>
        <v>0</v>
      </c>
      <c r="DX67" s="1" t="n">
        <f aca="false">DN67-DV67+DR67*IF(Slot11_SpendLike=1,DT67-DU67,IF(Slot11_PotFree=1,DT67,0))</f>
        <v>0</v>
      </c>
      <c r="DY67" s="1" t="n">
        <f aca="false">DO67+DR67*Slot11_BufPot*DT67</f>
        <v>0</v>
      </c>
      <c r="DZ67" s="1" t="n">
        <f aca="false">IF(AND(DR67=1,Slot11_IsMfree=1),IF(DW67&gt;=Slot11_Cost-1,0,MAX(0,DP67-DW67)),DP67)</f>
        <v>0</v>
      </c>
      <c r="EA67" s="1" t="n">
        <f aca="false">DR67*(Slot11_Cost-DW67)</f>
        <v>0</v>
      </c>
      <c r="EB67" s="1" t="n">
        <f aca="false">IF(AND(Slot12_On=1,D67=Slot12_Age),1,0)</f>
        <v>0</v>
      </c>
      <c r="EC67" s="1" t="n">
        <f aca="false">IF(AND(Slot12_On=1,Slot12_Age&gt;D67),1,0)</f>
        <v>0</v>
      </c>
      <c r="ED67" s="1" t="n">
        <f aca="false">SD66</f>
        <v>0</v>
      </c>
      <c r="EE67" s="1" t="n">
        <f aca="false">EB67*MIN(Slot12_Cost,ED67)</f>
        <v>0</v>
      </c>
      <c r="EF67" s="1" t="n">
        <f aca="false">EB67*Slot12_SpendLike*MIN(Slot12_Cost-EE67,DX67)</f>
        <v>0</v>
      </c>
      <c r="EG67" s="1" t="n">
        <f aca="false">EE67+EF67</f>
        <v>0</v>
      </c>
      <c r="EH67" s="1" t="n">
        <f aca="false">DX67-EF67+EB67*IF(Slot12_SpendLike=1,ED67-EE67,IF(Slot12_PotFree=1,ED67,0))</f>
        <v>0</v>
      </c>
      <c r="EI67" s="1" t="n">
        <f aca="false">DY67+EB67*Slot12_BufPot*ED67</f>
        <v>0</v>
      </c>
      <c r="EJ67" s="1" t="n">
        <f aca="false">IF(AND(EB67=1,Slot12_IsMfree=1),IF(EG67&gt;=Slot12_Cost-1,0,MAX(0,DZ67-EG67)),DZ67)</f>
        <v>0</v>
      </c>
      <c r="EK67" s="1" t="n">
        <f aca="false">EB67*(Slot12_Cost-EG67)</f>
        <v>0</v>
      </c>
      <c r="EL67" s="1" t="n">
        <f aca="false">IF(AND(Slot13_On=1,D67=Slot13_Age),1,0)</f>
        <v>0</v>
      </c>
      <c r="EM67" s="1" t="n">
        <f aca="false">IF(AND(Slot13_On=1,Slot13_Age&gt;D67),1,0)</f>
        <v>0</v>
      </c>
      <c r="EN67" s="1" t="n">
        <f aca="false">SH66</f>
        <v>0</v>
      </c>
      <c r="EO67" s="1" t="n">
        <f aca="false">EL67*MIN(Slot13_Cost,EN67)</f>
        <v>0</v>
      </c>
      <c r="EP67" s="1" t="n">
        <f aca="false">EL67*Slot13_SpendLike*MIN(Slot13_Cost-EO67,EH67)</f>
        <v>0</v>
      </c>
      <c r="EQ67" s="1" t="n">
        <f aca="false">EO67+EP67</f>
        <v>0</v>
      </c>
      <c r="ER67" s="1" t="n">
        <f aca="false">EH67-EP67+EL67*IF(Slot13_SpendLike=1,EN67-EO67,IF(Slot13_PotFree=1,EN67,0))</f>
        <v>0</v>
      </c>
      <c r="ES67" s="1" t="n">
        <f aca="false">EI67+EL67*Slot13_BufPot*EN67</f>
        <v>0</v>
      </c>
      <c r="ET67" s="1" t="n">
        <f aca="false">IF(AND(EL67=1,Slot13_IsMfree=1),IF(EQ67&gt;=Slot13_Cost-1,0,MAX(0,EJ67-EQ67)),EJ67)</f>
        <v>0</v>
      </c>
      <c r="EU67" s="1" t="n">
        <f aca="false">EL67*(Slot13_Cost-EQ67)</f>
        <v>0</v>
      </c>
      <c r="EV67" s="1" t="n">
        <f aca="false">IF(AND(Slot14_On=1,D67=Slot14_Age),1,0)</f>
        <v>0</v>
      </c>
      <c r="EW67" s="1" t="n">
        <f aca="false">IF(AND(Slot14_On=1,Slot14_Age&gt;D67),1,0)</f>
        <v>0</v>
      </c>
      <c r="EX67" s="1" t="n">
        <f aca="false">SL66</f>
        <v>0</v>
      </c>
      <c r="EY67" s="1" t="n">
        <f aca="false">EV67*MIN(Slot14_Cost,EX67)</f>
        <v>0</v>
      </c>
      <c r="EZ67" s="1" t="n">
        <f aca="false">EV67*Slot14_SpendLike*MIN(Slot14_Cost-EY67,ER67)</f>
        <v>0</v>
      </c>
      <c r="FA67" s="1" t="n">
        <f aca="false">EY67+EZ67</f>
        <v>0</v>
      </c>
      <c r="FB67" s="1" t="n">
        <f aca="false">ER67-EZ67+EV67*IF(Slot14_SpendLike=1,EX67-EY67,IF(Slot14_PotFree=1,EX67,0))</f>
        <v>0</v>
      </c>
      <c r="FC67" s="1" t="n">
        <f aca="false">ES67+EV67*Slot14_BufPot*EX67</f>
        <v>0</v>
      </c>
      <c r="FD67" s="1" t="n">
        <f aca="false">IF(AND(EV67=1,Slot14_IsMfree=1),IF(FA67&gt;=Slot14_Cost-1,0,MAX(0,ET67-FA67)),ET67)</f>
        <v>0</v>
      </c>
      <c r="FE67" s="1" t="n">
        <f aca="false">EV67*(Slot14_Cost-FA67)</f>
        <v>0</v>
      </c>
      <c r="FF67" s="1" t="n">
        <f aca="false">IF(AND(Slot15_On=1,D67=Slot15_Age),1,0)</f>
        <v>0</v>
      </c>
      <c r="FG67" s="1" t="n">
        <f aca="false">IF(AND(Slot15_On=1,Slot15_Age&gt;D67),1,0)</f>
        <v>0</v>
      </c>
      <c r="FH67" s="1" t="n">
        <f aca="false">SP66</f>
        <v>0</v>
      </c>
      <c r="FI67" s="1" t="n">
        <f aca="false">FF67*MIN(Slot15_Cost,FH67)</f>
        <v>0</v>
      </c>
      <c r="FJ67" s="1" t="n">
        <f aca="false">FF67*Slot15_SpendLike*MIN(Slot15_Cost-FI67,FB67)</f>
        <v>0</v>
      </c>
      <c r="FK67" s="1" t="n">
        <f aca="false">FI67+FJ67</f>
        <v>0</v>
      </c>
      <c r="FL67" s="1" t="n">
        <f aca="false">FB67-FJ67+FF67*IF(Slot15_SpendLike=1,FH67-FI67,IF(Slot15_PotFree=1,FH67,0))</f>
        <v>0</v>
      </c>
      <c r="FM67" s="1" t="n">
        <f aca="false">FC67+FF67*Slot15_BufPot*FH67</f>
        <v>0</v>
      </c>
      <c r="FN67" s="1" t="n">
        <f aca="false">IF(AND(FF67=1,Slot15_IsMfree=1),IF(FK67&gt;=Slot15_Cost-1,0,MAX(0,FD67-FK67)),FD67)</f>
        <v>0</v>
      </c>
      <c r="FO67" s="1" t="n">
        <f aca="false">FF67*(Slot15_Cost-FK67)</f>
        <v>0</v>
      </c>
      <c r="FP67" s="1" t="n">
        <f aca="false">IF(AND(Slot16_On=1,D67=Slot16_Age),1,0)</f>
        <v>0</v>
      </c>
      <c r="FQ67" s="1" t="n">
        <f aca="false">IF(AND(Slot16_On=1,Slot16_Age&gt;D67),1,0)</f>
        <v>0</v>
      </c>
      <c r="FR67" s="1" t="n">
        <f aca="false">ST66</f>
        <v>0</v>
      </c>
      <c r="FS67" s="1" t="n">
        <f aca="false">FP67*MIN(Slot16_Cost,FR67)</f>
        <v>0</v>
      </c>
      <c r="FT67" s="1" t="n">
        <f aca="false">FP67*Slot16_SpendLike*MIN(Slot16_Cost-FS67,FL67)</f>
        <v>0</v>
      </c>
      <c r="FU67" s="1" t="n">
        <f aca="false">FS67+FT67</f>
        <v>0</v>
      </c>
      <c r="FV67" s="1" t="n">
        <f aca="false">FL67-FT67+FP67*IF(Slot16_SpendLike=1,FR67-FS67,IF(Slot16_PotFree=1,FR67,0))</f>
        <v>0</v>
      </c>
      <c r="FW67" s="1" t="n">
        <f aca="false">FM67+FP67*Slot16_BufPot*FR67</f>
        <v>0</v>
      </c>
      <c r="FX67" s="1" t="n">
        <f aca="false">IF(AND(FP67=1,Slot16_IsMfree=1),IF(FU67&gt;=Slot16_Cost-1,0,MAX(0,FN67-FU67)),FN67)</f>
        <v>0</v>
      </c>
      <c r="FY67" s="1" t="n">
        <f aca="false">FP67*(Slot16_Cost-FU67)</f>
        <v>0</v>
      </c>
      <c r="FZ67" s="1" t="n">
        <f aca="false">IF(AND(Slot17_On=1,D67=Slot17_Age),1,0)</f>
        <v>0</v>
      </c>
      <c r="GA67" s="1" t="n">
        <f aca="false">IF(AND(Slot17_On=1,Slot17_Age&gt;D67),1,0)</f>
        <v>0</v>
      </c>
      <c r="GB67" s="1" t="n">
        <f aca="false">SX66</f>
        <v>0</v>
      </c>
      <c r="GC67" s="1" t="n">
        <f aca="false">FZ67*MIN(Slot17_Cost,GB67)</f>
        <v>0</v>
      </c>
      <c r="GD67" s="1" t="n">
        <f aca="false">FZ67*Slot17_SpendLike*MIN(Slot17_Cost-GC67,FV67)</f>
        <v>0</v>
      </c>
      <c r="GE67" s="1" t="n">
        <f aca="false">GC67+GD67</f>
        <v>0</v>
      </c>
      <c r="GF67" s="1" t="n">
        <f aca="false">FV67-GD67+FZ67*IF(Slot17_SpendLike=1,GB67-GC67,IF(Slot17_PotFree=1,GB67,0))</f>
        <v>0</v>
      </c>
      <c r="GG67" s="1" t="n">
        <f aca="false">FW67+FZ67*Slot17_BufPot*GB67</f>
        <v>0</v>
      </c>
      <c r="GH67" s="1" t="n">
        <f aca="false">IF(AND(FZ67=1,Slot17_IsMfree=1),IF(GE67&gt;=Slot17_Cost-1,0,MAX(0,FX67-GE67)),FX67)</f>
        <v>0</v>
      </c>
      <c r="GI67" s="1" t="n">
        <f aca="false">FZ67*(Slot17_Cost-GE67)</f>
        <v>0</v>
      </c>
      <c r="GJ67" s="1" t="n">
        <f aca="false">IF(AND(Slot18_On=1,D67=Slot18_Age),1,0)</f>
        <v>0</v>
      </c>
      <c r="GK67" s="1" t="n">
        <f aca="false">IF(AND(Slot18_On=1,Slot18_Age&gt;D67),1,0)</f>
        <v>0</v>
      </c>
      <c r="GL67" s="1" t="n">
        <f aca="false">TB66</f>
        <v>0</v>
      </c>
      <c r="GM67" s="1" t="n">
        <f aca="false">GJ67*MIN(Slot18_Cost,GL67)</f>
        <v>0</v>
      </c>
      <c r="GN67" s="1" t="n">
        <f aca="false">GJ67*Slot18_SpendLike*MIN(Slot18_Cost-GM67,GF67)</f>
        <v>0</v>
      </c>
      <c r="GO67" s="1" t="n">
        <f aca="false">GM67+GN67</f>
        <v>0</v>
      </c>
      <c r="GP67" s="1" t="n">
        <f aca="false">GF67-GN67+GJ67*IF(Slot18_SpendLike=1,GL67-GM67,IF(Slot18_PotFree=1,GL67,0))</f>
        <v>0</v>
      </c>
      <c r="GQ67" s="1" t="n">
        <f aca="false">GG67+GJ67*Slot18_BufPot*GL67</f>
        <v>0</v>
      </c>
      <c r="GR67" s="1" t="n">
        <f aca="false">IF(AND(GJ67=1,Slot18_IsMfree=1),IF(GO67&gt;=Slot18_Cost-1,0,MAX(0,GH67-GO67)),GH67)</f>
        <v>0</v>
      </c>
      <c r="GS67" s="1" t="n">
        <f aca="false">GJ67*(Slot18_Cost-GO67)</f>
        <v>0</v>
      </c>
      <c r="GT67" s="1" t="n">
        <f aca="false">IF(AND(Slot19_On=1,D67=Slot19_Age),1,0)</f>
        <v>0</v>
      </c>
      <c r="GU67" s="1" t="n">
        <f aca="false">IF(AND(Slot19_On=1,Slot19_Age&gt;D67),1,0)</f>
        <v>0</v>
      </c>
      <c r="GV67" s="1" t="n">
        <f aca="false">TF66</f>
        <v>0</v>
      </c>
      <c r="GW67" s="1" t="n">
        <f aca="false">GT67*MIN(Slot19_Cost,GV67)</f>
        <v>0</v>
      </c>
      <c r="GX67" s="1" t="n">
        <f aca="false">GT67*Slot19_SpendLike*MIN(Slot19_Cost-GW67,GP67)</f>
        <v>0</v>
      </c>
      <c r="GY67" s="1" t="n">
        <f aca="false">GW67+GX67</f>
        <v>0</v>
      </c>
      <c r="GZ67" s="1" t="n">
        <f aca="false">GP67-GX67+GT67*IF(Slot19_SpendLike=1,GV67-GW67,IF(Slot19_PotFree=1,GV67,0))</f>
        <v>0</v>
      </c>
      <c r="HA67" s="1" t="n">
        <f aca="false">GQ67+GT67*Slot19_BufPot*GV67</f>
        <v>0</v>
      </c>
      <c r="HB67" s="1" t="n">
        <f aca="false">IF(AND(GT67=1,Slot19_IsMfree=1),IF(GY67&gt;=Slot19_Cost-1,0,MAX(0,GR67-GY67)),GR67)</f>
        <v>0</v>
      </c>
      <c r="HC67" s="1" t="n">
        <f aca="false">GT67*(Slot19_Cost-GY67)</f>
        <v>0</v>
      </c>
      <c r="HD67" s="1" t="n">
        <f aca="false">IF(AND(Slot20_On=1,D67=Slot20_Age),1,0)</f>
        <v>0</v>
      </c>
      <c r="HE67" s="1" t="n">
        <f aca="false">IF(AND(Slot20_On=1,Slot20_Age&gt;D67),1,0)</f>
        <v>0</v>
      </c>
      <c r="HF67" s="1" t="n">
        <f aca="false">TJ66</f>
        <v>0</v>
      </c>
      <c r="HG67" s="1" t="n">
        <f aca="false">HD67*MIN(Slot20_Cost,HF67)</f>
        <v>0</v>
      </c>
      <c r="HH67" s="1" t="n">
        <f aca="false">HD67*Slot20_SpendLike*MIN(Slot20_Cost-HG67,GZ67)</f>
        <v>0</v>
      </c>
      <c r="HI67" s="1" t="n">
        <f aca="false">HG67+HH67</f>
        <v>0</v>
      </c>
      <c r="HJ67" s="1" t="n">
        <f aca="false">GZ67-HH67+HD67*IF(Slot20_SpendLike=1,HF67-HG67,IF(Slot20_PotFree=1,HF67,0))</f>
        <v>0</v>
      </c>
      <c r="HK67" s="1" t="n">
        <f aca="false">HA67+HD67*Slot20_BufPot*HF67</f>
        <v>0</v>
      </c>
      <c r="HL67" s="1" t="n">
        <f aca="false">IF(AND(HD67=1,Slot20_IsMfree=1),IF(HI67&gt;=Slot20_Cost-1,0,MAX(0,HB67-HI67)),HB67)</f>
        <v>0</v>
      </c>
      <c r="HM67" s="1" t="n">
        <f aca="false">HD67*(Slot20_Cost-HI67)</f>
        <v>0</v>
      </c>
      <c r="HN67" s="1" t="n">
        <f aca="false">U67*Slot1_SpendLike*Z67+AF67*Slot2_SpendLike*AK67+AP67*Slot3_SpendLike*AU67+AZ67*Slot4_SpendLike*BE67+BJ67*Slot5_SpendLike*BO67+BT67*Slot6_SpendLike*BY67+CD67*Slot7_SpendLike*CI67+CN67*Slot8_SpendLike*CS67+CX67*Slot9_SpendLike*DC67+DH67*Slot10_SpendLike*DM67+DR67*Slot11_SpendLike*DW67+EB67*Slot12_SpendLike*EG67+EL67*Slot13_SpendLike*EQ67+EV67*Slot14_SpendLike*FA67+FF67*Slot15_SpendLike*FK67+FP67*Slot16_SpendLike*FU67+FZ67*Slot17_SpendLike*GE67+GJ67*Slot18_SpendLike*GO67+GT67*Slot19_SpendLike*GY67+HD67*Slot20_SpendLike*HI67</f>
        <v>0</v>
      </c>
      <c r="HO67" s="1" t="n">
        <f aca="false">AD67+AO67+AY67+BI67+BS67+CC67+CM67+CW67+DG67+DQ67+EA67+EK67+EU67+FE67+FO67+FY67+GI67+GS67+HC67+HM67</f>
        <v>0</v>
      </c>
      <c r="HP67" s="1" t="n">
        <f aca="false">U67*Slot1_Cost+AF67*Slot2_Cost+AP67*Slot3_Cost+AZ67*Slot4_Cost+BJ67*Slot5_Cost+BT67*Slot6_Cost+CD67*Slot7_Cost+CN67*Slot8_Cost+CX67*Slot9_Cost+DH67*Slot10_Cost+DR67*Slot11_Cost+EB67*Slot12_Cost+EL67*Slot13_Cost+EV67*Slot14_Cost+FF67*Slot15_Cost+FP67*Slot16_Cost+FZ67*Slot17_Cost+GJ67*Slot18_Cost+GT67*Slot19_Cost+HD67*Slot20_Cost</f>
        <v>0</v>
      </c>
      <c r="HQ67" s="1" t="n">
        <f aca="false">HL67</f>
        <v>0</v>
      </c>
      <c r="HR67" s="1" t="n">
        <f aca="false">G67-H67-R67</f>
        <v>0</v>
      </c>
      <c r="HS67" s="1" t="n">
        <f aca="false">IF(B67=0,IF(AND(Has_q6=1,In_q6=4),PR_ShareVaries*(MAX(0,HR67)/12),MIN(IF(Has_q6=1,CHOOSE(In_q6+1,PR_SaveB1,PR_SaveB2,PR_SaveB3,PR_SaveB4,0),AS_NoAnswer),AS_SaveShare*(MAX(0,HR67)/12))),HS66)</f>
        <v>0</v>
      </c>
      <c r="HT67" s="1" t="n">
        <f aca="false">IF(HR67&gt;=0,1,0)</f>
        <v>1</v>
      </c>
      <c r="HU67" s="1" t="n">
        <f aca="false">MAX(0,HR67/12/E67)</f>
        <v>0</v>
      </c>
      <c r="HV67" s="1" t="n">
        <f aca="false">IF(AND(Has_q6=1,In_q6=4),PR_ShareVaries*(HU67),MIN(IF(Has_q6=1,CHOOSE(In_q6+1,PR_SaveB1,PR_SaveB2,PR_SaveB3,PR_SaveB4,0),AS_NoAnswer),AS_SaveShare*(HU67)))</f>
        <v>0</v>
      </c>
      <c r="HW67" s="1" t="n">
        <f aca="false">IF(Has_saveM=1,IF(In_saveUp="Yes",1,IF(In_saveUp="No",0,IF(In_saveM&gt;=HS67-0.5,1,0))),0)</f>
        <v>0</v>
      </c>
      <c r="HX67" s="1" t="n">
        <f aca="false">IF(Has_saveM=1,MIN(HU67,IF(HW67=1,MAX(In_saveM,HV67),MIN(In_saveM,HV67))),HV67)</f>
        <v>0</v>
      </c>
      <c r="HY67" s="1" t="n">
        <f aca="false">IF(F67=1,HX67*12*E67,0)</f>
        <v>0</v>
      </c>
      <c r="HZ67" s="1" t="n">
        <f aca="false">MAX(0,HY67+IF(AND(WI_Retire=0,WI_M&lt;0,F67=1),WI_M*12*E67,0))</f>
        <v>0</v>
      </c>
      <c r="IA67" s="1" t="n">
        <f aca="false">Slot1_IsWG*V67+Slot2_IsWG*AG67+Slot3_IsWG*AQ67+Slot4_IsWG*BA67+Slot5_IsWG*BK67+Slot6_IsWG*BU67+Slot7_IsWG*CE67+Slot8_IsWG*CO67+Slot9_IsWG*CY67+Slot10_IsWG*DI67+Slot11_IsWG*DS67+Slot12_IsWG*EC67+Slot13_IsWG*EM67+Slot14_IsWG*EW67+Slot15_IsWG*FG67+Slot16_IsWG*FQ67+Slot17_IsWG*GA67+Slot18_IsWG*GK67+Slot19_IsWG*GU67+Slot20_IsWG*HE67</f>
        <v>0</v>
      </c>
      <c r="IB67" s="1" t="n">
        <f aca="false">IF(AND(WI_Retire=0,WI_M&gt;0,F67=1,IA67&gt;=1),WI_M*12*E67,0)</f>
        <v>0</v>
      </c>
      <c r="IC67" s="1" t="n">
        <f aca="false">IF(HT67=1,MIN(HZ67,HR67),0)</f>
        <v>0</v>
      </c>
      <c r="ID67" s="1" t="n">
        <f aca="false">IF(HT67=1,MIN(IB67,HR67-IC67),0)</f>
        <v>0</v>
      </c>
      <c r="IE67" s="1" t="n">
        <f aca="false">IF(V67=1,IF(ABS((1+AS_Wage)/(1+Slot1_Rate)-1)&lt;0.000000000001,(Slot1_Age-D67)*(1+Slot1_Rate)^(Slot1_Age-D67),(1+Slot1_Rate)^(Slot1_Age-D67)*(1-((1+AS_Wage)/(1+Slot1_Rate))^(Slot1_Age-D67))/(1-(1+AS_Wage)/(1+Slot1_Rate))),1)</f>
        <v>1</v>
      </c>
      <c r="IF67" s="1" t="n">
        <f aca="false">IF(AND(HT67=1,ID67&gt;0,Slot1_IsWG=1,V67=1),MAX(0,(Slot1_Cost-W67*(1+Slot1_Rate)^(Slot1_Age-D67))/IE67),0)</f>
        <v>0</v>
      </c>
      <c r="IG67" s="1" t="n">
        <f aca="false">IF(AND(HT67=1,ID67&gt;0,Slot1_IsWG=1,V67=1),MIN(ID67,IF67),0)</f>
        <v>0</v>
      </c>
      <c r="IH67" s="1" t="n">
        <f aca="false">W67+IG67</f>
        <v>0</v>
      </c>
      <c r="II67" s="1" t="n">
        <f aca="false">IF(V67=1,MAX(0,(Slot1_Cost-IH67*(1+Slot1_Rate)^(Slot1_Age-D67))/IE67),0)</f>
        <v>0</v>
      </c>
      <c r="IJ67" s="1" t="n">
        <f aca="false">IF(V67=1,MAX(0,(Slot1_Cost-W67*(1+Slot1_Rate)^(Slot1_Age-D67))/IE67),0)</f>
        <v>0</v>
      </c>
      <c r="IK67" s="1" t="n">
        <f aca="false">IF(AND(HT67=1,V67=1),MIN(IC67,II67),0)</f>
        <v>0</v>
      </c>
      <c r="IL67" s="1" t="n">
        <f aca="false">IC67-IK67</f>
        <v>0</v>
      </c>
      <c r="IM67" s="1" t="n">
        <f aca="false">IF(AG67=1,IF(ABS((1+AS_Wage)/(1+Slot2_Rate)-1)&lt;0.000000000001,(Slot2_Age-D67)*(1+Slot2_Rate)^(Slot2_Age-D67),(1+Slot2_Rate)^(Slot2_Age-D67)*(1-((1+AS_Wage)/(1+Slot2_Rate))^(Slot2_Age-D67))/(1-(1+AS_Wage)/(1+Slot2_Rate))),1)</f>
        <v>1</v>
      </c>
      <c r="IN67" s="1" t="n">
        <f aca="false">IF(AND(HT67=1,ID67&gt;0,Slot2_IsWG=1,AG67=1),MAX(0,(Slot2_Cost-AH67*(1+Slot2_Rate)^(Slot2_Age-D67))/IM67),0)</f>
        <v>0</v>
      </c>
      <c r="IO67" s="1" t="n">
        <f aca="false">IF(AND(HT67=1,ID67&gt;0,Slot2_IsWG=1,AG67=1),MIN(ID67,IN67),0)</f>
        <v>0</v>
      </c>
      <c r="IP67" s="1" t="n">
        <f aca="false">AH67+IO67</f>
        <v>0</v>
      </c>
      <c r="IQ67" s="1" t="n">
        <f aca="false">IF(AG67=1,MAX(0,(Slot2_Cost-IP67*(1+Slot2_Rate)^(Slot2_Age-D67))/IM67),0)</f>
        <v>0</v>
      </c>
      <c r="IR67" s="1" t="n">
        <f aca="false">IF(AG67=1,MAX(0,(Slot2_Cost-AH67*(1+Slot2_Rate)^(Slot2_Age-D67))/IM67),0)</f>
        <v>0</v>
      </c>
      <c r="IS67" s="1" t="n">
        <f aca="false">IF(AND(HT67=1,AG67=1),MIN(IL67,IQ67),0)</f>
        <v>0</v>
      </c>
      <c r="IT67" s="1" t="n">
        <f aca="false">IL67-IS67</f>
        <v>0</v>
      </c>
      <c r="IU67" s="1" t="n">
        <f aca="false">IF(AQ67=1,IF(ABS((1+AS_Wage)/(1+Slot3_Rate)-1)&lt;0.000000000001,(Slot3_Age-D67)*(1+Slot3_Rate)^(Slot3_Age-D67),(1+Slot3_Rate)^(Slot3_Age-D67)*(1-((1+AS_Wage)/(1+Slot3_Rate))^(Slot3_Age-D67))/(1-(1+AS_Wage)/(1+Slot3_Rate))),1)</f>
        <v>1</v>
      </c>
      <c r="IV67" s="1" t="n">
        <f aca="false">IF(AND(HT67=1,ID67&gt;0,Slot3_IsWG=1,AQ67=1),MAX(0,(Slot3_Cost-AR67*(1+Slot3_Rate)^(Slot3_Age-D67))/IU67),0)</f>
        <v>0</v>
      </c>
      <c r="IW67" s="1" t="n">
        <f aca="false">IF(AND(HT67=1,ID67&gt;0,Slot3_IsWG=1,AQ67=1),MIN(ID67,IV67),0)</f>
        <v>0</v>
      </c>
      <c r="IX67" s="1" t="n">
        <f aca="false">AR67+IW67</f>
        <v>0</v>
      </c>
      <c r="IY67" s="1" t="n">
        <f aca="false">IF(AQ67=1,MAX(0,(Slot3_Cost-IX67*(1+Slot3_Rate)^(Slot3_Age-D67))/IU67),0)</f>
        <v>0</v>
      </c>
      <c r="IZ67" s="1" t="n">
        <f aca="false">IF(AQ67=1,MAX(0,(Slot3_Cost-AR67*(1+Slot3_Rate)^(Slot3_Age-D67))/IU67),0)</f>
        <v>0</v>
      </c>
      <c r="JA67" s="1" t="n">
        <f aca="false">IF(AND(HT67=1,AQ67=1),MIN(IT67,IY67),0)</f>
        <v>0</v>
      </c>
      <c r="JB67" s="1" t="n">
        <f aca="false">IT67-JA67</f>
        <v>0</v>
      </c>
      <c r="JC67" s="1" t="n">
        <f aca="false">IF(BA67=1,IF(ABS((1+AS_Wage)/(1+Slot4_Rate)-1)&lt;0.000000000001,(Slot4_Age-D67)*(1+Slot4_Rate)^(Slot4_Age-D67),(1+Slot4_Rate)^(Slot4_Age-D67)*(1-((1+AS_Wage)/(1+Slot4_Rate))^(Slot4_Age-D67))/(1-(1+AS_Wage)/(1+Slot4_Rate))),1)</f>
        <v>1</v>
      </c>
      <c r="JD67" s="1" t="n">
        <f aca="false">IF(AND(HT67=1,ID67&gt;0,Slot4_IsWG=1,BA67=1),MAX(0,(Slot4_Cost-BB67*(1+Slot4_Rate)^(Slot4_Age-D67))/JC67),0)</f>
        <v>0</v>
      </c>
      <c r="JE67" s="1" t="n">
        <f aca="false">IF(AND(HT67=1,ID67&gt;0,Slot4_IsWG=1,BA67=1),MIN(ID67,JD67),0)</f>
        <v>0</v>
      </c>
      <c r="JF67" s="1" t="n">
        <f aca="false">BB67+JE67</f>
        <v>0</v>
      </c>
      <c r="JG67" s="1" t="n">
        <f aca="false">IF(BA67=1,MAX(0,(Slot4_Cost-JF67*(1+Slot4_Rate)^(Slot4_Age-D67))/JC67),0)</f>
        <v>0</v>
      </c>
      <c r="JH67" s="1" t="n">
        <f aca="false">IF(BA67=1,MAX(0,(Slot4_Cost-BB67*(1+Slot4_Rate)^(Slot4_Age-D67))/JC67),0)</f>
        <v>0</v>
      </c>
      <c r="JI67" s="1" t="n">
        <f aca="false">IF(AND(HT67=1,BA67=1),MIN(JB67,JG67),0)</f>
        <v>0</v>
      </c>
      <c r="JJ67" s="1" t="n">
        <f aca="false">JB67-JI67</f>
        <v>0</v>
      </c>
      <c r="JK67" s="1" t="n">
        <f aca="false">IF(BK67=1,IF(ABS((1+AS_Wage)/(1+Slot5_Rate)-1)&lt;0.000000000001,(Slot5_Age-D67)*(1+Slot5_Rate)^(Slot5_Age-D67),(1+Slot5_Rate)^(Slot5_Age-D67)*(1-((1+AS_Wage)/(1+Slot5_Rate))^(Slot5_Age-D67))/(1-(1+AS_Wage)/(1+Slot5_Rate))),1)</f>
        <v>1</v>
      </c>
      <c r="JL67" s="1" t="n">
        <f aca="false">IF(AND(HT67=1,ID67&gt;0,Slot5_IsWG=1,BK67=1),MAX(0,(Slot5_Cost-BL67*(1+Slot5_Rate)^(Slot5_Age-D67))/JK67),0)</f>
        <v>0</v>
      </c>
      <c r="JM67" s="1" t="n">
        <f aca="false">IF(AND(HT67=1,ID67&gt;0,Slot5_IsWG=1,BK67=1),MIN(ID67,JL67),0)</f>
        <v>0</v>
      </c>
      <c r="JN67" s="1" t="n">
        <f aca="false">BL67+JM67</f>
        <v>0</v>
      </c>
      <c r="JO67" s="1" t="n">
        <f aca="false">IF(BK67=1,MAX(0,(Slot5_Cost-JN67*(1+Slot5_Rate)^(Slot5_Age-D67))/JK67),0)</f>
        <v>0</v>
      </c>
      <c r="JP67" s="1" t="n">
        <f aca="false">IF(BK67=1,MAX(0,(Slot5_Cost-BL67*(1+Slot5_Rate)^(Slot5_Age-D67))/JK67),0)</f>
        <v>0</v>
      </c>
      <c r="JQ67" s="1" t="n">
        <f aca="false">IF(AND(HT67=1,BK67=1),MIN(JJ67,JO67),0)</f>
        <v>0</v>
      </c>
      <c r="JR67" s="1" t="n">
        <f aca="false">JJ67-JQ67</f>
        <v>0</v>
      </c>
      <c r="JS67" s="1" t="n">
        <f aca="false">IF(BU67=1,IF(ABS((1+AS_Wage)/(1+Slot6_Rate)-1)&lt;0.000000000001,(Slot6_Age-D67)*(1+Slot6_Rate)^(Slot6_Age-D67),(1+Slot6_Rate)^(Slot6_Age-D67)*(1-((1+AS_Wage)/(1+Slot6_Rate))^(Slot6_Age-D67))/(1-(1+AS_Wage)/(1+Slot6_Rate))),1)</f>
        <v>1</v>
      </c>
      <c r="JT67" s="1" t="n">
        <f aca="false">IF(AND(HT67=1,ID67&gt;0,Slot6_IsWG=1,BU67=1),MAX(0,(Slot6_Cost-BV67*(1+Slot6_Rate)^(Slot6_Age-D67))/JS67),0)</f>
        <v>0</v>
      </c>
      <c r="JU67" s="1" t="n">
        <f aca="false">IF(AND(HT67=1,ID67&gt;0,Slot6_IsWG=1,BU67=1),MIN(ID67,JT67),0)</f>
        <v>0</v>
      </c>
      <c r="JV67" s="1" t="n">
        <f aca="false">BV67+JU67</f>
        <v>0</v>
      </c>
      <c r="JW67" s="1" t="n">
        <f aca="false">IF(BU67=1,MAX(0,(Slot6_Cost-JV67*(1+Slot6_Rate)^(Slot6_Age-D67))/JS67),0)</f>
        <v>0</v>
      </c>
      <c r="JX67" s="1" t="n">
        <f aca="false">IF(BU67=1,MAX(0,(Slot6_Cost-BV67*(1+Slot6_Rate)^(Slot6_Age-D67))/JS67),0)</f>
        <v>0</v>
      </c>
      <c r="JY67" s="1" t="n">
        <f aca="false">IF(AND(HT67=1,BU67=1),MIN(JR67,JW67),0)</f>
        <v>0</v>
      </c>
      <c r="JZ67" s="1" t="n">
        <f aca="false">JR67-JY67</f>
        <v>0</v>
      </c>
      <c r="KA67" s="1" t="n">
        <f aca="false">IF(CE67=1,IF(ABS((1+AS_Wage)/(1+Slot7_Rate)-1)&lt;0.000000000001,(Slot7_Age-D67)*(1+Slot7_Rate)^(Slot7_Age-D67),(1+Slot7_Rate)^(Slot7_Age-D67)*(1-((1+AS_Wage)/(1+Slot7_Rate))^(Slot7_Age-D67))/(1-(1+AS_Wage)/(1+Slot7_Rate))),1)</f>
        <v>1</v>
      </c>
      <c r="KB67" s="1" t="n">
        <f aca="false">IF(AND(HT67=1,ID67&gt;0,Slot7_IsWG=1,CE67=1),MAX(0,(Slot7_Cost-CF67*(1+Slot7_Rate)^(Slot7_Age-D67))/KA67),0)</f>
        <v>0</v>
      </c>
      <c r="KC67" s="1" t="n">
        <f aca="false">IF(AND(HT67=1,ID67&gt;0,Slot7_IsWG=1,CE67=1),MIN(ID67,KB67),0)</f>
        <v>0</v>
      </c>
      <c r="KD67" s="1" t="n">
        <f aca="false">CF67+KC67</f>
        <v>0</v>
      </c>
      <c r="KE67" s="1" t="n">
        <f aca="false">IF(CE67=1,MAX(0,(Slot7_Cost-KD67*(1+Slot7_Rate)^(Slot7_Age-D67))/KA67),0)</f>
        <v>0</v>
      </c>
      <c r="KF67" s="1" t="n">
        <f aca="false">IF(CE67=1,MAX(0,(Slot7_Cost-CF67*(1+Slot7_Rate)^(Slot7_Age-D67))/KA67),0)</f>
        <v>0</v>
      </c>
      <c r="KG67" s="1" t="n">
        <f aca="false">IF(AND(HT67=1,CE67=1),MIN(JZ67,KE67),0)</f>
        <v>0</v>
      </c>
      <c r="KH67" s="1" t="n">
        <f aca="false">JZ67-KG67</f>
        <v>0</v>
      </c>
      <c r="KI67" s="1" t="n">
        <f aca="false">IF(CO67=1,IF(ABS((1+AS_Wage)/(1+Slot8_Rate)-1)&lt;0.000000000001,(Slot8_Age-D67)*(1+Slot8_Rate)^(Slot8_Age-D67),(1+Slot8_Rate)^(Slot8_Age-D67)*(1-((1+AS_Wage)/(1+Slot8_Rate))^(Slot8_Age-D67))/(1-(1+AS_Wage)/(1+Slot8_Rate))),1)</f>
        <v>1</v>
      </c>
      <c r="KJ67" s="1" t="n">
        <f aca="false">IF(AND(HT67=1,ID67&gt;0,Slot8_IsWG=1,CO67=1),MAX(0,(Slot8_Cost-CP67*(1+Slot8_Rate)^(Slot8_Age-D67))/KI67),0)</f>
        <v>0</v>
      </c>
      <c r="KK67" s="1" t="n">
        <f aca="false">IF(AND(HT67=1,ID67&gt;0,Slot8_IsWG=1,CO67=1),MIN(ID67,KJ67),0)</f>
        <v>0</v>
      </c>
      <c r="KL67" s="1" t="n">
        <f aca="false">CP67+KK67</f>
        <v>0</v>
      </c>
      <c r="KM67" s="1" t="n">
        <f aca="false">IF(CO67=1,MAX(0,(Slot8_Cost-KL67*(1+Slot8_Rate)^(Slot8_Age-D67))/KI67),0)</f>
        <v>0</v>
      </c>
      <c r="KN67" s="1" t="n">
        <f aca="false">IF(CO67=1,MAX(0,(Slot8_Cost-CP67*(1+Slot8_Rate)^(Slot8_Age-D67))/KI67),0)</f>
        <v>0</v>
      </c>
      <c r="KO67" s="1" t="n">
        <f aca="false">IF(AND(HT67=1,CO67=1),MIN(KH67,KM67),0)</f>
        <v>0</v>
      </c>
      <c r="KP67" s="1" t="n">
        <f aca="false">KH67-KO67</f>
        <v>0</v>
      </c>
      <c r="KQ67" s="1" t="n">
        <f aca="false">IF(CY67=1,IF(ABS((1+AS_Wage)/(1+Slot9_Rate)-1)&lt;0.000000000001,(Slot9_Age-D67)*(1+Slot9_Rate)^(Slot9_Age-D67),(1+Slot9_Rate)^(Slot9_Age-D67)*(1-((1+AS_Wage)/(1+Slot9_Rate))^(Slot9_Age-D67))/(1-(1+AS_Wage)/(1+Slot9_Rate))),1)</f>
        <v>1</v>
      </c>
      <c r="KR67" s="1" t="n">
        <f aca="false">IF(AND(HT67=1,ID67&gt;0,Slot9_IsWG=1,CY67=1),MAX(0,(Slot9_Cost-CZ67*(1+Slot9_Rate)^(Slot9_Age-D67))/KQ67),0)</f>
        <v>0</v>
      </c>
      <c r="KS67" s="1" t="n">
        <f aca="false">IF(AND(HT67=1,ID67&gt;0,Slot9_IsWG=1,CY67=1),MIN(ID67,KR67),0)</f>
        <v>0</v>
      </c>
      <c r="KT67" s="1" t="n">
        <f aca="false">CZ67+KS67</f>
        <v>0</v>
      </c>
      <c r="KU67" s="1" t="n">
        <f aca="false">IF(CY67=1,MAX(0,(Slot9_Cost-KT67*(1+Slot9_Rate)^(Slot9_Age-D67))/KQ67),0)</f>
        <v>0</v>
      </c>
      <c r="KV67" s="1" t="n">
        <f aca="false">IF(CY67=1,MAX(0,(Slot9_Cost-CZ67*(1+Slot9_Rate)^(Slot9_Age-D67))/KQ67),0)</f>
        <v>0</v>
      </c>
      <c r="KW67" s="1" t="n">
        <f aca="false">IF(AND(HT67=1,CY67=1),MIN(KP67,KU67),0)</f>
        <v>0</v>
      </c>
      <c r="KX67" s="1" t="n">
        <f aca="false">KP67-KW67</f>
        <v>0</v>
      </c>
      <c r="KY67" s="1" t="n">
        <f aca="false">IF(DI67=1,IF(ABS((1+AS_Wage)/(1+Slot10_Rate)-1)&lt;0.000000000001,(Slot10_Age-D67)*(1+Slot10_Rate)^(Slot10_Age-D67),(1+Slot10_Rate)^(Slot10_Age-D67)*(1-((1+AS_Wage)/(1+Slot10_Rate))^(Slot10_Age-D67))/(1-(1+AS_Wage)/(1+Slot10_Rate))),1)</f>
        <v>1</v>
      </c>
      <c r="KZ67" s="1" t="n">
        <f aca="false">IF(AND(HT67=1,ID67&gt;0,Slot10_IsWG=1,DI67=1),MAX(0,(Slot10_Cost-DJ67*(1+Slot10_Rate)^(Slot10_Age-D67))/KY67),0)</f>
        <v>0</v>
      </c>
      <c r="LA67" s="1" t="n">
        <f aca="false">IF(AND(HT67=1,ID67&gt;0,Slot10_IsWG=1,DI67=1),MIN(ID67,KZ67),0)</f>
        <v>0</v>
      </c>
      <c r="LB67" s="1" t="n">
        <f aca="false">DJ67+LA67</f>
        <v>0</v>
      </c>
      <c r="LC67" s="1" t="n">
        <f aca="false">IF(DI67=1,MAX(0,(Slot10_Cost-LB67*(1+Slot10_Rate)^(Slot10_Age-D67))/KY67),0)</f>
        <v>0</v>
      </c>
      <c r="LD67" s="1" t="n">
        <f aca="false">IF(DI67=1,MAX(0,(Slot10_Cost-DJ67*(1+Slot10_Rate)^(Slot10_Age-D67))/KY67),0)</f>
        <v>0</v>
      </c>
      <c r="LE67" s="1" t="n">
        <f aca="false">IF(AND(HT67=1,DI67=1),MIN(KX67,LC67),0)</f>
        <v>0</v>
      </c>
      <c r="LF67" s="1" t="n">
        <f aca="false">KX67-LE67</f>
        <v>0</v>
      </c>
      <c r="LG67" s="1" t="n">
        <f aca="false">IF(DS67=1,IF(ABS((1+AS_Wage)/(1+Slot11_Rate)-1)&lt;0.000000000001,(Slot11_Age-D67)*(1+Slot11_Rate)^(Slot11_Age-D67),(1+Slot11_Rate)^(Slot11_Age-D67)*(1-((1+AS_Wage)/(1+Slot11_Rate))^(Slot11_Age-D67))/(1-(1+AS_Wage)/(1+Slot11_Rate))),1)</f>
        <v>1</v>
      </c>
      <c r="LH67" s="1" t="n">
        <f aca="false">IF(AND(HT67=1,ID67&gt;0,Slot11_IsWG=1,DS67=1),MAX(0,(Slot11_Cost-DT67*(1+Slot11_Rate)^(Slot11_Age-D67))/LG67),0)</f>
        <v>0</v>
      </c>
      <c r="LI67" s="1" t="n">
        <f aca="false">IF(AND(HT67=1,ID67&gt;0,Slot11_IsWG=1,DS67=1),MIN(ID67,LH67),0)</f>
        <v>0</v>
      </c>
      <c r="LJ67" s="1" t="n">
        <f aca="false">DT67+LI67</f>
        <v>0</v>
      </c>
      <c r="LK67" s="1" t="n">
        <f aca="false">IF(DS67=1,MAX(0,(Slot11_Cost-LJ67*(1+Slot11_Rate)^(Slot11_Age-D67))/LG67),0)</f>
        <v>0</v>
      </c>
      <c r="LL67" s="1" t="n">
        <f aca="false">IF(DS67=1,MAX(0,(Slot11_Cost-DT67*(1+Slot11_Rate)^(Slot11_Age-D67))/LG67),0)</f>
        <v>0</v>
      </c>
      <c r="LM67" s="1" t="n">
        <f aca="false">IF(AND(HT67=1,DS67=1),MIN(LF67,LK67),0)</f>
        <v>0</v>
      </c>
      <c r="LN67" s="1" t="n">
        <f aca="false">LF67-LM67</f>
        <v>0</v>
      </c>
      <c r="LO67" s="1" t="n">
        <f aca="false">IF(EC67=1,IF(ABS((1+AS_Wage)/(1+Slot12_Rate)-1)&lt;0.000000000001,(Slot12_Age-D67)*(1+Slot12_Rate)^(Slot12_Age-D67),(1+Slot12_Rate)^(Slot12_Age-D67)*(1-((1+AS_Wage)/(1+Slot12_Rate))^(Slot12_Age-D67))/(1-(1+AS_Wage)/(1+Slot12_Rate))),1)</f>
        <v>1</v>
      </c>
      <c r="LP67" s="1" t="n">
        <f aca="false">IF(AND(HT67=1,ID67&gt;0,Slot12_IsWG=1,EC67=1),MAX(0,(Slot12_Cost-ED67*(1+Slot12_Rate)^(Slot12_Age-D67))/LO67),0)</f>
        <v>0</v>
      </c>
      <c r="LQ67" s="1" t="n">
        <f aca="false">IF(AND(HT67=1,ID67&gt;0,Slot12_IsWG=1,EC67=1),MIN(ID67,LP67),0)</f>
        <v>0</v>
      </c>
      <c r="LR67" s="1" t="n">
        <f aca="false">ED67+LQ67</f>
        <v>0</v>
      </c>
      <c r="LS67" s="1" t="n">
        <f aca="false">IF(EC67=1,MAX(0,(Slot12_Cost-LR67*(1+Slot12_Rate)^(Slot12_Age-D67))/LO67),0)</f>
        <v>0</v>
      </c>
      <c r="LT67" s="1" t="n">
        <f aca="false">IF(EC67=1,MAX(0,(Slot12_Cost-ED67*(1+Slot12_Rate)^(Slot12_Age-D67))/LO67),0)</f>
        <v>0</v>
      </c>
      <c r="LU67" s="1" t="n">
        <f aca="false">IF(AND(HT67=1,EC67=1),MIN(LN67,LS67),0)</f>
        <v>0</v>
      </c>
      <c r="LV67" s="1" t="n">
        <f aca="false">LN67-LU67</f>
        <v>0</v>
      </c>
      <c r="LW67" s="1" t="n">
        <f aca="false">IF(EM67=1,IF(ABS((1+AS_Wage)/(1+Slot13_Rate)-1)&lt;0.000000000001,(Slot13_Age-D67)*(1+Slot13_Rate)^(Slot13_Age-D67),(1+Slot13_Rate)^(Slot13_Age-D67)*(1-((1+AS_Wage)/(1+Slot13_Rate))^(Slot13_Age-D67))/(1-(1+AS_Wage)/(1+Slot13_Rate))),1)</f>
        <v>1</v>
      </c>
      <c r="LX67" s="1" t="n">
        <f aca="false">IF(AND(HT67=1,ID67&gt;0,Slot13_IsWG=1,EM67=1),MAX(0,(Slot13_Cost-EN67*(1+Slot13_Rate)^(Slot13_Age-D67))/LW67),0)</f>
        <v>0</v>
      </c>
      <c r="LY67" s="1" t="n">
        <f aca="false">IF(AND(HT67=1,ID67&gt;0,Slot13_IsWG=1,EM67=1),MIN(ID67,LX67),0)</f>
        <v>0</v>
      </c>
      <c r="LZ67" s="1" t="n">
        <f aca="false">EN67+LY67</f>
        <v>0</v>
      </c>
      <c r="MA67" s="1" t="n">
        <f aca="false">IF(EM67=1,MAX(0,(Slot13_Cost-LZ67*(1+Slot13_Rate)^(Slot13_Age-D67))/LW67),0)</f>
        <v>0</v>
      </c>
      <c r="MB67" s="1" t="n">
        <f aca="false">IF(EM67=1,MAX(0,(Slot13_Cost-EN67*(1+Slot13_Rate)^(Slot13_Age-D67))/LW67),0)</f>
        <v>0</v>
      </c>
      <c r="MC67" s="1" t="n">
        <f aca="false">IF(AND(HT67=1,EM67=1),MIN(LV67,MA67),0)</f>
        <v>0</v>
      </c>
      <c r="MD67" s="1" t="n">
        <f aca="false">LV67-MC67</f>
        <v>0</v>
      </c>
      <c r="ME67" s="1" t="n">
        <f aca="false">IF(EW67=1,IF(ABS((1+AS_Wage)/(1+Slot14_Rate)-1)&lt;0.000000000001,(Slot14_Age-D67)*(1+Slot14_Rate)^(Slot14_Age-D67),(1+Slot14_Rate)^(Slot14_Age-D67)*(1-((1+AS_Wage)/(1+Slot14_Rate))^(Slot14_Age-D67))/(1-(1+AS_Wage)/(1+Slot14_Rate))),1)</f>
        <v>1</v>
      </c>
      <c r="MF67" s="1" t="n">
        <f aca="false">IF(AND(HT67=1,ID67&gt;0,Slot14_IsWG=1,EW67=1),MAX(0,(Slot14_Cost-EX67*(1+Slot14_Rate)^(Slot14_Age-D67))/ME67),0)</f>
        <v>0</v>
      </c>
      <c r="MG67" s="1" t="n">
        <f aca="false">IF(AND(HT67=1,ID67&gt;0,Slot14_IsWG=1,EW67=1),MIN(ID67,MF67),0)</f>
        <v>0</v>
      </c>
      <c r="MH67" s="1" t="n">
        <f aca="false">EX67+MG67</f>
        <v>0</v>
      </c>
      <c r="MI67" s="1" t="n">
        <f aca="false">IF(EW67=1,MAX(0,(Slot14_Cost-MH67*(1+Slot14_Rate)^(Slot14_Age-D67))/ME67),0)</f>
        <v>0</v>
      </c>
      <c r="MJ67" s="1" t="n">
        <f aca="false">IF(EW67=1,MAX(0,(Slot14_Cost-EX67*(1+Slot14_Rate)^(Slot14_Age-D67))/ME67),0)</f>
        <v>0</v>
      </c>
      <c r="MK67" s="1" t="n">
        <f aca="false">IF(AND(HT67=1,EW67=1),MIN(MD67,MI67),0)</f>
        <v>0</v>
      </c>
      <c r="ML67" s="1" t="n">
        <f aca="false">MD67-MK67</f>
        <v>0</v>
      </c>
      <c r="MM67" s="1" t="n">
        <f aca="false">IF(FG67=1,IF(ABS((1+AS_Wage)/(1+Slot15_Rate)-1)&lt;0.000000000001,(Slot15_Age-D67)*(1+Slot15_Rate)^(Slot15_Age-D67),(1+Slot15_Rate)^(Slot15_Age-D67)*(1-((1+AS_Wage)/(1+Slot15_Rate))^(Slot15_Age-D67))/(1-(1+AS_Wage)/(1+Slot15_Rate))),1)</f>
        <v>1</v>
      </c>
      <c r="MN67" s="1" t="n">
        <f aca="false">IF(AND(HT67=1,ID67&gt;0,Slot15_IsWG=1,FG67=1),MAX(0,(Slot15_Cost-FH67*(1+Slot15_Rate)^(Slot15_Age-D67))/MM67),0)</f>
        <v>0</v>
      </c>
      <c r="MO67" s="1" t="n">
        <f aca="false">IF(AND(HT67=1,ID67&gt;0,Slot15_IsWG=1,FG67=1),MIN(ID67,MN67),0)</f>
        <v>0</v>
      </c>
      <c r="MP67" s="1" t="n">
        <f aca="false">FH67+MO67</f>
        <v>0</v>
      </c>
      <c r="MQ67" s="1" t="n">
        <f aca="false">IF(FG67=1,MAX(0,(Slot15_Cost-MP67*(1+Slot15_Rate)^(Slot15_Age-D67))/MM67),0)</f>
        <v>0</v>
      </c>
      <c r="MR67" s="1" t="n">
        <f aca="false">IF(FG67=1,MAX(0,(Slot15_Cost-FH67*(1+Slot15_Rate)^(Slot15_Age-D67))/MM67),0)</f>
        <v>0</v>
      </c>
      <c r="MS67" s="1" t="n">
        <f aca="false">IF(AND(HT67=1,FG67=1),MIN(ML67,MQ67),0)</f>
        <v>0</v>
      </c>
      <c r="MT67" s="1" t="n">
        <f aca="false">ML67-MS67</f>
        <v>0</v>
      </c>
      <c r="MU67" s="1" t="n">
        <f aca="false">IF(FQ67=1,IF(ABS((1+AS_Wage)/(1+Slot16_Rate)-1)&lt;0.000000000001,(Slot16_Age-D67)*(1+Slot16_Rate)^(Slot16_Age-D67),(1+Slot16_Rate)^(Slot16_Age-D67)*(1-((1+AS_Wage)/(1+Slot16_Rate))^(Slot16_Age-D67))/(1-(1+AS_Wage)/(1+Slot16_Rate))),1)</f>
        <v>1</v>
      </c>
      <c r="MV67" s="1" t="n">
        <f aca="false">IF(AND(HT67=1,ID67&gt;0,Slot16_IsWG=1,FQ67=1),MAX(0,(Slot16_Cost-FR67*(1+Slot16_Rate)^(Slot16_Age-D67))/MU67),0)</f>
        <v>0</v>
      </c>
      <c r="MW67" s="1" t="n">
        <f aca="false">IF(AND(HT67=1,ID67&gt;0,Slot16_IsWG=1,FQ67=1),MIN(ID67,MV67),0)</f>
        <v>0</v>
      </c>
      <c r="MX67" s="1" t="n">
        <f aca="false">FR67+MW67</f>
        <v>0</v>
      </c>
      <c r="MY67" s="1" t="n">
        <f aca="false">IF(FQ67=1,MAX(0,(Slot16_Cost-MX67*(1+Slot16_Rate)^(Slot16_Age-D67))/MU67),0)</f>
        <v>0</v>
      </c>
      <c r="MZ67" s="1" t="n">
        <f aca="false">IF(FQ67=1,MAX(0,(Slot16_Cost-FR67*(1+Slot16_Rate)^(Slot16_Age-D67))/MU67),0)</f>
        <v>0</v>
      </c>
      <c r="NA67" s="1" t="n">
        <f aca="false">IF(AND(HT67=1,FQ67=1),MIN(MT67,MY67),0)</f>
        <v>0</v>
      </c>
      <c r="NB67" s="1" t="n">
        <f aca="false">MT67-NA67</f>
        <v>0</v>
      </c>
      <c r="NC67" s="1" t="n">
        <f aca="false">IF(GA67=1,IF(ABS((1+AS_Wage)/(1+Slot17_Rate)-1)&lt;0.000000000001,(Slot17_Age-D67)*(1+Slot17_Rate)^(Slot17_Age-D67),(1+Slot17_Rate)^(Slot17_Age-D67)*(1-((1+AS_Wage)/(1+Slot17_Rate))^(Slot17_Age-D67))/(1-(1+AS_Wage)/(1+Slot17_Rate))),1)</f>
        <v>1</v>
      </c>
      <c r="ND67" s="1" t="n">
        <f aca="false">IF(AND(HT67=1,ID67&gt;0,Slot17_IsWG=1,GA67=1),MAX(0,(Slot17_Cost-GB67*(1+Slot17_Rate)^(Slot17_Age-D67))/NC67),0)</f>
        <v>0</v>
      </c>
      <c r="NE67" s="1" t="n">
        <f aca="false">IF(AND(HT67=1,ID67&gt;0,Slot17_IsWG=1,GA67=1),MIN(ID67,ND67),0)</f>
        <v>0</v>
      </c>
      <c r="NF67" s="1" t="n">
        <f aca="false">GB67+NE67</f>
        <v>0</v>
      </c>
      <c r="NG67" s="1" t="n">
        <f aca="false">IF(GA67=1,MAX(0,(Slot17_Cost-NF67*(1+Slot17_Rate)^(Slot17_Age-D67))/NC67),0)</f>
        <v>0</v>
      </c>
      <c r="NH67" s="1" t="n">
        <f aca="false">IF(GA67=1,MAX(0,(Slot17_Cost-GB67*(1+Slot17_Rate)^(Slot17_Age-D67))/NC67),0)</f>
        <v>0</v>
      </c>
      <c r="NI67" s="1" t="n">
        <f aca="false">IF(AND(HT67=1,GA67=1),MIN(NB67,NG67),0)</f>
        <v>0</v>
      </c>
      <c r="NJ67" s="1" t="n">
        <f aca="false">NB67-NI67</f>
        <v>0</v>
      </c>
      <c r="NK67" s="1" t="n">
        <f aca="false">IF(GK67=1,IF(ABS((1+AS_Wage)/(1+Slot18_Rate)-1)&lt;0.000000000001,(Slot18_Age-D67)*(1+Slot18_Rate)^(Slot18_Age-D67),(1+Slot18_Rate)^(Slot18_Age-D67)*(1-((1+AS_Wage)/(1+Slot18_Rate))^(Slot18_Age-D67))/(1-(1+AS_Wage)/(1+Slot18_Rate))),1)</f>
        <v>1</v>
      </c>
      <c r="NL67" s="1" t="n">
        <f aca="false">IF(AND(HT67=1,ID67&gt;0,Slot18_IsWG=1,GK67=1),MAX(0,(Slot18_Cost-GL67*(1+Slot18_Rate)^(Slot18_Age-D67))/NK67),0)</f>
        <v>0</v>
      </c>
      <c r="NM67" s="1" t="n">
        <f aca="false">IF(AND(HT67=1,ID67&gt;0,Slot18_IsWG=1,GK67=1),MIN(ID67,NL67),0)</f>
        <v>0</v>
      </c>
      <c r="NN67" s="1" t="n">
        <f aca="false">GL67+NM67</f>
        <v>0</v>
      </c>
      <c r="NO67" s="1" t="n">
        <f aca="false">IF(GK67=1,MAX(0,(Slot18_Cost-NN67*(1+Slot18_Rate)^(Slot18_Age-D67))/NK67),0)</f>
        <v>0</v>
      </c>
      <c r="NP67" s="1" t="n">
        <f aca="false">IF(GK67=1,MAX(0,(Slot18_Cost-GL67*(1+Slot18_Rate)^(Slot18_Age-D67))/NK67),0)</f>
        <v>0</v>
      </c>
      <c r="NQ67" s="1" t="n">
        <f aca="false">IF(AND(HT67=1,GK67=1),MIN(NJ67,NO67),0)</f>
        <v>0</v>
      </c>
      <c r="NR67" s="1" t="n">
        <f aca="false">NJ67-NQ67</f>
        <v>0</v>
      </c>
      <c r="NS67" s="1" t="n">
        <f aca="false">IF(GU67=1,IF(ABS((1+AS_Wage)/(1+Slot19_Rate)-1)&lt;0.000000000001,(Slot19_Age-D67)*(1+Slot19_Rate)^(Slot19_Age-D67),(1+Slot19_Rate)^(Slot19_Age-D67)*(1-((1+AS_Wage)/(1+Slot19_Rate))^(Slot19_Age-D67))/(1-(1+AS_Wage)/(1+Slot19_Rate))),1)</f>
        <v>1</v>
      </c>
      <c r="NT67" s="1" t="n">
        <f aca="false">IF(AND(HT67=1,ID67&gt;0,Slot19_IsWG=1,GU67=1),MAX(0,(Slot19_Cost-GV67*(1+Slot19_Rate)^(Slot19_Age-D67))/NS67),0)</f>
        <v>0</v>
      </c>
      <c r="NU67" s="1" t="n">
        <f aca="false">IF(AND(HT67=1,ID67&gt;0,Slot19_IsWG=1,GU67=1),MIN(ID67,NT67),0)</f>
        <v>0</v>
      </c>
      <c r="NV67" s="1" t="n">
        <f aca="false">GV67+NU67</f>
        <v>0</v>
      </c>
      <c r="NW67" s="1" t="n">
        <f aca="false">IF(GU67=1,MAX(0,(Slot19_Cost-NV67*(1+Slot19_Rate)^(Slot19_Age-D67))/NS67),0)</f>
        <v>0</v>
      </c>
      <c r="NX67" s="1" t="n">
        <f aca="false">IF(GU67=1,MAX(0,(Slot19_Cost-GV67*(1+Slot19_Rate)^(Slot19_Age-D67))/NS67),0)</f>
        <v>0</v>
      </c>
      <c r="NY67" s="1" t="n">
        <f aca="false">IF(AND(HT67=1,GU67=1),MIN(NR67,NW67),0)</f>
        <v>0</v>
      </c>
      <c r="NZ67" s="1" t="n">
        <f aca="false">NR67-NY67</f>
        <v>0</v>
      </c>
      <c r="OA67" s="1" t="n">
        <f aca="false">IF(HE67=1,IF(ABS((1+AS_Wage)/(1+Slot20_Rate)-1)&lt;0.000000000001,(Slot20_Age-D67)*(1+Slot20_Rate)^(Slot20_Age-D67),(1+Slot20_Rate)^(Slot20_Age-D67)*(1-((1+AS_Wage)/(1+Slot20_Rate))^(Slot20_Age-D67))/(1-(1+AS_Wage)/(1+Slot20_Rate))),1)</f>
        <v>1</v>
      </c>
      <c r="OB67" s="1" t="n">
        <f aca="false">IF(AND(HT67=1,ID67&gt;0,Slot20_IsWG=1,HE67=1),MAX(0,(Slot20_Cost-HF67*(1+Slot20_Rate)^(Slot20_Age-D67))/OA67),0)</f>
        <v>0</v>
      </c>
      <c r="OC67" s="1" t="n">
        <f aca="false">IF(AND(HT67=1,ID67&gt;0,Slot20_IsWG=1,HE67=1),MIN(ID67,OB67),0)</f>
        <v>0</v>
      </c>
      <c r="OD67" s="1" t="n">
        <f aca="false">HF67+OC67</f>
        <v>0</v>
      </c>
      <c r="OE67" s="1" t="n">
        <f aca="false">IF(HE67=1,MAX(0,(Slot20_Cost-OD67*(1+Slot20_Rate)^(Slot20_Age-D67))/OA67),0)</f>
        <v>0</v>
      </c>
      <c r="OF67" s="1" t="n">
        <f aca="false">IF(HE67=1,MAX(0,(Slot20_Cost-HF67*(1+Slot20_Rate)^(Slot20_Age-D67))/OA67),0)</f>
        <v>0</v>
      </c>
      <c r="OG67" s="1" t="n">
        <f aca="false">IF(AND(HT67=1,HE67=1),MIN(NZ67,OE67),0)</f>
        <v>0</v>
      </c>
      <c r="OH67" s="1" t="n">
        <f aca="false">NZ67-OG67</f>
        <v>0</v>
      </c>
      <c r="OI67" s="1" t="n">
        <f aca="false">ID67-(IG67+IO67+IW67+JE67+JM67+JU67+KC67+KK67+KS67+LA67+LI67+LQ67+LY67+MG67+MO67+MW67+NE67+NM67+NU67+OC67)</f>
        <v>0</v>
      </c>
      <c r="OJ67" s="1" t="n">
        <f aca="false">IF(HT67=1,HR67-IC67-ID67,0)</f>
        <v>0</v>
      </c>
      <c r="OK67" s="1" t="n">
        <f aca="false">IF(HT67=0,-HR67,0)</f>
        <v>0</v>
      </c>
      <c r="OL67" s="1" t="n">
        <f aca="false">MIN(OK67,HJ67)</f>
        <v>0</v>
      </c>
      <c r="OM67" s="1" t="n">
        <f aca="false">OK67-OL67</f>
        <v>0</v>
      </c>
      <c r="ON67" s="1" t="n">
        <f aca="false">MIN(OM67,HK67)</f>
        <v>0</v>
      </c>
      <c r="OO67" s="1" t="n">
        <f aca="false">OM67-ON67</f>
        <v>0</v>
      </c>
      <c r="OP67" s="1" t="n">
        <f aca="false">IF(AND(HT67=0,HE67=1,OO67&gt;0),MIN(OO67,HF67),0)</f>
        <v>0</v>
      </c>
      <c r="OQ67" s="1" t="n">
        <f aca="false">OO67-OP67</f>
        <v>0</v>
      </c>
      <c r="OR67" s="1" t="n">
        <f aca="false">IF(AND(HT67=0,GU67=1,OQ67&gt;0),MIN(OQ67,GV67),0)</f>
        <v>0</v>
      </c>
      <c r="OS67" s="1" t="n">
        <f aca="false">OQ67-OR67</f>
        <v>0</v>
      </c>
      <c r="OT67" s="1" t="n">
        <f aca="false">IF(AND(HT67=0,GK67=1,OS67&gt;0),MIN(OS67,GL67),0)</f>
        <v>0</v>
      </c>
      <c r="OU67" s="1" t="n">
        <f aca="false">OS67-OT67</f>
        <v>0</v>
      </c>
      <c r="OV67" s="1" t="n">
        <f aca="false">IF(AND(HT67=0,GA67=1,OU67&gt;0),MIN(OU67,GB67),0)</f>
        <v>0</v>
      </c>
      <c r="OW67" s="1" t="n">
        <f aca="false">OU67-OV67</f>
        <v>0</v>
      </c>
      <c r="OX67" s="1" t="n">
        <f aca="false">IF(AND(HT67=0,FQ67=1,OW67&gt;0),MIN(OW67,FR67),0)</f>
        <v>0</v>
      </c>
      <c r="OY67" s="1" t="n">
        <f aca="false">OW67-OX67</f>
        <v>0</v>
      </c>
      <c r="OZ67" s="1" t="n">
        <f aca="false">IF(AND(HT67=0,FG67=1,OY67&gt;0),MIN(OY67,FH67),0)</f>
        <v>0</v>
      </c>
      <c r="PA67" s="1" t="n">
        <f aca="false">OY67-OZ67</f>
        <v>0</v>
      </c>
      <c r="PB67" s="1" t="n">
        <f aca="false">IF(AND(HT67=0,EW67=1,PA67&gt;0),MIN(PA67,EX67),0)</f>
        <v>0</v>
      </c>
      <c r="PC67" s="1" t="n">
        <f aca="false">PA67-PB67</f>
        <v>0</v>
      </c>
      <c r="PD67" s="1" t="n">
        <f aca="false">IF(AND(HT67=0,EM67=1,PC67&gt;0),MIN(PC67,EN67),0)</f>
        <v>0</v>
      </c>
      <c r="PE67" s="1" t="n">
        <f aca="false">PC67-PD67</f>
        <v>0</v>
      </c>
      <c r="PF67" s="1" t="n">
        <f aca="false">IF(AND(HT67=0,EC67=1,PE67&gt;0),MIN(PE67,ED67),0)</f>
        <v>0</v>
      </c>
      <c r="PG67" s="1" t="n">
        <f aca="false">PE67-PF67</f>
        <v>0</v>
      </c>
      <c r="PH67" s="1" t="n">
        <f aca="false">IF(AND(HT67=0,DS67=1,PG67&gt;0),MIN(PG67,DT67),0)</f>
        <v>0</v>
      </c>
      <c r="PI67" s="1" t="n">
        <f aca="false">PG67-PH67</f>
        <v>0</v>
      </c>
      <c r="PJ67" s="1" t="n">
        <f aca="false">IF(AND(HT67=0,DI67=1,PI67&gt;0),MIN(PI67,DJ67),0)</f>
        <v>0</v>
      </c>
      <c r="PK67" s="1" t="n">
        <f aca="false">PI67-PJ67</f>
        <v>0</v>
      </c>
      <c r="PL67" s="1" t="n">
        <f aca="false">IF(AND(HT67=0,CY67=1,PK67&gt;0),MIN(PK67,CZ67),0)</f>
        <v>0</v>
      </c>
      <c r="PM67" s="1" t="n">
        <f aca="false">PK67-PL67</f>
        <v>0</v>
      </c>
      <c r="PN67" s="1" t="n">
        <f aca="false">IF(AND(HT67=0,CO67=1,PM67&gt;0),MIN(PM67,CP67),0)</f>
        <v>0</v>
      </c>
      <c r="PO67" s="1" t="n">
        <f aca="false">PM67-PN67</f>
        <v>0</v>
      </c>
      <c r="PP67" s="1" t="n">
        <f aca="false">IF(AND(HT67=0,CE67=1,PO67&gt;0),MIN(PO67,CF67),0)</f>
        <v>0</v>
      </c>
      <c r="PQ67" s="1" t="n">
        <f aca="false">PO67-PP67</f>
        <v>0</v>
      </c>
      <c r="PR67" s="1" t="n">
        <f aca="false">IF(AND(HT67=0,BU67=1,PQ67&gt;0),MIN(PQ67,BV67),0)</f>
        <v>0</v>
      </c>
      <c r="PS67" s="1" t="n">
        <f aca="false">PQ67-PR67</f>
        <v>0</v>
      </c>
      <c r="PT67" s="1" t="n">
        <f aca="false">IF(AND(HT67=0,BK67=1,PS67&gt;0),MIN(PS67,BL67),0)</f>
        <v>0</v>
      </c>
      <c r="PU67" s="1" t="n">
        <f aca="false">PS67-PT67</f>
        <v>0</v>
      </c>
      <c r="PV67" s="1" t="n">
        <f aca="false">IF(AND(HT67=0,BA67=1,PU67&gt;0),MIN(PU67,BB67),0)</f>
        <v>0</v>
      </c>
      <c r="PW67" s="1" t="n">
        <f aca="false">PU67-PV67</f>
        <v>0</v>
      </c>
      <c r="PX67" s="1" t="n">
        <f aca="false">IF(AND(HT67=0,AQ67=1,PW67&gt;0),MIN(PW67,AR67),0)</f>
        <v>0</v>
      </c>
      <c r="PY67" s="1" t="n">
        <f aca="false">PW67-PX67</f>
        <v>0</v>
      </c>
      <c r="PZ67" s="1" t="n">
        <f aca="false">IF(AND(HT67=0,AG67=1,PY67&gt;0),MIN(PY67,AH67),0)</f>
        <v>0</v>
      </c>
      <c r="QA67" s="1" t="n">
        <f aca="false">PY67-PZ67</f>
        <v>0</v>
      </c>
      <c r="QB67" s="1" t="n">
        <f aca="false">IF(AND(HT67=0,V67=1,QA67&gt;0),MIN(QA67,W67),0)</f>
        <v>0</v>
      </c>
      <c r="QC67" s="1" t="n">
        <f aca="false">QA67-QB67</f>
        <v>0</v>
      </c>
      <c r="QD67" s="1" t="n">
        <f aca="false">IF(HT67=0,QC67,0)</f>
        <v>0</v>
      </c>
      <c r="QE67" s="1" t="n">
        <f aca="false">OL67+ON67+QB67+PZ67+PX67+PV67+PT67+PR67+PP67+PN67+PL67+PJ67+PH67+PF67+PD67+PB67+OZ67+OX67+OV67+OT67+OR67+OP67</f>
        <v>0</v>
      </c>
      <c r="QF67" s="1" t="n">
        <f aca="false">IF(HT67=1,HJ67+OI67+OH67+IF(F67=1,0,OJ67),HJ67-OL67)</f>
        <v>0</v>
      </c>
      <c r="QG67" s="1" t="n">
        <f aca="false">HK67-ON67</f>
        <v>0</v>
      </c>
      <c r="QH67" s="1" t="n">
        <f aca="false">IF(HT67=1,IF(F67=1,IC67+ID67,HR67),0)</f>
        <v>0</v>
      </c>
      <c r="QI67" s="1" t="n">
        <f aca="false">IF(HT67=1,IF(F67=1,HR67-IC67-ID67,0),0)</f>
        <v>0</v>
      </c>
      <c r="QJ67" s="1" t="n">
        <f aca="false">QF67*(1+GR)</f>
        <v>0</v>
      </c>
      <c r="QK67" s="1" t="n">
        <f aca="false">QG67*(1+AS_Cash)</f>
        <v>0</v>
      </c>
      <c r="QL67" s="1" t="n">
        <f aca="false">IF(V67=1,IF(HT67=1,IH67+IK67,W67-QB67)*(1+Slot1_Rate),0)</f>
        <v>0</v>
      </c>
      <c r="QM67" s="1" t="n">
        <f aca="false">IF(AND(HT67=1,V67=1),(IG67+IK67)/E67,0)</f>
        <v>0</v>
      </c>
      <c r="QN67" s="1" t="n">
        <f aca="false">IF(B67=0,IG67+IK67,0)</f>
        <v>0</v>
      </c>
      <c r="QO67" s="1" t="n">
        <f aca="false">IF(B67=0,IF(HT67=1,II67,IJ67),0)</f>
        <v>0</v>
      </c>
      <c r="QP67" s="1" t="n">
        <f aca="false">IF(AG67=1,IF(HT67=1,IP67+IS67,AH67-PZ67)*(1+Slot2_Rate),0)</f>
        <v>0</v>
      </c>
      <c r="QQ67" s="1" t="n">
        <f aca="false">IF(AND(HT67=1,AG67=1),(IO67+IS67)/E67,0)</f>
        <v>0</v>
      </c>
      <c r="QR67" s="1" t="n">
        <f aca="false">IF(B67=0,IO67+IS67,0)</f>
        <v>0</v>
      </c>
      <c r="QS67" s="1" t="n">
        <f aca="false">IF(B67=0,IF(HT67=1,IQ67,IR67),0)</f>
        <v>0</v>
      </c>
      <c r="QT67" s="1" t="n">
        <f aca="false">IF(AQ67=1,IF(HT67=1,IX67+JA67,AR67-PX67)*(1+Slot3_Rate),0)</f>
        <v>0</v>
      </c>
      <c r="QU67" s="1" t="n">
        <f aca="false">IF(AND(HT67=1,AQ67=1),(IW67+JA67)/E67,0)</f>
        <v>0</v>
      </c>
      <c r="QV67" s="1" t="n">
        <f aca="false">IF(B67=0,IW67+JA67,0)</f>
        <v>0</v>
      </c>
      <c r="QW67" s="1" t="n">
        <f aca="false">IF(B67=0,IF(HT67=1,IY67,IZ67),0)</f>
        <v>0</v>
      </c>
      <c r="QX67" s="1" t="n">
        <f aca="false">IF(BA67=1,IF(HT67=1,JF67+JI67,BB67-PV67)*(1+Slot4_Rate),0)</f>
        <v>0</v>
      </c>
      <c r="QY67" s="1" t="n">
        <f aca="false">IF(AND(HT67=1,BA67=1),(JE67+JI67)/E67,0)</f>
        <v>0</v>
      </c>
      <c r="QZ67" s="1" t="n">
        <f aca="false">IF(B67=0,JE67+JI67,0)</f>
        <v>0</v>
      </c>
      <c r="RA67" s="1" t="n">
        <f aca="false">IF(B67=0,IF(HT67=1,JG67,JH67),0)</f>
        <v>0</v>
      </c>
      <c r="RB67" s="1" t="n">
        <f aca="false">IF(BK67=1,IF(HT67=1,JN67+JQ67,BL67-PT67)*(1+Slot5_Rate),0)</f>
        <v>0</v>
      </c>
      <c r="RC67" s="1" t="n">
        <f aca="false">IF(AND(HT67=1,BK67=1),(JM67+JQ67)/E67,0)</f>
        <v>0</v>
      </c>
      <c r="RD67" s="1" t="n">
        <f aca="false">IF(B67=0,JM67+JQ67,0)</f>
        <v>0</v>
      </c>
      <c r="RE67" s="1" t="n">
        <f aca="false">IF(B67=0,IF(HT67=1,JO67,JP67),0)</f>
        <v>0</v>
      </c>
      <c r="RF67" s="1" t="n">
        <f aca="false">IF(BU67=1,IF(HT67=1,JV67+JY67,BV67-PR67)*(1+Slot6_Rate),0)</f>
        <v>0</v>
      </c>
      <c r="RG67" s="1" t="n">
        <f aca="false">IF(AND(HT67=1,BU67=1),(JU67+JY67)/E67,0)</f>
        <v>0</v>
      </c>
      <c r="RH67" s="1" t="n">
        <f aca="false">IF(B67=0,JU67+JY67,0)</f>
        <v>0</v>
      </c>
      <c r="RI67" s="1" t="n">
        <f aca="false">IF(B67=0,IF(HT67=1,JW67,JX67),0)</f>
        <v>0</v>
      </c>
      <c r="RJ67" s="1" t="n">
        <f aca="false">IF(CE67=1,IF(HT67=1,KD67+KG67,CF67-PP67)*(1+Slot7_Rate),0)</f>
        <v>0</v>
      </c>
      <c r="RK67" s="1" t="n">
        <f aca="false">IF(AND(HT67=1,CE67=1),(KC67+KG67)/E67,0)</f>
        <v>0</v>
      </c>
      <c r="RL67" s="1" t="n">
        <f aca="false">IF(B67=0,KC67+KG67,0)</f>
        <v>0</v>
      </c>
      <c r="RM67" s="1" t="n">
        <f aca="false">IF(B67=0,IF(HT67=1,KE67,KF67),0)</f>
        <v>0</v>
      </c>
      <c r="RN67" s="1" t="n">
        <f aca="false">IF(CO67=1,IF(HT67=1,KL67+KO67,CP67-PN67)*(1+Slot8_Rate),0)</f>
        <v>0</v>
      </c>
      <c r="RO67" s="1" t="n">
        <f aca="false">IF(AND(HT67=1,CO67=1),(KK67+KO67)/E67,0)</f>
        <v>0</v>
      </c>
      <c r="RP67" s="1" t="n">
        <f aca="false">IF(B67=0,KK67+KO67,0)</f>
        <v>0</v>
      </c>
      <c r="RQ67" s="1" t="n">
        <f aca="false">IF(B67=0,IF(HT67=1,KM67,KN67),0)</f>
        <v>0</v>
      </c>
      <c r="RR67" s="1" t="n">
        <f aca="false">IF(CY67=1,IF(HT67=1,KT67+KW67,CZ67-PL67)*(1+Slot9_Rate),0)</f>
        <v>0</v>
      </c>
      <c r="RS67" s="1" t="n">
        <f aca="false">IF(AND(HT67=1,CY67=1),(KS67+KW67)/E67,0)</f>
        <v>0</v>
      </c>
      <c r="RT67" s="1" t="n">
        <f aca="false">IF(B67=0,KS67+KW67,0)</f>
        <v>0</v>
      </c>
      <c r="RU67" s="1" t="n">
        <f aca="false">IF(B67=0,IF(HT67=1,KU67,KV67),0)</f>
        <v>0</v>
      </c>
      <c r="RV67" s="1" t="n">
        <f aca="false">IF(DI67=1,IF(HT67=1,LB67+LE67,DJ67-PJ67)*(1+Slot10_Rate),0)</f>
        <v>0</v>
      </c>
      <c r="RW67" s="1" t="n">
        <f aca="false">IF(AND(HT67=1,DI67=1),(LA67+LE67)/E67,0)</f>
        <v>0</v>
      </c>
      <c r="RX67" s="1" t="n">
        <f aca="false">IF(B67=0,LA67+LE67,0)</f>
        <v>0</v>
      </c>
      <c r="RY67" s="1" t="n">
        <f aca="false">IF(B67=0,IF(HT67=1,LC67,LD67),0)</f>
        <v>0</v>
      </c>
      <c r="RZ67" s="1" t="n">
        <f aca="false">IF(DS67=1,IF(HT67=1,LJ67+LM67,DT67-PH67)*(1+Slot11_Rate),0)</f>
        <v>0</v>
      </c>
      <c r="SA67" s="1" t="n">
        <f aca="false">IF(AND(HT67=1,DS67=1),(LI67+LM67)/E67,0)</f>
        <v>0</v>
      </c>
      <c r="SB67" s="1" t="n">
        <f aca="false">IF(B67=0,LI67+LM67,0)</f>
        <v>0</v>
      </c>
      <c r="SC67" s="1" t="n">
        <f aca="false">IF(B67=0,IF(HT67=1,LK67,LL67),0)</f>
        <v>0</v>
      </c>
      <c r="SD67" s="1" t="n">
        <f aca="false">IF(EC67=1,IF(HT67=1,LR67+LU67,ED67-PF67)*(1+Slot12_Rate),0)</f>
        <v>0</v>
      </c>
      <c r="SE67" s="1" t="n">
        <f aca="false">IF(AND(HT67=1,EC67=1),(LQ67+LU67)/E67,0)</f>
        <v>0</v>
      </c>
      <c r="SF67" s="1" t="n">
        <f aca="false">IF(B67=0,LQ67+LU67,0)</f>
        <v>0</v>
      </c>
      <c r="SG67" s="1" t="n">
        <f aca="false">IF(B67=0,IF(HT67=1,LS67,LT67),0)</f>
        <v>0</v>
      </c>
      <c r="SH67" s="1" t="n">
        <f aca="false">IF(EM67=1,IF(HT67=1,LZ67+MC67,EN67-PD67)*(1+Slot13_Rate),0)</f>
        <v>0</v>
      </c>
      <c r="SI67" s="1" t="n">
        <f aca="false">IF(AND(HT67=1,EM67=1),(LY67+MC67)/E67,0)</f>
        <v>0</v>
      </c>
      <c r="SJ67" s="1" t="n">
        <f aca="false">IF(B67=0,LY67+MC67,0)</f>
        <v>0</v>
      </c>
      <c r="SK67" s="1" t="n">
        <f aca="false">IF(B67=0,IF(HT67=1,MA67,MB67),0)</f>
        <v>0</v>
      </c>
      <c r="SL67" s="1" t="n">
        <f aca="false">IF(EW67=1,IF(HT67=1,MH67+MK67,EX67-PB67)*(1+Slot14_Rate),0)</f>
        <v>0</v>
      </c>
      <c r="SM67" s="1" t="n">
        <f aca="false">IF(AND(HT67=1,EW67=1),(MG67+MK67)/E67,0)</f>
        <v>0</v>
      </c>
      <c r="SN67" s="1" t="n">
        <f aca="false">IF(B67=0,MG67+MK67,0)</f>
        <v>0</v>
      </c>
      <c r="SO67" s="1" t="n">
        <f aca="false">IF(B67=0,IF(HT67=1,MI67,MJ67),0)</f>
        <v>0</v>
      </c>
      <c r="SP67" s="1" t="n">
        <f aca="false">IF(FG67=1,IF(HT67=1,MP67+MS67,FH67-OZ67)*(1+Slot15_Rate),0)</f>
        <v>0</v>
      </c>
      <c r="SQ67" s="1" t="n">
        <f aca="false">IF(AND(HT67=1,FG67=1),(MO67+MS67)/E67,0)</f>
        <v>0</v>
      </c>
      <c r="SR67" s="1" t="n">
        <f aca="false">IF(B67=0,MO67+MS67,0)</f>
        <v>0</v>
      </c>
      <c r="SS67" s="1" t="n">
        <f aca="false">IF(B67=0,IF(HT67=1,MQ67,MR67),0)</f>
        <v>0</v>
      </c>
      <c r="ST67" s="1" t="n">
        <f aca="false">IF(FQ67=1,IF(HT67=1,MX67+NA67,FR67-OX67)*(1+Slot16_Rate),0)</f>
        <v>0</v>
      </c>
      <c r="SU67" s="1" t="n">
        <f aca="false">IF(AND(HT67=1,FQ67=1),(MW67+NA67)/E67,0)</f>
        <v>0</v>
      </c>
      <c r="SV67" s="1" t="n">
        <f aca="false">IF(B67=0,MW67+NA67,0)</f>
        <v>0</v>
      </c>
      <c r="SW67" s="1" t="n">
        <f aca="false">IF(B67=0,IF(HT67=1,MY67,MZ67),0)</f>
        <v>0</v>
      </c>
      <c r="SX67" s="1" t="n">
        <f aca="false">IF(GA67=1,IF(HT67=1,NF67+NI67,GB67-OV67)*(1+Slot17_Rate),0)</f>
        <v>0</v>
      </c>
      <c r="SY67" s="1" t="n">
        <f aca="false">IF(AND(HT67=1,GA67=1),(NE67+NI67)/E67,0)</f>
        <v>0</v>
      </c>
      <c r="SZ67" s="1" t="n">
        <f aca="false">IF(B67=0,NE67+NI67,0)</f>
        <v>0</v>
      </c>
      <c r="TA67" s="1" t="n">
        <f aca="false">IF(B67=0,IF(HT67=1,NG67,NH67),0)</f>
        <v>0</v>
      </c>
      <c r="TB67" s="1" t="n">
        <f aca="false">IF(GK67=1,IF(HT67=1,NN67+NQ67,GL67-OT67)*(1+Slot18_Rate),0)</f>
        <v>0</v>
      </c>
      <c r="TC67" s="1" t="n">
        <f aca="false">IF(AND(HT67=1,GK67=1),(NM67+NQ67)/E67,0)</f>
        <v>0</v>
      </c>
      <c r="TD67" s="1" t="n">
        <f aca="false">IF(B67=0,NM67+NQ67,0)</f>
        <v>0</v>
      </c>
      <c r="TE67" s="1" t="n">
        <f aca="false">IF(B67=0,IF(HT67=1,NO67,NP67),0)</f>
        <v>0</v>
      </c>
      <c r="TF67" s="1" t="n">
        <f aca="false">IF(GU67=1,IF(HT67=1,NV67+NY67,GV67-OR67)*(1+Slot19_Rate),0)</f>
        <v>0</v>
      </c>
      <c r="TG67" s="1" t="n">
        <f aca="false">IF(AND(HT67=1,GU67=1),(NU67+NY67)/E67,0)</f>
        <v>0</v>
      </c>
      <c r="TH67" s="1" t="n">
        <f aca="false">IF(B67=0,NU67+NY67,0)</f>
        <v>0</v>
      </c>
      <c r="TI67" s="1" t="n">
        <f aca="false">IF(B67=0,IF(HT67=1,NW67,NX67),0)</f>
        <v>0</v>
      </c>
      <c r="TJ67" s="1" t="n">
        <f aca="false">IF(HE67=1,IF(HT67=1,OD67+OG67,HF67-OP67)*(1+Slot20_Rate),0)</f>
        <v>0</v>
      </c>
      <c r="TK67" s="1" t="n">
        <f aca="false">IF(AND(HT67=1,HE67=1),(OC67+OG67)/E67,0)</f>
        <v>0</v>
      </c>
      <c r="TL67" s="1" t="n">
        <f aca="false">IF(B67=0,OC67+OG67,0)</f>
        <v>0</v>
      </c>
      <c r="TM67" s="1" t="n">
        <f aca="false">IF(B67=0,IF(HT67=1,OE67,OF67),0)</f>
        <v>0</v>
      </c>
      <c r="TN67" s="1" t="n">
        <f aca="false">QJ67+QK67+QL67+QP67+QT67+QX67+RB67+RF67+RJ67+RN67+RR67+RV67+RZ67+SD67+SH67+SL67+SP67+ST67+SX67+TB67+TF67+TJ67</f>
        <v>0</v>
      </c>
      <c r="TO67" s="1" t="n">
        <f aca="false">QD67+HO67</f>
        <v>0</v>
      </c>
      <c r="TP67" s="1" t="n">
        <f aca="false">H67+R67</f>
        <v>0</v>
      </c>
      <c r="TQ67" s="1" t="n">
        <f aca="false">1-F67</f>
        <v>0</v>
      </c>
      <c r="TR67" s="1" t="n">
        <f aca="false">IF(AND(RG_Exists=1,F67=0,C67=1),H67,0)</f>
        <v>0</v>
      </c>
      <c r="TS67" s="1" t="n">
        <f aca="false">IF(AND(RG_Exists=1,F67=0,C67=1),H67-MIN(QD67,H67),0)</f>
        <v>0</v>
      </c>
      <c r="TT67" s="1" t="n">
        <f aca="false">'Plan pay &amp; tax'!AD293</f>
        <v>0</v>
      </c>
      <c r="TU67" s="1" t="n">
        <f aca="false">IF(AND(C67=1,QD67&gt;MAX(PR_Short1,TP67*PR_Short2)),1,0)</f>
        <v>0</v>
      </c>
      <c r="TV67" s="1" t="n">
        <f aca="false">MIN(G67,H67+R67)</f>
        <v>0</v>
      </c>
      <c r="TW67" s="1" t="n">
        <f aca="false">QE67+MAX(0,HP67-HO67)</f>
        <v>0</v>
      </c>
      <c r="TX67" s="1" t="n">
        <f aca="false">QD67+HO67</f>
        <v>0</v>
      </c>
      <c r="TY67" s="1" t="n">
        <f aca="false">IF(AND(C67=1,TX67&gt;PR_MinShort),1,0)</f>
        <v>0</v>
      </c>
      <c r="TZ67" s="1" t="n">
        <f aca="false">IF(AND(C67=1,TY67=0,TW67&gt;PR_MinShort),1,0)</f>
        <v>0</v>
      </c>
      <c r="UA67" s="1" t="n">
        <f aca="false">IF(AND(C67=1,QD67&gt;PR_MinShort),1,0)</f>
        <v>0</v>
      </c>
      <c r="UB67" s="1" t="n">
        <f aca="false">IF(AND(C67=1,QE67&gt;1,UI67=0),1,0)</f>
        <v>0</v>
      </c>
      <c r="UC67" s="1" t="str">
        <f aca="false">IF(C67=0,"",IF(UI67=1,"Gap to plan for: short "&amp;"€"&amp;TEXT(ROUND(TO67,0),"#,##0"),IF(QE67&gt;1,"Using savings","Comfortable")))</f>
        <v>Comfortable</v>
      </c>
      <c r="UD67" s="1" t="n">
        <f aca="false">IF(AND(INT(D67/10)*10=90,B67&gt;0),80,INT(D67/10)*10)</f>
        <v>50</v>
      </c>
      <c r="UE67" s="1" t="n">
        <f aca="false">IF(B67=0,1,IF(UD67&lt;&gt;UD66,UE66+1,UE66))</f>
        <v>6</v>
      </c>
      <c r="UF67" s="1" t="n">
        <f aca="false">IF(AND(C67=1,F67=1,QD67&gt;MAX(PR_Short1,TP67*PR_Short2)),1,0)</f>
        <v>0</v>
      </c>
      <c r="UG67" s="1" t="n">
        <f aca="false">TQ67*TU67</f>
        <v>0</v>
      </c>
      <c r="UH67" s="1" t="n">
        <f aca="false">IF(AND(U67=1,Slot1_PctLow=1),1,0)+IF(AND(AF67=1,Slot2_PctLow=1),1,0)+IF(AND(AP67=1,Slot3_PctLow=1),1,0)+IF(AND(AZ67=1,Slot4_PctLow=1),1,0)+IF(AND(BJ67=1,Slot5_PctLow=1),1,0)+IF(AND(BT67=1,Slot6_PctLow=1),1,0)+IF(AND(CD67=1,Slot7_PctLow=1),1,0)+IF(AND(CN67=1,Slot8_PctLow=1),1,0)+IF(AND(CX67=1,Slot9_PctLow=1),1,0)+IF(AND(DH67=1,Slot10_PctLow=1),1,0)+IF(AND(DR67=1,Slot11_PctLow=1),1,0)+IF(AND(EB67=1,Slot12_PctLow=1),1,0)+IF(AND(EL67=1,Slot13_PctLow=1),1,0)+IF(AND(EV67=1,Slot14_PctLow=1),1,0)+IF(AND(FF67=1,Slot15_PctLow=1),1,0)+IF(AND(FP67=1,Slot16_PctLow=1),1,0)+IF(AND(FZ67=1,Slot17_PctLow=1),1,0)+IF(AND(GJ67=1,Slot18_PctLow=1),1,0)+IF(AND(GT67=1,Slot19_PctLow=1),1,0)+IF(AND(HD67=1,Slot20_PctLow=1),1,0)</f>
        <v>0</v>
      </c>
      <c r="UI67" s="1" t="n">
        <f aca="false">IF(C67=1,IF(OR(TU67=1,UH67&gt;0),1,0),0)</f>
        <v>0</v>
      </c>
    </row>
    <row r="68" customFormat="false" ht="15" hidden="false" customHeight="true" outlineLevel="0" collapsed="false">
      <c r="B68" s="1" t="n">
        <v>60</v>
      </c>
      <c r="C68" s="1" t="n">
        <f aca="false">IF(B68&lt;=F_N,1,0)</f>
        <v>1</v>
      </c>
      <c r="D68" s="1" t="n">
        <f aca="false">'Plan pay &amp; tax'!C294</f>
        <v>60</v>
      </c>
      <c r="E68" s="111" t="n">
        <f aca="false">'Plan pay &amp; tax'!E294</f>
        <v>3.28103078836541</v>
      </c>
      <c r="F68" s="1" t="n">
        <f aca="false">'Plan pay &amp; tax'!G294</f>
        <v>1</v>
      </c>
      <c r="G68" s="1" t="n">
        <f aca="false">'Plan pay &amp; tax'!BT294-'Plan pay &amp; tax'!BS294-'Plan pay &amp; tax'!R294</f>
        <v>0</v>
      </c>
      <c r="H68" s="1" t="n">
        <f aca="false">IF(F68=1,F_CostsM*12,IF(RG_Exists=1,RG_Amount,F_CostsM*12*AS_RetireSpend))*E68+F_OneOffY*E68</f>
        <v>0</v>
      </c>
      <c r="I68" s="1" t="n">
        <f aca="false">HQ67</f>
        <v>0</v>
      </c>
      <c r="J68" s="1" t="n">
        <f aca="false">IF(I68&gt;1,'Plan debt months'!AC68,0)</f>
        <v>0</v>
      </c>
      <c r="K68" s="1" t="n">
        <f aca="false">IF(I68&gt;1,'Plan debt months'!AB68,I68)</f>
        <v>0</v>
      </c>
      <c r="L68" s="1" t="n">
        <f aca="false">N67</f>
        <v>0</v>
      </c>
      <c r="M68" s="1" t="n">
        <f aca="false">IF(L68&gt;1,'Plan debt months'!BD68,0)</f>
        <v>0</v>
      </c>
      <c r="N68" s="1" t="n">
        <f aca="false">IF(L68&gt;1,'Plan debt months'!BC68,L68)</f>
        <v>0</v>
      </c>
      <c r="O68" s="1" t="n">
        <f aca="false">Q67</f>
        <v>0</v>
      </c>
      <c r="P68" s="1" t="n">
        <f aca="false">IF(O68&gt;1,'Plan debt months'!CE68,0)</f>
        <v>0</v>
      </c>
      <c r="Q68" s="1" t="n">
        <f aca="false">IF(O68&gt;1,'Plan debt months'!CD68,O68)</f>
        <v>0</v>
      </c>
      <c r="R68" s="1" t="n">
        <f aca="false">J68+M68+P68</f>
        <v>0</v>
      </c>
      <c r="S68" s="1" t="n">
        <f aca="false">QJ67+'Plan pay &amp; tax'!Y294</f>
        <v>0</v>
      </c>
      <c r="T68" s="1" t="n">
        <f aca="false">QJ67</f>
        <v>0</v>
      </c>
      <c r="U68" s="1" t="n">
        <f aca="false">IF(AND(Slot1_On=1,D68=Slot1_Age),1,0)</f>
        <v>0</v>
      </c>
      <c r="V68" s="1" t="n">
        <f aca="false">IF(AND(Slot1_On=1,Slot1_Age&gt;D68),1,0)</f>
        <v>0</v>
      </c>
      <c r="W68" s="1" t="n">
        <f aca="false">QL67</f>
        <v>0</v>
      </c>
      <c r="X68" s="1" t="n">
        <f aca="false">U68*MIN(Slot1_Cost,W68)</f>
        <v>0</v>
      </c>
      <c r="Y68" s="1" t="n">
        <f aca="false">U68*Slot1_SpendLike*MIN(Slot1_Cost-X68,S68)</f>
        <v>0</v>
      </c>
      <c r="Z68" s="1" t="n">
        <f aca="false">X68+Y68</f>
        <v>0</v>
      </c>
      <c r="AA68" s="1" t="n">
        <f aca="false">S68-Y68+U68*IF(Slot1_SpendLike=1,W68-X68,IF(Slot1_PotFree=1,W68,0))</f>
        <v>0</v>
      </c>
      <c r="AB68" s="1" t="n">
        <f aca="false">AE68+U68*Slot1_BufPot*W68</f>
        <v>0</v>
      </c>
      <c r="AC68" s="1" t="n">
        <f aca="false">IF(AND(U68=1,Slot1_IsMfree=1),IF(Z68&gt;=Slot1_Cost-1,0,MAX(0,K68-Z68)),K68)</f>
        <v>0</v>
      </c>
      <c r="AD68" s="1" t="n">
        <f aca="false">U68*(Slot1_Cost-Z68)</f>
        <v>0</v>
      </c>
      <c r="AE68" s="1" t="n">
        <f aca="false">QK67</f>
        <v>0</v>
      </c>
      <c r="AF68" s="1" t="n">
        <f aca="false">IF(AND(Slot2_On=1,D68=Slot2_Age),1,0)</f>
        <v>0</v>
      </c>
      <c r="AG68" s="1" t="n">
        <f aca="false">IF(AND(Slot2_On=1,Slot2_Age&gt;D68),1,0)</f>
        <v>0</v>
      </c>
      <c r="AH68" s="1" t="n">
        <f aca="false">QP67</f>
        <v>0</v>
      </c>
      <c r="AI68" s="1" t="n">
        <f aca="false">AF68*MIN(Slot2_Cost,AH68)</f>
        <v>0</v>
      </c>
      <c r="AJ68" s="1" t="n">
        <f aca="false">AF68*Slot2_SpendLike*MIN(Slot2_Cost-AI68,AA68)</f>
        <v>0</v>
      </c>
      <c r="AK68" s="1" t="n">
        <f aca="false">AI68+AJ68</f>
        <v>0</v>
      </c>
      <c r="AL68" s="1" t="n">
        <f aca="false">AA68-AJ68+AF68*IF(Slot2_SpendLike=1,AH68-AI68,IF(Slot2_PotFree=1,AH68,0))</f>
        <v>0</v>
      </c>
      <c r="AM68" s="1" t="n">
        <f aca="false">AB68+AF68*Slot2_BufPot*AH68</f>
        <v>0</v>
      </c>
      <c r="AN68" s="1" t="n">
        <f aca="false">IF(AND(AF68=1,Slot2_IsMfree=1),IF(AK68&gt;=Slot2_Cost-1,0,MAX(0,AC68-AK68)),AC68)</f>
        <v>0</v>
      </c>
      <c r="AO68" s="1" t="n">
        <f aca="false">AF68*(Slot2_Cost-AK68)</f>
        <v>0</v>
      </c>
      <c r="AP68" s="1" t="n">
        <f aca="false">IF(AND(Slot3_On=1,D68=Slot3_Age),1,0)</f>
        <v>0</v>
      </c>
      <c r="AQ68" s="1" t="n">
        <f aca="false">IF(AND(Slot3_On=1,Slot3_Age&gt;D68),1,0)</f>
        <v>0</v>
      </c>
      <c r="AR68" s="1" t="n">
        <f aca="false">QT67</f>
        <v>0</v>
      </c>
      <c r="AS68" s="1" t="n">
        <f aca="false">AP68*MIN(Slot3_Cost,AR68)</f>
        <v>0</v>
      </c>
      <c r="AT68" s="1" t="n">
        <f aca="false">AP68*Slot3_SpendLike*MIN(Slot3_Cost-AS68,AL68)</f>
        <v>0</v>
      </c>
      <c r="AU68" s="1" t="n">
        <f aca="false">AS68+AT68</f>
        <v>0</v>
      </c>
      <c r="AV68" s="1" t="n">
        <f aca="false">AL68-AT68+AP68*IF(Slot3_SpendLike=1,AR68-AS68,IF(Slot3_PotFree=1,AR68,0))</f>
        <v>0</v>
      </c>
      <c r="AW68" s="1" t="n">
        <f aca="false">AM68+AP68*Slot3_BufPot*AR68</f>
        <v>0</v>
      </c>
      <c r="AX68" s="1" t="n">
        <f aca="false">IF(AND(AP68=1,Slot3_IsMfree=1),IF(AU68&gt;=Slot3_Cost-1,0,MAX(0,AN68-AU68)),AN68)</f>
        <v>0</v>
      </c>
      <c r="AY68" s="1" t="n">
        <f aca="false">AP68*(Slot3_Cost-AU68)</f>
        <v>0</v>
      </c>
      <c r="AZ68" s="1" t="n">
        <f aca="false">IF(AND(Slot4_On=1,D68=Slot4_Age),1,0)</f>
        <v>0</v>
      </c>
      <c r="BA68" s="1" t="n">
        <f aca="false">IF(AND(Slot4_On=1,Slot4_Age&gt;D68),1,0)</f>
        <v>0</v>
      </c>
      <c r="BB68" s="1" t="n">
        <f aca="false">QX67</f>
        <v>0</v>
      </c>
      <c r="BC68" s="1" t="n">
        <f aca="false">AZ68*MIN(Slot4_Cost,BB68)</f>
        <v>0</v>
      </c>
      <c r="BD68" s="1" t="n">
        <f aca="false">AZ68*Slot4_SpendLike*MIN(Slot4_Cost-BC68,AV68)</f>
        <v>0</v>
      </c>
      <c r="BE68" s="1" t="n">
        <f aca="false">BC68+BD68</f>
        <v>0</v>
      </c>
      <c r="BF68" s="1" t="n">
        <f aca="false">AV68-BD68+AZ68*IF(Slot4_SpendLike=1,BB68-BC68,IF(Slot4_PotFree=1,BB68,0))</f>
        <v>0</v>
      </c>
      <c r="BG68" s="1" t="n">
        <f aca="false">AW68+AZ68*Slot4_BufPot*BB68</f>
        <v>0</v>
      </c>
      <c r="BH68" s="1" t="n">
        <f aca="false">IF(AND(AZ68=1,Slot4_IsMfree=1),IF(BE68&gt;=Slot4_Cost-1,0,MAX(0,AX68-BE68)),AX68)</f>
        <v>0</v>
      </c>
      <c r="BI68" s="1" t="n">
        <f aca="false">AZ68*(Slot4_Cost-BE68)</f>
        <v>0</v>
      </c>
      <c r="BJ68" s="1" t="n">
        <f aca="false">IF(AND(Slot5_On=1,D68=Slot5_Age),1,0)</f>
        <v>0</v>
      </c>
      <c r="BK68" s="1" t="n">
        <f aca="false">IF(AND(Slot5_On=1,Slot5_Age&gt;D68),1,0)</f>
        <v>0</v>
      </c>
      <c r="BL68" s="1" t="n">
        <f aca="false">RB67</f>
        <v>0</v>
      </c>
      <c r="BM68" s="1" t="n">
        <f aca="false">BJ68*MIN(Slot5_Cost,BL68)</f>
        <v>0</v>
      </c>
      <c r="BN68" s="1" t="n">
        <f aca="false">BJ68*Slot5_SpendLike*MIN(Slot5_Cost-BM68,BF68)</f>
        <v>0</v>
      </c>
      <c r="BO68" s="1" t="n">
        <f aca="false">BM68+BN68</f>
        <v>0</v>
      </c>
      <c r="BP68" s="1" t="n">
        <f aca="false">BF68-BN68+BJ68*IF(Slot5_SpendLike=1,BL68-BM68,IF(Slot5_PotFree=1,BL68,0))</f>
        <v>0</v>
      </c>
      <c r="BQ68" s="1" t="n">
        <f aca="false">BG68+BJ68*Slot5_BufPot*BL68</f>
        <v>0</v>
      </c>
      <c r="BR68" s="1" t="n">
        <f aca="false">IF(AND(BJ68=1,Slot5_IsMfree=1),IF(BO68&gt;=Slot5_Cost-1,0,MAX(0,BH68-BO68)),BH68)</f>
        <v>0</v>
      </c>
      <c r="BS68" s="1" t="n">
        <f aca="false">BJ68*(Slot5_Cost-BO68)</f>
        <v>0</v>
      </c>
      <c r="BT68" s="1" t="n">
        <f aca="false">IF(AND(Slot6_On=1,D68=Slot6_Age),1,0)</f>
        <v>0</v>
      </c>
      <c r="BU68" s="1" t="n">
        <f aca="false">IF(AND(Slot6_On=1,Slot6_Age&gt;D68),1,0)</f>
        <v>0</v>
      </c>
      <c r="BV68" s="1" t="n">
        <f aca="false">RF67</f>
        <v>0</v>
      </c>
      <c r="BW68" s="1" t="n">
        <f aca="false">BT68*MIN(Slot6_Cost,BV68)</f>
        <v>0</v>
      </c>
      <c r="BX68" s="1" t="n">
        <f aca="false">BT68*Slot6_SpendLike*MIN(Slot6_Cost-BW68,BP68)</f>
        <v>0</v>
      </c>
      <c r="BY68" s="1" t="n">
        <f aca="false">BW68+BX68</f>
        <v>0</v>
      </c>
      <c r="BZ68" s="1" t="n">
        <f aca="false">BP68-BX68+BT68*IF(Slot6_SpendLike=1,BV68-BW68,IF(Slot6_PotFree=1,BV68,0))</f>
        <v>0</v>
      </c>
      <c r="CA68" s="1" t="n">
        <f aca="false">BQ68+BT68*Slot6_BufPot*BV68</f>
        <v>0</v>
      </c>
      <c r="CB68" s="1" t="n">
        <f aca="false">IF(AND(BT68=1,Slot6_IsMfree=1),IF(BY68&gt;=Slot6_Cost-1,0,MAX(0,BR68-BY68)),BR68)</f>
        <v>0</v>
      </c>
      <c r="CC68" s="1" t="n">
        <f aca="false">BT68*(Slot6_Cost-BY68)</f>
        <v>0</v>
      </c>
      <c r="CD68" s="1" t="n">
        <f aca="false">IF(AND(Slot7_On=1,D68=Slot7_Age),1,0)</f>
        <v>0</v>
      </c>
      <c r="CE68" s="1" t="n">
        <f aca="false">IF(AND(Slot7_On=1,Slot7_Age&gt;D68),1,0)</f>
        <v>0</v>
      </c>
      <c r="CF68" s="1" t="n">
        <f aca="false">RJ67</f>
        <v>0</v>
      </c>
      <c r="CG68" s="1" t="n">
        <f aca="false">CD68*MIN(Slot7_Cost,CF68)</f>
        <v>0</v>
      </c>
      <c r="CH68" s="1" t="n">
        <f aca="false">CD68*Slot7_SpendLike*MIN(Slot7_Cost-CG68,BZ68)</f>
        <v>0</v>
      </c>
      <c r="CI68" s="1" t="n">
        <f aca="false">CG68+CH68</f>
        <v>0</v>
      </c>
      <c r="CJ68" s="1" t="n">
        <f aca="false">BZ68-CH68+CD68*IF(Slot7_SpendLike=1,CF68-CG68,IF(Slot7_PotFree=1,CF68,0))</f>
        <v>0</v>
      </c>
      <c r="CK68" s="1" t="n">
        <f aca="false">CA68+CD68*Slot7_BufPot*CF68</f>
        <v>0</v>
      </c>
      <c r="CL68" s="1" t="n">
        <f aca="false">IF(AND(CD68=1,Slot7_IsMfree=1),IF(CI68&gt;=Slot7_Cost-1,0,MAX(0,CB68-CI68)),CB68)</f>
        <v>0</v>
      </c>
      <c r="CM68" s="1" t="n">
        <f aca="false">CD68*(Slot7_Cost-CI68)</f>
        <v>0</v>
      </c>
      <c r="CN68" s="1" t="n">
        <f aca="false">IF(AND(Slot8_On=1,D68=Slot8_Age),1,0)</f>
        <v>0</v>
      </c>
      <c r="CO68" s="1" t="n">
        <f aca="false">IF(AND(Slot8_On=1,Slot8_Age&gt;D68),1,0)</f>
        <v>0</v>
      </c>
      <c r="CP68" s="1" t="n">
        <f aca="false">RN67</f>
        <v>0</v>
      </c>
      <c r="CQ68" s="1" t="n">
        <f aca="false">CN68*MIN(Slot8_Cost,CP68)</f>
        <v>0</v>
      </c>
      <c r="CR68" s="1" t="n">
        <f aca="false">CN68*Slot8_SpendLike*MIN(Slot8_Cost-CQ68,CJ68)</f>
        <v>0</v>
      </c>
      <c r="CS68" s="1" t="n">
        <f aca="false">CQ68+CR68</f>
        <v>0</v>
      </c>
      <c r="CT68" s="1" t="n">
        <f aca="false">CJ68-CR68+CN68*IF(Slot8_SpendLike=1,CP68-CQ68,IF(Slot8_PotFree=1,CP68,0))</f>
        <v>0</v>
      </c>
      <c r="CU68" s="1" t="n">
        <f aca="false">CK68+CN68*Slot8_BufPot*CP68</f>
        <v>0</v>
      </c>
      <c r="CV68" s="1" t="n">
        <f aca="false">IF(AND(CN68=1,Slot8_IsMfree=1),IF(CS68&gt;=Slot8_Cost-1,0,MAX(0,CL68-CS68)),CL68)</f>
        <v>0</v>
      </c>
      <c r="CW68" s="1" t="n">
        <f aca="false">CN68*(Slot8_Cost-CS68)</f>
        <v>0</v>
      </c>
      <c r="CX68" s="1" t="n">
        <f aca="false">IF(AND(Slot9_On=1,D68=Slot9_Age),1,0)</f>
        <v>0</v>
      </c>
      <c r="CY68" s="1" t="n">
        <f aca="false">IF(AND(Slot9_On=1,Slot9_Age&gt;D68),1,0)</f>
        <v>0</v>
      </c>
      <c r="CZ68" s="1" t="n">
        <f aca="false">RR67</f>
        <v>0</v>
      </c>
      <c r="DA68" s="1" t="n">
        <f aca="false">CX68*MIN(Slot9_Cost,CZ68)</f>
        <v>0</v>
      </c>
      <c r="DB68" s="1" t="n">
        <f aca="false">CX68*Slot9_SpendLike*MIN(Slot9_Cost-DA68,CT68)</f>
        <v>0</v>
      </c>
      <c r="DC68" s="1" t="n">
        <f aca="false">DA68+DB68</f>
        <v>0</v>
      </c>
      <c r="DD68" s="1" t="n">
        <f aca="false">CT68-DB68+CX68*IF(Slot9_SpendLike=1,CZ68-DA68,IF(Slot9_PotFree=1,CZ68,0))</f>
        <v>0</v>
      </c>
      <c r="DE68" s="1" t="n">
        <f aca="false">CU68+CX68*Slot9_BufPot*CZ68</f>
        <v>0</v>
      </c>
      <c r="DF68" s="1" t="n">
        <f aca="false">IF(AND(CX68=1,Slot9_IsMfree=1),IF(DC68&gt;=Slot9_Cost-1,0,MAX(0,CV68-DC68)),CV68)</f>
        <v>0</v>
      </c>
      <c r="DG68" s="1" t="n">
        <f aca="false">CX68*(Slot9_Cost-DC68)</f>
        <v>0</v>
      </c>
      <c r="DH68" s="1" t="n">
        <f aca="false">IF(AND(Slot10_On=1,D68=Slot10_Age),1,0)</f>
        <v>0</v>
      </c>
      <c r="DI68" s="1" t="n">
        <f aca="false">IF(AND(Slot10_On=1,Slot10_Age&gt;D68),1,0)</f>
        <v>0</v>
      </c>
      <c r="DJ68" s="1" t="n">
        <f aca="false">RV67</f>
        <v>0</v>
      </c>
      <c r="DK68" s="1" t="n">
        <f aca="false">DH68*MIN(Slot10_Cost,DJ68)</f>
        <v>0</v>
      </c>
      <c r="DL68" s="1" t="n">
        <f aca="false">DH68*Slot10_SpendLike*MIN(Slot10_Cost-DK68,DD68)</f>
        <v>0</v>
      </c>
      <c r="DM68" s="1" t="n">
        <f aca="false">DK68+DL68</f>
        <v>0</v>
      </c>
      <c r="DN68" s="1" t="n">
        <f aca="false">DD68-DL68+DH68*IF(Slot10_SpendLike=1,DJ68-DK68,IF(Slot10_PotFree=1,DJ68,0))</f>
        <v>0</v>
      </c>
      <c r="DO68" s="1" t="n">
        <f aca="false">DE68+DH68*Slot10_BufPot*DJ68</f>
        <v>0</v>
      </c>
      <c r="DP68" s="1" t="n">
        <f aca="false">IF(AND(DH68=1,Slot10_IsMfree=1),IF(DM68&gt;=Slot10_Cost-1,0,MAX(0,DF68-DM68)),DF68)</f>
        <v>0</v>
      </c>
      <c r="DQ68" s="1" t="n">
        <f aca="false">DH68*(Slot10_Cost-DM68)</f>
        <v>0</v>
      </c>
      <c r="DR68" s="1" t="n">
        <f aca="false">IF(AND(Slot11_On=1,D68=Slot11_Age),1,0)</f>
        <v>0</v>
      </c>
      <c r="DS68" s="1" t="n">
        <f aca="false">IF(AND(Slot11_On=1,Slot11_Age&gt;D68),1,0)</f>
        <v>0</v>
      </c>
      <c r="DT68" s="1" t="n">
        <f aca="false">RZ67</f>
        <v>0</v>
      </c>
      <c r="DU68" s="1" t="n">
        <f aca="false">DR68*MIN(Slot11_Cost,DT68)</f>
        <v>0</v>
      </c>
      <c r="DV68" s="1" t="n">
        <f aca="false">DR68*Slot11_SpendLike*MIN(Slot11_Cost-DU68,DN68)</f>
        <v>0</v>
      </c>
      <c r="DW68" s="1" t="n">
        <f aca="false">DU68+DV68</f>
        <v>0</v>
      </c>
      <c r="DX68" s="1" t="n">
        <f aca="false">DN68-DV68+DR68*IF(Slot11_SpendLike=1,DT68-DU68,IF(Slot11_PotFree=1,DT68,0))</f>
        <v>0</v>
      </c>
      <c r="DY68" s="1" t="n">
        <f aca="false">DO68+DR68*Slot11_BufPot*DT68</f>
        <v>0</v>
      </c>
      <c r="DZ68" s="1" t="n">
        <f aca="false">IF(AND(DR68=1,Slot11_IsMfree=1),IF(DW68&gt;=Slot11_Cost-1,0,MAX(0,DP68-DW68)),DP68)</f>
        <v>0</v>
      </c>
      <c r="EA68" s="1" t="n">
        <f aca="false">DR68*(Slot11_Cost-DW68)</f>
        <v>0</v>
      </c>
      <c r="EB68" s="1" t="n">
        <f aca="false">IF(AND(Slot12_On=1,D68=Slot12_Age),1,0)</f>
        <v>0</v>
      </c>
      <c r="EC68" s="1" t="n">
        <f aca="false">IF(AND(Slot12_On=1,Slot12_Age&gt;D68),1,0)</f>
        <v>0</v>
      </c>
      <c r="ED68" s="1" t="n">
        <f aca="false">SD67</f>
        <v>0</v>
      </c>
      <c r="EE68" s="1" t="n">
        <f aca="false">EB68*MIN(Slot12_Cost,ED68)</f>
        <v>0</v>
      </c>
      <c r="EF68" s="1" t="n">
        <f aca="false">EB68*Slot12_SpendLike*MIN(Slot12_Cost-EE68,DX68)</f>
        <v>0</v>
      </c>
      <c r="EG68" s="1" t="n">
        <f aca="false">EE68+EF68</f>
        <v>0</v>
      </c>
      <c r="EH68" s="1" t="n">
        <f aca="false">DX68-EF68+EB68*IF(Slot12_SpendLike=1,ED68-EE68,IF(Slot12_PotFree=1,ED68,0))</f>
        <v>0</v>
      </c>
      <c r="EI68" s="1" t="n">
        <f aca="false">DY68+EB68*Slot12_BufPot*ED68</f>
        <v>0</v>
      </c>
      <c r="EJ68" s="1" t="n">
        <f aca="false">IF(AND(EB68=1,Slot12_IsMfree=1),IF(EG68&gt;=Slot12_Cost-1,0,MAX(0,DZ68-EG68)),DZ68)</f>
        <v>0</v>
      </c>
      <c r="EK68" s="1" t="n">
        <f aca="false">EB68*(Slot12_Cost-EG68)</f>
        <v>0</v>
      </c>
      <c r="EL68" s="1" t="n">
        <f aca="false">IF(AND(Slot13_On=1,D68=Slot13_Age),1,0)</f>
        <v>0</v>
      </c>
      <c r="EM68" s="1" t="n">
        <f aca="false">IF(AND(Slot13_On=1,Slot13_Age&gt;D68),1,0)</f>
        <v>0</v>
      </c>
      <c r="EN68" s="1" t="n">
        <f aca="false">SH67</f>
        <v>0</v>
      </c>
      <c r="EO68" s="1" t="n">
        <f aca="false">EL68*MIN(Slot13_Cost,EN68)</f>
        <v>0</v>
      </c>
      <c r="EP68" s="1" t="n">
        <f aca="false">EL68*Slot13_SpendLike*MIN(Slot13_Cost-EO68,EH68)</f>
        <v>0</v>
      </c>
      <c r="EQ68" s="1" t="n">
        <f aca="false">EO68+EP68</f>
        <v>0</v>
      </c>
      <c r="ER68" s="1" t="n">
        <f aca="false">EH68-EP68+EL68*IF(Slot13_SpendLike=1,EN68-EO68,IF(Slot13_PotFree=1,EN68,0))</f>
        <v>0</v>
      </c>
      <c r="ES68" s="1" t="n">
        <f aca="false">EI68+EL68*Slot13_BufPot*EN68</f>
        <v>0</v>
      </c>
      <c r="ET68" s="1" t="n">
        <f aca="false">IF(AND(EL68=1,Slot13_IsMfree=1),IF(EQ68&gt;=Slot13_Cost-1,0,MAX(0,EJ68-EQ68)),EJ68)</f>
        <v>0</v>
      </c>
      <c r="EU68" s="1" t="n">
        <f aca="false">EL68*(Slot13_Cost-EQ68)</f>
        <v>0</v>
      </c>
      <c r="EV68" s="1" t="n">
        <f aca="false">IF(AND(Slot14_On=1,D68=Slot14_Age),1,0)</f>
        <v>0</v>
      </c>
      <c r="EW68" s="1" t="n">
        <f aca="false">IF(AND(Slot14_On=1,Slot14_Age&gt;D68),1,0)</f>
        <v>0</v>
      </c>
      <c r="EX68" s="1" t="n">
        <f aca="false">SL67</f>
        <v>0</v>
      </c>
      <c r="EY68" s="1" t="n">
        <f aca="false">EV68*MIN(Slot14_Cost,EX68)</f>
        <v>0</v>
      </c>
      <c r="EZ68" s="1" t="n">
        <f aca="false">EV68*Slot14_SpendLike*MIN(Slot14_Cost-EY68,ER68)</f>
        <v>0</v>
      </c>
      <c r="FA68" s="1" t="n">
        <f aca="false">EY68+EZ68</f>
        <v>0</v>
      </c>
      <c r="FB68" s="1" t="n">
        <f aca="false">ER68-EZ68+EV68*IF(Slot14_SpendLike=1,EX68-EY68,IF(Slot14_PotFree=1,EX68,0))</f>
        <v>0</v>
      </c>
      <c r="FC68" s="1" t="n">
        <f aca="false">ES68+EV68*Slot14_BufPot*EX68</f>
        <v>0</v>
      </c>
      <c r="FD68" s="1" t="n">
        <f aca="false">IF(AND(EV68=1,Slot14_IsMfree=1),IF(FA68&gt;=Slot14_Cost-1,0,MAX(0,ET68-FA68)),ET68)</f>
        <v>0</v>
      </c>
      <c r="FE68" s="1" t="n">
        <f aca="false">EV68*(Slot14_Cost-FA68)</f>
        <v>0</v>
      </c>
      <c r="FF68" s="1" t="n">
        <f aca="false">IF(AND(Slot15_On=1,D68=Slot15_Age),1,0)</f>
        <v>0</v>
      </c>
      <c r="FG68" s="1" t="n">
        <f aca="false">IF(AND(Slot15_On=1,Slot15_Age&gt;D68),1,0)</f>
        <v>0</v>
      </c>
      <c r="FH68" s="1" t="n">
        <f aca="false">SP67</f>
        <v>0</v>
      </c>
      <c r="FI68" s="1" t="n">
        <f aca="false">FF68*MIN(Slot15_Cost,FH68)</f>
        <v>0</v>
      </c>
      <c r="FJ68" s="1" t="n">
        <f aca="false">FF68*Slot15_SpendLike*MIN(Slot15_Cost-FI68,FB68)</f>
        <v>0</v>
      </c>
      <c r="FK68" s="1" t="n">
        <f aca="false">FI68+FJ68</f>
        <v>0</v>
      </c>
      <c r="FL68" s="1" t="n">
        <f aca="false">FB68-FJ68+FF68*IF(Slot15_SpendLike=1,FH68-FI68,IF(Slot15_PotFree=1,FH68,0))</f>
        <v>0</v>
      </c>
      <c r="FM68" s="1" t="n">
        <f aca="false">FC68+FF68*Slot15_BufPot*FH68</f>
        <v>0</v>
      </c>
      <c r="FN68" s="1" t="n">
        <f aca="false">IF(AND(FF68=1,Slot15_IsMfree=1),IF(FK68&gt;=Slot15_Cost-1,0,MAX(0,FD68-FK68)),FD68)</f>
        <v>0</v>
      </c>
      <c r="FO68" s="1" t="n">
        <f aca="false">FF68*(Slot15_Cost-FK68)</f>
        <v>0</v>
      </c>
      <c r="FP68" s="1" t="n">
        <f aca="false">IF(AND(Slot16_On=1,D68=Slot16_Age),1,0)</f>
        <v>0</v>
      </c>
      <c r="FQ68" s="1" t="n">
        <f aca="false">IF(AND(Slot16_On=1,Slot16_Age&gt;D68),1,0)</f>
        <v>0</v>
      </c>
      <c r="FR68" s="1" t="n">
        <f aca="false">ST67</f>
        <v>0</v>
      </c>
      <c r="FS68" s="1" t="n">
        <f aca="false">FP68*MIN(Slot16_Cost,FR68)</f>
        <v>0</v>
      </c>
      <c r="FT68" s="1" t="n">
        <f aca="false">FP68*Slot16_SpendLike*MIN(Slot16_Cost-FS68,FL68)</f>
        <v>0</v>
      </c>
      <c r="FU68" s="1" t="n">
        <f aca="false">FS68+FT68</f>
        <v>0</v>
      </c>
      <c r="FV68" s="1" t="n">
        <f aca="false">FL68-FT68+FP68*IF(Slot16_SpendLike=1,FR68-FS68,IF(Slot16_PotFree=1,FR68,0))</f>
        <v>0</v>
      </c>
      <c r="FW68" s="1" t="n">
        <f aca="false">FM68+FP68*Slot16_BufPot*FR68</f>
        <v>0</v>
      </c>
      <c r="FX68" s="1" t="n">
        <f aca="false">IF(AND(FP68=1,Slot16_IsMfree=1),IF(FU68&gt;=Slot16_Cost-1,0,MAX(0,FN68-FU68)),FN68)</f>
        <v>0</v>
      </c>
      <c r="FY68" s="1" t="n">
        <f aca="false">FP68*(Slot16_Cost-FU68)</f>
        <v>0</v>
      </c>
      <c r="FZ68" s="1" t="n">
        <f aca="false">IF(AND(Slot17_On=1,D68=Slot17_Age),1,0)</f>
        <v>0</v>
      </c>
      <c r="GA68" s="1" t="n">
        <f aca="false">IF(AND(Slot17_On=1,Slot17_Age&gt;D68),1,0)</f>
        <v>0</v>
      </c>
      <c r="GB68" s="1" t="n">
        <f aca="false">SX67</f>
        <v>0</v>
      </c>
      <c r="GC68" s="1" t="n">
        <f aca="false">FZ68*MIN(Slot17_Cost,GB68)</f>
        <v>0</v>
      </c>
      <c r="GD68" s="1" t="n">
        <f aca="false">FZ68*Slot17_SpendLike*MIN(Slot17_Cost-GC68,FV68)</f>
        <v>0</v>
      </c>
      <c r="GE68" s="1" t="n">
        <f aca="false">GC68+GD68</f>
        <v>0</v>
      </c>
      <c r="GF68" s="1" t="n">
        <f aca="false">FV68-GD68+FZ68*IF(Slot17_SpendLike=1,GB68-GC68,IF(Slot17_PotFree=1,GB68,0))</f>
        <v>0</v>
      </c>
      <c r="GG68" s="1" t="n">
        <f aca="false">FW68+FZ68*Slot17_BufPot*GB68</f>
        <v>0</v>
      </c>
      <c r="GH68" s="1" t="n">
        <f aca="false">IF(AND(FZ68=1,Slot17_IsMfree=1),IF(GE68&gt;=Slot17_Cost-1,0,MAX(0,FX68-GE68)),FX68)</f>
        <v>0</v>
      </c>
      <c r="GI68" s="1" t="n">
        <f aca="false">FZ68*(Slot17_Cost-GE68)</f>
        <v>0</v>
      </c>
      <c r="GJ68" s="1" t="n">
        <f aca="false">IF(AND(Slot18_On=1,D68=Slot18_Age),1,0)</f>
        <v>0</v>
      </c>
      <c r="GK68" s="1" t="n">
        <f aca="false">IF(AND(Slot18_On=1,Slot18_Age&gt;D68),1,0)</f>
        <v>0</v>
      </c>
      <c r="GL68" s="1" t="n">
        <f aca="false">TB67</f>
        <v>0</v>
      </c>
      <c r="GM68" s="1" t="n">
        <f aca="false">GJ68*MIN(Slot18_Cost,GL68)</f>
        <v>0</v>
      </c>
      <c r="GN68" s="1" t="n">
        <f aca="false">GJ68*Slot18_SpendLike*MIN(Slot18_Cost-GM68,GF68)</f>
        <v>0</v>
      </c>
      <c r="GO68" s="1" t="n">
        <f aca="false">GM68+GN68</f>
        <v>0</v>
      </c>
      <c r="GP68" s="1" t="n">
        <f aca="false">GF68-GN68+GJ68*IF(Slot18_SpendLike=1,GL68-GM68,IF(Slot18_PotFree=1,GL68,0))</f>
        <v>0</v>
      </c>
      <c r="GQ68" s="1" t="n">
        <f aca="false">GG68+GJ68*Slot18_BufPot*GL68</f>
        <v>0</v>
      </c>
      <c r="GR68" s="1" t="n">
        <f aca="false">IF(AND(GJ68=1,Slot18_IsMfree=1),IF(GO68&gt;=Slot18_Cost-1,0,MAX(0,GH68-GO68)),GH68)</f>
        <v>0</v>
      </c>
      <c r="GS68" s="1" t="n">
        <f aca="false">GJ68*(Slot18_Cost-GO68)</f>
        <v>0</v>
      </c>
      <c r="GT68" s="1" t="n">
        <f aca="false">IF(AND(Slot19_On=1,D68=Slot19_Age),1,0)</f>
        <v>0</v>
      </c>
      <c r="GU68" s="1" t="n">
        <f aca="false">IF(AND(Slot19_On=1,Slot19_Age&gt;D68),1,0)</f>
        <v>0</v>
      </c>
      <c r="GV68" s="1" t="n">
        <f aca="false">TF67</f>
        <v>0</v>
      </c>
      <c r="GW68" s="1" t="n">
        <f aca="false">GT68*MIN(Slot19_Cost,GV68)</f>
        <v>0</v>
      </c>
      <c r="GX68" s="1" t="n">
        <f aca="false">GT68*Slot19_SpendLike*MIN(Slot19_Cost-GW68,GP68)</f>
        <v>0</v>
      </c>
      <c r="GY68" s="1" t="n">
        <f aca="false">GW68+GX68</f>
        <v>0</v>
      </c>
      <c r="GZ68" s="1" t="n">
        <f aca="false">GP68-GX68+GT68*IF(Slot19_SpendLike=1,GV68-GW68,IF(Slot19_PotFree=1,GV68,0))</f>
        <v>0</v>
      </c>
      <c r="HA68" s="1" t="n">
        <f aca="false">GQ68+GT68*Slot19_BufPot*GV68</f>
        <v>0</v>
      </c>
      <c r="HB68" s="1" t="n">
        <f aca="false">IF(AND(GT68=1,Slot19_IsMfree=1),IF(GY68&gt;=Slot19_Cost-1,0,MAX(0,GR68-GY68)),GR68)</f>
        <v>0</v>
      </c>
      <c r="HC68" s="1" t="n">
        <f aca="false">GT68*(Slot19_Cost-GY68)</f>
        <v>0</v>
      </c>
      <c r="HD68" s="1" t="n">
        <f aca="false">IF(AND(Slot20_On=1,D68=Slot20_Age),1,0)</f>
        <v>0</v>
      </c>
      <c r="HE68" s="1" t="n">
        <f aca="false">IF(AND(Slot20_On=1,Slot20_Age&gt;D68),1,0)</f>
        <v>0</v>
      </c>
      <c r="HF68" s="1" t="n">
        <f aca="false">TJ67</f>
        <v>0</v>
      </c>
      <c r="HG68" s="1" t="n">
        <f aca="false">HD68*MIN(Slot20_Cost,HF68)</f>
        <v>0</v>
      </c>
      <c r="HH68" s="1" t="n">
        <f aca="false">HD68*Slot20_SpendLike*MIN(Slot20_Cost-HG68,GZ68)</f>
        <v>0</v>
      </c>
      <c r="HI68" s="1" t="n">
        <f aca="false">HG68+HH68</f>
        <v>0</v>
      </c>
      <c r="HJ68" s="1" t="n">
        <f aca="false">GZ68-HH68+HD68*IF(Slot20_SpendLike=1,HF68-HG68,IF(Slot20_PotFree=1,HF68,0))</f>
        <v>0</v>
      </c>
      <c r="HK68" s="1" t="n">
        <f aca="false">HA68+HD68*Slot20_BufPot*HF68</f>
        <v>0</v>
      </c>
      <c r="HL68" s="1" t="n">
        <f aca="false">IF(AND(HD68=1,Slot20_IsMfree=1),IF(HI68&gt;=Slot20_Cost-1,0,MAX(0,HB68-HI68)),HB68)</f>
        <v>0</v>
      </c>
      <c r="HM68" s="1" t="n">
        <f aca="false">HD68*(Slot20_Cost-HI68)</f>
        <v>0</v>
      </c>
      <c r="HN68" s="1" t="n">
        <f aca="false">U68*Slot1_SpendLike*Z68+AF68*Slot2_SpendLike*AK68+AP68*Slot3_SpendLike*AU68+AZ68*Slot4_SpendLike*BE68+BJ68*Slot5_SpendLike*BO68+BT68*Slot6_SpendLike*BY68+CD68*Slot7_SpendLike*CI68+CN68*Slot8_SpendLike*CS68+CX68*Slot9_SpendLike*DC68+DH68*Slot10_SpendLike*DM68+DR68*Slot11_SpendLike*DW68+EB68*Slot12_SpendLike*EG68+EL68*Slot13_SpendLike*EQ68+EV68*Slot14_SpendLike*FA68+FF68*Slot15_SpendLike*FK68+FP68*Slot16_SpendLike*FU68+FZ68*Slot17_SpendLike*GE68+GJ68*Slot18_SpendLike*GO68+GT68*Slot19_SpendLike*GY68+HD68*Slot20_SpendLike*HI68</f>
        <v>0</v>
      </c>
      <c r="HO68" s="1" t="n">
        <f aca="false">AD68+AO68+AY68+BI68+BS68+CC68+CM68+CW68+DG68+DQ68+EA68+EK68+EU68+FE68+FO68+FY68+GI68+GS68+HC68+HM68</f>
        <v>0</v>
      </c>
      <c r="HP68" s="1" t="n">
        <f aca="false">U68*Slot1_Cost+AF68*Slot2_Cost+AP68*Slot3_Cost+AZ68*Slot4_Cost+BJ68*Slot5_Cost+BT68*Slot6_Cost+CD68*Slot7_Cost+CN68*Slot8_Cost+CX68*Slot9_Cost+DH68*Slot10_Cost+DR68*Slot11_Cost+EB68*Slot12_Cost+EL68*Slot13_Cost+EV68*Slot14_Cost+FF68*Slot15_Cost+FP68*Slot16_Cost+FZ68*Slot17_Cost+GJ68*Slot18_Cost+GT68*Slot19_Cost+HD68*Slot20_Cost</f>
        <v>0</v>
      </c>
      <c r="HQ68" s="1" t="n">
        <f aca="false">HL68</f>
        <v>0</v>
      </c>
      <c r="HR68" s="1" t="n">
        <f aca="false">G68-H68-R68</f>
        <v>0</v>
      </c>
      <c r="HS68" s="1" t="n">
        <f aca="false">IF(B68=0,IF(AND(Has_q6=1,In_q6=4),PR_ShareVaries*(MAX(0,HR68)/12),MIN(IF(Has_q6=1,CHOOSE(In_q6+1,PR_SaveB1,PR_SaveB2,PR_SaveB3,PR_SaveB4,0),AS_NoAnswer),AS_SaveShare*(MAX(0,HR68)/12))),HS67)</f>
        <v>0</v>
      </c>
      <c r="HT68" s="1" t="n">
        <f aca="false">IF(HR68&gt;=0,1,0)</f>
        <v>1</v>
      </c>
      <c r="HU68" s="1" t="n">
        <f aca="false">MAX(0,HR68/12/E68)</f>
        <v>0</v>
      </c>
      <c r="HV68" s="1" t="n">
        <f aca="false">IF(AND(Has_q6=1,In_q6=4),PR_ShareVaries*(HU68),MIN(IF(Has_q6=1,CHOOSE(In_q6+1,PR_SaveB1,PR_SaveB2,PR_SaveB3,PR_SaveB4,0),AS_NoAnswer),AS_SaveShare*(HU68)))</f>
        <v>0</v>
      </c>
      <c r="HW68" s="1" t="n">
        <f aca="false">IF(Has_saveM=1,IF(In_saveUp="Yes",1,IF(In_saveUp="No",0,IF(In_saveM&gt;=HS68-0.5,1,0))),0)</f>
        <v>0</v>
      </c>
      <c r="HX68" s="1" t="n">
        <f aca="false">IF(Has_saveM=1,MIN(HU68,IF(HW68=1,MAX(In_saveM,HV68),MIN(In_saveM,HV68))),HV68)</f>
        <v>0</v>
      </c>
      <c r="HY68" s="1" t="n">
        <f aca="false">IF(F68=1,HX68*12*E68,0)</f>
        <v>0</v>
      </c>
      <c r="HZ68" s="1" t="n">
        <f aca="false">MAX(0,HY68+IF(AND(WI_Retire=0,WI_M&lt;0,F68=1),WI_M*12*E68,0))</f>
        <v>0</v>
      </c>
      <c r="IA68" s="1" t="n">
        <f aca="false">Slot1_IsWG*V68+Slot2_IsWG*AG68+Slot3_IsWG*AQ68+Slot4_IsWG*BA68+Slot5_IsWG*BK68+Slot6_IsWG*BU68+Slot7_IsWG*CE68+Slot8_IsWG*CO68+Slot9_IsWG*CY68+Slot10_IsWG*DI68+Slot11_IsWG*DS68+Slot12_IsWG*EC68+Slot13_IsWG*EM68+Slot14_IsWG*EW68+Slot15_IsWG*FG68+Slot16_IsWG*FQ68+Slot17_IsWG*GA68+Slot18_IsWG*GK68+Slot19_IsWG*GU68+Slot20_IsWG*HE68</f>
        <v>0</v>
      </c>
      <c r="IB68" s="1" t="n">
        <f aca="false">IF(AND(WI_Retire=0,WI_M&gt;0,F68=1,IA68&gt;=1),WI_M*12*E68,0)</f>
        <v>0</v>
      </c>
      <c r="IC68" s="1" t="n">
        <f aca="false">IF(HT68=1,MIN(HZ68,HR68),0)</f>
        <v>0</v>
      </c>
      <c r="ID68" s="1" t="n">
        <f aca="false">IF(HT68=1,MIN(IB68,HR68-IC68),0)</f>
        <v>0</v>
      </c>
      <c r="IE68" s="1" t="n">
        <f aca="false">IF(V68=1,IF(ABS((1+AS_Wage)/(1+Slot1_Rate)-1)&lt;0.000000000001,(Slot1_Age-D68)*(1+Slot1_Rate)^(Slot1_Age-D68),(1+Slot1_Rate)^(Slot1_Age-D68)*(1-((1+AS_Wage)/(1+Slot1_Rate))^(Slot1_Age-D68))/(1-(1+AS_Wage)/(1+Slot1_Rate))),1)</f>
        <v>1</v>
      </c>
      <c r="IF68" s="1" t="n">
        <f aca="false">IF(AND(HT68=1,ID68&gt;0,Slot1_IsWG=1,V68=1),MAX(0,(Slot1_Cost-W68*(1+Slot1_Rate)^(Slot1_Age-D68))/IE68),0)</f>
        <v>0</v>
      </c>
      <c r="IG68" s="1" t="n">
        <f aca="false">IF(AND(HT68=1,ID68&gt;0,Slot1_IsWG=1,V68=1),MIN(ID68,IF68),0)</f>
        <v>0</v>
      </c>
      <c r="IH68" s="1" t="n">
        <f aca="false">W68+IG68</f>
        <v>0</v>
      </c>
      <c r="II68" s="1" t="n">
        <f aca="false">IF(V68=1,MAX(0,(Slot1_Cost-IH68*(1+Slot1_Rate)^(Slot1_Age-D68))/IE68),0)</f>
        <v>0</v>
      </c>
      <c r="IJ68" s="1" t="n">
        <f aca="false">IF(V68=1,MAX(0,(Slot1_Cost-W68*(1+Slot1_Rate)^(Slot1_Age-D68))/IE68),0)</f>
        <v>0</v>
      </c>
      <c r="IK68" s="1" t="n">
        <f aca="false">IF(AND(HT68=1,V68=1),MIN(IC68,II68),0)</f>
        <v>0</v>
      </c>
      <c r="IL68" s="1" t="n">
        <f aca="false">IC68-IK68</f>
        <v>0</v>
      </c>
      <c r="IM68" s="1" t="n">
        <f aca="false">IF(AG68=1,IF(ABS((1+AS_Wage)/(1+Slot2_Rate)-1)&lt;0.000000000001,(Slot2_Age-D68)*(1+Slot2_Rate)^(Slot2_Age-D68),(1+Slot2_Rate)^(Slot2_Age-D68)*(1-((1+AS_Wage)/(1+Slot2_Rate))^(Slot2_Age-D68))/(1-(1+AS_Wage)/(1+Slot2_Rate))),1)</f>
        <v>1</v>
      </c>
      <c r="IN68" s="1" t="n">
        <f aca="false">IF(AND(HT68=1,ID68&gt;0,Slot2_IsWG=1,AG68=1),MAX(0,(Slot2_Cost-AH68*(1+Slot2_Rate)^(Slot2_Age-D68))/IM68),0)</f>
        <v>0</v>
      </c>
      <c r="IO68" s="1" t="n">
        <f aca="false">IF(AND(HT68=1,ID68&gt;0,Slot2_IsWG=1,AG68=1),MIN(ID68,IN68),0)</f>
        <v>0</v>
      </c>
      <c r="IP68" s="1" t="n">
        <f aca="false">AH68+IO68</f>
        <v>0</v>
      </c>
      <c r="IQ68" s="1" t="n">
        <f aca="false">IF(AG68=1,MAX(0,(Slot2_Cost-IP68*(1+Slot2_Rate)^(Slot2_Age-D68))/IM68),0)</f>
        <v>0</v>
      </c>
      <c r="IR68" s="1" t="n">
        <f aca="false">IF(AG68=1,MAX(0,(Slot2_Cost-AH68*(1+Slot2_Rate)^(Slot2_Age-D68))/IM68),0)</f>
        <v>0</v>
      </c>
      <c r="IS68" s="1" t="n">
        <f aca="false">IF(AND(HT68=1,AG68=1),MIN(IL68,IQ68),0)</f>
        <v>0</v>
      </c>
      <c r="IT68" s="1" t="n">
        <f aca="false">IL68-IS68</f>
        <v>0</v>
      </c>
      <c r="IU68" s="1" t="n">
        <f aca="false">IF(AQ68=1,IF(ABS((1+AS_Wage)/(1+Slot3_Rate)-1)&lt;0.000000000001,(Slot3_Age-D68)*(1+Slot3_Rate)^(Slot3_Age-D68),(1+Slot3_Rate)^(Slot3_Age-D68)*(1-((1+AS_Wage)/(1+Slot3_Rate))^(Slot3_Age-D68))/(1-(1+AS_Wage)/(1+Slot3_Rate))),1)</f>
        <v>1</v>
      </c>
      <c r="IV68" s="1" t="n">
        <f aca="false">IF(AND(HT68=1,ID68&gt;0,Slot3_IsWG=1,AQ68=1),MAX(0,(Slot3_Cost-AR68*(1+Slot3_Rate)^(Slot3_Age-D68))/IU68),0)</f>
        <v>0</v>
      </c>
      <c r="IW68" s="1" t="n">
        <f aca="false">IF(AND(HT68=1,ID68&gt;0,Slot3_IsWG=1,AQ68=1),MIN(ID68,IV68),0)</f>
        <v>0</v>
      </c>
      <c r="IX68" s="1" t="n">
        <f aca="false">AR68+IW68</f>
        <v>0</v>
      </c>
      <c r="IY68" s="1" t="n">
        <f aca="false">IF(AQ68=1,MAX(0,(Slot3_Cost-IX68*(1+Slot3_Rate)^(Slot3_Age-D68))/IU68),0)</f>
        <v>0</v>
      </c>
      <c r="IZ68" s="1" t="n">
        <f aca="false">IF(AQ68=1,MAX(0,(Slot3_Cost-AR68*(1+Slot3_Rate)^(Slot3_Age-D68))/IU68),0)</f>
        <v>0</v>
      </c>
      <c r="JA68" s="1" t="n">
        <f aca="false">IF(AND(HT68=1,AQ68=1),MIN(IT68,IY68),0)</f>
        <v>0</v>
      </c>
      <c r="JB68" s="1" t="n">
        <f aca="false">IT68-JA68</f>
        <v>0</v>
      </c>
      <c r="JC68" s="1" t="n">
        <f aca="false">IF(BA68=1,IF(ABS((1+AS_Wage)/(1+Slot4_Rate)-1)&lt;0.000000000001,(Slot4_Age-D68)*(1+Slot4_Rate)^(Slot4_Age-D68),(1+Slot4_Rate)^(Slot4_Age-D68)*(1-((1+AS_Wage)/(1+Slot4_Rate))^(Slot4_Age-D68))/(1-(1+AS_Wage)/(1+Slot4_Rate))),1)</f>
        <v>1</v>
      </c>
      <c r="JD68" s="1" t="n">
        <f aca="false">IF(AND(HT68=1,ID68&gt;0,Slot4_IsWG=1,BA68=1),MAX(0,(Slot4_Cost-BB68*(1+Slot4_Rate)^(Slot4_Age-D68))/JC68),0)</f>
        <v>0</v>
      </c>
      <c r="JE68" s="1" t="n">
        <f aca="false">IF(AND(HT68=1,ID68&gt;0,Slot4_IsWG=1,BA68=1),MIN(ID68,JD68),0)</f>
        <v>0</v>
      </c>
      <c r="JF68" s="1" t="n">
        <f aca="false">BB68+JE68</f>
        <v>0</v>
      </c>
      <c r="JG68" s="1" t="n">
        <f aca="false">IF(BA68=1,MAX(0,(Slot4_Cost-JF68*(1+Slot4_Rate)^(Slot4_Age-D68))/JC68),0)</f>
        <v>0</v>
      </c>
      <c r="JH68" s="1" t="n">
        <f aca="false">IF(BA68=1,MAX(0,(Slot4_Cost-BB68*(1+Slot4_Rate)^(Slot4_Age-D68))/JC68),0)</f>
        <v>0</v>
      </c>
      <c r="JI68" s="1" t="n">
        <f aca="false">IF(AND(HT68=1,BA68=1),MIN(JB68,JG68),0)</f>
        <v>0</v>
      </c>
      <c r="JJ68" s="1" t="n">
        <f aca="false">JB68-JI68</f>
        <v>0</v>
      </c>
      <c r="JK68" s="1" t="n">
        <f aca="false">IF(BK68=1,IF(ABS((1+AS_Wage)/(1+Slot5_Rate)-1)&lt;0.000000000001,(Slot5_Age-D68)*(1+Slot5_Rate)^(Slot5_Age-D68),(1+Slot5_Rate)^(Slot5_Age-D68)*(1-((1+AS_Wage)/(1+Slot5_Rate))^(Slot5_Age-D68))/(1-(1+AS_Wage)/(1+Slot5_Rate))),1)</f>
        <v>1</v>
      </c>
      <c r="JL68" s="1" t="n">
        <f aca="false">IF(AND(HT68=1,ID68&gt;0,Slot5_IsWG=1,BK68=1),MAX(0,(Slot5_Cost-BL68*(1+Slot5_Rate)^(Slot5_Age-D68))/JK68),0)</f>
        <v>0</v>
      </c>
      <c r="JM68" s="1" t="n">
        <f aca="false">IF(AND(HT68=1,ID68&gt;0,Slot5_IsWG=1,BK68=1),MIN(ID68,JL68),0)</f>
        <v>0</v>
      </c>
      <c r="JN68" s="1" t="n">
        <f aca="false">BL68+JM68</f>
        <v>0</v>
      </c>
      <c r="JO68" s="1" t="n">
        <f aca="false">IF(BK68=1,MAX(0,(Slot5_Cost-JN68*(1+Slot5_Rate)^(Slot5_Age-D68))/JK68),0)</f>
        <v>0</v>
      </c>
      <c r="JP68" s="1" t="n">
        <f aca="false">IF(BK68=1,MAX(0,(Slot5_Cost-BL68*(1+Slot5_Rate)^(Slot5_Age-D68))/JK68),0)</f>
        <v>0</v>
      </c>
      <c r="JQ68" s="1" t="n">
        <f aca="false">IF(AND(HT68=1,BK68=1),MIN(JJ68,JO68),0)</f>
        <v>0</v>
      </c>
      <c r="JR68" s="1" t="n">
        <f aca="false">JJ68-JQ68</f>
        <v>0</v>
      </c>
      <c r="JS68" s="1" t="n">
        <f aca="false">IF(BU68=1,IF(ABS((1+AS_Wage)/(1+Slot6_Rate)-1)&lt;0.000000000001,(Slot6_Age-D68)*(1+Slot6_Rate)^(Slot6_Age-D68),(1+Slot6_Rate)^(Slot6_Age-D68)*(1-((1+AS_Wage)/(1+Slot6_Rate))^(Slot6_Age-D68))/(1-(1+AS_Wage)/(1+Slot6_Rate))),1)</f>
        <v>1</v>
      </c>
      <c r="JT68" s="1" t="n">
        <f aca="false">IF(AND(HT68=1,ID68&gt;0,Slot6_IsWG=1,BU68=1),MAX(0,(Slot6_Cost-BV68*(1+Slot6_Rate)^(Slot6_Age-D68))/JS68),0)</f>
        <v>0</v>
      </c>
      <c r="JU68" s="1" t="n">
        <f aca="false">IF(AND(HT68=1,ID68&gt;0,Slot6_IsWG=1,BU68=1),MIN(ID68,JT68),0)</f>
        <v>0</v>
      </c>
      <c r="JV68" s="1" t="n">
        <f aca="false">BV68+JU68</f>
        <v>0</v>
      </c>
      <c r="JW68" s="1" t="n">
        <f aca="false">IF(BU68=1,MAX(0,(Slot6_Cost-JV68*(1+Slot6_Rate)^(Slot6_Age-D68))/JS68),0)</f>
        <v>0</v>
      </c>
      <c r="JX68" s="1" t="n">
        <f aca="false">IF(BU68=1,MAX(0,(Slot6_Cost-BV68*(1+Slot6_Rate)^(Slot6_Age-D68))/JS68),0)</f>
        <v>0</v>
      </c>
      <c r="JY68" s="1" t="n">
        <f aca="false">IF(AND(HT68=1,BU68=1),MIN(JR68,JW68),0)</f>
        <v>0</v>
      </c>
      <c r="JZ68" s="1" t="n">
        <f aca="false">JR68-JY68</f>
        <v>0</v>
      </c>
      <c r="KA68" s="1" t="n">
        <f aca="false">IF(CE68=1,IF(ABS((1+AS_Wage)/(1+Slot7_Rate)-1)&lt;0.000000000001,(Slot7_Age-D68)*(1+Slot7_Rate)^(Slot7_Age-D68),(1+Slot7_Rate)^(Slot7_Age-D68)*(1-((1+AS_Wage)/(1+Slot7_Rate))^(Slot7_Age-D68))/(1-(1+AS_Wage)/(1+Slot7_Rate))),1)</f>
        <v>1</v>
      </c>
      <c r="KB68" s="1" t="n">
        <f aca="false">IF(AND(HT68=1,ID68&gt;0,Slot7_IsWG=1,CE68=1),MAX(0,(Slot7_Cost-CF68*(1+Slot7_Rate)^(Slot7_Age-D68))/KA68),0)</f>
        <v>0</v>
      </c>
      <c r="KC68" s="1" t="n">
        <f aca="false">IF(AND(HT68=1,ID68&gt;0,Slot7_IsWG=1,CE68=1),MIN(ID68,KB68),0)</f>
        <v>0</v>
      </c>
      <c r="KD68" s="1" t="n">
        <f aca="false">CF68+KC68</f>
        <v>0</v>
      </c>
      <c r="KE68" s="1" t="n">
        <f aca="false">IF(CE68=1,MAX(0,(Slot7_Cost-KD68*(1+Slot7_Rate)^(Slot7_Age-D68))/KA68),0)</f>
        <v>0</v>
      </c>
      <c r="KF68" s="1" t="n">
        <f aca="false">IF(CE68=1,MAX(0,(Slot7_Cost-CF68*(1+Slot7_Rate)^(Slot7_Age-D68))/KA68),0)</f>
        <v>0</v>
      </c>
      <c r="KG68" s="1" t="n">
        <f aca="false">IF(AND(HT68=1,CE68=1),MIN(JZ68,KE68),0)</f>
        <v>0</v>
      </c>
      <c r="KH68" s="1" t="n">
        <f aca="false">JZ68-KG68</f>
        <v>0</v>
      </c>
      <c r="KI68" s="1" t="n">
        <f aca="false">IF(CO68=1,IF(ABS((1+AS_Wage)/(1+Slot8_Rate)-1)&lt;0.000000000001,(Slot8_Age-D68)*(1+Slot8_Rate)^(Slot8_Age-D68),(1+Slot8_Rate)^(Slot8_Age-D68)*(1-((1+AS_Wage)/(1+Slot8_Rate))^(Slot8_Age-D68))/(1-(1+AS_Wage)/(1+Slot8_Rate))),1)</f>
        <v>1</v>
      </c>
      <c r="KJ68" s="1" t="n">
        <f aca="false">IF(AND(HT68=1,ID68&gt;0,Slot8_IsWG=1,CO68=1),MAX(0,(Slot8_Cost-CP68*(1+Slot8_Rate)^(Slot8_Age-D68))/KI68),0)</f>
        <v>0</v>
      </c>
      <c r="KK68" s="1" t="n">
        <f aca="false">IF(AND(HT68=1,ID68&gt;0,Slot8_IsWG=1,CO68=1),MIN(ID68,KJ68),0)</f>
        <v>0</v>
      </c>
      <c r="KL68" s="1" t="n">
        <f aca="false">CP68+KK68</f>
        <v>0</v>
      </c>
      <c r="KM68" s="1" t="n">
        <f aca="false">IF(CO68=1,MAX(0,(Slot8_Cost-KL68*(1+Slot8_Rate)^(Slot8_Age-D68))/KI68),0)</f>
        <v>0</v>
      </c>
      <c r="KN68" s="1" t="n">
        <f aca="false">IF(CO68=1,MAX(0,(Slot8_Cost-CP68*(1+Slot8_Rate)^(Slot8_Age-D68))/KI68),0)</f>
        <v>0</v>
      </c>
      <c r="KO68" s="1" t="n">
        <f aca="false">IF(AND(HT68=1,CO68=1),MIN(KH68,KM68),0)</f>
        <v>0</v>
      </c>
      <c r="KP68" s="1" t="n">
        <f aca="false">KH68-KO68</f>
        <v>0</v>
      </c>
      <c r="KQ68" s="1" t="n">
        <f aca="false">IF(CY68=1,IF(ABS((1+AS_Wage)/(1+Slot9_Rate)-1)&lt;0.000000000001,(Slot9_Age-D68)*(1+Slot9_Rate)^(Slot9_Age-D68),(1+Slot9_Rate)^(Slot9_Age-D68)*(1-((1+AS_Wage)/(1+Slot9_Rate))^(Slot9_Age-D68))/(1-(1+AS_Wage)/(1+Slot9_Rate))),1)</f>
        <v>1</v>
      </c>
      <c r="KR68" s="1" t="n">
        <f aca="false">IF(AND(HT68=1,ID68&gt;0,Slot9_IsWG=1,CY68=1),MAX(0,(Slot9_Cost-CZ68*(1+Slot9_Rate)^(Slot9_Age-D68))/KQ68),0)</f>
        <v>0</v>
      </c>
      <c r="KS68" s="1" t="n">
        <f aca="false">IF(AND(HT68=1,ID68&gt;0,Slot9_IsWG=1,CY68=1),MIN(ID68,KR68),0)</f>
        <v>0</v>
      </c>
      <c r="KT68" s="1" t="n">
        <f aca="false">CZ68+KS68</f>
        <v>0</v>
      </c>
      <c r="KU68" s="1" t="n">
        <f aca="false">IF(CY68=1,MAX(0,(Slot9_Cost-KT68*(1+Slot9_Rate)^(Slot9_Age-D68))/KQ68),0)</f>
        <v>0</v>
      </c>
      <c r="KV68" s="1" t="n">
        <f aca="false">IF(CY68=1,MAX(0,(Slot9_Cost-CZ68*(1+Slot9_Rate)^(Slot9_Age-D68))/KQ68),0)</f>
        <v>0</v>
      </c>
      <c r="KW68" s="1" t="n">
        <f aca="false">IF(AND(HT68=1,CY68=1),MIN(KP68,KU68),0)</f>
        <v>0</v>
      </c>
      <c r="KX68" s="1" t="n">
        <f aca="false">KP68-KW68</f>
        <v>0</v>
      </c>
      <c r="KY68" s="1" t="n">
        <f aca="false">IF(DI68=1,IF(ABS((1+AS_Wage)/(1+Slot10_Rate)-1)&lt;0.000000000001,(Slot10_Age-D68)*(1+Slot10_Rate)^(Slot10_Age-D68),(1+Slot10_Rate)^(Slot10_Age-D68)*(1-((1+AS_Wage)/(1+Slot10_Rate))^(Slot10_Age-D68))/(1-(1+AS_Wage)/(1+Slot10_Rate))),1)</f>
        <v>1</v>
      </c>
      <c r="KZ68" s="1" t="n">
        <f aca="false">IF(AND(HT68=1,ID68&gt;0,Slot10_IsWG=1,DI68=1),MAX(0,(Slot10_Cost-DJ68*(1+Slot10_Rate)^(Slot10_Age-D68))/KY68),0)</f>
        <v>0</v>
      </c>
      <c r="LA68" s="1" t="n">
        <f aca="false">IF(AND(HT68=1,ID68&gt;0,Slot10_IsWG=1,DI68=1),MIN(ID68,KZ68),0)</f>
        <v>0</v>
      </c>
      <c r="LB68" s="1" t="n">
        <f aca="false">DJ68+LA68</f>
        <v>0</v>
      </c>
      <c r="LC68" s="1" t="n">
        <f aca="false">IF(DI68=1,MAX(0,(Slot10_Cost-LB68*(1+Slot10_Rate)^(Slot10_Age-D68))/KY68),0)</f>
        <v>0</v>
      </c>
      <c r="LD68" s="1" t="n">
        <f aca="false">IF(DI68=1,MAX(0,(Slot10_Cost-DJ68*(1+Slot10_Rate)^(Slot10_Age-D68))/KY68),0)</f>
        <v>0</v>
      </c>
      <c r="LE68" s="1" t="n">
        <f aca="false">IF(AND(HT68=1,DI68=1),MIN(KX68,LC68),0)</f>
        <v>0</v>
      </c>
      <c r="LF68" s="1" t="n">
        <f aca="false">KX68-LE68</f>
        <v>0</v>
      </c>
      <c r="LG68" s="1" t="n">
        <f aca="false">IF(DS68=1,IF(ABS((1+AS_Wage)/(1+Slot11_Rate)-1)&lt;0.000000000001,(Slot11_Age-D68)*(1+Slot11_Rate)^(Slot11_Age-D68),(1+Slot11_Rate)^(Slot11_Age-D68)*(1-((1+AS_Wage)/(1+Slot11_Rate))^(Slot11_Age-D68))/(1-(1+AS_Wage)/(1+Slot11_Rate))),1)</f>
        <v>1</v>
      </c>
      <c r="LH68" s="1" t="n">
        <f aca="false">IF(AND(HT68=1,ID68&gt;0,Slot11_IsWG=1,DS68=1),MAX(0,(Slot11_Cost-DT68*(1+Slot11_Rate)^(Slot11_Age-D68))/LG68),0)</f>
        <v>0</v>
      </c>
      <c r="LI68" s="1" t="n">
        <f aca="false">IF(AND(HT68=1,ID68&gt;0,Slot11_IsWG=1,DS68=1),MIN(ID68,LH68),0)</f>
        <v>0</v>
      </c>
      <c r="LJ68" s="1" t="n">
        <f aca="false">DT68+LI68</f>
        <v>0</v>
      </c>
      <c r="LK68" s="1" t="n">
        <f aca="false">IF(DS68=1,MAX(0,(Slot11_Cost-LJ68*(1+Slot11_Rate)^(Slot11_Age-D68))/LG68),0)</f>
        <v>0</v>
      </c>
      <c r="LL68" s="1" t="n">
        <f aca="false">IF(DS68=1,MAX(0,(Slot11_Cost-DT68*(1+Slot11_Rate)^(Slot11_Age-D68))/LG68),0)</f>
        <v>0</v>
      </c>
      <c r="LM68" s="1" t="n">
        <f aca="false">IF(AND(HT68=1,DS68=1),MIN(LF68,LK68),0)</f>
        <v>0</v>
      </c>
      <c r="LN68" s="1" t="n">
        <f aca="false">LF68-LM68</f>
        <v>0</v>
      </c>
      <c r="LO68" s="1" t="n">
        <f aca="false">IF(EC68=1,IF(ABS((1+AS_Wage)/(1+Slot12_Rate)-1)&lt;0.000000000001,(Slot12_Age-D68)*(1+Slot12_Rate)^(Slot12_Age-D68),(1+Slot12_Rate)^(Slot12_Age-D68)*(1-((1+AS_Wage)/(1+Slot12_Rate))^(Slot12_Age-D68))/(1-(1+AS_Wage)/(1+Slot12_Rate))),1)</f>
        <v>1</v>
      </c>
      <c r="LP68" s="1" t="n">
        <f aca="false">IF(AND(HT68=1,ID68&gt;0,Slot12_IsWG=1,EC68=1),MAX(0,(Slot12_Cost-ED68*(1+Slot12_Rate)^(Slot12_Age-D68))/LO68),0)</f>
        <v>0</v>
      </c>
      <c r="LQ68" s="1" t="n">
        <f aca="false">IF(AND(HT68=1,ID68&gt;0,Slot12_IsWG=1,EC68=1),MIN(ID68,LP68),0)</f>
        <v>0</v>
      </c>
      <c r="LR68" s="1" t="n">
        <f aca="false">ED68+LQ68</f>
        <v>0</v>
      </c>
      <c r="LS68" s="1" t="n">
        <f aca="false">IF(EC68=1,MAX(0,(Slot12_Cost-LR68*(1+Slot12_Rate)^(Slot12_Age-D68))/LO68),0)</f>
        <v>0</v>
      </c>
      <c r="LT68" s="1" t="n">
        <f aca="false">IF(EC68=1,MAX(0,(Slot12_Cost-ED68*(1+Slot12_Rate)^(Slot12_Age-D68))/LO68),0)</f>
        <v>0</v>
      </c>
      <c r="LU68" s="1" t="n">
        <f aca="false">IF(AND(HT68=1,EC68=1),MIN(LN68,LS68),0)</f>
        <v>0</v>
      </c>
      <c r="LV68" s="1" t="n">
        <f aca="false">LN68-LU68</f>
        <v>0</v>
      </c>
      <c r="LW68" s="1" t="n">
        <f aca="false">IF(EM68=1,IF(ABS((1+AS_Wage)/(1+Slot13_Rate)-1)&lt;0.000000000001,(Slot13_Age-D68)*(1+Slot13_Rate)^(Slot13_Age-D68),(1+Slot13_Rate)^(Slot13_Age-D68)*(1-((1+AS_Wage)/(1+Slot13_Rate))^(Slot13_Age-D68))/(1-(1+AS_Wage)/(1+Slot13_Rate))),1)</f>
        <v>1</v>
      </c>
      <c r="LX68" s="1" t="n">
        <f aca="false">IF(AND(HT68=1,ID68&gt;0,Slot13_IsWG=1,EM68=1),MAX(0,(Slot13_Cost-EN68*(1+Slot13_Rate)^(Slot13_Age-D68))/LW68),0)</f>
        <v>0</v>
      </c>
      <c r="LY68" s="1" t="n">
        <f aca="false">IF(AND(HT68=1,ID68&gt;0,Slot13_IsWG=1,EM68=1),MIN(ID68,LX68),0)</f>
        <v>0</v>
      </c>
      <c r="LZ68" s="1" t="n">
        <f aca="false">EN68+LY68</f>
        <v>0</v>
      </c>
      <c r="MA68" s="1" t="n">
        <f aca="false">IF(EM68=1,MAX(0,(Slot13_Cost-LZ68*(1+Slot13_Rate)^(Slot13_Age-D68))/LW68),0)</f>
        <v>0</v>
      </c>
      <c r="MB68" s="1" t="n">
        <f aca="false">IF(EM68=1,MAX(0,(Slot13_Cost-EN68*(1+Slot13_Rate)^(Slot13_Age-D68))/LW68),0)</f>
        <v>0</v>
      </c>
      <c r="MC68" s="1" t="n">
        <f aca="false">IF(AND(HT68=1,EM68=1),MIN(LV68,MA68),0)</f>
        <v>0</v>
      </c>
      <c r="MD68" s="1" t="n">
        <f aca="false">LV68-MC68</f>
        <v>0</v>
      </c>
      <c r="ME68" s="1" t="n">
        <f aca="false">IF(EW68=1,IF(ABS((1+AS_Wage)/(1+Slot14_Rate)-1)&lt;0.000000000001,(Slot14_Age-D68)*(1+Slot14_Rate)^(Slot14_Age-D68),(1+Slot14_Rate)^(Slot14_Age-D68)*(1-((1+AS_Wage)/(1+Slot14_Rate))^(Slot14_Age-D68))/(1-(1+AS_Wage)/(1+Slot14_Rate))),1)</f>
        <v>1</v>
      </c>
      <c r="MF68" s="1" t="n">
        <f aca="false">IF(AND(HT68=1,ID68&gt;0,Slot14_IsWG=1,EW68=1),MAX(0,(Slot14_Cost-EX68*(1+Slot14_Rate)^(Slot14_Age-D68))/ME68),0)</f>
        <v>0</v>
      </c>
      <c r="MG68" s="1" t="n">
        <f aca="false">IF(AND(HT68=1,ID68&gt;0,Slot14_IsWG=1,EW68=1),MIN(ID68,MF68),0)</f>
        <v>0</v>
      </c>
      <c r="MH68" s="1" t="n">
        <f aca="false">EX68+MG68</f>
        <v>0</v>
      </c>
      <c r="MI68" s="1" t="n">
        <f aca="false">IF(EW68=1,MAX(0,(Slot14_Cost-MH68*(1+Slot14_Rate)^(Slot14_Age-D68))/ME68),0)</f>
        <v>0</v>
      </c>
      <c r="MJ68" s="1" t="n">
        <f aca="false">IF(EW68=1,MAX(0,(Slot14_Cost-EX68*(1+Slot14_Rate)^(Slot14_Age-D68))/ME68),0)</f>
        <v>0</v>
      </c>
      <c r="MK68" s="1" t="n">
        <f aca="false">IF(AND(HT68=1,EW68=1),MIN(MD68,MI68),0)</f>
        <v>0</v>
      </c>
      <c r="ML68" s="1" t="n">
        <f aca="false">MD68-MK68</f>
        <v>0</v>
      </c>
      <c r="MM68" s="1" t="n">
        <f aca="false">IF(FG68=1,IF(ABS((1+AS_Wage)/(1+Slot15_Rate)-1)&lt;0.000000000001,(Slot15_Age-D68)*(1+Slot15_Rate)^(Slot15_Age-D68),(1+Slot15_Rate)^(Slot15_Age-D68)*(1-((1+AS_Wage)/(1+Slot15_Rate))^(Slot15_Age-D68))/(1-(1+AS_Wage)/(1+Slot15_Rate))),1)</f>
        <v>1</v>
      </c>
      <c r="MN68" s="1" t="n">
        <f aca="false">IF(AND(HT68=1,ID68&gt;0,Slot15_IsWG=1,FG68=1),MAX(0,(Slot15_Cost-FH68*(1+Slot15_Rate)^(Slot15_Age-D68))/MM68),0)</f>
        <v>0</v>
      </c>
      <c r="MO68" s="1" t="n">
        <f aca="false">IF(AND(HT68=1,ID68&gt;0,Slot15_IsWG=1,FG68=1),MIN(ID68,MN68),0)</f>
        <v>0</v>
      </c>
      <c r="MP68" s="1" t="n">
        <f aca="false">FH68+MO68</f>
        <v>0</v>
      </c>
      <c r="MQ68" s="1" t="n">
        <f aca="false">IF(FG68=1,MAX(0,(Slot15_Cost-MP68*(1+Slot15_Rate)^(Slot15_Age-D68))/MM68),0)</f>
        <v>0</v>
      </c>
      <c r="MR68" s="1" t="n">
        <f aca="false">IF(FG68=1,MAX(0,(Slot15_Cost-FH68*(1+Slot15_Rate)^(Slot15_Age-D68))/MM68),0)</f>
        <v>0</v>
      </c>
      <c r="MS68" s="1" t="n">
        <f aca="false">IF(AND(HT68=1,FG68=1),MIN(ML68,MQ68),0)</f>
        <v>0</v>
      </c>
      <c r="MT68" s="1" t="n">
        <f aca="false">ML68-MS68</f>
        <v>0</v>
      </c>
      <c r="MU68" s="1" t="n">
        <f aca="false">IF(FQ68=1,IF(ABS((1+AS_Wage)/(1+Slot16_Rate)-1)&lt;0.000000000001,(Slot16_Age-D68)*(1+Slot16_Rate)^(Slot16_Age-D68),(1+Slot16_Rate)^(Slot16_Age-D68)*(1-((1+AS_Wage)/(1+Slot16_Rate))^(Slot16_Age-D68))/(1-(1+AS_Wage)/(1+Slot16_Rate))),1)</f>
        <v>1</v>
      </c>
      <c r="MV68" s="1" t="n">
        <f aca="false">IF(AND(HT68=1,ID68&gt;0,Slot16_IsWG=1,FQ68=1),MAX(0,(Slot16_Cost-FR68*(1+Slot16_Rate)^(Slot16_Age-D68))/MU68),0)</f>
        <v>0</v>
      </c>
      <c r="MW68" s="1" t="n">
        <f aca="false">IF(AND(HT68=1,ID68&gt;0,Slot16_IsWG=1,FQ68=1),MIN(ID68,MV68),0)</f>
        <v>0</v>
      </c>
      <c r="MX68" s="1" t="n">
        <f aca="false">FR68+MW68</f>
        <v>0</v>
      </c>
      <c r="MY68" s="1" t="n">
        <f aca="false">IF(FQ68=1,MAX(0,(Slot16_Cost-MX68*(1+Slot16_Rate)^(Slot16_Age-D68))/MU68),0)</f>
        <v>0</v>
      </c>
      <c r="MZ68" s="1" t="n">
        <f aca="false">IF(FQ68=1,MAX(0,(Slot16_Cost-FR68*(1+Slot16_Rate)^(Slot16_Age-D68))/MU68),0)</f>
        <v>0</v>
      </c>
      <c r="NA68" s="1" t="n">
        <f aca="false">IF(AND(HT68=1,FQ68=1),MIN(MT68,MY68),0)</f>
        <v>0</v>
      </c>
      <c r="NB68" s="1" t="n">
        <f aca="false">MT68-NA68</f>
        <v>0</v>
      </c>
      <c r="NC68" s="1" t="n">
        <f aca="false">IF(GA68=1,IF(ABS((1+AS_Wage)/(1+Slot17_Rate)-1)&lt;0.000000000001,(Slot17_Age-D68)*(1+Slot17_Rate)^(Slot17_Age-D68),(1+Slot17_Rate)^(Slot17_Age-D68)*(1-((1+AS_Wage)/(1+Slot17_Rate))^(Slot17_Age-D68))/(1-(1+AS_Wage)/(1+Slot17_Rate))),1)</f>
        <v>1</v>
      </c>
      <c r="ND68" s="1" t="n">
        <f aca="false">IF(AND(HT68=1,ID68&gt;0,Slot17_IsWG=1,GA68=1),MAX(0,(Slot17_Cost-GB68*(1+Slot17_Rate)^(Slot17_Age-D68))/NC68),0)</f>
        <v>0</v>
      </c>
      <c r="NE68" s="1" t="n">
        <f aca="false">IF(AND(HT68=1,ID68&gt;0,Slot17_IsWG=1,GA68=1),MIN(ID68,ND68),0)</f>
        <v>0</v>
      </c>
      <c r="NF68" s="1" t="n">
        <f aca="false">GB68+NE68</f>
        <v>0</v>
      </c>
      <c r="NG68" s="1" t="n">
        <f aca="false">IF(GA68=1,MAX(0,(Slot17_Cost-NF68*(1+Slot17_Rate)^(Slot17_Age-D68))/NC68),0)</f>
        <v>0</v>
      </c>
      <c r="NH68" s="1" t="n">
        <f aca="false">IF(GA68=1,MAX(0,(Slot17_Cost-GB68*(1+Slot17_Rate)^(Slot17_Age-D68))/NC68),0)</f>
        <v>0</v>
      </c>
      <c r="NI68" s="1" t="n">
        <f aca="false">IF(AND(HT68=1,GA68=1),MIN(NB68,NG68),0)</f>
        <v>0</v>
      </c>
      <c r="NJ68" s="1" t="n">
        <f aca="false">NB68-NI68</f>
        <v>0</v>
      </c>
      <c r="NK68" s="1" t="n">
        <f aca="false">IF(GK68=1,IF(ABS((1+AS_Wage)/(1+Slot18_Rate)-1)&lt;0.000000000001,(Slot18_Age-D68)*(1+Slot18_Rate)^(Slot18_Age-D68),(1+Slot18_Rate)^(Slot18_Age-D68)*(1-((1+AS_Wage)/(1+Slot18_Rate))^(Slot18_Age-D68))/(1-(1+AS_Wage)/(1+Slot18_Rate))),1)</f>
        <v>1</v>
      </c>
      <c r="NL68" s="1" t="n">
        <f aca="false">IF(AND(HT68=1,ID68&gt;0,Slot18_IsWG=1,GK68=1),MAX(0,(Slot18_Cost-GL68*(1+Slot18_Rate)^(Slot18_Age-D68))/NK68),0)</f>
        <v>0</v>
      </c>
      <c r="NM68" s="1" t="n">
        <f aca="false">IF(AND(HT68=1,ID68&gt;0,Slot18_IsWG=1,GK68=1),MIN(ID68,NL68),0)</f>
        <v>0</v>
      </c>
      <c r="NN68" s="1" t="n">
        <f aca="false">GL68+NM68</f>
        <v>0</v>
      </c>
      <c r="NO68" s="1" t="n">
        <f aca="false">IF(GK68=1,MAX(0,(Slot18_Cost-NN68*(1+Slot18_Rate)^(Slot18_Age-D68))/NK68),0)</f>
        <v>0</v>
      </c>
      <c r="NP68" s="1" t="n">
        <f aca="false">IF(GK68=1,MAX(0,(Slot18_Cost-GL68*(1+Slot18_Rate)^(Slot18_Age-D68))/NK68),0)</f>
        <v>0</v>
      </c>
      <c r="NQ68" s="1" t="n">
        <f aca="false">IF(AND(HT68=1,GK68=1),MIN(NJ68,NO68),0)</f>
        <v>0</v>
      </c>
      <c r="NR68" s="1" t="n">
        <f aca="false">NJ68-NQ68</f>
        <v>0</v>
      </c>
      <c r="NS68" s="1" t="n">
        <f aca="false">IF(GU68=1,IF(ABS((1+AS_Wage)/(1+Slot19_Rate)-1)&lt;0.000000000001,(Slot19_Age-D68)*(1+Slot19_Rate)^(Slot19_Age-D68),(1+Slot19_Rate)^(Slot19_Age-D68)*(1-((1+AS_Wage)/(1+Slot19_Rate))^(Slot19_Age-D68))/(1-(1+AS_Wage)/(1+Slot19_Rate))),1)</f>
        <v>1</v>
      </c>
      <c r="NT68" s="1" t="n">
        <f aca="false">IF(AND(HT68=1,ID68&gt;0,Slot19_IsWG=1,GU68=1),MAX(0,(Slot19_Cost-GV68*(1+Slot19_Rate)^(Slot19_Age-D68))/NS68),0)</f>
        <v>0</v>
      </c>
      <c r="NU68" s="1" t="n">
        <f aca="false">IF(AND(HT68=1,ID68&gt;0,Slot19_IsWG=1,GU68=1),MIN(ID68,NT68),0)</f>
        <v>0</v>
      </c>
      <c r="NV68" s="1" t="n">
        <f aca="false">GV68+NU68</f>
        <v>0</v>
      </c>
      <c r="NW68" s="1" t="n">
        <f aca="false">IF(GU68=1,MAX(0,(Slot19_Cost-NV68*(1+Slot19_Rate)^(Slot19_Age-D68))/NS68),0)</f>
        <v>0</v>
      </c>
      <c r="NX68" s="1" t="n">
        <f aca="false">IF(GU68=1,MAX(0,(Slot19_Cost-GV68*(1+Slot19_Rate)^(Slot19_Age-D68))/NS68),0)</f>
        <v>0</v>
      </c>
      <c r="NY68" s="1" t="n">
        <f aca="false">IF(AND(HT68=1,GU68=1),MIN(NR68,NW68),0)</f>
        <v>0</v>
      </c>
      <c r="NZ68" s="1" t="n">
        <f aca="false">NR68-NY68</f>
        <v>0</v>
      </c>
      <c r="OA68" s="1" t="n">
        <f aca="false">IF(HE68=1,IF(ABS((1+AS_Wage)/(1+Slot20_Rate)-1)&lt;0.000000000001,(Slot20_Age-D68)*(1+Slot20_Rate)^(Slot20_Age-D68),(1+Slot20_Rate)^(Slot20_Age-D68)*(1-((1+AS_Wage)/(1+Slot20_Rate))^(Slot20_Age-D68))/(1-(1+AS_Wage)/(1+Slot20_Rate))),1)</f>
        <v>1</v>
      </c>
      <c r="OB68" s="1" t="n">
        <f aca="false">IF(AND(HT68=1,ID68&gt;0,Slot20_IsWG=1,HE68=1),MAX(0,(Slot20_Cost-HF68*(1+Slot20_Rate)^(Slot20_Age-D68))/OA68),0)</f>
        <v>0</v>
      </c>
      <c r="OC68" s="1" t="n">
        <f aca="false">IF(AND(HT68=1,ID68&gt;0,Slot20_IsWG=1,HE68=1),MIN(ID68,OB68),0)</f>
        <v>0</v>
      </c>
      <c r="OD68" s="1" t="n">
        <f aca="false">HF68+OC68</f>
        <v>0</v>
      </c>
      <c r="OE68" s="1" t="n">
        <f aca="false">IF(HE68=1,MAX(0,(Slot20_Cost-OD68*(1+Slot20_Rate)^(Slot20_Age-D68))/OA68),0)</f>
        <v>0</v>
      </c>
      <c r="OF68" s="1" t="n">
        <f aca="false">IF(HE68=1,MAX(0,(Slot20_Cost-HF68*(1+Slot20_Rate)^(Slot20_Age-D68))/OA68),0)</f>
        <v>0</v>
      </c>
      <c r="OG68" s="1" t="n">
        <f aca="false">IF(AND(HT68=1,HE68=1),MIN(NZ68,OE68),0)</f>
        <v>0</v>
      </c>
      <c r="OH68" s="1" t="n">
        <f aca="false">NZ68-OG68</f>
        <v>0</v>
      </c>
      <c r="OI68" s="1" t="n">
        <f aca="false">ID68-(IG68+IO68+IW68+JE68+JM68+JU68+KC68+KK68+KS68+LA68+LI68+LQ68+LY68+MG68+MO68+MW68+NE68+NM68+NU68+OC68)</f>
        <v>0</v>
      </c>
      <c r="OJ68" s="1" t="n">
        <f aca="false">IF(HT68=1,HR68-IC68-ID68,0)</f>
        <v>0</v>
      </c>
      <c r="OK68" s="1" t="n">
        <f aca="false">IF(HT68=0,-HR68,0)</f>
        <v>0</v>
      </c>
      <c r="OL68" s="1" t="n">
        <f aca="false">MIN(OK68,HJ68)</f>
        <v>0</v>
      </c>
      <c r="OM68" s="1" t="n">
        <f aca="false">OK68-OL68</f>
        <v>0</v>
      </c>
      <c r="ON68" s="1" t="n">
        <f aca="false">MIN(OM68,HK68)</f>
        <v>0</v>
      </c>
      <c r="OO68" s="1" t="n">
        <f aca="false">OM68-ON68</f>
        <v>0</v>
      </c>
      <c r="OP68" s="1" t="n">
        <f aca="false">IF(AND(HT68=0,HE68=1,OO68&gt;0),MIN(OO68,HF68),0)</f>
        <v>0</v>
      </c>
      <c r="OQ68" s="1" t="n">
        <f aca="false">OO68-OP68</f>
        <v>0</v>
      </c>
      <c r="OR68" s="1" t="n">
        <f aca="false">IF(AND(HT68=0,GU68=1,OQ68&gt;0),MIN(OQ68,GV68),0)</f>
        <v>0</v>
      </c>
      <c r="OS68" s="1" t="n">
        <f aca="false">OQ68-OR68</f>
        <v>0</v>
      </c>
      <c r="OT68" s="1" t="n">
        <f aca="false">IF(AND(HT68=0,GK68=1,OS68&gt;0),MIN(OS68,GL68),0)</f>
        <v>0</v>
      </c>
      <c r="OU68" s="1" t="n">
        <f aca="false">OS68-OT68</f>
        <v>0</v>
      </c>
      <c r="OV68" s="1" t="n">
        <f aca="false">IF(AND(HT68=0,GA68=1,OU68&gt;0),MIN(OU68,GB68),0)</f>
        <v>0</v>
      </c>
      <c r="OW68" s="1" t="n">
        <f aca="false">OU68-OV68</f>
        <v>0</v>
      </c>
      <c r="OX68" s="1" t="n">
        <f aca="false">IF(AND(HT68=0,FQ68=1,OW68&gt;0),MIN(OW68,FR68),0)</f>
        <v>0</v>
      </c>
      <c r="OY68" s="1" t="n">
        <f aca="false">OW68-OX68</f>
        <v>0</v>
      </c>
      <c r="OZ68" s="1" t="n">
        <f aca="false">IF(AND(HT68=0,FG68=1,OY68&gt;0),MIN(OY68,FH68),0)</f>
        <v>0</v>
      </c>
      <c r="PA68" s="1" t="n">
        <f aca="false">OY68-OZ68</f>
        <v>0</v>
      </c>
      <c r="PB68" s="1" t="n">
        <f aca="false">IF(AND(HT68=0,EW68=1,PA68&gt;0),MIN(PA68,EX68),0)</f>
        <v>0</v>
      </c>
      <c r="PC68" s="1" t="n">
        <f aca="false">PA68-PB68</f>
        <v>0</v>
      </c>
      <c r="PD68" s="1" t="n">
        <f aca="false">IF(AND(HT68=0,EM68=1,PC68&gt;0),MIN(PC68,EN68),0)</f>
        <v>0</v>
      </c>
      <c r="PE68" s="1" t="n">
        <f aca="false">PC68-PD68</f>
        <v>0</v>
      </c>
      <c r="PF68" s="1" t="n">
        <f aca="false">IF(AND(HT68=0,EC68=1,PE68&gt;0),MIN(PE68,ED68),0)</f>
        <v>0</v>
      </c>
      <c r="PG68" s="1" t="n">
        <f aca="false">PE68-PF68</f>
        <v>0</v>
      </c>
      <c r="PH68" s="1" t="n">
        <f aca="false">IF(AND(HT68=0,DS68=1,PG68&gt;0),MIN(PG68,DT68),0)</f>
        <v>0</v>
      </c>
      <c r="PI68" s="1" t="n">
        <f aca="false">PG68-PH68</f>
        <v>0</v>
      </c>
      <c r="PJ68" s="1" t="n">
        <f aca="false">IF(AND(HT68=0,DI68=1,PI68&gt;0),MIN(PI68,DJ68),0)</f>
        <v>0</v>
      </c>
      <c r="PK68" s="1" t="n">
        <f aca="false">PI68-PJ68</f>
        <v>0</v>
      </c>
      <c r="PL68" s="1" t="n">
        <f aca="false">IF(AND(HT68=0,CY68=1,PK68&gt;0),MIN(PK68,CZ68),0)</f>
        <v>0</v>
      </c>
      <c r="PM68" s="1" t="n">
        <f aca="false">PK68-PL68</f>
        <v>0</v>
      </c>
      <c r="PN68" s="1" t="n">
        <f aca="false">IF(AND(HT68=0,CO68=1,PM68&gt;0),MIN(PM68,CP68),0)</f>
        <v>0</v>
      </c>
      <c r="PO68" s="1" t="n">
        <f aca="false">PM68-PN68</f>
        <v>0</v>
      </c>
      <c r="PP68" s="1" t="n">
        <f aca="false">IF(AND(HT68=0,CE68=1,PO68&gt;0),MIN(PO68,CF68),0)</f>
        <v>0</v>
      </c>
      <c r="PQ68" s="1" t="n">
        <f aca="false">PO68-PP68</f>
        <v>0</v>
      </c>
      <c r="PR68" s="1" t="n">
        <f aca="false">IF(AND(HT68=0,BU68=1,PQ68&gt;0),MIN(PQ68,BV68),0)</f>
        <v>0</v>
      </c>
      <c r="PS68" s="1" t="n">
        <f aca="false">PQ68-PR68</f>
        <v>0</v>
      </c>
      <c r="PT68" s="1" t="n">
        <f aca="false">IF(AND(HT68=0,BK68=1,PS68&gt;0),MIN(PS68,BL68),0)</f>
        <v>0</v>
      </c>
      <c r="PU68" s="1" t="n">
        <f aca="false">PS68-PT68</f>
        <v>0</v>
      </c>
      <c r="PV68" s="1" t="n">
        <f aca="false">IF(AND(HT68=0,BA68=1,PU68&gt;0),MIN(PU68,BB68),0)</f>
        <v>0</v>
      </c>
      <c r="PW68" s="1" t="n">
        <f aca="false">PU68-PV68</f>
        <v>0</v>
      </c>
      <c r="PX68" s="1" t="n">
        <f aca="false">IF(AND(HT68=0,AQ68=1,PW68&gt;0),MIN(PW68,AR68),0)</f>
        <v>0</v>
      </c>
      <c r="PY68" s="1" t="n">
        <f aca="false">PW68-PX68</f>
        <v>0</v>
      </c>
      <c r="PZ68" s="1" t="n">
        <f aca="false">IF(AND(HT68=0,AG68=1,PY68&gt;0),MIN(PY68,AH68),0)</f>
        <v>0</v>
      </c>
      <c r="QA68" s="1" t="n">
        <f aca="false">PY68-PZ68</f>
        <v>0</v>
      </c>
      <c r="QB68" s="1" t="n">
        <f aca="false">IF(AND(HT68=0,V68=1,QA68&gt;0),MIN(QA68,W68),0)</f>
        <v>0</v>
      </c>
      <c r="QC68" s="1" t="n">
        <f aca="false">QA68-QB68</f>
        <v>0</v>
      </c>
      <c r="QD68" s="1" t="n">
        <f aca="false">IF(HT68=0,QC68,0)</f>
        <v>0</v>
      </c>
      <c r="QE68" s="1" t="n">
        <f aca="false">OL68+ON68+QB68+PZ68+PX68+PV68+PT68+PR68+PP68+PN68+PL68+PJ68+PH68+PF68+PD68+PB68+OZ68+OX68+OV68+OT68+OR68+OP68</f>
        <v>0</v>
      </c>
      <c r="QF68" s="1" t="n">
        <f aca="false">IF(HT68=1,HJ68+OI68+OH68+IF(F68=1,0,OJ68),HJ68-OL68)</f>
        <v>0</v>
      </c>
      <c r="QG68" s="1" t="n">
        <f aca="false">HK68-ON68</f>
        <v>0</v>
      </c>
      <c r="QH68" s="1" t="n">
        <f aca="false">IF(HT68=1,IF(F68=1,IC68+ID68,HR68),0)</f>
        <v>0</v>
      </c>
      <c r="QI68" s="1" t="n">
        <f aca="false">IF(HT68=1,IF(F68=1,HR68-IC68-ID68,0),0)</f>
        <v>0</v>
      </c>
      <c r="QJ68" s="1" t="n">
        <f aca="false">QF68*(1+GR)</f>
        <v>0</v>
      </c>
      <c r="QK68" s="1" t="n">
        <f aca="false">QG68*(1+AS_Cash)</f>
        <v>0</v>
      </c>
      <c r="QL68" s="1" t="n">
        <f aca="false">IF(V68=1,IF(HT68=1,IH68+IK68,W68-QB68)*(1+Slot1_Rate),0)</f>
        <v>0</v>
      </c>
      <c r="QM68" s="1" t="n">
        <f aca="false">IF(AND(HT68=1,V68=1),(IG68+IK68)/E68,0)</f>
        <v>0</v>
      </c>
      <c r="QN68" s="1" t="n">
        <f aca="false">IF(B68=0,IG68+IK68,0)</f>
        <v>0</v>
      </c>
      <c r="QO68" s="1" t="n">
        <f aca="false">IF(B68=0,IF(HT68=1,II68,IJ68),0)</f>
        <v>0</v>
      </c>
      <c r="QP68" s="1" t="n">
        <f aca="false">IF(AG68=1,IF(HT68=1,IP68+IS68,AH68-PZ68)*(1+Slot2_Rate),0)</f>
        <v>0</v>
      </c>
      <c r="QQ68" s="1" t="n">
        <f aca="false">IF(AND(HT68=1,AG68=1),(IO68+IS68)/E68,0)</f>
        <v>0</v>
      </c>
      <c r="QR68" s="1" t="n">
        <f aca="false">IF(B68=0,IO68+IS68,0)</f>
        <v>0</v>
      </c>
      <c r="QS68" s="1" t="n">
        <f aca="false">IF(B68=0,IF(HT68=1,IQ68,IR68),0)</f>
        <v>0</v>
      </c>
      <c r="QT68" s="1" t="n">
        <f aca="false">IF(AQ68=1,IF(HT68=1,IX68+JA68,AR68-PX68)*(1+Slot3_Rate),0)</f>
        <v>0</v>
      </c>
      <c r="QU68" s="1" t="n">
        <f aca="false">IF(AND(HT68=1,AQ68=1),(IW68+JA68)/E68,0)</f>
        <v>0</v>
      </c>
      <c r="QV68" s="1" t="n">
        <f aca="false">IF(B68=0,IW68+JA68,0)</f>
        <v>0</v>
      </c>
      <c r="QW68" s="1" t="n">
        <f aca="false">IF(B68=0,IF(HT68=1,IY68,IZ68),0)</f>
        <v>0</v>
      </c>
      <c r="QX68" s="1" t="n">
        <f aca="false">IF(BA68=1,IF(HT68=1,JF68+JI68,BB68-PV68)*(1+Slot4_Rate),0)</f>
        <v>0</v>
      </c>
      <c r="QY68" s="1" t="n">
        <f aca="false">IF(AND(HT68=1,BA68=1),(JE68+JI68)/E68,0)</f>
        <v>0</v>
      </c>
      <c r="QZ68" s="1" t="n">
        <f aca="false">IF(B68=0,JE68+JI68,0)</f>
        <v>0</v>
      </c>
      <c r="RA68" s="1" t="n">
        <f aca="false">IF(B68=0,IF(HT68=1,JG68,JH68),0)</f>
        <v>0</v>
      </c>
      <c r="RB68" s="1" t="n">
        <f aca="false">IF(BK68=1,IF(HT68=1,JN68+JQ68,BL68-PT68)*(1+Slot5_Rate),0)</f>
        <v>0</v>
      </c>
      <c r="RC68" s="1" t="n">
        <f aca="false">IF(AND(HT68=1,BK68=1),(JM68+JQ68)/E68,0)</f>
        <v>0</v>
      </c>
      <c r="RD68" s="1" t="n">
        <f aca="false">IF(B68=0,JM68+JQ68,0)</f>
        <v>0</v>
      </c>
      <c r="RE68" s="1" t="n">
        <f aca="false">IF(B68=0,IF(HT68=1,JO68,JP68),0)</f>
        <v>0</v>
      </c>
      <c r="RF68" s="1" t="n">
        <f aca="false">IF(BU68=1,IF(HT68=1,JV68+JY68,BV68-PR68)*(1+Slot6_Rate),0)</f>
        <v>0</v>
      </c>
      <c r="RG68" s="1" t="n">
        <f aca="false">IF(AND(HT68=1,BU68=1),(JU68+JY68)/E68,0)</f>
        <v>0</v>
      </c>
      <c r="RH68" s="1" t="n">
        <f aca="false">IF(B68=0,JU68+JY68,0)</f>
        <v>0</v>
      </c>
      <c r="RI68" s="1" t="n">
        <f aca="false">IF(B68=0,IF(HT68=1,JW68,JX68),0)</f>
        <v>0</v>
      </c>
      <c r="RJ68" s="1" t="n">
        <f aca="false">IF(CE68=1,IF(HT68=1,KD68+KG68,CF68-PP68)*(1+Slot7_Rate),0)</f>
        <v>0</v>
      </c>
      <c r="RK68" s="1" t="n">
        <f aca="false">IF(AND(HT68=1,CE68=1),(KC68+KG68)/E68,0)</f>
        <v>0</v>
      </c>
      <c r="RL68" s="1" t="n">
        <f aca="false">IF(B68=0,KC68+KG68,0)</f>
        <v>0</v>
      </c>
      <c r="RM68" s="1" t="n">
        <f aca="false">IF(B68=0,IF(HT68=1,KE68,KF68),0)</f>
        <v>0</v>
      </c>
      <c r="RN68" s="1" t="n">
        <f aca="false">IF(CO68=1,IF(HT68=1,KL68+KO68,CP68-PN68)*(1+Slot8_Rate),0)</f>
        <v>0</v>
      </c>
      <c r="RO68" s="1" t="n">
        <f aca="false">IF(AND(HT68=1,CO68=1),(KK68+KO68)/E68,0)</f>
        <v>0</v>
      </c>
      <c r="RP68" s="1" t="n">
        <f aca="false">IF(B68=0,KK68+KO68,0)</f>
        <v>0</v>
      </c>
      <c r="RQ68" s="1" t="n">
        <f aca="false">IF(B68=0,IF(HT68=1,KM68,KN68),0)</f>
        <v>0</v>
      </c>
      <c r="RR68" s="1" t="n">
        <f aca="false">IF(CY68=1,IF(HT68=1,KT68+KW68,CZ68-PL68)*(1+Slot9_Rate),0)</f>
        <v>0</v>
      </c>
      <c r="RS68" s="1" t="n">
        <f aca="false">IF(AND(HT68=1,CY68=1),(KS68+KW68)/E68,0)</f>
        <v>0</v>
      </c>
      <c r="RT68" s="1" t="n">
        <f aca="false">IF(B68=0,KS68+KW68,0)</f>
        <v>0</v>
      </c>
      <c r="RU68" s="1" t="n">
        <f aca="false">IF(B68=0,IF(HT68=1,KU68,KV68),0)</f>
        <v>0</v>
      </c>
      <c r="RV68" s="1" t="n">
        <f aca="false">IF(DI68=1,IF(HT68=1,LB68+LE68,DJ68-PJ68)*(1+Slot10_Rate),0)</f>
        <v>0</v>
      </c>
      <c r="RW68" s="1" t="n">
        <f aca="false">IF(AND(HT68=1,DI68=1),(LA68+LE68)/E68,0)</f>
        <v>0</v>
      </c>
      <c r="RX68" s="1" t="n">
        <f aca="false">IF(B68=0,LA68+LE68,0)</f>
        <v>0</v>
      </c>
      <c r="RY68" s="1" t="n">
        <f aca="false">IF(B68=0,IF(HT68=1,LC68,LD68),0)</f>
        <v>0</v>
      </c>
      <c r="RZ68" s="1" t="n">
        <f aca="false">IF(DS68=1,IF(HT68=1,LJ68+LM68,DT68-PH68)*(1+Slot11_Rate),0)</f>
        <v>0</v>
      </c>
      <c r="SA68" s="1" t="n">
        <f aca="false">IF(AND(HT68=1,DS68=1),(LI68+LM68)/E68,0)</f>
        <v>0</v>
      </c>
      <c r="SB68" s="1" t="n">
        <f aca="false">IF(B68=0,LI68+LM68,0)</f>
        <v>0</v>
      </c>
      <c r="SC68" s="1" t="n">
        <f aca="false">IF(B68=0,IF(HT68=1,LK68,LL68),0)</f>
        <v>0</v>
      </c>
      <c r="SD68" s="1" t="n">
        <f aca="false">IF(EC68=1,IF(HT68=1,LR68+LU68,ED68-PF68)*(1+Slot12_Rate),0)</f>
        <v>0</v>
      </c>
      <c r="SE68" s="1" t="n">
        <f aca="false">IF(AND(HT68=1,EC68=1),(LQ68+LU68)/E68,0)</f>
        <v>0</v>
      </c>
      <c r="SF68" s="1" t="n">
        <f aca="false">IF(B68=0,LQ68+LU68,0)</f>
        <v>0</v>
      </c>
      <c r="SG68" s="1" t="n">
        <f aca="false">IF(B68=0,IF(HT68=1,LS68,LT68),0)</f>
        <v>0</v>
      </c>
      <c r="SH68" s="1" t="n">
        <f aca="false">IF(EM68=1,IF(HT68=1,LZ68+MC68,EN68-PD68)*(1+Slot13_Rate),0)</f>
        <v>0</v>
      </c>
      <c r="SI68" s="1" t="n">
        <f aca="false">IF(AND(HT68=1,EM68=1),(LY68+MC68)/E68,0)</f>
        <v>0</v>
      </c>
      <c r="SJ68" s="1" t="n">
        <f aca="false">IF(B68=0,LY68+MC68,0)</f>
        <v>0</v>
      </c>
      <c r="SK68" s="1" t="n">
        <f aca="false">IF(B68=0,IF(HT68=1,MA68,MB68),0)</f>
        <v>0</v>
      </c>
      <c r="SL68" s="1" t="n">
        <f aca="false">IF(EW68=1,IF(HT68=1,MH68+MK68,EX68-PB68)*(1+Slot14_Rate),0)</f>
        <v>0</v>
      </c>
      <c r="SM68" s="1" t="n">
        <f aca="false">IF(AND(HT68=1,EW68=1),(MG68+MK68)/E68,0)</f>
        <v>0</v>
      </c>
      <c r="SN68" s="1" t="n">
        <f aca="false">IF(B68=0,MG68+MK68,0)</f>
        <v>0</v>
      </c>
      <c r="SO68" s="1" t="n">
        <f aca="false">IF(B68=0,IF(HT68=1,MI68,MJ68),0)</f>
        <v>0</v>
      </c>
      <c r="SP68" s="1" t="n">
        <f aca="false">IF(FG68=1,IF(HT68=1,MP68+MS68,FH68-OZ68)*(1+Slot15_Rate),0)</f>
        <v>0</v>
      </c>
      <c r="SQ68" s="1" t="n">
        <f aca="false">IF(AND(HT68=1,FG68=1),(MO68+MS68)/E68,0)</f>
        <v>0</v>
      </c>
      <c r="SR68" s="1" t="n">
        <f aca="false">IF(B68=0,MO68+MS68,0)</f>
        <v>0</v>
      </c>
      <c r="SS68" s="1" t="n">
        <f aca="false">IF(B68=0,IF(HT68=1,MQ68,MR68),0)</f>
        <v>0</v>
      </c>
      <c r="ST68" s="1" t="n">
        <f aca="false">IF(FQ68=1,IF(HT68=1,MX68+NA68,FR68-OX68)*(1+Slot16_Rate),0)</f>
        <v>0</v>
      </c>
      <c r="SU68" s="1" t="n">
        <f aca="false">IF(AND(HT68=1,FQ68=1),(MW68+NA68)/E68,0)</f>
        <v>0</v>
      </c>
      <c r="SV68" s="1" t="n">
        <f aca="false">IF(B68=0,MW68+NA68,0)</f>
        <v>0</v>
      </c>
      <c r="SW68" s="1" t="n">
        <f aca="false">IF(B68=0,IF(HT68=1,MY68,MZ68),0)</f>
        <v>0</v>
      </c>
      <c r="SX68" s="1" t="n">
        <f aca="false">IF(GA68=1,IF(HT68=1,NF68+NI68,GB68-OV68)*(1+Slot17_Rate),0)</f>
        <v>0</v>
      </c>
      <c r="SY68" s="1" t="n">
        <f aca="false">IF(AND(HT68=1,GA68=1),(NE68+NI68)/E68,0)</f>
        <v>0</v>
      </c>
      <c r="SZ68" s="1" t="n">
        <f aca="false">IF(B68=0,NE68+NI68,0)</f>
        <v>0</v>
      </c>
      <c r="TA68" s="1" t="n">
        <f aca="false">IF(B68=0,IF(HT68=1,NG68,NH68),0)</f>
        <v>0</v>
      </c>
      <c r="TB68" s="1" t="n">
        <f aca="false">IF(GK68=1,IF(HT68=1,NN68+NQ68,GL68-OT68)*(1+Slot18_Rate),0)</f>
        <v>0</v>
      </c>
      <c r="TC68" s="1" t="n">
        <f aca="false">IF(AND(HT68=1,GK68=1),(NM68+NQ68)/E68,0)</f>
        <v>0</v>
      </c>
      <c r="TD68" s="1" t="n">
        <f aca="false">IF(B68=0,NM68+NQ68,0)</f>
        <v>0</v>
      </c>
      <c r="TE68" s="1" t="n">
        <f aca="false">IF(B68=0,IF(HT68=1,NO68,NP68),0)</f>
        <v>0</v>
      </c>
      <c r="TF68" s="1" t="n">
        <f aca="false">IF(GU68=1,IF(HT68=1,NV68+NY68,GV68-OR68)*(1+Slot19_Rate),0)</f>
        <v>0</v>
      </c>
      <c r="TG68" s="1" t="n">
        <f aca="false">IF(AND(HT68=1,GU68=1),(NU68+NY68)/E68,0)</f>
        <v>0</v>
      </c>
      <c r="TH68" s="1" t="n">
        <f aca="false">IF(B68=0,NU68+NY68,0)</f>
        <v>0</v>
      </c>
      <c r="TI68" s="1" t="n">
        <f aca="false">IF(B68=0,IF(HT68=1,NW68,NX68),0)</f>
        <v>0</v>
      </c>
      <c r="TJ68" s="1" t="n">
        <f aca="false">IF(HE68=1,IF(HT68=1,OD68+OG68,HF68-OP68)*(1+Slot20_Rate),0)</f>
        <v>0</v>
      </c>
      <c r="TK68" s="1" t="n">
        <f aca="false">IF(AND(HT68=1,HE68=1),(OC68+OG68)/E68,0)</f>
        <v>0</v>
      </c>
      <c r="TL68" s="1" t="n">
        <f aca="false">IF(B68=0,OC68+OG68,0)</f>
        <v>0</v>
      </c>
      <c r="TM68" s="1" t="n">
        <f aca="false">IF(B68=0,IF(HT68=1,OE68,OF68),0)</f>
        <v>0</v>
      </c>
      <c r="TN68" s="1" t="n">
        <f aca="false">QJ68+QK68+QL68+QP68+QT68+QX68+RB68+RF68+RJ68+RN68+RR68+RV68+RZ68+SD68+SH68+SL68+SP68+ST68+SX68+TB68+TF68+TJ68</f>
        <v>0</v>
      </c>
      <c r="TO68" s="1" t="n">
        <f aca="false">QD68+HO68</f>
        <v>0</v>
      </c>
      <c r="TP68" s="1" t="n">
        <f aca="false">H68+R68</f>
        <v>0</v>
      </c>
      <c r="TQ68" s="1" t="n">
        <f aca="false">1-F68</f>
        <v>0</v>
      </c>
      <c r="TR68" s="1" t="n">
        <f aca="false">IF(AND(RG_Exists=1,F68=0,C68=1),H68,0)</f>
        <v>0</v>
      </c>
      <c r="TS68" s="1" t="n">
        <f aca="false">IF(AND(RG_Exists=1,F68=0,C68=1),H68-MIN(QD68,H68),0)</f>
        <v>0</v>
      </c>
      <c r="TT68" s="1" t="n">
        <f aca="false">'Plan pay &amp; tax'!AD294</f>
        <v>0</v>
      </c>
      <c r="TU68" s="1" t="n">
        <f aca="false">IF(AND(C68=1,QD68&gt;MAX(PR_Short1,TP68*PR_Short2)),1,0)</f>
        <v>0</v>
      </c>
      <c r="TV68" s="1" t="n">
        <f aca="false">MIN(G68,H68+R68)</f>
        <v>0</v>
      </c>
      <c r="TW68" s="1" t="n">
        <f aca="false">QE68+MAX(0,HP68-HO68)</f>
        <v>0</v>
      </c>
      <c r="TX68" s="1" t="n">
        <f aca="false">QD68+HO68</f>
        <v>0</v>
      </c>
      <c r="TY68" s="1" t="n">
        <f aca="false">IF(AND(C68=1,TX68&gt;PR_MinShort),1,0)</f>
        <v>0</v>
      </c>
      <c r="TZ68" s="1" t="n">
        <f aca="false">IF(AND(C68=1,TY68=0,TW68&gt;PR_MinShort),1,0)</f>
        <v>0</v>
      </c>
      <c r="UA68" s="1" t="n">
        <f aca="false">IF(AND(C68=1,QD68&gt;PR_MinShort),1,0)</f>
        <v>0</v>
      </c>
      <c r="UB68" s="1" t="n">
        <f aca="false">IF(AND(C68=1,QE68&gt;1,UI68=0),1,0)</f>
        <v>0</v>
      </c>
      <c r="UC68" s="1" t="str">
        <f aca="false">IF(C68=0,"",IF(UI68=1,"Gap to plan for: short "&amp;"€"&amp;TEXT(ROUND(TO68,0),"#,##0"),IF(QE68&gt;1,"Using savings","Comfortable")))</f>
        <v>Comfortable</v>
      </c>
      <c r="UD68" s="1" t="n">
        <f aca="false">IF(AND(INT(D68/10)*10=90,B68&gt;0),80,INT(D68/10)*10)</f>
        <v>60</v>
      </c>
      <c r="UE68" s="1" t="n">
        <f aca="false">IF(B68=0,1,IF(UD68&lt;&gt;UD67,UE67+1,UE67))</f>
        <v>7</v>
      </c>
      <c r="UF68" s="1" t="n">
        <f aca="false">IF(AND(C68=1,F68=1,QD68&gt;MAX(PR_Short1,TP68*PR_Short2)),1,0)</f>
        <v>0</v>
      </c>
      <c r="UG68" s="1" t="n">
        <f aca="false">TQ68*TU68</f>
        <v>0</v>
      </c>
      <c r="UH68" s="1" t="n">
        <f aca="false">IF(AND(U68=1,Slot1_PctLow=1),1,0)+IF(AND(AF68=1,Slot2_PctLow=1),1,0)+IF(AND(AP68=1,Slot3_PctLow=1),1,0)+IF(AND(AZ68=1,Slot4_PctLow=1),1,0)+IF(AND(BJ68=1,Slot5_PctLow=1),1,0)+IF(AND(BT68=1,Slot6_PctLow=1),1,0)+IF(AND(CD68=1,Slot7_PctLow=1),1,0)+IF(AND(CN68=1,Slot8_PctLow=1),1,0)+IF(AND(CX68=1,Slot9_PctLow=1),1,0)+IF(AND(DH68=1,Slot10_PctLow=1),1,0)+IF(AND(DR68=1,Slot11_PctLow=1),1,0)+IF(AND(EB68=1,Slot12_PctLow=1),1,0)+IF(AND(EL68=1,Slot13_PctLow=1),1,0)+IF(AND(EV68=1,Slot14_PctLow=1),1,0)+IF(AND(FF68=1,Slot15_PctLow=1),1,0)+IF(AND(FP68=1,Slot16_PctLow=1),1,0)+IF(AND(FZ68=1,Slot17_PctLow=1),1,0)+IF(AND(GJ68=1,Slot18_PctLow=1),1,0)+IF(AND(GT68=1,Slot19_PctLow=1),1,0)+IF(AND(HD68=1,Slot20_PctLow=1),1,0)</f>
        <v>0</v>
      </c>
      <c r="UI68" s="1" t="n">
        <f aca="false">IF(C68=1,IF(OR(TU68=1,UH68&gt;0),1,0),0)</f>
        <v>0</v>
      </c>
    </row>
    <row r="69" customFormat="false" ht="15" hidden="false" customHeight="true" outlineLevel="0" collapsed="false">
      <c r="B69" s="1" t="n">
        <v>61</v>
      </c>
      <c r="C69" s="1" t="n">
        <f aca="false">IF(B69&lt;=F_N,1,0)</f>
        <v>1</v>
      </c>
      <c r="D69" s="1" t="n">
        <f aca="false">'Plan pay &amp; tax'!C295</f>
        <v>61</v>
      </c>
      <c r="E69" s="111" t="n">
        <f aca="false">'Plan pay &amp; tax'!E295</f>
        <v>3.34665140413272</v>
      </c>
      <c r="F69" s="1" t="n">
        <f aca="false">'Plan pay &amp; tax'!G295</f>
        <v>1</v>
      </c>
      <c r="G69" s="1" t="n">
        <f aca="false">'Plan pay &amp; tax'!BT295-'Plan pay &amp; tax'!BS295-'Plan pay &amp; tax'!R295</f>
        <v>0</v>
      </c>
      <c r="H69" s="1" t="n">
        <f aca="false">IF(F69=1,F_CostsM*12,IF(RG_Exists=1,RG_Amount,F_CostsM*12*AS_RetireSpend))*E69+F_OneOffY*E69</f>
        <v>0</v>
      </c>
      <c r="I69" s="1" t="n">
        <f aca="false">HQ68</f>
        <v>0</v>
      </c>
      <c r="J69" s="1" t="n">
        <f aca="false">IF(I69&gt;1,'Plan debt months'!AC69,0)</f>
        <v>0</v>
      </c>
      <c r="K69" s="1" t="n">
        <f aca="false">IF(I69&gt;1,'Plan debt months'!AB69,I69)</f>
        <v>0</v>
      </c>
      <c r="L69" s="1" t="n">
        <f aca="false">N68</f>
        <v>0</v>
      </c>
      <c r="M69" s="1" t="n">
        <f aca="false">IF(L69&gt;1,'Plan debt months'!BD69,0)</f>
        <v>0</v>
      </c>
      <c r="N69" s="1" t="n">
        <f aca="false">IF(L69&gt;1,'Plan debt months'!BC69,L69)</f>
        <v>0</v>
      </c>
      <c r="O69" s="1" t="n">
        <f aca="false">Q68</f>
        <v>0</v>
      </c>
      <c r="P69" s="1" t="n">
        <f aca="false">IF(O69&gt;1,'Plan debt months'!CE69,0)</f>
        <v>0</v>
      </c>
      <c r="Q69" s="1" t="n">
        <f aca="false">IF(O69&gt;1,'Plan debt months'!CD69,O69)</f>
        <v>0</v>
      </c>
      <c r="R69" s="1" t="n">
        <f aca="false">J69+M69+P69</f>
        <v>0</v>
      </c>
      <c r="S69" s="1" t="n">
        <f aca="false">QJ68+'Plan pay &amp; tax'!Y295</f>
        <v>0</v>
      </c>
      <c r="T69" s="1" t="n">
        <f aca="false">QJ68</f>
        <v>0</v>
      </c>
      <c r="U69" s="1" t="n">
        <f aca="false">IF(AND(Slot1_On=1,D69=Slot1_Age),1,0)</f>
        <v>0</v>
      </c>
      <c r="V69" s="1" t="n">
        <f aca="false">IF(AND(Slot1_On=1,Slot1_Age&gt;D69),1,0)</f>
        <v>0</v>
      </c>
      <c r="W69" s="1" t="n">
        <f aca="false">QL68</f>
        <v>0</v>
      </c>
      <c r="X69" s="1" t="n">
        <f aca="false">U69*MIN(Slot1_Cost,W69)</f>
        <v>0</v>
      </c>
      <c r="Y69" s="1" t="n">
        <f aca="false">U69*Slot1_SpendLike*MIN(Slot1_Cost-X69,S69)</f>
        <v>0</v>
      </c>
      <c r="Z69" s="1" t="n">
        <f aca="false">X69+Y69</f>
        <v>0</v>
      </c>
      <c r="AA69" s="1" t="n">
        <f aca="false">S69-Y69+U69*IF(Slot1_SpendLike=1,W69-X69,IF(Slot1_PotFree=1,W69,0))</f>
        <v>0</v>
      </c>
      <c r="AB69" s="1" t="n">
        <f aca="false">AE69+U69*Slot1_BufPot*W69</f>
        <v>0</v>
      </c>
      <c r="AC69" s="1" t="n">
        <f aca="false">IF(AND(U69=1,Slot1_IsMfree=1),IF(Z69&gt;=Slot1_Cost-1,0,MAX(0,K69-Z69)),K69)</f>
        <v>0</v>
      </c>
      <c r="AD69" s="1" t="n">
        <f aca="false">U69*(Slot1_Cost-Z69)</f>
        <v>0</v>
      </c>
      <c r="AE69" s="1" t="n">
        <f aca="false">QK68</f>
        <v>0</v>
      </c>
      <c r="AF69" s="1" t="n">
        <f aca="false">IF(AND(Slot2_On=1,D69=Slot2_Age),1,0)</f>
        <v>0</v>
      </c>
      <c r="AG69" s="1" t="n">
        <f aca="false">IF(AND(Slot2_On=1,Slot2_Age&gt;D69),1,0)</f>
        <v>0</v>
      </c>
      <c r="AH69" s="1" t="n">
        <f aca="false">QP68</f>
        <v>0</v>
      </c>
      <c r="AI69" s="1" t="n">
        <f aca="false">AF69*MIN(Slot2_Cost,AH69)</f>
        <v>0</v>
      </c>
      <c r="AJ69" s="1" t="n">
        <f aca="false">AF69*Slot2_SpendLike*MIN(Slot2_Cost-AI69,AA69)</f>
        <v>0</v>
      </c>
      <c r="AK69" s="1" t="n">
        <f aca="false">AI69+AJ69</f>
        <v>0</v>
      </c>
      <c r="AL69" s="1" t="n">
        <f aca="false">AA69-AJ69+AF69*IF(Slot2_SpendLike=1,AH69-AI69,IF(Slot2_PotFree=1,AH69,0))</f>
        <v>0</v>
      </c>
      <c r="AM69" s="1" t="n">
        <f aca="false">AB69+AF69*Slot2_BufPot*AH69</f>
        <v>0</v>
      </c>
      <c r="AN69" s="1" t="n">
        <f aca="false">IF(AND(AF69=1,Slot2_IsMfree=1),IF(AK69&gt;=Slot2_Cost-1,0,MAX(0,AC69-AK69)),AC69)</f>
        <v>0</v>
      </c>
      <c r="AO69" s="1" t="n">
        <f aca="false">AF69*(Slot2_Cost-AK69)</f>
        <v>0</v>
      </c>
      <c r="AP69" s="1" t="n">
        <f aca="false">IF(AND(Slot3_On=1,D69=Slot3_Age),1,0)</f>
        <v>0</v>
      </c>
      <c r="AQ69" s="1" t="n">
        <f aca="false">IF(AND(Slot3_On=1,Slot3_Age&gt;D69),1,0)</f>
        <v>0</v>
      </c>
      <c r="AR69" s="1" t="n">
        <f aca="false">QT68</f>
        <v>0</v>
      </c>
      <c r="AS69" s="1" t="n">
        <f aca="false">AP69*MIN(Slot3_Cost,AR69)</f>
        <v>0</v>
      </c>
      <c r="AT69" s="1" t="n">
        <f aca="false">AP69*Slot3_SpendLike*MIN(Slot3_Cost-AS69,AL69)</f>
        <v>0</v>
      </c>
      <c r="AU69" s="1" t="n">
        <f aca="false">AS69+AT69</f>
        <v>0</v>
      </c>
      <c r="AV69" s="1" t="n">
        <f aca="false">AL69-AT69+AP69*IF(Slot3_SpendLike=1,AR69-AS69,IF(Slot3_PotFree=1,AR69,0))</f>
        <v>0</v>
      </c>
      <c r="AW69" s="1" t="n">
        <f aca="false">AM69+AP69*Slot3_BufPot*AR69</f>
        <v>0</v>
      </c>
      <c r="AX69" s="1" t="n">
        <f aca="false">IF(AND(AP69=1,Slot3_IsMfree=1),IF(AU69&gt;=Slot3_Cost-1,0,MAX(0,AN69-AU69)),AN69)</f>
        <v>0</v>
      </c>
      <c r="AY69" s="1" t="n">
        <f aca="false">AP69*(Slot3_Cost-AU69)</f>
        <v>0</v>
      </c>
      <c r="AZ69" s="1" t="n">
        <f aca="false">IF(AND(Slot4_On=1,D69=Slot4_Age),1,0)</f>
        <v>0</v>
      </c>
      <c r="BA69" s="1" t="n">
        <f aca="false">IF(AND(Slot4_On=1,Slot4_Age&gt;D69),1,0)</f>
        <v>0</v>
      </c>
      <c r="BB69" s="1" t="n">
        <f aca="false">QX68</f>
        <v>0</v>
      </c>
      <c r="BC69" s="1" t="n">
        <f aca="false">AZ69*MIN(Slot4_Cost,BB69)</f>
        <v>0</v>
      </c>
      <c r="BD69" s="1" t="n">
        <f aca="false">AZ69*Slot4_SpendLike*MIN(Slot4_Cost-BC69,AV69)</f>
        <v>0</v>
      </c>
      <c r="BE69" s="1" t="n">
        <f aca="false">BC69+BD69</f>
        <v>0</v>
      </c>
      <c r="BF69" s="1" t="n">
        <f aca="false">AV69-BD69+AZ69*IF(Slot4_SpendLike=1,BB69-BC69,IF(Slot4_PotFree=1,BB69,0))</f>
        <v>0</v>
      </c>
      <c r="BG69" s="1" t="n">
        <f aca="false">AW69+AZ69*Slot4_BufPot*BB69</f>
        <v>0</v>
      </c>
      <c r="BH69" s="1" t="n">
        <f aca="false">IF(AND(AZ69=1,Slot4_IsMfree=1),IF(BE69&gt;=Slot4_Cost-1,0,MAX(0,AX69-BE69)),AX69)</f>
        <v>0</v>
      </c>
      <c r="BI69" s="1" t="n">
        <f aca="false">AZ69*(Slot4_Cost-BE69)</f>
        <v>0</v>
      </c>
      <c r="BJ69" s="1" t="n">
        <f aca="false">IF(AND(Slot5_On=1,D69=Slot5_Age),1,0)</f>
        <v>0</v>
      </c>
      <c r="BK69" s="1" t="n">
        <f aca="false">IF(AND(Slot5_On=1,Slot5_Age&gt;D69),1,0)</f>
        <v>0</v>
      </c>
      <c r="BL69" s="1" t="n">
        <f aca="false">RB68</f>
        <v>0</v>
      </c>
      <c r="BM69" s="1" t="n">
        <f aca="false">BJ69*MIN(Slot5_Cost,BL69)</f>
        <v>0</v>
      </c>
      <c r="BN69" s="1" t="n">
        <f aca="false">BJ69*Slot5_SpendLike*MIN(Slot5_Cost-BM69,BF69)</f>
        <v>0</v>
      </c>
      <c r="BO69" s="1" t="n">
        <f aca="false">BM69+BN69</f>
        <v>0</v>
      </c>
      <c r="BP69" s="1" t="n">
        <f aca="false">BF69-BN69+BJ69*IF(Slot5_SpendLike=1,BL69-BM69,IF(Slot5_PotFree=1,BL69,0))</f>
        <v>0</v>
      </c>
      <c r="BQ69" s="1" t="n">
        <f aca="false">BG69+BJ69*Slot5_BufPot*BL69</f>
        <v>0</v>
      </c>
      <c r="BR69" s="1" t="n">
        <f aca="false">IF(AND(BJ69=1,Slot5_IsMfree=1),IF(BO69&gt;=Slot5_Cost-1,0,MAX(0,BH69-BO69)),BH69)</f>
        <v>0</v>
      </c>
      <c r="BS69" s="1" t="n">
        <f aca="false">BJ69*(Slot5_Cost-BO69)</f>
        <v>0</v>
      </c>
      <c r="BT69" s="1" t="n">
        <f aca="false">IF(AND(Slot6_On=1,D69=Slot6_Age),1,0)</f>
        <v>0</v>
      </c>
      <c r="BU69" s="1" t="n">
        <f aca="false">IF(AND(Slot6_On=1,Slot6_Age&gt;D69),1,0)</f>
        <v>0</v>
      </c>
      <c r="BV69" s="1" t="n">
        <f aca="false">RF68</f>
        <v>0</v>
      </c>
      <c r="BW69" s="1" t="n">
        <f aca="false">BT69*MIN(Slot6_Cost,BV69)</f>
        <v>0</v>
      </c>
      <c r="BX69" s="1" t="n">
        <f aca="false">BT69*Slot6_SpendLike*MIN(Slot6_Cost-BW69,BP69)</f>
        <v>0</v>
      </c>
      <c r="BY69" s="1" t="n">
        <f aca="false">BW69+BX69</f>
        <v>0</v>
      </c>
      <c r="BZ69" s="1" t="n">
        <f aca="false">BP69-BX69+BT69*IF(Slot6_SpendLike=1,BV69-BW69,IF(Slot6_PotFree=1,BV69,0))</f>
        <v>0</v>
      </c>
      <c r="CA69" s="1" t="n">
        <f aca="false">BQ69+BT69*Slot6_BufPot*BV69</f>
        <v>0</v>
      </c>
      <c r="CB69" s="1" t="n">
        <f aca="false">IF(AND(BT69=1,Slot6_IsMfree=1),IF(BY69&gt;=Slot6_Cost-1,0,MAX(0,BR69-BY69)),BR69)</f>
        <v>0</v>
      </c>
      <c r="CC69" s="1" t="n">
        <f aca="false">BT69*(Slot6_Cost-BY69)</f>
        <v>0</v>
      </c>
      <c r="CD69" s="1" t="n">
        <f aca="false">IF(AND(Slot7_On=1,D69=Slot7_Age),1,0)</f>
        <v>0</v>
      </c>
      <c r="CE69" s="1" t="n">
        <f aca="false">IF(AND(Slot7_On=1,Slot7_Age&gt;D69),1,0)</f>
        <v>0</v>
      </c>
      <c r="CF69" s="1" t="n">
        <f aca="false">RJ68</f>
        <v>0</v>
      </c>
      <c r="CG69" s="1" t="n">
        <f aca="false">CD69*MIN(Slot7_Cost,CF69)</f>
        <v>0</v>
      </c>
      <c r="CH69" s="1" t="n">
        <f aca="false">CD69*Slot7_SpendLike*MIN(Slot7_Cost-CG69,BZ69)</f>
        <v>0</v>
      </c>
      <c r="CI69" s="1" t="n">
        <f aca="false">CG69+CH69</f>
        <v>0</v>
      </c>
      <c r="CJ69" s="1" t="n">
        <f aca="false">BZ69-CH69+CD69*IF(Slot7_SpendLike=1,CF69-CG69,IF(Slot7_PotFree=1,CF69,0))</f>
        <v>0</v>
      </c>
      <c r="CK69" s="1" t="n">
        <f aca="false">CA69+CD69*Slot7_BufPot*CF69</f>
        <v>0</v>
      </c>
      <c r="CL69" s="1" t="n">
        <f aca="false">IF(AND(CD69=1,Slot7_IsMfree=1),IF(CI69&gt;=Slot7_Cost-1,0,MAX(0,CB69-CI69)),CB69)</f>
        <v>0</v>
      </c>
      <c r="CM69" s="1" t="n">
        <f aca="false">CD69*(Slot7_Cost-CI69)</f>
        <v>0</v>
      </c>
      <c r="CN69" s="1" t="n">
        <f aca="false">IF(AND(Slot8_On=1,D69=Slot8_Age),1,0)</f>
        <v>0</v>
      </c>
      <c r="CO69" s="1" t="n">
        <f aca="false">IF(AND(Slot8_On=1,Slot8_Age&gt;D69),1,0)</f>
        <v>0</v>
      </c>
      <c r="CP69" s="1" t="n">
        <f aca="false">RN68</f>
        <v>0</v>
      </c>
      <c r="CQ69" s="1" t="n">
        <f aca="false">CN69*MIN(Slot8_Cost,CP69)</f>
        <v>0</v>
      </c>
      <c r="CR69" s="1" t="n">
        <f aca="false">CN69*Slot8_SpendLike*MIN(Slot8_Cost-CQ69,CJ69)</f>
        <v>0</v>
      </c>
      <c r="CS69" s="1" t="n">
        <f aca="false">CQ69+CR69</f>
        <v>0</v>
      </c>
      <c r="CT69" s="1" t="n">
        <f aca="false">CJ69-CR69+CN69*IF(Slot8_SpendLike=1,CP69-CQ69,IF(Slot8_PotFree=1,CP69,0))</f>
        <v>0</v>
      </c>
      <c r="CU69" s="1" t="n">
        <f aca="false">CK69+CN69*Slot8_BufPot*CP69</f>
        <v>0</v>
      </c>
      <c r="CV69" s="1" t="n">
        <f aca="false">IF(AND(CN69=1,Slot8_IsMfree=1),IF(CS69&gt;=Slot8_Cost-1,0,MAX(0,CL69-CS69)),CL69)</f>
        <v>0</v>
      </c>
      <c r="CW69" s="1" t="n">
        <f aca="false">CN69*(Slot8_Cost-CS69)</f>
        <v>0</v>
      </c>
      <c r="CX69" s="1" t="n">
        <f aca="false">IF(AND(Slot9_On=1,D69=Slot9_Age),1,0)</f>
        <v>0</v>
      </c>
      <c r="CY69" s="1" t="n">
        <f aca="false">IF(AND(Slot9_On=1,Slot9_Age&gt;D69),1,0)</f>
        <v>0</v>
      </c>
      <c r="CZ69" s="1" t="n">
        <f aca="false">RR68</f>
        <v>0</v>
      </c>
      <c r="DA69" s="1" t="n">
        <f aca="false">CX69*MIN(Slot9_Cost,CZ69)</f>
        <v>0</v>
      </c>
      <c r="DB69" s="1" t="n">
        <f aca="false">CX69*Slot9_SpendLike*MIN(Slot9_Cost-DA69,CT69)</f>
        <v>0</v>
      </c>
      <c r="DC69" s="1" t="n">
        <f aca="false">DA69+DB69</f>
        <v>0</v>
      </c>
      <c r="DD69" s="1" t="n">
        <f aca="false">CT69-DB69+CX69*IF(Slot9_SpendLike=1,CZ69-DA69,IF(Slot9_PotFree=1,CZ69,0))</f>
        <v>0</v>
      </c>
      <c r="DE69" s="1" t="n">
        <f aca="false">CU69+CX69*Slot9_BufPot*CZ69</f>
        <v>0</v>
      </c>
      <c r="DF69" s="1" t="n">
        <f aca="false">IF(AND(CX69=1,Slot9_IsMfree=1),IF(DC69&gt;=Slot9_Cost-1,0,MAX(0,CV69-DC69)),CV69)</f>
        <v>0</v>
      </c>
      <c r="DG69" s="1" t="n">
        <f aca="false">CX69*(Slot9_Cost-DC69)</f>
        <v>0</v>
      </c>
      <c r="DH69" s="1" t="n">
        <f aca="false">IF(AND(Slot10_On=1,D69=Slot10_Age),1,0)</f>
        <v>0</v>
      </c>
      <c r="DI69" s="1" t="n">
        <f aca="false">IF(AND(Slot10_On=1,Slot10_Age&gt;D69),1,0)</f>
        <v>0</v>
      </c>
      <c r="DJ69" s="1" t="n">
        <f aca="false">RV68</f>
        <v>0</v>
      </c>
      <c r="DK69" s="1" t="n">
        <f aca="false">DH69*MIN(Slot10_Cost,DJ69)</f>
        <v>0</v>
      </c>
      <c r="DL69" s="1" t="n">
        <f aca="false">DH69*Slot10_SpendLike*MIN(Slot10_Cost-DK69,DD69)</f>
        <v>0</v>
      </c>
      <c r="DM69" s="1" t="n">
        <f aca="false">DK69+DL69</f>
        <v>0</v>
      </c>
      <c r="DN69" s="1" t="n">
        <f aca="false">DD69-DL69+DH69*IF(Slot10_SpendLike=1,DJ69-DK69,IF(Slot10_PotFree=1,DJ69,0))</f>
        <v>0</v>
      </c>
      <c r="DO69" s="1" t="n">
        <f aca="false">DE69+DH69*Slot10_BufPot*DJ69</f>
        <v>0</v>
      </c>
      <c r="DP69" s="1" t="n">
        <f aca="false">IF(AND(DH69=1,Slot10_IsMfree=1),IF(DM69&gt;=Slot10_Cost-1,0,MAX(0,DF69-DM69)),DF69)</f>
        <v>0</v>
      </c>
      <c r="DQ69" s="1" t="n">
        <f aca="false">DH69*(Slot10_Cost-DM69)</f>
        <v>0</v>
      </c>
      <c r="DR69" s="1" t="n">
        <f aca="false">IF(AND(Slot11_On=1,D69=Slot11_Age),1,0)</f>
        <v>0</v>
      </c>
      <c r="DS69" s="1" t="n">
        <f aca="false">IF(AND(Slot11_On=1,Slot11_Age&gt;D69),1,0)</f>
        <v>0</v>
      </c>
      <c r="DT69" s="1" t="n">
        <f aca="false">RZ68</f>
        <v>0</v>
      </c>
      <c r="DU69" s="1" t="n">
        <f aca="false">DR69*MIN(Slot11_Cost,DT69)</f>
        <v>0</v>
      </c>
      <c r="DV69" s="1" t="n">
        <f aca="false">DR69*Slot11_SpendLike*MIN(Slot11_Cost-DU69,DN69)</f>
        <v>0</v>
      </c>
      <c r="DW69" s="1" t="n">
        <f aca="false">DU69+DV69</f>
        <v>0</v>
      </c>
      <c r="DX69" s="1" t="n">
        <f aca="false">DN69-DV69+DR69*IF(Slot11_SpendLike=1,DT69-DU69,IF(Slot11_PotFree=1,DT69,0))</f>
        <v>0</v>
      </c>
      <c r="DY69" s="1" t="n">
        <f aca="false">DO69+DR69*Slot11_BufPot*DT69</f>
        <v>0</v>
      </c>
      <c r="DZ69" s="1" t="n">
        <f aca="false">IF(AND(DR69=1,Slot11_IsMfree=1),IF(DW69&gt;=Slot11_Cost-1,0,MAX(0,DP69-DW69)),DP69)</f>
        <v>0</v>
      </c>
      <c r="EA69" s="1" t="n">
        <f aca="false">DR69*(Slot11_Cost-DW69)</f>
        <v>0</v>
      </c>
      <c r="EB69" s="1" t="n">
        <f aca="false">IF(AND(Slot12_On=1,D69=Slot12_Age),1,0)</f>
        <v>0</v>
      </c>
      <c r="EC69" s="1" t="n">
        <f aca="false">IF(AND(Slot12_On=1,Slot12_Age&gt;D69),1,0)</f>
        <v>0</v>
      </c>
      <c r="ED69" s="1" t="n">
        <f aca="false">SD68</f>
        <v>0</v>
      </c>
      <c r="EE69" s="1" t="n">
        <f aca="false">EB69*MIN(Slot12_Cost,ED69)</f>
        <v>0</v>
      </c>
      <c r="EF69" s="1" t="n">
        <f aca="false">EB69*Slot12_SpendLike*MIN(Slot12_Cost-EE69,DX69)</f>
        <v>0</v>
      </c>
      <c r="EG69" s="1" t="n">
        <f aca="false">EE69+EF69</f>
        <v>0</v>
      </c>
      <c r="EH69" s="1" t="n">
        <f aca="false">DX69-EF69+EB69*IF(Slot12_SpendLike=1,ED69-EE69,IF(Slot12_PotFree=1,ED69,0))</f>
        <v>0</v>
      </c>
      <c r="EI69" s="1" t="n">
        <f aca="false">DY69+EB69*Slot12_BufPot*ED69</f>
        <v>0</v>
      </c>
      <c r="EJ69" s="1" t="n">
        <f aca="false">IF(AND(EB69=1,Slot12_IsMfree=1),IF(EG69&gt;=Slot12_Cost-1,0,MAX(0,DZ69-EG69)),DZ69)</f>
        <v>0</v>
      </c>
      <c r="EK69" s="1" t="n">
        <f aca="false">EB69*(Slot12_Cost-EG69)</f>
        <v>0</v>
      </c>
      <c r="EL69" s="1" t="n">
        <f aca="false">IF(AND(Slot13_On=1,D69=Slot13_Age),1,0)</f>
        <v>0</v>
      </c>
      <c r="EM69" s="1" t="n">
        <f aca="false">IF(AND(Slot13_On=1,Slot13_Age&gt;D69),1,0)</f>
        <v>0</v>
      </c>
      <c r="EN69" s="1" t="n">
        <f aca="false">SH68</f>
        <v>0</v>
      </c>
      <c r="EO69" s="1" t="n">
        <f aca="false">EL69*MIN(Slot13_Cost,EN69)</f>
        <v>0</v>
      </c>
      <c r="EP69" s="1" t="n">
        <f aca="false">EL69*Slot13_SpendLike*MIN(Slot13_Cost-EO69,EH69)</f>
        <v>0</v>
      </c>
      <c r="EQ69" s="1" t="n">
        <f aca="false">EO69+EP69</f>
        <v>0</v>
      </c>
      <c r="ER69" s="1" t="n">
        <f aca="false">EH69-EP69+EL69*IF(Slot13_SpendLike=1,EN69-EO69,IF(Slot13_PotFree=1,EN69,0))</f>
        <v>0</v>
      </c>
      <c r="ES69" s="1" t="n">
        <f aca="false">EI69+EL69*Slot13_BufPot*EN69</f>
        <v>0</v>
      </c>
      <c r="ET69" s="1" t="n">
        <f aca="false">IF(AND(EL69=1,Slot13_IsMfree=1),IF(EQ69&gt;=Slot13_Cost-1,0,MAX(0,EJ69-EQ69)),EJ69)</f>
        <v>0</v>
      </c>
      <c r="EU69" s="1" t="n">
        <f aca="false">EL69*(Slot13_Cost-EQ69)</f>
        <v>0</v>
      </c>
      <c r="EV69" s="1" t="n">
        <f aca="false">IF(AND(Slot14_On=1,D69=Slot14_Age),1,0)</f>
        <v>0</v>
      </c>
      <c r="EW69" s="1" t="n">
        <f aca="false">IF(AND(Slot14_On=1,Slot14_Age&gt;D69),1,0)</f>
        <v>0</v>
      </c>
      <c r="EX69" s="1" t="n">
        <f aca="false">SL68</f>
        <v>0</v>
      </c>
      <c r="EY69" s="1" t="n">
        <f aca="false">EV69*MIN(Slot14_Cost,EX69)</f>
        <v>0</v>
      </c>
      <c r="EZ69" s="1" t="n">
        <f aca="false">EV69*Slot14_SpendLike*MIN(Slot14_Cost-EY69,ER69)</f>
        <v>0</v>
      </c>
      <c r="FA69" s="1" t="n">
        <f aca="false">EY69+EZ69</f>
        <v>0</v>
      </c>
      <c r="FB69" s="1" t="n">
        <f aca="false">ER69-EZ69+EV69*IF(Slot14_SpendLike=1,EX69-EY69,IF(Slot14_PotFree=1,EX69,0))</f>
        <v>0</v>
      </c>
      <c r="FC69" s="1" t="n">
        <f aca="false">ES69+EV69*Slot14_BufPot*EX69</f>
        <v>0</v>
      </c>
      <c r="FD69" s="1" t="n">
        <f aca="false">IF(AND(EV69=1,Slot14_IsMfree=1),IF(FA69&gt;=Slot14_Cost-1,0,MAX(0,ET69-FA69)),ET69)</f>
        <v>0</v>
      </c>
      <c r="FE69" s="1" t="n">
        <f aca="false">EV69*(Slot14_Cost-FA69)</f>
        <v>0</v>
      </c>
      <c r="FF69" s="1" t="n">
        <f aca="false">IF(AND(Slot15_On=1,D69=Slot15_Age),1,0)</f>
        <v>0</v>
      </c>
      <c r="FG69" s="1" t="n">
        <f aca="false">IF(AND(Slot15_On=1,Slot15_Age&gt;D69),1,0)</f>
        <v>0</v>
      </c>
      <c r="FH69" s="1" t="n">
        <f aca="false">SP68</f>
        <v>0</v>
      </c>
      <c r="FI69" s="1" t="n">
        <f aca="false">FF69*MIN(Slot15_Cost,FH69)</f>
        <v>0</v>
      </c>
      <c r="FJ69" s="1" t="n">
        <f aca="false">FF69*Slot15_SpendLike*MIN(Slot15_Cost-FI69,FB69)</f>
        <v>0</v>
      </c>
      <c r="FK69" s="1" t="n">
        <f aca="false">FI69+FJ69</f>
        <v>0</v>
      </c>
      <c r="FL69" s="1" t="n">
        <f aca="false">FB69-FJ69+FF69*IF(Slot15_SpendLike=1,FH69-FI69,IF(Slot15_PotFree=1,FH69,0))</f>
        <v>0</v>
      </c>
      <c r="FM69" s="1" t="n">
        <f aca="false">FC69+FF69*Slot15_BufPot*FH69</f>
        <v>0</v>
      </c>
      <c r="FN69" s="1" t="n">
        <f aca="false">IF(AND(FF69=1,Slot15_IsMfree=1),IF(FK69&gt;=Slot15_Cost-1,0,MAX(0,FD69-FK69)),FD69)</f>
        <v>0</v>
      </c>
      <c r="FO69" s="1" t="n">
        <f aca="false">FF69*(Slot15_Cost-FK69)</f>
        <v>0</v>
      </c>
      <c r="FP69" s="1" t="n">
        <f aca="false">IF(AND(Slot16_On=1,D69=Slot16_Age),1,0)</f>
        <v>0</v>
      </c>
      <c r="FQ69" s="1" t="n">
        <f aca="false">IF(AND(Slot16_On=1,Slot16_Age&gt;D69),1,0)</f>
        <v>0</v>
      </c>
      <c r="FR69" s="1" t="n">
        <f aca="false">ST68</f>
        <v>0</v>
      </c>
      <c r="FS69" s="1" t="n">
        <f aca="false">FP69*MIN(Slot16_Cost,FR69)</f>
        <v>0</v>
      </c>
      <c r="FT69" s="1" t="n">
        <f aca="false">FP69*Slot16_SpendLike*MIN(Slot16_Cost-FS69,FL69)</f>
        <v>0</v>
      </c>
      <c r="FU69" s="1" t="n">
        <f aca="false">FS69+FT69</f>
        <v>0</v>
      </c>
      <c r="FV69" s="1" t="n">
        <f aca="false">FL69-FT69+FP69*IF(Slot16_SpendLike=1,FR69-FS69,IF(Slot16_PotFree=1,FR69,0))</f>
        <v>0</v>
      </c>
      <c r="FW69" s="1" t="n">
        <f aca="false">FM69+FP69*Slot16_BufPot*FR69</f>
        <v>0</v>
      </c>
      <c r="FX69" s="1" t="n">
        <f aca="false">IF(AND(FP69=1,Slot16_IsMfree=1),IF(FU69&gt;=Slot16_Cost-1,0,MAX(0,FN69-FU69)),FN69)</f>
        <v>0</v>
      </c>
      <c r="FY69" s="1" t="n">
        <f aca="false">FP69*(Slot16_Cost-FU69)</f>
        <v>0</v>
      </c>
      <c r="FZ69" s="1" t="n">
        <f aca="false">IF(AND(Slot17_On=1,D69=Slot17_Age),1,0)</f>
        <v>0</v>
      </c>
      <c r="GA69" s="1" t="n">
        <f aca="false">IF(AND(Slot17_On=1,Slot17_Age&gt;D69),1,0)</f>
        <v>0</v>
      </c>
      <c r="GB69" s="1" t="n">
        <f aca="false">SX68</f>
        <v>0</v>
      </c>
      <c r="GC69" s="1" t="n">
        <f aca="false">FZ69*MIN(Slot17_Cost,GB69)</f>
        <v>0</v>
      </c>
      <c r="GD69" s="1" t="n">
        <f aca="false">FZ69*Slot17_SpendLike*MIN(Slot17_Cost-GC69,FV69)</f>
        <v>0</v>
      </c>
      <c r="GE69" s="1" t="n">
        <f aca="false">GC69+GD69</f>
        <v>0</v>
      </c>
      <c r="GF69" s="1" t="n">
        <f aca="false">FV69-GD69+FZ69*IF(Slot17_SpendLike=1,GB69-GC69,IF(Slot17_PotFree=1,GB69,0))</f>
        <v>0</v>
      </c>
      <c r="GG69" s="1" t="n">
        <f aca="false">FW69+FZ69*Slot17_BufPot*GB69</f>
        <v>0</v>
      </c>
      <c r="GH69" s="1" t="n">
        <f aca="false">IF(AND(FZ69=1,Slot17_IsMfree=1),IF(GE69&gt;=Slot17_Cost-1,0,MAX(0,FX69-GE69)),FX69)</f>
        <v>0</v>
      </c>
      <c r="GI69" s="1" t="n">
        <f aca="false">FZ69*(Slot17_Cost-GE69)</f>
        <v>0</v>
      </c>
      <c r="GJ69" s="1" t="n">
        <f aca="false">IF(AND(Slot18_On=1,D69=Slot18_Age),1,0)</f>
        <v>0</v>
      </c>
      <c r="GK69" s="1" t="n">
        <f aca="false">IF(AND(Slot18_On=1,Slot18_Age&gt;D69),1,0)</f>
        <v>0</v>
      </c>
      <c r="GL69" s="1" t="n">
        <f aca="false">TB68</f>
        <v>0</v>
      </c>
      <c r="GM69" s="1" t="n">
        <f aca="false">GJ69*MIN(Slot18_Cost,GL69)</f>
        <v>0</v>
      </c>
      <c r="GN69" s="1" t="n">
        <f aca="false">GJ69*Slot18_SpendLike*MIN(Slot18_Cost-GM69,GF69)</f>
        <v>0</v>
      </c>
      <c r="GO69" s="1" t="n">
        <f aca="false">GM69+GN69</f>
        <v>0</v>
      </c>
      <c r="GP69" s="1" t="n">
        <f aca="false">GF69-GN69+GJ69*IF(Slot18_SpendLike=1,GL69-GM69,IF(Slot18_PotFree=1,GL69,0))</f>
        <v>0</v>
      </c>
      <c r="GQ69" s="1" t="n">
        <f aca="false">GG69+GJ69*Slot18_BufPot*GL69</f>
        <v>0</v>
      </c>
      <c r="GR69" s="1" t="n">
        <f aca="false">IF(AND(GJ69=1,Slot18_IsMfree=1),IF(GO69&gt;=Slot18_Cost-1,0,MAX(0,GH69-GO69)),GH69)</f>
        <v>0</v>
      </c>
      <c r="GS69" s="1" t="n">
        <f aca="false">GJ69*(Slot18_Cost-GO69)</f>
        <v>0</v>
      </c>
      <c r="GT69" s="1" t="n">
        <f aca="false">IF(AND(Slot19_On=1,D69=Slot19_Age),1,0)</f>
        <v>0</v>
      </c>
      <c r="GU69" s="1" t="n">
        <f aca="false">IF(AND(Slot19_On=1,Slot19_Age&gt;D69),1,0)</f>
        <v>0</v>
      </c>
      <c r="GV69" s="1" t="n">
        <f aca="false">TF68</f>
        <v>0</v>
      </c>
      <c r="GW69" s="1" t="n">
        <f aca="false">GT69*MIN(Slot19_Cost,GV69)</f>
        <v>0</v>
      </c>
      <c r="GX69" s="1" t="n">
        <f aca="false">GT69*Slot19_SpendLike*MIN(Slot19_Cost-GW69,GP69)</f>
        <v>0</v>
      </c>
      <c r="GY69" s="1" t="n">
        <f aca="false">GW69+GX69</f>
        <v>0</v>
      </c>
      <c r="GZ69" s="1" t="n">
        <f aca="false">GP69-GX69+GT69*IF(Slot19_SpendLike=1,GV69-GW69,IF(Slot19_PotFree=1,GV69,0))</f>
        <v>0</v>
      </c>
      <c r="HA69" s="1" t="n">
        <f aca="false">GQ69+GT69*Slot19_BufPot*GV69</f>
        <v>0</v>
      </c>
      <c r="HB69" s="1" t="n">
        <f aca="false">IF(AND(GT69=1,Slot19_IsMfree=1),IF(GY69&gt;=Slot19_Cost-1,0,MAX(0,GR69-GY69)),GR69)</f>
        <v>0</v>
      </c>
      <c r="HC69" s="1" t="n">
        <f aca="false">GT69*(Slot19_Cost-GY69)</f>
        <v>0</v>
      </c>
      <c r="HD69" s="1" t="n">
        <f aca="false">IF(AND(Slot20_On=1,D69=Slot20_Age),1,0)</f>
        <v>0</v>
      </c>
      <c r="HE69" s="1" t="n">
        <f aca="false">IF(AND(Slot20_On=1,Slot20_Age&gt;D69),1,0)</f>
        <v>0</v>
      </c>
      <c r="HF69" s="1" t="n">
        <f aca="false">TJ68</f>
        <v>0</v>
      </c>
      <c r="HG69" s="1" t="n">
        <f aca="false">HD69*MIN(Slot20_Cost,HF69)</f>
        <v>0</v>
      </c>
      <c r="HH69" s="1" t="n">
        <f aca="false">HD69*Slot20_SpendLike*MIN(Slot20_Cost-HG69,GZ69)</f>
        <v>0</v>
      </c>
      <c r="HI69" s="1" t="n">
        <f aca="false">HG69+HH69</f>
        <v>0</v>
      </c>
      <c r="HJ69" s="1" t="n">
        <f aca="false">GZ69-HH69+HD69*IF(Slot20_SpendLike=1,HF69-HG69,IF(Slot20_PotFree=1,HF69,0))</f>
        <v>0</v>
      </c>
      <c r="HK69" s="1" t="n">
        <f aca="false">HA69+HD69*Slot20_BufPot*HF69</f>
        <v>0</v>
      </c>
      <c r="HL69" s="1" t="n">
        <f aca="false">IF(AND(HD69=1,Slot20_IsMfree=1),IF(HI69&gt;=Slot20_Cost-1,0,MAX(0,HB69-HI69)),HB69)</f>
        <v>0</v>
      </c>
      <c r="HM69" s="1" t="n">
        <f aca="false">HD69*(Slot20_Cost-HI69)</f>
        <v>0</v>
      </c>
      <c r="HN69" s="1" t="n">
        <f aca="false">U69*Slot1_SpendLike*Z69+AF69*Slot2_SpendLike*AK69+AP69*Slot3_SpendLike*AU69+AZ69*Slot4_SpendLike*BE69+BJ69*Slot5_SpendLike*BO69+BT69*Slot6_SpendLike*BY69+CD69*Slot7_SpendLike*CI69+CN69*Slot8_SpendLike*CS69+CX69*Slot9_SpendLike*DC69+DH69*Slot10_SpendLike*DM69+DR69*Slot11_SpendLike*DW69+EB69*Slot12_SpendLike*EG69+EL69*Slot13_SpendLike*EQ69+EV69*Slot14_SpendLike*FA69+FF69*Slot15_SpendLike*FK69+FP69*Slot16_SpendLike*FU69+FZ69*Slot17_SpendLike*GE69+GJ69*Slot18_SpendLike*GO69+GT69*Slot19_SpendLike*GY69+HD69*Slot20_SpendLike*HI69</f>
        <v>0</v>
      </c>
      <c r="HO69" s="1" t="n">
        <f aca="false">AD69+AO69+AY69+BI69+BS69+CC69+CM69+CW69+DG69+DQ69+EA69+EK69+EU69+FE69+FO69+FY69+GI69+GS69+HC69+HM69</f>
        <v>0</v>
      </c>
      <c r="HP69" s="1" t="n">
        <f aca="false">U69*Slot1_Cost+AF69*Slot2_Cost+AP69*Slot3_Cost+AZ69*Slot4_Cost+BJ69*Slot5_Cost+BT69*Slot6_Cost+CD69*Slot7_Cost+CN69*Slot8_Cost+CX69*Slot9_Cost+DH69*Slot10_Cost+DR69*Slot11_Cost+EB69*Slot12_Cost+EL69*Slot13_Cost+EV69*Slot14_Cost+FF69*Slot15_Cost+FP69*Slot16_Cost+FZ69*Slot17_Cost+GJ69*Slot18_Cost+GT69*Slot19_Cost+HD69*Slot20_Cost</f>
        <v>0</v>
      </c>
      <c r="HQ69" s="1" t="n">
        <f aca="false">HL69</f>
        <v>0</v>
      </c>
      <c r="HR69" s="1" t="n">
        <f aca="false">G69-H69-R69</f>
        <v>0</v>
      </c>
      <c r="HS69" s="1" t="n">
        <f aca="false">IF(B69=0,IF(AND(Has_q6=1,In_q6=4),PR_ShareVaries*(MAX(0,HR69)/12),MIN(IF(Has_q6=1,CHOOSE(In_q6+1,PR_SaveB1,PR_SaveB2,PR_SaveB3,PR_SaveB4,0),AS_NoAnswer),AS_SaveShare*(MAX(0,HR69)/12))),HS68)</f>
        <v>0</v>
      </c>
      <c r="HT69" s="1" t="n">
        <f aca="false">IF(HR69&gt;=0,1,0)</f>
        <v>1</v>
      </c>
      <c r="HU69" s="1" t="n">
        <f aca="false">MAX(0,HR69/12/E69)</f>
        <v>0</v>
      </c>
      <c r="HV69" s="1" t="n">
        <f aca="false">IF(AND(Has_q6=1,In_q6=4),PR_ShareVaries*(HU69),MIN(IF(Has_q6=1,CHOOSE(In_q6+1,PR_SaveB1,PR_SaveB2,PR_SaveB3,PR_SaveB4,0),AS_NoAnswer),AS_SaveShare*(HU69)))</f>
        <v>0</v>
      </c>
      <c r="HW69" s="1" t="n">
        <f aca="false">IF(Has_saveM=1,IF(In_saveUp="Yes",1,IF(In_saveUp="No",0,IF(In_saveM&gt;=HS69-0.5,1,0))),0)</f>
        <v>0</v>
      </c>
      <c r="HX69" s="1" t="n">
        <f aca="false">IF(Has_saveM=1,MIN(HU69,IF(HW69=1,MAX(In_saveM,HV69),MIN(In_saveM,HV69))),HV69)</f>
        <v>0</v>
      </c>
      <c r="HY69" s="1" t="n">
        <f aca="false">IF(F69=1,HX69*12*E69,0)</f>
        <v>0</v>
      </c>
      <c r="HZ69" s="1" t="n">
        <f aca="false">MAX(0,HY69+IF(AND(WI_Retire=0,WI_M&lt;0,F69=1),WI_M*12*E69,0))</f>
        <v>0</v>
      </c>
      <c r="IA69" s="1" t="n">
        <f aca="false">Slot1_IsWG*V69+Slot2_IsWG*AG69+Slot3_IsWG*AQ69+Slot4_IsWG*BA69+Slot5_IsWG*BK69+Slot6_IsWG*BU69+Slot7_IsWG*CE69+Slot8_IsWG*CO69+Slot9_IsWG*CY69+Slot10_IsWG*DI69+Slot11_IsWG*DS69+Slot12_IsWG*EC69+Slot13_IsWG*EM69+Slot14_IsWG*EW69+Slot15_IsWG*FG69+Slot16_IsWG*FQ69+Slot17_IsWG*GA69+Slot18_IsWG*GK69+Slot19_IsWG*GU69+Slot20_IsWG*HE69</f>
        <v>0</v>
      </c>
      <c r="IB69" s="1" t="n">
        <f aca="false">IF(AND(WI_Retire=0,WI_M&gt;0,F69=1,IA69&gt;=1),WI_M*12*E69,0)</f>
        <v>0</v>
      </c>
      <c r="IC69" s="1" t="n">
        <f aca="false">IF(HT69=1,MIN(HZ69,HR69),0)</f>
        <v>0</v>
      </c>
      <c r="ID69" s="1" t="n">
        <f aca="false">IF(HT69=1,MIN(IB69,HR69-IC69),0)</f>
        <v>0</v>
      </c>
      <c r="IE69" s="1" t="n">
        <f aca="false">IF(V69=1,IF(ABS((1+AS_Wage)/(1+Slot1_Rate)-1)&lt;0.000000000001,(Slot1_Age-D69)*(1+Slot1_Rate)^(Slot1_Age-D69),(1+Slot1_Rate)^(Slot1_Age-D69)*(1-((1+AS_Wage)/(1+Slot1_Rate))^(Slot1_Age-D69))/(1-(1+AS_Wage)/(1+Slot1_Rate))),1)</f>
        <v>1</v>
      </c>
      <c r="IF69" s="1" t="n">
        <f aca="false">IF(AND(HT69=1,ID69&gt;0,Slot1_IsWG=1,V69=1),MAX(0,(Slot1_Cost-W69*(1+Slot1_Rate)^(Slot1_Age-D69))/IE69),0)</f>
        <v>0</v>
      </c>
      <c r="IG69" s="1" t="n">
        <f aca="false">IF(AND(HT69=1,ID69&gt;0,Slot1_IsWG=1,V69=1),MIN(ID69,IF69),0)</f>
        <v>0</v>
      </c>
      <c r="IH69" s="1" t="n">
        <f aca="false">W69+IG69</f>
        <v>0</v>
      </c>
      <c r="II69" s="1" t="n">
        <f aca="false">IF(V69=1,MAX(0,(Slot1_Cost-IH69*(1+Slot1_Rate)^(Slot1_Age-D69))/IE69),0)</f>
        <v>0</v>
      </c>
      <c r="IJ69" s="1" t="n">
        <f aca="false">IF(V69=1,MAX(0,(Slot1_Cost-W69*(1+Slot1_Rate)^(Slot1_Age-D69))/IE69),0)</f>
        <v>0</v>
      </c>
      <c r="IK69" s="1" t="n">
        <f aca="false">IF(AND(HT69=1,V69=1),MIN(IC69,II69),0)</f>
        <v>0</v>
      </c>
      <c r="IL69" s="1" t="n">
        <f aca="false">IC69-IK69</f>
        <v>0</v>
      </c>
      <c r="IM69" s="1" t="n">
        <f aca="false">IF(AG69=1,IF(ABS((1+AS_Wage)/(1+Slot2_Rate)-1)&lt;0.000000000001,(Slot2_Age-D69)*(1+Slot2_Rate)^(Slot2_Age-D69),(1+Slot2_Rate)^(Slot2_Age-D69)*(1-((1+AS_Wage)/(1+Slot2_Rate))^(Slot2_Age-D69))/(1-(1+AS_Wage)/(1+Slot2_Rate))),1)</f>
        <v>1</v>
      </c>
      <c r="IN69" s="1" t="n">
        <f aca="false">IF(AND(HT69=1,ID69&gt;0,Slot2_IsWG=1,AG69=1),MAX(0,(Slot2_Cost-AH69*(1+Slot2_Rate)^(Slot2_Age-D69))/IM69),0)</f>
        <v>0</v>
      </c>
      <c r="IO69" s="1" t="n">
        <f aca="false">IF(AND(HT69=1,ID69&gt;0,Slot2_IsWG=1,AG69=1),MIN(ID69,IN69),0)</f>
        <v>0</v>
      </c>
      <c r="IP69" s="1" t="n">
        <f aca="false">AH69+IO69</f>
        <v>0</v>
      </c>
      <c r="IQ69" s="1" t="n">
        <f aca="false">IF(AG69=1,MAX(0,(Slot2_Cost-IP69*(1+Slot2_Rate)^(Slot2_Age-D69))/IM69),0)</f>
        <v>0</v>
      </c>
      <c r="IR69" s="1" t="n">
        <f aca="false">IF(AG69=1,MAX(0,(Slot2_Cost-AH69*(1+Slot2_Rate)^(Slot2_Age-D69))/IM69),0)</f>
        <v>0</v>
      </c>
      <c r="IS69" s="1" t="n">
        <f aca="false">IF(AND(HT69=1,AG69=1),MIN(IL69,IQ69),0)</f>
        <v>0</v>
      </c>
      <c r="IT69" s="1" t="n">
        <f aca="false">IL69-IS69</f>
        <v>0</v>
      </c>
      <c r="IU69" s="1" t="n">
        <f aca="false">IF(AQ69=1,IF(ABS((1+AS_Wage)/(1+Slot3_Rate)-1)&lt;0.000000000001,(Slot3_Age-D69)*(1+Slot3_Rate)^(Slot3_Age-D69),(1+Slot3_Rate)^(Slot3_Age-D69)*(1-((1+AS_Wage)/(1+Slot3_Rate))^(Slot3_Age-D69))/(1-(1+AS_Wage)/(1+Slot3_Rate))),1)</f>
        <v>1</v>
      </c>
      <c r="IV69" s="1" t="n">
        <f aca="false">IF(AND(HT69=1,ID69&gt;0,Slot3_IsWG=1,AQ69=1),MAX(0,(Slot3_Cost-AR69*(1+Slot3_Rate)^(Slot3_Age-D69))/IU69),0)</f>
        <v>0</v>
      </c>
      <c r="IW69" s="1" t="n">
        <f aca="false">IF(AND(HT69=1,ID69&gt;0,Slot3_IsWG=1,AQ69=1),MIN(ID69,IV69),0)</f>
        <v>0</v>
      </c>
      <c r="IX69" s="1" t="n">
        <f aca="false">AR69+IW69</f>
        <v>0</v>
      </c>
      <c r="IY69" s="1" t="n">
        <f aca="false">IF(AQ69=1,MAX(0,(Slot3_Cost-IX69*(1+Slot3_Rate)^(Slot3_Age-D69))/IU69),0)</f>
        <v>0</v>
      </c>
      <c r="IZ69" s="1" t="n">
        <f aca="false">IF(AQ69=1,MAX(0,(Slot3_Cost-AR69*(1+Slot3_Rate)^(Slot3_Age-D69))/IU69),0)</f>
        <v>0</v>
      </c>
      <c r="JA69" s="1" t="n">
        <f aca="false">IF(AND(HT69=1,AQ69=1),MIN(IT69,IY69),0)</f>
        <v>0</v>
      </c>
      <c r="JB69" s="1" t="n">
        <f aca="false">IT69-JA69</f>
        <v>0</v>
      </c>
      <c r="JC69" s="1" t="n">
        <f aca="false">IF(BA69=1,IF(ABS((1+AS_Wage)/(1+Slot4_Rate)-1)&lt;0.000000000001,(Slot4_Age-D69)*(1+Slot4_Rate)^(Slot4_Age-D69),(1+Slot4_Rate)^(Slot4_Age-D69)*(1-((1+AS_Wage)/(1+Slot4_Rate))^(Slot4_Age-D69))/(1-(1+AS_Wage)/(1+Slot4_Rate))),1)</f>
        <v>1</v>
      </c>
      <c r="JD69" s="1" t="n">
        <f aca="false">IF(AND(HT69=1,ID69&gt;0,Slot4_IsWG=1,BA69=1),MAX(0,(Slot4_Cost-BB69*(1+Slot4_Rate)^(Slot4_Age-D69))/JC69),0)</f>
        <v>0</v>
      </c>
      <c r="JE69" s="1" t="n">
        <f aca="false">IF(AND(HT69=1,ID69&gt;0,Slot4_IsWG=1,BA69=1),MIN(ID69,JD69),0)</f>
        <v>0</v>
      </c>
      <c r="JF69" s="1" t="n">
        <f aca="false">BB69+JE69</f>
        <v>0</v>
      </c>
      <c r="JG69" s="1" t="n">
        <f aca="false">IF(BA69=1,MAX(0,(Slot4_Cost-JF69*(1+Slot4_Rate)^(Slot4_Age-D69))/JC69),0)</f>
        <v>0</v>
      </c>
      <c r="JH69" s="1" t="n">
        <f aca="false">IF(BA69=1,MAX(0,(Slot4_Cost-BB69*(1+Slot4_Rate)^(Slot4_Age-D69))/JC69),0)</f>
        <v>0</v>
      </c>
      <c r="JI69" s="1" t="n">
        <f aca="false">IF(AND(HT69=1,BA69=1),MIN(JB69,JG69),0)</f>
        <v>0</v>
      </c>
      <c r="JJ69" s="1" t="n">
        <f aca="false">JB69-JI69</f>
        <v>0</v>
      </c>
      <c r="JK69" s="1" t="n">
        <f aca="false">IF(BK69=1,IF(ABS((1+AS_Wage)/(1+Slot5_Rate)-1)&lt;0.000000000001,(Slot5_Age-D69)*(1+Slot5_Rate)^(Slot5_Age-D69),(1+Slot5_Rate)^(Slot5_Age-D69)*(1-((1+AS_Wage)/(1+Slot5_Rate))^(Slot5_Age-D69))/(1-(1+AS_Wage)/(1+Slot5_Rate))),1)</f>
        <v>1</v>
      </c>
      <c r="JL69" s="1" t="n">
        <f aca="false">IF(AND(HT69=1,ID69&gt;0,Slot5_IsWG=1,BK69=1),MAX(0,(Slot5_Cost-BL69*(1+Slot5_Rate)^(Slot5_Age-D69))/JK69),0)</f>
        <v>0</v>
      </c>
      <c r="JM69" s="1" t="n">
        <f aca="false">IF(AND(HT69=1,ID69&gt;0,Slot5_IsWG=1,BK69=1),MIN(ID69,JL69),0)</f>
        <v>0</v>
      </c>
      <c r="JN69" s="1" t="n">
        <f aca="false">BL69+JM69</f>
        <v>0</v>
      </c>
      <c r="JO69" s="1" t="n">
        <f aca="false">IF(BK69=1,MAX(0,(Slot5_Cost-JN69*(1+Slot5_Rate)^(Slot5_Age-D69))/JK69),0)</f>
        <v>0</v>
      </c>
      <c r="JP69" s="1" t="n">
        <f aca="false">IF(BK69=1,MAX(0,(Slot5_Cost-BL69*(1+Slot5_Rate)^(Slot5_Age-D69))/JK69),0)</f>
        <v>0</v>
      </c>
      <c r="JQ69" s="1" t="n">
        <f aca="false">IF(AND(HT69=1,BK69=1),MIN(JJ69,JO69),0)</f>
        <v>0</v>
      </c>
      <c r="JR69" s="1" t="n">
        <f aca="false">JJ69-JQ69</f>
        <v>0</v>
      </c>
      <c r="JS69" s="1" t="n">
        <f aca="false">IF(BU69=1,IF(ABS((1+AS_Wage)/(1+Slot6_Rate)-1)&lt;0.000000000001,(Slot6_Age-D69)*(1+Slot6_Rate)^(Slot6_Age-D69),(1+Slot6_Rate)^(Slot6_Age-D69)*(1-((1+AS_Wage)/(1+Slot6_Rate))^(Slot6_Age-D69))/(1-(1+AS_Wage)/(1+Slot6_Rate))),1)</f>
        <v>1</v>
      </c>
      <c r="JT69" s="1" t="n">
        <f aca="false">IF(AND(HT69=1,ID69&gt;0,Slot6_IsWG=1,BU69=1),MAX(0,(Slot6_Cost-BV69*(1+Slot6_Rate)^(Slot6_Age-D69))/JS69),0)</f>
        <v>0</v>
      </c>
      <c r="JU69" s="1" t="n">
        <f aca="false">IF(AND(HT69=1,ID69&gt;0,Slot6_IsWG=1,BU69=1),MIN(ID69,JT69),0)</f>
        <v>0</v>
      </c>
      <c r="JV69" s="1" t="n">
        <f aca="false">BV69+JU69</f>
        <v>0</v>
      </c>
      <c r="JW69" s="1" t="n">
        <f aca="false">IF(BU69=1,MAX(0,(Slot6_Cost-JV69*(1+Slot6_Rate)^(Slot6_Age-D69))/JS69),0)</f>
        <v>0</v>
      </c>
      <c r="JX69" s="1" t="n">
        <f aca="false">IF(BU69=1,MAX(0,(Slot6_Cost-BV69*(1+Slot6_Rate)^(Slot6_Age-D69))/JS69),0)</f>
        <v>0</v>
      </c>
      <c r="JY69" s="1" t="n">
        <f aca="false">IF(AND(HT69=1,BU69=1),MIN(JR69,JW69),0)</f>
        <v>0</v>
      </c>
      <c r="JZ69" s="1" t="n">
        <f aca="false">JR69-JY69</f>
        <v>0</v>
      </c>
      <c r="KA69" s="1" t="n">
        <f aca="false">IF(CE69=1,IF(ABS((1+AS_Wage)/(1+Slot7_Rate)-1)&lt;0.000000000001,(Slot7_Age-D69)*(1+Slot7_Rate)^(Slot7_Age-D69),(1+Slot7_Rate)^(Slot7_Age-D69)*(1-((1+AS_Wage)/(1+Slot7_Rate))^(Slot7_Age-D69))/(1-(1+AS_Wage)/(1+Slot7_Rate))),1)</f>
        <v>1</v>
      </c>
      <c r="KB69" s="1" t="n">
        <f aca="false">IF(AND(HT69=1,ID69&gt;0,Slot7_IsWG=1,CE69=1),MAX(0,(Slot7_Cost-CF69*(1+Slot7_Rate)^(Slot7_Age-D69))/KA69),0)</f>
        <v>0</v>
      </c>
      <c r="KC69" s="1" t="n">
        <f aca="false">IF(AND(HT69=1,ID69&gt;0,Slot7_IsWG=1,CE69=1),MIN(ID69,KB69),0)</f>
        <v>0</v>
      </c>
      <c r="KD69" s="1" t="n">
        <f aca="false">CF69+KC69</f>
        <v>0</v>
      </c>
      <c r="KE69" s="1" t="n">
        <f aca="false">IF(CE69=1,MAX(0,(Slot7_Cost-KD69*(1+Slot7_Rate)^(Slot7_Age-D69))/KA69),0)</f>
        <v>0</v>
      </c>
      <c r="KF69" s="1" t="n">
        <f aca="false">IF(CE69=1,MAX(0,(Slot7_Cost-CF69*(1+Slot7_Rate)^(Slot7_Age-D69))/KA69),0)</f>
        <v>0</v>
      </c>
      <c r="KG69" s="1" t="n">
        <f aca="false">IF(AND(HT69=1,CE69=1),MIN(JZ69,KE69),0)</f>
        <v>0</v>
      </c>
      <c r="KH69" s="1" t="n">
        <f aca="false">JZ69-KG69</f>
        <v>0</v>
      </c>
      <c r="KI69" s="1" t="n">
        <f aca="false">IF(CO69=1,IF(ABS((1+AS_Wage)/(1+Slot8_Rate)-1)&lt;0.000000000001,(Slot8_Age-D69)*(1+Slot8_Rate)^(Slot8_Age-D69),(1+Slot8_Rate)^(Slot8_Age-D69)*(1-((1+AS_Wage)/(1+Slot8_Rate))^(Slot8_Age-D69))/(1-(1+AS_Wage)/(1+Slot8_Rate))),1)</f>
        <v>1</v>
      </c>
      <c r="KJ69" s="1" t="n">
        <f aca="false">IF(AND(HT69=1,ID69&gt;0,Slot8_IsWG=1,CO69=1),MAX(0,(Slot8_Cost-CP69*(1+Slot8_Rate)^(Slot8_Age-D69))/KI69),0)</f>
        <v>0</v>
      </c>
      <c r="KK69" s="1" t="n">
        <f aca="false">IF(AND(HT69=1,ID69&gt;0,Slot8_IsWG=1,CO69=1),MIN(ID69,KJ69),0)</f>
        <v>0</v>
      </c>
      <c r="KL69" s="1" t="n">
        <f aca="false">CP69+KK69</f>
        <v>0</v>
      </c>
      <c r="KM69" s="1" t="n">
        <f aca="false">IF(CO69=1,MAX(0,(Slot8_Cost-KL69*(1+Slot8_Rate)^(Slot8_Age-D69))/KI69),0)</f>
        <v>0</v>
      </c>
      <c r="KN69" s="1" t="n">
        <f aca="false">IF(CO69=1,MAX(0,(Slot8_Cost-CP69*(1+Slot8_Rate)^(Slot8_Age-D69))/KI69),0)</f>
        <v>0</v>
      </c>
      <c r="KO69" s="1" t="n">
        <f aca="false">IF(AND(HT69=1,CO69=1),MIN(KH69,KM69),0)</f>
        <v>0</v>
      </c>
      <c r="KP69" s="1" t="n">
        <f aca="false">KH69-KO69</f>
        <v>0</v>
      </c>
      <c r="KQ69" s="1" t="n">
        <f aca="false">IF(CY69=1,IF(ABS((1+AS_Wage)/(1+Slot9_Rate)-1)&lt;0.000000000001,(Slot9_Age-D69)*(1+Slot9_Rate)^(Slot9_Age-D69),(1+Slot9_Rate)^(Slot9_Age-D69)*(1-((1+AS_Wage)/(1+Slot9_Rate))^(Slot9_Age-D69))/(1-(1+AS_Wage)/(1+Slot9_Rate))),1)</f>
        <v>1</v>
      </c>
      <c r="KR69" s="1" t="n">
        <f aca="false">IF(AND(HT69=1,ID69&gt;0,Slot9_IsWG=1,CY69=1),MAX(0,(Slot9_Cost-CZ69*(1+Slot9_Rate)^(Slot9_Age-D69))/KQ69),0)</f>
        <v>0</v>
      </c>
      <c r="KS69" s="1" t="n">
        <f aca="false">IF(AND(HT69=1,ID69&gt;0,Slot9_IsWG=1,CY69=1),MIN(ID69,KR69),0)</f>
        <v>0</v>
      </c>
      <c r="KT69" s="1" t="n">
        <f aca="false">CZ69+KS69</f>
        <v>0</v>
      </c>
      <c r="KU69" s="1" t="n">
        <f aca="false">IF(CY69=1,MAX(0,(Slot9_Cost-KT69*(1+Slot9_Rate)^(Slot9_Age-D69))/KQ69),0)</f>
        <v>0</v>
      </c>
      <c r="KV69" s="1" t="n">
        <f aca="false">IF(CY69=1,MAX(0,(Slot9_Cost-CZ69*(1+Slot9_Rate)^(Slot9_Age-D69))/KQ69),0)</f>
        <v>0</v>
      </c>
      <c r="KW69" s="1" t="n">
        <f aca="false">IF(AND(HT69=1,CY69=1),MIN(KP69,KU69),0)</f>
        <v>0</v>
      </c>
      <c r="KX69" s="1" t="n">
        <f aca="false">KP69-KW69</f>
        <v>0</v>
      </c>
      <c r="KY69" s="1" t="n">
        <f aca="false">IF(DI69=1,IF(ABS((1+AS_Wage)/(1+Slot10_Rate)-1)&lt;0.000000000001,(Slot10_Age-D69)*(1+Slot10_Rate)^(Slot10_Age-D69),(1+Slot10_Rate)^(Slot10_Age-D69)*(1-((1+AS_Wage)/(1+Slot10_Rate))^(Slot10_Age-D69))/(1-(1+AS_Wage)/(1+Slot10_Rate))),1)</f>
        <v>1</v>
      </c>
      <c r="KZ69" s="1" t="n">
        <f aca="false">IF(AND(HT69=1,ID69&gt;0,Slot10_IsWG=1,DI69=1),MAX(0,(Slot10_Cost-DJ69*(1+Slot10_Rate)^(Slot10_Age-D69))/KY69),0)</f>
        <v>0</v>
      </c>
      <c r="LA69" s="1" t="n">
        <f aca="false">IF(AND(HT69=1,ID69&gt;0,Slot10_IsWG=1,DI69=1),MIN(ID69,KZ69),0)</f>
        <v>0</v>
      </c>
      <c r="LB69" s="1" t="n">
        <f aca="false">DJ69+LA69</f>
        <v>0</v>
      </c>
      <c r="LC69" s="1" t="n">
        <f aca="false">IF(DI69=1,MAX(0,(Slot10_Cost-LB69*(1+Slot10_Rate)^(Slot10_Age-D69))/KY69),0)</f>
        <v>0</v>
      </c>
      <c r="LD69" s="1" t="n">
        <f aca="false">IF(DI69=1,MAX(0,(Slot10_Cost-DJ69*(1+Slot10_Rate)^(Slot10_Age-D69))/KY69),0)</f>
        <v>0</v>
      </c>
      <c r="LE69" s="1" t="n">
        <f aca="false">IF(AND(HT69=1,DI69=1),MIN(KX69,LC69),0)</f>
        <v>0</v>
      </c>
      <c r="LF69" s="1" t="n">
        <f aca="false">KX69-LE69</f>
        <v>0</v>
      </c>
      <c r="LG69" s="1" t="n">
        <f aca="false">IF(DS69=1,IF(ABS((1+AS_Wage)/(1+Slot11_Rate)-1)&lt;0.000000000001,(Slot11_Age-D69)*(1+Slot11_Rate)^(Slot11_Age-D69),(1+Slot11_Rate)^(Slot11_Age-D69)*(1-((1+AS_Wage)/(1+Slot11_Rate))^(Slot11_Age-D69))/(1-(1+AS_Wage)/(1+Slot11_Rate))),1)</f>
        <v>1</v>
      </c>
      <c r="LH69" s="1" t="n">
        <f aca="false">IF(AND(HT69=1,ID69&gt;0,Slot11_IsWG=1,DS69=1),MAX(0,(Slot11_Cost-DT69*(1+Slot11_Rate)^(Slot11_Age-D69))/LG69),0)</f>
        <v>0</v>
      </c>
      <c r="LI69" s="1" t="n">
        <f aca="false">IF(AND(HT69=1,ID69&gt;0,Slot11_IsWG=1,DS69=1),MIN(ID69,LH69),0)</f>
        <v>0</v>
      </c>
      <c r="LJ69" s="1" t="n">
        <f aca="false">DT69+LI69</f>
        <v>0</v>
      </c>
      <c r="LK69" s="1" t="n">
        <f aca="false">IF(DS69=1,MAX(0,(Slot11_Cost-LJ69*(1+Slot11_Rate)^(Slot11_Age-D69))/LG69),0)</f>
        <v>0</v>
      </c>
      <c r="LL69" s="1" t="n">
        <f aca="false">IF(DS69=1,MAX(0,(Slot11_Cost-DT69*(1+Slot11_Rate)^(Slot11_Age-D69))/LG69),0)</f>
        <v>0</v>
      </c>
      <c r="LM69" s="1" t="n">
        <f aca="false">IF(AND(HT69=1,DS69=1),MIN(LF69,LK69),0)</f>
        <v>0</v>
      </c>
      <c r="LN69" s="1" t="n">
        <f aca="false">LF69-LM69</f>
        <v>0</v>
      </c>
      <c r="LO69" s="1" t="n">
        <f aca="false">IF(EC69=1,IF(ABS((1+AS_Wage)/(1+Slot12_Rate)-1)&lt;0.000000000001,(Slot12_Age-D69)*(1+Slot12_Rate)^(Slot12_Age-D69),(1+Slot12_Rate)^(Slot12_Age-D69)*(1-((1+AS_Wage)/(1+Slot12_Rate))^(Slot12_Age-D69))/(1-(1+AS_Wage)/(1+Slot12_Rate))),1)</f>
        <v>1</v>
      </c>
      <c r="LP69" s="1" t="n">
        <f aca="false">IF(AND(HT69=1,ID69&gt;0,Slot12_IsWG=1,EC69=1),MAX(0,(Slot12_Cost-ED69*(1+Slot12_Rate)^(Slot12_Age-D69))/LO69),0)</f>
        <v>0</v>
      </c>
      <c r="LQ69" s="1" t="n">
        <f aca="false">IF(AND(HT69=1,ID69&gt;0,Slot12_IsWG=1,EC69=1),MIN(ID69,LP69),0)</f>
        <v>0</v>
      </c>
      <c r="LR69" s="1" t="n">
        <f aca="false">ED69+LQ69</f>
        <v>0</v>
      </c>
      <c r="LS69" s="1" t="n">
        <f aca="false">IF(EC69=1,MAX(0,(Slot12_Cost-LR69*(1+Slot12_Rate)^(Slot12_Age-D69))/LO69),0)</f>
        <v>0</v>
      </c>
      <c r="LT69" s="1" t="n">
        <f aca="false">IF(EC69=1,MAX(0,(Slot12_Cost-ED69*(1+Slot12_Rate)^(Slot12_Age-D69))/LO69),0)</f>
        <v>0</v>
      </c>
      <c r="LU69" s="1" t="n">
        <f aca="false">IF(AND(HT69=1,EC69=1),MIN(LN69,LS69),0)</f>
        <v>0</v>
      </c>
      <c r="LV69" s="1" t="n">
        <f aca="false">LN69-LU69</f>
        <v>0</v>
      </c>
      <c r="LW69" s="1" t="n">
        <f aca="false">IF(EM69=1,IF(ABS((1+AS_Wage)/(1+Slot13_Rate)-1)&lt;0.000000000001,(Slot13_Age-D69)*(1+Slot13_Rate)^(Slot13_Age-D69),(1+Slot13_Rate)^(Slot13_Age-D69)*(1-((1+AS_Wage)/(1+Slot13_Rate))^(Slot13_Age-D69))/(1-(1+AS_Wage)/(1+Slot13_Rate))),1)</f>
        <v>1</v>
      </c>
      <c r="LX69" s="1" t="n">
        <f aca="false">IF(AND(HT69=1,ID69&gt;0,Slot13_IsWG=1,EM69=1),MAX(0,(Slot13_Cost-EN69*(1+Slot13_Rate)^(Slot13_Age-D69))/LW69),0)</f>
        <v>0</v>
      </c>
      <c r="LY69" s="1" t="n">
        <f aca="false">IF(AND(HT69=1,ID69&gt;0,Slot13_IsWG=1,EM69=1),MIN(ID69,LX69),0)</f>
        <v>0</v>
      </c>
      <c r="LZ69" s="1" t="n">
        <f aca="false">EN69+LY69</f>
        <v>0</v>
      </c>
      <c r="MA69" s="1" t="n">
        <f aca="false">IF(EM69=1,MAX(0,(Slot13_Cost-LZ69*(1+Slot13_Rate)^(Slot13_Age-D69))/LW69),0)</f>
        <v>0</v>
      </c>
      <c r="MB69" s="1" t="n">
        <f aca="false">IF(EM69=1,MAX(0,(Slot13_Cost-EN69*(1+Slot13_Rate)^(Slot13_Age-D69))/LW69),0)</f>
        <v>0</v>
      </c>
      <c r="MC69" s="1" t="n">
        <f aca="false">IF(AND(HT69=1,EM69=1),MIN(LV69,MA69),0)</f>
        <v>0</v>
      </c>
      <c r="MD69" s="1" t="n">
        <f aca="false">LV69-MC69</f>
        <v>0</v>
      </c>
      <c r="ME69" s="1" t="n">
        <f aca="false">IF(EW69=1,IF(ABS((1+AS_Wage)/(1+Slot14_Rate)-1)&lt;0.000000000001,(Slot14_Age-D69)*(1+Slot14_Rate)^(Slot14_Age-D69),(1+Slot14_Rate)^(Slot14_Age-D69)*(1-((1+AS_Wage)/(1+Slot14_Rate))^(Slot14_Age-D69))/(1-(1+AS_Wage)/(1+Slot14_Rate))),1)</f>
        <v>1</v>
      </c>
      <c r="MF69" s="1" t="n">
        <f aca="false">IF(AND(HT69=1,ID69&gt;0,Slot14_IsWG=1,EW69=1),MAX(0,(Slot14_Cost-EX69*(1+Slot14_Rate)^(Slot14_Age-D69))/ME69),0)</f>
        <v>0</v>
      </c>
      <c r="MG69" s="1" t="n">
        <f aca="false">IF(AND(HT69=1,ID69&gt;0,Slot14_IsWG=1,EW69=1),MIN(ID69,MF69),0)</f>
        <v>0</v>
      </c>
      <c r="MH69" s="1" t="n">
        <f aca="false">EX69+MG69</f>
        <v>0</v>
      </c>
      <c r="MI69" s="1" t="n">
        <f aca="false">IF(EW69=1,MAX(0,(Slot14_Cost-MH69*(1+Slot14_Rate)^(Slot14_Age-D69))/ME69),0)</f>
        <v>0</v>
      </c>
      <c r="MJ69" s="1" t="n">
        <f aca="false">IF(EW69=1,MAX(0,(Slot14_Cost-EX69*(1+Slot14_Rate)^(Slot14_Age-D69))/ME69),0)</f>
        <v>0</v>
      </c>
      <c r="MK69" s="1" t="n">
        <f aca="false">IF(AND(HT69=1,EW69=1),MIN(MD69,MI69),0)</f>
        <v>0</v>
      </c>
      <c r="ML69" s="1" t="n">
        <f aca="false">MD69-MK69</f>
        <v>0</v>
      </c>
      <c r="MM69" s="1" t="n">
        <f aca="false">IF(FG69=1,IF(ABS((1+AS_Wage)/(1+Slot15_Rate)-1)&lt;0.000000000001,(Slot15_Age-D69)*(1+Slot15_Rate)^(Slot15_Age-D69),(1+Slot15_Rate)^(Slot15_Age-D69)*(1-((1+AS_Wage)/(1+Slot15_Rate))^(Slot15_Age-D69))/(1-(1+AS_Wage)/(1+Slot15_Rate))),1)</f>
        <v>1</v>
      </c>
      <c r="MN69" s="1" t="n">
        <f aca="false">IF(AND(HT69=1,ID69&gt;0,Slot15_IsWG=1,FG69=1),MAX(0,(Slot15_Cost-FH69*(1+Slot15_Rate)^(Slot15_Age-D69))/MM69),0)</f>
        <v>0</v>
      </c>
      <c r="MO69" s="1" t="n">
        <f aca="false">IF(AND(HT69=1,ID69&gt;0,Slot15_IsWG=1,FG69=1),MIN(ID69,MN69),0)</f>
        <v>0</v>
      </c>
      <c r="MP69" s="1" t="n">
        <f aca="false">FH69+MO69</f>
        <v>0</v>
      </c>
      <c r="MQ69" s="1" t="n">
        <f aca="false">IF(FG69=1,MAX(0,(Slot15_Cost-MP69*(1+Slot15_Rate)^(Slot15_Age-D69))/MM69),0)</f>
        <v>0</v>
      </c>
      <c r="MR69" s="1" t="n">
        <f aca="false">IF(FG69=1,MAX(0,(Slot15_Cost-FH69*(1+Slot15_Rate)^(Slot15_Age-D69))/MM69),0)</f>
        <v>0</v>
      </c>
      <c r="MS69" s="1" t="n">
        <f aca="false">IF(AND(HT69=1,FG69=1),MIN(ML69,MQ69),0)</f>
        <v>0</v>
      </c>
      <c r="MT69" s="1" t="n">
        <f aca="false">ML69-MS69</f>
        <v>0</v>
      </c>
      <c r="MU69" s="1" t="n">
        <f aca="false">IF(FQ69=1,IF(ABS((1+AS_Wage)/(1+Slot16_Rate)-1)&lt;0.000000000001,(Slot16_Age-D69)*(1+Slot16_Rate)^(Slot16_Age-D69),(1+Slot16_Rate)^(Slot16_Age-D69)*(1-((1+AS_Wage)/(1+Slot16_Rate))^(Slot16_Age-D69))/(1-(1+AS_Wage)/(1+Slot16_Rate))),1)</f>
        <v>1</v>
      </c>
      <c r="MV69" s="1" t="n">
        <f aca="false">IF(AND(HT69=1,ID69&gt;0,Slot16_IsWG=1,FQ69=1),MAX(0,(Slot16_Cost-FR69*(1+Slot16_Rate)^(Slot16_Age-D69))/MU69),0)</f>
        <v>0</v>
      </c>
      <c r="MW69" s="1" t="n">
        <f aca="false">IF(AND(HT69=1,ID69&gt;0,Slot16_IsWG=1,FQ69=1),MIN(ID69,MV69),0)</f>
        <v>0</v>
      </c>
      <c r="MX69" s="1" t="n">
        <f aca="false">FR69+MW69</f>
        <v>0</v>
      </c>
      <c r="MY69" s="1" t="n">
        <f aca="false">IF(FQ69=1,MAX(0,(Slot16_Cost-MX69*(1+Slot16_Rate)^(Slot16_Age-D69))/MU69),0)</f>
        <v>0</v>
      </c>
      <c r="MZ69" s="1" t="n">
        <f aca="false">IF(FQ69=1,MAX(0,(Slot16_Cost-FR69*(1+Slot16_Rate)^(Slot16_Age-D69))/MU69),0)</f>
        <v>0</v>
      </c>
      <c r="NA69" s="1" t="n">
        <f aca="false">IF(AND(HT69=1,FQ69=1),MIN(MT69,MY69),0)</f>
        <v>0</v>
      </c>
      <c r="NB69" s="1" t="n">
        <f aca="false">MT69-NA69</f>
        <v>0</v>
      </c>
      <c r="NC69" s="1" t="n">
        <f aca="false">IF(GA69=1,IF(ABS((1+AS_Wage)/(1+Slot17_Rate)-1)&lt;0.000000000001,(Slot17_Age-D69)*(1+Slot17_Rate)^(Slot17_Age-D69),(1+Slot17_Rate)^(Slot17_Age-D69)*(1-((1+AS_Wage)/(1+Slot17_Rate))^(Slot17_Age-D69))/(1-(1+AS_Wage)/(1+Slot17_Rate))),1)</f>
        <v>1</v>
      </c>
      <c r="ND69" s="1" t="n">
        <f aca="false">IF(AND(HT69=1,ID69&gt;0,Slot17_IsWG=1,GA69=1),MAX(0,(Slot17_Cost-GB69*(1+Slot17_Rate)^(Slot17_Age-D69))/NC69),0)</f>
        <v>0</v>
      </c>
      <c r="NE69" s="1" t="n">
        <f aca="false">IF(AND(HT69=1,ID69&gt;0,Slot17_IsWG=1,GA69=1),MIN(ID69,ND69),0)</f>
        <v>0</v>
      </c>
      <c r="NF69" s="1" t="n">
        <f aca="false">GB69+NE69</f>
        <v>0</v>
      </c>
      <c r="NG69" s="1" t="n">
        <f aca="false">IF(GA69=1,MAX(0,(Slot17_Cost-NF69*(1+Slot17_Rate)^(Slot17_Age-D69))/NC69),0)</f>
        <v>0</v>
      </c>
      <c r="NH69" s="1" t="n">
        <f aca="false">IF(GA69=1,MAX(0,(Slot17_Cost-GB69*(1+Slot17_Rate)^(Slot17_Age-D69))/NC69),0)</f>
        <v>0</v>
      </c>
      <c r="NI69" s="1" t="n">
        <f aca="false">IF(AND(HT69=1,GA69=1),MIN(NB69,NG69),0)</f>
        <v>0</v>
      </c>
      <c r="NJ69" s="1" t="n">
        <f aca="false">NB69-NI69</f>
        <v>0</v>
      </c>
      <c r="NK69" s="1" t="n">
        <f aca="false">IF(GK69=1,IF(ABS((1+AS_Wage)/(1+Slot18_Rate)-1)&lt;0.000000000001,(Slot18_Age-D69)*(1+Slot18_Rate)^(Slot18_Age-D69),(1+Slot18_Rate)^(Slot18_Age-D69)*(1-((1+AS_Wage)/(1+Slot18_Rate))^(Slot18_Age-D69))/(1-(1+AS_Wage)/(1+Slot18_Rate))),1)</f>
        <v>1</v>
      </c>
      <c r="NL69" s="1" t="n">
        <f aca="false">IF(AND(HT69=1,ID69&gt;0,Slot18_IsWG=1,GK69=1),MAX(0,(Slot18_Cost-GL69*(1+Slot18_Rate)^(Slot18_Age-D69))/NK69),0)</f>
        <v>0</v>
      </c>
      <c r="NM69" s="1" t="n">
        <f aca="false">IF(AND(HT69=1,ID69&gt;0,Slot18_IsWG=1,GK69=1),MIN(ID69,NL69),0)</f>
        <v>0</v>
      </c>
      <c r="NN69" s="1" t="n">
        <f aca="false">GL69+NM69</f>
        <v>0</v>
      </c>
      <c r="NO69" s="1" t="n">
        <f aca="false">IF(GK69=1,MAX(0,(Slot18_Cost-NN69*(1+Slot18_Rate)^(Slot18_Age-D69))/NK69),0)</f>
        <v>0</v>
      </c>
      <c r="NP69" s="1" t="n">
        <f aca="false">IF(GK69=1,MAX(0,(Slot18_Cost-GL69*(1+Slot18_Rate)^(Slot18_Age-D69))/NK69),0)</f>
        <v>0</v>
      </c>
      <c r="NQ69" s="1" t="n">
        <f aca="false">IF(AND(HT69=1,GK69=1),MIN(NJ69,NO69),0)</f>
        <v>0</v>
      </c>
      <c r="NR69" s="1" t="n">
        <f aca="false">NJ69-NQ69</f>
        <v>0</v>
      </c>
      <c r="NS69" s="1" t="n">
        <f aca="false">IF(GU69=1,IF(ABS((1+AS_Wage)/(1+Slot19_Rate)-1)&lt;0.000000000001,(Slot19_Age-D69)*(1+Slot19_Rate)^(Slot19_Age-D69),(1+Slot19_Rate)^(Slot19_Age-D69)*(1-((1+AS_Wage)/(1+Slot19_Rate))^(Slot19_Age-D69))/(1-(1+AS_Wage)/(1+Slot19_Rate))),1)</f>
        <v>1</v>
      </c>
      <c r="NT69" s="1" t="n">
        <f aca="false">IF(AND(HT69=1,ID69&gt;0,Slot19_IsWG=1,GU69=1),MAX(0,(Slot19_Cost-GV69*(1+Slot19_Rate)^(Slot19_Age-D69))/NS69),0)</f>
        <v>0</v>
      </c>
      <c r="NU69" s="1" t="n">
        <f aca="false">IF(AND(HT69=1,ID69&gt;0,Slot19_IsWG=1,GU69=1),MIN(ID69,NT69),0)</f>
        <v>0</v>
      </c>
      <c r="NV69" s="1" t="n">
        <f aca="false">GV69+NU69</f>
        <v>0</v>
      </c>
      <c r="NW69" s="1" t="n">
        <f aca="false">IF(GU69=1,MAX(0,(Slot19_Cost-NV69*(1+Slot19_Rate)^(Slot19_Age-D69))/NS69),0)</f>
        <v>0</v>
      </c>
      <c r="NX69" s="1" t="n">
        <f aca="false">IF(GU69=1,MAX(0,(Slot19_Cost-GV69*(1+Slot19_Rate)^(Slot19_Age-D69))/NS69),0)</f>
        <v>0</v>
      </c>
      <c r="NY69" s="1" t="n">
        <f aca="false">IF(AND(HT69=1,GU69=1),MIN(NR69,NW69),0)</f>
        <v>0</v>
      </c>
      <c r="NZ69" s="1" t="n">
        <f aca="false">NR69-NY69</f>
        <v>0</v>
      </c>
      <c r="OA69" s="1" t="n">
        <f aca="false">IF(HE69=1,IF(ABS((1+AS_Wage)/(1+Slot20_Rate)-1)&lt;0.000000000001,(Slot20_Age-D69)*(1+Slot20_Rate)^(Slot20_Age-D69),(1+Slot20_Rate)^(Slot20_Age-D69)*(1-((1+AS_Wage)/(1+Slot20_Rate))^(Slot20_Age-D69))/(1-(1+AS_Wage)/(1+Slot20_Rate))),1)</f>
        <v>1</v>
      </c>
      <c r="OB69" s="1" t="n">
        <f aca="false">IF(AND(HT69=1,ID69&gt;0,Slot20_IsWG=1,HE69=1),MAX(0,(Slot20_Cost-HF69*(1+Slot20_Rate)^(Slot20_Age-D69))/OA69),0)</f>
        <v>0</v>
      </c>
      <c r="OC69" s="1" t="n">
        <f aca="false">IF(AND(HT69=1,ID69&gt;0,Slot20_IsWG=1,HE69=1),MIN(ID69,OB69),0)</f>
        <v>0</v>
      </c>
      <c r="OD69" s="1" t="n">
        <f aca="false">HF69+OC69</f>
        <v>0</v>
      </c>
      <c r="OE69" s="1" t="n">
        <f aca="false">IF(HE69=1,MAX(0,(Slot20_Cost-OD69*(1+Slot20_Rate)^(Slot20_Age-D69))/OA69),0)</f>
        <v>0</v>
      </c>
      <c r="OF69" s="1" t="n">
        <f aca="false">IF(HE69=1,MAX(0,(Slot20_Cost-HF69*(1+Slot20_Rate)^(Slot20_Age-D69))/OA69),0)</f>
        <v>0</v>
      </c>
      <c r="OG69" s="1" t="n">
        <f aca="false">IF(AND(HT69=1,HE69=1),MIN(NZ69,OE69),0)</f>
        <v>0</v>
      </c>
      <c r="OH69" s="1" t="n">
        <f aca="false">NZ69-OG69</f>
        <v>0</v>
      </c>
      <c r="OI69" s="1" t="n">
        <f aca="false">ID69-(IG69+IO69+IW69+JE69+JM69+JU69+KC69+KK69+KS69+LA69+LI69+LQ69+LY69+MG69+MO69+MW69+NE69+NM69+NU69+OC69)</f>
        <v>0</v>
      </c>
      <c r="OJ69" s="1" t="n">
        <f aca="false">IF(HT69=1,HR69-IC69-ID69,0)</f>
        <v>0</v>
      </c>
      <c r="OK69" s="1" t="n">
        <f aca="false">IF(HT69=0,-HR69,0)</f>
        <v>0</v>
      </c>
      <c r="OL69" s="1" t="n">
        <f aca="false">MIN(OK69,HJ69)</f>
        <v>0</v>
      </c>
      <c r="OM69" s="1" t="n">
        <f aca="false">OK69-OL69</f>
        <v>0</v>
      </c>
      <c r="ON69" s="1" t="n">
        <f aca="false">MIN(OM69,HK69)</f>
        <v>0</v>
      </c>
      <c r="OO69" s="1" t="n">
        <f aca="false">OM69-ON69</f>
        <v>0</v>
      </c>
      <c r="OP69" s="1" t="n">
        <f aca="false">IF(AND(HT69=0,HE69=1,OO69&gt;0),MIN(OO69,HF69),0)</f>
        <v>0</v>
      </c>
      <c r="OQ69" s="1" t="n">
        <f aca="false">OO69-OP69</f>
        <v>0</v>
      </c>
      <c r="OR69" s="1" t="n">
        <f aca="false">IF(AND(HT69=0,GU69=1,OQ69&gt;0),MIN(OQ69,GV69),0)</f>
        <v>0</v>
      </c>
      <c r="OS69" s="1" t="n">
        <f aca="false">OQ69-OR69</f>
        <v>0</v>
      </c>
      <c r="OT69" s="1" t="n">
        <f aca="false">IF(AND(HT69=0,GK69=1,OS69&gt;0),MIN(OS69,GL69),0)</f>
        <v>0</v>
      </c>
      <c r="OU69" s="1" t="n">
        <f aca="false">OS69-OT69</f>
        <v>0</v>
      </c>
      <c r="OV69" s="1" t="n">
        <f aca="false">IF(AND(HT69=0,GA69=1,OU69&gt;0),MIN(OU69,GB69),0)</f>
        <v>0</v>
      </c>
      <c r="OW69" s="1" t="n">
        <f aca="false">OU69-OV69</f>
        <v>0</v>
      </c>
      <c r="OX69" s="1" t="n">
        <f aca="false">IF(AND(HT69=0,FQ69=1,OW69&gt;0),MIN(OW69,FR69),0)</f>
        <v>0</v>
      </c>
      <c r="OY69" s="1" t="n">
        <f aca="false">OW69-OX69</f>
        <v>0</v>
      </c>
      <c r="OZ69" s="1" t="n">
        <f aca="false">IF(AND(HT69=0,FG69=1,OY69&gt;0),MIN(OY69,FH69),0)</f>
        <v>0</v>
      </c>
      <c r="PA69" s="1" t="n">
        <f aca="false">OY69-OZ69</f>
        <v>0</v>
      </c>
      <c r="PB69" s="1" t="n">
        <f aca="false">IF(AND(HT69=0,EW69=1,PA69&gt;0),MIN(PA69,EX69),0)</f>
        <v>0</v>
      </c>
      <c r="PC69" s="1" t="n">
        <f aca="false">PA69-PB69</f>
        <v>0</v>
      </c>
      <c r="PD69" s="1" t="n">
        <f aca="false">IF(AND(HT69=0,EM69=1,PC69&gt;0),MIN(PC69,EN69),0)</f>
        <v>0</v>
      </c>
      <c r="PE69" s="1" t="n">
        <f aca="false">PC69-PD69</f>
        <v>0</v>
      </c>
      <c r="PF69" s="1" t="n">
        <f aca="false">IF(AND(HT69=0,EC69=1,PE69&gt;0),MIN(PE69,ED69),0)</f>
        <v>0</v>
      </c>
      <c r="PG69" s="1" t="n">
        <f aca="false">PE69-PF69</f>
        <v>0</v>
      </c>
      <c r="PH69" s="1" t="n">
        <f aca="false">IF(AND(HT69=0,DS69=1,PG69&gt;0),MIN(PG69,DT69),0)</f>
        <v>0</v>
      </c>
      <c r="PI69" s="1" t="n">
        <f aca="false">PG69-PH69</f>
        <v>0</v>
      </c>
      <c r="PJ69" s="1" t="n">
        <f aca="false">IF(AND(HT69=0,DI69=1,PI69&gt;0),MIN(PI69,DJ69),0)</f>
        <v>0</v>
      </c>
      <c r="PK69" s="1" t="n">
        <f aca="false">PI69-PJ69</f>
        <v>0</v>
      </c>
      <c r="PL69" s="1" t="n">
        <f aca="false">IF(AND(HT69=0,CY69=1,PK69&gt;0),MIN(PK69,CZ69),0)</f>
        <v>0</v>
      </c>
      <c r="PM69" s="1" t="n">
        <f aca="false">PK69-PL69</f>
        <v>0</v>
      </c>
      <c r="PN69" s="1" t="n">
        <f aca="false">IF(AND(HT69=0,CO69=1,PM69&gt;0),MIN(PM69,CP69),0)</f>
        <v>0</v>
      </c>
      <c r="PO69" s="1" t="n">
        <f aca="false">PM69-PN69</f>
        <v>0</v>
      </c>
      <c r="PP69" s="1" t="n">
        <f aca="false">IF(AND(HT69=0,CE69=1,PO69&gt;0),MIN(PO69,CF69),0)</f>
        <v>0</v>
      </c>
      <c r="PQ69" s="1" t="n">
        <f aca="false">PO69-PP69</f>
        <v>0</v>
      </c>
      <c r="PR69" s="1" t="n">
        <f aca="false">IF(AND(HT69=0,BU69=1,PQ69&gt;0),MIN(PQ69,BV69),0)</f>
        <v>0</v>
      </c>
      <c r="PS69" s="1" t="n">
        <f aca="false">PQ69-PR69</f>
        <v>0</v>
      </c>
      <c r="PT69" s="1" t="n">
        <f aca="false">IF(AND(HT69=0,BK69=1,PS69&gt;0),MIN(PS69,BL69),0)</f>
        <v>0</v>
      </c>
      <c r="PU69" s="1" t="n">
        <f aca="false">PS69-PT69</f>
        <v>0</v>
      </c>
      <c r="PV69" s="1" t="n">
        <f aca="false">IF(AND(HT69=0,BA69=1,PU69&gt;0),MIN(PU69,BB69),0)</f>
        <v>0</v>
      </c>
      <c r="PW69" s="1" t="n">
        <f aca="false">PU69-PV69</f>
        <v>0</v>
      </c>
      <c r="PX69" s="1" t="n">
        <f aca="false">IF(AND(HT69=0,AQ69=1,PW69&gt;0),MIN(PW69,AR69),0)</f>
        <v>0</v>
      </c>
      <c r="PY69" s="1" t="n">
        <f aca="false">PW69-PX69</f>
        <v>0</v>
      </c>
      <c r="PZ69" s="1" t="n">
        <f aca="false">IF(AND(HT69=0,AG69=1,PY69&gt;0),MIN(PY69,AH69),0)</f>
        <v>0</v>
      </c>
      <c r="QA69" s="1" t="n">
        <f aca="false">PY69-PZ69</f>
        <v>0</v>
      </c>
      <c r="QB69" s="1" t="n">
        <f aca="false">IF(AND(HT69=0,V69=1,QA69&gt;0),MIN(QA69,W69),0)</f>
        <v>0</v>
      </c>
      <c r="QC69" s="1" t="n">
        <f aca="false">QA69-QB69</f>
        <v>0</v>
      </c>
      <c r="QD69" s="1" t="n">
        <f aca="false">IF(HT69=0,QC69,0)</f>
        <v>0</v>
      </c>
      <c r="QE69" s="1" t="n">
        <f aca="false">OL69+ON69+QB69+PZ69+PX69+PV69+PT69+PR69+PP69+PN69+PL69+PJ69+PH69+PF69+PD69+PB69+OZ69+OX69+OV69+OT69+OR69+OP69</f>
        <v>0</v>
      </c>
      <c r="QF69" s="1" t="n">
        <f aca="false">IF(HT69=1,HJ69+OI69+OH69+IF(F69=1,0,OJ69),HJ69-OL69)</f>
        <v>0</v>
      </c>
      <c r="QG69" s="1" t="n">
        <f aca="false">HK69-ON69</f>
        <v>0</v>
      </c>
      <c r="QH69" s="1" t="n">
        <f aca="false">IF(HT69=1,IF(F69=1,IC69+ID69,HR69),0)</f>
        <v>0</v>
      </c>
      <c r="QI69" s="1" t="n">
        <f aca="false">IF(HT69=1,IF(F69=1,HR69-IC69-ID69,0),0)</f>
        <v>0</v>
      </c>
      <c r="QJ69" s="1" t="n">
        <f aca="false">QF69*(1+GR)</f>
        <v>0</v>
      </c>
      <c r="QK69" s="1" t="n">
        <f aca="false">QG69*(1+AS_Cash)</f>
        <v>0</v>
      </c>
      <c r="QL69" s="1" t="n">
        <f aca="false">IF(V69=1,IF(HT69=1,IH69+IK69,W69-QB69)*(1+Slot1_Rate),0)</f>
        <v>0</v>
      </c>
      <c r="QM69" s="1" t="n">
        <f aca="false">IF(AND(HT69=1,V69=1),(IG69+IK69)/E69,0)</f>
        <v>0</v>
      </c>
      <c r="QN69" s="1" t="n">
        <f aca="false">IF(B69=0,IG69+IK69,0)</f>
        <v>0</v>
      </c>
      <c r="QO69" s="1" t="n">
        <f aca="false">IF(B69=0,IF(HT69=1,II69,IJ69),0)</f>
        <v>0</v>
      </c>
      <c r="QP69" s="1" t="n">
        <f aca="false">IF(AG69=1,IF(HT69=1,IP69+IS69,AH69-PZ69)*(1+Slot2_Rate),0)</f>
        <v>0</v>
      </c>
      <c r="QQ69" s="1" t="n">
        <f aca="false">IF(AND(HT69=1,AG69=1),(IO69+IS69)/E69,0)</f>
        <v>0</v>
      </c>
      <c r="QR69" s="1" t="n">
        <f aca="false">IF(B69=0,IO69+IS69,0)</f>
        <v>0</v>
      </c>
      <c r="QS69" s="1" t="n">
        <f aca="false">IF(B69=0,IF(HT69=1,IQ69,IR69),0)</f>
        <v>0</v>
      </c>
      <c r="QT69" s="1" t="n">
        <f aca="false">IF(AQ69=1,IF(HT69=1,IX69+JA69,AR69-PX69)*(1+Slot3_Rate),0)</f>
        <v>0</v>
      </c>
      <c r="QU69" s="1" t="n">
        <f aca="false">IF(AND(HT69=1,AQ69=1),(IW69+JA69)/E69,0)</f>
        <v>0</v>
      </c>
      <c r="QV69" s="1" t="n">
        <f aca="false">IF(B69=0,IW69+JA69,0)</f>
        <v>0</v>
      </c>
      <c r="QW69" s="1" t="n">
        <f aca="false">IF(B69=0,IF(HT69=1,IY69,IZ69),0)</f>
        <v>0</v>
      </c>
      <c r="QX69" s="1" t="n">
        <f aca="false">IF(BA69=1,IF(HT69=1,JF69+JI69,BB69-PV69)*(1+Slot4_Rate),0)</f>
        <v>0</v>
      </c>
      <c r="QY69" s="1" t="n">
        <f aca="false">IF(AND(HT69=1,BA69=1),(JE69+JI69)/E69,0)</f>
        <v>0</v>
      </c>
      <c r="QZ69" s="1" t="n">
        <f aca="false">IF(B69=0,JE69+JI69,0)</f>
        <v>0</v>
      </c>
      <c r="RA69" s="1" t="n">
        <f aca="false">IF(B69=0,IF(HT69=1,JG69,JH69),0)</f>
        <v>0</v>
      </c>
      <c r="RB69" s="1" t="n">
        <f aca="false">IF(BK69=1,IF(HT69=1,JN69+JQ69,BL69-PT69)*(1+Slot5_Rate),0)</f>
        <v>0</v>
      </c>
      <c r="RC69" s="1" t="n">
        <f aca="false">IF(AND(HT69=1,BK69=1),(JM69+JQ69)/E69,0)</f>
        <v>0</v>
      </c>
      <c r="RD69" s="1" t="n">
        <f aca="false">IF(B69=0,JM69+JQ69,0)</f>
        <v>0</v>
      </c>
      <c r="RE69" s="1" t="n">
        <f aca="false">IF(B69=0,IF(HT69=1,JO69,JP69),0)</f>
        <v>0</v>
      </c>
      <c r="RF69" s="1" t="n">
        <f aca="false">IF(BU69=1,IF(HT69=1,JV69+JY69,BV69-PR69)*(1+Slot6_Rate),0)</f>
        <v>0</v>
      </c>
      <c r="RG69" s="1" t="n">
        <f aca="false">IF(AND(HT69=1,BU69=1),(JU69+JY69)/E69,0)</f>
        <v>0</v>
      </c>
      <c r="RH69" s="1" t="n">
        <f aca="false">IF(B69=0,JU69+JY69,0)</f>
        <v>0</v>
      </c>
      <c r="RI69" s="1" t="n">
        <f aca="false">IF(B69=0,IF(HT69=1,JW69,JX69),0)</f>
        <v>0</v>
      </c>
      <c r="RJ69" s="1" t="n">
        <f aca="false">IF(CE69=1,IF(HT69=1,KD69+KG69,CF69-PP69)*(1+Slot7_Rate),0)</f>
        <v>0</v>
      </c>
      <c r="RK69" s="1" t="n">
        <f aca="false">IF(AND(HT69=1,CE69=1),(KC69+KG69)/E69,0)</f>
        <v>0</v>
      </c>
      <c r="RL69" s="1" t="n">
        <f aca="false">IF(B69=0,KC69+KG69,0)</f>
        <v>0</v>
      </c>
      <c r="RM69" s="1" t="n">
        <f aca="false">IF(B69=0,IF(HT69=1,KE69,KF69),0)</f>
        <v>0</v>
      </c>
      <c r="RN69" s="1" t="n">
        <f aca="false">IF(CO69=1,IF(HT69=1,KL69+KO69,CP69-PN69)*(1+Slot8_Rate),0)</f>
        <v>0</v>
      </c>
      <c r="RO69" s="1" t="n">
        <f aca="false">IF(AND(HT69=1,CO69=1),(KK69+KO69)/E69,0)</f>
        <v>0</v>
      </c>
      <c r="RP69" s="1" t="n">
        <f aca="false">IF(B69=0,KK69+KO69,0)</f>
        <v>0</v>
      </c>
      <c r="RQ69" s="1" t="n">
        <f aca="false">IF(B69=0,IF(HT69=1,KM69,KN69),0)</f>
        <v>0</v>
      </c>
      <c r="RR69" s="1" t="n">
        <f aca="false">IF(CY69=1,IF(HT69=1,KT69+KW69,CZ69-PL69)*(1+Slot9_Rate),0)</f>
        <v>0</v>
      </c>
      <c r="RS69" s="1" t="n">
        <f aca="false">IF(AND(HT69=1,CY69=1),(KS69+KW69)/E69,0)</f>
        <v>0</v>
      </c>
      <c r="RT69" s="1" t="n">
        <f aca="false">IF(B69=0,KS69+KW69,0)</f>
        <v>0</v>
      </c>
      <c r="RU69" s="1" t="n">
        <f aca="false">IF(B69=0,IF(HT69=1,KU69,KV69),0)</f>
        <v>0</v>
      </c>
      <c r="RV69" s="1" t="n">
        <f aca="false">IF(DI69=1,IF(HT69=1,LB69+LE69,DJ69-PJ69)*(1+Slot10_Rate),0)</f>
        <v>0</v>
      </c>
      <c r="RW69" s="1" t="n">
        <f aca="false">IF(AND(HT69=1,DI69=1),(LA69+LE69)/E69,0)</f>
        <v>0</v>
      </c>
      <c r="RX69" s="1" t="n">
        <f aca="false">IF(B69=0,LA69+LE69,0)</f>
        <v>0</v>
      </c>
      <c r="RY69" s="1" t="n">
        <f aca="false">IF(B69=0,IF(HT69=1,LC69,LD69),0)</f>
        <v>0</v>
      </c>
      <c r="RZ69" s="1" t="n">
        <f aca="false">IF(DS69=1,IF(HT69=1,LJ69+LM69,DT69-PH69)*(1+Slot11_Rate),0)</f>
        <v>0</v>
      </c>
      <c r="SA69" s="1" t="n">
        <f aca="false">IF(AND(HT69=1,DS69=1),(LI69+LM69)/E69,0)</f>
        <v>0</v>
      </c>
      <c r="SB69" s="1" t="n">
        <f aca="false">IF(B69=0,LI69+LM69,0)</f>
        <v>0</v>
      </c>
      <c r="SC69" s="1" t="n">
        <f aca="false">IF(B69=0,IF(HT69=1,LK69,LL69),0)</f>
        <v>0</v>
      </c>
      <c r="SD69" s="1" t="n">
        <f aca="false">IF(EC69=1,IF(HT69=1,LR69+LU69,ED69-PF69)*(1+Slot12_Rate),0)</f>
        <v>0</v>
      </c>
      <c r="SE69" s="1" t="n">
        <f aca="false">IF(AND(HT69=1,EC69=1),(LQ69+LU69)/E69,0)</f>
        <v>0</v>
      </c>
      <c r="SF69" s="1" t="n">
        <f aca="false">IF(B69=0,LQ69+LU69,0)</f>
        <v>0</v>
      </c>
      <c r="SG69" s="1" t="n">
        <f aca="false">IF(B69=0,IF(HT69=1,LS69,LT69),0)</f>
        <v>0</v>
      </c>
      <c r="SH69" s="1" t="n">
        <f aca="false">IF(EM69=1,IF(HT69=1,LZ69+MC69,EN69-PD69)*(1+Slot13_Rate),0)</f>
        <v>0</v>
      </c>
      <c r="SI69" s="1" t="n">
        <f aca="false">IF(AND(HT69=1,EM69=1),(LY69+MC69)/E69,0)</f>
        <v>0</v>
      </c>
      <c r="SJ69" s="1" t="n">
        <f aca="false">IF(B69=0,LY69+MC69,0)</f>
        <v>0</v>
      </c>
      <c r="SK69" s="1" t="n">
        <f aca="false">IF(B69=0,IF(HT69=1,MA69,MB69),0)</f>
        <v>0</v>
      </c>
      <c r="SL69" s="1" t="n">
        <f aca="false">IF(EW69=1,IF(HT69=1,MH69+MK69,EX69-PB69)*(1+Slot14_Rate),0)</f>
        <v>0</v>
      </c>
      <c r="SM69" s="1" t="n">
        <f aca="false">IF(AND(HT69=1,EW69=1),(MG69+MK69)/E69,0)</f>
        <v>0</v>
      </c>
      <c r="SN69" s="1" t="n">
        <f aca="false">IF(B69=0,MG69+MK69,0)</f>
        <v>0</v>
      </c>
      <c r="SO69" s="1" t="n">
        <f aca="false">IF(B69=0,IF(HT69=1,MI69,MJ69),0)</f>
        <v>0</v>
      </c>
      <c r="SP69" s="1" t="n">
        <f aca="false">IF(FG69=1,IF(HT69=1,MP69+MS69,FH69-OZ69)*(1+Slot15_Rate),0)</f>
        <v>0</v>
      </c>
      <c r="SQ69" s="1" t="n">
        <f aca="false">IF(AND(HT69=1,FG69=1),(MO69+MS69)/E69,0)</f>
        <v>0</v>
      </c>
      <c r="SR69" s="1" t="n">
        <f aca="false">IF(B69=0,MO69+MS69,0)</f>
        <v>0</v>
      </c>
      <c r="SS69" s="1" t="n">
        <f aca="false">IF(B69=0,IF(HT69=1,MQ69,MR69),0)</f>
        <v>0</v>
      </c>
      <c r="ST69" s="1" t="n">
        <f aca="false">IF(FQ69=1,IF(HT69=1,MX69+NA69,FR69-OX69)*(1+Slot16_Rate),0)</f>
        <v>0</v>
      </c>
      <c r="SU69" s="1" t="n">
        <f aca="false">IF(AND(HT69=1,FQ69=1),(MW69+NA69)/E69,0)</f>
        <v>0</v>
      </c>
      <c r="SV69" s="1" t="n">
        <f aca="false">IF(B69=0,MW69+NA69,0)</f>
        <v>0</v>
      </c>
      <c r="SW69" s="1" t="n">
        <f aca="false">IF(B69=0,IF(HT69=1,MY69,MZ69),0)</f>
        <v>0</v>
      </c>
      <c r="SX69" s="1" t="n">
        <f aca="false">IF(GA69=1,IF(HT69=1,NF69+NI69,GB69-OV69)*(1+Slot17_Rate),0)</f>
        <v>0</v>
      </c>
      <c r="SY69" s="1" t="n">
        <f aca="false">IF(AND(HT69=1,GA69=1),(NE69+NI69)/E69,0)</f>
        <v>0</v>
      </c>
      <c r="SZ69" s="1" t="n">
        <f aca="false">IF(B69=0,NE69+NI69,0)</f>
        <v>0</v>
      </c>
      <c r="TA69" s="1" t="n">
        <f aca="false">IF(B69=0,IF(HT69=1,NG69,NH69),0)</f>
        <v>0</v>
      </c>
      <c r="TB69" s="1" t="n">
        <f aca="false">IF(GK69=1,IF(HT69=1,NN69+NQ69,GL69-OT69)*(1+Slot18_Rate),0)</f>
        <v>0</v>
      </c>
      <c r="TC69" s="1" t="n">
        <f aca="false">IF(AND(HT69=1,GK69=1),(NM69+NQ69)/E69,0)</f>
        <v>0</v>
      </c>
      <c r="TD69" s="1" t="n">
        <f aca="false">IF(B69=0,NM69+NQ69,0)</f>
        <v>0</v>
      </c>
      <c r="TE69" s="1" t="n">
        <f aca="false">IF(B69=0,IF(HT69=1,NO69,NP69),0)</f>
        <v>0</v>
      </c>
      <c r="TF69" s="1" t="n">
        <f aca="false">IF(GU69=1,IF(HT69=1,NV69+NY69,GV69-OR69)*(1+Slot19_Rate),0)</f>
        <v>0</v>
      </c>
      <c r="TG69" s="1" t="n">
        <f aca="false">IF(AND(HT69=1,GU69=1),(NU69+NY69)/E69,0)</f>
        <v>0</v>
      </c>
      <c r="TH69" s="1" t="n">
        <f aca="false">IF(B69=0,NU69+NY69,0)</f>
        <v>0</v>
      </c>
      <c r="TI69" s="1" t="n">
        <f aca="false">IF(B69=0,IF(HT69=1,NW69,NX69),0)</f>
        <v>0</v>
      </c>
      <c r="TJ69" s="1" t="n">
        <f aca="false">IF(HE69=1,IF(HT69=1,OD69+OG69,HF69-OP69)*(1+Slot20_Rate),0)</f>
        <v>0</v>
      </c>
      <c r="TK69" s="1" t="n">
        <f aca="false">IF(AND(HT69=1,HE69=1),(OC69+OG69)/E69,0)</f>
        <v>0</v>
      </c>
      <c r="TL69" s="1" t="n">
        <f aca="false">IF(B69=0,OC69+OG69,0)</f>
        <v>0</v>
      </c>
      <c r="TM69" s="1" t="n">
        <f aca="false">IF(B69=0,IF(HT69=1,OE69,OF69),0)</f>
        <v>0</v>
      </c>
      <c r="TN69" s="1" t="n">
        <f aca="false">QJ69+QK69+QL69+QP69+QT69+QX69+RB69+RF69+RJ69+RN69+RR69+RV69+RZ69+SD69+SH69+SL69+SP69+ST69+SX69+TB69+TF69+TJ69</f>
        <v>0</v>
      </c>
      <c r="TO69" s="1" t="n">
        <f aca="false">QD69+HO69</f>
        <v>0</v>
      </c>
      <c r="TP69" s="1" t="n">
        <f aca="false">H69+R69</f>
        <v>0</v>
      </c>
      <c r="TQ69" s="1" t="n">
        <f aca="false">1-F69</f>
        <v>0</v>
      </c>
      <c r="TR69" s="1" t="n">
        <f aca="false">IF(AND(RG_Exists=1,F69=0,C69=1),H69,0)</f>
        <v>0</v>
      </c>
      <c r="TS69" s="1" t="n">
        <f aca="false">IF(AND(RG_Exists=1,F69=0,C69=1),H69-MIN(QD69,H69),0)</f>
        <v>0</v>
      </c>
      <c r="TT69" s="1" t="n">
        <f aca="false">'Plan pay &amp; tax'!AD295</f>
        <v>0</v>
      </c>
      <c r="TU69" s="1" t="n">
        <f aca="false">IF(AND(C69=1,QD69&gt;MAX(PR_Short1,TP69*PR_Short2)),1,0)</f>
        <v>0</v>
      </c>
      <c r="TV69" s="1" t="n">
        <f aca="false">MIN(G69,H69+R69)</f>
        <v>0</v>
      </c>
      <c r="TW69" s="1" t="n">
        <f aca="false">QE69+MAX(0,HP69-HO69)</f>
        <v>0</v>
      </c>
      <c r="TX69" s="1" t="n">
        <f aca="false">QD69+HO69</f>
        <v>0</v>
      </c>
      <c r="TY69" s="1" t="n">
        <f aca="false">IF(AND(C69=1,TX69&gt;PR_MinShort),1,0)</f>
        <v>0</v>
      </c>
      <c r="TZ69" s="1" t="n">
        <f aca="false">IF(AND(C69=1,TY69=0,TW69&gt;PR_MinShort),1,0)</f>
        <v>0</v>
      </c>
      <c r="UA69" s="1" t="n">
        <f aca="false">IF(AND(C69=1,QD69&gt;PR_MinShort),1,0)</f>
        <v>0</v>
      </c>
      <c r="UB69" s="1" t="n">
        <f aca="false">IF(AND(C69=1,QE69&gt;1,UI69=0),1,0)</f>
        <v>0</v>
      </c>
      <c r="UC69" s="1" t="str">
        <f aca="false">IF(C69=0,"",IF(UI69=1,"Gap to plan for: short "&amp;"€"&amp;TEXT(ROUND(TO69,0),"#,##0"),IF(QE69&gt;1,"Using savings","Comfortable")))</f>
        <v>Comfortable</v>
      </c>
      <c r="UD69" s="1" t="n">
        <f aca="false">IF(AND(INT(D69/10)*10=90,B69&gt;0),80,INT(D69/10)*10)</f>
        <v>60</v>
      </c>
      <c r="UE69" s="1" t="n">
        <f aca="false">IF(B69=0,1,IF(UD69&lt;&gt;UD68,UE68+1,UE68))</f>
        <v>7</v>
      </c>
      <c r="UF69" s="1" t="n">
        <f aca="false">IF(AND(C69=1,F69=1,QD69&gt;MAX(PR_Short1,TP69*PR_Short2)),1,0)</f>
        <v>0</v>
      </c>
      <c r="UG69" s="1" t="n">
        <f aca="false">TQ69*TU69</f>
        <v>0</v>
      </c>
      <c r="UH69" s="1" t="n">
        <f aca="false">IF(AND(U69=1,Slot1_PctLow=1),1,0)+IF(AND(AF69=1,Slot2_PctLow=1),1,0)+IF(AND(AP69=1,Slot3_PctLow=1),1,0)+IF(AND(AZ69=1,Slot4_PctLow=1),1,0)+IF(AND(BJ69=1,Slot5_PctLow=1),1,0)+IF(AND(BT69=1,Slot6_PctLow=1),1,0)+IF(AND(CD69=1,Slot7_PctLow=1),1,0)+IF(AND(CN69=1,Slot8_PctLow=1),1,0)+IF(AND(CX69=1,Slot9_PctLow=1),1,0)+IF(AND(DH69=1,Slot10_PctLow=1),1,0)+IF(AND(DR69=1,Slot11_PctLow=1),1,0)+IF(AND(EB69=1,Slot12_PctLow=1),1,0)+IF(AND(EL69=1,Slot13_PctLow=1),1,0)+IF(AND(EV69=1,Slot14_PctLow=1),1,0)+IF(AND(FF69=1,Slot15_PctLow=1),1,0)+IF(AND(FP69=1,Slot16_PctLow=1),1,0)+IF(AND(FZ69=1,Slot17_PctLow=1),1,0)+IF(AND(GJ69=1,Slot18_PctLow=1),1,0)+IF(AND(GT69=1,Slot19_PctLow=1),1,0)+IF(AND(HD69=1,Slot20_PctLow=1),1,0)</f>
        <v>0</v>
      </c>
      <c r="UI69" s="1" t="n">
        <f aca="false">IF(C69=1,IF(OR(TU69=1,UH69&gt;0),1,0),0)</f>
        <v>0</v>
      </c>
    </row>
    <row r="70" customFormat="false" ht="15" hidden="false" customHeight="true" outlineLevel="0" collapsed="false">
      <c r="B70" s="1" t="n">
        <v>62</v>
      </c>
      <c r="C70" s="1" t="n">
        <f aca="false">IF(B70&lt;=F_N,1,0)</f>
        <v>1</v>
      </c>
      <c r="D70" s="1" t="n">
        <f aca="false">'Plan pay &amp; tax'!C296</f>
        <v>62</v>
      </c>
      <c r="E70" s="111" t="n">
        <f aca="false">'Plan pay &amp; tax'!E296</f>
        <v>3.41358443221538</v>
      </c>
      <c r="F70" s="1" t="n">
        <f aca="false">'Plan pay &amp; tax'!G296</f>
        <v>1</v>
      </c>
      <c r="G70" s="1" t="n">
        <f aca="false">'Plan pay &amp; tax'!BT296-'Plan pay &amp; tax'!BS296-'Plan pay &amp; tax'!R296</f>
        <v>0</v>
      </c>
      <c r="H70" s="1" t="n">
        <f aca="false">IF(F70=1,F_CostsM*12,IF(RG_Exists=1,RG_Amount,F_CostsM*12*AS_RetireSpend))*E70+F_OneOffY*E70</f>
        <v>0</v>
      </c>
      <c r="I70" s="1" t="n">
        <f aca="false">HQ69</f>
        <v>0</v>
      </c>
      <c r="J70" s="1" t="n">
        <f aca="false">IF(I70&gt;1,'Plan debt months'!AC70,0)</f>
        <v>0</v>
      </c>
      <c r="K70" s="1" t="n">
        <f aca="false">IF(I70&gt;1,'Plan debt months'!AB70,I70)</f>
        <v>0</v>
      </c>
      <c r="L70" s="1" t="n">
        <f aca="false">N69</f>
        <v>0</v>
      </c>
      <c r="M70" s="1" t="n">
        <f aca="false">IF(L70&gt;1,'Plan debt months'!BD70,0)</f>
        <v>0</v>
      </c>
      <c r="N70" s="1" t="n">
        <f aca="false">IF(L70&gt;1,'Plan debt months'!BC70,L70)</f>
        <v>0</v>
      </c>
      <c r="O70" s="1" t="n">
        <f aca="false">Q69</f>
        <v>0</v>
      </c>
      <c r="P70" s="1" t="n">
        <f aca="false">IF(O70&gt;1,'Plan debt months'!CE70,0)</f>
        <v>0</v>
      </c>
      <c r="Q70" s="1" t="n">
        <f aca="false">IF(O70&gt;1,'Plan debt months'!CD70,O70)</f>
        <v>0</v>
      </c>
      <c r="R70" s="1" t="n">
        <f aca="false">J70+M70+P70</f>
        <v>0</v>
      </c>
      <c r="S70" s="1" t="n">
        <f aca="false">QJ69+'Plan pay &amp; tax'!Y296</f>
        <v>0</v>
      </c>
      <c r="T70" s="1" t="n">
        <f aca="false">QJ69</f>
        <v>0</v>
      </c>
      <c r="U70" s="1" t="n">
        <f aca="false">IF(AND(Slot1_On=1,D70=Slot1_Age),1,0)</f>
        <v>0</v>
      </c>
      <c r="V70" s="1" t="n">
        <f aca="false">IF(AND(Slot1_On=1,Slot1_Age&gt;D70),1,0)</f>
        <v>0</v>
      </c>
      <c r="W70" s="1" t="n">
        <f aca="false">QL69</f>
        <v>0</v>
      </c>
      <c r="X70" s="1" t="n">
        <f aca="false">U70*MIN(Slot1_Cost,W70)</f>
        <v>0</v>
      </c>
      <c r="Y70" s="1" t="n">
        <f aca="false">U70*Slot1_SpendLike*MIN(Slot1_Cost-X70,S70)</f>
        <v>0</v>
      </c>
      <c r="Z70" s="1" t="n">
        <f aca="false">X70+Y70</f>
        <v>0</v>
      </c>
      <c r="AA70" s="1" t="n">
        <f aca="false">S70-Y70+U70*IF(Slot1_SpendLike=1,W70-X70,IF(Slot1_PotFree=1,W70,0))</f>
        <v>0</v>
      </c>
      <c r="AB70" s="1" t="n">
        <f aca="false">AE70+U70*Slot1_BufPot*W70</f>
        <v>0</v>
      </c>
      <c r="AC70" s="1" t="n">
        <f aca="false">IF(AND(U70=1,Slot1_IsMfree=1),IF(Z70&gt;=Slot1_Cost-1,0,MAX(0,K70-Z70)),K70)</f>
        <v>0</v>
      </c>
      <c r="AD70" s="1" t="n">
        <f aca="false">U70*(Slot1_Cost-Z70)</f>
        <v>0</v>
      </c>
      <c r="AE70" s="1" t="n">
        <f aca="false">QK69</f>
        <v>0</v>
      </c>
      <c r="AF70" s="1" t="n">
        <f aca="false">IF(AND(Slot2_On=1,D70=Slot2_Age),1,0)</f>
        <v>0</v>
      </c>
      <c r="AG70" s="1" t="n">
        <f aca="false">IF(AND(Slot2_On=1,Slot2_Age&gt;D70),1,0)</f>
        <v>0</v>
      </c>
      <c r="AH70" s="1" t="n">
        <f aca="false">QP69</f>
        <v>0</v>
      </c>
      <c r="AI70" s="1" t="n">
        <f aca="false">AF70*MIN(Slot2_Cost,AH70)</f>
        <v>0</v>
      </c>
      <c r="AJ70" s="1" t="n">
        <f aca="false">AF70*Slot2_SpendLike*MIN(Slot2_Cost-AI70,AA70)</f>
        <v>0</v>
      </c>
      <c r="AK70" s="1" t="n">
        <f aca="false">AI70+AJ70</f>
        <v>0</v>
      </c>
      <c r="AL70" s="1" t="n">
        <f aca="false">AA70-AJ70+AF70*IF(Slot2_SpendLike=1,AH70-AI70,IF(Slot2_PotFree=1,AH70,0))</f>
        <v>0</v>
      </c>
      <c r="AM70" s="1" t="n">
        <f aca="false">AB70+AF70*Slot2_BufPot*AH70</f>
        <v>0</v>
      </c>
      <c r="AN70" s="1" t="n">
        <f aca="false">IF(AND(AF70=1,Slot2_IsMfree=1),IF(AK70&gt;=Slot2_Cost-1,0,MAX(0,AC70-AK70)),AC70)</f>
        <v>0</v>
      </c>
      <c r="AO70" s="1" t="n">
        <f aca="false">AF70*(Slot2_Cost-AK70)</f>
        <v>0</v>
      </c>
      <c r="AP70" s="1" t="n">
        <f aca="false">IF(AND(Slot3_On=1,D70=Slot3_Age),1,0)</f>
        <v>0</v>
      </c>
      <c r="AQ70" s="1" t="n">
        <f aca="false">IF(AND(Slot3_On=1,Slot3_Age&gt;D70),1,0)</f>
        <v>0</v>
      </c>
      <c r="AR70" s="1" t="n">
        <f aca="false">QT69</f>
        <v>0</v>
      </c>
      <c r="AS70" s="1" t="n">
        <f aca="false">AP70*MIN(Slot3_Cost,AR70)</f>
        <v>0</v>
      </c>
      <c r="AT70" s="1" t="n">
        <f aca="false">AP70*Slot3_SpendLike*MIN(Slot3_Cost-AS70,AL70)</f>
        <v>0</v>
      </c>
      <c r="AU70" s="1" t="n">
        <f aca="false">AS70+AT70</f>
        <v>0</v>
      </c>
      <c r="AV70" s="1" t="n">
        <f aca="false">AL70-AT70+AP70*IF(Slot3_SpendLike=1,AR70-AS70,IF(Slot3_PotFree=1,AR70,0))</f>
        <v>0</v>
      </c>
      <c r="AW70" s="1" t="n">
        <f aca="false">AM70+AP70*Slot3_BufPot*AR70</f>
        <v>0</v>
      </c>
      <c r="AX70" s="1" t="n">
        <f aca="false">IF(AND(AP70=1,Slot3_IsMfree=1),IF(AU70&gt;=Slot3_Cost-1,0,MAX(0,AN70-AU70)),AN70)</f>
        <v>0</v>
      </c>
      <c r="AY70" s="1" t="n">
        <f aca="false">AP70*(Slot3_Cost-AU70)</f>
        <v>0</v>
      </c>
      <c r="AZ70" s="1" t="n">
        <f aca="false">IF(AND(Slot4_On=1,D70=Slot4_Age),1,0)</f>
        <v>0</v>
      </c>
      <c r="BA70" s="1" t="n">
        <f aca="false">IF(AND(Slot4_On=1,Slot4_Age&gt;D70),1,0)</f>
        <v>0</v>
      </c>
      <c r="BB70" s="1" t="n">
        <f aca="false">QX69</f>
        <v>0</v>
      </c>
      <c r="BC70" s="1" t="n">
        <f aca="false">AZ70*MIN(Slot4_Cost,BB70)</f>
        <v>0</v>
      </c>
      <c r="BD70" s="1" t="n">
        <f aca="false">AZ70*Slot4_SpendLike*MIN(Slot4_Cost-BC70,AV70)</f>
        <v>0</v>
      </c>
      <c r="BE70" s="1" t="n">
        <f aca="false">BC70+BD70</f>
        <v>0</v>
      </c>
      <c r="BF70" s="1" t="n">
        <f aca="false">AV70-BD70+AZ70*IF(Slot4_SpendLike=1,BB70-BC70,IF(Slot4_PotFree=1,BB70,0))</f>
        <v>0</v>
      </c>
      <c r="BG70" s="1" t="n">
        <f aca="false">AW70+AZ70*Slot4_BufPot*BB70</f>
        <v>0</v>
      </c>
      <c r="BH70" s="1" t="n">
        <f aca="false">IF(AND(AZ70=1,Slot4_IsMfree=1),IF(BE70&gt;=Slot4_Cost-1,0,MAX(0,AX70-BE70)),AX70)</f>
        <v>0</v>
      </c>
      <c r="BI70" s="1" t="n">
        <f aca="false">AZ70*(Slot4_Cost-BE70)</f>
        <v>0</v>
      </c>
      <c r="BJ70" s="1" t="n">
        <f aca="false">IF(AND(Slot5_On=1,D70=Slot5_Age),1,0)</f>
        <v>0</v>
      </c>
      <c r="BK70" s="1" t="n">
        <f aca="false">IF(AND(Slot5_On=1,Slot5_Age&gt;D70),1,0)</f>
        <v>0</v>
      </c>
      <c r="BL70" s="1" t="n">
        <f aca="false">RB69</f>
        <v>0</v>
      </c>
      <c r="BM70" s="1" t="n">
        <f aca="false">BJ70*MIN(Slot5_Cost,BL70)</f>
        <v>0</v>
      </c>
      <c r="BN70" s="1" t="n">
        <f aca="false">BJ70*Slot5_SpendLike*MIN(Slot5_Cost-BM70,BF70)</f>
        <v>0</v>
      </c>
      <c r="BO70" s="1" t="n">
        <f aca="false">BM70+BN70</f>
        <v>0</v>
      </c>
      <c r="BP70" s="1" t="n">
        <f aca="false">BF70-BN70+BJ70*IF(Slot5_SpendLike=1,BL70-BM70,IF(Slot5_PotFree=1,BL70,0))</f>
        <v>0</v>
      </c>
      <c r="BQ70" s="1" t="n">
        <f aca="false">BG70+BJ70*Slot5_BufPot*BL70</f>
        <v>0</v>
      </c>
      <c r="BR70" s="1" t="n">
        <f aca="false">IF(AND(BJ70=1,Slot5_IsMfree=1),IF(BO70&gt;=Slot5_Cost-1,0,MAX(0,BH70-BO70)),BH70)</f>
        <v>0</v>
      </c>
      <c r="BS70" s="1" t="n">
        <f aca="false">BJ70*(Slot5_Cost-BO70)</f>
        <v>0</v>
      </c>
      <c r="BT70" s="1" t="n">
        <f aca="false">IF(AND(Slot6_On=1,D70=Slot6_Age),1,0)</f>
        <v>0</v>
      </c>
      <c r="BU70" s="1" t="n">
        <f aca="false">IF(AND(Slot6_On=1,Slot6_Age&gt;D70),1,0)</f>
        <v>0</v>
      </c>
      <c r="BV70" s="1" t="n">
        <f aca="false">RF69</f>
        <v>0</v>
      </c>
      <c r="BW70" s="1" t="n">
        <f aca="false">BT70*MIN(Slot6_Cost,BV70)</f>
        <v>0</v>
      </c>
      <c r="BX70" s="1" t="n">
        <f aca="false">BT70*Slot6_SpendLike*MIN(Slot6_Cost-BW70,BP70)</f>
        <v>0</v>
      </c>
      <c r="BY70" s="1" t="n">
        <f aca="false">BW70+BX70</f>
        <v>0</v>
      </c>
      <c r="BZ70" s="1" t="n">
        <f aca="false">BP70-BX70+BT70*IF(Slot6_SpendLike=1,BV70-BW70,IF(Slot6_PotFree=1,BV70,0))</f>
        <v>0</v>
      </c>
      <c r="CA70" s="1" t="n">
        <f aca="false">BQ70+BT70*Slot6_BufPot*BV70</f>
        <v>0</v>
      </c>
      <c r="CB70" s="1" t="n">
        <f aca="false">IF(AND(BT70=1,Slot6_IsMfree=1),IF(BY70&gt;=Slot6_Cost-1,0,MAX(0,BR70-BY70)),BR70)</f>
        <v>0</v>
      </c>
      <c r="CC70" s="1" t="n">
        <f aca="false">BT70*(Slot6_Cost-BY70)</f>
        <v>0</v>
      </c>
      <c r="CD70" s="1" t="n">
        <f aca="false">IF(AND(Slot7_On=1,D70=Slot7_Age),1,0)</f>
        <v>0</v>
      </c>
      <c r="CE70" s="1" t="n">
        <f aca="false">IF(AND(Slot7_On=1,Slot7_Age&gt;D70),1,0)</f>
        <v>0</v>
      </c>
      <c r="CF70" s="1" t="n">
        <f aca="false">RJ69</f>
        <v>0</v>
      </c>
      <c r="CG70" s="1" t="n">
        <f aca="false">CD70*MIN(Slot7_Cost,CF70)</f>
        <v>0</v>
      </c>
      <c r="CH70" s="1" t="n">
        <f aca="false">CD70*Slot7_SpendLike*MIN(Slot7_Cost-CG70,BZ70)</f>
        <v>0</v>
      </c>
      <c r="CI70" s="1" t="n">
        <f aca="false">CG70+CH70</f>
        <v>0</v>
      </c>
      <c r="CJ70" s="1" t="n">
        <f aca="false">BZ70-CH70+CD70*IF(Slot7_SpendLike=1,CF70-CG70,IF(Slot7_PotFree=1,CF70,0))</f>
        <v>0</v>
      </c>
      <c r="CK70" s="1" t="n">
        <f aca="false">CA70+CD70*Slot7_BufPot*CF70</f>
        <v>0</v>
      </c>
      <c r="CL70" s="1" t="n">
        <f aca="false">IF(AND(CD70=1,Slot7_IsMfree=1),IF(CI70&gt;=Slot7_Cost-1,0,MAX(0,CB70-CI70)),CB70)</f>
        <v>0</v>
      </c>
      <c r="CM70" s="1" t="n">
        <f aca="false">CD70*(Slot7_Cost-CI70)</f>
        <v>0</v>
      </c>
      <c r="CN70" s="1" t="n">
        <f aca="false">IF(AND(Slot8_On=1,D70=Slot8_Age),1,0)</f>
        <v>0</v>
      </c>
      <c r="CO70" s="1" t="n">
        <f aca="false">IF(AND(Slot8_On=1,Slot8_Age&gt;D70),1,0)</f>
        <v>0</v>
      </c>
      <c r="CP70" s="1" t="n">
        <f aca="false">RN69</f>
        <v>0</v>
      </c>
      <c r="CQ70" s="1" t="n">
        <f aca="false">CN70*MIN(Slot8_Cost,CP70)</f>
        <v>0</v>
      </c>
      <c r="CR70" s="1" t="n">
        <f aca="false">CN70*Slot8_SpendLike*MIN(Slot8_Cost-CQ70,CJ70)</f>
        <v>0</v>
      </c>
      <c r="CS70" s="1" t="n">
        <f aca="false">CQ70+CR70</f>
        <v>0</v>
      </c>
      <c r="CT70" s="1" t="n">
        <f aca="false">CJ70-CR70+CN70*IF(Slot8_SpendLike=1,CP70-CQ70,IF(Slot8_PotFree=1,CP70,0))</f>
        <v>0</v>
      </c>
      <c r="CU70" s="1" t="n">
        <f aca="false">CK70+CN70*Slot8_BufPot*CP70</f>
        <v>0</v>
      </c>
      <c r="CV70" s="1" t="n">
        <f aca="false">IF(AND(CN70=1,Slot8_IsMfree=1),IF(CS70&gt;=Slot8_Cost-1,0,MAX(0,CL70-CS70)),CL70)</f>
        <v>0</v>
      </c>
      <c r="CW70" s="1" t="n">
        <f aca="false">CN70*(Slot8_Cost-CS70)</f>
        <v>0</v>
      </c>
      <c r="CX70" s="1" t="n">
        <f aca="false">IF(AND(Slot9_On=1,D70=Slot9_Age),1,0)</f>
        <v>0</v>
      </c>
      <c r="CY70" s="1" t="n">
        <f aca="false">IF(AND(Slot9_On=1,Slot9_Age&gt;D70),1,0)</f>
        <v>0</v>
      </c>
      <c r="CZ70" s="1" t="n">
        <f aca="false">RR69</f>
        <v>0</v>
      </c>
      <c r="DA70" s="1" t="n">
        <f aca="false">CX70*MIN(Slot9_Cost,CZ70)</f>
        <v>0</v>
      </c>
      <c r="DB70" s="1" t="n">
        <f aca="false">CX70*Slot9_SpendLike*MIN(Slot9_Cost-DA70,CT70)</f>
        <v>0</v>
      </c>
      <c r="DC70" s="1" t="n">
        <f aca="false">DA70+DB70</f>
        <v>0</v>
      </c>
      <c r="DD70" s="1" t="n">
        <f aca="false">CT70-DB70+CX70*IF(Slot9_SpendLike=1,CZ70-DA70,IF(Slot9_PotFree=1,CZ70,0))</f>
        <v>0</v>
      </c>
      <c r="DE70" s="1" t="n">
        <f aca="false">CU70+CX70*Slot9_BufPot*CZ70</f>
        <v>0</v>
      </c>
      <c r="DF70" s="1" t="n">
        <f aca="false">IF(AND(CX70=1,Slot9_IsMfree=1),IF(DC70&gt;=Slot9_Cost-1,0,MAX(0,CV70-DC70)),CV70)</f>
        <v>0</v>
      </c>
      <c r="DG70" s="1" t="n">
        <f aca="false">CX70*(Slot9_Cost-DC70)</f>
        <v>0</v>
      </c>
      <c r="DH70" s="1" t="n">
        <f aca="false">IF(AND(Slot10_On=1,D70=Slot10_Age),1,0)</f>
        <v>0</v>
      </c>
      <c r="DI70" s="1" t="n">
        <f aca="false">IF(AND(Slot10_On=1,Slot10_Age&gt;D70),1,0)</f>
        <v>0</v>
      </c>
      <c r="DJ70" s="1" t="n">
        <f aca="false">RV69</f>
        <v>0</v>
      </c>
      <c r="DK70" s="1" t="n">
        <f aca="false">DH70*MIN(Slot10_Cost,DJ70)</f>
        <v>0</v>
      </c>
      <c r="DL70" s="1" t="n">
        <f aca="false">DH70*Slot10_SpendLike*MIN(Slot10_Cost-DK70,DD70)</f>
        <v>0</v>
      </c>
      <c r="DM70" s="1" t="n">
        <f aca="false">DK70+DL70</f>
        <v>0</v>
      </c>
      <c r="DN70" s="1" t="n">
        <f aca="false">DD70-DL70+DH70*IF(Slot10_SpendLike=1,DJ70-DK70,IF(Slot10_PotFree=1,DJ70,0))</f>
        <v>0</v>
      </c>
      <c r="DO70" s="1" t="n">
        <f aca="false">DE70+DH70*Slot10_BufPot*DJ70</f>
        <v>0</v>
      </c>
      <c r="DP70" s="1" t="n">
        <f aca="false">IF(AND(DH70=1,Slot10_IsMfree=1),IF(DM70&gt;=Slot10_Cost-1,0,MAX(0,DF70-DM70)),DF70)</f>
        <v>0</v>
      </c>
      <c r="DQ70" s="1" t="n">
        <f aca="false">DH70*(Slot10_Cost-DM70)</f>
        <v>0</v>
      </c>
      <c r="DR70" s="1" t="n">
        <f aca="false">IF(AND(Slot11_On=1,D70=Slot11_Age),1,0)</f>
        <v>0</v>
      </c>
      <c r="DS70" s="1" t="n">
        <f aca="false">IF(AND(Slot11_On=1,Slot11_Age&gt;D70),1,0)</f>
        <v>0</v>
      </c>
      <c r="DT70" s="1" t="n">
        <f aca="false">RZ69</f>
        <v>0</v>
      </c>
      <c r="DU70" s="1" t="n">
        <f aca="false">DR70*MIN(Slot11_Cost,DT70)</f>
        <v>0</v>
      </c>
      <c r="DV70" s="1" t="n">
        <f aca="false">DR70*Slot11_SpendLike*MIN(Slot11_Cost-DU70,DN70)</f>
        <v>0</v>
      </c>
      <c r="DW70" s="1" t="n">
        <f aca="false">DU70+DV70</f>
        <v>0</v>
      </c>
      <c r="DX70" s="1" t="n">
        <f aca="false">DN70-DV70+DR70*IF(Slot11_SpendLike=1,DT70-DU70,IF(Slot11_PotFree=1,DT70,0))</f>
        <v>0</v>
      </c>
      <c r="DY70" s="1" t="n">
        <f aca="false">DO70+DR70*Slot11_BufPot*DT70</f>
        <v>0</v>
      </c>
      <c r="DZ70" s="1" t="n">
        <f aca="false">IF(AND(DR70=1,Slot11_IsMfree=1),IF(DW70&gt;=Slot11_Cost-1,0,MAX(0,DP70-DW70)),DP70)</f>
        <v>0</v>
      </c>
      <c r="EA70" s="1" t="n">
        <f aca="false">DR70*(Slot11_Cost-DW70)</f>
        <v>0</v>
      </c>
      <c r="EB70" s="1" t="n">
        <f aca="false">IF(AND(Slot12_On=1,D70=Slot12_Age),1,0)</f>
        <v>0</v>
      </c>
      <c r="EC70" s="1" t="n">
        <f aca="false">IF(AND(Slot12_On=1,Slot12_Age&gt;D70),1,0)</f>
        <v>0</v>
      </c>
      <c r="ED70" s="1" t="n">
        <f aca="false">SD69</f>
        <v>0</v>
      </c>
      <c r="EE70" s="1" t="n">
        <f aca="false">EB70*MIN(Slot12_Cost,ED70)</f>
        <v>0</v>
      </c>
      <c r="EF70" s="1" t="n">
        <f aca="false">EB70*Slot12_SpendLike*MIN(Slot12_Cost-EE70,DX70)</f>
        <v>0</v>
      </c>
      <c r="EG70" s="1" t="n">
        <f aca="false">EE70+EF70</f>
        <v>0</v>
      </c>
      <c r="EH70" s="1" t="n">
        <f aca="false">DX70-EF70+EB70*IF(Slot12_SpendLike=1,ED70-EE70,IF(Slot12_PotFree=1,ED70,0))</f>
        <v>0</v>
      </c>
      <c r="EI70" s="1" t="n">
        <f aca="false">DY70+EB70*Slot12_BufPot*ED70</f>
        <v>0</v>
      </c>
      <c r="EJ70" s="1" t="n">
        <f aca="false">IF(AND(EB70=1,Slot12_IsMfree=1),IF(EG70&gt;=Slot12_Cost-1,0,MAX(0,DZ70-EG70)),DZ70)</f>
        <v>0</v>
      </c>
      <c r="EK70" s="1" t="n">
        <f aca="false">EB70*(Slot12_Cost-EG70)</f>
        <v>0</v>
      </c>
      <c r="EL70" s="1" t="n">
        <f aca="false">IF(AND(Slot13_On=1,D70=Slot13_Age),1,0)</f>
        <v>0</v>
      </c>
      <c r="EM70" s="1" t="n">
        <f aca="false">IF(AND(Slot13_On=1,Slot13_Age&gt;D70),1,0)</f>
        <v>0</v>
      </c>
      <c r="EN70" s="1" t="n">
        <f aca="false">SH69</f>
        <v>0</v>
      </c>
      <c r="EO70" s="1" t="n">
        <f aca="false">EL70*MIN(Slot13_Cost,EN70)</f>
        <v>0</v>
      </c>
      <c r="EP70" s="1" t="n">
        <f aca="false">EL70*Slot13_SpendLike*MIN(Slot13_Cost-EO70,EH70)</f>
        <v>0</v>
      </c>
      <c r="EQ70" s="1" t="n">
        <f aca="false">EO70+EP70</f>
        <v>0</v>
      </c>
      <c r="ER70" s="1" t="n">
        <f aca="false">EH70-EP70+EL70*IF(Slot13_SpendLike=1,EN70-EO70,IF(Slot13_PotFree=1,EN70,0))</f>
        <v>0</v>
      </c>
      <c r="ES70" s="1" t="n">
        <f aca="false">EI70+EL70*Slot13_BufPot*EN70</f>
        <v>0</v>
      </c>
      <c r="ET70" s="1" t="n">
        <f aca="false">IF(AND(EL70=1,Slot13_IsMfree=1),IF(EQ70&gt;=Slot13_Cost-1,0,MAX(0,EJ70-EQ70)),EJ70)</f>
        <v>0</v>
      </c>
      <c r="EU70" s="1" t="n">
        <f aca="false">EL70*(Slot13_Cost-EQ70)</f>
        <v>0</v>
      </c>
      <c r="EV70" s="1" t="n">
        <f aca="false">IF(AND(Slot14_On=1,D70=Slot14_Age),1,0)</f>
        <v>0</v>
      </c>
      <c r="EW70" s="1" t="n">
        <f aca="false">IF(AND(Slot14_On=1,Slot14_Age&gt;D70),1,0)</f>
        <v>0</v>
      </c>
      <c r="EX70" s="1" t="n">
        <f aca="false">SL69</f>
        <v>0</v>
      </c>
      <c r="EY70" s="1" t="n">
        <f aca="false">EV70*MIN(Slot14_Cost,EX70)</f>
        <v>0</v>
      </c>
      <c r="EZ70" s="1" t="n">
        <f aca="false">EV70*Slot14_SpendLike*MIN(Slot14_Cost-EY70,ER70)</f>
        <v>0</v>
      </c>
      <c r="FA70" s="1" t="n">
        <f aca="false">EY70+EZ70</f>
        <v>0</v>
      </c>
      <c r="FB70" s="1" t="n">
        <f aca="false">ER70-EZ70+EV70*IF(Slot14_SpendLike=1,EX70-EY70,IF(Slot14_PotFree=1,EX70,0))</f>
        <v>0</v>
      </c>
      <c r="FC70" s="1" t="n">
        <f aca="false">ES70+EV70*Slot14_BufPot*EX70</f>
        <v>0</v>
      </c>
      <c r="FD70" s="1" t="n">
        <f aca="false">IF(AND(EV70=1,Slot14_IsMfree=1),IF(FA70&gt;=Slot14_Cost-1,0,MAX(0,ET70-FA70)),ET70)</f>
        <v>0</v>
      </c>
      <c r="FE70" s="1" t="n">
        <f aca="false">EV70*(Slot14_Cost-FA70)</f>
        <v>0</v>
      </c>
      <c r="FF70" s="1" t="n">
        <f aca="false">IF(AND(Slot15_On=1,D70=Slot15_Age),1,0)</f>
        <v>0</v>
      </c>
      <c r="FG70" s="1" t="n">
        <f aca="false">IF(AND(Slot15_On=1,Slot15_Age&gt;D70),1,0)</f>
        <v>0</v>
      </c>
      <c r="FH70" s="1" t="n">
        <f aca="false">SP69</f>
        <v>0</v>
      </c>
      <c r="FI70" s="1" t="n">
        <f aca="false">FF70*MIN(Slot15_Cost,FH70)</f>
        <v>0</v>
      </c>
      <c r="FJ70" s="1" t="n">
        <f aca="false">FF70*Slot15_SpendLike*MIN(Slot15_Cost-FI70,FB70)</f>
        <v>0</v>
      </c>
      <c r="FK70" s="1" t="n">
        <f aca="false">FI70+FJ70</f>
        <v>0</v>
      </c>
      <c r="FL70" s="1" t="n">
        <f aca="false">FB70-FJ70+FF70*IF(Slot15_SpendLike=1,FH70-FI70,IF(Slot15_PotFree=1,FH70,0))</f>
        <v>0</v>
      </c>
      <c r="FM70" s="1" t="n">
        <f aca="false">FC70+FF70*Slot15_BufPot*FH70</f>
        <v>0</v>
      </c>
      <c r="FN70" s="1" t="n">
        <f aca="false">IF(AND(FF70=1,Slot15_IsMfree=1),IF(FK70&gt;=Slot15_Cost-1,0,MAX(0,FD70-FK70)),FD70)</f>
        <v>0</v>
      </c>
      <c r="FO70" s="1" t="n">
        <f aca="false">FF70*(Slot15_Cost-FK70)</f>
        <v>0</v>
      </c>
      <c r="FP70" s="1" t="n">
        <f aca="false">IF(AND(Slot16_On=1,D70=Slot16_Age),1,0)</f>
        <v>0</v>
      </c>
      <c r="FQ70" s="1" t="n">
        <f aca="false">IF(AND(Slot16_On=1,Slot16_Age&gt;D70),1,0)</f>
        <v>0</v>
      </c>
      <c r="FR70" s="1" t="n">
        <f aca="false">ST69</f>
        <v>0</v>
      </c>
      <c r="FS70" s="1" t="n">
        <f aca="false">FP70*MIN(Slot16_Cost,FR70)</f>
        <v>0</v>
      </c>
      <c r="FT70" s="1" t="n">
        <f aca="false">FP70*Slot16_SpendLike*MIN(Slot16_Cost-FS70,FL70)</f>
        <v>0</v>
      </c>
      <c r="FU70" s="1" t="n">
        <f aca="false">FS70+FT70</f>
        <v>0</v>
      </c>
      <c r="FV70" s="1" t="n">
        <f aca="false">FL70-FT70+FP70*IF(Slot16_SpendLike=1,FR70-FS70,IF(Slot16_PotFree=1,FR70,0))</f>
        <v>0</v>
      </c>
      <c r="FW70" s="1" t="n">
        <f aca="false">FM70+FP70*Slot16_BufPot*FR70</f>
        <v>0</v>
      </c>
      <c r="FX70" s="1" t="n">
        <f aca="false">IF(AND(FP70=1,Slot16_IsMfree=1),IF(FU70&gt;=Slot16_Cost-1,0,MAX(0,FN70-FU70)),FN70)</f>
        <v>0</v>
      </c>
      <c r="FY70" s="1" t="n">
        <f aca="false">FP70*(Slot16_Cost-FU70)</f>
        <v>0</v>
      </c>
      <c r="FZ70" s="1" t="n">
        <f aca="false">IF(AND(Slot17_On=1,D70=Slot17_Age),1,0)</f>
        <v>0</v>
      </c>
      <c r="GA70" s="1" t="n">
        <f aca="false">IF(AND(Slot17_On=1,Slot17_Age&gt;D70),1,0)</f>
        <v>0</v>
      </c>
      <c r="GB70" s="1" t="n">
        <f aca="false">SX69</f>
        <v>0</v>
      </c>
      <c r="GC70" s="1" t="n">
        <f aca="false">FZ70*MIN(Slot17_Cost,GB70)</f>
        <v>0</v>
      </c>
      <c r="GD70" s="1" t="n">
        <f aca="false">FZ70*Slot17_SpendLike*MIN(Slot17_Cost-GC70,FV70)</f>
        <v>0</v>
      </c>
      <c r="GE70" s="1" t="n">
        <f aca="false">GC70+GD70</f>
        <v>0</v>
      </c>
      <c r="GF70" s="1" t="n">
        <f aca="false">FV70-GD70+FZ70*IF(Slot17_SpendLike=1,GB70-GC70,IF(Slot17_PotFree=1,GB70,0))</f>
        <v>0</v>
      </c>
      <c r="GG70" s="1" t="n">
        <f aca="false">FW70+FZ70*Slot17_BufPot*GB70</f>
        <v>0</v>
      </c>
      <c r="GH70" s="1" t="n">
        <f aca="false">IF(AND(FZ70=1,Slot17_IsMfree=1),IF(GE70&gt;=Slot17_Cost-1,0,MAX(0,FX70-GE70)),FX70)</f>
        <v>0</v>
      </c>
      <c r="GI70" s="1" t="n">
        <f aca="false">FZ70*(Slot17_Cost-GE70)</f>
        <v>0</v>
      </c>
      <c r="GJ70" s="1" t="n">
        <f aca="false">IF(AND(Slot18_On=1,D70=Slot18_Age),1,0)</f>
        <v>0</v>
      </c>
      <c r="GK70" s="1" t="n">
        <f aca="false">IF(AND(Slot18_On=1,Slot18_Age&gt;D70),1,0)</f>
        <v>0</v>
      </c>
      <c r="GL70" s="1" t="n">
        <f aca="false">TB69</f>
        <v>0</v>
      </c>
      <c r="GM70" s="1" t="n">
        <f aca="false">GJ70*MIN(Slot18_Cost,GL70)</f>
        <v>0</v>
      </c>
      <c r="GN70" s="1" t="n">
        <f aca="false">GJ70*Slot18_SpendLike*MIN(Slot18_Cost-GM70,GF70)</f>
        <v>0</v>
      </c>
      <c r="GO70" s="1" t="n">
        <f aca="false">GM70+GN70</f>
        <v>0</v>
      </c>
      <c r="GP70" s="1" t="n">
        <f aca="false">GF70-GN70+GJ70*IF(Slot18_SpendLike=1,GL70-GM70,IF(Slot18_PotFree=1,GL70,0))</f>
        <v>0</v>
      </c>
      <c r="GQ70" s="1" t="n">
        <f aca="false">GG70+GJ70*Slot18_BufPot*GL70</f>
        <v>0</v>
      </c>
      <c r="GR70" s="1" t="n">
        <f aca="false">IF(AND(GJ70=1,Slot18_IsMfree=1),IF(GO70&gt;=Slot18_Cost-1,0,MAX(0,GH70-GO70)),GH70)</f>
        <v>0</v>
      </c>
      <c r="GS70" s="1" t="n">
        <f aca="false">GJ70*(Slot18_Cost-GO70)</f>
        <v>0</v>
      </c>
      <c r="GT70" s="1" t="n">
        <f aca="false">IF(AND(Slot19_On=1,D70=Slot19_Age),1,0)</f>
        <v>0</v>
      </c>
      <c r="GU70" s="1" t="n">
        <f aca="false">IF(AND(Slot19_On=1,Slot19_Age&gt;D70),1,0)</f>
        <v>0</v>
      </c>
      <c r="GV70" s="1" t="n">
        <f aca="false">TF69</f>
        <v>0</v>
      </c>
      <c r="GW70" s="1" t="n">
        <f aca="false">GT70*MIN(Slot19_Cost,GV70)</f>
        <v>0</v>
      </c>
      <c r="GX70" s="1" t="n">
        <f aca="false">GT70*Slot19_SpendLike*MIN(Slot19_Cost-GW70,GP70)</f>
        <v>0</v>
      </c>
      <c r="GY70" s="1" t="n">
        <f aca="false">GW70+GX70</f>
        <v>0</v>
      </c>
      <c r="GZ70" s="1" t="n">
        <f aca="false">GP70-GX70+GT70*IF(Slot19_SpendLike=1,GV70-GW70,IF(Slot19_PotFree=1,GV70,0))</f>
        <v>0</v>
      </c>
      <c r="HA70" s="1" t="n">
        <f aca="false">GQ70+GT70*Slot19_BufPot*GV70</f>
        <v>0</v>
      </c>
      <c r="HB70" s="1" t="n">
        <f aca="false">IF(AND(GT70=1,Slot19_IsMfree=1),IF(GY70&gt;=Slot19_Cost-1,0,MAX(0,GR70-GY70)),GR70)</f>
        <v>0</v>
      </c>
      <c r="HC70" s="1" t="n">
        <f aca="false">GT70*(Slot19_Cost-GY70)</f>
        <v>0</v>
      </c>
      <c r="HD70" s="1" t="n">
        <f aca="false">IF(AND(Slot20_On=1,D70=Slot20_Age),1,0)</f>
        <v>0</v>
      </c>
      <c r="HE70" s="1" t="n">
        <f aca="false">IF(AND(Slot20_On=1,Slot20_Age&gt;D70),1,0)</f>
        <v>0</v>
      </c>
      <c r="HF70" s="1" t="n">
        <f aca="false">TJ69</f>
        <v>0</v>
      </c>
      <c r="HG70" s="1" t="n">
        <f aca="false">HD70*MIN(Slot20_Cost,HF70)</f>
        <v>0</v>
      </c>
      <c r="HH70" s="1" t="n">
        <f aca="false">HD70*Slot20_SpendLike*MIN(Slot20_Cost-HG70,GZ70)</f>
        <v>0</v>
      </c>
      <c r="HI70" s="1" t="n">
        <f aca="false">HG70+HH70</f>
        <v>0</v>
      </c>
      <c r="HJ70" s="1" t="n">
        <f aca="false">GZ70-HH70+HD70*IF(Slot20_SpendLike=1,HF70-HG70,IF(Slot20_PotFree=1,HF70,0))</f>
        <v>0</v>
      </c>
      <c r="HK70" s="1" t="n">
        <f aca="false">HA70+HD70*Slot20_BufPot*HF70</f>
        <v>0</v>
      </c>
      <c r="HL70" s="1" t="n">
        <f aca="false">IF(AND(HD70=1,Slot20_IsMfree=1),IF(HI70&gt;=Slot20_Cost-1,0,MAX(0,HB70-HI70)),HB70)</f>
        <v>0</v>
      </c>
      <c r="HM70" s="1" t="n">
        <f aca="false">HD70*(Slot20_Cost-HI70)</f>
        <v>0</v>
      </c>
      <c r="HN70" s="1" t="n">
        <f aca="false">U70*Slot1_SpendLike*Z70+AF70*Slot2_SpendLike*AK70+AP70*Slot3_SpendLike*AU70+AZ70*Slot4_SpendLike*BE70+BJ70*Slot5_SpendLike*BO70+BT70*Slot6_SpendLike*BY70+CD70*Slot7_SpendLike*CI70+CN70*Slot8_SpendLike*CS70+CX70*Slot9_SpendLike*DC70+DH70*Slot10_SpendLike*DM70+DR70*Slot11_SpendLike*DW70+EB70*Slot12_SpendLike*EG70+EL70*Slot13_SpendLike*EQ70+EV70*Slot14_SpendLike*FA70+FF70*Slot15_SpendLike*FK70+FP70*Slot16_SpendLike*FU70+FZ70*Slot17_SpendLike*GE70+GJ70*Slot18_SpendLike*GO70+GT70*Slot19_SpendLike*GY70+HD70*Slot20_SpendLike*HI70</f>
        <v>0</v>
      </c>
      <c r="HO70" s="1" t="n">
        <f aca="false">AD70+AO70+AY70+BI70+BS70+CC70+CM70+CW70+DG70+DQ70+EA70+EK70+EU70+FE70+FO70+FY70+GI70+GS70+HC70+HM70</f>
        <v>0</v>
      </c>
      <c r="HP70" s="1" t="n">
        <f aca="false">U70*Slot1_Cost+AF70*Slot2_Cost+AP70*Slot3_Cost+AZ70*Slot4_Cost+BJ70*Slot5_Cost+BT70*Slot6_Cost+CD70*Slot7_Cost+CN70*Slot8_Cost+CX70*Slot9_Cost+DH70*Slot10_Cost+DR70*Slot11_Cost+EB70*Slot12_Cost+EL70*Slot13_Cost+EV70*Slot14_Cost+FF70*Slot15_Cost+FP70*Slot16_Cost+FZ70*Slot17_Cost+GJ70*Slot18_Cost+GT70*Slot19_Cost+HD70*Slot20_Cost</f>
        <v>0</v>
      </c>
      <c r="HQ70" s="1" t="n">
        <f aca="false">HL70</f>
        <v>0</v>
      </c>
      <c r="HR70" s="1" t="n">
        <f aca="false">G70-H70-R70</f>
        <v>0</v>
      </c>
      <c r="HS70" s="1" t="n">
        <f aca="false">IF(B70=0,IF(AND(Has_q6=1,In_q6=4),PR_ShareVaries*(MAX(0,HR70)/12),MIN(IF(Has_q6=1,CHOOSE(In_q6+1,PR_SaveB1,PR_SaveB2,PR_SaveB3,PR_SaveB4,0),AS_NoAnswer),AS_SaveShare*(MAX(0,HR70)/12))),HS69)</f>
        <v>0</v>
      </c>
      <c r="HT70" s="1" t="n">
        <f aca="false">IF(HR70&gt;=0,1,0)</f>
        <v>1</v>
      </c>
      <c r="HU70" s="1" t="n">
        <f aca="false">MAX(0,HR70/12/E70)</f>
        <v>0</v>
      </c>
      <c r="HV70" s="1" t="n">
        <f aca="false">IF(AND(Has_q6=1,In_q6=4),PR_ShareVaries*(HU70),MIN(IF(Has_q6=1,CHOOSE(In_q6+1,PR_SaveB1,PR_SaveB2,PR_SaveB3,PR_SaveB4,0),AS_NoAnswer),AS_SaveShare*(HU70)))</f>
        <v>0</v>
      </c>
      <c r="HW70" s="1" t="n">
        <f aca="false">IF(Has_saveM=1,IF(In_saveUp="Yes",1,IF(In_saveUp="No",0,IF(In_saveM&gt;=HS70-0.5,1,0))),0)</f>
        <v>0</v>
      </c>
      <c r="HX70" s="1" t="n">
        <f aca="false">IF(Has_saveM=1,MIN(HU70,IF(HW70=1,MAX(In_saveM,HV70),MIN(In_saveM,HV70))),HV70)</f>
        <v>0</v>
      </c>
      <c r="HY70" s="1" t="n">
        <f aca="false">IF(F70=1,HX70*12*E70,0)</f>
        <v>0</v>
      </c>
      <c r="HZ70" s="1" t="n">
        <f aca="false">MAX(0,HY70+IF(AND(WI_Retire=0,WI_M&lt;0,F70=1),WI_M*12*E70,0))</f>
        <v>0</v>
      </c>
      <c r="IA70" s="1" t="n">
        <f aca="false">Slot1_IsWG*V70+Slot2_IsWG*AG70+Slot3_IsWG*AQ70+Slot4_IsWG*BA70+Slot5_IsWG*BK70+Slot6_IsWG*BU70+Slot7_IsWG*CE70+Slot8_IsWG*CO70+Slot9_IsWG*CY70+Slot10_IsWG*DI70+Slot11_IsWG*DS70+Slot12_IsWG*EC70+Slot13_IsWG*EM70+Slot14_IsWG*EW70+Slot15_IsWG*FG70+Slot16_IsWG*FQ70+Slot17_IsWG*GA70+Slot18_IsWG*GK70+Slot19_IsWG*GU70+Slot20_IsWG*HE70</f>
        <v>0</v>
      </c>
      <c r="IB70" s="1" t="n">
        <f aca="false">IF(AND(WI_Retire=0,WI_M&gt;0,F70=1,IA70&gt;=1),WI_M*12*E70,0)</f>
        <v>0</v>
      </c>
      <c r="IC70" s="1" t="n">
        <f aca="false">IF(HT70=1,MIN(HZ70,HR70),0)</f>
        <v>0</v>
      </c>
      <c r="ID70" s="1" t="n">
        <f aca="false">IF(HT70=1,MIN(IB70,HR70-IC70),0)</f>
        <v>0</v>
      </c>
      <c r="IE70" s="1" t="n">
        <f aca="false">IF(V70=1,IF(ABS((1+AS_Wage)/(1+Slot1_Rate)-1)&lt;0.000000000001,(Slot1_Age-D70)*(1+Slot1_Rate)^(Slot1_Age-D70),(1+Slot1_Rate)^(Slot1_Age-D70)*(1-((1+AS_Wage)/(1+Slot1_Rate))^(Slot1_Age-D70))/(1-(1+AS_Wage)/(1+Slot1_Rate))),1)</f>
        <v>1</v>
      </c>
      <c r="IF70" s="1" t="n">
        <f aca="false">IF(AND(HT70=1,ID70&gt;0,Slot1_IsWG=1,V70=1),MAX(0,(Slot1_Cost-W70*(1+Slot1_Rate)^(Slot1_Age-D70))/IE70),0)</f>
        <v>0</v>
      </c>
      <c r="IG70" s="1" t="n">
        <f aca="false">IF(AND(HT70=1,ID70&gt;0,Slot1_IsWG=1,V70=1),MIN(ID70,IF70),0)</f>
        <v>0</v>
      </c>
      <c r="IH70" s="1" t="n">
        <f aca="false">W70+IG70</f>
        <v>0</v>
      </c>
      <c r="II70" s="1" t="n">
        <f aca="false">IF(V70=1,MAX(0,(Slot1_Cost-IH70*(1+Slot1_Rate)^(Slot1_Age-D70))/IE70),0)</f>
        <v>0</v>
      </c>
      <c r="IJ70" s="1" t="n">
        <f aca="false">IF(V70=1,MAX(0,(Slot1_Cost-W70*(1+Slot1_Rate)^(Slot1_Age-D70))/IE70),0)</f>
        <v>0</v>
      </c>
      <c r="IK70" s="1" t="n">
        <f aca="false">IF(AND(HT70=1,V70=1),MIN(IC70,II70),0)</f>
        <v>0</v>
      </c>
      <c r="IL70" s="1" t="n">
        <f aca="false">IC70-IK70</f>
        <v>0</v>
      </c>
      <c r="IM70" s="1" t="n">
        <f aca="false">IF(AG70=1,IF(ABS((1+AS_Wage)/(1+Slot2_Rate)-1)&lt;0.000000000001,(Slot2_Age-D70)*(1+Slot2_Rate)^(Slot2_Age-D70),(1+Slot2_Rate)^(Slot2_Age-D70)*(1-((1+AS_Wage)/(1+Slot2_Rate))^(Slot2_Age-D70))/(1-(1+AS_Wage)/(1+Slot2_Rate))),1)</f>
        <v>1</v>
      </c>
      <c r="IN70" s="1" t="n">
        <f aca="false">IF(AND(HT70=1,ID70&gt;0,Slot2_IsWG=1,AG70=1),MAX(0,(Slot2_Cost-AH70*(1+Slot2_Rate)^(Slot2_Age-D70))/IM70),0)</f>
        <v>0</v>
      </c>
      <c r="IO70" s="1" t="n">
        <f aca="false">IF(AND(HT70=1,ID70&gt;0,Slot2_IsWG=1,AG70=1),MIN(ID70,IN70),0)</f>
        <v>0</v>
      </c>
      <c r="IP70" s="1" t="n">
        <f aca="false">AH70+IO70</f>
        <v>0</v>
      </c>
      <c r="IQ70" s="1" t="n">
        <f aca="false">IF(AG70=1,MAX(0,(Slot2_Cost-IP70*(1+Slot2_Rate)^(Slot2_Age-D70))/IM70),0)</f>
        <v>0</v>
      </c>
      <c r="IR70" s="1" t="n">
        <f aca="false">IF(AG70=1,MAX(0,(Slot2_Cost-AH70*(1+Slot2_Rate)^(Slot2_Age-D70))/IM70),0)</f>
        <v>0</v>
      </c>
      <c r="IS70" s="1" t="n">
        <f aca="false">IF(AND(HT70=1,AG70=1),MIN(IL70,IQ70),0)</f>
        <v>0</v>
      </c>
      <c r="IT70" s="1" t="n">
        <f aca="false">IL70-IS70</f>
        <v>0</v>
      </c>
      <c r="IU70" s="1" t="n">
        <f aca="false">IF(AQ70=1,IF(ABS((1+AS_Wage)/(1+Slot3_Rate)-1)&lt;0.000000000001,(Slot3_Age-D70)*(1+Slot3_Rate)^(Slot3_Age-D70),(1+Slot3_Rate)^(Slot3_Age-D70)*(1-((1+AS_Wage)/(1+Slot3_Rate))^(Slot3_Age-D70))/(1-(1+AS_Wage)/(1+Slot3_Rate))),1)</f>
        <v>1</v>
      </c>
      <c r="IV70" s="1" t="n">
        <f aca="false">IF(AND(HT70=1,ID70&gt;0,Slot3_IsWG=1,AQ70=1),MAX(0,(Slot3_Cost-AR70*(1+Slot3_Rate)^(Slot3_Age-D70))/IU70),0)</f>
        <v>0</v>
      </c>
      <c r="IW70" s="1" t="n">
        <f aca="false">IF(AND(HT70=1,ID70&gt;0,Slot3_IsWG=1,AQ70=1),MIN(ID70,IV70),0)</f>
        <v>0</v>
      </c>
      <c r="IX70" s="1" t="n">
        <f aca="false">AR70+IW70</f>
        <v>0</v>
      </c>
      <c r="IY70" s="1" t="n">
        <f aca="false">IF(AQ70=1,MAX(0,(Slot3_Cost-IX70*(1+Slot3_Rate)^(Slot3_Age-D70))/IU70),0)</f>
        <v>0</v>
      </c>
      <c r="IZ70" s="1" t="n">
        <f aca="false">IF(AQ70=1,MAX(0,(Slot3_Cost-AR70*(1+Slot3_Rate)^(Slot3_Age-D70))/IU70),0)</f>
        <v>0</v>
      </c>
      <c r="JA70" s="1" t="n">
        <f aca="false">IF(AND(HT70=1,AQ70=1),MIN(IT70,IY70),0)</f>
        <v>0</v>
      </c>
      <c r="JB70" s="1" t="n">
        <f aca="false">IT70-JA70</f>
        <v>0</v>
      </c>
      <c r="JC70" s="1" t="n">
        <f aca="false">IF(BA70=1,IF(ABS((1+AS_Wage)/(1+Slot4_Rate)-1)&lt;0.000000000001,(Slot4_Age-D70)*(1+Slot4_Rate)^(Slot4_Age-D70),(1+Slot4_Rate)^(Slot4_Age-D70)*(1-((1+AS_Wage)/(1+Slot4_Rate))^(Slot4_Age-D70))/(1-(1+AS_Wage)/(1+Slot4_Rate))),1)</f>
        <v>1</v>
      </c>
      <c r="JD70" s="1" t="n">
        <f aca="false">IF(AND(HT70=1,ID70&gt;0,Slot4_IsWG=1,BA70=1),MAX(0,(Slot4_Cost-BB70*(1+Slot4_Rate)^(Slot4_Age-D70))/JC70),0)</f>
        <v>0</v>
      </c>
      <c r="JE70" s="1" t="n">
        <f aca="false">IF(AND(HT70=1,ID70&gt;0,Slot4_IsWG=1,BA70=1),MIN(ID70,JD70),0)</f>
        <v>0</v>
      </c>
      <c r="JF70" s="1" t="n">
        <f aca="false">BB70+JE70</f>
        <v>0</v>
      </c>
      <c r="JG70" s="1" t="n">
        <f aca="false">IF(BA70=1,MAX(0,(Slot4_Cost-JF70*(1+Slot4_Rate)^(Slot4_Age-D70))/JC70),0)</f>
        <v>0</v>
      </c>
      <c r="JH70" s="1" t="n">
        <f aca="false">IF(BA70=1,MAX(0,(Slot4_Cost-BB70*(1+Slot4_Rate)^(Slot4_Age-D70))/JC70),0)</f>
        <v>0</v>
      </c>
      <c r="JI70" s="1" t="n">
        <f aca="false">IF(AND(HT70=1,BA70=1),MIN(JB70,JG70),0)</f>
        <v>0</v>
      </c>
      <c r="JJ70" s="1" t="n">
        <f aca="false">JB70-JI70</f>
        <v>0</v>
      </c>
      <c r="JK70" s="1" t="n">
        <f aca="false">IF(BK70=1,IF(ABS((1+AS_Wage)/(1+Slot5_Rate)-1)&lt;0.000000000001,(Slot5_Age-D70)*(1+Slot5_Rate)^(Slot5_Age-D70),(1+Slot5_Rate)^(Slot5_Age-D70)*(1-((1+AS_Wage)/(1+Slot5_Rate))^(Slot5_Age-D70))/(1-(1+AS_Wage)/(1+Slot5_Rate))),1)</f>
        <v>1</v>
      </c>
      <c r="JL70" s="1" t="n">
        <f aca="false">IF(AND(HT70=1,ID70&gt;0,Slot5_IsWG=1,BK70=1),MAX(0,(Slot5_Cost-BL70*(1+Slot5_Rate)^(Slot5_Age-D70))/JK70),0)</f>
        <v>0</v>
      </c>
      <c r="JM70" s="1" t="n">
        <f aca="false">IF(AND(HT70=1,ID70&gt;0,Slot5_IsWG=1,BK70=1),MIN(ID70,JL70),0)</f>
        <v>0</v>
      </c>
      <c r="JN70" s="1" t="n">
        <f aca="false">BL70+JM70</f>
        <v>0</v>
      </c>
      <c r="JO70" s="1" t="n">
        <f aca="false">IF(BK70=1,MAX(0,(Slot5_Cost-JN70*(1+Slot5_Rate)^(Slot5_Age-D70))/JK70),0)</f>
        <v>0</v>
      </c>
      <c r="JP70" s="1" t="n">
        <f aca="false">IF(BK70=1,MAX(0,(Slot5_Cost-BL70*(1+Slot5_Rate)^(Slot5_Age-D70))/JK70),0)</f>
        <v>0</v>
      </c>
      <c r="JQ70" s="1" t="n">
        <f aca="false">IF(AND(HT70=1,BK70=1),MIN(JJ70,JO70),0)</f>
        <v>0</v>
      </c>
      <c r="JR70" s="1" t="n">
        <f aca="false">JJ70-JQ70</f>
        <v>0</v>
      </c>
      <c r="JS70" s="1" t="n">
        <f aca="false">IF(BU70=1,IF(ABS((1+AS_Wage)/(1+Slot6_Rate)-1)&lt;0.000000000001,(Slot6_Age-D70)*(1+Slot6_Rate)^(Slot6_Age-D70),(1+Slot6_Rate)^(Slot6_Age-D70)*(1-((1+AS_Wage)/(1+Slot6_Rate))^(Slot6_Age-D70))/(1-(1+AS_Wage)/(1+Slot6_Rate))),1)</f>
        <v>1</v>
      </c>
      <c r="JT70" s="1" t="n">
        <f aca="false">IF(AND(HT70=1,ID70&gt;0,Slot6_IsWG=1,BU70=1),MAX(0,(Slot6_Cost-BV70*(1+Slot6_Rate)^(Slot6_Age-D70))/JS70),0)</f>
        <v>0</v>
      </c>
      <c r="JU70" s="1" t="n">
        <f aca="false">IF(AND(HT70=1,ID70&gt;0,Slot6_IsWG=1,BU70=1),MIN(ID70,JT70),0)</f>
        <v>0</v>
      </c>
      <c r="JV70" s="1" t="n">
        <f aca="false">BV70+JU70</f>
        <v>0</v>
      </c>
      <c r="JW70" s="1" t="n">
        <f aca="false">IF(BU70=1,MAX(0,(Slot6_Cost-JV70*(1+Slot6_Rate)^(Slot6_Age-D70))/JS70),0)</f>
        <v>0</v>
      </c>
      <c r="JX70" s="1" t="n">
        <f aca="false">IF(BU70=1,MAX(0,(Slot6_Cost-BV70*(1+Slot6_Rate)^(Slot6_Age-D70))/JS70),0)</f>
        <v>0</v>
      </c>
      <c r="JY70" s="1" t="n">
        <f aca="false">IF(AND(HT70=1,BU70=1),MIN(JR70,JW70),0)</f>
        <v>0</v>
      </c>
      <c r="JZ70" s="1" t="n">
        <f aca="false">JR70-JY70</f>
        <v>0</v>
      </c>
      <c r="KA70" s="1" t="n">
        <f aca="false">IF(CE70=1,IF(ABS((1+AS_Wage)/(1+Slot7_Rate)-1)&lt;0.000000000001,(Slot7_Age-D70)*(1+Slot7_Rate)^(Slot7_Age-D70),(1+Slot7_Rate)^(Slot7_Age-D70)*(1-((1+AS_Wage)/(1+Slot7_Rate))^(Slot7_Age-D70))/(1-(1+AS_Wage)/(1+Slot7_Rate))),1)</f>
        <v>1</v>
      </c>
      <c r="KB70" s="1" t="n">
        <f aca="false">IF(AND(HT70=1,ID70&gt;0,Slot7_IsWG=1,CE70=1),MAX(0,(Slot7_Cost-CF70*(1+Slot7_Rate)^(Slot7_Age-D70))/KA70),0)</f>
        <v>0</v>
      </c>
      <c r="KC70" s="1" t="n">
        <f aca="false">IF(AND(HT70=1,ID70&gt;0,Slot7_IsWG=1,CE70=1),MIN(ID70,KB70),0)</f>
        <v>0</v>
      </c>
      <c r="KD70" s="1" t="n">
        <f aca="false">CF70+KC70</f>
        <v>0</v>
      </c>
      <c r="KE70" s="1" t="n">
        <f aca="false">IF(CE70=1,MAX(0,(Slot7_Cost-KD70*(1+Slot7_Rate)^(Slot7_Age-D70))/KA70),0)</f>
        <v>0</v>
      </c>
      <c r="KF70" s="1" t="n">
        <f aca="false">IF(CE70=1,MAX(0,(Slot7_Cost-CF70*(1+Slot7_Rate)^(Slot7_Age-D70))/KA70),0)</f>
        <v>0</v>
      </c>
      <c r="KG70" s="1" t="n">
        <f aca="false">IF(AND(HT70=1,CE70=1),MIN(JZ70,KE70),0)</f>
        <v>0</v>
      </c>
      <c r="KH70" s="1" t="n">
        <f aca="false">JZ70-KG70</f>
        <v>0</v>
      </c>
      <c r="KI70" s="1" t="n">
        <f aca="false">IF(CO70=1,IF(ABS((1+AS_Wage)/(1+Slot8_Rate)-1)&lt;0.000000000001,(Slot8_Age-D70)*(1+Slot8_Rate)^(Slot8_Age-D70),(1+Slot8_Rate)^(Slot8_Age-D70)*(1-((1+AS_Wage)/(1+Slot8_Rate))^(Slot8_Age-D70))/(1-(1+AS_Wage)/(1+Slot8_Rate))),1)</f>
        <v>1</v>
      </c>
      <c r="KJ70" s="1" t="n">
        <f aca="false">IF(AND(HT70=1,ID70&gt;0,Slot8_IsWG=1,CO70=1),MAX(0,(Slot8_Cost-CP70*(1+Slot8_Rate)^(Slot8_Age-D70))/KI70),0)</f>
        <v>0</v>
      </c>
      <c r="KK70" s="1" t="n">
        <f aca="false">IF(AND(HT70=1,ID70&gt;0,Slot8_IsWG=1,CO70=1),MIN(ID70,KJ70),0)</f>
        <v>0</v>
      </c>
      <c r="KL70" s="1" t="n">
        <f aca="false">CP70+KK70</f>
        <v>0</v>
      </c>
      <c r="KM70" s="1" t="n">
        <f aca="false">IF(CO70=1,MAX(0,(Slot8_Cost-KL70*(1+Slot8_Rate)^(Slot8_Age-D70))/KI70),0)</f>
        <v>0</v>
      </c>
      <c r="KN70" s="1" t="n">
        <f aca="false">IF(CO70=1,MAX(0,(Slot8_Cost-CP70*(1+Slot8_Rate)^(Slot8_Age-D70))/KI70),0)</f>
        <v>0</v>
      </c>
      <c r="KO70" s="1" t="n">
        <f aca="false">IF(AND(HT70=1,CO70=1),MIN(KH70,KM70),0)</f>
        <v>0</v>
      </c>
      <c r="KP70" s="1" t="n">
        <f aca="false">KH70-KO70</f>
        <v>0</v>
      </c>
      <c r="KQ70" s="1" t="n">
        <f aca="false">IF(CY70=1,IF(ABS((1+AS_Wage)/(1+Slot9_Rate)-1)&lt;0.000000000001,(Slot9_Age-D70)*(1+Slot9_Rate)^(Slot9_Age-D70),(1+Slot9_Rate)^(Slot9_Age-D70)*(1-((1+AS_Wage)/(1+Slot9_Rate))^(Slot9_Age-D70))/(1-(1+AS_Wage)/(1+Slot9_Rate))),1)</f>
        <v>1</v>
      </c>
      <c r="KR70" s="1" t="n">
        <f aca="false">IF(AND(HT70=1,ID70&gt;0,Slot9_IsWG=1,CY70=1),MAX(0,(Slot9_Cost-CZ70*(1+Slot9_Rate)^(Slot9_Age-D70))/KQ70),0)</f>
        <v>0</v>
      </c>
      <c r="KS70" s="1" t="n">
        <f aca="false">IF(AND(HT70=1,ID70&gt;0,Slot9_IsWG=1,CY70=1),MIN(ID70,KR70),0)</f>
        <v>0</v>
      </c>
      <c r="KT70" s="1" t="n">
        <f aca="false">CZ70+KS70</f>
        <v>0</v>
      </c>
      <c r="KU70" s="1" t="n">
        <f aca="false">IF(CY70=1,MAX(0,(Slot9_Cost-KT70*(1+Slot9_Rate)^(Slot9_Age-D70))/KQ70),0)</f>
        <v>0</v>
      </c>
      <c r="KV70" s="1" t="n">
        <f aca="false">IF(CY70=1,MAX(0,(Slot9_Cost-CZ70*(1+Slot9_Rate)^(Slot9_Age-D70))/KQ70),0)</f>
        <v>0</v>
      </c>
      <c r="KW70" s="1" t="n">
        <f aca="false">IF(AND(HT70=1,CY70=1),MIN(KP70,KU70),0)</f>
        <v>0</v>
      </c>
      <c r="KX70" s="1" t="n">
        <f aca="false">KP70-KW70</f>
        <v>0</v>
      </c>
      <c r="KY70" s="1" t="n">
        <f aca="false">IF(DI70=1,IF(ABS((1+AS_Wage)/(1+Slot10_Rate)-1)&lt;0.000000000001,(Slot10_Age-D70)*(1+Slot10_Rate)^(Slot10_Age-D70),(1+Slot10_Rate)^(Slot10_Age-D70)*(1-((1+AS_Wage)/(1+Slot10_Rate))^(Slot10_Age-D70))/(1-(1+AS_Wage)/(1+Slot10_Rate))),1)</f>
        <v>1</v>
      </c>
      <c r="KZ70" s="1" t="n">
        <f aca="false">IF(AND(HT70=1,ID70&gt;0,Slot10_IsWG=1,DI70=1),MAX(0,(Slot10_Cost-DJ70*(1+Slot10_Rate)^(Slot10_Age-D70))/KY70),0)</f>
        <v>0</v>
      </c>
      <c r="LA70" s="1" t="n">
        <f aca="false">IF(AND(HT70=1,ID70&gt;0,Slot10_IsWG=1,DI70=1),MIN(ID70,KZ70),0)</f>
        <v>0</v>
      </c>
      <c r="LB70" s="1" t="n">
        <f aca="false">DJ70+LA70</f>
        <v>0</v>
      </c>
      <c r="LC70" s="1" t="n">
        <f aca="false">IF(DI70=1,MAX(0,(Slot10_Cost-LB70*(1+Slot10_Rate)^(Slot10_Age-D70))/KY70),0)</f>
        <v>0</v>
      </c>
      <c r="LD70" s="1" t="n">
        <f aca="false">IF(DI70=1,MAX(0,(Slot10_Cost-DJ70*(1+Slot10_Rate)^(Slot10_Age-D70))/KY70),0)</f>
        <v>0</v>
      </c>
      <c r="LE70" s="1" t="n">
        <f aca="false">IF(AND(HT70=1,DI70=1),MIN(KX70,LC70),0)</f>
        <v>0</v>
      </c>
      <c r="LF70" s="1" t="n">
        <f aca="false">KX70-LE70</f>
        <v>0</v>
      </c>
      <c r="LG70" s="1" t="n">
        <f aca="false">IF(DS70=1,IF(ABS((1+AS_Wage)/(1+Slot11_Rate)-1)&lt;0.000000000001,(Slot11_Age-D70)*(1+Slot11_Rate)^(Slot11_Age-D70),(1+Slot11_Rate)^(Slot11_Age-D70)*(1-((1+AS_Wage)/(1+Slot11_Rate))^(Slot11_Age-D70))/(1-(1+AS_Wage)/(1+Slot11_Rate))),1)</f>
        <v>1</v>
      </c>
      <c r="LH70" s="1" t="n">
        <f aca="false">IF(AND(HT70=1,ID70&gt;0,Slot11_IsWG=1,DS70=1),MAX(0,(Slot11_Cost-DT70*(1+Slot11_Rate)^(Slot11_Age-D70))/LG70),0)</f>
        <v>0</v>
      </c>
      <c r="LI70" s="1" t="n">
        <f aca="false">IF(AND(HT70=1,ID70&gt;0,Slot11_IsWG=1,DS70=1),MIN(ID70,LH70),0)</f>
        <v>0</v>
      </c>
      <c r="LJ70" s="1" t="n">
        <f aca="false">DT70+LI70</f>
        <v>0</v>
      </c>
      <c r="LK70" s="1" t="n">
        <f aca="false">IF(DS70=1,MAX(0,(Slot11_Cost-LJ70*(1+Slot11_Rate)^(Slot11_Age-D70))/LG70),0)</f>
        <v>0</v>
      </c>
      <c r="LL70" s="1" t="n">
        <f aca="false">IF(DS70=1,MAX(0,(Slot11_Cost-DT70*(1+Slot11_Rate)^(Slot11_Age-D70))/LG70),0)</f>
        <v>0</v>
      </c>
      <c r="LM70" s="1" t="n">
        <f aca="false">IF(AND(HT70=1,DS70=1),MIN(LF70,LK70),0)</f>
        <v>0</v>
      </c>
      <c r="LN70" s="1" t="n">
        <f aca="false">LF70-LM70</f>
        <v>0</v>
      </c>
      <c r="LO70" s="1" t="n">
        <f aca="false">IF(EC70=1,IF(ABS((1+AS_Wage)/(1+Slot12_Rate)-1)&lt;0.000000000001,(Slot12_Age-D70)*(1+Slot12_Rate)^(Slot12_Age-D70),(1+Slot12_Rate)^(Slot12_Age-D70)*(1-((1+AS_Wage)/(1+Slot12_Rate))^(Slot12_Age-D70))/(1-(1+AS_Wage)/(1+Slot12_Rate))),1)</f>
        <v>1</v>
      </c>
      <c r="LP70" s="1" t="n">
        <f aca="false">IF(AND(HT70=1,ID70&gt;0,Slot12_IsWG=1,EC70=1),MAX(0,(Slot12_Cost-ED70*(1+Slot12_Rate)^(Slot12_Age-D70))/LO70),0)</f>
        <v>0</v>
      </c>
      <c r="LQ70" s="1" t="n">
        <f aca="false">IF(AND(HT70=1,ID70&gt;0,Slot12_IsWG=1,EC70=1),MIN(ID70,LP70),0)</f>
        <v>0</v>
      </c>
      <c r="LR70" s="1" t="n">
        <f aca="false">ED70+LQ70</f>
        <v>0</v>
      </c>
      <c r="LS70" s="1" t="n">
        <f aca="false">IF(EC70=1,MAX(0,(Slot12_Cost-LR70*(1+Slot12_Rate)^(Slot12_Age-D70))/LO70),0)</f>
        <v>0</v>
      </c>
      <c r="LT70" s="1" t="n">
        <f aca="false">IF(EC70=1,MAX(0,(Slot12_Cost-ED70*(1+Slot12_Rate)^(Slot12_Age-D70))/LO70),0)</f>
        <v>0</v>
      </c>
      <c r="LU70" s="1" t="n">
        <f aca="false">IF(AND(HT70=1,EC70=1),MIN(LN70,LS70),0)</f>
        <v>0</v>
      </c>
      <c r="LV70" s="1" t="n">
        <f aca="false">LN70-LU70</f>
        <v>0</v>
      </c>
      <c r="LW70" s="1" t="n">
        <f aca="false">IF(EM70=1,IF(ABS((1+AS_Wage)/(1+Slot13_Rate)-1)&lt;0.000000000001,(Slot13_Age-D70)*(1+Slot13_Rate)^(Slot13_Age-D70),(1+Slot13_Rate)^(Slot13_Age-D70)*(1-((1+AS_Wage)/(1+Slot13_Rate))^(Slot13_Age-D70))/(1-(1+AS_Wage)/(1+Slot13_Rate))),1)</f>
        <v>1</v>
      </c>
      <c r="LX70" s="1" t="n">
        <f aca="false">IF(AND(HT70=1,ID70&gt;0,Slot13_IsWG=1,EM70=1),MAX(0,(Slot13_Cost-EN70*(1+Slot13_Rate)^(Slot13_Age-D70))/LW70),0)</f>
        <v>0</v>
      </c>
      <c r="LY70" s="1" t="n">
        <f aca="false">IF(AND(HT70=1,ID70&gt;0,Slot13_IsWG=1,EM70=1),MIN(ID70,LX70),0)</f>
        <v>0</v>
      </c>
      <c r="LZ70" s="1" t="n">
        <f aca="false">EN70+LY70</f>
        <v>0</v>
      </c>
      <c r="MA70" s="1" t="n">
        <f aca="false">IF(EM70=1,MAX(0,(Slot13_Cost-LZ70*(1+Slot13_Rate)^(Slot13_Age-D70))/LW70),0)</f>
        <v>0</v>
      </c>
      <c r="MB70" s="1" t="n">
        <f aca="false">IF(EM70=1,MAX(0,(Slot13_Cost-EN70*(1+Slot13_Rate)^(Slot13_Age-D70))/LW70),0)</f>
        <v>0</v>
      </c>
      <c r="MC70" s="1" t="n">
        <f aca="false">IF(AND(HT70=1,EM70=1),MIN(LV70,MA70),0)</f>
        <v>0</v>
      </c>
      <c r="MD70" s="1" t="n">
        <f aca="false">LV70-MC70</f>
        <v>0</v>
      </c>
      <c r="ME70" s="1" t="n">
        <f aca="false">IF(EW70=1,IF(ABS((1+AS_Wage)/(1+Slot14_Rate)-1)&lt;0.000000000001,(Slot14_Age-D70)*(1+Slot14_Rate)^(Slot14_Age-D70),(1+Slot14_Rate)^(Slot14_Age-D70)*(1-((1+AS_Wage)/(1+Slot14_Rate))^(Slot14_Age-D70))/(1-(1+AS_Wage)/(1+Slot14_Rate))),1)</f>
        <v>1</v>
      </c>
      <c r="MF70" s="1" t="n">
        <f aca="false">IF(AND(HT70=1,ID70&gt;0,Slot14_IsWG=1,EW70=1),MAX(0,(Slot14_Cost-EX70*(1+Slot14_Rate)^(Slot14_Age-D70))/ME70),0)</f>
        <v>0</v>
      </c>
      <c r="MG70" s="1" t="n">
        <f aca="false">IF(AND(HT70=1,ID70&gt;0,Slot14_IsWG=1,EW70=1),MIN(ID70,MF70),0)</f>
        <v>0</v>
      </c>
      <c r="MH70" s="1" t="n">
        <f aca="false">EX70+MG70</f>
        <v>0</v>
      </c>
      <c r="MI70" s="1" t="n">
        <f aca="false">IF(EW70=1,MAX(0,(Slot14_Cost-MH70*(1+Slot14_Rate)^(Slot14_Age-D70))/ME70),0)</f>
        <v>0</v>
      </c>
      <c r="MJ70" s="1" t="n">
        <f aca="false">IF(EW70=1,MAX(0,(Slot14_Cost-EX70*(1+Slot14_Rate)^(Slot14_Age-D70))/ME70),0)</f>
        <v>0</v>
      </c>
      <c r="MK70" s="1" t="n">
        <f aca="false">IF(AND(HT70=1,EW70=1),MIN(MD70,MI70),0)</f>
        <v>0</v>
      </c>
      <c r="ML70" s="1" t="n">
        <f aca="false">MD70-MK70</f>
        <v>0</v>
      </c>
      <c r="MM70" s="1" t="n">
        <f aca="false">IF(FG70=1,IF(ABS((1+AS_Wage)/(1+Slot15_Rate)-1)&lt;0.000000000001,(Slot15_Age-D70)*(1+Slot15_Rate)^(Slot15_Age-D70),(1+Slot15_Rate)^(Slot15_Age-D70)*(1-((1+AS_Wage)/(1+Slot15_Rate))^(Slot15_Age-D70))/(1-(1+AS_Wage)/(1+Slot15_Rate))),1)</f>
        <v>1</v>
      </c>
      <c r="MN70" s="1" t="n">
        <f aca="false">IF(AND(HT70=1,ID70&gt;0,Slot15_IsWG=1,FG70=1),MAX(0,(Slot15_Cost-FH70*(1+Slot15_Rate)^(Slot15_Age-D70))/MM70),0)</f>
        <v>0</v>
      </c>
      <c r="MO70" s="1" t="n">
        <f aca="false">IF(AND(HT70=1,ID70&gt;0,Slot15_IsWG=1,FG70=1),MIN(ID70,MN70),0)</f>
        <v>0</v>
      </c>
      <c r="MP70" s="1" t="n">
        <f aca="false">FH70+MO70</f>
        <v>0</v>
      </c>
      <c r="MQ70" s="1" t="n">
        <f aca="false">IF(FG70=1,MAX(0,(Slot15_Cost-MP70*(1+Slot15_Rate)^(Slot15_Age-D70))/MM70),0)</f>
        <v>0</v>
      </c>
      <c r="MR70" s="1" t="n">
        <f aca="false">IF(FG70=1,MAX(0,(Slot15_Cost-FH70*(1+Slot15_Rate)^(Slot15_Age-D70))/MM70),0)</f>
        <v>0</v>
      </c>
      <c r="MS70" s="1" t="n">
        <f aca="false">IF(AND(HT70=1,FG70=1),MIN(ML70,MQ70),0)</f>
        <v>0</v>
      </c>
      <c r="MT70" s="1" t="n">
        <f aca="false">ML70-MS70</f>
        <v>0</v>
      </c>
      <c r="MU70" s="1" t="n">
        <f aca="false">IF(FQ70=1,IF(ABS((1+AS_Wage)/(1+Slot16_Rate)-1)&lt;0.000000000001,(Slot16_Age-D70)*(1+Slot16_Rate)^(Slot16_Age-D70),(1+Slot16_Rate)^(Slot16_Age-D70)*(1-((1+AS_Wage)/(1+Slot16_Rate))^(Slot16_Age-D70))/(1-(1+AS_Wage)/(1+Slot16_Rate))),1)</f>
        <v>1</v>
      </c>
      <c r="MV70" s="1" t="n">
        <f aca="false">IF(AND(HT70=1,ID70&gt;0,Slot16_IsWG=1,FQ70=1),MAX(0,(Slot16_Cost-FR70*(1+Slot16_Rate)^(Slot16_Age-D70))/MU70),0)</f>
        <v>0</v>
      </c>
      <c r="MW70" s="1" t="n">
        <f aca="false">IF(AND(HT70=1,ID70&gt;0,Slot16_IsWG=1,FQ70=1),MIN(ID70,MV70),0)</f>
        <v>0</v>
      </c>
      <c r="MX70" s="1" t="n">
        <f aca="false">FR70+MW70</f>
        <v>0</v>
      </c>
      <c r="MY70" s="1" t="n">
        <f aca="false">IF(FQ70=1,MAX(0,(Slot16_Cost-MX70*(1+Slot16_Rate)^(Slot16_Age-D70))/MU70),0)</f>
        <v>0</v>
      </c>
      <c r="MZ70" s="1" t="n">
        <f aca="false">IF(FQ70=1,MAX(0,(Slot16_Cost-FR70*(1+Slot16_Rate)^(Slot16_Age-D70))/MU70),0)</f>
        <v>0</v>
      </c>
      <c r="NA70" s="1" t="n">
        <f aca="false">IF(AND(HT70=1,FQ70=1),MIN(MT70,MY70),0)</f>
        <v>0</v>
      </c>
      <c r="NB70" s="1" t="n">
        <f aca="false">MT70-NA70</f>
        <v>0</v>
      </c>
      <c r="NC70" s="1" t="n">
        <f aca="false">IF(GA70=1,IF(ABS((1+AS_Wage)/(1+Slot17_Rate)-1)&lt;0.000000000001,(Slot17_Age-D70)*(1+Slot17_Rate)^(Slot17_Age-D70),(1+Slot17_Rate)^(Slot17_Age-D70)*(1-((1+AS_Wage)/(1+Slot17_Rate))^(Slot17_Age-D70))/(1-(1+AS_Wage)/(1+Slot17_Rate))),1)</f>
        <v>1</v>
      </c>
      <c r="ND70" s="1" t="n">
        <f aca="false">IF(AND(HT70=1,ID70&gt;0,Slot17_IsWG=1,GA70=1),MAX(0,(Slot17_Cost-GB70*(1+Slot17_Rate)^(Slot17_Age-D70))/NC70),0)</f>
        <v>0</v>
      </c>
      <c r="NE70" s="1" t="n">
        <f aca="false">IF(AND(HT70=1,ID70&gt;0,Slot17_IsWG=1,GA70=1),MIN(ID70,ND70),0)</f>
        <v>0</v>
      </c>
      <c r="NF70" s="1" t="n">
        <f aca="false">GB70+NE70</f>
        <v>0</v>
      </c>
      <c r="NG70" s="1" t="n">
        <f aca="false">IF(GA70=1,MAX(0,(Slot17_Cost-NF70*(1+Slot17_Rate)^(Slot17_Age-D70))/NC70),0)</f>
        <v>0</v>
      </c>
      <c r="NH70" s="1" t="n">
        <f aca="false">IF(GA70=1,MAX(0,(Slot17_Cost-GB70*(1+Slot17_Rate)^(Slot17_Age-D70))/NC70),0)</f>
        <v>0</v>
      </c>
      <c r="NI70" s="1" t="n">
        <f aca="false">IF(AND(HT70=1,GA70=1),MIN(NB70,NG70),0)</f>
        <v>0</v>
      </c>
      <c r="NJ70" s="1" t="n">
        <f aca="false">NB70-NI70</f>
        <v>0</v>
      </c>
      <c r="NK70" s="1" t="n">
        <f aca="false">IF(GK70=1,IF(ABS((1+AS_Wage)/(1+Slot18_Rate)-1)&lt;0.000000000001,(Slot18_Age-D70)*(1+Slot18_Rate)^(Slot18_Age-D70),(1+Slot18_Rate)^(Slot18_Age-D70)*(1-((1+AS_Wage)/(1+Slot18_Rate))^(Slot18_Age-D70))/(1-(1+AS_Wage)/(1+Slot18_Rate))),1)</f>
        <v>1</v>
      </c>
      <c r="NL70" s="1" t="n">
        <f aca="false">IF(AND(HT70=1,ID70&gt;0,Slot18_IsWG=1,GK70=1),MAX(0,(Slot18_Cost-GL70*(1+Slot18_Rate)^(Slot18_Age-D70))/NK70),0)</f>
        <v>0</v>
      </c>
      <c r="NM70" s="1" t="n">
        <f aca="false">IF(AND(HT70=1,ID70&gt;0,Slot18_IsWG=1,GK70=1),MIN(ID70,NL70),0)</f>
        <v>0</v>
      </c>
      <c r="NN70" s="1" t="n">
        <f aca="false">GL70+NM70</f>
        <v>0</v>
      </c>
      <c r="NO70" s="1" t="n">
        <f aca="false">IF(GK70=1,MAX(0,(Slot18_Cost-NN70*(1+Slot18_Rate)^(Slot18_Age-D70))/NK70),0)</f>
        <v>0</v>
      </c>
      <c r="NP70" s="1" t="n">
        <f aca="false">IF(GK70=1,MAX(0,(Slot18_Cost-GL70*(1+Slot18_Rate)^(Slot18_Age-D70))/NK70),0)</f>
        <v>0</v>
      </c>
      <c r="NQ70" s="1" t="n">
        <f aca="false">IF(AND(HT70=1,GK70=1),MIN(NJ70,NO70),0)</f>
        <v>0</v>
      </c>
      <c r="NR70" s="1" t="n">
        <f aca="false">NJ70-NQ70</f>
        <v>0</v>
      </c>
      <c r="NS70" s="1" t="n">
        <f aca="false">IF(GU70=1,IF(ABS((1+AS_Wage)/(1+Slot19_Rate)-1)&lt;0.000000000001,(Slot19_Age-D70)*(1+Slot19_Rate)^(Slot19_Age-D70),(1+Slot19_Rate)^(Slot19_Age-D70)*(1-((1+AS_Wage)/(1+Slot19_Rate))^(Slot19_Age-D70))/(1-(1+AS_Wage)/(1+Slot19_Rate))),1)</f>
        <v>1</v>
      </c>
      <c r="NT70" s="1" t="n">
        <f aca="false">IF(AND(HT70=1,ID70&gt;0,Slot19_IsWG=1,GU70=1),MAX(0,(Slot19_Cost-GV70*(1+Slot19_Rate)^(Slot19_Age-D70))/NS70),0)</f>
        <v>0</v>
      </c>
      <c r="NU70" s="1" t="n">
        <f aca="false">IF(AND(HT70=1,ID70&gt;0,Slot19_IsWG=1,GU70=1),MIN(ID70,NT70),0)</f>
        <v>0</v>
      </c>
      <c r="NV70" s="1" t="n">
        <f aca="false">GV70+NU70</f>
        <v>0</v>
      </c>
      <c r="NW70" s="1" t="n">
        <f aca="false">IF(GU70=1,MAX(0,(Slot19_Cost-NV70*(1+Slot19_Rate)^(Slot19_Age-D70))/NS70),0)</f>
        <v>0</v>
      </c>
      <c r="NX70" s="1" t="n">
        <f aca="false">IF(GU70=1,MAX(0,(Slot19_Cost-GV70*(1+Slot19_Rate)^(Slot19_Age-D70))/NS70),0)</f>
        <v>0</v>
      </c>
      <c r="NY70" s="1" t="n">
        <f aca="false">IF(AND(HT70=1,GU70=1),MIN(NR70,NW70),0)</f>
        <v>0</v>
      </c>
      <c r="NZ70" s="1" t="n">
        <f aca="false">NR70-NY70</f>
        <v>0</v>
      </c>
      <c r="OA70" s="1" t="n">
        <f aca="false">IF(HE70=1,IF(ABS((1+AS_Wage)/(1+Slot20_Rate)-1)&lt;0.000000000001,(Slot20_Age-D70)*(1+Slot20_Rate)^(Slot20_Age-D70),(1+Slot20_Rate)^(Slot20_Age-D70)*(1-((1+AS_Wage)/(1+Slot20_Rate))^(Slot20_Age-D70))/(1-(1+AS_Wage)/(1+Slot20_Rate))),1)</f>
        <v>1</v>
      </c>
      <c r="OB70" s="1" t="n">
        <f aca="false">IF(AND(HT70=1,ID70&gt;0,Slot20_IsWG=1,HE70=1),MAX(0,(Slot20_Cost-HF70*(1+Slot20_Rate)^(Slot20_Age-D70))/OA70),0)</f>
        <v>0</v>
      </c>
      <c r="OC70" s="1" t="n">
        <f aca="false">IF(AND(HT70=1,ID70&gt;0,Slot20_IsWG=1,HE70=1),MIN(ID70,OB70),0)</f>
        <v>0</v>
      </c>
      <c r="OD70" s="1" t="n">
        <f aca="false">HF70+OC70</f>
        <v>0</v>
      </c>
      <c r="OE70" s="1" t="n">
        <f aca="false">IF(HE70=1,MAX(0,(Slot20_Cost-OD70*(1+Slot20_Rate)^(Slot20_Age-D70))/OA70),0)</f>
        <v>0</v>
      </c>
      <c r="OF70" s="1" t="n">
        <f aca="false">IF(HE70=1,MAX(0,(Slot20_Cost-HF70*(1+Slot20_Rate)^(Slot20_Age-D70))/OA70),0)</f>
        <v>0</v>
      </c>
      <c r="OG70" s="1" t="n">
        <f aca="false">IF(AND(HT70=1,HE70=1),MIN(NZ70,OE70),0)</f>
        <v>0</v>
      </c>
      <c r="OH70" s="1" t="n">
        <f aca="false">NZ70-OG70</f>
        <v>0</v>
      </c>
      <c r="OI70" s="1" t="n">
        <f aca="false">ID70-(IG70+IO70+IW70+JE70+JM70+JU70+KC70+KK70+KS70+LA70+LI70+LQ70+LY70+MG70+MO70+MW70+NE70+NM70+NU70+OC70)</f>
        <v>0</v>
      </c>
      <c r="OJ70" s="1" t="n">
        <f aca="false">IF(HT70=1,HR70-IC70-ID70,0)</f>
        <v>0</v>
      </c>
      <c r="OK70" s="1" t="n">
        <f aca="false">IF(HT70=0,-HR70,0)</f>
        <v>0</v>
      </c>
      <c r="OL70" s="1" t="n">
        <f aca="false">MIN(OK70,HJ70)</f>
        <v>0</v>
      </c>
      <c r="OM70" s="1" t="n">
        <f aca="false">OK70-OL70</f>
        <v>0</v>
      </c>
      <c r="ON70" s="1" t="n">
        <f aca="false">MIN(OM70,HK70)</f>
        <v>0</v>
      </c>
      <c r="OO70" s="1" t="n">
        <f aca="false">OM70-ON70</f>
        <v>0</v>
      </c>
      <c r="OP70" s="1" t="n">
        <f aca="false">IF(AND(HT70=0,HE70=1,OO70&gt;0),MIN(OO70,HF70),0)</f>
        <v>0</v>
      </c>
      <c r="OQ70" s="1" t="n">
        <f aca="false">OO70-OP70</f>
        <v>0</v>
      </c>
      <c r="OR70" s="1" t="n">
        <f aca="false">IF(AND(HT70=0,GU70=1,OQ70&gt;0),MIN(OQ70,GV70),0)</f>
        <v>0</v>
      </c>
      <c r="OS70" s="1" t="n">
        <f aca="false">OQ70-OR70</f>
        <v>0</v>
      </c>
      <c r="OT70" s="1" t="n">
        <f aca="false">IF(AND(HT70=0,GK70=1,OS70&gt;0),MIN(OS70,GL70),0)</f>
        <v>0</v>
      </c>
      <c r="OU70" s="1" t="n">
        <f aca="false">OS70-OT70</f>
        <v>0</v>
      </c>
      <c r="OV70" s="1" t="n">
        <f aca="false">IF(AND(HT70=0,GA70=1,OU70&gt;0),MIN(OU70,GB70),0)</f>
        <v>0</v>
      </c>
      <c r="OW70" s="1" t="n">
        <f aca="false">OU70-OV70</f>
        <v>0</v>
      </c>
      <c r="OX70" s="1" t="n">
        <f aca="false">IF(AND(HT70=0,FQ70=1,OW70&gt;0),MIN(OW70,FR70),0)</f>
        <v>0</v>
      </c>
      <c r="OY70" s="1" t="n">
        <f aca="false">OW70-OX70</f>
        <v>0</v>
      </c>
      <c r="OZ70" s="1" t="n">
        <f aca="false">IF(AND(HT70=0,FG70=1,OY70&gt;0),MIN(OY70,FH70),0)</f>
        <v>0</v>
      </c>
      <c r="PA70" s="1" t="n">
        <f aca="false">OY70-OZ70</f>
        <v>0</v>
      </c>
      <c r="PB70" s="1" t="n">
        <f aca="false">IF(AND(HT70=0,EW70=1,PA70&gt;0),MIN(PA70,EX70),0)</f>
        <v>0</v>
      </c>
      <c r="PC70" s="1" t="n">
        <f aca="false">PA70-PB70</f>
        <v>0</v>
      </c>
      <c r="PD70" s="1" t="n">
        <f aca="false">IF(AND(HT70=0,EM70=1,PC70&gt;0),MIN(PC70,EN70),0)</f>
        <v>0</v>
      </c>
      <c r="PE70" s="1" t="n">
        <f aca="false">PC70-PD70</f>
        <v>0</v>
      </c>
      <c r="PF70" s="1" t="n">
        <f aca="false">IF(AND(HT70=0,EC70=1,PE70&gt;0),MIN(PE70,ED70),0)</f>
        <v>0</v>
      </c>
      <c r="PG70" s="1" t="n">
        <f aca="false">PE70-PF70</f>
        <v>0</v>
      </c>
      <c r="PH70" s="1" t="n">
        <f aca="false">IF(AND(HT70=0,DS70=1,PG70&gt;0),MIN(PG70,DT70),0)</f>
        <v>0</v>
      </c>
      <c r="PI70" s="1" t="n">
        <f aca="false">PG70-PH70</f>
        <v>0</v>
      </c>
      <c r="PJ70" s="1" t="n">
        <f aca="false">IF(AND(HT70=0,DI70=1,PI70&gt;0),MIN(PI70,DJ70),0)</f>
        <v>0</v>
      </c>
      <c r="PK70" s="1" t="n">
        <f aca="false">PI70-PJ70</f>
        <v>0</v>
      </c>
      <c r="PL70" s="1" t="n">
        <f aca="false">IF(AND(HT70=0,CY70=1,PK70&gt;0),MIN(PK70,CZ70),0)</f>
        <v>0</v>
      </c>
      <c r="PM70" s="1" t="n">
        <f aca="false">PK70-PL70</f>
        <v>0</v>
      </c>
      <c r="PN70" s="1" t="n">
        <f aca="false">IF(AND(HT70=0,CO70=1,PM70&gt;0),MIN(PM70,CP70),0)</f>
        <v>0</v>
      </c>
      <c r="PO70" s="1" t="n">
        <f aca="false">PM70-PN70</f>
        <v>0</v>
      </c>
      <c r="PP70" s="1" t="n">
        <f aca="false">IF(AND(HT70=0,CE70=1,PO70&gt;0),MIN(PO70,CF70),0)</f>
        <v>0</v>
      </c>
      <c r="PQ70" s="1" t="n">
        <f aca="false">PO70-PP70</f>
        <v>0</v>
      </c>
      <c r="PR70" s="1" t="n">
        <f aca="false">IF(AND(HT70=0,BU70=1,PQ70&gt;0),MIN(PQ70,BV70),0)</f>
        <v>0</v>
      </c>
      <c r="PS70" s="1" t="n">
        <f aca="false">PQ70-PR70</f>
        <v>0</v>
      </c>
      <c r="PT70" s="1" t="n">
        <f aca="false">IF(AND(HT70=0,BK70=1,PS70&gt;0),MIN(PS70,BL70),0)</f>
        <v>0</v>
      </c>
      <c r="PU70" s="1" t="n">
        <f aca="false">PS70-PT70</f>
        <v>0</v>
      </c>
      <c r="PV70" s="1" t="n">
        <f aca="false">IF(AND(HT70=0,BA70=1,PU70&gt;0),MIN(PU70,BB70),0)</f>
        <v>0</v>
      </c>
      <c r="PW70" s="1" t="n">
        <f aca="false">PU70-PV70</f>
        <v>0</v>
      </c>
      <c r="PX70" s="1" t="n">
        <f aca="false">IF(AND(HT70=0,AQ70=1,PW70&gt;0),MIN(PW70,AR70),0)</f>
        <v>0</v>
      </c>
      <c r="PY70" s="1" t="n">
        <f aca="false">PW70-PX70</f>
        <v>0</v>
      </c>
      <c r="PZ70" s="1" t="n">
        <f aca="false">IF(AND(HT70=0,AG70=1,PY70&gt;0),MIN(PY70,AH70),0)</f>
        <v>0</v>
      </c>
      <c r="QA70" s="1" t="n">
        <f aca="false">PY70-PZ70</f>
        <v>0</v>
      </c>
      <c r="QB70" s="1" t="n">
        <f aca="false">IF(AND(HT70=0,V70=1,QA70&gt;0),MIN(QA70,W70),0)</f>
        <v>0</v>
      </c>
      <c r="QC70" s="1" t="n">
        <f aca="false">QA70-QB70</f>
        <v>0</v>
      </c>
      <c r="QD70" s="1" t="n">
        <f aca="false">IF(HT70=0,QC70,0)</f>
        <v>0</v>
      </c>
      <c r="QE70" s="1" t="n">
        <f aca="false">OL70+ON70+QB70+PZ70+PX70+PV70+PT70+PR70+PP70+PN70+PL70+PJ70+PH70+PF70+PD70+PB70+OZ70+OX70+OV70+OT70+OR70+OP70</f>
        <v>0</v>
      </c>
      <c r="QF70" s="1" t="n">
        <f aca="false">IF(HT70=1,HJ70+OI70+OH70+IF(F70=1,0,OJ70),HJ70-OL70)</f>
        <v>0</v>
      </c>
      <c r="QG70" s="1" t="n">
        <f aca="false">HK70-ON70</f>
        <v>0</v>
      </c>
      <c r="QH70" s="1" t="n">
        <f aca="false">IF(HT70=1,IF(F70=1,IC70+ID70,HR70),0)</f>
        <v>0</v>
      </c>
      <c r="QI70" s="1" t="n">
        <f aca="false">IF(HT70=1,IF(F70=1,HR70-IC70-ID70,0),0)</f>
        <v>0</v>
      </c>
      <c r="QJ70" s="1" t="n">
        <f aca="false">QF70*(1+GR)</f>
        <v>0</v>
      </c>
      <c r="QK70" s="1" t="n">
        <f aca="false">QG70*(1+AS_Cash)</f>
        <v>0</v>
      </c>
      <c r="QL70" s="1" t="n">
        <f aca="false">IF(V70=1,IF(HT70=1,IH70+IK70,W70-QB70)*(1+Slot1_Rate),0)</f>
        <v>0</v>
      </c>
      <c r="QM70" s="1" t="n">
        <f aca="false">IF(AND(HT70=1,V70=1),(IG70+IK70)/E70,0)</f>
        <v>0</v>
      </c>
      <c r="QN70" s="1" t="n">
        <f aca="false">IF(B70=0,IG70+IK70,0)</f>
        <v>0</v>
      </c>
      <c r="QO70" s="1" t="n">
        <f aca="false">IF(B70=0,IF(HT70=1,II70,IJ70),0)</f>
        <v>0</v>
      </c>
      <c r="QP70" s="1" t="n">
        <f aca="false">IF(AG70=1,IF(HT70=1,IP70+IS70,AH70-PZ70)*(1+Slot2_Rate),0)</f>
        <v>0</v>
      </c>
      <c r="QQ70" s="1" t="n">
        <f aca="false">IF(AND(HT70=1,AG70=1),(IO70+IS70)/E70,0)</f>
        <v>0</v>
      </c>
      <c r="QR70" s="1" t="n">
        <f aca="false">IF(B70=0,IO70+IS70,0)</f>
        <v>0</v>
      </c>
      <c r="QS70" s="1" t="n">
        <f aca="false">IF(B70=0,IF(HT70=1,IQ70,IR70),0)</f>
        <v>0</v>
      </c>
      <c r="QT70" s="1" t="n">
        <f aca="false">IF(AQ70=1,IF(HT70=1,IX70+JA70,AR70-PX70)*(1+Slot3_Rate),0)</f>
        <v>0</v>
      </c>
      <c r="QU70" s="1" t="n">
        <f aca="false">IF(AND(HT70=1,AQ70=1),(IW70+JA70)/E70,0)</f>
        <v>0</v>
      </c>
      <c r="QV70" s="1" t="n">
        <f aca="false">IF(B70=0,IW70+JA70,0)</f>
        <v>0</v>
      </c>
      <c r="QW70" s="1" t="n">
        <f aca="false">IF(B70=0,IF(HT70=1,IY70,IZ70),0)</f>
        <v>0</v>
      </c>
      <c r="QX70" s="1" t="n">
        <f aca="false">IF(BA70=1,IF(HT70=1,JF70+JI70,BB70-PV70)*(1+Slot4_Rate),0)</f>
        <v>0</v>
      </c>
      <c r="QY70" s="1" t="n">
        <f aca="false">IF(AND(HT70=1,BA70=1),(JE70+JI70)/E70,0)</f>
        <v>0</v>
      </c>
      <c r="QZ70" s="1" t="n">
        <f aca="false">IF(B70=0,JE70+JI70,0)</f>
        <v>0</v>
      </c>
      <c r="RA70" s="1" t="n">
        <f aca="false">IF(B70=0,IF(HT70=1,JG70,JH70),0)</f>
        <v>0</v>
      </c>
      <c r="RB70" s="1" t="n">
        <f aca="false">IF(BK70=1,IF(HT70=1,JN70+JQ70,BL70-PT70)*(1+Slot5_Rate),0)</f>
        <v>0</v>
      </c>
      <c r="RC70" s="1" t="n">
        <f aca="false">IF(AND(HT70=1,BK70=1),(JM70+JQ70)/E70,0)</f>
        <v>0</v>
      </c>
      <c r="RD70" s="1" t="n">
        <f aca="false">IF(B70=0,JM70+JQ70,0)</f>
        <v>0</v>
      </c>
      <c r="RE70" s="1" t="n">
        <f aca="false">IF(B70=0,IF(HT70=1,JO70,JP70),0)</f>
        <v>0</v>
      </c>
      <c r="RF70" s="1" t="n">
        <f aca="false">IF(BU70=1,IF(HT70=1,JV70+JY70,BV70-PR70)*(1+Slot6_Rate),0)</f>
        <v>0</v>
      </c>
      <c r="RG70" s="1" t="n">
        <f aca="false">IF(AND(HT70=1,BU70=1),(JU70+JY70)/E70,0)</f>
        <v>0</v>
      </c>
      <c r="RH70" s="1" t="n">
        <f aca="false">IF(B70=0,JU70+JY70,0)</f>
        <v>0</v>
      </c>
      <c r="RI70" s="1" t="n">
        <f aca="false">IF(B70=0,IF(HT70=1,JW70,JX70),0)</f>
        <v>0</v>
      </c>
      <c r="RJ70" s="1" t="n">
        <f aca="false">IF(CE70=1,IF(HT70=1,KD70+KG70,CF70-PP70)*(1+Slot7_Rate),0)</f>
        <v>0</v>
      </c>
      <c r="RK70" s="1" t="n">
        <f aca="false">IF(AND(HT70=1,CE70=1),(KC70+KG70)/E70,0)</f>
        <v>0</v>
      </c>
      <c r="RL70" s="1" t="n">
        <f aca="false">IF(B70=0,KC70+KG70,0)</f>
        <v>0</v>
      </c>
      <c r="RM70" s="1" t="n">
        <f aca="false">IF(B70=0,IF(HT70=1,KE70,KF70),0)</f>
        <v>0</v>
      </c>
      <c r="RN70" s="1" t="n">
        <f aca="false">IF(CO70=1,IF(HT70=1,KL70+KO70,CP70-PN70)*(1+Slot8_Rate),0)</f>
        <v>0</v>
      </c>
      <c r="RO70" s="1" t="n">
        <f aca="false">IF(AND(HT70=1,CO70=1),(KK70+KO70)/E70,0)</f>
        <v>0</v>
      </c>
      <c r="RP70" s="1" t="n">
        <f aca="false">IF(B70=0,KK70+KO70,0)</f>
        <v>0</v>
      </c>
      <c r="RQ70" s="1" t="n">
        <f aca="false">IF(B70=0,IF(HT70=1,KM70,KN70),0)</f>
        <v>0</v>
      </c>
      <c r="RR70" s="1" t="n">
        <f aca="false">IF(CY70=1,IF(HT70=1,KT70+KW70,CZ70-PL70)*(1+Slot9_Rate),0)</f>
        <v>0</v>
      </c>
      <c r="RS70" s="1" t="n">
        <f aca="false">IF(AND(HT70=1,CY70=1),(KS70+KW70)/E70,0)</f>
        <v>0</v>
      </c>
      <c r="RT70" s="1" t="n">
        <f aca="false">IF(B70=0,KS70+KW70,0)</f>
        <v>0</v>
      </c>
      <c r="RU70" s="1" t="n">
        <f aca="false">IF(B70=0,IF(HT70=1,KU70,KV70),0)</f>
        <v>0</v>
      </c>
      <c r="RV70" s="1" t="n">
        <f aca="false">IF(DI70=1,IF(HT70=1,LB70+LE70,DJ70-PJ70)*(1+Slot10_Rate),0)</f>
        <v>0</v>
      </c>
      <c r="RW70" s="1" t="n">
        <f aca="false">IF(AND(HT70=1,DI70=1),(LA70+LE70)/E70,0)</f>
        <v>0</v>
      </c>
      <c r="RX70" s="1" t="n">
        <f aca="false">IF(B70=0,LA70+LE70,0)</f>
        <v>0</v>
      </c>
      <c r="RY70" s="1" t="n">
        <f aca="false">IF(B70=0,IF(HT70=1,LC70,LD70),0)</f>
        <v>0</v>
      </c>
      <c r="RZ70" s="1" t="n">
        <f aca="false">IF(DS70=1,IF(HT70=1,LJ70+LM70,DT70-PH70)*(1+Slot11_Rate),0)</f>
        <v>0</v>
      </c>
      <c r="SA70" s="1" t="n">
        <f aca="false">IF(AND(HT70=1,DS70=1),(LI70+LM70)/E70,0)</f>
        <v>0</v>
      </c>
      <c r="SB70" s="1" t="n">
        <f aca="false">IF(B70=0,LI70+LM70,0)</f>
        <v>0</v>
      </c>
      <c r="SC70" s="1" t="n">
        <f aca="false">IF(B70=0,IF(HT70=1,LK70,LL70),0)</f>
        <v>0</v>
      </c>
      <c r="SD70" s="1" t="n">
        <f aca="false">IF(EC70=1,IF(HT70=1,LR70+LU70,ED70-PF70)*(1+Slot12_Rate),0)</f>
        <v>0</v>
      </c>
      <c r="SE70" s="1" t="n">
        <f aca="false">IF(AND(HT70=1,EC70=1),(LQ70+LU70)/E70,0)</f>
        <v>0</v>
      </c>
      <c r="SF70" s="1" t="n">
        <f aca="false">IF(B70=0,LQ70+LU70,0)</f>
        <v>0</v>
      </c>
      <c r="SG70" s="1" t="n">
        <f aca="false">IF(B70=0,IF(HT70=1,LS70,LT70),0)</f>
        <v>0</v>
      </c>
      <c r="SH70" s="1" t="n">
        <f aca="false">IF(EM70=1,IF(HT70=1,LZ70+MC70,EN70-PD70)*(1+Slot13_Rate),0)</f>
        <v>0</v>
      </c>
      <c r="SI70" s="1" t="n">
        <f aca="false">IF(AND(HT70=1,EM70=1),(LY70+MC70)/E70,0)</f>
        <v>0</v>
      </c>
      <c r="SJ70" s="1" t="n">
        <f aca="false">IF(B70=0,LY70+MC70,0)</f>
        <v>0</v>
      </c>
      <c r="SK70" s="1" t="n">
        <f aca="false">IF(B70=0,IF(HT70=1,MA70,MB70),0)</f>
        <v>0</v>
      </c>
      <c r="SL70" s="1" t="n">
        <f aca="false">IF(EW70=1,IF(HT70=1,MH70+MK70,EX70-PB70)*(1+Slot14_Rate),0)</f>
        <v>0</v>
      </c>
      <c r="SM70" s="1" t="n">
        <f aca="false">IF(AND(HT70=1,EW70=1),(MG70+MK70)/E70,0)</f>
        <v>0</v>
      </c>
      <c r="SN70" s="1" t="n">
        <f aca="false">IF(B70=0,MG70+MK70,0)</f>
        <v>0</v>
      </c>
      <c r="SO70" s="1" t="n">
        <f aca="false">IF(B70=0,IF(HT70=1,MI70,MJ70),0)</f>
        <v>0</v>
      </c>
      <c r="SP70" s="1" t="n">
        <f aca="false">IF(FG70=1,IF(HT70=1,MP70+MS70,FH70-OZ70)*(1+Slot15_Rate),0)</f>
        <v>0</v>
      </c>
      <c r="SQ70" s="1" t="n">
        <f aca="false">IF(AND(HT70=1,FG70=1),(MO70+MS70)/E70,0)</f>
        <v>0</v>
      </c>
      <c r="SR70" s="1" t="n">
        <f aca="false">IF(B70=0,MO70+MS70,0)</f>
        <v>0</v>
      </c>
      <c r="SS70" s="1" t="n">
        <f aca="false">IF(B70=0,IF(HT70=1,MQ70,MR70),0)</f>
        <v>0</v>
      </c>
      <c r="ST70" s="1" t="n">
        <f aca="false">IF(FQ70=1,IF(HT70=1,MX70+NA70,FR70-OX70)*(1+Slot16_Rate),0)</f>
        <v>0</v>
      </c>
      <c r="SU70" s="1" t="n">
        <f aca="false">IF(AND(HT70=1,FQ70=1),(MW70+NA70)/E70,0)</f>
        <v>0</v>
      </c>
      <c r="SV70" s="1" t="n">
        <f aca="false">IF(B70=0,MW70+NA70,0)</f>
        <v>0</v>
      </c>
      <c r="SW70" s="1" t="n">
        <f aca="false">IF(B70=0,IF(HT70=1,MY70,MZ70),0)</f>
        <v>0</v>
      </c>
      <c r="SX70" s="1" t="n">
        <f aca="false">IF(GA70=1,IF(HT70=1,NF70+NI70,GB70-OV70)*(1+Slot17_Rate),0)</f>
        <v>0</v>
      </c>
      <c r="SY70" s="1" t="n">
        <f aca="false">IF(AND(HT70=1,GA70=1),(NE70+NI70)/E70,0)</f>
        <v>0</v>
      </c>
      <c r="SZ70" s="1" t="n">
        <f aca="false">IF(B70=0,NE70+NI70,0)</f>
        <v>0</v>
      </c>
      <c r="TA70" s="1" t="n">
        <f aca="false">IF(B70=0,IF(HT70=1,NG70,NH70),0)</f>
        <v>0</v>
      </c>
      <c r="TB70" s="1" t="n">
        <f aca="false">IF(GK70=1,IF(HT70=1,NN70+NQ70,GL70-OT70)*(1+Slot18_Rate),0)</f>
        <v>0</v>
      </c>
      <c r="TC70" s="1" t="n">
        <f aca="false">IF(AND(HT70=1,GK70=1),(NM70+NQ70)/E70,0)</f>
        <v>0</v>
      </c>
      <c r="TD70" s="1" t="n">
        <f aca="false">IF(B70=0,NM70+NQ70,0)</f>
        <v>0</v>
      </c>
      <c r="TE70" s="1" t="n">
        <f aca="false">IF(B70=0,IF(HT70=1,NO70,NP70),0)</f>
        <v>0</v>
      </c>
      <c r="TF70" s="1" t="n">
        <f aca="false">IF(GU70=1,IF(HT70=1,NV70+NY70,GV70-OR70)*(1+Slot19_Rate),0)</f>
        <v>0</v>
      </c>
      <c r="TG70" s="1" t="n">
        <f aca="false">IF(AND(HT70=1,GU70=1),(NU70+NY70)/E70,0)</f>
        <v>0</v>
      </c>
      <c r="TH70" s="1" t="n">
        <f aca="false">IF(B70=0,NU70+NY70,0)</f>
        <v>0</v>
      </c>
      <c r="TI70" s="1" t="n">
        <f aca="false">IF(B70=0,IF(HT70=1,NW70,NX70),0)</f>
        <v>0</v>
      </c>
      <c r="TJ70" s="1" t="n">
        <f aca="false">IF(HE70=1,IF(HT70=1,OD70+OG70,HF70-OP70)*(1+Slot20_Rate),0)</f>
        <v>0</v>
      </c>
      <c r="TK70" s="1" t="n">
        <f aca="false">IF(AND(HT70=1,HE70=1),(OC70+OG70)/E70,0)</f>
        <v>0</v>
      </c>
      <c r="TL70" s="1" t="n">
        <f aca="false">IF(B70=0,OC70+OG70,0)</f>
        <v>0</v>
      </c>
      <c r="TM70" s="1" t="n">
        <f aca="false">IF(B70=0,IF(HT70=1,OE70,OF70),0)</f>
        <v>0</v>
      </c>
      <c r="TN70" s="1" t="n">
        <f aca="false">QJ70+QK70+QL70+QP70+QT70+QX70+RB70+RF70+RJ70+RN70+RR70+RV70+RZ70+SD70+SH70+SL70+SP70+ST70+SX70+TB70+TF70+TJ70</f>
        <v>0</v>
      </c>
      <c r="TO70" s="1" t="n">
        <f aca="false">QD70+HO70</f>
        <v>0</v>
      </c>
      <c r="TP70" s="1" t="n">
        <f aca="false">H70+R70</f>
        <v>0</v>
      </c>
      <c r="TQ70" s="1" t="n">
        <f aca="false">1-F70</f>
        <v>0</v>
      </c>
      <c r="TR70" s="1" t="n">
        <f aca="false">IF(AND(RG_Exists=1,F70=0,C70=1),H70,0)</f>
        <v>0</v>
      </c>
      <c r="TS70" s="1" t="n">
        <f aca="false">IF(AND(RG_Exists=1,F70=0,C70=1),H70-MIN(QD70,H70),0)</f>
        <v>0</v>
      </c>
      <c r="TT70" s="1" t="n">
        <f aca="false">'Plan pay &amp; tax'!AD296</f>
        <v>0</v>
      </c>
      <c r="TU70" s="1" t="n">
        <f aca="false">IF(AND(C70=1,QD70&gt;MAX(PR_Short1,TP70*PR_Short2)),1,0)</f>
        <v>0</v>
      </c>
      <c r="TV70" s="1" t="n">
        <f aca="false">MIN(G70,H70+R70)</f>
        <v>0</v>
      </c>
      <c r="TW70" s="1" t="n">
        <f aca="false">QE70+MAX(0,HP70-HO70)</f>
        <v>0</v>
      </c>
      <c r="TX70" s="1" t="n">
        <f aca="false">QD70+HO70</f>
        <v>0</v>
      </c>
      <c r="TY70" s="1" t="n">
        <f aca="false">IF(AND(C70=1,TX70&gt;PR_MinShort),1,0)</f>
        <v>0</v>
      </c>
      <c r="TZ70" s="1" t="n">
        <f aca="false">IF(AND(C70=1,TY70=0,TW70&gt;PR_MinShort),1,0)</f>
        <v>0</v>
      </c>
      <c r="UA70" s="1" t="n">
        <f aca="false">IF(AND(C70=1,QD70&gt;PR_MinShort),1,0)</f>
        <v>0</v>
      </c>
      <c r="UB70" s="1" t="n">
        <f aca="false">IF(AND(C70=1,QE70&gt;1,UI70=0),1,0)</f>
        <v>0</v>
      </c>
      <c r="UC70" s="1" t="str">
        <f aca="false">IF(C70=0,"",IF(UI70=1,"Gap to plan for: short "&amp;"€"&amp;TEXT(ROUND(TO70,0),"#,##0"),IF(QE70&gt;1,"Using savings","Comfortable")))</f>
        <v>Comfortable</v>
      </c>
      <c r="UD70" s="1" t="n">
        <f aca="false">IF(AND(INT(D70/10)*10=90,B70&gt;0),80,INT(D70/10)*10)</f>
        <v>60</v>
      </c>
      <c r="UE70" s="1" t="n">
        <f aca="false">IF(B70=0,1,IF(UD70&lt;&gt;UD69,UE69+1,UE69))</f>
        <v>7</v>
      </c>
      <c r="UF70" s="1" t="n">
        <f aca="false">IF(AND(C70=1,F70=1,QD70&gt;MAX(PR_Short1,TP70*PR_Short2)),1,0)</f>
        <v>0</v>
      </c>
      <c r="UG70" s="1" t="n">
        <f aca="false">TQ70*TU70</f>
        <v>0</v>
      </c>
      <c r="UH70" s="1" t="n">
        <f aca="false">IF(AND(U70=1,Slot1_PctLow=1),1,0)+IF(AND(AF70=1,Slot2_PctLow=1),1,0)+IF(AND(AP70=1,Slot3_PctLow=1),1,0)+IF(AND(AZ70=1,Slot4_PctLow=1),1,0)+IF(AND(BJ70=1,Slot5_PctLow=1),1,0)+IF(AND(BT70=1,Slot6_PctLow=1),1,0)+IF(AND(CD70=1,Slot7_PctLow=1),1,0)+IF(AND(CN70=1,Slot8_PctLow=1),1,0)+IF(AND(CX70=1,Slot9_PctLow=1),1,0)+IF(AND(DH70=1,Slot10_PctLow=1),1,0)+IF(AND(DR70=1,Slot11_PctLow=1),1,0)+IF(AND(EB70=1,Slot12_PctLow=1),1,0)+IF(AND(EL70=1,Slot13_PctLow=1),1,0)+IF(AND(EV70=1,Slot14_PctLow=1),1,0)+IF(AND(FF70=1,Slot15_PctLow=1),1,0)+IF(AND(FP70=1,Slot16_PctLow=1),1,0)+IF(AND(FZ70=1,Slot17_PctLow=1),1,0)+IF(AND(GJ70=1,Slot18_PctLow=1),1,0)+IF(AND(GT70=1,Slot19_PctLow=1),1,0)+IF(AND(HD70=1,Slot20_PctLow=1),1,0)</f>
        <v>0</v>
      </c>
      <c r="UI70" s="1" t="n">
        <f aca="false">IF(C70=1,IF(OR(TU70=1,UH70&gt;0),1,0),0)</f>
        <v>0</v>
      </c>
    </row>
    <row r="71" customFormat="false" ht="15" hidden="false" customHeight="true" outlineLevel="0" collapsed="false">
      <c r="B71" s="1" t="n">
        <v>63</v>
      </c>
      <c r="C71" s="1" t="n">
        <f aca="false">IF(B71&lt;=F_N,1,0)</f>
        <v>1</v>
      </c>
      <c r="D71" s="1" t="n">
        <f aca="false">'Plan pay &amp; tax'!C297</f>
        <v>63</v>
      </c>
      <c r="E71" s="111" t="n">
        <f aca="false">'Plan pay &amp; tax'!E297</f>
        <v>3.48185612085969</v>
      </c>
      <c r="F71" s="1" t="n">
        <f aca="false">'Plan pay &amp; tax'!G297</f>
        <v>1</v>
      </c>
      <c r="G71" s="1" t="n">
        <f aca="false">'Plan pay &amp; tax'!BT297-'Plan pay &amp; tax'!BS297-'Plan pay &amp; tax'!R297</f>
        <v>0</v>
      </c>
      <c r="H71" s="1" t="n">
        <f aca="false">IF(F71=1,F_CostsM*12,IF(RG_Exists=1,RG_Amount,F_CostsM*12*AS_RetireSpend))*E71+F_OneOffY*E71</f>
        <v>0</v>
      </c>
      <c r="I71" s="1" t="n">
        <f aca="false">HQ70</f>
        <v>0</v>
      </c>
      <c r="J71" s="1" t="n">
        <f aca="false">IF(I71&gt;1,'Plan debt months'!AC71,0)</f>
        <v>0</v>
      </c>
      <c r="K71" s="1" t="n">
        <f aca="false">IF(I71&gt;1,'Plan debt months'!AB71,I71)</f>
        <v>0</v>
      </c>
      <c r="L71" s="1" t="n">
        <f aca="false">N70</f>
        <v>0</v>
      </c>
      <c r="M71" s="1" t="n">
        <f aca="false">IF(L71&gt;1,'Plan debt months'!BD71,0)</f>
        <v>0</v>
      </c>
      <c r="N71" s="1" t="n">
        <f aca="false">IF(L71&gt;1,'Plan debt months'!BC71,L71)</f>
        <v>0</v>
      </c>
      <c r="O71" s="1" t="n">
        <f aca="false">Q70</f>
        <v>0</v>
      </c>
      <c r="P71" s="1" t="n">
        <f aca="false">IF(O71&gt;1,'Plan debt months'!CE71,0)</f>
        <v>0</v>
      </c>
      <c r="Q71" s="1" t="n">
        <f aca="false">IF(O71&gt;1,'Plan debt months'!CD71,O71)</f>
        <v>0</v>
      </c>
      <c r="R71" s="1" t="n">
        <f aca="false">J71+M71+P71</f>
        <v>0</v>
      </c>
      <c r="S71" s="1" t="n">
        <f aca="false">QJ70+'Plan pay &amp; tax'!Y297</f>
        <v>0</v>
      </c>
      <c r="T71" s="1" t="n">
        <f aca="false">QJ70</f>
        <v>0</v>
      </c>
      <c r="U71" s="1" t="n">
        <f aca="false">IF(AND(Slot1_On=1,D71=Slot1_Age),1,0)</f>
        <v>0</v>
      </c>
      <c r="V71" s="1" t="n">
        <f aca="false">IF(AND(Slot1_On=1,Slot1_Age&gt;D71),1,0)</f>
        <v>0</v>
      </c>
      <c r="W71" s="1" t="n">
        <f aca="false">QL70</f>
        <v>0</v>
      </c>
      <c r="X71" s="1" t="n">
        <f aca="false">U71*MIN(Slot1_Cost,W71)</f>
        <v>0</v>
      </c>
      <c r="Y71" s="1" t="n">
        <f aca="false">U71*Slot1_SpendLike*MIN(Slot1_Cost-X71,S71)</f>
        <v>0</v>
      </c>
      <c r="Z71" s="1" t="n">
        <f aca="false">X71+Y71</f>
        <v>0</v>
      </c>
      <c r="AA71" s="1" t="n">
        <f aca="false">S71-Y71+U71*IF(Slot1_SpendLike=1,W71-X71,IF(Slot1_PotFree=1,W71,0))</f>
        <v>0</v>
      </c>
      <c r="AB71" s="1" t="n">
        <f aca="false">AE71+U71*Slot1_BufPot*W71</f>
        <v>0</v>
      </c>
      <c r="AC71" s="1" t="n">
        <f aca="false">IF(AND(U71=1,Slot1_IsMfree=1),IF(Z71&gt;=Slot1_Cost-1,0,MAX(0,K71-Z71)),K71)</f>
        <v>0</v>
      </c>
      <c r="AD71" s="1" t="n">
        <f aca="false">U71*(Slot1_Cost-Z71)</f>
        <v>0</v>
      </c>
      <c r="AE71" s="1" t="n">
        <f aca="false">QK70</f>
        <v>0</v>
      </c>
      <c r="AF71" s="1" t="n">
        <f aca="false">IF(AND(Slot2_On=1,D71=Slot2_Age),1,0)</f>
        <v>0</v>
      </c>
      <c r="AG71" s="1" t="n">
        <f aca="false">IF(AND(Slot2_On=1,Slot2_Age&gt;D71),1,0)</f>
        <v>0</v>
      </c>
      <c r="AH71" s="1" t="n">
        <f aca="false">QP70</f>
        <v>0</v>
      </c>
      <c r="AI71" s="1" t="n">
        <f aca="false">AF71*MIN(Slot2_Cost,AH71)</f>
        <v>0</v>
      </c>
      <c r="AJ71" s="1" t="n">
        <f aca="false">AF71*Slot2_SpendLike*MIN(Slot2_Cost-AI71,AA71)</f>
        <v>0</v>
      </c>
      <c r="AK71" s="1" t="n">
        <f aca="false">AI71+AJ71</f>
        <v>0</v>
      </c>
      <c r="AL71" s="1" t="n">
        <f aca="false">AA71-AJ71+AF71*IF(Slot2_SpendLike=1,AH71-AI71,IF(Slot2_PotFree=1,AH71,0))</f>
        <v>0</v>
      </c>
      <c r="AM71" s="1" t="n">
        <f aca="false">AB71+AF71*Slot2_BufPot*AH71</f>
        <v>0</v>
      </c>
      <c r="AN71" s="1" t="n">
        <f aca="false">IF(AND(AF71=1,Slot2_IsMfree=1),IF(AK71&gt;=Slot2_Cost-1,0,MAX(0,AC71-AK71)),AC71)</f>
        <v>0</v>
      </c>
      <c r="AO71" s="1" t="n">
        <f aca="false">AF71*(Slot2_Cost-AK71)</f>
        <v>0</v>
      </c>
      <c r="AP71" s="1" t="n">
        <f aca="false">IF(AND(Slot3_On=1,D71=Slot3_Age),1,0)</f>
        <v>0</v>
      </c>
      <c r="AQ71" s="1" t="n">
        <f aca="false">IF(AND(Slot3_On=1,Slot3_Age&gt;D71),1,0)</f>
        <v>0</v>
      </c>
      <c r="AR71" s="1" t="n">
        <f aca="false">QT70</f>
        <v>0</v>
      </c>
      <c r="AS71" s="1" t="n">
        <f aca="false">AP71*MIN(Slot3_Cost,AR71)</f>
        <v>0</v>
      </c>
      <c r="AT71" s="1" t="n">
        <f aca="false">AP71*Slot3_SpendLike*MIN(Slot3_Cost-AS71,AL71)</f>
        <v>0</v>
      </c>
      <c r="AU71" s="1" t="n">
        <f aca="false">AS71+AT71</f>
        <v>0</v>
      </c>
      <c r="AV71" s="1" t="n">
        <f aca="false">AL71-AT71+AP71*IF(Slot3_SpendLike=1,AR71-AS71,IF(Slot3_PotFree=1,AR71,0))</f>
        <v>0</v>
      </c>
      <c r="AW71" s="1" t="n">
        <f aca="false">AM71+AP71*Slot3_BufPot*AR71</f>
        <v>0</v>
      </c>
      <c r="AX71" s="1" t="n">
        <f aca="false">IF(AND(AP71=1,Slot3_IsMfree=1),IF(AU71&gt;=Slot3_Cost-1,0,MAX(0,AN71-AU71)),AN71)</f>
        <v>0</v>
      </c>
      <c r="AY71" s="1" t="n">
        <f aca="false">AP71*(Slot3_Cost-AU71)</f>
        <v>0</v>
      </c>
      <c r="AZ71" s="1" t="n">
        <f aca="false">IF(AND(Slot4_On=1,D71=Slot4_Age),1,0)</f>
        <v>0</v>
      </c>
      <c r="BA71" s="1" t="n">
        <f aca="false">IF(AND(Slot4_On=1,Slot4_Age&gt;D71),1,0)</f>
        <v>0</v>
      </c>
      <c r="BB71" s="1" t="n">
        <f aca="false">QX70</f>
        <v>0</v>
      </c>
      <c r="BC71" s="1" t="n">
        <f aca="false">AZ71*MIN(Slot4_Cost,BB71)</f>
        <v>0</v>
      </c>
      <c r="BD71" s="1" t="n">
        <f aca="false">AZ71*Slot4_SpendLike*MIN(Slot4_Cost-BC71,AV71)</f>
        <v>0</v>
      </c>
      <c r="BE71" s="1" t="n">
        <f aca="false">BC71+BD71</f>
        <v>0</v>
      </c>
      <c r="BF71" s="1" t="n">
        <f aca="false">AV71-BD71+AZ71*IF(Slot4_SpendLike=1,BB71-BC71,IF(Slot4_PotFree=1,BB71,0))</f>
        <v>0</v>
      </c>
      <c r="BG71" s="1" t="n">
        <f aca="false">AW71+AZ71*Slot4_BufPot*BB71</f>
        <v>0</v>
      </c>
      <c r="BH71" s="1" t="n">
        <f aca="false">IF(AND(AZ71=1,Slot4_IsMfree=1),IF(BE71&gt;=Slot4_Cost-1,0,MAX(0,AX71-BE71)),AX71)</f>
        <v>0</v>
      </c>
      <c r="BI71" s="1" t="n">
        <f aca="false">AZ71*(Slot4_Cost-BE71)</f>
        <v>0</v>
      </c>
      <c r="BJ71" s="1" t="n">
        <f aca="false">IF(AND(Slot5_On=1,D71=Slot5_Age),1,0)</f>
        <v>0</v>
      </c>
      <c r="BK71" s="1" t="n">
        <f aca="false">IF(AND(Slot5_On=1,Slot5_Age&gt;D71),1,0)</f>
        <v>0</v>
      </c>
      <c r="BL71" s="1" t="n">
        <f aca="false">RB70</f>
        <v>0</v>
      </c>
      <c r="BM71" s="1" t="n">
        <f aca="false">BJ71*MIN(Slot5_Cost,BL71)</f>
        <v>0</v>
      </c>
      <c r="BN71" s="1" t="n">
        <f aca="false">BJ71*Slot5_SpendLike*MIN(Slot5_Cost-BM71,BF71)</f>
        <v>0</v>
      </c>
      <c r="BO71" s="1" t="n">
        <f aca="false">BM71+BN71</f>
        <v>0</v>
      </c>
      <c r="BP71" s="1" t="n">
        <f aca="false">BF71-BN71+BJ71*IF(Slot5_SpendLike=1,BL71-BM71,IF(Slot5_PotFree=1,BL71,0))</f>
        <v>0</v>
      </c>
      <c r="BQ71" s="1" t="n">
        <f aca="false">BG71+BJ71*Slot5_BufPot*BL71</f>
        <v>0</v>
      </c>
      <c r="BR71" s="1" t="n">
        <f aca="false">IF(AND(BJ71=1,Slot5_IsMfree=1),IF(BO71&gt;=Slot5_Cost-1,0,MAX(0,BH71-BO71)),BH71)</f>
        <v>0</v>
      </c>
      <c r="BS71" s="1" t="n">
        <f aca="false">BJ71*(Slot5_Cost-BO71)</f>
        <v>0</v>
      </c>
      <c r="BT71" s="1" t="n">
        <f aca="false">IF(AND(Slot6_On=1,D71=Slot6_Age),1,0)</f>
        <v>0</v>
      </c>
      <c r="BU71" s="1" t="n">
        <f aca="false">IF(AND(Slot6_On=1,Slot6_Age&gt;D71),1,0)</f>
        <v>0</v>
      </c>
      <c r="BV71" s="1" t="n">
        <f aca="false">RF70</f>
        <v>0</v>
      </c>
      <c r="BW71" s="1" t="n">
        <f aca="false">BT71*MIN(Slot6_Cost,BV71)</f>
        <v>0</v>
      </c>
      <c r="BX71" s="1" t="n">
        <f aca="false">BT71*Slot6_SpendLike*MIN(Slot6_Cost-BW71,BP71)</f>
        <v>0</v>
      </c>
      <c r="BY71" s="1" t="n">
        <f aca="false">BW71+BX71</f>
        <v>0</v>
      </c>
      <c r="BZ71" s="1" t="n">
        <f aca="false">BP71-BX71+BT71*IF(Slot6_SpendLike=1,BV71-BW71,IF(Slot6_PotFree=1,BV71,0))</f>
        <v>0</v>
      </c>
      <c r="CA71" s="1" t="n">
        <f aca="false">BQ71+BT71*Slot6_BufPot*BV71</f>
        <v>0</v>
      </c>
      <c r="CB71" s="1" t="n">
        <f aca="false">IF(AND(BT71=1,Slot6_IsMfree=1),IF(BY71&gt;=Slot6_Cost-1,0,MAX(0,BR71-BY71)),BR71)</f>
        <v>0</v>
      </c>
      <c r="CC71" s="1" t="n">
        <f aca="false">BT71*(Slot6_Cost-BY71)</f>
        <v>0</v>
      </c>
      <c r="CD71" s="1" t="n">
        <f aca="false">IF(AND(Slot7_On=1,D71=Slot7_Age),1,0)</f>
        <v>0</v>
      </c>
      <c r="CE71" s="1" t="n">
        <f aca="false">IF(AND(Slot7_On=1,Slot7_Age&gt;D71),1,0)</f>
        <v>0</v>
      </c>
      <c r="CF71" s="1" t="n">
        <f aca="false">RJ70</f>
        <v>0</v>
      </c>
      <c r="CG71" s="1" t="n">
        <f aca="false">CD71*MIN(Slot7_Cost,CF71)</f>
        <v>0</v>
      </c>
      <c r="CH71" s="1" t="n">
        <f aca="false">CD71*Slot7_SpendLike*MIN(Slot7_Cost-CG71,BZ71)</f>
        <v>0</v>
      </c>
      <c r="CI71" s="1" t="n">
        <f aca="false">CG71+CH71</f>
        <v>0</v>
      </c>
      <c r="CJ71" s="1" t="n">
        <f aca="false">BZ71-CH71+CD71*IF(Slot7_SpendLike=1,CF71-CG71,IF(Slot7_PotFree=1,CF71,0))</f>
        <v>0</v>
      </c>
      <c r="CK71" s="1" t="n">
        <f aca="false">CA71+CD71*Slot7_BufPot*CF71</f>
        <v>0</v>
      </c>
      <c r="CL71" s="1" t="n">
        <f aca="false">IF(AND(CD71=1,Slot7_IsMfree=1),IF(CI71&gt;=Slot7_Cost-1,0,MAX(0,CB71-CI71)),CB71)</f>
        <v>0</v>
      </c>
      <c r="CM71" s="1" t="n">
        <f aca="false">CD71*(Slot7_Cost-CI71)</f>
        <v>0</v>
      </c>
      <c r="CN71" s="1" t="n">
        <f aca="false">IF(AND(Slot8_On=1,D71=Slot8_Age),1,0)</f>
        <v>0</v>
      </c>
      <c r="CO71" s="1" t="n">
        <f aca="false">IF(AND(Slot8_On=1,Slot8_Age&gt;D71),1,0)</f>
        <v>0</v>
      </c>
      <c r="CP71" s="1" t="n">
        <f aca="false">RN70</f>
        <v>0</v>
      </c>
      <c r="CQ71" s="1" t="n">
        <f aca="false">CN71*MIN(Slot8_Cost,CP71)</f>
        <v>0</v>
      </c>
      <c r="CR71" s="1" t="n">
        <f aca="false">CN71*Slot8_SpendLike*MIN(Slot8_Cost-CQ71,CJ71)</f>
        <v>0</v>
      </c>
      <c r="CS71" s="1" t="n">
        <f aca="false">CQ71+CR71</f>
        <v>0</v>
      </c>
      <c r="CT71" s="1" t="n">
        <f aca="false">CJ71-CR71+CN71*IF(Slot8_SpendLike=1,CP71-CQ71,IF(Slot8_PotFree=1,CP71,0))</f>
        <v>0</v>
      </c>
      <c r="CU71" s="1" t="n">
        <f aca="false">CK71+CN71*Slot8_BufPot*CP71</f>
        <v>0</v>
      </c>
      <c r="CV71" s="1" t="n">
        <f aca="false">IF(AND(CN71=1,Slot8_IsMfree=1),IF(CS71&gt;=Slot8_Cost-1,0,MAX(0,CL71-CS71)),CL71)</f>
        <v>0</v>
      </c>
      <c r="CW71" s="1" t="n">
        <f aca="false">CN71*(Slot8_Cost-CS71)</f>
        <v>0</v>
      </c>
      <c r="CX71" s="1" t="n">
        <f aca="false">IF(AND(Slot9_On=1,D71=Slot9_Age),1,0)</f>
        <v>0</v>
      </c>
      <c r="CY71" s="1" t="n">
        <f aca="false">IF(AND(Slot9_On=1,Slot9_Age&gt;D71),1,0)</f>
        <v>0</v>
      </c>
      <c r="CZ71" s="1" t="n">
        <f aca="false">RR70</f>
        <v>0</v>
      </c>
      <c r="DA71" s="1" t="n">
        <f aca="false">CX71*MIN(Slot9_Cost,CZ71)</f>
        <v>0</v>
      </c>
      <c r="DB71" s="1" t="n">
        <f aca="false">CX71*Slot9_SpendLike*MIN(Slot9_Cost-DA71,CT71)</f>
        <v>0</v>
      </c>
      <c r="DC71" s="1" t="n">
        <f aca="false">DA71+DB71</f>
        <v>0</v>
      </c>
      <c r="DD71" s="1" t="n">
        <f aca="false">CT71-DB71+CX71*IF(Slot9_SpendLike=1,CZ71-DA71,IF(Slot9_PotFree=1,CZ71,0))</f>
        <v>0</v>
      </c>
      <c r="DE71" s="1" t="n">
        <f aca="false">CU71+CX71*Slot9_BufPot*CZ71</f>
        <v>0</v>
      </c>
      <c r="DF71" s="1" t="n">
        <f aca="false">IF(AND(CX71=1,Slot9_IsMfree=1),IF(DC71&gt;=Slot9_Cost-1,0,MAX(0,CV71-DC71)),CV71)</f>
        <v>0</v>
      </c>
      <c r="DG71" s="1" t="n">
        <f aca="false">CX71*(Slot9_Cost-DC71)</f>
        <v>0</v>
      </c>
      <c r="DH71" s="1" t="n">
        <f aca="false">IF(AND(Slot10_On=1,D71=Slot10_Age),1,0)</f>
        <v>0</v>
      </c>
      <c r="DI71" s="1" t="n">
        <f aca="false">IF(AND(Slot10_On=1,Slot10_Age&gt;D71),1,0)</f>
        <v>0</v>
      </c>
      <c r="DJ71" s="1" t="n">
        <f aca="false">RV70</f>
        <v>0</v>
      </c>
      <c r="DK71" s="1" t="n">
        <f aca="false">DH71*MIN(Slot10_Cost,DJ71)</f>
        <v>0</v>
      </c>
      <c r="DL71" s="1" t="n">
        <f aca="false">DH71*Slot10_SpendLike*MIN(Slot10_Cost-DK71,DD71)</f>
        <v>0</v>
      </c>
      <c r="DM71" s="1" t="n">
        <f aca="false">DK71+DL71</f>
        <v>0</v>
      </c>
      <c r="DN71" s="1" t="n">
        <f aca="false">DD71-DL71+DH71*IF(Slot10_SpendLike=1,DJ71-DK71,IF(Slot10_PotFree=1,DJ71,0))</f>
        <v>0</v>
      </c>
      <c r="DO71" s="1" t="n">
        <f aca="false">DE71+DH71*Slot10_BufPot*DJ71</f>
        <v>0</v>
      </c>
      <c r="DP71" s="1" t="n">
        <f aca="false">IF(AND(DH71=1,Slot10_IsMfree=1),IF(DM71&gt;=Slot10_Cost-1,0,MAX(0,DF71-DM71)),DF71)</f>
        <v>0</v>
      </c>
      <c r="DQ71" s="1" t="n">
        <f aca="false">DH71*(Slot10_Cost-DM71)</f>
        <v>0</v>
      </c>
      <c r="DR71" s="1" t="n">
        <f aca="false">IF(AND(Slot11_On=1,D71=Slot11_Age),1,0)</f>
        <v>0</v>
      </c>
      <c r="DS71" s="1" t="n">
        <f aca="false">IF(AND(Slot11_On=1,Slot11_Age&gt;D71),1,0)</f>
        <v>0</v>
      </c>
      <c r="DT71" s="1" t="n">
        <f aca="false">RZ70</f>
        <v>0</v>
      </c>
      <c r="DU71" s="1" t="n">
        <f aca="false">DR71*MIN(Slot11_Cost,DT71)</f>
        <v>0</v>
      </c>
      <c r="DV71" s="1" t="n">
        <f aca="false">DR71*Slot11_SpendLike*MIN(Slot11_Cost-DU71,DN71)</f>
        <v>0</v>
      </c>
      <c r="DW71" s="1" t="n">
        <f aca="false">DU71+DV71</f>
        <v>0</v>
      </c>
      <c r="DX71" s="1" t="n">
        <f aca="false">DN71-DV71+DR71*IF(Slot11_SpendLike=1,DT71-DU71,IF(Slot11_PotFree=1,DT71,0))</f>
        <v>0</v>
      </c>
      <c r="DY71" s="1" t="n">
        <f aca="false">DO71+DR71*Slot11_BufPot*DT71</f>
        <v>0</v>
      </c>
      <c r="DZ71" s="1" t="n">
        <f aca="false">IF(AND(DR71=1,Slot11_IsMfree=1),IF(DW71&gt;=Slot11_Cost-1,0,MAX(0,DP71-DW71)),DP71)</f>
        <v>0</v>
      </c>
      <c r="EA71" s="1" t="n">
        <f aca="false">DR71*(Slot11_Cost-DW71)</f>
        <v>0</v>
      </c>
      <c r="EB71" s="1" t="n">
        <f aca="false">IF(AND(Slot12_On=1,D71=Slot12_Age),1,0)</f>
        <v>0</v>
      </c>
      <c r="EC71" s="1" t="n">
        <f aca="false">IF(AND(Slot12_On=1,Slot12_Age&gt;D71),1,0)</f>
        <v>0</v>
      </c>
      <c r="ED71" s="1" t="n">
        <f aca="false">SD70</f>
        <v>0</v>
      </c>
      <c r="EE71" s="1" t="n">
        <f aca="false">EB71*MIN(Slot12_Cost,ED71)</f>
        <v>0</v>
      </c>
      <c r="EF71" s="1" t="n">
        <f aca="false">EB71*Slot12_SpendLike*MIN(Slot12_Cost-EE71,DX71)</f>
        <v>0</v>
      </c>
      <c r="EG71" s="1" t="n">
        <f aca="false">EE71+EF71</f>
        <v>0</v>
      </c>
      <c r="EH71" s="1" t="n">
        <f aca="false">DX71-EF71+EB71*IF(Slot12_SpendLike=1,ED71-EE71,IF(Slot12_PotFree=1,ED71,0))</f>
        <v>0</v>
      </c>
      <c r="EI71" s="1" t="n">
        <f aca="false">DY71+EB71*Slot12_BufPot*ED71</f>
        <v>0</v>
      </c>
      <c r="EJ71" s="1" t="n">
        <f aca="false">IF(AND(EB71=1,Slot12_IsMfree=1),IF(EG71&gt;=Slot12_Cost-1,0,MAX(0,DZ71-EG71)),DZ71)</f>
        <v>0</v>
      </c>
      <c r="EK71" s="1" t="n">
        <f aca="false">EB71*(Slot12_Cost-EG71)</f>
        <v>0</v>
      </c>
      <c r="EL71" s="1" t="n">
        <f aca="false">IF(AND(Slot13_On=1,D71=Slot13_Age),1,0)</f>
        <v>0</v>
      </c>
      <c r="EM71" s="1" t="n">
        <f aca="false">IF(AND(Slot13_On=1,Slot13_Age&gt;D71),1,0)</f>
        <v>0</v>
      </c>
      <c r="EN71" s="1" t="n">
        <f aca="false">SH70</f>
        <v>0</v>
      </c>
      <c r="EO71" s="1" t="n">
        <f aca="false">EL71*MIN(Slot13_Cost,EN71)</f>
        <v>0</v>
      </c>
      <c r="EP71" s="1" t="n">
        <f aca="false">EL71*Slot13_SpendLike*MIN(Slot13_Cost-EO71,EH71)</f>
        <v>0</v>
      </c>
      <c r="EQ71" s="1" t="n">
        <f aca="false">EO71+EP71</f>
        <v>0</v>
      </c>
      <c r="ER71" s="1" t="n">
        <f aca="false">EH71-EP71+EL71*IF(Slot13_SpendLike=1,EN71-EO71,IF(Slot13_PotFree=1,EN71,0))</f>
        <v>0</v>
      </c>
      <c r="ES71" s="1" t="n">
        <f aca="false">EI71+EL71*Slot13_BufPot*EN71</f>
        <v>0</v>
      </c>
      <c r="ET71" s="1" t="n">
        <f aca="false">IF(AND(EL71=1,Slot13_IsMfree=1),IF(EQ71&gt;=Slot13_Cost-1,0,MAX(0,EJ71-EQ71)),EJ71)</f>
        <v>0</v>
      </c>
      <c r="EU71" s="1" t="n">
        <f aca="false">EL71*(Slot13_Cost-EQ71)</f>
        <v>0</v>
      </c>
      <c r="EV71" s="1" t="n">
        <f aca="false">IF(AND(Slot14_On=1,D71=Slot14_Age),1,0)</f>
        <v>0</v>
      </c>
      <c r="EW71" s="1" t="n">
        <f aca="false">IF(AND(Slot14_On=1,Slot14_Age&gt;D71),1,0)</f>
        <v>0</v>
      </c>
      <c r="EX71" s="1" t="n">
        <f aca="false">SL70</f>
        <v>0</v>
      </c>
      <c r="EY71" s="1" t="n">
        <f aca="false">EV71*MIN(Slot14_Cost,EX71)</f>
        <v>0</v>
      </c>
      <c r="EZ71" s="1" t="n">
        <f aca="false">EV71*Slot14_SpendLike*MIN(Slot14_Cost-EY71,ER71)</f>
        <v>0</v>
      </c>
      <c r="FA71" s="1" t="n">
        <f aca="false">EY71+EZ71</f>
        <v>0</v>
      </c>
      <c r="FB71" s="1" t="n">
        <f aca="false">ER71-EZ71+EV71*IF(Slot14_SpendLike=1,EX71-EY71,IF(Slot14_PotFree=1,EX71,0))</f>
        <v>0</v>
      </c>
      <c r="FC71" s="1" t="n">
        <f aca="false">ES71+EV71*Slot14_BufPot*EX71</f>
        <v>0</v>
      </c>
      <c r="FD71" s="1" t="n">
        <f aca="false">IF(AND(EV71=1,Slot14_IsMfree=1),IF(FA71&gt;=Slot14_Cost-1,0,MAX(0,ET71-FA71)),ET71)</f>
        <v>0</v>
      </c>
      <c r="FE71" s="1" t="n">
        <f aca="false">EV71*(Slot14_Cost-FA71)</f>
        <v>0</v>
      </c>
      <c r="FF71" s="1" t="n">
        <f aca="false">IF(AND(Slot15_On=1,D71=Slot15_Age),1,0)</f>
        <v>0</v>
      </c>
      <c r="FG71" s="1" t="n">
        <f aca="false">IF(AND(Slot15_On=1,Slot15_Age&gt;D71),1,0)</f>
        <v>0</v>
      </c>
      <c r="FH71" s="1" t="n">
        <f aca="false">SP70</f>
        <v>0</v>
      </c>
      <c r="FI71" s="1" t="n">
        <f aca="false">FF71*MIN(Slot15_Cost,FH71)</f>
        <v>0</v>
      </c>
      <c r="FJ71" s="1" t="n">
        <f aca="false">FF71*Slot15_SpendLike*MIN(Slot15_Cost-FI71,FB71)</f>
        <v>0</v>
      </c>
      <c r="FK71" s="1" t="n">
        <f aca="false">FI71+FJ71</f>
        <v>0</v>
      </c>
      <c r="FL71" s="1" t="n">
        <f aca="false">FB71-FJ71+FF71*IF(Slot15_SpendLike=1,FH71-FI71,IF(Slot15_PotFree=1,FH71,0))</f>
        <v>0</v>
      </c>
      <c r="FM71" s="1" t="n">
        <f aca="false">FC71+FF71*Slot15_BufPot*FH71</f>
        <v>0</v>
      </c>
      <c r="FN71" s="1" t="n">
        <f aca="false">IF(AND(FF71=1,Slot15_IsMfree=1),IF(FK71&gt;=Slot15_Cost-1,0,MAX(0,FD71-FK71)),FD71)</f>
        <v>0</v>
      </c>
      <c r="FO71" s="1" t="n">
        <f aca="false">FF71*(Slot15_Cost-FK71)</f>
        <v>0</v>
      </c>
      <c r="FP71" s="1" t="n">
        <f aca="false">IF(AND(Slot16_On=1,D71=Slot16_Age),1,0)</f>
        <v>0</v>
      </c>
      <c r="FQ71" s="1" t="n">
        <f aca="false">IF(AND(Slot16_On=1,Slot16_Age&gt;D71),1,0)</f>
        <v>0</v>
      </c>
      <c r="FR71" s="1" t="n">
        <f aca="false">ST70</f>
        <v>0</v>
      </c>
      <c r="FS71" s="1" t="n">
        <f aca="false">FP71*MIN(Slot16_Cost,FR71)</f>
        <v>0</v>
      </c>
      <c r="FT71" s="1" t="n">
        <f aca="false">FP71*Slot16_SpendLike*MIN(Slot16_Cost-FS71,FL71)</f>
        <v>0</v>
      </c>
      <c r="FU71" s="1" t="n">
        <f aca="false">FS71+FT71</f>
        <v>0</v>
      </c>
      <c r="FV71" s="1" t="n">
        <f aca="false">FL71-FT71+FP71*IF(Slot16_SpendLike=1,FR71-FS71,IF(Slot16_PotFree=1,FR71,0))</f>
        <v>0</v>
      </c>
      <c r="FW71" s="1" t="n">
        <f aca="false">FM71+FP71*Slot16_BufPot*FR71</f>
        <v>0</v>
      </c>
      <c r="FX71" s="1" t="n">
        <f aca="false">IF(AND(FP71=1,Slot16_IsMfree=1),IF(FU71&gt;=Slot16_Cost-1,0,MAX(0,FN71-FU71)),FN71)</f>
        <v>0</v>
      </c>
      <c r="FY71" s="1" t="n">
        <f aca="false">FP71*(Slot16_Cost-FU71)</f>
        <v>0</v>
      </c>
      <c r="FZ71" s="1" t="n">
        <f aca="false">IF(AND(Slot17_On=1,D71=Slot17_Age),1,0)</f>
        <v>0</v>
      </c>
      <c r="GA71" s="1" t="n">
        <f aca="false">IF(AND(Slot17_On=1,Slot17_Age&gt;D71),1,0)</f>
        <v>0</v>
      </c>
      <c r="GB71" s="1" t="n">
        <f aca="false">SX70</f>
        <v>0</v>
      </c>
      <c r="GC71" s="1" t="n">
        <f aca="false">FZ71*MIN(Slot17_Cost,GB71)</f>
        <v>0</v>
      </c>
      <c r="GD71" s="1" t="n">
        <f aca="false">FZ71*Slot17_SpendLike*MIN(Slot17_Cost-GC71,FV71)</f>
        <v>0</v>
      </c>
      <c r="GE71" s="1" t="n">
        <f aca="false">GC71+GD71</f>
        <v>0</v>
      </c>
      <c r="GF71" s="1" t="n">
        <f aca="false">FV71-GD71+FZ71*IF(Slot17_SpendLike=1,GB71-GC71,IF(Slot17_PotFree=1,GB71,0))</f>
        <v>0</v>
      </c>
      <c r="GG71" s="1" t="n">
        <f aca="false">FW71+FZ71*Slot17_BufPot*GB71</f>
        <v>0</v>
      </c>
      <c r="GH71" s="1" t="n">
        <f aca="false">IF(AND(FZ71=1,Slot17_IsMfree=1),IF(GE71&gt;=Slot17_Cost-1,0,MAX(0,FX71-GE71)),FX71)</f>
        <v>0</v>
      </c>
      <c r="GI71" s="1" t="n">
        <f aca="false">FZ71*(Slot17_Cost-GE71)</f>
        <v>0</v>
      </c>
      <c r="GJ71" s="1" t="n">
        <f aca="false">IF(AND(Slot18_On=1,D71=Slot18_Age),1,0)</f>
        <v>0</v>
      </c>
      <c r="GK71" s="1" t="n">
        <f aca="false">IF(AND(Slot18_On=1,Slot18_Age&gt;D71),1,0)</f>
        <v>0</v>
      </c>
      <c r="GL71" s="1" t="n">
        <f aca="false">TB70</f>
        <v>0</v>
      </c>
      <c r="GM71" s="1" t="n">
        <f aca="false">GJ71*MIN(Slot18_Cost,GL71)</f>
        <v>0</v>
      </c>
      <c r="GN71" s="1" t="n">
        <f aca="false">GJ71*Slot18_SpendLike*MIN(Slot18_Cost-GM71,GF71)</f>
        <v>0</v>
      </c>
      <c r="GO71" s="1" t="n">
        <f aca="false">GM71+GN71</f>
        <v>0</v>
      </c>
      <c r="GP71" s="1" t="n">
        <f aca="false">GF71-GN71+GJ71*IF(Slot18_SpendLike=1,GL71-GM71,IF(Slot18_PotFree=1,GL71,0))</f>
        <v>0</v>
      </c>
      <c r="GQ71" s="1" t="n">
        <f aca="false">GG71+GJ71*Slot18_BufPot*GL71</f>
        <v>0</v>
      </c>
      <c r="GR71" s="1" t="n">
        <f aca="false">IF(AND(GJ71=1,Slot18_IsMfree=1),IF(GO71&gt;=Slot18_Cost-1,0,MAX(0,GH71-GO71)),GH71)</f>
        <v>0</v>
      </c>
      <c r="GS71" s="1" t="n">
        <f aca="false">GJ71*(Slot18_Cost-GO71)</f>
        <v>0</v>
      </c>
      <c r="GT71" s="1" t="n">
        <f aca="false">IF(AND(Slot19_On=1,D71=Slot19_Age),1,0)</f>
        <v>0</v>
      </c>
      <c r="GU71" s="1" t="n">
        <f aca="false">IF(AND(Slot19_On=1,Slot19_Age&gt;D71),1,0)</f>
        <v>0</v>
      </c>
      <c r="GV71" s="1" t="n">
        <f aca="false">TF70</f>
        <v>0</v>
      </c>
      <c r="GW71" s="1" t="n">
        <f aca="false">GT71*MIN(Slot19_Cost,GV71)</f>
        <v>0</v>
      </c>
      <c r="GX71" s="1" t="n">
        <f aca="false">GT71*Slot19_SpendLike*MIN(Slot19_Cost-GW71,GP71)</f>
        <v>0</v>
      </c>
      <c r="GY71" s="1" t="n">
        <f aca="false">GW71+GX71</f>
        <v>0</v>
      </c>
      <c r="GZ71" s="1" t="n">
        <f aca="false">GP71-GX71+GT71*IF(Slot19_SpendLike=1,GV71-GW71,IF(Slot19_PotFree=1,GV71,0))</f>
        <v>0</v>
      </c>
      <c r="HA71" s="1" t="n">
        <f aca="false">GQ71+GT71*Slot19_BufPot*GV71</f>
        <v>0</v>
      </c>
      <c r="HB71" s="1" t="n">
        <f aca="false">IF(AND(GT71=1,Slot19_IsMfree=1),IF(GY71&gt;=Slot19_Cost-1,0,MAX(0,GR71-GY71)),GR71)</f>
        <v>0</v>
      </c>
      <c r="HC71" s="1" t="n">
        <f aca="false">GT71*(Slot19_Cost-GY71)</f>
        <v>0</v>
      </c>
      <c r="HD71" s="1" t="n">
        <f aca="false">IF(AND(Slot20_On=1,D71=Slot20_Age),1,0)</f>
        <v>0</v>
      </c>
      <c r="HE71" s="1" t="n">
        <f aca="false">IF(AND(Slot20_On=1,Slot20_Age&gt;D71),1,0)</f>
        <v>0</v>
      </c>
      <c r="HF71" s="1" t="n">
        <f aca="false">TJ70</f>
        <v>0</v>
      </c>
      <c r="HG71" s="1" t="n">
        <f aca="false">HD71*MIN(Slot20_Cost,HF71)</f>
        <v>0</v>
      </c>
      <c r="HH71" s="1" t="n">
        <f aca="false">HD71*Slot20_SpendLike*MIN(Slot20_Cost-HG71,GZ71)</f>
        <v>0</v>
      </c>
      <c r="HI71" s="1" t="n">
        <f aca="false">HG71+HH71</f>
        <v>0</v>
      </c>
      <c r="HJ71" s="1" t="n">
        <f aca="false">GZ71-HH71+HD71*IF(Slot20_SpendLike=1,HF71-HG71,IF(Slot20_PotFree=1,HF71,0))</f>
        <v>0</v>
      </c>
      <c r="HK71" s="1" t="n">
        <f aca="false">HA71+HD71*Slot20_BufPot*HF71</f>
        <v>0</v>
      </c>
      <c r="HL71" s="1" t="n">
        <f aca="false">IF(AND(HD71=1,Slot20_IsMfree=1),IF(HI71&gt;=Slot20_Cost-1,0,MAX(0,HB71-HI71)),HB71)</f>
        <v>0</v>
      </c>
      <c r="HM71" s="1" t="n">
        <f aca="false">HD71*(Slot20_Cost-HI71)</f>
        <v>0</v>
      </c>
      <c r="HN71" s="1" t="n">
        <f aca="false">U71*Slot1_SpendLike*Z71+AF71*Slot2_SpendLike*AK71+AP71*Slot3_SpendLike*AU71+AZ71*Slot4_SpendLike*BE71+BJ71*Slot5_SpendLike*BO71+BT71*Slot6_SpendLike*BY71+CD71*Slot7_SpendLike*CI71+CN71*Slot8_SpendLike*CS71+CX71*Slot9_SpendLike*DC71+DH71*Slot10_SpendLike*DM71+DR71*Slot11_SpendLike*DW71+EB71*Slot12_SpendLike*EG71+EL71*Slot13_SpendLike*EQ71+EV71*Slot14_SpendLike*FA71+FF71*Slot15_SpendLike*FK71+FP71*Slot16_SpendLike*FU71+FZ71*Slot17_SpendLike*GE71+GJ71*Slot18_SpendLike*GO71+GT71*Slot19_SpendLike*GY71+HD71*Slot20_SpendLike*HI71</f>
        <v>0</v>
      </c>
      <c r="HO71" s="1" t="n">
        <f aca="false">AD71+AO71+AY71+BI71+BS71+CC71+CM71+CW71+DG71+DQ71+EA71+EK71+EU71+FE71+FO71+FY71+GI71+GS71+HC71+HM71</f>
        <v>0</v>
      </c>
      <c r="HP71" s="1" t="n">
        <f aca="false">U71*Slot1_Cost+AF71*Slot2_Cost+AP71*Slot3_Cost+AZ71*Slot4_Cost+BJ71*Slot5_Cost+BT71*Slot6_Cost+CD71*Slot7_Cost+CN71*Slot8_Cost+CX71*Slot9_Cost+DH71*Slot10_Cost+DR71*Slot11_Cost+EB71*Slot12_Cost+EL71*Slot13_Cost+EV71*Slot14_Cost+FF71*Slot15_Cost+FP71*Slot16_Cost+FZ71*Slot17_Cost+GJ71*Slot18_Cost+GT71*Slot19_Cost+HD71*Slot20_Cost</f>
        <v>0</v>
      </c>
      <c r="HQ71" s="1" t="n">
        <f aca="false">HL71</f>
        <v>0</v>
      </c>
      <c r="HR71" s="1" t="n">
        <f aca="false">G71-H71-R71</f>
        <v>0</v>
      </c>
      <c r="HS71" s="1" t="n">
        <f aca="false">IF(B71=0,IF(AND(Has_q6=1,In_q6=4),PR_ShareVaries*(MAX(0,HR71)/12),MIN(IF(Has_q6=1,CHOOSE(In_q6+1,PR_SaveB1,PR_SaveB2,PR_SaveB3,PR_SaveB4,0),AS_NoAnswer),AS_SaveShare*(MAX(0,HR71)/12))),HS70)</f>
        <v>0</v>
      </c>
      <c r="HT71" s="1" t="n">
        <f aca="false">IF(HR71&gt;=0,1,0)</f>
        <v>1</v>
      </c>
      <c r="HU71" s="1" t="n">
        <f aca="false">MAX(0,HR71/12/E71)</f>
        <v>0</v>
      </c>
      <c r="HV71" s="1" t="n">
        <f aca="false">IF(AND(Has_q6=1,In_q6=4),PR_ShareVaries*(HU71),MIN(IF(Has_q6=1,CHOOSE(In_q6+1,PR_SaveB1,PR_SaveB2,PR_SaveB3,PR_SaveB4,0),AS_NoAnswer),AS_SaveShare*(HU71)))</f>
        <v>0</v>
      </c>
      <c r="HW71" s="1" t="n">
        <f aca="false">IF(Has_saveM=1,IF(In_saveUp="Yes",1,IF(In_saveUp="No",0,IF(In_saveM&gt;=HS71-0.5,1,0))),0)</f>
        <v>0</v>
      </c>
      <c r="HX71" s="1" t="n">
        <f aca="false">IF(Has_saveM=1,MIN(HU71,IF(HW71=1,MAX(In_saveM,HV71),MIN(In_saveM,HV71))),HV71)</f>
        <v>0</v>
      </c>
      <c r="HY71" s="1" t="n">
        <f aca="false">IF(F71=1,HX71*12*E71,0)</f>
        <v>0</v>
      </c>
      <c r="HZ71" s="1" t="n">
        <f aca="false">MAX(0,HY71+IF(AND(WI_Retire=0,WI_M&lt;0,F71=1),WI_M*12*E71,0))</f>
        <v>0</v>
      </c>
      <c r="IA71" s="1" t="n">
        <f aca="false">Slot1_IsWG*V71+Slot2_IsWG*AG71+Slot3_IsWG*AQ71+Slot4_IsWG*BA71+Slot5_IsWG*BK71+Slot6_IsWG*BU71+Slot7_IsWG*CE71+Slot8_IsWG*CO71+Slot9_IsWG*CY71+Slot10_IsWG*DI71+Slot11_IsWG*DS71+Slot12_IsWG*EC71+Slot13_IsWG*EM71+Slot14_IsWG*EW71+Slot15_IsWG*FG71+Slot16_IsWG*FQ71+Slot17_IsWG*GA71+Slot18_IsWG*GK71+Slot19_IsWG*GU71+Slot20_IsWG*HE71</f>
        <v>0</v>
      </c>
      <c r="IB71" s="1" t="n">
        <f aca="false">IF(AND(WI_Retire=0,WI_M&gt;0,F71=1,IA71&gt;=1),WI_M*12*E71,0)</f>
        <v>0</v>
      </c>
      <c r="IC71" s="1" t="n">
        <f aca="false">IF(HT71=1,MIN(HZ71,HR71),0)</f>
        <v>0</v>
      </c>
      <c r="ID71" s="1" t="n">
        <f aca="false">IF(HT71=1,MIN(IB71,HR71-IC71),0)</f>
        <v>0</v>
      </c>
      <c r="IE71" s="1" t="n">
        <f aca="false">IF(V71=1,IF(ABS((1+AS_Wage)/(1+Slot1_Rate)-1)&lt;0.000000000001,(Slot1_Age-D71)*(1+Slot1_Rate)^(Slot1_Age-D71),(1+Slot1_Rate)^(Slot1_Age-D71)*(1-((1+AS_Wage)/(1+Slot1_Rate))^(Slot1_Age-D71))/(1-(1+AS_Wage)/(1+Slot1_Rate))),1)</f>
        <v>1</v>
      </c>
      <c r="IF71" s="1" t="n">
        <f aca="false">IF(AND(HT71=1,ID71&gt;0,Slot1_IsWG=1,V71=1),MAX(0,(Slot1_Cost-W71*(1+Slot1_Rate)^(Slot1_Age-D71))/IE71),0)</f>
        <v>0</v>
      </c>
      <c r="IG71" s="1" t="n">
        <f aca="false">IF(AND(HT71=1,ID71&gt;0,Slot1_IsWG=1,V71=1),MIN(ID71,IF71),0)</f>
        <v>0</v>
      </c>
      <c r="IH71" s="1" t="n">
        <f aca="false">W71+IG71</f>
        <v>0</v>
      </c>
      <c r="II71" s="1" t="n">
        <f aca="false">IF(V71=1,MAX(0,(Slot1_Cost-IH71*(1+Slot1_Rate)^(Slot1_Age-D71))/IE71),0)</f>
        <v>0</v>
      </c>
      <c r="IJ71" s="1" t="n">
        <f aca="false">IF(V71=1,MAX(0,(Slot1_Cost-W71*(1+Slot1_Rate)^(Slot1_Age-D71))/IE71),0)</f>
        <v>0</v>
      </c>
      <c r="IK71" s="1" t="n">
        <f aca="false">IF(AND(HT71=1,V71=1),MIN(IC71,II71),0)</f>
        <v>0</v>
      </c>
      <c r="IL71" s="1" t="n">
        <f aca="false">IC71-IK71</f>
        <v>0</v>
      </c>
      <c r="IM71" s="1" t="n">
        <f aca="false">IF(AG71=1,IF(ABS((1+AS_Wage)/(1+Slot2_Rate)-1)&lt;0.000000000001,(Slot2_Age-D71)*(1+Slot2_Rate)^(Slot2_Age-D71),(1+Slot2_Rate)^(Slot2_Age-D71)*(1-((1+AS_Wage)/(1+Slot2_Rate))^(Slot2_Age-D71))/(1-(1+AS_Wage)/(1+Slot2_Rate))),1)</f>
        <v>1</v>
      </c>
      <c r="IN71" s="1" t="n">
        <f aca="false">IF(AND(HT71=1,ID71&gt;0,Slot2_IsWG=1,AG71=1),MAX(0,(Slot2_Cost-AH71*(1+Slot2_Rate)^(Slot2_Age-D71))/IM71),0)</f>
        <v>0</v>
      </c>
      <c r="IO71" s="1" t="n">
        <f aca="false">IF(AND(HT71=1,ID71&gt;0,Slot2_IsWG=1,AG71=1),MIN(ID71,IN71),0)</f>
        <v>0</v>
      </c>
      <c r="IP71" s="1" t="n">
        <f aca="false">AH71+IO71</f>
        <v>0</v>
      </c>
      <c r="IQ71" s="1" t="n">
        <f aca="false">IF(AG71=1,MAX(0,(Slot2_Cost-IP71*(1+Slot2_Rate)^(Slot2_Age-D71))/IM71),0)</f>
        <v>0</v>
      </c>
      <c r="IR71" s="1" t="n">
        <f aca="false">IF(AG71=1,MAX(0,(Slot2_Cost-AH71*(1+Slot2_Rate)^(Slot2_Age-D71))/IM71),0)</f>
        <v>0</v>
      </c>
      <c r="IS71" s="1" t="n">
        <f aca="false">IF(AND(HT71=1,AG71=1),MIN(IL71,IQ71),0)</f>
        <v>0</v>
      </c>
      <c r="IT71" s="1" t="n">
        <f aca="false">IL71-IS71</f>
        <v>0</v>
      </c>
      <c r="IU71" s="1" t="n">
        <f aca="false">IF(AQ71=1,IF(ABS((1+AS_Wage)/(1+Slot3_Rate)-1)&lt;0.000000000001,(Slot3_Age-D71)*(1+Slot3_Rate)^(Slot3_Age-D71),(1+Slot3_Rate)^(Slot3_Age-D71)*(1-((1+AS_Wage)/(1+Slot3_Rate))^(Slot3_Age-D71))/(1-(1+AS_Wage)/(1+Slot3_Rate))),1)</f>
        <v>1</v>
      </c>
      <c r="IV71" s="1" t="n">
        <f aca="false">IF(AND(HT71=1,ID71&gt;0,Slot3_IsWG=1,AQ71=1),MAX(0,(Slot3_Cost-AR71*(1+Slot3_Rate)^(Slot3_Age-D71))/IU71),0)</f>
        <v>0</v>
      </c>
      <c r="IW71" s="1" t="n">
        <f aca="false">IF(AND(HT71=1,ID71&gt;0,Slot3_IsWG=1,AQ71=1),MIN(ID71,IV71),0)</f>
        <v>0</v>
      </c>
      <c r="IX71" s="1" t="n">
        <f aca="false">AR71+IW71</f>
        <v>0</v>
      </c>
      <c r="IY71" s="1" t="n">
        <f aca="false">IF(AQ71=1,MAX(0,(Slot3_Cost-IX71*(1+Slot3_Rate)^(Slot3_Age-D71))/IU71),0)</f>
        <v>0</v>
      </c>
      <c r="IZ71" s="1" t="n">
        <f aca="false">IF(AQ71=1,MAX(0,(Slot3_Cost-AR71*(1+Slot3_Rate)^(Slot3_Age-D71))/IU71),0)</f>
        <v>0</v>
      </c>
      <c r="JA71" s="1" t="n">
        <f aca="false">IF(AND(HT71=1,AQ71=1),MIN(IT71,IY71),0)</f>
        <v>0</v>
      </c>
      <c r="JB71" s="1" t="n">
        <f aca="false">IT71-JA71</f>
        <v>0</v>
      </c>
      <c r="JC71" s="1" t="n">
        <f aca="false">IF(BA71=1,IF(ABS((1+AS_Wage)/(1+Slot4_Rate)-1)&lt;0.000000000001,(Slot4_Age-D71)*(1+Slot4_Rate)^(Slot4_Age-D71),(1+Slot4_Rate)^(Slot4_Age-D71)*(1-((1+AS_Wage)/(1+Slot4_Rate))^(Slot4_Age-D71))/(1-(1+AS_Wage)/(1+Slot4_Rate))),1)</f>
        <v>1</v>
      </c>
      <c r="JD71" s="1" t="n">
        <f aca="false">IF(AND(HT71=1,ID71&gt;0,Slot4_IsWG=1,BA71=1),MAX(0,(Slot4_Cost-BB71*(1+Slot4_Rate)^(Slot4_Age-D71))/JC71),0)</f>
        <v>0</v>
      </c>
      <c r="JE71" s="1" t="n">
        <f aca="false">IF(AND(HT71=1,ID71&gt;0,Slot4_IsWG=1,BA71=1),MIN(ID71,JD71),0)</f>
        <v>0</v>
      </c>
      <c r="JF71" s="1" t="n">
        <f aca="false">BB71+JE71</f>
        <v>0</v>
      </c>
      <c r="JG71" s="1" t="n">
        <f aca="false">IF(BA71=1,MAX(0,(Slot4_Cost-JF71*(1+Slot4_Rate)^(Slot4_Age-D71))/JC71),0)</f>
        <v>0</v>
      </c>
      <c r="JH71" s="1" t="n">
        <f aca="false">IF(BA71=1,MAX(0,(Slot4_Cost-BB71*(1+Slot4_Rate)^(Slot4_Age-D71))/JC71),0)</f>
        <v>0</v>
      </c>
      <c r="JI71" s="1" t="n">
        <f aca="false">IF(AND(HT71=1,BA71=1),MIN(JB71,JG71),0)</f>
        <v>0</v>
      </c>
      <c r="JJ71" s="1" t="n">
        <f aca="false">JB71-JI71</f>
        <v>0</v>
      </c>
      <c r="JK71" s="1" t="n">
        <f aca="false">IF(BK71=1,IF(ABS((1+AS_Wage)/(1+Slot5_Rate)-1)&lt;0.000000000001,(Slot5_Age-D71)*(1+Slot5_Rate)^(Slot5_Age-D71),(1+Slot5_Rate)^(Slot5_Age-D71)*(1-((1+AS_Wage)/(1+Slot5_Rate))^(Slot5_Age-D71))/(1-(1+AS_Wage)/(1+Slot5_Rate))),1)</f>
        <v>1</v>
      </c>
      <c r="JL71" s="1" t="n">
        <f aca="false">IF(AND(HT71=1,ID71&gt;0,Slot5_IsWG=1,BK71=1),MAX(0,(Slot5_Cost-BL71*(1+Slot5_Rate)^(Slot5_Age-D71))/JK71),0)</f>
        <v>0</v>
      </c>
      <c r="JM71" s="1" t="n">
        <f aca="false">IF(AND(HT71=1,ID71&gt;0,Slot5_IsWG=1,BK71=1),MIN(ID71,JL71),0)</f>
        <v>0</v>
      </c>
      <c r="JN71" s="1" t="n">
        <f aca="false">BL71+JM71</f>
        <v>0</v>
      </c>
      <c r="JO71" s="1" t="n">
        <f aca="false">IF(BK71=1,MAX(0,(Slot5_Cost-JN71*(1+Slot5_Rate)^(Slot5_Age-D71))/JK71),0)</f>
        <v>0</v>
      </c>
      <c r="JP71" s="1" t="n">
        <f aca="false">IF(BK71=1,MAX(0,(Slot5_Cost-BL71*(1+Slot5_Rate)^(Slot5_Age-D71))/JK71),0)</f>
        <v>0</v>
      </c>
      <c r="JQ71" s="1" t="n">
        <f aca="false">IF(AND(HT71=1,BK71=1),MIN(JJ71,JO71),0)</f>
        <v>0</v>
      </c>
      <c r="JR71" s="1" t="n">
        <f aca="false">JJ71-JQ71</f>
        <v>0</v>
      </c>
      <c r="JS71" s="1" t="n">
        <f aca="false">IF(BU71=1,IF(ABS((1+AS_Wage)/(1+Slot6_Rate)-1)&lt;0.000000000001,(Slot6_Age-D71)*(1+Slot6_Rate)^(Slot6_Age-D71),(1+Slot6_Rate)^(Slot6_Age-D71)*(1-((1+AS_Wage)/(1+Slot6_Rate))^(Slot6_Age-D71))/(1-(1+AS_Wage)/(1+Slot6_Rate))),1)</f>
        <v>1</v>
      </c>
      <c r="JT71" s="1" t="n">
        <f aca="false">IF(AND(HT71=1,ID71&gt;0,Slot6_IsWG=1,BU71=1),MAX(0,(Slot6_Cost-BV71*(1+Slot6_Rate)^(Slot6_Age-D71))/JS71),0)</f>
        <v>0</v>
      </c>
      <c r="JU71" s="1" t="n">
        <f aca="false">IF(AND(HT71=1,ID71&gt;0,Slot6_IsWG=1,BU71=1),MIN(ID71,JT71),0)</f>
        <v>0</v>
      </c>
      <c r="JV71" s="1" t="n">
        <f aca="false">BV71+JU71</f>
        <v>0</v>
      </c>
      <c r="JW71" s="1" t="n">
        <f aca="false">IF(BU71=1,MAX(0,(Slot6_Cost-JV71*(1+Slot6_Rate)^(Slot6_Age-D71))/JS71),0)</f>
        <v>0</v>
      </c>
      <c r="JX71" s="1" t="n">
        <f aca="false">IF(BU71=1,MAX(0,(Slot6_Cost-BV71*(1+Slot6_Rate)^(Slot6_Age-D71))/JS71),0)</f>
        <v>0</v>
      </c>
      <c r="JY71" s="1" t="n">
        <f aca="false">IF(AND(HT71=1,BU71=1),MIN(JR71,JW71),0)</f>
        <v>0</v>
      </c>
      <c r="JZ71" s="1" t="n">
        <f aca="false">JR71-JY71</f>
        <v>0</v>
      </c>
      <c r="KA71" s="1" t="n">
        <f aca="false">IF(CE71=1,IF(ABS((1+AS_Wage)/(1+Slot7_Rate)-1)&lt;0.000000000001,(Slot7_Age-D71)*(1+Slot7_Rate)^(Slot7_Age-D71),(1+Slot7_Rate)^(Slot7_Age-D71)*(1-((1+AS_Wage)/(1+Slot7_Rate))^(Slot7_Age-D71))/(1-(1+AS_Wage)/(1+Slot7_Rate))),1)</f>
        <v>1</v>
      </c>
      <c r="KB71" s="1" t="n">
        <f aca="false">IF(AND(HT71=1,ID71&gt;0,Slot7_IsWG=1,CE71=1),MAX(0,(Slot7_Cost-CF71*(1+Slot7_Rate)^(Slot7_Age-D71))/KA71),0)</f>
        <v>0</v>
      </c>
      <c r="KC71" s="1" t="n">
        <f aca="false">IF(AND(HT71=1,ID71&gt;0,Slot7_IsWG=1,CE71=1),MIN(ID71,KB71),0)</f>
        <v>0</v>
      </c>
      <c r="KD71" s="1" t="n">
        <f aca="false">CF71+KC71</f>
        <v>0</v>
      </c>
      <c r="KE71" s="1" t="n">
        <f aca="false">IF(CE71=1,MAX(0,(Slot7_Cost-KD71*(1+Slot7_Rate)^(Slot7_Age-D71))/KA71),0)</f>
        <v>0</v>
      </c>
      <c r="KF71" s="1" t="n">
        <f aca="false">IF(CE71=1,MAX(0,(Slot7_Cost-CF71*(1+Slot7_Rate)^(Slot7_Age-D71))/KA71),0)</f>
        <v>0</v>
      </c>
      <c r="KG71" s="1" t="n">
        <f aca="false">IF(AND(HT71=1,CE71=1),MIN(JZ71,KE71),0)</f>
        <v>0</v>
      </c>
      <c r="KH71" s="1" t="n">
        <f aca="false">JZ71-KG71</f>
        <v>0</v>
      </c>
      <c r="KI71" s="1" t="n">
        <f aca="false">IF(CO71=1,IF(ABS((1+AS_Wage)/(1+Slot8_Rate)-1)&lt;0.000000000001,(Slot8_Age-D71)*(1+Slot8_Rate)^(Slot8_Age-D71),(1+Slot8_Rate)^(Slot8_Age-D71)*(1-((1+AS_Wage)/(1+Slot8_Rate))^(Slot8_Age-D71))/(1-(1+AS_Wage)/(1+Slot8_Rate))),1)</f>
        <v>1</v>
      </c>
      <c r="KJ71" s="1" t="n">
        <f aca="false">IF(AND(HT71=1,ID71&gt;0,Slot8_IsWG=1,CO71=1),MAX(0,(Slot8_Cost-CP71*(1+Slot8_Rate)^(Slot8_Age-D71))/KI71),0)</f>
        <v>0</v>
      </c>
      <c r="KK71" s="1" t="n">
        <f aca="false">IF(AND(HT71=1,ID71&gt;0,Slot8_IsWG=1,CO71=1),MIN(ID71,KJ71),0)</f>
        <v>0</v>
      </c>
      <c r="KL71" s="1" t="n">
        <f aca="false">CP71+KK71</f>
        <v>0</v>
      </c>
      <c r="KM71" s="1" t="n">
        <f aca="false">IF(CO71=1,MAX(0,(Slot8_Cost-KL71*(1+Slot8_Rate)^(Slot8_Age-D71))/KI71),0)</f>
        <v>0</v>
      </c>
      <c r="KN71" s="1" t="n">
        <f aca="false">IF(CO71=1,MAX(0,(Slot8_Cost-CP71*(1+Slot8_Rate)^(Slot8_Age-D71))/KI71),0)</f>
        <v>0</v>
      </c>
      <c r="KO71" s="1" t="n">
        <f aca="false">IF(AND(HT71=1,CO71=1),MIN(KH71,KM71),0)</f>
        <v>0</v>
      </c>
      <c r="KP71" s="1" t="n">
        <f aca="false">KH71-KO71</f>
        <v>0</v>
      </c>
      <c r="KQ71" s="1" t="n">
        <f aca="false">IF(CY71=1,IF(ABS((1+AS_Wage)/(1+Slot9_Rate)-1)&lt;0.000000000001,(Slot9_Age-D71)*(1+Slot9_Rate)^(Slot9_Age-D71),(1+Slot9_Rate)^(Slot9_Age-D71)*(1-((1+AS_Wage)/(1+Slot9_Rate))^(Slot9_Age-D71))/(1-(1+AS_Wage)/(1+Slot9_Rate))),1)</f>
        <v>1</v>
      </c>
      <c r="KR71" s="1" t="n">
        <f aca="false">IF(AND(HT71=1,ID71&gt;0,Slot9_IsWG=1,CY71=1),MAX(0,(Slot9_Cost-CZ71*(1+Slot9_Rate)^(Slot9_Age-D71))/KQ71),0)</f>
        <v>0</v>
      </c>
      <c r="KS71" s="1" t="n">
        <f aca="false">IF(AND(HT71=1,ID71&gt;0,Slot9_IsWG=1,CY71=1),MIN(ID71,KR71),0)</f>
        <v>0</v>
      </c>
      <c r="KT71" s="1" t="n">
        <f aca="false">CZ71+KS71</f>
        <v>0</v>
      </c>
      <c r="KU71" s="1" t="n">
        <f aca="false">IF(CY71=1,MAX(0,(Slot9_Cost-KT71*(1+Slot9_Rate)^(Slot9_Age-D71))/KQ71),0)</f>
        <v>0</v>
      </c>
      <c r="KV71" s="1" t="n">
        <f aca="false">IF(CY71=1,MAX(0,(Slot9_Cost-CZ71*(1+Slot9_Rate)^(Slot9_Age-D71))/KQ71),0)</f>
        <v>0</v>
      </c>
      <c r="KW71" s="1" t="n">
        <f aca="false">IF(AND(HT71=1,CY71=1),MIN(KP71,KU71),0)</f>
        <v>0</v>
      </c>
      <c r="KX71" s="1" t="n">
        <f aca="false">KP71-KW71</f>
        <v>0</v>
      </c>
      <c r="KY71" s="1" t="n">
        <f aca="false">IF(DI71=1,IF(ABS((1+AS_Wage)/(1+Slot10_Rate)-1)&lt;0.000000000001,(Slot10_Age-D71)*(1+Slot10_Rate)^(Slot10_Age-D71),(1+Slot10_Rate)^(Slot10_Age-D71)*(1-((1+AS_Wage)/(1+Slot10_Rate))^(Slot10_Age-D71))/(1-(1+AS_Wage)/(1+Slot10_Rate))),1)</f>
        <v>1</v>
      </c>
      <c r="KZ71" s="1" t="n">
        <f aca="false">IF(AND(HT71=1,ID71&gt;0,Slot10_IsWG=1,DI71=1),MAX(0,(Slot10_Cost-DJ71*(1+Slot10_Rate)^(Slot10_Age-D71))/KY71),0)</f>
        <v>0</v>
      </c>
      <c r="LA71" s="1" t="n">
        <f aca="false">IF(AND(HT71=1,ID71&gt;0,Slot10_IsWG=1,DI71=1),MIN(ID71,KZ71),0)</f>
        <v>0</v>
      </c>
      <c r="LB71" s="1" t="n">
        <f aca="false">DJ71+LA71</f>
        <v>0</v>
      </c>
      <c r="LC71" s="1" t="n">
        <f aca="false">IF(DI71=1,MAX(0,(Slot10_Cost-LB71*(1+Slot10_Rate)^(Slot10_Age-D71))/KY71),0)</f>
        <v>0</v>
      </c>
      <c r="LD71" s="1" t="n">
        <f aca="false">IF(DI71=1,MAX(0,(Slot10_Cost-DJ71*(1+Slot10_Rate)^(Slot10_Age-D71))/KY71),0)</f>
        <v>0</v>
      </c>
      <c r="LE71" s="1" t="n">
        <f aca="false">IF(AND(HT71=1,DI71=1),MIN(KX71,LC71),0)</f>
        <v>0</v>
      </c>
      <c r="LF71" s="1" t="n">
        <f aca="false">KX71-LE71</f>
        <v>0</v>
      </c>
      <c r="LG71" s="1" t="n">
        <f aca="false">IF(DS71=1,IF(ABS((1+AS_Wage)/(1+Slot11_Rate)-1)&lt;0.000000000001,(Slot11_Age-D71)*(1+Slot11_Rate)^(Slot11_Age-D71),(1+Slot11_Rate)^(Slot11_Age-D71)*(1-((1+AS_Wage)/(1+Slot11_Rate))^(Slot11_Age-D71))/(1-(1+AS_Wage)/(1+Slot11_Rate))),1)</f>
        <v>1</v>
      </c>
      <c r="LH71" s="1" t="n">
        <f aca="false">IF(AND(HT71=1,ID71&gt;0,Slot11_IsWG=1,DS71=1),MAX(0,(Slot11_Cost-DT71*(1+Slot11_Rate)^(Slot11_Age-D71))/LG71),0)</f>
        <v>0</v>
      </c>
      <c r="LI71" s="1" t="n">
        <f aca="false">IF(AND(HT71=1,ID71&gt;0,Slot11_IsWG=1,DS71=1),MIN(ID71,LH71),0)</f>
        <v>0</v>
      </c>
      <c r="LJ71" s="1" t="n">
        <f aca="false">DT71+LI71</f>
        <v>0</v>
      </c>
      <c r="LK71" s="1" t="n">
        <f aca="false">IF(DS71=1,MAX(0,(Slot11_Cost-LJ71*(1+Slot11_Rate)^(Slot11_Age-D71))/LG71),0)</f>
        <v>0</v>
      </c>
      <c r="LL71" s="1" t="n">
        <f aca="false">IF(DS71=1,MAX(0,(Slot11_Cost-DT71*(1+Slot11_Rate)^(Slot11_Age-D71))/LG71),0)</f>
        <v>0</v>
      </c>
      <c r="LM71" s="1" t="n">
        <f aca="false">IF(AND(HT71=1,DS71=1),MIN(LF71,LK71),0)</f>
        <v>0</v>
      </c>
      <c r="LN71" s="1" t="n">
        <f aca="false">LF71-LM71</f>
        <v>0</v>
      </c>
      <c r="LO71" s="1" t="n">
        <f aca="false">IF(EC71=1,IF(ABS((1+AS_Wage)/(1+Slot12_Rate)-1)&lt;0.000000000001,(Slot12_Age-D71)*(1+Slot12_Rate)^(Slot12_Age-D71),(1+Slot12_Rate)^(Slot12_Age-D71)*(1-((1+AS_Wage)/(1+Slot12_Rate))^(Slot12_Age-D71))/(1-(1+AS_Wage)/(1+Slot12_Rate))),1)</f>
        <v>1</v>
      </c>
      <c r="LP71" s="1" t="n">
        <f aca="false">IF(AND(HT71=1,ID71&gt;0,Slot12_IsWG=1,EC71=1),MAX(0,(Slot12_Cost-ED71*(1+Slot12_Rate)^(Slot12_Age-D71))/LO71),0)</f>
        <v>0</v>
      </c>
      <c r="LQ71" s="1" t="n">
        <f aca="false">IF(AND(HT71=1,ID71&gt;0,Slot12_IsWG=1,EC71=1),MIN(ID71,LP71),0)</f>
        <v>0</v>
      </c>
      <c r="LR71" s="1" t="n">
        <f aca="false">ED71+LQ71</f>
        <v>0</v>
      </c>
      <c r="LS71" s="1" t="n">
        <f aca="false">IF(EC71=1,MAX(0,(Slot12_Cost-LR71*(1+Slot12_Rate)^(Slot12_Age-D71))/LO71),0)</f>
        <v>0</v>
      </c>
      <c r="LT71" s="1" t="n">
        <f aca="false">IF(EC71=1,MAX(0,(Slot12_Cost-ED71*(1+Slot12_Rate)^(Slot12_Age-D71))/LO71),0)</f>
        <v>0</v>
      </c>
      <c r="LU71" s="1" t="n">
        <f aca="false">IF(AND(HT71=1,EC71=1),MIN(LN71,LS71),0)</f>
        <v>0</v>
      </c>
      <c r="LV71" s="1" t="n">
        <f aca="false">LN71-LU71</f>
        <v>0</v>
      </c>
      <c r="LW71" s="1" t="n">
        <f aca="false">IF(EM71=1,IF(ABS((1+AS_Wage)/(1+Slot13_Rate)-1)&lt;0.000000000001,(Slot13_Age-D71)*(1+Slot13_Rate)^(Slot13_Age-D71),(1+Slot13_Rate)^(Slot13_Age-D71)*(1-((1+AS_Wage)/(1+Slot13_Rate))^(Slot13_Age-D71))/(1-(1+AS_Wage)/(1+Slot13_Rate))),1)</f>
        <v>1</v>
      </c>
      <c r="LX71" s="1" t="n">
        <f aca="false">IF(AND(HT71=1,ID71&gt;0,Slot13_IsWG=1,EM71=1),MAX(0,(Slot13_Cost-EN71*(1+Slot13_Rate)^(Slot13_Age-D71))/LW71),0)</f>
        <v>0</v>
      </c>
      <c r="LY71" s="1" t="n">
        <f aca="false">IF(AND(HT71=1,ID71&gt;0,Slot13_IsWG=1,EM71=1),MIN(ID71,LX71),0)</f>
        <v>0</v>
      </c>
      <c r="LZ71" s="1" t="n">
        <f aca="false">EN71+LY71</f>
        <v>0</v>
      </c>
      <c r="MA71" s="1" t="n">
        <f aca="false">IF(EM71=1,MAX(0,(Slot13_Cost-LZ71*(1+Slot13_Rate)^(Slot13_Age-D71))/LW71),0)</f>
        <v>0</v>
      </c>
      <c r="MB71" s="1" t="n">
        <f aca="false">IF(EM71=1,MAX(0,(Slot13_Cost-EN71*(1+Slot13_Rate)^(Slot13_Age-D71))/LW71),0)</f>
        <v>0</v>
      </c>
      <c r="MC71" s="1" t="n">
        <f aca="false">IF(AND(HT71=1,EM71=1),MIN(LV71,MA71),0)</f>
        <v>0</v>
      </c>
      <c r="MD71" s="1" t="n">
        <f aca="false">LV71-MC71</f>
        <v>0</v>
      </c>
      <c r="ME71" s="1" t="n">
        <f aca="false">IF(EW71=1,IF(ABS((1+AS_Wage)/(1+Slot14_Rate)-1)&lt;0.000000000001,(Slot14_Age-D71)*(1+Slot14_Rate)^(Slot14_Age-D71),(1+Slot14_Rate)^(Slot14_Age-D71)*(1-((1+AS_Wage)/(1+Slot14_Rate))^(Slot14_Age-D71))/(1-(1+AS_Wage)/(1+Slot14_Rate))),1)</f>
        <v>1</v>
      </c>
      <c r="MF71" s="1" t="n">
        <f aca="false">IF(AND(HT71=1,ID71&gt;0,Slot14_IsWG=1,EW71=1),MAX(0,(Slot14_Cost-EX71*(1+Slot14_Rate)^(Slot14_Age-D71))/ME71),0)</f>
        <v>0</v>
      </c>
      <c r="MG71" s="1" t="n">
        <f aca="false">IF(AND(HT71=1,ID71&gt;0,Slot14_IsWG=1,EW71=1),MIN(ID71,MF71),0)</f>
        <v>0</v>
      </c>
      <c r="MH71" s="1" t="n">
        <f aca="false">EX71+MG71</f>
        <v>0</v>
      </c>
      <c r="MI71" s="1" t="n">
        <f aca="false">IF(EW71=1,MAX(0,(Slot14_Cost-MH71*(1+Slot14_Rate)^(Slot14_Age-D71))/ME71),0)</f>
        <v>0</v>
      </c>
      <c r="MJ71" s="1" t="n">
        <f aca="false">IF(EW71=1,MAX(0,(Slot14_Cost-EX71*(1+Slot14_Rate)^(Slot14_Age-D71))/ME71),0)</f>
        <v>0</v>
      </c>
      <c r="MK71" s="1" t="n">
        <f aca="false">IF(AND(HT71=1,EW71=1),MIN(MD71,MI71),0)</f>
        <v>0</v>
      </c>
      <c r="ML71" s="1" t="n">
        <f aca="false">MD71-MK71</f>
        <v>0</v>
      </c>
      <c r="MM71" s="1" t="n">
        <f aca="false">IF(FG71=1,IF(ABS((1+AS_Wage)/(1+Slot15_Rate)-1)&lt;0.000000000001,(Slot15_Age-D71)*(1+Slot15_Rate)^(Slot15_Age-D71),(1+Slot15_Rate)^(Slot15_Age-D71)*(1-((1+AS_Wage)/(1+Slot15_Rate))^(Slot15_Age-D71))/(1-(1+AS_Wage)/(1+Slot15_Rate))),1)</f>
        <v>1</v>
      </c>
      <c r="MN71" s="1" t="n">
        <f aca="false">IF(AND(HT71=1,ID71&gt;0,Slot15_IsWG=1,FG71=1),MAX(0,(Slot15_Cost-FH71*(1+Slot15_Rate)^(Slot15_Age-D71))/MM71),0)</f>
        <v>0</v>
      </c>
      <c r="MO71" s="1" t="n">
        <f aca="false">IF(AND(HT71=1,ID71&gt;0,Slot15_IsWG=1,FG71=1),MIN(ID71,MN71),0)</f>
        <v>0</v>
      </c>
      <c r="MP71" s="1" t="n">
        <f aca="false">FH71+MO71</f>
        <v>0</v>
      </c>
      <c r="MQ71" s="1" t="n">
        <f aca="false">IF(FG71=1,MAX(0,(Slot15_Cost-MP71*(1+Slot15_Rate)^(Slot15_Age-D71))/MM71),0)</f>
        <v>0</v>
      </c>
      <c r="MR71" s="1" t="n">
        <f aca="false">IF(FG71=1,MAX(0,(Slot15_Cost-FH71*(1+Slot15_Rate)^(Slot15_Age-D71))/MM71),0)</f>
        <v>0</v>
      </c>
      <c r="MS71" s="1" t="n">
        <f aca="false">IF(AND(HT71=1,FG71=1),MIN(ML71,MQ71),0)</f>
        <v>0</v>
      </c>
      <c r="MT71" s="1" t="n">
        <f aca="false">ML71-MS71</f>
        <v>0</v>
      </c>
      <c r="MU71" s="1" t="n">
        <f aca="false">IF(FQ71=1,IF(ABS((1+AS_Wage)/(1+Slot16_Rate)-1)&lt;0.000000000001,(Slot16_Age-D71)*(1+Slot16_Rate)^(Slot16_Age-D71),(1+Slot16_Rate)^(Slot16_Age-D71)*(1-((1+AS_Wage)/(1+Slot16_Rate))^(Slot16_Age-D71))/(1-(1+AS_Wage)/(1+Slot16_Rate))),1)</f>
        <v>1</v>
      </c>
      <c r="MV71" s="1" t="n">
        <f aca="false">IF(AND(HT71=1,ID71&gt;0,Slot16_IsWG=1,FQ71=1),MAX(0,(Slot16_Cost-FR71*(1+Slot16_Rate)^(Slot16_Age-D71))/MU71),0)</f>
        <v>0</v>
      </c>
      <c r="MW71" s="1" t="n">
        <f aca="false">IF(AND(HT71=1,ID71&gt;0,Slot16_IsWG=1,FQ71=1),MIN(ID71,MV71),0)</f>
        <v>0</v>
      </c>
      <c r="MX71" s="1" t="n">
        <f aca="false">FR71+MW71</f>
        <v>0</v>
      </c>
      <c r="MY71" s="1" t="n">
        <f aca="false">IF(FQ71=1,MAX(0,(Slot16_Cost-MX71*(1+Slot16_Rate)^(Slot16_Age-D71))/MU71),0)</f>
        <v>0</v>
      </c>
      <c r="MZ71" s="1" t="n">
        <f aca="false">IF(FQ71=1,MAX(0,(Slot16_Cost-FR71*(1+Slot16_Rate)^(Slot16_Age-D71))/MU71),0)</f>
        <v>0</v>
      </c>
      <c r="NA71" s="1" t="n">
        <f aca="false">IF(AND(HT71=1,FQ71=1),MIN(MT71,MY71),0)</f>
        <v>0</v>
      </c>
      <c r="NB71" s="1" t="n">
        <f aca="false">MT71-NA71</f>
        <v>0</v>
      </c>
      <c r="NC71" s="1" t="n">
        <f aca="false">IF(GA71=1,IF(ABS((1+AS_Wage)/(1+Slot17_Rate)-1)&lt;0.000000000001,(Slot17_Age-D71)*(1+Slot17_Rate)^(Slot17_Age-D71),(1+Slot17_Rate)^(Slot17_Age-D71)*(1-((1+AS_Wage)/(1+Slot17_Rate))^(Slot17_Age-D71))/(1-(1+AS_Wage)/(1+Slot17_Rate))),1)</f>
        <v>1</v>
      </c>
      <c r="ND71" s="1" t="n">
        <f aca="false">IF(AND(HT71=1,ID71&gt;0,Slot17_IsWG=1,GA71=1),MAX(0,(Slot17_Cost-GB71*(1+Slot17_Rate)^(Slot17_Age-D71))/NC71),0)</f>
        <v>0</v>
      </c>
      <c r="NE71" s="1" t="n">
        <f aca="false">IF(AND(HT71=1,ID71&gt;0,Slot17_IsWG=1,GA71=1),MIN(ID71,ND71),0)</f>
        <v>0</v>
      </c>
      <c r="NF71" s="1" t="n">
        <f aca="false">GB71+NE71</f>
        <v>0</v>
      </c>
      <c r="NG71" s="1" t="n">
        <f aca="false">IF(GA71=1,MAX(0,(Slot17_Cost-NF71*(1+Slot17_Rate)^(Slot17_Age-D71))/NC71),0)</f>
        <v>0</v>
      </c>
      <c r="NH71" s="1" t="n">
        <f aca="false">IF(GA71=1,MAX(0,(Slot17_Cost-GB71*(1+Slot17_Rate)^(Slot17_Age-D71))/NC71),0)</f>
        <v>0</v>
      </c>
      <c r="NI71" s="1" t="n">
        <f aca="false">IF(AND(HT71=1,GA71=1),MIN(NB71,NG71),0)</f>
        <v>0</v>
      </c>
      <c r="NJ71" s="1" t="n">
        <f aca="false">NB71-NI71</f>
        <v>0</v>
      </c>
      <c r="NK71" s="1" t="n">
        <f aca="false">IF(GK71=1,IF(ABS((1+AS_Wage)/(1+Slot18_Rate)-1)&lt;0.000000000001,(Slot18_Age-D71)*(1+Slot18_Rate)^(Slot18_Age-D71),(1+Slot18_Rate)^(Slot18_Age-D71)*(1-((1+AS_Wage)/(1+Slot18_Rate))^(Slot18_Age-D71))/(1-(1+AS_Wage)/(1+Slot18_Rate))),1)</f>
        <v>1</v>
      </c>
      <c r="NL71" s="1" t="n">
        <f aca="false">IF(AND(HT71=1,ID71&gt;0,Slot18_IsWG=1,GK71=1),MAX(0,(Slot18_Cost-GL71*(1+Slot18_Rate)^(Slot18_Age-D71))/NK71),0)</f>
        <v>0</v>
      </c>
      <c r="NM71" s="1" t="n">
        <f aca="false">IF(AND(HT71=1,ID71&gt;0,Slot18_IsWG=1,GK71=1),MIN(ID71,NL71),0)</f>
        <v>0</v>
      </c>
      <c r="NN71" s="1" t="n">
        <f aca="false">GL71+NM71</f>
        <v>0</v>
      </c>
      <c r="NO71" s="1" t="n">
        <f aca="false">IF(GK71=1,MAX(0,(Slot18_Cost-NN71*(1+Slot18_Rate)^(Slot18_Age-D71))/NK71),0)</f>
        <v>0</v>
      </c>
      <c r="NP71" s="1" t="n">
        <f aca="false">IF(GK71=1,MAX(0,(Slot18_Cost-GL71*(1+Slot18_Rate)^(Slot18_Age-D71))/NK71),0)</f>
        <v>0</v>
      </c>
      <c r="NQ71" s="1" t="n">
        <f aca="false">IF(AND(HT71=1,GK71=1),MIN(NJ71,NO71),0)</f>
        <v>0</v>
      </c>
      <c r="NR71" s="1" t="n">
        <f aca="false">NJ71-NQ71</f>
        <v>0</v>
      </c>
      <c r="NS71" s="1" t="n">
        <f aca="false">IF(GU71=1,IF(ABS((1+AS_Wage)/(1+Slot19_Rate)-1)&lt;0.000000000001,(Slot19_Age-D71)*(1+Slot19_Rate)^(Slot19_Age-D71),(1+Slot19_Rate)^(Slot19_Age-D71)*(1-((1+AS_Wage)/(1+Slot19_Rate))^(Slot19_Age-D71))/(1-(1+AS_Wage)/(1+Slot19_Rate))),1)</f>
        <v>1</v>
      </c>
      <c r="NT71" s="1" t="n">
        <f aca="false">IF(AND(HT71=1,ID71&gt;0,Slot19_IsWG=1,GU71=1),MAX(0,(Slot19_Cost-GV71*(1+Slot19_Rate)^(Slot19_Age-D71))/NS71),0)</f>
        <v>0</v>
      </c>
      <c r="NU71" s="1" t="n">
        <f aca="false">IF(AND(HT71=1,ID71&gt;0,Slot19_IsWG=1,GU71=1),MIN(ID71,NT71),0)</f>
        <v>0</v>
      </c>
      <c r="NV71" s="1" t="n">
        <f aca="false">GV71+NU71</f>
        <v>0</v>
      </c>
      <c r="NW71" s="1" t="n">
        <f aca="false">IF(GU71=1,MAX(0,(Slot19_Cost-NV71*(1+Slot19_Rate)^(Slot19_Age-D71))/NS71),0)</f>
        <v>0</v>
      </c>
      <c r="NX71" s="1" t="n">
        <f aca="false">IF(GU71=1,MAX(0,(Slot19_Cost-GV71*(1+Slot19_Rate)^(Slot19_Age-D71))/NS71),0)</f>
        <v>0</v>
      </c>
      <c r="NY71" s="1" t="n">
        <f aca="false">IF(AND(HT71=1,GU71=1),MIN(NR71,NW71),0)</f>
        <v>0</v>
      </c>
      <c r="NZ71" s="1" t="n">
        <f aca="false">NR71-NY71</f>
        <v>0</v>
      </c>
      <c r="OA71" s="1" t="n">
        <f aca="false">IF(HE71=1,IF(ABS((1+AS_Wage)/(1+Slot20_Rate)-1)&lt;0.000000000001,(Slot20_Age-D71)*(1+Slot20_Rate)^(Slot20_Age-D71),(1+Slot20_Rate)^(Slot20_Age-D71)*(1-((1+AS_Wage)/(1+Slot20_Rate))^(Slot20_Age-D71))/(1-(1+AS_Wage)/(1+Slot20_Rate))),1)</f>
        <v>1</v>
      </c>
      <c r="OB71" s="1" t="n">
        <f aca="false">IF(AND(HT71=1,ID71&gt;0,Slot20_IsWG=1,HE71=1),MAX(0,(Slot20_Cost-HF71*(1+Slot20_Rate)^(Slot20_Age-D71))/OA71),0)</f>
        <v>0</v>
      </c>
      <c r="OC71" s="1" t="n">
        <f aca="false">IF(AND(HT71=1,ID71&gt;0,Slot20_IsWG=1,HE71=1),MIN(ID71,OB71),0)</f>
        <v>0</v>
      </c>
      <c r="OD71" s="1" t="n">
        <f aca="false">HF71+OC71</f>
        <v>0</v>
      </c>
      <c r="OE71" s="1" t="n">
        <f aca="false">IF(HE71=1,MAX(0,(Slot20_Cost-OD71*(1+Slot20_Rate)^(Slot20_Age-D71))/OA71),0)</f>
        <v>0</v>
      </c>
      <c r="OF71" s="1" t="n">
        <f aca="false">IF(HE71=1,MAX(0,(Slot20_Cost-HF71*(1+Slot20_Rate)^(Slot20_Age-D71))/OA71),0)</f>
        <v>0</v>
      </c>
      <c r="OG71" s="1" t="n">
        <f aca="false">IF(AND(HT71=1,HE71=1),MIN(NZ71,OE71),0)</f>
        <v>0</v>
      </c>
      <c r="OH71" s="1" t="n">
        <f aca="false">NZ71-OG71</f>
        <v>0</v>
      </c>
      <c r="OI71" s="1" t="n">
        <f aca="false">ID71-(IG71+IO71+IW71+JE71+JM71+JU71+KC71+KK71+KS71+LA71+LI71+LQ71+LY71+MG71+MO71+MW71+NE71+NM71+NU71+OC71)</f>
        <v>0</v>
      </c>
      <c r="OJ71" s="1" t="n">
        <f aca="false">IF(HT71=1,HR71-IC71-ID71,0)</f>
        <v>0</v>
      </c>
      <c r="OK71" s="1" t="n">
        <f aca="false">IF(HT71=0,-HR71,0)</f>
        <v>0</v>
      </c>
      <c r="OL71" s="1" t="n">
        <f aca="false">MIN(OK71,HJ71)</f>
        <v>0</v>
      </c>
      <c r="OM71" s="1" t="n">
        <f aca="false">OK71-OL71</f>
        <v>0</v>
      </c>
      <c r="ON71" s="1" t="n">
        <f aca="false">MIN(OM71,HK71)</f>
        <v>0</v>
      </c>
      <c r="OO71" s="1" t="n">
        <f aca="false">OM71-ON71</f>
        <v>0</v>
      </c>
      <c r="OP71" s="1" t="n">
        <f aca="false">IF(AND(HT71=0,HE71=1,OO71&gt;0),MIN(OO71,HF71),0)</f>
        <v>0</v>
      </c>
      <c r="OQ71" s="1" t="n">
        <f aca="false">OO71-OP71</f>
        <v>0</v>
      </c>
      <c r="OR71" s="1" t="n">
        <f aca="false">IF(AND(HT71=0,GU71=1,OQ71&gt;0),MIN(OQ71,GV71),0)</f>
        <v>0</v>
      </c>
      <c r="OS71" s="1" t="n">
        <f aca="false">OQ71-OR71</f>
        <v>0</v>
      </c>
      <c r="OT71" s="1" t="n">
        <f aca="false">IF(AND(HT71=0,GK71=1,OS71&gt;0),MIN(OS71,GL71),0)</f>
        <v>0</v>
      </c>
      <c r="OU71" s="1" t="n">
        <f aca="false">OS71-OT71</f>
        <v>0</v>
      </c>
      <c r="OV71" s="1" t="n">
        <f aca="false">IF(AND(HT71=0,GA71=1,OU71&gt;0),MIN(OU71,GB71),0)</f>
        <v>0</v>
      </c>
      <c r="OW71" s="1" t="n">
        <f aca="false">OU71-OV71</f>
        <v>0</v>
      </c>
      <c r="OX71" s="1" t="n">
        <f aca="false">IF(AND(HT71=0,FQ71=1,OW71&gt;0),MIN(OW71,FR71),0)</f>
        <v>0</v>
      </c>
      <c r="OY71" s="1" t="n">
        <f aca="false">OW71-OX71</f>
        <v>0</v>
      </c>
      <c r="OZ71" s="1" t="n">
        <f aca="false">IF(AND(HT71=0,FG71=1,OY71&gt;0),MIN(OY71,FH71),0)</f>
        <v>0</v>
      </c>
      <c r="PA71" s="1" t="n">
        <f aca="false">OY71-OZ71</f>
        <v>0</v>
      </c>
      <c r="PB71" s="1" t="n">
        <f aca="false">IF(AND(HT71=0,EW71=1,PA71&gt;0),MIN(PA71,EX71),0)</f>
        <v>0</v>
      </c>
      <c r="PC71" s="1" t="n">
        <f aca="false">PA71-PB71</f>
        <v>0</v>
      </c>
      <c r="PD71" s="1" t="n">
        <f aca="false">IF(AND(HT71=0,EM71=1,PC71&gt;0),MIN(PC71,EN71),0)</f>
        <v>0</v>
      </c>
      <c r="PE71" s="1" t="n">
        <f aca="false">PC71-PD71</f>
        <v>0</v>
      </c>
      <c r="PF71" s="1" t="n">
        <f aca="false">IF(AND(HT71=0,EC71=1,PE71&gt;0),MIN(PE71,ED71),0)</f>
        <v>0</v>
      </c>
      <c r="PG71" s="1" t="n">
        <f aca="false">PE71-PF71</f>
        <v>0</v>
      </c>
      <c r="PH71" s="1" t="n">
        <f aca="false">IF(AND(HT71=0,DS71=1,PG71&gt;0),MIN(PG71,DT71),0)</f>
        <v>0</v>
      </c>
      <c r="PI71" s="1" t="n">
        <f aca="false">PG71-PH71</f>
        <v>0</v>
      </c>
      <c r="PJ71" s="1" t="n">
        <f aca="false">IF(AND(HT71=0,DI71=1,PI71&gt;0),MIN(PI71,DJ71),0)</f>
        <v>0</v>
      </c>
      <c r="PK71" s="1" t="n">
        <f aca="false">PI71-PJ71</f>
        <v>0</v>
      </c>
      <c r="PL71" s="1" t="n">
        <f aca="false">IF(AND(HT71=0,CY71=1,PK71&gt;0),MIN(PK71,CZ71),0)</f>
        <v>0</v>
      </c>
      <c r="PM71" s="1" t="n">
        <f aca="false">PK71-PL71</f>
        <v>0</v>
      </c>
      <c r="PN71" s="1" t="n">
        <f aca="false">IF(AND(HT71=0,CO71=1,PM71&gt;0),MIN(PM71,CP71),0)</f>
        <v>0</v>
      </c>
      <c r="PO71" s="1" t="n">
        <f aca="false">PM71-PN71</f>
        <v>0</v>
      </c>
      <c r="PP71" s="1" t="n">
        <f aca="false">IF(AND(HT71=0,CE71=1,PO71&gt;0),MIN(PO71,CF71),0)</f>
        <v>0</v>
      </c>
      <c r="PQ71" s="1" t="n">
        <f aca="false">PO71-PP71</f>
        <v>0</v>
      </c>
      <c r="PR71" s="1" t="n">
        <f aca="false">IF(AND(HT71=0,BU71=1,PQ71&gt;0),MIN(PQ71,BV71),0)</f>
        <v>0</v>
      </c>
      <c r="PS71" s="1" t="n">
        <f aca="false">PQ71-PR71</f>
        <v>0</v>
      </c>
      <c r="PT71" s="1" t="n">
        <f aca="false">IF(AND(HT71=0,BK71=1,PS71&gt;0),MIN(PS71,BL71),0)</f>
        <v>0</v>
      </c>
      <c r="PU71" s="1" t="n">
        <f aca="false">PS71-PT71</f>
        <v>0</v>
      </c>
      <c r="PV71" s="1" t="n">
        <f aca="false">IF(AND(HT71=0,BA71=1,PU71&gt;0),MIN(PU71,BB71),0)</f>
        <v>0</v>
      </c>
      <c r="PW71" s="1" t="n">
        <f aca="false">PU71-PV71</f>
        <v>0</v>
      </c>
      <c r="PX71" s="1" t="n">
        <f aca="false">IF(AND(HT71=0,AQ71=1,PW71&gt;0),MIN(PW71,AR71),0)</f>
        <v>0</v>
      </c>
      <c r="PY71" s="1" t="n">
        <f aca="false">PW71-PX71</f>
        <v>0</v>
      </c>
      <c r="PZ71" s="1" t="n">
        <f aca="false">IF(AND(HT71=0,AG71=1,PY71&gt;0),MIN(PY71,AH71),0)</f>
        <v>0</v>
      </c>
      <c r="QA71" s="1" t="n">
        <f aca="false">PY71-PZ71</f>
        <v>0</v>
      </c>
      <c r="QB71" s="1" t="n">
        <f aca="false">IF(AND(HT71=0,V71=1,QA71&gt;0),MIN(QA71,W71),0)</f>
        <v>0</v>
      </c>
      <c r="QC71" s="1" t="n">
        <f aca="false">QA71-QB71</f>
        <v>0</v>
      </c>
      <c r="QD71" s="1" t="n">
        <f aca="false">IF(HT71=0,QC71,0)</f>
        <v>0</v>
      </c>
      <c r="QE71" s="1" t="n">
        <f aca="false">OL71+ON71+QB71+PZ71+PX71+PV71+PT71+PR71+PP71+PN71+PL71+PJ71+PH71+PF71+PD71+PB71+OZ71+OX71+OV71+OT71+OR71+OP71</f>
        <v>0</v>
      </c>
      <c r="QF71" s="1" t="n">
        <f aca="false">IF(HT71=1,HJ71+OI71+OH71+IF(F71=1,0,OJ71),HJ71-OL71)</f>
        <v>0</v>
      </c>
      <c r="QG71" s="1" t="n">
        <f aca="false">HK71-ON71</f>
        <v>0</v>
      </c>
      <c r="QH71" s="1" t="n">
        <f aca="false">IF(HT71=1,IF(F71=1,IC71+ID71,HR71),0)</f>
        <v>0</v>
      </c>
      <c r="QI71" s="1" t="n">
        <f aca="false">IF(HT71=1,IF(F71=1,HR71-IC71-ID71,0),0)</f>
        <v>0</v>
      </c>
      <c r="QJ71" s="1" t="n">
        <f aca="false">QF71*(1+GR)</f>
        <v>0</v>
      </c>
      <c r="QK71" s="1" t="n">
        <f aca="false">QG71*(1+AS_Cash)</f>
        <v>0</v>
      </c>
      <c r="QL71" s="1" t="n">
        <f aca="false">IF(V71=1,IF(HT71=1,IH71+IK71,W71-QB71)*(1+Slot1_Rate),0)</f>
        <v>0</v>
      </c>
      <c r="QM71" s="1" t="n">
        <f aca="false">IF(AND(HT71=1,V71=1),(IG71+IK71)/E71,0)</f>
        <v>0</v>
      </c>
      <c r="QN71" s="1" t="n">
        <f aca="false">IF(B71=0,IG71+IK71,0)</f>
        <v>0</v>
      </c>
      <c r="QO71" s="1" t="n">
        <f aca="false">IF(B71=0,IF(HT71=1,II71,IJ71),0)</f>
        <v>0</v>
      </c>
      <c r="QP71" s="1" t="n">
        <f aca="false">IF(AG71=1,IF(HT71=1,IP71+IS71,AH71-PZ71)*(1+Slot2_Rate),0)</f>
        <v>0</v>
      </c>
      <c r="QQ71" s="1" t="n">
        <f aca="false">IF(AND(HT71=1,AG71=1),(IO71+IS71)/E71,0)</f>
        <v>0</v>
      </c>
      <c r="QR71" s="1" t="n">
        <f aca="false">IF(B71=0,IO71+IS71,0)</f>
        <v>0</v>
      </c>
      <c r="QS71" s="1" t="n">
        <f aca="false">IF(B71=0,IF(HT71=1,IQ71,IR71),0)</f>
        <v>0</v>
      </c>
      <c r="QT71" s="1" t="n">
        <f aca="false">IF(AQ71=1,IF(HT71=1,IX71+JA71,AR71-PX71)*(1+Slot3_Rate),0)</f>
        <v>0</v>
      </c>
      <c r="QU71" s="1" t="n">
        <f aca="false">IF(AND(HT71=1,AQ71=1),(IW71+JA71)/E71,0)</f>
        <v>0</v>
      </c>
      <c r="QV71" s="1" t="n">
        <f aca="false">IF(B71=0,IW71+JA71,0)</f>
        <v>0</v>
      </c>
      <c r="QW71" s="1" t="n">
        <f aca="false">IF(B71=0,IF(HT71=1,IY71,IZ71),0)</f>
        <v>0</v>
      </c>
      <c r="QX71" s="1" t="n">
        <f aca="false">IF(BA71=1,IF(HT71=1,JF71+JI71,BB71-PV71)*(1+Slot4_Rate),0)</f>
        <v>0</v>
      </c>
      <c r="QY71" s="1" t="n">
        <f aca="false">IF(AND(HT71=1,BA71=1),(JE71+JI71)/E71,0)</f>
        <v>0</v>
      </c>
      <c r="QZ71" s="1" t="n">
        <f aca="false">IF(B71=0,JE71+JI71,0)</f>
        <v>0</v>
      </c>
      <c r="RA71" s="1" t="n">
        <f aca="false">IF(B71=0,IF(HT71=1,JG71,JH71),0)</f>
        <v>0</v>
      </c>
      <c r="RB71" s="1" t="n">
        <f aca="false">IF(BK71=1,IF(HT71=1,JN71+JQ71,BL71-PT71)*(1+Slot5_Rate),0)</f>
        <v>0</v>
      </c>
      <c r="RC71" s="1" t="n">
        <f aca="false">IF(AND(HT71=1,BK71=1),(JM71+JQ71)/E71,0)</f>
        <v>0</v>
      </c>
      <c r="RD71" s="1" t="n">
        <f aca="false">IF(B71=0,JM71+JQ71,0)</f>
        <v>0</v>
      </c>
      <c r="RE71" s="1" t="n">
        <f aca="false">IF(B71=0,IF(HT71=1,JO71,JP71),0)</f>
        <v>0</v>
      </c>
      <c r="RF71" s="1" t="n">
        <f aca="false">IF(BU71=1,IF(HT71=1,JV71+JY71,BV71-PR71)*(1+Slot6_Rate),0)</f>
        <v>0</v>
      </c>
      <c r="RG71" s="1" t="n">
        <f aca="false">IF(AND(HT71=1,BU71=1),(JU71+JY71)/E71,0)</f>
        <v>0</v>
      </c>
      <c r="RH71" s="1" t="n">
        <f aca="false">IF(B71=0,JU71+JY71,0)</f>
        <v>0</v>
      </c>
      <c r="RI71" s="1" t="n">
        <f aca="false">IF(B71=0,IF(HT71=1,JW71,JX71),0)</f>
        <v>0</v>
      </c>
      <c r="RJ71" s="1" t="n">
        <f aca="false">IF(CE71=1,IF(HT71=1,KD71+KG71,CF71-PP71)*(1+Slot7_Rate),0)</f>
        <v>0</v>
      </c>
      <c r="RK71" s="1" t="n">
        <f aca="false">IF(AND(HT71=1,CE71=1),(KC71+KG71)/E71,0)</f>
        <v>0</v>
      </c>
      <c r="RL71" s="1" t="n">
        <f aca="false">IF(B71=0,KC71+KG71,0)</f>
        <v>0</v>
      </c>
      <c r="RM71" s="1" t="n">
        <f aca="false">IF(B71=0,IF(HT71=1,KE71,KF71),0)</f>
        <v>0</v>
      </c>
      <c r="RN71" s="1" t="n">
        <f aca="false">IF(CO71=1,IF(HT71=1,KL71+KO71,CP71-PN71)*(1+Slot8_Rate),0)</f>
        <v>0</v>
      </c>
      <c r="RO71" s="1" t="n">
        <f aca="false">IF(AND(HT71=1,CO71=1),(KK71+KO71)/E71,0)</f>
        <v>0</v>
      </c>
      <c r="RP71" s="1" t="n">
        <f aca="false">IF(B71=0,KK71+KO71,0)</f>
        <v>0</v>
      </c>
      <c r="RQ71" s="1" t="n">
        <f aca="false">IF(B71=0,IF(HT71=1,KM71,KN71),0)</f>
        <v>0</v>
      </c>
      <c r="RR71" s="1" t="n">
        <f aca="false">IF(CY71=1,IF(HT71=1,KT71+KW71,CZ71-PL71)*(1+Slot9_Rate),0)</f>
        <v>0</v>
      </c>
      <c r="RS71" s="1" t="n">
        <f aca="false">IF(AND(HT71=1,CY71=1),(KS71+KW71)/E71,0)</f>
        <v>0</v>
      </c>
      <c r="RT71" s="1" t="n">
        <f aca="false">IF(B71=0,KS71+KW71,0)</f>
        <v>0</v>
      </c>
      <c r="RU71" s="1" t="n">
        <f aca="false">IF(B71=0,IF(HT71=1,KU71,KV71),0)</f>
        <v>0</v>
      </c>
      <c r="RV71" s="1" t="n">
        <f aca="false">IF(DI71=1,IF(HT71=1,LB71+LE71,DJ71-PJ71)*(1+Slot10_Rate),0)</f>
        <v>0</v>
      </c>
      <c r="RW71" s="1" t="n">
        <f aca="false">IF(AND(HT71=1,DI71=1),(LA71+LE71)/E71,0)</f>
        <v>0</v>
      </c>
      <c r="RX71" s="1" t="n">
        <f aca="false">IF(B71=0,LA71+LE71,0)</f>
        <v>0</v>
      </c>
      <c r="RY71" s="1" t="n">
        <f aca="false">IF(B71=0,IF(HT71=1,LC71,LD71),0)</f>
        <v>0</v>
      </c>
      <c r="RZ71" s="1" t="n">
        <f aca="false">IF(DS71=1,IF(HT71=1,LJ71+LM71,DT71-PH71)*(1+Slot11_Rate),0)</f>
        <v>0</v>
      </c>
      <c r="SA71" s="1" t="n">
        <f aca="false">IF(AND(HT71=1,DS71=1),(LI71+LM71)/E71,0)</f>
        <v>0</v>
      </c>
      <c r="SB71" s="1" t="n">
        <f aca="false">IF(B71=0,LI71+LM71,0)</f>
        <v>0</v>
      </c>
      <c r="SC71" s="1" t="n">
        <f aca="false">IF(B71=0,IF(HT71=1,LK71,LL71),0)</f>
        <v>0</v>
      </c>
      <c r="SD71" s="1" t="n">
        <f aca="false">IF(EC71=1,IF(HT71=1,LR71+LU71,ED71-PF71)*(1+Slot12_Rate),0)</f>
        <v>0</v>
      </c>
      <c r="SE71" s="1" t="n">
        <f aca="false">IF(AND(HT71=1,EC71=1),(LQ71+LU71)/E71,0)</f>
        <v>0</v>
      </c>
      <c r="SF71" s="1" t="n">
        <f aca="false">IF(B71=0,LQ71+LU71,0)</f>
        <v>0</v>
      </c>
      <c r="SG71" s="1" t="n">
        <f aca="false">IF(B71=0,IF(HT71=1,LS71,LT71),0)</f>
        <v>0</v>
      </c>
      <c r="SH71" s="1" t="n">
        <f aca="false">IF(EM71=1,IF(HT71=1,LZ71+MC71,EN71-PD71)*(1+Slot13_Rate),0)</f>
        <v>0</v>
      </c>
      <c r="SI71" s="1" t="n">
        <f aca="false">IF(AND(HT71=1,EM71=1),(LY71+MC71)/E71,0)</f>
        <v>0</v>
      </c>
      <c r="SJ71" s="1" t="n">
        <f aca="false">IF(B71=0,LY71+MC71,0)</f>
        <v>0</v>
      </c>
      <c r="SK71" s="1" t="n">
        <f aca="false">IF(B71=0,IF(HT71=1,MA71,MB71),0)</f>
        <v>0</v>
      </c>
      <c r="SL71" s="1" t="n">
        <f aca="false">IF(EW71=1,IF(HT71=1,MH71+MK71,EX71-PB71)*(1+Slot14_Rate),0)</f>
        <v>0</v>
      </c>
      <c r="SM71" s="1" t="n">
        <f aca="false">IF(AND(HT71=1,EW71=1),(MG71+MK71)/E71,0)</f>
        <v>0</v>
      </c>
      <c r="SN71" s="1" t="n">
        <f aca="false">IF(B71=0,MG71+MK71,0)</f>
        <v>0</v>
      </c>
      <c r="SO71" s="1" t="n">
        <f aca="false">IF(B71=0,IF(HT71=1,MI71,MJ71),0)</f>
        <v>0</v>
      </c>
      <c r="SP71" s="1" t="n">
        <f aca="false">IF(FG71=1,IF(HT71=1,MP71+MS71,FH71-OZ71)*(1+Slot15_Rate),0)</f>
        <v>0</v>
      </c>
      <c r="SQ71" s="1" t="n">
        <f aca="false">IF(AND(HT71=1,FG71=1),(MO71+MS71)/E71,0)</f>
        <v>0</v>
      </c>
      <c r="SR71" s="1" t="n">
        <f aca="false">IF(B71=0,MO71+MS71,0)</f>
        <v>0</v>
      </c>
      <c r="SS71" s="1" t="n">
        <f aca="false">IF(B71=0,IF(HT71=1,MQ71,MR71),0)</f>
        <v>0</v>
      </c>
      <c r="ST71" s="1" t="n">
        <f aca="false">IF(FQ71=1,IF(HT71=1,MX71+NA71,FR71-OX71)*(1+Slot16_Rate),0)</f>
        <v>0</v>
      </c>
      <c r="SU71" s="1" t="n">
        <f aca="false">IF(AND(HT71=1,FQ71=1),(MW71+NA71)/E71,0)</f>
        <v>0</v>
      </c>
      <c r="SV71" s="1" t="n">
        <f aca="false">IF(B71=0,MW71+NA71,0)</f>
        <v>0</v>
      </c>
      <c r="SW71" s="1" t="n">
        <f aca="false">IF(B71=0,IF(HT71=1,MY71,MZ71),0)</f>
        <v>0</v>
      </c>
      <c r="SX71" s="1" t="n">
        <f aca="false">IF(GA71=1,IF(HT71=1,NF71+NI71,GB71-OV71)*(1+Slot17_Rate),0)</f>
        <v>0</v>
      </c>
      <c r="SY71" s="1" t="n">
        <f aca="false">IF(AND(HT71=1,GA71=1),(NE71+NI71)/E71,0)</f>
        <v>0</v>
      </c>
      <c r="SZ71" s="1" t="n">
        <f aca="false">IF(B71=0,NE71+NI71,0)</f>
        <v>0</v>
      </c>
      <c r="TA71" s="1" t="n">
        <f aca="false">IF(B71=0,IF(HT71=1,NG71,NH71),0)</f>
        <v>0</v>
      </c>
      <c r="TB71" s="1" t="n">
        <f aca="false">IF(GK71=1,IF(HT71=1,NN71+NQ71,GL71-OT71)*(1+Slot18_Rate),0)</f>
        <v>0</v>
      </c>
      <c r="TC71" s="1" t="n">
        <f aca="false">IF(AND(HT71=1,GK71=1),(NM71+NQ71)/E71,0)</f>
        <v>0</v>
      </c>
      <c r="TD71" s="1" t="n">
        <f aca="false">IF(B71=0,NM71+NQ71,0)</f>
        <v>0</v>
      </c>
      <c r="TE71" s="1" t="n">
        <f aca="false">IF(B71=0,IF(HT71=1,NO71,NP71),0)</f>
        <v>0</v>
      </c>
      <c r="TF71" s="1" t="n">
        <f aca="false">IF(GU71=1,IF(HT71=1,NV71+NY71,GV71-OR71)*(1+Slot19_Rate),0)</f>
        <v>0</v>
      </c>
      <c r="TG71" s="1" t="n">
        <f aca="false">IF(AND(HT71=1,GU71=1),(NU71+NY71)/E71,0)</f>
        <v>0</v>
      </c>
      <c r="TH71" s="1" t="n">
        <f aca="false">IF(B71=0,NU71+NY71,0)</f>
        <v>0</v>
      </c>
      <c r="TI71" s="1" t="n">
        <f aca="false">IF(B71=0,IF(HT71=1,NW71,NX71),0)</f>
        <v>0</v>
      </c>
      <c r="TJ71" s="1" t="n">
        <f aca="false">IF(HE71=1,IF(HT71=1,OD71+OG71,HF71-OP71)*(1+Slot20_Rate),0)</f>
        <v>0</v>
      </c>
      <c r="TK71" s="1" t="n">
        <f aca="false">IF(AND(HT71=1,HE71=1),(OC71+OG71)/E71,0)</f>
        <v>0</v>
      </c>
      <c r="TL71" s="1" t="n">
        <f aca="false">IF(B71=0,OC71+OG71,0)</f>
        <v>0</v>
      </c>
      <c r="TM71" s="1" t="n">
        <f aca="false">IF(B71=0,IF(HT71=1,OE71,OF71),0)</f>
        <v>0</v>
      </c>
      <c r="TN71" s="1" t="n">
        <f aca="false">QJ71+QK71+QL71+QP71+QT71+QX71+RB71+RF71+RJ71+RN71+RR71+RV71+RZ71+SD71+SH71+SL71+SP71+ST71+SX71+TB71+TF71+TJ71</f>
        <v>0</v>
      </c>
      <c r="TO71" s="1" t="n">
        <f aca="false">QD71+HO71</f>
        <v>0</v>
      </c>
      <c r="TP71" s="1" t="n">
        <f aca="false">H71+R71</f>
        <v>0</v>
      </c>
      <c r="TQ71" s="1" t="n">
        <f aca="false">1-F71</f>
        <v>0</v>
      </c>
      <c r="TR71" s="1" t="n">
        <f aca="false">IF(AND(RG_Exists=1,F71=0,C71=1),H71,0)</f>
        <v>0</v>
      </c>
      <c r="TS71" s="1" t="n">
        <f aca="false">IF(AND(RG_Exists=1,F71=0,C71=1),H71-MIN(QD71,H71),0)</f>
        <v>0</v>
      </c>
      <c r="TT71" s="1" t="n">
        <f aca="false">'Plan pay &amp; tax'!AD297</f>
        <v>0</v>
      </c>
      <c r="TU71" s="1" t="n">
        <f aca="false">IF(AND(C71=1,QD71&gt;MAX(PR_Short1,TP71*PR_Short2)),1,0)</f>
        <v>0</v>
      </c>
      <c r="TV71" s="1" t="n">
        <f aca="false">MIN(G71,H71+R71)</f>
        <v>0</v>
      </c>
      <c r="TW71" s="1" t="n">
        <f aca="false">QE71+MAX(0,HP71-HO71)</f>
        <v>0</v>
      </c>
      <c r="TX71" s="1" t="n">
        <f aca="false">QD71+HO71</f>
        <v>0</v>
      </c>
      <c r="TY71" s="1" t="n">
        <f aca="false">IF(AND(C71=1,TX71&gt;PR_MinShort),1,0)</f>
        <v>0</v>
      </c>
      <c r="TZ71" s="1" t="n">
        <f aca="false">IF(AND(C71=1,TY71=0,TW71&gt;PR_MinShort),1,0)</f>
        <v>0</v>
      </c>
      <c r="UA71" s="1" t="n">
        <f aca="false">IF(AND(C71=1,QD71&gt;PR_MinShort),1,0)</f>
        <v>0</v>
      </c>
      <c r="UB71" s="1" t="n">
        <f aca="false">IF(AND(C71=1,QE71&gt;1,UI71=0),1,0)</f>
        <v>0</v>
      </c>
      <c r="UC71" s="1" t="str">
        <f aca="false">IF(C71=0,"",IF(UI71=1,"Gap to plan for: short "&amp;"€"&amp;TEXT(ROUND(TO71,0),"#,##0"),IF(QE71&gt;1,"Using savings","Comfortable")))</f>
        <v>Comfortable</v>
      </c>
      <c r="UD71" s="1" t="n">
        <f aca="false">IF(AND(INT(D71/10)*10=90,B71&gt;0),80,INT(D71/10)*10)</f>
        <v>60</v>
      </c>
      <c r="UE71" s="1" t="n">
        <f aca="false">IF(B71=0,1,IF(UD71&lt;&gt;UD70,UE70+1,UE70))</f>
        <v>7</v>
      </c>
      <c r="UF71" s="1" t="n">
        <f aca="false">IF(AND(C71=1,F71=1,QD71&gt;MAX(PR_Short1,TP71*PR_Short2)),1,0)</f>
        <v>0</v>
      </c>
      <c r="UG71" s="1" t="n">
        <f aca="false">TQ71*TU71</f>
        <v>0</v>
      </c>
      <c r="UH71" s="1" t="n">
        <f aca="false">IF(AND(U71=1,Slot1_PctLow=1),1,0)+IF(AND(AF71=1,Slot2_PctLow=1),1,0)+IF(AND(AP71=1,Slot3_PctLow=1),1,0)+IF(AND(AZ71=1,Slot4_PctLow=1),1,0)+IF(AND(BJ71=1,Slot5_PctLow=1),1,0)+IF(AND(BT71=1,Slot6_PctLow=1),1,0)+IF(AND(CD71=1,Slot7_PctLow=1),1,0)+IF(AND(CN71=1,Slot8_PctLow=1),1,0)+IF(AND(CX71=1,Slot9_PctLow=1),1,0)+IF(AND(DH71=1,Slot10_PctLow=1),1,0)+IF(AND(DR71=1,Slot11_PctLow=1),1,0)+IF(AND(EB71=1,Slot12_PctLow=1),1,0)+IF(AND(EL71=1,Slot13_PctLow=1),1,0)+IF(AND(EV71=1,Slot14_PctLow=1),1,0)+IF(AND(FF71=1,Slot15_PctLow=1),1,0)+IF(AND(FP71=1,Slot16_PctLow=1),1,0)+IF(AND(FZ71=1,Slot17_PctLow=1),1,0)+IF(AND(GJ71=1,Slot18_PctLow=1),1,0)+IF(AND(GT71=1,Slot19_PctLow=1),1,0)+IF(AND(HD71=1,Slot20_PctLow=1),1,0)</f>
        <v>0</v>
      </c>
      <c r="UI71" s="1" t="n">
        <f aca="false">IF(C71=1,IF(OR(TU71=1,UH71&gt;0),1,0),0)</f>
        <v>0</v>
      </c>
    </row>
    <row r="72" customFormat="false" ht="15" hidden="false" customHeight="true" outlineLevel="0" collapsed="false">
      <c r="B72" s="1" t="n">
        <v>64</v>
      </c>
      <c r="C72" s="1" t="n">
        <f aca="false">IF(B72&lt;=F_N,1,0)</f>
        <v>1</v>
      </c>
      <c r="D72" s="1" t="n">
        <f aca="false">'Plan pay &amp; tax'!C298</f>
        <v>64</v>
      </c>
      <c r="E72" s="111" t="n">
        <f aca="false">'Plan pay &amp; tax'!E298</f>
        <v>3.55149324327688</v>
      </c>
      <c r="F72" s="1" t="n">
        <f aca="false">'Plan pay &amp; tax'!G298</f>
        <v>1</v>
      </c>
      <c r="G72" s="1" t="n">
        <f aca="false">'Plan pay &amp; tax'!BT298-'Plan pay &amp; tax'!BS298-'Plan pay &amp; tax'!R298</f>
        <v>0</v>
      </c>
      <c r="H72" s="1" t="n">
        <f aca="false">IF(F72=1,F_CostsM*12,IF(RG_Exists=1,RG_Amount,F_CostsM*12*AS_RetireSpend))*E72+F_OneOffY*E72</f>
        <v>0</v>
      </c>
      <c r="I72" s="1" t="n">
        <f aca="false">HQ71</f>
        <v>0</v>
      </c>
      <c r="J72" s="1" t="n">
        <f aca="false">IF(I72&gt;1,'Plan debt months'!AC72,0)</f>
        <v>0</v>
      </c>
      <c r="K72" s="1" t="n">
        <f aca="false">IF(I72&gt;1,'Plan debt months'!AB72,I72)</f>
        <v>0</v>
      </c>
      <c r="L72" s="1" t="n">
        <f aca="false">N71</f>
        <v>0</v>
      </c>
      <c r="M72" s="1" t="n">
        <f aca="false">IF(L72&gt;1,'Plan debt months'!BD72,0)</f>
        <v>0</v>
      </c>
      <c r="N72" s="1" t="n">
        <f aca="false">IF(L72&gt;1,'Plan debt months'!BC72,L72)</f>
        <v>0</v>
      </c>
      <c r="O72" s="1" t="n">
        <f aca="false">Q71</f>
        <v>0</v>
      </c>
      <c r="P72" s="1" t="n">
        <f aca="false">IF(O72&gt;1,'Plan debt months'!CE72,0)</f>
        <v>0</v>
      </c>
      <c r="Q72" s="1" t="n">
        <f aca="false">IF(O72&gt;1,'Plan debt months'!CD72,O72)</f>
        <v>0</v>
      </c>
      <c r="R72" s="1" t="n">
        <f aca="false">J72+M72+P72</f>
        <v>0</v>
      </c>
      <c r="S72" s="1" t="n">
        <f aca="false">QJ71+'Plan pay &amp; tax'!Y298</f>
        <v>0</v>
      </c>
      <c r="T72" s="1" t="n">
        <f aca="false">QJ71</f>
        <v>0</v>
      </c>
      <c r="U72" s="1" t="n">
        <f aca="false">IF(AND(Slot1_On=1,D72=Slot1_Age),1,0)</f>
        <v>0</v>
      </c>
      <c r="V72" s="1" t="n">
        <f aca="false">IF(AND(Slot1_On=1,Slot1_Age&gt;D72),1,0)</f>
        <v>0</v>
      </c>
      <c r="W72" s="1" t="n">
        <f aca="false">QL71</f>
        <v>0</v>
      </c>
      <c r="X72" s="1" t="n">
        <f aca="false">U72*MIN(Slot1_Cost,W72)</f>
        <v>0</v>
      </c>
      <c r="Y72" s="1" t="n">
        <f aca="false">U72*Slot1_SpendLike*MIN(Slot1_Cost-X72,S72)</f>
        <v>0</v>
      </c>
      <c r="Z72" s="1" t="n">
        <f aca="false">X72+Y72</f>
        <v>0</v>
      </c>
      <c r="AA72" s="1" t="n">
        <f aca="false">S72-Y72+U72*IF(Slot1_SpendLike=1,W72-X72,IF(Slot1_PotFree=1,W72,0))</f>
        <v>0</v>
      </c>
      <c r="AB72" s="1" t="n">
        <f aca="false">AE72+U72*Slot1_BufPot*W72</f>
        <v>0</v>
      </c>
      <c r="AC72" s="1" t="n">
        <f aca="false">IF(AND(U72=1,Slot1_IsMfree=1),IF(Z72&gt;=Slot1_Cost-1,0,MAX(0,K72-Z72)),K72)</f>
        <v>0</v>
      </c>
      <c r="AD72" s="1" t="n">
        <f aca="false">U72*(Slot1_Cost-Z72)</f>
        <v>0</v>
      </c>
      <c r="AE72" s="1" t="n">
        <f aca="false">QK71</f>
        <v>0</v>
      </c>
      <c r="AF72" s="1" t="n">
        <f aca="false">IF(AND(Slot2_On=1,D72=Slot2_Age),1,0)</f>
        <v>0</v>
      </c>
      <c r="AG72" s="1" t="n">
        <f aca="false">IF(AND(Slot2_On=1,Slot2_Age&gt;D72),1,0)</f>
        <v>0</v>
      </c>
      <c r="AH72" s="1" t="n">
        <f aca="false">QP71</f>
        <v>0</v>
      </c>
      <c r="AI72" s="1" t="n">
        <f aca="false">AF72*MIN(Slot2_Cost,AH72)</f>
        <v>0</v>
      </c>
      <c r="AJ72" s="1" t="n">
        <f aca="false">AF72*Slot2_SpendLike*MIN(Slot2_Cost-AI72,AA72)</f>
        <v>0</v>
      </c>
      <c r="AK72" s="1" t="n">
        <f aca="false">AI72+AJ72</f>
        <v>0</v>
      </c>
      <c r="AL72" s="1" t="n">
        <f aca="false">AA72-AJ72+AF72*IF(Slot2_SpendLike=1,AH72-AI72,IF(Slot2_PotFree=1,AH72,0))</f>
        <v>0</v>
      </c>
      <c r="AM72" s="1" t="n">
        <f aca="false">AB72+AF72*Slot2_BufPot*AH72</f>
        <v>0</v>
      </c>
      <c r="AN72" s="1" t="n">
        <f aca="false">IF(AND(AF72=1,Slot2_IsMfree=1),IF(AK72&gt;=Slot2_Cost-1,0,MAX(0,AC72-AK72)),AC72)</f>
        <v>0</v>
      </c>
      <c r="AO72" s="1" t="n">
        <f aca="false">AF72*(Slot2_Cost-AK72)</f>
        <v>0</v>
      </c>
      <c r="AP72" s="1" t="n">
        <f aca="false">IF(AND(Slot3_On=1,D72=Slot3_Age),1,0)</f>
        <v>0</v>
      </c>
      <c r="AQ72" s="1" t="n">
        <f aca="false">IF(AND(Slot3_On=1,Slot3_Age&gt;D72),1,0)</f>
        <v>0</v>
      </c>
      <c r="AR72" s="1" t="n">
        <f aca="false">QT71</f>
        <v>0</v>
      </c>
      <c r="AS72" s="1" t="n">
        <f aca="false">AP72*MIN(Slot3_Cost,AR72)</f>
        <v>0</v>
      </c>
      <c r="AT72" s="1" t="n">
        <f aca="false">AP72*Slot3_SpendLike*MIN(Slot3_Cost-AS72,AL72)</f>
        <v>0</v>
      </c>
      <c r="AU72" s="1" t="n">
        <f aca="false">AS72+AT72</f>
        <v>0</v>
      </c>
      <c r="AV72" s="1" t="n">
        <f aca="false">AL72-AT72+AP72*IF(Slot3_SpendLike=1,AR72-AS72,IF(Slot3_PotFree=1,AR72,0))</f>
        <v>0</v>
      </c>
      <c r="AW72" s="1" t="n">
        <f aca="false">AM72+AP72*Slot3_BufPot*AR72</f>
        <v>0</v>
      </c>
      <c r="AX72" s="1" t="n">
        <f aca="false">IF(AND(AP72=1,Slot3_IsMfree=1),IF(AU72&gt;=Slot3_Cost-1,0,MAX(0,AN72-AU72)),AN72)</f>
        <v>0</v>
      </c>
      <c r="AY72" s="1" t="n">
        <f aca="false">AP72*(Slot3_Cost-AU72)</f>
        <v>0</v>
      </c>
      <c r="AZ72" s="1" t="n">
        <f aca="false">IF(AND(Slot4_On=1,D72=Slot4_Age),1,0)</f>
        <v>0</v>
      </c>
      <c r="BA72" s="1" t="n">
        <f aca="false">IF(AND(Slot4_On=1,Slot4_Age&gt;D72),1,0)</f>
        <v>0</v>
      </c>
      <c r="BB72" s="1" t="n">
        <f aca="false">QX71</f>
        <v>0</v>
      </c>
      <c r="BC72" s="1" t="n">
        <f aca="false">AZ72*MIN(Slot4_Cost,BB72)</f>
        <v>0</v>
      </c>
      <c r="BD72" s="1" t="n">
        <f aca="false">AZ72*Slot4_SpendLike*MIN(Slot4_Cost-BC72,AV72)</f>
        <v>0</v>
      </c>
      <c r="BE72" s="1" t="n">
        <f aca="false">BC72+BD72</f>
        <v>0</v>
      </c>
      <c r="BF72" s="1" t="n">
        <f aca="false">AV72-BD72+AZ72*IF(Slot4_SpendLike=1,BB72-BC72,IF(Slot4_PotFree=1,BB72,0))</f>
        <v>0</v>
      </c>
      <c r="BG72" s="1" t="n">
        <f aca="false">AW72+AZ72*Slot4_BufPot*BB72</f>
        <v>0</v>
      </c>
      <c r="BH72" s="1" t="n">
        <f aca="false">IF(AND(AZ72=1,Slot4_IsMfree=1),IF(BE72&gt;=Slot4_Cost-1,0,MAX(0,AX72-BE72)),AX72)</f>
        <v>0</v>
      </c>
      <c r="BI72" s="1" t="n">
        <f aca="false">AZ72*(Slot4_Cost-BE72)</f>
        <v>0</v>
      </c>
      <c r="BJ72" s="1" t="n">
        <f aca="false">IF(AND(Slot5_On=1,D72=Slot5_Age),1,0)</f>
        <v>0</v>
      </c>
      <c r="BK72" s="1" t="n">
        <f aca="false">IF(AND(Slot5_On=1,Slot5_Age&gt;D72),1,0)</f>
        <v>0</v>
      </c>
      <c r="BL72" s="1" t="n">
        <f aca="false">RB71</f>
        <v>0</v>
      </c>
      <c r="BM72" s="1" t="n">
        <f aca="false">BJ72*MIN(Slot5_Cost,BL72)</f>
        <v>0</v>
      </c>
      <c r="BN72" s="1" t="n">
        <f aca="false">BJ72*Slot5_SpendLike*MIN(Slot5_Cost-BM72,BF72)</f>
        <v>0</v>
      </c>
      <c r="BO72" s="1" t="n">
        <f aca="false">BM72+BN72</f>
        <v>0</v>
      </c>
      <c r="BP72" s="1" t="n">
        <f aca="false">BF72-BN72+BJ72*IF(Slot5_SpendLike=1,BL72-BM72,IF(Slot5_PotFree=1,BL72,0))</f>
        <v>0</v>
      </c>
      <c r="BQ72" s="1" t="n">
        <f aca="false">BG72+BJ72*Slot5_BufPot*BL72</f>
        <v>0</v>
      </c>
      <c r="BR72" s="1" t="n">
        <f aca="false">IF(AND(BJ72=1,Slot5_IsMfree=1),IF(BO72&gt;=Slot5_Cost-1,0,MAX(0,BH72-BO72)),BH72)</f>
        <v>0</v>
      </c>
      <c r="BS72" s="1" t="n">
        <f aca="false">BJ72*(Slot5_Cost-BO72)</f>
        <v>0</v>
      </c>
      <c r="BT72" s="1" t="n">
        <f aca="false">IF(AND(Slot6_On=1,D72=Slot6_Age),1,0)</f>
        <v>0</v>
      </c>
      <c r="BU72" s="1" t="n">
        <f aca="false">IF(AND(Slot6_On=1,Slot6_Age&gt;D72),1,0)</f>
        <v>0</v>
      </c>
      <c r="BV72" s="1" t="n">
        <f aca="false">RF71</f>
        <v>0</v>
      </c>
      <c r="BW72" s="1" t="n">
        <f aca="false">BT72*MIN(Slot6_Cost,BV72)</f>
        <v>0</v>
      </c>
      <c r="BX72" s="1" t="n">
        <f aca="false">BT72*Slot6_SpendLike*MIN(Slot6_Cost-BW72,BP72)</f>
        <v>0</v>
      </c>
      <c r="BY72" s="1" t="n">
        <f aca="false">BW72+BX72</f>
        <v>0</v>
      </c>
      <c r="BZ72" s="1" t="n">
        <f aca="false">BP72-BX72+BT72*IF(Slot6_SpendLike=1,BV72-BW72,IF(Slot6_PotFree=1,BV72,0))</f>
        <v>0</v>
      </c>
      <c r="CA72" s="1" t="n">
        <f aca="false">BQ72+BT72*Slot6_BufPot*BV72</f>
        <v>0</v>
      </c>
      <c r="CB72" s="1" t="n">
        <f aca="false">IF(AND(BT72=1,Slot6_IsMfree=1),IF(BY72&gt;=Slot6_Cost-1,0,MAX(0,BR72-BY72)),BR72)</f>
        <v>0</v>
      </c>
      <c r="CC72" s="1" t="n">
        <f aca="false">BT72*(Slot6_Cost-BY72)</f>
        <v>0</v>
      </c>
      <c r="CD72" s="1" t="n">
        <f aca="false">IF(AND(Slot7_On=1,D72=Slot7_Age),1,0)</f>
        <v>0</v>
      </c>
      <c r="CE72" s="1" t="n">
        <f aca="false">IF(AND(Slot7_On=1,Slot7_Age&gt;D72),1,0)</f>
        <v>0</v>
      </c>
      <c r="CF72" s="1" t="n">
        <f aca="false">RJ71</f>
        <v>0</v>
      </c>
      <c r="CG72" s="1" t="n">
        <f aca="false">CD72*MIN(Slot7_Cost,CF72)</f>
        <v>0</v>
      </c>
      <c r="CH72" s="1" t="n">
        <f aca="false">CD72*Slot7_SpendLike*MIN(Slot7_Cost-CG72,BZ72)</f>
        <v>0</v>
      </c>
      <c r="CI72" s="1" t="n">
        <f aca="false">CG72+CH72</f>
        <v>0</v>
      </c>
      <c r="CJ72" s="1" t="n">
        <f aca="false">BZ72-CH72+CD72*IF(Slot7_SpendLike=1,CF72-CG72,IF(Slot7_PotFree=1,CF72,0))</f>
        <v>0</v>
      </c>
      <c r="CK72" s="1" t="n">
        <f aca="false">CA72+CD72*Slot7_BufPot*CF72</f>
        <v>0</v>
      </c>
      <c r="CL72" s="1" t="n">
        <f aca="false">IF(AND(CD72=1,Slot7_IsMfree=1),IF(CI72&gt;=Slot7_Cost-1,0,MAX(0,CB72-CI72)),CB72)</f>
        <v>0</v>
      </c>
      <c r="CM72" s="1" t="n">
        <f aca="false">CD72*(Slot7_Cost-CI72)</f>
        <v>0</v>
      </c>
      <c r="CN72" s="1" t="n">
        <f aca="false">IF(AND(Slot8_On=1,D72=Slot8_Age),1,0)</f>
        <v>0</v>
      </c>
      <c r="CO72" s="1" t="n">
        <f aca="false">IF(AND(Slot8_On=1,Slot8_Age&gt;D72),1,0)</f>
        <v>0</v>
      </c>
      <c r="CP72" s="1" t="n">
        <f aca="false">RN71</f>
        <v>0</v>
      </c>
      <c r="CQ72" s="1" t="n">
        <f aca="false">CN72*MIN(Slot8_Cost,CP72)</f>
        <v>0</v>
      </c>
      <c r="CR72" s="1" t="n">
        <f aca="false">CN72*Slot8_SpendLike*MIN(Slot8_Cost-CQ72,CJ72)</f>
        <v>0</v>
      </c>
      <c r="CS72" s="1" t="n">
        <f aca="false">CQ72+CR72</f>
        <v>0</v>
      </c>
      <c r="CT72" s="1" t="n">
        <f aca="false">CJ72-CR72+CN72*IF(Slot8_SpendLike=1,CP72-CQ72,IF(Slot8_PotFree=1,CP72,0))</f>
        <v>0</v>
      </c>
      <c r="CU72" s="1" t="n">
        <f aca="false">CK72+CN72*Slot8_BufPot*CP72</f>
        <v>0</v>
      </c>
      <c r="CV72" s="1" t="n">
        <f aca="false">IF(AND(CN72=1,Slot8_IsMfree=1),IF(CS72&gt;=Slot8_Cost-1,0,MAX(0,CL72-CS72)),CL72)</f>
        <v>0</v>
      </c>
      <c r="CW72" s="1" t="n">
        <f aca="false">CN72*(Slot8_Cost-CS72)</f>
        <v>0</v>
      </c>
      <c r="CX72" s="1" t="n">
        <f aca="false">IF(AND(Slot9_On=1,D72=Slot9_Age),1,0)</f>
        <v>0</v>
      </c>
      <c r="CY72" s="1" t="n">
        <f aca="false">IF(AND(Slot9_On=1,Slot9_Age&gt;D72),1,0)</f>
        <v>0</v>
      </c>
      <c r="CZ72" s="1" t="n">
        <f aca="false">RR71</f>
        <v>0</v>
      </c>
      <c r="DA72" s="1" t="n">
        <f aca="false">CX72*MIN(Slot9_Cost,CZ72)</f>
        <v>0</v>
      </c>
      <c r="DB72" s="1" t="n">
        <f aca="false">CX72*Slot9_SpendLike*MIN(Slot9_Cost-DA72,CT72)</f>
        <v>0</v>
      </c>
      <c r="DC72" s="1" t="n">
        <f aca="false">DA72+DB72</f>
        <v>0</v>
      </c>
      <c r="DD72" s="1" t="n">
        <f aca="false">CT72-DB72+CX72*IF(Slot9_SpendLike=1,CZ72-DA72,IF(Slot9_PotFree=1,CZ72,0))</f>
        <v>0</v>
      </c>
      <c r="DE72" s="1" t="n">
        <f aca="false">CU72+CX72*Slot9_BufPot*CZ72</f>
        <v>0</v>
      </c>
      <c r="DF72" s="1" t="n">
        <f aca="false">IF(AND(CX72=1,Slot9_IsMfree=1),IF(DC72&gt;=Slot9_Cost-1,0,MAX(0,CV72-DC72)),CV72)</f>
        <v>0</v>
      </c>
      <c r="DG72" s="1" t="n">
        <f aca="false">CX72*(Slot9_Cost-DC72)</f>
        <v>0</v>
      </c>
      <c r="DH72" s="1" t="n">
        <f aca="false">IF(AND(Slot10_On=1,D72=Slot10_Age),1,0)</f>
        <v>0</v>
      </c>
      <c r="DI72" s="1" t="n">
        <f aca="false">IF(AND(Slot10_On=1,Slot10_Age&gt;D72),1,0)</f>
        <v>0</v>
      </c>
      <c r="DJ72" s="1" t="n">
        <f aca="false">RV71</f>
        <v>0</v>
      </c>
      <c r="DK72" s="1" t="n">
        <f aca="false">DH72*MIN(Slot10_Cost,DJ72)</f>
        <v>0</v>
      </c>
      <c r="DL72" s="1" t="n">
        <f aca="false">DH72*Slot10_SpendLike*MIN(Slot10_Cost-DK72,DD72)</f>
        <v>0</v>
      </c>
      <c r="DM72" s="1" t="n">
        <f aca="false">DK72+DL72</f>
        <v>0</v>
      </c>
      <c r="DN72" s="1" t="n">
        <f aca="false">DD72-DL72+DH72*IF(Slot10_SpendLike=1,DJ72-DK72,IF(Slot10_PotFree=1,DJ72,0))</f>
        <v>0</v>
      </c>
      <c r="DO72" s="1" t="n">
        <f aca="false">DE72+DH72*Slot10_BufPot*DJ72</f>
        <v>0</v>
      </c>
      <c r="DP72" s="1" t="n">
        <f aca="false">IF(AND(DH72=1,Slot10_IsMfree=1),IF(DM72&gt;=Slot10_Cost-1,0,MAX(0,DF72-DM72)),DF72)</f>
        <v>0</v>
      </c>
      <c r="DQ72" s="1" t="n">
        <f aca="false">DH72*(Slot10_Cost-DM72)</f>
        <v>0</v>
      </c>
      <c r="DR72" s="1" t="n">
        <f aca="false">IF(AND(Slot11_On=1,D72=Slot11_Age),1,0)</f>
        <v>0</v>
      </c>
      <c r="DS72" s="1" t="n">
        <f aca="false">IF(AND(Slot11_On=1,Slot11_Age&gt;D72),1,0)</f>
        <v>0</v>
      </c>
      <c r="DT72" s="1" t="n">
        <f aca="false">RZ71</f>
        <v>0</v>
      </c>
      <c r="DU72" s="1" t="n">
        <f aca="false">DR72*MIN(Slot11_Cost,DT72)</f>
        <v>0</v>
      </c>
      <c r="DV72" s="1" t="n">
        <f aca="false">DR72*Slot11_SpendLike*MIN(Slot11_Cost-DU72,DN72)</f>
        <v>0</v>
      </c>
      <c r="DW72" s="1" t="n">
        <f aca="false">DU72+DV72</f>
        <v>0</v>
      </c>
      <c r="DX72" s="1" t="n">
        <f aca="false">DN72-DV72+DR72*IF(Slot11_SpendLike=1,DT72-DU72,IF(Slot11_PotFree=1,DT72,0))</f>
        <v>0</v>
      </c>
      <c r="DY72" s="1" t="n">
        <f aca="false">DO72+DR72*Slot11_BufPot*DT72</f>
        <v>0</v>
      </c>
      <c r="DZ72" s="1" t="n">
        <f aca="false">IF(AND(DR72=1,Slot11_IsMfree=1),IF(DW72&gt;=Slot11_Cost-1,0,MAX(0,DP72-DW72)),DP72)</f>
        <v>0</v>
      </c>
      <c r="EA72" s="1" t="n">
        <f aca="false">DR72*(Slot11_Cost-DW72)</f>
        <v>0</v>
      </c>
      <c r="EB72" s="1" t="n">
        <f aca="false">IF(AND(Slot12_On=1,D72=Slot12_Age),1,0)</f>
        <v>0</v>
      </c>
      <c r="EC72" s="1" t="n">
        <f aca="false">IF(AND(Slot12_On=1,Slot12_Age&gt;D72),1,0)</f>
        <v>0</v>
      </c>
      <c r="ED72" s="1" t="n">
        <f aca="false">SD71</f>
        <v>0</v>
      </c>
      <c r="EE72" s="1" t="n">
        <f aca="false">EB72*MIN(Slot12_Cost,ED72)</f>
        <v>0</v>
      </c>
      <c r="EF72" s="1" t="n">
        <f aca="false">EB72*Slot12_SpendLike*MIN(Slot12_Cost-EE72,DX72)</f>
        <v>0</v>
      </c>
      <c r="EG72" s="1" t="n">
        <f aca="false">EE72+EF72</f>
        <v>0</v>
      </c>
      <c r="EH72" s="1" t="n">
        <f aca="false">DX72-EF72+EB72*IF(Slot12_SpendLike=1,ED72-EE72,IF(Slot12_PotFree=1,ED72,0))</f>
        <v>0</v>
      </c>
      <c r="EI72" s="1" t="n">
        <f aca="false">DY72+EB72*Slot12_BufPot*ED72</f>
        <v>0</v>
      </c>
      <c r="EJ72" s="1" t="n">
        <f aca="false">IF(AND(EB72=1,Slot12_IsMfree=1),IF(EG72&gt;=Slot12_Cost-1,0,MAX(0,DZ72-EG72)),DZ72)</f>
        <v>0</v>
      </c>
      <c r="EK72" s="1" t="n">
        <f aca="false">EB72*(Slot12_Cost-EG72)</f>
        <v>0</v>
      </c>
      <c r="EL72" s="1" t="n">
        <f aca="false">IF(AND(Slot13_On=1,D72=Slot13_Age),1,0)</f>
        <v>0</v>
      </c>
      <c r="EM72" s="1" t="n">
        <f aca="false">IF(AND(Slot13_On=1,Slot13_Age&gt;D72),1,0)</f>
        <v>0</v>
      </c>
      <c r="EN72" s="1" t="n">
        <f aca="false">SH71</f>
        <v>0</v>
      </c>
      <c r="EO72" s="1" t="n">
        <f aca="false">EL72*MIN(Slot13_Cost,EN72)</f>
        <v>0</v>
      </c>
      <c r="EP72" s="1" t="n">
        <f aca="false">EL72*Slot13_SpendLike*MIN(Slot13_Cost-EO72,EH72)</f>
        <v>0</v>
      </c>
      <c r="EQ72" s="1" t="n">
        <f aca="false">EO72+EP72</f>
        <v>0</v>
      </c>
      <c r="ER72" s="1" t="n">
        <f aca="false">EH72-EP72+EL72*IF(Slot13_SpendLike=1,EN72-EO72,IF(Slot13_PotFree=1,EN72,0))</f>
        <v>0</v>
      </c>
      <c r="ES72" s="1" t="n">
        <f aca="false">EI72+EL72*Slot13_BufPot*EN72</f>
        <v>0</v>
      </c>
      <c r="ET72" s="1" t="n">
        <f aca="false">IF(AND(EL72=1,Slot13_IsMfree=1),IF(EQ72&gt;=Slot13_Cost-1,0,MAX(0,EJ72-EQ72)),EJ72)</f>
        <v>0</v>
      </c>
      <c r="EU72" s="1" t="n">
        <f aca="false">EL72*(Slot13_Cost-EQ72)</f>
        <v>0</v>
      </c>
      <c r="EV72" s="1" t="n">
        <f aca="false">IF(AND(Slot14_On=1,D72=Slot14_Age),1,0)</f>
        <v>0</v>
      </c>
      <c r="EW72" s="1" t="n">
        <f aca="false">IF(AND(Slot14_On=1,Slot14_Age&gt;D72),1,0)</f>
        <v>0</v>
      </c>
      <c r="EX72" s="1" t="n">
        <f aca="false">SL71</f>
        <v>0</v>
      </c>
      <c r="EY72" s="1" t="n">
        <f aca="false">EV72*MIN(Slot14_Cost,EX72)</f>
        <v>0</v>
      </c>
      <c r="EZ72" s="1" t="n">
        <f aca="false">EV72*Slot14_SpendLike*MIN(Slot14_Cost-EY72,ER72)</f>
        <v>0</v>
      </c>
      <c r="FA72" s="1" t="n">
        <f aca="false">EY72+EZ72</f>
        <v>0</v>
      </c>
      <c r="FB72" s="1" t="n">
        <f aca="false">ER72-EZ72+EV72*IF(Slot14_SpendLike=1,EX72-EY72,IF(Slot14_PotFree=1,EX72,0))</f>
        <v>0</v>
      </c>
      <c r="FC72" s="1" t="n">
        <f aca="false">ES72+EV72*Slot14_BufPot*EX72</f>
        <v>0</v>
      </c>
      <c r="FD72" s="1" t="n">
        <f aca="false">IF(AND(EV72=1,Slot14_IsMfree=1),IF(FA72&gt;=Slot14_Cost-1,0,MAX(0,ET72-FA72)),ET72)</f>
        <v>0</v>
      </c>
      <c r="FE72" s="1" t="n">
        <f aca="false">EV72*(Slot14_Cost-FA72)</f>
        <v>0</v>
      </c>
      <c r="FF72" s="1" t="n">
        <f aca="false">IF(AND(Slot15_On=1,D72=Slot15_Age),1,0)</f>
        <v>0</v>
      </c>
      <c r="FG72" s="1" t="n">
        <f aca="false">IF(AND(Slot15_On=1,Slot15_Age&gt;D72),1,0)</f>
        <v>0</v>
      </c>
      <c r="FH72" s="1" t="n">
        <f aca="false">SP71</f>
        <v>0</v>
      </c>
      <c r="FI72" s="1" t="n">
        <f aca="false">FF72*MIN(Slot15_Cost,FH72)</f>
        <v>0</v>
      </c>
      <c r="FJ72" s="1" t="n">
        <f aca="false">FF72*Slot15_SpendLike*MIN(Slot15_Cost-FI72,FB72)</f>
        <v>0</v>
      </c>
      <c r="FK72" s="1" t="n">
        <f aca="false">FI72+FJ72</f>
        <v>0</v>
      </c>
      <c r="FL72" s="1" t="n">
        <f aca="false">FB72-FJ72+FF72*IF(Slot15_SpendLike=1,FH72-FI72,IF(Slot15_PotFree=1,FH72,0))</f>
        <v>0</v>
      </c>
      <c r="FM72" s="1" t="n">
        <f aca="false">FC72+FF72*Slot15_BufPot*FH72</f>
        <v>0</v>
      </c>
      <c r="FN72" s="1" t="n">
        <f aca="false">IF(AND(FF72=1,Slot15_IsMfree=1),IF(FK72&gt;=Slot15_Cost-1,0,MAX(0,FD72-FK72)),FD72)</f>
        <v>0</v>
      </c>
      <c r="FO72" s="1" t="n">
        <f aca="false">FF72*(Slot15_Cost-FK72)</f>
        <v>0</v>
      </c>
      <c r="FP72" s="1" t="n">
        <f aca="false">IF(AND(Slot16_On=1,D72=Slot16_Age),1,0)</f>
        <v>0</v>
      </c>
      <c r="FQ72" s="1" t="n">
        <f aca="false">IF(AND(Slot16_On=1,Slot16_Age&gt;D72),1,0)</f>
        <v>0</v>
      </c>
      <c r="FR72" s="1" t="n">
        <f aca="false">ST71</f>
        <v>0</v>
      </c>
      <c r="FS72" s="1" t="n">
        <f aca="false">FP72*MIN(Slot16_Cost,FR72)</f>
        <v>0</v>
      </c>
      <c r="FT72" s="1" t="n">
        <f aca="false">FP72*Slot16_SpendLike*MIN(Slot16_Cost-FS72,FL72)</f>
        <v>0</v>
      </c>
      <c r="FU72" s="1" t="n">
        <f aca="false">FS72+FT72</f>
        <v>0</v>
      </c>
      <c r="FV72" s="1" t="n">
        <f aca="false">FL72-FT72+FP72*IF(Slot16_SpendLike=1,FR72-FS72,IF(Slot16_PotFree=1,FR72,0))</f>
        <v>0</v>
      </c>
      <c r="FW72" s="1" t="n">
        <f aca="false">FM72+FP72*Slot16_BufPot*FR72</f>
        <v>0</v>
      </c>
      <c r="FX72" s="1" t="n">
        <f aca="false">IF(AND(FP72=1,Slot16_IsMfree=1),IF(FU72&gt;=Slot16_Cost-1,0,MAX(0,FN72-FU72)),FN72)</f>
        <v>0</v>
      </c>
      <c r="FY72" s="1" t="n">
        <f aca="false">FP72*(Slot16_Cost-FU72)</f>
        <v>0</v>
      </c>
      <c r="FZ72" s="1" t="n">
        <f aca="false">IF(AND(Slot17_On=1,D72=Slot17_Age),1,0)</f>
        <v>0</v>
      </c>
      <c r="GA72" s="1" t="n">
        <f aca="false">IF(AND(Slot17_On=1,Slot17_Age&gt;D72),1,0)</f>
        <v>0</v>
      </c>
      <c r="GB72" s="1" t="n">
        <f aca="false">SX71</f>
        <v>0</v>
      </c>
      <c r="GC72" s="1" t="n">
        <f aca="false">FZ72*MIN(Slot17_Cost,GB72)</f>
        <v>0</v>
      </c>
      <c r="GD72" s="1" t="n">
        <f aca="false">FZ72*Slot17_SpendLike*MIN(Slot17_Cost-GC72,FV72)</f>
        <v>0</v>
      </c>
      <c r="GE72" s="1" t="n">
        <f aca="false">GC72+GD72</f>
        <v>0</v>
      </c>
      <c r="GF72" s="1" t="n">
        <f aca="false">FV72-GD72+FZ72*IF(Slot17_SpendLike=1,GB72-GC72,IF(Slot17_PotFree=1,GB72,0))</f>
        <v>0</v>
      </c>
      <c r="GG72" s="1" t="n">
        <f aca="false">FW72+FZ72*Slot17_BufPot*GB72</f>
        <v>0</v>
      </c>
      <c r="GH72" s="1" t="n">
        <f aca="false">IF(AND(FZ72=1,Slot17_IsMfree=1),IF(GE72&gt;=Slot17_Cost-1,0,MAX(0,FX72-GE72)),FX72)</f>
        <v>0</v>
      </c>
      <c r="GI72" s="1" t="n">
        <f aca="false">FZ72*(Slot17_Cost-GE72)</f>
        <v>0</v>
      </c>
      <c r="GJ72" s="1" t="n">
        <f aca="false">IF(AND(Slot18_On=1,D72=Slot18_Age),1,0)</f>
        <v>0</v>
      </c>
      <c r="GK72" s="1" t="n">
        <f aca="false">IF(AND(Slot18_On=1,Slot18_Age&gt;D72),1,0)</f>
        <v>0</v>
      </c>
      <c r="GL72" s="1" t="n">
        <f aca="false">TB71</f>
        <v>0</v>
      </c>
      <c r="GM72" s="1" t="n">
        <f aca="false">GJ72*MIN(Slot18_Cost,GL72)</f>
        <v>0</v>
      </c>
      <c r="GN72" s="1" t="n">
        <f aca="false">GJ72*Slot18_SpendLike*MIN(Slot18_Cost-GM72,GF72)</f>
        <v>0</v>
      </c>
      <c r="GO72" s="1" t="n">
        <f aca="false">GM72+GN72</f>
        <v>0</v>
      </c>
      <c r="GP72" s="1" t="n">
        <f aca="false">GF72-GN72+GJ72*IF(Slot18_SpendLike=1,GL72-GM72,IF(Slot18_PotFree=1,GL72,0))</f>
        <v>0</v>
      </c>
      <c r="GQ72" s="1" t="n">
        <f aca="false">GG72+GJ72*Slot18_BufPot*GL72</f>
        <v>0</v>
      </c>
      <c r="GR72" s="1" t="n">
        <f aca="false">IF(AND(GJ72=1,Slot18_IsMfree=1),IF(GO72&gt;=Slot18_Cost-1,0,MAX(0,GH72-GO72)),GH72)</f>
        <v>0</v>
      </c>
      <c r="GS72" s="1" t="n">
        <f aca="false">GJ72*(Slot18_Cost-GO72)</f>
        <v>0</v>
      </c>
      <c r="GT72" s="1" t="n">
        <f aca="false">IF(AND(Slot19_On=1,D72=Slot19_Age),1,0)</f>
        <v>0</v>
      </c>
      <c r="GU72" s="1" t="n">
        <f aca="false">IF(AND(Slot19_On=1,Slot19_Age&gt;D72),1,0)</f>
        <v>0</v>
      </c>
      <c r="GV72" s="1" t="n">
        <f aca="false">TF71</f>
        <v>0</v>
      </c>
      <c r="GW72" s="1" t="n">
        <f aca="false">GT72*MIN(Slot19_Cost,GV72)</f>
        <v>0</v>
      </c>
      <c r="GX72" s="1" t="n">
        <f aca="false">GT72*Slot19_SpendLike*MIN(Slot19_Cost-GW72,GP72)</f>
        <v>0</v>
      </c>
      <c r="GY72" s="1" t="n">
        <f aca="false">GW72+GX72</f>
        <v>0</v>
      </c>
      <c r="GZ72" s="1" t="n">
        <f aca="false">GP72-GX72+GT72*IF(Slot19_SpendLike=1,GV72-GW72,IF(Slot19_PotFree=1,GV72,0))</f>
        <v>0</v>
      </c>
      <c r="HA72" s="1" t="n">
        <f aca="false">GQ72+GT72*Slot19_BufPot*GV72</f>
        <v>0</v>
      </c>
      <c r="HB72" s="1" t="n">
        <f aca="false">IF(AND(GT72=1,Slot19_IsMfree=1),IF(GY72&gt;=Slot19_Cost-1,0,MAX(0,GR72-GY72)),GR72)</f>
        <v>0</v>
      </c>
      <c r="HC72" s="1" t="n">
        <f aca="false">GT72*(Slot19_Cost-GY72)</f>
        <v>0</v>
      </c>
      <c r="HD72" s="1" t="n">
        <f aca="false">IF(AND(Slot20_On=1,D72=Slot20_Age),1,0)</f>
        <v>0</v>
      </c>
      <c r="HE72" s="1" t="n">
        <f aca="false">IF(AND(Slot20_On=1,Slot20_Age&gt;D72),1,0)</f>
        <v>0</v>
      </c>
      <c r="HF72" s="1" t="n">
        <f aca="false">TJ71</f>
        <v>0</v>
      </c>
      <c r="HG72" s="1" t="n">
        <f aca="false">HD72*MIN(Slot20_Cost,HF72)</f>
        <v>0</v>
      </c>
      <c r="HH72" s="1" t="n">
        <f aca="false">HD72*Slot20_SpendLike*MIN(Slot20_Cost-HG72,GZ72)</f>
        <v>0</v>
      </c>
      <c r="HI72" s="1" t="n">
        <f aca="false">HG72+HH72</f>
        <v>0</v>
      </c>
      <c r="HJ72" s="1" t="n">
        <f aca="false">GZ72-HH72+HD72*IF(Slot20_SpendLike=1,HF72-HG72,IF(Slot20_PotFree=1,HF72,0))</f>
        <v>0</v>
      </c>
      <c r="HK72" s="1" t="n">
        <f aca="false">HA72+HD72*Slot20_BufPot*HF72</f>
        <v>0</v>
      </c>
      <c r="HL72" s="1" t="n">
        <f aca="false">IF(AND(HD72=1,Slot20_IsMfree=1),IF(HI72&gt;=Slot20_Cost-1,0,MAX(0,HB72-HI72)),HB72)</f>
        <v>0</v>
      </c>
      <c r="HM72" s="1" t="n">
        <f aca="false">HD72*(Slot20_Cost-HI72)</f>
        <v>0</v>
      </c>
      <c r="HN72" s="1" t="n">
        <f aca="false">U72*Slot1_SpendLike*Z72+AF72*Slot2_SpendLike*AK72+AP72*Slot3_SpendLike*AU72+AZ72*Slot4_SpendLike*BE72+BJ72*Slot5_SpendLike*BO72+BT72*Slot6_SpendLike*BY72+CD72*Slot7_SpendLike*CI72+CN72*Slot8_SpendLike*CS72+CX72*Slot9_SpendLike*DC72+DH72*Slot10_SpendLike*DM72+DR72*Slot11_SpendLike*DW72+EB72*Slot12_SpendLike*EG72+EL72*Slot13_SpendLike*EQ72+EV72*Slot14_SpendLike*FA72+FF72*Slot15_SpendLike*FK72+FP72*Slot16_SpendLike*FU72+FZ72*Slot17_SpendLike*GE72+GJ72*Slot18_SpendLike*GO72+GT72*Slot19_SpendLike*GY72+HD72*Slot20_SpendLike*HI72</f>
        <v>0</v>
      </c>
      <c r="HO72" s="1" t="n">
        <f aca="false">AD72+AO72+AY72+BI72+BS72+CC72+CM72+CW72+DG72+DQ72+EA72+EK72+EU72+FE72+FO72+FY72+GI72+GS72+HC72+HM72</f>
        <v>0</v>
      </c>
      <c r="HP72" s="1" t="n">
        <f aca="false">U72*Slot1_Cost+AF72*Slot2_Cost+AP72*Slot3_Cost+AZ72*Slot4_Cost+BJ72*Slot5_Cost+BT72*Slot6_Cost+CD72*Slot7_Cost+CN72*Slot8_Cost+CX72*Slot9_Cost+DH72*Slot10_Cost+DR72*Slot11_Cost+EB72*Slot12_Cost+EL72*Slot13_Cost+EV72*Slot14_Cost+FF72*Slot15_Cost+FP72*Slot16_Cost+FZ72*Slot17_Cost+GJ72*Slot18_Cost+GT72*Slot19_Cost+HD72*Slot20_Cost</f>
        <v>0</v>
      </c>
      <c r="HQ72" s="1" t="n">
        <f aca="false">HL72</f>
        <v>0</v>
      </c>
      <c r="HR72" s="1" t="n">
        <f aca="false">G72-H72-R72</f>
        <v>0</v>
      </c>
      <c r="HS72" s="1" t="n">
        <f aca="false">IF(B72=0,IF(AND(Has_q6=1,In_q6=4),PR_ShareVaries*(MAX(0,HR72)/12),MIN(IF(Has_q6=1,CHOOSE(In_q6+1,PR_SaveB1,PR_SaveB2,PR_SaveB3,PR_SaveB4,0),AS_NoAnswer),AS_SaveShare*(MAX(0,HR72)/12))),HS71)</f>
        <v>0</v>
      </c>
      <c r="HT72" s="1" t="n">
        <f aca="false">IF(HR72&gt;=0,1,0)</f>
        <v>1</v>
      </c>
      <c r="HU72" s="1" t="n">
        <f aca="false">MAX(0,HR72/12/E72)</f>
        <v>0</v>
      </c>
      <c r="HV72" s="1" t="n">
        <f aca="false">IF(AND(Has_q6=1,In_q6=4),PR_ShareVaries*(HU72),MIN(IF(Has_q6=1,CHOOSE(In_q6+1,PR_SaveB1,PR_SaveB2,PR_SaveB3,PR_SaveB4,0),AS_NoAnswer),AS_SaveShare*(HU72)))</f>
        <v>0</v>
      </c>
      <c r="HW72" s="1" t="n">
        <f aca="false">IF(Has_saveM=1,IF(In_saveUp="Yes",1,IF(In_saveUp="No",0,IF(In_saveM&gt;=HS72-0.5,1,0))),0)</f>
        <v>0</v>
      </c>
      <c r="HX72" s="1" t="n">
        <f aca="false">IF(Has_saveM=1,MIN(HU72,IF(HW72=1,MAX(In_saveM,HV72),MIN(In_saveM,HV72))),HV72)</f>
        <v>0</v>
      </c>
      <c r="HY72" s="1" t="n">
        <f aca="false">IF(F72=1,HX72*12*E72,0)</f>
        <v>0</v>
      </c>
      <c r="HZ72" s="1" t="n">
        <f aca="false">MAX(0,HY72+IF(AND(WI_Retire=0,WI_M&lt;0,F72=1),WI_M*12*E72,0))</f>
        <v>0</v>
      </c>
      <c r="IA72" s="1" t="n">
        <f aca="false">Slot1_IsWG*V72+Slot2_IsWG*AG72+Slot3_IsWG*AQ72+Slot4_IsWG*BA72+Slot5_IsWG*BK72+Slot6_IsWG*BU72+Slot7_IsWG*CE72+Slot8_IsWG*CO72+Slot9_IsWG*CY72+Slot10_IsWG*DI72+Slot11_IsWG*DS72+Slot12_IsWG*EC72+Slot13_IsWG*EM72+Slot14_IsWG*EW72+Slot15_IsWG*FG72+Slot16_IsWG*FQ72+Slot17_IsWG*GA72+Slot18_IsWG*GK72+Slot19_IsWG*GU72+Slot20_IsWG*HE72</f>
        <v>0</v>
      </c>
      <c r="IB72" s="1" t="n">
        <f aca="false">IF(AND(WI_Retire=0,WI_M&gt;0,F72=1,IA72&gt;=1),WI_M*12*E72,0)</f>
        <v>0</v>
      </c>
      <c r="IC72" s="1" t="n">
        <f aca="false">IF(HT72=1,MIN(HZ72,HR72),0)</f>
        <v>0</v>
      </c>
      <c r="ID72" s="1" t="n">
        <f aca="false">IF(HT72=1,MIN(IB72,HR72-IC72),0)</f>
        <v>0</v>
      </c>
      <c r="IE72" s="1" t="n">
        <f aca="false">IF(V72=1,IF(ABS((1+AS_Wage)/(1+Slot1_Rate)-1)&lt;0.000000000001,(Slot1_Age-D72)*(1+Slot1_Rate)^(Slot1_Age-D72),(1+Slot1_Rate)^(Slot1_Age-D72)*(1-((1+AS_Wage)/(1+Slot1_Rate))^(Slot1_Age-D72))/(1-(1+AS_Wage)/(1+Slot1_Rate))),1)</f>
        <v>1</v>
      </c>
      <c r="IF72" s="1" t="n">
        <f aca="false">IF(AND(HT72=1,ID72&gt;0,Slot1_IsWG=1,V72=1),MAX(0,(Slot1_Cost-W72*(1+Slot1_Rate)^(Slot1_Age-D72))/IE72),0)</f>
        <v>0</v>
      </c>
      <c r="IG72" s="1" t="n">
        <f aca="false">IF(AND(HT72=1,ID72&gt;0,Slot1_IsWG=1,V72=1),MIN(ID72,IF72),0)</f>
        <v>0</v>
      </c>
      <c r="IH72" s="1" t="n">
        <f aca="false">W72+IG72</f>
        <v>0</v>
      </c>
      <c r="II72" s="1" t="n">
        <f aca="false">IF(V72=1,MAX(0,(Slot1_Cost-IH72*(1+Slot1_Rate)^(Slot1_Age-D72))/IE72),0)</f>
        <v>0</v>
      </c>
      <c r="IJ72" s="1" t="n">
        <f aca="false">IF(V72=1,MAX(0,(Slot1_Cost-W72*(1+Slot1_Rate)^(Slot1_Age-D72))/IE72),0)</f>
        <v>0</v>
      </c>
      <c r="IK72" s="1" t="n">
        <f aca="false">IF(AND(HT72=1,V72=1),MIN(IC72,II72),0)</f>
        <v>0</v>
      </c>
      <c r="IL72" s="1" t="n">
        <f aca="false">IC72-IK72</f>
        <v>0</v>
      </c>
      <c r="IM72" s="1" t="n">
        <f aca="false">IF(AG72=1,IF(ABS((1+AS_Wage)/(1+Slot2_Rate)-1)&lt;0.000000000001,(Slot2_Age-D72)*(1+Slot2_Rate)^(Slot2_Age-D72),(1+Slot2_Rate)^(Slot2_Age-D72)*(1-((1+AS_Wage)/(1+Slot2_Rate))^(Slot2_Age-D72))/(1-(1+AS_Wage)/(1+Slot2_Rate))),1)</f>
        <v>1</v>
      </c>
      <c r="IN72" s="1" t="n">
        <f aca="false">IF(AND(HT72=1,ID72&gt;0,Slot2_IsWG=1,AG72=1),MAX(0,(Slot2_Cost-AH72*(1+Slot2_Rate)^(Slot2_Age-D72))/IM72),0)</f>
        <v>0</v>
      </c>
      <c r="IO72" s="1" t="n">
        <f aca="false">IF(AND(HT72=1,ID72&gt;0,Slot2_IsWG=1,AG72=1),MIN(ID72,IN72),0)</f>
        <v>0</v>
      </c>
      <c r="IP72" s="1" t="n">
        <f aca="false">AH72+IO72</f>
        <v>0</v>
      </c>
      <c r="IQ72" s="1" t="n">
        <f aca="false">IF(AG72=1,MAX(0,(Slot2_Cost-IP72*(1+Slot2_Rate)^(Slot2_Age-D72))/IM72),0)</f>
        <v>0</v>
      </c>
      <c r="IR72" s="1" t="n">
        <f aca="false">IF(AG72=1,MAX(0,(Slot2_Cost-AH72*(1+Slot2_Rate)^(Slot2_Age-D72))/IM72),0)</f>
        <v>0</v>
      </c>
      <c r="IS72" s="1" t="n">
        <f aca="false">IF(AND(HT72=1,AG72=1),MIN(IL72,IQ72),0)</f>
        <v>0</v>
      </c>
      <c r="IT72" s="1" t="n">
        <f aca="false">IL72-IS72</f>
        <v>0</v>
      </c>
      <c r="IU72" s="1" t="n">
        <f aca="false">IF(AQ72=1,IF(ABS((1+AS_Wage)/(1+Slot3_Rate)-1)&lt;0.000000000001,(Slot3_Age-D72)*(1+Slot3_Rate)^(Slot3_Age-D72),(1+Slot3_Rate)^(Slot3_Age-D72)*(1-((1+AS_Wage)/(1+Slot3_Rate))^(Slot3_Age-D72))/(1-(1+AS_Wage)/(1+Slot3_Rate))),1)</f>
        <v>1</v>
      </c>
      <c r="IV72" s="1" t="n">
        <f aca="false">IF(AND(HT72=1,ID72&gt;0,Slot3_IsWG=1,AQ72=1),MAX(0,(Slot3_Cost-AR72*(1+Slot3_Rate)^(Slot3_Age-D72))/IU72),0)</f>
        <v>0</v>
      </c>
      <c r="IW72" s="1" t="n">
        <f aca="false">IF(AND(HT72=1,ID72&gt;0,Slot3_IsWG=1,AQ72=1),MIN(ID72,IV72),0)</f>
        <v>0</v>
      </c>
      <c r="IX72" s="1" t="n">
        <f aca="false">AR72+IW72</f>
        <v>0</v>
      </c>
      <c r="IY72" s="1" t="n">
        <f aca="false">IF(AQ72=1,MAX(0,(Slot3_Cost-IX72*(1+Slot3_Rate)^(Slot3_Age-D72))/IU72),0)</f>
        <v>0</v>
      </c>
      <c r="IZ72" s="1" t="n">
        <f aca="false">IF(AQ72=1,MAX(0,(Slot3_Cost-AR72*(1+Slot3_Rate)^(Slot3_Age-D72))/IU72),0)</f>
        <v>0</v>
      </c>
      <c r="JA72" s="1" t="n">
        <f aca="false">IF(AND(HT72=1,AQ72=1),MIN(IT72,IY72),0)</f>
        <v>0</v>
      </c>
      <c r="JB72" s="1" t="n">
        <f aca="false">IT72-JA72</f>
        <v>0</v>
      </c>
      <c r="JC72" s="1" t="n">
        <f aca="false">IF(BA72=1,IF(ABS((1+AS_Wage)/(1+Slot4_Rate)-1)&lt;0.000000000001,(Slot4_Age-D72)*(1+Slot4_Rate)^(Slot4_Age-D72),(1+Slot4_Rate)^(Slot4_Age-D72)*(1-((1+AS_Wage)/(1+Slot4_Rate))^(Slot4_Age-D72))/(1-(1+AS_Wage)/(1+Slot4_Rate))),1)</f>
        <v>1</v>
      </c>
      <c r="JD72" s="1" t="n">
        <f aca="false">IF(AND(HT72=1,ID72&gt;0,Slot4_IsWG=1,BA72=1),MAX(0,(Slot4_Cost-BB72*(1+Slot4_Rate)^(Slot4_Age-D72))/JC72),0)</f>
        <v>0</v>
      </c>
      <c r="JE72" s="1" t="n">
        <f aca="false">IF(AND(HT72=1,ID72&gt;0,Slot4_IsWG=1,BA72=1),MIN(ID72,JD72),0)</f>
        <v>0</v>
      </c>
      <c r="JF72" s="1" t="n">
        <f aca="false">BB72+JE72</f>
        <v>0</v>
      </c>
      <c r="JG72" s="1" t="n">
        <f aca="false">IF(BA72=1,MAX(0,(Slot4_Cost-JF72*(1+Slot4_Rate)^(Slot4_Age-D72))/JC72),0)</f>
        <v>0</v>
      </c>
      <c r="JH72" s="1" t="n">
        <f aca="false">IF(BA72=1,MAX(0,(Slot4_Cost-BB72*(1+Slot4_Rate)^(Slot4_Age-D72))/JC72),0)</f>
        <v>0</v>
      </c>
      <c r="JI72" s="1" t="n">
        <f aca="false">IF(AND(HT72=1,BA72=1),MIN(JB72,JG72),0)</f>
        <v>0</v>
      </c>
      <c r="JJ72" s="1" t="n">
        <f aca="false">JB72-JI72</f>
        <v>0</v>
      </c>
      <c r="JK72" s="1" t="n">
        <f aca="false">IF(BK72=1,IF(ABS((1+AS_Wage)/(1+Slot5_Rate)-1)&lt;0.000000000001,(Slot5_Age-D72)*(1+Slot5_Rate)^(Slot5_Age-D72),(1+Slot5_Rate)^(Slot5_Age-D72)*(1-((1+AS_Wage)/(1+Slot5_Rate))^(Slot5_Age-D72))/(1-(1+AS_Wage)/(1+Slot5_Rate))),1)</f>
        <v>1</v>
      </c>
      <c r="JL72" s="1" t="n">
        <f aca="false">IF(AND(HT72=1,ID72&gt;0,Slot5_IsWG=1,BK72=1),MAX(0,(Slot5_Cost-BL72*(1+Slot5_Rate)^(Slot5_Age-D72))/JK72),0)</f>
        <v>0</v>
      </c>
      <c r="JM72" s="1" t="n">
        <f aca="false">IF(AND(HT72=1,ID72&gt;0,Slot5_IsWG=1,BK72=1),MIN(ID72,JL72),0)</f>
        <v>0</v>
      </c>
      <c r="JN72" s="1" t="n">
        <f aca="false">BL72+JM72</f>
        <v>0</v>
      </c>
      <c r="JO72" s="1" t="n">
        <f aca="false">IF(BK72=1,MAX(0,(Slot5_Cost-JN72*(1+Slot5_Rate)^(Slot5_Age-D72))/JK72),0)</f>
        <v>0</v>
      </c>
      <c r="JP72" s="1" t="n">
        <f aca="false">IF(BK72=1,MAX(0,(Slot5_Cost-BL72*(1+Slot5_Rate)^(Slot5_Age-D72))/JK72),0)</f>
        <v>0</v>
      </c>
      <c r="JQ72" s="1" t="n">
        <f aca="false">IF(AND(HT72=1,BK72=1),MIN(JJ72,JO72),0)</f>
        <v>0</v>
      </c>
      <c r="JR72" s="1" t="n">
        <f aca="false">JJ72-JQ72</f>
        <v>0</v>
      </c>
      <c r="JS72" s="1" t="n">
        <f aca="false">IF(BU72=1,IF(ABS((1+AS_Wage)/(1+Slot6_Rate)-1)&lt;0.000000000001,(Slot6_Age-D72)*(1+Slot6_Rate)^(Slot6_Age-D72),(1+Slot6_Rate)^(Slot6_Age-D72)*(1-((1+AS_Wage)/(1+Slot6_Rate))^(Slot6_Age-D72))/(1-(1+AS_Wage)/(1+Slot6_Rate))),1)</f>
        <v>1</v>
      </c>
      <c r="JT72" s="1" t="n">
        <f aca="false">IF(AND(HT72=1,ID72&gt;0,Slot6_IsWG=1,BU72=1),MAX(0,(Slot6_Cost-BV72*(1+Slot6_Rate)^(Slot6_Age-D72))/JS72),0)</f>
        <v>0</v>
      </c>
      <c r="JU72" s="1" t="n">
        <f aca="false">IF(AND(HT72=1,ID72&gt;0,Slot6_IsWG=1,BU72=1),MIN(ID72,JT72),0)</f>
        <v>0</v>
      </c>
      <c r="JV72" s="1" t="n">
        <f aca="false">BV72+JU72</f>
        <v>0</v>
      </c>
      <c r="JW72" s="1" t="n">
        <f aca="false">IF(BU72=1,MAX(0,(Slot6_Cost-JV72*(1+Slot6_Rate)^(Slot6_Age-D72))/JS72),0)</f>
        <v>0</v>
      </c>
      <c r="JX72" s="1" t="n">
        <f aca="false">IF(BU72=1,MAX(0,(Slot6_Cost-BV72*(1+Slot6_Rate)^(Slot6_Age-D72))/JS72),0)</f>
        <v>0</v>
      </c>
      <c r="JY72" s="1" t="n">
        <f aca="false">IF(AND(HT72=1,BU72=1),MIN(JR72,JW72),0)</f>
        <v>0</v>
      </c>
      <c r="JZ72" s="1" t="n">
        <f aca="false">JR72-JY72</f>
        <v>0</v>
      </c>
      <c r="KA72" s="1" t="n">
        <f aca="false">IF(CE72=1,IF(ABS((1+AS_Wage)/(1+Slot7_Rate)-1)&lt;0.000000000001,(Slot7_Age-D72)*(1+Slot7_Rate)^(Slot7_Age-D72),(1+Slot7_Rate)^(Slot7_Age-D72)*(1-((1+AS_Wage)/(1+Slot7_Rate))^(Slot7_Age-D72))/(1-(1+AS_Wage)/(1+Slot7_Rate))),1)</f>
        <v>1</v>
      </c>
      <c r="KB72" s="1" t="n">
        <f aca="false">IF(AND(HT72=1,ID72&gt;0,Slot7_IsWG=1,CE72=1),MAX(0,(Slot7_Cost-CF72*(1+Slot7_Rate)^(Slot7_Age-D72))/KA72),0)</f>
        <v>0</v>
      </c>
      <c r="KC72" s="1" t="n">
        <f aca="false">IF(AND(HT72=1,ID72&gt;0,Slot7_IsWG=1,CE72=1),MIN(ID72,KB72),0)</f>
        <v>0</v>
      </c>
      <c r="KD72" s="1" t="n">
        <f aca="false">CF72+KC72</f>
        <v>0</v>
      </c>
      <c r="KE72" s="1" t="n">
        <f aca="false">IF(CE72=1,MAX(0,(Slot7_Cost-KD72*(1+Slot7_Rate)^(Slot7_Age-D72))/KA72),0)</f>
        <v>0</v>
      </c>
      <c r="KF72" s="1" t="n">
        <f aca="false">IF(CE72=1,MAX(0,(Slot7_Cost-CF72*(1+Slot7_Rate)^(Slot7_Age-D72))/KA72),0)</f>
        <v>0</v>
      </c>
      <c r="KG72" s="1" t="n">
        <f aca="false">IF(AND(HT72=1,CE72=1),MIN(JZ72,KE72),0)</f>
        <v>0</v>
      </c>
      <c r="KH72" s="1" t="n">
        <f aca="false">JZ72-KG72</f>
        <v>0</v>
      </c>
      <c r="KI72" s="1" t="n">
        <f aca="false">IF(CO72=1,IF(ABS((1+AS_Wage)/(1+Slot8_Rate)-1)&lt;0.000000000001,(Slot8_Age-D72)*(1+Slot8_Rate)^(Slot8_Age-D72),(1+Slot8_Rate)^(Slot8_Age-D72)*(1-((1+AS_Wage)/(1+Slot8_Rate))^(Slot8_Age-D72))/(1-(1+AS_Wage)/(1+Slot8_Rate))),1)</f>
        <v>1</v>
      </c>
      <c r="KJ72" s="1" t="n">
        <f aca="false">IF(AND(HT72=1,ID72&gt;0,Slot8_IsWG=1,CO72=1),MAX(0,(Slot8_Cost-CP72*(1+Slot8_Rate)^(Slot8_Age-D72))/KI72),0)</f>
        <v>0</v>
      </c>
      <c r="KK72" s="1" t="n">
        <f aca="false">IF(AND(HT72=1,ID72&gt;0,Slot8_IsWG=1,CO72=1),MIN(ID72,KJ72),0)</f>
        <v>0</v>
      </c>
      <c r="KL72" s="1" t="n">
        <f aca="false">CP72+KK72</f>
        <v>0</v>
      </c>
      <c r="KM72" s="1" t="n">
        <f aca="false">IF(CO72=1,MAX(0,(Slot8_Cost-KL72*(1+Slot8_Rate)^(Slot8_Age-D72))/KI72),0)</f>
        <v>0</v>
      </c>
      <c r="KN72" s="1" t="n">
        <f aca="false">IF(CO72=1,MAX(0,(Slot8_Cost-CP72*(1+Slot8_Rate)^(Slot8_Age-D72))/KI72),0)</f>
        <v>0</v>
      </c>
      <c r="KO72" s="1" t="n">
        <f aca="false">IF(AND(HT72=1,CO72=1),MIN(KH72,KM72),0)</f>
        <v>0</v>
      </c>
      <c r="KP72" s="1" t="n">
        <f aca="false">KH72-KO72</f>
        <v>0</v>
      </c>
      <c r="KQ72" s="1" t="n">
        <f aca="false">IF(CY72=1,IF(ABS((1+AS_Wage)/(1+Slot9_Rate)-1)&lt;0.000000000001,(Slot9_Age-D72)*(1+Slot9_Rate)^(Slot9_Age-D72),(1+Slot9_Rate)^(Slot9_Age-D72)*(1-((1+AS_Wage)/(1+Slot9_Rate))^(Slot9_Age-D72))/(1-(1+AS_Wage)/(1+Slot9_Rate))),1)</f>
        <v>1</v>
      </c>
      <c r="KR72" s="1" t="n">
        <f aca="false">IF(AND(HT72=1,ID72&gt;0,Slot9_IsWG=1,CY72=1),MAX(0,(Slot9_Cost-CZ72*(1+Slot9_Rate)^(Slot9_Age-D72))/KQ72),0)</f>
        <v>0</v>
      </c>
      <c r="KS72" s="1" t="n">
        <f aca="false">IF(AND(HT72=1,ID72&gt;0,Slot9_IsWG=1,CY72=1),MIN(ID72,KR72),0)</f>
        <v>0</v>
      </c>
      <c r="KT72" s="1" t="n">
        <f aca="false">CZ72+KS72</f>
        <v>0</v>
      </c>
      <c r="KU72" s="1" t="n">
        <f aca="false">IF(CY72=1,MAX(0,(Slot9_Cost-KT72*(1+Slot9_Rate)^(Slot9_Age-D72))/KQ72),0)</f>
        <v>0</v>
      </c>
      <c r="KV72" s="1" t="n">
        <f aca="false">IF(CY72=1,MAX(0,(Slot9_Cost-CZ72*(1+Slot9_Rate)^(Slot9_Age-D72))/KQ72),0)</f>
        <v>0</v>
      </c>
      <c r="KW72" s="1" t="n">
        <f aca="false">IF(AND(HT72=1,CY72=1),MIN(KP72,KU72),0)</f>
        <v>0</v>
      </c>
      <c r="KX72" s="1" t="n">
        <f aca="false">KP72-KW72</f>
        <v>0</v>
      </c>
      <c r="KY72" s="1" t="n">
        <f aca="false">IF(DI72=1,IF(ABS((1+AS_Wage)/(1+Slot10_Rate)-1)&lt;0.000000000001,(Slot10_Age-D72)*(1+Slot10_Rate)^(Slot10_Age-D72),(1+Slot10_Rate)^(Slot10_Age-D72)*(1-((1+AS_Wage)/(1+Slot10_Rate))^(Slot10_Age-D72))/(1-(1+AS_Wage)/(1+Slot10_Rate))),1)</f>
        <v>1</v>
      </c>
      <c r="KZ72" s="1" t="n">
        <f aca="false">IF(AND(HT72=1,ID72&gt;0,Slot10_IsWG=1,DI72=1),MAX(0,(Slot10_Cost-DJ72*(1+Slot10_Rate)^(Slot10_Age-D72))/KY72),0)</f>
        <v>0</v>
      </c>
      <c r="LA72" s="1" t="n">
        <f aca="false">IF(AND(HT72=1,ID72&gt;0,Slot10_IsWG=1,DI72=1),MIN(ID72,KZ72),0)</f>
        <v>0</v>
      </c>
      <c r="LB72" s="1" t="n">
        <f aca="false">DJ72+LA72</f>
        <v>0</v>
      </c>
      <c r="LC72" s="1" t="n">
        <f aca="false">IF(DI72=1,MAX(0,(Slot10_Cost-LB72*(1+Slot10_Rate)^(Slot10_Age-D72))/KY72),0)</f>
        <v>0</v>
      </c>
      <c r="LD72" s="1" t="n">
        <f aca="false">IF(DI72=1,MAX(0,(Slot10_Cost-DJ72*(1+Slot10_Rate)^(Slot10_Age-D72))/KY72),0)</f>
        <v>0</v>
      </c>
      <c r="LE72" s="1" t="n">
        <f aca="false">IF(AND(HT72=1,DI72=1),MIN(KX72,LC72),0)</f>
        <v>0</v>
      </c>
      <c r="LF72" s="1" t="n">
        <f aca="false">KX72-LE72</f>
        <v>0</v>
      </c>
      <c r="LG72" s="1" t="n">
        <f aca="false">IF(DS72=1,IF(ABS((1+AS_Wage)/(1+Slot11_Rate)-1)&lt;0.000000000001,(Slot11_Age-D72)*(1+Slot11_Rate)^(Slot11_Age-D72),(1+Slot11_Rate)^(Slot11_Age-D72)*(1-((1+AS_Wage)/(1+Slot11_Rate))^(Slot11_Age-D72))/(1-(1+AS_Wage)/(1+Slot11_Rate))),1)</f>
        <v>1</v>
      </c>
      <c r="LH72" s="1" t="n">
        <f aca="false">IF(AND(HT72=1,ID72&gt;0,Slot11_IsWG=1,DS72=1),MAX(0,(Slot11_Cost-DT72*(1+Slot11_Rate)^(Slot11_Age-D72))/LG72),0)</f>
        <v>0</v>
      </c>
      <c r="LI72" s="1" t="n">
        <f aca="false">IF(AND(HT72=1,ID72&gt;0,Slot11_IsWG=1,DS72=1),MIN(ID72,LH72),0)</f>
        <v>0</v>
      </c>
      <c r="LJ72" s="1" t="n">
        <f aca="false">DT72+LI72</f>
        <v>0</v>
      </c>
      <c r="LK72" s="1" t="n">
        <f aca="false">IF(DS72=1,MAX(0,(Slot11_Cost-LJ72*(1+Slot11_Rate)^(Slot11_Age-D72))/LG72),0)</f>
        <v>0</v>
      </c>
      <c r="LL72" s="1" t="n">
        <f aca="false">IF(DS72=1,MAX(0,(Slot11_Cost-DT72*(1+Slot11_Rate)^(Slot11_Age-D72))/LG72),0)</f>
        <v>0</v>
      </c>
      <c r="LM72" s="1" t="n">
        <f aca="false">IF(AND(HT72=1,DS72=1),MIN(LF72,LK72),0)</f>
        <v>0</v>
      </c>
      <c r="LN72" s="1" t="n">
        <f aca="false">LF72-LM72</f>
        <v>0</v>
      </c>
      <c r="LO72" s="1" t="n">
        <f aca="false">IF(EC72=1,IF(ABS((1+AS_Wage)/(1+Slot12_Rate)-1)&lt;0.000000000001,(Slot12_Age-D72)*(1+Slot12_Rate)^(Slot12_Age-D72),(1+Slot12_Rate)^(Slot12_Age-D72)*(1-((1+AS_Wage)/(1+Slot12_Rate))^(Slot12_Age-D72))/(1-(1+AS_Wage)/(1+Slot12_Rate))),1)</f>
        <v>1</v>
      </c>
      <c r="LP72" s="1" t="n">
        <f aca="false">IF(AND(HT72=1,ID72&gt;0,Slot12_IsWG=1,EC72=1),MAX(0,(Slot12_Cost-ED72*(1+Slot12_Rate)^(Slot12_Age-D72))/LO72),0)</f>
        <v>0</v>
      </c>
      <c r="LQ72" s="1" t="n">
        <f aca="false">IF(AND(HT72=1,ID72&gt;0,Slot12_IsWG=1,EC72=1),MIN(ID72,LP72),0)</f>
        <v>0</v>
      </c>
      <c r="LR72" s="1" t="n">
        <f aca="false">ED72+LQ72</f>
        <v>0</v>
      </c>
      <c r="LS72" s="1" t="n">
        <f aca="false">IF(EC72=1,MAX(0,(Slot12_Cost-LR72*(1+Slot12_Rate)^(Slot12_Age-D72))/LO72),0)</f>
        <v>0</v>
      </c>
      <c r="LT72" s="1" t="n">
        <f aca="false">IF(EC72=1,MAX(0,(Slot12_Cost-ED72*(1+Slot12_Rate)^(Slot12_Age-D72))/LO72),0)</f>
        <v>0</v>
      </c>
      <c r="LU72" s="1" t="n">
        <f aca="false">IF(AND(HT72=1,EC72=1),MIN(LN72,LS72),0)</f>
        <v>0</v>
      </c>
      <c r="LV72" s="1" t="n">
        <f aca="false">LN72-LU72</f>
        <v>0</v>
      </c>
      <c r="LW72" s="1" t="n">
        <f aca="false">IF(EM72=1,IF(ABS((1+AS_Wage)/(1+Slot13_Rate)-1)&lt;0.000000000001,(Slot13_Age-D72)*(1+Slot13_Rate)^(Slot13_Age-D72),(1+Slot13_Rate)^(Slot13_Age-D72)*(1-((1+AS_Wage)/(1+Slot13_Rate))^(Slot13_Age-D72))/(1-(1+AS_Wage)/(1+Slot13_Rate))),1)</f>
        <v>1</v>
      </c>
      <c r="LX72" s="1" t="n">
        <f aca="false">IF(AND(HT72=1,ID72&gt;0,Slot13_IsWG=1,EM72=1),MAX(0,(Slot13_Cost-EN72*(1+Slot13_Rate)^(Slot13_Age-D72))/LW72),0)</f>
        <v>0</v>
      </c>
      <c r="LY72" s="1" t="n">
        <f aca="false">IF(AND(HT72=1,ID72&gt;0,Slot13_IsWG=1,EM72=1),MIN(ID72,LX72),0)</f>
        <v>0</v>
      </c>
      <c r="LZ72" s="1" t="n">
        <f aca="false">EN72+LY72</f>
        <v>0</v>
      </c>
      <c r="MA72" s="1" t="n">
        <f aca="false">IF(EM72=1,MAX(0,(Slot13_Cost-LZ72*(1+Slot13_Rate)^(Slot13_Age-D72))/LW72),0)</f>
        <v>0</v>
      </c>
      <c r="MB72" s="1" t="n">
        <f aca="false">IF(EM72=1,MAX(0,(Slot13_Cost-EN72*(1+Slot13_Rate)^(Slot13_Age-D72))/LW72),0)</f>
        <v>0</v>
      </c>
      <c r="MC72" s="1" t="n">
        <f aca="false">IF(AND(HT72=1,EM72=1),MIN(LV72,MA72),0)</f>
        <v>0</v>
      </c>
      <c r="MD72" s="1" t="n">
        <f aca="false">LV72-MC72</f>
        <v>0</v>
      </c>
      <c r="ME72" s="1" t="n">
        <f aca="false">IF(EW72=1,IF(ABS((1+AS_Wage)/(1+Slot14_Rate)-1)&lt;0.000000000001,(Slot14_Age-D72)*(1+Slot14_Rate)^(Slot14_Age-D72),(1+Slot14_Rate)^(Slot14_Age-D72)*(1-((1+AS_Wage)/(1+Slot14_Rate))^(Slot14_Age-D72))/(1-(1+AS_Wage)/(1+Slot14_Rate))),1)</f>
        <v>1</v>
      </c>
      <c r="MF72" s="1" t="n">
        <f aca="false">IF(AND(HT72=1,ID72&gt;0,Slot14_IsWG=1,EW72=1),MAX(0,(Slot14_Cost-EX72*(1+Slot14_Rate)^(Slot14_Age-D72))/ME72),0)</f>
        <v>0</v>
      </c>
      <c r="MG72" s="1" t="n">
        <f aca="false">IF(AND(HT72=1,ID72&gt;0,Slot14_IsWG=1,EW72=1),MIN(ID72,MF72),0)</f>
        <v>0</v>
      </c>
      <c r="MH72" s="1" t="n">
        <f aca="false">EX72+MG72</f>
        <v>0</v>
      </c>
      <c r="MI72" s="1" t="n">
        <f aca="false">IF(EW72=1,MAX(0,(Slot14_Cost-MH72*(1+Slot14_Rate)^(Slot14_Age-D72))/ME72),0)</f>
        <v>0</v>
      </c>
      <c r="MJ72" s="1" t="n">
        <f aca="false">IF(EW72=1,MAX(0,(Slot14_Cost-EX72*(1+Slot14_Rate)^(Slot14_Age-D72))/ME72),0)</f>
        <v>0</v>
      </c>
      <c r="MK72" s="1" t="n">
        <f aca="false">IF(AND(HT72=1,EW72=1),MIN(MD72,MI72),0)</f>
        <v>0</v>
      </c>
      <c r="ML72" s="1" t="n">
        <f aca="false">MD72-MK72</f>
        <v>0</v>
      </c>
      <c r="MM72" s="1" t="n">
        <f aca="false">IF(FG72=1,IF(ABS((1+AS_Wage)/(1+Slot15_Rate)-1)&lt;0.000000000001,(Slot15_Age-D72)*(1+Slot15_Rate)^(Slot15_Age-D72),(1+Slot15_Rate)^(Slot15_Age-D72)*(1-((1+AS_Wage)/(1+Slot15_Rate))^(Slot15_Age-D72))/(1-(1+AS_Wage)/(1+Slot15_Rate))),1)</f>
        <v>1</v>
      </c>
      <c r="MN72" s="1" t="n">
        <f aca="false">IF(AND(HT72=1,ID72&gt;0,Slot15_IsWG=1,FG72=1),MAX(0,(Slot15_Cost-FH72*(1+Slot15_Rate)^(Slot15_Age-D72))/MM72),0)</f>
        <v>0</v>
      </c>
      <c r="MO72" s="1" t="n">
        <f aca="false">IF(AND(HT72=1,ID72&gt;0,Slot15_IsWG=1,FG72=1),MIN(ID72,MN72),0)</f>
        <v>0</v>
      </c>
      <c r="MP72" s="1" t="n">
        <f aca="false">FH72+MO72</f>
        <v>0</v>
      </c>
      <c r="MQ72" s="1" t="n">
        <f aca="false">IF(FG72=1,MAX(0,(Slot15_Cost-MP72*(1+Slot15_Rate)^(Slot15_Age-D72))/MM72),0)</f>
        <v>0</v>
      </c>
      <c r="MR72" s="1" t="n">
        <f aca="false">IF(FG72=1,MAX(0,(Slot15_Cost-FH72*(1+Slot15_Rate)^(Slot15_Age-D72))/MM72),0)</f>
        <v>0</v>
      </c>
      <c r="MS72" s="1" t="n">
        <f aca="false">IF(AND(HT72=1,FG72=1),MIN(ML72,MQ72),0)</f>
        <v>0</v>
      </c>
      <c r="MT72" s="1" t="n">
        <f aca="false">ML72-MS72</f>
        <v>0</v>
      </c>
      <c r="MU72" s="1" t="n">
        <f aca="false">IF(FQ72=1,IF(ABS((1+AS_Wage)/(1+Slot16_Rate)-1)&lt;0.000000000001,(Slot16_Age-D72)*(1+Slot16_Rate)^(Slot16_Age-D72),(1+Slot16_Rate)^(Slot16_Age-D72)*(1-((1+AS_Wage)/(1+Slot16_Rate))^(Slot16_Age-D72))/(1-(1+AS_Wage)/(1+Slot16_Rate))),1)</f>
        <v>1</v>
      </c>
      <c r="MV72" s="1" t="n">
        <f aca="false">IF(AND(HT72=1,ID72&gt;0,Slot16_IsWG=1,FQ72=1),MAX(0,(Slot16_Cost-FR72*(1+Slot16_Rate)^(Slot16_Age-D72))/MU72),0)</f>
        <v>0</v>
      </c>
      <c r="MW72" s="1" t="n">
        <f aca="false">IF(AND(HT72=1,ID72&gt;0,Slot16_IsWG=1,FQ72=1),MIN(ID72,MV72),0)</f>
        <v>0</v>
      </c>
      <c r="MX72" s="1" t="n">
        <f aca="false">FR72+MW72</f>
        <v>0</v>
      </c>
      <c r="MY72" s="1" t="n">
        <f aca="false">IF(FQ72=1,MAX(0,(Slot16_Cost-MX72*(1+Slot16_Rate)^(Slot16_Age-D72))/MU72),0)</f>
        <v>0</v>
      </c>
      <c r="MZ72" s="1" t="n">
        <f aca="false">IF(FQ72=1,MAX(0,(Slot16_Cost-FR72*(1+Slot16_Rate)^(Slot16_Age-D72))/MU72),0)</f>
        <v>0</v>
      </c>
      <c r="NA72" s="1" t="n">
        <f aca="false">IF(AND(HT72=1,FQ72=1),MIN(MT72,MY72),0)</f>
        <v>0</v>
      </c>
      <c r="NB72" s="1" t="n">
        <f aca="false">MT72-NA72</f>
        <v>0</v>
      </c>
      <c r="NC72" s="1" t="n">
        <f aca="false">IF(GA72=1,IF(ABS((1+AS_Wage)/(1+Slot17_Rate)-1)&lt;0.000000000001,(Slot17_Age-D72)*(1+Slot17_Rate)^(Slot17_Age-D72),(1+Slot17_Rate)^(Slot17_Age-D72)*(1-((1+AS_Wage)/(1+Slot17_Rate))^(Slot17_Age-D72))/(1-(1+AS_Wage)/(1+Slot17_Rate))),1)</f>
        <v>1</v>
      </c>
      <c r="ND72" s="1" t="n">
        <f aca="false">IF(AND(HT72=1,ID72&gt;0,Slot17_IsWG=1,GA72=1),MAX(0,(Slot17_Cost-GB72*(1+Slot17_Rate)^(Slot17_Age-D72))/NC72),0)</f>
        <v>0</v>
      </c>
      <c r="NE72" s="1" t="n">
        <f aca="false">IF(AND(HT72=1,ID72&gt;0,Slot17_IsWG=1,GA72=1),MIN(ID72,ND72),0)</f>
        <v>0</v>
      </c>
      <c r="NF72" s="1" t="n">
        <f aca="false">GB72+NE72</f>
        <v>0</v>
      </c>
      <c r="NG72" s="1" t="n">
        <f aca="false">IF(GA72=1,MAX(0,(Slot17_Cost-NF72*(1+Slot17_Rate)^(Slot17_Age-D72))/NC72),0)</f>
        <v>0</v>
      </c>
      <c r="NH72" s="1" t="n">
        <f aca="false">IF(GA72=1,MAX(0,(Slot17_Cost-GB72*(1+Slot17_Rate)^(Slot17_Age-D72))/NC72),0)</f>
        <v>0</v>
      </c>
      <c r="NI72" s="1" t="n">
        <f aca="false">IF(AND(HT72=1,GA72=1),MIN(NB72,NG72),0)</f>
        <v>0</v>
      </c>
      <c r="NJ72" s="1" t="n">
        <f aca="false">NB72-NI72</f>
        <v>0</v>
      </c>
      <c r="NK72" s="1" t="n">
        <f aca="false">IF(GK72=1,IF(ABS((1+AS_Wage)/(1+Slot18_Rate)-1)&lt;0.000000000001,(Slot18_Age-D72)*(1+Slot18_Rate)^(Slot18_Age-D72),(1+Slot18_Rate)^(Slot18_Age-D72)*(1-((1+AS_Wage)/(1+Slot18_Rate))^(Slot18_Age-D72))/(1-(1+AS_Wage)/(1+Slot18_Rate))),1)</f>
        <v>1</v>
      </c>
      <c r="NL72" s="1" t="n">
        <f aca="false">IF(AND(HT72=1,ID72&gt;0,Slot18_IsWG=1,GK72=1),MAX(0,(Slot18_Cost-GL72*(1+Slot18_Rate)^(Slot18_Age-D72))/NK72),0)</f>
        <v>0</v>
      </c>
      <c r="NM72" s="1" t="n">
        <f aca="false">IF(AND(HT72=1,ID72&gt;0,Slot18_IsWG=1,GK72=1),MIN(ID72,NL72),0)</f>
        <v>0</v>
      </c>
      <c r="NN72" s="1" t="n">
        <f aca="false">GL72+NM72</f>
        <v>0</v>
      </c>
      <c r="NO72" s="1" t="n">
        <f aca="false">IF(GK72=1,MAX(0,(Slot18_Cost-NN72*(1+Slot18_Rate)^(Slot18_Age-D72))/NK72),0)</f>
        <v>0</v>
      </c>
      <c r="NP72" s="1" t="n">
        <f aca="false">IF(GK72=1,MAX(0,(Slot18_Cost-GL72*(1+Slot18_Rate)^(Slot18_Age-D72))/NK72),0)</f>
        <v>0</v>
      </c>
      <c r="NQ72" s="1" t="n">
        <f aca="false">IF(AND(HT72=1,GK72=1),MIN(NJ72,NO72),0)</f>
        <v>0</v>
      </c>
      <c r="NR72" s="1" t="n">
        <f aca="false">NJ72-NQ72</f>
        <v>0</v>
      </c>
      <c r="NS72" s="1" t="n">
        <f aca="false">IF(GU72=1,IF(ABS((1+AS_Wage)/(1+Slot19_Rate)-1)&lt;0.000000000001,(Slot19_Age-D72)*(1+Slot19_Rate)^(Slot19_Age-D72),(1+Slot19_Rate)^(Slot19_Age-D72)*(1-((1+AS_Wage)/(1+Slot19_Rate))^(Slot19_Age-D72))/(1-(1+AS_Wage)/(1+Slot19_Rate))),1)</f>
        <v>1</v>
      </c>
      <c r="NT72" s="1" t="n">
        <f aca="false">IF(AND(HT72=1,ID72&gt;0,Slot19_IsWG=1,GU72=1),MAX(0,(Slot19_Cost-GV72*(1+Slot19_Rate)^(Slot19_Age-D72))/NS72),0)</f>
        <v>0</v>
      </c>
      <c r="NU72" s="1" t="n">
        <f aca="false">IF(AND(HT72=1,ID72&gt;0,Slot19_IsWG=1,GU72=1),MIN(ID72,NT72),0)</f>
        <v>0</v>
      </c>
      <c r="NV72" s="1" t="n">
        <f aca="false">GV72+NU72</f>
        <v>0</v>
      </c>
      <c r="NW72" s="1" t="n">
        <f aca="false">IF(GU72=1,MAX(0,(Slot19_Cost-NV72*(1+Slot19_Rate)^(Slot19_Age-D72))/NS72),0)</f>
        <v>0</v>
      </c>
      <c r="NX72" s="1" t="n">
        <f aca="false">IF(GU72=1,MAX(0,(Slot19_Cost-GV72*(1+Slot19_Rate)^(Slot19_Age-D72))/NS72),0)</f>
        <v>0</v>
      </c>
      <c r="NY72" s="1" t="n">
        <f aca="false">IF(AND(HT72=1,GU72=1),MIN(NR72,NW72),0)</f>
        <v>0</v>
      </c>
      <c r="NZ72" s="1" t="n">
        <f aca="false">NR72-NY72</f>
        <v>0</v>
      </c>
      <c r="OA72" s="1" t="n">
        <f aca="false">IF(HE72=1,IF(ABS((1+AS_Wage)/(1+Slot20_Rate)-1)&lt;0.000000000001,(Slot20_Age-D72)*(1+Slot20_Rate)^(Slot20_Age-D72),(1+Slot20_Rate)^(Slot20_Age-D72)*(1-((1+AS_Wage)/(1+Slot20_Rate))^(Slot20_Age-D72))/(1-(1+AS_Wage)/(1+Slot20_Rate))),1)</f>
        <v>1</v>
      </c>
      <c r="OB72" s="1" t="n">
        <f aca="false">IF(AND(HT72=1,ID72&gt;0,Slot20_IsWG=1,HE72=1),MAX(0,(Slot20_Cost-HF72*(1+Slot20_Rate)^(Slot20_Age-D72))/OA72),0)</f>
        <v>0</v>
      </c>
      <c r="OC72" s="1" t="n">
        <f aca="false">IF(AND(HT72=1,ID72&gt;0,Slot20_IsWG=1,HE72=1),MIN(ID72,OB72),0)</f>
        <v>0</v>
      </c>
      <c r="OD72" s="1" t="n">
        <f aca="false">HF72+OC72</f>
        <v>0</v>
      </c>
      <c r="OE72" s="1" t="n">
        <f aca="false">IF(HE72=1,MAX(0,(Slot20_Cost-OD72*(1+Slot20_Rate)^(Slot20_Age-D72))/OA72),0)</f>
        <v>0</v>
      </c>
      <c r="OF72" s="1" t="n">
        <f aca="false">IF(HE72=1,MAX(0,(Slot20_Cost-HF72*(1+Slot20_Rate)^(Slot20_Age-D72))/OA72),0)</f>
        <v>0</v>
      </c>
      <c r="OG72" s="1" t="n">
        <f aca="false">IF(AND(HT72=1,HE72=1),MIN(NZ72,OE72),0)</f>
        <v>0</v>
      </c>
      <c r="OH72" s="1" t="n">
        <f aca="false">NZ72-OG72</f>
        <v>0</v>
      </c>
      <c r="OI72" s="1" t="n">
        <f aca="false">ID72-(IG72+IO72+IW72+JE72+JM72+JU72+KC72+KK72+KS72+LA72+LI72+LQ72+LY72+MG72+MO72+MW72+NE72+NM72+NU72+OC72)</f>
        <v>0</v>
      </c>
      <c r="OJ72" s="1" t="n">
        <f aca="false">IF(HT72=1,HR72-IC72-ID72,0)</f>
        <v>0</v>
      </c>
      <c r="OK72" s="1" t="n">
        <f aca="false">IF(HT72=0,-HR72,0)</f>
        <v>0</v>
      </c>
      <c r="OL72" s="1" t="n">
        <f aca="false">MIN(OK72,HJ72)</f>
        <v>0</v>
      </c>
      <c r="OM72" s="1" t="n">
        <f aca="false">OK72-OL72</f>
        <v>0</v>
      </c>
      <c r="ON72" s="1" t="n">
        <f aca="false">MIN(OM72,HK72)</f>
        <v>0</v>
      </c>
      <c r="OO72" s="1" t="n">
        <f aca="false">OM72-ON72</f>
        <v>0</v>
      </c>
      <c r="OP72" s="1" t="n">
        <f aca="false">IF(AND(HT72=0,HE72=1,OO72&gt;0),MIN(OO72,HF72),0)</f>
        <v>0</v>
      </c>
      <c r="OQ72" s="1" t="n">
        <f aca="false">OO72-OP72</f>
        <v>0</v>
      </c>
      <c r="OR72" s="1" t="n">
        <f aca="false">IF(AND(HT72=0,GU72=1,OQ72&gt;0),MIN(OQ72,GV72),0)</f>
        <v>0</v>
      </c>
      <c r="OS72" s="1" t="n">
        <f aca="false">OQ72-OR72</f>
        <v>0</v>
      </c>
      <c r="OT72" s="1" t="n">
        <f aca="false">IF(AND(HT72=0,GK72=1,OS72&gt;0),MIN(OS72,GL72),0)</f>
        <v>0</v>
      </c>
      <c r="OU72" s="1" t="n">
        <f aca="false">OS72-OT72</f>
        <v>0</v>
      </c>
      <c r="OV72" s="1" t="n">
        <f aca="false">IF(AND(HT72=0,GA72=1,OU72&gt;0),MIN(OU72,GB72),0)</f>
        <v>0</v>
      </c>
      <c r="OW72" s="1" t="n">
        <f aca="false">OU72-OV72</f>
        <v>0</v>
      </c>
      <c r="OX72" s="1" t="n">
        <f aca="false">IF(AND(HT72=0,FQ72=1,OW72&gt;0),MIN(OW72,FR72),0)</f>
        <v>0</v>
      </c>
      <c r="OY72" s="1" t="n">
        <f aca="false">OW72-OX72</f>
        <v>0</v>
      </c>
      <c r="OZ72" s="1" t="n">
        <f aca="false">IF(AND(HT72=0,FG72=1,OY72&gt;0),MIN(OY72,FH72),0)</f>
        <v>0</v>
      </c>
      <c r="PA72" s="1" t="n">
        <f aca="false">OY72-OZ72</f>
        <v>0</v>
      </c>
      <c r="PB72" s="1" t="n">
        <f aca="false">IF(AND(HT72=0,EW72=1,PA72&gt;0),MIN(PA72,EX72),0)</f>
        <v>0</v>
      </c>
      <c r="PC72" s="1" t="n">
        <f aca="false">PA72-PB72</f>
        <v>0</v>
      </c>
      <c r="PD72" s="1" t="n">
        <f aca="false">IF(AND(HT72=0,EM72=1,PC72&gt;0),MIN(PC72,EN72),0)</f>
        <v>0</v>
      </c>
      <c r="PE72" s="1" t="n">
        <f aca="false">PC72-PD72</f>
        <v>0</v>
      </c>
      <c r="PF72" s="1" t="n">
        <f aca="false">IF(AND(HT72=0,EC72=1,PE72&gt;0),MIN(PE72,ED72),0)</f>
        <v>0</v>
      </c>
      <c r="PG72" s="1" t="n">
        <f aca="false">PE72-PF72</f>
        <v>0</v>
      </c>
      <c r="PH72" s="1" t="n">
        <f aca="false">IF(AND(HT72=0,DS72=1,PG72&gt;0),MIN(PG72,DT72),0)</f>
        <v>0</v>
      </c>
      <c r="PI72" s="1" t="n">
        <f aca="false">PG72-PH72</f>
        <v>0</v>
      </c>
      <c r="PJ72" s="1" t="n">
        <f aca="false">IF(AND(HT72=0,DI72=1,PI72&gt;0),MIN(PI72,DJ72),0)</f>
        <v>0</v>
      </c>
      <c r="PK72" s="1" t="n">
        <f aca="false">PI72-PJ72</f>
        <v>0</v>
      </c>
      <c r="PL72" s="1" t="n">
        <f aca="false">IF(AND(HT72=0,CY72=1,PK72&gt;0),MIN(PK72,CZ72),0)</f>
        <v>0</v>
      </c>
      <c r="PM72" s="1" t="n">
        <f aca="false">PK72-PL72</f>
        <v>0</v>
      </c>
      <c r="PN72" s="1" t="n">
        <f aca="false">IF(AND(HT72=0,CO72=1,PM72&gt;0),MIN(PM72,CP72),0)</f>
        <v>0</v>
      </c>
      <c r="PO72" s="1" t="n">
        <f aca="false">PM72-PN72</f>
        <v>0</v>
      </c>
      <c r="PP72" s="1" t="n">
        <f aca="false">IF(AND(HT72=0,CE72=1,PO72&gt;0),MIN(PO72,CF72),0)</f>
        <v>0</v>
      </c>
      <c r="PQ72" s="1" t="n">
        <f aca="false">PO72-PP72</f>
        <v>0</v>
      </c>
      <c r="PR72" s="1" t="n">
        <f aca="false">IF(AND(HT72=0,BU72=1,PQ72&gt;0),MIN(PQ72,BV72),0)</f>
        <v>0</v>
      </c>
      <c r="PS72" s="1" t="n">
        <f aca="false">PQ72-PR72</f>
        <v>0</v>
      </c>
      <c r="PT72" s="1" t="n">
        <f aca="false">IF(AND(HT72=0,BK72=1,PS72&gt;0),MIN(PS72,BL72),0)</f>
        <v>0</v>
      </c>
      <c r="PU72" s="1" t="n">
        <f aca="false">PS72-PT72</f>
        <v>0</v>
      </c>
      <c r="PV72" s="1" t="n">
        <f aca="false">IF(AND(HT72=0,BA72=1,PU72&gt;0),MIN(PU72,BB72),0)</f>
        <v>0</v>
      </c>
      <c r="PW72" s="1" t="n">
        <f aca="false">PU72-PV72</f>
        <v>0</v>
      </c>
      <c r="PX72" s="1" t="n">
        <f aca="false">IF(AND(HT72=0,AQ72=1,PW72&gt;0),MIN(PW72,AR72),0)</f>
        <v>0</v>
      </c>
      <c r="PY72" s="1" t="n">
        <f aca="false">PW72-PX72</f>
        <v>0</v>
      </c>
      <c r="PZ72" s="1" t="n">
        <f aca="false">IF(AND(HT72=0,AG72=1,PY72&gt;0),MIN(PY72,AH72),0)</f>
        <v>0</v>
      </c>
      <c r="QA72" s="1" t="n">
        <f aca="false">PY72-PZ72</f>
        <v>0</v>
      </c>
      <c r="QB72" s="1" t="n">
        <f aca="false">IF(AND(HT72=0,V72=1,QA72&gt;0),MIN(QA72,W72),0)</f>
        <v>0</v>
      </c>
      <c r="QC72" s="1" t="n">
        <f aca="false">QA72-QB72</f>
        <v>0</v>
      </c>
      <c r="QD72" s="1" t="n">
        <f aca="false">IF(HT72=0,QC72,0)</f>
        <v>0</v>
      </c>
      <c r="QE72" s="1" t="n">
        <f aca="false">OL72+ON72+QB72+PZ72+PX72+PV72+PT72+PR72+PP72+PN72+PL72+PJ72+PH72+PF72+PD72+PB72+OZ72+OX72+OV72+OT72+OR72+OP72</f>
        <v>0</v>
      </c>
      <c r="QF72" s="1" t="n">
        <f aca="false">IF(HT72=1,HJ72+OI72+OH72+IF(F72=1,0,OJ72),HJ72-OL72)</f>
        <v>0</v>
      </c>
      <c r="QG72" s="1" t="n">
        <f aca="false">HK72-ON72</f>
        <v>0</v>
      </c>
      <c r="QH72" s="1" t="n">
        <f aca="false">IF(HT72=1,IF(F72=1,IC72+ID72,HR72),0)</f>
        <v>0</v>
      </c>
      <c r="QI72" s="1" t="n">
        <f aca="false">IF(HT72=1,IF(F72=1,HR72-IC72-ID72,0),0)</f>
        <v>0</v>
      </c>
      <c r="QJ72" s="1" t="n">
        <f aca="false">QF72*(1+GR)</f>
        <v>0</v>
      </c>
      <c r="QK72" s="1" t="n">
        <f aca="false">QG72*(1+AS_Cash)</f>
        <v>0</v>
      </c>
      <c r="QL72" s="1" t="n">
        <f aca="false">IF(V72=1,IF(HT72=1,IH72+IK72,W72-QB72)*(1+Slot1_Rate),0)</f>
        <v>0</v>
      </c>
      <c r="QM72" s="1" t="n">
        <f aca="false">IF(AND(HT72=1,V72=1),(IG72+IK72)/E72,0)</f>
        <v>0</v>
      </c>
      <c r="QN72" s="1" t="n">
        <f aca="false">IF(B72=0,IG72+IK72,0)</f>
        <v>0</v>
      </c>
      <c r="QO72" s="1" t="n">
        <f aca="false">IF(B72=0,IF(HT72=1,II72,IJ72),0)</f>
        <v>0</v>
      </c>
      <c r="QP72" s="1" t="n">
        <f aca="false">IF(AG72=1,IF(HT72=1,IP72+IS72,AH72-PZ72)*(1+Slot2_Rate),0)</f>
        <v>0</v>
      </c>
      <c r="QQ72" s="1" t="n">
        <f aca="false">IF(AND(HT72=1,AG72=1),(IO72+IS72)/E72,0)</f>
        <v>0</v>
      </c>
      <c r="QR72" s="1" t="n">
        <f aca="false">IF(B72=0,IO72+IS72,0)</f>
        <v>0</v>
      </c>
      <c r="QS72" s="1" t="n">
        <f aca="false">IF(B72=0,IF(HT72=1,IQ72,IR72),0)</f>
        <v>0</v>
      </c>
      <c r="QT72" s="1" t="n">
        <f aca="false">IF(AQ72=1,IF(HT72=1,IX72+JA72,AR72-PX72)*(1+Slot3_Rate),0)</f>
        <v>0</v>
      </c>
      <c r="QU72" s="1" t="n">
        <f aca="false">IF(AND(HT72=1,AQ72=1),(IW72+JA72)/E72,0)</f>
        <v>0</v>
      </c>
      <c r="QV72" s="1" t="n">
        <f aca="false">IF(B72=0,IW72+JA72,0)</f>
        <v>0</v>
      </c>
      <c r="QW72" s="1" t="n">
        <f aca="false">IF(B72=0,IF(HT72=1,IY72,IZ72),0)</f>
        <v>0</v>
      </c>
      <c r="QX72" s="1" t="n">
        <f aca="false">IF(BA72=1,IF(HT72=1,JF72+JI72,BB72-PV72)*(1+Slot4_Rate),0)</f>
        <v>0</v>
      </c>
      <c r="QY72" s="1" t="n">
        <f aca="false">IF(AND(HT72=1,BA72=1),(JE72+JI72)/E72,0)</f>
        <v>0</v>
      </c>
      <c r="QZ72" s="1" t="n">
        <f aca="false">IF(B72=0,JE72+JI72,0)</f>
        <v>0</v>
      </c>
      <c r="RA72" s="1" t="n">
        <f aca="false">IF(B72=0,IF(HT72=1,JG72,JH72),0)</f>
        <v>0</v>
      </c>
      <c r="RB72" s="1" t="n">
        <f aca="false">IF(BK72=1,IF(HT72=1,JN72+JQ72,BL72-PT72)*(1+Slot5_Rate),0)</f>
        <v>0</v>
      </c>
      <c r="RC72" s="1" t="n">
        <f aca="false">IF(AND(HT72=1,BK72=1),(JM72+JQ72)/E72,0)</f>
        <v>0</v>
      </c>
      <c r="RD72" s="1" t="n">
        <f aca="false">IF(B72=0,JM72+JQ72,0)</f>
        <v>0</v>
      </c>
      <c r="RE72" s="1" t="n">
        <f aca="false">IF(B72=0,IF(HT72=1,JO72,JP72),0)</f>
        <v>0</v>
      </c>
      <c r="RF72" s="1" t="n">
        <f aca="false">IF(BU72=1,IF(HT72=1,JV72+JY72,BV72-PR72)*(1+Slot6_Rate),0)</f>
        <v>0</v>
      </c>
      <c r="RG72" s="1" t="n">
        <f aca="false">IF(AND(HT72=1,BU72=1),(JU72+JY72)/E72,0)</f>
        <v>0</v>
      </c>
      <c r="RH72" s="1" t="n">
        <f aca="false">IF(B72=0,JU72+JY72,0)</f>
        <v>0</v>
      </c>
      <c r="RI72" s="1" t="n">
        <f aca="false">IF(B72=0,IF(HT72=1,JW72,JX72),0)</f>
        <v>0</v>
      </c>
      <c r="RJ72" s="1" t="n">
        <f aca="false">IF(CE72=1,IF(HT72=1,KD72+KG72,CF72-PP72)*(1+Slot7_Rate),0)</f>
        <v>0</v>
      </c>
      <c r="RK72" s="1" t="n">
        <f aca="false">IF(AND(HT72=1,CE72=1),(KC72+KG72)/E72,0)</f>
        <v>0</v>
      </c>
      <c r="RL72" s="1" t="n">
        <f aca="false">IF(B72=0,KC72+KG72,0)</f>
        <v>0</v>
      </c>
      <c r="RM72" s="1" t="n">
        <f aca="false">IF(B72=0,IF(HT72=1,KE72,KF72),0)</f>
        <v>0</v>
      </c>
      <c r="RN72" s="1" t="n">
        <f aca="false">IF(CO72=1,IF(HT72=1,KL72+KO72,CP72-PN72)*(1+Slot8_Rate),0)</f>
        <v>0</v>
      </c>
      <c r="RO72" s="1" t="n">
        <f aca="false">IF(AND(HT72=1,CO72=1),(KK72+KO72)/E72,0)</f>
        <v>0</v>
      </c>
      <c r="RP72" s="1" t="n">
        <f aca="false">IF(B72=0,KK72+KO72,0)</f>
        <v>0</v>
      </c>
      <c r="RQ72" s="1" t="n">
        <f aca="false">IF(B72=0,IF(HT72=1,KM72,KN72),0)</f>
        <v>0</v>
      </c>
      <c r="RR72" s="1" t="n">
        <f aca="false">IF(CY72=1,IF(HT72=1,KT72+KW72,CZ72-PL72)*(1+Slot9_Rate),0)</f>
        <v>0</v>
      </c>
      <c r="RS72" s="1" t="n">
        <f aca="false">IF(AND(HT72=1,CY72=1),(KS72+KW72)/E72,0)</f>
        <v>0</v>
      </c>
      <c r="RT72" s="1" t="n">
        <f aca="false">IF(B72=0,KS72+KW72,0)</f>
        <v>0</v>
      </c>
      <c r="RU72" s="1" t="n">
        <f aca="false">IF(B72=0,IF(HT72=1,KU72,KV72),0)</f>
        <v>0</v>
      </c>
      <c r="RV72" s="1" t="n">
        <f aca="false">IF(DI72=1,IF(HT72=1,LB72+LE72,DJ72-PJ72)*(1+Slot10_Rate),0)</f>
        <v>0</v>
      </c>
      <c r="RW72" s="1" t="n">
        <f aca="false">IF(AND(HT72=1,DI72=1),(LA72+LE72)/E72,0)</f>
        <v>0</v>
      </c>
      <c r="RX72" s="1" t="n">
        <f aca="false">IF(B72=0,LA72+LE72,0)</f>
        <v>0</v>
      </c>
      <c r="RY72" s="1" t="n">
        <f aca="false">IF(B72=0,IF(HT72=1,LC72,LD72),0)</f>
        <v>0</v>
      </c>
      <c r="RZ72" s="1" t="n">
        <f aca="false">IF(DS72=1,IF(HT72=1,LJ72+LM72,DT72-PH72)*(1+Slot11_Rate),0)</f>
        <v>0</v>
      </c>
      <c r="SA72" s="1" t="n">
        <f aca="false">IF(AND(HT72=1,DS72=1),(LI72+LM72)/E72,0)</f>
        <v>0</v>
      </c>
      <c r="SB72" s="1" t="n">
        <f aca="false">IF(B72=0,LI72+LM72,0)</f>
        <v>0</v>
      </c>
      <c r="SC72" s="1" t="n">
        <f aca="false">IF(B72=0,IF(HT72=1,LK72,LL72),0)</f>
        <v>0</v>
      </c>
      <c r="SD72" s="1" t="n">
        <f aca="false">IF(EC72=1,IF(HT72=1,LR72+LU72,ED72-PF72)*(1+Slot12_Rate),0)</f>
        <v>0</v>
      </c>
      <c r="SE72" s="1" t="n">
        <f aca="false">IF(AND(HT72=1,EC72=1),(LQ72+LU72)/E72,0)</f>
        <v>0</v>
      </c>
      <c r="SF72" s="1" t="n">
        <f aca="false">IF(B72=0,LQ72+LU72,0)</f>
        <v>0</v>
      </c>
      <c r="SG72" s="1" t="n">
        <f aca="false">IF(B72=0,IF(HT72=1,LS72,LT72),0)</f>
        <v>0</v>
      </c>
      <c r="SH72" s="1" t="n">
        <f aca="false">IF(EM72=1,IF(HT72=1,LZ72+MC72,EN72-PD72)*(1+Slot13_Rate),0)</f>
        <v>0</v>
      </c>
      <c r="SI72" s="1" t="n">
        <f aca="false">IF(AND(HT72=1,EM72=1),(LY72+MC72)/E72,0)</f>
        <v>0</v>
      </c>
      <c r="SJ72" s="1" t="n">
        <f aca="false">IF(B72=0,LY72+MC72,0)</f>
        <v>0</v>
      </c>
      <c r="SK72" s="1" t="n">
        <f aca="false">IF(B72=0,IF(HT72=1,MA72,MB72),0)</f>
        <v>0</v>
      </c>
      <c r="SL72" s="1" t="n">
        <f aca="false">IF(EW72=1,IF(HT72=1,MH72+MK72,EX72-PB72)*(1+Slot14_Rate),0)</f>
        <v>0</v>
      </c>
      <c r="SM72" s="1" t="n">
        <f aca="false">IF(AND(HT72=1,EW72=1),(MG72+MK72)/E72,0)</f>
        <v>0</v>
      </c>
      <c r="SN72" s="1" t="n">
        <f aca="false">IF(B72=0,MG72+MK72,0)</f>
        <v>0</v>
      </c>
      <c r="SO72" s="1" t="n">
        <f aca="false">IF(B72=0,IF(HT72=1,MI72,MJ72),0)</f>
        <v>0</v>
      </c>
      <c r="SP72" s="1" t="n">
        <f aca="false">IF(FG72=1,IF(HT72=1,MP72+MS72,FH72-OZ72)*(1+Slot15_Rate),0)</f>
        <v>0</v>
      </c>
      <c r="SQ72" s="1" t="n">
        <f aca="false">IF(AND(HT72=1,FG72=1),(MO72+MS72)/E72,0)</f>
        <v>0</v>
      </c>
      <c r="SR72" s="1" t="n">
        <f aca="false">IF(B72=0,MO72+MS72,0)</f>
        <v>0</v>
      </c>
      <c r="SS72" s="1" t="n">
        <f aca="false">IF(B72=0,IF(HT72=1,MQ72,MR72),0)</f>
        <v>0</v>
      </c>
      <c r="ST72" s="1" t="n">
        <f aca="false">IF(FQ72=1,IF(HT72=1,MX72+NA72,FR72-OX72)*(1+Slot16_Rate),0)</f>
        <v>0</v>
      </c>
      <c r="SU72" s="1" t="n">
        <f aca="false">IF(AND(HT72=1,FQ72=1),(MW72+NA72)/E72,0)</f>
        <v>0</v>
      </c>
      <c r="SV72" s="1" t="n">
        <f aca="false">IF(B72=0,MW72+NA72,0)</f>
        <v>0</v>
      </c>
      <c r="SW72" s="1" t="n">
        <f aca="false">IF(B72=0,IF(HT72=1,MY72,MZ72),0)</f>
        <v>0</v>
      </c>
      <c r="SX72" s="1" t="n">
        <f aca="false">IF(GA72=1,IF(HT72=1,NF72+NI72,GB72-OV72)*(1+Slot17_Rate),0)</f>
        <v>0</v>
      </c>
      <c r="SY72" s="1" t="n">
        <f aca="false">IF(AND(HT72=1,GA72=1),(NE72+NI72)/E72,0)</f>
        <v>0</v>
      </c>
      <c r="SZ72" s="1" t="n">
        <f aca="false">IF(B72=0,NE72+NI72,0)</f>
        <v>0</v>
      </c>
      <c r="TA72" s="1" t="n">
        <f aca="false">IF(B72=0,IF(HT72=1,NG72,NH72),0)</f>
        <v>0</v>
      </c>
      <c r="TB72" s="1" t="n">
        <f aca="false">IF(GK72=1,IF(HT72=1,NN72+NQ72,GL72-OT72)*(1+Slot18_Rate),0)</f>
        <v>0</v>
      </c>
      <c r="TC72" s="1" t="n">
        <f aca="false">IF(AND(HT72=1,GK72=1),(NM72+NQ72)/E72,0)</f>
        <v>0</v>
      </c>
      <c r="TD72" s="1" t="n">
        <f aca="false">IF(B72=0,NM72+NQ72,0)</f>
        <v>0</v>
      </c>
      <c r="TE72" s="1" t="n">
        <f aca="false">IF(B72=0,IF(HT72=1,NO72,NP72),0)</f>
        <v>0</v>
      </c>
      <c r="TF72" s="1" t="n">
        <f aca="false">IF(GU72=1,IF(HT72=1,NV72+NY72,GV72-OR72)*(1+Slot19_Rate),0)</f>
        <v>0</v>
      </c>
      <c r="TG72" s="1" t="n">
        <f aca="false">IF(AND(HT72=1,GU72=1),(NU72+NY72)/E72,0)</f>
        <v>0</v>
      </c>
      <c r="TH72" s="1" t="n">
        <f aca="false">IF(B72=0,NU72+NY72,0)</f>
        <v>0</v>
      </c>
      <c r="TI72" s="1" t="n">
        <f aca="false">IF(B72=0,IF(HT72=1,NW72,NX72),0)</f>
        <v>0</v>
      </c>
      <c r="TJ72" s="1" t="n">
        <f aca="false">IF(HE72=1,IF(HT72=1,OD72+OG72,HF72-OP72)*(1+Slot20_Rate),0)</f>
        <v>0</v>
      </c>
      <c r="TK72" s="1" t="n">
        <f aca="false">IF(AND(HT72=1,HE72=1),(OC72+OG72)/E72,0)</f>
        <v>0</v>
      </c>
      <c r="TL72" s="1" t="n">
        <f aca="false">IF(B72=0,OC72+OG72,0)</f>
        <v>0</v>
      </c>
      <c r="TM72" s="1" t="n">
        <f aca="false">IF(B72=0,IF(HT72=1,OE72,OF72),0)</f>
        <v>0</v>
      </c>
      <c r="TN72" s="1" t="n">
        <f aca="false">QJ72+QK72+QL72+QP72+QT72+QX72+RB72+RF72+RJ72+RN72+RR72+RV72+RZ72+SD72+SH72+SL72+SP72+ST72+SX72+TB72+TF72+TJ72</f>
        <v>0</v>
      </c>
      <c r="TO72" s="1" t="n">
        <f aca="false">QD72+HO72</f>
        <v>0</v>
      </c>
      <c r="TP72" s="1" t="n">
        <f aca="false">H72+R72</f>
        <v>0</v>
      </c>
      <c r="TQ72" s="1" t="n">
        <f aca="false">1-F72</f>
        <v>0</v>
      </c>
      <c r="TR72" s="1" t="n">
        <f aca="false">IF(AND(RG_Exists=1,F72=0,C72=1),H72,0)</f>
        <v>0</v>
      </c>
      <c r="TS72" s="1" t="n">
        <f aca="false">IF(AND(RG_Exists=1,F72=0,C72=1),H72-MIN(QD72,H72),0)</f>
        <v>0</v>
      </c>
      <c r="TT72" s="1" t="n">
        <f aca="false">'Plan pay &amp; tax'!AD298</f>
        <v>0</v>
      </c>
      <c r="TU72" s="1" t="n">
        <f aca="false">IF(AND(C72=1,QD72&gt;MAX(PR_Short1,TP72*PR_Short2)),1,0)</f>
        <v>0</v>
      </c>
      <c r="TV72" s="1" t="n">
        <f aca="false">MIN(G72,H72+R72)</f>
        <v>0</v>
      </c>
      <c r="TW72" s="1" t="n">
        <f aca="false">QE72+MAX(0,HP72-HO72)</f>
        <v>0</v>
      </c>
      <c r="TX72" s="1" t="n">
        <f aca="false">QD72+HO72</f>
        <v>0</v>
      </c>
      <c r="TY72" s="1" t="n">
        <f aca="false">IF(AND(C72=1,TX72&gt;PR_MinShort),1,0)</f>
        <v>0</v>
      </c>
      <c r="TZ72" s="1" t="n">
        <f aca="false">IF(AND(C72=1,TY72=0,TW72&gt;PR_MinShort),1,0)</f>
        <v>0</v>
      </c>
      <c r="UA72" s="1" t="n">
        <f aca="false">IF(AND(C72=1,QD72&gt;PR_MinShort),1,0)</f>
        <v>0</v>
      </c>
      <c r="UB72" s="1" t="n">
        <f aca="false">IF(AND(C72=1,QE72&gt;1,UI72=0),1,0)</f>
        <v>0</v>
      </c>
      <c r="UC72" s="1" t="str">
        <f aca="false">IF(C72=0,"",IF(UI72=1,"Gap to plan for: short "&amp;"€"&amp;TEXT(ROUND(TO72,0),"#,##0"),IF(QE72&gt;1,"Using savings","Comfortable")))</f>
        <v>Comfortable</v>
      </c>
      <c r="UD72" s="1" t="n">
        <f aca="false">IF(AND(INT(D72/10)*10=90,B72&gt;0),80,INT(D72/10)*10)</f>
        <v>60</v>
      </c>
      <c r="UE72" s="1" t="n">
        <f aca="false">IF(B72=0,1,IF(UD72&lt;&gt;UD71,UE71+1,UE71))</f>
        <v>7</v>
      </c>
      <c r="UF72" s="1" t="n">
        <f aca="false">IF(AND(C72=1,F72=1,QD72&gt;MAX(PR_Short1,TP72*PR_Short2)),1,0)</f>
        <v>0</v>
      </c>
      <c r="UG72" s="1" t="n">
        <f aca="false">TQ72*TU72</f>
        <v>0</v>
      </c>
      <c r="UH72" s="1" t="n">
        <f aca="false">IF(AND(U72=1,Slot1_PctLow=1),1,0)+IF(AND(AF72=1,Slot2_PctLow=1),1,0)+IF(AND(AP72=1,Slot3_PctLow=1),1,0)+IF(AND(AZ72=1,Slot4_PctLow=1),1,0)+IF(AND(BJ72=1,Slot5_PctLow=1),1,0)+IF(AND(BT72=1,Slot6_PctLow=1),1,0)+IF(AND(CD72=1,Slot7_PctLow=1),1,0)+IF(AND(CN72=1,Slot8_PctLow=1),1,0)+IF(AND(CX72=1,Slot9_PctLow=1),1,0)+IF(AND(DH72=1,Slot10_PctLow=1),1,0)+IF(AND(DR72=1,Slot11_PctLow=1),1,0)+IF(AND(EB72=1,Slot12_PctLow=1),1,0)+IF(AND(EL72=1,Slot13_PctLow=1),1,0)+IF(AND(EV72=1,Slot14_PctLow=1),1,0)+IF(AND(FF72=1,Slot15_PctLow=1),1,0)+IF(AND(FP72=1,Slot16_PctLow=1),1,0)+IF(AND(FZ72=1,Slot17_PctLow=1),1,0)+IF(AND(GJ72=1,Slot18_PctLow=1),1,0)+IF(AND(GT72=1,Slot19_PctLow=1),1,0)+IF(AND(HD72=1,Slot20_PctLow=1),1,0)</f>
        <v>0</v>
      </c>
      <c r="UI72" s="1" t="n">
        <f aca="false">IF(C72=1,IF(OR(TU72=1,UH72&gt;0),1,0),0)</f>
        <v>0</v>
      </c>
    </row>
    <row r="73" customFormat="false" ht="15" hidden="false" customHeight="true" outlineLevel="0" collapsed="false">
      <c r="B73" s="1" t="n">
        <v>65</v>
      </c>
      <c r="C73" s="1" t="n">
        <f aca="false">IF(B73&lt;=F_N,1,0)</f>
        <v>1</v>
      </c>
      <c r="D73" s="1" t="n">
        <f aca="false">'Plan pay &amp; tax'!C299</f>
        <v>65</v>
      </c>
      <c r="E73" s="111" t="n">
        <f aca="false">'Plan pay &amp; tax'!E299</f>
        <v>3.62252310814242</v>
      </c>
      <c r="F73" s="1" t="n">
        <f aca="false">'Plan pay &amp; tax'!G299</f>
        <v>1</v>
      </c>
      <c r="G73" s="1" t="n">
        <f aca="false">'Plan pay &amp; tax'!BT299-'Plan pay &amp; tax'!BS299-'Plan pay &amp; tax'!R299</f>
        <v>0</v>
      </c>
      <c r="H73" s="1" t="n">
        <f aca="false">IF(F73=1,F_CostsM*12,IF(RG_Exists=1,RG_Amount,F_CostsM*12*AS_RetireSpend))*E73+F_OneOffY*E73</f>
        <v>0</v>
      </c>
      <c r="I73" s="1" t="n">
        <f aca="false">HQ72</f>
        <v>0</v>
      </c>
      <c r="J73" s="1" t="n">
        <f aca="false">IF(I73&gt;1,'Plan debt months'!AC73,0)</f>
        <v>0</v>
      </c>
      <c r="K73" s="1" t="n">
        <f aca="false">IF(I73&gt;1,'Plan debt months'!AB73,I73)</f>
        <v>0</v>
      </c>
      <c r="L73" s="1" t="n">
        <f aca="false">N72</f>
        <v>0</v>
      </c>
      <c r="M73" s="1" t="n">
        <f aca="false">IF(L73&gt;1,'Plan debt months'!BD73,0)</f>
        <v>0</v>
      </c>
      <c r="N73" s="1" t="n">
        <f aca="false">IF(L73&gt;1,'Plan debt months'!BC73,L73)</f>
        <v>0</v>
      </c>
      <c r="O73" s="1" t="n">
        <f aca="false">Q72</f>
        <v>0</v>
      </c>
      <c r="P73" s="1" t="n">
        <f aca="false">IF(O73&gt;1,'Plan debt months'!CE73,0)</f>
        <v>0</v>
      </c>
      <c r="Q73" s="1" t="n">
        <f aca="false">IF(O73&gt;1,'Plan debt months'!CD73,O73)</f>
        <v>0</v>
      </c>
      <c r="R73" s="1" t="n">
        <f aca="false">J73+M73+P73</f>
        <v>0</v>
      </c>
      <c r="S73" s="1" t="n">
        <f aca="false">QJ72+'Plan pay &amp; tax'!Y299</f>
        <v>0</v>
      </c>
      <c r="T73" s="1" t="n">
        <f aca="false">QJ72</f>
        <v>0</v>
      </c>
      <c r="U73" s="1" t="n">
        <f aca="false">IF(AND(Slot1_On=1,D73=Slot1_Age),1,0)</f>
        <v>0</v>
      </c>
      <c r="V73" s="1" t="n">
        <f aca="false">IF(AND(Slot1_On=1,Slot1_Age&gt;D73),1,0)</f>
        <v>0</v>
      </c>
      <c r="W73" s="1" t="n">
        <f aca="false">QL72</f>
        <v>0</v>
      </c>
      <c r="X73" s="1" t="n">
        <f aca="false">U73*MIN(Slot1_Cost,W73)</f>
        <v>0</v>
      </c>
      <c r="Y73" s="1" t="n">
        <f aca="false">U73*Slot1_SpendLike*MIN(Slot1_Cost-X73,S73)</f>
        <v>0</v>
      </c>
      <c r="Z73" s="1" t="n">
        <f aca="false">X73+Y73</f>
        <v>0</v>
      </c>
      <c r="AA73" s="1" t="n">
        <f aca="false">S73-Y73+U73*IF(Slot1_SpendLike=1,W73-X73,IF(Slot1_PotFree=1,W73,0))</f>
        <v>0</v>
      </c>
      <c r="AB73" s="1" t="n">
        <f aca="false">AE73+U73*Slot1_BufPot*W73</f>
        <v>0</v>
      </c>
      <c r="AC73" s="1" t="n">
        <f aca="false">IF(AND(U73=1,Slot1_IsMfree=1),IF(Z73&gt;=Slot1_Cost-1,0,MAX(0,K73-Z73)),K73)</f>
        <v>0</v>
      </c>
      <c r="AD73" s="1" t="n">
        <f aca="false">U73*(Slot1_Cost-Z73)</f>
        <v>0</v>
      </c>
      <c r="AE73" s="1" t="n">
        <f aca="false">QK72</f>
        <v>0</v>
      </c>
      <c r="AF73" s="1" t="n">
        <f aca="false">IF(AND(Slot2_On=1,D73=Slot2_Age),1,0)</f>
        <v>0</v>
      </c>
      <c r="AG73" s="1" t="n">
        <f aca="false">IF(AND(Slot2_On=1,Slot2_Age&gt;D73),1,0)</f>
        <v>0</v>
      </c>
      <c r="AH73" s="1" t="n">
        <f aca="false">QP72</f>
        <v>0</v>
      </c>
      <c r="AI73" s="1" t="n">
        <f aca="false">AF73*MIN(Slot2_Cost,AH73)</f>
        <v>0</v>
      </c>
      <c r="AJ73" s="1" t="n">
        <f aca="false">AF73*Slot2_SpendLike*MIN(Slot2_Cost-AI73,AA73)</f>
        <v>0</v>
      </c>
      <c r="AK73" s="1" t="n">
        <f aca="false">AI73+AJ73</f>
        <v>0</v>
      </c>
      <c r="AL73" s="1" t="n">
        <f aca="false">AA73-AJ73+AF73*IF(Slot2_SpendLike=1,AH73-AI73,IF(Slot2_PotFree=1,AH73,0))</f>
        <v>0</v>
      </c>
      <c r="AM73" s="1" t="n">
        <f aca="false">AB73+AF73*Slot2_BufPot*AH73</f>
        <v>0</v>
      </c>
      <c r="AN73" s="1" t="n">
        <f aca="false">IF(AND(AF73=1,Slot2_IsMfree=1),IF(AK73&gt;=Slot2_Cost-1,0,MAX(0,AC73-AK73)),AC73)</f>
        <v>0</v>
      </c>
      <c r="AO73" s="1" t="n">
        <f aca="false">AF73*(Slot2_Cost-AK73)</f>
        <v>0</v>
      </c>
      <c r="AP73" s="1" t="n">
        <f aca="false">IF(AND(Slot3_On=1,D73=Slot3_Age),1,0)</f>
        <v>0</v>
      </c>
      <c r="AQ73" s="1" t="n">
        <f aca="false">IF(AND(Slot3_On=1,Slot3_Age&gt;D73),1,0)</f>
        <v>0</v>
      </c>
      <c r="AR73" s="1" t="n">
        <f aca="false">QT72</f>
        <v>0</v>
      </c>
      <c r="AS73" s="1" t="n">
        <f aca="false">AP73*MIN(Slot3_Cost,AR73)</f>
        <v>0</v>
      </c>
      <c r="AT73" s="1" t="n">
        <f aca="false">AP73*Slot3_SpendLike*MIN(Slot3_Cost-AS73,AL73)</f>
        <v>0</v>
      </c>
      <c r="AU73" s="1" t="n">
        <f aca="false">AS73+AT73</f>
        <v>0</v>
      </c>
      <c r="AV73" s="1" t="n">
        <f aca="false">AL73-AT73+AP73*IF(Slot3_SpendLike=1,AR73-AS73,IF(Slot3_PotFree=1,AR73,0))</f>
        <v>0</v>
      </c>
      <c r="AW73" s="1" t="n">
        <f aca="false">AM73+AP73*Slot3_BufPot*AR73</f>
        <v>0</v>
      </c>
      <c r="AX73" s="1" t="n">
        <f aca="false">IF(AND(AP73=1,Slot3_IsMfree=1),IF(AU73&gt;=Slot3_Cost-1,0,MAX(0,AN73-AU73)),AN73)</f>
        <v>0</v>
      </c>
      <c r="AY73" s="1" t="n">
        <f aca="false">AP73*(Slot3_Cost-AU73)</f>
        <v>0</v>
      </c>
      <c r="AZ73" s="1" t="n">
        <f aca="false">IF(AND(Slot4_On=1,D73=Slot4_Age),1,0)</f>
        <v>0</v>
      </c>
      <c r="BA73" s="1" t="n">
        <f aca="false">IF(AND(Slot4_On=1,Slot4_Age&gt;D73),1,0)</f>
        <v>0</v>
      </c>
      <c r="BB73" s="1" t="n">
        <f aca="false">QX72</f>
        <v>0</v>
      </c>
      <c r="BC73" s="1" t="n">
        <f aca="false">AZ73*MIN(Slot4_Cost,BB73)</f>
        <v>0</v>
      </c>
      <c r="BD73" s="1" t="n">
        <f aca="false">AZ73*Slot4_SpendLike*MIN(Slot4_Cost-BC73,AV73)</f>
        <v>0</v>
      </c>
      <c r="BE73" s="1" t="n">
        <f aca="false">BC73+BD73</f>
        <v>0</v>
      </c>
      <c r="BF73" s="1" t="n">
        <f aca="false">AV73-BD73+AZ73*IF(Slot4_SpendLike=1,BB73-BC73,IF(Slot4_PotFree=1,BB73,0))</f>
        <v>0</v>
      </c>
      <c r="BG73" s="1" t="n">
        <f aca="false">AW73+AZ73*Slot4_BufPot*BB73</f>
        <v>0</v>
      </c>
      <c r="BH73" s="1" t="n">
        <f aca="false">IF(AND(AZ73=1,Slot4_IsMfree=1),IF(BE73&gt;=Slot4_Cost-1,0,MAX(0,AX73-BE73)),AX73)</f>
        <v>0</v>
      </c>
      <c r="BI73" s="1" t="n">
        <f aca="false">AZ73*(Slot4_Cost-BE73)</f>
        <v>0</v>
      </c>
      <c r="BJ73" s="1" t="n">
        <f aca="false">IF(AND(Slot5_On=1,D73=Slot5_Age),1,0)</f>
        <v>0</v>
      </c>
      <c r="BK73" s="1" t="n">
        <f aca="false">IF(AND(Slot5_On=1,Slot5_Age&gt;D73),1,0)</f>
        <v>0</v>
      </c>
      <c r="BL73" s="1" t="n">
        <f aca="false">RB72</f>
        <v>0</v>
      </c>
      <c r="BM73" s="1" t="n">
        <f aca="false">BJ73*MIN(Slot5_Cost,BL73)</f>
        <v>0</v>
      </c>
      <c r="BN73" s="1" t="n">
        <f aca="false">BJ73*Slot5_SpendLike*MIN(Slot5_Cost-BM73,BF73)</f>
        <v>0</v>
      </c>
      <c r="BO73" s="1" t="n">
        <f aca="false">BM73+BN73</f>
        <v>0</v>
      </c>
      <c r="BP73" s="1" t="n">
        <f aca="false">BF73-BN73+BJ73*IF(Slot5_SpendLike=1,BL73-BM73,IF(Slot5_PotFree=1,BL73,0))</f>
        <v>0</v>
      </c>
      <c r="BQ73" s="1" t="n">
        <f aca="false">BG73+BJ73*Slot5_BufPot*BL73</f>
        <v>0</v>
      </c>
      <c r="BR73" s="1" t="n">
        <f aca="false">IF(AND(BJ73=1,Slot5_IsMfree=1),IF(BO73&gt;=Slot5_Cost-1,0,MAX(0,BH73-BO73)),BH73)</f>
        <v>0</v>
      </c>
      <c r="BS73" s="1" t="n">
        <f aca="false">BJ73*(Slot5_Cost-BO73)</f>
        <v>0</v>
      </c>
      <c r="BT73" s="1" t="n">
        <f aca="false">IF(AND(Slot6_On=1,D73=Slot6_Age),1,0)</f>
        <v>0</v>
      </c>
      <c r="BU73" s="1" t="n">
        <f aca="false">IF(AND(Slot6_On=1,Slot6_Age&gt;D73),1,0)</f>
        <v>0</v>
      </c>
      <c r="BV73" s="1" t="n">
        <f aca="false">RF72</f>
        <v>0</v>
      </c>
      <c r="BW73" s="1" t="n">
        <f aca="false">BT73*MIN(Slot6_Cost,BV73)</f>
        <v>0</v>
      </c>
      <c r="BX73" s="1" t="n">
        <f aca="false">BT73*Slot6_SpendLike*MIN(Slot6_Cost-BW73,BP73)</f>
        <v>0</v>
      </c>
      <c r="BY73" s="1" t="n">
        <f aca="false">BW73+BX73</f>
        <v>0</v>
      </c>
      <c r="BZ73" s="1" t="n">
        <f aca="false">BP73-BX73+BT73*IF(Slot6_SpendLike=1,BV73-BW73,IF(Slot6_PotFree=1,BV73,0))</f>
        <v>0</v>
      </c>
      <c r="CA73" s="1" t="n">
        <f aca="false">BQ73+BT73*Slot6_BufPot*BV73</f>
        <v>0</v>
      </c>
      <c r="CB73" s="1" t="n">
        <f aca="false">IF(AND(BT73=1,Slot6_IsMfree=1),IF(BY73&gt;=Slot6_Cost-1,0,MAX(0,BR73-BY73)),BR73)</f>
        <v>0</v>
      </c>
      <c r="CC73" s="1" t="n">
        <f aca="false">BT73*(Slot6_Cost-BY73)</f>
        <v>0</v>
      </c>
      <c r="CD73" s="1" t="n">
        <f aca="false">IF(AND(Slot7_On=1,D73=Slot7_Age),1,0)</f>
        <v>0</v>
      </c>
      <c r="CE73" s="1" t="n">
        <f aca="false">IF(AND(Slot7_On=1,Slot7_Age&gt;D73),1,0)</f>
        <v>0</v>
      </c>
      <c r="CF73" s="1" t="n">
        <f aca="false">RJ72</f>
        <v>0</v>
      </c>
      <c r="CG73" s="1" t="n">
        <f aca="false">CD73*MIN(Slot7_Cost,CF73)</f>
        <v>0</v>
      </c>
      <c r="CH73" s="1" t="n">
        <f aca="false">CD73*Slot7_SpendLike*MIN(Slot7_Cost-CG73,BZ73)</f>
        <v>0</v>
      </c>
      <c r="CI73" s="1" t="n">
        <f aca="false">CG73+CH73</f>
        <v>0</v>
      </c>
      <c r="CJ73" s="1" t="n">
        <f aca="false">BZ73-CH73+CD73*IF(Slot7_SpendLike=1,CF73-CG73,IF(Slot7_PotFree=1,CF73,0))</f>
        <v>0</v>
      </c>
      <c r="CK73" s="1" t="n">
        <f aca="false">CA73+CD73*Slot7_BufPot*CF73</f>
        <v>0</v>
      </c>
      <c r="CL73" s="1" t="n">
        <f aca="false">IF(AND(CD73=1,Slot7_IsMfree=1),IF(CI73&gt;=Slot7_Cost-1,0,MAX(0,CB73-CI73)),CB73)</f>
        <v>0</v>
      </c>
      <c r="CM73" s="1" t="n">
        <f aca="false">CD73*(Slot7_Cost-CI73)</f>
        <v>0</v>
      </c>
      <c r="CN73" s="1" t="n">
        <f aca="false">IF(AND(Slot8_On=1,D73=Slot8_Age),1,0)</f>
        <v>0</v>
      </c>
      <c r="CO73" s="1" t="n">
        <f aca="false">IF(AND(Slot8_On=1,Slot8_Age&gt;D73),1,0)</f>
        <v>0</v>
      </c>
      <c r="CP73" s="1" t="n">
        <f aca="false">RN72</f>
        <v>0</v>
      </c>
      <c r="CQ73" s="1" t="n">
        <f aca="false">CN73*MIN(Slot8_Cost,CP73)</f>
        <v>0</v>
      </c>
      <c r="CR73" s="1" t="n">
        <f aca="false">CN73*Slot8_SpendLike*MIN(Slot8_Cost-CQ73,CJ73)</f>
        <v>0</v>
      </c>
      <c r="CS73" s="1" t="n">
        <f aca="false">CQ73+CR73</f>
        <v>0</v>
      </c>
      <c r="CT73" s="1" t="n">
        <f aca="false">CJ73-CR73+CN73*IF(Slot8_SpendLike=1,CP73-CQ73,IF(Slot8_PotFree=1,CP73,0))</f>
        <v>0</v>
      </c>
      <c r="CU73" s="1" t="n">
        <f aca="false">CK73+CN73*Slot8_BufPot*CP73</f>
        <v>0</v>
      </c>
      <c r="CV73" s="1" t="n">
        <f aca="false">IF(AND(CN73=1,Slot8_IsMfree=1),IF(CS73&gt;=Slot8_Cost-1,0,MAX(0,CL73-CS73)),CL73)</f>
        <v>0</v>
      </c>
      <c r="CW73" s="1" t="n">
        <f aca="false">CN73*(Slot8_Cost-CS73)</f>
        <v>0</v>
      </c>
      <c r="CX73" s="1" t="n">
        <f aca="false">IF(AND(Slot9_On=1,D73=Slot9_Age),1,0)</f>
        <v>0</v>
      </c>
      <c r="CY73" s="1" t="n">
        <f aca="false">IF(AND(Slot9_On=1,Slot9_Age&gt;D73),1,0)</f>
        <v>0</v>
      </c>
      <c r="CZ73" s="1" t="n">
        <f aca="false">RR72</f>
        <v>0</v>
      </c>
      <c r="DA73" s="1" t="n">
        <f aca="false">CX73*MIN(Slot9_Cost,CZ73)</f>
        <v>0</v>
      </c>
      <c r="DB73" s="1" t="n">
        <f aca="false">CX73*Slot9_SpendLike*MIN(Slot9_Cost-DA73,CT73)</f>
        <v>0</v>
      </c>
      <c r="DC73" s="1" t="n">
        <f aca="false">DA73+DB73</f>
        <v>0</v>
      </c>
      <c r="DD73" s="1" t="n">
        <f aca="false">CT73-DB73+CX73*IF(Slot9_SpendLike=1,CZ73-DA73,IF(Slot9_PotFree=1,CZ73,0))</f>
        <v>0</v>
      </c>
      <c r="DE73" s="1" t="n">
        <f aca="false">CU73+CX73*Slot9_BufPot*CZ73</f>
        <v>0</v>
      </c>
      <c r="DF73" s="1" t="n">
        <f aca="false">IF(AND(CX73=1,Slot9_IsMfree=1),IF(DC73&gt;=Slot9_Cost-1,0,MAX(0,CV73-DC73)),CV73)</f>
        <v>0</v>
      </c>
      <c r="DG73" s="1" t="n">
        <f aca="false">CX73*(Slot9_Cost-DC73)</f>
        <v>0</v>
      </c>
      <c r="DH73" s="1" t="n">
        <f aca="false">IF(AND(Slot10_On=1,D73=Slot10_Age),1,0)</f>
        <v>0</v>
      </c>
      <c r="DI73" s="1" t="n">
        <f aca="false">IF(AND(Slot10_On=1,Slot10_Age&gt;D73),1,0)</f>
        <v>0</v>
      </c>
      <c r="DJ73" s="1" t="n">
        <f aca="false">RV72</f>
        <v>0</v>
      </c>
      <c r="DK73" s="1" t="n">
        <f aca="false">DH73*MIN(Slot10_Cost,DJ73)</f>
        <v>0</v>
      </c>
      <c r="DL73" s="1" t="n">
        <f aca="false">DH73*Slot10_SpendLike*MIN(Slot10_Cost-DK73,DD73)</f>
        <v>0</v>
      </c>
      <c r="DM73" s="1" t="n">
        <f aca="false">DK73+DL73</f>
        <v>0</v>
      </c>
      <c r="DN73" s="1" t="n">
        <f aca="false">DD73-DL73+DH73*IF(Slot10_SpendLike=1,DJ73-DK73,IF(Slot10_PotFree=1,DJ73,0))</f>
        <v>0</v>
      </c>
      <c r="DO73" s="1" t="n">
        <f aca="false">DE73+DH73*Slot10_BufPot*DJ73</f>
        <v>0</v>
      </c>
      <c r="DP73" s="1" t="n">
        <f aca="false">IF(AND(DH73=1,Slot10_IsMfree=1),IF(DM73&gt;=Slot10_Cost-1,0,MAX(0,DF73-DM73)),DF73)</f>
        <v>0</v>
      </c>
      <c r="DQ73" s="1" t="n">
        <f aca="false">DH73*(Slot10_Cost-DM73)</f>
        <v>0</v>
      </c>
      <c r="DR73" s="1" t="n">
        <f aca="false">IF(AND(Slot11_On=1,D73=Slot11_Age),1,0)</f>
        <v>0</v>
      </c>
      <c r="DS73" s="1" t="n">
        <f aca="false">IF(AND(Slot11_On=1,Slot11_Age&gt;D73),1,0)</f>
        <v>0</v>
      </c>
      <c r="DT73" s="1" t="n">
        <f aca="false">RZ72</f>
        <v>0</v>
      </c>
      <c r="DU73" s="1" t="n">
        <f aca="false">DR73*MIN(Slot11_Cost,DT73)</f>
        <v>0</v>
      </c>
      <c r="DV73" s="1" t="n">
        <f aca="false">DR73*Slot11_SpendLike*MIN(Slot11_Cost-DU73,DN73)</f>
        <v>0</v>
      </c>
      <c r="DW73" s="1" t="n">
        <f aca="false">DU73+DV73</f>
        <v>0</v>
      </c>
      <c r="DX73" s="1" t="n">
        <f aca="false">DN73-DV73+DR73*IF(Slot11_SpendLike=1,DT73-DU73,IF(Slot11_PotFree=1,DT73,0))</f>
        <v>0</v>
      </c>
      <c r="DY73" s="1" t="n">
        <f aca="false">DO73+DR73*Slot11_BufPot*DT73</f>
        <v>0</v>
      </c>
      <c r="DZ73" s="1" t="n">
        <f aca="false">IF(AND(DR73=1,Slot11_IsMfree=1),IF(DW73&gt;=Slot11_Cost-1,0,MAX(0,DP73-DW73)),DP73)</f>
        <v>0</v>
      </c>
      <c r="EA73" s="1" t="n">
        <f aca="false">DR73*(Slot11_Cost-DW73)</f>
        <v>0</v>
      </c>
      <c r="EB73" s="1" t="n">
        <f aca="false">IF(AND(Slot12_On=1,D73=Slot12_Age),1,0)</f>
        <v>0</v>
      </c>
      <c r="EC73" s="1" t="n">
        <f aca="false">IF(AND(Slot12_On=1,Slot12_Age&gt;D73),1,0)</f>
        <v>0</v>
      </c>
      <c r="ED73" s="1" t="n">
        <f aca="false">SD72</f>
        <v>0</v>
      </c>
      <c r="EE73" s="1" t="n">
        <f aca="false">EB73*MIN(Slot12_Cost,ED73)</f>
        <v>0</v>
      </c>
      <c r="EF73" s="1" t="n">
        <f aca="false">EB73*Slot12_SpendLike*MIN(Slot12_Cost-EE73,DX73)</f>
        <v>0</v>
      </c>
      <c r="EG73" s="1" t="n">
        <f aca="false">EE73+EF73</f>
        <v>0</v>
      </c>
      <c r="EH73" s="1" t="n">
        <f aca="false">DX73-EF73+EB73*IF(Slot12_SpendLike=1,ED73-EE73,IF(Slot12_PotFree=1,ED73,0))</f>
        <v>0</v>
      </c>
      <c r="EI73" s="1" t="n">
        <f aca="false">DY73+EB73*Slot12_BufPot*ED73</f>
        <v>0</v>
      </c>
      <c r="EJ73" s="1" t="n">
        <f aca="false">IF(AND(EB73=1,Slot12_IsMfree=1),IF(EG73&gt;=Slot12_Cost-1,0,MAX(0,DZ73-EG73)),DZ73)</f>
        <v>0</v>
      </c>
      <c r="EK73" s="1" t="n">
        <f aca="false">EB73*(Slot12_Cost-EG73)</f>
        <v>0</v>
      </c>
      <c r="EL73" s="1" t="n">
        <f aca="false">IF(AND(Slot13_On=1,D73=Slot13_Age),1,0)</f>
        <v>0</v>
      </c>
      <c r="EM73" s="1" t="n">
        <f aca="false">IF(AND(Slot13_On=1,Slot13_Age&gt;D73),1,0)</f>
        <v>0</v>
      </c>
      <c r="EN73" s="1" t="n">
        <f aca="false">SH72</f>
        <v>0</v>
      </c>
      <c r="EO73" s="1" t="n">
        <f aca="false">EL73*MIN(Slot13_Cost,EN73)</f>
        <v>0</v>
      </c>
      <c r="EP73" s="1" t="n">
        <f aca="false">EL73*Slot13_SpendLike*MIN(Slot13_Cost-EO73,EH73)</f>
        <v>0</v>
      </c>
      <c r="EQ73" s="1" t="n">
        <f aca="false">EO73+EP73</f>
        <v>0</v>
      </c>
      <c r="ER73" s="1" t="n">
        <f aca="false">EH73-EP73+EL73*IF(Slot13_SpendLike=1,EN73-EO73,IF(Slot13_PotFree=1,EN73,0))</f>
        <v>0</v>
      </c>
      <c r="ES73" s="1" t="n">
        <f aca="false">EI73+EL73*Slot13_BufPot*EN73</f>
        <v>0</v>
      </c>
      <c r="ET73" s="1" t="n">
        <f aca="false">IF(AND(EL73=1,Slot13_IsMfree=1),IF(EQ73&gt;=Slot13_Cost-1,0,MAX(0,EJ73-EQ73)),EJ73)</f>
        <v>0</v>
      </c>
      <c r="EU73" s="1" t="n">
        <f aca="false">EL73*(Slot13_Cost-EQ73)</f>
        <v>0</v>
      </c>
      <c r="EV73" s="1" t="n">
        <f aca="false">IF(AND(Slot14_On=1,D73=Slot14_Age),1,0)</f>
        <v>0</v>
      </c>
      <c r="EW73" s="1" t="n">
        <f aca="false">IF(AND(Slot14_On=1,Slot14_Age&gt;D73),1,0)</f>
        <v>0</v>
      </c>
      <c r="EX73" s="1" t="n">
        <f aca="false">SL72</f>
        <v>0</v>
      </c>
      <c r="EY73" s="1" t="n">
        <f aca="false">EV73*MIN(Slot14_Cost,EX73)</f>
        <v>0</v>
      </c>
      <c r="EZ73" s="1" t="n">
        <f aca="false">EV73*Slot14_SpendLike*MIN(Slot14_Cost-EY73,ER73)</f>
        <v>0</v>
      </c>
      <c r="FA73" s="1" t="n">
        <f aca="false">EY73+EZ73</f>
        <v>0</v>
      </c>
      <c r="FB73" s="1" t="n">
        <f aca="false">ER73-EZ73+EV73*IF(Slot14_SpendLike=1,EX73-EY73,IF(Slot14_PotFree=1,EX73,0))</f>
        <v>0</v>
      </c>
      <c r="FC73" s="1" t="n">
        <f aca="false">ES73+EV73*Slot14_BufPot*EX73</f>
        <v>0</v>
      </c>
      <c r="FD73" s="1" t="n">
        <f aca="false">IF(AND(EV73=1,Slot14_IsMfree=1),IF(FA73&gt;=Slot14_Cost-1,0,MAX(0,ET73-FA73)),ET73)</f>
        <v>0</v>
      </c>
      <c r="FE73" s="1" t="n">
        <f aca="false">EV73*(Slot14_Cost-FA73)</f>
        <v>0</v>
      </c>
      <c r="FF73" s="1" t="n">
        <f aca="false">IF(AND(Slot15_On=1,D73=Slot15_Age),1,0)</f>
        <v>0</v>
      </c>
      <c r="FG73" s="1" t="n">
        <f aca="false">IF(AND(Slot15_On=1,Slot15_Age&gt;D73),1,0)</f>
        <v>0</v>
      </c>
      <c r="FH73" s="1" t="n">
        <f aca="false">SP72</f>
        <v>0</v>
      </c>
      <c r="FI73" s="1" t="n">
        <f aca="false">FF73*MIN(Slot15_Cost,FH73)</f>
        <v>0</v>
      </c>
      <c r="FJ73" s="1" t="n">
        <f aca="false">FF73*Slot15_SpendLike*MIN(Slot15_Cost-FI73,FB73)</f>
        <v>0</v>
      </c>
      <c r="FK73" s="1" t="n">
        <f aca="false">FI73+FJ73</f>
        <v>0</v>
      </c>
      <c r="FL73" s="1" t="n">
        <f aca="false">FB73-FJ73+FF73*IF(Slot15_SpendLike=1,FH73-FI73,IF(Slot15_PotFree=1,FH73,0))</f>
        <v>0</v>
      </c>
      <c r="FM73" s="1" t="n">
        <f aca="false">FC73+FF73*Slot15_BufPot*FH73</f>
        <v>0</v>
      </c>
      <c r="FN73" s="1" t="n">
        <f aca="false">IF(AND(FF73=1,Slot15_IsMfree=1),IF(FK73&gt;=Slot15_Cost-1,0,MAX(0,FD73-FK73)),FD73)</f>
        <v>0</v>
      </c>
      <c r="FO73" s="1" t="n">
        <f aca="false">FF73*(Slot15_Cost-FK73)</f>
        <v>0</v>
      </c>
      <c r="FP73" s="1" t="n">
        <f aca="false">IF(AND(Slot16_On=1,D73=Slot16_Age),1,0)</f>
        <v>0</v>
      </c>
      <c r="FQ73" s="1" t="n">
        <f aca="false">IF(AND(Slot16_On=1,Slot16_Age&gt;D73),1,0)</f>
        <v>0</v>
      </c>
      <c r="FR73" s="1" t="n">
        <f aca="false">ST72</f>
        <v>0</v>
      </c>
      <c r="FS73" s="1" t="n">
        <f aca="false">FP73*MIN(Slot16_Cost,FR73)</f>
        <v>0</v>
      </c>
      <c r="FT73" s="1" t="n">
        <f aca="false">FP73*Slot16_SpendLike*MIN(Slot16_Cost-FS73,FL73)</f>
        <v>0</v>
      </c>
      <c r="FU73" s="1" t="n">
        <f aca="false">FS73+FT73</f>
        <v>0</v>
      </c>
      <c r="FV73" s="1" t="n">
        <f aca="false">FL73-FT73+FP73*IF(Slot16_SpendLike=1,FR73-FS73,IF(Slot16_PotFree=1,FR73,0))</f>
        <v>0</v>
      </c>
      <c r="FW73" s="1" t="n">
        <f aca="false">FM73+FP73*Slot16_BufPot*FR73</f>
        <v>0</v>
      </c>
      <c r="FX73" s="1" t="n">
        <f aca="false">IF(AND(FP73=1,Slot16_IsMfree=1),IF(FU73&gt;=Slot16_Cost-1,0,MAX(0,FN73-FU73)),FN73)</f>
        <v>0</v>
      </c>
      <c r="FY73" s="1" t="n">
        <f aca="false">FP73*(Slot16_Cost-FU73)</f>
        <v>0</v>
      </c>
      <c r="FZ73" s="1" t="n">
        <f aca="false">IF(AND(Slot17_On=1,D73=Slot17_Age),1,0)</f>
        <v>0</v>
      </c>
      <c r="GA73" s="1" t="n">
        <f aca="false">IF(AND(Slot17_On=1,Slot17_Age&gt;D73),1,0)</f>
        <v>0</v>
      </c>
      <c r="GB73" s="1" t="n">
        <f aca="false">SX72</f>
        <v>0</v>
      </c>
      <c r="GC73" s="1" t="n">
        <f aca="false">FZ73*MIN(Slot17_Cost,GB73)</f>
        <v>0</v>
      </c>
      <c r="GD73" s="1" t="n">
        <f aca="false">FZ73*Slot17_SpendLike*MIN(Slot17_Cost-GC73,FV73)</f>
        <v>0</v>
      </c>
      <c r="GE73" s="1" t="n">
        <f aca="false">GC73+GD73</f>
        <v>0</v>
      </c>
      <c r="GF73" s="1" t="n">
        <f aca="false">FV73-GD73+FZ73*IF(Slot17_SpendLike=1,GB73-GC73,IF(Slot17_PotFree=1,GB73,0))</f>
        <v>0</v>
      </c>
      <c r="GG73" s="1" t="n">
        <f aca="false">FW73+FZ73*Slot17_BufPot*GB73</f>
        <v>0</v>
      </c>
      <c r="GH73" s="1" t="n">
        <f aca="false">IF(AND(FZ73=1,Slot17_IsMfree=1),IF(GE73&gt;=Slot17_Cost-1,0,MAX(0,FX73-GE73)),FX73)</f>
        <v>0</v>
      </c>
      <c r="GI73" s="1" t="n">
        <f aca="false">FZ73*(Slot17_Cost-GE73)</f>
        <v>0</v>
      </c>
      <c r="GJ73" s="1" t="n">
        <f aca="false">IF(AND(Slot18_On=1,D73=Slot18_Age),1,0)</f>
        <v>0</v>
      </c>
      <c r="GK73" s="1" t="n">
        <f aca="false">IF(AND(Slot18_On=1,Slot18_Age&gt;D73),1,0)</f>
        <v>0</v>
      </c>
      <c r="GL73" s="1" t="n">
        <f aca="false">TB72</f>
        <v>0</v>
      </c>
      <c r="GM73" s="1" t="n">
        <f aca="false">GJ73*MIN(Slot18_Cost,GL73)</f>
        <v>0</v>
      </c>
      <c r="GN73" s="1" t="n">
        <f aca="false">GJ73*Slot18_SpendLike*MIN(Slot18_Cost-GM73,GF73)</f>
        <v>0</v>
      </c>
      <c r="GO73" s="1" t="n">
        <f aca="false">GM73+GN73</f>
        <v>0</v>
      </c>
      <c r="GP73" s="1" t="n">
        <f aca="false">GF73-GN73+GJ73*IF(Slot18_SpendLike=1,GL73-GM73,IF(Slot18_PotFree=1,GL73,0))</f>
        <v>0</v>
      </c>
      <c r="GQ73" s="1" t="n">
        <f aca="false">GG73+GJ73*Slot18_BufPot*GL73</f>
        <v>0</v>
      </c>
      <c r="GR73" s="1" t="n">
        <f aca="false">IF(AND(GJ73=1,Slot18_IsMfree=1),IF(GO73&gt;=Slot18_Cost-1,0,MAX(0,GH73-GO73)),GH73)</f>
        <v>0</v>
      </c>
      <c r="GS73" s="1" t="n">
        <f aca="false">GJ73*(Slot18_Cost-GO73)</f>
        <v>0</v>
      </c>
      <c r="GT73" s="1" t="n">
        <f aca="false">IF(AND(Slot19_On=1,D73=Slot19_Age),1,0)</f>
        <v>0</v>
      </c>
      <c r="GU73" s="1" t="n">
        <f aca="false">IF(AND(Slot19_On=1,Slot19_Age&gt;D73),1,0)</f>
        <v>0</v>
      </c>
      <c r="GV73" s="1" t="n">
        <f aca="false">TF72</f>
        <v>0</v>
      </c>
      <c r="GW73" s="1" t="n">
        <f aca="false">GT73*MIN(Slot19_Cost,GV73)</f>
        <v>0</v>
      </c>
      <c r="GX73" s="1" t="n">
        <f aca="false">GT73*Slot19_SpendLike*MIN(Slot19_Cost-GW73,GP73)</f>
        <v>0</v>
      </c>
      <c r="GY73" s="1" t="n">
        <f aca="false">GW73+GX73</f>
        <v>0</v>
      </c>
      <c r="GZ73" s="1" t="n">
        <f aca="false">GP73-GX73+GT73*IF(Slot19_SpendLike=1,GV73-GW73,IF(Slot19_PotFree=1,GV73,0))</f>
        <v>0</v>
      </c>
      <c r="HA73" s="1" t="n">
        <f aca="false">GQ73+GT73*Slot19_BufPot*GV73</f>
        <v>0</v>
      </c>
      <c r="HB73" s="1" t="n">
        <f aca="false">IF(AND(GT73=1,Slot19_IsMfree=1),IF(GY73&gt;=Slot19_Cost-1,0,MAX(0,GR73-GY73)),GR73)</f>
        <v>0</v>
      </c>
      <c r="HC73" s="1" t="n">
        <f aca="false">GT73*(Slot19_Cost-GY73)</f>
        <v>0</v>
      </c>
      <c r="HD73" s="1" t="n">
        <f aca="false">IF(AND(Slot20_On=1,D73=Slot20_Age),1,0)</f>
        <v>0</v>
      </c>
      <c r="HE73" s="1" t="n">
        <f aca="false">IF(AND(Slot20_On=1,Slot20_Age&gt;D73),1,0)</f>
        <v>0</v>
      </c>
      <c r="HF73" s="1" t="n">
        <f aca="false">TJ72</f>
        <v>0</v>
      </c>
      <c r="HG73" s="1" t="n">
        <f aca="false">HD73*MIN(Slot20_Cost,HF73)</f>
        <v>0</v>
      </c>
      <c r="HH73" s="1" t="n">
        <f aca="false">HD73*Slot20_SpendLike*MIN(Slot20_Cost-HG73,GZ73)</f>
        <v>0</v>
      </c>
      <c r="HI73" s="1" t="n">
        <f aca="false">HG73+HH73</f>
        <v>0</v>
      </c>
      <c r="HJ73" s="1" t="n">
        <f aca="false">GZ73-HH73+HD73*IF(Slot20_SpendLike=1,HF73-HG73,IF(Slot20_PotFree=1,HF73,0))</f>
        <v>0</v>
      </c>
      <c r="HK73" s="1" t="n">
        <f aca="false">HA73+HD73*Slot20_BufPot*HF73</f>
        <v>0</v>
      </c>
      <c r="HL73" s="1" t="n">
        <f aca="false">IF(AND(HD73=1,Slot20_IsMfree=1),IF(HI73&gt;=Slot20_Cost-1,0,MAX(0,HB73-HI73)),HB73)</f>
        <v>0</v>
      </c>
      <c r="HM73" s="1" t="n">
        <f aca="false">HD73*(Slot20_Cost-HI73)</f>
        <v>0</v>
      </c>
      <c r="HN73" s="1" t="n">
        <f aca="false">U73*Slot1_SpendLike*Z73+AF73*Slot2_SpendLike*AK73+AP73*Slot3_SpendLike*AU73+AZ73*Slot4_SpendLike*BE73+BJ73*Slot5_SpendLike*BO73+BT73*Slot6_SpendLike*BY73+CD73*Slot7_SpendLike*CI73+CN73*Slot8_SpendLike*CS73+CX73*Slot9_SpendLike*DC73+DH73*Slot10_SpendLike*DM73+DR73*Slot11_SpendLike*DW73+EB73*Slot12_SpendLike*EG73+EL73*Slot13_SpendLike*EQ73+EV73*Slot14_SpendLike*FA73+FF73*Slot15_SpendLike*FK73+FP73*Slot16_SpendLike*FU73+FZ73*Slot17_SpendLike*GE73+GJ73*Slot18_SpendLike*GO73+GT73*Slot19_SpendLike*GY73+HD73*Slot20_SpendLike*HI73</f>
        <v>0</v>
      </c>
      <c r="HO73" s="1" t="n">
        <f aca="false">AD73+AO73+AY73+BI73+BS73+CC73+CM73+CW73+DG73+DQ73+EA73+EK73+EU73+FE73+FO73+FY73+GI73+GS73+HC73+HM73</f>
        <v>0</v>
      </c>
      <c r="HP73" s="1" t="n">
        <f aca="false">U73*Slot1_Cost+AF73*Slot2_Cost+AP73*Slot3_Cost+AZ73*Slot4_Cost+BJ73*Slot5_Cost+BT73*Slot6_Cost+CD73*Slot7_Cost+CN73*Slot8_Cost+CX73*Slot9_Cost+DH73*Slot10_Cost+DR73*Slot11_Cost+EB73*Slot12_Cost+EL73*Slot13_Cost+EV73*Slot14_Cost+FF73*Slot15_Cost+FP73*Slot16_Cost+FZ73*Slot17_Cost+GJ73*Slot18_Cost+GT73*Slot19_Cost+HD73*Slot20_Cost</f>
        <v>0</v>
      </c>
      <c r="HQ73" s="1" t="n">
        <f aca="false">HL73</f>
        <v>0</v>
      </c>
      <c r="HR73" s="1" t="n">
        <f aca="false">G73-H73-R73</f>
        <v>0</v>
      </c>
      <c r="HS73" s="1" t="n">
        <f aca="false">IF(B73=0,IF(AND(Has_q6=1,In_q6=4),PR_ShareVaries*(MAX(0,HR73)/12),MIN(IF(Has_q6=1,CHOOSE(In_q6+1,PR_SaveB1,PR_SaveB2,PR_SaveB3,PR_SaveB4,0),AS_NoAnswer),AS_SaveShare*(MAX(0,HR73)/12))),HS72)</f>
        <v>0</v>
      </c>
      <c r="HT73" s="1" t="n">
        <f aca="false">IF(HR73&gt;=0,1,0)</f>
        <v>1</v>
      </c>
      <c r="HU73" s="1" t="n">
        <f aca="false">MAX(0,HR73/12/E73)</f>
        <v>0</v>
      </c>
      <c r="HV73" s="1" t="n">
        <f aca="false">IF(AND(Has_q6=1,In_q6=4),PR_ShareVaries*(HU73),MIN(IF(Has_q6=1,CHOOSE(In_q6+1,PR_SaveB1,PR_SaveB2,PR_SaveB3,PR_SaveB4,0),AS_NoAnswer),AS_SaveShare*(HU73)))</f>
        <v>0</v>
      </c>
      <c r="HW73" s="1" t="n">
        <f aca="false">IF(Has_saveM=1,IF(In_saveUp="Yes",1,IF(In_saveUp="No",0,IF(In_saveM&gt;=HS73-0.5,1,0))),0)</f>
        <v>0</v>
      </c>
      <c r="HX73" s="1" t="n">
        <f aca="false">IF(Has_saveM=1,MIN(HU73,IF(HW73=1,MAX(In_saveM,HV73),MIN(In_saveM,HV73))),HV73)</f>
        <v>0</v>
      </c>
      <c r="HY73" s="1" t="n">
        <f aca="false">IF(F73=1,HX73*12*E73,0)</f>
        <v>0</v>
      </c>
      <c r="HZ73" s="1" t="n">
        <f aca="false">MAX(0,HY73+IF(AND(WI_Retire=0,WI_M&lt;0,F73=1),WI_M*12*E73,0))</f>
        <v>0</v>
      </c>
      <c r="IA73" s="1" t="n">
        <f aca="false">Slot1_IsWG*V73+Slot2_IsWG*AG73+Slot3_IsWG*AQ73+Slot4_IsWG*BA73+Slot5_IsWG*BK73+Slot6_IsWG*BU73+Slot7_IsWG*CE73+Slot8_IsWG*CO73+Slot9_IsWG*CY73+Slot10_IsWG*DI73+Slot11_IsWG*DS73+Slot12_IsWG*EC73+Slot13_IsWG*EM73+Slot14_IsWG*EW73+Slot15_IsWG*FG73+Slot16_IsWG*FQ73+Slot17_IsWG*GA73+Slot18_IsWG*GK73+Slot19_IsWG*GU73+Slot20_IsWG*HE73</f>
        <v>0</v>
      </c>
      <c r="IB73" s="1" t="n">
        <f aca="false">IF(AND(WI_Retire=0,WI_M&gt;0,F73=1,IA73&gt;=1),WI_M*12*E73,0)</f>
        <v>0</v>
      </c>
      <c r="IC73" s="1" t="n">
        <f aca="false">IF(HT73=1,MIN(HZ73,HR73),0)</f>
        <v>0</v>
      </c>
      <c r="ID73" s="1" t="n">
        <f aca="false">IF(HT73=1,MIN(IB73,HR73-IC73),0)</f>
        <v>0</v>
      </c>
      <c r="IE73" s="1" t="n">
        <f aca="false">IF(V73=1,IF(ABS((1+AS_Wage)/(1+Slot1_Rate)-1)&lt;0.000000000001,(Slot1_Age-D73)*(1+Slot1_Rate)^(Slot1_Age-D73),(1+Slot1_Rate)^(Slot1_Age-D73)*(1-((1+AS_Wage)/(1+Slot1_Rate))^(Slot1_Age-D73))/(1-(1+AS_Wage)/(1+Slot1_Rate))),1)</f>
        <v>1</v>
      </c>
      <c r="IF73" s="1" t="n">
        <f aca="false">IF(AND(HT73=1,ID73&gt;0,Slot1_IsWG=1,V73=1),MAX(0,(Slot1_Cost-W73*(1+Slot1_Rate)^(Slot1_Age-D73))/IE73),0)</f>
        <v>0</v>
      </c>
      <c r="IG73" s="1" t="n">
        <f aca="false">IF(AND(HT73=1,ID73&gt;0,Slot1_IsWG=1,V73=1),MIN(ID73,IF73),0)</f>
        <v>0</v>
      </c>
      <c r="IH73" s="1" t="n">
        <f aca="false">W73+IG73</f>
        <v>0</v>
      </c>
      <c r="II73" s="1" t="n">
        <f aca="false">IF(V73=1,MAX(0,(Slot1_Cost-IH73*(1+Slot1_Rate)^(Slot1_Age-D73))/IE73),0)</f>
        <v>0</v>
      </c>
      <c r="IJ73" s="1" t="n">
        <f aca="false">IF(V73=1,MAX(0,(Slot1_Cost-W73*(1+Slot1_Rate)^(Slot1_Age-D73))/IE73),0)</f>
        <v>0</v>
      </c>
      <c r="IK73" s="1" t="n">
        <f aca="false">IF(AND(HT73=1,V73=1),MIN(IC73,II73),0)</f>
        <v>0</v>
      </c>
      <c r="IL73" s="1" t="n">
        <f aca="false">IC73-IK73</f>
        <v>0</v>
      </c>
      <c r="IM73" s="1" t="n">
        <f aca="false">IF(AG73=1,IF(ABS((1+AS_Wage)/(1+Slot2_Rate)-1)&lt;0.000000000001,(Slot2_Age-D73)*(1+Slot2_Rate)^(Slot2_Age-D73),(1+Slot2_Rate)^(Slot2_Age-D73)*(1-((1+AS_Wage)/(1+Slot2_Rate))^(Slot2_Age-D73))/(1-(1+AS_Wage)/(1+Slot2_Rate))),1)</f>
        <v>1</v>
      </c>
      <c r="IN73" s="1" t="n">
        <f aca="false">IF(AND(HT73=1,ID73&gt;0,Slot2_IsWG=1,AG73=1),MAX(0,(Slot2_Cost-AH73*(1+Slot2_Rate)^(Slot2_Age-D73))/IM73),0)</f>
        <v>0</v>
      </c>
      <c r="IO73" s="1" t="n">
        <f aca="false">IF(AND(HT73=1,ID73&gt;0,Slot2_IsWG=1,AG73=1),MIN(ID73,IN73),0)</f>
        <v>0</v>
      </c>
      <c r="IP73" s="1" t="n">
        <f aca="false">AH73+IO73</f>
        <v>0</v>
      </c>
      <c r="IQ73" s="1" t="n">
        <f aca="false">IF(AG73=1,MAX(0,(Slot2_Cost-IP73*(1+Slot2_Rate)^(Slot2_Age-D73))/IM73),0)</f>
        <v>0</v>
      </c>
      <c r="IR73" s="1" t="n">
        <f aca="false">IF(AG73=1,MAX(0,(Slot2_Cost-AH73*(1+Slot2_Rate)^(Slot2_Age-D73))/IM73),0)</f>
        <v>0</v>
      </c>
      <c r="IS73" s="1" t="n">
        <f aca="false">IF(AND(HT73=1,AG73=1),MIN(IL73,IQ73),0)</f>
        <v>0</v>
      </c>
      <c r="IT73" s="1" t="n">
        <f aca="false">IL73-IS73</f>
        <v>0</v>
      </c>
      <c r="IU73" s="1" t="n">
        <f aca="false">IF(AQ73=1,IF(ABS((1+AS_Wage)/(1+Slot3_Rate)-1)&lt;0.000000000001,(Slot3_Age-D73)*(1+Slot3_Rate)^(Slot3_Age-D73),(1+Slot3_Rate)^(Slot3_Age-D73)*(1-((1+AS_Wage)/(1+Slot3_Rate))^(Slot3_Age-D73))/(1-(1+AS_Wage)/(1+Slot3_Rate))),1)</f>
        <v>1</v>
      </c>
      <c r="IV73" s="1" t="n">
        <f aca="false">IF(AND(HT73=1,ID73&gt;0,Slot3_IsWG=1,AQ73=1),MAX(0,(Slot3_Cost-AR73*(1+Slot3_Rate)^(Slot3_Age-D73))/IU73),0)</f>
        <v>0</v>
      </c>
      <c r="IW73" s="1" t="n">
        <f aca="false">IF(AND(HT73=1,ID73&gt;0,Slot3_IsWG=1,AQ73=1),MIN(ID73,IV73),0)</f>
        <v>0</v>
      </c>
      <c r="IX73" s="1" t="n">
        <f aca="false">AR73+IW73</f>
        <v>0</v>
      </c>
      <c r="IY73" s="1" t="n">
        <f aca="false">IF(AQ73=1,MAX(0,(Slot3_Cost-IX73*(1+Slot3_Rate)^(Slot3_Age-D73))/IU73),0)</f>
        <v>0</v>
      </c>
      <c r="IZ73" s="1" t="n">
        <f aca="false">IF(AQ73=1,MAX(0,(Slot3_Cost-AR73*(1+Slot3_Rate)^(Slot3_Age-D73))/IU73),0)</f>
        <v>0</v>
      </c>
      <c r="JA73" s="1" t="n">
        <f aca="false">IF(AND(HT73=1,AQ73=1),MIN(IT73,IY73),0)</f>
        <v>0</v>
      </c>
      <c r="JB73" s="1" t="n">
        <f aca="false">IT73-JA73</f>
        <v>0</v>
      </c>
      <c r="JC73" s="1" t="n">
        <f aca="false">IF(BA73=1,IF(ABS((1+AS_Wage)/(1+Slot4_Rate)-1)&lt;0.000000000001,(Slot4_Age-D73)*(1+Slot4_Rate)^(Slot4_Age-D73),(1+Slot4_Rate)^(Slot4_Age-D73)*(1-((1+AS_Wage)/(1+Slot4_Rate))^(Slot4_Age-D73))/(1-(1+AS_Wage)/(1+Slot4_Rate))),1)</f>
        <v>1</v>
      </c>
      <c r="JD73" s="1" t="n">
        <f aca="false">IF(AND(HT73=1,ID73&gt;0,Slot4_IsWG=1,BA73=1),MAX(0,(Slot4_Cost-BB73*(1+Slot4_Rate)^(Slot4_Age-D73))/JC73),0)</f>
        <v>0</v>
      </c>
      <c r="JE73" s="1" t="n">
        <f aca="false">IF(AND(HT73=1,ID73&gt;0,Slot4_IsWG=1,BA73=1),MIN(ID73,JD73),0)</f>
        <v>0</v>
      </c>
      <c r="JF73" s="1" t="n">
        <f aca="false">BB73+JE73</f>
        <v>0</v>
      </c>
      <c r="JG73" s="1" t="n">
        <f aca="false">IF(BA73=1,MAX(0,(Slot4_Cost-JF73*(1+Slot4_Rate)^(Slot4_Age-D73))/JC73),0)</f>
        <v>0</v>
      </c>
      <c r="JH73" s="1" t="n">
        <f aca="false">IF(BA73=1,MAX(0,(Slot4_Cost-BB73*(1+Slot4_Rate)^(Slot4_Age-D73))/JC73),0)</f>
        <v>0</v>
      </c>
      <c r="JI73" s="1" t="n">
        <f aca="false">IF(AND(HT73=1,BA73=1),MIN(JB73,JG73),0)</f>
        <v>0</v>
      </c>
      <c r="JJ73" s="1" t="n">
        <f aca="false">JB73-JI73</f>
        <v>0</v>
      </c>
      <c r="JK73" s="1" t="n">
        <f aca="false">IF(BK73=1,IF(ABS((1+AS_Wage)/(1+Slot5_Rate)-1)&lt;0.000000000001,(Slot5_Age-D73)*(1+Slot5_Rate)^(Slot5_Age-D73),(1+Slot5_Rate)^(Slot5_Age-D73)*(1-((1+AS_Wage)/(1+Slot5_Rate))^(Slot5_Age-D73))/(1-(1+AS_Wage)/(1+Slot5_Rate))),1)</f>
        <v>1</v>
      </c>
      <c r="JL73" s="1" t="n">
        <f aca="false">IF(AND(HT73=1,ID73&gt;0,Slot5_IsWG=1,BK73=1),MAX(0,(Slot5_Cost-BL73*(1+Slot5_Rate)^(Slot5_Age-D73))/JK73),0)</f>
        <v>0</v>
      </c>
      <c r="JM73" s="1" t="n">
        <f aca="false">IF(AND(HT73=1,ID73&gt;0,Slot5_IsWG=1,BK73=1),MIN(ID73,JL73),0)</f>
        <v>0</v>
      </c>
      <c r="JN73" s="1" t="n">
        <f aca="false">BL73+JM73</f>
        <v>0</v>
      </c>
      <c r="JO73" s="1" t="n">
        <f aca="false">IF(BK73=1,MAX(0,(Slot5_Cost-JN73*(1+Slot5_Rate)^(Slot5_Age-D73))/JK73),0)</f>
        <v>0</v>
      </c>
      <c r="JP73" s="1" t="n">
        <f aca="false">IF(BK73=1,MAX(0,(Slot5_Cost-BL73*(1+Slot5_Rate)^(Slot5_Age-D73))/JK73),0)</f>
        <v>0</v>
      </c>
      <c r="JQ73" s="1" t="n">
        <f aca="false">IF(AND(HT73=1,BK73=1),MIN(JJ73,JO73),0)</f>
        <v>0</v>
      </c>
      <c r="JR73" s="1" t="n">
        <f aca="false">JJ73-JQ73</f>
        <v>0</v>
      </c>
      <c r="JS73" s="1" t="n">
        <f aca="false">IF(BU73=1,IF(ABS((1+AS_Wage)/(1+Slot6_Rate)-1)&lt;0.000000000001,(Slot6_Age-D73)*(1+Slot6_Rate)^(Slot6_Age-D73),(1+Slot6_Rate)^(Slot6_Age-D73)*(1-((1+AS_Wage)/(1+Slot6_Rate))^(Slot6_Age-D73))/(1-(1+AS_Wage)/(1+Slot6_Rate))),1)</f>
        <v>1</v>
      </c>
      <c r="JT73" s="1" t="n">
        <f aca="false">IF(AND(HT73=1,ID73&gt;0,Slot6_IsWG=1,BU73=1),MAX(0,(Slot6_Cost-BV73*(1+Slot6_Rate)^(Slot6_Age-D73))/JS73),0)</f>
        <v>0</v>
      </c>
      <c r="JU73" s="1" t="n">
        <f aca="false">IF(AND(HT73=1,ID73&gt;0,Slot6_IsWG=1,BU73=1),MIN(ID73,JT73),0)</f>
        <v>0</v>
      </c>
      <c r="JV73" s="1" t="n">
        <f aca="false">BV73+JU73</f>
        <v>0</v>
      </c>
      <c r="JW73" s="1" t="n">
        <f aca="false">IF(BU73=1,MAX(0,(Slot6_Cost-JV73*(1+Slot6_Rate)^(Slot6_Age-D73))/JS73),0)</f>
        <v>0</v>
      </c>
      <c r="JX73" s="1" t="n">
        <f aca="false">IF(BU73=1,MAX(0,(Slot6_Cost-BV73*(1+Slot6_Rate)^(Slot6_Age-D73))/JS73),0)</f>
        <v>0</v>
      </c>
      <c r="JY73" s="1" t="n">
        <f aca="false">IF(AND(HT73=1,BU73=1),MIN(JR73,JW73),0)</f>
        <v>0</v>
      </c>
      <c r="JZ73" s="1" t="n">
        <f aca="false">JR73-JY73</f>
        <v>0</v>
      </c>
      <c r="KA73" s="1" t="n">
        <f aca="false">IF(CE73=1,IF(ABS((1+AS_Wage)/(1+Slot7_Rate)-1)&lt;0.000000000001,(Slot7_Age-D73)*(1+Slot7_Rate)^(Slot7_Age-D73),(1+Slot7_Rate)^(Slot7_Age-D73)*(1-((1+AS_Wage)/(1+Slot7_Rate))^(Slot7_Age-D73))/(1-(1+AS_Wage)/(1+Slot7_Rate))),1)</f>
        <v>1</v>
      </c>
      <c r="KB73" s="1" t="n">
        <f aca="false">IF(AND(HT73=1,ID73&gt;0,Slot7_IsWG=1,CE73=1),MAX(0,(Slot7_Cost-CF73*(1+Slot7_Rate)^(Slot7_Age-D73))/KA73),0)</f>
        <v>0</v>
      </c>
      <c r="KC73" s="1" t="n">
        <f aca="false">IF(AND(HT73=1,ID73&gt;0,Slot7_IsWG=1,CE73=1),MIN(ID73,KB73),0)</f>
        <v>0</v>
      </c>
      <c r="KD73" s="1" t="n">
        <f aca="false">CF73+KC73</f>
        <v>0</v>
      </c>
      <c r="KE73" s="1" t="n">
        <f aca="false">IF(CE73=1,MAX(0,(Slot7_Cost-KD73*(1+Slot7_Rate)^(Slot7_Age-D73))/KA73),0)</f>
        <v>0</v>
      </c>
      <c r="KF73" s="1" t="n">
        <f aca="false">IF(CE73=1,MAX(0,(Slot7_Cost-CF73*(1+Slot7_Rate)^(Slot7_Age-D73))/KA73),0)</f>
        <v>0</v>
      </c>
      <c r="KG73" s="1" t="n">
        <f aca="false">IF(AND(HT73=1,CE73=1),MIN(JZ73,KE73),0)</f>
        <v>0</v>
      </c>
      <c r="KH73" s="1" t="n">
        <f aca="false">JZ73-KG73</f>
        <v>0</v>
      </c>
      <c r="KI73" s="1" t="n">
        <f aca="false">IF(CO73=1,IF(ABS((1+AS_Wage)/(1+Slot8_Rate)-1)&lt;0.000000000001,(Slot8_Age-D73)*(1+Slot8_Rate)^(Slot8_Age-D73),(1+Slot8_Rate)^(Slot8_Age-D73)*(1-((1+AS_Wage)/(1+Slot8_Rate))^(Slot8_Age-D73))/(1-(1+AS_Wage)/(1+Slot8_Rate))),1)</f>
        <v>1</v>
      </c>
      <c r="KJ73" s="1" t="n">
        <f aca="false">IF(AND(HT73=1,ID73&gt;0,Slot8_IsWG=1,CO73=1),MAX(0,(Slot8_Cost-CP73*(1+Slot8_Rate)^(Slot8_Age-D73))/KI73),0)</f>
        <v>0</v>
      </c>
      <c r="KK73" s="1" t="n">
        <f aca="false">IF(AND(HT73=1,ID73&gt;0,Slot8_IsWG=1,CO73=1),MIN(ID73,KJ73),0)</f>
        <v>0</v>
      </c>
      <c r="KL73" s="1" t="n">
        <f aca="false">CP73+KK73</f>
        <v>0</v>
      </c>
      <c r="KM73" s="1" t="n">
        <f aca="false">IF(CO73=1,MAX(0,(Slot8_Cost-KL73*(1+Slot8_Rate)^(Slot8_Age-D73))/KI73),0)</f>
        <v>0</v>
      </c>
      <c r="KN73" s="1" t="n">
        <f aca="false">IF(CO73=1,MAX(0,(Slot8_Cost-CP73*(1+Slot8_Rate)^(Slot8_Age-D73))/KI73),0)</f>
        <v>0</v>
      </c>
      <c r="KO73" s="1" t="n">
        <f aca="false">IF(AND(HT73=1,CO73=1),MIN(KH73,KM73),0)</f>
        <v>0</v>
      </c>
      <c r="KP73" s="1" t="n">
        <f aca="false">KH73-KO73</f>
        <v>0</v>
      </c>
      <c r="KQ73" s="1" t="n">
        <f aca="false">IF(CY73=1,IF(ABS((1+AS_Wage)/(1+Slot9_Rate)-1)&lt;0.000000000001,(Slot9_Age-D73)*(1+Slot9_Rate)^(Slot9_Age-D73),(1+Slot9_Rate)^(Slot9_Age-D73)*(1-((1+AS_Wage)/(1+Slot9_Rate))^(Slot9_Age-D73))/(1-(1+AS_Wage)/(1+Slot9_Rate))),1)</f>
        <v>1</v>
      </c>
      <c r="KR73" s="1" t="n">
        <f aca="false">IF(AND(HT73=1,ID73&gt;0,Slot9_IsWG=1,CY73=1),MAX(0,(Slot9_Cost-CZ73*(1+Slot9_Rate)^(Slot9_Age-D73))/KQ73),0)</f>
        <v>0</v>
      </c>
      <c r="KS73" s="1" t="n">
        <f aca="false">IF(AND(HT73=1,ID73&gt;0,Slot9_IsWG=1,CY73=1),MIN(ID73,KR73),0)</f>
        <v>0</v>
      </c>
      <c r="KT73" s="1" t="n">
        <f aca="false">CZ73+KS73</f>
        <v>0</v>
      </c>
      <c r="KU73" s="1" t="n">
        <f aca="false">IF(CY73=1,MAX(0,(Slot9_Cost-KT73*(1+Slot9_Rate)^(Slot9_Age-D73))/KQ73),0)</f>
        <v>0</v>
      </c>
      <c r="KV73" s="1" t="n">
        <f aca="false">IF(CY73=1,MAX(0,(Slot9_Cost-CZ73*(1+Slot9_Rate)^(Slot9_Age-D73))/KQ73),0)</f>
        <v>0</v>
      </c>
      <c r="KW73" s="1" t="n">
        <f aca="false">IF(AND(HT73=1,CY73=1),MIN(KP73,KU73),0)</f>
        <v>0</v>
      </c>
      <c r="KX73" s="1" t="n">
        <f aca="false">KP73-KW73</f>
        <v>0</v>
      </c>
      <c r="KY73" s="1" t="n">
        <f aca="false">IF(DI73=1,IF(ABS((1+AS_Wage)/(1+Slot10_Rate)-1)&lt;0.000000000001,(Slot10_Age-D73)*(1+Slot10_Rate)^(Slot10_Age-D73),(1+Slot10_Rate)^(Slot10_Age-D73)*(1-((1+AS_Wage)/(1+Slot10_Rate))^(Slot10_Age-D73))/(1-(1+AS_Wage)/(1+Slot10_Rate))),1)</f>
        <v>1</v>
      </c>
      <c r="KZ73" s="1" t="n">
        <f aca="false">IF(AND(HT73=1,ID73&gt;0,Slot10_IsWG=1,DI73=1),MAX(0,(Slot10_Cost-DJ73*(1+Slot10_Rate)^(Slot10_Age-D73))/KY73),0)</f>
        <v>0</v>
      </c>
      <c r="LA73" s="1" t="n">
        <f aca="false">IF(AND(HT73=1,ID73&gt;0,Slot10_IsWG=1,DI73=1),MIN(ID73,KZ73),0)</f>
        <v>0</v>
      </c>
      <c r="LB73" s="1" t="n">
        <f aca="false">DJ73+LA73</f>
        <v>0</v>
      </c>
      <c r="LC73" s="1" t="n">
        <f aca="false">IF(DI73=1,MAX(0,(Slot10_Cost-LB73*(1+Slot10_Rate)^(Slot10_Age-D73))/KY73),0)</f>
        <v>0</v>
      </c>
      <c r="LD73" s="1" t="n">
        <f aca="false">IF(DI73=1,MAX(0,(Slot10_Cost-DJ73*(1+Slot10_Rate)^(Slot10_Age-D73))/KY73),0)</f>
        <v>0</v>
      </c>
      <c r="LE73" s="1" t="n">
        <f aca="false">IF(AND(HT73=1,DI73=1),MIN(KX73,LC73),0)</f>
        <v>0</v>
      </c>
      <c r="LF73" s="1" t="n">
        <f aca="false">KX73-LE73</f>
        <v>0</v>
      </c>
      <c r="LG73" s="1" t="n">
        <f aca="false">IF(DS73=1,IF(ABS((1+AS_Wage)/(1+Slot11_Rate)-1)&lt;0.000000000001,(Slot11_Age-D73)*(1+Slot11_Rate)^(Slot11_Age-D73),(1+Slot11_Rate)^(Slot11_Age-D73)*(1-((1+AS_Wage)/(1+Slot11_Rate))^(Slot11_Age-D73))/(1-(1+AS_Wage)/(1+Slot11_Rate))),1)</f>
        <v>1</v>
      </c>
      <c r="LH73" s="1" t="n">
        <f aca="false">IF(AND(HT73=1,ID73&gt;0,Slot11_IsWG=1,DS73=1),MAX(0,(Slot11_Cost-DT73*(1+Slot11_Rate)^(Slot11_Age-D73))/LG73),0)</f>
        <v>0</v>
      </c>
      <c r="LI73" s="1" t="n">
        <f aca="false">IF(AND(HT73=1,ID73&gt;0,Slot11_IsWG=1,DS73=1),MIN(ID73,LH73),0)</f>
        <v>0</v>
      </c>
      <c r="LJ73" s="1" t="n">
        <f aca="false">DT73+LI73</f>
        <v>0</v>
      </c>
      <c r="LK73" s="1" t="n">
        <f aca="false">IF(DS73=1,MAX(0,(Slot11_Cost-LJ73*(1+Slot11_Rate)^(Slot11_Age-D73))/LG73),0)</f>
        <v>0</v>
      </c>
      <c r="LL73" s="1" t="n">
        <f aca="false">IF(DS73=1,MAX(0,(Slot11_Cost-DT73*(1+Slot11_Rate)^(Slot11_Age-D73))/LG73),0)</f>
        <v>0</v>
      </c>
      <c r="LM73" s="1" t="n">
        <f aca="false">IF(AND(HT73=1,DS73=1),MIN(LF73,LK73),0)</f>
        <v>0</v>
      </c>
      <c r="LN73" s="1" t="n">
        <f aca="false">LF73-LM73</f>
        <v>0</v>
      </c>
      <c r="LO73" s="1" t="n">
        <f aca="false">IF(EC73=1,IF(ABS((1+AS_Wage)/(1+Slot12_Rate)-1)&lt;0.000000000001,(Slot12_Age-D73)*(1+Slot12_Rate)^(Slot12_Age-D73),(1+Slot12_Rate)^(Slot12_Age-D73)*(1-((1+AS_Wage)/(1+Slot12_Rate))^(Slot12_Age-D73))/(1-(1+AS_Wage)/(1+Slot12_Rate))),1)</f>
        <v>1</v>
      </c>
      <c r="LP73" s="1" t="n">
        <f aca="false">IF(AND(HT73=1,ID73&gt;0,Slot12_IsWG=1,EC73=1),MAX(0,(Slot12_Cost-ED73*(1+Slot12_Rate)^(Slot12_Age-D73))/LO73),0)</f>
        <v>0</v>
      </c>
      <c r="LQ73" s="1" t="n">
        <f aca="false">IF(AND(HT73=1,ID73&gt;0,Slot12_IsWG=1,EC73=1),MIN(ID73,LP73),0)</f>
        <v>0</v>
      </c>
      <c r="LR73" s="1" t="n">
        <f aca="false">ED73+LQ73</f>
        <v>0</v>
      </c>
      <c r="LS73" s="1" t="n">
        <f aca="false">IF(EC73=1,MAX(0,(Slot12_Cost-LR73*(1+Slot12_Rate)^(Slot12_Age-D73))/LO73),0)</f>
        <v>0</v>
      </c>
      <c r="LT73" s="1" t="n">
        <f aca="false">IF(EC73=1,MAX(0,(Slot12_Cost-ED73*(1+Slot12_Rate)^(Slot12_Age-D73))/LO73),0)</f>
        <v>0</v>
      </c>
      <c r="LU73" s="1" t="n">
        <f aca="false">IF(AND(HT73=1,EC73=1),MIN(LN73,LS73),0)</f>
        <v>0</v>
      </c>
      <c r="LV73" s="1" t="n">
        <f aca="false">LN73-LU73</f>
        <v>0</v>
      </c>
      <c r="LW73" s="1" t="n">
        <f aca="false">IF(EM73=1,IF(ABS((1+AS_Wage)/(1+Slot13_Rate)-1)&lt;0.000000000001,(Slot13_Age-D73)*(1+Slot13_Rate)^(Slot13_Age-D73),(1+Slot13_Rate)^(Slot13_Age-D73)*(1-((1+AS_Wage)/(1+Slot13_Rate))^(Slot13_Age-D73))/(1-(1+AS_Wage)/(1+Slot13_Rate))),1)</f>
        <v>1</v>
      </c>
      <c r="LX73" s="1" t="n">
        <f aca="false">IF(AND(HT73=1,ID73&gt;0,Slot13_IsWG=1,EM73=1),MAX(0,(Slot13_Cost-EN73*(1+Slot13_Rate)^(Slot13_Age-D73))/LW73),0)</f>
        <v>0</v>
      </c>
      <c r="LY73" s="1" t="n">
        <f aca="false">IF(AND(HT73=1,ID73&gt;0,Slot13_IsWG=1,EM73=1),MIN(ID73,LX73),0)</f>
        <v>0</v>
      </c>
      <c r="LZ73" s="1" t="n">
        <f aca="false">EN73+LY73</f>
        <v>0</v>
      </c>
      <c r="MA73" s="1" t="n">
        <f aca="false">IF(EM73=1,MAX(0,(Slot13_Cost-LZ73*(1+Slot13_Rate)^(Slot13_Age-D73))/LW73),0)</f>
        <v>0</v>
      </c>
      <c r="MB73" s="1" t="n">
        <f aca="false">IF(EM73=1,MAX(0,(Slot13_Cost-EN73*(1+Slot13_Rate)^(Slot13_Age-D73))/LW73),0)</f>
        <v>0</v>
      </c>
      <c r="MC73" s="1" t="n">
        <f aca="false">IF(AND(HT73=1,EM73=1),MIN(LV73,MA73),0)</f>
        <v>0</v>
      </c>
      <c r="MD73" s="1" t="n">
        <f aca="false">LV73-MC73</f>
        <v>0</v>
      </c>
      <c r="ME73" s="1" t="n">
        <f aca="false">IF(EW73=1,IF(ABS((1+AS_Wage)/(1+Slot14_Rate)-1)&lt;0.000000000001,(Slot14_Age-D73)*(1+Slot14_Rate)^(Slot14_Age-D73),(1+Slot14_Rate)^(Slot14_Age-D73)*(1-((1+AS_Wage)/(1+Slot14_Rate))^(Slot14_Age-D73))/(1-(1+AS_Wage)/(1+Slot14_Rate))),1)</f>
        <v>1</v>
      </c>
      <c r="MF73" s="1" t="n">
        <f aca="false">IF(AND(HT73=1,ID73&gt;0,Slot14_IsWG=1,EW73=1),MAX(0,(Slot14_Cost-EX73*(1+Slot14_Rate)^(Slot14_Age-D73))/ME73),0)</f>
        <v>0</v>
      </c>
      <c r="MG73" s="1" t="n">
        <f aca="false">IF(AND(HT73=1,ID73&gt;0,Slot14_IsWG=1,EW73=1),MIN(ID73,MF73),0)</f>
        <v>0</v>
      </c>
      <c r="MH73" s="1" t="n">
        <f aca="false">EX73+MG73</f>
        <v>0</v>
      </c>
      <c r="MI73" s="1" t="n">
        <f aca="false">IF(EW73=1,MAX(0,(Slot14_Cost-MH73*(1+Slot14_Rate)^(Slot14_Age-D73))/ME73),0)</f>
        <v>0</v>
      </c>
      <c r="MJ73" s="1" t="n">
        <f aca="false">IF(EW73=1,MAX(0,(Slot14_Cost-EX73*(1+Slot14_Rate)^(Slot14_Age-D73))/ME73),0)</f>
        <v>0</v>
      </c>
      <c r="MK73" s="1" t="n">
        <f aca="false">IF(AND(HT73=1,EW73=1),MIN(MD73,MI73),0)</f>
        <v>0</v>
      </c>
      <c r="ML73" s="1" t="n">
        <f aca="false">MD73-MK73</f>
        <v>0</v>
      </c>
      <c r="MM73" s="1" t="n">
        <f aca="false">IF(FG73=1,IF(ABS((1+AS_Wage)/(1+Slot15_Rate)-1)&lt;0.000000000001,(Slot15_Age-D73)*(1+Slot15_Rate)^(Slot15_Age-D73),(1+Slot15_Rate)^(Slot15_Age-D73)*(1-((1+AS_Wage)/(1+Slot15_Rate))^(Slot15_Age-D73))/(1-(1+AS_Wage)/(1+Slot15_Rate))),1)</f>
        <v>1</v>
      </c>
      <c r="MN73" s="1" t="n">
        <f aca="false">IF(AND(HT73=1,ID73&gt;0,Slot15_IsWG=1,FG73=1),MAX(0,(Slot15_Cost-FH73*(1+Slot15_Rate)^(Slot15_Age-D73))/MM73),0)</f>
        <v>0</v>
      </c>
      <c r="MO73" s="1" t="n">
        <f aca="false">IF(AND(HT73=1,ID73&gt;0,Slot15_IsWG=1,FG73=1),MIN(ID73,MN73),0)</f>
        <v>0</v>
      </c>
      <c r="MP73" s="1" t="n">
        <f aca="false">FH73+MO73</f>
        <v>0</v>
      </c>
      <c r="MQ73" s="1" t="n">
        <f aca="false">IF(FG73=1,MAX(0,(Slot15_Cost-MP73*(1+Slot15_Rate)^(Slot15_Age-D73))/MM73),0)</f>
        <v>0</v>
      </c>
      <c r="MR73" s="1" t="n">
        <f aca="false">IF(FG73=1,MAX(0,(Slot15_Cost-FH73*(1+Slot15_Rate)^(Slot15_Age-D73))/MM73),0)</f>
        <v>0</v>
      </c>
      <c r="MS73" s="1" t="n">
        <f aca="false">IF(AND(HT73=1,FG73=1),MIN(ML73,MQ73),0)</f>
        <v>0</v>
      </c>
      <c r="MT73" s="1" t="n">
        <f aca="false">ML73-MS73</f>
        <v>0</v>
      </c>
      <c r="MU73" s="1" t="n">
        <f aca="false">IF(FQ73=1,IF(ABS((1+AS_Wage)/(1+Slot16_Rate)-1)&lt;0.000000000001,(Slot16_Age-D73)*(1+Slot16_Rate)^(Slot16_Age-D73),(1+Slot16_Rate)^(Slot16_Age-D73)*(1-((1+AS_Wage)/(1+Slot16_Rate))^(Slot16_Age-D73))/(1-(1+AS_Wage)/(1+Slot16_Rate))),1)</f>
        <v>1</v>
      </c>
      <c r="MV73" s="1" t="n">
        <f aca="false">IF(AND(HT73=1,ID73&gt;0,Slot16_IsWG=1,FQ73=1),MAX(0,(Slot16_Cost-FR73*(1+Slot16_Rate)^(Slot16_Age-D73))/MU73),0)</f>
        <v>0</v>
      </c>
      <c r="MW73" s="1" t="n">
        <f aca="false">IF(AND(HT73=1,ID73&gt;0,Slot16_IsWG=1,FQ73=1),MIN(ID73,MV73),0)</f>
        <v>0</v>
      </c>
      <c r="MX73" s="1" t="n">
        <f aca="false">FR73+MW73</f>
        <v>0</v>
      </c>
      <c r="MY73" s="1" t="n">
        <f aca="false">IF(FQ73=1,MAX(0,(Slot16_Cost-MX73*(1+Slot16_Rate)^(Slot16_Age-D73))/MU73),0)</f>
        <v>0</v>
      </c>
      <c r="MZ73" s="1" t="n">
        <f aca="false">IF(FQ73=1,MAX(0,(Slot16_Cost-FR73*(1+Slot16_Rate)^(Slot16_Age-D73))/MU73),0)</f>
        <v>0</v>
      </c>
      <c r="NA73" s="1" t="n">
        <f aca="false">IF(AND(HT73=1,FQ73=1),MIN(MT73,MY73),0)</f>
        <v>0</v>
      </c>
      <c r="NB73" s="1" t="n">
        <f aca="false">MT73-NA73</f>
        <v>0</v>
      </c>
      <c r="NC73" s="1" t="n">
        <f aca="false">IF(GA73=1,IF(ABS((1+AS_Wage)/(1+Slot17_Rate)-1)&lt;0.000000000001,(Slot17_Age-D73)*(1+Slot17_Rate)^(Slot17_Age-D73),(1+Slot17_Rate)^(Slot17_Age-D73)*(1-((1+AS_Wage)/(1+Slot17_Rate))^(Slot17_Age-D73))/(1-(1+AS_Wage)/(1+Slot17_Rate))),1)</f>
        <v>1</v>
      </c>
      <c r="ND73" s="1" t="n">
        <f aca="false">IF(AND(HT73=1,ID73&gt;0,Slot17_IsWG=1,GA73=1),MAX(0,(Slot17_Cost-GB73*(1+Slot17_Rate)^(Slot17_Age-D73))/NC73),0)</f>
        <v>0</v>
      </c>
      <c r="NE73" s="1" t="n">
        <f aca="false">IF(AND(HT73=1,ID73&gt;0,Slot17_IsWG=1,GA73=1),MIN(ID73,ND73),0)</f>
        <v>0</v>
      </c>
      <c r="NF73" s="1" t="n">
        <f aca="false">GB73+NE73</f>
        <v>0</v>
      </c>
      <c r="NG73" s="1" t="n">
        <f aca="false">IF(GA73=1,MAX(0,(Slot17_Cost-NF73*(1+Slot17_Rate)^(Slot17_Age-D73))/NC73),0)</f>
        <v>0</v>
      </c>
      <c r="NH73" s="1" t="n">
        <f aca="false">IF(GA73=1,MAX(0,(Slot17_Cost-GB73*(1+Slot17_Rate)^(Slot17_Age-D73))/NC73),0)</f>
        <v>0</v>
      </c>
      <c r="NI73" s="1" t="n">
        <f aca="false">IF(AND(HT73=1,GA73=1),MIN(NB73,NG73),0)</f>
        <v>0</v>
      </c>
      <c r="NJ73" s="1" t="n">
        <f aca="false">NB73-NI73</f>
        <v>0</v>
      </c>
      <c r="NK73" s="1" t="n">
        <f aca="false">IF(GK73=1,IF(ABS((1+AS_Wage)/(1+Slot18_Rate)-1)&lt;0.000000000001,(Slot18_Age-D73)*(1+Slot18_Rate)^(Slot18_Age-D73),(1+Slot18_Rate)^(Slot18_Age-D73)*(1-((1+AS_Wage)/(1+Slot18_Rate))^(Slot18_Age-D73))/(1-(1+AS_Wage)/(1+Slot18_Rate))),1)</f>
        <v>1</v>
      </c>
      <c r="NL73" s="1" t="n">
        <f aca="false">IF(AND(HT73=1,ID73&gt;0,Slot18_IsWG=1,GK73=1),MAX(0,(Slot18_Cost-GL73*(1+Slot18_Rate)^(Slot18_Age-D73))/NK73),0)</f>
        <v>0</v>
      </c>
      <c r="NM73" s="1" t="n">
        <f aca="false">IF(AND(HT73=1,ID73&gt;0,Slot18_IsWG=1,GK73=1),MIN(ID73,NL73),0)</f>
        <v>0</v>
      </c>
      <c r="NN73" s="1" t="n">
        <f aca="false">GL73+NM73</f>
        <v>0</v>
      </c>
      <c r="NO73" s="1" t="n">
        <f aca="false">IF(GK73=1,MAX(0,(Slot18_Cost-NN73*(1+Slot18_Rate)^(Slot18_Age-D73))/NK73),0)</f>
        <v>0</v>
      </c>
      <c r="NP73" s="1" t="n">
        <f aca="false">IF(GK73=1,MAX(0,(Slot18_Cost-GL73*(1+Slot18_Rate)^(Slot18_Age-D73))/NK73),0)</f>
        <v>0</v>
      </c>
      <c r="NQ73" s="1" t="n">
        <f aca="false">IF(AND(HT73=1,GK73=1),MIN(NJ73,NO73),0)</f>
        <v>0</v>
      </c>
      <c r="NR73" s="1" t="n">
        <f aca="false">NJ73-NQ73</f>
        <v>0</v>
      </c>
      <c r="NS73" s="1" t="n">
        <f aca="false">IF(GU73=1,IF(ABS((1+AS_Wage)/(1+Slot19_Rate)-1)&lt;0.000000000001,(Slot19_Age-D73)*(1+Slot19_Rate)^(Slot19_Age-D73),(1+Slot19_Rate)^(Slot19_Age-D73)*(1-((1+AS_Wage)/(1+Slot19_Rate))^(Slot19_Age-D73))/(1-(1+AS_Wage)/(1+Slot19_Rate))),1)</f>
        <v>1</v>
      </c>
      <c r="NT73" s="1" t="n">
        <f aca="false">IF(AND(HT73=1,ID73&gt;0,Slot19_IsWG=1,GU73=1),MAX(0,(Slot19_Cost-GV73*(1+Slot19_Rate)^(Slot19_Age-D73))/NS73),0)</f>
        <v>0</v>
      </c>
      <c r="NU73" s="1" t="n">
        <f aca="false">IF(AND(HT73=1,ID73&gt;0,Slot19_IsWG=1,GU73=1),MIN(ID73,NT73),0)</f>
        <v>0</v>
      </c>
      <c r="NV73" s="1" t="n">
        <f aca="false">GV73+NU73</f>
        <v>0</v>
      </c>
      <c r="NW73" s="1" t="n">
        <f aca="false">IF(GU73=1,MAX(0,(Slot19_Cost-NV73*(1+Slot19_Rate)^(Slot19_Age-D73))/NS73),0)</f>
        <v>0</v>
      </c>
      <c r="NX73" s="1" t="n">
        <f aca="false">IF(GU73=1,MAX(0,(Slot19_Cost-GV73*(1+Slot19_Rate)^(Slot19_Age-D73))/NS73),0)</f>
        <v>0</v>
      </c>
      <c r="NY73" s="1" t="n">
        <f aca="false">IF(AND(HT73=1,GU73=1),MIN(NR73,NW73),0)</f>
        <v>0</v>
      </c>
      <c r="NZ73" s="1" t="n">
        <f aca="false">NR73-NY73</f>
        <v>0</v>
      </c>
      <c r="OA73" s="1" t="n">
        <f aca="false">IF(HE73=1,IF(ABS((1+AS_Wage)/(1+Slot20_Rate)-1)&lt;0.000000000001,(Slot20_Age-D73)*(1+Slot20_Rate)^(Slot20_Age-D73),(1+Slot20_Rate)^(Slot20_Age-D73)*(1-((1+AS_Wage)/(1+Slot20_Rate))^(Slot20_Age-D73))/(1-(1+AS_Wage)/(1+Slot20_Rate))),1)</f>
        <v>1</v>
      </c>
      <c r="OB73" s="1" t="n">
        <f aca="false">IF(AND(HT73=1,ID73&gt;0,Slot20_IsWG=1,HE73=1),MAX(0,(Slot20_Cost-HF73*(1+Slot20_Rate)^(Slot20_Age-D73))/OA73),0)</f>
        <v>0</v>
      </c>
      <c r="OC73" s="1" t="n">
        <f aca="false">IF(AND(HT73=1,ID73&gt;0,Slot20_IsWG=1,HE73=1),MIN(ID73,OB73),0)</f>
        <v>0</v>
      </c>
      <c r="OD73" s="1" t="n">
        <f aca="false">HF73+OC73</f>
        <v>0</v>
      </c>
      <c r="OE73" s="1" t="n">
        <f aca="false">IF(HE73=1,MAX(0,(Slot20_Cost-OD73*(1+Slot20_Rate)^(Slot20_Age-D73))/OA73),0)</f>
        <v>0</v>
      </c>
      <c r="OF73" s="1" t="n">
        <f aca="false">IF(HE73=1,MAX(0,(Slot20_Cost-HF73*(1+Slot20_Rate)^(Slot20_Age-D73))/OA73),0)</f>
        <v>0</v>
      </c>
      <c r="OG73" s="1" t="n">
        <f aca="false">IF(AND(HT73=1,HE73=1),MIN(NZ73,OE73),0)</f>
        <v>0</v>
      </c>
      <c r="OH73" s="1" t="n">
        <f aca="false">NZ73-OG73</f>
        <v>0</v>
      </c>
      <c r="OI73" s="1" t="n">
        <f aca="false">ID73-(IG73+IO73+IW73+JE73+JM73+JU73+KC73+KK73+KS73+LA73+LI73+LQ73+LY73+MG73+MO73+MW73+NE73+NM73+NU73+OC73)</f>
        <v>0</v>
      </c>
      <c r="OJ73" s="1" t="n">
        <f aca="false">IF(HT73=1,HR73-IC73-ID73,0)</f>
        <v>0</v>
      </c>
      <c r="OK73" s="1" t="n">
        <f aca="false">IF(HT73=0,-HR73,0)</f>
        <v>0</v>
      </c>
      <c r="OL73" s="1" t="n">
        <f aca="false">MIN(OK73,HJ73)</f>
        <v>0</v>
      </c>
      <c r="OM73" s="1" t="n">
        <f aca="false">OK73-OL73</f>
        <v>0</v>
      </c>
      <c r="ON73" s="1" t="n">
        <f aca="false">MIN(OM73,HK73)</f>
        <v>0</v>
      </c>
      <c r="OO73" s="1" t="n">
        <f aca="false">OM73-ON73</f>
        <v>0</v>
      </c>
      <c r="OP73" s="1" t="n">
        <f aca="false">IF(AND(HT73=0,HE73=1,OO73&gt;0),MIN(OO73,HF73),0)</f>
        <v>0</v>
      </c>
      <c r="OQ73" s="1" t="n">
        <f aca="false">OO73-OP73</f>
        <v>0</v>
      </c>
      <c r="OR73" s="1" t="n">
        <f aca="false">IF(AND(HT73=0,GU73=1,OQ73&gt;0),MIN(OQ73,GV73),0)</f>
        <v>0</v>
      </c>
      <c r="OS73" s="1" t="n">
        <f aca="false">OQ73-OR73</f>
        <v>0</v>
      </c>
      <c r="OT73" s="1" t="n">
        <f aca="false">IF(AND(HT73=0,GK73=1,OS73&gt;0),MIN(OS73,GL73),0)</f>
        <v>0</v>
      </c>
      <c r="OU73" s="1" t="n">
        <f aca="false">OS73-OT73</f>
        <v>0</v>
      </c>
      <c r="OV73" s="1" t="n">
        <f aca="false">IF(AND(HT73=0,GA73=1,OU73&gt;0),MIN(OU73,GB73),0)</f>
        <v>0</v>
      </c>
      <c r="OW73" s="1" t="n">
        <f aca="false">OU73-OV73</f>
        <v>0</v>
      </c>
      <c r="OX73" s="1" t="n">
        <f aca="false">IF(AND(HT73=0,FQ73=1,OW73&gt;0),MIN(OW73,FR73),0)</f>
        <v>0</v>
      </c>
      <c r="OY73" s="1" t="n">
        <f aca="false">OW73-OX73</f>
        <v>0</v>
      </c>
      <c r="OZ73" s="1" t="n">
        <f aca="false">IF(AND(HT73=0,FG73=1,OY73&gt;0),MIN(OY73,FH73),0)</f>
        <v>0</v>
      </c>
      <c r="PA73" s="1" t="n">
        <f aca="false">OY73-OZ73</f>
        <v>0</v>
      </c>
      <c r="PB73" s="1" t="n">
        <f aca="false">IF(AND(HT73=0,EW73=1,PA73&gt;0),MIN(PA73,EX73),0)</f>
        <v>0</v>
      </c>
      <c r="PC73" s="1" t="n">
        <f aca="false">PA73-PB73</f>
        <v>0</v>
      </c>
      <c r="PD73" s="1" t="n">
        <f aca="false">IF(AND(HT73=0,EM73=1,PC73&gt;0),MIN(PC73,EN73),0)</f>
        <v>0</v>
      </c>
      <c r="PE73" s="1" t="n">
        <f aca="false">PC73-PD73</f>
        <v>0</v>
      </c>
      <c r="PF73" s="1" t="n">
        <f aca="false">IF(AND(HT73=0,EC73=1,PE73&gt;0),MIN(PE73,ED73),0)</f>
        <v>0</v>
      </c>
      <c r="PG73" s="1" t="n">
        <f aca="false">PE73-PF73</f>
        <v>0</v>
      </c>
      <c r="PH73" s="1" t="n">
        <f aca="false">IF(AND(HT73=0,DS73=1,PG73&gt;0),MIN(PG73,DT73),0)</f>
        <v>0</v>
      </c>
      <c r="PI73" s="1" t="n">
        <f aca="false">PG73-PH73</f>
        <v>0</v>
      </c>
      <c r="PJ73" s="1" t="n">
        <f aca="false">IF(AND(HT73=0,DI73=1,PI73&gt;0),MIN(PI73,DJ73),0)</f>
        <v>0</v>
      </c>
      <c r="PK73" s="1" t="n">
        <f aca="false">PI73-PJ73</f>
        <v>0</v>
      </c>
      <c r="PL73" s="1" t="n">
        <f aca="false">IF(AND(HT73=0,CY73=1,PK73&gt;0),MIN(PK73,CZ73),0)</f>
        <v>0</v>
      </c>
      <c r="PM73" s="1" t="n">
        <f aca="false">PK73-PL73</f>
        <v>0</v>
      </c>
      <c r="PN73" s="1" t="n">
        <f aca="false">IF(AND(HT73=0,CO73=1,PM73&gt;0),MIN(PM73,CP73),0)</f>
        <v>0</v>
      </c>
      <c r="PO73" s="1" t="n">
        <f aca="false">PM73-PN73</f>
        <v>0</v>
      </c>
      <c r="PP73" s="1" t="n">
        <f aca="false">IF(AND(HT73=0,CE73=1,PO73&gt;0),MIN(PO73,CF73),0)</f>
        <v>0</v>
      </c>
      <c r="PQ73" s="1" t="n">
        <f aca="false">PO73-PP73</f>
        <v>0</v>
      </c>
      <c r="PR73" s="1" t="n">
        <f aca="false">IF(AND(HT73=0,BU73=1,PQ73&gt;0),MIN(PQ73,BV73),0)</f>
        <v>0</v>
      </c>
      <c r="PS73" s="1" t="n">
        <f aca="false">PQ73-PR73</f>
        <v>0</v>
      </c>
      <c r="PT73" s="1" t="n">
        <f aca="false">IF(AND(HT73=0,BK73=1,PS73&gt;0),MIN(PS73,BL73),0)</f>
        <v>0</v>
      </c>
      <c r="PU73" s="1" t="n">
        <f aca="false">PS73-PT73</f>
        <v>0</v>
      </c>
      <c r="PV73" s="1" t="n">
        <f aca="false">IF(AND(HT73=0,BA73=1,PU73&gt;0),MIN(PU73,BB73),0)</f>
        <v>0</v>
      </c>
      <c r="PW73" s="1" t="n">
        <f aca="false">PU73-PV73</f>
        <v>0</v>
      </c>
      <c r="PX73" s="1" t="n">
        <f aca="false">IF(AND(HT73=0,AQ73=1,PW73&gt;0),MIN(PW73,AR73),0)</f>
        <v>0</v>
      </c>
      <c r="PY73" s="1" t="n">
        <f aca="false">PW73-PX73</f>
        <v>0</v>
      </c>
      <c r="PZ73" s="1" t="n">
        <f aca="false">IF(AND(HT73=0,AG73=1,PY73&gt;0),MIN(PY73,AH73),0)</f>
        <v>0</v>
      </c>
      <c r="QA73" s="1" t="n">
        <f aca="false">PY73-PZ73</f>
        <v>0</v>
      </c>
      <c r="QB73" s="1" t="n">
        <f aca="false">IF(AND(HT73=0,V73=1,QA73&gt;0),MIN(QA73,W73),0)</f>
        <v>0</v>
      </c>
      <c r="QC73" s="1" t="n">
        <f aca="false">QA73-QB73</f>
        <v>0</v>
      </c>
      <c r="QD73" s="1" t="n">
        <f aca="false">IF(HT73=0,QC73,0)</f>
        <v>0</v>
      </c>
      <c r="QE73" s="1" t="n">
        <f aca="false">OL73+ON73+QB73+PZ73+PX73+PV73+PT73+PR73+PP73+PN73+PL73+PJ73+PH73+PF73+PD73+PB73+OZ73+OX73+OV73+OT73+OR73+OP73</f>
        <v>0</v>
      </c>
      <c r="QF73" s="1" t="n">
        <f aca="false">IF(HT73=1,HJ73+OI73+OH73+IF(F73=1,0,OJ73),HJ73-OL73)</f>
        <v>0</v>
      </c>
      <c r="QG73" s="1" t="n">
        <f aca="false">HK73-ON73</f>
        <v>0</v>
      </c>
      <c r="QH73" s="1" t="n">
        <f aca="false">IF(HT73=1,IF(F73=1,IC73+ID73,HR73),0)</f>
        <v>0</v>
      </c>
      <c r="QI73" s="1" t="n">
        <f aca="false">IF(HT73=1,IF(F73=1,HR73-IC73-ID73,0),0)</f>
        <v>0</v>
      </c>
      <c r="QJ73" s="1" t="n">
        <f aca="false">QF73*(1+GR)</f>
        <v>0</v>
      </c>
      <c r="QK73" s="1" t="n">
        <f aca="false">QG73*(1+AS_Cash)</f>
        <v>0</v>
      </c>
      <c r="QL73" s="1" t="n">
        <f aca="false">IF(V73=1,IF(HT73=1,IH73+IK73,W73-QB73)*(1+Slot1_Rate),0)</f>
        <v>0</v>
      </c>
      <c r="QM73" s="1" t="n">
        <f aca="false">IF(AND(HT73=1,V73=1),(IG73+IK73)/E73,0)</f>
        <v>0</v>
      </c>
      <c r="QN73" s="1" t="n">
        <f aca="false">IF(B73=0,IG73+IK73,0)</f>
        <v>0</v>
      </c>
      <c r="QO73" s="1" t="n">
        <f aca="false">IF(B73=0,IF(HT73=1,II73,IJ73),0)</f>
        <v>0</v>
      </c>
      <c r="QP73" s="1" t="n">
        <f aca="false">IF(AG73=1,IF(HT73=1,IP73+IS73,AH73-PZ73)*(1+Slot2_Rate),0)</f>
        <v>0</v>
      </c>
      <c r="QQ73" s="1" t="n">
        <f aca="false">IF(AND(HT73=1,AG73=1),(IO73+IS73)/E73,0)</f>
        <v>0</v>
      </c>
      <c r="QR73" s="1" t="n">
        <f aca="false">IF(B73=0,IO73+IS73,0)</f>
        <v>0</v>
      </c>
      <c r="QS73" s="1" t="n">
        <f aca="false">IF(B73=0,IF(HT73=1,IQ73,IR73),0)</f>
        <v>0</v>
      </c>
      <c r="QT73" s="1" t="n">
        <f aca="false">IF(AQ73=1,IF(HT73=1,IX73+JA73,AR73-PX73)*(1+Slot3_Rate),0)</f>
        <v>0</v>
      </c>
      <c r="QU73" s="1" t="n">
        <f aca="false">IF(AND(HT73=1,AQ73=1),(IW73+JA73)/E73,0)</f>
        <v>0</v>
      </c>
      <c r="QV73" s="1" t="n">
        <f aca="false">IF(B73=0,IW73+JA73,0)</f>
        <v>0</v>
      </c>
      <c r="QW73" s="1" t="n">
        <f aca="false">IF(B73=0,IF(HT73=1,IY73,IZ73),0)</f>
        <v>0</v>
      </c>
      <c r="QX73" s="1" t="n">
        <f aca="false">IF(BA73=1,IF(HT73=1,JF73+JI73,BB73-PV73)*(1+Slot4_Rate),0)</f>
        <v>0</v>
      </c>
      <c r="QY73" s="1" t="n">
        <f aca="false">IF(AND(HT73=1,BA73=1),(JE73+JI73)/E73,0)</f>
        <v>0</v>
      </c>
      <c r="QZ73" s="1" t="n">
        <f aca="false">IF(B73=0,JE73+JI73,0)</f>
        <v>0</v>
      </c>
      <c r="RA73" s="1" t="n">
        <f aca="false">IF(B73=0,IF(HT73=1,JG73,JH73),0)</f>
        <v>0</v>
      </c>
      <c r="RB73" s="1" t="n">
        <f aca="false">IF(BK73=1,IF(HT73=1,JN73+JQ73,BL73-PT73)*(1+Slot5_Rate),0)</f>
        <v>0</v>
      </c>
      <c r="RC73" s="1" t="n">
        <f aca="false">IF(AND(HT73=1,BK73=1),(JM73+JQ73)/E73,0)</f>
        <v>0</v>
      </c>
      <c r="RD73" s="1" t="n">
        <f aca="false">IF(B73=0,JM73+JQ73,0)</f>
        <v>0</v>
      </c>
      <c r="RE73" s="1" t="n">
        <f aca="false">IF(B73=0,IF(HT73=1,JO73,JP73),0)</f>
        <v>0</v>
      </c>
      <c r="RF73" s="1" t="n">
        <f aca="false">IF(BU73=1,IF(HT73=1,JV73+JY73,BV73-PR73)*(1+Slot6_Rate),0)</f>
        <v>0</v>
      </c>
      <c r="RG73" s="1" t="n">
        <f aca="false">IF(AND(HT73=1,BU73=1),(JU73+JY73)/E73,0)</f>
        <v>0</v>
      </c>
      <c r="RH73" s="1" t="n">
        <f aca="false">IF(B73=0,JU73+JY73,0)</f>
        <v>0</v>
      </c>
      <c r="RI73" s="1" t="n">
        <f aca="false">IF(B73=0,IF(HT73=1,JW73,JX73),0)</f>
        <v>0</v>
      </c>
      <c r="RJ73" s="1" t="n">
        <f aca="false">IF(CE73=1,IF(HT73=1,KD73+KG73,CF73-PP73)*(1+Slot7_Rate),0)</f>
        <v>0</v>
      </c>
      <c r="RK73" s="1" t="n">
        <f aca="false">IF(AND(HT73=1,CE73=1),(KC73+KG73)/E73,0)</f>
        <v>0</v>
      </c>
      <c r="RL73" s="1" t="n">
        <f aca="false">IF(B73=0,KC73+KG73,0)</f>
        <v>0</v>
      </c>
      <c r="RM73" s="1" t="n">
        <f aca="false">IF(B73=0,IF(HT73=1,KE73,KF73),0)</f>
        <v>0</v>
      </c>
      <c r="RN73" s="1" t="n">
        <f aca="false">IF(CO73=1,IF(HT73=1,KL73+KO73,CP73-PN73)*(1+Slot8_Rate),0)</f>
        <v>0</v>
      </c>
      <c r="RO73" s="1" t="n">
        <f aca="false">IF(AND(HT73=1,CO73=1),(KK73+KO73)/E73,0)</f>
        <v>0</v>
      </c>
      <c r="RP73" s="1" t="n">
        <f aca="false">IF(B73=0,KK73+KO73,0)</f>
        <v>0</v>
      </c>
      <c r="RQ73" s="1" t="n">
        <f aca="false">IF(B73=0,IF(HT73=1,KM73,KN73),0)</f>
        <v>0</v>
      </c>
      <c r="RR73" s="1" t="n">
        <f aca="false">IF(CY73=1,IF(HT73=1,KT73+KW73,CZ73-PL73)*(1+Slot9_Rate),0)</f>
        <v>0</v>
      </c>
      <c r="RS73" s="1" t="n">
        <f aca="false">IF(AND(HT73=1,CY73=1),(KS73+KW73)/E73,0)</f>
        <v>0</v>
      </c>
      <c r="RT73" s="1" t="n">
        <f aca="false">IF(B73=0,KS73+KW73,0)</f>
        <v>0</v>
      </c>
      <c r="RU73" s="1" t="n">
        <f aca="false">IF(B73=0,IF(HT73=1,KU73,KV73),0)</f>
        <v>0</v>
      </c>
      <c r="RV73" s="1" t="n">
        <f aca="false">IF(DI73=1,IF(HT73=1,LB73+LE73,DJ73-PJ73)*(1+Slot10_Rate),0)</f>
        <v>0</v>
      </c>
      <c r="RW73" s="1" t="n">
        <f aca="false">IF(AND(HT73=1,DI73=1),(LA73+LE73)/E73,0)</f>
        <v>0</v>
      </c>
      <c r="RX73" s="1" t="n">
        <f aca="false">IF(B73=0,LA73+LE73,0)</f>
        <v>0</v>
      </c>
      <c r="RY73" s="1" t="n">
        <f aca="false">IF(B73=0,IF(HT73=1,LC73,LD73),0)</f>
        <v>0</v>
      </c>
      <c r="RZ73" s="1" t="n">
        <f aca="false">IF(DS73=1,IF(HT73=1,LJ73+LM73,DT73-PH73)*(1+Slot11_Rate),0)</f>
        <v>0</v>
      </c>
      <c r="SA73" s="1" t="n">
        <f aca="false">IF(AND(HT73=1,DS73=1),(LI73+LM73)/E73,0)</f>
        <v>0</v>
      </c>
      <c r="SB73" s="1" t="n">
        <f aca="false">IF(B73=0,LI73+LM73,0)</f>
        <v>0</v>
      </c>
      <c r="SC73" s="1" t="n">
        <f aca="false">IF(B73=0,IF(HT73=1,LK73,LL73),0)</f>
        <v>0</v>
      </c>
      <c r="SD73" s="1" t="n">
        <f aca="false">IF(EC73=1,IF(HT73=1,LR73+LU73,ED73-PF73)*(1+Slot12_Rate),0)</f>
        <v>0</v>
      </c>
      <c r="SE73" s="1" t="n">
        <f aca="false">IF(AND(HT73=1,EC73=1),(LQ73+LU73)/E73,0)</f>
        <v>0</v>
      </c>
      <c r="SF73" s="1" t="n">
        <f aca="false">IF(B73=0,LQ73+LU73,0)</f>
        <v>0</v>
      </c>
      <c r="SG73" s="1" t="n">
        <f aca="false">IF(B73=0,IF(HT73=1,LS73,LT73),0)</f>
        <v>0</v>
      </c>
      <c r="SH73" s="1" t="n">
        <f aca="false">IF(EM73=1,IF(HT73=1,LZ73+MC73,EN73-PD73)*(1+Slot13_Rate),0)</f>
        <v>0</v>
      </c>
      <c r="SI73" s="1" t="n">
        <f aca="false">IF(AND(HT73=1,EM73=1),(LY73+MC73)/E73,0)</f>
        <v>0</v>
      </c>
      <c r="SJ73" s="1" t="n">
        <f aca="false">IF(B73=0,LY73+MC73,0)</f>
        <v>0</v>
      </c>
      <c r="SK73" s="1" t="n">
        <f aca="false">IF(B73=0,IF(HT73=1,MA73,MB73),0)</f>
        <v>0</v>
      </c>
      <c r="SL73" s="1" t="n">
        <f aca="false">IF(EW73=1,IF(HT73=1,MH73+MK73,EX73-PB73)*(1+Slot14_Rate),0)</f>
        <v>0</v>
      </c>
      <c r="SM73" s="1" t="n">
        <f aca="false">IF(AND(HT73=1,EW73=1),(MG73+MK73)/E73,0)</f>
        <v>0</v>
      </c>
      <c r="SN73" s="1" t="n">
        <f aca="false">IF(B73=0,MG73+MK73,0)</f>
        <v>0</v>
      </c>
      <c r="SO73" s="1" t="n">
        <f aca="false">IF(B73=0,IF(HT73=1,MI73,MJ73),0)</f>
        <v>0</v>
      </c>
      <c r="SP73" s="1" t="n">
        <f aca="false">IF(FG73=1,IF(HT73=1,MP73+MS73,FH73-OZ73)*(1+Slot15_Rate),0)</f>
        <v>0</v>
      </c>
      <c r="SQ73" s="1" t="n">
        <f aca="false">IF(AND(HT73=1,FG73=1),(MO73+MS73)/E73,0)</f>
        <v>0</v>
      </c>
      <c r="SR73" s="1" t="n">
        <f aca="false">IF(B73=0,MO73+MS73,0)</f>
        <v>0</v>
      </c>
      <c r="SS73" s="1" t="n">
        <f aca="false">IF(B73=0,IF(HT73=1,MQ73,MR73),0)</f>
        <v>0</v>
      </c>
      <c r="ST73" s="1" t="n">
        <f aca="false">IF(FQ73=1,IF(HT73=1,MX73+NA73,FR73-OX73)*(1+Slot16_Rate),0)</f>
        <v>0</v>
      </c>
      <c r="SU73" s="1" t="n">
        <f aca="false">IF(AND(HT73=1,FQ73=1),(MW73+NA73)/E73,0)</f>
        <v>0</v>
      </c>
      <c r="SV73" s="1" t="n">
        <f aca="false">IF(B73=0,MW73+NA73,0)</f>
        <v>0</v>
      </c>
      <c r="SW73" s="1" t="n">
        <f aca="false">IF(B73=0,IF(HT73=1,MY73,MZ73),0)</f>
        <v>0</v>
      </c>
      <c r="SX73" s="1" t="n">
        <f aca="false">IF(GA73=1,IF(HT73=1,NF73+NI73,GB73-OV73)*(1+Slot17_Rate),0)</f>
        <v>0</v>
      </c>
      <c r="SY73" s="1" t="n">
        <f aca="false">IF(AND(HT73=1,GA73=1),(NE73+NI73)/E73,0)</f>
        <v>0</v>
      </c>
      <c r="SZ73" s="1" t="n">
        <f aca="false">IF(B73=0,NE73+NI73,0)</f>
        <v>0</v>
      </c>
      <c r="TA73" s="1" t="n">
        <f aca="false">IF(B73=0,IF(HT73=1,NG73,NH73),0)</f>
        <v>0</v>
      </c>
      <c r="TB73" s="1" t="n">
        <f aca="false">IF(GK73=1,IF(HT73=1,NN73+NQ73,GL73-OT73)*(1+Slot18_Rate),0)</f>
        <v>0</v>
      </c>
      <c r="TC73" s="1" t="n">
        <f aca="false">IF(AND(HT73=1,GK73=1),(NM73+NQ73)/E73,0)</f>
        <v>0</v>
      </c>
      <c r="TD73" s="1" t="n">
        <f aca="false">IF(B73=0,NM73+NQ73,0)</f>
        <v>0</v>
      </c>
      <c r="TE73" s="1" t="n">
        <f aca="false">IF(B73=0,IF(HT73=1,NO73,NP73),0)</f>
        <v>0</v>
      </c>
      <c r="TF73" s="1" t="n">
        <f aca="false">IF(GU73=1,IF(HT73=1,NV73+NY73,GV73-OR73)*(1+Slot19_Rate),0)</f>
        <v>0</v>
      </c>
      <c r="TG73" s="1" t="n">
        <f aca="false">IF(AND(HT73=1,GU73=1),(NU73+NY73)/E73,0)</f>
        <v>0</v>
      </c>
      <c r="TH73" s="1" t="n">
        <f aca="false">IF(B73=0,NU73+NY73,0)</f>
        <v>0</v>
      </c>
      <c r="TI73" s="1" t="n">
        <f aca="false">IF(B73=0,IF(HT73=1,NW73,NX73),0)</f>
        <v>0</v>
      </c>
      <c r="TJ73" s="1" t="n">
        <f aca="false">IF(HE73=1,IF(HT73=1,OD73+OG73,HF73-OP73)*(1+Slot20_Rate),0)</f>
        <v>0</v>
      </c>
      <c r="TK73" s="1" t="n">
        <f aca="false">IF(AND(HT73=1,HE73=1),(OC73+OG73)/E73,0)</f>
        <v>0</v>
      </c>
      <c r="TL73" s="1" t="n">
        <f aca="false">IF(B73=0,OC73+OG73,0)</f>
        <v>0</v>
      </c>
      <c r="TM73" s="1" t="n">
        <f aca="false">IF(B73=0,IF(HT73=1,OE73,OF73),0)</f>
        <v>0</v>
      </c>
      <c r="TN73" s="1" t="n">
        <f aca="false">QJ73+QK73+QL73+QP73+QT73+QX73+RB73+RF73+RJ73+RN73+RR73+RV73+RZ73+SD73+SH73+SL73+SP73+ST73+SX73+TB73+TF73+TJ73</f>
        <v>0</v>
      </c>
      <c r="TO73" s="1" t="n">
        <f aca="false">QD73+HO73</f>
        <v>0</v>
      </c>
      <c r="TP73" s="1" t="n">
        <f aca="false">H73+R73</f>
        <v>0</v>
      </c>
      <c r="TQ73" s="1" t="n">
        <f aca="false">1-F73</f>
        <v>0</v>
      </c>
      <c r="TR73" s="1" t="n">
        <f aca="false">IF(AND(RG_Exists=1,F73=0,C73=1),H73,0)</f>
        <v>0</v>
      </c>
      <c r="TS73" s="1" t="n">
        <f aca="false">IF(AND(RG_Exists=1,F73=0,C73=1),H73-MIN(QD73,H73),0)</f>
        <v>0</v>
      </c>
      <c r="TT73" s="1" t="n">
        <f aca="false">'Plan pay &amp; tax'!AD299</f>
        <v>0</v>
      </c>
      <c r="TU73" s="1" t="n">
        <f aca="false">IF(AND(C73=1,QD73&gt;MAX(PR_Short1,TP73*PR_Short2)),1,0)</f>
        <v>0</v>
      </c>
      <c r="TV73" s="1" t="n">
        <f aca="false">MIN(G73,H73+R73)</f>
        <v>0</v>
      </c>
      <c r="TW73" s="1" t="n">
        <f aca="false">QE73+MAX(0,HP73-HO73)</f>
        <v>0</v>
      </c>
      <c r="TX73" s="1" t="n">
        <f aca="false">QD73+HO73</f>
        <v>0</v>
      </c>
      <c r="TY73" s="1" t="n">
        <f aca="false">IF(AND(C73=1,TX73&gt;PR_MinShort),1,0)</f>
        <v>0</v>
      </c>
      <c r="TZ73" s="1" t="n">
        <f aca="false">IF(AND(C73=1,TY73=0,TW73&gt;PR_MinShort),1,0)</f>
        <v>0</v>
      </c>
      <c r="UA73" s="1" t="n">
        <f aca="false">IF(AND(C73=1,QD73&gt;PR_MinShort),1,0)</f>
        <v>0</v>
      </c>
      <c r="UB73" s="1" t="n">
        <f aca="false">IF(AND(C73=1,QE73&gt;1,UI73=0),1,0)</f>
        <v>0</v>
      </c>
      <c r="UC73" s="1" t="str">
        <f aca="false">IF(C73=0,"",IF(UI73=1,"Gap to plan for: short "&amp;"€"&amp;TEXT(ROUND(TO73,0),"#,##0"),IF(QE73&gt;1,"Using savings","Comfortable")))</f>
        <v>Comfortable</v>
      </c>
      <c r="UD73" s="1" t="n">
        <f aca="false">IF(AND(INT(D73/10)*10=90,B73&gt;0),80,INT(D73/10)*10)</f>
        <v>60</v>
      </c>
      <c r="UE73" s="1" t="n">
        <f aca="false">IF(B73=0,1,IF(UD73&lt;&gt;UD72,UE72+1,UE72))</f>
        <v>7</v>
      </c>
      <c r="UF73" s="1" t="n">
        <f aca="false">IF(AND(C73=1,F73=1,QD73&gt;MAX(PR_Short1,TP73*PR_Short2)),1,0)</f>
        <v>0</v>
      </c>
      <c r="UG73" s="1" t="n">
        <f aca="false">TQ73*TU73</f>
        <v>0</v>
      </c>
      <c r="UH73" s="1" t="n">
        <f aca="false">IF(AND(U73=1,Slot1_PctLow=1),1,0)+IF(AND(AF73=1,Slot2_PctLow=1),1,0)+IF(AND(AP73=1,Slot3_PctLow=1),1,0)+IF(AND(AZ73=1,Slot4_PctLow=1),1,0)+IF(AND(BJ73=1,Slot5_PctLow=1),1,0)+IF(AND(BT73=1,Slot6_PctLow=1),1,0)+IF(AND(CD73=1,Slot7_PctLow=1),1,0)+IF(AND(CN73=1,Slot8_PctLow=1),1,0)+IF(AND(CX73=1,Slot9_PctLow=1),1,0)+IF(AND(DH73=1,Slot10_PctLow=1),1,0)+IF(AND(DR73=1,Slot11_PctLow=1),1,0)+IF(AND(EB73=1,Slot12_PctLow=1),1,0)+IF(AND(EL73=1,Slot13_PctLow=1),1,0)+IF(AND(EV73=1,Slot14_PctLow=1),1,0)+IF(AND(FF73=1,Slot15_PctLow=1),1,0)+IF(AND(FP73=1,Slot16_PctLow=1),1,0)+IF(AND(FZ73=1,Slot17_PctLow=1),1,0)+IF(AND(GJ73=1,Slot18_PctLow=1),1,0)+IF(AND(GT73=1,Slot19_PctLow=1),1,0)+IF(AND(HD73=1,Slot20_PctLow=1),1,0)</f>
        <v>0</v>
      </c>
      <c r="UI73" s="1" t="n">
        <f aca="false">IF(C73=1,IF(OR(TU73=1,UH73&gt;0),1,0),0)</f>
        <v>0</v>
      </c>
    </row>
    <row r="74" customFormat="false" ht="15" hidden="false" customHeight="true" outlineLevel="0" collapsed="false">
      <c r="B74" s="1" t="n">
        <v>66</v>
      </c>
      <c r="C74" s="1" t="n">
        <f aca="false">IF(B74&lt;=F_N,1,0)</f>
        <v>1</v>
      </c>
      <c r="D74" s="1" t="n">
        <f aca="false">'Plan pay &amp; tax'!C300</f>
        <v>66</v>
      </c>
      <c r="E74" s="111" t="n">
        <f aca="false">'Plan pay &amp; tax'!E300</f>
        <v>3.69497357030527</v>
      </c>
      <c r="F74" s="1" t="n">
        <f aca="false">'Plan pay &amp; tax'!G300</f>
        <v>0</v>
      </c>
      <c r="G74" s="1" t="n">
        <f aca="false">'Plan pay &amp; tax'!BT300-'Plan pay &amp; tax'!BS300-'Plan pay &amp; tax'!R300</f>
        <v>46005.6725270424</v>
      </c>
      <c r="H74" s="1" t="n">
        <f aca="false">IF(F74=1,F_CostsM*12,IF(RG_Exists=1,RG_Amount,F_CostsM*12*AS_RetireSpend))*E74+F_OneOffY*E74</f>
        <v>0</v>
      </c>
      <c r="I74" s="1" t="n">
        <f aca="false">HQ73</f>
        <v>0</v>
      </c>
      <c r="J74" s="1" t="n">
        <f aca="false">IF(I74&gt;1,'Plan debt months'!AC74,0)</f>
        <v>0</v>
      </c>
      <c r="K74" s="1" t="n">
        <f aca="false">IF(I74&gt;1,'Plan debt months'!AB74,I74)</f>
        <v>0</v>
      </c>
      <c r="L74" s="1" t="n">
        <f aca="false">N73</f>
        <v>0</v>
      </c>
      <c r="M74" s="1" t="n">
        <f aca="false">IF(L74&gt;1,'Plan debt months'!BD74,0)</f>
        <v>0</v>
      </c>
      <c r="N74" s="1" t="n">
        <f aca="false">IF(L74&gt;1,'Plan debt months'!BC74,L74)</f>
        <v>0</v>
      </c>
      <c r="O74" s="1" t="n">
        <f aca="false">Q73</f>
        <v>0</v>
      </c>
      <c r="P74" s="1" t="n">
        <f aca="false">IF(O74&gt;1,'Plan debt months'!CE74,0)</f>
        <v>0</v>
      </c>
      <c r="Q74" s="1" t="n">
        <f aca="false">IF(O74&gt;1,'Plan debt months'!CD74,O74)</f>
        <v>0</v>
      </c>
      <c r="R74" s="1" t="n">
        <f aca="false">J74+M74+P74</f>
        <v>0</v>
      </c>
      <c r="S74" s="1" t="n">
        <f aca="false">QJ73+'Plan pay &amp; tax'!Y300</f>
        <v>0</v>
      </c>
      <c r="T74" s="1" t="n">
        <f aca="false">QJ73</f>
        <v>0</v>
      </c>
      <c r="U74" s="1" t="n">
        <f aca="false">IF(AND(Slot1_On=1,D74=Slot1_Age),1,0)</f>
        <v>0</v>
      </c>
      <c r="V74" s="1" t="n">
        <f aca="false">IF(AND(Slot1_On=1,Slot1_Age&gt;D74),1,0)</f>
        <v>0</v>
      </c>
      <c r="W74" s="1" t="n">
        <f aca="false">QL73</f>
        <v>0</v>
      </c>
      <c r="X74" s="1" t="n">
        <f aca="false">U74*MIN(Slot1_Cost,W74)</f>
        <v>0</v>
      </c>
      <c r="Y74" s="1" t="n">
        <f aca="false">U74*Slot1_SpendLike*MIN(Slot1_Cost-X74,S74)</f>
        <v>0</v>
      </c>
      <c r="Z74" s="1" t="n">
        <f aca="false">X74+Y74</f>
        <v>0</v>
      </c>
      <c r="AA74" s="1" t="n">
        <f aca="false">S74-Y74+U74*IF(Slot1_SpendLike=1,W74-X74,IF(Slot1_PotFree=1,W74,0))</f>
        <v>0</v>
      </c>
      <c r="AB74" s="1" t="n">
        <f aca="false">AE74+U74*Slot1_BufPot*W74</f>
        <v>0</v>
      </c>
      <c r="AC74" s="1" t="n">
        <f aca="false">IF(AND(U74=1,Slot1_IsMfree=1),IF(Z74&gt;=Slot1_Cost-1,0,MAX(0,K74-Z74)),K74)</f>
        <v>0</v>
      </c>
      <c r="AD74" s="1" t="n">
        <f aca="false">U74*(Slot1_Cost-Z74)</f>
        <v>0</v>
      </c>
      <c r="AE74" s="1" t="n">
        <f aca="false">QK73</f>
        <v>0</v>
      </c>
      <c r="AF74" s="1" t="n">
        <f aca="false">IF(AND(Slot2_On=1,D74=Slot2_Age),1,0)</f>
        <v>0</v>
      </c>
      <c r="AG74" s="1" t="n">
        <f aca="false">IF(AND(Slot2_On=1,Slot2_Age&gt;D74),1,0)</f>
        <v>0</v>
      </c>
      <c r="AH74" s="1" t="n">
        <f aca="false">QP73</f>
        <v>0</v>
      </c>
      <c r="AI74" s="1" t="n">
        <f aca="false">AF74*MIN(Slot2_Cost,AH74)</f>
        <v>0</v>
      </c>
      <c r="AJ74" s="1" t="n">
        <f aca="false">AF74*Slot2_SpendLike*MIN(Slot2_Cost-AI74,AA74)</f>
        <v>0</v>
      </c>
      <c r="AK74" s="1" t="n">
        <f aca="false">AI74+AJ74</f>
        <v>0</v>
      </c>
      <c r="AL74" s="1" t="n">
        <f aca="false">AA74-AJ74+AF74*IF(Slot2_SpendLike=1,AH74-AI74,IF(Slot2_PotFree=1,AH74,0))</f>
        <v>0</v>
      </c>
      <c r="AM74" s="1" t="n">
        <f aca="false">AB74+AF74*Slot2_BufPot*AH74</f>
        <v>0</v>
      </c>
      <c r="AN74" s="1" t="n">
        <f aca="false">IF(AND(AF74=1,Slot2_IsMfree=1),IF(AK74&gt;=Slot2_Cost-1,0,MAX(0,AC74-AK74)),AC74)</f>
        <v>0</v>
      </c>
      <c r="AO74" s="1" t="n">
        <f aca="false">AF74*(Slot2_Cost-AK74)</f>
        <v>0</v>
      </c>
      <c r="AP74" s="1" t="n">
        <f aca="false">IF(AND(Slot3_On=1,D74=Slot3_Age),1,0)</f>
        <v>0</v>
      </c>
      <c r="AQ74" s="1" t="n">
        <f aca="false">IF(AND(Slot3_On=1,Slot3_Age&gt;D74),1,0)</f>
        <v>0</v>
      </c>
      <c r="AR74" s="1" t="n">
        <f aca="false">QT73</f>
        <v>0</v>
      </c>
      <c r="AS74" s="1" t="n">
        <f aca="false">AP74*MIN(Slot3_Cost,AR74)</f>
        <v>0</v>
      </c>
      <c r="AT74" s="1" t="n">
        <f aca="false">AP74*Slot3_SpendLike*MIN(Slot3_Cost-AS74,AL74)</f>
        <v>0</v>
      </c>
      <c r="AU74" s="1" t="n">
        <f aca="false">AS74+AT74</f>
        <v>0</v>
      </c>
      <c r="AV74" s="1" t="n">
        <f aca="false">AL74-AT74+AP74*IF(Slot3_SpendLike=1,AR74-AS74,IF(Slot3_PotFree=1,AR74,0))</f>
        <v>0</v>
      </c>
      <c r="AW74" s="1" t="n">
        <f aca="false">AM74+AP74*Slot3_BufPot*AR74</f>
        <v>0</v>
      </c>
      <c r="AX74" s="1" t="n">
        <f aca="false">IF(AND(AP74=1,Slot3_IsMfree=1),IF(AU74&gt;=Slot3_Cost-1,0,MAX(0,AN74-AU74)),AN74)</f>
        <v>0</v>
      </c>
      <c r="AY74" s="1" t="n">
        <f aca="false">AP74*(Slot3_Cost-AU74)</f>
        <v>0</v>
      </c>
      <c r="AZ74" s="1" t="n">
        <f aca="false">IF(AND(Slot4_On=1,D74=Slot4_Age),1,0)</f>
        <v>0</v>
      </c>
      <c r="BA74" s="1" t="n">
        <f aca="false">IF(AND(Slot4_On=1,Slot4_Age&gt;D74),1,0)</f>
        <v>0</v>
      </c>
      <c r="BB74" s="1" t="n">
        <f aca="false">QX73</f>
        <v>0</v>
      </c>
      <c r="BC74" s="1" t="n">
        <f aca="false">AZ74*MIN(Slot4_Cost,BB74)</f>
        <v>0</v>
      </c>
      <c r="BD74" s="1" t="n">
        <f aca="false">AZ74*Slot4_SpendLike*MIN(Slot4_Cost-BC74,AV74)</f>
        <v>0</v>
      </c>
      <c r="BE74" s="1" t="n">
        <f aca="false">BC74+BD74</f>
        <v>0</v>
      </c>
      <c r="BF74" s="1" t="n">
        <f aca="false">AV74-BD74+AZ74*IF(Slot4_SpendLike=1,BB74-BC74,IF(Slot4_PotFree=1,BB74,0))</f>
        <v>0</v>
      </c>
      <c r="BG74" s="1" t="n">
        <f aca="false">AW74+AZ74*Slot4_BufPot*BB74</f>
        <v>0</v>
      </c>
      <c r="BH74" s="1" t="n">
        <f aca="false">IF(AND(AZ74=1,Slot4_IsMfree=1),IF(BE74&gt;=Slot4_Cost-1,0,MAX(0,AX74-BE74)),AX74)</f>
        <v>0</v>
      </c>
      <c r="BI74" s="1" t="n">
        <f aca="false">AZ74*(Slot4_Cost-BE74)</f>
        <v>0</v>
      </c>
      <c r="BJ74" s="1" t="n">
        <f aca="false">IF(AND(Slot5_On=1,D74=Slot5_Age),1,0)</f>
        <v>0</v>
      </c>
      <c r="BK74" s="1" t="n">
        <f aca="false">IF(AND(Slot5_On=1,Slot5_Age&gt;D74),1,0)</f>
        <v>0</v>
      </c>
      <c r="BL74" s="1" t="n">
        <f aca="false">RB73</f>
        <v>0</v>
      </c>
      <c r="BM74" s="1" t="n">
        <f aca="false">BJ74*MIN(Slot5_Cost,BL74)</f>
        <v>0</v>
      </c>
      <c r="BN74" s="1" t="n">
        <f aca="false">BJ74*Slot5_SpendLike*MIN(Slot5_Cost-BM74,BF74)</f>
        <v>0</v>
      </c>
      <c r="BO74" s="1" t="n">
        <f aca="false">BM74+BN74</f>
        <v>0</v>
      </c>
      <c r="BP74" s="1" t="n">
        <f aca="false">BF74-BN74+BJ74*IF(Slot5_SpendLike=1,BL74-BM74,IF(Slot5_PotFree=1,BL74,0))</f>
        <v>0</v>
      </c>
      <c r="BQ74" s="1" t="n">
        <f aca="false">BG74+BJ74*Slot5_BufPot*BL74</f>
        <v>0</v>
      </c>
      <c r="BR74" s="1" t="n">
        <f aca="false">IF(AND(BJ74=1,Slot5_IsMfree=1),IF(BO74&gt;=Slot5_Cost-1,0,MAX(0,BH74-BO74)),BH74)</f>
        <v>0</v>
      </c>
      <c r="BS74" s="1" t="n">
        <f aca="false">BJ74*(Slot5_Cost-BO74)</f>
        <v>0</v>
      </c>
      <c r="BT74" s="1" t="n">
        <f aca="false">IF(AND(Slot6_On=1,D74=Slot6_Age),1,0)</f>
        <v>0</v>
      </c>
      <c r="BU74" s="1" t="n">
        <f aca="false">IF(AND(Slot6_On=1,Slot6_Age&gt;D74),1,0)</f>
        <v>0</v>
      </c>
      <c r="BV74" s="1" t="n">
        <f aca="false">RF73</f>
        <v>0</v>
      </c>
      <c r="BW74" s="1" t="n">
        <f aca="false">BT74*MIN(Slot6_Cost,BV74)</f>
        <v>0</v>
      </c>
      <c r="BX74" s="1" t="n">
        <f aca="false">BT74*Slot6_SpendLike*MIN(Slot6_Cost-BW74,BP74)</f>
        <v>0</v>
      </c>
      <c r="BY74" s="1" t="n">
        <f aca="false">BW74+BX74</f>
        <v>0</v>
      </c>
      <c r="BZ74" s="1" t="n">
        <f aca="false">BP74-BX74+BT74*IF(Slot6_SpendLike=1,BV74-BW74,IF(Slot6_PotFree=1,BV74,0))</f>
        <v>0</v>
      </c>
      <c r="CA74" s="1" t="n">
        <f aca="false">BQ74+BT74*Slot6_BufPot*BV74</f>
        <v>0</v>
      </c>
      <c r="CB74" s="1" t="n">
        <f aca="false">IF(AND(BT74=1,Slot6_IsMfree=1),IF(BY74&gt;=Slot6_Cost-1,0,MAX(0,BR74-BY74)),BR74)</f>
        <v>0</v>
      </c>
      <c r="CC74" s="1" t="n">
        <f aca="false">BT74*(Slot6_Cost-BY74)</f>
        <v>0</v>
      </c>
      <c r="CD74" s="1" t="n">
        <f aca="false">IF(AND(Slot7_On=1,D74=Slot7_Age),1,0)</f>
        <v>0</v>
      </c>
      <c r="CE74" s="1" t="n">
        <f aca="false">IF(AND(Slot7_On=1,Slot7_Age&gt;D74),1,0)</f>
        <v>0</v>
      </c>
      <c r="CF74" s="1" t="n">
        <f aca="false">RJ73</f>
        <v>0</v>
      </c>
      <c r="CG74" s="1" t="n">
        <f aca="false">CD74*MIN(Slot7_Cost,CF74)</f>
        <v>0</v>
      </c>
      <c r="CH74" s="1" t="n">
        <f aca="false">CD74*Slot7_SpendLike*MIN(Slot7_Cost-CG74,BZ74)</f>
        <v>0</v>
      </c>
      <c r="CI74" s="1" t="n">
        <f aca="false">CG74+CH74</f>
        <v>0</v>
      </c>
      <c r="CJ74" s="1" t="n">
        <f aca="false">BZ74-CH74+CD74*IF(Slot7_SpendLike=1,CF74-CG74,IF(Slot7_PotFree=1,CF74,0))</f>
        <v>0</v>
      </c>
      <c r="CK74" s="1" t="n">
        <f aca="false">CA74+CD74*Slot7_BufPot*CF74</f>
        <v>0</v>
      </c>
      <c r="CL74" s="1" t="n">
        <f aca="false">IF(AND(CD74=1,Slot7_IsMfree=1),IF(CI74&gt;=Slot7_Cost-1,0,MAX(0,CB74-CI74)),CB74)</f>
        <v>0</v>
      </c>
      <c r="CM74" s="1" t="n">
        <f aca="false">CD74*(Slot7_Cost-CI74)</f>
        <v>0</v>
      </c>
      <c r="CN74" s="1" t="n">
        <f aca="false">IF(AND(Slot8_On=1,D74=Slot8_Age),1,0)</f>
        <v>0</v>
      </c>
      <c r="CO74" s="1" t="n">
        <f aca="false">IF(AND(Slot8_On=1,Slot8_Age&gt;D74),1,0)</f>
        <v>0</v>
      </c>
      <c r="CP74" s="1" t="n">
        <f aca="false">RN73</f>
        <v>0</v>
      </c>
      <c r="CQ74" s="1" t="n">
        <f aca="false">CN74*MIN(Slot8_Cost,CP74)</f>
        <v>0</v>
      </c>
      <c r="CR74" s="1" t="n">
        <f aca="false">CN74*Slot8_SpendLike*MIN(Slot8_Cost-CQ74,CJ74)</f>
        <v>0</v>
      </c>
      <c r="CS74" s="1" t="n">
        <f aca="false">CQ74+CR74</f>
        <v>0</v>
      </c>
      <c r="CT74" s="1" t="n">
        <f aca="false">CJ74-CR74+CN74*IF(Slot8_SpendLike=1,CP74-CQ74,IF(Slot8_PotFree=1,CP74,0))</f>
        <v>0</v>
      </c>
      <c r="CU74" s="1" t="n">
        <f aca="false">CK74+CN74*Slot8_BufPot*CP74</f>
        <v>0</v>
      </c>
      <c r="CV74" s="1" t="n">
        <f aca="false">IF(AND(CN74=1,Slot8_IsMfree=1),IF(CS74&gt;=Slot8_Cost-1,0,MAX(0,CL74-CS74)),CL74)</f>
        <v>0</v>
      </c>
      <c r="CW74" s="1" t="n">
        <f aca="false">CN74*(Slot8_Cost-CS74)</f>
        <v>0</v>
      </c>
      <c r="CX74" s="1" t="n">
        <f aca="false">IF(AND(Slot9_On=1,D74=Slot9_Age),1,0)</f>
        <v>0</v>
      </c>
      <c r="CY74" s="1" t="n">
        <f aca="false">IF(AND(Slot9_On=1,Slot9_Age&gt;D74),1,0)</f>
        <v>0</v>
      </c>
      <c r="CZ74" s="1" t="n">
        <f aca="false">RR73</f>
        <v>0</v>
      </c>
      <c r="DA74" s="1" t="n">
        <f aca="false">CX74*MIN(Slot9_Cost,CZ74)</f>
        <v>0</v>
      </c>
      <c r="DB74" s="1" t="n">
        <f aca="false">CX74*Slot9_SpendLike*MIN(Slot9_Cost-DA74,CT74)</f>
        <v>0</v>
      </c>
      <c r="DC74" s="1" t="n">
        <f aca="false">DA74+DB74</f>
        <v>0</v>
      </c>
      <c r="DD74" s="1" t="n">
        <f aca="false">CT74-DB74+CX74*IF(Slot9_SpendLike=1,CZ74-DA74,IF(Slot9_PotFree=1,CZ74,0))</f>
        <v>0</v>
      </c>
      <c r="DE74" s="1" t="n">
        <f aca="false">CU74+CX74*Slot9_BufPot*CZ74</f>
        <v>0</v>
      </c>
      <c r="DF74" s="1" t="n">
        <f aca="false">IF(AND(CX74=1,Slot9_IsMfree=1),IF(DC74&gt;=Slot9_Cost-1,0,MAX(0,CV74-DC74)),CV74)</f>
        <v>0</v>
      </c>
      <c r="DG74" s="1" t="n">
        <f aca="false">CX74*(Slot9_Cost-DC74)</f>
        <v>0</v>
      </c>
      <c r="DH74" s="1" t="n">
        <f aca="false">IF(AND(Slot10_On=1,D74=Slot10_Age),1,0)</f>
        <v>0</v>
      </c>
      <c r="DI74" s="1" t="n">
        <f aca="false">IF(AND(Slot10_On=1,Slot10_Age&gt;D74),1,0)</f>
        <v>0</v>
      </c>
      <c r="DJ74" s="1" t="n">
        <f aca="false">RV73</f>
        <v>0</v>
      </c>
      <c r="DK74" s="1" t="n">
        <f aca="false">DH74*MIN(Slot10_Cost,DJ74)</f>
        <v>0</v>
      </c>
      <c r="DL74" s="1" t="n">
        <f aca="false">DH74*Slot10_SpendLike*MIN(Slot10_Cost-DK74,DD74)</f>
        <v>0</v>
      </c>
      <c r="DM74" s="1" t="n">
        <f aca="false">DK74+DL74</f>
        <v>0</v>
      </c>
      <c r="DN74" s="1" t="n">
        <f aca="false">DD74-DL74+DH74*IF(Slot10_SpendLike=1,DJ74-DK74,IF(Slot10_PotFree=1,DJ74,0))</f>
        <v>0</v>
      </c>
      <c r="DO74" s="1" t="n">
        <f aca="false">DE74+DH74*Slot10_BufPot*DJ74</f>
        <v>0</v>
      </c>
      <c r="DP74" s="1" t="n">
        <f aca="false">IF(AND(DH74=1,Slot10_IsMfree=1),IF(DM74&gt;=Slot10_Cost-1,0,MAX(0,DF74-DM74)),DF74)</f>
        <v>0</v>
      </c>
      <c r="DQ74" s="1" t="n">
        <f aca="false">DH74*(Slot10_Cost-DM74)</f>
        <v>0</v>
      </c>
      <c r="DR74" s="1" t="n">
        <f aca="false">IF(AND(Slot11_On=1,D74=Slot11_Age),1,0)</f>
        <v>0</v>
      </c>
      <c r="DS74" s="1" t="n">
        <f aca="false">IF(AND(Slot11_On=1,Slot11_Age&gt;D74),1,0)</f>
        <v>0</v>
      </c>
      <c r="DT74" s="1" t="n">
        <f aca="false">RZ73</f>
        <v>0</v>
      </c>
      <c r="DU74" s="1" t="n">
        <f aca="false">DR74*MIN(Slot11_Cost,DT74)</f>
        <v>0</v>
      </c>
      <c r="DV74" s="1" t="n">
        <f aca="false">DR74*Slot11_SpendLike*MIN(Slot11_Cost-DU74,DN74)</f>
        <v>0</v>
      </c>
      <c r="DW74" s="1" t="n">
        <f aca="false">DU74+DV74</f>
        <v>0</v>
      </c>
      <c r="DX74" s="1" t="n">
        <f aca="false">DN74-DV74+DR74*IF(Slot11_SpendLike=1,DT74-DU74,IF(Slot11_PotFree=1,DT74,0))</f>
        <v>0</v>
      </c>
      <c r="DY74" s="1" t="n">
        <f aca="false">DO74+DR74*Slot11_BufPot*DT74</f>
        <v>0</v>
      </c>
      <c r="DZ74" s="1" t="n">
        <f aca="false">IF(AND(DR74=1,Slot11_IsMfree=1),IF(DW74&gt;=Slot11_Cost-1,0,MAX(0,DP74-DW74)),DP74)</f>
        <v>0</v>
      </c>
      <c r="EA74" s="1" t="n">
        <f aca="false">DR74*(Slot11_Cost-DW74)</f>
        <v>0</v>
      </c>
      <c r="EB74" s="1" t="n">
        <f aca="false">IF(AND(Slot12_On=1,D74=Slot12_Age),1,0)</f>
        <v>0</v>
      </c>
      <c r="EC74" s="1" t="n">
        <f aca="false">IF(AND(Slot12_On=1,Slot12_Age&gt;D74),1,0)</f>
        <v>0</v>
      </c>
      <c r="ED74" s="1" t="n">
        <f aca="false">SD73</f>
        <v>0</v>
      </c>
      <c r="EE74" s="1" t="n">
        <f aca="false">EB74*MIN(Slot12_Cost,ED74)</f>
        <v>0</v>
      </c>
      <c r="EF74" s="1" t="n">
        <f aca="false">EB74*Slot12_SpendLike*MIN(Slot12_Cost-EE74,DX74)</f>
        <v>0</v>
      </c>
      <c r="EG74" s="1" t="n">
        <f aca="false">EE74+EF74</f>
        <v>0</v>
      </c>
      <c r="EH74" s="1" t="n">
        <f aca="false">DX74-EF74+EB74*IF(Slot12_SpendLike=1,ED74-EE74,IF(Slot12_PotFree=1,ED74,0))</f>
        <v>0</v>
      </c>
      <c r="EI74" s="1" t="n">
        <f aca="false">DY74+EB74*Slot12_BufPot*ED74</f>
        <v>0</v>
      </c>
      <c r="EJ74" s="1" t="n">
        <f aca="false">IF(AND(EB74=1,Slot12_IsMfree=1),IF(EG74&gt;=Slot12_Cost-1,0,MAX(0,DZ74-EG74)),DZ74)</f>
        <v>0</v>
      </c>
      <c r="EK74" s="1" t="n">
        <f aca="false">EB74*(Slot12_Cost-EG74)</f>
        <v>0</v>
      </c>
      <c r="EL74" s="1" t="n">
        <f aca="false">IF(AND(Slot13_On=1,D74=Slot13_Age),1,0)</f>
        <v>0</v>
      </c>
      <c r="EM74" s="1" t="n">
        <f aca="false">IF(AND(Slot13_On=1,Slot13_Age&gt;D74),1,0)</f>
        <v>0</v>
      </c>
      <c r="EN74" s="1" t="n">
        <f aca="false">SH73</f>
        <v>0</v>
      </c>
      <c r="EO74" s="1" t="n">
        <f aca="false">EL74*MIN(Slot13_Cost,EN74)</f>
        <v>0</v>
      </c>
      <c r="EP74" s="1" t="n">
        <f aca="false">EL74*Slot13_SpendLike*MIN(Slot13_Cost-EO74,EH74)</f>
        <v>0</v>
      </c>
      <c r="EQ74" s="1" t="n">
        <f aca="false">EO74+EP74</f>
        <v>0</v>
      </c>
      <c r="ER74" s="1" t="n">
        <f aca="false">EH74-EP74+EL74*IF(Slot13_SpendLike=1,EN74-EO74,IF(Slot13_PotFree=1,EN74,0))</f>
        <v>0</v>
      </c>
      <c r="ES74" s="1" t="n">
        <f aca="false">EI74+EL74*Slot13_BufPot*EN74</f>
        <v>0</v>
      </c>
      <c r="ET74" s="1" t="n">
        <f aca="false">IF(AND(EL74=1,Slot13_IsMfree=1),IF(EQ74&gt;=Slot13_Cost-1,0,MAX(0,EJ74-EQ74)),EJ74)</f>
        <v>0</v>
      </c>
      <c r="EU74" s="1" t="n">
        <f aca="false">EL74*(Slot13_Cost-EQ74)</f>
        <v>0</v>
      </c>
      <c r="EV74" s="1" t="n">
        <f aca="false">IF(AND(Slot14_On=1,D74=Slot14_Age),1,0)</f>
        <v>0</v>
      </c>
      <c r="EW74" s="1" t="n">
        <f aca="false">IF(AND(Slot14_On=1,Slot14_Age&gt;D74),1,0)</f>
        <v>0</v>
      </c>
      <c r="EX74" s="1" t="n">
        <f aca="false">SL73</f>
        <v>0</v>
      </c>
      <c r="EY74" s="1" t="n">
        <f aca="false">EV74*MIN(Slot14_Cost,EX74)</f>
        <v>0</v>
      </c>
      <c r="EZ74" s="1" t="n">
        <f aca="false">EV74*Slot14_SpendLike*MIN(Slot14_Cost-EY74,ER74)</f>
        <v>0</v>
      </c>
      <c r="FA74" s="1" t="n">
        <f aca="false">EY74+EZ74</f>
        <v>0</v>
      </c>
      <c r="FB74" s="1" t="n">
        <f aca="false">ER74-EZ74+EV74*IF(Slot14_SpendLike=1,EX74-EY74,IF(Slot14_PotFree=1,EX74,0))</f>
        <v>0</v>
      </c>
      <c r="FC74" s="1" t="n">
        <f aca="false">ES74+EV74*Slot14_BufPot*EX74</f>
        <v>0</v>
      </c>
      <c r="FD74" s="1" t="n">
        <f aca="false">IF(AND(EV74=1,Slot14_IsMfree=1),IF(FA74&gt;=Slot14_Cost-1,0,MAX(0,ET74-FA74)),ET74)</f>
        <v>0</v>
      </c>
      <c r="FE74" s="1" t="n">
        <f aca="false">EV74*(Slot14_Cost-FA74)</f>
        <v>0</v>
      </c>
      <c r="FF74" s="1" t="n">
        <f aca="false">IF(AND(Slot15_On=1,D74=Slot15_Age),1,0)</f>
        <v>0</v>
      </c>
      <c r="FG74" s="1" t="n">
        <f aca="false">IF(AND(Slot15_On=1,Slot15_Age&gt;D74),1,0)</f>
        <v>0</v>
      </c>
      <c r="FH74" s="1" t="n">
        <f aca="false">SP73</f>
        <v>0</v>
      </c>
      <c r="FI74" s="1" t="n">
        <f aca="false">FF74*MIN(Slot15_Cost,FH74)</f>
        <v>0</v>
      </c>
      <c r="FJ74" s="1" t="n">
        <f aca="false">FF74*Slot15_SpendLike*MIN(Slot15_Cost-FI74,FB74)</f>
        <v>0</v>
      </c>
      <c r="FK74" s="1" t="n">
        <f aca="false">FI74+FJ74</f>
        <v>0</v>
      </c>
      <c r="FL74" s="1" t="n">
        <f aca="false">FB74-FJ74+FF74*IF(Slot15_SpendLike=1,FH74-FI74,IF(Slot15_PotFree=1,FH74,0))</f>
        <v>0</v>
      </c>
      <c r="FM74" s="1" t="n">
        <f aca="false">FC74+FF74*Slot15_BufPot*FH74</f>
        <v>0</v>
      </c>
      <c r="FN74" s="1" t="n">
        <f aca="false">IF(AND(FF74=1,Slot15_IsMfree=1),IF(FK74&gt;=Slot15_Cost-1,0,MAX(0,FD74-FK74)),FD74)</f>
        <v>0</v>
      </c>
      <c r="FO74" s="1" t="n">
        <f aca="false">FF74*(Slot15_Cost-FK74)</f>
        <v>0</v>
      </c>
      <c r="FP74" s="1" t="n">
        <f aca="false">IF(AND(Slot16_On=1,D74=Slot16_Age),1,0)</f>
        <v>0</v>
      </c>
      <c r="FQ74" s="1" t="n">
        <f aca="false">IF(AND(Slot16_On=1,Slot16_Age&gt;D74),1,0)</f>
        <v>0</v>
      </c>
      <c r="FR74" s="1" t="n">
        <f aca="false">ST73</f>
        <v>0</v>
      </c>
      <c r="FS74" s="1" t="n">
        <f aca="false">FP74*MIN(Slot16_Cost,FR74)</f>
        <v>0</v>
      </c>
      <c r="FT74" s="1" t="n">
        <f aca="false">FP74*Slot16_SpendLike*MIN(Slot16_Cost-FS74,FL74)</f>
        <v>0</v>
      </c>
      <c r="FU74" s="1" t="n">
        <f aca="false">FS74+FT74</f>
        <v>0</v>
      </c>
      <c r="FV74" s="1" t="n">
        <f aca="false">FL74-FT74+FP74*IF(Slot16_SpendLike=1,FR74-FS74,IF(Slot16_PotFree=1,FR74,0))</f>
        <v>0</v>
      </c>
      <c r="FW74" s="1" t="n">
        <f aca="false">FM74+FP74*Slot16_BufPot*FR74</f>
        <v>0</v>
      </c>
      <c r="FX74" s="1" t="n">
        <f aca="false">IF(AND(FP74=1,Slot16_IsMfree=1),IF(FU74&gt;=Slot16_Cost-1,0,MAX(0,FN74-FU74)),FN74)</f>
        <v>0</v>
      </c>
      <c r="FY74" s="1" t="n">
        <f aca="false">FP74*(Slot16_Cost-FU74)</f>
        <v>0</v>
      </c>
      <c r="FZ74" s="1" t="n">
        <f aca="false">IF(AND(Slot17_On=1,D74=Slot17_Age),1,0)</f>
        <v>0</v>
      </c>
      <c r="GA74" s="1" t="n">
        <f aca="false">IF(AND(Slot17_On=1,Slot17_Age&gt;D74),1,0)</f>
        <v>0</v>
      </c>
      <c r="GB74" s="1" t="n">
        <f aca="false">SX73</f>
        <v>0</v>
      </c>
      <c r="GC74" s="1" t="n">
        <f aca="false">FZ74*MIN(Slot17_Cost,GB74)</f>
        <v>0</v>
      </c>
      <c r="GD74" s="1" t="n">
        <f aca="false">FZ74*Slot17_SpendLike*MIN(Slot17_Cost-GC74,FV74)</f>
        <v>0</v>
      </c>
      <c r="GE74" s="1" t="n">
        <f aca="false">GC74+GD74</f>
        <v>0</v>
      </c>
      <c r="GF74" s="1" t="n">
        <f aca="false">FV74-GD74+FZ74*IF(Slot17_SpendLike=1,GB74-GC74,IF(Slot17_PotFree=1,GB74,0))</f>
        <v>0</v>
      </c>
      <c r="GG74" s="1" t="n">
        <f aca="false">FW74+FZ74*Slot17_BufPot*GB74</f>
        <v>0</v>
      </c>
      <c r="GH74" s="1" t="n">
        <f aca="false">IF(AND(FZ74=1,Slot17_IsMfree=1),IF(GE74&gt;=Slot17_Cost-1,0,MAX(0,FX74-GE74)),FX74)</f>
        <v>0</v>
      </c>
      <c r="GI74" s="1" t="n">
        <f aca="false">FZ74*(Slot17_Cost-GE74)</f>
        <v>0</v>
      </c>
      <c r="GJ74" s="1" t="n">
        <f aca="false">IF(AND(Slot18_On=1,D74=Slot18_Age),1,0)</f>
        <v>0</v>
      </c>
      <c r="GK74" s="1" t="n">
        <f aca="false">IF(AND(Slot18_On=1,Slot18_Age&gt;D74),1,0)</f>
        <v>0</v>
      </c>
      <c r="GL74" s="1" t="n">
        <f aca="false">TB73</f>
        <v>0</v>
      </c>
      <c r="GM74" s="1" t="n">
        <f aca="false">GJ74*MIN(Slot18_Cost,GL74)</f>
        <v>0</v>
      </c>
      <c r="GN74" s="1" t="n">
        <f aca="false">GJ74*Slot18_SpendLike*MIN(Slot18_Cost-GM74,GF74)</f>
        <v>0</v>
      </c>
      <c r="GO74" s="1" t="n">
        <f aca="false">GM74+GN74</f>
        <v>0</v>
      </c>
      <c r="GP74" s="1" t="n">
        <f aca="false">GF74-GN74+GJ74*IF(Slot18_SpendLike=1,GL74-GM74,IF(Slot18_PotFree=1,GL74,0))</f>
        <v>0</v>
      </c>
      <c r="GQ74" s="1" t="n">
        <f aca="false">GG74+GJ74*Slot18_BufPot*GL74</f>
        <v>0</v>
      </c>
      <c r="GR74" s="1" t="n">
        <f aca="false">IF(AND(GJ74=1,Slot18_IsMfree=1),IF(GO74&gt;=Slot18_Cost-1,0,MAX(0,GH74-GO74)),GH74)</f>
        <v>0</v>
      </c>
      <c r="GS74" s="1" t="n">
        <f aca="false">GJ74*(Slot18_Cost-GO74)</f>
        <v>0</v>
      </c>
      <c r="GT74" s="1" t="n">
        <f aca="false">IF(AND(Slot19_On=1,D74=Slot19_Age),1,0)</f>
        <v>0</v>
      </c>
      <c r="GU74" s="1" t="n">
        <f aca="false">IF(AND(Slot19_On=1,Slot19_Age&gt;D74),1,0)</f>
        <v>0</v>
      </c>
      <c r="GV74" s="1" t="n">
        <f aca="false">TF73</f>
        <v>0</v>
      </c>
      <c r="GW74" s="1" t="n">
        <f aca="false">GT74*MIN(Slot19_Cost,GV74)</f>
        <v>0</v>
      </c>
      <c r="GX74" s="1" t="n">
        <f aca="false">GT74*Slot19_SpendLike*MIN(Slot19_Cost-GW74,GP74)</f>
        <v>0</v>
      </c>
      <c r="GY74" s="1" t="n">
        <f aca="false">GW74+GX74</f>
        <v>0</v>
      </c>
      <c r="GZ74" s="1" t="n">
        <f aca="false">GP74-GX74+GT74*IF(Slot19_SpendLike=1,GV74-GW74,IF(Slot19_PotFree=1,GV74,0))</f>
        <v>0</v>
      </c>
      <c r="HA74" s="1" t="n">
        <f aca="false">GQ74+GT74*Slot19_BufPot*GV74</f>
        <v>0</v>
      </c>
      <c r="HB74" s="1" t="n">
        <f aca="false">IF(AND(GT74=1,Slot19_IsMfree=1),IF(GY74&gt;=Slot19_Cost-1,0,MAX(0,GR74-GY74)),GR74)</f>
        <v>0</v>
      </c>
      <c r="HC74" s="1" t="n">
        <f aca="false">GT74*(Slot19_Cost-GY74)</f>
        <v>0</v>
      </c>
      <c r="HD74" s="1" t="n">
        <f aca="false">IF(AND(Slot20_On=1,D74=Slot20_Age),1,0)</f>
        <v>0</v>
      </c>
      <c r="HE74" s="1" t="n">
        <f aca="false">IF(AND(Slot20_On=1,Slot20_Age&gt;D74),1,0)</f>
        <v>0</v>
      </c>
      <c r="HF74" s="1" t="n">
        <f aca="false">TJ73</f>
        <v>0</v>
      </c>
      <c r="HG74" s="1" t="n">
        <f aca="false">HD74*MIN(Slot20_Cost,HF74)</f>
        <v>0</v>
      </c>
      <c r="HH74" s="1" t="n">
        <f aca="false">HD74*Slot20_SpendLike*MIN(Slot20_Cost-HG74,GZ74)</f>
        <v>0</v>
      </c>
      <c r="HI74" s="1" t="n">
        <f aca="false">HG74+HH74</f>
        <v>0</v>
      </c>
      <c r="HJ74" s="1" t="n">
        <f aca="false">GZ74-HH74+HD74*IF(Slot20_SpendLike=1,HF74-HG74,IF(Slot20_PotFree=1,HF74,0))</f>
        <v>0</v>
      </c>
      <c r="HK74" s="1" t="n">
        <f aca="false">HA74+HD74*Slot20_BufPot*HF74</f>
        <v>0</v>
      </c>
      <c r="HL74" s="1" t="n">
        <f aca="false">IF(AND(HD74=1,Slot20_IsMfree=1),IF(HI74&gt;=Slot20_Cost-1,0,MAX(0,HB74-HI74)),HB74)</f>
        <v>0</v>
      </c>
      <c r="HM74" s="1" t="n">
        <f aca="false">HD74*(Slot20_Cost-HI74)</f>
        <v>0</v>
      </c>
      <c r="HN74" s="1" t="n">
        <f aca="false">U74*Slot1_SpendLike*Z74+AF74*Slot2_SpendLike*AK74+AP74*Slot3_SpendLike*AU74+AZ74*Slot4_SpendLike*BE74+BJ74*Slot5_SpendLike*BO74+BT74*Slot6_SpendLike*BY74+CD74*Slot7_SpendLike*CI74+CN74*Slot8_SpendLike*CS74+CX74*Slot9_SpendLike*DC74+DH74*Slot10_SpendLike*DM74+DR74*Slot11_SpendLike*DW74+EB74*Slot12_SpendLike*EG74+EL74*Slot13_SpendLike*EQ74+EV74*Slot14_SpendLike*FA74+FF74*Slot15_SpendLike*FK74+FP74*Slot16_SpendLike*FU74+FZ74*Slot17_SpendLike*GE74+GJ74*Slot18_SpendLike*GO74+GT74*Slot19_SpendLike*GY74+HD74*Slot20_SpendLike*HI74</f>
        <v>0</v>
      </c>
      <c r="HO74" s="1" t="n">
        <f aca="false">AD74+AO74+AY74+BI74+BS74+CC74+CM74+CW74+DG74+DQ74+EA74+EK74+EU74+FE74+FO74+FY74+GI74+GS74+HC74+HM74</f>
        <v>0</v>
      </c>
      <c r="HP74" s="1" t="n">
        <f aca="false">U74*Slot1_Cost+AF74*Slot2_Cost+AP74*Slot3_Cost+AZ74*Slot4_Cost+BJ74*Slot5_Cost+BT74*Slot6_Cost+CD74*Slot7_Cost+CN74*Slot8_Cost+CX74*Slot9_Cost+DH74*Slot10_Cost+DR74*Slot11_Cost+EB74*Slot12_Cost+EL74*Slot13_Cost+EV74*Slot14_Cost+FF74*Slot15_Cost+FP74*Slot16_Cost+FZ74*Slot17_Cost+GJ74*Slot18_Cost+GT74*Slot19_Cost+HD74*Slot20_Cost</f>
        <v>0</v>
      </c>
      <c r="HQ74" s="1" t="n">
        <f aca="false">HL74</f>
        <v>0</v>
      </c>
      <c r="HR74" s="1" t="n">
        <f aca="false">G74-H74-R74</f>
        <v>46005.6725270424</v>
      </c>
      <c r="HS74" s="1" t="n">
        <f aca="false">IF(B74=0,IF(AND(Has_q6=1,In_q6=4),PR_ShareVaries*(MAX(0,HR74)/12),MIN(IF(Has_q6=1,CHOOSE(In_q6+1,PR_SaveB1,PR_SaveB2,PR_SaveB3,PR_SaveB4,0),AS_NoAnswer),AS_SaveShare*(MAX(0,HR74)/12))),HS73)</f>
        <v>0</v>
      </c>
      <c r="HT74" s="1" t="n">
        <f aca="false">IF(HR74&gt;=0,1,0)</f>
        <v>1</v>
      </c>
      <c r="HU74" s="1" t="n">
        <f aca="false">MAX(0,HR74/12/E74)</f>
        <v>1037.57333333333</v>
      </c>
      <c r="HV74" s="1" t="n">
        <f aca="false">IF(AND(Has_q6=1,In_q6=4),PR_ShareVaries*(HU74),MIN(IF(Has_q6=1,CHOOSE(In_q6+1,PR_SaveB1,PR_SaveB2,PR_SaveB3,PR_SaveB4,0),AS_NoAnswer),AS_SaveShare*(HU74)))</f>
        <v>300</v>
      </c>
      <c r="HW74" s="1" t="n">
        <f aca="false">IF(Has_saveM=1,IF(In_saveUp="Yes",1,IF(In_saveUp="No",0,IF(In_saveM&gt;=HS74-0.5,1,0))),0)</f>
        <v>0</v>
      </c>
      <c r="HX74" s="1" t="n">
        <f aca="false">IF(Has_saveM=1,MIN(HU74,IF(HW74=1,MAX(In_saveM,HV74),MIN(In_saveM,HV74))),HV74)</f>
        <v>300</v>
      </c>
      <c r="HY74" s="1" t="n">
        <f aca="false">IF(F74=1,HX74*12*E74,0)</f>
        <v>0</v>
      </c>
      <c r="HZ74" s="1" t="n">
        <f aca="false">MAX(0,HY74+IF(AND(WI_Retire=0,WI_M&lt;0,F74=1),WI_M*12*E74,0))</f>
        <v>0</v>
      </c>
      <c r="IA74" s="1" t="n">
        <f aca="false">Slot1_IsWG*V74+Slot2_IsWG*AG74+Slot3_IsWG*AQ74+Slot4_IsWG*BA74+Slot5_IsWG*BK74+Slot6_IsWG*BU74+Slot7_IsWG*CE74+Slot8_IsWG*CO74+Slot9_IsWG*CY74+Slot10_IsWG*DI74+Slot11_IsWG*DS74+Slot12_IsWG*EC74+Slot13_IsWG*EM74+Slot14_IsWG*EW74+Slot15_IsWG*FG74+Slot16_IsWG*FQ74+Slot17_IsWG*GA74+Slot18_IsWG*GK74+Slot19_IsWG*GU74+Slot20_IsWG*HE74</f>
        <v>0</v>
      </c>
      <c r="IB74" s="1" t="n">
        <f aca="false">IF(AND(WI_Retire=0,WI_M&gt;0,F74=1,IA74&gt;=1),WI_M*12*E74,0)</f>
        <v>0</v>
      </c>
      <c r="IC74" s="1" t="n">
        <f aca="false">IF(HT74=1,MIN(HZ74,HR74),0)</f>
        <v>0</v>
      </c>
      <c r="ID74" s="1" t="n">
        <f aca="false">IF(HT74=1,MIN(IB74,HR74-IC74),0)</f>
        <v>0</v>
      </c>
      <c r="IE74" s="1" t="n">
        <f aca="false">IF(V74=1,IF(ABS((1+AS_Wage)/(1+Slot1_Rate)-1)&lt;0.000000000001,(Slot1_Age-D74)*(1+Slot1_Rate)^(Slot1_Age-D74),(1+Slot1_Rate)^(Slot1_Age-D74)*(1-((1+AS_Wage)/(1+Slot1_Rate))^(Slot1_Age-D74))/(1-(1+AS_Wage)/(1+Slot1_Rate))),1)</f>
        <v>1</v>
      </c>
      <c r="IF74" s="1" t="n">
        <f aca="false">IF(AND(HT74=1,ID74&gt;0,Slot1_IsWG=1,V74=1),MAX(0,(Slot1_Cost-W74*(1+Slot1_Rate)^(Slot1_Age-D74))/IE74),0)</f>
        <v>0</v>
      </c>
      <c r="IG74" s="1" t="n">
        <f aca="false">IF(AND(HT74=1,ID74&gt;0,Slot1_IsWG=1,V74=1),MIN(ID74,IF74),0)</f>
        <v>0</v>
      </c>
      <c r="IH74" s="1" t="n">
        <f aca="false">W74+IG74</f>
        <v>0</v>
      </c>
      <c r="II74" s="1" t="n">
        <f aca="false">IF(V74=1,MAX(0,(Slot1_Cost-IH74*(1+Slot1_Rate)^(Slot1_Age-D74))/IE74),0)</f>
        <v>0</v>
      </c>
      <c r="IJ74" s="1" t="n">
        <f aca="false">IF(V74=1,MAX(0,(Slot1_Cost-W74*(1+Slot1_Rate)^(Slot1_Age-D74))/IE74),0)</f>
        <v>0</v>
      </c>
      <c r="IK74" s="1" t="n">
        <f aca="false">IF(AND(HT74=1,V74=1),MIN(IC74,II74),0)</f>
        <v>0</v>
      </c>
      <c r="IL74" s="1" t="n">
        <f aca="false">IC74-IK74</f>
        <v>0</v>
      </c>
      <c r="IM74" s="1" t="n">
        <f aca="false">IF(AG74=1,IF(ABS((1+AS_Wage)/(1+Slot2_Rate)-1)&lt;0.000000000001,(Slot2_Age-D74)*(1+Slot2_Rate)^(Slot2_Age-D74),(1+Slot2_Rate)^(Slot2_Age-D74)*(1-((1+AS_Wage)/(1+Slot2_Rate))^(Slot2_Age-D74))/(1-(1+AS_Wage)/(1+Slot2_Rate))),1)</f>
        <v>1</v>
      </c>
      <c r="IN74" s="1" t="n">
        <f aca="false">IF(AND(HT74=1,ID74&gt;0,Slot2_IsWG=1,AG74=1),MAX(0,(Slot2_Cost-AH74*(1+Slot2_Rate)^(Slot2_Age-D74))/IM74),0)</f>
        <v>0</v>
      </c>
      <c r="IO74" s="1" t="n">
        <f aca="false">IF(AND(HT74=1,ID74&gt;0,Slot2_IsWG=1,AG74=1),MIN(ID74,IN74),0)</f>
        <v>0</v>
      </c>
      <c r="IP74" s="1" t="n">
        <f aca="false">AH74+IO74</f>
        <v>0</v>
      </c>
      <c r="IQ74" s="1" t="n">
        <f aca="false">IF(AG74=1,MAX(0,(Slot2_Cost-IP74*(1+Slot2_Rate)^(Slot2_Age-D74))/IM74),0)</f>
        <v>0</v>
      </c>
      <c r="IR74" s="1" t="n">
        <f aca="false">IF(AG74=1,MAX(0,(Slot2_Cost-AH74*(1+Slot2_Rate)^(Slot2_Age-D74))/IM74),0)</f>
        <v>0</v>
      </c>
      <c r="IS74" s="1" t="n">
        <f aca="false">IF(AND(HT74=1,AG74=1),MIN(IL74,IQ74),0)</f>
        <v>0</v>
      </c>
      <c r="IT74" s="1" t="n">
        <f aca="false">IL74-IS74</f>
        <v>0</v>
      </c>
      <c r="IU74" s="1" t="n">
        <f aca="false">IF(AQ74=1,IF(ABS((1+AS_Wage)/(1+Slot3_Rate)-1)&lt;0.000000000001,(Slot3_Age-D74)*(1+Slot3_Rate)^(Slot3_Age-D74),(1+Slot3_Rate)^(Slot3_Age-D74)*(1-((1+AS_Wage)/(1+Slot3_Rate))^(Slot3_Age-D74))/(1-(1+AS_Wage)/(1+Slot3_Rate))),1)</f>
        <v>1</v>
      </c>
      <c r="IV74" s="1" t="n">
        <f aca="false">IF(AND(HT74=1,ID74&gt;0,Slot3_IsWG=1,AQ74=1),MAX(0,(Slot3_Cost-AR74*(1+Slot3_Rate)^(Slot3_Age-D74))/IU74),0)</f>
        <v>0</v>
      </c>
      <c r="IW74" s="1" t="n">
        <f aca="false">IF(AND(HT74=1,ID74&gt;0,Slot3_IsWG=1,AQ74=1),MIN(ID74,IV74),0)</f>
        <v>0</v>
      </c>
      <c r="IX74" s="1" t="n">
        <f aca="false">AR74+IW74</f>
        <v>0</v>
      </c>
      <c r="IY74" s="1" t="n">
        <f aca="false">IF(AQ74=1,MAX(0,(Slot3_Cost-IX74*(1+Slot3_Rate)^(Slot3_Age-D74))/IU74),0)</f>
        <v>0</v>
      </c>
      <c r="IZ74" s="1" t="n">
        <f aca="false">IF(AQ74=1,MAX(0,(Slot3_Cost-AR74*(1+Slot3_Rate)^(Slot3_Age-D74))/IU74),0)</f>
        <v>0</v>
      </c>
      <c r="JA74" s="1" t="n">
        <f aca="false">IF(AND(HT74=1,AQ74=1),MIN(IT74,IY74),0)</f>
        <v>0</v>
      </c>
      <c r="JB74" s="1" t="n">
        <f aca="false">IT74-JA74</f>
        <v>0</v>
      </c>
      <c r="JC74" s="1" t="n">
        <f aca="false">IF(BA74=1,IF(ABS((1+AS_Wage)/(1+Slot4_Rate)-1)&lt;0.000000000001,(Slot4_Age-D74)*(1+Slot4_Rate)^(Slot4_Age-D74),(1+Slot4_Rate)^(Slot4_Age-D74)*(1-((1+AS_Wage)/(1+Slot4_Rate))^(Slot4_Age-D74))/(1-(1+AS_Wage)/(1+Slot4_Rate))),1)</f>
        <v>1</v>
      </c>
      <c r="JD74" s="1" t="n">
        <f aca="false">IF(AND(HT74=1,ID74&gt;0,Slot4_IsWG=1,BA74=1),MAX(0,(Slot4_Cost-BB74*(1+Slot4_Rate)^(Slot4_Age-D74))/JC74),0)</f>
        <v>0</v>
      </c>
      <c r="JE74" s="1" t="n">
        <f aca="false">IF(AND(HT74=1,ID74&gt;0,Slot4_IsWG=1,BA74=1),MIN(ID74,JD74),0)</f>
        <v>0</v>
      </c>
      <c r="JF74" s="1" t="n">
        <f aca="false">BB74+JE74</f>
        <v>0</v>
      </c>
      <c r="JG74" s="1" t="n">
        <f aca="false">IF(BA74=1,MAX(0,(Slot4_Cost-JF74*(1+Slot4_Rate)^(Slot4_Age-D74))/JC74),0)</f>
        <v>0</v>
      </c>
      <c r="JH74" s="1" t="n">
        <f aca="false">IF(BA74=1,MAX(0,(Slot4_Cost-BB74*(1+Slot4_Rate)^(Slot4_Age-D74))/JC74),0)</f>
        <v>0</v>
      </c>
      <c r="JI74" s="1" t="n">
        <f aca="false">IF(AND(HT74=1,BA74=1),MIN(JB74,JG74),0)</f>
        <v>0</v>
      </c>
      <c r="JJ74" s="1" t="n">
        <f aca="false">JB74-JI74</f>
        <v>0</v>
      </c>
      <c r="JK74" s="1" t="n">
        <f aca="false">IF(BK74=1,IF(ABS((1+AS_Wage)/(1+Slot5_Rate)-1)&lt;0.000000000001,(Slot5_Age-D74)*(1+Slot5_Rate)^(Slot5_Age-D74),(1+Slot5_Rate)^(Slot5_Age-D74)*(1-((1+AS_Wage)/(1+Slot5_Rate))^(Slot5_Age-D74))/(1-(1+AS_Wage)/(1+Slot5_Rate))),1)</f>
        <v>1</v>
      </c>
      <c r="JL74" s="1" t="n">
        <f aca="false">IF(AND(HT74=1,ID74&gt;0,Slot5_IsWG=1,BK74=1),MAX(0,(Slot5_Cost-BL74*(1+Slot5_Rate)^(Slot5_Age-D74))/JK74),0)</f>
        <v>0</v>
      </c>
      <c r="JM74" s="1" t="n">
        <f aca="false">IF(AND(HT74=1,ID74&gt;0,Slot5_IsWG=1,BK74=1),MIN(ID74,JL74),0)</f>
        <v>0</v>
      </c>
      <c r="JN74" s="1" t="n">
        <f aca="false">BL74+JM74</f>
        <v>0</v>
      </c>
      <c r="JO74" s="1" t="n">
        <f aca="false">IF(BK74=1,MAX(0,(Slot5_Cost-JN74*(1+Slot5_Rate)^(Slot5_Age-D74))/JK74),0)</f>
        <v>0</v>
      </c>
      <c r="JP74" s="1" t="n">
        <f aca="false">IF(BK74=1,MAX(0,(Slot5_Cost-BL74*(1+Slot5_Rate)^(Slot5_Age-D74))/JK74),0)</f>
        <v>0</v>
      </c>
      <c r="JQ74" s="1" t="n">
        <f aca="false">IF(AND(HT74=1,BK74=1),MIN(JJ74,JO74),0)</f>
        <v>0</v>
      </c>
      <c r="JR74" s="1" t="n">
        <f aca="false">JJ74-JQ74</f>
        <v>0</v>
      </c>
      <c r="JS74" s="1" t="n">
        <f aca="false">IF(BU74=1,IF(ABS((1+AS_Wage)/(1+Slot6_Rate)-1)&lt;0.000000000001,(Slot6_Age-D74)*(1+Slot6_Rate)^(Slot6_Age-D74),(1+Slot6_Rate)^(Slot6_Age-D74)*(1-((1+AS_Wage)/(1+Slot6_Rate))^(Slot6_Age-D74))/(1-(1+AS_Wage)/(1+Slot6_Rate))),1)</f>
        <v>1</v>
      </c>
      <c r="JT74" s="1" t="n">
        <f aca="false">IF(AND(HT74=1,ID74&gt;0,Slot6_IsWG=1,BU74=1),MAX(0,(Slot6_Cost-BV74*(1+Slot6_Rate)^(Slot6_Age-D74))/JS74),0)</f>
        <v>0</v>
      </c>
      <c r="JU74" s="1" t="n">
        <f aca="false">IF(AND(HT74=1,ID74&gt;0,Slot6_IsWG=1,BU74=1),MIN(ID74,JT74),0)</f>
        <v>0</v>
      </c>
      <c r="JV74" s="1" t="n">
        <f aca="false">BV74+JU74</f>
        <v>0</v>
      </c>
      <c r="JW74" s="1" t="n">
        <f aca="false">IF(BU74=1,MAX(0,(Slot6_Cost-JV74*(1+Slot6_Rate)^(Slot6_Age-D74))/JS74),0)</f>
        <v>0</v>
      </c>
      <c r="JX74" s="1" t="n">
        <f aca="false">IF(BU74=1,MAX(0,(Slot6_Cost-BV74*(1+Slot6_Rate)^(Slot6_Age-D74))/JS74),0)</f>
        <v>0</v>
      </c>
      <c r="JY74" s="1" t="n">
        <f aca="false">IF(AND(HT74=1,BU74=1),MIN(JR74,JW74),0)</f>
        <v>0</v>
      </c>
      <c r="JZ74" s="1" t="n">
        <f aca="false">JR74-JY74</f>
        <v>0</v>
      </c>
      <c r="KA74" s="1" t="n">
        <f aca="false">IF(CE74=1,IF(ABS((1+AS_Wage)/(1+Slot7_Rate)-1)&lt;0.000000000001,(Slot7_Age-D74)*(1+Slot7_Rate)^(Slot7_Age-D74),(1+Slot7_Rate)^(Slot7_Age-D74)*(1-((1+AS_Wage)/(1+Slot7_Rate))^(Slot7_Age-D74))/(1-(1+AS_Wage)/(1+Slot7_Rate))),1)</f>
        <v>1</v>
      </c>
      <c r="KB74" s="1" t="n">
        <f aca="false">IF(AND(HT74=1,ID74&gt;0,Slot7_IsWG=1,CE74=1),MAX(0,(Slot7_Cost-CF74*(1+Slot7_Rate)^(Slot7_Age-D74))/KA74),0)</f>
        <v>0</v>
      </c>
      <c r="KC74" s="1" t="n">
        <f aca="false">IF(AND(HT74=1,ID74&gt;0,Slot7_IsWG=1,CE74=1),MIN(ID74,KB74),0)</f>
        <v>0</v>
      </c>
      <c r="KD74" s="1" t="n">
        <f aca="false">CF74+KC74</f>
        <v>0</v>
      </c>
      <c r="KE74" s="1" t="n">
        <f aca="false">IF(CE74=1,MAX(0,(Slot7_Cost-KD74*(1+Slot7_Rate)^(Slot7_Age-D74))/KA74),0)</f>
        <v>0</v>
      </c>
      <c r="KF74" s="1" t="n">
        <f aca="false">IF(CE74=1,MAX(0,(Slot7_Cost-CF74*(1+Slot7_Rate)^(Slot7_Age-D74))/KA74),0)</f>
        <v>0</v>
      </c>
      <c r="KG74" s="1" t="n">
        <f aca="false">IF(AND(HT74=1,CE74=1),MIN(JZ74,KE74),0)</f>
        <v>0</v>
      </c>
      <c r="KH74" s="1" t="n">
        <f aca="false">JZ74-KG74</f>
        <v>0</v>
      </c>
      <c r="KI74" s="1" t="n">
        <f aca="false">IF(CO74=1,IF(ABS((1+AS_Wage)/(1+Slot8_Rate)-1)&lt;0.000000000001,(Slot8_Age-D74)*(1+Slot8_Rate)^(Slot8_Age-D74),(1+Slot8_Rate)^(Slot8_Age-D74)*(1-((1+AS_Wage)/(1+Slot8_Rate))^(Slot8_Age-D74))/(1-(1+AS_Wage)/(1+Slot8_Rate))),1)</f>
        <v>1</v>
      </c>
      <c r="KJ74" s="1" t="n">
        <f aca="false">IF(AND(HT74=1,ID74&gt;0,Slot8_IsWG=1,CO74=1),MAX(0,(Slot8_Cost-CP74*(1+Slot8_Rate)^(Slot8_Age-D74))/KI74),0)</f>
        <v>0</v>
      </c>
      <c r="KK74" s="1" t="n">
        <f aca="false">IF(AND(HT74=1,ID74&gt;0,Slot8_IsWG=1,CO74=1),MIN(ID74,KJ74),0)</f>
        <v>0</v>
      </c>
      <c r="KL74" s="1" t="n">
        <f aca="false">CP74+KK74</f>
        <v>0</v>
      </c>
      <c r="KM74" s="1" t="n">
        <f aca="false">IF(CO74=1,MAX(0,(Slot8_Cost-KL74*(1+Slot8_Rate)^(Slot8_Age-D74))/KI74),0)</f>
        <v>0</v>
      </c>
      <c r="KN74" s="1" t="n">
        <f aca="false">IF(CO74=1,MAX(0,(Slot8_Cost-CP74*(1+Slot8_Rate)^(Slot8_Age-D74))/KI74),0)</f>
        <v>0</v>
      </c>
      <c r="KO74" s="1" t="n">
        <f aca="false">IF(AND(HT74=1,CO74=1),MIN(KH74,KM74),0)</f>
        <v>0</v>
      </c>
      <c r="KP74" s="1" t="n">
        <f aca="false">KH74-KO74</f>
        <v>0</v>
      </c>
      <c r="KQ74" s="1" t="n">
        <f aca="false">IF(CY74=1,IF(ABS((1+AS_Wage)/(1+Slot9_Rate)-1)&lt;0.000000000001,(Slot9_Age-D74)*(1+Slot9_Rate)^(Slot9_Age-D74),(1+Slot9_Rate)^(Slot9_Age-D74)*(1-((1+AS_Wage)/(1+Slot9_Rate))^(Slot9_Age-D74))/(1-(1+AS_Wage)/(1+Slot9_Rate))),1)</f>
        <v>1</v>
      </c>
      <c r="KR74" s="1" t="n">
        <f aca="false">IF(AND(HT74=1,ID74&gt;0,Slot9_IsWG=1,CY74=1),MAX(0,(Slot9_Cost-CZ74*(1+Slot9_Rate)^(Slot9_Age-D74))/KQ74),0)</f>
        <v>0</v>
      </c>
      <c r="KS74" s="1" t="n">
        <f aca="false">IF(AND(HT74=1,ID74&gt;0,Slot9_IsWG=1,CY74=1),MIN(ID74,KR74),0)</f>
        <v>0</v>
      </c>
      <c r="KT74" s="1" t="n">
        <f aca="false">CZ74+KS74</f>
        <v>0</v>
      </c>
      <c r="KU74" s="1" t="n">
        <f aca="false">IF(CY74=1,MAX(0,(Slot9_Cost-KT74*(1+Slot9_Rate)^(Slot9_Age-D74))/KQ74),0)</f>
        <v>0</v>
      </c>
      <c r="KV74" s="1" t="n">
        <f aca="false">IF(CY74=1,MAX(0,(Slot9_Cost-CZ74*(1+Slot9_Rate)^(Slot9_Age-D74))/KQ74),0)</f>
        <v>0</v>
      </c>
      <c r="KW74" s="1" t="n">
        <f aca="false">IF(AND(HT74=1,CY74=1),MIN(KP74,KU74),0)</f>
        <v>0</v>
      </c>
      <c r="KX74" s="1" t="n">
        <f aca="false">KP74-KW74</f>
        <v>0</v>
      </c>
      <c r="KY74" s="1" t="n">
        <f aca="false">IF(DI74=1,IF(ABS((1+AS_Wage)/(1+Slot10_Rate)-1)&lt;0.000000000001,(Slot10_Age-D74)*(1+Slot10_Rate)^(Slot10_Age-D74),(1+Slot10_Rate)^(Slot10_Age-D74)*(1-((1+AS_Wage)/(1+Slot10_Rate))^(Slot10_Age-D74))/(1-(1+AS_Wage)/(1+Slot10_Rate))),1)</f>
        <v>1</v>
      </c>
      <c r="KZ74" s="1" t="n">
        <f aca="false">IF(AND(HT74=1,ID74&gt;0,Slot10_IsWG=1,DI74=1),MAX(0,(Slot10_Cost-DJ74*(1+Slot10_Rate)^(Slot10_Age-D74))/KY74),0)</f>
        <v>0</v>
      </c>
      <c r="LA74" s="1" t="n">
        <f aca="false">IF(AND(HT74=1,ID74&gt;0,Slot10_IsWG=1,DI74=1),MIN(ID74,KZ74),0)</f>
        <v>0</v>
      </c>
      <c r="LB74" s="1" t="n">
        <f aca="false">DJ74+LA74</f>
        <v>0</v>
      </c>
      <c r="LC74" s="1" t="n">
        <f aca="false">IF(DI74=1,MAX(0,(Slot10_Cost-LB74*(1+Slot10_Rate)^(Slot10_Age-D74))/KY74),0)</f>
        <v>0</v>
      </c>
      <c r="LD74" s="1" t="n">
        <f aca="false">IF(DI74=1,MAX(0,(Slot10_Cost-DJ74*(1+Slot10_Rate)^(Slot10_Age-D74))/KY74),0)</f>
        <v>0</v>
      </c>
      <c r="LE74" s="1" t="n">
        <f aca="false">IF(AND(HT74=1,DI74=1),MIN(KX74,LC74),0)</f>
        <v>0</v>
      </c>
      <c r="LF74" s="1" t="n">
        <f aca="false">KX74-LE74</f>
        <v>0</v>
      </c>
      <c r="LG74" s="1" t="n">
        <f aca="false">IF(DS74=1,IF(ABS((1+AS_Wage)/(1+Slot11_Rate)-1)&lt;0.000000000001,(Slot11_Age-D74)*(1+Slot11_Rate)^(Slot11_Age-D74),(1+Slot11_Rate)^(Slot11_Age-D74)*(1-((1+AS_Wage)/(1+Slot11_Rate))^(Slot11_Age-D74))/(1-(1+AS_Wage)/(1+Slot11_Rate))),1)</f>
        <v>1</v>
      </c>
      <c r="LH74" s="1" t="n">
        <f aca="false">IF(AND(HT74=1,ID74&gt;0,Slot11_IsWG=1,DS74=1),MAX(0,(Slot11_Cost-DT74*(1+Slot11_Rate)^(Slot11_Age-D74))/LG74),0)</f>
        <v>0</v>
      </c>
      <c r="LI74" s="1" t="n">
        <f aca="false">IF(AND(HT74=1,ID74&gt;0,Slot11_IsWG=1,DS74=1),MIN(ID74,LH74),0)</f>
        <v>0</v>
      </c>
      <c r="LJ74" s="1" t="n">
        <f aca="false">DT74+LI74</f>
        <v>0</v>
      </c>
      <c r="LK74" s="1" t="n">
        <f aca="false">IF(DS74=1,MAX(0,(Slot11_Cost-LJ74*(1+Slot11_Rate)^(Slot11_Age-D74))/LG74),0)</f>
        <v>0</v>
      </c>
      <c r="LL74" s="1" t="n">
        <f aca="false">IF(DS74=1,MAX(0,(Slot11_Cost-DT74*(1+Slot11_Rate)^(Slot11_Age-D74))/LG74),0)</f>
        <v>0</v>
      </c>
      <c r="LM74" s="1" t="n">
        <f aca="false">IF(AND(HT74=1,DS74=1),MIN(LF74,LK74),0)</f>
        <v>0</v>
      </c>
      <c r="LN74" s="1" t="n">
        <f aca="false">LF74-LM74</f>
        <v>0</v>
      </c>
      <c r="LO74" s="1" t="n">
        <f aca="false">IF(EC74=1,IF(ABS((1+AS_Wage)/(1+Slot12_Rate)-1)&lt;0.000000000001,(Slot12_Age-D74)*(1+Slot12_Rate)^(Slot12_Age-D74),(1+Slot12_Rate)^(Slot12_Age-D74)*(1-((1+AS_Wage)/(1+Slot12_Rate))^(Slot12_Age-D74))/(1-(1+AS_Wage)/(1+Slot12_Rate))),1)</f>
        <v>1</v>
      </c>
      <c r="LP74" s="1" t="n">
        <f aca="false">IF(AND(HT74=1,ID74&gt;0,Slot12_IsWG=1,EC74=1),MAX(0,(Slot12_Cost-ED74*(1+Slot12_Rate)^(Slot12_Age-D74))/LO74),0)</f>
        <v>0</v>
      </c>
      <c r="LQ74" s="1" t="n">
        <f aca="false">IF(AND(HT74=1,ID74&gt;0,Slot12_IsWG=1,EC74=1),MIN(ID74,LP74),0)</f>
        <v>0</v>
      </c>
      <c r="LR74" s="1" t="n">
        <f aca="false">ED74+LQ74</f>
        <v>0</v>
      </c>
      <c r="LS74" s="1" t="n">
        <f aca="false">IF(EC74=1,MAX(0,(Slot12_Cost-LR74*(1+Slot12_Rate)^(Slot12_Age-D74))/LO74),0)</f>
        <v>0</v>
      </c>
      <c r="LT74" s="1" t="n">
        <f aca="false">IF(EC74=1,MAX(0,(Slot12_Cost-ED74*(1+Slot12_Rate)^(Slot12_Age-D74))/LO74),0)</f>
        <v>0</v>
      </c>
      <c r="LU74" s="1" t="n">
        <f aca="false">IF(AND(HT74=1,EC74=1),MIN(LN74,LS74),0)</f>
        <v>0</v>
      </c>
      <c r="LV74" s="1" t="n">
        <f aca="false">LN74-LU74</f>
        <v>0</v>
      </c>
      <c r="LW74" s="1" t="n">
        <f aca="false">IF(EM74=1,IF(ABS((1+AS_Wage)/(1+Slot13_Rate)-1)&lt;0.000000000001,(Slot13_Age-D74)*(1+Slot13_Rate)^(Slot13_Age-D74),(1+Slot13_Rate)^(Slot13_Age-D74)*(1-((1+AS_Wage)/(1+Slot13_Rate))^(Slot13_Age-D74))/(1-(1+AS_Wage)/(1+Slot13_Rate))),1)</f>
        <v>1</v>
      </c>
      <c r="LX74" s="1" t="n">
        <f aca="false">IF(AND(HT74=1,ID74&gt;0,Slot13_IsWG=1,EM74=1),MAX(0,(Slot13_Cost-EN74*(1+Slot13_Rate)^(Slot13_Age-D74))/LW74),0)</f>
        <v>0</v>
      </c>
      <c r="LY74" s="1" t="n">
        <f aca="false">IF(AND(HT74=1,ID74&gt;0,Slot13_IsWG=1,EM74=1),MIN(ID74,LX74),0)</f>
        <v>0</v>
      </c>
      <c r="LZ74" s="1" t="n">
        <f aca="false">EN74+LY74</f>
        <v>0</v>
      </c>
      <c r="MA74" s="1" t="n">
        <f aca="false">IF(EM74=1,MAX(0,(Slot13_Cost-LZ74*(1+Slot13_Rate)^(Slot13_Age-D74))/LW74),0)</f>
        <v>0</v>
      </c>
      <c r="MB74" s="1" t="n">
        <f aca="false">IF(EM74=1,MAX(0,(Slot13_Cost-EN74*(1+Slot13_Rate)^(Slot13_Age-D74))/LW74),0)</f>
        <v>0</v>
      </c>
      <c r="MC74" s="1" t="n">
        <f aca="false">IF(AND(HT74=1,EM74=1),MIN(LV74,MA74),0)</f>
        <v>0</v>
      </c>
      <c r="MD74" s="1" t="n">
        <f aca="false">LV74-MC74</f>
        <v>0</v>
      </c>
      <c r="ME74" s="1" t="n">
        <f aca="false">IF(EW74=1,IF(ABS((1+AS_Wage)/(1+Slot14_Rate)-1)&lt;0.000000000001,(Slot14_Age-D74)*(1+Slot14_Rate)^(Slot14_Age-D74),(1+Slot14_Rate)^(Slot14_Age-D74)*(1-((1+AS_Wage)/(1+Slot14_Rate))^(Slot14_Age-D74))/(1-(1+AS_Wage)/(1+Slot14_Rate))),1)</f>
        <v>1</v>
      </c>
      <c r="MF74" s="1" t="n">
        <f aca="false">IF(AND(HT74=1,ID74&gt;0,Slot14_IsWG=1,EW74=1),MAX(0,(Slot14_Cost-EX74*(1+Slot14_Rate)^(Slot14_Age-D74))/ME74),0)</f>
        <v>0</v>
      </c>
      <c r="MG74" s="1" t="n">
        <f aca="false">IF(AND(HT74=1,ID74&gt;0,Slot14_IsWG=1,EW74=1),MIN(ID74,MF74),0)</f>
        <v>0</v>
      </c>
      <c r="MH74" s="1" t="n">
        <f aca="false">EX74+MG74</f>
        <v>0</v>
      </c>
      <c r="MI74" s="1" t="n">
        <f aca="false">IF(EW74=1,MAX(0,(Slot14_Cost-MH74*(1+Slot14_Rate)^(Slot14_Age-D74))/ME74),0)</f>
        <v>0</v>
      </c>
      <c r="MJ74" s="1" t="n">
        <f aca="false">IF(EW74=1,MAX(0,(Slot14_Cost-EX74*(1+Slot14_Rate)^(Slot14_Age-D74))/ME74),0)</f>
        <v>0</v>
      </c>
      <c r="MK74" s="1" t="n">
        <f aca="false">IF(AND(HT74=1,EW74=1),MIN(MD74,MI74),0)</f>
        <v>0</v>
      </c>
      <c r="ML74" s="1" t="n">
        <f aca="false">MD74-MK74</f>
        <v>0</v>
      </c>
      <c r="MM74" s="1" t="n">
        <f aca="false">IF(FG74=1,IF(ABS((1+AS_Wage)/(1+Slot15_Rate)-1)&lt;0.000000000001,(Slot15_Age-D74)*(1+Slot15_Rate)^(Slot15_Age-D74),(1+Slot15_Rate)^(Slot15_Age-D74)*(1-((1+AS_Wage)/(1+Slot15_Rate))^(Slot15_Age-D74))/(1-(1+AS_Wage)/(1+Slot15_Rate))),1)</f>
        <v>1</v>
      </c>
      <c r="MN74" s="1" t="n">
        <f aca="false">IF(AND(HT74=1,ID74&gt;0,Slot15_IsWG=1,FG74=1),MAX(0,(Slot15_Cost-FH74*(1+Slot15_Rate)^(Slot15_Age-D74))/MM74),0)</f>
        <v>0</v>
      </c>
      <c r="MO74" s="1" t="n">
        <f aca="false">IF(AND(HT74=1,ID74&gt;0,Slot15_IsWG=1,FG74=1),MIN(ID74,MN74),0)</f>
        <v>0</v>
      </c>
      <c r="MP74" s="1" t="n">
        <f aca="false">FH74+MO74</f>
        <v>0</v>
      </c>
      <c r="MQ74" s="1" t="n">
        <f aca="false">IF(FG74=1,MAX(0,(Slot15_Cost-MP74*(1+Slot15_Rate)^(Slot15_Age-D74))/MM74),0)</f>
        <v>0</v>
      </c>
      <c r="MR74" s="1" t="n">
        <f aca="false">IF(FG74=1,MAX(0,(Slot15_Cost-FH74*(1+Slot15_Rate)^(Slot15_Age-D74))/MM74),0)</f>
        <v>0</v>
      </c>
      <c r="MS74" s="1" t="n">
        <f aca="false">IF(AND(HT74=1,FG74=1),MIN(ML74,MQ74),0)</f>
        <v>0</v>
      </c>
      <c r="MT74" s="1" t="n">
        <f aca="false">ML74-MS74</f>
        <v>0</v>
      </c>
      <c r="MU74" s="1" t="n">
        <f aca="false">IF(FQ74=1,IF(ABS((1+AS_Wage)/(1+Slot16_Rate)-1)&lt;0.000000000001,(Slot16_Age-D74)*(1+Slot16_Rate)^(Slot16_Age-D74),(1+Slot16_Rate)^(Slot16_Age-D74)*(1-((1+AS_Wage)/(1+Slot16_Rate))^(Slot16_Age-D74))/(1-(1+AS_Wage)/(1+Slot16_Rate))),1)</f>
        <v>1</v>
      </c>
      <c r="MV74" s="1" t="n">
        <f aca="false">IF(AND(HT74=1,ID74&gt;0,Slot16_IsWG=1,FQ74=1),MAX(0,(Slot16_Cost-FR74*(1+Slot16_Rate)^(Slot16_Age-D74))/MU74),0)</f>
        <v>0</v>
      </c>
      <c r="MW74" s="1" t="n">
        <f aca="false">IF(AND(HT74=1,ID74&gt;0,Slot16_IsWG=1,FQ74=1),MIN(ID74,MV74),0)</f>
        <v>0</v>
      </c>
      <c r="MX74" s="1" t="n">
        <f aca="false">FR74+MW74</f>
        <v>0</v>
      </c>
      <c r="MY74" s="1" t="n">
        <f aca="false">IF(FQ74=1,MAX(0,(Slot16_Cost-MX74*(1+Slot16_Rate)^(Slot16_Age-D74))/MU74),0)</f>
        <v>0</v>
      </c>
      <c r="MZ74" s="1" t="n">
        <f aca="false">IF(FQ74=1,MAX(0,(Slot16_Cost-FR74*(1+Slot16_Rate)^(Slot16_Age-D74))/MU74),0)</f>
        <v>0</v>
      </c>
      <c r="NA74" s="1" t="n">
        <f aca="false">IF(AND(HT74=1,FQ74=1),MIN(MT74,MY74),0)</f>
        <v>0</v>
      </c>
      <c r="NB74" s="1" t="n">
        <f aca="false">MT74-NA74</f>
        <v>0</v>
      </c>
      <c r="NC74" s="1" t="n">
        <f aca="false">IF(GA74=1,IF(ABS((1+AS_Wage)/(1+Slot17_Rate)-1)&lt;0.000000000001,(Slot17_Age-D74)*(1+Slot17_Rate)^(Slot17_Age-D74),(1+Slot17_Rate)^(Slot17_Age-D74)*(1-((1+AS_Wage)/(1+Slot17_Rate))^(Slot17_Age-D74))/(1-(1+AS_Wage)/(1+Slot17_Rate))),1)</f>
        <v>1</v>
      </c>
      <c r="ND74" s="1" t="n">
        <f aca="false">IF(AND(HT74=1,ID74&gt;0,Slot17_IsWG=1,GA74=1),MAX(0,(Slot17_Cost-GB74*(1+Slot17_Rate)^(Slot17_Age-D74))/NC74),0)</f>
        <v>0</v>
      </c>
      <c r="NE74" s="1" t="n">
        <f aca="false">IF(AND(HT74=1,ID74&gt;0,Slot17_IsWG=1,GA74=1),MIN(ID74,ND74),0)</f>
        <v>0</v>
      </c>
      <c r="NF74" s="1" t="n">
        <f aca="false">GB74+NE74</f>
        <v>0</v>
      </c>
      <c r="NG74" s="1" t="n">
        <f aca="false">IF(GA74=1,MAX(0,(Slot17_Cost-NF74*(1+Slot17_Rate)^(Slot17_Age-D74))/NC74),0)</f>
        <v>0</v>
      </c>
      <c r="NH74" s="1" t="n">
        <f aca="false">IF(GA74=1,MAX(0,(Slot17_Cost-GB74*(1+Slot17_Rate)^(Slot17_Age-D74))/NC74),0)</f>
        <v>0</v>
      </c>
      <c r="NI74" s="1" t="n">
        <f aca="false">IF(AND(HT74=1,GA74=1),MIN(NB74,NG74),0)</f>
        <v>0</v>
      </c>
      <c r="NJ74" s="1" t="n">
        <f aca="false">NB74-NI74</f>
        <v>0</v>
      </c>
      <c r="NK74" s="1" t="n">
        <f aca="false">IF(GK74=1,IF(ABS((1+AS_Wage)/(1+Slot18_Rate)-1)&lt;0.000000000001,(Slot18_Age-D74)*(1+Slot18_Rate)^(Slot18_Age-D74),(1+Slot18_Rate)^(Slot18_Age-D74)*(1-((1+AS_Wage)/(1+Slot18_Rate))^(Slot18_Age-D74))/(1-(1+AS_Wage)/(1+Slot18_Rate))),1)</f>
        <v>1</v>
      </c>
      <c r="NL74" s="1" t="n">
        <f aca="false">IF(AND(HT74=1,ID74&gt;0,Slot18_IsWG=1,GK74=1),MAX(0,(Slot18_Cost-GL74*(1+Slot18_Rate)^(Slot18_Age-D74))/NK74),0)</f>
        <v>0</v>
      </c>
      <c r="NM74" s="1" t="n">
        <f aca="false">IF(AND(HT74=1,ID74&gt;0,Slot18_IsWG=1,GK74=1),MIN(ID74,NL74),0)</f>
        <v>0</v>
      </c>
      <c r="NN74" s="1" t="n">
        <f aca="false">GL74+NM74</f>
        <v>0</v>
      </c>
      <c r="NO74" s="1" t="n">
        <f aca="false">IF(GK74=1,MAX(0,(Slot18_Cost-NN74*(1+Slot18_Rate)^(Slot18_Age-D74))/NK74),0)</f>
        <v>0</v>
      </c>
      <c r="NP74" s="1" t="n">
        <f aca="false">IF(GK74=1,MAX(0,(Slot18_Cost-GL74*(1+Slot18_Rate)^(Slot18_Age-D74))/NK74),0)</f>
        <v>0</v>
      </c>
      <c r="NQ74" s="1" t="n">
        <f aca="false">IF(AND(HT74=1,GK74=1),MIN(NJ74,NO74),0)</f>
        <v>0</v>
      </c>
      <c r="NR74" s="1" t="n">
        <f aca="false">NJ74-NQ74</f>
        <v>0</v>
      </c>
      <c r="NS74" s="1" t="n">
        <f aca="false">IF(GU74=1,IF(ABS((1+AS_Wage)/(1+Slot19_Rate)-1)&lt;0.000000000001,(Slot19_Age-D74)*(1+Slot19_Rate)^(Slot19_Age-D74),(1+Slot19_Rate)^(Slot19_Age-D74)*(1-((1+AS_Wage)/(1+Slot19_Rate))^(Slot19_Age-D74))/(1-(1+AS_Wage)/(1+Slot19_Rate))),1)</f>
        <v>1</v>
      </c>
      <c r="NT74" s="1" t="n">
        <f aca="false">IF(AND(HT74=1,ID74&gt;0,Slot19_IsWG=1,GU74=1),MAX(0,(Slot19_Cost-GV74*(1+Slot19_Rate)^(Slot19_Age-D74))/NS74),0)</f>
        <v>0</v>
      </c>
      <c r="NU74" s="1" t="n">
        <f aca="false">IF(AND(HT74=1,ID74&gt;0,Slot19_IsWG=1,GU74=1),MIN(ID74,NT74),0)</f>
        <v>0</v>
      </c>
      <c r="NV74" s="1" t="n">
        <f aca="false">GV74+NU74</f>
        <v>0</v>
      </c>
      <c r="NW74" s="1" t="n">
        <f aca="false">IF(GU74=1,MAX(0,(Slot19_Cost-NV74*(1+Slot19_Rate)^(Slot19_Age-D74))/NS74),0)</f>
        <v>0</v>
      </c>
      <c r="NX74" s="1" t="n">
        <f aca="false">IF(GU74=1,MAX(0,(Slot19_Cost-GV74*(1+Slot19_Rate)^(Slot19_Age-D74))/NS74),0)</f>
        <v>0</v>
      </c>
      <c r="NY74" s="1" t="n">
        <f aca="false">IF(AND(HT74=1,GU74=1),MIN(NR74,NW74),0)</f>
        <v>0</v>
      </c>
      <c r="NZ74" s="1" t="n">
        <f aca="false">NR74-NY74</f>
        <v>0</v>
      </c>
      <c r="OA74" s="1" t="n">
        <f aca="false">IF(HE74=1,IF(ABS((1+AS_Wage)/(1+Slot20_Rate)-1)&lt;0.000000000001,(Slot20_Age-D74)*(1+Slot20_Rate)^(Slot20_Age-D74),(1+Slot20_Rate)^(Slot20_Age-D74)*(1-((1+AS_Wage)/(1+Slot20_Rate))^(Slot20_Age-D74))/(1-(1+AS_Wage)/(1+Slot20_Rate))),1)</f>
        <v>1</v>
      </c>
      <c r="OB74" s="1" t="n">
        <f aca="false">IF(AND(HT74=1,ID74&gt;0,Slot20_IsWG=1,HE74=1),MAX(0,(Slot20_Cost-HF74*(1+Slot20_Rate)^(Slot20_Age-D74))/OA74),0)</f>
        <v>0</v>
      </c>
      <c r="OC74" s="1" t="n">
        <f aca="false">IF(AND(HT74=1,ID74&gt;0,Slot20_IsWG=1,HE74=1),MIN(ID74,OB74),0)</f>
        <v>0</v>
      </c>
      <c r="OD74" s="1" t="n">
        <f aca="false">HF74+OC74</f>
        <v>0</v>
      </c>
      <c r="OE74" s="1" t="n">
        <f aca="false">IF(HE74=1,MAX(0,(Slot20_Cost-OD74*(1+Slot20_Rate)^(Slot20_Age-D74))/OA74),0)</f>
        <v>0</v>
      </c>
      <c r="OF74" s="1" t="n">
        <f aca="false">IF(HE74=1,MAX(0,(Slot20_Cost-HF74*(1+Slot20_Rate)^(Slot20_Age-D74))/OA74),0)</f>
        <v>0</v>
      </c>
      <c r="OG74" s="1" t="n">
        <f aca="false">IF(AND(HT74=1,HE74=1),MIN(NZ74,OE74),0)</f>
        <v>0</v>
      </c>
      <c r="OH74" s="1" t="n">
        <f aca="false">NZ74-OG74</f>
        <v>0</v>
      </c>
      <c r="OI74" s="1" t="n">
        <f aca="false">ID74-(IG74+IO74+IW74+JE74+JM74+JU74+KC74+KK74+KS74+LA74+LI74+LQ74+LY74+MG74+MO74+MW74+NE74+NM74+NU74+OC74)</f>
        <v>0</v>
      </c>
      <c r="OJ74" s="1" t="n">
        <f aca="false">IF(HT74=1,HR74-IC74-ID74,0)</f>
        <v>46005.6725270424</v>
      </c>
      <c r="OK74" s="1" t="n">
        <f aca="false">IF(HT74=0,-HR74,0)</f>
        <v>0</v>
      </c>
      <c r="OL74" s="1" t="n">
        <f aca="false">MIN(OK74,HJ74)</f>
        <v>0</v>
      </c>
      <c r="OM74" s="1" t="n">
        <f aca="false">OK74-OL74</f>
        <v>0</v>
      </c>
      <c r="ON74" s="1" t="n">
        <f aca="false">MIN(OM74,HK74)</f>
        <v>0</v>
      </c>
      <c r="OO74" s="1" t="n">
        <f aca="false">OM74-ON74</f>
        <v>0</v>
      </c>
      <c r="OP74" s="1" t="n">
        <f aca="false">IF(AND(HT74=0,HE74=1,OO74&gt;0),MIN(OO74,HF74),0)</f>
        <v>0</v>
      </c>
      <c r="OQ74" s="1" t="n">
        <f aca="false">OO74-OP74</f>
        <v>0</v>
      </c>
      <c r="OR74" s="1" t="n">
        <f aca="false">IF(AND(HT74=0,GU74=1,OQ74&gt;0),MIN(OQ74,GV74),0)</f>
        <v>0</v>
      </c>
      <c r="OS74" s="1" t="n">
        <f aca="false">OQ74-OR74</f>
        <v>0</v>
      </c>
      <c r="OT74" s="1" t="n">
        <f aca="false">IF(AND(HT74=0,GK74=1,OS74&gt;0),MIN(OS74,GL74),0)</f>
        <v>0</v>
      </c>
      <c r="OU74" s="1" t="n">
        <f aca="false">OS74-OT74</f>
        <v>0</v>
      </c>
      <c r="OV74" s="1" t="n">
        <f aca="false">IF(AND(HT74=0,GA74=1,OU74&gt;0),MIN(OU74,GB74),0)</f>
        <v>0</v>
      </c>
      <c r="OW74" s="1" t="n">
        <f aca="false">OU74-OV74</f>
        <v>0</v>
      </c>
      <c r="OX74" s="1" t="n">
        <f aca="false">IF(AND(HT74=0,FQ74=1,OW74&gt;0),MIN(OW74,FR74),0)</f>
        <v>0</v>
      </c>
      <c r="OY74" s="1" t="n">
        <f aca="false">OW74-OX74</f>
        <v>0</v>
      </c>
      <c r="OZ74" s="1" t="n">
        <f aca="false">IF(AND(HT74=0,FG74=1,OY74&gt;0),MIN(OY74,FH74),0)</f>
        <v>0</v>
      </c>
      <c r="PA74" s="1" t="n">
        <f aca="false">OY74-OZ74</f>
        <v>0</v>
      </c>
      <c r="PB74" s="1" t="n">
        <f aca="false">IF(AND(HT74=0,EW74=1,PA74&gt;0),MIN(PA74,EX74),0)</f>
        <v>0</v>
      </c>
      <c r="PC74" s="1" t="n">
        <f aca="false">PA74-PB74</f>
        <v>0</v>
      </c>
      <c r="PD74" s="1" t="n">
        <f aca="false">IF(AND(HT74=0,EM74=1,PC74&gt;0),MIN(PC74,EN74),0)</f>
        <v>0</v>
      </c>
      <c r="PE74" s="1" t="n">
        <f aca="false">PC74-PD74</f>
        <v>0</v>
      </c>
      <c r="PF74" s="1" t="n">
        <f aca="false">IF(AND(HT74=0,EC74=1,PE74&gt;0),MIN(PE74,ED74),0)</f>
        <v>0</v>
      </c>
      <c r="PG74" s="1" t="n">
        <f aca="false">PE74-PF74</f>
        <v>0</v>
      </c>
      <c r="PH74" s="1" t="n">
        <f aca="false">IF(AND(HT74=0,DS74=1,PG74&gt;0),MIN(PG74,DT74),0)</f>
        <v>0</v>
      </c>
      <c r="PI74" s="1" t="n">
        <f aca="false">PG74-PH74</f>
        <v>0</v>
      </c>
      <c r="PJ74" s="1" t="n">
        <f aca="false">IF(AND(HT74=0,DI74=1,PI74&gt;0),MIN(PI74,DJ74),0)</f>
        <v>0</v>
      </c>
      <c r="PK74" s="1" t="n">
        <f aca="false">PI74-PJ74</f>
        <v>0</v>
      </c>
      <c r="PL74" s="1" t="n">
        <f aca="false">IF(AND(HT74=0,CY74=1,PK74&gt;0),MIN(PK74,CZ74),0)</f>
        <v>0</v>
      </c>
      <c r="PM74" s="1" t="n">
        <f aca="false">PK74-PL74</f>
        <v>0</v>
      </c>
      <c r="PN74" s="1" t="n">
        <f aca="false">IF(AND(HT74=0,CO74=1,PM74&gt;0),MIN(PM74,CP74),0)</f>
        <v>0</v>
      </c>
      <c r="PO74" s="1" t="n">
        <f aca="false">PM74-PN74</f>
        <v>0</v>
      </c>
      <c r="PP74" s="1" t="n">
        <f aca="false">IF(AND(HT74=0,CE74=1,PO74&gt;0),MIN(PO74,CF74),0)</f>
        <v>0</v>
      </c>
      <c r="PQ74" s="1" t="n">
        <f aca="false">PO74-PP74</f>
        <v>0</v>
      </c>
      <c r="PR74" s="1" t="n">
        <f aca="false">IF(AND(HT74=0,BU74=1,PQ74&gt;0),MIN(PQ74,BV74),0)</f>
        <v>0</v>
      </c>
      <c r="PS74" s="1" t="n">
        <f aca="false">PQ74-PR74</f>
        <v>0</v>
      </c>
      <c r="PT74" s="1" t="n">
        <f aca="false">IF(AND(HT74=0,BK74=1,PS74&gt;0),MIN(PS74,BL74),0)</f>
        <v>0</v>
      </c>
      <c r="PU74" s="1" t="n">
        <f aca="false">PS74-PT74</f>
        <v>0</v>
      </c>
      <c r="PV74" s="1" t="n">
        <f aca="false">IF(AND(HT74=0,BA74=1,PU74&gt;0),MIN(PU74,BB74),0)</f>
        <v>0</v>
      </c>
      <c r="PW74" s="1" t="n">
        <f aca="false">PU74-PV74</f>
        <v>0</v>
      </c>
      <c r="PX74" s="1" t="n">
        <f aca="false">IF(AND(HT74=0,AQ74=1,PW74&gt;0),MIN(PW74,AR74),0)</f>
        <v>0</v>
      </c>
      <c r="PY74" s="1" t="n">
        <f aca="false">PW74-PX74</f>
        <v>0</v>
      </c>
      <c r="PZ74" s="1" t="n">
        <f aca="false">IF(AND(HT74=0,AG74=1,PY74&gt;0),MIN(PY74,AH74),0)</f>
        <v>0</v>
      </c>
      <c r="QA74" s="1" t="n">
        <f aca="false">PY74-PZ74</f>
        <v>0</v>
      </c>
      <c r="QB74" s="1" t="n">
        <f aca="false">IF(AND(HT74=0,V74=1,QA74&gt;0),MIN(QA74,W74),0)</f>
        <v>0</v>
      </c>
      <c r="QC74" s="1" t="n">
        <f aca="false">QA74-QB74</f>
        <v>0</v>
      </c>
      <c r="QD74" s="1" t="n">
        <f aca="false">IF(HT74=0,QC74,0)</f>
        <v>0</v>
      </c>
      <c r="QE74" s="1" t="n">
        <f aca="false">OL74+ON74+QB74+PZ74+PX74+PV74+PT74+PR74+PP74+PN74+PL74+PJ74+PH74+PF74+PD74+PB74+OZ74+OX74+OV74+OT74+OR74+OP74</f>
        <v>0</v>
      </c>
      <c r="QF74" s="1" t="n">
        <f aca="false">IF(HT74=1,HJ74+OI74+OH74+IF(F74=1,0,OJ74),HJ74-OL74)</f>
        <v>46005.6725270424</v>
      </c>
      <c r="QG74" s="1" t="n">
        <f aca="false">HK74-ON74</f>
        <v>0</v>
      </c>
      <c r="QH74" s="1" t="n">
        <f aca="false">IF(HT74=1,IF(F74=1,IC74+ID74,HR74),0)</f>
        <v>46005.6725270424</v>
      </c>
      <c r="QI74" s="1" t="n">
        <f aca="false">IF(HT74=1,IF(F74=1,HR74-IC74-ID74,0),0)</f>
        <v>0</v>
      </c>
      <c r="QJ74" s="1" t="n">
        <f aca="false">QF74*(1+GR)</f>
        <v>46760.1655564859</v>
      </c>
      <c r="QK74" s="1" t="n">
        <f aca="false">QG74*(1+AS_Cash)</f>
        <v>0</v>
      </c>
      <c r="QL74" s="1" t="n">
        <f aca="false">IF(V74=1,IF(HT74=1,IH74+IK74,W74-QB74)*(1+Slot1_Rate),0)</f>
        <v>0</v>
      </c>
      <c r="QM74" s="1" t="n">
        <f aca="false">IF(AND(HT74=1,V74=1),(IG74+IK74)/E74,0)</f>
        <v>0</v>
      </c>
      <c r="QN74" s="1" t="n">
        <f aca="false">IF(B74=0,IG74+IK74,0)</f>
        <v>0</v>
      </c>
      <c r="QO74" s="1" t="n">
        <f aca="false">IF(B74=0,IF(HT74=1,II74,IJ74),0)</f>
        <v>0</v>
      </c>
      <c r="QP74" s="1" t="n">
        <f aca="false">IF(AG74=1,IF(HT74=1,IP74+IS74,AH74-PZ74)*(1+Slot2_Rate),0)</f>
        <v>0</v>
      </c>
      <c r="QQ74" s="1" t="n">
        <f aca="false">IF(AND(HT74=1,AG74=1),(IO74+IS74)/E74,0)</f>
        <v>0</v>
      </c>
      <c r="QR74" s="1" t="n">
        <f aca="false">IF(B74=0,IO74+IS74,0)</f>
        <v>0</v>
      </c>
      <c r="QS74" s="1" t="n">
        <f aca="false">IF(B74=0,IF(HT74=1,IQ74,IR74),0)</f>
        <v>0</v>
      </c>
      <c r="QT74" s="1" t="n">
        <f aca="false">IF(AQ74=1,IF(HT74=1,IX74+JA74,AR74-PX74)*(1+Slot3_Rate),0)</f>
        <v>0</v>
      </c>
      <c r="QU74" s="1" t="n">
        <f aca="false">IF(AND(HT74=1,AQ74=1),(IW74+JA74)/E74,0)</f>
        <v>0</v>
      </c>
      <c r="QV74" s="1" t="n">
        <f aca="false">IF(B74=0,IW74+JA74,0)</f>
        <v>0</v>
      </c>
      <c r="QW74" s="1" t="n">
        <f aca="false">IF(B74=0,IF(HT74=1,IY74,IZ74),0)</f>
        <v>0</v>
      </c>
      <c r="QX74" s="1" t="n">
        <f aca="false">IF(BA74=1,IF(HT74=1,JF74+JI74,BB74-PV74)*(1+Slot4_Rate),0)</f>
        <v>0</v>
      </c>
      <c r="QY74" s="1" t="n">
        <f aca="false">IF(AND(HT74=1,BA74=1),(JE74+JI74)/E74,0)</f>
        <v>0</v>
      </c>
      <c r="QZ74" s="1" t="n">
        <f aca="false">IF(B74=0,JE74+JI74,0)</f>
        <v>0</v>
      </c>
      <c r="RA74" s="1" t="n">
        <f aca="false">IF(B74=0,IF(HT74=1,JG74,JH74),0)</f>
        <v>0</v>
      </c>
      <c r="RB74" s="1" t="n">
        <f aca="false">IF(BK74=1,IF(HT74=1,JN74+JQ74,BL74-PT74)*(1+Slot5_Rate),0)</f>
        <v>0</v>
      </c>
      <c r="RC74" s="1" t="n">
        <f aca="false">IF(AND(HT74=1,BK74=1),(JM74+JQ74)/E74,0)</f>
        <v>0</v>
      </c>
      <c r="RD74" s="1" t="n">
        <f aca="false">IF(B74=0,JM74+JQ74,0)</f>
        <v>0</v>
      </c>
      <c r="RE74" s="1" t="n">
        <f aca="false">IF(B74=0,IF(HT74=1,JO74,JP74),0)</f>
        <v>0</v>
      </c>
      <c r="RF74" s="1" t="n">
        <f aca="false">IF(BU74=1,IF(HT74=1,JV74+JY74,BV74-PR74)*(1+Slot6_Rate),0)</f>
        <v>0</v>
      </c>
      <c r="RG74" s="1" t="n">
        <f aca="false">IF(AND(HT74=1,BU74=1),(JU74+JY74)/E74,0)</f>
        <v>0</v>
      </c>
      <c r="RH74" s="1" t="n">
        <f aca="false">IF(B74=0,JU74+JY74,0)</f>
        <v>0</v>
      </c>
      <c r="RI74" s="1" t="n">
        <f aca="false">IF(B74=0,IF(HT74=1,JW74,JX74),0)</f>
        <v>0</v>
      </c>
      <c r="RJ74" s="1" t="n">
        <f aca="false">IF(CE74=1,IF(HT74=1,KD74+KG74,CF74-PP74)*(1+Slot7_Rate),0)</f>
        <v>0</v>
      </c>
      <c r="RK74" s="1" t="n">
        <f aca="false">IF(AND(HT74=1,CE74=1),(KC74+KG74)/E74,0)</f>
        <v>0</v>
      </c>
      <c r="RL74" s="1" t="n">
        <f aca="false">IF(B74=0,KC74+KG74,0)</f>
        <v>0</v>
      </c>
      <c r="RM74" s="1" t="n">
        <f aca="false">IF(B74=0,IF(HT74=1,KE74,KF74),0)</f>
        <v>0</v>
      </c>
      <c r="RN74" s="1" t="n">
        <f aca="false">IF(CO74=1,IF(HT74=1,KL74+KO74,CP74-PN74)*(1+Slot8_Rate),0)</f>
        <v>0</v>
      </c>
      <c r="RO74" s="1" t="n">
        <f aca="false">IF(AND(HT74=1,CO74=1),(KK74+KO74)/E74,0)</f>
        <v>0</v>
      </c>
      <c r="RP74" s="1" t="n">
        <f aca="false">IF(B74=0,KK74+KO74,0)</f>
        <v>0</v>
      </c>
      <c r="RQ74" s="1" t="n">
        <f aca="false">IF(B74=0,IF(HT74=1,KM74,KN74),0)</f>
        <v>0</v>
      </c>
      <c r="RR74" s="1" t="n">
        <f aca="false">IF(CY74=1,IF(HT74=1,KT74+KW74,CZ74-PL74)*(1+Slot9_Rate),0)</f>
        <v>0</v>
      </c>
      <c r="RS74" s="1" t="n">
        <f aca="false">IF(AND(HT74=1,CY74=1),(KS74+KW74)/E74,0)</f>
        <v>0</v>
      </c>
      <c r="RT74" s="1" t="n">
        <f aca="false">IF(B74=0,KS74+KW74,0)</f>
        <v>0</v>
      </c>
      <c r="RU74" s="1" t="n">
        <f aca="false">IF(B74=0,IF(HT74=1,KU74,KV74),0)</f>
        <v>0</v>
      </c>
      <c r="RV74" s="1" t="n">
        <f aca="false">IF(DI74=1,IF(HT74=1,LB74+LE74,DJ74-PJ74)*(1+Slot10_Rate),0)</f>
        <v>0</v>
      </c>
      <c r="RW74" s="1" t="n">
        <f aca="false">IF(AND(HT74=1,DI74=1),(LA74+LE74)/E74,0)</f>
        <v>0</v>
      </c>
      <c r="RX74" s="1" t="n">
        <f aca="false">IF(B74=0,LA74+LE74,0)</f>
        <v>0</v>
      </c>
      <c r="RY74" s="1" t="n">
        <f aca="false">IF(B74=0,IF(HT74=1,LC74,LD74),0)</f>
        <v>0</v>
      </c>
      <c r="RZ74" s="1" t="n">
        <f aca="false">IF(DS74=1,IF(HT74=1,LJ74+LM74,DT74-PH74)*(1+Slot11_Rate),0)</f>
        <v>0</v>
      </c>
      <c r="SA74" s="1" t="n">
        <f aca="false">IF(AND(HT74=1,DS74=1),(LI74+LM74)/E74,0)</f>
        <v>0</v>
      </c>
      <c r="SB74" s="1" t="n">
        <f aca="false">IF(B74=0,LI74+LM74,0)</f>
        <v>0</v>
      </c>
      <c r="SC74" s="1" t="n">
        <f aca="false">IF(B74=0,IF(HT74=1,LK74,LL74),0)</f>
        <v>0</v>
      </c>
      <c r="SD74" s="1" t="n">
        <f aca="false">IF(EC74=1,IF(HT74=1,LR74+LU74,ED74-PF74)*(1+Slot12_Rate),0)</f>
        <v>0</v>
      </c>
      <c r="SE74" s="1" t="n">
        <f aca="false">IF(AND(HT74=1,EC74=1),(LQ74+LU74)/E74,0)</f>
        <v>0</v>
      </c>
      <c r="SF74" s="1" t="n">
        <f aca="false">IF(B74=0,LQ74+LU74,0)</f>
        <v>0</v>
      </c>
      <c r="SG74" s="1" t="n">
        <f aca="false">IF(B74=0,IF(HT74=1,LS74,LT74),0)</f>
        <v>0</v>
      </c>
      <c r="SH74" s="1" t="n">
        <f aca="false">IF(EM74=1,IF(HT74=1,LZ74+MC74,EN74-PD74)*(1+Slot13_Rate),0)</f>
        <v>0</v>
      </c>
      <c r="SI74" s="1" t="n">
        <f aca="false">IF(AND(HT74=1,EM74=1),(LY74+MC74)/E74,0)</f>
        <v>0</v>
      </c>
      <c r="SJ74" s="1" t="n">
        <f aca="false">IF(B74=0,LY74+MC74,0)</f>
        <v>0</v>
      </c>
      <c r="SK74" s="1" t="n">
        <f aca="false">IF(B74=0,IF(HT74=1,MA74,MB74),0)</f>
        <v>0</v>
      </c>
      <c r="SL74" s="1" t="n">
        <f aca="false">IF(EW74=1,IF(HT74=1,MH74+MK74,EX74-PB74)*(1+Slot14_Rate),0)</f>
        <v>0</v>
      </c>
      <c r="SM74" s="1" t="n">
        <f aca="false">IF(AND(HT74=1,EW74=1),(MG74+MK74)/E74,0)</f>
        <v>0</v>
      </c>
      <c r="SN74" s="1" t="n">
        <f aca="false">IF(B74=0,MG74+MK74,0)</f>
        <v>0</v>
      </c>
      <c r="SO74" s="1" t="n">
        <f aca="false">IF(B74=0,IF(HT74=1,MI74,MJ74),0)</f>
        <v>0</v>
      </c>
      <c r="SP74" s="1" t="n">
        <f aca="false">IF(FG74=1,IF(HT74=1,MP74+MS74,FH74-OZ74)*(1+Slot15_Rate),0)</f>
        <v>0</v>
      </c>
      <c r="SQ74" s="1" t="n">
        <f aca="false">IF(AND(HT74=1,FG74=1),(MO74+MS74)/E74,0)</f>
        <v>0</v>
      </c>
      <c r="SR74" s="1" t="n">
        <f aca="false">IF(B74=0,MO74+MS74,0)</f>
        <v>0</v>
      </c>
      <c r="SS74" s="1" t="n">
        <f aca="false">IF(B74=0,IF(HT74=1,MQ74,MR74),0)</f>
        <v>0</v>
      </c>
      <c r="ST74" s="1" t="n">
        <f aca="false">IF(FQ74=1,IF(HT74=1,MX74+NA74,FR74-OX74)*(1+Slot16_Rate),0)</f>
        <v>0</v>
      </c>
      <c r="SU74" s="1" t="n">
        <f aca="false">IF(AND(HT74=1,FQ74=1),(MW74+NA74)/E74,0)</f>
        <v>0</v>
      </c>
      <c r="SV74" s="1" t="n">
        <f aca="false">IF(B74=0,MW74+NA74,0)</f>
        <v>0</v>
      </c>
      <c r="SW74" s="1" t="n">
        <f aca="false">IF(B74=0,IF(HT74=1,MY74,MZ74),0)</f>
        <v>0</v>
      </c>
      <c r="SX74" s="1" t="n">
        <f aca="false">IF(GA74=1,IF(HT74=1,NF74+NI74,GB74-OV74)*(1+Slot17_Rate),0)</f>
        <v>0</v>
      </c>
      <c r="SY74" s="1" t="n">
        <f aca="false">IF(AND(HT74=1,GA74=1),(NE74+NI74)/E74,0)</f>
        <v>0</v>
      </c>
      <c r="SZ74" s="1" t="n">
        <f aca="false">IF(B74=0,NE74+NI74,0)</f>
        <v>0</v>
      </c>
      <c r="TA74" s="1" t="n">
        <f aca="false">IF(B74=0,IF(HT74=1,NG74,NH74),0)</f>
        <v>0</v>
      </c>
      <c r="TB74" s="1" t="n">
        <f aca="false">IF(GK74=1,IF(HT74=1,NN74+NQ74,GL74-OT74)*(1+Slot18_Rate),0)</f>
        <v>0</v>
      </c>
      <c r="TC74" s="1" t="n">
        <f aca="false">IF(AND(HT74=1,GK74=1),(NM74+NQ74)/E74,0)</f>
        <v>0</v>
      </c>
      <c r="TD74" s="1" t="n">
        <f aca="false">IF(B74=0,NM74+NQ74,0)</f>
        <v>0</v>
      </c>
      <c r="TE74" s="1" t="n">
        <f aca="false">IF(B74=0,IF(HT74=1,NO74,NP74),0)</f>
        <v>0</v>
      </c>
      <c r="TF74" s="1" t="n">
        <f aca="false">IF(GU74=1,IF(HT74=1,NV74+NY74,GV74-OR74)*(1+Slot19_Rate),0)</f>
        <v>0</v>
      </c>
      <c r="TG74" s="1" t="n">
        <f aca="false">IF(AND(HT74=1,GU74=1),(NU74+NY74)/E74,0)</f>
        <v>0</v>
      </c>
      <c r="TH74" s="1" t="n">
        <f aca="false">IF(B74=0,NU74+NY74,0)</f>
        <v>0</v>
      </c>
      <c r="TI74" s="1" t="n">
        <f aca="false">IF(B74=0,IF(HT74=1,NW74,NX74),0)</f>
        <v>0</v>
      </c>
      <c r="TJ74" s="1" t="n">
        <f aca="false">IF(HE74=1,IF(HT74=1,OD74+OG74,HF74-OP74)*(1+Slot20_Rate),0)</f>
        <v>0</v>
      </c>
      <c r="TK74" s="1" t="n">
        <f aca="false">IF(AND(HT74=1,HE74=1),(OC74+OG74)/E74,0)</f>
        <v>0</v>
      </c>
      <c r="TL74" s="1" t="n">
        <f aca="false">IF(B74=0,OC74+OG74,0)</f>
        <v>0</v>
      </c>
      <c r="TM74" s="1" t="n">
        <f aca="false">IF(B74=0,IF(HT74=1,OE74,OF74),0)</f>
        <v>0</v>
      </c>
      <c r="TN74" s="1" t="n">
        <f aca="false">QJ74+QK74+QL74+QP74+QT74+QX74+RB74+RF74+RJ74+RN74+RR74+RV74+RZ74+SD74+SH74+SL74+SP74+ST74+SX74+TB74+TF74+TJ74</f>
        <v>46760.1655564859</v>
      </c>
      <c r="TO74" s="1" t="n">
        <f aca="false">QD74+HO74</f>
        <v>0</v>
      </c>
      <c r="TP74" s="1" t="n">
        <f aca="false">H74+R74</f>
        <v>0</v>
      </c>
      <c r="TQ74" s="1" t="n">
        <f aca="false">1-F74</f>
        <v>1</v>
      </c>
      <c r="TR74" s="1" t="n">
        <f aca="false">IF(AND(RG_Exists=1,F74=0,C74=1),H74,0)</f>
        <v>0</v>
      </c>
      <c r="TS74" s="1" t="n">
        <f aca="false">IF(AND(RG_Exists=1,F74=0,C74=1),H74-MIN(QD74,H74),0)</f>
        <v>0</v>
      </c>
      <c r="TT74" s="1" t="n">
        <f aca="false">'Plan pay &amp; tax'!AD300</f>
        <v>0</v>
      </c>
      <c r="TU74" s="1" t="n">
        <f aca="false">IF(AND(C74=1,QD74&gt;MAX(PR_Short1,TP74*PR_Short2)),1,0)</f>
        <v>0</v>
      </c>
      <c r="TV74" s="1" t="n">
        <f aca="false">MIN(G74,H74+R74)</f>
        <v>0</v>
      </c>
      <c r="TW74" s="1" t="n">
        <f aca="false">QE74+MAX(0,HP74-HO74)</f>
        <v>0</v>
      </c>
      <c r="TX74" s="1" t="n">
        <f aca="false">QD74+HO74</f>
        <v>0</v>
      </c>
      <c r="TY74" s="1" t="n">
        <f aca="false">IF(AND(C74=1,TX74&gt;PR_MinShort),1,0)</f>
        <v>0</v>
      </c>
      <c r="TZ74" s="1" t="n">
        <f aca="false">IF(AND(C74=1,TY74=0,TW74&gt;PR_MinShort),1,0)</f>
        <v>0</v>
      </c>
      <c r="UA74" s="1" t="n">
        <f aca="false">IF(AND(C74=1,QD74&gt;PR_MinShort),1,0)</f>
        <v>0</v>
      </c>
      <c r="UB74" s="1" t="n">
        <f aca="false">IF(AND(C74=1,QE74&gt;1,UI74=0),1,0)</f>
        <v>0</v>
      </c>
      <c r="UC74" s="1" t="str">
        <f aca="false">IF(C74=0,"",IF(UI74=1,"Gap to plan for: short "&amp;"€"&amp;TEXT(ROUND(TO74,0),"#,##0"),IF(QE74&gt;1,"Using savings","Comfortable")))</f>
        <v>Comfortable</v>
      </c>
      <c r="UD74" s="1" t="n">
        <f aca="false">IF(AND(INT(D74/10)*10=90,B74&gt;0),80,INT(D74/10)*10)</f>
        <v>60</v>
      </c>
      <c r="UE74" s="1" t="n">
        <f aca="false">IF(B74=0,1,IF(UD74&lt;&gt;UD73,UE73+1,UE73))</f>
        <v>7</v>
      </c>
      <c r="UF74" s="1" t="n">
        <f aca="false">IF(AND(C74=1,F74=1,QD74&gt;MAX(PR_Short1,TP74*PR_Short2)),1,0)</f>
        <v>0</v>
      </c>
      <c r="UG74" s="1" t="n">
        <f aca="false">TQ74*TU74</f>
        <v>0</v>
      </c>
      <c r="UH74" s="1" t="n">
        <f aca="false">IF(AND(U74=1,Slot1_PctLow=1),1,0)+IF(AND(AF74=1,Slot2_PctLow=1),1,0)+IF(AND(AP74=1,Slot3_PctLow=1),1,0)+IF(AND(AZ74=1,Slot4_PctLow=1),1,0)+IF(AND(BJ74=1,Slot5_PctLow=1),1,0)+IF(AND(BT74=1,Slot6_PctLow=1),1,0)+IF(AND(CD74=1,Slot7_PctLow=1),1,0)+IF(AND(CN74=1,Slot8_PctLow=1),1,0)+IF(AND(CX74=1,Slot9_PctLow=1),1,0)+IF(AND(DH74=1,Slot10_PctLow=1),1,0)+IF(AND(DR74=1,Slot11_PctLow=1),1,0)+IF(AND(EB74=1,Slot12_PctLow=1),1,0)+IF(AND(EL74=1,Slot13_PctLow=1),1,0)+IF(AND(EV74=1,Slot14_PctLow=1),1,0)+IF(AND(FF74=1,Slot15_PctLow=1),1,0)+IF(AND(FP74=1,Slot16_PctLow=1),1,0)+IF(AND(FZ74=1,Slot17_PctLow=1),1,0)+IF(AND(GJ74=1,Slot18_PctLow=1),1,0)+IF(AND(GT74=1,Slot19_PctLow=1),1,0)+IF(AND(HD74=1,Slot20_PctLow=1),1,0)</f>
        <v>0</v>
      </c>
      <c r="UI74" s="1" t="n">
        <f aca="false">IF(C74=1,IF(OR(TU74=1,UH74&gt;0),1,0),0)</f>
        <v>0</v>
      </c>
    </row>
    <row r="75" customFormat="false" ht="15" hidden="false" customHeight="true" outlineLevel="0" collapsed="false">
      <c r="B75" s="1" t="n">
        <v>67</v>
      </c>
      <c r="C75" s="1" t="n">
        <f aca="false">IF(B75&lt;=F_N,1,0)</f>
        <v>1</v>
      </c>
      <c r="D75" s="1" t="n">
        <f aca="false">'Plan pay &amp; tax'!C301</f>
        <v>67</v>
      </c>
      <c r="E75" s="111" t="n">
        <f aca="false">'Plan pay &amp; tax'!E301</f>
        <v>3.76887304171137</v>
      </c>
      <c r="F75" s="1" t="n">
        <f aca="false">'Plan pay &amp; tax'!G301</f>
        <v>0</v>
      </c>
      <c r="G75" s="1" t="n">
        <f aca="false">'Plan pay &amp; tax'!BT301-'Plan pay &amp; tax'!BS301-'Plan pay &amp; tax'!R301</f>
        <v>46925.7859775833</v>
      </c>
      <c r="H75" s="1" t="n">
        <f aca="false">IF(F75=1,F_CostsM*12,IF(RG_Exists=1,RG_Amount,F_CostsM*12*AS_RetireSpend))*E75+F_OneOffY*E75</f>
        <v>0</v>
      </c>
      <c r="I75" s="1" t="n">
        <f aca="false">HQ74</f>
        <v>0</v>
      </c>
      <c r="J75" s="1" t="n">
        <f aca="false">IF(I75&gt;1,'Plan debt months'!AC75,0)</f>
        <v>0</v>
      </c>
      <c r="K75" s="1" t="n">
        <f aca="false">IF(I75&gt;1,'Plan debt months'!AB75,I75)</f>
        <v>0</v>
      </c>
      <c r="L75" s="1" t="n">
        <f aca="false">N74</f>
        <v>0</v>
      </c>
      <c r="M75" s="1" t="n">
        <f aca="false">IF(L75&gt;1,'Plan debt months'!BD75,0)</f>
        <v>0</v>
      </c>
      <c r="N75" s="1" t="n">
        <f aca="false">IF(L75&gt;1,'Plan debt months'!BC75,L75)</f>
        <v>0</v>
      </c>
      <c r="O75" s="1" t="n">
        <f aca="false">Q74</f>
        <v>0</v>
      </c>
      <c r="P75" s="1" t="n">
        <f aca="false">IF(O75&gt;1,'Plan debt months'!CE75,0)</f>
        <v>0</v>
      </c>
      <c r="Q75" s="1" t="n">
        <f aca="false">IF(O75&gt;1,'Plan debt months'!CD75,O75)</f>
        <v>0</v>
      </c>
      <c r="R75" s="1" t="n">
        <f aca="false">J75+M75+P75</f>
        <v>0</v>
      </c>
      <c r="S75" s="1" t="n">
        <f aca="false">QJ74+'Plan pay &amp; tax'!Y301</f>
        <v>46760.1655564859</v>
      </c>
      <c r="T75" s="1" t="n">
        <f aca="false">QJ74</f>
        <v>46760.1655564859</v>
      </c>
      <c r="U75" s="1" t="n">
        <f aca="false">IF(AND(Slot1_On=1,D75=Slot1_Age),1,0)</f>
        <v>0</v>
      </c>
      <c r="V75" s="1" t="n">
        <f aca="false">IF(AND(Slot1_On=1,Slot1_Age&gt;D75),1,0)</f>
        <v>0</v>
      </c>
      <c r="W75" s="1" t="n">
        <f aca="false">QL74</f>
        <v>0</v>
      </c>
      <c r="X75" s="1" t="n">
        <f aca="false">U75*MIN(Slot1_Cost,W75)</f>
        <v>0</v>
      </c>
      <c r="Y75" s="1" t="n">
        <f aca="false">U75*Slot1_SpendLike*MIN(Slot1_Cost-X75,S75)</f>
        <v>0</v>
      </c>
      <c r="Z75" s="1" t="n">
        <f aca="false">X75+Y75</f>
        <v>0</v>
      </c>
      <c r="AA75" s="1" t="n">
        <f aca="false">S75-Y75+U75*IF(Slot1_SpendLike=1,W75-X75,IF(Slot1_PotFree=1,W75,0))</f>
        <v>46760.1655564859</v>
      </c>
      <c r="AB75" s="1" t="n">
        <f aca="false">AE75+U75*Slot1_BufPot*W75</f>
        <v>0</v>
      </c>
      <c r="AC75" s="1" t="n">
        <f aca="false">IF(AND(U75=1,Slot1_IsMfree=1),IF(Z75&gt;=Slot1_Cost-1,0,MAX(0,K75-Z75)),K75)</f>
        <v>0</v>
      </c>
      <c r="AD75" s="1" t="n">
        <f aca="false">U75*(Slot1_Cost-Z75)</f>
        <v>0</v>
      </c>
      <c r="AE75" s="1" t="n">
        <f aca="false">QK74</f>
        <v>0</v>
      </c>
      <c r="AF75" s="1" t="n">
        <f aca="false">IF(AND(Slot2_On=1,D75=Slot2_Age),1,0)</f>
        <v>0</v>
      </c>
      <c r="AG75" s="1" t="n">
        <f aca="false">IF(AND(Slot2_On=1,Slot2_Age&gt;D75),1,0)</f>
        <v>0</v>
      </c>
      <c r="AH75" s="1" t="n">
        <f aca="false">QP74</f>
        <v>0</v>
      </c>
      <c r="AI75" s="1" t="n">
        <f aca="false">AF75*MIN(Slot2_Cost,AH75)</f>
        <v>0</v>
      </c>
      <c r="AJ75" s="1" t="n">
        <f aca="false">AF75*Slot2_SpendLike*MIN(Slot2_Cost-AI75,AA75)</f>
        <v>0</v>
      </c>
      <c r="AK75" s="1" t="n">
        <f aca="false">AI75+AJ75</f>
        <v>0</v>
      </c>
      <c r="AL75" s="1" t="n">
        <f aca="false">AA75-AJ75+AF75*IF(Slot2_SpendLike=1,AH75-AI75,IF(Slot2_PotFree=1,AH75,0))</f>
        <v>46760.1655564859</v>
      </c>
      <c r="AM75" s="1" t="n">
        <f aca="false">AB75+AF75*Slot2_BufPot*AH75</f>
        <v>0</v>
      </c>
      <c r="AN75" s="1" t="n">
        <f aca="false">IF(AND(AF75=1,Slot2_IsMfree=1),IF(AK75&gt;=Slot2_Cost-1,0,MAX(0,AC75-AK75)),AC75)</f>
        <v>0</v>
      </c>
      <c r="AO75" s="1" t="n">
        <f aca="false">AF75*(Slot2_Cost-AK75)</f>
        <v>0</v>
      </c>
      <c r="AP75" s="1" t="n">
        <f aca="false">IF(AND(Slot3_On=1,D75=Slot3_Age),1,0)</f>
        <v>0</v>
      </c>
      <c r="AQ75" s="1" t="n">
        <f aca="false">IF(AND(Slot3_On=1,Slot3_Age&gt;D75),1,0)</f>
        <v>0</v>
      </c>
      <c r="AR75" s="1" t="n">
        <f aca="false">QT74</f>
        <v>0</v>
      </c>
      <c r="AS75" s="1" t="n">
        <f aca="false">AP75*MIN(Slot3_Cost,AR75)</f>
        <v>0</v>
      </c>
      <c r="AT75" s="1" t="n">
        <f aca="false">AP75*Slot3_SpendLike*MIN(Slot3_Cost-AS75,AL75)</f>
        <v>0</v>
      </c>
      <c r="AU75" s="1" t="n">
        <f aca="false">AS75+AT75</f>
        <v>0</v>
      </c>
      <c r="AV75" s="1" t="n">
        <f aca="false">AL75-AT75+AP75*IF(Slot3_SpendLike=1,AR75-AS75,IF(Slot3_PotFree=1,AR75,0))</f>
        <v>46760.1655564859</v>
      </c>
      <c r="AW75" s="1" t="n">
        <f aca="false">AM75+AP75*Slot3_BufPot*AR75</f>
        <v>0</v>
      </c>
      <c r="AX75" s="1" t="n">
        <f aca="false">IF(AND(AP75=1,Slot3_IsMfree=1),IF(AU75&gt;=Slot3_Cost-1,0,MAX(0,AN75-AU75)),AN75)</f>
        <v>0</v>
      </c>
      <c r="AY75" s="1" t="n">
        <f aca="false">AP75*(Slot3_Cost-AU75)</f>
        <v>0</v>
      </c>
      <c r="AZ75" s="1" t="n">
        <f aca="false">IF(AND(Slot4_On=1,D75=Slot4_Age),1,0)</f>
        <v>0</v>
      </c>
      <c r="BA75" s="1" t="n">
        <f aca="false">IF(AND(Slot4_On=1,Slot4_Age&gt;D75),1,0)</f>
        <v>0</v>
      </c>
      <c r="BB75" s="1" t="n">
        <f aca="false">QX74</f>
        <v>0</v>
      </c>
      <c r="BC75" s="1" t="n">
        <f aca="false">AZ75*MIN(Slot4_Cost,BB75)</f>
        <v>0</v>
      </c>
      <c r="BD75" s="1" t="n">
        <f aca="false">AZ75*Slot4_SpendLike*MIN(Slot4_Cost-BC75,AV75)</f>
        <v>0</v>
      </c>
      <c r="BE75" s="1" t="n">
        <f aca="false">BC75+BD75</f>
        <v>0</v>
      </c>
      <c r="BF75" s="1" t="n">
        <f aca="false">AV75-BD75+AZ75*IF(Slot4_SpendLike=1,BB75-BC75,IF(Slot4_PotFree=1,BB75,0))</f>
        <v>46760.1655564859</v>
      </c>
      <c r="BG75" s="1" t="n">
        <f aca="false">AW75+AZ75*Slot4_BufPot*BB75</f>
        <v>0</v>
      </c>
      <c r="BH75" s="1" t="n">
        <f aca="false">IF(AND(AZ75=1,Slot4_IsMfree=1),IF(BE75&gt;=Slot4_Cost-1,0,MAX(0,AX75-BE75)),AX75)</f>
        <v>0</v>
      </c>
      <c r="BI75" s="1" t="n">
        <f aca="false">AZ75*(Slot4_Cost-BE75)</f>
        <v>0</v>
      </c>
      <c r="BJ75" s="1" t="n">
        <f aca="false">IF(AND(Slot5_On=1,D75=Slot5_Age),1,0)</f>
        <v>0</v>
      </c>
      <c r="BK75" s="1" t="n">
        <f aca="false">IF(AND(Slot5_On=1,Slot5_Age&gt;D75),1,0)</f>
        <v>0</v>
      </c>
      <c r="BL75" s="1" t="n">
        <f aca="false">RB74</f>
        <v>0</v>
      </c>
      <c r="BM75" s="1" t="n">
        <f aca="false">BJ75*MIN(Slot5_Cost,BL75)</f>
        <v>0</v>
      </c>
      <c r="BN75" s="1" t="n">
        <f aca="false">BJ75*Slot5_SpendLike*MIN(Slot5_Cost-BM75,BF75)</f>
        <v>0</v>
      </c>
      <c r="BO75" s="1" t="n">
        <f aca="false">BM75+BN75</f>
        <v>0</v>
      </c>
      <c r="BP75" s="1" t="n">
        <f aca="false">BF75-BN75+BJ75*IF(Slot5_SpendLike=1,BL75-BM75,IF(Slot5_PotFree=1,BL75,0))</f>
        <v>46760.1655564859</v>
      </c>
      <c r="BQ75" s="1" t="n">
        <f aca="false">BG75+BJ75*Slot5_BufPot*BL75</f>
        <v>0</v>
      </c>
      <c r="BR75" s="1" t="n">
        <f aca="false">IF(AND(BJ75=1,Slot5_IsMfree=1),IF(BO75&gt;=Slot5_Cost-1,0,MAX(0,BH75-BO75)),BH75)</f>
        <v>0</v>
      </c>
      <c r="BS75" s="1" t="n">
        <f aca="false">BJ75*(Slot5_Cost-BO75)</f>
        <v>0</v>
      </c>
      <c r="BT75" s="1" t="n">
        <f aca="false">IF(AND(Slot6_On=1,D75=Slot6_Age),1,0)</f>
        <v>0</v>
      </c>
      <c r="BU75" s="1" t="n">
        <f aca="false">IF(AND(Slot6_On=1,Slot6_Age&gt;D75),1,0)</f>
        <v>0</v>
      </c>
      <c r="BV75" s="1" t="n">
        <f aca="false">RF74</f>
        <v>0</v>
      </c>
      <c r="BW75" s="1" t="n">
        <f aca="false">BT75*MIN(Slot6_Cost,BV75)</f>
        <v>0</v>
      </c>
      <c r="BX75" s="1" t="n">
        <f aca="false">BT75*Slot6_SpendLike*MIN(Slot6_Cost-BW75,BP75)</f>
        <v>0</v>
      </c>
      <c r="BY75" s="1" t="n">
        <f aca="false">BW75+BX75</f>
        <v>0</v>
      </c>
      <c r="BZ75" s="1" t="n">
        <f aca="false">BP75-BX75+BT75*IF(Slot6_SpendLike=1,BV75-BW75,IF(Slot6_PotFree=1,BV75,0))</f>
        <v>46760.1655564859</v>
      </c>
      <c r="CA75" s="1" t="n">
        <f aca="false">BQ75+BT75*Slot6_BufPot*BV75</f>
        <v>0</v>
      </c>
      <c r="CB75" s="1" t="n">
        <f aca="false">IF(AND(BT75=1,Slot6_IsMfree=1),IF(BY75&gt;=Slot6_Cost-1,0,MAX(0,BR75-BY75)),BR75)</f>
        <v>0</v>
      </c>
      <c r="CC75" s="1" t="n">
        <f aca="false">BT75*(Slot6_Cost-BY75)</f>
        <v>0</v>
      </c>
      <c r="CD75" s="1" t="n">
        <f aca="false">IF(AND(Slot7_On=1,D75=Slot7_Age),1,0)</f>
        <v>0</v>
      </c>
      <c r="CE75" s="1" t="n">
        <f aca="false">IF(AND(Slot7_On=1,Slot7_Age&gt;D75),1,0)</f>
        <v>0</v>
      </c>
      <c r="CF75" s="1" t="n">
        <f aca="false">RJ74</f>
        <v>0</v>
      </c>
      <c r="CG75" s="1" t="n">
        <f aca="false">CD75*MIN(Slot7_Cost,CF75)</f>
        <v>0</v>
      </c>
      <c r="CH75" s="1" t="n">
        <f aca="false">CD75*Slot7_SpendLike*MIN(Slot7_Cost-CG75,BZ75)</f>
        <v>0</v>
      </c>
      <c r="CI75" s="1" t="n">
        <f aca="false">CG75+CH75</f>
        <v>0</v>
      </c>
      <c r="CJ75" s="1" t="n">
        <f aca="false">BZ75-CH75+CD75*IF(Slot7_SpendLike=1,CF75-CG75,IF(Slot7_PotFree=1,CF75,0))</f>
        <v>46760.1655564859</v>
      </c>
      <c r="CK75" s="1" t="n">
        <f aca="false">CA75+CD75*Slot7_BufPot*CF75</f>
        <v>0</v>
      </c>
      <c r="CL75" s="1" t="n">
        <f aca="false">IF(AND(CD75=1,Slot7_IsMfree=1),IF(CI75&gt;=Slot7_Cost-1,0,MAX(0,CB75-CI75)),CB75)</f>
        <v>0</v>
      </c>
      <c r="CM75" s="1" t="n">
        <f aca="false">CD75*(Slot7_Cost-CI75)</f>
        <v>0</v>
      </c>
      <c r="CN75" s="1" t="n">
        <f aca="false">IF(AND(Slot8_On=1,D75=Slot8_Age),1,0)</f>
        <v>0</v>
      </c>
      <c r="CO75" s="1" t="n">
        <f aca="false">IF(AND(Slot8_On=1,Slot8_Age&gt;D75),1,0)</f>
        <v>0</v>
      </c>
      <c r="CP75" s="1" t="n">
        <f aca="false">RN74</f>
        <v>0</v>
      </c>
      <c r="CQ75" s="1" t="n">
        <f aca="false">CN75*MIN(Slot8_Cost,CP75)</f>
        <v>0</v>
      </c>
      <c r="CR75" s="1" t="n">
        <f aca="false">CN75*Slot8_SpendLike*MIN(Slot8_Cost-CQ75,CJ75)</f>
        <v>0</v>
      </c>
      <c r="CS75" s="1" t="n">
        <f aca="false">CQ75+CR75</f>
        <v>0</v>
      </c>
      <c r="CT75" s="1" t="n">
        <f aca="false">CJ75-CR75+CN75*IF(Slot8_SpendLike=1,CP75-CQ75,IF(Slot8_PotFree=1,CP75,0))</f>
        <v>46760.1655564859</v>
      </c>
      <c r="CU75" s="1" t="n">
        <f aca="false">CK75+CN75*Slot8_BufPot*CP75</f>
        <v>0</v>
      </c>
      <c r="CV75" s="1" t="n">
        <f aca="false">IF(AND(CN75=1,Slot8_IsMfree=1),IF(CS75&gt;=Slot8_Cost-1,0,MAX(0,CL75-CS75)),CL75)</f>
        <v>0</v>
      </c>
      <c r="CW75" s="1" t="n">
        <f aca="false">CN75*(Slot8_Cost-CS75)</f>
        <v>0</v>
      </c>
      <c r="CX75" s="1" t="n">
        <f aca="false">IF(AND(Slot9_On=1,D75=Slot9_Age),1,0)</f>
        <v>0</v>
      </c>
      <c r="CY75" s="1" t="n">
        <f aca="false">IF(AND(Slot9_On=1,Slot9_Age&gt;D75),1,0)</f>
        <v>0</v>
      </c>
      <c r="CZ75" s="1" t="n">
        <f aca="false">RR74</f>
        <v>0</v>
      </c>
      <c r="DA75" s="1" t="n">
        <f aca="false">CX75*MIN(Slot9_Cost,CZ75)</f>
        <v>0</v>
      </c>
      <c r="DB75" s="1" t="n">
        <f aca="false">CX75*Slot9_SpendLike*MIN(Slot9_Cost-DA75,CT75)</f>
        <v>0</v>
      </c>
      <c r="DC75" s="1" t="n">
        <f aca="false">DA75+DB75</f>
        <v>0</v>
      </c>
      <c r="DD75" s="1" t="n">
        <f aca="false">CT75-DB75+CX75*IF(Slot9_SpendLike=1,CZ75-DA75,IF(Slot9_PotFree=1,CZ75,0))</f>
        <v>46760.1655564859</v>
      </c>
      <c r="DE75" s="1" t="n">
        <f aca="false">CU75+CX75*Slot9_BufPot*CZ75</f>
        <v>0</v>
      </c>
      <c r="DF75" s="1" t="n">
        <f aca="false">IF(AND(CX75=1,Slot9_IsMfree=1),IF(DC75&gt;=Slot9_Cost-1,0,MAX(0,CV75-DC75)),CV75)</f>
        <v>0</v>
      </c>
      <c r="DG75" s="1" t="n">
        <f aca="false">CX75*(Slot9_Cost-DC75)</f>
        <v>0</v>
      </c>
      <c r="DH75" s="1" t="n">
        <f aca="false">IF(AND(Slot10_On=1,D75=Slot10_Age),1,0)</f>
        <v>0</v>
      </c>
      <c r="DI75" s="1" t="n">
        <f aca="false">IF(AND(Slot10_On=1,Slot10_Age&gt;D75),1,0)</f>
        <v>0</v>
      </c>
      <c r="DJ75" s="1" t="n">
        <f aca="false">RV74</f>
        <v>0</v>
      </c>
      <c r="DK75" s="1" t="n">
        <f aca="false">DH75*MIN(Slot10_Cost,DJ75)</f>
        <v>0</v>
      </c>
      <c r="DL75" s="1" t="n">
        <f aca="false">DH75*Slot10_SpendLike*MIN(Slot10_Cost-DK75,DD75)</f>
        <v>0</v>
      </c>
      <c r="DM75" s="1" t="n">
        <f aca="false">DK75+DL75</f>
        <v>0</v>
      </c>
      <c r="DN75" s="1" t="n">
        <f aca="false">DD75-DL75+DH75*IF(Slot10_SpendLike=1,DJ75-DK75,IF(Slot10_PotFree=1,DJ75,0))</f>
        <v>46760.1655564859</v>
      </c>
      <c r="DO75" s="1" t="n">
        <f aca="false">DE75+DH75*Slot10_BufPot*DJ75</f>
        <v>0</v>
      </c>
      <c r="DP75" s="1" t="n">
        <f aca="false">IF(AND(DH75=1,Slot10_IsMfree=1),IF(DM75&gt;=Slot10_Cost-1,0,MAX(0,DF75-DM75)),DF75)</f>
        <v>0</v>
      </c>
      <c r="DQ75" s="1" t="n">
        <f aca="false">DH75*(Slot10_Cost-DM75)</f>
        <v>0</v>
      </c>
      <c r="DR75" s="1" t="n">
        <f aca="false">IF(AND(Slot11_On=1,D75=Slot11_Age),1,0)</f>
        <v>0</v>
      </c>
      <c r="DS75" s="1" t="n">
        <f aca="false">IF(AND(Slot11_On=1,Slot11_Age&gt;D75),1,0)</f>
        <v>0</v>
      </c>
      <c r="DT75" s="1" t="n">
        <f aca="false">RZ74</f>
        <v>0</v>
      </c>
      <c r="DU75" s="1" t="n">
        <f aca="false">DR75*MIN(Slot11_Cost,DT75)</f>
        <v>0</v>
      </c>
      <c r="DV75" s="1" t="n">
        <f aca="false">DR75*Slot11_SpendLike*MIN(Slot11_Cost-DU75,DN75)</f>
        <v>0</v>
      </c>
      <c r="DW75" s="1" t="n">
        <f aca="false">DU75+DV75</f>
        <v>0</v>
      </c>
      <c r="DX75" s="1" t="n">
        <f aca="false">DN75-DV75+DR75*IF(Slot11_SpendLike=1,DT75-DU75,IF(Slot11_PotFree=1,DT75,0))</f>
        <v>46760.1655564859</v>
      </c>
      <c r="DY75" s="1" t="n">
        <f aca="false">DO75+DR75*Slot11_BufPot*DT75</f>
        <v>0</v>
      </c>
      <c r="DZ75" s="1" t="n">
        <f aca="false">IF(AND(DR75=1,Slot11_IsMfree=1),IF(DW75&gt;=Slot11_Cost-1,0,MAX(0,DP75-DW75)),DP75)</f>
        <v>0</v>
      </c>
      <c r="EA75" s="1" t="n">
        <f aca="false">DR75*(Slot11_Cost-DW75)</f>
        <v>0</v>
      </c>
      <c r="EB75" s="1" t="n">
        <f aca="false">IF(AND(Slot12_On=1,D75=Slot12_Age),1,0)</f>
        <v>0</v>
      </c>
      <c r="EC75" s="1" t="n">
        <f aca="false">IF(AND(Slot12_On=1,Slot12_Age&gt;D75),1,0)</f>
        <v>0</v>
      </c>
      <c r="ED75" s="1" t="n">
        <f aca="false">SD74</f>
        <v>0</v>
      </c>
      <c r="EE75" s="1" t="n">
        <f aca="false">EB75*MIN(Slot12_Cost,ED75)</f>
        <v>0</v>
      </c>
      <c r="EF75" s="1" t="n">
        <f aca="false">EB75*Slot12_SpendLike*MIN(Slot12_Cost-EE75,DX75)</f>
        <v>0</v>
      </c>
      <c r="EG75" s="1" t="n">
        <f aca="false">EE75+EF75</f>
        <v>0</v>
      </c>
      <c r="EH75" s="1" t="n">
        <f aca="false">DX75-EF75+EB75*IF(Slot12_SpendLike=1,ED75-EE75,IF(Slot12_PotFree=1,ED75,0))</f>
        <v>46760.1655564859</v>
      </c>
      <c r="EI75" s="1" t="n">
        <f aca="false">DY75+EB75*Slot12_BufPot*ED75</f>
        <v>0</v>
      </c>
      <c r="EJ75" s="1" t="n">
        <f aca="false">IF(AND(EB75=1,Slot12_IsMfree=1),IF(EG75&gt;=Slot12_Cost-1,0,MAX(0,DZ75-EG75)),DZ75)</f>
        <v>0</v>
      </c>
      <c r="EK75" s="1" t="n">
        <f aca="false">EB75*(Slot12_Cost-EG75)</f>
        <v>0</v>
      </c>
      <c r="EL75" s="1" t="n">
        <f aca="false">IF(AND(Slot13_On=1,D75=Slot13_Age),1,0)</f>
        <v>0</v>
      </c>
      <c r="EM75" s="1" t="n">
        <f aca="false">IF(AND(Slot13_On=1,Slot13_Age&gt;D75),1,0)</f>
        <v>0</v>
      </c>
      <c r="EN75" s="1" t="n">
        <f aca="false">SH74</f>
        <v>0</v>
      </c>
      <c r="EO75" s="1" t="n">
        <f aca="false">EL75*MIN(Slot13_Cost,EN75)</f>
        <v>0</v>
      </c>
      <c r="EP75" s="1" t="n">
        <f aca="false">EL75*Slot13_SpendLike*MIN(Slot13_Cost-EO75,EH75)</f>
        <v>0</v>
      </c>
      <c r="EQ75" s="1" t="n">
        <f aca="false">EO75+EP75</f>
        <v>0</v>
      </c>
      <c r="ER75" s="1" t="n">
        <f aca="false">EH75-EP75+EL75*IF(Slot13_SpendLike=1,EN75-EO75,IF(Slot13_PotFree=1,EN75,0))</f>
        <v>46760.1655564859</v>
      </c>
      <c r="ES75" s="1" t="n">
        <f aca="false">EI75+EL75*Slot13_BufPot*EN75</f>
        <v>0</v>
      </c>
      <c r="ET75" s="1" t="n">
        <f aca="false">IF(AND(EL75=1,Slot13_IsMfree=1),IF(EQ75&gt;=Slot13_Cost-1,0,MAX(0,EJ75-EQ75)),EJ75)</f>
        <v>0</v>
      </c>
      <c r="EU75" s="1" t="n">
        <f aca="false">EL75*(Slot13_Cost-EQ75)</f>
        <v>0</v>
      </c>
      <c r="EV75" s="1" t="n">
        <f aca="false">IF(AND(Slot14_On=1,D75=Slot14_Age),1,0)</f>
        <v>0</v>
      </c>
      <c r="EW75" s="1" t="n">
        <f aca="false">IF(AND(Slot14_On=1,Slot14_Age&gt;D75),1,0)</f>
        <v>0</v>
      </c>
      <c r="EX75" s="1" t="n">
        <f aca="false">SL74</f>
        <v>0</v>
      </c>
      <c r="EY75" s="1" t="n">
        <f aca="false">EV75*MIN(Slot14_Cost,EX75)</f>
        <v>0</v>
      </c>
      <c r="EZ75" s="1" t="n">
        <f aca="false">EV75*Slot14_SpendLike*MIN(Slot14_Cost-EY75,ER75)</f>
        <v>0</v>
      </c>
      <c r="FA75" s="1" t="n">
        <f aca="false">EY75+EZ75</f>
        <v>0</v>
      </c>
      <c r="FB75" s="1" t="n">
        <f aca="false">ER75-EZ75+EV75*IF(Slot14_SpendLike=1,EX75-EY75,IF(Slot14_PotFree=1,EX75,0))</f>
        <v>46760.1655564859</v>
      </c>
      <c r="FC75" s="1" t="n">
        <f aca="false">ES75+EV75*Slot14_BufPot*EX75</f>
        <v>0</v>
      </c>
      <c r="FD75" s="1" t="n">
        <f aca="false">IF(AND(EV75=1,Slot14_IsMfree=1),IF(FA75&gt;=Slot14_Cost-1,0,MAX(0,ET75-FA75)),ET75)</f>
        <v>0</v>
      </c>
      <c r="FE75" s="1" t="n">
        <f aca="false">EV75*(Slot14_Cost-FA75)</f>
        <v>0</v>
      </c>
      <c r="FF75" s="1" t="n">
        <f aca="false">IF(AND(Slot15_On=1,D75=Slot15_Age),1,0)</f>
        <v>0</v>
      </c>
      <c r="FG75" s="1" t="n">
        <f aca="false">IF(AND(Slot15_On=1,Slot15_Age&gt;D75),1,0)</f>
        <v>0</v>
      </c>
      <c r="FH75" s="1" t="n">
        <f aca="false">SP74</f>
        <v>0</v>
      </c>
      <c r="FI75" s="1" t="n">
        <f aca="false">FF75*MIN(Slot15_Cost,FH75)</f>
        <v>0</v>
      </c>
      <c r="FJ75" s="1" t="n">
        <f aca="false">FF75*Slot15_SpendLike*MIN(Slot15_Cost-FI75,FB75)</f>
        <v>0</v>
      </c>
      <c r="FK75" s="1" t="n">
        <f aca="false">FI75+FJ75</f>
        <v>0</v>
      </c>
      <c r="FL75" s="1" t="n">
        <f aca="false">FB75-FJ75+FF75*IF(Slot15_SpendLike=1,FH75-FI75,IF(Slot15_PotFree=1,FH75,0))</f>
        <v>46760.1655564859</v>
      </c>
      <c r="FM75" s="1" t="n">
        <f aca="false">FC75+FF75*Slot15_BufPot*FH75</f>
        <v>0</v>
      </c>
      <c r="FN75" s="1" t="n">
        <f aca="false">IF(AND(FF75=1,Slot15_IsMfree=1),IF(FK75&gt;=Slot15_Cost-1,0,MAX(0,FD75-FK75)),FD75)</f>
        <v>0</v>
      </c>
      <c r="FO75" s="1" t="n">
        <f aca="false">FF75*(Slot15_Cost-FK75)</f>
        <v>0</v>
      </c>
      <c r="FP75" s="1" t="n">
        <f aca="false">IF(AND(Slot16_On=1,D75=Slot16_Age),1,0)</f>
        <v>0</v>
      </c>
      <c r="FQ75" s="1" t="n">
        <f aca="false">IF(AND(Slot16_On=1,Slot16_Age&gt;D75),1,0)</f>
        <v>0</v>
      </c>
      <c r="FR75" s="1" t="n">
        <f aca="false">ST74</f>
        <v>0</v>
      </c>
      <c r="FS75" s="1" t="n">
        <f aca="false">FP75*MIN(Slot16_Cost,FR75)</f>
        <v>0</v>
      </c>
      <c r="FT75" s="1" t="n">
        <f aca="false">FP75*Slot16_SpendLike*MIN(Slot16_Cost-FS75,FL75)</f>
        <v>0</v>
      </c>
      <c r="FU75" s="1" t="n">
        <f aca="false">FS75+FT75</f>
        <v>0</v>
      </c>
      <c r="FV75" s="1" t="n">
        <f aca="false">FL75-FT75+FP75*IF(Slot16_SpendLike=1,FR75-FS75,IF(Slot16_PotFree=1,FR75,0))</f>
        <v>46760.1655564859</v>
      </c>
      <c r="FW75" s="1" t="n">
        <f aca="false">FM75+FP75*Slot16_BufPot*FR75</f>
        <v>0</v>
      </c>
      <c r="FX75" s="1" t="n">
        <f aca="false">IF(AND(FP75=1,Slot16_IsMfree=1),IF(FU75&gt;=Slot16_Cost-1,0,MAX(0,FN75-FU75)),FN75)</f>
        <v>0</v>
      </c>
      <c r="FY75" s="1" t="n">
        <f aca="false">FP75*(Slot16_Cost-FU75)</f>
        <v>0</v>
      </c>
      <c r="FZ75" s="1" t="n">
        <f aca="false">IF(AND(Slot17_On=1,D75=Slot17_Age),1,0)</f>
        <v>0</v>
      </c>
      <c r="GA75" s="1" t="n">
        <f aca="false">IF(AND(Slot17_On=1,Slot17_Age&gt;D75),1,0)</f>
        <v>0</v>
      </c>
      <c r="GB75" s="1" t="n">
        <f aca="false">SX74</f>
        <v>0</v>
      </c>
      <c r="GC75" s="1" t="n">
        <f aca="false">FZ75*MIN(Slot17_Cost,GB75)</f>
        <v>0</v>
      </c>
      <c r="GD75" s="1" t="n">
        <f aca="false">FZ75*Slot17_SpendLike*MIN(Slot17_Cost-GC75,FV75)</f>
        <v>0</v>
      </c>
      <c r="GE75" s="1" t="n">
        <f aca="false">GC75+GD75</f>
        <v>0</v>
      </c>
      <c r="GF75" s="1" t="n">
        <f aca="false">FV75-GD75+FZ75*IF(Slot17_SpendLike=1,GB75-GC75,IF(Slot17_PotFree=1,GB75,0))</f>
        <v>46760.1655564859</v>
      </c>
      <c r="GG75" s="1" t="n">
        <f aca="false">FW75+FZ75*Slot17_BufPot*GB75</f>
        <v>0</v>
      </c>
      <c r="GH75" s="1" t="n">
        <f aca="false">IF(AND(FZ75=1,Slot17_IsMfree=1),IF(GE75&gt;=Slot17_Cost-1,0,MAX(0,FX75-GE75)),FX75)</f>
        <v>0</v>
      </c>
      <c r="GI75" s="1" t="n">
        <f aca="false">FZ75*(Slot17_Cost-GE75)</f>
        <v>0</v>
      </c>
      <c r="GJ75" s="1" t="n">
        <f aca="false">IF(AND(Slot18_On=1,D75=Slot18_Age),1,0)</f>
        <v>0</v>
      </c>
      <c r="GK75" s="1" t="n">
        <f aca="false">IF(AND(Slot18_On=1,Slot18_Age&gt;D75),1,0)</f>
        <v>0</v>
      </c>
      <c r="GL75" s="1" t="n">
        <f aca="false">TB74</f>
        <v>0</v>
      </c>
      <c r="GM75" s="1" t="n">
        <f aca="false">GJ75*MIN(Slot18_Cost,GL75)</f>
        <v>0</v>
      </c>
      <c r="GN75" s="1" t="n">
        <f aca="false">GJ75*Slot18_SpendLike*MIN(Slot18_Cost-GM75,GF75)</f>
        <v>0</v>
      </c>
      <c r="GO75" s="1" t="n">
        <f aca="false">GM75+GN75</f>
        <v>0</v>
      </c>
      <c r="GP75" s="1" t="n">
        <f aca="false">GF75-GN75+GJ75*IF(Slot18_SpendLike=1,GL75-GM75,IF(Slot18_PotFree=1,GL75,0))</f>
        <v>46760.1655564859</v>
      </c>
      <c r="GQ75" s="1" t="n">
        <f aca="false">GG75+GJ75*Slot18_BufPot*GL75</f>
        <v>0</v>
      </c>
      <c r="GR75" s="1" t="n">
        <f aca="false">IF(AND(GJ75=1,Slot18_IsMfree=1),IF(GO75&gt;=Slot18_Cost-1,0,MAX(0,GH75-GO75)),GH75)</f>
        <v>0</v>
      </c>
      <c r="GS75" s="1" t="n">
        <f aca="false">GJ75*(Slot18_Cost-GO75)</f>
        <v>0</v>
      </c>
      <c r="GT75" s="1" t="n">
        <f aca="false">IF(AND(Slot19_On=1,D75=Slot19_Age),1,0)</f>
        <v>0</v>
      </c>
      <c r="GU75" s="1" t="n">
        <f aca="false">IF(AND(Slot19_On=1,Slot19_Age&gt;D75),1,0)</f>
        <v>0</v>
      </c>
      <c r="GV75" s="1" t="n">
        <f aca="false">TF74</f>
        <v>0</v>
      </c>
      <c r="GW75" s="1" t="n">
        <f aca="false">GT75*MIN(Slot19_Cost,GV75)</f>
        <v>0</v>
      </c>
      <c r="GX75" s="1" t="n">
        <f aca="false">GT75*Slot19_SpendLike*MIN(Slot19_Cost-GW75,GP75)</f>
        <v>0</v>
      </c>
      <c r="GY75" s="1" t="n">
        <f aca="false">GW75+GX75</f>
        <v>0</v>
      </c>
      <c r="GZ75" s="1" t="n">
        <f aca="false">GP75-GX75+GT75*IF(Slot19_SpendLike=1,GV75-GW75,IF(Slot19_PotFree=1,GV75,0))</f>
        <v>46760.1655564859</v>
      </c>
      <c r="HA75" s="1" t="n">
        <f aca="false">GQ75+GT75*Slot19_BufPot*GV75</f>
        <v>0</v>
      </c>
      <c r="HB75" s="1" t="n">
        <f aca="false">IF(AND(GT75=1,Slot19_IsMfree=1),IF(GY75&gt;=Slot19_Cost-1,0,MAX(0,GR75-GY75)),GR75)</f>
        <v>0</v>
      </c>
      <c r="HC75" s="1" t="n">
        <f aca="false">GT75*(Slot19_Cost-GY75)</f>
        <v>0</v>
      </c>
      <c r="HD75" s="1" t="n">
        <f aca="false">IF(AND(Slot20_On=1,D75=Slot20_Age),1,0)</f>
        <v>0</v>
      </c>
      <c r="HE75" s="1" t="n">
        <f aca="false">IF(AND(Slot20_On=1,Slot20_Age&gt;D75),1,0)</f>
        <v>0</v>
      </c>
      <c r="HF75" s="1" t="n">
        <f aca="false">TJ74</f>
        <v>0</v>
      </c>
      <c r="HG75" s="1" t="n">
        <f aca="false">HD75*MIN(Slot20_Cost,HF75)</f>
        <v>0</v>
      </c>
      <c r="HH75" s="1" t="n">
        <f aca="false">HD75*Slot20_SpendLike*MIN(Slot20_Cost-HG75,GZ75)</f>
        <v>0</v>
      </c>
      <c r="HI75" s="1" t="n">
        <f aca="false">HG75+HH75</f>
        <v>0</v>
      </c>
      <c r="HJ75" s="1" t="n">
        <f aca="false">GZ75-HH75+HD75*IF(Slot20_SpendLike=1,HF75-HG75,IF(Slot20_PotFree=1,HF75,0))</f>
        <v>46760.1655564859</v>
      </c>
      <c r="HK75" s="1" t="n">
        <f aca="false">HA75+HD75*Slot20_BufPot*HF75</f>
        <v>0</v>
      </c>
      <c r="HL75" s="1" t="n">
        <f aca="false">IF(AND(HD75=1,Slot20_IsMfree=1),IF(HI75&gt;=Slot20_Cost-1,0,MAX(0,HB75-HI75)),HB75)</f>
        <v>0</v>
      </c>
      <c r="HM75" s="1" t="n">
        <f aca="false">HD75*(Slot20_Cost-HI75)</f>
        <v>0</v>
      </c>
      <c r="HN75" s="1" t="n">
        <f aca="false">U75*Slot1_SpendLike*Z75+AF75*Slot2_SpendLike*AK75+AP75*Slot3_SpendLike*AU75+AZ75*Slot4_SpendLike*BE75+BJ75*Slot5_SpendLike*BO75+BT75*Slot6_SpendLike*BY75+CD75*Slot7_SpendLike*CI75+CN75*Slot8_SpendLike*CS75+CX75*Slot9_SpendLike*DC75+DH75*Slot10_SpendLike*DM75+DR75*Slot11_SpendLike*DW75+EB75*Slot12_SpendLike*EG75+EL75*Slot13_SpendLike*EQ75+EV75*Slot14_SpendLike*FA75+FF75*Slot15_SpendLike*FK75+FP75*Slot16_SpendLike*FU75+FZ75*Slot17_SpendLike*GE75+GJ75*Slot18_SpendLike*GO75+GT75*Slot19_SpendLike*GY75+HD75*Slot20_SpendLike*HI75</f>
        <v>0</v>
      </c>
      <c r="HO75" s="1" t="n">
        <f aca="false">AD75+AO75+AY75+BI75+BS75+CC75+CM75+CW75+DG75+DQ75+EA75+EK75+EU75+FE75+FO75+FY75+GI75+GS75+HC75+HM75</f>
        <v>0</v>
      </c>
      <c r="HP75" s="1" t="n">
        <f aca="false">U75*Slot1_Cost+AF75*Slot2_Cost+AP75*Slot3_Cost+AZ75*Slot4_Cost+BJ75*Slot5_Cost+BT75*Slot6_Cost+CD75*Slot7_Cost+CN75*Slot8_Cost+CX75*Slot9_Cost+DH75*Slot10_Cost+DR75*Slot11_Cost+EB75*Slot12_Cost+EL75*Slot13_Cost+EV75*Slot14_Cost+FF75*Slot15_Cost+FP75*Slot16_Cost+FZ75*Slot17_Cost+GJ75*Slot18_Cost+GT75*Slot19_Cost+HD75*Slot20_Cost</f>
        <v>0</v>
      </c>
      <c r="HQ75" s="1" t="n">
        <f aca="false">HL75</f>
        <v>0</v>
      </c>
      <c r="HR75" s="1" t="n">
        <f aca="false">G75-H75-R75</f>
        <v>46925.7859775833</v>
      </c>
      <c r="HS75" s="1" t="n">
        <f aca="false">IF(B75=0,IF(AND(Has_q6=1,In_q6=4),PR_ShareVaries*(MAX(0,HR75)/12),MIN(IF(Has_q6=1,CHOOSE(In_q6+1,PR_SaveB1,PR_SaveB2,PR_SaveB3,PR_SaveB4,0),AS_NoAnswer),AS_SaveShare*(MAX(0,HR75)/12))),HS74)</f>
        <v>0</v>
      </c>
      <c r="HT75" s="1" t="n">
        <f aca="false">IF(HR75&gt;=0,1,0)</f>
        <v>1</v>
      </c>
      <c r="HU75" s="1" t="n">
        <f aca="false">MAX(0,HR75/12/E75)</f>
        <v>1037.57333333333</v>
      </c>
      <c r="HV75" s="1" t="n">
        <f aca="false">IF(AND(Has_q6=1,In_q6=4),PR_ShareVaries*(HU75),MIN(IF(Has_q6=1,CHOOSE(In_q6+1,PR_SaveB1,PR_SaveB2,PR_SaveB3,PR_SaveB4,0),AS_NoAnswer),AS_SaveShare*(HU75)))</f>
        <v>300</v>
      </c>
      <c r="HW75" s="1" t="n">
        <f aca="false">IF(Has_saveM=1,IF(In_saveUp="Yes",1,IF(In_saveUp="No",0,IF(In_saveM&gt;=HS75-0.5,1,0))),0)</f>
        <v>0</v>
      </c>
      <c r="HX75" s="1" t="n">
        <f aca="false">IF(Has_saveM=1,MIN(HU75,IF(HW75=1,MAX(In_saveM,HV75),MIN(In_saveM,HV75))),HV75)</f>
        <v>300</v>
      </c>
      <c r="HY75" s="1" t="n">
        <f aca="false">IF(F75=1,HX75*12*E75,0)</f>
        <v>0</v>
      </c>
      <c r="HZ75" s="1" t="n">
        <f aca="false">MAX(0,HY75+IF(AND(WI_Retire=0,WI_M&lt;0,F75=1),WI_M*12*E75,0))</f>
        <v>0</v>
      </c>
      <c r="IA75" s="1" t="n">
        <f aca="false">Slot1_IsWG*V75+Slot2_IsWG*AG75+Slot3_IsWG*AQ75+Slot4_IsWG*BA75+Slot5_IsWG*BK75+Slot6_IsWG*BU75+Slot7_IsWG*CE75+Slot8_IsWG*CO75+Slot9_IsWG*CY75+Slot10_IsWG*DI75+Slot11_IsWG*DS75+Slot12_IsWG*EC75+Slot13_IsWG*EM75+Slot14_IsWG*EW75+Slot15_IsWG*FG75+Slot16_IsWG*FQ75+Slot17_IsWG*GA75+Slot18_IsWG*GK75+Slot19_IsWG*GU75+Slot20_IsWG*HE75</f>
        <v>0</v>
      </c>
      <c r="IB75" s="1" t="n">
        <f aca="false">IF(AND(WI_Retire=0,WI_M&gt;0,F75=1,IA75&gt;=1),WI_M*12*E75,0)</f>
        <v>0</v>
      </c>
      <c r="IC75" s="1" t="n">
        <f aca="false">IF(HT75=1,MIN(HZ75,HR75),0)</f>
        <v>0</v>
      </c>
      <c r="ID75" s="1" t="n">
        <f aca="false">IF(HT75=1,MIN(IB75,HR75-IC75),0)</f>
        <v>0</v>
      </c>
      <c r="IE75" s="1" t="n">
        <f aca="false">IF(V75=1,IF(ABS((1+AS_Wage)/(1+Slot1_Rate)-1)&lt;0.000000000001,(Slot1_Age-D75)*(1+Slot1_Rate)^(Slot1_Age-D75),(1+Slot1_Rate)^(Slot1_Age-D75)*(1-((1+AS_Wage)/(1+Slot1_Rate))^(Slot1_Age-D75))/(1-(1+AS_Wage)/(1+Slot1_Rate))),1)</f>
        <v>1</v>
      </c>
      <c r="IF75" s="1" t="n">
        <f aca="false">IF(AND(HT75=1,ID75&gt;0,Slot1_IsWG=1,V75=1),MAX(0,(Slot1_Cost-W75*(1+Slot1_Rate)^(Slot1_Age-D75))/IE75),0)</f>
        <v>0</v>
      </c>
      <c r="IG75" s="1" t="n">
        <f aca="false">IF(AND(HT75=1,ID75&gt;0,Slot1_IsWG=1,V75=1),MIN(ID75,IF75),0)</f>
        <v>0</v>
      </c>
      <c r="IH75" s="1" t="n">
        <f aca="false">W75+IG75</f>
        <v>0</v>
      </c>
      <c r="II75" s="1" t="n">
        <f aca="false">IF(V75=1,MAX(0,(Slot1_Cost-IH75*(1+Slot1_Rate)^(Slot1_Age-D75))/IE75),0)</f>
        <v>0</v>
      </c>
      <c r="IJ75" s="1" t="n">
        <f aca="false">IF(V75=1,MAX(0,(Slot1_Cost-W75*(1+Slot1_Rate)^(Slot1_Age-D75))/IE75),0)</f>
        <v>0</v>
      </c>
      <c r="IK75" s="1" t="n">
        <f aca="false">IF(AND(HT75=1,V75=1),MIN(IC75,II75),0)</f>
        <v>0</v>
      </c>
      <c r="IL75" s="1" t="n">
        <f aca="false">IC75-IK75</f>
        <v>0</v>
      </c>
      <c r="IM75" s="1" t="n">
        <f aca="false">IF(AG75=1,IF(ABS((1+AS_Wage)/(1+Slot2_Rate)-1)&lt;0.000000000001,(Slot2_Age-D75)*(1+Slot2_Rate)^(Slot2_Age-D75),(1+Slot2_Rate)^(Slot2_Age-D75)*(1-((1+AS_Wage)/(1+Slot2_Rate))^(Slot2_Age-D75))/(1-(1+AS_Wage)/(1+Slot2_Rate))),1)</f>
        <v>1</v>
      </c>
      <c r="IN75" s="1" t="n">
        <f aca="false">IF(AND(HT75=1,ID75&gt;0,Slot2_IsWG=1,AG75=1),MAX(0,(Slot2_Cost-AH75*(1+Slot2_Rate)^(Slot2_Age-D75))/IM75),0)</f>
        <v>0</v>
      </c>
      <c r="IO75" s="1" t="n">
        <f aca="false">IF(AND(HT75=1,ID75&gt;0,Slot2_IsWG=1,AG75=1),MIN(ID75,IN75),0)</f>
        <v>0</v>
      </c>
      <c r="IP75" s="1" t="n">
        <f aca="false">AH75+IO75</f>
        <v>0</v>
      </c>
      <c r="IQ75" s="1" t="n">
        <f aca="false">IF(AG75=1,MAX(0,(Slot2_Cost-IP75*(1+Slot2_Rate)^(Slot2_Age-D75))/IM75),0)</f>
        <v>0</v>
      </c>
      <c r="IR75" s="1" t="n">
        <f aca="false">IF(AG75=1,MAX(0,(Slot2_Cost-AH75*(1+Slot2_Rate)^(Slot2_Age-D75))/IM75),0)</f>
        <v>0</v>
      </c>
      <c r="IS75" s="1" t="n">
        <f aca="false">IF(AND(HT75=1,AG75=1),MIN(IL75,IQ75),0)</f>
        <v>0</v>
      </c>
      <c r="IT75" s="1" t="n">
        <f aca="false">IL75-IS75</f>
        <v>0</v>
      </c>
      <c r="IU75" s="1" t="n">
        <f aca="false">IF(AQ75=1,IF(ABS((1+AS_Wage)/(1+Slot3_Rate)-1)&lt;0.000000000001,(Slot3_Age-D75)*(1+Slot3_Rate)^(Slot3_Age-D75),(1+Slot3_Rate)^(Slot3_Age-D75)*(1-((1+AS_Wage)/(1+Slot3_Rate))^(Slot3_Age-D75))/(1-(1+AS_Wage)/(1+Slot3_Rate))),1)</f>
        <v>1</v>
      </c>
      <c r="IV75" s="1" t="n">
        <f aca="false">IF(AND(HT75=1,ID75&gt;0,Slot3_IsWG=1,AQ75=1),MAX(0,(Slot3_Cost-AR75*(1+Slot3_Rate)^(Slot3_Age-D75))/IU75),0)</f>
        <v>0</v>
      </c>
      <c r="IW75" s="1" t="n">
        <f aca="false">IF(AND(HT75=1,ID75&gt;0,Slot3_IsWG=1,AQ75=1),MIN(ID75,IV75),0)</f>
        <v>0</v>
      </c>
      <c r="IX75" s="1" t="n">
        <f aca="false">AR75+IW75</f>
        <v>0</v>
      </c>
      <c r="IY75" s="1" t="n">
        <f aca="false">IF(AQ75=1,MAX(0,(Slot3_Cost-IX75*(1+Slot3_Rate)^(Slot3_Age-D75))/IU75),0)</f>
        <v>0</v>
      </c>
      <c r="IZ75" s="1" t="n">
        <f aca="false">IF(AQ75=1,MAX(0,(Slot3_Cost-AR75*(1+Slot3_Rate)^(Slot3_Age-D75))/IU75),0)</f>
        <v>0</v>
      </c>
      <c r="JA75" s="1" t="n">
        <f aca="false">IF(AND(HT75=1,AQ75=1),MIN(IT75,IY75),0)</f>
        <v>0</v>
      </c>
      <c r="JB75" s="1" t="n">
        <f aca="false">IT75-JA75</f>
        <v>0</v>
      </c>
      <c r="JC75" s="1" t="n">
        <f aca="false">IF(BA75=1,IF(ABS((1+AS_Wage)/(1+Slot4_Rate)-1)&lt;0.000000000001,(Slot4_Age-D75)*(1+Slot4_Rate)^(Slot4_Age-D75),(1+Slot4_Rate)^(Slot4_Age-D75)*(1-((1+AS_Wage)/(1+Slot4_Rate))^(Slot4_Age-D75))/(1-(1+AS_Wage)/(1+Slot4_Rate))),1)</f>
        <v>1</v>
      </c>
      <c r="JD75" s="1" t="n">
        <f aca="false">IF(AND(HT75=1,ID75&gt;0,Slot4_IsWG=1,BA75=1),MAX(0,(Slot4_Cost-BB75*(1+Slot4_Rate)^(Slot4_Age-D75))/JC75),0)</f>
        <v>0</v>
      </c>
      <c r="JE75" s="1" t="n">
        <f aca="false">IF(AND(HT75=1,ID75&gt;0,Slot4_IsWG=1,BA75=1),MIN(ID75,JD75),0)</f>
        <v>0</v>
      </c>
      <c r="JF75" s="1" t="n">
        <f aca="false">BB75+JE75</f>
        <v>0</v>
      </c>
      <c r="JG75" s="1" t="n">
        <f aca="false">IF(BA75=1,MAX(0,(Slot4_Cost-JF75*(1+Slot4_Rate)^(Slot4_Age-D75))/JC75),0)</f>
        <v>0</v>
      </c>
      <c r="JH75" s="1" t="n">
        <f aca="false">IF(BA75=1,MAX(0,(Slot4_Cost-BB75*(1+Slot4_Rate)^(Slot4_Age-D75))/JC75),0)</f>
        <v>0</v>
      </c>
      <c r="JI75" s="1" t="n">
        <f aca="false">IF(AND(HT75=1,BA75=1),MIN(JB75,JG75),0)</f>
        <v>0</v>
      </c>
      <c r="JJ75" s="1" t="n">
        <f aca="false">JB75-JI75</f>
        <v>0</v>
      </c>
      <c r="JK75" s="1" t="n">
        <f aca="false">IF(BK75=1,IF(ABS((1+AS_Wage)/(1+Slot5_Rate)-1)&lt;0.000000000001,(Slot5_Age-D75)*(1+Slot5_Rate)^(Slot5_Age-D75),(1+Slot5_Rate)^(Slot5_Age-D75)*(1-((1+AS_Wage)/(1+Slot5_Rate))^(Slot5_Age-D75))/(1-(1+AS_Wage)/(1+Slot5_Rate))),1)</f>
        <v>1</v>
      </c>
      <c r="JL75" s="1" t="n">
        <f aca="false">IF(AND(HT75=1,ID75&gt;0,Slot5_IsWG=1,BK75=1),MAX(0,(Slot5_Cost-BL75*(1+Slot5_Rate)^(Slot5_Age-D75))/JK75),0)</f>
        <v>0</v>
      </c>
      <c r="JM75" s="1" t="n">
        <f aca="false">IF(AND(HT75=1,ID75&gt;0,Slot5_IsWG=1,BK75=1),MIN(ID75,JL75),0)</f>
        <v>0</v>
      </c>
      <c r="JN75" s="1" t="n">
        <f aca="false">BL75+JM75</f>
        <v>0</v>
      </c>
      <c r="JO75" s="1" t="n">
        <f aca="false">IF(BK75=1,MAX(0,(Slot5_Cost-JN75*(1+Slot5_Rate)^(Slot5_Age-D75))/JK75),0)</f>
        <v>0</v>
      </c>
      <c r="JP75" s="1" t="n">
        <f aca="false">IF(BK75=1,MAX(0,(Slot5_Cost-BL75*(1+Slot5_Rate)^(Slot5_Age-D75))/JK75),0)</f>
        <v>0</v>
      </c>
      <c r="JQ75" s="1" t="n">
        <f aca="false">IF(AND(HT75=1,BK75=1),MIN(JJ75,JO75),0)</f>
        <v>0</v>
      </c>
      <c r="JR75" s="1" t="n">
        <f aca="false">JJ75-JQ75</f>
        <v>0</v>
      </c>
      <c r="JS75" s="1" t="n">
        <f aca="false">IF(BU75=1,IF(ABS((1+AS_Wage)/(1+Slot6_Rate)-1)&lt;0.000000000001,(Slot6_Age-D75)*(1+Slot6_Rate)^(Slot6_Age-D75),(1+Slot6_Rate)^(Slot6_Age-D75)*(1-((1+AS_Wage)/(1+Slot6_Rate))^(Slot6_Age-D75))/(1-(1+AS_Wage)/(1+Slot6_Rate))),1)</f>
        <v>1</v>
      </c>
      <c r="JT75" s="1" t="n">
        <f aca="false">IF(AND(HT75=1,ID75&gt;0,Slot6_IsWG=1,BU75=1),MAX(0,(Slot6_Cost-BV75*(1+Slot6_Rate)^(Slot6_Age-D75))/JS75),0)</f>
        <v>0</v>
      </c>
      <c r="JU75" s="1" t="n">
        <f aca="false">IF(AND(HT75=1,ID75&gt;0,Slot6_IsWG=1,BU75=1),MIN(ID75,JT75),0)</f>
        <v>0</v>
      </c>
      <c r="JV75" s="1" t="n">
        <f aca="false">BV75+JU75</f>
        <v>0</v>
      </c>
      <c r="JW75" s="1" t="n">
        <f aca="false">IF(BU75=1,MAX(0,(Slot6_Cost-JV75*(1+Slot6_Rate)^(Slot6_Age-D75))/JS75),0)</f>
        <v>0</v>
      </c>
      <c r="JX75" s="1" t="n">
        <f aca="false">IF(BU75=1,MAX(0,(Slot6_Cost-BV75*(1+Slot6_Rate)^(Slot6_Age-D75))/JS75),0)</f>
        <v>0</v>
      </c>
      <c r="JY75" s="1" t="n">
        <f aca="false">IF(AND(HT75=1,BU75=1),MIN(JR75,JW75),0)</f>
        <v>0</v>
      </c>
      <c r="JZ75" s="1" t="n">
        <f aca="false">JR75-JY75</f>
        <v>0</v>
      </c>
      <c r="KA75" s="1" t="n">
        <f aca="false">IF(CE75=1,IF(ABS((1+AS_Wage)/(1+Slot7_Rate)-1)&lt;0.000000000001,(Slot7_Age-D75)*(1+Slot7_Rate)^(Slot7_Age-D75),(1+Slot7_Rate)^(Slot7_Age-D75)*(1-((1+AS_Wage)/(1+Slot7_Rate))^(Slot7_Age-D75))/(1-(1+AS_Wage)/(1+Slot7_Rate))),1)</f>
        <v>1</v>
      </c>
      <c r="KB75" s="1" t="n">
        <f aca="false">IF(AND(HT75=1,ID75&gt;0,Slot7_IsWG=1,CE75=1),MAX(0,(Slot7_Cost-CF75*(1+Slot7_Rate)^(Slot7_Age-D75))/KA75),0)</f>
        <v>0</v>
      </c>
      <c r="KC75" s="1" t="n">
        <f aca="false">IF(AND(HT75=1,ID75&gt;0,Slot7_IsWG=1,CE75=1),MIN(ID75,KB75),0)</f>
        <v>0</v>
      </c>
      <c r="KD75" s="1" t="n">
        <f aca="false">CF75+KC75</f>
        <v>0</v>
      </c>
      <c r="KE75" s="1" t="n">
        <f aca="false">IF(CE75=1,MAX(0,(Slot7_Cost-KD75*(1+Slot7_Rate)^(Slot7_Age-D75))/KA75),0)</f>
        <v>0</v>
      </c>
      <c r="KF75" s="1" t="n">
        <f aca="false">IF(CE75=1,MAX(0,(Slot7_Cost-CF75*(1+Slot7_Rate)^(Slot7_Age-D75))/KA75),0)</f>
        <v>0</v>
      </c>
      <c r="KG75" s="1" t="n">
        <f aca="false">IF(AND(HT75=1,CE75=1),MIN(JZ75,KE75),0)</f>
        <v>0</v>
      </c>
      <c r="KH75" s="1" t="n">
        <f aca="false">JZ75-KG75</f>
        <v>0</v>
      </c>
      <c r="KI75" s="1" t="n">
        <f aca="false">IF(CO75=1,IF(ABS((1+AS_Wage)/(1+Slot8_Rate)-1)&lt;0.000000000001,(Slot8_Age-D75)*(1+Slot8_Rate)^(Slot8_Age-D75),(1+Slot8_Rate)^(Slot8_Age-D75)*(1-((1+AS_Wage)/(1+Slot8_Rate))^(Slot8_Age-D75))/(1-(1+AS_Wage)/(1+Slot8_Rate))),1)</f>
        <v>1</v>
      </c>
      <c r="KJ75" s="1" t="n">
        <f aca="false">IF(AND(HT75=1,ID75&gt;0,Slot8_IsWG=1,CO75=1),MAX(0,(Slot8_Cost-CP75*(1+Slot8_Rate)^(Slot8_Age-D75))/KI75),0)</f>
        <v>0</v>
      </c>
      <c r="KK75" s="1" t="n">
        <f aca="false">IF(AND(HT75=1,ID75&gt;0,Slot8_IsWG=1,CO75=1),MIN(ID75,KJ75),0)</f>
        <v>0</v>
      </c>
      <c r="KL75" s="1" t="n">
        <f aca="false">CP75+KK75</f>
        <v>0</v>
      </c>
      <c r="KM75" s="1" t="n">
        <f aca="false">IF(CO75=1,MAX(0,(Slot8_Cost-KL75*(1+Slot8_Rate)^(Slot8_Age-D75))/KI75),0)</f>
        <v>0</v>
      </c>
      <c r="KN75" s="1" t="n">
        <f aca="false">IF(CO75=1,MAX(0,(Slot8_Cost-CP75*(1+Slot8_Rate)^(Slot8_Age-D75))/KI75),0)</f>
        <v>0</v>
      </c>
      <c r="KO75" s="1" t="n">
        <f aca="false">IF(AND(HT75=1,CO75=1),MIN(KH75,KM75),0)</f>
        <v>0</v>
      </c>
      <c r="KP75" s="1" t="n">
        <f aca="false">KH75-KO75</f>
        <v>0</v>
      </c>
      <c r="KQ75" s="1" t="n">
        <f aca="false">IF(CY75=1,IF(ABS((1+AS_Wage)/(1+Slot9_Rate)-1)&lt;0.000000000001,(Slot9_Age-D75)*(1+Slot9_Rate)^(Slot9_Age-D75),(1+Slot9_Rate)^(Slot9_Age-D75)*(1-((1+AS_Wage)/(1+Slot9_Rate))^(Slot9_Age-D75))/(1-(1+AS_Wage)/(1+Slot9_Rate))),1)</f>
        <v>1</v>
      </c>
      <c r="KR75" s="1" t="n">
        <f aca="false">IF(AND(HT75=1,ID75&gt;0,Slot9_IsWG=1,CY75=1),MAX(0,(Slot9_Cost-CZ75*(1+Slot9_Rate)^(Slot9_Age-D75))/KQ75),0)</f>
        <v>0</v>
      </c>
      <c r="KS75" s="1" t="n">
        <f aca="false">IF(AND(HT75=1,ID75&gt;0,Slot9_IsWG=1,CY75=1),MIN(ID75,KR75),0)</f>
        <v>0</v>
      </c>
      <c r="KT75" s="1" t="n">
        <f aca="false">CZ75+KS75</f>
        <v>0</v>
      </c>
      <c r="KU75" s="1" t="n">
        <f aca="false">IF(CY75=1,MAX(0,(Slot9_Cost-KT75*(1+Slot9_Rate)^(Slot9_Age-D75))/KQ75),0)</f>
        <v>0</v>
      </c>
      <c r="KV75" s="1" t="n">
        <f aca="false">IF(CY75=1,MAX(0,(Slot9_Cost-CZ75*(1+Slot9_Rate)^(Slot9_Age-D75))/KQ75),0)</f>
        <v>0</v>
      </c>
      <c r="KW75" s="1" t="n">
        <f aca="false">IF(AND(HT75=1,CY75=1),MIN(KP75,KU75),0)</f>
        <v>0</v>
      </c>
      <c r="KX75" s="1" t="n">
        <f aca="false">KP75-KW75</f>
        <v>0</v>
      </c>
      <c r="KY75" s="1" t="n">
        <f aca="false">IF(DI75=1,IF(ABS((1+AS_Wage)/(1+Slot10_Rate)-1)&lt;0.000000000001,(Slot10_Age-D75)*(1+Slot10_Rate)^(Slot10_Age-D75),(1+Slot10_Rate)^(Slot10_Age-D75)*(1-((1+AS_Wage)/(1+Slot10_Rate))^(Slot10_Age-D75))/(1-(1+AS_Wage)/(1+Slot10_Rate))),1)</f>
        <v>1</v>
      </c>
      <c r="KZ75" s="1" t="n">
        <f aca="false">IF(AND(HT75=1,ID75&gt;0,Slot10_IsWG=1,DI75=1),MAX(0,(Slot10_Cost-DJ75*(1+Slot10_Rate)^(Slot10_Age-D75))/KY75),0)</f>
        <v>0</v>
      </c>
      <c r="LA75" s="1" t="n">
        <f aca="false">IF(AND(HT75=1,ID75&gt;0,Slot10_IsWG=1,DI75=1),MIN(ID75,KZ75),0)</f>
        <v>0</v>
      </c>
      <c r="LB75" s="1" t="n">
        <f aca="false">DJ75+LA75</f>
        <v>0</v>
      </c>
      <c r="LC75" s="1" t="n">
        <f aca="false">IF(DI75=1,MAX(0,(Slot10_Cost-LB75*(1+Slot10_Rate)^(Slot10_Age-D75))/KY75),0)</f>
        <v>0</v>
      </c>
      <c r="LD75" s="1" t="n">
        <f aca="false">IF(DI75=1,MAX(0,(Slot10_Cost-DJ75*(1+Slot10_Rate)^(Slot10_Age-D75))/KY75),0)</f>
        <v>0</v>
      </c>
      <c r="LE75" s="1" t="n">
        <f aca="false">IF(AND(HT75=1,DI75=1),MIN(KX75,LC75),0)</f>
        <v>0</v>
      </c>
      <c r="LF75" s="1" t="n">
        <f aca="false">KX75-LE75</f>
        <v>0</v>
      </c>
      <c r="LG75" s="1" t="n">
        <f aca="false">IF(DS75=1,IF(ABS((1+AS_Wage)/(1+Slot11_Rate)-1)&lt;0.000000000001,(Slot11_Age-D75)*(1+Slot11_Rate)^(Slot11_Age-D75),(1+Slot11_Rate)^(Slot11_Age-D75)*(1-((1+AS_Wage)/(1+Slot11_Rate))^(Slot11_Age-D75))/(1-(1+AS_Wage)/(1+Slot11_Rate))),1)</f>
        <v>1</v>
      </c>
      <c r="LH75" s="1" t="n">
        <f aca="false">IF(AND(HT75=1,ID75&gt;0,Slot11_IsWG=1,DS75=1),MAX(0,(Slot11_Cost-DT75*(1+Slot11_Rate)^(Slot11_Age-D75))/LG75),0)</f>
        <v>0</v>
      </c>
      <c r="LI75" s="1" t="n">
        <f aca="false">IF(AND(HT75=1,ID75&gt;0,Slot11_IsWG=1,DS75=1),MIN(ID75,LH75),0)</f>
        <v>0</v>
      </c>
      <c r="LJ75" s="1" t="n">
        <f aca="false">DT75+LI75</f>
        <v>0</v>
      </c>
      <c r="LK75" s="1" t="n">
        <f aca="false">IF(DS75=1,MAX(0,(Slot11_Cost-LJ75*(1+Slot11_Rate)^(Slot11_Age-D75))/LG75),0)</f>
        <v>0</v>
      </c>
      <c r="LL75" s="1" t="n">
        <f aca="false">IF(DS75=1,MAX(0,(Slot11_Cost-DT75*(1+Slot11_Rate)^(Slot11_Age-D75))/LG75),0)</f>
        <v>0</v>
      </c>
      <c r="LM75" s="1" t="n">
        <f aca="false">IF(AND(HT75=1,DS75=1),MIN(LF75,LK75),0)</f>
        <v>0</v>
      </c>
      <c r="LN75" s="1" t="n">
        <f aca="false">LF75-LM75</f>
        <v>0</v>
      </c>
      <c r="LO75" s="1" t="n">
        <f aca="false">IF(EC75=1,IF(ABS((1+AS_Wage)/(1+Slot12_Rate)-1)&lt;0.000000000001,(Slot12_Age-D75)*(1+Slot12_Rate)^(Slot12_Age-D75),(1+Slot12_Rate)^(Slot12_Age-D75)*(1-((1+AS_Wage)/(1+Slot12_Rate))^(Slot12_Age-D75))/(1-(1+AS_Wage)/(1+Slot12_Rate))),1)</f>
        <v>1</v>
      </c>
      <c r="LP75" s="1" t="n">
        <f aca="false">IF(AND(HT75=1,ID75&gt;0,Slot12_IsWG=1,EC75=1),MAX(0,(Slot12_Cost-ED75*(1+Slot12_Rate)^(Slot12_Age-D75))/LO75),0)</f>
        <v>0</v>
      </c>
      <c r="LQ75" s="1" t="n">
        <f aca="false">IF(AND(HT75=1,ID75&gt;0,Slot12_IsWG=1,EC75=1),MIN(ID75,LP75),0)</f>
        <v>0</v>
      </c>
      <c r="LR75" s="1" t="n">
        <f aca="false">ED75+LQ75</f>
        <v>0</v>
      </c>
      <c r="LS75" s="1" t="n">
        <f aca="false">IF(EC75=1,MAX(0,(Slot12_Cost-LR75*(1+Slot12_Rate)^(Slot12_Age-D75))/LO75),0)</f>
        <v>0</v>
      </c>
      <c r="LT75" s="1" t="n">
        <f aca="false">IF(EC75=1,MAX(0,(Slot12_Cost-ED75*(1+Slot12_Rate)^(Slot12_Age-D75))/LO75),0)</f>
        <v>0</v>
      </c>
      <c r="LU75" s="1" t="n">
        <f aca="false">IF(AND(HT75=1,EC75=1),MIN(LN75,LS75),0)</f>
        <v>0</v>
      </c>
      <c r="LV75" s="1" t="n">
        <f aca="false">LN75-LU75</f>
        <v>0</v>
      </c>
      <c r="LW75" s="1" t="n">
        <f aca="false">IF(EM75=1,IF(ABS((1+AS_Wage)/(1+Slot13_Rate)-1)&lt;0.000000000001,(Slot13_Age-D75)*(1+Slot13_Rate)^(Slot13_Age-D75),(1+Slot13_Rate)^(Slot13_Age-D75)*(1-((1+AS_Wage)/(1+Slot13_Rate))^(Slot13_Age-D75))/(1-(1+AS_Wage)/(1+Slot13_Rate))),1)</f>
        <v>1</v>
      </c>
      <c r="LX75" s="1" t="n">
        <f aca="false">IF(AND(HT75=1,ID75&gt;0,Slot13_IsWG=1,EM75=1),MAX(0,(Slot13_Cost-EN75*(1+Slot13_Rate)^(Slot13_Age-D75))/LW75),0)</f>
        <v>0</v>
      </c>
      <c r="LY75" s="1" t="n">
        <f aca="false">IF(AND(HT75=1,ID75&gt;0,Slot13_IsWG=1,EM75=1),MIN(ID75,LX75),0)</f>
        <v>0</v>
      </c>
      <c r="LZ75" s="1" t="n">
        <f aca="false">EN75+LY75</f>
        <v>0</v>
      </c>
      <c r="MA75" s="1" t="n">
        <f aca="false">IF(EM75=1,MAX(0,(Slot13_Cost-LZ75*(1+Slot13_Rate)^(Slot13_Age-D75))/LW75),0)</f>
        <v>0</v>
      </c>
      <c r="MB75" s="1" t="n">
        <f aca="false">IF(EM75=1,MAX(0,(Slot13_Cost-EN75*(1+Slot13_Rate)^(Slot13_Age-D75))/LW75),0)</f>
        <v>0</v>
      </c>
      <c r="MC75" s="1" t="n">
        <f aca="false">IF(AND(HT75=1,EM75=1),MIN(LV75,MA75),0)</f>
        <v>0</v>
      </c>
      <c r="MD75" s="1" t="n">
        <f aca="false">LV75-MC75</f>
        <v>0</v>
      </c>
      <c r="ME75" s="1" t="n">
        <f aca="false">IF(EW75=1,IF(ABS((1+AS_Wage)/(1+Slot14_Rate)-1)&lt;0.000000000001,(Slot14_Age-D75)*(1+Slot14_Rate)^(Slot14_Age-D75),(1+Slot14_Rate)^(Slot14_Age-D75)*(1-((1+AS_Wage)/(1+Slot14_Rate))^(Slot14_Age-D75))/(1-(1+AS_Wage)/(1+Slot14_Rate))),1)</f>
        <v>1</v>
      </c>
      <c r="MF75" s="1" t="n">
        <f aca="false">IF(AND(HT75=1,ID75&gt;0,Slot14_IsWG=1,EW75=1),MAX(0,(Slot14_Cost-EX75*(1+Slot14_Rate)^(Slot14_Age-D75))/ME75),0)</f>
        <v>0</v>
      </c>
      <c r="MG75" s="1" t="n">
        <f aca="false">IF(AND(HT75=1,ID75&gt;0,Slot14_IsWG=1,EW75=1),MIN(ID75,MF75),0)</f>
        <v>0</v>
      </c>
      <c r="MH75" s="1" t="n">
        <f aca="false">EX75+MG75</f>
        <v>0</v>
      </c>
      <c r="MI75" s="1" t="n">
        <f aca="false">IF(EW75=1,MAX(0,(Slot14_Cost-MH75*(1+Slot14_Rate)^(Slot14_Age-D75))/ME75),0)</f>
        <v>0</v>
      </c>
      <c r="MJ75" s="1" t="n">
        <f aca="false">IF(EW75=1,MAX(0,(Slot14_Cost-EX75*(1+Slot14_Rate)^(Slot14_Age-D75))/ME75),0)</f>
        <v>0</v>
      </c>
      <c r="MK75" s="1" t="n">
        <f aca="false">IF(AND(HT75=1,EW75=1),MIN(MD75,MI75),0)</f>
        <v>0</v>
      </c>
      <c r="ML75" s="1" t="n">
        <f aca="false">MD75-MK75</f>
        <v>0</v>
      </c>
      <c r="MM75" s="1" t="n">
        <f aca="false">IF(FG75=1,IF(ABS((1+AS_Wage)/(1+Slot15_Rate)-1)&lt;0.000000000001,(Slot15_Age-D75)*(1+Slot15_Rate)^(Slot15_Age-D75),(1+Slot15_Rate)^(Slot15_Age-D75)*(1-((1+AS_Wage)/(1+Slot15_Rate))^(Slot15_Age-D75))/(1-(1+AS_Wage)/(1+Slot15_Rate))),1)</f>
        <v>1</v>
      </c>
      <c r="MN75" s="1" t="n">
        <f aca="false">IF(AND(HT75=1,ID75&gt;0,Slot15_IsWG=1,FG75=1),MAX(0,(Slot15_Cost-FH75*(1+Slot15_Rate)^(Slot15_Age-D75))/MM75),0)</f>
        <v>0</v>
      </c>
      <c r="MO75" s="1" t="n">
        <f aca="false">IF(AND(HT75=1,ID75&gt;0,Slot15_IsWG=1,FG75=1),MIN(ID75,MN75),0)</f>
        <v>0</v>
      </c>
      <c r="MP75" s="1" t="n">
        <f aca="false">FH75+MO75</f>
        <v>0</v>
      </c>
      <c r="MQ75" s="1" t="n">
        <f aca="false">IF(FG75=1,MAX(0,(Slot15_Cost-MP75*(1+Slot15_Rate)^(Slot15_Age-D75))/MM75),0)</f>
        <v>0</v>
      </c>
      <c r="MR75" s="1" t="n">
        <f aca="false">IF(FG75=1,MAX(0,(Slot15_Cost-FH75*(1+Slot15_Rate)^(Slot15_Age-D75))/MM75),0)</f>
        <v>0</v>
      </c>
      <c r="MS75" s="1" t="n">
        <f aca="false">IF(AND(HT75=1,FG75=1),MIN(ML75,MQ75),0)</f>
        <v>0</v>
      </c>
      <c r="MT75" s="1" t="n">
        <f aca="false">ML75-MS75</f>
        <v>0</v>
      </c>
      <c r="MU75" s="1" t="n">
        <f aca="false">IF(FQ75=1,IF(ABS((1+AS_Wage)/(1+Slot16_Rate)-1)&lt;0.000000000001,(Slot16_Age-D75)*(1+Slot16_Rate)^(Slot16_Age-D75),(1+Slot16_Rate)^(Slot16_Age-D75)*(1-((1+AS_Wage)/(1+Slot16_Rate))^(Slot16_Age-D75))/(1-(1+AS_Wage)/(1+Slot16_Rate))),1)</f>
        <v>1</v>
      </c>
      <c r="MV75" s="1" t="n">
        <f aca="false">IF(AND(HT75=1,ID75&gt;0,Slot16_IsWG=1,FQ75=1),MAX(0,(Slot16_Cost-FR75*(1+Slot16_Rate)^(Slot16_Age-D75))/MU75),0)</f>
        <v>0</v>
      </c>
      <c r="MW75" s="1" t="n">
        <f aca="false">IF(AND(HT75=1,ID75&gt;0,Slot16_IsWG=1,FQ75=1),MIN(ID75,MV75),0)</f>
        <v>0</v>
      </c>
      <c r="MX75" s="1" t="n">
        <f aca="false">FR75+MW75</f>
        <v>0</v>
      </c>
      <c r="MY75" s="1" t="n">
        <f aca="false">IF(FQ75=1,MAX(0,(Slot16_Cost-MX75*(1+Slot16_Rate)^(Slot16_Age-D75))/MU75),0)</f>
        <v>0</v>
      </c>
      <c r="MZ75" s="1" t="n">
        <f aca="false">IF(FQ75=1,MAX(0,(Slot16_Cost-FR75*(1+Slot16_Rate)^(Slot16_Age-D75))/MU75),0)</f>
        <v>0</v>
      </c>
      <c r="NA75" s="1" t="n">
        <f aca="false">IF(AND(HT75=1,FQ75=1),MIN(MT75,MY75),0)</f>
        <v>0</v>
      </c>
      <c r="NB75" s="1" t="n">
        <f aca="false">MT75-NA75</f>
        <v>0</v>
      </c>
      <c r="NC75" s="1" t="n">
        <f aca="false">IF(GA75=1,IF(ABS((1+AS_Wage)/(1+Slot17_Rate)-1)&lt;0.000000000001,(Slot17_Age-D75)*(1+Slot17_Rate)^(Slot17_Age-D75),(1+Slot17_Rate)^(Slot17_Age-D75)*(1-((1+AS_Wage)/(1+Slot17_Rate))^(Slot17_Age-D75))/(1-(1+AS_Wage)/(1+Slot17_Rate))),1)</f>
        <v>1</v>
      </c>
      <c r="ND75" s="1" t="n">
        <f aca="false">IF(AND(HT75=1,ID75&gt;0,Slot17_IsWG=1,GA75=1),MAX(0,(Slot17_Cost-GB75*(1+Slot17_Rate)^(Slot17_Age-D75))/NC75),0)</f>
        <v>0</v>
      </c>
      <c r="NE75" s="1" t="n">
        <f aca="false">IF(AND(HT75=1,ID75&gt;0,Slot17_IsWG=1,GA75=1),MIN(ID75,ND75),0)</f>
        <v>0</v>
      </c>
      <c r="NF75" s="1" t="n">
        <f aca="false">GB75+NE75</f>
        <v>0</v>
      </c>
      <c r="NG75" s="1" t="n">
        <f aca="false">IF(GA75=1,MAX(0,(Slot17_Cost-NF75*(1+Slot17_Rate)^(Slot17_Age-D75))/NC75),0)</f>
        <v>0</v>
      </c>
      <c r="NH75" s="1" t="n">
        <f aca="false">IF(GA75=1,MAX(0,(Slot17_Cost-GB75*(1+Slot17_Rate)^(Slot17_Age-D75))/NC75),0)</f>
        <v>0</v>
      </c>
      <c r="NI75" s="1" t="n">
        <f aca="false">IF(AND(HT75=1,GA75=1),MIN(NB75,NG75),0)</f>
        <v>0</v>
      </c>
      <c r="NJ75" s="1" t="n">
        <f aca="false">NB75-NI75</f>
        <v>0</v>
      </c>
      <c r="NK75" s="1" t="n">
        <f aca="false">IF(GK75=1,IF(ABS((1+AS_Wage)/(1+Slot18_Rate)-1)&lt;0.000000000001,(Slot18_Age-D75)*(1+Slot18_Rate)^(Slot18_Age-D75),(1+Slot18_Rate)^(Slot18_Age-D75)*(1-((1+AS_Wage)/(1+Slot18_Rate))^(Slot18_Age-D75))/(1-(1+AS_Wage)/(1+Slot18_Rate))),1)</f>
        <v>1</v>
      </c>
      <c r="NL75" s="1" t="n">
        <f aca="false">IF(AND(HT75=1,ID75&gt;0,Slot18_IsWG=1,GK75=1),MAX(0,(Slot18_Cost-GL75*(1+Slot18_Rate)^(Slot18_Age-D75))/NK75),0)</f>
        <v>0</v>
      </c>
      <c r="NM75" s="1" t="n">
        <f aca="false">IF(AND(HT75=1,ID75&gt;0,Slot18_IsWG=1,GK75=1),MIN(ID75,NL75),0)</f>
        <v>0</v>
      </c>
      <c r="NN75" s="1" t="n">
        <f aca="false">GL75+NM75</f>
        <v>0</v>
      </c>
      <c r="NO75" s="1" t="n">
        <f aca="false">IF(GK75=1,MAX(0,(Slot18_Cost-NN75*(1+Slot18_Rate)^(Slot18_Age-D75))/NK75),0)</f>
        <v>0</v>
      </c>
      <c r="NP75" s="1" t="n">
        <f aca="false">IF(GK75=1,MAX(0,(Slot18_Cost-GL75*(1+Slot18_Rate)^(Slot18_Age-D75))/NK75),0)</f>
        <v>0</v>
      </c>
      <c r="NQ75" s="1" t="n">
        <f aca="false">IF(AND(HT75=1,GK75=1),MIN(NJ75,NO75),0)</f>
        <v>0</v>
      </c>
      <c r="NR75" s="1" t="n">
        <f aca="false">NJ75-NQ75</f>
        <v>0</v>
      </c>
      <c r="NS75" s="1" t="n">
        <f aca="false">IF(GU75=1,IF(ABS((1+AS_Wage)/(1+Slot19_Rate)-1)&lt;0.000000000001,(Slot19_Age-D75)*(1+Slot19_Rate)^(Slot19_Age-D75),(1+Slot19_Rate)^(Slot19_Age-D75)*(1-((1+AS_Wage)/(1+Slot19_Rate))^(Slot19_Age-D75))/(1-(1+AS_Wage)/(1+Slot19_Rate))),1)</f>
        <v>1</v>
      </c>
      <c r="NT75" s="1" t="n">
        <f aca="false">IF(AND(HT75=1,ID75&gt;0,Slot19_IsWG=1,GU75=1),MAX(0,(Slot19_Cost-GV75*(1+Slot19_Rate)^(Slot19_Age-D75))/NS75),0)</f>
        <v>0</v>
      </c>
      <c r="NU75" s="1" t="n">
        <f aca="false">IF(AND(HT75=1,ID75&gt;0,Slot19_IsWG=1,GU75=1),MIN(ID75,NT75),0)</f>
        <v>0</v>
      </c>
      <c r="NV75" s="1" t="n">
        <f aca="false">GV75+NU75</f>
        <v>0</v>
      </c>
      <c r="NW75" s="1" t="n">
        <f aca="false">IF(GU75=1,MAX(0,(Slot19_Cost-NV75*(1+Slot19_Rate)^(Slot19_Age-D75))/NS75),0)</f>
        <v>0</v>
      </c>
      <c r="NX75" s="1" t="n">
        <f aca="false">IF(GU75=1,MAX(0,(Slot19_Cost-GV75*(1+Slot19_Rate)^(Slot19_Age-D75))/NS75),0)</f>
        <v>0</v>
      </c>
      <c r="NY75" s="1" t="n">
        <f aca="false">IF(AND(HT75=1,GU75=1),MIN(NR75,NW75),0)</f>
        <v>0</v>
      </c>
      <c r="NZ75" s="1" t="n">
        <f aca="false">NR75-NY75</f>
        <v>0</v>
      </c>
      <c r="OA75" s="1" t="n">
        <f aca="false">IF(HE75=1,IF(ABS((1+AS_Wage)/(1+Slot20_Rate)-1)&lt;0.000000000001,(Slot20_Age-D75)*(1+Slot20_Rate)^(Slot20_Age-D75),(1+Slot20_Rate)^(Slot20_Age-D75)*(1-((1+AS_Wage)/(1+Slot20_Rate))^(Slot20_Age-D75))/(1-(1+AS_Wage)/(1+Slot20_Rate))),1)</f>
        <v>1</v>
      </c>
      <c r="OB75" s="1" t="n">
        <f aca="false">IF(AND(HT75=1,ID75&gt;0,Slot20_IsWG=1,HE75=1),MAX(0,(Slot20_Cost-HF75*(1+Slot20_Rate)^(Slot20_Age-D75))/OA75),0)</f>
        <v>0</v>
      </c>
      <c r="OC75" s="1" t="n">
        <f aca="false">IF(AND(HT75=1,ID75&gt;0,Slot20_IsWG=1,HE75=1),MIN(ID75,OB75),0)</f>
        <v>0</v>
      </c>
      <c r="OD75" s="1" t="n">
        <f aca="false">HF75+OC75</f>
        <v>0</v>
      </c>
      <c r="OE75" s="1" t="n">
        <f aca="false">IF(HE75=1,MAX(0,(Slot20_Cost-OD75*(1+Slot20_Rate)^(Slot20_Age-D75))/OA75),0)</f>
        <v>0</v>
      </c>
      <c r="OF75" s="1" t="n">
        <f aca="false">IF(HE75=1,MAX(0,(Slot20_Cost-HF75*(1+Slot20_Rate)^(Slot20_Age-D75))/OA75),0)</f>
        <v>0</v>
      </c>
      <c r="OG75" s="1" t="n">
        <f aca="false">IF(AND(HT75=1,HE75=1),MIN(NZ75,OE75),0)</f>
        <v>0</v>
      </c>
      <c r="OH75" s="1" t="n">
        <f aca="false">NZ75-OG75</f>
        <v>0</v>
      </c>
      <c r="OI75" s="1" t="n">
        <f aca="false">ID75-(IG75+IO75+IW75+JE75+JM75+JU75+KC75+KK75+KS75+LA75+LI75+LQ75+LY75+MG75+MO75+MW75+NE75+NM75+NU75+OC75)</f>
        <v>0</v>
      </c>
      <c r="OJ75" s="1" t="n">
        <f aca="false">IF(HT75=1,HR75-IC75-ID75,0)</f>
        <v>46925.7859775833</v>
      </c>
      <c r="OK75" s="1" t="n">
        <f aca="false">IF(HT75=0,-HR75,0)</f>
        <v>0</v>
      </c>
      <c r="OL75" s="1" t="n">
        <f aca="false">MIN(OK75,HJ75)</f>
        <v>0</v>
      </c>
      <c r="OM75" s="1" t="n">
        <f aca="false">OK75-OL75</f>
        <v>0</v>
      </c>
      <c r="ON75" s="1" t="n">
        <f aca="false">MIN(OM75,HK75)</f>
        <v>0</v>
      </c>
      <c r="OO75" s="1" t="n">
        <f aca="false">OM75-ON75</f>
        <v>0</v>
      </c>
      <c r="OP75" s="1" t="n">
        <f aca="false">IF(AND(HT75=0,HE75=1,OO75&gt;0),MIN(OO75,HF75),0)</f>
        <v>0</v>
      </c>
      <c r="OQ75" s="1" t="n">
        <f aca="false">OO75-OP75</f>
        <v>0</v>
      </c>
      <c r="OR75" s="1" t="n">
        <f aca="false">IF(AND(HT75=0,GU75=1,OQ75&gt;0),MIN(OQ75,GV75),0)</f>
        <v>0</v>
      </c>
      <c r="OS75" s="1" t="n">
        <f aca="false">OQ75-OR75</f>
        <v>0</v>
      </c>
      <c r="OT75" s="1" t="n">
        <f aca="false">IF(AND(HT75=0,GK75=1,OS75&gt;0),MIN(OS75,GL75),0)</f>
        <v>0</v>
      </c>
      <c r="OU75" s="1" t="n">
        <f aca="false">OS75-OT75</f>
        <v>0</v>
      </c>
      <c r="OV75" s="1" t="n">
        <f aca="false">IF(AND(HT75=0,GA75=1,OU75&gt;0),MIN(OU75,GB75),0)</f>
        <v>0</v>
      </c>
      <c r="OW75" s="1" t="n">
        <f aca="false">OU75-OV75</f>
        <v>0</v>
      </c>
      <c r="OX75" s="1" t="n">
        <f aca="false">IF(AND(HT75=0,FQ75=1,OW75&gt;0),MIN(OW75,FR75),0)</f>
        <v>0</v>
      </c>
      <c r="OY75" s="1" t="n">
        <f aca="false">OW75-OX75</f>
        <v>0</v>
      </c>
      <c r="OZ75" s="1" t="n">
        <f aca="false">IF(AND(HT75=0,FG75=1,OY75&gt;0),MIN(OY75,FH75),0)</f>
        <v>0</v>
      </c>
      <c r="PA75" s="1" t="n">
        <f aca="false">OY75-OZ75</f>
        <v>0</v>
      </c>
      <c r="PB75" s="1" t="n">
        <f aca="false">IF(AND(HT75=0,EW75=1,PA75&gt;0),MIN(PA75,EX75),0)</f>
        <v>0</v>
      </c>
      <c r="PC75" s="1" t="n">
        <f aca="false">PA75-PB75</f>
        <v>0</v>
      </c>
      <c r="PD75" s="1" t="n">
        <f aca="false">IF(AND(HT75=0,EM75=1,PC75&gt;0),MIN(PC75,EN75),0)</f>
        <v>0</v>
      </c>
      <c r="PE75" s="1" t="n">
        <f aca="false">PC75-PD75</f>
        <v>0</v>
      </c>
      <c r="PF75" s="1" t="n">
        <f aca="false">IF(AND(HT75=0,EC75=1,PE75&gt;0),MIN(PE75,ED75),0)</f>
        <v>0</v>
      </c>
      <c r="PG75" s="1" t="n">
        <f aca="false">PE75-PF75</f>
        <v>0</v>
      </c>
      <c r="PH75" s="1" t="n">
        <f aca="false">IF(AND(HT75=0,DS75=1,PG75&gt;0),MIN(PG75,DT75),0)</f>
        <v>0</v>
      </c>
      <c r="PI75" s="1" t="n">
        <f aca="false">PG75-PH75</f>
        <v>0</v>
      </c>
      <c r="PJ75" s="1" t="n">
        <f aca="false">IF(AND(HT75=0,DI75=1,PI75&gt;0),MIN(PI75,DJ75),0)</f>
        <v>0</v>
      </c>
      <c r="PK75" s="1" t="n">
        <f aca="false">PI75-PJ75</f>
        <v>0</v>
      </c>
      <c r="PL75" s="1" t="n">
        <f aca="false">IF(AND(HT75=0,CY75=1,PK75&gt;0),MIN(PK75,CZ75),0)</f>
        <v>0</v>
      </c>
      <c r="PM75" s="1" t="n">
        <f aca="false">PK75-PL75</f>
        <v>0</v>
      </c>
      <c r="PN75" s="1" t="n">
        <f aca="false">IF(AND(HT75=0,CO75=1,PM75&gt;0),MIN(PM75,CP75),0)</f>
        <v>0</v>
      </c>
      <c r="PO75" s="1" t="n">
        <f aca="false">PM75-PN75</f>
        <v>0</v>
      </c>
      <c r="PP75" s="1" t="n">
        <f aca="false">IF(AND(HT75=0,CE75=1,PO75&gt;0),MIN(PO75,CF75),0)</f>
        <v>0</v>
      </c>
      <c r="PQ75" s="1" t="n">
        <f aca="false">PO75-PP75</f>
        <v>0</v>
      </c>
      <c r="PR75" s="1" t="n">
        <f aca="false">IF(AND(HT75=0,BU75=1,PQ75&gt;0),MIN(PQ75,BV75),0)</f>
        <v>0</v>
      </c>
      <c r="PS75" s="1" t="n">
        <f aca="false">PQ75-PR75</f>
        <v>0</v>
      </c>
      <c r="PT75" s="1" t="n">
        <f aca="false">IF(AND(HT75=0,BK75=1,PS75&gt;0),MIN(PS75,BL75),0)</f>
        <v>0</v>
      </c>
      <c r="PU75" s="1" t="n">
        <f aca="false">PS75-PT75</f>
        <v>0</v>
      </c>
      <c r="PV75" s="1" t="n">
        <f aca="false">IF(AND(HT75=0,BA75=1,PU75&gt;0),MIN(PU75,BB75),0)</f>
        <v>0</v>
      </c>
      <c r="PW75" s="1" t="n">
        <f aca="false">PU75-PV75</f>
        <v>0</v>
      </c>
      <c r="PX75" s="1" t="n">
        <f aca="false">IF(AND(HT75=0,AQ75=1,PW75&gt;0),MIN(PW75,AR75),0)</f>
        <v>0</v>
      </c>
      <c r="PY75" s="1" t="n">
        <f aca="false">PW75-PX75</f>
        <v>0</v>
      </c>
      <c r="PZ75" s="1" t="n">
        <f aca="false">IF(AND(HT75=0,AG75=1,PY75&gt;0),MIN(PY75,AH75),0)</f>
        <v>0</v>
      </c>
      <c r="QA75" s="1" t="n">
        <f aca="false">PY75-PZ75</f>
        <v>0</v>
      </c>
      <c r="QB75" s="1" t="n">
        <f aca="false">IF(AND(HT75=0,V75=1,QA75&gt;0),MIN(QA75,W75),0)</f>
        <v>0</v>
      </c>
      <c r="QC75" s="1" t="n">
        <f aca="false">QA75-QB75</f>
        <v>0</v>
      </c>
      <c r="QD75" s="1" t="n">
        <f aca="false">IF(HT75=0,QC75,0)</f>
        <v>0</v>
      </c>
      <c r="QE75" s="1" t="n">
        <f aca="false">OL75+ON75+QB75+PZ75+PX75+PV75+PT75+PR75+PP75+PN75+PL75+PJ75+PH75+PF75+PD75+PB75+OZ75+OX75+OV75+OT75+OR75+OP75</f>
        <v>0</v>
      </c>
      <c r="QF75" s="1" t="n">
        <f aca="false">IF(HT75=1,HJ75+OI75+OH75+IF(F75=1,0,OJ75),HJ75-OL75)</f>
        <v>93685.9515340692</v>
      </c>
      <c r="QG75" s="1" t="n">
        <f aca="false">HK75-ON75</f>
        <v>0</v>
      </c>
      <c r="QH75" s="1" t="n">
        <f aca="false">IF(HT75=1,IF(F75=1,IC75+ID75,HR75),0)</f>
        <v>46925.7859775833</v>
      </c>
      <c r="QI75" s="1" t="n">
        <f aca="false">IF(HT75=1,IF(F75=1,HR75-IC75-ID75,0),0)</f>
        <v>0</v>
      </c>
      <c r="QJ75" s="1" t="n">
        <f aca="false">QF75*(1+GR)</f>
        <v>95222.4011392279</v>
      </c>
      <c r="QK75" s="1" t="n">
        <f aca="false">QG75*(1+AS_Cash)</f>
        <v>0</v>
      </c>
      <c r="QL75" s="1" t="n">
        <f aca="false">IF(V75=1,IF(HT75=1,IH75+IK75,W75-QB75)*(1+Slot1_Rate),0)</f>
        <v>0</v>
      </c>
      <c r="QM75" s="1" t="n">
        <f aca="false">IF(AND(HT75=1,V75=1),(IG75+IK75)/E75,0)</f>
        <v>0</v>
      </c>
      <c r="QN75" s="1" t="n">
        <f aca="false">IF(B75=0,IG75+IK75,0)</f>
        <v>0</v>
      </c>
      <c r="QO75" s="1" t="n">
        <f aca="false">IF(B75=0,IF(HT75=1,II75,IJ75),0)</f>
        <v>0</v>
      </c>
      <c r="QP75" s="1" t="n">
        <f aca="false">IF(AG75=1,IF(HT75=1,IP75+IS75,AH75-PZ75)*(1+Slot2_Rate),0)</f>
        <v>0</v>
      </c>
      <c r="QQ75" s="1" t="n">
        <f aca="false">IF(AND(HT75=1,AG75=1),(IO75+IS75)/E75,0)</f>
        <v>0</v>
      </c>
      <c r="QR75" s="1" t="n">
        <f aca="false">IF(B75=0,IO75+IS75,0)</f>
        <v>0</v>
      </c>
      <c r="QS75" s="1" t="n">
        <f aca="false">IF(B75=0,IF(HT75=1,IQ75,IR75),0)</f>
        <v>0</v>
      </c>
      <c r="QT75" s="1" t="n">
        <f aca="false">IF(AQ75=1,IF(HT75=1,IX75+JA75,AR75-PX75)*(1+Slot3_Rate),0)</f>
        <v>0</v>
      </c>
      <c r="QU75" s="1" t="n">
        <f aca="false">IF(AND(HT75=1,AQ75=1),(IW75+JA75)/E75,0)</f>
        <v>0</v>
      </c>
      <c r="QV75" s="1" t="n">
        <f aca="false">IF(B75=0,IW75+JA75,0)</f>
        <v>0</v>
      </c>
      <c r="QW75" s="1" t="n">
        <f aca="false">IF(B75=0,IF(HT75=1,IY75,IZ75),0)</f>
        <v>0</v>
      </c>
      <c r="QX75" s="1" t="n">
        <f aca="false">IF(BA75=1,IF(HT75=1,JF75+JI75,BB75-PV75)*(1+Slot4_Rate),0)</f>
        <v>0</v>
      </c>
      <c r="QY75" s="1" t="n">
        <f aca="false">IF(AND(HT75=1,BA75=1),(JE75+JI75)/E75,0)</f>
        <v>0</v>
      </c>
      <c r="QZ75" s="1" t="n">
        <f aca="false">IF(B75=0,JE75+JI75,0)</f>
        <v>0</v>
      </c>
      <c r="RA75" s="1" t="n">
        <f aca="false">IF(B75=0,IF(HT75=1,JG75,JH75),0)</f>
        <v>0</v>
      </c>
      <c r="RB75" s="1" t="n">
        <f aca="false">IF(BK75=1,IF(HT75=1,JN75+JQ75,BL75-PT75)*(1+Slot5_Rate),0)</f>
        <v>0</v>
      </c>
      <c r="RC75" s="1" t="n">
        <f aca="false">IF(AND(HT75=1,BK75=1),(JM75+JQ75)/E75,0)</f>
        <v>0</v>
      </c>
      <c r="RD75" s="1" t="n">
        <f aca="false">IF(B75=0,JM75+JQ75,0)</f>
        <v>0</v>
      </c>
      <c r="RE75" s="1" t="n">
        <f aca="false">IF(B75=0,IF(HT75=1,JO75,JP75),0)</f>
        <v>0</v>
      </c>
      <c r="RF75" s="1" t="n">
        <f aca="false">IF(BU75=1,IF(HT75=1,JV75+JY75,BV75-PR75)*(1+Slot6_Rate),0)</f>
        <v>0</v>
      </c>
      <c r="RG75" s="1" t="n">
        <f aca="false">IF(AND(HT75=1,BU75=1),(JU75+JY75)/E75,0)</f>
        <v>0</v>
      </c>
      <c r="RH75" s="1" t="n">
        <f aca="false">IF(B75=0,JU75+JY75,0)</f>
        <v>0</v>
      </c>
      <c r="RI75" s="1" t="n">
        <f aca="false">IF(B75=0,IF(HT75=1,JW75,JX75),0)</f>
        <v>0</v>
      </c>
      <c r="RJ75" s="1" t="n">
        <f aca="false">IF(CE75=1,IF(HT75=1,KD75+KG75,CF75-PP75)*(1+Slot7_Rate),0)</f>
        <v>0</v>
      </c>
      <c r="RK75" s="1" t="n">
        <f aca="false">IF(AND(HT75=1,CE75=1),(KC75+KG75)/E75,0)</f>
        <v>0</v>
      </c>
      <c r="RL75" s="1" t="n">
        <f aca="false">IF(B75=0,KC75+KG75,0)</f>
        <v>0</v>
      </c>
      <c r="RM75" s="1" t="n">
        <f aca="false">IF(B75=0,IF(HT75=1,KE75,KF75),0)</f>
        <v>0</v>
      </c>
      <c r="RN75" s="1" t="n">
        <f aca="false">IF(CO75=1,IF(HT75=1,KL75+KO75,CP75-PN75)*(1+Slot8_Rate),0)</f>
        <v>0</v>
      </c>
      <c r="RO75" s="1" t="n">
        <f aca="false">IF(AND(HT75=1,CO75=1),(KK75+KO75)/E75,0)</f>
        <v>0</v>
      </c>
      <c r="RP75" s="1" t="n">
        <f aca="false">IF(B75=0,KK75+KO75,0)</f>
        <v>0</v>
      </c>
      <c r="RQ75" s="1" t="n">
        <f aca="false">IF(B75=0,IF(HT75=1,KM75,KN75),0)</f>
        <v>0</v>
      </c>
      <c r="RR75" s="1" t="n">
        <f aca="false">IF(CY75=1,IF(HT75=1,KT75+KW75,CZ75-PL75)*(1+Slot9_Rate),0)</f>
        <v>0</v>
      </c>
      <c r="RS75" s="1" t="n">
        <f aca="false">IF(AND(HT75=1,CY75=1),(KS75+KW75)/E75,0)</f>
        <v>0</v>
      </c>
      <c r="RT75" s="1" t="n">
        <f aca="false">IF(B75=0,KS75+KW75,0)</f>
        <v>0</v>
      </c>
      <c r="RU75" s="1" t="n">
        <f aca="false">IF(B75=0,IF(HT75=1,KU75,KV75),0)</f>
        <v>0</v>
      </c>
      <c r="RV75" s="1" t="n">
        <f aca="false">IF(DI75=1,IF(HT75=1,LB75+LE75,DJ75-PJ75)*(1+Slot10_Rate),0)</f>
        <v>0</v>
      </c>
      <c r="RW75" s="1" t="n">
        <f aca="false">IF(AND(HT75=1,DI75=1),(LA75+LE75)/E75,0)</f>
        <v>0</v>
      </c>
      <c r="RX75" s="1" t="n">
        <f aca="false">IF(B75=0,LA75+LE75,0)</f>
        <v>0</v>
      </c>
      <c r="RY75" s="1" t="n">
        <f aca="false">IF(B75=0,IF(HT75=1,LC75,LD75),0)</f>
        <v>0</v>
      </c>
      <c r="RZ75" s="1" t="n">
        <f aca="false">IF(DS75=1,IF(HT75=1,LJ75+LM75,DT75-PH75)*(1+Slot11_Rate),0)</f>
        <v>0</v>
      </c>
      <c r="SA75" s="1" t="n">
        <f aca="false">IF(AND(HT75=1,DS75=1),(LI75+LM75)/E75,0)</f>
        <v>0</v>
      </c>
      <c r="SB75" s="1" t="n">
        <f aca="false">IF(B75=0,LI75+LM75,0)</f>
        <v>0</v>
      </c>
      <c r="SC75" s="1" t="n">
        <f aca="false">IF(B75=0,IF(HT75=1,LK75,LL75),0)</f>
        <v>0</v>
      </c>
      <c r="SD75" s="1" t="n">
        <f aca="false">IF(EC75=1,IF(HT75=1,LR75+LU75,ED75-PF75)*(1+Slot12_Rate),0)</f>
        <v>0</v>
      </c>
      <c r="SE75" s="1" t="n">
        <f aca="false">IF(AND(HT75=1,EC75=1),(LQ75+LU75)/E75,0)</f>
        <v>0</v>
      </c>
      <c r="SF75" s="1" t="n">
        <f aca="false">IF(B75=0,LQ75+LU75,0)</f>
        <v>0</v>
      </c>
      <c r="SG75" s="1" t="n">
        <f aca="false">IF(B75=0,IF(HT75=1,LS75,LT75),0)</f>
        <v>0</v>
      </c>
      <c r="SH75" s="1" t="n">
        <f aca="false">IF(EM75=1,IF(HT75=1,LZ75+MC75,EN75-PD75)*(1+Slot13_Rate),0)</f>
        <v>0</v>
      </c>
      <c r="SI75" s="1" t="n">
        <f aca="false">IF(AND(HT75=1,EM75=1),(LY75+MC75)/E75,0)</f>
        <v>0</v>
      </c>
      <c r="SJ75" s="1" t="n">
        <f aca="false">IF(B75=0,LY75+MC75,0)</f>
        <v>0</v>
      </c>
      <c r="SK75" s="1" t="n">
        <f aca="false">IF(B75=0,IF(HT75=1,MA75,MB75),0)</f>
        <v>0</v>
      </c>
      <c r="SL75" s="1" t="n">
        <f aca="false">IF(EW75=1,IF(HT75=1,MH75+MK75,EX75-PB75)*(1+Slot14_Rate),0)</f>
        <v>0</v>
      </c>
      <c r="SM75" s="1" t="n">
        <f aca="false">IF(AND(HT75=1,EW75=1),(MG75+MK75)/E75,0)</f>
        <v>0</v>
      </c>
      <c r="SN75" s="1" t="n">
        <f aca="false">IF(B75=0,MG75+MK75,0)</f>
        <v>0</v>
      </c>
      <c r="SO75" s="1" t="n">
        <f aca="false">IF(B75=0,IF(HT75=1,MI75,MJ75),0)</f>
        <v>0</v>
      </c>
      <c r="SP75" s="1" t="n">
        <f aca="false">IF(FG75=1,IF(HT75=1,MP75+MS75,FH75-OZ75)*(1+Slot15_Rate),0)</f>
        <v>0</v>
      </c>
      <c r="SQ75" s="1" t="n">
        <f aca="false">IF(AND(HT75=1,FG75=1),(MO75+MS75)/E75,0)</f>
        <v>0</v>
      </c>
      <c r="SR75" s="1" t="n">
        <f aca="false">IF(B75=0,MO75+MS75,0)</f>
        <v>0</v>
      </c>
      <c r="SS75" s="1" t="n">
        <f aca="false">IF(B75=0,IF(HT75=1,MQ75,MR75),0)</f>
        <v>0</v>
      </c>
      <c r="ST75" s="1" t="n">
        <f aca="false">IF(FQ75=1,IF(HT75=1,MX75+NA75,FR75-OX75)*(1+Slot16_Rate),0)</f>
        <v>0</v>
      </c>
      <c r="SU75" s="1" t="n">
        <f aca="false">IF(AND(HT75=1,FQ75=1),(MW75+NA75)/E75,0)</f>
        <v>0</v>
      </c>
      <c r="SV75" s="1" t="n">
        <f aca="false">IF(B75=0,MW75+NA75,0)</f>
        <v>0</v>
      </c>
      <c r="SW75" s="1" t="n">
        <f aca="false">IF(B75=0,IF(HT75=1,MY75,MZ75),0)</f>
        <v>0</v>
      </c>
      <c r="SX75" s="1" t="n">
        <f aca="false">IF(GA75=1,IF(HT75=1,NF75+NI75,GB75-OV75)*(1+Slot17_Rate),0)</f>
        <v>0</v>
      </c>
      <c r="SY75" s="1" t="n">
        <f aca="false">IF(AND(HT75=1,GA75=1),(NE75+NI75)/E75,0)</f>
        <v>0</v>
      </c>
      <c r="SZ75" s="1" t="n">
        <f aca="false">IF(B75=0,NE75+NI75,0)</f>
        <v>0</v>
      </c>
      <c r="TA75" s="1" t="n">
        <f aca="false">IF(B75=0,IF(HT75=1,NG75,NH75),0)</f>
        <v>0</v>
      </c>
      <c r="TB75" s="1" t="n">
        <f aca="false">IF(GK75=1,IF(HT75=1,NN75+NQ75,GL75-OT75)*(1+Slot18_Rate),0)</f>
        <v>0</v>
      </c>
      <c r="TC75" s="1" t="n">
        <f aca="false">IF(AND(HT75=1,GK75=1),(NM75+NQ75)/E75,0)</f>
        <v>0</v>
      </c>
      <c r="TD75" s="1" t="n">
        <f aca="false">IF(B75=0,NM75+NQ75,0)</f>
        <v>0</v>
      </c>
      <c r="TE75" s="1" t="n">
        <f aca="false">IF(B75=0,IF(HT75=1,NO75,NP75),0)</f>
        <v>0</v>
      </c>
      <c r="TF75" s="1" t="n">
        <f aca="false">IF(GU75=1,IF(HT75=1,NV75+NY75,GV75-OR75)*(1+Slot19_Rate),0)</f>
        <v>0</v>
      </c>
      <c r="TG75" s="1" t="n">
        <f aca="false">IF(AND(HT75=1,GU75=1),(NU75+NY75)/E75,0)</f>
        <v>0</v>
      </c>
      <c r="TH75" s="1" t="n">
        <f aca="false">IF(B75=0,NU75+NY75,0)</f>
        <v>0</v>
      </c>
      <c r="TI75" s="1" t="n">
        <f aca="false">IF(B75=0,IF(HT75=1,NW75,NX75),0)</f>
        <v>0</v>
      </c>
      <c r="TJ75" s="1" t="n">
        <f aca="false">IF(HE75=1,IF(HT75=1,OD75+OG75,HF75-OP75)*(1+Slot20_Rate),0)</f>
        <v>0</v>
      </c>
      <c r="TK75" s="1" t="n">
        <f aca="false">IF(AND(HT75=1,HE75=1),(OC75+OG75)/E75,0)</f>
        <v>0</v>
      </c>
      <c r="TL75" s="1" t="n">
        <f aca="false">IF(B75=0,OC75+OG75,0)</f>
        <v>0</v>
      </c>
      <c r="TM75" s="1" t="n">
        <f aca="false">IF(B75=0,IF(HT75=1,OE75,OF75),0)</f>
        <v>0</v>
      </c>
      <c r="TN75" s="1" t="n">
        <f aca="false">QJ75+QK75+QL75+QP75+QT75+QX75+RB75+RF75+RJ75+RN75+RR75+RV75+RZ75+SD75+SH75+SL75+SP75+ST75+SX75+TB75+TF75+TJ75</f>
        <v>95222.4011392279</v>
      </c>
      <c r="TO75" s="1" t="n">
        <f aca="false">QD75+HO75</f>
        <v>0</v>
      </c>
      <c r="TP75" s="1" t="n">
        <f aca="false">H75+R75</f>
        <v>0</v>
      </c>
      <c r="TQ75" s="1" t="n">
        <f aca="false">1-F75</f>
        <v>1</v>
      </c>
      <c r="TR75" s="1" t="n">
        <f aca="false">IF(AND(RG_Exists=1,F75=0,C75=1),H75,0)</f>
        <v>0</v>
      </c>
      <c r="TS75" s="1" t="n">
        <f aca="false">IF(AND(RG_Exists=1,F75=0,C75=1),H75-MIN(QD75,H75),0)</f>
        <v>0</v>
      </c>
      <c r="TT75" s="1" t="n">
        <f aca="false">'Plan pay &amp; tax'!AD301</f>
        <v>0</v>
      </c>
      <c r="TU75" s="1" t="n">
        <f aca="false">IF(AND(C75=1,QD75&gt;MAX(PR_Short1,TP75*PR_Short2)),1,0)</f>
        <v>0</v>
      </c>
      <c r="TV75" s="1" t="n">
        <f aca="false">MIN(G75,H75+R75)</f>
        <v>0</v>
      </c>
      <c r="TW75" s="1" t="n">
        <f aca="false">QE75+MAX(0,HP75-HO75)</f>
        <v>0</v>
      </c>
      <c r="TX75" s="1" t="n">
        <f aca="false">QD75+HO75</f>
        <v>0</v>
      </c>
      <c r="TY75" s="1" t="n">
        <f aca="false">IF(AND(C75=1,TX75&gt;PR_MinShort),1,0)</f>
        <v>0</v>
      </c>
      <c r="TZ75" s="1" t="n">
        <f aca="false">IF(AND(C75=1,TY75=0,TW75&gt;PR_MinShort),1,0)</f>
        <v>0</v>
      </c>
      <c r="UA75" s="1" t="n">
        <f aca="false">IF(AND(C75=1,QD75&gt;PR_MinShort),1,0)</f>
        <v>0</v>
      </c>
      <c r="UB75" s="1" t="n">
        <f aca="false">IF(AND(C75=1,QE75&gt;1,UI75=0),1,0)</f>
        <v>0</v>
      </c>
      <c r="UC75" s="1" t="str">
        <f aca="false">IF(C75=0,"",IF(UI75=1,"Gap to plan for: short "&amp;"€"&amp;TEXT(ROUND(TO75,0),"#,##0"),IF(QE75&gt;1,"Using savings","Comfortable")))</f>
        <v>Comfortable</v>
      </c>
      <c r="UD75" s="1" t="n">
        <f aca="false">IF(AND(INT(D75/10)*10=90,B75&gt;0),80,INT(D75/10)*10)</f>
        <v>60</v>
      </c>
      <c r="UE75" s="1" t="n">
        <f aca="false">IF(B75=0,1,IF(UD75&lt;&gt;UD74,UE74+1,UE74))</f>
        <v>7</v>
      </c>
      <c r="UF75" s="1" t="n">
        <f aca="false">IF(AND(C75=1,F75=1,QD75&gt;MAX(PR_Short1,TP75*PR_Short2)),1,0)</f>
        <v>0</v>
      </c>
      <c r="UG75" s="1" t="n">
        <f aca="false">TQ75*TU75</f>
        <v>0</v>
      </c>
      <c r="UH75" s="1" t="n">
        <f aca="false">IF(AND(U75=1,Slot1_PctLow=1),1,0)+IF(AND(AF75=1,Slot2_PctLow=1),1,0)+IF(AND(AP75=1,Slot3_PctLow=1),1,0)+IF(AND(AZ75=1,Slot4_PctLow=1),1,0)+IF(AND(BJ75=1,Slot5_PctLow=1),1,0)+IF(AND(BT75=1,Slot6_PctLow=1),1,0)+IF(AND(CD75=1,Slot7_PctLow=1),1,0)+IF(AND(CN75=1,Slot8_PctLow=1),1,0)+IF(AND(CX75=1,Slot9_PctLow=1),1,0)+IF(AND(DH75=1,Slot10_PctLow=1),1,0)+IF(AND(DR75=1,Slot11_PctLow=1),1,0)+IF(AND(EB75=1,Slot12_PctLow=1),1,0)+IF(AND(EL75=1,Slot13_PctLow=1),1,0)+IF(AND(EV75=1,Slot14_PctLow=1),1,0)+IF(AND(FF75=1,Slot15_PctLow=1),1,0)+IF(AND(FP75=1,Slot16_PctLow=1),1,0)+IF(AND(FZ75=1,Slot17_PctLow=1),1,0)+IF(AND(GJ75=1,Slot18_PctLow=1),1,0)+IF(AND(GT75=1,Slot19_PctLow=1),1,0)+IF(AND(HD75=1,Slot20_PctLow=1),1,0)</f>
        <v>0</v>
      </c>
      <c r="UI75" s="1" t="n">
        <f aca="false">IF(C75=1,IF(OR(TU75=1,UH75&gt;0),1,0),0)</f>
        <v>0</v>
      </c>
    </row>
    <row r="76" customFormat="false" ht="15" hidden="false" customHeight="true" outlineLevel="0" collapsed="false">
      <c r="B76" s="1" t="n">
        <v>68</v>
      </c>
      <c r="C76" s="1" t="n">
        <f aca="false">IF(B76&lt;=F_N,1,0)</f>
        <v>1</v>
      </c>
      <c r="D76" s="1" t="n">
        <f aca="false">'Plan pay &amp; tax'!C302</f>
        <v>68</v>
      </c>
      <c r="E76" s="111" t="n">
        <f aca="false">'Plan pay &amp; tax'!E302</f>
        <v>3.8442505025456</v>
      </c>
      <c r="F76" s="1" t="n">
        <f aca="false">'Plan pay &amp; tax'!G302</f>
        <v>0</v>
      </c>
      <c r="G76" s="1" t="n">
        <f aca="false">'Plan pay &amp; tax'!BT302-'Plan pay &amp; tax'!BS302-'Plan pay &amp; tax'!R302</f>
        <v>47864.3016971349</v>
      </c>
      <c r="H76" s="1" t="n">
        <f aca="false">IF(F76=1,F_CostsM*12,IF(RG_Exists=1,RG_Amount,F_CostsM*12*AS_RetireSpend))*E76+F_OneOffY*E76</f>
        <v>0</v>
      </c>
      <c r="I76" s="1" t="n">
        <f aca="false">HQ75</f>
        <v>0</v>
      </c>
      <c r="J76" s="1" t="n">
        <f aca="false">IF(I76&gt;1,'Plan debt months'!AC76,0)</f>
        <v>0</v>
      </c>
      <c r="K76" s="1" t="n">
        <f aca="false">IF(I76&gt;1,'Plan debt months'!AB76,I76)</f>
        <v>0</v>
      </c>
      <c r="L76" s="1" t="n">
        <f aca="false">N75</f>
        <v>0</v>
      </c>
      <c r="M76" s="1" t="n">
        <f aca="false">IF(L76&gt;1,'Plan debt months'!BD76,0)</f>
        <v>0</v>
      </c>
      <c r="N76" s="1" t="n">
        <f aca="false">IF(L76&gt;1,'Plan debt months'!BC76,L76)</f>
        <v>0</v>
      </c>
      <c r="O76" s="1" t="n">
        <f aca="false">Q75</f>
        <v>0</v>
      </c>
      <c r="P76" s="1" t="n">
        <f aca="false">IF(O76&gt;1,'Plan debt months'!CE76,0)</f>
        <v>0</v>
      </c>
      <c r="Q76" s="1" t="n">
        <f aca="false">IF(O76&gt;1,'Plan debt months'!CD76,O76)</f>
        <v>0</v>
      </c>
      <c r="R76" s="1" t="n">
        <f aca="false">J76+M76+P76</f>
        <v>0</v>
      </c>
      <c r="S76" s="1" t="n">
        <f aca="false">QJ75+'Plan pay &amp; tax'!Y302</f>
        <v>95222.4011392279</v>
      </c>
      <c r="T76" s="1" t="n">
        <f aca="false">QJ75</f>
        <v>95222.4011392279</v>
      </c>
      <c r="U76" s="1" t="n">
        <f aca="false">IF(AND(Slot1_On=1,D76=Slot1_Age),1,0)</f>
        <v>0</v>
      </c>
      <c r="V76" s="1" t="n">
        <f aca="false">IF(AND(Slot1_On=1,Slot1_Age&gt;D76),1,0)</f>
        <v>0</v>
      </c>
      <c r="W76" s="1" t="n">
        <f aca="false">QL75</f>
        <v>0</v>
      </c>
      <c r="X76" s="1" t="n">
        <f aca="false">U76*MIN(Slot1_Cost,W76)</f>
        <v>0</v>
      </c>
      <c r="Y76" s="1" t="n">
        <f aca="false">U76*Slot1_SpendLike*MIN(Slot1_Cost-X76,S76)</f>
        <v>0</v>
      </c>
      <c r="Z76" s="1" t="n">
        <f aca="false">X76+Y76</f>
        <v>0</v>
      </c>
      <c r="AA76" s="1" t="n">
        <f aca="false">S76-Y76+U76*IF(Slot1_SpendLike=1,W76-X76,IF(Slot1_PotFree=1,W76,0))</f>
        <v>95222.4011392279</v>
      </c>
      <c r="AB76" s="1" t="n">
        <f aca="false">AE76+U76*Slot1_BufPot*W76</f>
        <v>0</v>
      </c>
      <c r="AC76" s="1" t="n">
        <f aca="false">IF(AND(U76=1,Slot1_IsMfree=1),IF(Z76&gt;=Slot1_Cost-1,0,MAX(0,K76-Z76)),K76)</f>
        <v>0</v>
      </c>
      <c r="AD76" s="1" t="n">
        <f aca="false">U76*(Slot1_Cost-Z76)</f>
        <v>0</v>
      </c>
      <c r="AE76" s="1" t="n">
        <f aca="false">QK75</f>
        <v>0</v>
      </c>
      <c r="AF76" s="1" t="n">
        <f aca="false">IF(AND(Slot2_On=1,D76=Slot2_Age),1,0)</f>
        <v>0</v>
      </c>
      <c r="AG76" s="1" t="n">
        <f aca="false">IF(AND(Slot2_On=1,Slot2_Age&gt;D76),1,0)</f>
        <v>0</v>
      </c>
      <c r="AH76" s="1" t="n">
        <f aca="false">QP75</f>
        <v>0</v>
      </c>
      <c r="AI76" s="1" t="n">
        <f aca="false">AF76*MIN(Slot2_Cost,AH76)</f>
        <v>0</v>
      </c>
      <c r="AJ76" s="1" t="n">
        <f aca="false">AF76*Slot2_SpendLike*MIN(Slot2_Cost-AI76,AA76)</f>
        <v>0</v>
      </c>
      <c r="AK76" s="1" t="n">
        <f aca="false">AI76+AJ76</f>
        <v>0</v>
      </c>
      <c r="AL76" s="1" t="n">
        <f aca="false">AA76-AJ76+AF76*IF(Slot2_SpendLike=1,AH76-AI76,IF(Slot2_PotFree=1,AH76,0))</f>
        <v>95222.4011392279</v>
      </c>
      <c r="AM76" s="1" t="n">
        <f aca="false">AB76+AF76*Slot2_BufPot*AH76</f>
        <v>0</v>
      </c>
      <c r="AN76" s="1" t="n">
        <f aca="false">IF(AND(AF76=1,Slot2_IsMfree=1),IF(AK76&gt;=Slot2_Cost-1,0,MAX(0,AC76-AK76)),AC76)</f>
        <v>0</v>
      </c>
      <c r="AO76" s="1" t="n">
        <f aca="false">AF76*(Slot2_Cost-AK76)</f>
        <v>0</v>
      </c>
      <c r="AP76" s="1" t="n">
        <f aca="false">IF(AND(Slot3_On=1,D76=Slot3_Age),1,0)</f>
        <v>0</v>
      </c>
      <c r="AQ76" s="1" t="n">
        <f aca="false">IF(AND(Slot3_On=1,Slot3_Age&gt;D76),1,0)</f>
        <v>0</v>
      </c>
      <c r="AR76" s="1" t="n">
        <f aca="false">QT75</f>
        <v>0</v>
      </c>
      <c r="AS76" s="1" t="n">
        <f aca="false">AP76*MIN(Slot3_Cost,AR76)</f>
        <v>0</v>
      </c>
      <c r="AT76" s="1" t="n">
        <f aca="false">AP76*Slot3_SpendLike*MIN(Slot3_Cost-AS76,AL76)</f>
        <v>0</v>
      </c>
      <c r="AU76" s="1" t="n">
        <f aca="false">AS76+AT76</f>
        <v>0</v>
      </c>
      <c r="AV76" s="1" t="n">
        <f aca="false">AL76-AT76+AP76*IF(Slot3_SpendLike=1,AR76-AS76,IF(Slot3_PotFree=1,AR76,0))</f>
        <v>95222.4011392279</v>
      </c>
      <c r="AW76" s="1" t="n">
        <f aca="false">AM76+AP76*Slot3_BufPot*AR76</f>
        <v>0</v>
      </c>
      <c r="AX76" s="1" t="n">
        <f aca="false">IF(AND(AP76=1,Slot3_IsMfree=1),IF(AU76&gt;=Slot3_Cost-1,0,MAX(0,AN76-AU76)),AN76)</f>
        <v>0</v>
      </c>
      <c r="AY76" s="1" t="n">
        <f aca="false">AP76*(Slot3_Cost-AU76)</f>
        <v>0</v>
      </c>
      <c r="AZ76" s="1" t="n">
        <f aca="false">IF(AND(Slot4_On=1,D76=Slot4_Age),1,0)</f>
        <v>0</v>
      </c>
      <c r="BA76" s="1" t="n">
        <f aca="false">IF(AND(Slot4_On=1,Slot4_Age&gt;D76),1,0)</f>
        <v>0</v>
      </c>
      <c r="BB76" s="1" t="n">
        <f aca="false">QX75</f>
        <v>0</v>
      </c>
      <c r="BC76" s="1" t="n">
        <f aca="false">AZ76*MIN(Slot4_Cost,BB76)</f>
        <v>0</v>
      </c>
      <c r="BD76" s="1" t="n">
        <f aca="false">AZ76*Slot4_SpendLike*MIN(Slot4_Cost-BC76,AV76)</f>
        <v>0</v>
      </c>
      <c r="BE76" s="1" t="n">
        <f aca="false">BC76+BD76</f>
        <v>0</v>
      </c>
      <c r="BF76" s="1" t="n">
        <f aca="false">AV76-BD76+AZ76*IF(Slot4_SpendLike=1,BB76-BC76,IF(Slot4_PotFree=1,BB76,0))</f>
        <v>95222.4011392279</v>
      </c>
      <c r="BG76" s="1" t="n">
        <f aca="false">AW76+AZ76*Slot4_BufPot*BB76</f>
        <v>0</v>
      </c>
      <c r="BH76" s="1" t="n">
        <f aca="false">IF(AND(AZ76=1,Slot4_IsMfree=1),IF(BE76&gt;=Slot4_Cost-1,0,MAX(0,AX76-BE76)),AX76)</f>
        <v>0</v>
      </c>
      <c r="BI76" s="1" t="n">
        <f aca="false">AZ76*(Slot4_Cost-BE76)</f>
        <v>0</v>
      </c>
      <c r="BJ76" s="1" t="n">
        <f aca="false">IF(AND(Slot5_On=1,D76=Slot5_Age),1,0)</f>
        <v>0</v>
      </c>
      <c r="BK76" s="1" t="n">
        <f aca="false">IF(AND(Slot5_On=1,Slot5_Age&gt;D76),1,0)</f>
        <v>0</v>
      </c>
      <c r="BL76" s="1" t="n">
        <f aca="false">RB75</f>
        <v>0</v>
      </c>
      <c r="BM76" s="1" t="n">
        <f aca="false">BJ76*MIN(Slot5_Cost,BL76)</f>
        <v>0</v>
      </c>
      <c r="BN76" s="1" t="n">
        <f aca="false">BJ76*Slot5_SpendLike*MIN(Slot5_Cost-BM76,BF76)</f>
        <v>0</v>
      </c>
      <c r="BO76" s="1" t="n">
        <f aca="false">BM76+BN76</f>
        <v>0</v>
      </c>
      <c r="BP76" s="1" t="n">
        <f aca="false">BF76-BN76+BJ76*IF(Slot5_SpendLike=1,BL76-BM76,IF(Slot5_PotFree=1,BL76,0))</f>
        <v>95222.4011392279</v>
      </c>
      <c r="BQ76" s="1" t="n">
        <f aca="false">BG76+BJ76*Slot5_BufPot*BL76</f>
        <v>0</v>
      </c>
      <c r="BR76" s="1" t="n">
        <f aca="false">IF(AND(BJ76=1,Slot5_IsMfree=1),IF(BO76&gt;=Slot5_Cost-1,0,MAX(0,BH76-BO76)),BH76)</f>
        <v>0</v>
      </c>
      <c r="BS76" s="1" t="n">
        <f aca="false">BJ76*(Slot5_Cost-BO76)</f>
        <v>0</v>
      </c>
      <c r="BT76" s="1" t="n">
        <f aca="false">IF(AND(Slot6_On=1,D76=Slot6_Age),1,0)</f>
        <v>0</v>
      </c>
      <c r="BU76" s="1" t="n">
        <f aca="false">IF(AND(Slot6_On=1,Slot6_Age&gt;D76),1,0)</f>
        <v>0</v>
      </c>
      <c r="BV76" s="1" t="n">
        <f aca="false">RF75</f>
        <v>0</v>
      </c>
      <c r="BW76" s="1" t="n">
        <f aca="false">BT76*MIN(Slot6_Cost,BV76)</f>
        <v>0</v>
      </c>
      <c r="BX76" s="1" t="n">
        <f aca="false">BT76*Slot6_SpendLike*MIN(Slot6_Cost-BW76,BP76)</f>
        <v>0</v>
      </c>
      <c r="BY76" s="1" t="n">
        <f aca="false">BW76+BX76</f>
        <v>0</v>
      </c>
      <c r="BZ76" s="1" t="n">
        <f aca="false">BP76-BX76+BT76*IF(Slot6_SpendLike=1,BV76-BW76,IF(Slot6_PotFree=1,BV76,0))</f>
        <v>95222.4011392279</v>
      </c>
      <c r="CA76" s="1" t="n">
        <f aca="false">BQ76+BT76*Slot6_BufPot*BV76</f>
        <v>0</v>
      </c>
      <c r="CB76" s="1" t="n">
        <f aca="false">IF(AND(BT76=1,Slot6_IsMfree=1),IF(BY76&gt;=Slot6_Cost-1,0,MAX(0,BR76-BY76)),BR76)</f>
        <v>0</v>
      </c>
      <c r="CC76" s="1" t="n">
        <f aca="false">BT76*(Slot6_Cost-BY76)</f>
        <v>0</v>
      </c>
      <c r="CD76" s="1" t="n">
        <f aca="false">IF(AND(Slot7_On=1,D76=Slot7_Age),1,0)</f>
        <v>0</v>
      </c>
      <c r="CE76" s="1" t="n">
        <f aca="false">IF(AND(Slot7_On=1,Slot7_Age&gt;D76),1,0)</f>
        <v>0</v>
      </c>
      <c r="CF76" s="1" t="n">
        <f aca="false">RJ75</f>
        <v>0</v>
      </c>
      <c r="CG76" s="1" t="n">
        <f aca="false">CD76*MIN(Slot7_Cost,CF76)</f>
        <v>0</v>
      </c>
      <c r="CH76" s="1" t="n">
        <f aca="false">CD76*Slot7_SpendLike*MIN(Slot7_Cost-CG76,BZ76)</f>
        <v>0</v>
      </c>
      <c r="CI76" s="1" t="n">
        <f aca="false">CG76+CH76</f>
        <v>0</v>
      </c>
      <c r="CJ76" s="1" t="n">
        <f aca="false">BZ76-CH76+CD76*IF(Slot7_SpendLike=1,CF76-CG76,IF(Slot7_PotFree=1,CF76,0))</f>
        <v>95222.4011392279</v>
      </c>
      <c r="CK76" s="1" t="n">
        <f aca="false">CA76+CD76*Slot7_BufPot*CF76</f>
        <v>0</v>
      </c>
      <c r="CL76" s="1" t="n">
        <f aca="false">IF(AND(CD76=1,Slot7_IsMfree=1),IF(CI76&gt;=Slot7_Cost-1,0,MAX(0,CB76-CI76)),CB76)</f>
        <v>0</v>
      </c>
      <c r="CM76" s="1" t="n">
        <f aca="false">CD76*(Slot7_Cost-CI76)</f>
        <v>0</v>
      </c>
      <c r="CN76" s="1" t="n">
        <f aca="false">IF(AND(Slot8_On=1,D76=Slot8_Age),1,0)</f>
        <v>0</v>
      </c>
      <c r="CO76" s="1" t="n">
        <f aca="false">IF(AND(Slot8_On=1,Slot8_Age&gt;D76),1,0)</f>
        <v>0</v>
      </c>
      <c r="CP76" s="1" t="n">
        <f aca="false">RN75</f>
        <v>0</v>
      </c>
      <c r="CQ76" s="1" t="n">
        <f aca="false">CN76*MIN(Slot8_Cost,CP76)</f>
        <v>0</v>
      </c>
      <c r="CR76" s="1" t="n">
        <f aca="false">CN76*Slot8_SpendLike*MIN(Slot8_Cost-CQ76,CJ76)</f>
        <v>0</v>
      </c>
      <c r="CS76" s="1" t="n">
        <f aca="false">CQ76+CR76</f>
        <v>0</v>
      </c>
      <c r="CT76" s="1" t="n">
        <f aca="false">CJ76-CR76+CN76*IF(Slot8_SpendLike=1,CP76-CQ76,IF(Slot8_PotFree=1,CP76,0))</f>
        <v>95222.4011392279</v>
      </c>
      <c r="CU76" s="1" t="n">
        <f aca="false">CK76+CN76*Slot8_BufPot*CP76</f>
        <v>0</v>
      </c>
      <c r="CV76" s="1" t="n">
        <f aca="false">IF(AND(CN76=1,Slot8_IsMfree=1),IF(CS76&gt;=Slot8_Cost-1,0,MAX(0,CL76-CS76)),CL76)</f>
        <v>0</v>
      </c>
      <c r="CW76" s="1" t="n">
        <f aca="false">CN76*(Slot8_Cost-CS76)</f>
        <v>0</v>
      </c>
      <c r="CX76" s="1" t="n">
        <f aca="false">IF(AND(Slot9_On=1,D76=Slot9_Age),1,0)</f>
        <v>0</v>
      </c>
      <c r="CY76" s="1" t="n">
        <f aca="false">IF(AND(Slot9_On=1,Slot9_Age&gt;D76),1,0)</f>
        <v>0</v>
      </c>
      <c r="CZ76" s="1" t="n">
        <f aca="false">RR75</f>
        <v>0</v>
      </c>
      <c r="DA76" s="1" t="n">
        <f aca="false">CX76*MIN(Slot9_Cost,CZ76)</f>
        <v>0</v>
      </c>
      <c r="DB76" s="1" t="n">
        <f aca="false">CX76*Slot9_SpendLike*MIN(Slot9_Cost-DA76,CT76)</f>
        <v>0</v>
      </c>
      <c r="DC76" s="1" t="n">
        <f aca="false">DA76+DB76</f>
        <v>0</v>
      </c>
      <c r="DD76" s="1" t="n">
        <f aca="false">CT76-DB76+CX76*IF(Slot9_SpendLike=1,CZ76-DA76,IF(Slot9_PotFree=1,CZ76,0))</f>
        <v>95222.4011392279</v>
      </c>
      <c r="DE76" s="1" t="n">
        <f aca="false">CU76+CX76*Slot9_BufPot*CZ76</f>
        <v>0</v>
      </c>
      <c r="DF76" s="1" t="n">
        <f aca="false">IF(AND(CX76=1,Slot9_IsMfree=1),IF(DC76&gt;=Slot9_Cost-1,0,MAX(0,CV76-DC76)),CV76)</f>
        <v>0</v>
      </c>
      <c r="DG76" s="1" t="n">
        <f aca="false">CX76*(Slot9_Cost-DC76)</f>
        <v>0</v>
      </c>
      <c r="DH76" s="1" t="n">
        <f aca="false">IF(AND(Slot10_On=1,D76=Slot10_Age),1,0)</f>
        <v>0</v>
      </c>
      <c r="DI76" s="1" t="n">
        <f aca="false">IF(AND(Slot10_On=1,Slot10_Age&gt;D76),1,0)</f>
        <v>0</v>
      </c>
      <c r="DJ76" s="1" t="n">
        <f aca="false">RV75</f>
        <v>0</v>
      </c>
      <c r="DK76" s="1" t="n">
        <f aca="false">DH76*MIN(Slot10_Cost,DJ76)</f>
        <v>0</v>
      </c>
      <c r="DL76" s="1" t="n">
        <f aca="false">DH76*Slot10_SpendLike*MIN(Slot10_Cost-DK76,DD76)</f>
        <v>0</v>
      </c>
      <c r="DM76" s="1" t="n">
        <f aca="false">DK76+DL76</f>
        <v>0</v>
      </c>
      <c r="DN76" s="1" t="n">
        <f aca="false">DD76-DL76+DH76*IF(Slot10_SpendLike=1,DJ76-DK76,IF(Slot10_PotFree=1,DJ76,0))</f>
        <v>95222.4011392279</v>
      </c>
      <c r="DO76" s="1" t="n">
        <f aca="false">DE76+DH76*Slot10_BufPot*DJ76</f>
        <v>0</v>
      </c>
      <c r="DP76" s="1" t="n">
        <f aca="false">IF(AND(DH76=1,Slot10_IsMfree=1),IF(DM76&gt;=Slot10_Cost-1,0,MAX(0,DF76-DM76)),DF76)</f>
        <v>0</v>
      </c>
      <c r="DQ76" s="1" t="n">
        <f aca="false">DH76*(Slot10_Cost-DM76)</f>
        <v>0</v>
      </c>
      <c r="DR76" s="1" t="n">
        <f aca="false">IF(AND(Slot11_On=1,D76=Slot11_Age),1,0)</f>
        <v>0</v>
      </c>
      <c r="DS76" s="1" t="n">
        <f aca="false">IF(AND(Slot11_On=1,Slot11_Age&gt;D76),1,0)</f>
        <v>0</v>
      </c>
      <c r="DT76" s="1" t="n">
        <f aca="false">RZ75</f>
        <v>0</v>
      </c>
      <c r="DU76" s="1" t="n">
        <f aca="false">DR76*MIN(Slot11_Cost,DT76)</f>
        <v>0</v>
      </c>
      <c r="DV76" s="1" t="n">
        <f aca="false">DR76*Slot11_SpendLike*MIN(Slot11_Cost-DU76,DN76)</f>
        <v>0</v>
      </c>
      <c r="DW76" s="1" t="n">
        <f aca="false">DU76+DV76</f>
        <v>0</v>
      </c>
      <c r="DX76" s="1" t="n">
        <f aca="false">DN76-DV76+DR76*IF(Slot11_SpendLike=1,DT76-DU76,IF(Slot11_PotFree=1,DT76,0))</f>
        <v>95222.4011392279</v>
      </c>
      <c r="DY76" s="1" t="n">
        <f aca="false">DO76+DR76*Slot11_BufPot*DT76</f>
        <v>0</v>
      </c>
      <c r="DZ76" s="1" t="n">
        <f aca="false">IF(AND(DR76=1,Slot11_IsMfree=1),IF(DW76&gt;=Slot11_Cost-1,0,MAX(0,DP76-DW76)),DP76)</f>
        <v>0</v>
      </c>
      <c r="EA76" s="1" t="n">
        <f aca="false">DR76*(Slot11_Cost-DW76)</f>
        <v>0</v>
      </c>
      <c r="EB76" s="1" t="n">
        <f aca="false">IF(AND(Slot12_On=1,D76=Slot12_Age),1,0)</f>
        <v>0</v>
      </c>
      <c r="EC76" s="1" t="n">
        <f aca="false">IF(AND(Slot12_On=1,Slot12_Age&gt;D76),1,0)</f>
        <v>0</v>
      </c>
      <c r="ED76" s="1" t="n">
        <f aca="false">SD75</f>
        <v>0</v>
      </c>
      <c r="EE76" s="1" t="n">
        <f aca="false">EB76*MIN(Slot12_Cost,ED76)</f>
        <v>0</v>
      </c>
      <c r="EF76" s="1" t="n">
        <f aca="false">EB76*Slot12_SpendLike*MIN(Slot12_Cost-EE76,DX76)</f>
        <v>0</v>
      </c>
      <c r="EG76" s="1" t="n">
        <f aca="false">EE76+EF76</f>
        <v>0</v>
      </c>
      <c r="EH76" s="1" t="n">
        <f aca="false">DX76-EF76+EB76*IF(Slot12_SpendLike=1,ED76-EE76,IF(Slot12_PotFree=1,ED76,0))</f>
        <v>95222.4011392279</v>
      </c>
      <c r="EI76" s="1" t="n">
        <f aca="false">DY76+EB76*Slot12_BufPot*ED76</f>
        <v>0</v>
      </c>
      <c r="EJ76" s="1" t="n">
        <f aca="false">IF(AND(EB76=1,Slot12_IsMfree=1),IF(EG76&gt;=Slot12_Cost-1,0,MAX(0,DZ76-EG76)),DZ76)</f>
        <v>0</v>
      </c>
      <c r="EK76" s="1" t="n">
        <f aca="false">EB76*(Slot12_Cost-EG76)</f>
        <v>0</v>
      </c>
      <c r="EL76" s="1" t="n">
        <f aca="false">IF(AND(Slot13_On=1,D76=Slot13_Age),1,0)</f>
        <v>0</v>
      </c>
      <c r="EM76" s="1" t="n">
        <f aca="false">IF(AND(Slot13_On=1,Slot13_Age&gt;D76),1,0)</f>
        <v>0</v>
      </c>
      <c r="EN76" s="1" t="n">
        <f aca="false">SH75</f>
        <v>0</v>
      </c>
      <c r="EO76" s="1" t="n">
        <f aca="false">EL76*MIN(Slot13_Cost,EN76)</f>
        <v>0</v>
      </c>
      <c r="EP76" s="1" t="n">
        <f aca="false">EL76*Slot13_SpendLike*MIN(Slot13_Cost-EO76,EH76)</f>
        <v>0</v>
      </c>
      <c r="EQ76" s="1" t="n">
        <f aca="false">EO76+EP76</f>
        <v>0</v>
      </c>
      <c r="ER76" s="1" t="n">
        <f aca="false">EH76-EP76+EL76*IF(Slot13_SpendLike=1,EN76-EO76,IF(Slot13_PotFree=1,EN76,0))</f>
        <v>95222.4011392279</v>
      </c>
      <c r="ES76" s="1" t="n">
        <f aca="false">EI76+EL76*Slot13_BufPot*EN76</f>
        <v>0</v>
      </c>
      <c r="ET76" s="1" t="n">
        <f aca="false">IF(AND(EL76=1,Slot13_IsMfree=1),IF(EQ76&gt;=Slot13_Cost-1,0,MAX(0,EJ76-EQ76)),EJ76)</f>
        <v>0</v>
      </c>
      <c r="EU76" s="1" t="n">
        <f aca="false">EL76*(Slot13_Cost-EQ76)</f>
        <v>0</v>
      </c>
      <c r="EV76" s="1" t="n">
        <f aca="false">IF(AND(Slot14_On=1,D76=Slot14_Age),1,0)</f>
        <v>0</v>
      </c>
      <c r="EW76" s="1" t="n">
        <f aca="false">IF(AND(Slot14_On=1,Slot14_Age&gt;D76),1,0)</f>
        <v>0</v>
      </c>
      <c r="EX76" s="1" t="n">
        <f aca="false">SL75</f>
        <v>0</v>
      </c>
      <c r="EY76" s="1" t="n">
        <f aca="false">EV76*MIN(Slot14_Cost,EX76)</f>
        <v>0</v>
      </c>
      <c r="EZ76" s="1" t="n">
        <f aca="false">EV76*Slot14_SpendLike*MIN(Slot14_Cost-EY76,ER76)</f>
        <v>0</v>
      </c>
      <c r="FA76" s="1" t="n">
        <f aca="false">EY76+EZ76</f>
        <v>0</v>
      </c>
      <c r="FB76" s="1" t="n">
        <f aca="false">ER76-EZ76+EV76*IF(Slot14_SpendLike=1,EX76-EY76,IF(Slot14_PotFree=1,EX76,0))</f>
        <v>95222.4011392279</v>
      </c>
      <c r="FC76" s="1" t="n">
        <f aca="false">ES76+EV76*Slot14_BufPot*EX76</f>
        <v>0</v>
      </c>
      <c r="FD76" s="1" t="n">
        <f aca="false">IF(AND(EV76=1,Slot14_IsMfree=1),IF(FA76&gt;=Slot14_Cost-1,0,MAX(0,ET76-FA76)),ET76)</f>
        <v>0</v>
      </c>
      <c r="FE76" s="1" t="n">
        <f aca="false">EV76*(Slot14_Cost-FA76)</f>
        <v>0</v>
      </c>
      <c r="FF76" s="1" t="n">
        <f aca="false">IF(AND(Slot15_On=1,D76=Slot15_Age),1,0)</f>
        <v>0</v>
      </c>
      <c r="FG76" s="1" t="n">
        <f aca="false">IF(AND(Slot15_On=1,Slot15_Age&gt;D76),1,0)</f>
        <v>0</v>
      </c>
      <c r="FH76" s="1" t="n">
        <f aca="false">SP75</f>
        <v>0</v>
      </c>
      <c r="FI76" s="1" t="n">
        <f aca="false">FF76*MIN(Slot15_Cost,FH76)</f>
        <v>0</v>
      </c>
      <c r="FJ76" s="1" t="n">
        <f aca="false">FF76*Slot15_SpendLike*MIN(Slot15_Cost-FI76,FB76)</f>
        <v>0</v>
      </c>
      <c r="FK76" s="1" t="n">
        <f aca="false">FI76+FJ76</f>
        <v>0</v>
      </c>
      <c r="FL76" s="1" t="n">
        <f aca="false">FB76-FJ76+FF76*IF(Slot15_SpendLike=1,FH76-FI76,IF(Slot15_PotFree=1,FH76,0))</f>
        <v>95222.4011392279</v>
      </c>
      <c r="FM76" s="1" t="n">
        <f aca="false">FC76+FF76*Slot15_BufPot*FH76</f>
        <v>0</v>
      </c>
      <c r="FN76" s="1" t="n">
        <f aca="false">IF(AND(FF76=1,Slot15_IsMfree=1),IF(FK76&gt;=Slot15_Cost-1,0,MAX(0,FD76-FK76)),FD76)</f>
        <v>0</v>
      </c>
      <c r="FO76" s="1" t="n">
        <f aca="false">FF76*(Slot15_Cost-FK76)</f>
        <v>0</v>
      </c>
      <c r="FP76" s="1" t="n">
        <f aca="false">IF(AND(Slot16_On=1,D76=Slot16_Age),1,0)</f>
        <v>0</v>
      </c>
      <c r="FQ76" s="1" t="n">
        <f aca="false">IF(AND(Slot16_On=1,Slot16_Age&gt;D76),1,0)</f>
        <v>0</v>
      </c>
      <c r="FR76" s="1" t="n">
        <f aca="false">ST75</f>
        <v>0</v>
      </c>
      <c r="FS76" s="1" t="n">
        <f aca="false">FP76*MIN(Slot16_Cost,FR76)</f>
        <v>0</v>
      </c>
      <c r="FT76" s="1" t="n">
        <f aca="false">FP76*Slot16_SpendLike*MIN(Slot16_Cost-FS76,FL76)</f>
        <v>0</v>
      </c>
      <c r="FU76" s="1" t="n">
        <f aca="false">FS76+FT76</f>
        <v>0</v>
      </c>
      <c r="FV76" s="1" t="n">
        <f aca="false">FL76-FT76+FP76*IF(Slot16_SpendLike=1,FR76-FS76,IF(Slot16_PotFree=1,FR76,0))</f>
        <v>95222.4011392279</v>
      </c>
      <c r="FW76" s="1" t="n">
        <f aca="false">FM76+FP76*Slot16_BufPot*FR76</f>
        <v>0</v>
      </c>
      <c r="FX76" s="1" t="n">
        <f aca="false">IF(AND(FP76=1,Slot16_IsMfree=1),IF(FU76&gt;=Slot16_Cost-1,0,MAX(0,FN76-FU76)),FN76)</f>
        <v>0</v>
      </c>
      <c r="FY76" s="1" t="n">
        <f aca="false">FP76*(Slot16_Cost-FU76)</f>
        <v>0</v>
      </c>
      <c r="FZ76" s="1" t="n">
        <f aca="false">IF(AND(Slot17_On=1,D76=Slot17_Age),1,0)</f>
        <v>0</v>
      </c>
      <c r="GA76" s="1" t="n">
        <f aca="false">IF(AND(Slot17_On=1,Slot17_Age&gt;D76),1,0)</f>
        <v>0</v>
      </c>
      <c r="GB76" s="1" t="n">
        <f aca="false">SX75</f>
        <v>0</v>
      </c>
      <c r="GC76" s="1" t="n">
        <f aca="false">FZ76*MIN(Slot17_Cost,GB76)</f>
        <v>0</v>
      </c>
      <c r="GD76" s="1" t="n">
        <f aca="false">FZ76*Slot17_SpendLike*MIN(Slot17_Cost-GC76,FV76)</f>
        <v>0</v>
      </c>
      <c r="GE76" s="1" t="n">
        <f aca="false">GC76+GD76</f>
        <v>0</v>
      </c>
      <c r="GF76" s="1" t="n">
        <f aca="false">FV76-GD76+FZ76*IF(Slot17_SpendLike=1,GB76-GC76,IF(Slot17_PotFree=1,GB76,0))</f>
        <v>95222.4011392279</v>
      </c>
      <c r="GG76" s="1" t="n">
        <f aca="false">FW76+FZ76*Slot17_BufPot*GB76</f>
        <v>0</v>
      </c>
      <c r="GH76" s="1" t="n">
        <f aca="false">IF(AND(FZ76=1,Slot17_IsMfree=1),IF(GE76&gt;=Slot17_Cost-1,0,MAX(0,FX76-GE76)),FX76)</f>
        <v>0</v>
      </c>
      <c r="GI76" s="1" t="n">
        <f aca="false">FZ76*(Slot17_Cost-GE76)</f>
        <v>0</v>
      </c>
      <c r="GJ76" s="1" t="n">
        <f aca="false">IF(AND(Slot18_On=1,D76=Slot18_Age),1,0)</f>
        <v>0</v>
      </c>
      <c r="GK76" s="1" t="n">
        <f aca="false">IF(AND(Slot18_On=1,Slot18_Age&gt;D76),1,0)</f>
        <v>0</v>
      </c>
      <c r="GL76" s="1" t="n">
        <f aca="false">TB75</f>
        <v>0</v>
      </c>
      <c r="GM76" s="1" t="n">
        <f aca="false">GJ76*MIN(Slot18_Cost,GL76)</f>
        <v>0</v>
      </c>
      <c r="GN76" s="1" t="n">
        <f aca="false">GJ76*Slot18_SpendLike*MIN(Slot18_Cost-GM76,GF76)</f>
        <v>0</v>
      </c>
      <c r="GO76" s="1" t="n">
        <f aca="false">GM76+GN76</f>
        <v>0</v>
      </c>
      <c r="GP76" s="1" t="n">
        <f aca="false">GF76-GN76+GJ76*IF(Slot18_SpendLike=1,GL76-GM76,IF(Slot18_PotFree=1,GL76,0))</f>
        <v>95222.4011392279</v>
      </c>
      <c r="GQ76" s="1" t="n">
        <f aca="false">GG76+GJ76*Slot18_BufPot*GL76</f>
        <v>0</v>
      </c>
      <c r="GR76" s="1" t="n">
        <f aca="false">IF(AND(GJ76=1,Slot18_IsMfree=1),IF(GO76&gt;=Slot18_Cost-1,0,MAX(0,GH76-GO76)),GH76)</f>
        <v>0</v>
      </c>
      <c r="GS76" s="1" t="n">
        <f aca="false">GJ76*(Slot18_Cost-GO76)</f>
        <v>0</v>
      </c>
      <c r="GT76" s="1" t="n">
        <f aca="false">IF(AND(Slot19_On=1,D76=Slot19_Age),1,0)</f>
        <v>0</v>
      </c>
      <c r="GU76" s="1" t="n">
        <f aca="false">IF(AND(Slot19_On=1,Slot19_Age&gt;D76),1,0)</f>
        <v>0</v>
      </c>
      <c r="GV76" s="1" t="n">
        <f aca="false">TF75</f>
        <v>0</v>
      </c>
      <c r="GW76" s="1" t="n">
        <f aca="false">GT76*MIN(Slot19_Cost,GV76)</f>
        <v>0</v>
      </c>
      <c r="GX76" s="1" t="n">
        <f aca="false">GT76*Slot19_SpendLike*MIN(Slot19_Cost-GW76,GP76)</f>
        <v>0</v>
      </c>
      <c r="GY76" s="1" t="n">
        <f aca="false">GW76+GX76</f>
        <v>0</v>
      </c>
      <c r="GZ76" s="1" t="n">
        <f aca="false">GP76-GX76+GT76*IF(Slot19_SpendLike=1,GV76-GW76,IF(Slot19_PotFree=1,GV76,0))</f>
        <v>95222.4011392279</v>
      </c>
      <c r="HA76" s="1" t="n">
        <f aca="false">GQ76+GT76*Slot19_BufPot*GV76</f>
        <v>0</v>
      </c>
      <c r="HB76" s="1" t="n">
        <f aca="false">IF(AND(GT76=1,Slot19_IsMfree=1),IF(GY76&gt;=Slot19_Cost-1,0,MAX(0,GR76-GY76)),GR76)</f>
        <v>0</v>
      </c>
      <c r="HC76" s="1" t="n">
        <f aca="false">GT76*(Slot19_Cost-GY76)</f>
        <v>0</v>
      </c>
      <c r="HD76" s="1" t="n">
        <f aca="false">IF(AND(Slot20_On=1,D76=Slot20_Age),1,0)</f>
        <v>0</v>
      </c>
      <c r="HE76" s="1" t="n">
        <f aca="false">IF(AND(Slot20_On=1,Slot20_Age&gt;D76),1,0)</f>
        <v>0</v>
      </c>
      <c r="HF76" s="1" t="n">
        <f aca="false">TJ75</f>
        <v>0</v>
      </c>
      <c r="HG76" s="1" t="n">
        <f aca="false">HD76*MIN(Slot20_Cost,HF76)</f>
        <v>0</v>
      </c>
      <c r="HH76" s="1" t="n">
        <f aca="false">HD76*Slot20_SpendLike*MIN(Slot20_Cost-HG76,GZ76)</f>
        <v>0</v>
      </c>
      <c r="HI76" s="1" t="n">
        <f aca="false">HG76+HH76</f>
        <v>0</v>
      </c>
      <c r="HJ76" s="1" t="n">
        <f aca="false">GZ76-HH76+HD76*IF(Slot20_SpendLike=1,HF76-HG76,IF(Slot20_PotFree=1,HF76,0))</f>
        <v>95222.4011392279</v>
      </c>
      <c r="HK76" s="1" t="n">
        <f aca="false">HA76+HD76*Slot20_BufPot*HF76</f>
        <v>0</v>
      </c>
      <c r="HL76" s="1" t="n">
        <f aca="false">IF(AND(HD76=1,Slot20_IsMfree=1),IF(HI76&gt;=Slot20_Cost-1,0,MAX(0,HB76-HI76)),HB76)</f>
        <v>0</v>
      </c>
      <c r="HM76" s="1" t="n">
        <f aca="false">HD76*(Slot20_Cost-HI76)</f>
        <v>0</v>
      </c>
      <c r="HN76" s="1" t="n">
        <f aca="false">U76*Slot1_SpendLike*Z76+AF76*Slot2_SpendLike*AK76+AP76*Slot3_SpendLike*AU76+AZ76*Slot4_SpendLike*BE76+BJ76*Slot5_SpendLike*BO76+BT76*Slot6_SpendLike*BY76+CD76*Slot7_SpendLike*CI76+CN76*Slot8_SpendLike*CS76+CX76*Slot9_SpendLike*DC76+DH76*Slot10_SpendLike*DM76+DR76*Slot11_SpendLike*DW76+EB76*Slot12_SpendLike*EG76+EL76*Slot13_SpendLike*EQ76+EV76*Slot14_SpendLike*FA76+FF76*Slot15_SpendLike*FK76+FP76*Slot16_SpendLike*FU76+FZ76*Slot17_SpendLike*GE76+GJ76*Slot18_SpendLike*GO76+GT76*Slot19_SpendLike*GY76+HD76*Slot20_SpendLike*HI76</f>
        <v>0</v>
      </c>
      <c r="HO76" s="1" t="n">
        <f aca="false">AD76+AO76+AY76+BI76+BS76+CC76+CM76+CW76+DG76+DQ76+EA76+EK76+EU76+FE76+FO76+FY76+GI76+GS76+HC76+HM76</f>
        <v>0</v>
      </c>
      <c r="HP76" s="1" t="n">
        <f aca="false">U76*Slot1_Cost+AF76*Slot2_Cost+AP76*Slot3_Cost+AZ76*Slot4_Cost+BJ76*Slot5_Cost+BT76*Slot6_Cost+CD76*Slot7_Cost+CN76*Slot8_Cost+CX76*Slot9_Cost+DH76*Slot10_Cost+DR76*Slot11_Cost+EB76*Slot12_Cost+EL76*Slot13_Cost+EV76*Slot14_Cost+FF76*Slot15_Cost+FP76*Slot16_Cost+FZ76*Slot17_Cost+GJ76*Slot18_Cost+GT76*Slot19_Cost+HD76*Slot20_Cost</f>
        <v>0</v>
      </c>
      <c r="HQ76" s="1" t="n">
        <f aca="false">HL76</f>
        <v>0</v>
      </c>
      <c r="HR76" s="1" t="n">
        <f aca="false">G76-H76-R76</f>
        <v>47864.3016971349</v>
      </c>
      <c r="HS76" s="1" t="n">
        <f aca="false">IF(B76=0,IF(AND(Has_q6=1,In_q6=4),PR_ShareVaries*(MAX(0,HR76)/12),MIN(IF(Has_q6=1,CHOOSE(In_q6+1,PR_SaveB1,PR_SaveB2,PR_SaveB3,PR_SaveB4,0),AS_NoAnswer),AS_SaveShare*(MAX(0,HR76)/12))),HS75)</f>
        <v>0</v>
      </c>
      <c r="HT76" s="1" t="n">
        <f aca="false">IF(HR76&gt;=0,1,0)</f>
        <v>1</v>
      </c>
      <c r="HU76" s="1" t="n">
        <f aca="false">MAX(0,HR76/12/E76)</f>
        <v>1037.57333333333</v>
      </c>
      <c r="HV76" s="1" t="n">
        <f aca="false">IF(AND(Has_q6=1,In_q6=4),PR_ShareVaries*(HU76),MIN(IF(Has_q6=1,CHOOSE(In_q6+1,PR_SaveB1,PR_SaveB2,PR_SaveB3,PR_SaveB4,0),AS_NoAnswer),AS_SaveShare*(HU76)))</f>
        <v>300</v>
      </c>
      <c r="HW76" s="1" t="n">
        <f aca="false">IF(Has_saveM=1,IF(In_saveUp="Yes",1,IF(In_saveUp="No",0,IF(In_saveM&gt;=HS76-0.5,1,0))),0)</f>
        <v>0</v>
      </c>
      <c r="HX76" s="1" t="n">
        <f aca="false">IF(Has_saveM=1,MIN(HU76,IF(HW76=1,MAX(In_saveM,HV76),MIN(In_saveM,HV76))),HV76)</f>
        <v>300</v>
      </c>
      <c r="HY76" s="1" t="n">
        <f aca="false">IF(F76=1,HX76*12*E76,0)</f>
        <v>0</v>
      </c>
      <c r="HZ76" s="1" t="n">
        <f aca="false">MAX(0,HY76+IF(AND(WI_Retire=0,WI_M&lt;0,F76=1),WI_M*12*E76,0))</f>
        <v>0</v>
      </c>
      <c r="IA76" s="1" t="n">
        <f aca="false">Slot1_IsWG*V76+Slot2_IsWG*AG76+Slot3_IsWG*AQ76+Slot4_IsWG*BA76+Slot5_IsWG*BK76+Slot6_IsWG*BU76+Slot7_IsWG*CE76+Slot8_IsWG*CO76+Slot9_IsWG*CY76+Slot10_IsWG*DI76+Slot11_IsWG*DS76+Slot12_IsWG*EC76+Slot13_IsWG*EM76+Slot14_IsWG*EW76+Slot15_IsWG*FG76+Slot16_IsWG*FQ76+Slot17_IsWG*GA76+Slot18_IsWG*GK76+Slot19_IsWG*GU76+Slot20_IsWG*HE76</f>
        <v>0</v>
      </c>
      <c r="IB76" s="1" t="n">
        <f aca="false">IF(AND(WI_Retire=0,WI_M&gt;0,F76=1,IA76&gt;=1),WI_M*12*E76,0)</f>
        <v>0</v>
      </c>
      <c r="IC76" s="1" t="n">
        <f aca="false">IF(HT76=1,MIN(HZ76,HR76),0)</f>
        <v>0</v>
      </c>
      <c r="ID76" s="1" t="n">
        <f aca="false">IF(HT76=1,MIN(IB76,HR76-IC76),0)</f>
        <v>0</v>
      </c>
      <c r="IE76" s="1" t="n">
        <f aca="false">IF(V76=1,IF(ABS((1+AS_Wage)/(1+Slot1_Rate)-1)&lt;0.000000000001,(Slot1_Age-D76)*(1+Slot1_Rate)^(Slot1_Age-D76),(1+Slot1_Rate)^(Slot1_Age-D76)*(1-((1+AS_Wage)/(1+Slot1_Rate))^(Slot1_Age-D76))/(1-(1+AS_Wage)/(1+Slot1_Rate))),1)</f>
        <v>1</v>
      </c>
      <c r="IF76" s="1" t="n">
        <f aca="false">IF(AND(HT76=1,ID76&gt;0,Slot1_IsWG=1,V76=1),MAX(0,(Slot1_Cost-W76*(1+Slot1_Rate)^(Slot1_Age-D76))/IE76),0)</f>
        <v>0</v>
      </c>
      <c r="IG76" s="1" t="n">
        <f aca="false">IF(AND(HT76=1,ID76&gt;0,Slot1_IsWG=1,V76=1),MIN(ID76,IF76),0)</f>
        <v>0</v>
      </c>
      <c r="IH76" s="1" t="n">
        <f aca="false">W76+IG76</f>
        <v>0</v>
      </c>
      <c r="II76" s="1" t="n">
        <f aca="false">IF(V76=1,MAX(0,(Slot1_Cost-IH76*(1+Slot1_Rate)^(Slot1_Age-D76))/IE76),0)</f>
        <v>0</v>
      </c>
      <c r="IJ76" s="1" t="n">
        <f aca="false">IF(V76=1,MAX(0,(Slot1_Cost-W76*(1+Slot1_Rate)^(Slot1_Age-D76))/IE76),0)</f>
        <v>0</v>
      </c>
      <c r="IK76" s="1" t="n">
        <f aca="false">IF(AND(HT76=1,V76=1),MIN(IC76,II76),0)</f>
        <v>0</v>
      </c>
      <c r="IL76" s="1" t="n">
        <f aca="false">IC76-IK76</f>
        <v>0</v>
      </c>
      <c r="IM76" s="1" t="n">
        <f aca="false">IF(AG76=1,IF(ABS((1+AS_Wage)/(1+Slot2_Rate)-1)&lt;0.000000000001,(Slot2_Age-D76)*(1+Slot2_Rate)^(Slot2_Age-D76),(1+Slot2_Rate)^(Slot2_Age-D76)*(1-((1+AS_Wage)/(1+Slot2_Rate))^(Slot2_Age-D76))/(1-(1+AS_Wage)/(1+Slot2_Rate))),1)</f>
        <v>1</v>
      </c>
      <c r="IN76" s="1" t="n">
        <f aca="false">IF(AND(HT76=1,ID76&gt;0,Slot2_IsWG=1,AG76=1),MAX(0,(Slot2_Cost-AH76*(1+Slot2_Rate)^(Slot2_Age-D76))/IM76),0)</f>
        <v>0</v>
      </c>
      <c r="IO76" s="1" t="n">
        <f aca="false">IF(AND(HT76=1,ID76&gt;0,Slot2_IsWG=1,AG76=1),MIN(ID76,IN76),0)</f>
        <v>0</v>
      </c>
      <c r="IP76" s="1" t="n">
        <f aca="false">AH76+IO76</f>
        <v>0</v>
      </c>
      <c r="IQ76" s="1" t="n">
        <f aca="false">IF(AG76=1,MAX(0,(Slot2_Cost-IP76*(1+Slot2_Rate)^(Slot2_Age-D76))/IM76),0)</f>
        <v>0</v>
      </c>
      <c r="IR76" s="1" t="n">
        <f aca="false">IF(AG76=1,MAX(0,(Slot2_Cost-AH76*(1+Slot2_Rate)^(Slot2_Age-D76))/IM76),0)</f>
        <v>0</v>
      </c>
      <c r="IS76" s="1" t="n">
        <f aca="false">IF(AND(HT76=1,AG76=1),MIN(IL76,IQ76),0)</f>
        <v>0</v>
      </c>
      <c r="IT76" s="1" t="n">
        <f aca="false">IL76-IS76</f>
        <v>0</v>
      </c>
      <c r="IU76" s="1" t="n">
        <f aca="false">IF(AQ76=1,IF(ABS((1+AS_Wage)/(1+Slot3_Rate)-1)&lt;0.000000000001,(Slot3_Age-D76)*(1+Slot3_Rate)^(Slot3_Age-D76),(1+Slot3_Rate)^(Slot3_Age-D76)*(1-((1+AS_Wage)/(1+Slot3_Rate))^(Slot3_Age-D76))/(1-(1+AS_Wage)/(1+Slot3_Rate))),1)</f>
        <v>1</v>
      </c>
      <c r="IV76" s="1" t="n">
        <f aca="false">IF(AND(HT76=1,ID76&gt;0,Slot3_IsWG=1,AQ76=1),MAX(0,(Slot3_Cost-AR76*(1+Slot3_Rate)^(Slot3_Age-D76))/IU76),0)</f>
        <v>0</v>
      </c>
      <c r="IW76" s="1" t="n">
        <f aca="false">IF(AND(HT76=1,ID76&gt;0,Slot3_IsWG=1,AQ76=1),MIN(ID76,IV76),0)</f>
        <v>0</v>
      </c>
      <c r="IX76" s="1" t="n">
        <f aca="false">AR76+IW76</f>
        <v>0</v>
      </c>
      <c r="IY76" s="1" t="n">
        <f aca="false">IF(AQ76=1,MAX(0,(Slot3_Cost-IX76*(1+Slot3_Rate)^(Slot3_Age-D76))/IU76),0)</f>
        <v>0</v>
      </c>
      <c r="IZ76" s="1" t="n">
        <f aca="false">IF(AQ76=1,MAX(0,(Slot3_Cost-AR76*(1+Slot3_Rate)^(Slot3_Age-D76))/IU76),0)</f>
        <v>0</v>
      </c>
      <c r="JA76" s="1" t="n">
        <f aca="false">IF(AND(HT76=1,AQ76=1),MIN(IT76,IY76),0)</f>
        <v>0</v>
      </c>
      <c r="JB76" s="1" t="n">
        <f aca="false">IT76-JA76</f>
        <v>0</v>
      </c>
      <c r="JC76" s="1" t="n">
        <f aca="false">IF(BA76=1,IF(ABS((1+AS_Wage)/(1+Slot4_Rate)-1)&lt;0.000000000001,(Slot4_Age-D76)*(1+Slot4_Rate)^(Slot4_Age-D76),(1+Slot4_Rate)^(Slot4_Age-D76)*(1-((1+AS_Wage)/(1+Slot4_Rate))^(Slot4_Age-D76))/(1-(1+AS_Wage)/(1+Slot4_Rate))),1)</f>
        <v>1</v>
      </c>
      <c r="JD76" s="1" t="n">
        <f aca="false">IF(AND(HT76=1,ID76&gt;0,Slot4_IsWG=1,BA76=1),MAX(0,(Slot4_Cost-BB76*(1+Slot4_Rate)^(Slot4_Age-D76))/JC76),0)</f>
        <v>0</v>
      </c>
      <c r="JE76" s="1" t="n">
        <f aca="false">IF(AND(HT76=1,ID76&gt;0,Slot4_IsWG=1,BA76=1),MIN(ID76,JD76),0)</f>
        <v>0</v>
      </c>
      <c r="JF76" s="1" t="n">
        <f aca="false">BB76+JE76</f>
        <v>0</v>
      </c>
      <c r="JG76" s="1" t="n">
        <f aca="false">IF(BA76=1,MAX(0,(Slot4_Cost-JF76*(1+Slot4_Rate)^(Slot4_Age-D76))/JC76),0)</f>
        <v>0</v>
      </c>
      <c r="JH76" s="1" t="n">
        <f aca="false">IF(BA76=1,MAX(0,(Slot4_Cost-BB76*(1+Slot4_Rate)^(Slot4_Age-D76))/JC76),0)</f>
        <v>0</v>
      </c>
      <c r="JI76" s="1" t="n">
        <f aca="false">IF(AND(HT76=1,BA76=1),MIN(JB76,JG76),0)</f>
        <v>0</v>
      </c>
      <c r="JJ76" s="1" t="n">
        <f aca="false">JB76-JI76</f>
        <v>0</v>
      </c>
      <c r="JK76" s="1" t="n">
        <f aca="false">IF(BK76=1,IF(ABS((1+AS_Wage)/(1+Slot5_Rate)-1)&lt;0.000000000001,(Slot5_Age-D76)*(1+Slot5_Rate)^(Slot5_Age-D76),(1+Slot5_Rate)^(Slot5_Age-D76)*(1-((1+AS_Wage)/(1+Slot5_Rate))^(Slot5_Age-D76))/(1-(1+AS_Wage)/(1+Slot5_Rate))),1)</f>
        <v>1</v>
      </c>
      <c r="JL76" s="1" t="n">
        <f aca="false">IF(AND(HT76=1,ID76&gt;0,Slot5_IsWG=1,BK76=1),MAX(0,(Slot5_Cost-BL76*(1+Slot5_Rate)^(Slot5_Age-D76))/JK76),0)</f>
        <v>0</v>
      </c>
      <c r="JM76" s="1" t="n">
        <f aca="false">IF(AND(HT76=1,ID76&gt;0,Slot5_IsWG=1,BK76=1),MIN(ID76,JL76),0)</f>
        <v>0</v>
      </c>
      <c r="JN76" s="1" t="n">
        <f aca="false">BL76+JM76</f>
        <v>0</v>
      </c>
      <c r="JO76" s="1" t="n">
        <f aca="false">IF(BK76=1,MAX(0,(Slot5_Cost-JN76*(1+Slot5_Rate)^(Slot5_Age-D76))/JK76),0)</f>
        <v>0</v>
      </c>
      <c r="JP76" s="1" t="n">
        <f aca="false">IF(BK76=1,MAX(0,(Slot5_Cost-BL76*(1+Slot5_Rate)^(Slot5_Age-D76))/JK76),0)</f>
        <v>0</v>
      </c>
      <c r="JQ76" s="1" t="n">
        <f aca="false">IF(AND(HT76=1,BK76=1),MIN(JJ76,JO76),0)</f>
        <v>0</v>
      </c>
      <c r="JR76" s="1" t="n">
        <f aca="false">JJ76-JQ76</f>
        <v>0</v>
      </c>
      <c r="JS76" s="1" t="n">
        <f aca="false">IF(BU76=1,IF(ABS((1+AS_Wage)/(1+Slot6_Rate)-1)&lt;0.000000000001,(Slot6_Age-D76)*(1+Slot6_Rate)^(Slot6_Age-D76),(1+Slot6_Rate)^(Slot6_Age-D76)*(1-((1+AS_Wage)/(1+Slot6_Rate))^(Slot6_Age-D76))/(1-(1+AS_Wage)/(1+Slot6_Rate))),1)</f>
        <v>1</v>
      </c>
      <c r="JT76" s="1" t="n">
        <f aca="false">IF(AND(HT76=1,ID76&gt;0,Slot6_IsWG=1,BU76=1),MAX(0,(Slot6_Cost-BV76*(1+Slot6_Rate)^(Slot6_Age-D76))/JS76),0)</f>
        <v>0</v>
      </c>
      <c r="JU76" s="1" t="n">
        <f aca="false">IF(AND(HT76=1,ID76&gt;0,Slot6_IsWG=1,BU76=1),MIN(ID76,JT76),0)</f>
        <v>0</v>
      </c>
      <c r="JV76" s="1" t="n">
        <f aca="false">BV76+JU76</f>
        <v>0</v>
      </c>
      <c r="JW76" s="1" t="n">
        <f aca="false">IF(BU76=1,MAX(0,(Slot6_Cost-JV76*(1+Slot6_Rate)^(Slot6_Age-D76))/JS76),0)</f>
        <v>0</v>
      </c>
      <c r="JX76" s="1" t="n">
        <f aca="false">IF(BU76=1,MAX(0,(Slot6_Cost-BV76*(1+Slot6_Rate)^(Slot6_Age-D76))/JS76),0)</f>
        <v>0</v>
      </c>
      <c r="JY76" s="1" t="n">
        <f aca="false">IF(AND(HT76=1,BU76=1),MIN(JR76,JW76),0)</f>
        <v>0</v>
      </c>
      <c r="JZ76" s="1" t="n">
        <f aca="false">JR76-JY76</f>
        <v>0</v>
      </c>
      <c r="KA76" s="1" t="n">
        <f aca="false">IF(CE76=1,IF(ABS((1+AS_Wage)/(1+Slot7_Rate)-1)&lt;0.000000000001,(Slot7_Age-D76)*(1+Slot7_Rate)^(Slot7_Age-D76),(1+Slot7_Rate)^(Slot7_Age-D76)*(1-((1+AS_Wage)/(1+Slot7_Rate))^(Slot7_Age-D76))/(1-(1+AS_Wage)/(1+Slot7_Rate))),1)</f>
        <v>1</v>
      </c>
      <c r="KB76" s="1" t="n">
        <f aca="false">IF(AND(HT76=1,ID76&gt;0,Slot7_IsWG=1,CE76=1),MAX(0,(Slot7_Cost-CF76*(1+Slot7_Rate)^(Slot7_Age-D76))/KA76),0)</f>
        <v>0</v>
      </c>
      <c r="KC76" s="1" t="n">
        <f aca="false">IF(AND(HT76=1,ID76&gt;0,Slot7_IsWG=1,CE76=1),MIN(ID76,KB76),0)</f>
        <v>0</v>
      </c>
      <c r="KD76" s="1" t="n">
        <f aca="false">CF76+KC76</f>
        <v>0</v>
      </c>
      <c r="KE76" s="1" t="n">
        <f aca="false">IF(CE76=1,MAX(0,(Slot7_Cost-KD76*(1+Slot7_Rate)^(Slot7_Age-D76))/KA76),0)</f>
        <v>0</v>
      </c>
      <c r="KF76" s="1" t="n">
        <f aca="false">IF(CE76=1,MAX(0,(Slot7_Cost-CF76*(1+Slot7_Rate)^(Slot7_Age-D76))/KA76),0)</f>
        <v>0</v>
      </c>
      <c r="KG76" s="1" t="n">
        <f aca="false">IF(AND(HT76=1,CE76=1),MIN(JZ76,KE76),0)</f>
        <v>0</v>
      </c>
      <c r="KH76" s="1" t="n">
        <f aca="false">JZ76-KG76</f>
        <v>0</v>
      </c>
      <c r="KI76" s="1" t="n">
        <f aca="false">IF(CO76=1,IF(ABS((1+AS_Wage)/(1+Slot8_Rate)-1)&lt;0.000000000001,(Slot8_Age-D76)*(1+Slot8_Rate)^(Slot8_Age-D76),(1+Slot8_Rate)^(Slot8_Age-D76)*(1-((1+AS_Wage)/(1+Slot8_Rate))^(Slot8_Age-D76))/(1-(1+AS_Wage)/(1+Slot8_Rate))),1)</f>
        <v>1</v>
      </c>
      <c r="KJ76" s="1" t="n">
        <f aca="false">IF(AND(HT76=1,ID76&gt;0,Slot8_IsWG=1,CO76=1),MAX(0,(Slot8_Cost-CP76*(1+Slot8_Rate)^(Slot8_Age-D76))/KI76),0)</f>
        <v>0</v>
      </c>
      <c r="KK76" s="1" t="n">
        <f aca="false">IF(AND(HT76=1,ID76&gt;0,Slot8_IsWG=1,CO76=1),MIN(ID76,KJ76),0)</f>
        <v>0</v>
      </c>
      <c r="KL76" s="1" t="n">
        <f aca="false">CP76+KK76</f>
        <v>0</v>
      </c>
      <c r="KM76" s="1" t="n">
        <f aca="false">IF(CO76=1,MAX(0,(Slot8_Cost-KL76*(1+Slot8_Rate)^(Slot8_Age-D76))/KI76),0)</f>
        <v>0</v>
      </c>
      <c r="KN76" s="1" t="n">
        <f aca="false">IF(CO76=1,MAX(0,(Slot8_Cost-CP76*(1+Slot8_Rate)^(Slot8_Age-D76))/KI76),0)</f>
        <v>0</v>
      </c>
      <c r="KO76" s="1" t="n">
        <f aca="false">IF(AND(HT76=1,CO76=1),MIN(KH76,KM76),0)</f>
        <v>0</v>
      </c>
      <c r="KP76" s="1" t="n">
        <f aca="false">KH76-KO76</f>
        <v>0</v>
      </c>
      <c r="KQ76" s="1" t="n">
        <f aca="false">IF(CY76=1,IF(ABS((1+AS_Wage)/(1+Slot9_Rate)-1)&lt;0.000000000001,(Slot9_Age-D76)*(1+Slot9_Rate)^(Slot9_Age-D76),(1+Slot9_Rate)^(Slot9_Age-D76)*(1-((1+AS_Wage)/(1+Slot9_Rate))^(Slot9_Age-D76))/(1-(1+AS_Wage)/(1+Slot9_Rate))),1)</f>
        <v>1</v>
      </c>
      <c r="KR76" s="1" t="n">
        <f aca="false">IF(AND(HT76=1,ID76&gt;0,Slot9_IsWG=1,CY76=1),MAX(0,(Slot9_Cost-CZ76*(1+Slot9_Rate)^(Slot9_Age-D76))/KQ76),0)</f>
        <v>0</v>
      </c>
      <c r="KS76" s="1" t="n">
        <f aca="false">IF(AND(HT76=1,ID76&gt;0,Slot9_IsWG=1,CY76=1),MIN(ID76,KR76),0)</f>
        <v>0</v>
      </c>
      <c r="KT76" s="1" t="n">
        <f aca="false">CZ76+KS76</f>
        <v>0</v>
      </c>
      <c r="KU76" s="1" t="n">
        <f aca="false">IF(CY76=1,MAX(0,(Slot9_Cost-KT76*(1+Slot9_Rate)^(Slot9_Age-D76))/KQ76),0)</f>
        <v>0</v>
      </c>
      <c r="KV76" s="1" t="n">
        <f aca="false">IF(CY76=1,MAX(0,(Slot9_Cost-CZ76*(1+Slot9_Rate)^(Slot9_Age-D76))/KQ76),0)</f>
        <v>0</v>
      </c>
      <c r="KW76" s="1" t="n">
        <f aca="false">IF(AND(HT76=1,CY76=1),MIN(KP76,KU76),0)</f>
        <v>0</v>
      </c>
      <c r="KX76" s="1" t="n">
        <f aca="false">KP76-KW76</f>
        <v>0</v>
      </c>
      <c r="KY76" s="1" t="n">
        <f aca="false">IF(DI76=1,IF(ABS((1+AS_Wage)/(1+Slot10_Rate)-1)&lt;0.000000000001,(Slot10_Age-D76)*(1+Slot10_Rate)^(Slot10_Age-D76),(1+Slot10_Rate)^(Slot10_Age-D76)*(1-((1+AS_Wage)/(1+Slot10_Rate))^(Slot10_Age-D76))/(1-(1+AS_Wage)/(1+Slot10_Rate))),1)</f>
        <v>1</v>
      </c>
      <c r="KZ76" s="1" t="n">
        <f aca="false">IF(AND(HT76=1,ID76&gt;0,Slot10_IsWG=1,DI76=1),MAX(0,(Slot10_Cost-DJ76*(1+Slot10_Rate)^(Slot10_Age-D76))/KY76),0)</f>
        <v>0</v>
      </c>
      <c r="LA76" s="1" t="n">
        <f aca="false">IF(AND(HT76=1,ID76&gt;0,Slot10_IsWG=1,DI76=1),MIN(ID76,KZ76),0)</f>
        <v>0</v>
      </c>
      <c r="LB76" s="1" t="n">
        <f aca="false">DJ76+LA76</f>
        <v>0</v>
      </c>
      <c r="LC76" s="1" t="n">
        <f aca="false">IF(DI76=1,MAX(0,(Slot10_Cost-LB76*(1+Slot10_Rate)^(Slot10_Age-D76))/KY76),0)</f>
        <v>0</v>
      </c>
      <c r="LD76" s="1" t="n">
        <f aca="false">IF(DI76=1,MAX(0,(Slot10_Cost-DJ76*(1+Slot10_Rate)^(Slot10_Age-D76))/KY76),0)</f>
        <v>0</v>
      </c>
      <c r="LE76" s="1" t="n">
        <f aca="false">IF(AND(HT76=1,DI76=1),MIN(KX76,LC76),0)</f>
        <v>0</v>
      </c>
      <c r="LF76" s="1" t="n">
        <f aca="false">KX76-LE76</f>
        <v>0</v>
      </c>
      <c r="LG76" s="1" t="n">
        <f aca="false">IF(DS76=1,IF(ABS((1+AS_Wage)/(1+Slot11_Rate)-1)&lt;0.000000000001,(Slot11_Age-D76)*(1+Slot11_Rate)^(Slot11_Age-D76),(1+Slot11_Rate)^(Slot11_Age-D76)*(1-((1+AS_Wage)/(1+Slot11_Rate))^(Slot11_Age-D76))/(1-(1+AS_Wage)/(1+Slot11_Rate))),1)</f>
        <v>1</v>
      </c>
      <c r="LH76" s="1" t="n">
        <f aca="false">IF(AND(HT76=1,ID76&gt;0,Slot11_IsWG=1,DS76=1),MAX(0,(Slot11_Cost-DT76*(1+Slot11_Rate)^(Slot11_Age-D76))/LG76),0)</f>
        <v>0</v>
      </c>
      <c r="LI76" s="1" t="n">
        <f aca="false">IF(AND(HT76=1,ID76&gt;0,Slot11_IsWG=1,DS76=1),MIN(ID76,LH76),0)</f>
        <v>0</v>
      </c>
      <c r="LJ76" s="1" t="n">
        <f aca="false">DT76+LI76</f>
        <v>0</v>
      </c>
      <c r="LK76" s="1" t="n">
        <f aca="false">IF(DS76=1,MAX(0,(Slot11_Cost-LJ76*(1+Slot11_Rate)^(Slot11_Age-D76))/LG76),0)</f>
        <v>0</v>
      </c>
      <c r="LL76" s="1" t="n">
        <f aca="false">IF(DS76=1,MAX(0,(Slot11_Cost-DT76*(1+Slot11_Rate)^(Slot11_Age-D76))/LG76),0)</f>
        <v>0</v>
      </c>
      <c r="LM76" s="1" t="n">
        <f aca="false">IF(AND(HT76=1,DS76=1),MIN(LF76,LK76),0)</f>
        <v>0</v>
      </c>
      <c r="LN76" s="1" t="n">
        <f aca="false">LF76-LM76</f>
        <v>0</v>
      </c>
      <c r="LO76" s="1" t="n">
        <f aca="false">IF(EC76=1,IF(ABS((1+AS_Wage)/(1+Slot12_Rate)-1)&lt;0.000000000001,(Slot12_Age-D76)*(1+Slot12_Rate)^(Slot12_Age-D76),(1+Slot12_Rate)^(Slot12_Age-D76)*(1-((1+AS_Wage)/(1+Slot12_Rate))^(Slot12_Age-D76))/(1-(1+AS_Wage)/(1+Slot12_Rate))),1)</f>
        <v>1</v>
      </c>
      <c r="LP76" s="1" t="n">
        <f aca="false">IF(AND(HT76=1,ID76&gt;0,Slot12_IsWG=1,EC76=1),MAX(0,(Slot12_Cost-ED76*(1+Slot12_Rate)^(Slot12_Age-D76))/LO76),0)</f>
        <v>0</v>
      </c>
      <c r="LQ76" s="1" t="n">
        <f aca="false">IF(AND(HT76=1,ID76&gt;0,Slot12_IsWG=1,EC76=1),MIN(ID76,LP76),0)</f>
        <v>0</v>
      </c>
      <c r="LR76" s="1" t="n">
        <f aca="false">ED76+LQ76</f>
        <v>0</v>
      </c>
      <c r="LS76" s="1" t="n">
        <f aca="false">IF(EC76=1,MAX(0,(Slot12_Cost-LR76*(1+Slot12_Rate)^(Slot12_Age-D76))/LO76),0)</f>
        <v>0</v>
      </c>
      <c r="LT76" s="1" t="n">
        <f aca="false">IF(EC76=1,MAX(0,(Slot12_Cost-ED76*(1+Slot12_Rate)^(Slot12_Age-D76))/LO76),0)</f>
        <v>0</v>
      </c>
      <c r="LU76" s="1" t="n">
        <f aca="false">IF(AND(HT76=1,EC76=1),MIN(LN76,LS76),0)</f>
        <v>0</v>
      </c>
      <c r="LV76" s="1" t="n">
        <f aca="false">LN76-LU76</f>
        <v>0</v>
      </c>
      <c r="LW76" s="1" t="n">
        <f aca="false">IF(EM76=1,IF(ABS((1+AS_Wage)/(1+Slot13_Rate)-1)&lt;0.000000000001,(Slot13_Age-D76)*(1+Slot13_Rate)^(Slot13_Age-D76),(1+Slot13_Rate)^(Slot13_Age-D76)*(1-((1+AS_Wage)/(1+Slot13_Rate))^(Slot13_Age-D76))/(1-(1+AS_Wage)/(1+Slot13_Rate))),1)</f>
        <v>1</v>
      </c>
      <c r="LX76" s="1" t="n">
        <f aca="false">IF(AND(HT76=1,ID76&gt;0,Slot13_IsWG=1,EM76=1),MAX(0,(Slot13_Cost-EN76*(1+Slot13_Rate)^(Slot13_Age-D76))/LW76),0)</f>
        <v>0</v>
      </c>
      <c r="LY76" s="1" t="n">
        <f aca="false">IF(AND(HT76=1,ID76&gt;0,Slot13_IsWG=1,EM76=1),MIN(ID76,LX76),0)</f>
        <v>0</v>
      </c>
      <c r="LZ76" s="1" t="n">
        <f aca="false">EN76+LY76</f>
        <v>0</v>
      </c>
      <c r="MA76" s="1" t="n">
        <f aca="false">IF(EM76=1,MAX(0,(Slot13_Cost-LZ76*(1+Slot13_Rate)^(Slot13_Age-D76))/LW76),0)</f>
        <v>0</v>
      </c>
      <c r="MB76" s="1" t="n">
        <f aca="false">IF(EM76=1,MAX(0,(Slot13_Cost-EN76*(1+Slot13_Rate)^(Slot13_Age-D76))/LW76),0)</f>
        <v>0</v>
      </c>
      <c r="MC76" s="1" t="n">
        <f aca="false">IF(AND(HT76=1,EM76=1),MIN(LV76,MA76),0)</f>
        <v>0</v>
      </c>
      <c r="MD76" s="1" t="n">
        <f aca="false">LV76-MC76</f>
        <v>0</v>
      </c>
      <c r="ME76" s="1" t="n">
        <f aca="false">IF(EW76=1,IF(ABS((1+AS_Wage)/(1+Slot14_Rate)-1)&lt;0.000000000001,(Slot14_Age-D76)*(1+Slot14_Rate)^(Slot14_Age-D76),(1+Slot14_Rate)^(Slot14_Age-D76)*(1-((1+AS_Wage)/(1+Slot14_Rate))^(Slot14_Age-D76))/(1-(1+AS_Wage)/(1+Slot14_Rate))),1)</f>
        <v>1</v>
      </c>
      <c r="MF76" s="1" t="n">
        <f aca="false">IF(AND(HT76=1,ID76&gt;0,Slot14_IsWG=1,EW76=1),MAX(0,(Slot14_Cost-EX76*(1+Slot14_Rate)^(Slot14_Age-D76))/ME76),0)</f>
        <v>0</v>
      </c>
      <c r="MG76" s="1" t="n">
        <f aca="false">IF(AND(HT76=1,ID76&gt;0,Slot14_IsWG=1,EW76=1),MIN(ID76,MF76),0)</f>
        <v>0</v>
      </c>
      <c r="MH76" s="1" t="n">
        <f aca="false">EX76+MG76</f>
        <v>0</v>
      </c>
      <c r="MI76" s="1" t="n">
        <f aca="false">IF(EW76=1,MAX(0,(Slot14_Cost-MH76*(1+Slot14_Rate)^(Slot14_Age-D76))/ME76),0)</f>
        <v>0</v>
      </c>
      <c r="MJ76" s="1" t="n">
        <f aca="false">IF(EW76=1,MAX(0,(Slot14_Cost-EX76*(1+Slot14_Rate)^(Slot14_Age-D76))/ME76),0)</f>
        <v>0</v>
      </c>
      <c r="MK76" s="1" t="n">
        <f aca="false">IF(AND(HT76=1,EW76=1),MIN(MD76,MI76),0)</f>
        <v>0</v>
      </c>
      <c r="ML76" s="1" t="n">
        <f aca="false">MD76-MK76</f>
        <v>0</v>
      </c>
      <c r="MM76" s="1" t="n">
        <f aca="false">IF(FG76=1,IF(ABS((1+AS_Wage)/(1+Slot15_Rate)-1)&lt;0.000000000001,(Slot15_Age-D76)*(1+Slot15_Rate)^(Slot15_Age-D76),(1+Slot15_Rate)^(Slot15_Age-D76)*(1-((1+AS_Wage)/(1+Slot15_Rate))^(Slot15_Age-D76))/(1-(1+AS_Wage)/(1+Slot15_Rate))),1)</f>
        <v>1</v>
      </c>
      <c r="MN76" s="1" t="n">
        <f aca="false">IF(AND(HT76=1,ID76&gt;0,Slot15_IsWG=1,FG76=1),MAX(0,(Slot15_Cost-FH76*(1+Slot15_Rate)^(Slot15_Age-D76))/MM76),0)</f>
        <v>0</v>
      </c>
      <c r="MO76" s="1" t="n">
        <f aca="false">IF(AND(HT76=1,ID76&gt;0,Slot15_IsWG=1,FG76=1),MIN(ID76,MN76),0)</f>
        <v>0</v>
      </c>
      <c r="MP76" s="1" t="n">
        <f aca="false">FH76+MO76</f>
        <v>0</v>
      </c>
      <c r="MQ76" s="1" t="n">
        <f aca="false">IF(FG76=1,MAX(0,(Slot15_Cost-MP76*(1+Slot15_Rate)^(Slot15_Age-D76))/MM76),0)</f>
        <v>0</v>
      </c>
      <c r="MR76" s="1" t="n">
        <f aca="false">IF(FG76=1,MAX(0,(Slot15_Cost-FH76*(1+Slot15_Rate)^(Slot15_Age-D76))/MM76),0)</f>
        <v>0</v>
      </c>
      <c r="MS76" s="1" t="n">
        <f aca="false">IF(AND(HT76=1,FG76=1),MIN(ML76,MQ76),0)</f>
        <v>0</v>
      </c>
      <c r="MT76" s="1" t="n">
        <f aca="false">ML76-MS76</f>
        <v>0</v>
      </c>
      <c r="MU76" s="1" t="n">
        <f aca="false">IF(FQ76=1,IF(ABS((1+AS_Wage)/(1+Slot16_Rate)-1)&lt;0.000000000001,(Slot16_Age-D76)*(1+Slot16_Rate)^(Slot16_Age-D76),(1+Slot16_Rate)^(Slot16_Age-D76)*(1-((1+AS_Wage)/(1+Slot16_Rate))^(Slot16_Age-D76))/(1-(1+AS_Wage)/(1+Slot16_Rate))),1)</f>
        <v>1</v>
      </c>
      <c r="MV76" s="1" t="n">
        <f aca="false">IF(AND(HT76=1,ID76&gt;0,Slot16_IsWG=1,FQ76=1),MAX(0,(Slot16_Cost-FR76*(1+Slot16_Rate)^(Slot16_Age-D76))/MU76),0)</f>
        <v>0</v>
      </c>
      <c r="MW76" s="1" t="n">
        <f aca="false">IF(AND(HT76=1,ID76&gt;0,Slot16_IsWG=1,FQ76=1),MIN(ID76,MV76),0)</f>
        <v>0</v>
      </c>
      <c r="MX76" s="1" t="n">
        <f aca="false">FR76+MW76</f>
        <v>0</v>
      </c>
      <c r="MY76" s="1" t="n">
        <f aca="false">IF(FQ76=1,MAX(0,(Slot16_Cost-MX76*(1+Slot16_Rate)^(Slot16_Age-D76))/MU76),0)</f>
        <v>0</v>
      </c>
      <c r="MZ76" s="1" t="n">
        <f aca="false">IF(FQ76=1,MAX(0,(Slot16_Cost-FR76*(1+Slot16_Rate)^(Slot16_Age-D76))/MU76),0)</f>
        <v>0</v>
      </c>
      <c r="NA76" s="1" t="n">
        <f aca="false">IF(AND(HT76=1,FQ76=1),MIN(MT76,MY76),0)</f>
        <v>0</v>
      </c>
      <c r="NB76" s="1" t="n">
        <f aca="false">MT76-NA76</f>
        <v>0</v>
      </c>
      <c r="NC76" s="1" t="n">
        <f aca="false">IF(GA76=1,IF(ABS((1+AS_Wage)/(1+Slot17_Rate)-1)&lt;0.000000000001,(Slot17_Age-D76)*(1+Slot17_Rate)^(Slot17_Age-D76),(1+Slot17_Rate)^(Slot17_Age-D76)*(1-((1+AS_Wage)/(1+Slot17_Rate))^(Slot17_Age-D76))/(1-(1+AS_Wage)/(1+Slot17_Rate))),1)</f>
        <v>1</v>
      </c>
      <c r="ND76" s="1" t="n">
        <f aca="false">IF(AND(HT76=1,ID76&gt;0,Slot17_IsWG=1,GA76=1),MAX(0,(Slot17_Cost-GB76*(1+Slot17_Rate)^(Slot17_Age-D76))/NC76),0)</f>
        <v>0</v>
      </c>
      <c r="NE76" s="1" t="n">
        <f aca="false">IF(AND(HT76=1,ID76&gt;0,Slot17_IsWG=1,GA76=1),MIN(ID76,ND76),0)</f>
        <v>0</v>
      </c>
      <c r="NF76" s="1" t="n">
        <f aca="false">GB76+NE76</f>
        <v>0</v>
      </c>
      <c r="NG76" s="1" t="n">
        <f aca="false">IF(GA76=1,MAX(0,(Slot17_Cost-NF76*(1+Slot17_Rate)^(Slot17_Age-D76))/NC76),0)</f>
        <v>0</v>
      </c>
      <c r="NH76" s="1" t="n">
        <f aca="false">IF(GA76=1,MAX(0,(Slot17_Cost-GB76*(1+Slot17_Rate)^(Slot17_Age-D76))/NC76),0)</f>
        <v>0</v>
      </c>
      <c r="NI76" s="1" t="n">
        <f aca="false">IF(AND(HT76=1,GA76=1),MIN(NB76,NG76),0)</f>
        <v>0</v>
      </c>
      <c r="NJ76" s="1" t="n">
        <f aca="false">NB76-NI76</f>
        <v>0</v>
      </c>
      <c r="NK76" s="1" t="n">
        <f aca="false">IF(GK76=1,IF(ABS((1+AS_Wage)/(1+Slot18_Rate)-1)&lt;0.000000000001,(Slot18_Age-D76)*(1+Slot18_Rate)^(Slot18_Age-D76),(1+Slot18_Rate)^(Slot18_Age-D76)*(1-((1+AS_Wage)/(1+Slot18_Rate))^(Slot18_Age-D76))/(1-(1+AS_Wage)/(1+Slot18_Rate))),1)</f>
        <v>1</v>
      </c>
      <c r="NL76" s="1" t="n">
        <f aca="false">IF(AND(HT76=1,ID76&gt;0,Slot18_IsWG=1,GK76=1),MAX(0,(Slot18_Cost-GL76*(1+Slot18_Rate)^(Slot18_Age-D76))/NK76),0)</f>
        <v>0</v>
      </c>
      <c r="NM76" s="1" t="n">
        <f aca="false">IF(AND(HT76=1,ID76&gt;0,Slot18_IsWG=1,GK76=1),MIN(ID76,NL76),0)</f>
        <v>0</v>
      </c>
      <c r="NN76" s="1" t="n">
        <f aca="false">GL76+NM76</f>
        <v>0</v>
      </c>
      <c r="NO76" s="1" t="n">
        <f aca="false">IF(GK76=1,MAX(0,(Slot18_Cost-NN76*(1+Slot18_Rate)^(Slot18_Age-D76))/NK76),0)</f>
        <v>0</v>
      </c>
      <c r="NP76" s="1" t="n">
        <f aca="false">IF(GK76=1,MAX(0,(Slot18_Cost-GL76*(1+Slot18_Rate)^(Slot18_Age-D76))/NK76),0)</f>
        <v>0</v>
      </c>
      <c r="NQ76" s="1" t="n">
        <f aca="false">IF(AND(HT76=1,GK76=1),MIN(NJ76,NO76),0)</f>
        <v>0</v>
      </c>
      <c r="NR76" s="1" t="n">
        <f aca="false">NJ76-NQ76</f>
        <v>0</v>
      </c>
      <c r="NS76" s="1" t="n">
        <f aca="false">IF(GU76=1,IF(ABS((1+AS_Wage)/(1+Slot19_Rate)-1)&lt;0.000000000001,(Slot19_Age-D76)*(1+Slot19_Rate)^(Slot19_Age-D76),(1+Slot19_Rate)^(Slot19_Age-D76)*(1-((1+AS_Wage)/(1+Slot19_Rate))^(Slot19_Age-D76))/(1-(1+AS_Wage)/(1+Slot19_Rate))),1)</f>
        <v>1</v>
      </c>
      <c r="NT76" s="1" t="n">
        <f aca="false">IF(AND(HT76=1,ID76&gt;0,Slot19_IsWG=1,GU76=1),MAX(0,(Slot19_Cost-GV76*(1+Slot19_Rate)^(Slot19_Age-D76))/NS76),0)</f>
        <v>0</v>
      </c>
      <c r="NU76" s="1" t="n">
        <f aca="false">IF(AND(HT76=1,ID76&gt;0,Slot19_IsWG=1,GU76=1),MIN(ID76,NT76),0)</f>
        <v>0</v>
      </c>
      <c r="NV76" s="1" t="n">
        <f aca="false">GV76+NU76</f>
        <v>0</v>
      </c>
      <c r="NW76" s="1" t="n">
        <f aca="false">IF(GU76=1,MAX(0,(Slot19_Cost-NV76*(1+Slot19_Rate)^(Slot19_Age-D76))/NS76),0)</f>
        <v>0</v>
      </c>
      <c r="NX76" s="1" t="n">
        <f aca="false">IF(GU76=1,MAX(0,(Slot19_Cost-GV76*(1+Slot19_Rate)^(Slot19_Age-D76))/NS76),0)</f>
        <v>0</v>
      </c>
      <c r="NY76" s="1" t="n">
        <f aca="false">IF(AND(HT76=1,GU76=1),MIN(NR76,NW76),0)</f>
        <v>0</v>
      </c>
      <c r="NZ76" s="1" t="n">
        <f aca="false">NR76-NY76</f>
        <v>0</v>
      </c>
      <c r="OA76" s="1" t="n">
        <f aca="false">IF(HE76=1,IF(ABS((1+AS_Wage)/(1+Slot20_Rate)-1)&lt;0.000000000001,(Slot20_Age-D76)*(1+Slot20_Rate)^(Slot20_Age-D76),(1+Slot20_Rate)^(Slot20_Age-D76)*(1-((1+AS_Wage)/(1+Slot20_Rate))^(Slot20_Age-D76))/(1-(1+AS_Wage)/(1+Slot20_Rate))),1)</f>
        <v>1</v>
      </c>
      <c r="OB76" s="1" t="n">
        <f aca="false">IF(AND(HT76=1,ID76&gt;0,Slot20_IsWG=1,HE76=1),MAX(0,(Slot20_Cost-HF76*(1+Slot20_Rate)^(Slot20_Age-D76))/OA76),0)</f>
        <v>0</v>
      </c>
      <c r="OC76" s="1" t="n">
        <f aca="false">IF(AND(HT76=1,ID76&gt;0,Slot20_IsWG=1,HE76=1),MIN(ID76,OB76),0)</f>
        <v>0</v>
      </c>
      <c r="OD76" s="1" t="n">
        <f aca="false">HF76+OC76</f>
        <v>0</v>
      </c>
      <c r="OE76" s="1" t="n">
        <f aca="false">IF(HE76=1,MAX(0,(Slot20_Cost-OD76*(1+Slot20_Rate)^(Slot20_Age-D76))/OA76),0)</f>
        <v>0</v>
      </c>
      <c r="OF76" s="1" t="n">
        <f aca="false">IF(HE76=1,MAX(0,(Slot20_Cost-HF76*(1+Slot20_Rate)^(Slot20_Age-D76))/OA76),0)</f>
        <v>0</v>
      </c>
      <c r="OG76" s="1" t="n">
        <f aca="false">IF(AND(HT76=1,HE76=1),MIN(NZ76,OE76),0)</f>
        <v>0</v>
      </c>
      <c r="OH76" s="1" t="n">
        <f aca="false">NZ76-OG76</f>
        <v>0</v>
      </c>
      <c r="OI76" s="1" t="n">
        <f aca="false">ID76-(IG76+IO76+IW76+JE76+JM76+JU76+KC76+KK76+KS76+LA76+LI76+LQ76+LY76+MG76+MO76+MW76+NE76+NM76+NU76+OC76)</f>
        <v>0</v>
      </c>
      <c r="OJ76" s="1" t="n">
        <f aca="false">IF(HT76=1,HR76-IC76-ID76,0)</f>
        <v>47864.3016971349</v>
      </c>
      <c r="OK76" s="1" t="n">
        <f aca="false">IF(HT76=0,-HR76,0)</f>
        <v>0</v>
      </c>
      <c r="OL76" s="1" t="n">
        <f aca="false">MIN(OK76,HJ76)</f>
        <v>0</v>
      </c>
      <c r="OM76" s="1" t="n">
        <f aca="false">OK76-OL76</f>
        <v>0</v>
      </c>
      <c r="ON76" s="1" t="n">
        <f aca="false">MIN(OM76,HK76)</f>
        <v>0</v>
      </c>
      <c r="OO76" s="1" t="n">
        <f aca="false">OM76-ON76</f>
        <v>0</v>
      </c>
      <c r="OP76" s="1" t="n">
        <f aca="false">IF(AND(HT76=0,HE76=1,OO76&gt;0),MIN(OO76,HF76),0)</f>
        <v>0</v>
      </c>
      <c r="OQ76" s="1" t="n">
        <f aca="false">OO76-OP76</f>
        <v>0</v>
      </c>
      <c r="OR76" s="1" t="n">
        <f aca="false">IF(AND(HT76=0,GU76=1,OQ76&gt;0),MIN(OQ76,GV76),0)</f>
        <v>0</v>
      </c>
      <c r="OS76" s="1" t="n">
        <f aca="false">OQ76-OR76</f>
        <v>0</v>
      </c>
      <c r="OT76" s="1" t="n">
        <f aca="false">IF(AND(HT76=0,GK76=1,OS76&gt;0),MIN(OS76,GL76),0)</f>
        <v>0</v>
      </c>
      <c r="OU76" s="1" t="n">
        <f aca="false">OS76-OT76</f>
        <v>0</v>
      </c>
      <c r="OV76" s="1" t="n">
        <f aca="false">IF(AND(HT76=0,GA76=1,OU76&gt;0),MIN(OU76,GB76),0)</f>
        <v>0</v>
      </c>
      <c r="OW76" s="1" t="n">
        <f aca="false">OU76-OV76</f>
        <v>0</v>
      </c>
      <c r="OX76" s="1" t="n">
        <f aca="false">IF(AND(HT76=0,FQ76=1,OW76&gt;0),MIN(OW76,FR76),0)</f>
        <v>0</v>
      </c>
      <c r="OY76" s="1" t="n">
        <f aca="false">OW76-OX76</f>
        <v>0</v>
      </c>
      <c r="OZ76" s="1" t="n">
        <f aca="false">IF(AND(HT76=0,FG76=1,OY76&gt;0),MIN(OY76,FH76),0)</f>
        <v>0</v>
      </c>
      <c r="PA76" s="1" t="n">
        <f aca="false">OY76-OZ76</f>
        <v>0</v>
      </c>
      <c r="PB76" s="1" t="n">
        <f aca="false">IF(AND(HT76=0,EW76=1,PA76&gt;0),MIN(PA76,EX76),0)</f>
        <v>0</v>
      </c>
      <c r="PC76" s="1" t="n">
        <f aca="false">PA76-PB76</f>
        <v>0</v>
      </c>
      <c r="PD76" s="1" t="n">
        <f aca="false">IF(AND(HT76=0,EM76=1,PC76&gt;0),MIN(PC76,EN76),0)</f>
        <v>0</v>
      </c>
      <c r="PE76" s="1" t="n">
        <f aca="false">PC76-PD76</f>
        <v>0</v>
      </c>
      <c r="PF76" s="1" t="n">
        <f aca="false">IF(AND(HT76=0,EC76=1,PE76&gt;0),MIN(PE76,ED76),0)</f>
        <v>0</v>
      </c>
      <c r="PG76" s="1" t="n">
        <f aca="false">PE76-PF76</f>
        <v>0</v>
      </c>
      <c r="PH76" s="1" t="n">
        <f aca="false">IF(AND(HT76=0,DS76=1,PG76&gt;0),MIN(PG76,DT76),0)</f>
        <v>0</v>
      </c>
      <c r="PI76" s="1" t="n">
        <f aca="false">PG76-PH76</f>
        <v>0</v>
      </c>
      <c r="PJ76" s="1" t="n">
        <f aca="false">IF(AND(HT76=0,DI76=1,PI76&gt;0),MIN(PI76,DJ76),0)</f>
        <v>0</v>
      </c>
      <c r="PK76" s="1" t="n">
        <f aca="false">PI76-PJ76</f>
        <v>0</v>
      </c>
      <c r="PL76" s="1" t="n">
        <f aca="false">IF(AND(HT76=0,CY76=1,PK76&gt;0),MIN(PK76,CZ76),0)</f>
        <v>0</v>
      </c>
      <c r="PM76" s="1" t="n">
        <f aca="false">PK76-PL76</f>
        <v>0</v>
      </c>
      <c r="PN76" s="1" t="n">
        <f aca="false">IF(AND(HT76=0,CO76=1,PM76&gt;0),MIN(PM76,CP76),0)</f>
        <v>0</v>
      </c>
      <c r="PO76" s="1" t="n">
        <f aca="false">PM76-PN76</f>
        <v>0</v>
      </c>
      <c r="PP76" s="1" t="n">
        <f aca="false">IF(AND(HT76=0,CE76=1,PO76&gt;0),MIN(PO76,CF76),0)</f>
        <v>0</v>
      </c>
      <c r="PQ76" s="1" t="n">
        <f aca="false">PO76-PP76</f>
        <v>0</v>
      </c>
      <c r="PR76" s="1" t="n">
        <f aca="false">IF(AND(HT76=0,BU76=1,PQ76&gt;0),MIN(PQ76,BV76),0)</f>
        <v>0</v>
      </c>
      <c r="PS76" s="1" t="n">
        <f aca="false">PQ76-PR76</f>
        <v>0</v>
      </c>
      <c r="PT76" s="1" t="n">
        <f aca="false">IF(AND(HT76=0,BK76=1,PS76&gt;0),MIN(PS76,BL76),0)</f>
        <v>0</v>
      </c>
      <c r="PU76" s="1" t="n">
        <f aca="false">PS76-PT76</f>
        <v>0</v>
      </c>
      <c r="PV76" s="1" t="n">
        <f aca="false">IF(AND(HT76=0,BA76=1,PU76&gt;0),MIN(PU76,BB76),0)</f>
        <v>0</v>
      </c>
      <c r="PW76" s="1" t="n">
        <f aca="false">PU76-PV76</f>
        <v>0</v>
      </c>
      <c r="PX76" s="1" t="n">
        <f aca="false">IF(AND(HT76=0,AQ76=1,PW76&gt;0),MIN(PW76,AR76),0)</f>
        <v>0</v>
      </c>
      <c r="PY76" s="1" t="n">
        <f aca="false">PW76-PX76</f>
        <v>0</v>
      </c>
      <c r="PZ76" s="1" t="n">
        <f aca="false">IF(AND(HT76=0,AG76=1,PY76&gt;0),MIN(PY76,AH76),0)</f>
        <v>0</v>
      </c>
      <c r="QA76" s="1" t="n">
        <f aca="false">PY76-PZ76</f>
        <v>0</v>
      </c>
      <c r="QB76" s="1" t="n">
        <f aca="false">IF(AND(HT76=0,V76=1,QA76&gt;0),MIN(QA76,W76),0)</f>
        <v>0</v>
      </c>
      <c r="QC76" s="1" t="n">
        <f aca="false">QA76-QB76</f>
        <v>0</v>
      </c>
      <c r="QD76" s="1" t="n">
        <f aca="false">IF(HT76=0,QC76,0)</f>
        <v>0</v>
      </c>
      <c r="QE76" s="1" t="n">
        <f aca="false">OL76+ON76+QB76+PZ76+PX76+PV76+PT76+PR76+PP76+PN76+PL76+PJ76+PH76+PF76+PD76+PB76+OZ76+OX76+OV76+OT76+OR76+OP76</f>
        <v>0</v>
      </c>
      <c r="QF76" s="1" t="n">
        <f aca="false">IF(HT76=1,HJ76+OI76+OH76+IF(F76=1,0,OJ76),HJ76-OL76)</f>
        <v>143086.702836363</v>
      </c>
      <c r="QG76" s="1" t="n">
        <f aca="false">HK76-ON76</f>
        <v>0</v>
      </c>
      <c r="QH76" s="1" t="n">
        <f aca="false">IF(HT76=1,IF(F76=1,IC76+ID76,HR76),0)</f>
        <v>47864.3016971349</v>
      </c>
      <c r="QI76" s="1" t="n">
        <f aca="false">IF(HT76=1,IF(F76=1,HR76-IC76-ID76,0),0)</f>
        <v>0</v>
      </c>
      <c r="QJ76" s="1" t="n">
        <f aca="false">QF76*(1+GR)</f>
        <v>145433.324762879</v>
      </c>
      <c r="QK76" s="1" t="n">
        <f aca="false">QG76*(1+AS_Cash)</f>
        <v>0</v>
      </c>
      <c r="QL76" s="1" t="n">
        <f aca="false">IF(V76=1,IF(HT76=1,IH76+IK76,W76-QB76)*(1+Slot1_Rate),0)</f>
        <v>0</v>
      </c>
      <c r="QM76" s="1" t="n">
        <f aca="false">IF(AND(HT76=1,V76=1),(IG76+IK76)/E76,0)</f>
        <v>0</v>
      </c>
      <c r="QN76" s="1" t="n">
        <f aca="false">IF(B76=0,IG76+IK76,0)</f>
        <v>0</v>
      </c>
      <c r="QO76" s="1" t="n">
        <f aca="false">IF(B76=0,IF(HT76=1,II76,IJ76),0)</f>
        <v>0</v>
      </c>
      <c r="QP76" s="1" t="n">
        <f aca="false">IF(AG76=1,IF(HT76=1,IP76+IS76,AH76-PZ76)*(1+Slot2_Rate),0)</f>
        <v>0</v>
      </c>
      <c r="QQ76" s="1" t="n">
        <f aca="false">IF(AND(HT76=1,AG76=1),(IO76+IS76)/E76,0)</f>
        <v>0</v>
      </c>
      <c r="QR76" s="1" t="n">
        <f aca="false">IF(B76=0,IO76+IS76,0)</f>
        <v>0</v>
      </c>
      <c r="QS76" s="1" t="n">
        <f aca="false">IF(B76=0,IF(HT76=1,IQ76,IR76),0)</f>
        <v>0</v>
      </c>
      <c r="QT76" s="1" t="n">
        <f aca="false">IF(AQ76=1,IF(HT76=1,IX76+JA76,AR76-PX76)*(1+Slot3_Rate),0)</f>
        <v>0</v>
      </c>
      <c r="QU76" s="1" t="n">
        <f aca="false">IF(AND(HT76=1,AQ76=1),(IW76+JA76)/E76,0)</f>
        <v>0</v>
      </c>
      <c r="QV76" s="1" t="n">
        <f aca="false">IF(B76=0,IW76+JA76,0)</f>
        <v>0</v>
      </c>
      <c r="QW76" s="1" t="n">
        <f aca="false">IF(B76=0,IF(HT76=1,IY76,IZ76),0)</f>
        <v>0</v>
      </c>
      <c r="QX76" s="1" t="n">
        <f aca="false">IF(BA76=1,IF(HT76=1,JF76+JI76,BB76-PV76)*(1+Slot4_Rate),0)</f>
        <v>0</v>
      </c>
      <c r="QY76" s="1" t="n">
        <f aca="false">IF(AND(HT76=1,BA76=1),(JE76+JI76)/E76,0)</f>
        <v>0</v>
      </c>
      <c r="QZ76" s="1" t="n">
        <f aca="false">IF(B76=0,JE76+JI76,0)</f>
        <v>0</v>
      </c>
      <c r="RA76" s="1" t="n">
        <f aca="false">IF(B76=0,IF(HT76=1,JG76,JH76),0)</f>
        <v>0</v>
      </c>
      <c r="RB76" s="1" t="n">
        <f aca="false">IF(BK76=1,IF(HT76=1,JN76+JQ76,BL76-PT76)*(1+Slot5_Rate),0)</f>
        <v>0</v>
      </c>
      <c r="RC76" s="1" t="n">
        <f aca="false">IF(AND(HT76=1,BK76=1),(JM76+JQ76)/E76,0)</f>
        <v>0</v>
      </c>
      <c r="RD76" s="1" t="n">
        <f aca="false">IF(B76=0,JM76+JQ76,0)</f>
        <v>0</v>
      </c>
      <c r="RE76" s="1" t="n">
        <f aca="false">IF(B76=0,IF(HT76=1,JO76,JP76),0)</f>
        <v>0</v>
      </c>
      <c r="RF76" s="1" t="n">
        <f aca="false">IF(BU76=1,IF(HT76=1,JV76+JY76,BV76-PR76)*(1+Slot6_Rate),0)</f>
        <v>0</v>
      </c>
      <c r="RG76" s="1" t="n">
        <f aca="false">IF(AND(HT76=1,BU76=1),(JU76+JY76)/E76,0)</f>
        <v>0</v>
      </c>
      <c r="RH76" s="1" t="n">
        <f aca="false">IF(B76=0,JU76+JY76,0)</f>
        <v>0</v>
      </c>
      <c r="RI76" s="1" t="n">
        <f aca="false">IF(B76=0,IF(HT76=1,JW76,JX76),0)</f>
        <v>0</v>
      </c>
      <c r="RJ76" s="1" t="n">
        <f aca="false">IF(CE76=1,IF(HT76=1,KD76+KG76,CF76-PP76)*(1+Slot7_Rate),0)</f>
        <v>0</v>
      </c>
      <c r="RK76" s="1" t="n">
        <f aca="false">IF(AND(HT76=1,CE76=1),(KC76+KG76)/E76,0)</f>
        <v>0</v>
      </c>
      <c r="RL76" s="1" t="n">
        <f aca="false">IF(B76=0,KC76+KG76,0)</f>
        <v>0</v>
      </c>
      <c r="RM76" s="1" t="n">
        <f aca="false">IF(B76=0,IF(HT76=1,KE76,KF76),0)</f>
        <v>0</v>
      </c>
      <c r="RN76" s="1" t="n">
        <f aca="false">IF(CO76=1,IF(HT76=1,KL76+KO76,CP76-PN76)*(1+Slot8_Rate),0)</f>
        <v>0</v>
      </c>
      <c r="RO76" s="1" t="n">
        <f aca="false">IF(AND(HT76=1,CO76=1),(KK76+KO76)/E76,0)</f>
        <v>0</v>
      </c>
      <c r="RP76" s="1" t="n">
        <f aca="false">IF(B76=0,KK76+KO76,0)</f>
        <v>0</v>
      </c>
      <c r="RQ76" s="1" t="n">
        <f aca="false">IF(B76=0,IF(HT76=1,KM76,KN76),0)</f>
        <v>0</v>
      </c>
      <c r="RR76" s="1" t="n">
        <f aca="false">IF(CY76=1,IF(HT76=1,KT76+KW76,CZ76-PL76)*(1+Slot9_Rate),0)</f>
        <v>0</v>
      </c>
      <c r="RS76" s="1" t="n">
        <f aca="false">IF(AND(HT76=1,CY76=1),(KS76+KW76)/E76,0)</f>
        <v>0</v>
      </c>
      <c r="RT76" s="1" t="n">
        <f aca="false">IF(B76=0,KS76+KW76,0)</f>
        <v>0</v>
      </c>
      <c r="RU76" s="1" t="n">
        <f aca="false">IF(B76=0,IF(HT76=1,KU76,KV76),0)</f>
        <v>0</v>
      </c>
      <c r="RV76" s="1" t="n">
        <f aca="false">IF(DI76=1,IF(HT76=1,LB76+LE76,DJ76-PJ76)*(1+Slot10_Rate),0)</f>
        <v>0</v>
      </c>
      <c r="RW76" s="1" t="n">
        <f aca="false">IF(AND(HT76=1,DI76=1),(LA76+LE76)/E76,0)</f>
        <v>0</v>
      </c>
      <c r="RX76" s="1" t="n">
        <f aca="false">IF(B76=0,LA76+LE76,0)</f>
        <v>0</v>
      </c>
      <c r="RY76" s="1" t="n">
        <f aca="false">IF(B76=0,IF(HT76=1,LC76,LD76),0)</f>
        <v>0</v>
      </c>
      <c r="RZ76" s="1" t="n">
        <f aca="false">IF(DS76=1,IF(HT76=1,LJ76+LM76,DT76-PH76)*(1+Slot11_Rate),0)</f>
        <v>0</v>
      </c>
      <c r="SA76" s="1" t="n">
        <f aca="false">IF(AND(HT76=1,DS76=1),(LI76+LM76)/E76,0)</f>
        <v>0</v>
      </c>
      <c r="SB76" s="1" t="n">
        <f aca="false">IF(B76=0,LI76+LM76,0)</f>
        <v>0</v>
      </c>
      <c r="SC76" s="1" t="n">
        <f aca="false">IF(B76=0,IF(HT76=1,LK76,LL76),0)</f>
        <v>0</v>
      </c>
      <c r="SD76" s="1" t="n">
        <f aca="false">IF(EC76=1,IF(HT76=1,LR76+LU76,ED76-PF76)*(1+Slot12_Rate),0)</f>
        <v>0</v>
      </c>
      <c r="SE76" s="1" t="n">
        <f aca="false">IF(AND(HT76=1,EC76=1),(LQ76+LU76)/E76,0)</f>
        <v>0</v>
      </c>
      <c r="SF76" s="1" t="n">
        <f aca="false">IF(B76=0,LQ76+LU76,0)</f>
        <v>0</v>
      </c>
      <c r="SG76" s="1" t="n">
        <f aca="false">IF(B76=0,IF(HT76=1,LS76,LT76),0)</f>
        <v>0</v>
      </c>
      <c r="SH76" s="1" t="n">
        <f aca="false">IF(EM76=1,IF(HT76=1,LZ76+MC76,EN76-PD76)*(1+Slot13_Rate),0)</f>
        <v>0</v>
      </c>
      <c r="SI76" s="1" t="n">
        <f aca="false">IF(AND(HT76=1,EM76=1),(LY76+MC76)/E76,0)</f>
        <v>0</v>
      </c>
      <c r="SJ76" s="1" t="n">
        <f aca="false">IF(B76=0,LY76+MC76,0)</f>
        <v>0</v>
      </c>
      <c r="SK76" s="1" t="n">
        <f aca="false">IF(B76=0,IF(HT76=1,MA76,MB76),0)</f>
        <v>0</v>
      </c>
      <c r="SL76" s="1" t="n">
        <f aca="false">IF(EW76=1,IF(HT76=1,MH76+MK76,EX76-PB76)*(1+Slot14_Rate),0)</f>
        <v>0</v>
      </c>
      <c r="SM76" s="1" t="n">
        <f aca="false">IF(AND(HT76=1,EW76=1),(MG76+MK76)/E76,0)</f>
        <v>0</v>
      </c>
      <c r="SN76" s="1" t="n">
        <f aca="false">IF(B76=0,MG76+MK76,0)</f>
        <v>0</v>
      </c>
      <c r="SO76" s="1" t="n">
        <f aca="false">IF(B76=0,IF(HT76=1,MI76,MJ76),0)</f>
        <v>0</v>
      </c>
      <c r="SP76" s="1" t="n">
        <f aca="false">IF(FG76=1,IF(HT76=1,MP76+MS76,FH76-OZ76)*(1+Slot15_Rate),0)</f>
        <v>0</v>
      </c>
      <c r="SQ76" s="1" t="n">
        <f aca="false">IF(AND(HT76=1,FG76=1),(MO76+MS76)/E76,0)</f>
        <v>0</v>
      </c>
      <c r="SR76" s="1" t="n">
        <f aca="false">IF(B76=0,MO76+MS76,0)</f>
        <v>0</v>
      </c>
      <c r="SS76" s="1" t="n">
        <f aca="false">IF(B76=0,IF(HT76=1,MQ76,MR76),0)</f>
        <v>0</v>
      </c>
      <c r="ST76" s="1" t="n">
        <f aca="false">IF(FQ76=1,IF(HT76=1,MX76+NA76,FR76-OX76)*(1+Slot16_Rate),0)</f>
        <v>0</v>
      </c>
      <c r="SU76" s="1" t="n">
        <f aca="false">IF(AND(HT76=1,FQ76=1),(MW76+NA76)/E76,0)</f>
        <v>0</v>
      </c>
      <c r="SV76" s="1" t="n">
        <f aca="false">IF(B76=0,MW76+NA76,0)</f>
        <v>0</v>
      </c>
      <c r="SW76" s="1" t="n">
        <f aca="false">IF(B76=0,IF(HT76=1,MY76,MZ76),0)</f>
        <v>0</v>
      </c>
      <c r="SX76" s="1" t="n">
        <f aca="false">IF(GA76=1,IF(HT76=1,NF76+NI76,GB76-OV76)*(1+Slot17_Rate),0)</f>
        <v>0</v>
      </c>
      <c r="SY76" s="1" t="n">
        <f aca="false">IF(AND(HT76=1,GA76=1),(NE76+NI76)/E76,0)</f>
        <v>0</v>
      </c>
      <c r="SZ76" s="1" t="n">
        <f aca="false">IF(B76=0,NE76+NI76,0)</f>
        <v>0</v>
      </c>
      <c r="TA76" s="1" t="n">
        <f aca="false">IF(B76=0,IF(HT76=1,NG76,NH76),0)</f>
        <v>0</v>
      </c>
      <c r="TB76" s="1" t="n">
        <f aca="false">IF(GK76=1,IF(HT76=1,NN76+NQ76,GL76-OT76)*(1+Slot18_Rate),0)</f>
        <v>0</v>
      </c>
      <c r="TC76" s="1" t="n">
        <f aca="false">IF(AND(HT76=1,GK76=1),(NM76+NQ76)/E76,0)</f>
        <v>0</v>
      </c>
      <c r="TD76" s="1" t="n">
        <f aca="false">IF(B76=0,NM76+NQ76,0)</f>
        <v>0</v>
      </c>
      <c r="TE76" s="1" t="n">
        <f aca="false">IF(B76=0,IF(HT76=1,NO76,NP76),0)</f>
        <v>0</v>
      </c>
      <c r="TF76" s="1" t="n">
        <f aca="false">IF(GU76=1,IF(HT76=1,NV76+NY76,GV76-OR76)*(1+Slot19_Rate),0)</f>
        <v>0</v>
      </c>
      <c r="TG76" s="1" t="n">
        <f aca="false">IF(AND(HT76=1,GU76=1),(NU76+NY76)/E76,0)</f>
        <v>0</v>
      </c>
      <c r="TH76" s="1" t="n">
        <f aca="false">IF(B76=0,NU76+NY76,0)</f>
        <v>0</v>
      </c>
      <c r="TI76" s="1" t="n">
        <f aca="false">IF(B76=0,IF(HT76=1,NW76,NX76),0)</f>
        <v>0</v>
      </c>
      <c r="TJ76" s="1" t="n">
        <f aca="false">IF(HE76=1,IF(HT76=1,OD76+OG76,HF76-OP76)*(1+Slot20_Rate),0)</f>
        <v>0</v>
      </c>
      <c r="TK76" s="1" t="n">
        <f aca="false">IF(AND(HT76=1,HE76=1),(OC76+OG76)/E76,0)</f>
        <v>0</v>
      </c>
      <c r="TL76" s="1" t="n">
        <f aca="false">IF(B76=0,OC76+OG76,0)</f>
        <v>0</v>
      </c>
      <c r="TM76" s="1" t="n">
        <f aca="false">IF(B76=0,IF(HT76=1,OE76,OF76),0)</f>
        <v>0</v>
      </c>
      <c r="TN76" s="1" t="n">
        <f aca="false">QJ76+QK76+QL76+QP76+QT76+QX76+RB76+RF76+RJ76+RN76+RR76+RV76+RZ76+SD76+SH76+SL76+SP76+ST76+SX76+TB76+TF76+TJ76</f>
        <v>145433.324762879</v>
      </c>
      <c r="TO76" s="1" t="n">
        <f aca="false">QD76+HO76</f>
        <v>0</v>
      </c>
      <c r="TP76" s="1" t="n">
        <f aca="false">H76+R76</f>
        <v>0</v>
      </c>
      <c r="TQ76" s="1" t="n">
        <f aca="false">1-F76</f>
        <v>1</v>
      </c>
      <c r="TR76" s="1" t="n">
        <f aca="false">IF(AND(RG_Exists=1,F76=0,C76=1),H76,0)</f>
        <v>0</v>
      </c>
      <c r="TS76" s="1" t="n">
        <f aca="false">IF(AND(RG_Exists=1,F76=0,C76=1),H76-MIN(QD76,H76),0)</f>
        <v>0</v>
      </c>
      <c r="TT76" s="1" t="n">
        <f aca="false">'Plan pay &amp; tax'!AD302</f>
        <v>0</v>
      </c>
      <c r="TU76" s="1" t="n">
        <f aca="false">IF(AND(C76=1,QD76&gt;MAX(PR_Short1,TP76*PR_Short2)),1,0)</f>
        <v>0</v>
      </c>
      <c r="TV76" s="1" t="n">
        <f aca="false">MIN(G76,H76+R76)</f>
        <v>0</v>
      </c>
      <c r="TW76" s="1" t="n">
        <f aca="false">QE76+MAX(0,HP76-HO76)</f>
        <v>0</v>
      </c>
      <c r="TX76" s="1" t="n">
        <f aca="false">QD76+HO76</f>
        <v>0</v>
      </c>
      <c r="TY76" s="1" t="n">
        <f aca="false">IF(AND(C76=1,TX76&gt;PR_MinShort),1,0)</f>
        <v>0</v>
      </c>
      <c r="TZ76" s="1" t="n">
        <f aca="false">IF(AND(C76=1,TY76=0,TW76&gt;PR_MinShort),1,0)</f>
        <v>0</v>
      </c>
      <c r="UA76" s="1" t="n">
        <f aca="false">IF(AND(C76=1,QD76&gt;PR_MinShort),1,0)</f>
        <v>0</v>
      </c>
      <c r="UB76" s="1" t="n">
        <f aca="false">IF(AND(C76=1,QE76&gt;1,UI76=0),1,0)</f>
        <v>0</v>
      </c>
      <c r="UC76" s="1" t="str">
        <f aca="false">IF(C76=0,"",IF(UI76=1,"Gap to plan for: short "&amp;"€"&amp;TEXT(ROUND(TO76,0),"#,##0"),IF(QE76&gt;1,"Using savings","Comfortable")))</f>
        <v>Comfortable</v>
      </c>
      <c r="UD76" s="1" t="n">
        <f aca="false">IF(AND(INT(D76/10)*10=90,B76&gt;0),80,INT(D76/10)*10)</f>
        <v>60</v>
      </c>
      <c r="UE76" s="1" t="n">
        <f aca="false">IF(B76=0,1,IF(UD76&lt;&gt;UD75,UE75+1,UE75))</f>
        <v>7</v>
      </c>
      <c r="UF76" s="1" t="n">
        <f aca="false">IF(AND(C76=1,F76=1,QD76&gt;MAX(PR_Short1,TP76*PR_Short2)),1,0)</f>
        <v>0</v>
      </c>
      <c r="UG76" s="1" t="n">
        <f aca="false">TQ76*TU76</f>
        <v>0</v>
      </c>
      <c r="UH76" s="1" t="n">
        <f aca="false">IF(AND(U76=1,Slot1_PctLow=1),1,0)+IF(AND(AF76=1,Slot2_PctLow=1),1,0)+IF(AND(AP76=1,Slot3_PctLow=1),1,0)+IF(AND(AZ76=1,Slot4_PctLow=1),1,0)+IF(AND(BJ76=1,Slot5_PctLow=1),1,0)+IF(AND(BT76=1,Slot6_PctLow=1),1,0)+IF(AND(CD76=1,Slot7_PctLow=1),1,0)+IF(AND(CN76=1,Slot8_PctLow=1),1,0)+IF(AND(CX76=1,Slot9_PctLow=1),1,0)+IF(AND(DH76=1,Slot10_PctLow=1),1,0)+IF(AND(DR76=1,Slot11_PctLow=1),1,0)+IF(AND(EB76=1,Slot12_PctLow=1),1,0)+IF(AND(EL76=1,Slot13_PctLow=1),1,0)+IF(AND(EV76=1,Slot14_PctLow=1),1,0)+IF(AND(FF76=1,Slot15_PctLow=1),1,0)+IF(AND(FP76=1,Slot16_PctLow=1),1,0)+IF(AND(FZ76=1,Slot17_PctLow=1),1,0)+IF(AND(GJ76=1,Slot18_PctLow=1),1,0)+IF(AND(GT76=1,Slot19_PctLow=1),1,0)+IF(AND(HD76=1,Slot20_PctLow=1),1,0)</f>
        <v>0</v>
      </c>
      <c r="UI76" s="1" t="n">
        <f aca="false">IF(C76=1,IF(OR(TU76=1,UH76&gt;0),1,0),0)</f>
        <v>0</v>
      </c>
    </row>
    <row r="77" customFormat="false" ht="15" hidden="false" customHeight="true" outlineLevel="0" collapsed="false">
      <c r="B77" s="1" t="n">
        <v>69</v>
      </c>
      <c r="C77" s="1" t="n">
        <f aca="false">IF(B77&lt;=F_N,1,0)</f>
        <v>1</v>
      </c>
      <c r="D77" s="1" t="n">
        <f aca="false">'Plan pay &amp; tax'!C303</f>
        <v>69</v>
      </c>
      <c r="E77" s="111" t="n">
        <f aca="false">'Plan pay &amp; tax'!E303</f>
        <v>3.92113551259651</v>
      </c>
      <c r="F77" s="1" t="n">
        <f aca="false">'Plan pay &amp; tax'!G303</f>
        <v>0</v>
      </c>
      <c r="G77" s="1" t="n">
        <f aca="false">'Plan pay &amp; tax'!BT303-'Plan pay &amp; tax'!BS303-'Plan pay &amp; tax'!R303</f>
        <v>48821.5877310776</v>
      </c>
      <c r="H77" s="1" t="n">
        <f aca="false">IF(F77=1,F_CostsM*12,IF(RG_Exists=1,RG_Amount,F_CostsM*12*AS_RetireSpend))*E77+F_OneOffY*E77</f>
        <v>0</v>
      </c>
      <c r="I77" s="1" t="n">
        <f aca="false">HQ76</f>
        <v>0</v>
      </c>
      <c r="J77" s="1" t="n">
        <f aca="false">IF(I77&gt;1,'Plan debt months'!AC77,0)</f>
        <v>0</v>
      </c>
      <c r="K77" s="1" t="n">
        <f aca="false">IF(I77&gt;1,'Plan debt months'!AB77,I77)</f>
        <v>0</v>
      </c>
      <c r="L77" s="1" t="n">
        <f aca="false">N76</f>
        <v>0</v>
      </c>
      <c r="M77" s="1" t="n">
        <f aca="false">IF(L77&gt;1,'Plan debt months'!BD77,0)</f>
        <v>0</v>
      </c>
      <c r="N77" s="1" t="n">
        <f aca="false">IF(L77&gt;1,'Plan debt months'!BC77,L77)</f>
        <v>0</v>
      </c>
      <c r="O77" s="1" t="n">
        <f aca="false">Q76</f>
        <v>0</v>
      </c>
      <c r="P77" s="1" t="n">
        <f aca="false">IF(O77&gt;1,'Plan debt months'!CE77,0)</f>
        <v>0</v>
      </c>
      <c r="Q77" s="1" t="n">
        <f aca="false">IF(O77&gt;1,'Plan debt months'!CD77,O77)</f>
        <v>0</v>
      </c>
      <c r="R77" s="1" t="n">
        <f aca="false">J77+M77+P77</f>
        <v>0</v>
      </c>
      <c r="S77" s="1" t="n">
        <f aca="false">QJ76+'Plan pay &amp; tax'!Y303</f>
        <v>145433.324762879</v>
      </c>
      <c r="T77" s="1" t="n">
        <f aca="false">QJ76</f>
        <v>145433.324762879</v>
      </c>
      <c r="U77" s="1" t="n">
        <f aca="false">IF(AND(Slot1_On=1,D77=Slot1_Age),1,0)</f>
        <v>0</v>
      </c>
      <c r="V77" s="1" t="n">
        <f aca="false">IF(AND(Slot1_On=1,Slot1_Age&gt;D77),1,0)</f>
        <v>0</v>
      </c>
      <c r="W77" s="1" t="n">
        <f aca="false">QL76</f>
        <v>0</v>
      </c>
      <c r="X77" s="1" t="n">
        <f aca="false">U77*MIN(Slot1_Cost,W77)</f>
        <v>0</v>
      </c>
      <c r="Y77" s="1" t="n">
        <f aca="false">U77*Slot1_SpendLike*MIN(Slot1_Cost-X77,S77)</f>
        <v>0</v>
      </c>
      <c r="Z77" s="1" t="n">
        <f aca="false">X77+Y77</f>
        <v>0</v>
      </c>
      <c r="AA77" s="1" t="n">
        <f aca="false">S77-Y77+U77*IF(Slot1_SpendLike=1,W77-X77,IF(Slot1_PotFree=1,W77,0))</f>
        <v>145433.324762879</v>
      </c>
      <c r="AB77" s="1" t="n">
        <f aca="false">AE77+U77*Slot1_BufPot*W77</f>
        <v>0</v>
      </c>
      <c r="AC77" s="1" t="n">
        <f aca="false">IF(AND(U77=1,Slot1_IsMfree=1),IF(Z77&gt;=Slot1_Cost-1,0,MAX(0,K77-Z77)),K77)</f>
        <v>0</v>
      </c>
      <c r="AD77" s="1" t="n">
        <f aca="false">U77*(Slot1_Cost-Z77)</f>
        <v>0</v>
      </c>
      <c r="AE77" s="1" t="n">
        <f aca="false">QK76</f>
        <v>0</v>
      </c>
      <c r="AF77" s="1" t="n">
        <f aca="false">IF(AND(Slot2_On=1,D77=Slot2_Age),1,0)</f>
        <v>0</v>
      </c>
      <c r="AG77" s="1" t="n">
        <f aca="false">IF(AND(Slot2_On=1,Slot2_Age&gt;D77),1,0)</f>
        <v>0</v>
      </c>
      <c r="AH77" s="1" t="n">
        <f aca="false">QP76</f>
        <v>0</v>
      </c>
      <c r="AI77" s="1" t="n">
        <f aca="false">AF77*MIN(Slot2_Cost,AH77)</f>
        <v>0</v>
      </c>
      <c r="AJ77" s="1" t="n">
        <f aca="false">AF77*Slot2_SpendLike*MIN(Slot2_Cost-AI77,AA77)</f>
        <v>0</v>
      </c>
      <c r="AK77" s="1" t="n">
        <f aca="false">AI77+AJ77</f>
        <v>0</v>
      </c>
      <c r="AL77" s="1" t="n">
        <f aca="false">AA77-AJ77+AF77*IF(Slot2_SpendLike=1,AH77-AI77,IF(Slot2_PotFree=1,AH77,0))</f>
        <v>145433.324762879</v>
      </c>
      <c r="AM77" s="1" t="n">
        <f aca="false">AB77+AF77*Slot2_BufPot*AH77</f>
        <v>0</v>
      </c>
      <c r="AN77" s="1" t="n">
        <f aca="false">IF(AND(AF77=1,Slot2_IsMfree=1),IF(AK77&gt;=Slot2_Cost-1,0,MAX(0,AC77-AK77)),AC77)</f>
        <v>0</v>
      </c>
      <c r="AO77" s="1" t="n">
        <f aca="false">AF77*(Slot2_Cost-AK77)</f>
        <v>0</v>
      </c>
      <c r="AP77" s="1" t="n">
        <f aca="false">IF(AND(Slot3_On=1,D77=Slot3_Age),1,0)</f>
        <v>0</v>
      </c>
      <c r="AQ77" s="1" t="n">
        <f aca="false">IF(AND(Slot3_On=1,Slot3_Age&gt;D77),1,0)</f>
        <v>0</v>
      </c>
      <c r="AR77" s="1" t="n">
        <f aca="false">QT76</f>
        <v>0</v>
      </c>
      <c r="AS77" s="1" t="n">
        <f aca="false">AP77*MIN(Slot3_Cost,AR77)</f>
        <v>0</v>
      </c>
      <c r="AT77" s="1" t="n">
        <f aca="false">AP77*Slot3_SpendLike*MIN(Slot3_Cost-AS77,AL77)</f>
        <v>0</v>
      </c>
      <c r="AU77" s="1" t="n">
        <f aca="false">AS77+AT77</f>
        <v>0</v>
      </c>
      <c r="AV77" s="1" t="n">
        <f aca="false">AL77-AT77+AP77*IF(Slot3_SpendLike=1,AR77-AS77,IF(Slot3_PotFree=1,AR77,0))</f>
        <v>145433.324762879</v>
      </c>
      <c r="AW77" s="1" t="n">
        <f aca="false">AM77+AP77*Slot3_BufPot*AR77</f>
        <v>0</v>
      </c>
      <c r="AX77" s="1" t="n">
        <f aca="false">IF(AND(AP77=1,Slot3_IsMfree=1),IF(AU77&gt;=Slot3_Cost-1,0,MAX(0,AN77-AU77)),AN77)</f>
        <v>0</v>
      </c>
      <c r="AY77" s="1" t="n">
        <f aca="false">AP77*(Slot3_Cost-AU77)</f>
        <v>0</v>
      </c>
      <c r="AZ77" s="1" t="n">
        <f aca="false">IF(AND(Slot4_On=1,D77=Slot4_Age),1,0)</f>
        <v>0</v>
      </c>
      <c r="BA77" s="1" t="n">
        <f aca="false">IF(AND(Slot4_On=1,Slot4_Age&gt;D77),1,0)</f>
        <v>0</v>
      </c>
      <c r="BB77" s="1" t="n">
        <f aca="false">QX76</f>
        <v>0</v>
      </c>
      <c r="BC77" s="1" t="n">
        <f aca="false">AZ77*MIN(Slot4_Cost,BB77)</f>
        <v>0</v>
      </c>
      <c r="BD77" s="1" t="n">
        <f aca="false">AZ77*Slot4_SpendLike*MIN(Slot4_Cost-BC77,AV77)</f>
        <v>0</v>
      </c>
      <c r="BE77" s="1" t="n">
        <f aca="false">BC77+BD77</f>
        <v>0</v>
      </c>
      <c r="BF77" s="1" t="n">
        <f aca="false">AV77-BD77+AZ77*IF(Slot4_SpendLike=1,BB77-BC77,IF(Slot4_PotFree=1,BB77,0))</f>
        <v>145433.324762879</v>
      </c>
      <c r="BG77" s="1" t="n">
        <f aca="false">AW77+AZ77*Slot4_BufPot*BB77</f>
        <v>0</v>
      </c>
      <c r="BH77" s="1" t="n">
        <f aca="false">IF(AND(AZ77=1,Slot4_IsMfree=1),IF(BE77&gt;=Slot4_Cost-1,0,MAX(0,AX77-BE77)),AX77)</f>
        <v>0</v>
      </c>
      <c r="BI77" s="1" t="n">
        <f aca="false">AZ77*(Slot4_Cost-BE77)</f>
        <v>0</v>
      </c>
      <c r="BJ77" s="1" t="n">
        <f aca="false">IF(AND(Slot5_On=1,D77=Slot5_Age),1,0)</f>
        <v>0</v>
      </c>
      <c r="BK77" s="1" t="n">
        <f aca="false">IF(AND(Slot5_On=1,Slot5_Age&gt;D77),1,0)</f>
        <v>0</v>
      </c>
      <c r="BL77" s="1" t="n">
        <f aca="false">RB76</f>
        <v>0</v>
      </c>
      <c r="BM77" s="1" t="n">
        <f aca="false">BJ77*MIN(Slot5_Cost,BL77)</f>
        <v>0</v>
      </c>
      <c r="BN77" s="1" t="n">
        <f aca="false">BJ77*Slot5_SpendLike*MIN(Slot5_Cost-BM77,BF77)</f>
        <v>0</v>
      </c>
      <c r="BO77" s="1" t="n">
        <f aca="false">BM77+BN77</f>
        <v>0</v>
      </c>
      <c r="BP77" s="1" t="n">
        <f aca="false">BF77-BN77+BJ77*IF(Slot5_SpendLike=1,BL77-BM77,IF(Slot5_PotFree=1,BL77,0))</f>
        <v>145433.324762879</v>
      </c>
      <c r="BQ77" s="1" t="n">
        <f aca="false">BG77+BJ77*Slot5_BufPot*BL77</f>
        <v>0</v>
      </c>
      <c r="BR77" s="1" t="n">
        <f aca="false">IF(AND(BJ77=1,Slot5_IsMfree=1),IF(BO77&gt;=Slot5_Cost-1,0,MAX(0,BH77-BO77)),BH77)</f>
        <v>0</v>
      </c>
      <c r="BS77" s="1" t="n">
        <f aca="false">BJ77*(Slot5_Cost-BO77)</f>
        <v>0</v>
      </c>
      <c r="BT77" s="1" t="n">
        <f aca="false">IF(AND(Slot6_On=1,D77=Slot6_Age),1,0)</f>
        <v>0</v>
      </c>
      <c r="BU77" s="1" t="n">
        <f aca="false">IF(AND(Slot6_On=1,Slot6_Age&gt;D77),1,0)</f>
        <v>0</v>
      </c>
      <c r="BV77" s="1" t="n">
        <f aca="false">RF76</f>
        <v>0</v>
      </c>
      <c r="BW77" s="1" t="n">
        <f aca="false">BT77*MIN(Slot6_Cost,BV77)</f>
        <v>0</v>
      </c>
      <c r="BX77" s="1" t="n">
        <f aca="false">BT77*Slot6_SpendLike*MIN(Slot6_Cost-BW77,BP77)</f>
        <v>0</v>
      </c>
      <c r="BY77" s="1" t="n">
        <f aca="false">BW77+BX77</f>
        <v>0</v>
      </c>
      <c r="BZ77" s="1" t="n">
        <f aca="false">BP77-BX77+BT77*IF(Slot6_SpendLike=1,BV77-BW77,IF(Slot6_PotFree=1,BV77,0))</f>
        <v>145433.324762879</v>
      </c>
      <c r="CA77" s="1" t="n">
        <f aca="false">BQ77+BT77*Slot6_BufPot*BV77</f>
        <v>0</v>
      </c>
      <c r="CB77" s="1" t="n">
        <f aca="false">IF(AND(BT77=1,Slot6_IsMfree=1),IF(BY77&gt;=Slot6_Cost-1,0,MAX(0,BR77-BY77)),BR77)</f>
        <v>0</v>
      </c>
      <c r="CC77" s="1" t="n">
        <f aca="false">BT77*(Slot6_Cost-BY77)</f>
        <v>0</v>
      </c>
      <c r="CD77" s="1" t="n">
        <f aca="false">IF(AND(Slot7_On=1,D77=Slot7_Age),1,0)</f>
        <v>0</v>
      </c>
      <c r="CE77" s="1" t="n">
        <f aca="false">IF(AND(Slot7_On=1,Slot7_Age&gt;D77),1,0)</f>
        <v>0</v>
      </c>
      <c r="CF77" s="1" t="n">
        <f aca="false">RJ76</f>
        <v>0</v>
      </c>
      <c r="CG77" s="1" t="n">
        <f aca="false">CD77*MIN(Slot7_Cost,CF77)</f>
        <v>0</v>
      </c>
      <c r="CH77" s="1" t="n">
        <f aca="false">CD77*Slot7_SpendLike*MIN(Slot7_Cost-CG77,BZ77)</f>
        <v>0</v>
      </c>
      <c r="CI77" s="1" t="n">
        <f aca="false">CG77+CH77</f>
        <v>0</v>
      </c>
      <c r="CJ77" s="1" t="n">
        <f aca="false">BZ77-CH77+CD77*IF(Slot7_SpendLike=1,CF77-CG77,IF(Slot7_PotFree=1,CF77,0))</f>
        <v>145433.324762879</v>
      </c>
      <c r="CK77" s="1" t="n">
        <f aca="false">CA77+CD77*Slot7_BufPot*CF77</f>
        <v>0</v>
      </c>
      <c r="CL77" s="1" t="n">
        <f aca="false">IF(AND(CD77=1,Slot7_IsMfree=1),IF(CI77&gt;=Slot7_Cost-1,0,MAX(0,CB77-CI77)),CB77)</f>
        <v>0</v>
      </c>
      <c r="CM77" s="1" t="n">
        <f aca="false">CD77*(Slot7_Cost-CI77)</f>
        <v>0</v>
      </c>
      <c r="CN77" s="1" t="n">
        <f aca="false">IF(AND(Slot8_On=1,D77=Slot8_Age),1,0)</f>
        <v>0</v>
      </c>
      <c r="CO77" s="1" t="n">
        <f aca="false">IF(AND(Slot8_On=1,Slot8_Age&gt;D77),1,0)</f>
        <v>0</v>
      </c>
      <c r="CP77" s="1" t="n">
        <f aca="false">RN76</f>
        <v>0</v>
      </c>
      <c r="CQ77" s="1" t="n">
        <f aca="false">CN77*MIN(Slot8_Cost,CP77)</f>
        <v>0</v>
      </c>
      <c r="CR77" s="1" t="n">
        <f aca="false">CN77*Slot8_SpendLike*MIN(Slot8_Cost-CQ77,CJ77)</f>
        <v>0</v>
      </c>
      <c r="CS77" s="1" t="n">
        <f aca="false">CQ77+CR77</f>
        <v>0</v>
      </c>
      <c r="CT77" s="1" t="n">
        <f aca="false">CJ77-CR77+CN77*IF(Slot8_SpendLike=1,CP77-CQ77,IF(Slot8_PotFree=1,CP77,0))</f>
        <v>145433.324762879</v>
      </c>
      <c r="CU77" s="1" t="n">
        <f aca="false">CK77+CN77*Slot8_BufPot*CP77</f>
        <v>0</v>
      </c>
      <c r="CV77" s="1" t="n">
        <f aca="false">IF(AND(CN77=1,Slot8_IsMfree=1),IF(CS77&gt;=Slot8_Cost-1,0,MAX(0,CL77-CS77)),CL77)</f>
        <v>0</v>
      </c>
      <c r="CW77" s="1" t="n">
        <f aca="false">CN77*(Slot8_Cost-CS77)</f>
        <v>0</v>
      </c>
      <c r="CX77" s="1" t="n">
        <f aca="false">IF(AND(Slot9_On=1,D77=Slot9_Age),1,0)</f>
        <v>0</v>
      </c>
      <c r="CY77" s="1" t="n">
        <f aca="false">IF(AND(Slot9_On=1,Slot9_Age&gt;D77),1,0)</f>
        <v>0</v>
      </c>
      <c r="CZ77" s="1" t="n">
        <f aca="false">RR76</f>
        <v>0</v>
      </c>
      <c r="DA77" s="1" t="n">
        <f aca="false">CX77*MIN(Slot9_Cost,CZ77)</f>
        <v>0</v>
      </c>
      <c r="DB77" s="1" t="n">
        <f aca="false">CX77*Slot9_SpendLike*MIN(Slot9_Cost-DA77,CT77)</f>
        <v>0</v>
      </c>
      <c r="DC77" s="1" t="n">
        <f aca="false">DA77+DB77</f>
        <v>0</v>
      </c>
      <c r="DD77" s="1" t="n">
        <f aca="false">CT77-DB77+CX77*IF(Slot9_SpendLike=1,CZ77-DA77,IF(Slot9_PotFree=1,CZ77,0))</f>
        <v>145433.324762879</v>
      </c>
      <c r="DE77" s="1" t="n">
        <f aca="false">CU77+CX77*Slot9_BufPot*CZ77</f>
        <v>0</v>
      </c>
      <c r="DF77" s="1" t="n">
        <f aca="false">IF(AND(CX77=1,Slot9_IsMfree=1),IF(DC77&gt;=Slot9_Cost-1,0,MAX(0,CV77-DC77)),CV77)</f>
        <v>0</v>
      </c>
      <c r="DG77" s="1" t="n">
        <f aca="false">CX77*(Slot9_Cost-DC77)</f>
        <v>0</v>
      </c>
      <c r="DH77" s="1" t="n">
        <f aca="false">IF(AND(Slot10_On=1,D77=Slot10_Age),1,0)</f>
        <v>0</v>
      </c>
      <c r="DI77" s="1" t="n">
        <f aca="false">IF(AND(Slot10_On=1,Slot10_Age&gt;D77),1,0)</f>
        <v>0</v>
      </c>
      <c r="DJ77" s="1" t="n">
        <f aca="false">RV76</f>
        <v>0</v>
      </c>
      <c r="DK77" s="1" t="n">
        <f aca="false">DH77*MIN(Slot10_Cost,DJ77)</f>
        <v>0</v>
      </c>
      <c r="DL77" s="1" t="n">
        <f aca="false">DH77*Slot10_SpendLike*MIN(Slot10_Cost-DK77,DD77)</f>
        <v>0</v>
      </c>
      <c r="DM77" s="1" t="n">
        <f aca="false">DK77+DL77</f>
        <v>0</v>
      </c>
      <c r="DN77" s="1" t="n">
        <f aca="false">DD77-DL77+DH77*IF(Slot10_SpendLike=1,DJ77-DK77,IF(Slot10_PotFree=1,DJ77,0))</f>
        <v>145433.324762879</v>
      </c>
      <c r="DO77" s="1" t="n">
        <f aca="false">DE77+DH77*Slot10_BufPot*DJ77</f>
        <v>0</v>
      </c>
      <c r="DP77" s="1" t="n">
        <f aca="false">IF(AND(DH77=1,Slot10_IsMfree=1),IF(DM77&gt;=Slot10_Cost-1,0,MAX(0,DF77-DM77)),DF77)</f>
        <v>0</v>
      </c>
      <c r="DQ77" s="1" t="n">
        <f aca="false">DH77*(Slot10_Cost-DM77)</f>
        <v>0</v>
      </c>
      <c r="DR77" s="1" t="n">
        <f aca="false">IF(AND(Slot11_On=1,D77=Slot11_Age),1,0)</f>
        <v>0</v>
      </c>
      <c r="DS77" s="1" t="n">
        <f aca="false">IF(AND(Slot11_On=1,Slot11_Age&gt;D77),1,0)</f>
        <v>0</v>
      </c>
      <c r="DT77" s="1" t="n">
        <f aca="false">RZ76</f>
        <v>0</v>
      </c>
      <c r="DU77" s="1" t="n">
        <f aca="false">DR77*MIN(Slot11_Cost,DT77)</f>
        <v>0</v>
      </c>
      <c r="DV77" s="1" t="n">
        <f aca="false">DR77*Slot11_SpendLike*MIN(Slot11_Cost-DU77,DN77)</f>
        <v>0</v>
      </c>
      <c r="DW77" s="1" t="n">
        <f aca="false">DU77+DV77</f>
        <v>0</v>
      </c>
      <c r="DX77" s="1" t="n">
        <f aca="false">DN77-DV77+DR77*IF(Slot11_SpendLike=1,DT77-DU77,IF(Slot11_PotFree=1,DT77,0))</f>
        <v>145433.324762879</v>
      </c>
      <c r="DY77" s="1" t="n">
        <f aca="false">DO77+DR77*Slot11_BufPot*DT77</f>
        <v>0</v>
      </c>
      <c r="DZ77" s="1" t="n">
        <f aca="false">IF(AND(DR77=1,Slot11_IsMfree=1),IF(DW77&gt;=Slot11_Cost-1,0,MAX(0,DP77-DW77)),DP77)</f>
        <v>0</v>
      </c>
      <c r="EA77" s="1" t="n">
        <f aca="false">DR77*(Slot11_Cost-DW77)</f>
        <v>0</v>
      </c>
      <c r="EB77" s="1" t="n">
        <f aca="false">IF(AND(Slot12_On=1,D77=Slot12_Age),1,0)</f>
        <v>0</v>
      </c>
      <c r="EC77" s="1" t="n">
        <f aca="false">IF(AND(Slot12_On=1,Slot12_Age&gt;D77),1,0)</f>
        <v>0</v>
      </c>
      <c r="ED77" s="1" t="n">
        <f aca="false">SD76</f>
        <v>0</v>
      </c>
      <c r="EE77" s="1" t="n">
        <f aca="false">EB77*MIN(Slot12_Cost,ED77)</f>
        <v>0</v>
      </c>
      <c r="EF77" s="1" t="n">
        <f aca="false">EB77*Slot12_SpendLike*MIN(Slot12_Cost-EE77,DX77)</f>
        <v>0</v>
      </c>
      <c r="EG77" s="1" t="n">
        <f aca="false">EE77+EF77</f>
        <v>0</v>
      </c>
      <c r="EH77" s="1" t="n">
        <f aca="false">DX77-EF77+EB77*IF(Slot12_SpendLike=1,ED77-EE77,IF(Slot12_PotFree=1,ED77,0))</f>
        <v>145433.324762879</v>
      </c>
      <c r="EI77" s="1" t="n">
        <f aca="false">DY77+EB77*Slot12_BufPot*ED77</f>
        <v>0</v>
      </c>
      <c r="EJ77" s="1" t="n">
        <f aca="false">IF(AND(EB77=1,Slot12_IsMfree=1),IF(EG77&gt;=Slot12_Cost-1,0,MAX(0,DZ77-EG77)),DZ77)</f>
        <v>0</v>
      </c>
      <c r="EK77" s="1" t="n">
        <f aca="false">EB77*(Slot12_Cost-EG77)</f>
        <v>0</v>
      </c>
      <c r="EL77" s="1" t="n">
        <f aca="false">IF(AND(Slot13_On=1,D77=Slot13_Age),1,0)</f>
        <v>0</v>
      </c>
      <c r="EM77" s="1" t="n">
        <f aca="false">IF(AND(Slot13_On=1,Slot13_Age&gt;D77),1,0)</f>
        <v>0</v>
      </c>
      <c r="EN77" s="1" t="n">
        <f aca="false">SH76</f>
        <v>0</v>
      </c>
      <c r="EO77" s="1" t="n">
        <f aca="false">EL77*MIN(Slot13_Cost,EN77)</f>
        <v>0</v>
      </c>
      <c r="EP77" s="1" t="n">
        <f aca="false">EL77*Slot13_SpendLike*MIN(Slot13_Cost-EO77,EH77)</f>
        <v>0</v>
      </c>
      <c r="EQ77" s="1" t="n">
        <f aca="false">EO77+EP77</f>
        <v>0</v>
      </c>
      <c r="ER77" s="1" t="n">
        <f aca="false">EH77-EP77+EL77*IF(Slot13_SpendLike=1,EN77-EO77,IF(Slot13_PotFree=1,EN77,0))</f>
        <v>145433.324762879</v>
      </c>
      <c r="ES77" s="1" t="n">
        <f aca="false">EI77+EL77*Slot13_BufPot*EN77</f>
        <v>0</v>
      </c>
      <c r="ET77" s="1" t="n">
        <f aca="false">IF(AND(EL77=1,Slot13_IsMfree=1),IF(EQ77&gt;=Slot13_Cost-1,0,MAX(0,EJ77-EQ77)),EJ77)</f>
        <v>0</v>
      </c>
      <c r="EU77" s="1" t="n">
        <f aca="false">EL77*(Slot13_Cost-EQ77)</f>
        <v>0</v>
      </c>
      <c r="EV77" s="1" t="n">
        <f aca="false">IF(AND(Slot14_On=1,D77=Slot14_Age),1,0)</f>
        <v>0</v>
      </c>
      <c r="EW77" s="1" t="n">
        <f aca="false">IF(AND(Slot14_On=1,Slot14_Age&gt;D77),1,0)</f>
        <v>0</v>
      </c>
      <c r="EX77" s="1" t="n">
        <f aca="false">SL76</f>
        <v>0</v>
      </c>
      <c r="EY77" s="1" t="n">
        <f aca="false">EV77*MIN(Slot14_Cost,EX77)</f>
        <v>0</v>
      </c>
      <c r="EZ77" s="1" t="n">
        <f aca="false">EV77*Slot14_SpendLike*MIN(Slot14_Cost-EY77,ER77)</f>
        <v>0</v>
      </c>
      <c r="FA77" s="1" t="n">
        <f aca="false">EY77+EZ77</f>
        <v>0</v>
      </c>
      <c r="FB77" s="1" t="n">
        <f aca="false">ER77-EZ77+EV77*IF(Slot14_SpendLike=1,EX77-EY77,IF(Slot14_PotFree=1,EX77,0))</f>
        <v>145433.324762879</v>
      </c>
      <c r="FC77" s="1" t="n">
        <f aca="false">ES77+EV77*Slot14_BufPot*EX77</f>
        <v>0</v>
      </c>
      <c r="FD77" s="1" t="n">
        <f aca="false">IF(AND(EV77=1,Slot14_IsMfree=1),IF(FA77&gt;=Slot14_Cost-1,0,MAX(0,ET77-FA77)),ET77)</f>
        <v>0</v>
      </c>
      <c r="FE77" s="1" t="n">
        <f aca="false">EV77*(Slot14_Cost-FA77)</f>
        <v>0</v>
      </c>
      <c r="FF77" s="1" t="n">
        <f aca="false">IF(AND(Slot15_On=1,D77=Slot15_Age),1,0)</f>
        <v>0</v>
      </c>
      <c r="FG77" s="1" t="n">
        <f aca="false">IF(AND(Slot15_On=1,Slot15_Age&gt;D77),1,0)</f>
        <v>0</v>
      </c>
      <c r="FH77" s="1" t="n">
        <f aca="false">SP76</f>
        <v>0</v>
      </c>
      <c r="FI77" s="1" t="n">
        <f aca="false">FF77*MIN(Slot15_Cost,FH77)</f>
        <v>0</v>
      </c>
      <c r="FJ77" s="1" t="n">
        <f aca="false">FF77*Slot15_SpendLike*MIN(Slot15_Cost-FI77,FB77)</f>
        <v>0</v>
      </c>
      <c r="FK77" s="1" t="n">
        <f aca="false">FI77+FJ77</f>
        <v>0</v>
      </c>
      <c r="FL77" s="1" t="n">
        <f aca="false">FB77-FJ77+FF77*IF(Slot15_SpendLike=1,FH77-FI77,IF(Slot15_PotFree=1,FH77,0))</f>
        <v>145433.324762879</v>
      </c>
      <c r="FM77" s="1" t="n">
        <f aca="false">FC77+FF77*Slot15_BufPot*FH77</f>
        <v>0</v>
      </c>
      <c r="FN77" s="1" t="n">
        <f aca="false">IF(AND(FF77=1,Slot15_IsMfree=1),IF(FK77&gt;=Slot15_Cost-1,0,MAX(0,FD77-FK77)),FD77)</f>
        <v>0</v>
      </c>
      <c r="FO77" s="1" t="n">
        <f aca="false">FF77*(Slot15_Cost-FK77)</f>
        <v>0</v>
      </c>
      <c r="FP77" s="1" t="n">
        <f aca="false">IF(AND(Slot16_On=1,D77=Slot16_Age),1,0)</f>
        <v>0</v>
      </c>
      <c r="FQ77" s="1" t="n">
        <f aca="false">IF(AND(Slot16_On=1,Slot16_Age&gt;D77),1,0)</f>
        <v>0</v>
      </c>
      <c r="FR77" s="1" t="n">
        <f aca="false">ST76</f>
        <v>0</v>
      </c>
      <c r="FS77" s="1" t="n">
        <f aca="false">FP77*MIN(Slot16_Cost,FR77)</f>
        <v>0</v>
      </c>
      <c r="FT77" s="1" t="n">
        <f aca="false">FP77*Slot16_SpendLike*MIN(Slot16_Cost-FS77,FL77)</f>
        <v>0</v>
      </c>
      <c r="FU77" s="1" t="n">
        <f aca="false">FS77+FT77</f>
        <v>0</v>
      </c>
      <c r="FV77" s="1" t="n">
        <f aca="false">FL77-FT77+FP77*IF(Slot16_SpendLike=1,FR77-FS77,IF(Slot16_PotFree=1,FR77,0))</f>
        <v>145433.324762879</v>
      </c>
      <c r="FW77" s="1" t="n">
        <f aca="false">FM77+FP77*Slot16_BufPot*FR77</f>
        <v>0</v>
      </c>
      <c r="FX77" s="1" t="n">
        <f aca="false">IF(AND(FP77=1,Slot16_IsMfree=1),IF(FU77&gt;=Slot16_Cost-1,0,MAX(0,FN77-FU77)),FN77)</f>
        <v>0</v>
      </c>
      <c r="FY77" s="1" t="n">
        <f aca="false">FP77*(Slot16_Cost-FU77)</f>
        <v>0</v>
      </c>
      <c r="FZ77" s="1" t="n">
        <f aca="false">IF(AND(Slot17_On=1,D77=Slot17_Age),1,0)</f>
        <v>0</v>
      </c>
      <c r="GA77" s="1" t="n">
        <f aca="false">IF(AND(Slot17_On=1,Slot17_Age&gt;D77),1,0)</f>
        <v>0</v>
      </c>
      <c r="GB77" s="1" t="n">
        <f aca="false">SX76</f>
        <v>0</v>
      </c>
      <c r="GC77" s="1" t="n">
        <f aca="false">FZ77*MIN(Slot17_Cost,GB77)</f>
        <v>0</v>
      </c>
      <c r="GD77" s="1" t="n">
        <f aca="false">FZ77*Slot17_SpendLike*MIN(Slot17_Cost-GC77,FV77)</f>
        <v>0</v>
      </c>
      <c r="GE77" s="1" t="n">
        <f aca="false">GC77+GD77</f>
        <v>0</v>
      </c>
      <c r="GF77" s="1" t="n">
        <f aca="false">FV77-GD77+FZ77*IF(Slot17_SpendLike=1,GB77-GC77,IF(Slot17_PotFree=1,GB77,0))</f>
        <v>145433.324762879</v>
      </c>
      <c r="GG77" s="1" t="n">
        <f aca="false">FW77+FZ77*Slot17_BufPot*GB77</f>
        <v>0</v>
      </c>
      <c r="GH77" s="1" t="n">
        <f aca="false">IF(AND(FZ77=1,Slot17_IsMfree=1),IF(GE77&gt;=Slot17_Cost-1,0,MAX(0,FX77-GE77)),FX77)</f>
        <v>0</v>
      </c>
      <c r="GI77" s="1" t="n">
        <f aca="false">FZ77*(Slot17_Cost-GE77)</f>
        <v>0</v>
      </c>
      <c r="GJ77" s="1" t="n">
        <f aca="false">IF(AND(Slot18_On=1,D77=Slot18_Age),1,0)</f>
        <v>0</v>
      </c>
      <c r="GK77" s="1" t="n">
        <f aca="false">IF(AND(Slot18_On=1,Slot18_Age&gt;D77),1,0)</f>
        <v>0</v>
      </c>
      <c r="GL77" s="1" t="n">
        <f aca="false">TB76</f>
        <v>0</v>
      </c>
      <c r="GM77" s="1" t="n">
        <f aca="false">GJ77*MIN(Slot18_Cost,GL77)</f>
        <v>0</v>
      </c>
      <c r="GN77" s="1" t="n">
        <f aca="false">GJ77*Slot18_SpendLike*MIN(Slot18_Cost-GM77,GF77)</f>
        <v>0</v>
      </c>
      <c r="GO77" s="1" t="n">
        <f aca="false">GM77+GN77</f>
        <v>0</v>
      </c>
      <c r="GP77" s="1" t="n">
        <f aca="false">GF77-GN77+GJ77*IF(Slot18_SpendLike=1,GL77-GM77,IF(Slot18_PotFree=1,GL77,0))</f>
        <v>145433.324762879</v>
      </c>
      <c r="GQ77" s="1" t="n">
        <f aca="false">GG77+GJ77*Slot18_BufPot*GL77</f>
        <v>0</v>
      </c>
      <c r="GR77" s="1" t="n">
        <f aca="false">IF(AND(GJ77=1,Slot18_IsMfree=1),IF(GO77&gt;=Slot18_Cost-1,0,MAX(0,GH77-GO77)),GH77)</f>
        <v>0</v>
      </c>
      <c r="GS77" s="1" t="n">
        <f aca="false">GJ77*(Slot18_Cost-GO77)</f>
        <v>0</v>
      </c>
      <c r="GT77" s="1" t="n">
        <f aca="false">IF(AND(Slot19_On=1,D77=Slot19_Age),1,0)</f>
        <v>0</v>
      </c>
      <c r="GU77" s="1" t="n">
        <f aca="false">IF(AND(Slot19_On=1,Slot19_Age&gt;D77),1,0)</f>
        <v>0</v>
      </c>
      <c r="GV77" s="1" t="n">
        <f aca="false">TF76</f>
        <v>0</v>
      </c>
      <c r="GW77" s="1" t="n">
        <f aca="false">GT77*MIN(Slot19_Cost,GV77)</f>
        <v>0</v>
      </c>
      <c r="GX77" s="1" t="n">
        <f aca="false">GT77*Slot19_SpendLike*MIN(Slot19_Cost-GW77,GP77)</f>
        <v>0</v>
      </c>
      <c r="GY77" s="1" t="n">
        <f aca="false">GW77+GX77</f>
        <v>0</v>
      </c>
      <c r="GZ77" s="1" t="n">
        <f aca="false">GP77-GX77+GT77*IF(Slot19_SpendLike=1,GV77-GW77,IF(Slot19_PotFree=1,GV77,0))</f>
        <v>145433.324762879</v>
      </c>
      <c r="HA77" s="1" t="n">
        <f aca="false">GQ77+GT77*Slot19_BufPot*GV77</f>
        <v>0</v>
      </c>
      <c r="HB77" s="1" t="n">
        <f aca="false">IF(AND(GT77=1,Slot19_IsMfree=1),IF(GY77&gt;=Slot19_Cost-1,0,MAX(0,GR77-GY77)),GR77)</f>
        <v>0</v>
      </c>
      <c r="HC77" s="1" t="n">
        <f aca="false">GT77*(Slot19_Cost-GY77)</f>
        <v>0</v>
      </c>
      <c r="HD77" s="1" t="n">
        <f aca="false">IF(AND(Slot20_On=1,D77=Slot20_Age),1,0)</f>
        <v>0</v>
      </c>
      <c r="HE77" s="1" t="n">
        <f aca="false">IF(AND(Slot20_On=1,Slot20_Age&gt;D77),1,0)</f>
        <v>0</v>
      </c>
      <c r="HF77" s="1" t="n">
        <f aca="false">TJ76</f>
        <v>0</v>
      </c>
      <c r="HG77" s="1" t="n">
        <f aca="false">HD77*MIN(Slot20_Cost,HF77)</f>
        <v>0</v>
      </c>
      <c r="HH77" s="1" t="n">
        <f aca="false">HD77*Slot20_SpendLike*MIN(Slot20_Cost-HG77,GZ77)</f>
        <v>0</v>
      </c>
      <c r="HI77" s="1" t="n">
        <f aca="false">HG77+HH77</f>
        <v>0</v>
      </c>
      <c r="HJ77" s="1" t="n">
        <f aca="false">GZ77-HH77+HD77*IF(Slot20_SpendLike=1,HF77-HG77,IF(Slot20_PotFree=1,HF77,0))</f>
        <v>145433.324762879</v>
      </c>
      <c r="HK77" s="1" t="n">
        <f aca="false">HA77+HD77*Slot20_BufPot*HF77</f>
        <v>0</v>
      </c>
      <c r="HL77" s="1" t="n">
        <f aca="false">IF(AND(HD77=1,Slot20_IsMfree=1),IF(HI77&gt;=Slot20_Cost-1,0,MAX(0,HB77-HI77)),HB77)</f>
        <v>0</v>
      </c>
      <c r="HM77" s="1" t="n">
        <f aca="false">HD77*(Slot20_Cost-HI77)</f>
        <v>0</v>
      </c>
      <c r="HN77" s="1" t="n">
        <f aca="false">U77*Slot1_SpendLike*Z77+AF77*Slot2_SpendLike*AK77+AP77*Slot3_SpendLike*AU77+AZ77*Slot4_SpendLike*BE77+BJ77*Slot5_SpendLike*BO77+BT77*Slot6_SpendLike*BY77+CD77*Slot7_SpendLike*CI77+CN77*Slot8_SpendLike*CS77+CX77*Slot9_SpendLike*DC77+DH77*Slot10_SpendLike*DM77+DR77*Slot11_SpendLike*DW77+EB77*Slot12_SpendLike*EG77+EL77*Slot13_SpendLike*EQ77+EV77*Slot14_SpendLike*FA77+FF77*Slot15_SpendLike*FK77+FP77*Slot16_SpendLike*FU77+FZ77*Slot17_SpendLike*GE77+GJ77*Slot18_SpendLike*GO77+GT77*Slot19_SpendLike*GY77+HD77*Slot20_SpendLike*HI77</f>
        <v>0</v>
      </c>
      <c r="HO77" s="1" t="n">
        <f aca="false">AD77+AO77+AY77+BI77+BS77+CC77+CM77+CW77+DG77+DQ77+EA77+EK77+EU77+FE77+FO77+FY77+GI77+GS77+HC77+HM77</f>
        <v>0</v>
      </c>
      <c r="HP77" s="1" t="n">
        <f aca="false">U77*Slot1_Cost+AF77*Slot2_Cost+AP77*Slot3_Cost+AZ77*Slot4_Cost+BJ77*Slot5_Cost+BT77*Slot6_Cost+CD77*Slot7_Cost+CN77*Slot8_Cost+CX77*Slot9_Cost+DH77*Slot10_Cost+DR77*Slot11_Cost+EB77*Slot12_Cost+EL77*Slot13_Cost+EV77*Slot14_Cost+FF77*Slot15_Cost+FP77*Slot16_Cost+FZ77*Slot17_Cost+GJ77*Slot18_Cost+GT77*Slot19_Cost+HD77*Slot20_Cost</f>
        <v>0</v>
      </c>
      <c r="HQ77" s="1" t="n">
        <f aca="false">HL77</f>
        <v>0</v>
      </c>
      <c r="HR77" s="1" t="n">
        <f aca="false">G77-H77-R77</f>
        <v>48821.5877310776</v>
      </c>
      <c r="HS77" s="1" t="n">
        <f aca="false">IF(B77=0,IF(AND(Has_q6=1,In_q6=4),PR_ShareVaries*(MAX(0,HR77)/12),MIN(IF(Has_q6=1,CHOOSE(In_q6+1,PR_SaveB1,PR_SaveB2,PR_SaveB3,PR_SaveB4,0),AS_NoAnswer),AS_SaveShare*(MAX(0,HR77)/12))),HS76)</f>
        <v>0</v>
      </c>
      <c r="HT77" s="1" t="n">
        <f aca="false">IF(HR77&gt;=0,1,0)</f>
        <v>1</v>
      </c>
      <c r="HU77" s="1" t="n">
        <f aca="false">MAX(0,HR77/12/E77)</f>
        <v>1037.57333333333</v>
      </c>
      <c r="HV77" s="1" t="n">
        <f aca="false">IF(AND(Has_q6=1,In_q6=4),PR_ShareVaries*(HU77),MIN(IF(Has_q6=1,CHOOSE(In_q6+1,PR_SaveB1,PR_SaveB2,PR_SaveB3,PR_SaveB4,0),AS_NoAnswer),AS_SaveShare*(HU77)))</f>
        <v>300</v>
      </c>
      <c r="HW77" s="1" t="n">
        <f aca="false">IF(Has_saveM=1,IF(In_saveUp="Yes",1,IF(In_saveUp="No",0,IF(In_saveM&gt;=HS77-0.5,1,0))),0)</f>
        <v>0</v>
      </c>
      <c r="HX77" s="1" t="n">
        <f aca="false">IF(Has_saveM=1,MIN(HU77,IF(HW77=1,MAX(In_saveM,HV77),MIN(In_saveM,HV77))),HV77)</f>
        <v>300</v>
      </c>
      <c r="HY77" s="1" t="n">
        <f aca="false">IF(F77=1,HX77*12*E77,0)</f>
        <v>0</v>
      </c>
      <c r="HZ77" s="1" t="n">
        <f aca="false">MAX(0,HY77+IF(AND(WI_Retire=0,WI_M&lt;0,F77=1),WI_M*12*E77,0))</f>
        <v>0</v>
      </c>
      <c r="IA77" s="1" t="n">
        <f aca="false">Slot1_IsWG*V77+Slot2_IsWG*AG77+Slot3_IsWG*AQ77+Slot4_IsWG*BA77+Slot5_IsWG*BK77+Slot6_IsWG*BU77+Slot7_IsWG*CE77+Slot8_IsWG*CO77+Slot9_IsWG*CY77+Slot10_IsWG*DI77+Slot11_IsWG*DS77+Slot12_IsWG*EC77+Slot13_IsWG*EM77+Slot14_IsWG*EW77+Slot15_IsWG*FG77+Slot16_IsWG*FQ77+Slot17_IsWG*GA77+Slot18_IsWG*GK77+Slot19_IsWG*GU77+Slot20_IsWG*HE77</f>
        <v>0</v>
      </c>
      <c r="IB77" s="1" t="n">
        <f aca="false">IF(AND(WI_Retire=0,WI_M&gt;0,F77=1,IA77&gt;=1),WI_M*12*E77,0)</f>
        <v>0</v>
      </c>
      <c r="IC77" s="1" t="n">
        <f aca="false">IF(HT77=1,MIN(HZ77,HR77),0)</f>
        <v>0</v>
      </c>
      <c r="ID77" s="1" t="n">
        <f aca="false">IF(HT77=1,MIN(IB77,HR77-IC77),0)</f>
        <v>0</v>
      </c>
      <c r="IE77" s="1" t="n">
        <f aca="false">IF(V77=1,IF(ABS((1+AS_Wage)/(1+Slot1_Rate)-1)&lt;0.000000000001,(Slot1_Age-D77)*(1+Slot1_Rate)^(Slot1_Age-D77),(1+Slot1_Rate)^(Slot1_Age-D77)*(1-((1+AS_Wage)/(1+Slot1_Rate))^(Slot1_Age-D77))/(1-(1+AS_Wage)/(1+Slot1_Rate))),1)</f>
        <v>1</v>
      </c>
      <c r="IF77" s="1" t="n">
        <f aca="false">IF(AND(HT77=1,ID77&gt;0,Slot1_IsWG=1,V77=1),MAX(0,(Slot1_Cost-W77*(1+Slot1_Rate)^(Slot1_Age-D77))/IE77),0)</f>
        <v>0</v>
      </c>
      <c r="IG77" s="1" t="n">
        <f aca="false">IF(AND(HT77=1,ID77&gt;0,Slot1_IsWG=1,V77=1),MIN(ID77,IF77),0)</f>
        <v>0</v>
      </c>
      <c r="IH77" s="1" t="n">
        <f aca="false">W77+IG77</f>
        <v>0</v>
      </c>
      <c r="II77" s="1" t="n">
        <f aca="false">IF(V77=1,MAX(0,(Slot1_Cost-IH77*(1+Slot1_Rate)^(Slot1_Age-D77))/IE77),0)</f>
        <v>0</v>
      </c>
      <c r="IJ77" s="1" t="n">
        <f aca="false">IF(V77=1,MAX(0,(Slot1_Cost-W77*(1+Slot1_Rate)^(Slot1_Age-D77))/IE77),0)</f>
        <v>0</v>
      </c>
      <c r="IK77" s="1" t="n">
        <f aca="false">IF(AND(HT77=1,V77=1),MIN(IC77,II77),0)</f>
        <v>0</v>
      </c>
      <c r="IL77" s="1" t="n">
        <f aca="false">IC77-IK77</f>
        <v>0</v>
      </c>
      <c r="IM77" s="1" t="n">
        <f aca="false">IF(AG77=1,IF(ABS((1+AS_Wage)/(1+Slot2_Rate)-1)&lt;0.000000000001,(Slot2_Age-D77)*(1+Slot2_Rate)^(Slot2_Age-D77),(1+Slot2_Rate)^(Slot2_Age-D77)*(1-((1+AS_Wage)/(1+Slot2_Rate))^(Slot2_Age-D77))/(1-(1+AS_Wage)/(1+Slot2_Rate))),1)</f>
        <v>1</v>
      </c>
      <c r="IN77" s="1" t="n">
        <f aca="false">IF(AND(HT77=1,ID77&gt;0,Slot2_IsWG=1,AG77=1),MAX(0,(Slot2_Cost-AH77*(1+Slot2_Rate)^(Slot2_Age-D77))/IM77),0)</f>
        <v>0</v>
      </c>
      <c r="IO77" s="1" t="n">
        <f aca="false">IF(AND(HT77=1,ID77&gt;0,Slot2_IsWG=1,AG77=1),MIN(ID77,IN77),0)</f>
        <v>0</v>
      </c>
      <c r="IP77" s="1" t="n">
        <f aca="false">AH77+IO77</f>
        <v>0</v>
      </c>
      <c r="IQ77" s="1" t="n">
        <f aca="false">IF(AG77=1,MAX(0,(Slot2_Cost-IP77*(1+Slot2_Rate)^(Slot2_Age-D77))/IM77),0)</f>
        <v>0</v>
      </c>
      <c r="IR77" s="1" t="n">
        <f aca="false">IF(AG77=1,MAX(0,(Slot2_Cost-AH77*(1+Slot2_Rate)^(Slot2_Age-D77))/IM77),0)</f>
        <v>0</v>
      </c>
      <c r="IS77" s="1" t="n">
        <f aca="false">IF(AND(HT77=1,AG77=1),MIN(IL77,IQ77),0)</f>
        <v>0</v>
      </c>
      <c r="IT77" s="1" t="n">
        <f aca="false">IL77-IS77</f>
        <v>0</v>
      </c>
      <c r="IU77" s="1" t="n">
        <f aca="false">IF(AQ77=1,IF(ABS((1+AS_Wage)/(1+Slot3_Rate)-1)&lt;0.000000000001,(Slot3_Age-D77)*(1+Slot3_Rate)^(Slot3_Age-D77),(1+Slot3_Rate)^(Slot3_Age-D77)*(1-((1+AS_Wage)/(1+Slot3_Rate))^(Slot3_Age-D77))/(1-(1+AS_Wage)/(1+Slot3_Rate))),1)</f>
        <v>1</v>
      </c>
      <c r="IV77" s="1" t="n">
        <f aca="false">IF(AND(HT77=1,ID77&gt;0,Slot3_IsWG=1,AQ77=1),MAX(0,(Slot3_Cost-AR77*(1+Slot3_Rate)^(Slot3_Age-D77))/IU77),0)</f>
        <v>0</v>
      </c>
      <c r="IW77" s="1" t="n">
        <f aca="false">IF(AND(HT77=1,ID77&gt;0,Slot3_IsWG=1,AQ77=1),MIN(ID77,IV77),0)</f>
        <v>0</v>
      </c>
      <c r="IX77" s="1" t="n">
        <f aca="false">AR77+IW77</f>
        <v>0</v>
      </c>
      <c r="IY77" s="1" t="n">
        <f aca="false">IF(AQ77=1,MAX(0,(Slot3_Cost-IX77*(1+Slot3_Rate)^(Slot3_Age-D77))/IU77),0)</f>
        <v>0</v>
      </c>
      <c r="IZ77" s="1" t="n">
        <f aca="false">IF(AQ77=1,MAX(0,(Slot3_Cost-AR77*(1+Slot3_Rate)^(Slot3_Age-D77))/IU77),0)</f>
        <v>0</v>
      </c>
      <c r="JA77" s="1" t="n">
        <f aca="false">IF(AND(HT77=1,AQ77=1),MIN(IT77,IY77),0)</f>
        <v>0</v>
      </c>
      <c r="JB77" s="1" t="n">
        <f aca="false">IT77-JA77</f>
        <v>0</v>
      </c>
      <c r="JC77" s="1" t="n">
        <f aca="false">IF(BA77=1,IF(ABS((1+AS_Wage)/(1+Slot4_Rate)-1)&lt;0.000000000001,(Slot4_Age-D77)*(1+Slot4_Rate)^(Slot4_Age-D77),(1+Slot4_Rate)^(Slot4_Age-D77)*(1-((1+AS_Wage)/(1+Slot4_Rate))^(Slot4_Age-D77))/(1-(1+AS_Wage)/(1+Slot4_Rate))),1)</f>
        <v>1</v>
      </c>
      <c r="JD77" s="1" t="n">
        <f aca="false">IF(AND(HT77=1,ID77&gt;0,Slot4_IsWG=1,BA77=1),MAX(0,(Slot4_Cost-BB77*(1+Slot4_Rate)^(Slot4_Age-D77))/JC77),0)</f>
        <v>0</v>
      </c>
      <c r="JE77" s="1" t="n">
        <f aca="false">IF(AND(HT77=1,ID77&gt;0,Slot4_IsWG=1,BA77=1),MIN(ID77,JD77),0)</f>
        <v>0</v>
      </c>
      <c r="JF77" s="1" t="n">
        <f aca="false">BB77+JE77</f>
        <v>0</v>
      </c>
      <c r="JG77" s="1" t="n">
        <f aca="false">IF(BA77=1,MAX(0,(Slot4_Cost-JF77*(1+Slot4_Rate)^(Slot4_Age-D77))/JC77),0)</f>
        <v>0</v>
      </c>
      <c r="JH77" s="1" t="n">
        <f aca="false">IF(BA77=1,MAX(0,(Slot4_Cost-BB77*(1+Slot4_Rate)^(Slot4_Age-D77))/JC77),0)</f>
        <v>0</v>
      </c>
      <c r="JI77" s="1" t="n">
        <f aca="false">IF(AND(HT77=1,BA77=1),MIN(JB77,JG77),0)</f>
        <v>0</v>
      </c>
      <c r="JJ77" s="1" t="n">
        <f aca="false">JB77-JI77</f>
        <v>0</v>
      </c>
      <c r="JK77" s="1" t="n">
        <f aca="false">IF(BK77=1,IF(ABS((1+AS_Wage)/(1+Slot5_Rate)-1)&lt;0.000000000001,(Slot5_Age-D77)*(1+Slot5_Rate)^(Slot5_Age-D77),(1+Slot5_Rate)^(Slot5_Age-D77)*(1-((1+AS_Wage)/(1+Slot5_Rate))^(Slot5_Age-D77))/(1-(1+AS_Wage)/(1+Slot5_Rate))),1)</f>
        <v>1</v>
      </c>
      <c r="JL77" s="1" t="n">
        <f aca="false">IF(AND(HT77=1,ID77&gt;0,Slot5_IsWG=1,BK77=1),MAX(0,(Slot5_Cost-BL77*(1+Slot5_Rate)^(Slot5_Age-D77))/JK77),0)</f>
        <v>0</v>
      </c>
      <c r="JM77" s="1" t="n">
        <f aca="false">IF(AND(HT77=1,ID77&gt;0,Slot5_IsWG=1,BK77=1),MIN(ID77,JL77),0)</f>
        <v>0</v>
      </c>
      <c r="JN77" s="1" t="n">
        <f aca="false">BL77+JM77</f>
        <v>0</v>
      </c>
      <c r="JO77" s="1" t="n">
        <f aca="false">IF(BK77=1,MAX(0,(Slot5_Cost-JN77*(1+Slot5_Rate)^(Slot5_Age-D77))/JK77),0)</f>
        <v>0</v>
      </c>
      <c r="JP77" s="1" t="n">
        <f aca="false">IF(BK77=1,MAX(0,(Slot5_Cost-BL77*(1+Slot5_Rate)^(Slot5_Age-D77))/JK77),0)</f>
        <v>0</v>
      </c>
      <c r="JQ77" s="1" t="n">
        <f aca="false">IF(AND(HT77=1,BK77=1),MIN(JJ77,JO77),0)</f>
        <v>0</v>
      </c>
      <c r="JR77" s="1" t="n">
        <f aca="false">JJ77-JQ77</f>
        <v>0</v>
      </c>
      <c r="JS77" s="1" t="n">
        <f aca="false">IF(BU77=1,IF(ABS((1+AS_Wage)/(1+Slot6_Rate)-1)&lt;0.000000000001,(Slot6_Age-D77)*(1+Slot6_Rate)^(Slot6_Age-D77),(1+Slot6_Rate)^(Slot6_Age-D77)*(1-((1+AS_Wage)/(1+Slot6_Rate))^(Slot6_Age-D77))/(1-(1+AS_Wage)/(1+Slot6_Rate))),1)</f>
        <v>1</v>
      </c>
      <c r="JT77" s="1" t="n">
        <f aca="false">IF(AND(HT77=1,ID77&gt;0,Slot6_IsWG=1,BU77=1),MAX(0,(Slot6_Cost-BV77*(1+Slot6_Rate)^(Slot6_Age-D77))/JS77),0)</f>
        <v>0</v>
      </c>
      <c r="JU77" s="1" t="n">
        <f aca="false">IF(AND(HT77=1,ID77&gt;0,Slot6_IsWG=1,BU77=1),MIN(ID77,JT77),0)</f>
        <v>0</v>
      </c>
      <c r="JV77" s="1" t="n">
        <f aca="false">BV77+JU77</f>
        <v>0</v>
      </c>
      <c r="JW77" s="1" t="n">
        <f aca="false">IF(BU77=1,MAX(0,(Slot6_Cost-JV77*(1+Slot6_Rate)^(Slot6_Age-D77))/JS77),0)</f>
        <v>0</v>
      </c>
      <c r="JX77" s="1" t="n">
        <f aca="false">IF(BU77=1,MAX(0,(Slot6_Cost-BV77*(1+Slot6_Rate)^(Slot6_Age-D77))/JS77),0)</f>
        <v>0</v>
      </c>
      <c r="JY77" s="1" t="n">
        <f aca="false">IF(AND(HT77=1,BU77=1),MIN(JR77,JW77),0)</f>
        <v>0</v>
      </c>
      <c r="JZ77" s="1" t="n">
        <f aca="false">JR77-JY77</f>
        <v>0</v>
      </c>
      <c r="KA77" s="1" t="n">
        <f aca="false">IF(CE77=1,IF(ABS((1+AS_Wage)/(1+Slot7_Rate)-1)&lt;0.000000000001,(Slot7_Age-D77)*(1+Slot7_Rate)^(Slot7_Age-D77),(1+Slot7_Rate)^(Slot7_Age-D77)*(1-((1+AS_Wage)/(1+Slot7_Rate))^(Slot7_Age-D77))/(1-(1+AS_Wage)/(1+Slot7_Rate))),1)</f>
        <v>1</v>
      </c>
      <c r="KB77" s="1" t="n">
        <f aca="false">IF(AND(HT77=1,ID77&gt;0,Slot7_IsWG=1,CE77=1),MAX(0,(Slot7_Cost-CF77*(1+Slot7_Rate)^(Slot7_Age-D77))/KA77),0)</f>
        <v>0</v>
      </c>
      <c r="KC77" s="1" t="n">
        <f aca="false">IF(AND(HT77=1,ID77&gt;0,Slot7_IsWG=1,CE77=1),MIN(ID77,KB77),0)</f>
        <v>0</v>
      </c>
      <c r="KD77" s="1" t="n">
        <f aca="false">CF77+KC77</f>
        <v>0</v>
      </c>
      <c r="KE77" s="1" t="n">
        <f aca="false">IF(CE77=1,MAX(0,(Slot7_Cost-KD77*(1+Slot7_Rate)^(Slot7_Age-D77))/KA77),0)</f>
        <v>0</v>
      </c>
      <c r="KF77" s="1" t="n">
        <f aca="false">IF(CE77=1,MAX(0,(Slot7_Cost-CF77*(1+Slot7_Rate)^(Slot7_Age-D77))/KA77),0)</f>
        <v>0</v>
      </c>
      <c r="KG77" s="1" t="n">
        <f aca="false">IF(AND(HT77=1,CE77=1),MIN(JZ77,KE77),0)</f>
        <v>0</v>
      </c>
      <c r="KH77" s="1" t="n">
        <f aca="false">JZ77-KG77</f>
        <v>0</v>
      </c>
      <c r="KI77" s="1" t="n">
        <f aca="false">IF(CO77=1,IF(ABS((1+AS_Wage)/(1+Slot8_Rate)-1)&lt;0.000000000001,(Slot8_Age-D77)*(1+Slot8_Rate)^(Slot8_Age-D77),(1+Slot8_Rate)^(Slot8_Age-D77)*(1-((1+AS_Wage)/(1+Slot8_Rate))^(Slot8_Age-D77))/(1-(1+AS_Wage)/(1+Slot8_Rate))),1)</f>
        <v>1</v>
      </c>
      <c r="KJ77" s="1" t="n">
        <f aca="false">IF(AND(HT77=1,ID77&gt;0,Slot8_IsWG=1,CO77=1),MAX(0,(Slot8_Cost-CP77*(1+Slot8_Rate)^(Slot8_Age-D77))/KI77),0)</f>
        <v>0</v>
      </c>
      <c r="KK77" s="1" t="n">
        <f aca="false">IF(AND(HT77=1,ID77&gt;0,Slot8_IsWG=1,CO77=1),MIN(ID77,KJ77),0)</f>
        <v>0</v>
      </c>
      <c r="KL77" s="1" t="n">
        <f aca="false">CP77+KK77</f>
        <v>0</v>
      </c>
      <c r="KM77" s="1" t="n">
        <f aca="false">IF(CO77=1,MAX(0,(Slot8_Cost-KL77*(1+Slot8_Rate)^(Slot8_Age-D77))/KI77),0)</f>
        <v>0</v>
      </c>
      <c r="KN77" s="1" t="n">
        <f aca="false">IF(CO77=1,MAX(0,(Slot8_Cost-CP77*(1+Slot8_Rate)^(Slot8_Age-D77))/KI77),0)</f>
        <v>0</v>
      </c>
      <c r="KO77" s="1" t="n">
        <f aca="false">IF(AND(HT77=1,CO77=1),MIN(KH77,KM77),0)</f>
        <v>0</v>
      </c>
      <c r="KP77" s="1" t="n">
        <f aca="false">KH77-KO77</f>
        <v>0</v>
      </c>
      <c r="KQ77" s="1" t="n">
        <f aca="false">IF(CY77=1,IF(ABS((1+AS_Wage)/(1+Slot9_Rate)-1)&lt;0.000000000001,(Slot9_Age-D77)*(1+Slot9_Rate)^(Slot9_Age-D77),(1+Slot9_Rate)^(Slot9_Age-D77)*(1-((1+AS_Wage)/(1+Slot9_Rate))^(Slot9_Age-D77))/(1-(1+AS_Wage)/(1+Slot9_Rate))),1)</f>
        <v>1</v>
      </c>
      <c r="KR77" s="1" t="n">
        <f aca="false">IF(AND(HT77=1,ID77&gt;0,Slot9_IsWG=1,CY77=1),MAX(0,(Slot9_Cost-CZ77*(1+Slot9_Rate)^(Slot9_Age-D77))/KQ77),0)</f>
        <v>0</v>
      </c>
      <c r="KS77" s="1" t="n">
        <f aca="false">IF(AND(HT77=1,ID77&gt;0,Slot9_IsWG=1,CY77=1),MIN(ID77,KR77),0)</f>
        <v>0</v>
      </c>
      <c r="KT77" s="1" t="n">
        <f aca="false">CZ77+KS77</f>
        <v>0</v>
      </c>
      <c r="KU77" s="1" t="n">
        <f aca="false">IF(CY77=1,MAX(0,(Slot9_Cost-KT77*(1+Slot9_Rate)^(Slot9_Age-D77))/KQ77),0)</f>
        <v>0</v>
      </c>
      <c r="KV77" s="1" t="n">
        <f aca="false">IF(CY77=1,MAX(0,(Slot9_Cost-CZ77*(1+Slot9_Rate)^(Slot9_Age-D77))/KQ77),0)</f>
        <v>0</v>
      </c>
      <c r="KW77" s="1" t="n">
        <f aca="false">IF(AND(HT77=1,CY77=1),MIN(KP77,KU77),0)</f>
        <v>0</v>
      </c>
      <c r="KX77" s="1" t="n">
        <f aca="false">KP77-KW77</f>
        <v>0</v>
      </c>
      <c r="KY77" s="1" t="n">
        <f aca="false">IF(DI77=1,IF(ABS((1+AS_Wage)/(1+Slot10_Rate)-1)&lt;0.000000000001,(Slot10_Age-D77)*(1+Slot10_Rate)^(Slot10_Age-D77),(1+Slot10_Rate)^(Slot10_Age-D77)*(1-((1+AS_Wage)/(1+Slot10_Rate))^(Slot10_Age-D77))/(1-(1+AS_Wage)/(1+Slot10_Rate))),1)</f>
        <v>1</v>
      </c>
      <c r="KZ77" s="1" t="n">
        <f aca="false">IF(AND(HT77=1,ID77&gt;0,Slot10_IsWG=1,DI77=1),MAX(0,(Slot10_Cost-DJ77*(1+Slot10_Rate)^(Slot10_Age-D77))/KY77),0)</f>
        <v>0</v>
      </c>
      <c r="LA77" s="1" t="n">
        <f aca="false">IF(AND(HT77=1,ID77&gt;0,Slot10_IsWG=1,DI77=1),MIN(ID77,KZ77),0)</f>
        <v>0</v>
      </c>
      <c r="LB77" s="1" t="n">
        <f aca="false">DJ77+LA77</f>
        <v>0</v>
      </c>
      <c r="LC77" s="1" t="n">
        <f aca="false">IF(DI77=1,MAX(0,(Slot10_Cost-LB77*(1+Slot10_Rate)^(Slot10_Age-D77))/KY77),0)</f>
        <v>0</v>
      </c>
      <c r="LD77" s="1" t="n">
        <f aca="false">IF(DI77=1,MAX(0,(Slot10_Cost-DJ77*(1+Slot10_Rate)^(Slot10_Age-D77))/KY77),0)</f>
        <v>0</v>
      </c>
      <c r="LE77" s="1" t="n">
        <f aca="false">IF(AND(HT77=1,DI77=1),MIN(KX77,LC77),0)</f>
        <v>0</v>
      </c>
      <c r="LF77" s="1" t="n">
        <f aca="false">KX77-LE77</f>
        <v>0</v>
      </c>
      <c r="LG77" s="1" t="n">
        <f aca="false">IF(DS77=1,IF(ABS((1+AS_Wage)/(1+Slot11_Rate)-1)&lt;0.000000000001,(Slot11_Age-D77)*(1+Slot11_Rate)^(Slot11_Age-D77),(1+Slot11_Rate)^(Slot11_Age-D77)*(1-((1+AS_Wage)/(1+Slot11_Rate))^(Slot11_Age-D77))/(1-(1+AS_Wage)/(1+Slot11_Rate))),1)</f>
        <v>1</v>
      </c>
      <c r="LH77" s="1" t="n">
        <f aca="false">IF(AND(HT77=1,ID77&gt;0,Slot11_IsWG=1,DS77=1),MAX(0,(Slot11_Cost-DT77*(1+Slot11_Rate)^(Slot11_Age-D77))/LG77),0)</f>
        <v>0</v>
      </c>
      <c r="LI77" s="1" t="n">
        <f aca="false">IF(AND(HT77=1,ID77&gt;0,Slot11_IsWG=1,DS77=1),MIN(ID77,LH77),0)</f>
        <v>0</v>
      </c>
      <c r="LJ77" s="1" t="n">
        <f aca="false">DT77+LI77</f>
        <v>0</v>
      </c>
      <c r="LK77" s="1" t="n">
        <f aca="false">IF(DS77=1,MAX(0,(Slot11_Cost-LJ77*(1+Slot11_Rate)^(Slot11_Age-D77))/LG77),0)</f>
        <v>0</v>
      </c>
      <c r="LL77" s="1" t="n">
        <f aca="false">IF(DS77=1,MAX(0,(Slot11_Cost-DT77*(1+Slot11_Rate)^(Slot11_Age-D77))/LG77),0)</f>
        <v>0</v>
      </c>
      <c r="LM77" s="1" t="n">
        <f aca="false">IF(AND(HT77=1,DS77=1),MIN(LF77,LK77),0)</f>
        <v>0</v>
      </c>
      <c r="LN77" s="1" t="n">
        <f aca="false">LF77-LM77</f>
        <v>0</v>
      </c>
      <c r="LO77" s="1" t="n">
        <f aca="false">IF(EC77=1,IF(ABS((1+AS_Wage)/(1+Slot12_Rate)-1)&lt;0.000000000001,(Slot12_Age-D77)*(1+Slot12_Rate)^(Slot12_Age-D77),(1+Slot12_Rate)^(Slot12_Age-D77)*(1-((1+AS_Wage)/(1+Slot12_Rate))^(Slot12_Age-D77))/(1-(1+AS_Wage)/(1+Slot12_Rate))),1)</f>
        <v>1</v>
      </c>
      <c r="LP77" s="1" t="n">
        <f aca="false">IF(AND(HT77=1,ID77&gt;0,Slot12_IsWG=1,EC77=1),MAX(0,(Slot12_Cost-ED77*(1+Slot12_Rate)^(Slot12_Age-D77))/LO77),0)</f>
        <v>0</v>
      </c>
      <c r="LQ77" s="1" t="n">
        <f aca="false">IF(AND(HT77=1,ID77&gt;0,Slot12_IsWG=1,EC77=1),MIN(ID77,LP77),0)</f>
        <v>0</v>
      </c>
      <c r="LR77" s="1" t="n">
        <f aca="false">ED77+LQ77</f>
        <v>0</v>
      </c>
      <c r="LS77" s="1" t="n">
        <f aca="false">IF(EC77=1,MAX(0,(Slot12_Cost-LR77*(1+Slot12_Rate)^(Slot12_Age-D77))/LO77),0)</f>
        <v>0</v>
      </c>
      <c r="LT77" s="1" t="n">
        <f aca="false">IF(EC77=1,MAX(0,(Slot12_Cost-ED77*(1+Slot12_Rate)^(Slot12_Age-D77))/LO77),0)</f>
        <v>0</v>
      </c>
      <c r="LU77" s="1" t="n">
        <f aca="false">IF(AND(HT77=1,EC77=1),MIN(LN77,LS77),0)</f>
        <v>0</v>
      </c>
      <c r="LV77" s="1" t="n">
        <f aca="false">LN77-LU77</f>
        <v>0</v>
      </c>
      <c r="LW77" s="1" t="n">
        <f aca="false">IF(EM77=1,IF(ABS((1+AS_Wage)/(1+Slot13_Rate)-1)&lt;0.000000000001,(Slot13_Age-D77)*(1+Slot13_Rate)^(Slot13_Age-D77),(1+Slot13_Rate)^(Slot13_Age-D77)*(1-((1+AS_Wage)/(1+Slot13_Rate))^(Slot13_Age-D77))/(1-(1+AS_Wage)/(1+Slot13_Rate))),1)</f>
        <v>1</v>
      </c>
      <c r="LX77" s="1" t="n">
        <f aca="false">IF(AND(HT77=1,ID77&gt;0,Slot13_IsWG=1,EM77=1),MAX(0,(Slot13_Cost-EN77*(1+Slot13_Rate)^(Slot13_Age-D77))/LW77),0)</f>
        <v>0</v>
      </c>
      <c r="LY77" s="1" t="n">
        <f aca="false">IF(AND(HT77=1,ID77&gt;0,Slot13_IsWG=1,EM77=1),MIN(ID77,LX77),0)</f>
        <v>0</v>
      </c>
      <c r="LZ77" s="1" t="n">
        <f aca="false">EN77+LY77</f>
        <v>0</v>
      </c>
      <c r="MA77" s="1" t="n">
        <f aca="false">IF(EM77=1,MAX(0,(Slot13_Cost-LZ77*(1+Slot13_Rate)^(Slot13_Age-D77))/LW77),0)</f>
        <v>0</v>
      </c>
      <c r="MB77" s="1" t="n">
        <f aca="false">IF(EM77=1,MAX(0,(Slot13_Cost-EN77*(1+Slot13_Rate)^(Slot13_Age-D77))/LW77),0)</f>
        <v>0</v>
      </c>
      <c r="MC77" s="1" t="n">
        <f aca="false">IF(AND(HT77=1,EM77=1),MIN(LV77,MA77),0)</f>
        <v>0</v>
      </c>
      <c r="MD77" s="1" t="n">
        <f aca="false">LV77-MC77</f>
        <v>0</v>
      </c>
      <c r="ME77" s="1" t="n">
        <f aca="false">IF(EW77=1,IF(ABS((1+AS_Wage)/(1+Slot14_Rate)-1)&lt;0.000000000001,(Slot14_Age-D77)*(1+Slot14_Rate)^(Slot14_Age-D77),(1+Slot14_Rate)^(Slot14_Age-D77)*(1-((1+AS_Wage)/(1+Slot14_Rate))^(Slot14_Age-D77))/(1-(1+AS_Wage)/(1+Slot14_Rate))),1)</f>
        <v>1</v>
      </c>
      <c r="MF77" s="1" t="n">
        <f aca="false">IF(AND(HT77=1,ID77&gt;0,Slot14_IsWG=1,EW77=1),MAX(0,(Slot14_Cost-EX77*(1+Slot14_Rate)^(Slot14_Age-D77))/ME77),0)</f>
        <v>0</v>
      </c>
      <c r="MG77" s="1" t="n">
        <f aca="false">IF(AND(HT77=1,ID77&gt;0,Slot14_IsWG=1,EW77=1),MIN(ID77,MF77),0)</f>
        <v>0</v>
      </c>
      <c r="MH77" s="1" t="n">
        <f aca="false">EX77+MG77</f>
        <v>0</v>
      </c>
      <c r="MI77" s="1" t="n">
        <f aca="false">IF(EW77=1,MAX(0,(Slot14_Cost-MH77*(1+Slot14_Rate)^(Slot14_Age-D77))/ME77),0)</f>
        <v>0</v>
      </c>
      <c r="MJ77" s="1" t="n">
        <f aca="false">IF(EW77=1,MAX(0,(Slot14_Cost-EX77*(1+Slot14_Rate)^(Slot14_Age-D77))/ME77),0)</f>
        <v>0</v>
      </c>
      <c r="MK77" s="1" t="n">
        <f aca="false">IF(AND(HT77=1,EW77=1),MIN(MD77,MI77),0)</f>
        <v>0</v>
      </c>
      <c r="ML77" s="1" t="n">
        <f aca="false">MD77-MK77</f>
        <v>0</v>
      </c>
      <c r="MM77" s="1" t="n">
        <f aca="false">IF(FG77=1,IF(ABS((1+AS_Wage)/(1+Slot15_Rate)-1)&lt;0.000000000001,(Slot15_Age-D77)*(1+Slot15_Rate)^(Slot15_Age-D77),(1+Slot15_Rate)^(Slot15_Age-D77)*(1-((1+AS_Wage)/(1+Slot15_Rate))^(Slot15_Age-D77))/(1-(1+AS_Wage)/(1+Slot15_Rate))),1)</f>
        <v>1</v>
      </c>
      <c r="MN77" s="1" t="n">
        <f aca="false">IF(AND(HT77=1,ID77&gt;0,Slot15_IsWG=1,FG77=1),MAX(0,(Slot15_Cost-FH77*(1+Slot15_Rate)^(Slot15_Age-D77))/MM77),0)</f>
        <v>0</v>
      </c>
      <c r="MO77" s="1" t="n">
        <f aca="false">IF(AND(HT77=1,ID77&gt;0,Slot15_IsWG=1,FG77=1),MIN(ID77,MN77),0)</f>
        <v>0</v>
      </c>
      <c r="MP77" s="1" t="n">
        <f aca="false">FH77+MO77</f>
        <v>0</v>
      </c>
      <c r="MQ77" s="1" t="n">
        <f aca="false">IF(FG77=1,MAX(0,(Slot15_Cost-MP77*(1+Slot15_Rate)^(Slot15_Age-D77))/MM77),0)</f>
        <v>0</v>
      </c>
      <c r="MR77" s="1" t="n">
        <f aca="false">IF(FG77=1,MAX(0,(Slot15_Cost-FH77*(1+Slot15_Rate)^(Slot15_Age-D77))/MM77),0)</f>
        <v>0</v>
      </c>
      <c r="MS77" s="1" t="n">
        <f aca="false">IF(AND(HT77=1,FG77=1),MIN(ML77,MQ77),0)</f>
        <v>0</v>
      </c>
      <c r="MT77" s="1" t="n">
        <f aca="false">ML77-MS77</f>
        <v>0</v>
      </c>
      <c r="MU77" s="1" t="n">
        <f aca="false">IF(FQ77=1,IF(ABS((1+AS_Wage)/(1+Slot16_Rate)-1)&lt;0.000000000001,(Slot16_Age-D77)*(1+Slot16_Rate)^(Slot16_Age-D77),(1+Slot16_Rate)^(Slot16_Age-D77)*(1-((1+AS_Wage)/(1+Slot16_Rate))^(Slot16_Age-D77))/(1-(1+AS_Wage)/(1+Slot16_Rate))),1)</f>
        <v>1</v>
      </c>
      <c r="MV77" s="1" t="n">
        <f aca="false">IF(AND(HT77=1,ID77&gt;0,Slot16_IsWG=1,FQ77=1),MAX(0,(Slot16_Cost-FR77*(1+Slot16_Rate)^(Slot16_Age-D77))/MU77),0)</f>
        <v>0</v>
      </c>
      <c r="MW77" s="1" t="n">
        <f aca="false">IF(AND(HT77=1,ID77&gt;0,Slot16_IsWG=1,FQ77=1),MIN(ID77,MV77),0)</f>
        <v>0</v>
      </c>
      <c r="MX77" s="1" t="n">
        <f aca="false">FR77+MW77</f>
        <v>0</v>
      </c>
      <c r="MY77" s="1" t="n">
        <f aca="false">IF(FQ77=1,MAX(0,(Slot16_Cost-MX77*(1+Slot16_Rate)^(Slot16_Age-D77))/MU77),0)</f>
        <v>0</v>
      </c>
      <c r="MZ77" s="1" t="n">
        <f aca="false">IF(FQ77=1,MAX(0,(Slot16_Cost-FR77*(1+Slot16_Rate)^(Slot16_Age-D77))/MU77),0)</f>
        <v>0</v>
      </c>
      <c r="NA77" s="1" t="n">
        <f aca="false">IF(AND(HT77=1,FQ77=1),MIN(MT77,MY77),0)</f>
        <v>0</v>
      </c>
      <c r="NB77" s="1" t="n">
        <f aca="false">MT77-NA77</f>
        <v>0</v>
      </c>
      <c r="NC77" s="1" t="n">
        <f aca="false">IF(GA77=1,IF(ABS((1+AS_Wage)/(1+Slot17_Rate)-1)&lt;0.000000000001,(Slot17_Age-D77)*(1+Slot17_Rate)^(Slot17_Age-D77),(1+Slot17_Rate)^(Slot17_Age-D77)*(1-((1+AS_Wage)/(1+Slot17_Rate))^(Slot17_Age-D77))/(1-(1+AS_Wage)/(1+Slot17_Rate))),1)</f>
        <v>1</v>
      </c>
      <c r="ND77" s="1" t="n">
        <f aca="false">IF(AND(HT77=1,ID77&gt;0,Slot17_IsWG=1,GA77=1),MAX(0,(Slot17_Cost-GB77*(1+Slot17_Rate)^(Slot17_Age-D77))/NC77),0)</f>
        <v>0</v>
      </c>
      <c r="NE77" s="1" t="n">
        <f aca="false">IF(AND(HT77=1,ID77&gt;0,Slot17_IsWG=1,GA77=1),MIN(ID77,ND77),0)</f>
        <v>0</v>
      </c>
      <c r="NF77" s="1" t="n">
        <f aca="false">GB77+NE77</f>
        <v>0</v>
      </c>
      <c r="NG77" s="1" t="n">
        <f aca="false">IF(GA77=1,MAX(0,(Slot17_Cost-NF77*(1+Slot17_Rate)^(Slot17_Age-D77))/NC77),0)</f>
        <v>0</v>
      </c>
      <c r="NH77" s="1" t="n">
        <f aca="false">IF(GA77=1,MAX(0,(Slot17_Cost-GB77*(1+Slot17_Rate)^(Slot17_Age-D77))/NC77),0)</f>
        <v>0</v>
      </c>
      <c r="NI77" s="1" t="n">
        <f aca="false">IF(AND(HT77=1,GA77=1),MIN(NB77,NG77),0)</f>
        <v>0</v>
      </c>
      <c r="NJ77" s="1" t="n">
        <f aca="false">NB77-NI77</f>
        <v>0</v>
      </c>
      <c r="NK77" s="1" t="n">
        <f aca="false">IF(GK77=1,IF(ABS((1+AS_Wage)/(1+Slot18_Rate)-1)&lt;0.000000000001,(Slot18_Age-D77)*(1+Slot18_Rate)^(Slot18_Age-D77),(1+Slot18_Rate)^(Slot18_Age-D77)*(1-((1+AS_Wage)/(1+Slot18_Rate))^(Slot18_Age-D77))/(1-(1+AS_Wage)/(1+Slot18_Rate))),1)</f>
        <v>1</v>
      </c>
      <c r="NL77" s="1" t="n">
        <f aca="false">IF(AND(HT77=1,ID77&gt;0,Slot18_IsWG=1,GK77=1),MAX(0,(Slot18_Cost-GL77*(1+Slot18_Rate)^(Slot18_Age-D77))/NK77),0)</f>
        <v>0</v>
      </c>
      <c r="NM77" s="1" t="n">
        <f aca="false">IF(AND(HT77=1,ID77&gt;0,Slot18_IsWG=1,GK77=1),MIN(ID77,NL77),0)</f>
        <v>0</v>
      </c>
      <c r="NN77" s="1" t="n">
        <f aca="false">GL77+NM77</f>
        <v>0</v>
      </c>
      <c r="NO77" s="1" t="n">
        <f aca="false">IF(GK77=1,MAX(0,(Slot18_Cost-NN77*(1+Slot18_Rate)^(Slot18_Age-D77))/NK77),0)</f>
        <v>0</v>
      </c>
      <c r="NP77" s="1" t="n">
        <f aca="false">IF(GK77=1,MAX(0,(Slot18_Cost-GL77*(1+Slot18_Rate)^(Slot18_Age-D77))/NK77),0)</f>
        <v>0</v>
      </c>
      <c r="NQ77" s="1" t="n">
        <f aca="false">IF(AND(HT77=1,GK77=1),MIN(NJ77,NO77),0)</f>
        <v>0</v>
      </c>
      <c r="NR77" s="1" t="n">
        <f aca="false">NJ77-NQ77</f>
        <v>0</v>
      </c>
      <c r="NS77" s="1" t="n">
        <f aca="false">IF(GU77=1,IF(ABS((1+AS_Wage)/(1+Slot19_Rate)-1)&lt;0.000000000001,(Slot19_Age-D77)*(1+Slot19_Rate)^(Slot19_Age-D77),(1+Slot19_Rate)^(Slot19_Age-D77)*(1-((1+AS_Wage)/(1+Slot19_Rate))^(Slot19_Age-D77))/(1-(1+AS_Wage)/(1+Slot19_Rate))),1)</f>
        <v>1</v>
      </c>
      <c r="NT77" s="1" t="n">
        <f aca="false">IF(AND(HT77=1,ID77&gt;0,Slot19_IsWG=1,GU77=1),MAX(0,(Slot19_Cost-GV77*(1+Slot19_Rate)^(Slot19_Age-D77))/NS77),0)</f>
        <v>0</v>
      </c>
      <c r="NU77" s="1" t="n">
        <f aca="false">IF(AND(HT77=1,ID77&gt;0,Slot19_IsWG=1,GU77=1),MIN(ID77,NT77),0)</f>
        <v>0</v>
      </c>
      <c r="NV77" s="1" t="n">
        <f aca="false">GV77+NU77</f>
        <v>0</v>
      </c>
      <c r="NW77" s="1" t="n">
        <f aca="false">IF(GU77=1,MAX(0,(Slot19_Cost-NV77*(1+Slot19_Rate)^(Slot19_Age-D77))/NS77),0)</f>
        <v>0</v>
      </c>
      <c r="NX77" s="1" t="n">
        <f aca="false">IF(GU77=1,MAX(0,(Slot19_Cost-GV77*(1+Slot19_Rate)^(Slot19_Age-D77))/NS77),0)</f>
        <v>0</v>
      </c>
      <c r="NY77" s="1" t="n">
        <f aca="false">IF(AND(HT77=1,GU77=1),MIN(NR77,NW77),0)</f>
        <v>0</v>
      </c>
      <c r="NZ77" s="1" t="n">
        <f aca="false">NR77-NY77</f>
        <v>0</v>
      </c>
      <c r="OA77" s="1" t="n">
        <f aca="false">IF(HE77=1,IF(ABS((1+AS_Wage)/(1+Slot20_Rate)-1)&lt;0.000000000001,(Slot20_Age-D77)*(1+Slot20_Rate)^(Slot20_Age-D77),(1+Slot20_Rate)^(Slot20_Age-D77)*(1-((1+AS_Wage)/(1+Slot20_Rate))^(Slot20_Age-D77))/(1-(1+AS_Wage)/(1+Slot20_Rate))),1)</f>
        <v>1</v>
      </c>
      <c r="OB77" s="1" t="n">
        <f aca="false">IF(AND(HT77=1,ID77&gt;0,Slot20_IsWG=1,HE77=1),MAX(0,(Slot20_Cost-HF77*(1+Slot20_Rate)^(Slot20_Age-D77))/OA77),0)</f>
        <v>0</v>
      </c>
      <c r="OC77" s="1" t="n">
        <f aca="false">IF(AND(HT77=1,ID77&gt;0,Slot20_IsWG=1,HE77=1),MIN(ID77,OB77),0)</f>
        <v>0</v>
      </c>
      <c r="OD77" s="1" t="n">
        <f aca="false">HF77+OC77</f>
        <v>0</v>
      </c>
      <c r="OE77" s="1" t="n">
        <f aca="false">IF(HE77=1,MAX(0,(Slot20_Cost-OD77*(1+Slot20_Rate)^(Slot20_Age-D77))/OA77),0)</f>
        <v>0</v>
      </c>
      <c r="OF77" s="1" t="n">
        <f aca="false">IF(HE77=1,MAX(0,(Slot20_Cost-HF77*(1+Slot20_Rate)^(Slot20_Age-D77))/OA77),0)</f>
        <v>0</v>
      </c>
      <c r="OG77" s="1" t="n">
        <f aca="false">IF(AND(HT77=1,HE77=1),MIN(NZ77,OE77),0)</f>
        <v>0</v>
      </c>
      <c r="OH77" s="1" t="n">
        <f aca="false">NZ77-OG77</f>
        <v>0</v>
      </c>
      <c r="OI77" s="1" t="n">
        <f aca="false">ID77-(IG77+IO77+IW77+JE77+JM77+JU77+KC77+KK77+KS77+LA77+LI77+LQ77+LY77+MG77+MO77+MW77+NE77+NM77+NU77+OC77)</f>
        <v>0</v>
      </c>
      <c r="OJ77" s="1" t="n">
        <f aca="false">IF(HT77=1,HR77-IC77-ID77,0)</f>
        <v>48821.5877310776</v>
      </c>
      <c r="OK77" s="1" t="n">
        <f aca="false">IF(HT77=0,-HR77,0)</f>
        <v>0</v>
      </c>
      <c r="OL77" s="1" t="n">
        <f aca="false">MIN(OK77,HJ77)</f>
        <v>0</v>
      </c>
      <c r="OM77" s="1" t="n">
        <f aca="false">OK77-OL77</f>
        <v>0</v>
      </c>
      <c r="ON77" s="1" t="n">
        <f aca="false">MIN(OM77,HK77)</f>
        <v>0</v>
      </c>
      <c r="OO77" s="1" t="n">
        <f aca="false">OM77-ON77</f>
        <v>0</v>
      </c>
      <c r="OP77" s="1" t="n">
        <f aca="false">IF(AND(HT77=0,HE77=1,OO77&gt;0),MIN(OO77,HF77),0)</f>
        <v>0</v>
      </c>
      <c r="OQ77" s="1" t="n">
        <f aca="false">OO77-OP77</f>
        <v>0</v>
      </c>
      <c r="OR77" s="1" t="n">
        <f aca="false">IF(AND(HT77=0,GU77=1,OQ77&gt;0),MIN(OQ77,GV77),0)</f>
        <v>0</v>
      </c>
      <c r="OS77" s="1" t="n">
        <f aca="false">OQ77-OR77</f>
        <v>0</v>
      </c>
      <c r="OT77" s="1" t="n">
        <f aca="false">IF(AND(HT77=0,GK77=1,OS77&gt;0),MIN(OS77,GL77),0)</f>
        <v>0</v>
      </c>
      <c r="OU77" s="1" t="n">
        <f aca="false">OS77-OT77</f>
        <v>0</v>
      </c>
      <c r="OV77" s="1" t="n">
        <f aca="false">IF(AND(HT77=0,GA77=1,OU77&gt;0),MIN(OU77,GB77),0)</f>
        <v>0</v>
      </c>
      <c r="OW77" s="1" t="n">
        <f aca="false">OU77-OV77</f>
        <v>0</v>
      </c>
      <c r="OX77" s="1" t="n">
        <f aca="false">IF(AND(HT77=0,FQ77=1,OW77&gt;0),MIN(OW77,FR77),0)</f>
        <v>0</v>
      </c>
      <c r="OY77" s="1" t="n">
        <f aca="false">OW77-OX77</f>
        <v>0</v>
      </c>
      <c r="OZ77" s="1" t="n">
        <f aca="false">IF(AND(HT77=0,FG77=1,OY77&gt;0),MIN(OY77,FH77),0)</f>
        <v>0</v>
      </c>
      <c r="PA77" s="1" t="n">
        <f aca="false">OY77-OZ77</f>
        <v>0</v>
      </c>
      <c r="PB77" s="1" t="n">
        <f aca="false">IF(AND(HT77=0,EW77=1,PA77&gt;0),MIN(PA77,EX77),0)</f>
        <v>0</v>
      </c>
      <c r="PC77" s="1" t="n">
        <f aca="false">PA77-PB77</f>
        <v>0</v>
      </c>
      <c r="PD77" s="1" t="n">
        <f aca="false">IF(AND(HT77=0,EM77=1,PC77&gt;0),MIN(PC77,EN77),0)</f>
        <v>0</v>
      </c>
      <c r="PE77" s="1" t="n">
        <f aca="false">PC77-PD77</f>
        <v>0</v>
      </c>
      <c r="PF77" s="1" t="n">
        <f aca="false">IF(AND(HT77=0,EC77=1,PE77&gt;0),MIN(PE77,ED77),0)</f>
        <v>0</v>
      </c>
      <c r="PG77" s="1" t="n">
        <f aca="false">PE77-PF77</f>
        <v>0</v>
      </c>
      <c r="PH77" s="1" t="n">
        <f aca="false">IF(AND(HT77=0,DS77=1,PG77&gt;0),MIN(PG77,DT77),0)</f>
        <v>0</v>
      </c>
      <c r="PI77" s="1" t="n">
        <f aca="false">PG77-PH77</f>
        <v>0</v>
      </c>
      <c r="PJ77" s="1" t="n">
        <f aca="false">IF(AND(HT77=0,DI77=1,PI77&gt;0),MIN(PI77,DJ77),0)</f>
        <v>0</v>
      </c>
      <c r="PK77" s="1" t="n">
        <f aca="false">PI77-PJ77</f>
        <v>0</v>
      </c>
      <c r="PL77" s="1" t="n">
        <f aca="false">IF(AND(HT77=0,CY77=1,PK77&gt;0),MIN(PK77,CZ77),0)</f>
        <v>0</v>
      </c>
      <c r="PM77" s="1" t="n">
        <f aca="false">PK77-PL77</f>
        <v>0</v>
      </c>
      <c r="PN77" s="1" t="n">
        <f aca="false">IF(AND(HT77=0,CO77=1,PM77&gt;0),MIN(PM77,CP77),0)</f>
        <v>0</v>
      </c>
      <c r="PO77" s="1" t="n">
        <f aca="false">PM77-PN77</f>
        <v>0</v>
      </c>
      <c r="PP77" s="1" t="n">
        <f aca="false">IF(AND(HT77=0,CE77=1,PO77&gt;0),MIN(PO77,CF77),0)</f>
        <v>0</v>
      </c>
      <c r="PQ77" s="1" t="n">
        <f aca="false">PO77-PP77</f>
        <v>0</v>
      </c>
      <c r="PR77" s="1" t="n">
        <f aca="false">IF(AND(HT77=0,BU77=1,PQ77&gt;0),MIN(PQ77,BV77),0)</f>
        <v>0</v>
      </c>
      <c r="PS77" s="1" t="n">
        <f aca="false">PQ77-PR77</f>
        <v>0</v>
      </c>
      <c r="PT77" s="1" t="n">
        <f aca="false">IF(AND(HT77=0,BK77=1,PS77&gt;0),MIN(PS77,BL77),0)</f>
        <v>0</v>
      </c>
      <c r="PU77" s="1" t="n">
        <f aca="false">PS77-PT77</f>
        <v>0</v>
      </c>
      <c r="PV77" s="1" t="n">
        <f aca="false">IF(AND(HT77=0,BA77=1,PU77&gt;0),MIN(PU77,BB77),0)</f>
        <v>0</v>
      </c>
      <c r="PW77" s="1" t="n">
        <f aca="false">PU77-PV77</f>
        <v>0</v>
      </c>
      <c r="PX77" s="1" t="n">
        <f aca="false">IF(AND(HT77=0,AQ77=1,PW77&gt;0),MIN(PW77,AR77),0)</f>
        <v>0</v>
      </c>
      <c r="PY77" s="1" t="n">
        <f aca="false">PW77-PX77</f>
        <v>0</v>
      </c>
      <c r="PZ77" s="1" t="n">
        <f aca="false">IF(AND(HT77=0,AG77=1,PY77&gt;0),MIN(PY77,AH77),0)</f>
        <v>0</v>
      </c>
      <c r="QA77" s="1" t="n">
        <f aca="false">PY77-PZ77</f>
        <v>0</v>
      </c>
      <c r="QB77" s="1" t="n">
        <f aca="false">IF(AND(HT77=0,V77=1,QA77&gt;0),MIN(QA77,W77),0)</f>
        <v>0</v>
      </c>
      <c r="QC77" s="1" t="n">
        <f aca="false">QA77-QB77</f>
        <v>0</v>
      </c>
      <c r="QD77" s="1" t="n">
        <f aca="false">IF(HT77=0,QC77,0)</f>
        <v>0</v>
      </c>
      <c r="QE77" s="1" t="n">
        <f aca="false">OL77+ON77+QB77+PZ77+PX77+PV77+PT77+PR77+PP77+PN77+PL77+PJ77+PH77+PF77+PD77+PB77+OZ77+OX77+OV77+OT77+OR77+OP77</f>
        <v>0</v>
      </c>
      <c r="QF77" s="1" t="n">
        <f aca="false">IF(HT77=1,HJ77+OI77+OH77+IF(F77=1,0,OJ77),HJ77-OL77)</f>
        <v>194254.912493957</v>
      </c>
      <c r="QG77" s="1" t="n">
        <f aca="false">HK77-ON77</f>
        <v>0</v>
      </c>
      <c r="QH77" s="1" t="n">
        <f aca="false">IF(HT77=1,IF(F77=1,IC77+ID77,HR77),0)</f>
        <v>48821.5877310776</v>
      </c>
      <c r="QI77" s="1" t="n">
        <f aca="false">IF(HT77=1,IF(F77=1,HR77-IC77-ID77,0),0)</f>
        <v>0</v>
      </c>
      <c r="QJ77" s="1" t="n">
        <f aca="false">QF77*(1+GR)</f>
        <v>197440.693058858</v>
      </c>
      <c r="QK77" s="1" t="n">
        <f aca="false">QG77*(1+AS_Cash)</f>
        <v>0</v>
      </c>
      <c r="QL77" s="1" t="n">
        <f aca="false">IF(V77=1,IF(HT77=1,IH77+IK77,W77-QB77)*(1+Slot1_Rate),0)</f>
        <v>0</v>
      </c>
      <c r="QM77" s="1" t="n">
        <f aca="false">IF(AND(HT77=1,V77=1),(IG77+IK77)/E77,0)</f>
        <v>0</v>
      </c>
      <c r="QN77" s="1" t="n">
        <f aca="false">IF(B77=0,IG77+IK77,0)</f>
        <v>0</v>
      </c>
      <c r="QO77" s="1" t="n">
        <f aca="false">IF(B77=0,IF(HT77=1,II77,IJ77),0)</f>
        <v>0</v>
      </c>
      <c r="QP77" s="1" t="n">
        <f aca="false">IF(AG77=1,IF(HT77=1,IP77+IS77,AH77-PZ77)*(1+Slot2_Rate),0)</f>
        <v>0</v>
      </c>
      <c r="QQ77" s="1" t="n">
        <f aca="false">IF(AND(HT77=1,AG77=1),(IO77+IS77)/E77,0)</f>
        <v>0</v>
      </c>
      <c r="QR77" s="1" t="n">
        <f aca="false">IF(B77=0,IO77+IS77,0)</f>
        <v>0</v>
      </c>
      <c r="QS77" s="1" t="n">
        <f aca="false">IF(B77=0,IF(HT77=1,IQ77,IR77),0)</f>
        <v>0</v>
      </c>
      <c r="QT77" s="1" t="n">
        <f aca="false">IF(AQ77=1,IF(HT77=1,IX77+JA77,AR77-PX77)*(1+Slot3_Rate),0)</f>
        <v>0</v>
      </c>
      <c r="QU77" s="1" t="n">
        <f aca="false">IF(AND(HT77=1,AQ77=1),(IW77+JA77)/E77,0)</f>
        <v>0</v>
      </c>
      <c r="QV77" s="1" t="n">
        <f aca="false">IF(B77=0,IW77+JA77,0)</f>
        <v>0</v>
      </c>
      <c r="QW77" s="1" t="n">
        <f aca="false">IF(B77=0,IF(HT77=1,IY77,IZ77),0)</f>
        <v>0</v>
      </c>
      <c r="QX77" s="1" t="n">
        <f aca="false">IF(BA77=1,IF(HT77=1,JF77+JI77,BB77-PV77)*(1+Slot4_Rate),0)</f>
        <v>0</v>
      </c>
      <c r="QY77" s="1" t="n">
        <f aca="false">IF(AND(HT77=1,BA77=1),(JE77+JI77)/E77,0)</f>
        <v>0</v>
      </c>
      <c r="QZ77" s="1" t="n">
        <f aca="false">IF(B77=0,JE77+JI77,0)</f>
        <v>0</v>
      </c>
      <c r="RA77" s="1" t="n">
        <f aca="false">IF(B77=0,IF(HT77=1,JG77,JH77),0)</f>
        <v>0</v>
      </c>
      <c r="RB77" s="1" t="n">
        <f aca="false">IF(BK77=1,IF(HT77=1,JN77+JQ77,BL77-PT77)*(1+Slot5_Rate),0)</f>
        <v>0</v>
      </c>
      <c r="RC77" s="1" t="n">
        <f aca="false">IF(AND(HT77=1,BK77=1),(JM77+JQ77)/E77,0)</f>
        <v>0</v>
      </c>
      <c r="RD77" s="1" t="n">
        <f aca="false">IF(B77=0,JM77+JQ77,0)</f>
        <v>0</v>
      </c>
      <c r="RE77" s="1" t="n">
        <f aca="false">IF(B77=0,IF(HT77=1,JO77,JP77),0)</f>
        <v>0</v>
      </c>
      <c r="RF77" s="1" t="n">
        <f aca="false">IF(BU77=1,IF(HT77=1,JV77+JY77,BV77-PR77)*(1+Slot6_Rate),0)</f>
        <v>0</v>
      </c>
      <c r="RG77" s="1" t="n">
        <f aca="false">IF(AND(HT77=1,BU77=1),(JU77+JY77)/E77,0)</f>
        <v>0</v>
      </c>
      <c r="RH77" s="1" t="n">
        <f aca="false">IF(B77=0,JU77+JY77,0)</f>
        <v>0</v>
      </c>
      <c r="RI77" s="1" t="n">
        <f aca="false">IF(B77=0,IF(HT77=1,JW77,JX77),0)</f>
        <v>0</v>
      </c>
      <c r="RJ77" s="1" t="n">
        <f aca="false">IF(CE77=1,IF(HT77=1,KD77+KG77,CF77-PP77)*(1+Slot7_Rate),0)</f>
        <v>0</v>
      </c>
      <c r="RK77" s="1" t="n">
        <f aca="false">IF(AND(HT77=1,CE77=1),(KC77+KG77)/E77,0)</f>
        <v>0</v>
      </c>
      <c r="RL77" s="1" t="n">
        <f aca="false">IF(B77=0,KC77+KG77,0)</f>
        <v>0</v>
      </c>
      <c r="RM77" s="1" t="n">
        <f aca="false">IF(B77=0,IF(HT77=1,KE77,KF77),0)</f>
        <v>0</v>
      </c>
      <c r="RN77" s="1" t="n">
        <f aca="false">IF(CO77=1,IF(HT77=1,KL77+KO77,CP77-PN77)*(1+Slot8_Rate),0)</f>
        <v>0</v>
      </c>
      <c r="RO77" s="1" t="n">
        <f aca="false">IF(AND(HT77=1,CO77=1),(KK77+KO77)/E77,0)</f>
        <v>0</v>
      </c>
      <c r="RP77" s="1" t="n">
        <f aca="false">IF(B77=0,KK77+KO77,0)</f>
        <v>0</v>
      </c>
      <c r="RQ77" s="1" t="n">
        <f aca="false">IF(B77=0,IF(HT77=1,KM77,KN77),0)</f>
        <v>0</v>
      </c>
      <c r="RR77" s="1" t="n">
        <f aca="false">IF(CY77=1,IF(HT77=1,KT77+KW77,CZ77-PL77)*(1+Slot9_Rate),0)</f>
        <v>0</v>
      </c>
      <c r="RS77" s="1" t="n">
        <f aca="false">IF(AND(HT77=1,CY77=1),(KS77+KW77)/E77,0)</f>
        <v>0</v>
      </c>
      <c r="RT77" s="1" t="n">
        <f aca="false">IF(B77=0,KS77+KW77,0)</f>
        <v>0</v>
      </c>
      <c r="RU77" s="1" t="n">
        <f aca="false">IF(B77=0,IF(HT77=1,KU77,KV77),0)</f>
        <v>0</v>
      </c>
      <c r="RV77" s="1" t="n">
        <f aca="false">IF(DI77=1,IF(HT77=1,LB77+LE77,DJ77-PJ77)*(1+Slot10_Rate),0)</f>
        <v>0</v>
      </c>
      <c r="RW77" s="1" t="n">
        <f aca="false">IF(AND(HT77=1,DI77=1),(LA77+LE77)/E77,0)</f>
        <v>0</v>
      </c>
      <c r="RX77" s="1" t="n">
        <f aca="false">IF(B77=0,LA77+LE77,0)</f>
        <v>0</v>
      </c>
      <c r="RY77" s="1" t="n">
        <f aca="false">IF(B77=0,IF(HT77=1,LC77,LD77),0)</f>
        <v>0</v>
      </c>
      <c r="RZ77" s="1" t="n">
        <f aca="false">IF(DS77=1,IF(HT77=1,LJ77+LM77,DT77-PH77)*(1+Slot11_Rate),0)</f>
        <v>0</v>
      </c>
      <c r="SA77" s="1" t="n">
        <f aca="false">IF(AND(HT77=1,DS77=1),(LI77+LM77)/E77,0)</f>
        <v>0</v>
      </c>
      <c r="SB77" s="1" t="n">
        <f aca="false">IF(B77=0,LI77+LM77,0)</f>
        <v>0</v>
      </c>
      <c r="SC77" s="1" t="n">
        <f aca="false">IF(B77=0,IF(HT77=1,LK77,LL77),0)</f>
        <v>0</v>
      </c>
      <c r="SD77" s="1" t="n">
        <f aca="false">IF(EC77=1,IF(HT77=1,LR77+LU77,ED77-PF77)*(1+Slot12_Rate),0)</f>
        <v>0</v>
      </c>
      <c r="SE77" s="1" t="n">
        <f aca="false">IF(AND(HT77=1,EC77=1),(LQ77+LU77)/E77,0)</f>
        <v>0</v>
      </c>
      <c r="SF77" s="1" t="n">
        <f aca="false">IF(B77=0,LQ77+LU77,0)</f>
        <v>0</v>
      </c>
      <c r="SG77" s="1" t="n">
        <f aca="false">IF(B77=0,IF(HT77=1,LS77,LT77),0)</f>
        <v>0</v>
      </c>
      <c r="SH77" s="1" t="n">
        <f aca="false">IF(EM77=1,IF(HT77=1,LZ77+MC77,EN77-PD77)*(1+Slot13_Rate),0)</f>
        <v>0</v>
      </c>
      <c r="SI77" s="1" t="n">
        <f aca="false">IF(AND(HT77=1,EM77=1),(LY77+MC77)/E77,0)</f>
        <v>0</v>
      </c>
      <c r="SJ77" s="1" t="n">
        <f aca="false">IF(B77=0,LY77+MC77,0)</f>
        <v>0</v>
      </c>
      <c r="SK77" s="1" t="n">
        <f aca="false">IF(B77=0,IF(HT77=1,MA77,MB77),0)</f>
        <v>0</v>
      </c>
      <c r="SL77" s="1" t="n">
        <f aca="false">IF(EW77=1,IF(HT77=1,MH77+MK77,EX77-PB77)*(1+Slot14_Rate),0)</f>
        <v>0</v>
      </c>
      <c r="SM77" s="1" t="n">
        <f aca="false">IF(AND(HT77=1,EW77=1),(MG77+MK77)/E77,0)</f>
        <v>0</v>
      </c>
      <c r="SN77" s="1" t="n">
        <f aca="false">IF(B77=0,MG77+MK77,0)</f>
        <v>0</v>
      </c>
      <c r="SO77" s="1" t="n">
        <f aca="false">IF(B77=0,IF(HT77=1,MI77,MJ77),0)</f>
        <v>0</v>
      </c>
      <c r="SP77" s="1" t="n">
        <f aca="false">IF(FG77=1,IF(HT77=1,MP77+MS77,FH77-OZ77)*(1+Slot15_Rate),0)</f>
        <v>0</v>
      </c>
      <c r="SQ77" s="1" t="n">
        <f aca="false">IF(AND(HT77=1,FG77=1),(MO77+MS77)/E77,0)</f>
        <v>0</v>
      </c>
      <c r="SR77" s="1" t="n">
        <f aca="false">IF(B77=0,MO77+MS77,0)</f>
        <v>0</v>
      </c>
      <c r="SS77" s="1" t="n">
        <f aca="false">IF(B77=0,IF(HT77=1,MQ77,MR77),0)</f>
        <v>0</v>
      </c>
      <c r="ST77" s="1" t="n">
        <f aca="false">IF(FQ77=1,IF(HT77=1,MX77+NA77,FR77-OX77)*(1+Slot16_Rate),0)</f>
        <v>0</v>
      </c>
      <c r="SU77" s="1" t="n">
        <f aca="false">IF(AND(HT77=1,FQ77=1),(MW77+NA77)/E77,0)</f>
        <v>0</v>
      </c>
      <c r="SV77" s="1" t="n">
        <f aca="false">IF(B77=0,MW77+NA77,0)</f>
        <v>0</v>
      </c>
      <c r="SW77" s="1" t="n">
        <f aca="false">IF(B77=0,IF(HT77=1,MY77,MZ77),0)</f>
        <v>0</v>
      </c>
      <c r="SX77" s="1" t="n">
        <f aca="false">IF(GA77=1,IF(HT77=1,NF77+NI77,GB77-OV77)*(1+Slot17_Rate),0)</f>
        <v>0</v>
      </c>
      <c r="SY77" s="1" t="n">
        <f aca="false">IF(AND(HT77=1,GA77=1),(NE77+NI77)/E77,0)</f>
        <v>0</v>
      </c>
      <c r="SZ77" s="1" t="n">
        <f aca="false">IF(B77=0,NE77+NI77,0)</f>
        <v>0</v>
      </c>
      <c r="TA77" s="1" t="n">
        <f aca="false">IF(B77=0,IF(HT77=1,NG77,NH77),0)</f>
        <v>0</v>
      </c>
      <c r="TB77" s="1" t="n">
        <f aca="false">IF(GK77=1,IF(HT77=1,NN77+NQ77,GL77-OT77)*(1+Slot18_Rate),0)</f>
        <v>0</v>
      </c>
      <c r="TC77" s="1" t="n">
        <f aca="false">IF(AND(HT77=1,GK77=1),(NM77+NQ77)/E77,0)</f>
        <v>0</v>
      </c>
      <c r="TD77" s="1" t="n">
        <f aca="false">IF(B77=0,NM77+NQ77,0)</f>
        <v>0</v>
      </c>
      <c r="TE77" s="1" t="n">
        <f aca="false">IF(B77=0,IF(HT77=1,NO77,NP77),0)</f>
        <v>0</v>
      </c>
      <c r="TF77" s="1" t="n">
        <f aca="false">IF(GU77=1,IF(HT77=1,NV77+NY77,GV77-OR77)*(1+Slot19_Rate),0)</f>
        <v>0</v>
      </c>
      <c r="TG77" s="1" t="n">
        <f aca="false">IF(AND(HT77=1,GU77=1),(NU77+NY77)/E77,0)</f>
        <v>0</v>
      </c>
      <c r="TH77" s="1" t="n">
        <f aca="false">IF(B77=0,NU77+NY77,0)</f>
        <v>0</v>
      </c>
      <c r="TI77" s="1" t="n">
        <f aca="false">IF(B77=0,IF(HT77=1,NW77,NX77),0)</f>
        <v>0</v>
      </c>
      <c r="TJ77" s="1" t="n">
        <f aca="false">IF(HE77=1,IF(HT77=1,OD77+OG77,HF77-OP77)*(1+Slot20_Rate),0)</f>
        <v>0</v>
      </c>
      <c r="TK77" s="1" t="n">
        <f aca="false">IF(AND(HT77=1,HE77=1),(OC77+OG77)/E77,0)</f>
        <v>0</v>
      </c>
      <c r="TL77" s="1" t="n">
        <f aca="false">IF(B77=0,OC77+OG77,0)</f>
        <v>0</v>
      </c>
      <c r="TM77" s="1" t="n">
        <f aca="false">IF(B77=0,IF(HT77=1,OE77,OF77),0)</f>
        <v>0</v>
      </c>
      <c r="TN77" s="1" t="n">
        <f aca="false">QJ77+QK77+QL77+QP77+QT77+QX77+RB77+RF77+RJ77+RN77+RR77+RV77+RZ77+SD77+SH77+SL77+SP77+ST77+SX77+TB77+TF77+TJ77</f>
        <v>197440.693058858</v>
      </c>
      <c r="TO77" s="1" t="n">
        <f aca="false">QD77+HO77</f>
        <v>0</v>
      </c>
      <c r="TP77" s="1" t="n">
        <f aca="false">H77+R77</f>
        <v>0</v>
      </c>
      <c r="TQ77" s="1" t="n">
        <f aca="false">1-F77</f>
        <v>1</v>
      </c>
      <c r="TR77" s="1" t="n">
        <f aca="false">IF(AND(RG_Exists=1,F77=0,C77=1),H77,0)</f>
        <v>0</v>
      </c>
      <c r="TS77" s="1" t="n">
        <f aca="false">IF(AND(RG_Exists=1,F77=0,C77=1),H77-MIN(QD77,H77),0)</f>
        <v>0</v>
      </c>
      <c r="TT77" s="1" t="n">
        <f aca="false">'Plan pay &amp; tax'!AD303</f>
        <v>0</v>
      </c>
      <c r="TU77" s="1" t="n">
        <f aca="false">IF(AND(C77=1,QD77&gt;MAX(PR_Short1,TP77*PR_Short2)),1,0)</f>
        <v>0</v>
      </c>
      <c r="TV77" s="1" t="n">
        <f aca="false">MIN(G77,H77+R77)</f>
        <v>0</v>
      </c>
      <c r="TW77" s="1" t="n">
        <f aca="false">QE77+MAX(0,HP77-HO77)</f>
        <v>0</v>
      </c>
      <c r="TX77" s="1" t="n">
        <f aca="false">QD77+HO77</f>
        <v>0</v>
      </c>
      <c r="TY77" s="1" t="n">
        <f aca="false">IF(AND(C77=1,TX77&gt;PR_MinShort),1,0)</f>
        <v>0</v>
      </c>
      <c r="TZ77" s="1" t="n">
        <f aca="false">IF(AND(C77=1,TY77=0,TW77&gt;PR_MinShort),1,0)</f>
        <v>0</v>
      </c>
      <c r="UA77" s="1" t="n">
        <f aca="false">IF(AND(C77=1,QD77&gt;PR_MinShort),1,0)</f>
        <v>0</v>
      </c>
      <c r="UB77" s="1" t="n">
        <f aca="false">IF(AND(C77=1,QE77&gt;1,UI77=0),1,0)</f>
        <v>0</v>
      </c>
      <c r="UC77" s="1" t="str">
        <f aca="false">IF(C77=0,"",IF(UI77=1,"Gap to plan for: short "&amp;"€"&amp;TEXT(ROUND(TO77,0),"#,##0"),IF(QE77&gt;1,"Using savings","Comfortable")))</f>
        <v>Comfortable</v>
      </c>
      <c r="UD77" s="1" t="n">
        <f aca="false">IF(AND(INT(D77/10)*10=90,B77&gt;0),80,INT(D77/10)*10)</f>
        <v>60</v>
      </c>
      <c r="UE77" s="1" t="n">
        <f aca="false">IF(B77=0,1,IF(UD77&lt;&gt;UD76,UE76+1,UE76))</f>
        <v>7</v>
      </c>
      <c r="UF77" s="1" t="n">
        <f aca="false">IF(AND(C77=1,F77=1,QD77&gt;MAX(PR_Short1,TP77*PR_Short2)),1,0)</f>
        <v>0</v>
      </c>
      <c r="UG77" s="1" t="n">
        <f aca="false">TQ77*TU77</f>
        <v>0</v>
      </c>
      <c r="UH77" s="1" t="n">
        <f aca="false">IF(AND(U77=1,Slot1_PctLow=1),1,0)+IF(AND(AF77=1,Slot2_PctLow=1),1,0)+IF(AND(AP77=1,Slot3_PctLow=1),1,0)+IF(AND(AZ77=1,Slot4_PctLow=1),1,0)+IF(AND(BJ77=1,Slot5_PctLow=1),1,0)+IF(AND(BT77=1,Slot6_PctLow=1),1,0)+IF(AND(CD77=1,Slot7_PctLow=1),1,0)+IF(AND(CN77=1,Slot8_PctLow=1),1,0)+IF(AND(CX77=1,Slot9_PctLow=1),1,0)+IF(AND(DH77=1,Slot10_PctLow=1),1,0)+IF(AND(DR77=1,Slot11_PctLow=1),1,0)+IF(AND(EB77=1,Slot12_PctLow=1),1,0)+IF(AND(EL77=1,Slot13_PctLow=1),1,0)+IF(AND(EV77=1,Slot14_PctLow=1),1,0)+IF(AND(FF77=1,Slot15_PctLow=1),1,0)+IF(AND(FP77=1,Slot16_PctLow=1),1,0)+IF(AND(FZ77=1,Slot17_PctLow=1),1,0)+IF(AND(GJ77=1,Slot18_PctLow=1),1,0)+IF(AND(GT77=1,Slot19_PctLow=1),1,0)+IF(AND(HD77=1,Slot20_PctLow=1),1,0)</f>
        <v>0</v>
      </c>
      <c r="UI77" s="1" t="n">
        <f aca="false">IF(C77=1,IF(OR(TU77=1,UH77&gt;0),1,0),0)</f>
        <v>0</v>
      </c>
    </row>
    <row r="78" customFormat="false" ht="15" hidden="false" customHeight="true" outlineLevel="0" collapsed="false">
      <c r="B78" s="1" t="n">
        <v>70</v>
      </c>
      <c r="C78" s="1" t="n">
        <f aca="false">IF(B78&lt;=F_N,1,0)</f>
        <v>1</v>
      </c>
      <c r="D78" s="1" t="n">
        <f aca="false">'Plan pay &amp; tax'!C304</f>
        <v>70</v>
      </c>
      <c r="E78" s="111" t="n">
        <f aca="false">'Plan pay &amp; tax'!E304</f>
        <v>3.99955822284844</v>
      </c>
      <c r="F78" s="1" t="n">
        <f aca="false">'Plan pay &amp; tax'!G304</f>
        <v>0</v>
      </c>
      <c r="G78" s="1" t="n">
        <f aca="false">'Plan pay &amp; tax'!BT304-'Plan pay &amp; tax'!BS304-'Plan pay &amp; tax'!R304</f>
        <v>49798.0194856992</v>
      </c>
      <c r="H78" s="1" t="n">
        <f aca="false">IF(F78=1,F_CostsM*12,IF(RG_Exists=1,RG_Amount,F_CostsM*12*AS_RetireSpend))*E78+F_OneOffY*E78</f>
        <v>0</v>
      </c>
      <c r="I78" s="1" t="n">
        <f aca="false">HQ77</f>
        <v>0</v>
      </c>
      <c r="J78" s="1" t="n">
        <f aca="false">IF(I78&gt;1,'Plan debt months'!AC78,0)</f>
        <v>0</v>
      </c>
      <c r="K78" s="1" t="n">
        <f aca="false">IF(I78&gt;1,'Plan debt months'!AB78,I78)</f>
        <v>0</v>
      </c>
      <c r="L78" s="1" t="n">
        <f aca="false">N77</f>
        <v>0</v>
      </c>
      <c r="M78" s="1" t="n">
        <f aca="false">IF(L78&gt;1,'Plan debt months'!BD78,0)</f>
        <v>0</v>
      </c>
      <c r="N78" s="1" t="n">
        <f aca="false">IF(L78&gt;1,'Plan debt months'!BC78,L78)</f>
        <v>0</v>
      </c>
      <c r="O78" s="1" t="n">
        <f aca="false">Q77</f>
        <v>0</v>
      </c>
      <c r="P78" s="1" t="n">
        <f aca="false">IF(O78&gt;1,'Plan debt months'!CE78,0)</f>
        <v>0</v>
      </c>
      <c r="Q78" s="1" t="n">
        <f aca="false">IF(O78&gt;1,'Plan debt months'!CD78,O78)</f>
        <v>0</v>
      </c>
      <c r="R78" s="1" t="n">
        <f aca="false">J78+M78+P78</f>
        <v>0</v>
      </c>
      <c r="S78" s="1" t="n">
        <f aca="false">QJ77+'Plan pay &amp; tax'!Y304</f>
        <v>197440.693058858</v>
      </c>
      <c r="T78" s="1" t="n">
        <f aca="false">QJ77</f>
        <v>197440.693058858</v>
      </c>
      <c r="U78" s="1" t="n">
        <f aca="false">IF(AND(Slot1_On=1,D78=Slot1_Age),1,0)</f>
        <v>0</v>
      </c>
      <c r="V78" s="1" t="n">
        <f aca="false">IF(AND(Slot1_On=1,Slot1_Age&gt;D78),1,0)</f>
        <v>0</v>
      </c>
      <c r="W78" s="1" t="n">
        <f aca="false">QL77</f>
        <v>0</v>
      </c>
      <c r="X78" s="1" t="n">
        <f aca="false">U78*MIN(Slot1_Cost,W78)</f>
        <v>0</v>
      </c>
      <c r="Y78" s="1" t="n">
        <f aca="false">U78*Slot1_SpendLike*MIN(Slot1_Cost-X78,S78)</f>
        <v>0</v>
      </c>
      <c r="Z78" s="1" t="n">
        <f aca="false">X78+Y78</f>
        <v>0</v>
      </c>
      <c r="AA78" s="1" t="n">
        <f aca="false">S78-Y78+U78*IF(Slot1_SpendLike=1,W78-X78,IF(Slot1_PotFree=1,W78,0))</f>
        <v>197440.693058858</v>
      </c>
      <c r="AB78" s="1" t="n">
        <f aca="false">AE78+U78*Slot1_BufPot*W78</f>
        <v>0</v>
      </c>
      <c r="AC78" s="1" t="n">
        <f aca="false">IF(AND(U78=1,Slot1_IsMfree=1),IF(Z78&gt;=Slot1_Cost-1,0,MAX(0,K78-Z78)),K78)</f>
        <v>0</v>
      </c>
      <c r="AD78" s="1" t="n">
        <f aca="false">U78*(Slot1_Cost-Z78)</f>
        <v>0</v>
      </c>
      <c r="AE78" s="1" t="n">
        <f aca="false">QK77</f>
        <v>0</v>
      </c>
      <c r="AF78" s="1" t="n">
        <f aca="false">IF(AND(Slot2_On=1,D78=Slot2_Age),1,0)</f>
        <v>0</v>
      </c>
      <c r="AG78" s="1" t="n">
        <f aca="false">IF(AND(Slot2_On=1,Slot2_Age&gt;D78),1,0)</f>
        <v>0</v>
      </c>
      <c r="AH78" s="1" t="n">
        <f aca="false">QP77</f>
        <v>0</v>
      </c>
      <c r="AI78" s="1" t="n">
        <f aca="false">AF78*MIN(Slot2_Cost,AH78)</f>
        <v>0</v>
      </c>
      <c r="AJ78" s="1" t="n">
        <f aca="false">AF78*Slot2_SpendLike*MIN(Slot2_Cost-AI78,AA78)</f>
        <v>0</v>
      </c>
      <c r="AK78" s="1" t="n">
        <f aca="false">AI78+AJ78</f>
        <v>0</v>
      </c>
      <c r="AL78" s="1" t="n">
        <f aca="false">AA78-AJ78+AF78*IF(Slot2_SpendLike=1,AH78-AI78,IF(Slot2_PotFree=1,AH78,0))</f>
        <v>197440.693058858</v>
      </c>
      <c r="AM78" s="1" t="n">
        <f aca="false">AB78+AF78*Slot2_BufPot*AH78</f>
        <v>0</v>
      </c>
      <c r="AN78" s="1" t="n">
        <f aca="false">IF(AND(AF78=1,Slot2_IsMfree=1),IF(AK78&gt;=Slot2_Cost-1,0,MAX(0,AC78-AK78)),AC78)</f>
        <v>0</v>
      </c>
      <c r="AO78" s="1" t="n">
        <f aca="false">AF78*(Slot2_Cost-AK78)</f>
        <v>0</v>
      </c>
      <c r="AP78" s="1" t="n">
        <f aca="false">IF(AND(Slot3_On=1,D78=Slot3_Age),1,0)</f>
        <v>0</v>
      </c>
      <c r="AQ78" s="1" t="n">
        <f aca="false">IF(AND(Slot3_On=1,Slot3_Age&gt;D78),1,0)</f>
        <v>0</v>
      </c>
      <c r="AR78" s="1" t="n">
        <f aca="false">QT77</f>
        <v>0</v>
      </c>
      <c r="AS78" s="1" t="n">
        <f aca="false">AP78*MIN(Slot3_Cost,AR78)</f>
        <v>0</v>
      </c>
      <c r="AT78" s="1" t="n">
        <f aca="false">AP78*Slot3_SpendLike*MIN(Slot3_Cost-AS78,AL78)</f>
        <v>0</v>
      </c>
      <c r="AU78" s="1" t="n">
        <f aca="false">AS78+AT78</f>
        <v>0</v>
      </c>
      <c r="AV78" s="1" t="n">
        <f aca="false">AL78-AT78+AP78*IF(Slot3_SpendLike=1,AR78-AS78,IF(Slot3_PotFree=1,AR78,0))</f>
        <v>197440.693058858</v>
      </c>
      <c r="AW78" s="1" t="n">
        <f aca="false">AM78+AP78*Slot3_BufPot*AR78</f>
        <v>0</v>
      </c>
      <c r="AX78" s="1" t="n">
        <f aca="false">IF(AND(AP78=1,Slot3_IsMfree=1),IF(AU78&gt;=Slot3_Cost-1,0,MAX(0,AN78-AU78)),AN78)</f>
        <v>0</v>
      </c>
      <c r="AY78" s="1" t="n">
        <f aca="false">AP78*(Slot3_Cost-AU78)</f>
        <v>0</v>
      </c>
      <c r="AZ78" s="1" t="n">
        <f aca="false">IF(AND(Slot4_On=1,D78=Slot4_Age),1,0)</f>
        <v>0</v>
      </c>
      <c r="BA78" s="1" t="n">
        <f aca="false">IF(AND(Slot4_On=1,Slot4_Age&gt;D78),1,0)</f>
        <v>0</v>
      </c>
      <c r="BB78" s="1" t="n">
        <f aca="false">QX77</f>
        <v>0</v>
      </c>
      <c r="BC78" s="1" t="n">
        <f aca="false">AZ78*MIN(Slot4_Cost,BB78)</f>
        <v>0</v>
      </c>
      <c r="BD78" s="1" t="n">
        <f aca="false">AZ78*Slot4_SpendLike*MIN(Slot4_Cost-BC78,AV78)</f>
        <v>0</v>
      </c>
      <c r="BE78" s="1" t="n">
        <f aca="false">BC78+BD78</f>
        <v>0</v>
      </c>
      <c r="BF78" s="1" t="n">
        <f aca="false">AV78-BD78+AZ78*IF(Slot4_SpendLike=1,BB78-BC78,IF(Slot4_PotFree=1,BB78,0))</f>
        <v>197440.693058858</v>
      </c>
      <c r="BG78" s="1" t="n">
        <f aca="false">AW78+AZ78*Slot4_BufPot*BB78</f>
        <v>0</v>
      </c>
      <c r="BH78" s="1" t="n">
        <f aca="false">IF(AND(AZ78=1,Slot4_IsMfree=1),IF(BE78&gt;=Slot4_Cost-1,0,MAX(0,AX78-BE78)),AX78)</f>
        <v>0</v>
      </c>
      <c r="BI78" s="1" t="n">
        <f aca="false">AZ78*(Slot4_Cost-BE78)</f>
        <v>0</v>
      </c>
      <c r="BJ78" s="1" t="n">
        <f aca="false">IF(AND(Slot5_On=1,D78=Slot5_Age),1,0)</f>
        <v>0</v>
      </c>
      <c r="BK78" s="1" t="n">
        <f aca="false">IF(AND(Slot5_On=1,Slot5_Age&gt;D78),1,0)</f>
        <v>0</v>
      </c>
      <c r="BL78" s="1" t="n">
        <f aca="false">RB77</f>
        <v>0</v>
      </c>
      <c r="BM78" s="1" t="n">
        <f aca="false">BJ78*MIN(Slot5_Cost,BL78)</f>
        <v>0</v>
      </c>
      <c r="BN78" s="1" t="n">
        <f aca="false">BJ78*Slot5_SpendLike*MIN(Slot5_Cost-BM78,BF78)</f>
        <v>0</v>
      </c>
      <c r="BO78" s="1" t="n">
        <f aca="false">BM78+BN78</f>
        <v>0</v>
      </c>
      <c r="BP78" s="1" t="n">
        <f aca="false">BF78-BN78+BJ78*IF(Slot5_SpendLike=1,BL78-BM78,IF(Slot5_PotFree=1,BL78,0))</f>
        <v>197440.693058858</v>
      </c>
      <c r="BQ78" s="1" t="n">
        <f aca="false">BG78+BJ78*Slot5_BufPot*BL78</f>
        <v>0</v>
      </c>
      <c r="BR78" s="1" t="n">
        <f aca="false">IF(AND(BJ78=1,Slot5_IsMfree=1),IF(BO78&gt;=Slot5_Cost-1,0,MAX(0,BH78-BO78)),BH78)</f>
        <v>0</v>
      </c>
      <c r="BS78" s="1" t="n">
        <f aca="false">BJ78*(Slot5_Cost-BO78)</f>
        <v>0</v>
      </c>
      <c r="BT78" s="1" t="n">
        <f aca="false">IF(AND(Slot6_On=1,D78=Slot6_Age),1,0)</f>
        <v>0</v>
      </c>
      <c r="BU78" s="1" t="n">
        <f aca="false">IF(AND(Slot6_On=1,Slot6_Age&gt;D78),1,0)</f>
        <v>0</v>
      </c>
      <c r="BV78" s="1" t="n">
        <f aca="false">RF77</f>
        <v>0</v>
      </c>
      <c r="BW78" s="1" t="n">
        <f aca="false">BT78*MIN(Slot6_Cost,BV78)</f>
        <v>0</v>
      </c>
      <c r="BX78" s="1" t="n">
        <f aca="false">BT78*Slot6_SpendLike*MIN(Slot6_Cost-BW78,BP78)</f>
        <v>0</v>
      </c>
      <c r="BY78" s="1" t="n">
        <f aca="false">BW78+BX78</f>
        <v>0</v>
      </c>
      <c r="BZ78" s="1" t="n">
        <f aca="false">BP78-BX78+BT78*IF(Slot6_SpendLike=1,BV78-BW78,IF(Slot6_PotFree=1,BV78,0))</f>
        <v>197440.693058858</v>
      </c>
      <c r="CA78" s="1" t="n">
        <f aca="false">BQ78+BT78*Slot6_BufPot*BV78</f>
        <v>0</v>
      </c>
      <c r="CB78" s="1" t="n">
        <f aca="false">IF(AND(BT78=1,Slot6_IsMfree=1),IF(BY78&gt;=Slot6_Cost-1,0,MAX(0,BR78-BY78)),BR78)</f>
        <v>0</v>
      </c>
      <c r="CC78" s="1" t="n">
        <f aca="false">BT78*(Slot6_Cost-BY78)</f>
        <v>0</v>
      </c>
      <c r="CD78" s="1" t="n">
        <f aca="false">IF(AND(Slot7_On=1,D78=Slot7_Age),1,0)</f>
        <v>0</v>
      </c>
      <c r="CE78" s="1" t="n">
        <f aca="false">IF(AND(Slot7_On=1,Slot7_Age&gt;D78),1,0)</f>
        <v>0</v>
      </c>
      <c r="CF78" s="1" t="n">
        <f aca="false">RJ77</f>
        <v>0</v>
      </c>
      <c r="CG78" s="1" t="n">
        <f aca="false">CD78*MIN(Slot7_Cost,CF78)</f>
        <v>0</v>
      </c>
      <c r="CH78" s="1" t="n">
        <f aca="false">CD78*Slot7_SpendLike*MIN(Slot7_Cost-CG78,BZ78)</f>
        <v>0</v>
      </c>
      <c r="CI78" s="1" t="n">
        <f aca="false">CG78+CH78</f>
        <v>0</v>
      </c>
      <c r="CJ78" s="1" t="n">
        <f aca="false">BZ78-CH78+CD78*IF(Slot7_SpendLike=1,CF78-CG78,IF(Slot7_PotFree=1,CF78,0))</f>
        <v>197440.693058858</v>
      </c>
      <c r="CK78" s="1" t="n">
        <f aca="false">CA78+CD78*Slot7_BufPot*CF78</f>
        <v>0</v>
      </c>
      <c r="CL78" s="1" t="n">
        <f aca="false">IF(AND(CD78=1,Slot7_IsMfree=1),IF(CI78&gt;=Slot7_Cost-1,0,MAX(0,CB78-CI78)),CB78)</f>
        <v>0</v>
      </c>
      <c r="CM78" s="1" t="n">
        <f aca="false">CD78*(Slot7_Cost-CI78)</f>
        <v>0</v>
      </c>
      <c r="CN78" s="1" t="n">
        <f aca="false">IF(AND(Slot8_On=1,D78=Slot8_Age),1,0)</f>
        <v>0</v>
      </c>
      <c r="CO78" s="1" t="n">
        <f aca="false">IF(AND(Slot8_On=1,Slot8_Age&gt;D78),1,0)</f>
        <v>0</v>
      </c>
      <c r="CP78" s="1" t="n">
        <f aca="false">RN77</f>
        <v>0</v>
      </c>
      <c r="CQ78" s="1" t="n">
        <f aca="false">CN78*MIN(Slot8_Cost,CP78)</f>
        <v>0</v>
      </c>
      <c r="CR78" s="1" t="n">
        <f aca="false">CN78*Slot8_SpendLike*MIN(Slot8_Cost-CQ78,CJ78)</f>
        <v>0</v>
      </c>
      <c r="CS78" s="1" t="n">
        <f aca="false">CQ78+CR78</f>
        <v>0</v>
      </c>
      <c r="CT78" s="1" t="n">
        <f aca="false">CJ78-CR78+CN78*IF(Slot8_SpendLike=1,CP78-CQ78,IF(Slot8_PotFree=1,CP78,0))</f>
        <v>197440.693058858</v>
      </c>
      <c r="CU78" s="1" t="n">
        <f aca="false">CK78+CN78*Slot8_BufPot*CP78</f>
        <v>0</v>
      </c>
      <c r="CV78" s="1" t="n">
        <f aca="false">IF(AND(CN78=1,Slot8_IsMfree=1),IF(CS78&gt;=Slot8_Cost-1,0,MAX(0,CL78-CS78)),CL78)</f>
        <v>0</v>
      </c>
      <c r="CW78" s="1" t="n">
        <f aca="false">CN78*(Slot8_Cost-CS78)</f>
        <v>0</v>
      </c>
      <c r="CX78" s="1" t="n">
        <f aca="false">IF(AND(Slot9_On=1,D78=Slot9_Age),1,0)</f>
        <v>0</v>
      </c>
      <c r="CY78" s="1" t="n">
        <f aca="false">IF(AND(Slot9_On=1,Slot9_Age&gt;D78),1,0)</f>
        <v>0</v>
      </c>
      <c r="CZ78" s="1" t="n">
        <f aca="false">RR77</f>
        <v>0</v>
      </c>
      <c r="DA78" s="1" t="n">
        <f aca="false">CX78*MIN(Slot9_Cost,CZ78)</f>
        <v>0</v>
      </c>
      <c r="DB78" s="1" t="n">
        <f aca="false">CX78*Slot9_SpendLike*MIN(Slot9_Cost-DA78,CT78)</f>
        <v>0</v>
      </c>
      <c r="DC78" s="1" t="n">
        <f aca="false">DA78+DB78</f>
        <v>0</v>
      </c>
      <c r="DD78" s="1" t="n">
        <f aca="false">CT78-DB78+CX78*IF(Slot9_SpendLike=1,CZ78-DA78,IF(Slot9_PotFree=1,CZ78,0))</f>
        <v>197440.693058858</v>
      </c>
      <c r="DE78" s="1" t="n">
        <f aca="false">CU78+CX78*Slot9_BufPot*CZ78</f>
        <v>0</v>
      </c>
      <c r="DF78" s="1" t="n">
        <f aca="false">IF(AND(CX78=1,Slot9_IsMfree=1),IF(DC78&gt;=Slot9_Cost-1,0,MAX(0,CV78-DC78)),CV78)</f>
        <v>0</v>
      </c>
      <c r="DG78" s="1" t="n">
        <f aca="false">CX78*(Slot9_Cost-DC78)</f>
        <v>0</v>
      </c>
      <c r="DH78" s="1" t="n">
        <f aca="false">IF(AND(Slot10_On=1,D78=Slot10_Age),1,0)</f>
        <v>0</v>
      </c>
      <c r="DI78" s="1" t="n">
        <f aca="false">IF(AND(Slot10_On=1,Slot10_Age&gt;D78),1,0)</f>
        <v>0</v>
      </c>
      <c r="DJ78" s="1" t="n">
        <f aca="false">RV77</f>
        <v>0</v>
      </c>
      <c r="DK78" s="1" t="n">
        <f aca="false">DH78*MIN(Slot10_Cost,DJ78)</f>
        <v>0</v>
      </c>
      <c r="DL78" s="1" t="n">
        <f aca="false">DH78*Slot10_SpendLike*MIN(Slot10_Cost-DK78,DD78)</f>
        <v>0</v>
      </c>
      <c r="DM78" s="1" t="n">
        <f aca="false">DK78+DL78</f>
        <v>0</v>
      </c>
      <c r="DN78" s="1" t="n">
        <f aca="false">DD78-DL78+DH78*IF(Slot10_SpendLike=1,DJ78-DK78,IF(Slot10_PotFree=1,DJ78,0))</f>
        <v>197440.693058858</v>
      </c>
      <c r="DO78" s="1" t="n">
        <f aca="false">DE78+DH78*Slot10_BufPot*DJ78</f>
        <v>0</v>
      </c>
      <c r="DP78" s="1" t="n">
        <f aca="false">IF(AND(DH78=1,Slot10_IsMfree=1),IF(DM78&gt;=Slot10_Cost-1,0,MAX(0,DF78-DM78)),DF78)</f>
        <v>0</v>
      </c>
      <c r="DQ78" s="1" t="n">
        <f aca="false">DH78*(Slot10_Cost-DM78)</f>
        <v>0</v>
      </c>
      <c r="DR78" s="1" t="n">
        <f aca="false">IF(AND(Slot11_On=1,D78=Slot11_Age),1,0)</f>
        <v>0</v>
      </c>
      <c r="DS78" s="1" t="n">
        <f aca="false">IF(AND(Slot11_On=1,Slot11_Age&gt;D78),1,0)</f>
        <v>0</v>
      </c>
      <c r="DT78" s="1" t="n">
        <f aca="false">RZ77</f>
        <v>0</v>
      </c>
      <c r="DU78" s="1" t="n">
        <f aca="false">DR78*MIN(Slot11_Cost,DT78)</f>
        <v>0</v>
      </c>
      <c r="DV78" s="1" t="n">
        <f aca="false">DR78*Slot11_SpendLike*MIN(Slot11_Cost-DU78,DN78)</f>
        <v>0</v>
      </c>
      <c r="DW78" s="1" t="n">
        <f aca="false">DU78+DV78</f>
        <v>0</v>
      </c>
      <c r="DX78" s="1" t="n">
        <f aca="false">DN78-DV78+DR78*IF(Slot11_SpendLike=1,DT78-DU78,IF(Slot11_PotFree=1,DT78,0))</f>
        <v>197440.693058858</v>
      </c>
      <c r="DY78" s="1" t="n">
        <f aca="false">DO78+DR78*Slot11_BufPot*DT78</f>
        <v>0</v>
      </c>
      <c r="DZ78" s="1" t="n">
        <f aca="false">IF(AND(DR78=1,Slot11_IsMfree=1),IF(DW78&gt;=Slot11_Cost-1,0,MAX(0,DP78-DW78)),DP78)</f>
        <v>0</v>
      </c>
      <c r="EA78" s="1" t="n">
        <f aca="false">DR78*(Slot11_Cost-DW78)</f>
        <v>0</v>
      </c>
      <c r="EB78" s="1" t="n">
        <f aca="false">IF(AND(Slot12_On=1,D78=Slot12_Age),1,0)</f>
        <v>0</v>
      </c>
      <c r="EC78" s="1" t="n">
        <f aca="false">IF(AND(Slot12_On=1,Slot12_Age&gt;D78),1,0)</f>
        <v>0</v>
      </c>
      <c r="ED78" s="1" t="n">
        <f aca="false">SD77</f>
        <v>0</v>
      </c>
      <c r="EE78" s="1" t="n">
        <f aca="false">EB78*MIN(Slot12_Cost,ED78)</f>
        <v>0</v>
      </c>
      <c r="EF78" s="1" t="n">
        <f aca="false">EB78*Slot12_SpendLike*MIN(Slot12_Cost-EE78,DX78)</f>
        <v>0</v>
      </c>
      <c r="EG78" s="1" t="n">
        <f aca="false">EE78+EF78</f>
        <v>0</v>
      </c>
      <c r="EH78" s="1" t="n">
        <f aca="false">DX78-EF78+EB78*IF(Slot12_SpendLike=1,ED78-EE78,IF(Slot12_PotFree=1,ED78,0))</f>
        <v>197440.693058858</v>
      </c>
      <c r="EI78" s="1" t="n">
        <f aca="false">DY78+EB78*Slot12_BufPot*ED78</f>
        <v>0</v>
      </c>
      <c r="EJ78" s="1" t="n">
        <f aca="false">IF(AND(EB78=1,Slot12_IsMfree=1),IF(EG78&gt;=Slot12_Cost-1,0,MAX(0,DZ78-EG78)),DZ78)</f>
        <v>0</v>
      </c>
      <c r="EK78" s="1" t="n">
        <f aca="false">EB78*(Slot12_Cost-EG78)</f>
        <v>0</v>
      </c>
      <c r="EL78" s="1" t="n">
        <f aca="false">IF(AND(Slot13_On=1,D78=Slot13_Age),1,0)</f>
        <v>0</v>
      </c>
      <c r="EM78" s="1" t="n">
        <f aca="false">IF(AND(Slot13_On=1,Slot13_Age&gt;D78),1,0)</f>
        <v>0</v>
      </c>
      <c r="EN78" s="1" t="n">
        <f aca="false">SH77</f>
        <v>0</v>
      </c>
      <c r="EO78" s="1" t="n">
        <f aca="false">EL78*MIN(Slot13_Cost,EN78)</f>
        <v>0</v>
      </c>
      <c r="EP78" s="1" t="n">
        <f aca="false">EL78*Slot13_SpendLike*MIN(Slot13_Cost-EO78,EH78)</f>
        <v>0</v>
      </c>
      <c r="EQ78" s="1" t="n">
        <f aca="false">EO78+EP78</f>
        <v>0</v>
      </c>
      <c r="ER78" s="1" t="n">
        <f aca="false">EH78-EP78+EL78*IF(Slot13_SpendLike=1,EN78-EO78,IF(Slot13_PotFree=1,EN78,0))</f>
        <v>197440.693058858</v>
      </c>
      <c r="ES78" s="1" t="n">
        <f aca="false">EI78+EL78*Slot13_BufPot*EN78</f>
        <v>0</v>
      </c>
      <c r="ET78" s="1" t="n">
        <f aca="false">IF(AND(EL78=1,Slot13_IsMfree=1),IF(EQ78&gt;=Slot13_Cost-1,0,MAX(0,EJ78-EQ78)),EJ78)</f>
        <v>0</v>
      </c>
      <c r="EU78" s="1" t="n">
        <f aca="false">EL78*(Slot13_Cost-EQ78)</f>
        <v>0</v>
      </c>
      <c r="EV78" s="1" t="n">
        <f aca="false">IF(AND(Slot14_On=1,D78=Slot14_Age),1,0)</f>
        <v>0</v>
      </c>
      <c r="EW78" s="1" t="n">
        <f aca="false">IF(AND(Slot14_On=1,Slot14_Age&gt;D78),1,0)</f>
        <v>0</v>
      </c>
      <c r="EX78" s="1" t="n">
        <f aca="false">SL77</f>
        <v>0</v>
      </c>
      <c r="EY78" s="1" t="n">
        <f aca="false">EV78*MIN(Slot14_Cost,EX78)</f>
        <v>0</v>
      </c>
      <c r="EZ78" s="1" t="n">
        <f aca="false">EV78*Slot14_SpendLike*MIN(Slot14_Cost-EY78,ER78)</f>
        <v>0</v>
      </c>
      <c r="FA78" s="1" t="n">
        <f aca="false">EY78+EZ78</f>
        <v>0</v>
      </c>
      <c r="FB78" s="1" t="n">
        <f aca="false">ER78-EZ78+EV78*IF(Slot14_SpendLike=1,EX78-EY78,IF(Slot14_PotFree=1,EX78,0))</f>
        <v>197440.693058858</v>
      </c>
      <c r="FC78" s="1" t="n">
        <f aca="false">ES78+EV78*Slot14_BufPot*EX78</f>
        <v>0</v>
      </c>
      <c r="FD78" s="1" t="n">
        <f aca="false">IF(AND(EV78=1,Slot14_IsMfree=1),IF(FA78&gt;=Slot14_Cost-1,0,MAX(0,ET78-FA78)),ET78)</f>
        <v>0</v>
      </c>
      <c r="FE78" s="1" t="n">
        <f aca="false">EV78*(Slot14_Cost-FA78)</f>
        <v>0</v>
      </c>
      <c r="FF78" s="1" t="n">
        <f aca="false">IF(AND(Slot15_On=1,D78=Slot15_Age),1,0)</f>
        <v>0</v>
      </c>
      <c r="FG78" s="1" t="n">
        <f aca="false">IF(AND(Slot15_On=1,Slot15_Age&gt;D78),1,0)</f>
        <v>0</v>
      </c>
      <c r="FH78" s="1" t="n">
        <f aca="false">SP77</f>
        <v>0</v>
      </c>
      <c r="FI78" s="1" t="n">
        <f aca="false">FF78*MIN(Slot15_Cost,FH78)</f>
        <v>0</v>
      </c>
      <c r="FJ78" s="1" t="n">
        <f aca="false">FF78*Slot15_SpendLike*MIN(Slot15_Cost-FI78,FB78)</f>
        <v>0</v>
      </c>
      <c r="FK78" s="1" t="n">
        <f aca="false">FI78+FJ78</f>
        <v>0</v>
      </c>
      <c r="FL78" s="1" t="n">
        <f aca="false">FB78-FJ78+FF78*IF(Slot15_SpendLike=1,FH78-FI78,IF(Slot15_PotFree=1,FH78,0))</f>
        <v>197440.693058858</v>
      </c>
      <c r="FM78" s="1" t="n">
        <f aca="false">FC78+FF78*Slot15_BufPot*FH78</f>
        <v>0</v>
      </c>
      <c r="FN78" s="1" t="n">
        <f aca="false">IF(AND(FF78=1,Slot15_IsMfree=1),IF(FK78&gt;=Slot15_Cost-1,0,MAX(0,FD78-FK78)),FD78)</f>
        <v>0</v>
      </c>
      <c r="FO78" s="1" t="n">
        <f aca="false">FF78*(Slot15_Cost-FK78)</f>
        <v>0</v>
      </c>
      <c r="FP78" s="1" t="n">
        <f aca="false">IF(AND(Slot16_On=1,D78=Slot16_Age),1,0)</f>
        <v>0</v>
      </c>
      <c r="FQ78" s="1" t="n">
        <f aca="false">IF(AND(Slot16_On=1,Slot16_Age&gt;D78),1,0)</f>
        <v>0</v>
      </c>
      <c r="FR78" s="1" t="n">
        <f aca="false">ST77</f>
        <v>0</v>
      </c>
      <c r="FS78" s="1" t="n">
        <f aca="false">FP78*MIN(Slot16_Cost,FR78)</f>
        <v>0</v>
      </c>
      <c r="FT78" s="1" t="n">
        <f aca="false">FP78*Slot16_SpendLike*MIN(Slot16_Cost-FS78,FL78)</f>
        <v>0</v>
      </c>
      <c r="FU78" s="1" t="n">
        <f aca="false">FS78+FT78</f>
        <v>0</v>
      </c>
      <c r="FV78" s="1" t="n">
        <f aca="false">FL78-FT78+FP78*IF(Slot16_SpendLike=1,FR78-FS78,IF(Slot16_PotFree=1,FR78,0))</f>
        <v>197440.693058858</v>
      </c>
      <c r="FW78" s="1" t="n">
        <f aca="false">FM78+FP78*Slot16_BufPot*FR78</f>
        <v>0</v>
      </c>
      <c r="FX78" s="1" t="n">
        <f aca="false">IF(AND(FP78=1,Slot16_IsMfree=1),IF(FU78&gt;=Slot16_Cost-1,0,MAX(0,FN78-FU78)),FN78)</f>
        <v>0</v>
      </c>
      <c r="FY78" s="1" t="n">
        <f aca="false">FP78*(Slot16_Cost-FU78)</f>
        <v>0</v>
      </c>
      <c r="FZ78" s="1" t="n">
        <f aca="false">IF(AND(Slot17_On=1,D78=Slot17_Age),1,0)</f>
        <v>0</v>
      </c>
      <c r="GA78" s="1" t="n">
        <f aca="false">IF(AND(Slot17_On=1,Slot17_Age&gt;D78),1,0)</f>
        <v>0</v>
      </c>
      <c r="GB78" s="1" t="n">
        <f aca="false">SX77</f>
        <v>0</v>
      </c>
      <c r="GC78" s="1" t="n">
        <f aca="false">FZ78*MIN(Slot17_Cost,GB78)</f>
        <v>0</v>
      </c>
      <c r="GD78" s="1" t="n">
        <f aca="false">FZ78*Slot17_SpendLike*MIN(Slot17_Cost-GC78,FV78)</f>
        <v>0</v>
      </c>
      <c r="GE78" s="1" t="n">
        <f aca="false">GC78+GD78</f>
        <v>0</v>
      </c>
      <c r="GF78" s="1" t="n">
        <f aca="false">FV78-GD78+FZ78*IF(Slot17_SpendLike=1,GB78-GC78,IF(Slot17_PotFree=1,GB78,0))</f>
        <v>197440.693058858</v>
      </c>
      <c r="GG78" s="1" t="n">
        <f aca="false">FW78+FZ78*Slot17_BufPot*GB78</f>
        <v>0</v>
      </c>
      <c r="GH78" s="1" t="n">
        <f aca="false">IF(AND(FZ78=1,Slot17_IsMfree=1),IF(GE78&gt;=Slot17_Cost-1,0,MAX(0,FX78-GE78)),FX78)</f>
        <v>0</v>
      </c>
      <c r="GI78" s="1" t="n">
        <f aca="false">FZ78*(Slot17_Cost-GE78)</f>
        <v>0</v>
      </c>
      <c r="GJ78" s="1" t="n">
        <f aca="false">IF(AND(Slot18_On=1,D78=Slot18_Age),1,0)</f>
        <v>0</v>
      </c>
      <c r="GK78" s="1" t="n">
        <f aca="false">IF(AND(Slot18_On=1,Slot18_Age&gt;D78),1,0)</f>
        <v>0</v>
      </c>
      <c r="GL78" s="1" t="n">
        <f aca="false">TB77</f>
        <v>0</v>
      </c>
      <c r="GM78" s="1" t="n">
        <f aca="false">GJ78*MIN(Slot18_Cost,GL78)</f>
        <v>0</v>
      </c>
      <c r="GN78" s="1" t="n">
        <f aca="false">GJ78*Slot18_SpendLike*MIN(Slot18_Cost-GM78,GF78)</f>
        <v>0</v>
      </c>
      <c r="GO78" s="1" t="n">
        <f aca="false">GM78+GN78</f>
        <v>0</v>
      </c>
      <c r="GP78" s="1" t="n">
        <f aca="false">GF78-GN78+GJ78*IF(Slot18_SpendLike=1,GL78-GM78,IF(Slot18_PotFree=1,GL78,0))</f>
        <v>197440.693058858</v>
      </c>
      <c r="GQ78" s="1" t="n">
        <f aca="false">GG78+GJ78*Slot18_BufPot*GL78</f>
        <v>0</v>
      </c>
      <c r="GR78" s="1" t="n">
        <f aca="false">IF(AND(GJ78=1,Slot18_IsMfree=1),IF(GO78&gt;=Slot18_Cost-1,0,MAX(0,GH78-GO78)),GH78)</f>
        <v>0</v>
      </c>
      <c r="GS78" s="1" t="n">
        <f aca="false">GJ78*(Slot18_Cost-GO78)</f>
        <v>0</v>
      </c>
      <c r="GT78" s="1" t="n">
        <f aca="false">IF(AND(Slot19_On=1,D78=Slot19_Age),1,0)</f>
        <v>0</v>
      </c>
      <c r="GU78" s="1" t="n">
        <f aca="false">IF(AND(Slot19_On=1,Slot19_Age&gt;D78),1,0)</f>
        <v>0</v>
      </c>
      <c r="GV78" s="1" t="n">
        <f aca="false">TF77</f>
        <v>0</v>
      </c>
      <c r="GW78" s="1" t="n">
        <f aca="false">GT78*MIN(Slot19_Cost,GV78)</f>
        <v>0</v>
      </c>
      <c r="GX78" s="1" t="n">
        <f aca="false">GT78*Slot19_SpendLike*MIN(Slot19_Cost-GW78,GP78)</f>
        <v>0</v>
      </c>
      <c r="GY78" s="1" t="n">
        <f aca="false">GW78+GX78</f>
        <v>0</v>
      </c>
      <c r="GZ78" s="1" t="n">
        <f aca="false">GP78-GX78+GT78*IF(Slot19_SpendLike=1,GV78-GW78,IF(Slot19_PotFree=1,GV78,0))</f>
        <v>197440.693058858</v>
      </c>
      <c r="HA78" s="1" t="n">
        <f aca="false">GQ78+GT78*Slot19_BufPot*GV78</f>
        <v>0</v>
      </c>
      <c r="HB78" s="1" t="n">
        <f aca="false">IF(AND(GT78=1,Slot19_IsMfree=1),IF(GY78&gt;=Slot19_Cost-1,0,MAX(0,GR78-GY78)),GR78)</f>
        <v>0</v>
      </c>
      <c r="HC78" s="1" t="n">
        <f aca="false">GT78*(Slot19_Cost-GY78)</f>
        <v>0</v>
      </c>
      <c r="HD78" s="1" t="n">
        <f aca="false">IF(AND(Slot20_On=1,D78=Slot20_Age),1,0)</f>
        <v>0</v>
      </c>
      <c r="HE78" s="1" t="n">
        <f aca="false">IF(AND(Slot20_On=1,Slot20_Age&gt;D78),1,0)</f>
        <v>0</v>
      </c>
      <c r="HF78" s="1" t="n">
        <f aca="false">TJ77</f>
        <v>0</v>
      </c>
      <c r="HG78" s="1" t="n">
        <f aca="false">HD78*MIN(Slot20_Cost,HF78)</f>
        <v>0</v>
      </c>
      <c r="HH78" s="1" t="n">
        <f aca="false">HD78*Slot20_SpendLike*MIN(Slot20_Cost-HG78,GZ78)</f>
        <v>0</v>
      </c>
      <c r="HI78" s="1" t="n">
        <f aca="false">HG78+HH78</f>
        <v>0</v>
      </c>
      <c r="HJ78" s="1" t="n">
        <f aca="false">GZ78-HH78+HD78*IF(Slot20_SpendLike=1,HF78-HG78,IF(Slot20_PotFree=1,HF78,0))</f>
        <v>197440.693058858</v>
      </c>
      <c r="HK78" s="1" t="n">
        <f aca="false">HA78+HD78*Slot20_BufPot*HF78</f>
        <v>0</v>
      </c>
      <c r="HL78" s="1" t="n">
        <f aca="false">IF(AND(HD78=1,Slot20_IsMfree=1),IF(HI78&gt;=Slot20_Cost-1,0,MAX(0,HB78-HI78)),HB78)</f>
        <v>0</v>
      </c>
      <c r="HM78" s="1" t="n">
        <f aca="false">HD78*(Slot20_Cost-HI78)</f>
        <v>0</v>
      </c>
      <c r="HN78" s="1" t="n">
        <f aca="false">U78*Slot1_SpendLike*Z78+AF78*Slot2_SpendLike*AK78+AP78*Slot3_SpendLike*AU78+AZ78*Slot4_SpendLike*BE78+BJ78*Slot5_SpendLike*BO78+BT78*Slot6_SpendLike*BY78+CD78*Slot7_SpendLike*CI78+CN78*Slot8_SpendLike*CS78+CX78*Slot9_SpendLike*DC78+DH78*Slot10_SpendLike*DM78+DR78*Slot11_SpendLike*DW78+EB78*Slot12_SpendLike*EG78+EL78*Slot13_SpendLike*EQ78+EV78*Slot14_SpendLike*FA78+FF78*Slot15_SpendLike*FK78+FP78*Slot16_SpendLike*FU78+FZ78*Slot17_SpendLike*GE78+GJ78*Slot18_SpendLike*GO78+GT78*Slot19_SpendLike*GY78+HD78*Slot20_SpendLike*HI78</f>
        <v>0</v>
      </c>
      <c r="HO78" s="1" t="n">
        <f aca="false">AD78+AO78+AY78+BI78+BS78+CC78+CM78+CW78+DG78+DQ78+EA78+EK78+EU78+FE78+FO78+FY78+GI78+GS78+HC78+HM78</f>
        <v>0</v>
      </c>
      <c r="HP78" s="1" t="n">
        <f aca="false">U78*Slot1_Cost+AF78*Slot2_Cost+AP78*Slot3_Cost+AZ78*Slot4_Cost+BJ78*Slot5_Cost+BT78*Slot6_Cost+CD78*Slot7_Cost+CN78*Slot8_Cost+CX78*Slot9_Cost+DH78*Slot10_Cost+DR78*Slot11_Cost+EB78*Slot12_Cost+EL78*Slot13_Cost+EV78*Slot14_Cost+FF78*Slot15_Cost+FP78*Slot16_Cost+FZ78*Slot17_Cost+GJ78*Slot18_Cost+GT78*Slot19_Cost+HD78*Slot20_Cost</f>
        <v>0</v>
      </c>
      <c r="HQ78" s="1" t="n">
        <f aca="false">HL78</f>
        <v>0</v>
      </c>
      <c r="HR78" s="1" t="n">
        <f aca="false">G78-H78-R78</f>
        <v>49798.0194856992</v>
      </c>
      <c r="HS78" s="1" t="n">
        <f aca="false">IF(B78=0,IF(AND(Has_q6=1,In_q6=4),PR_ShareVaries*(MAX(0,HR78)/12),MIN(IF(Has_q6=1,CHOOSE(In_q6+1,PR_SaveB1,PR_SaveB2,PR_SaveB3,PR_SaveB4,0),AS_NoAnswer),AS_SaveShare*(MAX(0,HR78)/12))),HS77)</f>
        <v>0</v>
      </c>
      <c r="HT78" s="1" t="n">
        <f aca="false">IF(HR78&gt;=0,1,0)</f>
        <v>1</v>
      </c>
      <c r="HU78" s="1" t="n">
        <f aca="false">MAX(0,HR78/12/E78)</f>
        <v>1037.57333333333</v>
      </c>
      <c r="HV78" s="1" t="n">
        <f aca="false">IF(AND(Has_q6=1,In_q6=4),PR_ShareVaries*(HU78),MIN(IF(Has_q6=1,CHOOSE(In_q6+1,PR_SaveB1,PR_SaveB2,PR_SaveB3,PR_SaveB4,0),AS_NoAnswer),AS_SaveShare*(HU78)))</f>
        <v>300</v>
      </c>
      <c r="HW78" s="1" t="n">
        <f aca="false">IF(Has_saveM=1,IF(In_saveUp="Yes",1,IF(In_saveUp="No",0,IF(In_saveM&gt;=HS78-0.5,1,0))),0)</f>
        <v>0</v>
      </c>
      <c r="HX78" s="1" t="n">
        <f aca="false">IF(Has_saveM=1,MIN(HU78,IF(HW78=1,MAX(In_saveM,HV78),MIN(In_saveM,HV78))),HV78)</f>
        <v>300</v>
      </c>
      <c r="HY78" s="1" t="n">
        <f aca="false">IF(F78=1,HX78*12*E78,0)</f>
        <v>0</v>
      </c>
      <c r="HZ78" s="1" t="n">
        <f aca="false">MAX(0,HY78+IF(AND(WI_Retire=0,WI_M&lt;0,F78=1),WI_M*12*E78,0))</f>
        <v>0</v>
      </c>
      <c r="IA78" s="1" t="n">
        <f aca="false">Slot1_IsWG*V78+Slot2_IsWG*AG78+Slot3_IsWG*AQ78+Slot4_IsWG*BA78+Slot5_IsWG*BK78+Slot6_IsWG*BU78+Slot7_IsWG*CE78+Slot8_IsWG*CO78+Slot9_IsWG*CY78+Slot10_IsWG*DI78+Slot11_IsWG*DS78+Slot12_IsWG*EC78+Slot13_IsWG*EM78+Slot14_IsWG*EW78+Slot15_IsWG*FG78+Slot16_IsWG*FQ78+Slot17_IsWG*GA78+Slot18_IsWG*GK78+Slot19_IsWG*GU78+Slot20_IsWG*HE78</f>
        <v>0</v>
      </c>
      <c r="IB78" s="1" t="n">
        <f aca="false">IF(AND(WI_Retire=0,WI_M&gt;0,F78=1,IA78&gt;=1),WI_M*12*E78,0)</f>
        <v>0</v>
      </c>
      <c r="IC78" s="1" t="n">
        <f aca="false">IF(HT78=1,MIN(HZ78,HR78),0)</f>
        <v>0</v>
      </c>
      <c r="ID78" s="1" t="n">
        <f aca="false">IF(HT78=1,MIN(IB78,HR78-IC78),0)</f>
        <v>0</v>
      </c>
      <c r="IE78" s="1" t="n">
        <f aca="false">IF(V78=1,IF(ABS((1+AS_Wage)/(1+Slot1_Rate)-1)&lt;0.000000000001,(Slot1_Age-D78)*(1+Slot1_Rate)^(Slot1_Age-D78),(1+Slot1_Rate)^(Slot1_Age-D78)*(1-((1+AS_Wage)/(1+Slot1_Rate))^(Slot1_Age-D78))/(1-(1+AS_Wage)/(1+Slot1_Rate))),1)</f>
        <v>1</v>
      </c>
      <c r="IF78" s="1" t="n">
        <f aca="false">IF(AND(HT78=1,ID78&gt;0,Slot1_IsWG=1,V78=1),MAX(0,(Slot1_Cost-W78*(1+Slot1_Rate)^(Slot1_Age-D78))/IE78),0)</f>
        <v>0</v>
      </c>
      <c r="IG78" s="1" t="n">
        <f aca="false">IF(AND(HT78=1,ID78&gt;0,Slot1_IsWG=1,V78=1),MIN(ID78,IF78),0)</f>
        <v>0</v>
      </c>
      <c r="IH78" s="1" t="n">
        <f aca="false">W78+IG78</f>
        <v>0</v>
      </c>
      <c r="II78" s="1" t="n">
        <f aca="false">IF(V78=1,MAX(0,(Slot1_Cost-IH78*(1+Slot1_Rate)^(Slot1_Age-D78))/IE78),0)</f>
        <v>0</v>
      </c>
      <c r="IJ78" s="1" t="n">
        <f aca="false">IF(V78=1,MAX(0,(Slot1_Cost-W78*(1+Slot1_Rate)^(Slot1_Age-D78))/IE78),0)</f>
        <v>0</v>
      </c>
      <c r="IK78" s="1" t="n">
        <f aca="false">IF(AND(HT78=1,V78=1),MIN(IC78,II78),0)</f>
        <v>0</v>
      </c>
      <c r="IL78" s="1" t="n">
        <f aca="false">IC78-IK78</f>
        <v>0</v>
      </c>
      <c r="IM78" s="1" t="n">
        <f aca="false">IF(AG78=1,IF(ABS((1+AS_Wage)/(1+Slot2_Rate)-1)&lt;0.000000000001,(Slot2_Age-D78)*(1+Slot2_Rate)^(Slot2_Age-D78),(1+Slot2_Rate)^(Slot2_Age-D78)*(1-((1+AS_Wage)/(1+Slot2_Rate))^(Slot2_Age-D78))/(1-(1+AS_Wage)/(1+Slot2_Rate))),1)</f>
        <v>1</v>
      </c>
      <c r="IN78" s="1" t="n">
        <f aca="false">IF(AND(HT78=1,ID78&gt;0,Slot2_IsWG=1,AG78=1),MAX(0,(Slot2_Cost-AH78*(1+Slot2_Rate)^(Slot2_Age-D78))/IM78),0)</f>
        <v>0</v>
      </c>
      <c r="IO78" s="1" t="n">
        <f aca="false">IF(AND(HT78=1,ID78&gt;0,Slot2_IsWG=1,AG78=1),MIN(ID78,IN78),0)</f>
        <v>0</v>
      </c>
      <c r="IP78" s="1" t="n">
        <f aca="false">AH78+IO78</f>
        <v>0</v>
      </c>
      <c r="IQ78" s="1" t="n">
        <f aca="false">IF(AG78=1,MAX(0,(Slot2_Cost-IP78*(1+Slot2_Rate)^(Slot2_Age-D78))/IM78),0)</f>
        <v>0</v>
      </c>
      <c r="IR78" s="1" t="n">
        <f aca="false">IF(AG78=1,MAX(0,(Slot2_Cost-AH78*(1+Slot2_Rate)^(Slot2_Age-D78))/IM78),0)</f>
        <v>0</v>
      </c>
      <c r="IS78" s="1" t="n">
        <f aca="false">IF(AND(HT78=1,AG78=1),MIN(IL78,IQ78),0)</f>
        <v>0</v>
      </c>
      <c r="IT78" s="1" t="n">
        <f aca="false">IL78-IS78</f>
        <v>0</v>
      </c>
      <c r="IU78" s="1" t="n">
        <f aca="false">IF(AQ78=1,IF(ABS((1+AS_Wage)/(1+Slot3_Rate)-1)&lt;0.000000000001,(Slot3_Age-D78)*(1+Slot3_Rate)^(Slot3_Age-D78),(1+Slot3_Rate)^(Slot3_Age-D78)*(1-((1+AS_Wage)/(1+Slot3_Rate))^(Slot3_Age-D78))/(1-(1+AS_Wage)/(1+Slot3_Rate))),1)</f>
        <v>1</v>
      </c>
      <c r="IV78" s="1" t="n">
        <f aca="false">IF(AND(HT78=1,ID78&gt;0,Slot3_IsWG=1,AQ78=1),MAX(0,(Slot3_Cost-AR78*(1+Slot3_Rate)^(Slot3_Age-D78))/IU78),0)</f>
        <v>0</v>
      </c>
      <c r="IW78" s="1" t="n">
        <f aca="false">IF(AND(HT78=1,ID78&gt;0,Slot3_IsWG=1,AQ78=1),MIN(ID78,IV78),0)</f>
        <v>0</v>
      </c>
      <c r="IX78" s="1" t="n">
        <f aca="false">AR78+IW78</f>
        <v>0</v>
      </c>
      <c r="IY78" s="1" t="n">
        <f aca="false">IF(AQ78=1,MAX(0,(Slot3_Cost-IX78*(1+Slot3_Rate)^(Slot3_Age-D78))/IU78),0)</f>
        <v>0</v>
      </c>
      <c r="IZ78" s="1" t="n">
        <f aca="false">IF(AQ78=1,MAX(0,(Slot3_Cost-AR78*(1+Slot3_Rate)^(Slot3_Age-D78))/IU78),0)</f>
        <v>0</v>
      </c>
      <c r="JA78" s="1" t="n">
        <f aca="false">IF(AND(HT78=1,AQ78=1),MIN(IT78,IY78),0)</f>
        <v>0</v>
      </c>
      <c r="JB78" s="1" t="n">
        <f aca="false">IT78-JA78</f>
        <v>0</v>
      </c>
      <c r="JC78" s="1" t="n">
        <f aca="false">IF(BA78=1,IF(ABS((1+AS_Wage)/(1+Slot4_Rate)-1)&lt;0.000000000001,(Slot4_Age-D78)*(1+Slot4_Rate)^(Slot4_Age-D78),(1+Slot4_Rate)^(Slot4_Age-D78)*(1-((1+AS_Wage)/(1+Slot4_Rate))^(Slot4_Age-D78))/(1-(1+AS_Wage)/(1+Slot4_Rate))),1)</f>
        <v>1</v>
      </c>
      <c r="JD78" s="1" t="n">
        <f aca="false">IF(AND(HT78=1,ID78&gt;0,Slot4_IsWG=1,BA78=1),MAX(0,(Slot4_Cost-BB78*(1+Slot4_Rate)^(Slot4_Age-D78))/JC78),0)</f>
        <v>0</v>
      </c>
      <c r="JE78" s="1" t="n">
        <f aca="false">IF(AND(HT78=1,ID78&gt;0,Slot4_IsWG=1,BA78=1),MIN(ID78,JD78),0)</f>
        <v>0</v>
      </c>
      <c r="JF78" s="1" t="n">
        <f aca="false">BB78+JE78</f>
        <v>0</v>
      </c>
      <c r="JG78" s="1" t="n">
        <f aca="false">IF(BA78=1,MAX(0,(Slot4_Cost-JF78*(1+Slot4_Rate)^(Slot4_Age-D78))/JC78),0)</f>
        <v>0</v>
      </c>
      <c r="JH78" s="1" t="n">
        <f aca="false">IF(BA78=1,MAX(0,(Slot4_Cost-BB78*(1+Slot4_Rate)^(Slot4_Age-D78))/JC78),0)</f>
        <v>0</v>
      </c>
      <c r="JI78" s="1" t="n">
        <f aca="false">IF(AND(HT78=1,BA78=1),MIN(JB78,JG78),0)</f>
        <v>0</v>
      </c>
      <c r="JJ78" s="1" t="n">
        <f aca="false">JB78-JI78</f>
        <v>0</v>
      </c>
      <c r="JK78" s="1" t="n">
        <f aca="false">IF(BK78=1,IF(ABS((1+AS_Wage)/(1+Slot5_Rate)-1)&lt;0.000000000001,(Slot5_Age-D78)*(1+Slot5_Rate)^(Slot5_Age-D78),(1+Slot5_Rate)^(Slot5_Age-D78)*(1-((1+AS_Wage)/(1+Slot5_Rate))^(Slot5_Age-D78))/(1-(1+AS_Wage)/(1+Slot5_Rate))),1)</f>
        <v>1</v>
      </c>
      <c r="JL78" s="1" t="n">
        <f aca="false">IF(AND(HT78=1,ID78&gt;0,Slot5_IsWG=1,BK78=1),MAX(0,(Slot5_Cost-BL78*(1+Slot5_Rate)^(Slot5_Age-D78))/JK78),0)</f>
        <v>0</v>
      </c>
      <c r="JM78" s="1" t="n">
        <f aca="false">IF(AND(HT78=1,ID78&gt;0,Slot5_IsWG=1,BK78=1),MIN(ID78,JL78),0)</f>
        <v>0</v>
      </c>
      <c r="JN78" s="1" t="n">
        <f aca="false">BL78+JM78</f>
        <v>0</v>
      </c>
      <c r="JO78" s="1" t="n">
        <f aca="false">IF(BK78=1,MAX(0,(Slot5_Cost-JN78*(1+Slot5_Rate)^(Slot5_Age-D78))/JK78),0)</f>
        <v>0</v>
      </c>
      <c r="JP78" s="1" t="n">
        <f aca="false">IF(BK78=1,MAX(0,(Slot5_Cost-BL78*(1+Slot5_Rate)^(Slot5_Age-D78))/JK78),0)</f>
        <v>0</v>
      </c>
      <c r="JQ78" s="1" t="n">
        <f aca="false">IF(AND(HT78=1,BK78=1),MIN(JJ78,JO78),0)</f>
        <v>0</v>
      </c>
      <c r="JR78" s="1" t="n">
        <f aca="false">JJ78-JQ78</f>
        <v>0</v>
      </c>
      <c r="JS78" s="1" t="n">
        <f aca="false">IF(BU78=1,IF(ABS((1+AS_Wage)/(1+Slot6_Rate)-1)&lt;0.000000000001,(Slot6_Age-D78)*(1+Slot6_Rate)^(Slot6_Age-D78),(1+Slot6_Rate)^(Slot6_Age-D78)*(1-((1+AS_Wage)/(1+Slot6_Rate))^(Slot6_Age-D78))/(1-(1+AS_Wage)/(1+Slot6_Rate))),1)</f>
        <v>1</v>
      </c>
      <c r="JT78" s="1" t="n">
        <f aca="false">IF(AND(HT78=1,ID78&gt;0,Slot6_IsWG=1,BU78=1),MAX(0,(Slot6_Cost-BV78*(1+Slot6_Rate)^(Slot6_Age-D78))/JS78),0)</f>
        <v>0</v>
      </c>
      <c r="JU78" s="1" t="n">
        <f aca="false">IF(AND(HT78=1,ID78&gt;0,Slot6_IsWG=1,BU78=1),MIN(ID78,JT78),0)</f>
        <v>0</v>
      </c>
      <c r="JV78" s="1" t="n">
        <f aca="false">BV78+JU78</f>
        <v>0</v>
      </c>
      <c r="JW78" s="1" t="n">
        <f aca="false">IF(BU78=1,MAX(0,(Slot6_Cost-JV78*(1+Slot6_Rate)^(Slot6_Age-D78))/JS78),0)</f>
        <v>0</v>
      </c>
      <c r="JX78" s="1" t="n">
        <f aca="false">IF(BU78=1,MAX(0,(Slot6_Cost-BV78*(1+Slot6_Rate)^(Slot6_Age-D78))/JS78),0)</f>
        <v>0</v>
      </c>
      <c r="JY78" s="1" t="n">
        <f aca="false">IF(AND(HT78=1,BU78=1),MIN(JR78,JW78),0)</f>
        <v>0</v>
      </c>
      <c r="JZ78" s="1" t="n">
        <f aca="false">JR78-JY78</f>
        <v>0</v>
      </c>
      <c r="KA78" s="1" t="n">
        <f aca="false">IF(CE78=1,IF(ABS((1+AS_Wage)/(1+Slot7_Rate)-1)&lt;0.000000000001,(Slot7_Age-D78)*(1+Slot7_Rate)^(Slot7_Age-D78),(1+Slot7_Rate)^(Slot7_Age-D78)*(1-((1+AS_Wage)/(1+Slot7_Rate))^(Slot7_Age-D78))/(1-(1+AS_Wage)/(1+Slot7_Rate))),1)</f>
        <v>1</v>
      </c>
      <c r="KB78" s="1" t="n">
        <f aca="false">IF(AND(HT78=1,ID78&gt;0,Slot7_IsWG=1,CE78=1),MAX(0,(Slot7_Cost-CF78*(1+Slot7_Rate)^(Slot7_Age-D78))/KA78),0)</f>
        <v>0</v>
      </c>
      <c r="KC78" s="1" t="n">
        <f aca="false">IF(AND(HT78=1,ID78&gt;0,Slot7_IsWG=1,CE78=1),MIN(ID78,KB78),0)</f>
        <v>0</v>
      </c>
      <c r="KD78" s="1" t="n">
        <f aca="false">CF78+KC78</f>
        <v>0</v>
      </c>
      <c r="KE78" s="1" t="n">
        <f aca="false">IF(CE78=1,MAX(0,(Slot7_Cost-KD78*(1+Slot7_Rate)^(Slot7_Age-D78))/KA78),0)</f>
        <v>0</v>
      </c>
      <c r="KF78" s="1" t="n">
        <f aca="false">IF(CE78=1,MAX(0,(Slot7_Cost-CF78*(1+Slot7_Rate)^(Slot7_Age-D78))/KA78),0)</f>
        <v>0</v>
      </c>
      <c r="KG78" s="1" t="n">
        <f aca="false">IF(AND(HT78=1,CE78=1),MIN(JZ78,KE78),0)</f>
        <v>0</v>
      </c>
      <c r="KH78" s="1" t="n">
        <f aca="false">JZ78-KG78</f>
        <v>0</v>
      </c>
      <c r="KI78" s="1" t="n">
        <f aca="false">IF(CO78=1,IF(ABS((1+AS_Wage)/(1+Slot8_Rate)-1)&lt;0.000000000001,(Slot8_Age-D78)*(1+Slot8_Rate)^(Slot8_Age-D78),(1+Slot8_Rate)^(Slot8_Age-D78)*(1-((1+AS_Wage)/(1+Slot8_Rate))^(Slot8_Age-D78))/(1-(1+AS_Wage)/(1+Slot8_Rate))),1)</f>
        <v>1</v>
      </c>
      <c r="KJ78" s="1" t="n">
        <f aca="false">IF(AND(HT78=1,ID78&gt;0,Slot8_IsWG=1,CO78=1),MAX(0,(Slot8_Cost-CP78*(1+Slot8_Rate)^(Slot8_Age-D78))/KI78),0)</f>
        <v>0</v>
      </c>
      <c r="KK78" s="1" t="n">
        <f aca="false">IF(AND(HT78=1,ID78&gt;0,Slot8_IsWG=1,CO78=1),MIN(ID78,KJ78),0)</f>
        <v>0</v>
      </c>
      <c r="KL78" s="1" t="n">
        <f aca="false">CP78+KK78</f>
        <v>0</v>
      </c>
      <c r="KM78" s="1" t="n">
        <f aca="false">IF(CO78=1,MAX(0,(Slot8_Cost-KL78*(1+Slot8_Rate)^(Slot8_Age-D78))/KI78),0)</f>
        <v>0</v>
      </c>
      <c r="KN78" s="1" t="n">
        <f aca="false">IF(CO78=1,MAX(0,(Slot8_Cost-CP78*(1+Slot8_Rate)^(Slot8_Age-D78))/KI78),0)</f>
        <v>0</v>
      </c>
      <c r="KO78" s="1" t="n">
        <f aca="false">IF(AND(HT78=1,CO78=1),MIN(KH78,KM78),0)</f>
        <v>0</v>
      </c>
      <c r="KP78" s="1" t="n">
        <f aca="false">KH78-KO78</f>
        <v>0</v>
      </c>
      <c r="KQ78" s="1" t="n">
        <f aca="false">IF(CY78=1,IF(ABS((1+AS_Wage)/(1+Slot9_Rate)-1)&lt;0.000000000001,(Slot9_Age-D78)*(1+Slot9_Rate)^(Slot9_Age-D78),(1+Slot9_Rate)^(Slot9_Age-D78)*(1-((1+AS_Wage)/(1+Slot9_Rate))^(Slot9_Age-D78))/(1-(1+AS_Wage)/(1+Slot9_Rate))),1)</f>
        <v>1</v>
      </c>
      <c r="KR78" s="1" t="n">
        <f aca="false">IF(AND(HT78=1,ID78&gt;0,Slot9_IsWG=1,CY78=1),MAX(0,(Slot9_Cost-CZ78*(1+Slot9_Rate)^(Slot9_Age-D78))/KQ78),0)</f>
        <v>0</v>
      </c>
      <c r="KS78" s="1" t="n">
        <f aca="false">IF(AND(HT78=1,ID78&gt;0,Slot9_IsWG=1,CY78=1),MIN(ID78,KR78),0)</f>
        <v>0</v>
      </c>
      <c r="KT78" s="1" t="n">
        <f aca="false">CZ78+KS78</f>
        <v>0</v>
      </c>
      <c r="KU78" s="1" t="n">
        <f aca="false">IF(CY78=1,MAX(0,(Slot9_Cost-KT78*(1+Slot9_Rate)^(Slot9_Age-D78))/KQ78),0)</f>
        <v>0</v>
      </c>
      <c r="KV78" s="1" t="n">
        <f aca="false">IF(CY78=1,MAX(0,(Slot9_Cost-CZ78*(1+Slot9_Rate)^(Slot9_Age-D78))/KQ78),0)</f>
        <v>0</v>
      </c>
      <c r="KW78" s="1" t="n">
        <f aca="false">IF(AND(HT78=1,CY78=1),MIN(KP78,KU78),0)</f>
        <v>0</v>
      </c>
      <c r="KX78" s="1" t="n">
        <f aca="false">KP78-KW78</f>
        <v>0</v>
      </c>
      <c r="KY78" s="1" t="n">
        <f aca="false">IF(DI78=1,IF(ABS((1+AS_Wage)/(1+Slot10_Rate)-1)&lt;0.000000000001,(Slot10_Age-D78)*(1+Slot10_Rate)^(Slot10_Age-D78),(1+Slot10_Rate)^(Slot10_Age-D78)*(1-((1+AS_Wage)/(1+Slot10_Rate))^(Slot10_Age-D78))/(1-(1+AS_Wage)/(1+Slot10_Rate))),1)</f>
        <v>1</v>
      </c>
      <c r="KZ78" s="1" t="n">
        <f aca="false">IF(AND(HT78=1,ID78&gt;0,Slot10_IsWG=1,DI78=1),MAX(0,(Slot10_Cost-DJ78*(1+Slot10_Rate)^(Slot10_Age-D78))/KY78),0)</f>
        <v>0</v>
      </c>
      <c r="LA78" s="1" t="n">
        <f aca="false">IF(AND(HT78=1,ID78&gt;0,Slot10_IsWG=1,DI78=1),MIN(ID78,KZ78),0)</f>
        <v>0</v>
      </c>
      <c r="LB78" s="1" t="n">
        <f aca="false">DJ78+LA78</f>
        <v>0</v>
      </c>
      <c r="LC78" s="1" t="n">
        <f aca="false">IF(DI78=1,MAX(0,(Slot10_Cost-LB78*(1+Slot10_Rate)^(Slot10_Age-D78))/KY78),0)</f>
        <v>0</v>
      </c>
      <c r="LD78" s="1" t="n">
        <f aca="false">IF(DI78=1,MAX(0,(Slot10_Cost-DJ78*(1+Slot10_Rate)^(Slot10_Age-D78))/KY78),0)</f>
        <v>0</v>
      </c>
      <c r="LE78" s="1" t="n">
        <f aca="false">IF(AND(HT78=1,DI78=1),MIN(KX78,LC78),0)</f>
        <v>0</v>
      </c>
      <c r="LF78" s="1" t="n">
        <f aca="false">KX78-LE78</f>
        <v>0</v>
      </c>
      <c r="LG78" s="1" t="n">
        <f aca="false">IF(DS78=1,IF(ABS((1+AS_Wage)/(1+Slot11_Rate)-1)&lt;0.000000000001,(Slot11_Age-D78)*(1+Slot11_Rate)^(Slot11_Age-D78),(1+Slot11_Rate)^(Slot11_Age-D78)*(1-((1+AS_Wage)/(1+Slot11_Rate))^(Slot11_Age-D78))/(1-(1+AS_Wage)/(1+Slot11_Rate))),1)</f>
        <v>1</v>
      </c>
      <c r="LH78" s="1" t="n">
        <f aca="false">IF(AND(HT78=1,ID78&gt;0,Slot11_IsWG=1,DS78=1),MAX(0,(Slot11_Cost-DT78*(1+Slot11_Rate)^(Slot11_Age-D78))/LG78),0)</f>
        <v>0</v>
      </c>
      <c r="LI78" s="1" t="n">
        <f aca="false">IF(AND(HT78=1,ID78&gt;0,Slot11_IsWG=1,DS78=1),MIN(ID78,LH78),0)</f>
        <v>0</v>
      </c>
      <c r="LJ78" s="1" t="n">
        <f aca="false">DT78+LI78</f>
        <v>0</v>
      </c>
      <c r="LK78" s="1" t="n">
        <f aca="false">IF(DS78=1,MAX(0,(Slot11_Cost-LJ78*(1+Slot11_Rate)^(Slot11_Age-D78))/LG78),0)</f>
        <v>0</v>
      </c>
      <c r="LL78" s="1" t="n">
        <f aca="false">IF(DS78=1,MAX(0,(Slot11_Cost-DT78*(1+Slot11_Rate)^(Slot11_Age-D78))/LG78),0)</f>
        <v>0</v>
      </c>
      <c r="LM78" s="1" t="n">
        <f aca="false">IF(AND(HT78=1,DS78=1),MIN(LF78,LK78),0)</f>
        <v>0</v>
      </c>
      <c r="LN78" s="1" t="n">
        <f aca="false">LF78-LM78</f>
        <v>0</v>
      </c>
      <c r="LO78" s="1" t="n">
        <f aca="false">IF(EC78=1,IF(ABS((1+AS_Wage)/(1+Slot12_Rate)-1)&lt;0.000000000001,(Slot12_Age-D78)*(1+Slot12_Rate)^(Slot12_Age-D78),(1+Slot12_Rate)^(Slot12_Age-D78)*(1-((1+AS_Wage)/(1+Slot12_Rate))^(Slot12_Age-D78))/(1-(1+AS_Wage)/(1+Slot12_Rate))),1)</f>
        <v>1</v>
      </c>
      <c r="LP78" s="1" t="n">
        <f aca="false">IF(AND(HT78=1,ID78&gt;0,Slot12_IsWG=1,EC78=1),MAX(0,(Slot12_Cost-ED78*(1+Slot12_Rate)^(Slot12_Age-D78))/LO78),0)</f>
        <v>0</v>
      </c>
      <c r="LQ78" s="1" t="n">
        <f aca="false">IF(AND(HT78=1,ID78&gt;0,Slot12_IsWG=1,EC78=1),MIN(ID78,LP78),0)</f>
        <v>0</v>
      </c>
      <c r="LR78" s="1" t="n">
        <f aca="false">ED78+LQ78</f>
        <v>0</v>
      </c>
      <c r="LS78" s="1" t="n">
        <f aca="false">IF(EC78=1,MAX(0,(Slot12_Cost-LR78*(1+Slot12_Rate)^(Slot12_Age-D78))/LO78),0)</f>
        <v>0</v>
      </c>
      <c r="LT78" s="1" t="n">
        <f aca="false">IF(EC78=1,MAX(0,(Slot12_Cost-ED78*(1+Slot12_Rate)^(Slot12_Age-D78))/LO78),0)</f>
        <v>0</v>
      </c>
      <c r="LU78" s="1" t="n">
        <f aca="false">IF(AND(HT78=1,EC78=1),MIN(LN78,LS78),0)</f>
        <v>0</v>
      </c>
      <c r="LV78" s="1" t="n">
        <f aca="false">LN78-LU78</f>
        <v>0</v>
      </c>
      <c r="LW78" s="1" t="n">
        <f aca="false">IF(EM78=1,IF(ABS((1+AS_Wage)/(1+Slot13_Rate)-1)&lt;0.000000000001,(Slot13_Age-D78)*(1+Slot13_Rate)^(Slot13_Age-D78),(1+Slot13_Rate)^(Slot13_Age-D78)*(1-((1+AS_Wage)/(1+Slot13_Rate))^(Slot13_Age-D78))/(1-(1+AS_Wage)/(1+Slot13_Rate))),1)</f>
        <v>1</v>
      </c>
      <c r="LX78" s="1" t="n">
        <f aca="false">IF(AND(HT78=1,ID78&gt;0,Slot13_IsWG=1,EM78=1),MAX(0,(Slot13_Cost-EN78*(1+Slot13_Rate)^(Slot13_Age-D78))/LW78),0)</f>
        <v>0</v>
      </c>
      <c r="LY78" s="1" t="n">
        <f aca="false">IF(AND(HT78=1,ID78&gt;0,Slot13_IsWG=1,EM78=1),MIN(ID78,LX78),0)</f>
        <v>0</v>
      </c>
      <c r="LZ78" s="1" t="n">
        <f aca="false">EN78+LY78</f>
        <v>0</v>
      </c>
      <c r="MA78" s="1" t="n">
        <f aca="false">IF(EM78=1,MAX(0,(Slot13_Cost-LZ78*(1+Slot13_Rate)^(Slot13_Age-D78))/LW78),0)</f>
        <v>0</v>
      </c>
      <c r="MB78" s="1" t="n">
        <f aca="false">IF(EM78=1,MAX(0,(Slot13_Cost-EN78*(1+Slot13_Rate)^(Slot13_Age-D78))/LW78),0)</f>
        <v>0</v>
      </c>
      <c r="MC78" s="1" t="n">
        <f aca="false">IF(AND(HT78=1,EM78=1),MIN(LV78,MA78),0)</f>
        <v>0</v>
      </c>
      <c r="MD78" s="1" t="n">
        <f aca="false">LV78-MC78</f>
        <v>0</v>
      </c>
      <c r="ME78" s="1" t="n">
        <f aca="false">IF(EW78=1,IF(ABS((1+AS_Wage)/(1+Slot14_Rate)-1)&lt;0.000000000001,(Slot14_Age-D78)*(1+Slot14_Rate)^(Slot14_Age-D78),(1+Slot14_Rate)^(Slot14_Age-D78)*(1-((1+AS_Wage)/(1+Slot14_Rate))^(Slot14_Age-D78))/(1-(1+AS_Wage)/(1+Slot14_Rate))),1)</f>
        <v>1</v>
      </c>
      <c r="MF78" s="1" t="n">
        <f aca="false">IF(AND(HT78=1,ID78&gt;0,Slot14_IsWG=1,EW78=1),MAX(0,(Slot14_Cost-EX78*(1+Slot14_Rate)^(Slot14_Age-D78))/ME78),0)</f>
        <v>0</v>
      </c>
      <c r="MG78" s="1" t="n">
        <f aca="false">IF(AND(HT78=1,ID78&gt;0,Slot14_IsWG=1,EW78=1),MIN(ID78,MF78),0)</f>
        <v>0</v>
      </c>
      <c r="MH78" s="1" t="n">
        <f aca="false">EX78+MG78</f>
        <v>0</v>
      </c>
      <c r="MI78" s="1" t="n">
        <f aca="false">IF(EW78=1,MAX(0,(Slot14_Cost-MH78*(1+Slot14_Rate)^(Slot14_Age-D78))/ME78),0)</f>
        <v>0</v>
      </c>
      <c r="MJ78" s="1" t="n">
        <f aca="false">IF(EW78=1,MAX(0,(Slot14_Cost-EX78*(1+Slot14_Rate)^(Slot14_Age-D78))/ME78),0)</f>
        <v>0</v>
      </c>
      <c r="MK78" s="1" t="n">
        <f aca="false">IF(AND(HT78=1,EW78=1),MIN(MD78,MI78),0)</f>
        <v>0</v>
      </c>
      <c r="ML78" s="1" t="n">
        <f aca="false">MD78-MK78</f>
        <v>0</v>
      </c>
      <c r="MM78" s="1" t="n">
        <f aca="false">IF(FG78=1,IF(ABS((1+AS_Wage)/(1+Slot15_Rate)-1)&lt;0.000000000001,(Slot15_Age-D78)*(1+Slot15_Rate)^(Slot15_Age-D78),(1+Slot15_Rate)^(Slot15_Age-D78)*(1-((1+AS_Wage)/(1+Slot15_Rate))^(Slot15_Age-D78))/(1-(1+AS_Wage)/(1+Slot15_Rate))),1)</f>
        <v>1</v>
      </c>
      <c r="MN78" s="1" t="n">
        <f aca="false">IF(AND(HT78=1,ID78&gt;0,Slot15_IsWG=1,FG78=1),MAX(0,(Slot15_Cost-FH78*(1+Slot15_Rate)^(Slot15_Age-D78))/MM78),0)</f>
        <v>0</v>
      </c>
      <c r="MO78" s="1" t="n">
        <f aca="false">IF(AND(HT78=1,ID78&gt;0,Slot15_IsWG=1,FG78=1),MIN(ID78,MN78),0)</f>
        <v>0</v>
      </c>
      <c r="MP78" s="1" t="n">
        <f aca="false">FH78+MO78</f>
        <v>0</v>
      </c>
      <c r="MQ78" s="1" t="n">
        <f aca="false">IF(FG78=1,MAX(0,(Slot15_Cost-MP78*(1+Slot15_Rate)^(Slot15_Age-D78))/MM78),0)</f>
        <v>0</v>
      </c>
      <c r="MR78" s="1" t="n">
        <f aca="false">IF(FG78=1,MAX(0,(Slot15_Cost-FH78*(1+Slot15_Rate)^(Slot15_Age-D78))/MM78),0)</f>
        <v>0</v>
      </c>
      <c r="MS78" s="1" t="n">
        <f aca="false">IF(AND(HT78=1,FG78=1),MIN(ML78,MQ78),0)</f>
        <v>0</v>
      </c>
      <c r="MT78" s="1" t="n">
        <f aca="false">ML78-MS78</f>
        <v>0</v>
      </c>
      <c r="MU78" s="1" t="n">
        <f aca="false">IF(FQ78=1,IF(ABS((1+AS_Wage)/(1+Slot16_Rate)-1)&lt;0.000000000001,(Slot16_Age-D78)*(1+Slot16_Rate)^(Slot16_Age-D78),(1+Slot16_Rate)^(Slot16_Age-D78)*(1-((1+AS_Wage)/(1+Slot16_Rate))^(Slot16_Age-D78))/(1-(1+AS_Wage)/(1+Slot16_Rate))),1)</f>
        <v>1</v>
      </c>
      <c r="MV78" s="1" t="n">
        <f aca="false">IF(AND(HT78=1,ID78&gt;0,Slot16_IsWG=1,FQ78=1),MAX(0,(Slot16_Cost-FR78*(1+Slot16_Rate)^(Slot16_Age-D78))/MU78),0)</f>
        <v>0</v>
      </c>
      <c r="MW78" s="1" t="n">
        <f aca="false">IF(AND(HT78=1,ID78&gt;0,Slot16_IsWG=1,FQ78=1),MIN(ID78,MV78),0)</f>
        <v>0</v>
      </c>
      <c r="MX78" s="1" t="n">
        <f aca="false">FR78+MW78</f>
        <v>0</v>
      </c>
      <c r="MY78" s="1" t="n">
        <f aca="false">IF(FQ78=1,MAX(0,(Slot16_Cost-MX78*(1+Slot16_Rate)^(Slot16_Age-D78))/MU78),0)</f>
        <v>0</v>
      </c>
      <c r="MZ78" s="1" t="n">
        <f aca="false">IF(FQ78=1,MAX(0,(Slot16_Cost-FR78*(1+Slot16_Rate)^(Slot16_Age-D78))/MU78),0)</f>
        <v>0</v>
      </c>
      <c r="NA78" s="1" t="n">
        <f aca="false">IF(AND(HT78=1,FQ78=1),MIN(MT78,MY78),0)</f>
        <v>0</v>
      </c>
      <c r="NB78" s="1" t="n">
        <f aca="false">MT78-NA78</f>
        <v>0</v>
      </c>
      <c r="NC78" s="1" t="n">
        <f aca="false">IF(GA78=1,IF(ABS((1+AS_Wage)/(1+Slot17_Rate)-1)&lt;0.000000000001,(Slot17_Age-D78)*(1+Slot17_Rate)^(Slot17_Age-D78),(1+Slot17_Rate)^(Slot17_Age-D78)*(1-((1+AS_Wage)/(1+Slot17_Rate))^(Slot17_Age-D78))/(1-(1+AS_Wage)/(1+Slot17_Rate))),1)</f>
        <v>1</v>
      </c>
      <c r="ND78" s="1" t="n">
        <f aca="false">IF(AND(HT78=1,ID78&gt;0,Slot17_IsWG=1,GA78=1),MAX(0,(Slot17_Cost-GB78*(1+Slot17_Rate)^(Slot17_Age-D78))/NC78),0)</f>
        <v>0</v>
      </c>
      <c r="NE78" s="1" t="n">
        <f aca="false">IF(AND(HT78=1,ID78&gt;0,Slot17_IsWG=1,GA78=1),MIN(ID78,ND78),0)</f>
        <v>0</v>
      </c>
      <c r="NF78" s="1" t="n">
        <f aca="false">GB78+NE78</f>
        <v>0</v>
      </c>
      <c r="NG78" s="1" t="n">
        <f aca="false">IF(GA78=1,MAX(0,(Slot17_Cost-NF78*(1+Slot17_Rate)^(Slot17_Age-D78))/NC78),0)</f>
        <v>0</v>
      </c>
      <c r="NH78" s="1" t="n">
        <f aca="false">IF(GA78=1,MAX(0,(Slot17_Cost-GB78*(1+Slot17_Rate)^(Slot17_Age-D78))/NC78),0)</f>
        <v>0</v>
      </c>
      <c r="NI78" s="1" t="n">
        <f aca="false">IF(AND(HT78=1,GA78=1),MIN(NB78,NG78),0)</f>
        <v>0</v>
      </c>
      <c r="NJ78" s="1" t="n">
        <f aca="false">NB78-NI78</f>
        <v>0</v>
      </c>
      <c r="NK78" s="1" t="n">
        <f aca="false">IF(GK78=1,IF(ABS((1+AS_Wage)/(1+Slot18_Rate)-1)&lt;0.000000000001,(Slot18_Age-D78)*(1+Slot18_Rate)^(Slot18_Age-D78),(1+Slot18_Rate)^(Slot18_Age-D78)*(1-((1+AS_Wage)/(1+Slot18_Rate))^(Slot18_Age-D78))/(1-(1+AS_Wage)/(1+Slot18_Rate))),1)</f>
        <v>1</v>
      </c>
      <c r="NL78" s="1" t="n">
        <f aca="false">IF(AND(HT78=1,ID78&gt;0,Slot18_IsWG=1,GK78=1),MAX(0,(Slot18_Cost-GL78*(1+Slot18_Rate)^(Slot18_Age-D78))/NK78),0)</f>
        <v>0</v>
      </c>
      <c r="NM78" s="1" t="n">
        <f aca="false">IF(AND(HT78=1,ID78&gt;0,Slot18_IsWG=1,GK78=1),MIN(ID78,NL78),0)</f>
        <v>0</v>
      </c>
      <c r="NN78" s="1" t="n">
        <f aca="false">GL78+NM78</f>
        <v>0</v>
      </c>
      <c r="NO78" s="1" t="n">
        <f aca="false">IF(GK78=1,MAX(0,(Slot18_Cost-NN78*(1+Slot18_Rate)^(Slot18_Age-D78))/NK78),0)</f>
        <v>0</v>
      </c>
      <c r="NP78" s="1" t="n">
        <f aca="false">IF(GK78=1,MAX(0,(Slot18_Cost-GL78*(1+Slot18_Rate)^(Slot18_Age-D78))/NK78),0)</f>
        <v>0</v>
      </c>
      <c r="NQ78" s="1" t="n">
        <f aca="false">IF(AND(HT78=1,GK78=1),MIN(NJ78,NO78),0)</f>
        <v>0</v>
      </c>
      <c r="NR78" s="1" t="n">
        <f aca="false">NJ78-NQ78</f>
        <v>0</v>
      </c>
      <c r="NS78" s="1" t="n">
        <f aca="false">IF(GU78=1,IF(ABS((1+AS_Wage)/(1+Slot19_Rate)-1)&lt;0.000000000001,(Slot19_Age-D78)*(1+Slot19_Rate)^(Slot19_Age-D78),(1+Slot19_Rate)^(Slot19_Age-D78)*(1-((1+AS_Wage)/(1+Slot19_Rate))^(Slot19_Age-D78))/(1-(1+AS_Wage)/(1+Slot19_Rate))),1)</f>
        <v>1</v>
      </c>
      <c r="NT78" s="1" t="n">
        <f aca="false">IF(AND(HT78=1,ID78&gt;0,Slot19_IsWG=1,GU78=1),MAX(0,(Slot19_Cost-GV78*(1+Slot19_Rate)^(Slot19_Age-D78))/NS78),0)</f>
        <v>0</v>
      </c>
      <c r="NU78" s="1" t="n">
        <f aca="false">IF(AND(HT78=1,ID78&gt;0,Slot19_IsWG=1,GU78=1),MIN(ID78,NT78),0)</f>
        <v>0</v>
      </c>
      <c r="NV78" s="1" t="n">
        <f aca="false">GV78+NU78</f>
        <v>0</v>
      </c>
      <c r="NW78" s="1" t="n">
        <f aca="false">IF(GU78=1,MAX(0,(Slot19_Cost-NV78*(1+Slot19_Rate)^(Slot19_Age-D78))/NS78),0)</f>
        <v>0</v>
      </c>
      <c r="NX78" s="1" t="n">
        <f aca="false">IF(GU78=1,MAX(0,(Slot19_Cost-GV78*(1+Slot19_Rate)^(Slot19_Age-D78))/NS78),0)</f>
        <v>0</v>
      </c>
      <c r="NY78" s="1" t="n">
        <f aca="false">IF(AND(HT78=1,GU78=1),MIN(NR78,NW78),0)</f>
        <v>0</v>
      </c>
      <c r="NZ78" s="1" t="n">
        <f aca="false">NR78-NY78</f>
        <v>0</v>
      </c>
      <c r="OA78" s="1" t="n">
        <f aca="false">IF(HE78=1,IF(ABS((1+AS_Wage)/(1+Slot20_Rate)-1)&lt;0.000000000001,(Slot20_Age-D78)*(1+Slot20_Rate)^(Slot20_Age-D78),(1+Slot20_Rate)^(Slot20_Age-D78)*(1-((1+AS_Wage)/(1+Slot20_Rate))^(Slot20_Age-D78))/(1-(1+AS_Wage)/(1+Slot20_Rate))),1)</f>
        <v>1</v>
      </c>
      <c r="OB78" s="1" t="n">
        <f aca="false">IF(AND(HT78=1,ID78&gt;0,Slot20_IsWG=1,HE78=1),MAX(0,(Slot20_Cost-HF78*(1+Slot20_Rate)^(Slot20_Age-D78))/OA78),0)</f>
        <v>0</v>
      </c>
      <c r="OC78" s="1" t="n">
        <f aca="false">IF(AND(HT78=1,ID78&gt;0,Slot20_IsWG=1,HE78=1),MIN(ID78,OB78),0)</f>
        <v>0</v>
      </c>
      <c r="OD78" s="1" t="n">
        <f aca="false">HF78+OC78</f>
        <v>0</v>
      </c>
      <c r="OE78" s="1" t="n">
        <f aca="false">IF(HE78=1,MAX(0,(Slot20_Cost-OD78*(1+Slot20_Rate)^(Slot20_Age-D78))/OA78),0)</f>
        <v>0</v>
      </c>
      <c r="OF78" s="1" t="n">
        <f aca="false">IF(HE78=1,MAX(0,(Slot20_Cost-HF78*(1+Slot20_Rate)^(Slot20_Age-D78))/OA78),0)</f>
        <v>0</v>
      </c>
      <c r="OG78" s="1" t="n">
        <f aca="false">IF(AND(HT78=1,HE78=1),MIN(NZ78,OE78),0)</f>
        <v>0</v>
      </c>
      <c r="OH78" s="1" t="n">
        <f aca="false">NZ78-OG78</f>
        <v>0</v>
      </c>
      <c r="OI78" s="1" t="n">
        <f aca="false">ID78-(IG78+IO78+IW78+JE78+JM78+JU78+KC78+KK78+KS78+LA78+LI78+LQ78+LY78+MG78+MO78+MW78+NE78+NM78+NU78+OC78)</f>
        <v>0</v>
      </c>
      <c r="OJ78" s="1" t="n">
        <f aca="false">IF(HT78=1,HR78-IC78-ID78,0)</f>
        <v>49798.0194856992</v>
      </c>
      <c r="OK78" s="1" t="n">
        <f aca="false">IF(HT78=0,-HR78,0)</f>
        <v>0</v>
      </c>
      <c r="OL78" s="1" t="n">
        <f aca="false">MIN(OK78,HJ78)</f>
        <v>0</v>
      </c>
      <c r="OM78" s="1" t="n">
        <f aca="false">OK78-OL78</f>
        <v>0</v>
      </c>
      <c r="ON78" s="1" t="n">
        <f aca="false">MIN(OM78,HK78)</f>
        <v>0</v>
      </c>
      <c r="OO78" s="1" t="n">
        <f aca="false">OM78-ON78</f>
        <v>0</v>
      </c>
      <c r="OP78" s="1" t="n">
        <f aca="false">IF(AND(HT78=0,HE78=1,OO78&gt;0),MIN(OO78,HF78),0)</f>
        <v>0</v>
      </c>
      <c r="OQ78" s="1" t="n">
        <f aca="false">OO78-OP78</f>
        <v>0</v>
      </c>
      <c r="OR78" s="1" t="n">
        <f aca="false">IF(AND(HT78=0,GU78=1,OQ78&gt;0),MIN(OQ78,GV78),0)</f>
        <v>0</v>
      </c>
      <c r="OS78" s="1" t="n">
        <f aca="false">OQ78-OR78</f>
        <v>0</v>
      </c>
      <c r="OT78" s="1" t="n">
        <f aca="false">IF(AND(HT78=0,GK78=1,OS78&gt;0),MIN(OS78,GL78),0)</f>
        <v>0</v>
      </c>
      <c r="OU78" s="1" t="n">
        <f aca="false">OS78-OT78</f>
        <v>0</v>
      </c>
      <c r="OV78" s="1" t="n">
        <f aca="false">IF(AND(HT78=0,GA78=1,OU78&gt;0),MIN(OU78,GB78),0)</f>
        <v>0</v>
      </c>
      <c r="OW78" s="1" t="n">
        <f aca="false">OU78-OV78</f>
        <v>0</v>
      </c>
      <c r="OX78" s="1" t="n">
        <f aca="false">IF(AND(HT78=0,FQ78=1,OW78&gt;0),MIN(OW78,FR78),0)</f>
        <v>0</v>
      </c>
      <c r="OY78" s="1" t="n">
        <f aca="false">OW78-OX78</f>
        <v>0</v>
      </c>
      <c r="OZ78" s="1" t="n">
        <f aca="false">IF(AND(HT78=0,FG78=1,OY78&gt;0),MIN(OY78,FH78),0)</f>
        <v>0</v>
      </c>
      <c r="PA78" s="1" t="n">
        <f aca="false">OY78-OZ78</f>
        <v>0</v>
      </c>
      <c r="PB78" s="1" t="n">
        <f aca="false">IF(AND(HT78=0,EW78=1,PA78&gt;0),MIN(PA78,EX78),0)</f>
        <v>0</v>
      </c>
      <c r="PC78" s="1" t="n">
        <f aca="false">PA78-PB78</f>
        <v>0</v>
      </c>
      <c r="PD78" s="1" t="n">
        <f aca="false">IF(AND(HT78=0,EM78=1,PC78&gt;0),MIN(PC78,EN78),0)</f>
        <v>0</v>
      </c>
      <c r="PE78" s="1" t="n">
        <f aca="false">PC78-PD78</f>
        <v>0</v>
      </c>
      <c r="PF78" s="1" t="n">
        <f aca="false">IF(AND(HT78=0,EC78=1,PE78&gt;0),MIN(PE78,ED78),0)</f>
        <v>0</v>
      </c>
      <c r="PG78" s="1" t="n">
        <f aca="false">PE78-PF78</f>
        <v>0</v>
      </c>
      <c r="PH78" s="1" t="n">
        <f aca="false">IF(AND(HT78=0,DS78=1,PG78&gt;0),MIN(PG78,DT78),0)</f>
        <v>0</v>
      </c>
      <c r="PI78" s="1" t="n">
        <f aca="false">PG78-PH78</f>
        <v>0</v>
      </c>
      <c r="PJ78" s="1" t="n">
        <f aca="false">IF(AND(HT78=0,DI78=1,PI78&gt;0),MIN(PI78,DJ78),0)</f>
        <v>0</v>
      </c>
      <c r="PK78" s="1" t="n">
        <f aca="false">PI78-PJ78</f>
        <v>0</v>
      </c>
      <c r="PL78" s="1" t="n">
        <f aca="false">IF(AND(HT78=0,CY78=1,PK78&gt;0),MIN(PK78,CZ78),0)</f>
        <v>0</v>
      </c>
      <c r="PM78" s="1" t="n">
        <f aca="false">PK78-PL78</f>
        <v>0</v>
      </c>
      <c r="PN78" s="1" t="n">
        <f aca="false">IF(AND(HT78=0,CO78=1,PM78&gt;0),MIN(PM78,CP78),0)</f>
        <v>0</v>
      </c>
      <c r="PO78" s="1" t="n">
        <f aca="false">PM78-PN78</f>
        <v>0</v>
      </c>
      <c r="PP78" s="1" t="n">
        <f aca="false">IF(AND(HT78=0,CE78=1,PO78&gt;0),MIN(PO78,CF78),0)</f>
        <v>0</v>
      </c>
      <c r="PQ78" s="1" t="n">
        <f aca="false">PO78-PP78</f>
        <v>0</v>
      </c>
      <c r="PR78" s="1" t="n">
        <f aca="false">IF(AND(HT78=0,BU78=1,PQ78&gt;0),MIN(PQ78,BV78),0)</f>
        <v>0</v>
      </c>
      <c r="PS78" s="1" t="n">
        <f aca="false">PQ78-PR78</f>
        <v>0</v>
      </c>
      <c r="PT78" s="1" t="n">
        <f aca="false">IF(AND(HT78=0,BK78=1,PS78&gt;0),MIN(PS78,BL78),0)</f>
        <v>0</v>
      </c>
      <c r="PU78" s="1" t="n">
        <f aca="false">PS78-PT78</f>
        <v>0</v>
      </c>
      <c r="PV78" s="1" t="n">
        <f aca="false">IF(AND(HT78=0,BA78=1,PU78&gt;0),MIN(PU78,BB78),0)</f>
        <v>0</v>
      </c>
      <c r="PW78" s="1" t="n">
        <f aca="false">PU78-PV78</f>
        <v>0</v>
      </c>
      <c r="PX78" s="1" t="n">
        <f aca="false">IF(AND(HT78=0,AQ78=1,PW78&gt;0),MIN(PW78,AR78),0)</f>
        <v>0</v>
      </c>
      <c r="PY78" s="1" t="n">
        <f aca="false">PW78-PX78</f>
        <v>0</v>
      </c>
      <c r="PZ78" s="1" t="n">
        <f aca="false">IF(AND(HT78=0,AG78=1,PY78&gt;0),MIN(PY78,AH78),0)</f>
        <v>0</v>
      </c>
      <c r="QA78" s="1" t="n">
        <f aca="false">PY78-PZ78</f>
        <v>0</v>
      </c>
      <c r="QB78" s="1" t="n">
        <f aca="false">IF(AND(HT78=0,V78=1,QA78&gt;0),MIN(QA78,W78),0)</f>
        <v>0</v>
      </c>
      <c r="QC78" s="1" t="n">
        <f aca="false">QA78-QB78</f>
        <v>0</v>
      </c>
      <c r="QD78" s="1" t="n">
        <f aca="false">IF(HT78=0,QC78,0)</f>
        <v>0</v>
      </c>
      <c r="QE78" s="1" t="n">
        <f aca="false">OL78+ON78+QB78+PZ78+PX78+PV78+PT78+PR78+PP78+PN78+PL78+PJ78+PH78+PF78+PD78+PB78+OZ78+OX78+OV78+OT78+OR78+OP78</f>
        <v>0</v>
      </c>
      <c r="QF78" s="1" t="n">
        <f aca="false">IF(HT78=1,HJ78+OI78+OH78+IF(F78=1,0,OJ78),HJ78-OL78)</f>
        <v>247238.712544557</v>
      </c>
      <c r="QG78" s="1" t="n">
        <f aca="false">HK78-ON78</f>
        <v>0</v>
      </c>
      <c r="QH78" s="1" t="n">
        <f aca="false">IF(HT78=1,IF(F78=1,IC78+ID78,HR78),0)</f>
        <v>49798.0194856992</v>
      </c>
      <c r="QI78" s="1" t="n">
        <f aca="false">IF(HT78=1,IF(F78=1,HR78-IC78-ID78,0),0)</f>
        <v>0</v>
      </c>
      <c r="QJ78" s="1" t="n">
        <f aca="false">QF78*(1+GR)</f>
        <v>251293.427430288</v>
      </c>
      <c r="QK78" s="1" t="n">
        <f aca="false">QG78*(1+AS_Cash)</f>
        <v>0</v>
      </c>
      <c r="QL78" s="1" t="n">
        <f aca="false">IF(V78=1,IF(HT78=1,IH78+IK78,W78-QB78)*(1+Slot1_Rate),0)</f>
        <v>0</v>
      </c>
      <c r="QM78" s="1" t="n">
        <f aca="false">IF(AND(HT78=1,V78=1),(IG78+IK78)/E78,0)</f>
        <v>0</v>
      </c>
      <c r="QN78" s="1" t="n">
        <f aca="false">IF(B78=0,IG78+IK78,0)</f>
        <v>0</v>
      </c>
      <c r="QO78" s="1" t="n">
        <f aca="false">IF(B78=0,IF(HT78=1,II78,IJ78),0)</f>
        <v>0</v>
      </c>
      <c r="QP78" s="1" t="n">
        <f aca="false">IF(AG78=1,IF(HT78=1,IP78+IS78,AH78-PZ78)*(1+Slot2_Rate),0)</f>
        <v>0</v>
      </c>
      <c r="QQ78" s="1" t="n">
        <f aca="false">IF(AND(HT78=1,AG78=1),(IO78+IS78)/E78,0)</f>
        <v>0</v>
      </c>
      <c r="QR78" s="1" t="n">
        <f aca="false">IF(B78=0,IO78+IS78,0)</f>
        <v>0</v>
      </c>
      <c r="QS78" s="1" t="n">
        <f aca="false">IF(B78=0,IF(HT78=1,IQ78,IR78),0)</f>
        <v>0</v>
      </c>
      <c r="QT78" s="1" t="n">
        <f aca="false">IF(AQ78=1,IF(HT78=1,IX78+JA78,AR78-PX78)*(1+Slot3_Rate),0)</f>
        <v>0</v>
      </c>
      <c r="QU78" s="1" t="n">
        <f aca="false">IF(AND(HT78=1,AQ78=1),(IW78+JA78)/E78,0)</f>
        <v>0</v>
      </c>
      <c r="QV78" s="1" t="n">
        <f aca="false">IF(B78=0,IW78+JA78,0)</f>
        <v>0</v>
      </c>
      <c r="QW78" s="1" t="n">
        <f aca="false">IF(B78=0,IF(HT78=1,IY78,IZ78),0)</f>
        <v>0</v>
      </c>
      <c r="QX78" s="1" t="n">
        <f aca="false">IF(BA78=1,IF(HT78=1,JF78+JI78,BB78-PV78)*(1+Slot4_Rate),0)</f>
        <v>0</v>
      </c>
      <c r="QY78" s="1" t="n">
        <f aca="false">IF(AND(HT78=1,BA78=1),(JE78+JI78)/E78,0)</f>
        <v>0</v>
      </c>
      <c r="QZ78" s="1" t="n">
        <f aca="false">IF(B78=0,JE78+JI78,0)</f>
        <v>0</v>
      </c>
      <c r="RA78" s="1" t="n">
        <f aca="false">IF(B78=0,IF(HT78=1,JG78,JH78),0)</f>
        <v>0</v>
      </c>
      <c r="RB78" s="1" t="n">
        <f aca="false">IF(BK78=1,IF(HT78=1,JN78+JQ78,BL78-PT78)*(1+Slot5_Rate),0)</f>
        <v>0</v>
      </c>
      <c r="RC78" s="1" t="n">
        <f aca="false">IF(AND(HT78=1,BK78=1),(JM78+JQ78)/E78,0)</f>
        <v>0</v>
      </c>
      <c r="RD78" s="1" t="n">
        <f aca="false">IF(B78=0,JM78+JQ78,0)</f>
        <v>0</v>
      </c>
      <c r="RE78" s="1" t="n">
        <f aca="false">IF(B78=0,IF(HT78=1,JO78,JP78),0)</f>
        <v>0</v>
      </c>
      <c r="RF78" s="1" t="n">
        <f aca="false">IF(BU78=1,IF(HT78=1,JV78+JY78,BV78-PR78)*(1+Slot6_Rate),0)</f>
        <v>0</v>
      </c>
      <c r="RG78" s="1" t="n">
        <f aca="false">IF(AND(HT78=1,BU78=1),(JU78+JY78)/E78,0)</f>
        <v>0</v>
      </c>
      <c r="RH78" s="1" t="n">
        <f aca="false">IF(B78=0,JU78+JY78,0)</f>
        <v>0</v>
      </c>
      <c r="RI78" s="1" t="n">
        <f aca="false">IF(B78=0,IF(HT78=1,JW78,JX78),0)</f>
        <v>0</v>
      </c>
      <c r="RJ78" s="1" t="n">
        <f aca="false">IF(CE78=1,IF(HT78=1,KD78+KG78,CF78-PP78)*(1+Slot7_Rate),0)</f>
        <v>0</v>
      </c>
      <c r="RK78" s="1" t="n">
        <f aca="false">IF(AND(HT78=1,CE78=1),(KC78+KG78)/E78,0)</f>
        <v>0</v>
      </c>
      <c r="RL78" s="1" t="n">
        <f aca="false">IF(B78=0,KC78+KG78,0)</f>
        <v>0</v>
      </c>
      <c r="RM78" s="1" t="n">
        <f aca="false">IF(B78=0,IF(HT78=1,KE78,KF78),0)</f>
        <v>0</v>
      </c>
      <c r="RN78" s="1" t="n">
        <f aca="false">IF(CO78=1,IF(HT78=1,KL78+KO78,CP78-PN78)*(1+Slot8_Rate),0)</f>
        <v>0</v>
      </c>
      <c r="RO78" s="1" t="n">
        <f aca="false">IF(AND(HT78=1,CO78=1),(KK78+KO78)/E78,0)</f>
        <v>0</v>
      </c>
      <c r="RP78" s="1" t="n">
        <f aca="false">IF(B78=0,KK78+KO78,0)</f>
        <v>0</v>
      </c>
      <c r="RQ78" s="1" t="n">
        <f aca="false">IF(B78=0,IF(HT78=1,KM78,KN78),0)</f>
        <v>0</v>
      </c>
      <c r="RR78" s="1" t="n">
        <f aca="false">IF(CY78=1,IF(HT78=1,KT78+KW78,CZ78-PL78)*(1+Slot9_Rate),0)</f>
        <v>0</v>
      </c>
      <c r="RS78" s="1" t="n">
        <f aca="false">IF(AND(HT78=1,CY78=1),(KS78+KW78)/E78,0)</f>
        <v>0</v>
      </c>
      <c r="RT78" s="1" t="n">
        <f aca="false">IF(B78=0,KS78+KW78,0)</f>
        <v>0</v>
      </c>
      <c r="RU78" s="1" t="n">
        <f aca="false">IF(B78=0,IF(HT78=1,KU78,KV78),0)</f>
        <v>0</v>
      </c>
      <c r="RV78" s="1" t="n">
        <f aca="false">IF(DI78=1,IF(HT78=1,LB78+LE78,DJ78-PJ78)*(1+Slot10_Rate),0)</f>
        <v>0</v>
      </c>
      <c r="RW78" s="1" t="n">
        <f aca="false">IF(AND(HT78=1,DI78=1),(LA78+LE78)/E78,0)</f>
        <v>0</v>
      </c>
      <c r="RX78" s="1" t="n">
        <f aca="false">IF(B78=0,LA78+LE78,0)</f>
        <v>0</v>
      </c>
      <c r="RY78" s="1" t="n">
        <f aca="false">IF(B78=0,IF(HT78=1,LC78,LD78),0)</f>
        <v>0</v>
      </c>
      <c r="RZ78" s="1" t="n">
        <f aca="false">IF(DS78=1,IF(HT78=1,LJ78+LM78,DT78-PH78)*(1+Slot11_Rate),0)</f>
        <v>0</v>
      </c>
      <c r="SA78" s="1" t="n">
        <f aca="false">IF(AND(HT78=1,DS78=1),(LI78+LM78)/E78,0)</f>
        <v>0</v>
      </c>
      <c r="SB78" s="1" t="n">
        <f aca="false">IF(B78=0,LI78+LM78,0)</f>
        <v>0</v>
      </c>
      <c r="SC78" s="1" t="n">
        <f aca="false">IF(B78=0,IF(HT78=1,LK78,LL78),0)</f>
        <v>0</v>
      </c>
      <c r="SD78" s="1" t="n">
        <f aca="false">IF(EC78=1,IF(HT78=1,LR78+LU78,ED78-PF78)*(1+Slot12_Rate),0)</f>
        <v>0</v>
      </c>
      <c r="SE78" s="1" t="n">
        <f aca="false">IF(AND(HT78=1,EC78=1),(LQ78+LU78)/E78,0)</f>
        <v>0</v>
      </c>
      <c r="SF78" s="1" t="n">
        <f aca="false">IF(B78=0,LQ78+LU78,0)</f>
        <v>0</v>
      </c>
      <c r="SG78" s="1" t="n">
        <f aca="false">IF(B78=0,IF(HT78=1,LS78,LT78),0)</f>
        <v>0</v>
      </c>
      <c r="SH78" s="1" t="n">
        <f aca="false">IF(EM78=1,IF(HT78=1,LZ78+MC78,EN78-PD78)*(1+Slot13_Rate),0)</f>
        <v>0</v>
      </c>
      <c r="SI78" s="1" t="n">
        <f aca="false">IF(AND(HT78=1,EM78=1),(LY78+MC78)/E78,0)</f>
        <v>0</v>
      </c>
      <c r="SJ78" s="1" t="n">
        <f aca="false">IF(B78=0,LY78+MC78,0)</f>
        <v>0</v>
      </c>
      <c r="SK78" s="1" t="n">
        <f aca="false">IF(B78=0,IF(HT78=1,MA78,MB78),0)</f>
        <v>0</v>
      </c>
      <c r="SL78" s="1" t="n">
        <f aca="false">IF(EW78=1,IF(HT78=1,MH78+MK78,EX78-PB78)*(1+Slot14_Rate),0)</f>
        <v>0</v>
      </c>
      <c r="SM78" s="1" t="n">
        <f aca="false">IF(AND(HT78=1,EW78=1),(MG78+MK78)/E78,0)</f>
        <v>0</v>
      </c>
      <c r="SN78" s="1" t="n">
        <f aca="false">IF(B78=0,MG78+MK78,0)</f>
        <v>0</v>
      </c>
      <c r="SO78" s="1" t="n">
        <f aca="false">IF(B78=0,IF(HT78=1,MI78,MJ78),0)</f>
        <v>0</v>
      </c>
      <c r="SP78" s="1" t="n">
        <f aca="false">IF(FG78=1,IF(HT78=1,MP78+MS78,FH78-OZ78)*(1+Slot15_Rate),0)</f>
        <v>0</v>
      </c>
      <c r="SQ78" s="1" t="n">
        <f aca="false">IF(AND(HT78=1,FG78=1),(MO78+MS78)/E78,0)</f>
        <v>0</v>
      </c>
      <c r="SR78" s="1" t="n">
        <f aca="false">IF(B78=0,MO78+MS78,0)</f>
        <v>0</v>
      </c>
      <c r="SS78" s="1" t="n">
        <f aca="false">IF(B78=0,IF(HT78=1,MQ78,MR78),0)</f>
        <v>0</v>
      </c>
      <c r="ST78" s="1" t="n">
        <f aca="false">IF(FQ78=1,IF(HT78=1,MX78+NA78,FR78-OX78)*(1+Slot16_Rate),0)</f>
        <v>0</v>
      </c>
      <c r="SU78" s="1" t="n">
        <f aca="false">IF(AND(HT78=1,FQ78=1),(MW78+NA78)/E78,0)</f>
        <v>0</v>
      </c>
      <c r="SV78" s="1" t="n">
        <f aca="false">IF(B78=0,MW78+NA78,0)</f>
        <v>0</v>
      </c>
      <c r="SW78" s="1" t="n">
        <f aca="false">IF(B78=0,IF(HT78=1,MY78,MZ78),0)</f>
        <v>0</v>
      </c>
      <c r="SX78" s="1" t="n">
        <f aca="false">IF(GA78=1,IF(HT78=1,NF78+NI78,GB78-OV78)*(1+Slot17_Rate),0)</f>
        <v>0</v>
      </c>
      <c r="SY78" s="1" t="n">
        <f aca="false">IF(AND(HT78=1,GA78=1),(NE78+NI78)/E78,0)</f>
        <v>0</v>
      </c>
      <c r="SZ78" s="1" t="n">
        <f aca="false">IF(B78=0,NE78+NI78,0)</f>
        <v>0</v>
      </c>
      <c r="TA78" s="1" t="n">
        <f aca="false">IF(B78=0,IF(HT78=1,NG78,NH78),0)</f>
        <v>0</v>
      </c>
      <c r="TB78" s="1" t="n">
        <f aca="false">IF(GK78=1,IF(HT78=1,NN78+NQ78,GL78-OT78)*(1+Slot18_Rate),0)</f>
        <v>0</v>
      </c>
      <c r="TC78" s="1" t="n">
        <f aca="false">IF(AND(HT78=1,GK78=1),(NM78+NQ78)/E78,0)</f>
        <v>0</v>
      </c>
      <c r="TD78" s="1" t="n">
        <f aca="false">IF(B78=0,NM78+NQ78,0)</f>
        <v>0</v>
      </c>
      <c r="TE78" s="1" t="n">
        <f aca="false">IF(B78=0,IF(HT78=1,NO78,NP78),0)</f>
        <v>0</v>
      </c>
      <c r="TF78" s="1" t="n">
        <f aca="false">IF(GU78=1,IF(HT78=1,NV78+NY78,GV78-OR78)*(1+Slot19_Rate),0)</f>
        <v>0</v>
      </c>
      <c r="TG78" s="1" t="n">
        <f aca="false">IF(AND(HT78=1,GU78=1),(NU78+NY78)/E78,0)</f>
        <v>0</v>
      </c>
      <c r="TH78" s="1" t="n">
        <f aca="false">IF(B78=0,NU78+NY78,0)</f>
        <v>0</v>
      </c>
      <c r="TI78" s="1" t="n">
        <f aca="false">IF(B78=0,IF(HT78=1,NW78,NX78),0)</f>
        <v>0</v>
      </c>
      <c r="TJ78" s="1" t="n">
        <f aca="false">IF(HE78=1,IF(HT78=1,OD78+OG78,HF78-OP78)*(1+Slot20_Rate),0)</f>
        <v>0</v>
      </c>
      <c r="TK78" s="1" t="n">
        <f aca="false">IF(AND(HT78=1,HE78=1),(OC78+OG78)/E78,0)</f>
        <v>0</v>
      </c>
      <c r="TL78" s="1" t="n">
        <f aca="false">IF(B78=0,OC78+OG78,0)</f>
        <v>0</v>
      </c>
      <c r="TM78" s="1" t="n">
        <f aca="false">IF(B78=0,IF(HT78=1,OE78,OF78),0)</f>
        <v>0</v>
      </c>
      <c r="TN78" s="1" t="n">
        <f aca="false">QJ78+QK78+QL78+QP78+QT78+QX78+RB78+RF78+RJ78+RN78+RR78+RV78+RZ78+SD78+SH78+SL78+SP78+ST78+SX78+TB78+TF78+TJ78</f>
        <v>251293.427430288</v>
      </c>
      <c r="TO78" s="1" t="n">
        <f aca="false">QD78+HO78</f>
        <v>0</v>
      </c>
      <c r="TP78" s="1" t="n">
        <f aca="false">H78+R78</f>
        <v>0</v>
      </c>
      <c r="TQ78" s="1" t="n">
        <f aca="false">1-F78</f>
        <v>1</v>
      </c>
      <c r="TR78" s="1" t="n">
        <f aca="false">IF(AND(RG_Exists=1,F78=0,C78=1),H78,0)</f>
        <v>0</v>
      </c>
      <c r="TS78" s="1" t="n">
        <f aca="false">IF(AND(RG_Exists=1,F78=0,C78=1),H78-MIN(QD78,H78),0)</f>
        <v>0</v>
      </c>
      <c r="TT78" s="1" t="n">
        <f aca="false">'Plan pay &amp; tax'!AD304</f>
        <v>0</v>
      </c>
      <c r="TU78" s="1" t="n">
        <f aca="false">IF(AND(C78=1,QD78&gt;MAX(PR_Short1,TP78*PR_Short2)),1,0)</f>
        <v>0</v>
      </c>
      <c r="TV78" s="1" t="n">
        <f aca="false">MIN(G78,H78+R78)</f>
        <v>0</v>
      </c>
      <c r="TW78" s="1" t="n">
        <f aca="false">QE78+MAX(0,HP78-HO78)</f>
        <v>0</v>
      </c>
      <c r="TX78" s="1" t="n">
        <f aca="false">QD78+HO78</f>
        <v>0</v>
      </c>
      <c r="TY78" s="1" t="n">
        <f aca="false">IF(AND(C78=1,TX78&gt;PR_MinShort),1,0)</f>
        <v>0</v>
      </c>
      <c r="TZ78" s="1" t="n">
        <f aca="false">IF(AND(C78=1,TY78=0,TW78&gt;PR_MinShort),1,0)</f>
        <v>0</v>
      </c>
      <c r="UA78" s="1" t="n">
        <f aca="false">IF(AND(C78=1,QD78&gt;PR_MinShort),1,0)</f>
        <v>0</v>
      </c>
      <c r="UB78" s="1" t="n">
        <f aca="false">IF(AND(C78=1,QE78&gt;1,UI78=0),1,0)</f>
        <v>0</v>
      </c>
      <c r="UC78" s="1" t="str">
        <f aca="false">IF(C78=0,"",IF(UI78=1,"Gap to plan for: short "&amp;"€"&amp;TEXT(ROUND(TO78,0),"#,##0"),IF(QE78&gt;1,"Using savings","Comfortable")))</f>
        <v>Comfortable</v>
      </c>
      <c r="UD78" s="1" t="n">
        <f aca="false">IF(AND(INT(D78/10)*10=90,B78&gt;0),80,INT(D78/10)*10)</f>
        <v>70</v>
      </c>
      <c r="UE78" s="1" t="n">
        <f aca="false">IF(B78=0,1,IF(UD78&lt;&gt;UD77,UE77+1,UE77))</f>
        <v>8</v>
      </c>
      <c r="UF78" s="1" t="n">
        <f aca="false">IF(AND(C78=1,F78=1,QD78&gt;MAX(PR_Short1,TP78*PR_Short2)),1,0)</f>
        <v>0</v>
      </c>
      <c r="UG78" s="1" t="n">
        <f aca="false">TQ78*TU78</f>
        <v>0</v>
      </c>
      <c r="UH78" s="1" t="n">
        <f aca="false">IF(AND(U78=1,Slot1_PctLow=1),1,0)+IF(AND(AF78=1,Slot2_PctLow=1),1,0)+IF(AND(AP78=1,Slot3_PctLow=1),1,0)+IF(AND(AZ78=1,Slot4_PctLow=1),1,0)+IF(AND(BJ78=1,Slot5_PctLow=1),1,0)+IF(AND(BT78=1,Slot6_PctLow=1),1,0)+IF(AND(CD78=1,Slot7_PctLow=1),1,0)+IF(AND(CN78=1,Slot8_PctLow=1),1,0)+IF(AND(CX78=1,Slot9_PctLow=1),1,0)+IF(AND(DH78=1,Slot10_PctLow=1),1,0)+IF(AND(DR78=1,Slot11_PctLow=1),1,0)+IF(AND(EB78=1,Slot12_PctLow=1),1,0)+IF(AND(EL78=1,Slot13_PctLow=1),1,0)+IF(AND(EV78=1,Slot14_PctLow=1),1,0)+IF(AND(FF78=1,Slot15_PctLow=1),1,0)+IF(AND(FP78=1,Slot16_PctLow=1),1,0)+IF(AND(FZ78=1,Slot17_PctLow=1),1,0)+IF(AND(GJ78=1,Slot18_PctLow=1),1,0)+IF(AND(GT78=1,Slot19_PctLow=1),1,0)+IF(AND(HD78=1,Slot20_PctLow=1),1,0)</f>
        <v>0</v>
      </c>
      <c r="UI78" s="1" t="n">
        <f aca="false">IF(C78=1,IF(OR(TU78=1,UH78&gt;0),1,0),0)</f>
        <v>0</v>
      </c>
    </row>
    <row r="79" customFormat="false" ht="15" hidden="false" customHeight="true" outlineLevel="0" collapsed="false">
      <c r="B79" s="1" t="n">
        <v>71</v>
      </c>
      <c r="C79" s="1" t="n">
        <f aca="false">IF(B79&lt;=F_N,1,0)</f>
        <v>1</v>
      </c>
      <c r="D79" s="1" t="n">
        <f aca="false">'Plan pay &amp; tax'!C305</f>
        <v>71</v>
      </c>
      <c r="E79" s="111" t="n">
        <f aca="false">'Plan pay &amp; tax'!E305</f>
        <v>4.07954938730541</v>
      </c>
      <c r="F79" s="1" t="n">
        <f aca="false">'Plan pay &amp; tax'!G305</f>
        <v>0</v>
      </c>
      <c r="G79" s="1" t="n">
        <f aca="false">'Plan pay &amp; tax'!BT305-'Plan pay &amp; tax'!BS305-'Plan pay &amp; tax'!R305</f>
        <v>50793.9798754132</v>
      </c>
      <c r="H79" s="1" t="n">
        <f aca="false">IF(F79=1,F_CostsM*12,IF(RG_Exists=1,RG_Amount,F_CostsM*12*AS_RetireSpend))*E79+F_OneOffY*E79</f>
        <v>0</v>
      </c>
      <c r="I79" s="1" t="n">
        <f aca="false">HQ78</f>
        <v>0</v>
      </c>
      <c r="J79" s="1" t="n">
        <f aca="false">IF(I79&gt;1,'Plan debt months'!AC79,0)</f>
        <v>0</v>
      </c>
      <c r="K79" s="1" t="n">
        <f aca="false">IF(I79&gt;1,'Plan debt months'!AB79,I79)</f>
        <v>0</v>
      </c>
      <c r="L79" s="1" t="n">
        <f aca="false">N78</f>
        <v>0</v>
      </c>
      <c r="M79" s="1" t="n">
        <f aca="false">IF(L79&gt;1,'Plan debt months'!BD79,0)</f>
        <v>0</v>
      </c>
      <c r="N79" s="1" t="n">
        <f aca="false">IF(L79&gt;1,'Plan debt months'!BC79,L79)</f>
        <v>0</v>
      </c>
      <c r="O79" s="1" t="n">
        <f aca="false">Q78</f>
        <v>0</v>
      </c>
      <c r="P79" s="1" t="n">
        <f aca="false">IF(O79&gt;1,'Plan debt months'!CE79,0)</f>
        <v>0</v>
      </c>
      <c r="Q79" s="1" t="n">
        <f aca="false">IF(O79&gt;1,'Plan debt months'!CD79,O79)</f>
        <v>0</v>
      </c>
      <c r="R79" s="1" t="n">
        <f aca="false">J79+M79+P79</f>
        <v>0</v>
      </c>
      <c r="S79" s="1" t="n">
        <f aca="false">QJ78+'Plan pay &amp; tax'!Y305</f>
        <v>251293.427430288</v>
      </c>
      <c r="T79" s="1" t="n">
        <f aca="false">QJ78</f>
        <v>251293.427430288</v>
      </c>
      <c r="U79" s="1" t="n">
        <f aca="false">IF(AND(Slot1_On=1,D79=Slot1_Age),1,0)</f>
        <v>0</v>
      </c>
      <c r="V79" s="1" t="n">
        <f aca="false">IF(AND(Slot1_On=1,Slot1_Age&gt;D79),1,0)</f>
        <v>0</v>
      </c>
      <c r="W79" s="1" t="n">
        <f aca="false">QL78</f>
        <v>0</v>
      </c>
      <c r="X79" s="1" t="n">
        <f aca="false">U79*MIN(Slot1_Cost,W79)</f>
        <v>0</v>
      </c>
      <c r="Y79" s="1" t="n">
        <f aca="false">U79*Slot1_SpendLike*MIN(Slot1_Cost-X79,S79)</f>
        <v>0</v>
      </c>
      <c r="Z79" s="1" t="n">
        <f aca="false">X79+Y79</f>
        <v>0</v>
      </c>
      <c r="AA79" s="1" t="n">
        <f aca="false">S79-Y79+U79*IF(Slot1_SpendLike=1,W79-X79,IF(Slot1_PotFree=1,W79,0))</f>
        <v>251293.427430288</v>
      </c>
      <c r="AB79" s="1" t="n">
        <f aca="false">AE79+U79*Slot1_BufPot*W79</f>
        <v>0</v>
      </c>
      <c r="AC79" s="1" t="n">
        <f aca="false">IF(AND(U79=1,Slot1_IsMfree=1),IF(Z79&gt;=Slot1_Cost-1,0,MAX(0,K79-Z79)),K79)</f>
        <v>0</v>
      </c>
      <c r="AD79" s="1" t="n">
        <f aca="false">U79*(Slot1_Cost-Z79)</f>
        <v>0</v>
      </c>
      <c r="AE79" s="1" t="n">
        <f aca="false">QK78</f>
        <v>0</v>
      </c>
      <c r="AF79" s="1" t="n">
        <f aca="false">IF(AND(Slot2_On=1,D79=Slot2_Age),1,0)</f>
        <v>0</v>
      </c>
      <c r="AG79" s="1" t="n">
        <f aca="false">IF(AND(Slot2_On=1,Slot2_Age&gt;D79),1,0)</f>
        <v>0</v>
      </c>
      <c r="AH79" s="1" t="n">
        <f aca="false">QP78</f>
        <v>0</v>
      </c>
      <c r="AI79" s="1" t="n">
        <f aca="false">AF79*MIN(Slot2_Cost,AH79)</f>
        <v>0</v>
      </c>
      <c r="AJ79" s="1" t="n">
        <f aca="false">AF79*Slot2_SpendLike*MIN(Slot2_Cost-AI79,AA79)</f>
        <v>0</v>
      </c>
      <c r="AK79" s="1" t="n">
        <f aca="false">AI79+AJ79</f>
        <v>0</v>
      </c>
      <c r="AL79" s="1" t="n">
        <f aca="false">AA79-AJ79+AF79*IF(Slot2_SpendLike=1,AH79-AI79,IF(Slot2_PotFree=1,AH79,0))</f>
        <v>251293.427430288</v>
      </c>
      <c r="AM79" s="1" t="n">
        <f aca="false">AB79+AF79*Slot2_BufPot*AH79</f>
        <v>0</v>
      </c>
      <c r="AN79" s="1" t="n">
        <f aca="false">IF(AND(AF79=1,Slot2_IsMfree=1),IF(AK79&gt;=Slot2_Cost-1,0,MAX(0,AC79-AK79)),AC79)</f>
        <v>0</v>
      </c>
      <c r="AO79" s="1" t="n">
        <f aca="false">AF79*(Slot2_Cost-AK79)</f>
        <v>0</v>
      </c>
      <c r="AP79" s="1" t="n">
        <f aca="false">IF(AND(Slot3_On=1,D79=Slot3_Age),1,0)</f>
        <v>0</v>
      </c>
      <c r="AQ79" s="1" t="n">
        <f aca="false">IF(AND(Slot3_On=1,Slot3_Age&gt;D79),1,0)</f>
        <v>0</v>
      </c>
      <c r="AR79" s="1" t="n">
        <f aca="false">QT78</f>
        <v>0</v>
      </c>
      <c r="AS79" s="1" t="n">
        <f aca="false">AP79*MIN(Slot3_Cost,AR79)</f>
        <v>0</v>
      </c>
      <c r="AT79" s="1" t="n">
        <f aca="false">AP79*Slot3_SpendLike*MIN(Slot3_Cost-AS79,AL79)</f>
        <v>0</v>
      </c>
      <c r="AU79" s="1" t="n">
        <f aca="false">AS79+AT79</f>
        <v>0</v>
      </c>
      <c r="AV79" s="1" t="n">
        <f aca="false">AL79-AT79+AP79*IF(Slot3_SpendLike=1,AR79-AS79,IF(Slot3_PotFree=1,AR79,0))</f>
        <v>251293.427430288</v>
      </c>
      <c r="AW79" s="1" t="n">
        <f aca="false">AM79+AP79*Slot3_BufPot*AR79</f>
        <v>0</v>
      </c>
      <c r="AX79" s="1" t="n">
        <f aca="false">IF(AND(AP79=1,Slot3_IsMfree=1),IF(AU79&gt;=Slot3_Cost-1,0,MAX(0,AN79-AU79)),AN79)</f>
        <v>0</v>
      </c>
      <c r="AY79" s="1" t="n">
        <f aca="false">AP79*(Slot3_Cost-AU79)</f>
        <v>0</v>
      </c>
      <c r="AZ79" s="1" t="n">
        <f aca="false">IF(AND(Slot4_On=1,D79=Slot4_Age),1,0)</f>
        <v>0</v>
      </c>
      <c r="BA79" s="1" t="n">
        <f aca="false">IF(AND(Slot4_On=1,Slot4_Age&gt;D79),1,0)</f>
        <v>0</v>
      </c>
      <c r="BB79" s="1" t="n">
        <f aca="false">QX78</f>
        <v>0</v>
      </c>
      <c r="BC79" s="1" t="n">
        <f aca="false">AZ79*MIN(Slot4_Cost,BB79)</f>
        <v>0</v>
      </c>
      <c r="BD79" s="1" t="n">
        <f aca="false">AZ79*Slot4_SpendLike*MIN(Slot4_Cost-BC79,AV79)</f>
        <v>0</v>
      </c>
      <c r="BE79" s="1" t="n">
        <f aca="false">BC79+BD79</f>
        <v>0</v>
      </c>
      <c r="BF79" s="1" t="n">
        <f aca="false">AV79-BD79+AZ79*IF(Slot4_SpendLike=1,BB79-BC79,IF(Slot4_PotFree=1,BB79,0))</f>
        <v>251293.427430288</v>
      </c>
      <c r="BG79" s="1" t="n">
        <f aca="false">AW79+AZ79*Slot4_BufPot*BB79</f>
        <v>0</v>
      </c>
      <c r="BH79" s="1" t="n">
        <f aca="false">IF(AND(AZ79=1,Slot4_IsMfree=1),IF(BE79&gt;=Slot4_Cost-1,0,MAX(0,AX79-BE79)),AX79)</f>
        <v>0</v>
      </c>
      <c r="BI79" s="1" t="n">
        <f aca="false">AZ79*(Slot4_Cost-BE79)</f>
        <v>0</v>
      </c>
      <c r="BJ79" s="1" t="n">
        <f aca="false">IF(AND(Slot5_On=1,D79=Slot5_Age),1,0)</f>
        <v>0</v>
      </c>
      <c r="BK79" s="1" t="n">
        <f aca="false">IF(AND(Slot5_On=1,Slot5_Age&gt;D79),1,0)</f>
        <v>0</v>
      </c>
      <c r="BL79" s="1" t="n">
        <f aca="false">RB78</f>
        <v>0</v>
      </c>
      <c r="BM79" s="1" t="n">
        <f aca="false">BJ79*MIN(Slot5_Cost,BL79)</f>
        <v>0</v>
      </c>
      <c r="BN79" s="1" t="n">
        <f aca="false">BJ79*Slot5_SpendLike*MIN(Slot5_Cost-BM79,BF79)</f>
        <v>0</v>
      </c>
      <c r="BO79" s="1" t="n">
        <f aca="false">BM79+BN79</f>
        <v>0</v>
      </c>
      <c r="BP79" s="1" t="n">
        <f aca="false">BF79-BN79+BJ79*IF(Slot5_SpendLike=1,BL79-BM79,IF(Slot5_PotFree=1,BL79,0))</f>
        <v>251293.427430288</v>
      </c>
      <c r="BQ79" s="1" t="n">
        <f aca="false">BG79+BJ79*Slot5_BufPot*BL79</f>
        <v>0</v>
      </c>
      <c r="BR79" s="1" t="n">
        <f aca="false">IF(AND(BJ79=1,Slot5_IsMfree=1),IF(BO79&gt;=Slot5_Cost-1,0,MAX(0,BH79-BO79)),BH79)</f>
        <v>0</v>
      </c>
      <c r="BS79" s="1" t="n">
        <f aca="false">BJ79*(Slot5_Cost-BO79)</f>
        <v>0</v>
      </c>
      <c r="BT79" s="1" t="n">
        <f aca="false">IF(AND(Slot6_On=1,D79=Slot6_Age),1,0)</f>
        <v>0</v>
      </c>
      <c r="BU79" s="1" t="n">
        <f aca="false">IF(AND(Slot6_On=1,Slot6_Age&gt;D79),1,0)</f>
        <v>0</v>
      </c>
      <c r="BV79" s="1" t="n">
        <f aca="false">RF78</f>
        <v>0</v>
      </c>
      <c r="BW79" s="1" t="n">
        <f aca="false">BT79*MIN(Slot6_Cost,BV79)</f>
        <v>0</v>
      </c>
      <c r="BX79" s="1" t="n">
        <f aca="false">BT79*Slot6_SpendLike*MIN(Slot6_Cost-BW79,BP79)</f>
        <v>0</v>
      </c>
      <c r="BY79" s="1" t="n">
        <f aca="false">BW79+BX79</f>
        <v>0</v>
      </c>
      <c r="BZ79" s="1" t="n">
        <f aca="false">BP79-BX79+BT79*IF(Slot6_SpendLike=1,BV79-BW79,IF(Slot6_PotFree=1,BV79,0))</f>
        <v>251293.427430288</v>
      </c>
      <c r="CA79" s="1" t="n">
        <f aca="false">BQ79+BT79*Slot6_BufPot*BV79</f>
        <v>0</v>
      </c>
      <c r="CB79" s="1" t="n">
        <f aca="false">IF(AND(BT79=1,Slot6_IsMfree=1),IF(BY79&gt;=Slot6_Cost-1,0,MAX(0,BR79-BY79)),BR79)</f>
        <v>0</v>
      </c>
      <c r="CC79" s="1" t="n">
        <f aca="false">BT79*(Slot6_Cost-BY79)</f>
        <v>0</v>
      </c>
      <c r="CD79" s="1" t="n">
        <f aca="false">IF(AND(Slot7_On=1,D79=Slot7_Age),1,0)</f>
        <v>0</v>
      </c>
      <c r="CE79" s="1" t="n">
        <f aca="false">IF(AND(Slot7_On=1,Slot7_Age&gt;D79),1,0)</f>
        <v>0</v>
      </c>
      <c r="CF79" s="1" t="n">
        <f aca="false">RJ78</f>
        <v>0</v>
      </c>
      <c r="CG79" s="1" t="n">
        <f aca="false">CD79*MIN(Slot7_Cost,CF79)</f>
        <v>0</v>
      </c>
      <c r="CH79" s="1" t="n">
        <f aca="false">CD79*Slot7_SpendLike*MIN(Slot7_Cost-CG79,BZ79)</f>
        <v>0</v>
      </c>
      <c r="CI79" s="1" t="n">
        <f aca="false">CG79+CH79</f>
        <v>0</v>
      </c>
      <c r="CJ79" s="1" t="n">
        <f aca="false">BZ79-CH79+CD79*IF(Slot7_SpendLike=1,CF79-CG79,IF(Slot7_PotFree=1,CF79,0))</f>
        <v>251293.427430288</v>
      </c>
      <c r="CK79" s="1" t="n">
        <f aca="false">CA79+CD79*Slot7_BufPot*CF79</f>
        <v>0</v>
      </c>
      <c r="CL79" s="1" t="n">
        <f aca="false">IF(AND(CD79=1,Slot7_IsMfree=1),IF(CI79&gt;=Slot7_Cost-1,0,MAX(0,CB79-CI79)),CB79)</f>
        <v>0</v>
      </c>
      <c r="CM79" s="1" t="n">
        <f aca="false">CD79*(Slot7_Cost-CI79)</f>
        <v>0</v>
      </c>
      <c r="CN79" s="1" t="n">
        <f aca="false">IF(AND(Slot8_On=1,D79=Slot8_Age),1,0)</f>
        <v>0</v>
      </c>
      <c r="CO79" s="1" t="n">
        <f aca="false">IF(AND(Slot8_On=1,Slot8_Age&gt;D79),1,0)</f>
        <v>0</v>
      </c>
      <c r="CP79" s="1" t="n">
        <f aca="false">RN78</f>
        <v>0</v>
      </c>
      <c r="CQ79" s="1" t="n">
        <f aca="false">CN79*MIN(Slot8_Cost,CP79)</f>
        <v>0</v>
      </c>
      <c r="CR79" s="1" t="n">
        <f aca="false">CN79*Slot8_SpendLike*MIN(Slot8_Cost-CQ79,CJ79)</f>
        <v>0</v>
      </c>
      <c r="CS79" s="1" t="n">
        <f aca="false">CQ79+CR79</f>
        <v>0</v>
      </c>
      <c r="CT79" s="1" t="n">
        <f aca="false">CJ79-CR79+CN79*IF(Slot8_SpendLike=1,CP79-CQ79,IF(Slot8_PotFree=1,CP79,0))</f>
        <v>251293.427430288</v>
      </c>
      <c r="CU79" s="1" t="n">
        <f aca="false">CK79+CN79*Slot8_BufPot*CP79</f>
        <v>0</v>
      </c>
      <c r="CV79" s="1" t="n">
        <f aca="false">IF(AND(CN79=1,Slot8_IsMfree=1),IF(CS79&gt;=Slot8_Cost-1,0,MAX(0,CL79-CS79)),CL79)</f>
        <v>0</v>
      </c>
      <c r="CW79" s="1" t="n">
        <f aca="false">CN79*(Slot8_Cost-CS79)</f>
        <v>0</v>
      </c>
      <c r="CX79" s="1" t="n">
        <f aca="false">IF(AND(Slot9_On=1,D79=Slot9_Age),1,0)</f>
        <v>0</v>
      </c>
      <c r="CY79" s="1" t="n">
        <f aca="false">IF(AND(Slot9_On=1,Slot9_Age&gt;D79),1,0)</f>
        <v>0</v>
      </c>
      <c r="CZ79" s="1" t="n">
        <f aca="false">RR78</f>
        <v>0</v>
      </c>
      <c r="DA79" s="1" t="n">
        <f aca="false">CX79*MIN(Slot9_Cost,CZ79)</f>
        <v>0</v>
      </c>
      <c r="DB79" s="1" t="n">
        <f aca="false">CX79*Slot9_SpendLike*MIN(Slot9_Cost-DA79,CT79)</f>
        <v>0</v>
      </c>
      <c r="DC79" s="1" t="n">
        <f aca="false">DA79+DB79</f>
        <v>0</v>
      </c>
      <c r="DD79" s="1" t="n">
        <f aca="false">CT79-DB79+CX79*IF(Slot9_SpendLike=1,CZ79-DA79,IF(Slot9_PotFree=1,CZ79,0))</f>
        <v>251293.427430288</v>
      </c>
      <c r="DE79" s="1" t="n">
        <f aca="false">CU79+CX79*Slot9_BufPot*CZ79</f>
        <v>0</v>
      </c>
      <c r="DF79" s="1" t="n">
        <f aca="false">IF(AND(CX79=1,Slot9_IsMfree=1),IF(DC79&gt;=Slot9_Cost-1,0,MAX(0,CV79-DC79)),CV79)</f>
        <v>0</v>
      </c>
      <c r="DG79" s="1" t="n">
        <f aca="false">CX79*(Slot9_Cost-DC79)</f>
        <v>0</v>
      </c>
      <c r="DH79" s="1" t="n">
        <f aca="false">IF(AND(Slot10_On=1,D79=Slot10_Age),1,0)</f>
        <v>0</v>
      </c>
      <c r="DI79" s="1" t="n">
        <f aca="false">IF(AND(Slot10_On=1,Slot10_Age&gt;D79),1,0)</f>
        <v>0</v>
      </c>
      <c r="DJ79" s="1" t="n">
        <f aca="false">RV78</f>
        <v>0</v>
      </c>
      <c r="DK79" s="1" t="n">
        <f aca="false">DH79*MIN(Slot10_Cost,DJ79)</f>
        <v>0</v>
      </c>
      <c r="DL79" s="1" t="n">
        <f aca="false">DH79*Slot10_SpendLike*MIN(Slot10_Cost-DK79,DD79)</f>
        <v>0</v>
      </c>
      <c r="DM79" s="1" t="n">
        <f aca="false">DK79+DL79</f>
        <v>0</v>
      </c>
      <c r="DN79" s="1" t="n">
        <f aca="false">DD79-DL79+DH79*IF(Slot10_SpendLike=1,DJ79-DK79,IF(Slot10_PotFree=1,DJ79,0))</f>
        <v>251293.427430288</v>
      </c>
      <c r="DO79" s="1" t="n">
        <f aca="false">DE79+DH79*Slot10_BufPot*DJ79</f>
        <v>0</v>
      </c>
      <c r="DP79" s="1" t="n">
        <f aca="false">IF(AND(DH79=1,Slot10_IsMfree=1),IF(DM79&gt;=Slot10_Cost-1,0,MAX(0,DF79-DM79)),DF79)</f>
        <v>0</v>
      </c>
      <c r="DQ79" s="1" t="n">
        <f aca="false">DH79*(Slot10_Cost-DM79)</f>
        <v>0</v>
      </c>
      <c r="DR79" s="1" t="n">
        <f aca="false">IF(AND(Slot11_On=1,D79=Slot11_Age),1,0)</f>
        <v>0</v>
      </c>
      <c r="DS79" s="1" t="n">
        <f aca="false">IF(AND(Slot11_On=1,Slot11_Age&gt;D79),1,0)</f>
        <v>0</v>
      </c>
      <c r="DT79" s="1" t="n">
        <f aca="false">RZ78</f>
        <v>0</v>
      </c>
      <c r="DU79" s="1" t="n">
        <f aca="false">DR79*MIN(Slot11_Cost,DT79)</f>
        <v>0</v>
      </c>
      <c r="DV79" s="1" t="n">
        <f aca="false">DR79*Slot11_SpendLike*MIN(Slot11_Cost-DU79,DN79)</f>
        <v>0</v>
      </c>
      <c r="DW79" s="1" t="n">
        <f aca="false">DU79+DV79</f>
        <v>0</v>
      </c>
      <c r="DX79" s="1" t="n">
        <f aca="false">DN79-DV79+DR79*IF(Slot11_SpendLike=1,DT79-DU79,IF(Slot11_PotFree=1,DT79,0))</f>
        <v>251293.427430288</v>
      </c>
      <c r="DY79" s="1" t="n">
        <f aca="false">DO79+DR79*Slot11_BufPot*DT79</f>
        <v>0</v>
      </c>
      <c r="DZ79" s="1" t="n">
        <f aca="false">IF(AND(DR79=1,Slot11_IsMfree=1),IF(DW79&gt;=Slot11_Cost-1,0,MAX(0,DP79-DW79)),DP79)</f>
        <v>0</v>
      </c>
      <c r="EA79" s="1" t="n">
        <f aca="false">DR79*(Slot11_Cost-DW79)</f>
        <v>0</v>
      </c>
      <c r="EB79" s="1" t="n">
        <f aca="false">IF(AND(Slot12_On=1,D79=Slot12_Age),1,0)</f>
        <v>0</v>
      </c>
      <c r="EC79" s="1" t="n">
        <f aca="false">IF(AND(Slot12_On=1,Slot12_Age&gt;D79),1,0)</f>
        <v>0</v>
      </c>
      <c r="ED79" s="1" t="n">
        <f aca="false">SD78</f>
        <v>0</v>
      </c>
      <c r="EE79" s="1" t="n">
        <f aca="false">EB79*MIN(Slot12_Cost,ED79)</f>
        <v>0</v>
      </c>
      <c r="EF79" s="1" t="n">
        <f aca="false">EB79*Slot12_SpendLike*MIN(Slot12_Cost-EE79,DX79)</f>
        <v>0</v>
      </c>
      <c r="EG79" s="1" t="n">
        <f aca="false">EE79+EF79</f>
        <v>0</v>
      </c>
      <c r="EH79" s="1" t="n">
        <f aca="false">DX79-EF79+EB79*IF(Slot12_SpendLike=1,ED79-EE79,IF(Slot12_PotFree=1,ED79,0))</f>
        <v>251293.427430288</v>
      </c>
      <c r="EI79" s="1" t="n">
        <f aca="false">DY79+EB79*Slot12_BufPot*ED79</f>
        <v>0</v>
      </c>
      <c r="EJ79" s="1" t="n">
        <f aca="false">IF(AND(EB79=1,Slot12_IsMfree=1),IF(EG79&gt;=Slot12_Cost-1,0,MAX(0,DZ79-EG79)),DZ79)</f>
        <v>0</v>
      </c>
      <c r="EK79" s="1" t="n">
        <f aca="false">EB79*(Slot12_Cost-EG79)</f>
        <v>0</v>
      </c>
      <c r="EL79" s="1" t="n">
        <f aca="false">IF(AND(Slot13_On=1,D79=Slot13_Age),1,0)</f>
        <v>0</v>
      </c>
      <c r="EM79" s="1" t="n">
        <f aca="false">IF(AND(Slot13_On=1,Slot13_Age&gt;D79),1,0)</f>
        <v>0</v>
      </c>
      <c r="EN79" s="1" t="n">
        <f aca="false">SH78</f>
        <v>0</v>
      </c>
      <c r="EO79" s="1" t="n">
        <f aca="false">EL79*MIN(Slot13_Cost,EN79)</f>
        <v>0</v>
      </c>
      <c r="EP79" s="1" t="n">
        <f aca="false">EL79*Slot13_SpendLike*MIN(Slot13_Cost-EO79,EH79)</f>
        <v>0</v>
      </c>
      <c r="EQ79" s="1" t="n">
        <f aca="false">EO79+EP79</f>
        <v>0</v>
      </c>
      <c r="ER79" s="1" t="n">
        <f aca="false">EH79-EP79+EL79*IF(Slot13_SpendLike=1,EN79-EO79,IF(Slot13_PotFree=1,EN79,0))</f>
        <v>251293.427430288</v>
      </c>
      <c r="ES79" s="1" t="n">
        <f aca="false">EI79+EL79*Slot13_BufPot*EN79</f>
        <v>0</v>
      </c>
      <c r="ET79" s="1" t="n">
        <f aca="false">IF(AND(EL79=1,Slot13_IsMfree=1),IF(EQ79&gt;=Slot13_Cost-1,0,MAX(0,EJ79-EQ79)),EJ79)</f>
        <v>0</v>
      </c>
      <c r="EU79" s="1" t="n">
        <f aca="false">EL79*(Slot13_Cost-EQ79)</f>
        <v>0</v>
      </c>
      <c r="EV79" s="1" t="n">
        <f aca="false">IF(AND(Slot14_On=1,D79=Slot14_Age),1,0)</f>
        <v>0</v>
      </c>
      <c r="EW79" s="1" t="n">
        <f aca="false">IF(AND(Slot14_On=1,Slot14_Age&gt;D79),1,0)</f>
        <v>0</v>
      </c>
      <c r="EX79" s="1" t="n">
        <f aca="false">SL78</f>
        <v>0</v>
      </c>
      <c r="EY79" s="1" t="n">
        <f aca="false">EV79*MIN(Slot14_Cost,EX79)</f>
        <v>0</v>
      </c>
      <c r="EZ79" s="1" t="n">
        <f aca="false">EV79*Slot14_SpendLike*MIN(Slot14_Cost-EY79,ER79)</f>
        <v>0</v>
      </c>
      <c r="FA79" s="1" t="n">
        <f aca="false">EY79+EZ79</f>
        <v>0</v>
      </c>
      <c r="FB79" s="1" t="n">
        <f aca="false">ER79-EZ79+EV79*IF(Slot14_SpendLike=1,EX79-EY79,IF(Slot14_PotFree=1,EX79,0))</f>
        <v>251293.427430288</v>
      </c>
      <c r="FC79" s="1" t="n">
        <f aca="false">ES79+EV79*Slot14_BufPot*EX79</f>
        <v>0</v>
      </c>
      <c r="FD79" s="1" t="n">
        <f aca="false">IF(AND(EV79=1,Slot14_IsMfree=1),IF(FA79&gt;=Slot14_Cost-1,0,MAX(0,ET79-FA79)),ET79)</f>
        <v>0</v>
      </c>
      <c r="FE79" s="1" t="n">
        <f aca="false">EV79*(Slot14_Cost-FA79)</f>
        <v>0</v>
      </c>
      <c r="FF79" s="1" t="n">
        <f aca="false">IF(AND(Slot15_On=1,D79=Slot15_Age),1,0)</f>
        <v>0</v>
      </c>
      <c r="FG79" s="1" t="n">
        <f aca="false">IF(AND(Slot15_On=1,Slot15_Age&gt;D79),1,0)</f>
        <v>0</v>
      </c>
      <c r="FH79" s="1" t="n">
        <f aca="false">SP78</f>
        <v>0</v>
      </c>
      <c r="FI79" s="1" t="n">
        <f aca="false">FF79*MIN(Slot15_Cost,FH79)</f>
        <v>0</v>
      </c>
      <c r="FJ79" s="1" t="n">
        <f aca="false">FF79*Slot15_SpendLike*MIN(Slot15_Cost-FI79,FB79)</f>
        <v>0</v>
      </c>
      <c r="FK79" s="1" t="n">
        <f aca="false">FI79+FJ79</f>
        <v>0</v>
      </c>
      <c r="FL79" s="1" t="n">
        <f aca="false">FB79-FJ79+FF79*IF(Slot15_SpendLike=1,FH79-FI79,IF(Slot15_PotFree=1,FH79,0))</f>
        <v>251293.427430288</v>
      </c>
      <c r="FM79" s="1" t="n">
        <f aca="false">FC79+FF79*Slot15_BufPot*FH79</f>
        <v>0</v>
      </c>
      <c r="FN79" s="1" t="n">
        <f aca="false">IF(AND(FF79=1,Slot15_IsMfree=1),IF(FK79&gt;=Slot15_Cost-1,0,MAX(0,FD79-FK79)),FD79)</f>
        <v>0</v>
      </c>
      <c r="FO79" s="1" t="n">
        <f aca="false">FF79*(Slot15_Cost-FK79)</f>
        <v>0</v>
      </c>
      <c r="FP79" s="1" t="n">
        <f aca="false">IF(AND(Slot16_On=1,D79=Slot16_Age),1,0)</f>
        <v>0</v>
      </c>
      <c r="FQ79" s="1" t="n">
        <f aca="false">IF(AND(Slot16_On=1,Slot16_Age&gt;D79),1,0)</f>
        <v>0</v>
      </c>
      <c r="FR79" s="1" t="n">
        <f aca="false">ST78</f>
        <v>0</v>
      </c>
      <c r="FS79" s="1" t="n">
        <f aca="false">FP79*MIN(Slot16_Cost,FR79)</f>
        <v>0</v>
      </c>
      <c r="FT79" s="1" t="n">
        <f aca="false">FP79*Slot16_SpendLike*MIN(Slot16_Cost-FS79,FL79)</f>
        <v>0</v>
      </c>
      <c r="FU79" s="1" t="n">
        <f aca="false">FS79+FT79</f>
        <v>0</v>
      </c>
      <c r="FV79" s="1" t="n">
        <f aca="false">FL79-FT79+FP79*IF(Slot16_SpendLike=1,FR79-FS79,IF(Slot16_PotFree=1,FR79,0))</f>
        <v>251293.427430288</v>
      </c>
      <c r="FW79" s="1" t="n">
        <f aca="false">FM79+FP79*Slot16_BufPot*FR79</f>
        <v>0</v>
      </c>
      <c r="FX79" s="1" t="n">
        <f aca="false">IF(AND(FP79=1,Slot16_IsMfree=1),IF(FU79&gt;=Slot16_Cost-1,0,MAX(0,FN79-FU79)),FN79)</f>
        <v>0</v>
      </c>
      <c r="FY79" s="1" t="n">
        <f aca="false">FP79*(Slot16_Cost-FU79)</f>
        <v>0</v>
      </c>
      <c r="FZ79" s="1" t="n">
        <f aca="false">IF(AND(Slot17_On=1,D79=Slot17_Age),1,0)</f>
        <v>0</v>
      </c>
      <c r="GA79" s="1" t="n">
        <f aca="false">IF(AND(Slot17_On=1,Slot17_Age&gt;D79),1,0)</f>
        <v>0</v>
      </c>
      <c r="GB79" s="1" t="n">
        <f aca="false">SX78</f>
        <v>0</v>
      </c>
      <c r="GC79" s="1" t="n">
        <f aca="false">FZ79*MIN(Slot17_Cost,GB79)</f>
        <v>0</v>
      </c>
      <c r="GD79" s="1" t="n">
        <f aca="false">FZ79*Slot17_SpendLike*MIN(Slot17_Cost-GC79,FV79)</f>
        <v>0</v>
      </c>
      <c r="GE79" s="1" t="n">
        <f aca="false">GC79+GD79</f>
        <v>0</v>
      </c>
      <c r="GF79" s="1" t="n">
        <f aca="false">FV79-GD79+FZ79*IF(Slot17_SpendLike=1,GB79-GC79,IF(Slot17_PotFree=1,GB79,0))</f>
        <v>251293.427430288</v>
      </c>
      <c r="GG79" s="1" t="n">
        <f aca="false">FW79+FZ79*Slot17_BufPot*GB79</f>
        <v>0</v>
      </c>
      <c r="GH79" s="1" t="n">
        <f aca="false">IF(AND(FZ79=1,Slot17_IsMfree=1),IF(GE79&gt;=Slot17_Cost-1,0,MAX(0,FX79-GE79)),FX79)</f>
        <v>0</v>
      </c>
      <c r="GI79" s="1" t="n">
        <f aca="false">FZ79*(Slot17_Cost-GE79)</f>
        <v>0</v>
      </c>
      <c r="GJ79" s="1" t="n">
        <f aca="false">IF(AND(Slot18_On=1,D79=Slot18_Age),1,0)</f>
        <v>0</v>
      </c>
      <c r="GK79" s="1" t="n">
        <f aca="false">IF(AND(Slot18_On=1,Slot18_Age&gt;D79),1,0)</f>
        <v>0</v>
      </c>
      <c r="GL79" s="1" t="n">
        <f aca="false">TB78</f>
        <v>0</v>
      </c>
      <c r="GM79" s="1" t="n">
        <f aca="false">GJ79*MIN(Slot18_Cost,GL79)</f>
        <v>0</v>
      </c>
      <c r="GN79" s="1" t="n">
        <f aca="false">GJ79*Slot18_SpendLike*MIN(Slot18_Cost-GM79,GF79)</f>
        <v>0</v>
      </c>
      <c r="GO79" s="1" t="n">
        <f aca="false">GM79+GN79</f>
        <v>0</v>
      </c>
      <c r="GP79" s="1" t="n">
        <f aca="false">GF79-GN79+GJ79*IF(Slot18_SpendLike=1,GL79-GM79,IF(Slot18_PotFree=1,GL79,0))</f>
        <v>251293.427430288</v>
      </c>
      <c r="GQ79" s="1" t="n">
        <f aca="false">GG79+GJ79*Slot18_BufPot*GL79</f>
        <v>0</v>
      </c>
      <c r="GR79" s="1" t="n">
        <f aca="false">IF(AND(GJ79=1,Slot18_IsMfree=1),IF(GO79&gt;=Slot18_Cost-1,0,MAX(0,GH79-GO79)),GH79)</f>
        <v>0</v>
      </c>
      <c r="GS79" s="1" t="n">
        <f aca="false">GJ79*(Slot18_Cost-GO79)</f>
        <v>0</v>
      </c>
      <c r="GT79" s="1" t="n">
        <f aca="false">IF(AND(Slot19_On=1,D79=Slot19_Age),1,0)</f>
        <v>0</v>
      </c>
      <c r="GU79" s="1" t="n">
        <f aca="false">IF(AND(Slot19_On=1,Slot19_Age&gt;D79),1,0)</f>
        <v>0</v>
      </c>
      <c r="GV79" s="1" t="n">
        <f aca="false">TF78</f>
        <v>0</v>
      </c>
      <c r="GW79" s="1" t="n">
        <f aca="false">GT79*MIN(Slot19_Cost,GV79)</f>
        <v>0</v>
      </c>
      <c r="GX79" s="1" t="n">
        <f aca="false">GT79*Slot19_SpendLike*MIN(Slot19_Cost-GW79,GP79)</f>
        <v>0</v>
      </c>
      <c r="GY79" s="1" t="n">
        <f aca="false">GW79+GX79</f>
        <v>0</v>
      </c>
      <c r="GZ79" s="1" t="n">
        <f aca="false">GP79-GX79+GT79*IF(Slot19_SpendLike=1,GV79-GW79,IF(Slot19_PotFree=1,GV79,0))</f>
        <v>251293.427430288</v>
      </c>
      <c r="HA79" s="1" t="n">
        <f aca="false">GQ79+GT79*Slot19_BufPot*GV79</f>
        <v>0</v>
      </c>
      <c r="HB79" s="1" t="n">
        <f aca="false">IF(AND(GT79=1,Slot19_IsMfree=1),IF(GY79&gt;=Slot19_Cost-1,0,MAX(0,GR79-GY79)),GR79)</f>
        <v>0</v>
      </c>
      <c r="HC79" s="1" t="n">
        <f aca="false">GT79*(Slot19_Cost-GY79)</f>
        <v>0</v>
      </c>
      <c r="HD79" s="1" t="n">
        <f aca="false">IF(AND(Slot20_On=1,D79=Slot20_Age),1,0)</f>
        <v>0</v>
      </c>
      <c r="HE79" s="1" t="n">
        <f aca="false">IF(AND(Slot20_On=1,Slot20_Age&gt;D79),1,0)</f>
        <v>0</v>
      </c>
      <c r="HF79" s="1" t="n">
        <f aca="false">TJ78</f>
        <v>0</v>
      </c>
      <c r="HG79" s="1" t="n">
        <f aca="false">HD79*MIN(Slot20_Cost,HF79)</f>
        <v>0</v>
      </c>
      <c r="HH79" s="1" t="n">
        <f aca="false">HD79*Slot20_SpendLike*MIN(Slot20_Cost-HG79,GZ79)</f>
        <v>0</v>
      </c>
      <c r="HI79" s="1" t="n">
        <f aca="false">HG79+HH79</f>
        <v>0</v>
      </c>
      <c r="HJ79" s="1" t="n">
        <f aca="false">GZ79-HH79+HD79*IF(Slot20_SpendLike=1,HF79-HG79,IF(Slot20_PotFree=1,HF79,0))</f>
        <v>251293.427430288</v>
      </c>
      <c r="HK79" s="1" t="n">
        <f aca="false">HA79+HD79*Slot20_BufPot*HF79</f>
        <v>0</v>
      </c>
      <c r="HL79" s="1" t="n">
        <f aca="false">IF(AND(HD79=1,Slot20_IsMfree=1),IF(HI79&gt;=Slot20_Cost-1,0,MAX(0,HB79-HI79)),HB79)</f>
        <v>0</v>
      </c>
      <c r="HM79" s="1" t="n">
        <f aca="false">HD79*(Slot20_Cost-HI79)</f>
        <v>0</v>
      </c>
      <c r="HN79" s="1" t="n">
        <f aca="false">U79*Slot1_SpendLike*Z79+AF79*Slot2_SpendLike*AK79+AP79*Slot3_SpendLike*AU79+AZ79*Slot4_SpendLike*BE79+BJ79*Slot5_SpendLike*BO79+BT79*Slot6_SpendLike*BY79+CD79*Slot7_SpendLike*CI79+CN79*Slot8_SpendLike*CS79+CX79*Slot9_SpendLike*DC79+DH79*Slot10_SpendLike*DM79+DR79*Slot11_SpendLike*DW79+EB79*Slot12_SpendLike*EG79+EL79*Slot13_SpendLike*EQ79+EV79*Slot14_SpendLike*FA79+FF79*Slot15_SpendLike*FK79+FP79*Slot16_SpendLike*FU79+FZ79*Slot17_SpendLike*GE79+GJ79*Slot18_SpendLike*GO79+GT79*Slot19_SpendLike*GY79+HD79*Slot20_SpendLike*HI79</f>
        <v>0</v>
      </c>
      <c r="HO79" s="1" t="n">
        <f aca="false">AD79+AO79+AY79+BI79+BS79+CC79+CM79+CW79+DG79+DQ79+EA79+EK79+EU79+FE79+FO79+FY79+GI79+GS79+HC79+HM79</f>
        <v>0</v>
      </c>
      <c r="HP79" s="1" t="n">
        <f aca="false">U79*Slot1_Cost+AF79*Slot2_Cost+AP79*Slot3_Cost+AZ79*Slot4_Cost+BJ79*Slot5_Cost+BT79*Slot6_Cost+CD79*Slot7_Cost+CN79*Slot8_Cost+CX79*Slot9_Cost+DH79*Slot10_Cost+DR79*Slot11_Cost+EB79*Slot12_Cost+EL79*Slot13_Cost+EV79*Slot14_Cost+FF79*Slot15_Cost+FP79*Slot16_Cost+FZ79*Slot17_Cost+GJ79*Slot18_Cost+GT79*Slot19_Cost+HD79*Slot20_Cost</f>
        <v>0</v>
      </c>
      <c r="HQ79" s="1" t="n">
        <f aca="false">HL79</f>
        <v>0</v>
      </c>
      <c r="HR79" s="1" t="n">
        <f aca="false">G79-H79-R79</f>
        <v>50793.9798754132</v>
      </c>
      <c r="HS79" s="1" t="n">
        <f aca="false">IF(B79=0,IF(AND(Has_q6=1,In_q6=4),PR_ShareVaries*(MAX(0,HR79)/12),MIN(IF(Has_q6=1,CHOOSE(In_q6+1,PR_SaveB1,PR_SaveB2,PR_SaveB3,PR_SaveB4,0),AS_NoAnswer),AS_SaveShare*(MAX(0,HR79)/12))),HS78)</f>
        <v>0</v>
      </c>
      <c r="HT79" s="1" t="n">
        <f aca="false">IF(HR79&gt;=0,1,0)</f>
        <v>1</v>
      </c>
      <c r="HU79" s="1" t="n">
        <f aca="false">MAX(0,HR79/12/E79)</f>
        <v>1037.57333333333</v>
      </c>
      <c r="HV79" s="1" t="n">
        <f aca="false">IF(AND(Has_q6=1,In_q6=4),PR_ShareVaries*(HU79),MIN(IF(Has_q6=1,CHOOSE(In_q6+1,PR_SaveB1,PR_SaveB2,PR_SaveB3,PR_SaveB4,0),AS_NoAnswer),AS_SaveShare*(HU79)))</f>
        <v>300</v>
      </c>
      <c r="HW79" s="1" t="n">
        <f aca="false">IF(Has_saveM=1,IF(In_saveUp="Yes",1,IF(In_saveUp="No",0,IF(In_saveM&gt;=HS79-0.5,1,0))),0)</f>
        <v>0</v>
      </c>
      <c r="HX79" s="1" t="n">
        <f aca="false">IF(Has_saveM=1,MIN(HU79,IF(HW79=1,MAX(In_saveM,HV79),MIN(In_saveM,HV79))),HV79)</f>
        <v>300</v>
      </c>
      <c r="HY79" s="1" t="n">
        <f aca="false">IF(F79=1,HX79*12*E79,0)</f>
        <v>0</v>
      </c>
      <c r="HZ79" s="1" t="n">
        <f aca="false">MAX(0,HY79+IF(AND(WI_Retire=0,WI_M&lt;0,F79=1),WI_M*12*E79,0))</f>
        <v>0</v>
      </c>
      <c r="IA79" s="1" t="n">
        <f aca="false">Slot1_IsWG*V79+Slot2_IsWG*AG79+Slot3_IsWG*AQ79+Slot4_IsWG*BA79+Slot5_IsWG*BK79+Slot6_IsWG*BU79+Slot7_IsWG*CE79+Slot8_IsWG*CO79+Slot9_IsWG*CY79+Slot10_IsWG*DI79+Slot11_IsWG*DS79+Slot12_IsWG*EC79+Slot13_IsWG*EM79+Slot14_IsWG*EW79+Slot15_IsWG*FG79+Slot16_IsWG*FQ79+Slot17_IsWG*GA79+Slot18_IsWG*GK79+Slot19_IsWG*GU79+Slot20_IsWG*HE79</f>
        <v>0</v>
      </c>
      <c r="IB79" s="1" t="n">
        <f aca="false">IF(AND(WI_Retire=0,WI_M&gt;0,F79=1,IA79&gt;=1),WI_M*12*E79,0)</f>
        <v>0</v>
      </c>
      <c r="IC79" s="1" t="n">
        <f aca="false">IF(HT79=1,MIN(HZ79,HR79),0)</f>
        <v>0</v>
      </c>
      <c r="ID79" s="1" t="n">
        <f aca="false">IF(HT79=1,MIN(IB79,HR79-IC79),0)</f>
        <v>0</v>
      </c>
      <c r="IE79" s="1" t="n">
        <f aca="false">IF(V79=1,IF(ABS((1+AS_Wage)/(1+Slot1_Rate)-1)&lt;0.000000000001,(Slot1_Age-D79)*(1+Slot1_Rate)^(Slot1_Age-D79),(1+Slot1_Rate)^(Slot1_Age-D79)*(1-((1+AS_Wage)/(1+Slot1_Rate))^(Slot1_Age-D79))/(1-(1+AS_Wage)/(1+Slot1_Rate))),1)</f>
        <v>1</v>
      </c>
      <c r="IF79" s="1" t="n">
        <f aca="false">IF(AND(HT79=1,ID79&gt;0,Slot1_IsWG=1,V79=1),MAX(0,(Slot1_Cost-W79*(1+Slot1_Rate)^(Slot1_Age-D79))/IE79),0)</f>
        <v>0</v>
      </c>
      <c r="IG79" s="1" t="n">
        <f aca="false">IF(AND(HT79=1,ID79&gt;0,Slot1_IsWG=1,V79=1),MIN(ID79,IF79),0)</f>
        <v>0</v>
      </c>
      <c r="IH79" s="1" t="n">
        <f aca="false">W79+IG79</f>
        <v>0</v>
      </c>
      <c r="II79" s="1" t="n">
        <f aca="false">IF(V79=1,MAX(0,(Slot1_Cost-IH79*(1+Slot1_Rate)^(Slot1_Age-D79))/IE79),0)</f>
        <v>0</v>
      </c>
      <c r="IJ79" s="1" t="n">
        <f aca="false">IF(V79=1,MAX(0,(Slot1_Cost-W79*(1+Slot1_Rate)^(Slot1_Age-D79))/IE79),0)</f>
        <v>0</v>
      </c>
      <c r="IK79" s="1" t="n">
        <f aca="false">IF(AND(HT79=1,V79=1),MIN(IC79,II79),0)</f>
        <v>0</v>
      </c>
      <c r="IL79" s="1" t="n">
        <f aca="false">IC79-IK79</f>
        <v>0</v>
      </c>
      <c r="IM79" s="1" t="n">
        <f aca="false">IF(AG79=1,IF(ABS((1+AS_Wage)/(1+Slot2_Rate)-1)&lt;0.000000000001,(Slot2_Age-D79)*(1+Slot2_Rate)^(Slot2_Age-D79),(1+Slot2_Rate)^(Slot2_Age-D79)*(1-((1+AS_Wage)/(1+Slot2_Rate))^(Slot2_Age-D79))/(1-(1+AS_Wage)/(1+Slot2_Rate))),1)</f>
        <v>1</v>
      </c>
      <c r="IN79" s="1" t="n">
        <f aca="false">IF(AND(HT79=1,ID79&gt;0,Slot2_IsWG=1,AG79=1),MAX(0,(Slot2_Cost-AH79*(1+Slot2_Rate)^(Slot2_Age-D79))/IM79),0)</f>
        <v>0</v>
      </c>
      <c r="IO79" s="1" t="n">
        <f aca="false">IF(AND(HT79=1,ID79&gt;0,Slot2_IsWG=1,AG79=1),MIN(ID79,IN79),0)</f>
        <v>0</v>
      </c>
      <c r="IP79" s="1" t="n">
        <f aca="false">AH79+IO79</f>
        <v>0</v>
      </c>
      <c r="IQ79" s="1" t="n">
        <f aca="false">IF(AG79=1,MAX(0,(Slot2_Cost-IP79*(1+Slot2_Rate)^(Slot2_Age-D79))/IM79),0)</f>
        <v>0</v>
      </c>
      <c r="IR79" s="1" t="n">
        <f aca="false">IF(AG79=1,MAX(0,(Slot2_Cost-AH79*(1+Slot2_Rate)^(Slot2_Age-D79))/IM79),0)</f>
        <v>0</v>
      </c>
      <c r="IS79" s="1" t="n">
        <f aca="false">IF(AND(HT79=1,AG79=1),MIN(IL79,IQ79),0)</f>
        <v>0</v>
      </c>
      <c r="IT79" s="1" t="n">
        <f aca="false">IL79-IS79</f>
        <v>0</v>
      </c>
      <c r="IU79" s="1" t="n">
        <f aca="false">IF(AQ79=1,IF(ABS((1+AS_Wage)/(1+Slot3_Rate)-1)&lt;0.000000000001,(Slot3_Age-D79)*(1+Slot3_Rate)^(Slot3_Age-D79),(1+Slot3_Rate)^(Slot3_Age-D79)*(1-((1+AS_Wage)/(1+Slot3_Rate))^(Slot3_Age-D79))/(1-(1+AS_Wage)/(1+Slot3_Rate))),1)</f>
        <v>1</v>
      </c>
      <c r="IV79" s="1" t="n">
        <f aca="false">IF(AND(HT79=1,ID79&gt;0,Slot3_IsWG=1,AQ79=1),MAX(0,(Slot3_Cost-AR79*(1+Slot3_Rate)^(Slot3_Age-D79))/IU79),0)</f>
        <v>0</v>
      </c>
      <c r="IW79" s="1" t="n">
        <f aca="false">IF(AND(HT79=1,ID79&gt;0,Slot3_IsWG=1,AQ79=1),MIN(ID79,IV79),0)</f>
        <v>0</v>
      </c>
      <c r="IX79" s="1" t="n">
        <f aca="false">AR79+IW79</f>
        <v>0</v>
      </c>
      <c r="IY79" s="1" t="n">
        <f aca="false">IF(AQ79=1,MAX(0,(Slot3_Cost-IX79*(1+Slot3_Rate)^(Slot3_Age-D79))/IU79),0)</f>
        <v>0</v>
      </c>
      <c r="IZ79" s="1" t="n">
        <f aca="false">IF(AQ79=1,MAX(0,(Slot3_Cost-AR79*(1+Slot3_Rate)^(Slot3_Age-D79))/IU79),0)</f>
        <v>0</v>
      </c>
      <c r="JA79" s="1" t="n">
        <f aca="false">IF(AND(HT79=1,AQ79=1),MIN(IT79,IY79),0)</f>
        <v>0</v>
      </c>
      <c r="JB79" s="1" t="n">
        <f aca="false">IT79-JA79</f>
        <v>0</v>
      </c>
      <c r="JC79" s="1" t="n">
        <f aca="false">IF(BA79=1,IF(ABS((1+AS_Wage)/(1+Slot4_Rate)-1)&lt;0.000000000001,(Slot4_Age-D79)*(1+Slot4_Rate)^(Slot4_Age-D79),(1+Slot4_Rate)^(Slot4_Age-D79)*(1-((1+AS_Wage)/(1+Slot4_Rate))^(Slot4_Age-D79))/(1-(1+AS_Wage)/(1+Slot4_Rate))),1)</f>
        <v>1</v>
      </c>
      <c r="JD79" s="1" t="n">
        <f aca="false">IF(AND(HT79=1,ID79&gt;0,Slot4_IsWG=1,BA79=1),MAX(0,(Slot4_Cost-BB79*(1+Slot4_Rate)^(Slot4_Age-D79))/JC79),0)</f>
        <v>0</v>
      </c>
      <c r="JE79" s="1" t="n">
        <f aca="false">IF(AND(HT79=1,ID79&gt;0,Slot4_IsWG=1,BA79=1),MIN(ID79,JD79),0)</f>
        <v>0</v>
      </c>
      <c r="JF79" s="1" t="n">
        <f aca="false">BB79+JE79</f>
        <v>0</v>
      </c>
      <c r="JG79" s="1" t="n">
        <f aca="false">IF(BA79=1,MAX(0,(Slot4_Cost-JF79*(1+Slot4_Rate)^(Slot4_Age-D79))/JC79),0)</f>
        <v>0</v>
      </c>
      <c r="JH79" s="1" t="n">
        <f aca="false">IF(BA79=1,MAX(0,(Slot4_Cost-BB79*(1+Slot4_Rate)^(Slot4_Age-D79))/JC79),0)</f>
        <v>0</v>
      </c>
      <c r="JI79" s="1" t="n">
        <f aca="false">IF(AND(HT79=1,BA79=1),MIN(JB79,JG79),0)</f>
        <v>0</v>
      </c>
      <c r="JJ79" s="1" t="n">
        <f aca="false">JB79-JI79</f>
        <v>0</v>
      </c>
      <c r="JK79" s="1" t="n">
        <f aca="false">IF(BK79=1,IF(ABS((1+AS_Wage)/(1+Slot5_Rate)-1)&lt;0.000000000001,(Slot5_Age-D79)*(1+Slot5_Rate)^(Slot5_Age-D79),(1+Slot5_Rate)^(Slot5_Age-D79)*(1-((1+AS_Wage)/(1+Slot5_Rate))^(Slot5_Age-D79))/(1-(1+AS_Wage)/(1+Slot5_Rate))),1)</f>
        <v>1</v>
      </c>
      <c r="JL79" s="1" t="n">
        <f aca="false">IF(AND(HT79=1,ID79&gt;0,Slot5_IsWG=1,BK79=1),MAX(0,(Slot5_Cost-BL79*(1+Slot5_Rate)^(Slot5_Age-D79))/JK79),0)</f>
        <v>0</v>
      </c>
      <c r="JM79" s="1" t="n">
        <f aca="false">IF(AND(HT79=1,ID79&gt;0,Slot5_IsWG=1,BK79=1),MIN(ID79,JL79),0)</f>
        <v>0</v>
      </c>
      <c r="JN79" s="1" t="n">
        <f aca="false">BL79+JM79</f>
        <v>0</v>
      </c>
      <c r="JO79" s="1" t="n">
        <f aca="false">IF(BK79=1,MAX(0,(Slot5_Cost-JN79*(1+Slot5_Rate)^(Slot5_Age-D79))/JK79),0)</f>
        <v>0</v>
      </c>
      <c r="JP79" s="1" t="n">
        <f aca="false">IF(BK79=1,MAX(0,(Slot5_Cost-BL79*(1+Slot5_Rate)^(Slot5_Age-D79))/JK79),0)</f>
        <v>0</v>
      </c>
      <c r="JQ79" s="1" t="n">
        <f aca="false">IF(AND(HT79=1,BK79=1),MIN(JJ79,JO79),0)</f>
        <v>0</v>
      </c>
      <c r="JR79" s="1" t="n">
        <f aca="false">JJ79-JQ79</f>
        <v>0</v>
      </c>
      <c r="JS79" s="1" t="n">
        <f aca="false">IF(BU79=1,IF(ABS((1+AS_Wage)/(1+Slot6_Rate)-1)&lt;0.000000000001,(Slot6_Age-D79)*(1+Slot6_Rate)^(Slot6_Age-D79),(1+Slot6_Rate)^(Slot6_Age-D79)*(1-((1+AS_Wage)/(1+Slot6_Rate))^(Slot6_Age-D79))/(1-(1+AS_Wage)/(1+Slot6_Rate))),1)</f>
        <v>1</v>
      </c>
      <c r="JT79" s="1" t="n">
        <f aca="false">IF(AND(HT79=1,ID79&gt;0,Slot6_IsWG=1,BU79=1),MAX(0,(Slot6_Cost-BV79*(1+Slot6_Rate)^(Slot6_Age-D79))/JS79),0)</f>
        <v>0</v>
      </c>
      <c r="JU79" s="1" t="n">
        <f aca="false">IF(AND(HT79=1,ID79&gt;0,Slot6_IsWG=1,BU79=1),MIN(ID79,JT79),0)</f>
        <v>0</v>
      </c>
      <c r="JV79" s="1" t="n">
        <f aca="false">BV79+JU79</f>
        <v>0</v>
      </c>
      <c r="JW79" s="1" t="n">
        <f aca="false">IF(BU79=1,MAX(0,(Slot6_Cost-JV79*(1+Slot6_Rate)^(Slot6_Age-D79))/JS79),0)</f>
        <v>0</v>
      </c>
      <c r="JX79" s="1" t="n">
        <f aca="false">IF(BU79=1,MAX(0,(Slot6_Cost-BV79*(1+Slot6_Rate)^(Slot6_Age-D79))/JS79),0)</f>
        <v>0</v>
      </c>
      <c r="JY79" s="1" t="n">
        <f aca="false">IF(AND(HT79=1,BU79=1),MIN(JR79,JW79),0)</f>
        <v>0</v>
      </c>
      <c r="JZ79" s="1" t="n">
        <f aca="false">JR79-JY79</f>
        <v>0</v>
      </c>
      <c r="KA79" s="1" t="n">
        <f aca="false">IF(CE79=1,IF(ABS((1+AS_Wage)/(1+Slot7_Rate)-1)&lt;0.000000000001,(Slot7_Age-D79)*(1+Slot7_Rate)^(Slot7_Age-D79),(1+Slot7_Rate)^(Slot7_Age-D79)*(1-((1+AS_Wage)/(1+Slot7_Rate))^(Slot7_Age-D79))/(1-(1+AS_Wage)/(1+Slot7_Rate))),1)</f>
        <v>1</v>
      </c>
      <c r="KB79" s="1" t="n">
        <f aca="false">IF(AND(HT79=1,ID79&gt;0,Slot7_IsWG=1,CE79=1),MAX(0,(Slot7_Cost-CF79*(1+Slot7_Rate)^(Slot7_Age-D79))/KA79),0)</f>
        <v>0</v>
      </c>
      <c r="KC79" s="1" t="n">
        <f aca="false">IF(AND(HT79=1,ID79&gt;0,Slot7_IsWG=1,CE79=1),MIN(ID79,KB79),0)</f>
        <v>0</v>
      </c>
      <c r="KD79" s="1" t="n">
        <f aca="false">CF79+KC79</f>
        <v>0</v>
      </c>
      <c r="KE79" s="1" t="n">
        <f aca="false">IF(CE79=1,MAX(0,(Slot7_Cost-KD79*(1+Slot7_Rate)^(Slot7_Age-D79))/KA79),0)</f>
        <v>0</v>
      </c>
      <c r="KF79" s="1" t="n">
        <f aca="false">IF(CE79=1,MAX(0,(Slot7_Cost-CF79*(1+Slot7_Rate)^(Slot7_Age-D79))/KA79),0)</f>
        <v>0</v>
      </c>
      <c r="KG79" s="1" t="n">
        <f aca="false">IF(AND(HT79=1,CE79=1),MIN(JZ79,KE79),0)</f>
        <v>0</v>
      </c>
      <c r="KH79" s="1" t="n">
        <f aca="false">JZ79-KG79</f>
        <v>0</v>
      </c>
      <c r="KI79" s="1" t="n">
        <f aca="false">IF(CO79=1,IF(ABS((1+AS_Wage)/(1+Slot8_Rate)-1)&lt;0.000000000001,(Slot8_Age-D79)*(1+Slot8_Rate)^(Slot8_Age-D79),(1+Slot8_Rate)^(Slot8_Age-D79)*(1-((1+AS_Wage)/(1+Slot8_Rate))^(Slot8_Age-D79))/(1-(1+AS_Wage)/(1+Slot8_Rate))),1)</f>
        <v>1</v>
      </c>
      <c r="KJ79" s="1" t="n">
        <f aca="false">IF(AND(HT79=1,ID79&gt;0,Slot8_IsWG=1,CO79=1),MAX(0,(Slot8_Cost-CP79*(1+Slot8_Rate)^(Slot8_Age-D79))/KI79),0)</f>
        <v>0</v>
      </c>
      <c r="KK79" s="1" t="n">
        <f aca="false">IF(AND(HT79=1,ID79&gt;0,Slot8_IsWG=1,CO79=1),MIN(ID79,KJ79),0)</f>
        <v>0</v>
      </c>
      <c r="KL79" s="1" t="n">
        <f aca="false">CP79+KK79</f>
        <v>0</v>
      </c>
      <c r="KM79" s="1" t="n">
        <f aca="false">IF(CO79=1,MAX(0,(Slot8_Cost-KL79*(1+Slot8_Rate)^(Slot8_Age-D79))/KI79),0)</f>
        <v>0</v>
      </c>
      <c r="KN79" s="1" t="n">
        <f aca="false">IF(CO79=1,MAX(0,(Slot8_Cost-CP79*(1+Slot8_Rate)^(Slot8_Age-D79))/KI79),0)</f>
        <v>0</v>
      </c>
      <c r="KO79" s="1" t="n">
        <f aca="false">IF(AND(HT79=1,CO79=1),MIN(KH79,KM79),0)</f>
        <v>0</v>
      </c>
      <c r="KP79" s="1" t="n">
        <f aca="false">KH79-KO79</f>
        <v>0</v>
      </c>
      <c r="KQ79" s="1" t="n">
        <f aca="false">IF(CY79=1,IF(ABS((1+AS_Wage)/(1+Slot9_Rate)-1)&lt;0.000000000001,(Slot9_Age-D79)*(1+Slot9_Rate)^(Slot9_Age-D79),(1+Slot9_Rate)^(Slot9_Age-D79)*(1-((1+AS_Wage)/(1+Slot9_Rate))^(Slot9_Age-D79))/(1-(1+AS_Wage)/(1+Slot9_Rate))),1)</f>
        <v>1</v>
      </c>
      <c r="KR79" s="1" t="n">
        <f aca="false">IF(AND(HT79=1,ID79&gt;0,Slot9_IsWG=1,CY79=1),MAX(0,(Slot9_Cost-CZ79*(1+Slot9_Rate)^(Slot9_Age-D79))/KQ79),0)</f>
        <v>0</v>
      </c>
      <c r="KS79" s="1" t="n">
        <f aca="false">IF(AND(HT79=1,ID79&gt;0,Slot9_IsWG=1,CY79=1),MIN(ID79,KR79),0)</f>
        <v>0</v>
      </c>
      <c r="KT79" s="1" t="n">
        <f aca="false">CZ79+KS79</f>
        <v>0</v>
      </c>
      <c r="KU79" s="1" t="n">
        <f aca="false">IF(CY79=1,MAX(0,(Slot9_Cost-KT79*(1+Slot9_Rate)^(Slot9_Age-D79))/KQ79),0)</f>
        <v>0</v>
      </c>
      <c r="KV79" s="1" t="n">
        <f aca="false">IF(CY79=1,MAX(0,(Slot9_Cost-CZ79*(1+Slot9_Rate)^(Slot9_Age-D79))/KQ79),0)</f>
        <v>0</v>
      </c>
      <c r="KW79" s="1" t="n">
        <f aca="false">IF(AND(HT79=1,CY79=1),MIN(KP79,KU79),0)</f>
        <v>0</v>
      </c>
      <c r="KX79" s="1" t="n">
        <f aca="false">KP79-KW79</f>
        <v>0</v>
      </c>
      <c r="KY79" s="1" t="n">
        <f aca="false">IF(DI79=1,IF(ABS((1+AS_Wage)/(1+Slot10_Rate)-1)&lt;0.000000000001,(Slot10_Age-D79)*(1+Slot10_Rate)^(Slot10_Age-D79),(1+Slot10_Rate)^(Slot10_Age-D79)*(1-((1+AS_Wage)/(1+Slot10_Rate))^(Slot10_Age-D79))/(1-(1+AS_Wage)/(1+Slot10_Rate))),1)</f>
        <v>1</v>
      </c>
      <c r="KZ79" s="1" t="n">
        <f aca="false">IF(AND(HT79=1,ID79&gt;0,Slot10_IsWG=1,DI79=1),MAX(0,(Slot10_Cost-DJ79*(1+Slot10_Rate)^(Slot10_Age-D79))/KY79),0)</f>
        <v>0</v>
      </c>
      <c r="LA79" s="1" t="n">
        <f aca="false">IF(AND(HT79=1,ID79&gt;0,Slot10_IsWG=1,DI79=1),MIN(ID79,KZ79),0)</f>
        <v>0</v>
      </c>
      <c r="LB79" s="1" t="n">
        <f aca="false">DJ79+LA79</f>
        <v>0</v>
      </c>
      <c r="LC79" s="1" t="n">
        <f aca="false">IF(DI79=1,MAX(0,(Slot10_Cost-LB79*(1+Slot10_Rate)^(Slot10_Age-D79))/KY79),0)</f>
        <v>0</v>
      </c>
      <c r="LD79" s="1" t="n">
        <f aca="false">IF(DI79=1,MAX(0,(Slot10_Cost-DJ79*(1+Slot10_Rate)^(Slot10_Age-D79))/KY79),0)</f>
        <v>0</v>
      </c>
      <c r="LE79" s="1" t="n">
        <f aca="false">IF(AND(HT79=1,DI79=1),MIN(KX79,LC79),0)</f>
        <v>0</v>
      </c>
      <c r="LF79" s="1" t="n">
        <f aca="false">KX79-LE79</f>
        <v>0</v>
      </c>
      <c r="LG79" s="1" t="n">
        <f aca="false">IF(DS79=1,IF(ABS((1+AS_Wage)/(1+Slot11_Rate)-1)&lt;0.000000000001,(Slot11_Age-D79)*(1+Slot11_Rate)^(Slot11_Age-D79),(1+Slot11_Rate)^(Slot11_Age-D79)*(1-((1+AS_Wage)/(1+Slot11_Rate))^(Slot11_Age-D79))/(1-(1+AS_Wage)/(1+Slot11_Rate))),1)</f>
        <v>1</v>
      </c>
      <c r="LH79" s="1" t="n">
        <f aca="false">IF(AND(HT79=1,ID79&gt;0,Slot11_IsWG=1,DS79=1),MAX(0,(Slot11_Cost-DT79*(1+Slot11_Rate)^(Slot11_Age-D79))/LG79),0)</f>
        <v>0</v>
      </c>
      <c r="LI79" s="1" t="n">
        <f aca="false">IF(AND(HT79=1,ID79&gt;0,Slot11_IsWG=1,DS79=1),MIN(ID79,LH79),0)</f>
        <v>0</v>
      </c>
      <c r="LJ79" s="1" t="n">
        <f aca="false">DT79+LI79</f>
        <v>0</v>
      </c>
      <c r="LK79" s="1" t="n">
        <f aca="false">IF(DS79=1,MAX(0,(Slot11_Cost-LJ79*(1+Slot11_Rate)^(Slot11_Age-D79))/LG79),0)</f>
        <v>0</v>
      </c>
      <c r="LL79" s="1" t="n">
        <f aca="false">IF(DS79=1,MAX(0,(Slot11_Cost-DT79*(1+Slot11_Rate)^(Slot11_Age-D79))/LG79),0)</f>
        <v>0</v>
      </c>
      <c r="LM79" s="1" t="n">
        <f aca="false">IF(AND(HT79=1,DS79=1),MIN(LF79,LK79),0)</f>
        <v>0</v>
      </c>
      <c r="LN79" s="1" t="n">
        <f aca="false">LF79-LM79</f>
        <v>0</v>
      </c>
      <c r="LO79" s="1" t="n">
        <f aca="false">IF(EC79=1,IF(ABS((1+AS_Wage)/(1+Slot12_Rate)-1)&lt;0.000000000001,(Slot12_Age-D79)*(1+Slot12_Rate)^(Slot12_Age-D79),(1+Slot12_Rate)^(Slot12_Age-D79)*(1-((1+AS_Wage)/(1+Slot12_Rate))^(Slot12_Age-D79))/(1-(1+AS_Wage)/(1+Slot12_Rate))),1)</f>
        <v>1</v>
      </c>
      <c r="LP79" s="1" t="n">
        <f aca="false">IF(AND(HT79=1,ID79&gt;0,Slot12_IsWG=1,EC79=1),MAX(0,(Slot12_Cost-ED79*(1+Slot12_Rate)^(Slot12_Age-D79))/LO79),0)</f>
        <v>0</v>
      </c>
      <c r="LQ79" s="1" t="n">
        <f aca="false">IF(AND(HT79=1,ID79&gt;0,Slot12_IsWG=1,EC79=1),MIN(ID79,LP79),0)</f>
        <v>0</v>
      </c>
      <c r="LR79" s="1" t="n">
        <f aca="false">ED79+LQ79</f>
        <v>0</v>
      </c>
      <c r="LS79" s="1" t="n">
        <f aca="false">IF(EC79=1,MAX(0,(Slot12_Cost-LR79*(1+Slot12_Rate)^(Slot12_Age-D79))/LO79),0)</f>
        <v>0</v>
      </c>
      <c r="LT79" s="1" t="n">
        <f aca="false">IF(EC79=1,MAX(0,(Slot12_Cost-ED79*(1+Slot12_Rate)^(Slot12_Age-D79))/LO79),0)</f>
        <v>0</v>
      </c>
      <c r="LU79" s="1" t="n">
        <f aca="false">IF(AND(HT79=1,EC79=1),MIN(LN79,LS79),0)</f>
        <v>0</v>
      </c>
      <c r="LV79" s="1" t="n">
        <f aca="false">LN79-LU79</f>
        <v>0</v>
      </c>
      <c r="LW79" s="1" t="n">
        <f aca="false">IF(EM79=1,IF(ABS((1+AS_Wage)/(1+Slot13_Rate)-1)&lt;0.000000000001,(Slot13_Age-D79)*(1+Slot13_Rate)^(Slot13_Age-D79),(1+Slot13_Rate)^(Slot13_Age-D79)*(1-((1+AS_Wage)/(1+Slot13_Rate))^(Slot13_Age-D79))/(1-(1+AS_Wage)/(1+Slot13_Rate))),1)</f>
        <v>1</v>
      </c>
      <c r="LX79" s="1" t="n">
        <f aca="false">IF(AND(HT79=1,ID79&gt;0,Slot13_IsWG=1,EM79=1),MAX(0,(Slot13_Cost-EN79*(1+Slot13_Rate)^(Slot13_Age-D79))/LW79),0)</f>
        <v>0</v>
      </c>
      <c r="LY79" s="1" t="n">
        <f aca="false">IF(AND(HT79=1,ID79&gt;0,Slot13_IsWG=1,EM79=1),MIN(ID79,LX79),0)</f>
        <v>0</v>
      </c>
      <c r="LZ79" s="1" t="n">
        <f aca="false">EN79+LY79</f>
        <v>0</v>
      </c>
      <c r="MA79" s="1" t="n">
        <f aca="false">IF(EM79=1,MAX(0,(Slot13_Cost-LZ79*(1+Slot13_Rate)^(Slot13_Age-D79))/LW79),0)</f>
        <v>0</v>
      </c>
      <c r="MB79" s="1" t="n">
        <f aca="false">IF(EM79=1,MAX(0,(Slot13_Cost-EN79*(1+Slot13_Rate)^(Slot13_Age-D79))/LW79),0)</f>
        <v>0</v>
      </c>
      <c r="MC79" s="1" t="n">
        <f aca="false">IF(AND(HT79=1,EM79=1),MIN(LV79,MA79),0)</f>
        <v>0</v>
      </c>
      <c r="MD79" s="1" t="n">
        <f aca="false">LV79-MC79</f>
        <v>0</v>
      </c>
      <c r="ME79" s="1" t="n">
        <f aca="false">IF(EW79=1,IF(ABS((1+AS_Wage)/(1+Slot14_Rate)-1)&lt;0.000000000001,(Slot14_Age-D79)*(1+Slot14_Rate)^(Slot14_Age-D79),(1+Slot14_Rate)^(Slot14_Age-D79)*(1-((1+AS_Wage)/(1+Slot14_Rate))^(Slot14_Age-D79))/(1-(1+AS_Wage)/(1+Slot14_Rate))),1)</f>
        <v>1</v>
      </c>
      <c r="MF79" s="1" t="n">
        <f aca="false">IF(AND(HT79=1,ID79&gt;0,Slot14_IsWG=1,EW79=1),MAX(0,(Slot14_Cost-EX79*(1+Slot14_Rate)^(Slot14_Age-D79))/ME79),0)</f>
        <v>0</v>
      </c>
      <c r="MG79" s="1" t="n">
        <f aca="false">IF(AND(HT79=1,ID79&gt;0,Slot14_IsWG=1,EW79=1),MIN(ID79,MF79),0)</f>
        <v>0</v>
      </c>
      <c r="MH79" s="1" t="n">
        <f aca="false">EX79+MG79</f>
        <v>0</v>
      </c>
      <c r="MI79" s="1" t="n">
        <f aca="false">IF(EW79=1,MAX(0,(Slot14_Cost-MH79*(1+Slot14_Rate)^(Slot14_Age-D79))/ME79),0)</f>
        <v>0</v>
      </c>
      <c r="MJ79" s="1" t="n">
        <f aca="false">IF(EW79=1,MAX(0,(Slot14_Cost-EX79*(1+Slot14_Rate)^(Slot14_Age-D79))/ME79),0)</f>
        <v>0</v>
      </c>
      <c r="MK79" s="1" t="n">
        <f aca="false">IF(AND(HT79=1,EW79=1),MIN(MD79,MI79),0)</f>
        <v>0</v>
      </c>
      <c r="ML79" s="1" t="n">
        <f aca="false">MD79-MK79</f>
        <v>0</v>
      </c>
      <c r="MM79" s="1" t="n">
        <f aca="false">IF(FG79=1,IF(ABS((1+AS_Wage)/(1+Slot15_Rate)-1)&lt;0.000000000001,(Slot15_Age-D79)*(1+Slot15_Rate)^(Slot15_Age-D79),(1+Slot15_Rate)^(Slot15_Age-D79)*(1-((1+AS_Wage)/(1+Slot15_Rate))^(Slot15_Age-D79))/(1-(1+AS_Wage)/(1+Slot15_Rate))),1)</f>
        <v>1</v>
      </c>
      <c r="MN79" s="1" t="n">
        <f aca="false">IF(AND(HT79=1,ID79&gt;0,Slot15_IsWG=1,FG79=1),MAX(0,(Slot15_Cost-FH79*(1+Slot15_Rate)^(Slot15_Age-D79))/MM79),0)</f>
        <v>0</v>
      </c>
      <c r="MO79" s="1" t="n">
        <f aca="false">IF(AND(HT79=1,ID79&gt;0,Slot15_IsWG=1,FG79=1),MIN(ID79,MN79),0)</f>
        <v>0</v>
      </c>
      <c r="MP79" s="1" t="n">
        <f aca="false">FH79+MO79</f>
        <v>0</v>
      </c>
      <c r="MQ79" s="1" t="n">
        <f aca="false">IF(FG79=1,MAX(0,(Slot15_Cost-MP79*(1+Slot15_Rate)^(Slot15_Age-D79))/MM79),0)</f>
        <v>0</v>
      </c>
      <c r="MR79" s="1" t="n">
        <f aca="false">IF(FG79=1,MAX(0,(Slot15_Cost-FH79*(1+Slot15_Rate)^(Slot15_Age-D79))/MM79),0)</f>
        <v>0</v>
      </c>
      <c r="MS79" s="1" t="n">
        <f aca="false">IF(AND(HT79=1,FG79=1),MIN(ML79,MQ79),0)</f>
        <v>0</v>
      </c>
      <c r="MT79" s="1" t="n">
        <f aca="false">ML79-MS79</f>
        <v>0</v>
      </c>
      <c r="MU79" s="1" t="n">
        <f aca="false">IF(FQ79=1,IF(ABS((1+AS_Wage)/(1+Slot16_Rate)-1)&lt;0.000000000001,(Slot16_Age-D79)*(1+Slot16_Rate)^(Slot16_Age-D79),(1+Slot16_Rate)^(Slot16_Age-D79)*(1-((1+AS_Wage)/(1+Slot16_Rate))^(Slot16_Age-D79))/(1-(1+AS_Wage)/(1+Slot16_Rate))),1)</f>
        <v>1</v>
      </c>
      <c r="MV79" s="1" t="n">
        <f aca="false">IF(AND(HT79=1,ID79&gt;0,Slot16_IsWG=1,FQ79=1),MAX(0,(Slot16_Cost-FR79*(1+Slot16_Rate)^(Slot16_Age-D79))/MU79),0)</f>
        <v>0</v>
      </c>
      <c r="MW79" s="1" t="n">
        <f aca="false">IF(AND(HT79=1,ID79&gt;0,Slot16_IsWG=1,FQ79=1),MIN(ID79,MV79),0)</f>
        <v>0</v>
      </c>
      <c r="MX79" s="1" t="n">
        <f aca="false">FR79+MW79</f>
        <v>0</v>
      </c>
      <c r="MY79" s="1" t="n">
        <f aca="false">IF(FQ79=1,MAX(0,(Slot16_Cost-MX79*(1+Slot16_Rate)^(Slot16_Age-D79))/MU79),0)</f>
        <v>0</v>
      </c>
      <c r="MZ79" s="1" t="n">
        <f aca="false">IF(FQ79=1,MAX(0,(Slot16_Cost-FR79*(1+Slot16_Rate)^(Slot16_Age-D79))/MU79),0)</f>
        <v>0</v>
      </c>
      <c r="NA79" s="1" t="n">
        <f aca="false">IF(AND(HT79=1,FQ79=1),MIN(MT79,MY79),0)</f>
        <v>0</v>
      </c>
      <c r="NB79" s="1" t="n">
        <f aca="false">MT79-NA79</f>
        <v>0</v>
      </c>
      <c r="NC79" s="1" t="n">
        <f aca="false">IF(GA79=1,IF(ABS((1+AS_Wage)/(1+Slot17_Rate)-1)&lt;0.000000000001,(Slot17_Age-D79)*(1+Slot17_Rate)^(Slot17_Age-D79),(1+Slot17_Rate)^(Slot17_Age-D79)*(1-((1+AS_Wage)/(1+Slot17_Rate))^(Slot17_Age-D79))/(1-(1+AS_Wage)/(1+Slot17_Rate))),1)</f>
        <v>1</v>
      </c>
      <c r="ND79" s="1" t="n">
        <f aca="false">IF(AND(HT79=1,ID79&gt;0,Slot17_IsWG=1,GA79=1),MAX(0,(Slot17_Cost-GB79*(1+Slot17_Rate)^(Slot17_Age-D79))/NC79),0)</f>
        <v>0</v>
      </c>
      <c r="NE79" s="1" t="n">
        <f aca="false">IF(AND(HT79=1,ID79&gt;0,Slot17_IsWG=1,GA79=1),MIN(ID79,ND79),0)</f>
        <v>0</v>
      </c>
      <c r="NF79" s="1" t="n">
        <f aca="false">GB79+NE79</f>
        <v>0</v>
      </c>
      <c r="NG79" s="1" t="n">
        <f aca="false">IF(GA79=1,MAX(0,(Slot17_Cost-NF79*(1+Slot17_Rate)^(Slot17_Age-D79))/NC79),0)</f>
        <v>0</v>
      </c>
      <c r="NH79" s="1" t="n">
        <f aca="false">IF(GA79=1,MAX(0,(Slot17_Cost-GB79*(1+Slot17_Rate)^(Slot17_Age-D79))/NC79),0)</f>
        <v>0</v>
      </c>
      <c r="NI79" s="1" t="n">
        <f aca="false">IF(AND(HT79=1,GA79=1),MIN(NB79,NG79),0)</f>
        <v>0</v>
      </c>
      <c r="NJ79" s="1" t="n">
        <f aca="false">NB79-NI79</f>
        <v>0</v>
      </c>
      <c r="NK79" s="1" t="n">
        <f aca="false">IF(GK79=1,IF(ABS((1+AS_Wage)/(1+Slot18_Rate)-1)&lt;0.000000000001,(Slot18_Age-D79)*(1+Slot18_Rate)^(Slot18_Age-D79),(1+Slot18_Rate)^(Slot18_Age-D79)*(1-((1+AS_Wage)/(1+Slot18_Rate))^(Slot18_Age-D79))/(1-(1+AS_Wage)/(1+Slot18_Rate))),1)</f>
        <v>1</v>
      </c>
      <c r="NL79" s="1" t="n">
        <f aca="false">IF(AND(HT79=1,ID79&gt;0,Slot18_IsWG=1,GK79=1),MAX(0,(Slot18_Cost-GL79*(1+Slot18_Rate)^(Slot18_Age-D79))/NK79),0)</f>
        <v>0</v>
      </c>
      <c r="NM79" s="1" t="n">
        <f aca="false">IF(AND(HT79=1,ID79&gt;0,Slot18_IsWG=1,GK79=1),MIN(ID79,NL79),0)</f>
        <v>0</v>
      </c>
      <c r="NN79" s="1" t="n">
        <f aca="false">GL79+NM79</f>
        <v>0</v>
      </c>
      <c r="NO79" s="1" t="n">
        <f aca="false">IF(GK79=1,MAX(0,(Slot18_Cost-NN79*(1+Slot18_Rate)^(Slot18_Age-D79))/NK79),0)</f>
        <v>0</v>
      </c>
      <c r="NP79" s="1" t="n">
        <f aca="false">IF(GK79=1,MAX(0,(Slot18_Cost-GL79*(1+Slot18_Rate)^(Slot18_Age-D79))/NK79),0)</f>
        <v>0</v>
      </c>
      <c r="NQ79" s="1" t="n">
        <f aca="false">IF(AND(HT79=1,GK79=1),MIN(NJ79,NO79),0)</f>
        <v>0</v>
      </c>
      <c r="NR79" s="1" t="n">
        <f aca="false">NJ79-NQ79</f>
        <v>0</v>
      </c>
      <c r="NS79" s="1" t="n">
        <f aca="false">IF(GU79=1,IF(ABS((1+AS_Wage)/(1+Slot19_Rate)-1)&lt;0.000000000001,(Slot19_Age-D79)*(1+Slot19_Rate)^(Slot19_Age-D79),(1+Slot19_Rate)^(Slot19_Age-D79)*(1-((1+AS_Wage)/(1+Slot19_Rate))^(Slot19_Age-D79))/(1-(1+AS_Wage)/(1+Slot19_Rate))),1)</f>
        <v>1</v>
      </c>
      <c r="NT79" s="1" t="n">
        <f aca="false">IF(AND(HT79=1,ID79&gt;0,Slot19_IsWG=1,GU79=1),MAX(0,(Slot19_Cost-GV79*(1+Slot19_Rate)^(Slot19_Age-D79))/NS79),0)</f>
        <v>0</v>
      </c>
      <c r="NU79" s="1" t="n">
        <f aca="false">IF(AND(HT79=1,ID79&gt;0,Slot19_IsWG=1,GU79=1),MIN(ID79,NT79),0)</f>
        <v>0</v>
      </c>
      <c r="NV79" s="1" t="n">
        <f aca="false">GV79+NU79</f>
        <v>0</v>
      </c>
      <c r="NW79" s="1" t="n">
        <f aca="false">IF(GU79=1,MAX(0,(Slot19_Cost-NV79*(1+Slot19_Rate)^(Slot19_Age-D79))/NS79),0)</f>
        <v>0</v>
      </c>
      <c r="NX79" s="1" t="n">
        <f aca="false">IF(GU79=1,MAX(0,(Slot19_Cost-GV79*(1+Slot19_Rate)^(Slot19_Age-D79))/NS79),0)</f>
        <v>0</v>
      </c>
      <c r="NY79" s="1" t="n">
        <f aca="false">IF(AND(HT79=1,GU79=1),MIN(NR79,NW79),0)</f>
        <v>0</v>
      </c>
      <c r="NZ79" s="1" t="n">
        <f aca="false">NR79-NY79</f>
        <v>0</v>
      </c>
      <c r="OA79" s="1" t="n">
        <f aca="false">IF(HE79=1,IF(ABS((1+AS_Wage)/(1+Slot20_Rate)-1)&lt;0.000000000001,(Slot20_Age-D79)*(1+Slot20_Rate)^(Slot20_Age-D79),(1+Slot20_Rate)^(Slot20_Age-D79)*(1-((1+AS_Wage)/(1+Slot20_Rate))^(Slot20_Age-D79))/(1-(1+AS_Wage)/(1+Slot20_Rate))),1)</f>
        <v>1</v>
      </c>
      <c r="OB79" s="1" t="n">
        <f aca="false">IF(AND(HT79=1,ID79&gt;0,Slot20_IsWG=1,HE79=1),MAX(0,(Slot20_Cost-HF79*(1+Slot20_Rate)^(Slot20_Age-D79))/OA79),0)</f>
        <v>0</v>
      </c>
      <c r="OC79" s="1" t="n">
        <f aca="false">IF(AND(HT79=1,ID79&gt;0,Slot20_IsWG=1,HE79=1),MIN(ID79,OB79),0)</f>
        <v>0</v>
      </c>
      <c r="OD79" s="1" t="n">
        <f aca="false">HF79+OC79</f>
        <v>0</v>
      </c>
      <c r="OE79" s="1" t="n">
        <f aca="false">IF(HE79=1,MAX(0,(Slot20_Cost-OD79*(1+Slot20_Rate)^(Slot20_Age-D79))/OA79),0)</f>
        <v>0</v>
      </c>
      <c r="OF79" s="1" t="n">
        <f aca="false">IF(HE79=1,MAX(0,(Slot20_Cost-HF79*(1+Slot20_Rate)^(Slot20_Age-D79))/OA79),0)</f>
        <v>0</v>
      </c>
      <c r="OG79" s="1" t="n">
        <f aca="false">IF(AND(HT79=1,HE79=1),MIN(NZ79,OE79),0)</f>
        <v>0</v>
      </c>
      <c r="OH79" s="1" t="n">
        <f aca="false">NZ79-OG79</f>
        <v>0</v>
      </c>
      <c r="OI79" s="1" t="n">
        <f aca="false">ID79-(IG79+IO79+IW79+JE79+JM79+JU79+KC79+KK79+KS79+LA79+LI79+LQ79+LY79+MG79+MO79+MW79+NE79+NM79+NU79+OC79)</f>
        <v>0</v>
      </c>
      <c r="OJ79" s="1" t="n">
        <f aca="false">IF(HT79=1,HR79-IC79-ID79,0)</f>
        <v>50793.9798754132</v>
      </c>
      <c r="OK79" s="1" t="n">
        <f aca="false">IF(HT79=0,-HR79,0)</f>
        <v>0</v>
      </c>
      <c r="OL79" s="1" t="n">
        <f aca="false">MIN(OK79,HJ79)</f>
        <v>0</v>
      </c>
      <c r="OM79" s="1" t="n">
        <f aca="false">OK79-OL79</f>
        <v>0</v>
      </c>
      <c r="ON79" s="1" t="n">
        <f aca="false">MIN(OM79,HK79)</f>
        <v>0</v>
      </c>
      <c r="OO79" s="1" t="n">
        <f aca="false">OM79-ON79</f>
        <v>0</v>
      </c>
      <c r="OP79" s="1" t="n">
        <f aca="false">IF(AND(HT79=0,HE79=1,OO79&gt;0),MIN(OO79,HF79),0)</f>
        <v>0</v>
      </c>
      <c r="OQ79" s="1" t="n">
        <f aca="false">OO79-OP79</f>
        <v>0</v>
      </c>
      <c r="OR79" s="1" t="n">
        <f aca="false">IF(AND(HT79=0,GU79=1,OQ79&gt;0),MIN(OQ79,GV79),0)</f>
        <v>0</v>
      </c>
      <c r="OS79" s="1" t="n">
        <f aca="false">OQ79-OR79</f>
        <v>0</v>
      </c>
      <c r="OT79" s="1" t="n">
        <f aca="false">IF(AND(HT79=0,GK79=1,OS79&gt;0),MIN(OS79,GL79),0)</f>
        <v>0</v>
      </c>
      <c r="OU79" s="1" t="n">
        <f aca="false">OS79-OT79</f>
        <v>0</v>
      </c>
      <c r="OV79" s="1" t="n">
        <f aca="false">IF(AND(HT79=0,GA79=1,OU79&gt;0),MIN(OU79,GB79),0)</f>
        <v>0</v>
      </c>
      <c r="OW79" s="1" t="n">
        <f aca="false">OU79-OV79</f>
        <v>0</v>
      </c>
      <c r="OX79" s="1" t="n">
        <f aca="false">IF(AND(HT79=0,FQ79=1,OW79&gt;0),MIN(OW79,FR79),0)</f>
        <v>0</v>
      </c>
      <c r="OY79" s="1" t="n">
        <f aca="false">OW79-OX79</f>
        <v>0</v>
      </c>
      <c r="OZ79" s="1" t="n">
        <f aca="false">IF(AND(HT79=0,FG79=1,OY79&gt;0),MIN(OY79,FH79),0)</f>
        <v>0</v>
      </c>
      <c r="PA79" s="1" t="n">
        <f aca="false">OY79-OZ79</f>
        <v>0</v>
      </c>
      <c r="PB79" s="1" t="n">
        <f aca="false">IF(AND(HT79=0,EW79=1,PA79&gt;0),MIN(PA79,EX79),0)</f>
        <v>0</v>
      </c>
      <c r="PC79" s="1" t="n">
        <f aca="false">PA79-PB79</f>
        <v>0</v>
      </c>
      <c r="PD79" s="1" t="n">
        <f aca="false">IF(AND(HT79=0,EM79=1,PC79&gt;0),MIN(PC79,EN79),0)</f>
        <v>0</v>
      </c>
      <c r="PE79" s="1" t="n">
        <f aca="false">PC79-PD79</f>
        <v>0</v>
      </c>
      <c r="PF79" s="1" t="n">
        <f aca="false">IF(AND(HT79=0,EC79=1,PE79&gt;0),MIN(PE79,ED79),0)</f>
        <v>0</v>
      </c>
      <c r="PG79" s="1" t="n">
        <f aca="false">PE79-PF79</f>
        <v>0</v>
      </c>
      <c r="PH79" s="1" t="n">
        <f aca="false">IF(AND(HT79=0,DS79=1,PG79&gt;0),MIN(PG79,DT79),0)</f>
        <v>0</v>
      </c>
      <c r="PI79" s="1" t="n">
        <f aca="false">PG79-PH79</f>
        <v>0</v>
      </c>
      <c r="PJ79" s="1" t="n">
        <f aca="false">IF(AND(HT79=0,DI79=1,PI79&gt;0),MIN(PI79,DJ79),0)</f>
        <v>0</v>
      </c>
      <c r="PK79" s="1" t="n">
        <f aca="false">PI79-PJ79</f>
        <v>0</v>
      </c>
      <c r="PL79" s="1" t="n">
        <f aca="false">IF(AND(HT79=0,CY79=1,PK79&gt;0),MIN(PK79,CZ79),0)</f>
        <v>0</v>
      </c>
      <c r="PM79" s="1" t="n">
        <f aca="false">PK79-PL79</f>
        <v>0</v>
      </c>
      <c r="PN79" s="1" t="n">
        <f aca="false">IF(AND(HT79=0,CO79=1,PM79&gt;0),MIN(PM79,CP79),0)</f>
        <v>0</v>
      </c>
      <c r="PO79" s="1" t="n">
        <f aca="false">PM79-PN79</f>
        <v>0</v>
      </c>
      <c r="PP79" s="1" t="n">
        <f aca="false">IF(AND(HT79=0,CE79=1,PO79&gt;0),MIN(PO79,CF79),0)</f>
        <v>0</v>
      </c>
      <c r="PQ79" s="1" t="n">
        <f aca="false">PO79-PP79</f>
        <v>0</v>
      </c>
      <c r="PR79" s="1" t="n">
        <f aca="false">IF(AND(HT79=0,BU79=1,PQ79&gt;0),MIN(PQ79,BV79),0)</f>
        <v>0</v>
      </c>
      <c r="PS79" s="1" t="n">
        <f aca="false">PQ79-PR79</f>
        <v>0</v>
      </c>
      <c r="PT79" s="1" t="n">
        <f aca="false">IF(AND(HT79=0,BK79=1,PS79&gt;0),MIN(PS79,BL79),0)</f>
        <v>0</v>
      </c>
      <c r="PU79" s="1" t="n">
        <f aca="false">PS79-PT79</f>
        <v>0</v>
      </c>
      <c r="PV79" s="1" t="n">
        <f aca="false">IF(AND(HT79=0,BA79=1,PU79&gt;0),MIN(PU79,BB79),0)</f>
        <v>0</v>
      </c>
      <c r="PW79" s="1" t="n">
        <f aca="false">PU79-PV79</f>
        <v>0</v>
      </c>
      <c r="PX79" s="1" t="n">
        <f aca="false">IF(AND(HT79=0,AQ79=1,PW79&gt;0),MIN(PW79,AR79),0)</f>
        <v>0</v>
      </c>
      <c r="PY79" s="1" t="n">
        <f aca="false">PW79-PX79</f>
        <v>0</v>
      </c>
      <c r="PZ79" s="1" t="n">
        <f aca="false">IF(AND(HT79=0,AG79=1,PY79&gt;0),MIN(PY79,AH79),0)</f>
        <v>0</v>
      </c>
      <c r="QA79" s="1" t="n">
        <f aca="false">PY79-PZ79</f>
        <v>0</v>
      </c>
      <c r="QB79" s="1" t="n">
        <f aca="false">IF(AND(HT79=0,V79=1,QA79&gt;0),MIN(QA79,W79),0)</f>
        <v>0</v>
      </c>
      <c r="QC79" s="1" t="n">
        <f aca="false">QA79-QB79</f>
        <v>0</v>
      </c>
      <c r="QD79" s="1" t="n">
        <f aca="false">IF(HT79=0,QC79,0)</f>
        <v>0</v>
      </c>
      <c r="QE79" s="1" t="n">
        <f aca="false">OL79+ON79+QB79+PZ79+PX79+PV79+PT79+PR79+PP79+PN79+PL79+PJ79+PH79+PF79+PD79+PB79+OZ79+OX79+OV79+OT79+OR79+OP79</f>
        <v>0</v>
      </c>
      <c r="QF79" s="1" t="n">
        <f aca="false">IF(HT79=1,HJ79+OI79+OH79+IF(F79=1,0,OJ79),HJ79-OL79)</f>
        <v>302087.407305701</v>
      </c>
      <c r="QG79" s="1" t="n">
        <f aca="false">HK79-ON79</f>
        <v>0</v>
      </c>
      <c r="QH79" s="1" t="n">
        <f aca="false">IF(HT79=1,IF(F79=1,IC79+ID79,HR79),0)</f>
        <v>50793.9798754132</v>
      </c>
      <c r="QI79" s="1" t="n">
        <f aca="false">IF(HT79=1,IF(F79=1,HR79-IC79-ID79,0),0)</f>
        <v>0</v>
      </c>
      <c r="QJ79" s="1" t="n">
        <f aca="false">QF79*(1+GR)</f>
        <v>307041.640785514</v>
      </c>
      <c r="QK79" s="1" t="n">
        <f aca="false">QG79*(1+AS_Cash)</f>
        <v>0</v>
      </c>
      <c r="QL79" s="1" t="n">
        <f aca="false">IF(V79=1,IF(HT79=1,IH79+IK79,W79-QB79)*(1+Slot1_Rate),0)</f>
        <v>0</v>
      </c>
      <c r="QM79" s="1" t="n">
        <f aca="false">IF(AND(HT79=1,V79=1),(IG79+IK79)/E79,0)</f>
        <v>0</v>
      </c>
      <c r="QN79" s="1" t="n">
        <f aca="false">IF(B79=0,IG79+IK79,0)</f>
        <v>0</v>
      </c>
      <c r="QO79" s="1" t="n">
        <f aca="false">IF(B79=0,IF(HT79=1,II79,IJ79),0)</f>
        <v>0</v>
      </c>
      <c r="QP79" s="1" t="n">
        <f aca="false">IF(AG79=1,IF(HT79=1,IP79+IS79,AH79-PZ79)*(1+Slot2_Rate),0)</f>
        <v>0</v>
      </c>
      <c r="QQ79" s="1" t="n">
        <f aca="false">IF(AND(HT79=1,AG79=1),(IO79+IS79)/E79,0)</f>
        <v>0</v>
      </c>
      <c r="QR79" s="1" t="n">
        <f aca="false">IF(B79=0,IO79+IS79,0)</f>
        <v>0</v>
      </c>
      <c r="QS79" s="1" t="n">
        <f aca="false">IF(B79=0,IF(HT79=1,IQ79,IR79),0)</f>
        <v>0</v>
      </c>
      <c r="QT79" s="1" t="n">
        <f aca="false">IF(AQ79=1,IF(HT79=1,IX79+JA79,AR79-PX79)*(1+Slot3_Rate),0)</f>
        <v>0</v>
      </c>
      <c r="QU79" s="1" t="n">
        <f aca="false">IF(AND(HT79=1,AQ79=1),(IW79+JA79)/E79,0)</f>
        <v>0</v>
      </c>
      <c r="QV79" s="1" t="n">
        <f aca="false">IF(B79=0,IW79+JA79,0)</f>
        <v>0</v>
      </c>
      <c r="QW79" s="1" t="n">
        <f aca="false">IF(B79=0,IF(HT79=1,IY79,IZ79),0)</f>
        <v>0</v>
      </c>
      <c r="QX79" s="1" t="n">
        <f aca="false">IF(BA79=1,IF(HT79=1,JF79+JI79,BB79-PV79)*(1+Slot4_Rate),0)</f>
        <v>0</v>
      </c>
      <c r="QY79" s="1" t="n">
        <f aca="false">IF(AND(HT79=1,BA79=1),(JE79+JI79)/E79,0)</f>
        <v>0</v>
      </c>
      <c r="QZ79" s="1" t="n">
        <f aca="false">IF(B79=0,JE79+JI79,0)</f>
        <v>0</v>
      </c>
      <c r="RA79" s="1" t="n">
        <f aca="false">IF(B79=0,IF(HT79=1,JG79,JH79),0)</f>
        <v>0</v>
      </c>
      <c r="RB79" s="1" t="n">
        <f aca="false">IF(BK79=1,IF(HT79=1,JN79+JQ79,BL79-PT79)*(1+Slot5_Rate),0)</f>
        <v>0</v>
      </c>
      <c r="RC79" s="1" t="n">
        <f aca="false">IF(AND(HT79=1,BK79=1),(JM79+JQ79)/E79,0)</f>
        <v>0</v>
      </c>
      <c r="RD79" s="1" t="n">
        <f aca="false">IF(B79=0,JM79+JQ79,0)</f>
        <v>0</v>
      </c>
      <c r="RE79" s="1" t="n">
        <f aca="false">IF(B79=0,IF(HT79=1,JO79,JP79),0)</f>
        <v>0</v>
      </c>
      <c r="RF79" s="1" t="n">
        <f aca="false">IF(BU79=1,IF(HT79=1,JV79+JY79,BV79-PR79)*(1+Slot6_Rate),0)</f>
        <v>0</v>
      </c>
      <c r="RG79" s="1" t="n">
        <f aca="false">IF(AND(HT79=1,BU79=1),(JU79+JY79)/E79,0)</f>
        <v>0</v>
      </c>
      <c r="RH79" s="1" t="n">
        <f aca="false">IF(B79=0,JU79+JY79,0)</f>
        <v>0</v>
      </c>
      <c r="RI79" s="1" t="n">
        <f aca="false">IF(B79=0,IF(HT79=1,JW79,JX79),0)</f>
        <v>0</v>
      </c>
      <c r="RJ79" s="1" t="n">
        <f aca="false">IF(CE79=1,IF(HT79=1,KD79+KG79,CF79-PP79)*(1+Slot7_Rate),0)</f>
        <v>0</v>
      </c>
      <c r="RK79" s="1" t="n">
        <f aca="false">IF(AND(HT79=1,CE79=1),(KC79+KG79)/E79,0)</f>
        <v>0</v>
      </c>
      <c r="RL79" s="1" t="n">
        <f aca="false">IF(B79=0,KC79+KG79,0)</f>
        <v>0</v>
      </c>
      <c r="RM79" s="1" t="n">
        <f aca="false">IF(B79=0,IF(HT79=1,KE79,KF79),0)</f>
        <v>0</v>
      </c>
      <c r="RN79" s="1" t="n">
        <f aca="false">IF(CO79=1,IF(HT79=1,KL79+KO79,CP79-PN79)*(1+Slot8_Rate),0)</f>
        <v>0</v>
      </c>
      <c r="RO79" s="1" t="n">
        <f aca="false">IF(AND(HT79=1,CO79=1),(KK79+KO79)/E79,0)</f>
        <v>0</v>
      </c>
      <c r="RP79" s="1" t="n">
        <f aca="false">IF(B79=0,KK79+KO79,0)</f>
        <v>0</v>
      </c>
      <c r="RQ79" s="1" t="n">
        <f aca="false">IF(B79=0,IF(HT79=1,KM79,KN79),0)</f>
        <v>0</v>
      </c>
      <c r="RR79" s="1" t="n">
        <f aca="false">IF(CY79=1,IF(HT79=1,KT79+KW79,CZ79-PL79)*(1+Slot9_Rate),0)</f>
        <v>0</v>
      </c>
      <c r="RS79" s="1" t="n">
        <f aca="false">IF(AND(HT79=1,CY79=1),(KS79+KW79)/E79,0)</f>
        <v>0</v>
      </c>
      <c r="RT79" s="1" t="n">
        <f aca="false">IF(B79=0,KS79+KW79,0)</f>
        <v>0</v>
      </c>
      <c r="RU79" s="1" t="n">
        <f aca="false">IF(B79=0,IF(HT79=1,KU79,KV79),0)</f>
        <v>0</v>
      </c>
      <c r="RV79" s="1" t="n">
        <f aca="false">IF(DI79=1,IF(HT79=1,LB79+LE79,DJ79-PJ79)*(1+Slot10_Rate),0)</f>
        <v>0</v>
      </c>
      <c r="RW79" s="1" t="n">
        <f aca="false">IF(AND(HT79=1,DI79=1),(LA79+LE79)/E79,0)</f>
        <v>0</v>
      </c>
      <c r="RX79" s="1" t="n">
        <f aca="false">IF(B79=0,LA79+LE79,0)</f>
        <v>0</v>
      </c>
      <c r="RY79" s="1" t="n">
        <f aca="false">IF(B79=0,IF(HT79=1,LC79,LD79),0)</f>
        <v>0</v>
      </c>
      <c r="RZ79" s="1" t="n">
        <f aca="false">IF(DS79=1,IF(HT79=1,LJ79+LM79,DT79-PH79)*(1+Slot11_Rate),0)</f>
        <v>0</v>
      </c>
      <c r="SA79" s="1" t="n">
        <f aca="false">IF(AND(HT79=1,DS79=1),(LI79+LM79)/E79,0)</f>
        <v>0</v>
      </c>
      <c r="SB79" s="1" t="n">
        <f aca="false">IF(B79=0,LI79+LM79,0)</f>
        <v>0</v>
      </c>
      <c r="SC79" s="1" t="n">
        <f aca="false">IF(B79=0,IF(HT79=1,LK79,LL79),0)</f>
        <v>0</v>
      </c>
      <c r="SD79" s="1" t="n">
        <f aca="false">IF(EC79=1,IF(HT79=1,LR79+LU79,ED79-PF79)*(1+Slot12_Rate),0)</f>
        <v>0</v>
      </c>
      <c r="SE79" s="1" t="n">
        <f aca="false">IF(AND(HT79=1,EC79=1),(LQ79+LU79)/E79,0)</f>
        <v>0</v>
      </c>
      <c r="SF79" s="1" t="n">
        <f aca="false">IF(B79=0,LQ79+LU79,0)</f>
        <v>0</v>
      </c>
      <c r="SG79" s="1" t="n">
        <f aca="false">IF(B79=0,IF(HT79=1,LS79,LT79),0)</f>
        <v>0</v>
      </c>
      <c r="SH79" s="1" t="n">
        <f aca="false">IF(EM79=1,IF(HT79=1,LZ79+MC79,EN79-PD79)*(1+Slot13_Rate),0)</f>
        <v>0</v>
      </c>
      <c r="SI79" s="1" t="n">
        <f aca="false">IF(AND(HT79=1,EM79=1),(LY79+MC79)/E79,0)</f>
        <v>0</v>
      </c>
      <c r="SJ79" s="1" t="n">
        <f aca="false">IF(B79=0,LY79+MC79,0)</f>
        <v>0</v>
      </c>
      <c r="SK79" s="1" t="n">
        <f aca="false">IF(B79=0,IF(HT79=1,MA79,MB79),0)</f>
        <v>0</v>
      </c>
      <c r="SL79" s="1" t="n">
        <f aca="false">IF(EW79=1,IF(HT79=1,MH79+MK79,EX79-PB79)*(1+Slot14_Rate),0)</f>
        <v>0</v>
      </c>
      <c r="SM79" s="1" t="n">
        <f aca="false">IF(AND(HT79=1,EW79=1),(MG79+MK79)/E79,0)</f>
        <v>0</v>
      </c>
      <c r="SN79" s="1" t="n">
        <f aca="false">IF(B79=0,MG79+MK79,0)</f>
        <v>0</v>
      </c>
      <c r="SO79" s="1" t="n">
        <f aca="false">IF(B79=0,IF(HT79=1,MI79,MJ79),0)</f>
        <v>0</v>
      </c>
      <c r="SP79" s="1" t="n">
        <f aca="false">IF(FG79=1,IF(HT79=1,MP79+MS79,FH79-OZ79)*(1+Slot15_Rate),0)</f>
        <v>0</v>
      </c>
      <c r="SQ79" s="1" t="n">
        <f aca="false">IF(AND(HT79=1,FG79=1),(MO79+MS79)/E79,0)</f>
        <v>0</v>
      </c>
      <c r="SR79" s="1" t="n">
        <f aca="false">IF(B79=0,MO79+MS79,0)</f>
        <v>0</v>
      </c>
      <c r="SS79" s="1" t="n">
        <f aca="false">IF(B79=0,IF(HT79=1,MQ79,MR79),0)</f>
        <v>0</v>
      </c>
      <c r="ST79" s="1" t="n">
        <f aca="false">IF(FQ79=1,IF(HT79=1,MX79+NA79,FR79-OX79)*(1+Slot16_Rate),0)</f>
        <v>0</v>
      </c>
      <c r="SU79" s="1" t="n">
        <f aca="false">IF(AND(HT79=1,FQ79=1),(MW79+NA79)/E79,0)</f>
        <v>0</v>
      </c>
      <c r="SV79" s="1" t="n">
        <f aca="false">IF(B79=0,MW79+NA79,0)</f>
        <v>0</v>
      </c>
      <c r="SW79" s="1" t="n">
        <f aca="false">IF(B79=0,IF(HT79=1,MY79,MZ79),0)</f>
        <v>0</v>
      </c>
      <c r="SX79" s="1" t="n">
        <f aca="false">IF(GA79=1,IF(HT79=1,NF79+NI79,GB79-OV79)*(1+Slot17_Rate),0)</f>
        <v>0</v>
      </c>
      <c r="SY79" s="1" t="n">
        <f aca="false">IF(AND(HT79=1,GA79=1),(NE79+NI79)/E79,0)</f>
        <v>0</v>
      </c>
      <c r="SZ79" s="1" t="n">
        <f aca="false">IF(B79=0,NE79+NI79,0)</f>
        <v>0</v>
      </c>
      <c r="TA79" s="1" t="n">
        <f aca="false">IF(B79=0,IF(HT79=1,NG79,NH79),0)</f>
        <v>0</v>
      </c>
      <c r="TB79" s="1" t="n">
        <f aca="false">IF(GK79=1,IF(HT79=1,NN79+NQ79,GL79-OT79)*(1+Slot18_Rate),0)</f>
        <v>0</v>
      </c>
      <c r="TC79" s="1" t="n">
        <f aca="false">IF(AND(HT79=1,GK79=1),(NM79+NQ79)/E79,0)</f>
        <v>0</v>
      </c>
      <c r="TD79" s="1" t="n">
        <f aca="false">IF(B79=0,NM79+NQ79,0)</f>
        <v>0</v>
      </c>
      <c r="TE79" s="1" t="n">
        <f aca="false">IF(B79=0,IF(HT79=1,NO79,NP79),0)</f>
        <v>0</v>
      </c>
      <c r="TF79" s="1" t="n">
        <f aca="false">IF(GU79=1,IF(HT79=1,NV79+NY79,GV79-OR79)*(1+Slot19_Rate),0)</f>
        <v>0</v>
      </c>
      <c r="TG79" s="1" t="n">
        <f aca="false">IF(AND(HT79=1,GU79=1),(NU79+NY79)/E79,0)</f>
        <v>0</v>
      </c>
      <c r="TH79" s="1" t="n">
        <f aca="false">IF(B79=0,NU79+NY79,0)</f>
        <v>0</v>
      </c>
      <c r="TI79" s="1" t="n">
        <f aca="false">IF(B79=0,IF(HT79=1,NW79,NX79),0)</f>
        <v>0</v>
      </c>
      <c r="TJ79" s="1" t="n">
        <f aca="false">IF(HE79=1,IF(HT79=1,OD79+OG79,HF79-OP79)*(1+Slot20_Rate),0)</f>
        <v>0</v>
      </c>
      <c r="TK79" s="1" t="n">
        <f aca="false">IF(AND(HT79=1,HE79=1),(OC79+OG79)/E79,0)</f>
        <v>0</v>
      </c>
      <c r="TL79" s="1" t="n">
        <f aca="false">IF(B79=0,OC79+OG79,0)</f>
        <v>0</v>
      </c>
      <c r="TM79" s="1" t="n">
        <f aca="false">IF(B79=0,IF(HT79=1,OE79,OF79),0)</f>
        <v>0</v>
      </c>
      <c r="TN79" s="1" t="n">
        <f aca="false">QJ79+QK79+QL79+QP79+QT79+QX79+RB79+RF79+RJ79+RN79+RR79+RV79+RZ79+SD79+SH79+SL79+SP79+ST79+SX79+TB79+TF79+TJ79</f>
        <v>307041.640785514</v>
      </c>
      <c r="TO79" s="1" t="n">
        <f aca="false">QD79+HO79</f>
        <v>0</v>
      </c>
      <c r="TP79" s="1" t="n">
        <f aca="false">H79+R79</f>
        <v>0</v>
      </c>
      <c r="TQ79" s="1" t="n">
        <f aca="false">1-F79</f>
        <v>1</v>
      </c>
      <c r="TR79" s="1" t="n">
        <f aca="false">IF(AND(RG_Exists=1,F79=0,C79=1),H79,0)</f>
        <v>0</v>
      </c>
      <c r="TS79" s="1" t="n">
        <f aca="false">IF(AND(RG_Exists=1,F79=0,C79=1),H79-MIN(QD79,H79),0)</f>
        <v>0</v>
      </c>
      <c r="TT79" s="1" t="n">
        <f aca="false">'Plan pay &amp; tax'!AD305</f>
        <v>0</v>
      </c>
      <c r="TU79" s="1" t="n">
        <f aca="false">IF(AND(C79=1,QD79&gt;MAX(PR_Short1,TP79*PR_Short2)),1,0)</f>
        <v>0</v>
      </c>
      <c r="TV79" s="1" t="n">
        <f aca="false">MIN(G79,H79+R79)</f>
        <v>0</v>
      </c>
      <c r="TW79" s="1" t="n">
        <f aca="false">QE79+MAX(0,HP79-HO79)</f>
        <v>0</v>
      </c>
      <c r="TX79" s="1" t="n">
        <f aca="false">QD79+HO79</f>
        <v>0</v>
      </c>
      <c r="TY79" s="1" t="n">
        <f aca="false">IF(AND(C79=1,TX79&gt;PR_MinShort),1,0)</f>
        <v>0</v>
      </c>
      <c r="TZ79" s="1" t="n">
        <f aca="false">IF(AND(C79=1,TY79=0,TW79&gt;PR_MinShort),1,0)</f>
        <v>0</v>
      </c>
      <c r="UA79" s="1" t="n">
        <f aca="false">IF(AND(C79=1,QD79&gt;PR_MinShort),1,0)</f>
        <v>0</v>
      </c>
      <c r="UB79" s="1" t="n">
        <f aca="false">IF(AND(C79=1,QE79&gt;1,UI79=0),1,0)</f>
        <v>0</v>
      </c>
      <c r="UC79" s="1" t="str">
        <f aca="false">IF(C79=0,"",IF(UI79=1,"Gap to plan for: short "&amp;"€"&amp;TEXT(ROUND(TO79,0),"#,##0"),IF(QE79&gt;1,"Using savings","Comfortable")))</f>
        <v>Comfortable</v>
      </c>
      <c r="UD79" s="1" t="n">
        <f aca="false">IF(AND(INT(D79/10)*10=90,B79&gt;0),80,INT(D79/10)*10)</f>
        <v>70</v>
      </c>
      <c r="UE79" s="1" t="n">
        <f aca="false">IF(B79=0,1,IF(UD79&lt;&gt;UD78,UE78+1,UE78))</f>
        <v>8</v>
      </c>
      <c r="UF79" s="1" t="n">
        <f aca="false">IF(AND(C79=1,F79=1,QD79&gt;MAX(PR_Short1,TP79*PR_Short2)),1,0)</f>
        <v>0</v>
      </c>
      <c r="UG79" s="1" t="n">
        <f aca="false">TQ79*TU79</f>
        <v>0</v>
      </c>
      <c r="UH79" s="1" t="n">
        <f aca="false">IF(AND(U79=1,Slot1_PctLow=1),1,0)+IF(AND(AF79=1,Slot2_PctLow=1),1,0)+IF(AND(AP79=1,Slot3_PctLow=1),1,0)+IF(AND(AZ79=1,Slot4_PctLow=1),1,0)+IF(AND(BJ79=1,Slot5_PctLow=1),1,0)+IF(AND(BT79=1,Slot6_PctLow=1),1,0)+IF(AND(CD79=1,Slot7_PctLow=1),1,0)+IF(AND(CN79=1,Slot8_PctLow=1),1,0)+IF(AND(CX79=1,Slot9_PctLow=1),1,0)+IF(AND(DH79=1,Slot10_PctLow=1),1,0)+IF(AND(DR79=1,Slot11_PctLow=1),1,0)+IF(AND(EB79=1,Slot12_PctLow=1),1,0)+IF(AND(EL79=1,Slot13_PctLow=1),1,0)+IF(AND(EV79=1,Slot14_PctLow=1),1,0)+IF(AND(FF79=1,Slot15_PctLow=1),1,0)+IF(AND(FP79=1,Slot16_PctLow=1),1,0)+IF(AND(FZ79=1,Slot17_PctLow=1),1,0)+IF(AND(GJ79=1,Slot18_PctLow=1),1,0)+IF(AND(GT79=1,Slot19_PctLow=1),1,0)+IF(AND(HD79=1,Slot20_PctLow=1),1,0)</f>
        <v>0</v>
      </c>
      <c r="UI79" s="1" t="n">
        <f aca="false">IF(C79=1,IF(OR(TU79=1,UH79&gt;0),1,0),0)</f>
        <v>0</v>
      </c>
    </row>
    <row r="80" customFormat="false" ht="15" hidden="false" customHeight="true" outlineLevel="0" collapsed="false">
      <c r="B80" s="1" t="n">
        <v>72</v>
      </c>
      <c r="C80" s="1" t="n">
        <f aca="false">IF(B80&lt;=F_N,1,0)</f>
        <v>1</v>
      </c>
      <c r="D80" s="1" t="n">
        <f aca="false">'Plan pay &amp; tax'!C306</f>
        <v>72</v>
      </c>
      <c r="E80" s="111" t="n">
        <f aca="false">'Plan pay &amp; tax'!E306</f>
        <v>4.16114037505152</v>
      </c>
      <c r="F80" s="1" t="n">
        <f aca="false">'Plan pay &amp; tax'!G306</f>
        <v>0</v>
      </c>
      <c r="G80" s="1" t="n">
        <f aca="false">'Plan pay &amp; tax'!BT306-'Plan pay &amp; tax'!BS306-'Plan pay &amp; tax'!R306</f>
        <v>51809.8594729214</v>
      </c>
      <c r="H80" s="1" t="n">
        <f aca="false">IF(F80=1,F_CostsM*12,IF(RG_Exists=1,RG_Amount,F_CostsM*12*AS_RetireSpend))*E80+F_OneOffY*E80</f>
        <v>0</v>
      </c>
      <c r="I80" s="1" t="n">
        <f aca="false">HQ79</f>
        <v>0</v>
      </c>
      <c r="J80" s="1" t="n">
        <f aca="false">IF(I80&gt;1,'Plan debt months'!AC80,0)</f>
        <v>0</v>
      </c>
      <c r="K80" s="1" t="n">
        <f aca="false">IF(I80&gt;1,'Plan debt months'!AB80,I80)</f>
        <v>0</v>
      </c>
      <c r="L80" s="1" t="n">
        <f aca="false">N79</f>
        <v>0</v>
      </c>
      <c r="M80" s="1" t="n">
        <f aca="false">IF(L80&gt;1,'Plan debt months'!BD80,0)</f>
        <v>0</v>
      </c>
      <c r="N80" s="1" t="n">
        <f aca="false">IF(L80&gt;1,'Plan debt months'!BC80,L80)</f>
        <v>0</v>
      </c>
      <c r="O80" s="1" t="n">
        <f aca="false">Q79</f>
        <v>0</v>
      </c>
      <c r="P80" s="1" t="n">
        <f aca="false">IF(O80&gt;1,'Plan debt months'!CE80,0)</f>
        <v>0</v>
      </c>
      <c r="Q80" s="1" t="n">
        <f aca="false">IF(O80&gt;1,'Plan debt months'!CD80,O80)</f>
        <v>0</v>
      </c>
      <c r="R80" s="1" t="n">
        <f aca="false">J80+M80+P80</f>
        <v>0</v>
      </c>
      <c r="S80" s="1" t="n">
        <f aca="false">QJ79+'Plan pay &amp; tax'!Y306</f>
        <v>307041.640785514</v>
      </c>
      <c r="T80" s="1" t="n">
        <f aca="false">QJ79</f>
        <v>307041.640785514</v>
      </c>
      <c r="U80" s="1" t="n">
        <f aca="false">IF(AND(Slot1_On=1,D80=Slot1_Age),1,0)</f>
        <v>0</v>
      </c>
      <c r="V80" s="1" t="n">
        <f aca="false">IF(AND(Slot1_On=1,Slot1_Age&gt;D80),1,0)</f>
        <v>0</v>
      </c>
      <c r="W80" s="1" t="n">
        <f aca="false">QL79</f>
        <v>0</v>
      </c>
      <c r="X80" s="1" t="n">
        <f aca="false">U80*MIN(Slot1_Cost,W80)</f>
        <v>0</v>
      </c>
      <c r="Y80" s="1" t="n">
        <f aca="false">U80*Slot1_SpendLike*MIN(Slot1_Cost-X80,S80)</f>
        <v>0</v>
      </c>
      <c r="Z80" s="1" t="n">
        <f aca="false">X80+Y80</f>
        <v>0</v>
      </c>
      <c r="AA80" s="1" t="n">
        <f aca="false">S80-Y80+U80*IF(Slot1_SpendLike=1,W80-X80,IF(Slot1_PotFree=1,W80,0))</f>
        <v>307041.640785514</v>
      </c>
      <c r="AB80" s="1" t="n">
        <f aca="false">AE80+U80*Slot1_BufPot*W80</f>
        <v>0</v>
      </c>
      <c r="AC80" s="1" t="n">
        <f aca="false">IF(AND(U80=1,Slot1_IsMfree=1),IF(Z80&gt;=Slot1_Cost-1,0,MAX(0,K80-Z80)),K80)</f>
        <v>0</v>
      </c>
      <c r="AD80" s="1" t="n">
        <f aca="false">U80*(Slot1_Cost-Z80)</f>
        <v>0</v>
      </c>
      <c r="AE80" s="1" t="n">
        <f aca="false">QK79</f>
        <v>0</v>
      </c>
      <c r="AF80" s="1" t="n">
        <f aca="false">IF(AND(Slot2_On=1,D80=Slot2_Age),1,0)</f>
        <v>0</v>
      </c>
      <c r="AG80" s="1" t="n">
        <f aca="false">IF(AND(Slot2_On=1,Slot2_Age&gt;D80),1,0)</f>
        <v>0</v>
      </c>
      <c r="AH80" s="1" t="n">
        <f aca="false">QP79</f>
        <v>0</v>
      </c>
      <c r="AI80" s="1" t="n">
        <f aca="false">AF80*MIN(Slot2_Cost,AH80)</f>
        <v>0</v>
      </c>
      <c r="AJ80" s="1" t="n">
        <f aca="false">AF80*Slot2_SpendLike*MIN(Slot2_Cost-AI80,AA80)</f>
        <v>0</v>
      </c>
      <c r="AK80" s="1" t="n">
        <f aca="false">AI80+AJ80</f>
        <v>0</v>
      </c>
      <c r="AL80" s="1" t="n">
        <f aca="false">AA80-AJ80+AF80*IF(Slot2_SpendLike=1,AH80-AI80,IF(Slot2_PotFree=1,AH80,0))</f>
        <v>307041.640785514</v>
      </c>
      <c r="AM80" s="1" t="n">
        <f aca="false">AB80+AF80*Slot2_BufPot*AH80</f>
        <v>0</v>
      </c>
      <c r="AN80" s="1" t="n">
        <f aca="false">IF(AND(AF80=1,Slot2_IsMfree=1),IF(AK80&gt;=Slot2_Cost-1,0,MAX(0,AC80-AK80)),AC80)</f>
        <v>0</v>
      </c>
      <c r="AO80" s="1" t="n">
        <f aca="false">AF80*(Slot2_Cost-AK80)</f>
        <v>0</v>
      </c>
      <c r="AP80" s="1" t="n">
        <f aca="false">IF(AND(Slot3_On=1,D80=Slot3_Age),1,0)</f>
        <v>0</v>
      </c>
      <c r="AQ80" s="1" t="n">
        <f aca="false">IF(AND(Slot3_On=1,Slot3_Age&gt;D80),1,0)</f>
        <v>0</v>
      </c>
      <c r="AR80" s="1" t="n">
        <f aca="false">QT79</f>
        <v>0</v>
      </c>
      <c r="AS80" s="1" t="n">
        <f aca="false">AP80*MIN(Slot3_Cost,AR80)</f>
        <v>0</v>
      </c>
      <c r="AT80" s="1" t="n">
        <f aca="false">AP80*Slot3_SpendLike*MIN(Slot3_Cost-AS80,AL80)</f>
        <v>0</v>
      </c>
      <c r="AU80" s="1" t="n">
        <f aca="false">AS80+AT80</f>
        <v>0</v>
      </c>
      <c r="AV80" s="1" t="n">
        <f aca="false">AL80-AT80+AP80*IF(Slot3_SpendLike=1,AR80-AS80,IF(Slot3_PotFree=1,AR80,0))</f>
        <v>307041.640785514</v>
      </c>
      <c r="AW80" s="1" t="n">
        <f aca="false">AM80+AP80*Slot3_BufPot*AR80</f>
        <v>0</v>
      </c>
      <c r="AX80" s="1" t="n">
        <f aca="false">IF(AND(AP80=1,Slot3_IsMfree=1),IF(AU80&gt;=Slot3_Cost-1,0,MAX(0,AN80-AU80)),AN80)</f>
        <v>0</v>
      </c>
      <c r="AY80" s="1" t="n">
        <f aca="false">AP80*(Slot3_Cost-AU80)</f>
        <v>0</v>
      </c>
      <c r="AZ80" s="1" t="n">
        <f aca="false">IF(AND(Slot4_On=1,D80=Slot4_Age),1,0)</f>
        <v>0</v>
      </c>
      <c r="BA80" s="1" t="n">
        <f aca="false">IF(AND(Slot4_On=1,Slot4_Age&gt;D80),1,0)</f>
        <v>0</v>
      </c>
      <c r="BB80" s="1" t="n">
        <f aca="false">QX79</f>
        <v>0</v>
      </c>
      <c r="BC80" s="1" t="n">
        <f aca="false">AZ80*MIN(Slot4_Cost,BB80)</f>
        <v>0</v>
      </c>
      <c r="BD80" s="1" t="n">
        <f aca="false">AZ80*Slot4_SpendLike*MIN(Slot4_Cost-BC80,AV80)</f>
        <v>0</v>
      </c>
      <c r="BE80" s="1" t="n">
        <f aca="false">BC80+BD80</f>
        <v>0</v>
      </c>
      <c r="BF80" s="1" t="n">
        <f aca="false">AV80-BD80+AZ80*IF(Slot4_SpendLike=1,BB80-BC80,IF(Slot4_PotFree=1,BB80,0))</f>
        <v>307041.640785514</v>
      </c>
      <c r="BG80" s="1" t="n">
        <f aca="false">AW80+AZ80*Slot4_BufPot*BB80</f>
        <v>0</v>
      </c>
      <c r="BH80" s="1" t="n">
        <f aca="false">IF(AND(AZ80=1,Slot4_IsMfree=1),IF(BE80&gt;=Slot4_Cost-1,0,MAX(0,AX80-BE80)),AX80)</f>
        <v>0</v>
      </c>
      <c r="BI80" s="1" t="n">
        <f aca="false">AZ80*(Slot4_Cost-BE80)</f>
        <v>0</v>
      </c>
      <c r="BJ80" s="1" t="n">
        <f aca="false">IF(AND(Slot5_On=1,D80=Slot5_Age),1,0)</f>
        <v>0</v>
      </c>
      <c r="BK80" s="1" t="n">
        <f aca="false">IF(AND(Slot5_On=1,Slot5_Age&gt;D80),1,0)</f>
        <v>0</v>
      </c>
      <c r="BL80" s="1" t="n">
        <f aca="false">RB79</f>
        <v>0</v>
      </c>
      <c r="BM80" s="1" t="n">
        <f aca="false">BJ80*MIN(Slot5_Cost,BL80)</f>
        <v>0</v>
      </c>
      <c r="BN80" s="1" t="n">
        <f aca="false">BJ80*Slot5_SpendLike*MIN(Slot5_Cost-BM80,BF80)</f>
        <v>0</v>
      </c>
      <c r="BO80" s="1" t="n">
        <f aca="false">BM80+BN80</f>
        <v>0</v>
      </c>
      <c r="BP80" s="1" t="n">
        <f aca="false">BF80-BN80+BJ80*IF(Slot5_SpendLike=1,BL80-BM80,IF(Slot5_PotFree=1,BL80,0))</f>
        <v>307041.640785514</v>
      </c>
      <c r="BQ80" s="1" t="n">
        <f aca="false">BG80+BJ80*Slot5_BufPot*BL80</f>
        <v>0</v>
      </c>
      <c r="BR80" s="1" t="n">
        <f aca="false">IF(AND(BJ80=1,Slot5_IsMfree=1),IF(BO80&gt;=Slot5_Cost-1,0,MAX(0,BH80-BO80)),BH80)</f>
        <v>0</v>
      </c>
      <c r="BS80" s="1" t="n">
        <f aca="false">BJ80*(Slot5_Cost-BO80)</f>
        <v>0</v>
      </c>
      <c r="BT80" s="1" t="n">
        <f aca="false">IF(AND(Slot6_On=1,D80=Slot6_Age),1,0)</f>
        <v>0</v>
      </c>
      <c r="BU80" s="1" t="n">
        <f aca="false">IF(AND(Slot6_On=1,Slot6_Age&gt;D80),1,0)</f>
        <v>0</v>
      </c>
      <c r="BV80" s="1" t="n">
        <f aca="false">RF79</f>
        <v>0</v>
      </c>
      <c r="BW80" s="1" t="n">
        <f aca="false">BT80*MIN(Slot6_Cost,BV80)</f>
        <v>0</v>
      </c>
      <c r="BX80" s="1" t="n">
        <f aca="false">BT80*Slot6_SpendLike*MIN(Slot6_Cost-BW80,BP80)</f>
        <v>0</v>
      </c>
      <c r="BY80" s="1" t="n">
        <f aca="false">BW80+BX80</f>
        <v>0</v>
      </c>
      <c r="BZ80" s="1" t="n">
        <f aca="false">BP80-BX80+BT80*IF(Slot6_SpendLike=1,BV80-BW80,IF(Slot6_PotFree=1,BV80,0))</f>
        <v>307041.640785514</v>
      </c>
      <c r="CA80" s="1" t="n">
        <f aca="false">BQ80+BT80*Slot6_BufPot*BV80</f>
        <v>0</v>
      </c>
      <c r="CB80" s="1" t="n">
        <f aca="false">IF(AND(BT80=1,Slot6_IsMfree=1),IF(BY80&gt;=Slot6_Cost-1,0,MAX(0,BR80-BY80)),BR80)</f>
        <v>0</v>
      </c>
      <c r="CC80" s="1" t="n">
        <f aca="false">BT80*(Slot6_Cost-BY80)</f>
        <v>0</v>
      </c>
      <c r="CD80" s="1" t="n">
        <f aca="false">IF(AND(Slot7_On=1,D80=Slot7_Age),1,0)</f>
        <v>0</v>
      </c>
      <c r="CE80" s="1" t="n">
        <f aca="false">IF(AND(Slot7_On=1,Slot7_Age&gt;D80),1,0)</f>
        <v>0</v>
      </c>
      <c r="CF80" s="1" t="n">
        <f aca="false">RJ79</f>
        <v>0</v>
      </c>
      <c r="CG80" s="1" t="n">
        <f aca="false">CD80*MIN(Slot7_Cost,CF80)</f>
        <v>0</v>
      </c>
      <c r="CH80" s="1" t="n">
        <f aca="false">CD80*Slot7_SpendLike*MIN(Slot7_Cost-CG80,BZ80)</f>
        <v>0</v>
      </c>
      <c r="CI80" s="1" t="n">
        <f aca="false">CG80+CH80</f>
        <v>0</v>
      </c>
      <c r="CJ80" s="1" t="n">
        <f aca="false">BZ80-CH80+CD80*IF(Slot7_SpendLike=1,CF80-CG80,IF(Slot7_PotFree=1,CF80,0))</f>
        <v>307041.640785514</v>
      </c>
      <c r="CK80" s="1" t="n">
        <f aca="false">CA80+CD80*Slot7_BufPot*CF80</f>
        <v>0</v>
      </c>
      <c r="CL80" s="1" t="n">
        <f aca="false">IF(AND(CD80=1,Slot7_IsMfree=1),IF(CI80&gt;=Slot7_Cost-1,0,MAX(0,CB80-CI80)),CB80)</f>
        <v>0</v>
      </c>
      <c r="CM80" s="1" t="n">
        <f aca="false">CD80*(Slot7_Cost-CI80)</f>
        <v>0</v>
      </c>
      <c r="CN80" s="1" t="n">
        <f aca="false">IF(AND(Slot8_On=1,D80=Slot8_Age),1,0)</f>
        <v>0</v>
      </c>
      <c r="CO80" s="1" t="n">
        <f aca="false">IF(AND(Slot8_On=1,Slot8_Age&gt;D80),1,0)</f>
        <v>0</v>
      </c>
      <c r="CP80" s="1" t="n">
        <f aca="false">RN79</f>
        <v>0</v>
      </c>
      <c r="CQ80" s="1" t="n">
        <f aca="false">CN80*MIN(Slot8_Cost,CP80)</f>
        <v>0</v>
      </c>
      <c r="CR80" s="1" t="n">
        <f aca="false">CN80*Slot8_SpendLike*MIN(Slot8_Cost-CQ80,CJ80)</f>
        <v>0</v>
      </c>
      <c r="CS80" s="1" t="n">
        <f aca="false">CQ80+CR80</f>
        <v>0</v>
      </c>
      <c r="CT80" s="1" t="n">
        <f aca="false">CJ80-CR80+CN80*IF(Slot8_SpendLike=1,CP80-CQ80,IF(Slot8_PotFree=1,CP80,0))</f>
        <v>307041.640785514</v>
      </c>
      <c r="CU80" s="1" t="n">
        <f aca="false">CK80+CN80*Slot8_BufPot*CP80</f>
        <v>0</v>
      </c>
      <c r="CV80" s="1" t="n">
        <f aca="false">IF(AND(CN80=1,Slot8_IsMfree=1),IF(CS80&gt;=Slot8_Cost-1,0,MAX(0,CL80-CS80)),CL80)</f>
        <v>0</v>
      </c>
      <c r="CW80" s="1" t="n">
        <f aca="false">CN80*(Slot8_Cost-CS80)</f>
        <v>0</v>
      </c>
      <c r="CX80" s="1" t="n">
        <f aca="false">IF(AND(Slot9_On=1,D80=Slot9_Age),1,0)</f>
        <v>0</v>
      </c>
      <c r="CY80" s="1" t="n">
        <f aca="false">IF(AND(Slot9_On=1,Slot9_Age&gt;D80),1,0)</f>
        <v>0</v>
      </c>
      <c r="CZ80" s="1" t="n">
        <f aca="false">RR79</f>
        <v>0</v>
      </c>
      <c r="DA80" s="1" t="n">
        <f aca="false">CX80*MIN(Slot9_Cost,CZ80)</f>
        <v>0</v>
      </c>
      <c r="DB80" s="1" t="n">
        <f aca="false">CX80*Slot9_SpendLike*MIN(Slot9_Cost-DA80,CT80)</f>
        <v>0</v>
      </c>
      <c r="DC80" s="1" t="n">
        <f aca="false">DA80+DB80</f>
        <v>0</v>
      </c>
      <c r="DD80" s="1" t="n">
        <f aca="false">CT80-DB80+CX80*IF(Slot9_SpendLike=1,CZ80-DA80,IF(Slot9_PotFree=1,CZ80,0))</f>
        <v>307041.640785514</v>
      </c>
      <c r="DE80" s="1" t="n">
        <f aca="false">CU80+CX80*Slot9_BufPot*CZ80</f>
        <v>0</v>
      </c>
      <c r="DF80" s="1" t="n">
        <f aca="false">IF(AND(CX80=1,Slot9_IsMfree=1),IF(DC80&gt;=Slot9_Cost-1,0,MAX(0,CV80-DC80)),CV80)</f>
        <v>0</v>
      </c>
      <c r="DG80" s="1" t="n">
        <f aca="false">CX80*(Slot9_Cost-DC80)</f>
        <v>0</v>
      </c>
      <c r="DH80" s="1" t="n">
        <f aca="false">IF(AND(Slot10_On=1,D80=Slot10_Age),1,0)</f>
        <v>0</v>
      </c>
      <c r="DI80" s="1" t="n">
        <f aca="false">IF(AND(Slot10_On=1,Slot10_Age&gt;D80),1,0)</f>
        <v>0</v>
      </c>
      <c r="DJ80" s="1" t="n">
        <f aca="false">RV79</f>
        <v>0</v>
      </c>
      <c r="DK80" s="1" t="n">
        <f aca="false">DH80*MIN(Slot10_Cost,DJ80)</f>
        <v>0</v>
      </c>
      <c r="DL80" s="1" t="n">
        <f aca="false">DH80*Slot10_SpendLike*MIN(Slot10_Cost-DK80,DD80)</f>
        <v>0</v>
      </c>
      <c r="DM80" s="1" t="n">
        <f aca="false">DK80+DL80</f>
        <v>0</v>
      </c>
      <c r="DN80" s="1" t="n">
        <f aca="false">DD80-DL80+DH80*IF(Slot10_SpendLike=1,DJ80-DK80,IF(Slot10_PotFree=1,DJ80,0))</f>
        <v>307041.640785514</v>
      </c>
      <c r="DO80" s="1" t="n">
        <f aca="false">DE80+DH80*Slot10_BufPot*DJ80</f>
        <v>0</v>
      </c>
      <c r="DP80" s="1" t="n">
        <f aca="false">IF(AND(DH80=1,Slot10_IsMfree=1),IF(DM80&gt;=Slot10_Cost-1,0,MAX(0,DF80-DM80)),DF80)</f>
        <v>0</v>
      </c>
      <c r="DQ80" s="1" t="n">
        <f aca="false">DH80*(Slot10_Cost-DM80)</f>
        <v>0</v>
      </c>
      <c r="DR80" s="1" t="n">
        <f aca="false">IF(AND(Slot11_On=1,D80=Slot11_Age),1,0)</f>
        <v>0</v>
      </c>
      <c r="DS80" s="1" t="n">
        <f aca="false">IF(AND(Slot11_On=1,Slot11_Age&gt;D80),1,0)</f>
        <v>0</v>
      </c>
      <c r="DT80" s="1" t="n">
        <f aca="false">RZ79</f>
        <v>0</v>
      </c>
      <c r="DU80" s="1" t="n">
        <f aca="false">DR80*MIN(Slot11_Cost,DT80)</f>
        <v>0</v>
      </c>
      <c r="DV80" s="1" t="n">
        <f aca="false">DR80*Slot11_SpendLike*MIN(Slot11_Cost-DU80,DN80)</f>
        <v>0</v>
      </c>
      <c r="DW80" s="1" t="n">
        <f aca="false">DU80+DV80</f>
        <v>0</v>
      </c>
      <c r="DX80" s="1" t="n">
        <f aca="false">DN80-DV80+DR80*IF(Slot11_SpendLike=1,DT80-DU80,IF(Slot11_PotFree=1,DT80,0))</f>
        <v>307041.640785514</v>
      </c>
      <c r="DY80" s="1" t="n">
        <f aca="false">DO80+DR80*Slot11_BufPot*DT80</f>
        <v>0</v>
      </c>
      <c r="DZ80" s="1" t="n">
        <f aca="false">IF(AND(DR80=1,Slot11_IsMfree=1),IF(DW80&gt;=Slot11_Cost-1,0,MAX(0,DP80-DW80)),DP80)</f>
        <v>0</v>
      </c>
      <c r="EA80" s="1" t="n">
        <f aca="false">DR80*(Slot11_Cost-DW80)</f>
        <v>0</v>
      </c>
      <c r="EB80" s="1" t="n">
        <f aca="false">IF(AND(Slot12_On=1,D80=Slot12_Age),1,0)</f>
        <v>0</v>
      </c>
      <c r="EC80" s="1" t="n">
        <f aca="false">IF(AND(Slot12_On=1,Slot12_Age&gt;D80),1,0)</f>
        <v>0</v>
      </c>
      <c r="ED80" s="1" t="n">
        <f aca="false">SD79</f>
        <v>0</v>
      </c>
      <c r="EE80" s="1" t="n">
        <f aca="false">EB80*MIN(Slot12_Cost,ED80)</f>
        <v>0</v>
      </c>
      <c r="EF80" s="1" t="n">
        <f aca="false">EB80*Slot12_SpendLike*MIN(Slot12_Cost-EE80,DX80)</f>
        <v>0</v>
      </c>
      <c r="EG80" s="1" t="n">
        <f aca="false">EE80+EF80</f>
        <v>0</v>
      </c>
      <c r="EH80" s="1" t="n">
        <f aca="false">DX80-EF80+EB80*IF(Slot12_SpendLike=1,ED80-EE80,IF(Slot12_PotFree=1,ED80,0))</f>
        <v>307041.640785514</v>
      </c>
      <c r="EI80" s="1" t="n">
        <f aca="false">DY80+EB80*Slot12_BufPot*ED80</f>
        <v>0</v>
      </c>
      <c r="EJ80" s="1" t="n">
        <f aca="false">IF(AND(EB80=1,Slot12_IsMfree=1),IF(EG80&gt;=Slot12_Cost-1,0,MAX(0,DZ80-EG80)),DZ80)</f>
        <v>0</v>
      </c>
      <c r="EK80" s="1" t="n">
        <f aca="false">EB80*(Slot12_Cost-EG80)</f>
        <v>0</v>
      </c>
      <c r="EL80" s="1" t="n">
        <f aca="false">IF(AND(Slot13_On=1,D80=Slot13_Age),1,0)</f>
        <v>0</v>
      </c>
      <c r="EM80" s="1" t="n">
        <f aca="false">IF(AND(Slot13_On=1,Slot13_Age&gt;D80),1,0)</f>
        <v>0</v>
      </c>
      <c r="EN80" s="1" t="n">
        <f aca="false">SH79</f>
        <v>0</v>
      </c>
      <c r="EO80" s="1" t="n">
        <f aca="false">EL80*MIN(Slot13_Cost,EN80)</f>
        <v>0</v>
      </c>
      <c r="EP80" s="1" t="n">
        <f aca="false">EL80*Slot13_SpendLike*MIN(Slot13_Cost-EO80,EH80)</f>
        <v>0</v>
      </c>
      <c r="EQ80" s="1" t="n">
        <f aca="false">EO80+EP80</f>
        <v>0</v>
      </c>
      <c r="ER80" s="1" t="n">
        <f aca="false">EH80-EP80+EL80*IF(Slot13_SpendLike=1,EN80-EO80,IF(Slot13_PotFree=1,EN80,0))</f>
        <v>307041.640785514</v>
      </c>
      <c r="ES80" s="1" t="n">
        <f aca="false">EI80+EL80*Slot13_BufPot*EN80</f>
        <v>0</v>
      </c>
      <c r="ET80" s="1" t="n">
        <f aca="false">IF(AND(EL80=1,Slot13_IsMfree=1),IF(EQ80&gt;=Slot13_Cost-1,0,MAX(0,EJ80-EQ80)),EJ80)</f>
        <v>0</v>
      </c>
      <c r="EU80" s="1" t="n">
        <f aca="false">EL80*(Slot13_Cost-EQ80)</f>
        <v>0</v>
      </c>
      <c r="EV80" s="1" t="n">
        <f aca="false">IF(AND(Slot14_On=1,D80=Slot14_Age),1,0)</f>
        <v>0</v>
      </c>
      <c r="EW80" s="1" t="n">
        <f aca="false">IF(AND(Slot14_On=1,Slot14_Age&gt;D80),1,0)</f>
        <v>0</v>
      </c>
      <c r="EX80" s="1" t="n">
        <f aca="false">SL79</f>
        <v>0</v>
      </c>
      <c r="EY80" s="1" t="n">
        <f aca="false">EV80*MIN(Slot14_Cost,EX80)</f>
        <v>0</v>
      </c>
      <c r="EZ80" s="1" t="n">
        <f aca="false">EV80*Slot14_SpendLike*MIN(Slot14_Cost-EY80,ER80)</f>
        <v>0</v>
      </c>
      <c r="FA80" s="1" t="n">
        <f aca="false">EY80+EZ80</f>
        <v>0</v>
      </c>
      <c r="FB80" s="1" t="n">
        <f aca="false">ER80-EZ80+EV80*IF(Slot14_SpendLike=1,EX80-EY80,IF(Slot14_PotFree=1,EX80,0))</f>
        <v>307041.640785514</v>
      </c>
      <c r="FC80" s="1" t="n">
        <f aca="false">ES80+EV80*Slot14_BufPot*EX80</f>
        <v>0</v>
      </c>
      <c r="FD80" s="1" t="n">
        <f aca="false">IF(AND(EV80=1,Slot14_IsMfree=1),IF(FA80&gt;=Slot14_Cost-1,0,MAX(0,ET80-FA80)),ET80)</f>
        <v>0</v>
      </c>
      <c r="FE80" s="1" t="n">
        <f aca="false">EV80*(Slot14_Cost-FA80)</f>
        <v>0</v>
      </c>
      <c r="FF80" s="1" t="n">
        <f aca="false">IF(AND(Slot15_On=1,D80=Slot15_Age),1,0)</f>
        <v>0</v>
      </c>
      <c r="FG80" s="1" t="n">
        <f aca="false">IF(AND(Slot15_On=1,Slot15_Age&gt;D80),1,0)</f>
        <v>0</v>
      </c>
      <c r="FH80" s="1" t="n">
        <f aca="false">SP79</f>
        <v>0</v>
      </c>
      <c r="FI80" s="1" t="n">
        <f aca="false">FF80*MIN(Slot15_Cost,FH80)</f>
        <v>0</v>
      </c>
      <c r="FJ80" s="1" t="n">
        <f aca="false">FF80*Slot15_SpendLike*MIN(Slot15_Cost-FI80,FB80)</f>
        <v>0</v>
      </c>
      <c r="FK80" s="1" t="n">
        <f aca="false">FI80+FJ80</f>
        <v>0</v>
      </c>
      <c r="FL80" s="1" t="n">
        <f aca="false">FB80-FJ80+FF80*IF(Slot15_SpendLike=1,FH80-FI80,IF(Slot15_PotFree=1,FH80,0))</f>
        <v>307041.640785514</v>
      </c>
      <c r="FM80" s="1" t="n">
        <f aca="false">FC80+FF80*Slot15_BufPot*FH80</f>
        <v>0</v>
      </c>
      <c r="FN80" s="1" t="n">
        <f aca="false">IF(AND(FF80=1,Slot15_IsMfree=1),IF(FK80&gt;=Slot15_Cost-1,0,MAX(0,FD80-FK80)),FD80)</f>
        <v>0</v>
      </c>
      <c r="FO80" s="1" t="n">
        <f aca="false">FF80*(Slot15_Cost-FK80)</f>
        <v>0</v>
      </c>
      <c r="FP80" s="1" t="n">
        <f aca="false">IF(AND(Slot16_On=1,D80=Slot16_Age),1,0)</f>
        <v>0</v>
      </c>
      <c r="FQ80" s="1" t="n">
        <f aca="false">IF(AND(Slot16_On=1,Slot16_Age&gt;D80),1,0)</f>
        <v>0</v>
      </c>
      <c r="FR80" s="1" t="n">
        <f aca="false">ST79</f>
        <v>0</v>
      </c>
      <c r="FS80" s="1" t="n">
        <f aca="false">FP80*MIN(Slot16_Cost,FR80)</f>
        <v>0</v>
      </c>
      <c r="FT80" s="1" t="n">
        <f aca="false">FP80*Slot16_SpendLike*MIN(Slot16_Cost-FS80,FL80)</f>
        <v>0</v>
      </c>
      <c r="FU80" s="1" t="n">
        <f aca="false">FS80+FT80</f>
        <v>0</v>
      </c>
      <c r="FV80" s="1" t="n">
        <f aca="false">FL80-FT80+FP80*IF(Slot16_SpendLike=1,FR80-FS80,IF(Slot16_PotFree=1,FR80,0))</f>
        <v>307041.640785514</v>
      </c>
      <c r="FW80" s="1" t="n">
        <f aca="false">FM80+FP80*Slot16_BufPot*FR80</f>
        <v>0</v>
      </c>
      <c r="FX80" s="1" t="n">
        <f aca="false">IF(AND(FP80=1,Slot16_IsMfree=1),IF(FU80&gt;=Slot16_Cost-1,0,MAX(0,FN80-FU80)),FN80)</f>
        <v>0</v>
      </c>
      <c r="FY80" s="1" t="n">
        <f aca="false">FP80*(Slot16_Cost-FU80)</f>
        <v>0</v>
      </c>
      <c r="FZ80" s="1" t="n">
        <f aca="false">IF(AND(Slot17_On=1,D80=Slot17_Age),1,0)</f>
        <v>0</v>
      </c>
      <c r="GA80" s="1" t="n">
        <f aca="false">IF(AND(Slot17_On=1,Slot17_Age&gt;D80),1,0)</f>
        <v>0</v>
      </c>
      <c r="GB80" s="1" t="n">
        <f aca="false">SX79</f>
        <v>0</v>
      </c>
      <c r="GC80" s="1" t="n">
        <f aca="false">FZ80*MIN(Slot17_Cost,GB80)</f>
        <v>0</v>
      </c>
      <c r="GD80" s="1" t="n">
        <f aca="false">FZ80*Slot17_SpendLike*MIN(Slot17_Cost-GC80,FV80)</f>
        <v>0</v>
      </c>
      <c r="GE80" s="1" t="n">
        <f aca="false">GC80+GD80</f>
        <v>0</v>
      </c>
      <c r="GF80" s="1" t="n">
        <f aca="false">FV80-GD80+FZ80*IF(Slot17_SpendLike=1,GB80-GC80,IF(Slot17_PotFree=1,GB80,0))</f>
        <v>307041.640785514</v>
      </c>
      <c r="GG80" s="1" t="n">
        <f aca="false">FW80+FZ80*Slot17_BufPot*GB80</f>
        <v>0</v>
      </c>
      <c r="GH80" s="1" t="n">
        <f aca="false">IF(AND(FZ80=1,Slot17_IsMfree=1),IF(GE80&gt;=Slot17_Cost-1,0,MAX(0,FX80-GE80)),FX80)</f>
        <v>0</v>
      </c>
      <c r="GI80" s="1" t="n">
        <f aca="false">FZ80*(Slot17_Cost-GE80)</f>
        <v>0</v>
      </c>
      <c r="GJ80" s="1" t="n">
        <f aca="false">IF(AND(Slot18_On=1,D80=Slot18_Age),1,0)</f>
        <v>0</v>
      </c>
      <c r="GK80" s="1" t="n">
        <f aca="false">IF(AND(Slot18_On=1,Slot18_Age&gt;D80),1,0)</f>
        <v>0</v>
      </c>
      <c r="GL80" s="1" t="n">
        <f aca="false">TB79</f>
        <v>0</v>
      </c>
      <c r="GM80" s="1" t="n">
        <f aca="false">GJ80*MIN(Slot18_Cost,GL80)</f>
        <v>0</v>
      </c>
      <c r="GN80" s="1" t="n">
        <f aca="false">GJ80*Slot18_SpendLike*MIN(Slot18_Cost-GM80,GF80)</f>
        <v>0</v>
      </c>
      <c r="GO80" s="1" t="n">
        <f aca="false">GM80+GN80</f>
        <v>0</v>
      </c>
      <c r="GP80" s="1" t="n">
        <f aca="false">GF80-GN80+GJ80*IF(Slot18_SpendLike=1,GL80-GM80,IF(Slot18_PotFree=1,GL80,0))</f>
        <v>307041.640785514</v>
      </c>
      <c r="GQ80" s="1" t="n">
        <f aca="false">GG80+GJ80*Slot18_BufPot*GL80</f>
        <v>0</v>
      </c>
      <c r="GR80" s="1" t="n">
        <f aca="false">IF(AND(GJ80=1,Slot18_IsMfree=1),IF(GO80&gt;=Slot18_Cost-1,0,MAX(0,GH80-GO80)),GH80)</f>
        <v>0</v>
      </c>
      <c r="GS80" s="1" t="n">
        <f aca="false">GJ80*(Slot18_Cost-GO80)</f>
        <v>0</v>
      </c>
      <c r="GT80" s="1" t="n">
        <f aca="false">IF(AND(Slot19_On=1,D80=Slot19_Age),1,0)</f>
        <v>0</v>
      </c>
      <c r="GU80" s="1" t="n">
        <f aca="false">IF(AND(Slot19_On=1,Slot19_Age&gt;D80),1,0)</f>
        <v>0</v>
      </c>
      <c r="GV80" s="1" t="n">
        <f aca="false">TF79</f>
        <v>0</v>
      </c>
      <c r="GW80" s="1" t="n">
        <f aca="false">GT80*MIN(Slot19_Cost,GV80)</f>
        <v>0</v>
      </c>
      <c r="GX80" s="1" t="n">
        <f aca="false">GT80*Slot19_SpendLike*MIN(Slot19_Cost-GW80,GP80)</f>
        <v>0</v>
      </c>
      <c r="GY80" s="1" t="n">
        <f aca="false">GW80+GX80</f>
        <v>0</v>
      </c>
      <c r="GZ80" s="1" t="n">
        <f aca="false">GP80-GX80+GT80*IF(Slot19_SpendLike=1,GV80-GW80,IF(Slot19_PotFree=1,GV80,0))</f>
        <v>307041.640785514</v>
      </c>
      <c r="HA80" s="1" t="n">
        <f aca="false">GQ80+GT80*Slot19_BufPot*GV80</f>
        <v>0</v>
      </c>
      <c r="HB80" s="1" t="n">
        <f aca="false">IF(AND(GT80=1,Slot19_IsMfree=1),IF(GY80&gt;=Slot19_Cost-1,0,MAX(0,GR80-GY80)),GR80)</f>
        <v>0</v>
      </c>
      <c r="HC80" s="1" t="n">
        <f aca="false">GT80*(Slot19_Cost-GY80)</f>
        <v>0</v>
      </c>
      <c r="HD80" s="1" t="n">
        <f aca="false">IF(AND(Slot20_On=1,D80=Slot20_Age),1,0)</f>
        <v>0</v>
      </c>
      <c r="HE80" s="1" t="n">
        <f aca="false">IF(AND(Slot20_On=1,Slot20_Age&gt;D80),1,0)</f>
        <v>0</v>
      </c>
      <c r="HF80" s="1" t="n">
        <f aca="false">TJ79</f>
        <v>0</v>
      </c>
      <c r="HG80" s="1" t="n">
        <f aca="false">HD80*MIN(Slot20_Cost,HF80)</f>
        <v>0</v>
      </c>
      <c r="HH80" s="1" t="n">
        <f aca="false">HD80*Slot20_SpendLike*MIN(Slot20_Cost-HG80,GZ80)</f>
        <v>0</v>
      </c>
      <c r="HI80" s="1" t="n">
        <f aca="false">HG80+HH80</f>
        <v>0</v>
      </c>
      <c r="HJ80" s="1" t="n">
        <f aca="false">GZ80-HH80+HD80*IF(Slot20_SpendLike=1,HF80-HG80,IF(Slot20_PotFree=1,HF80,0))</f>
        <v>307041.640785514</v>
      </c>
      <c r="HK80" s="1" t="n">
        <f aca="false">HA80+HD80*Slot20_BufPot*HF80</f>
        <v>0</v>
      </c>
      <c r="HL80" s="1" t="n">
        <f aca="false">IF(AND(HD80=1,Slot20_IsMfree=1),IF(HI80&gt;=Slot20_Cost-1,0,MAX(0,HB80-HI80)),HB80)</f>
        <v>0</v>
      </c>
      <c r="HM80" s="1" t="n">
        <f aca="false">HD80*(Slot20_Cost-HI80)</f>
        <v>0</v>
      </c>
      <c r="HN80" s="1" t="n">
        <f aca="false">U80*Slot1_SpendLike*Z80+AF80*Slot2_SpendLike*AK80+AP80*Slot3_SpendLike*AU80+AZ80*Slot4_SpendLike*BE80+BJ80*Slot5_SpendLike*BO80+BT80*Slot6_SpendLike*BY80+CD80*Slot7_SpendLike*CI80+CN80*Slot8_SpendLike*CS80+CX80*Slot9_SpendLike*DC80+DH80*Slot10_SpendLike*DM80+DR80*Slot11_SpendLike*DW80+EB80*Slot12_SpendLike*EG80+EL80*Slot13_SpendLike*EQ80+EV80*Slot14_SpendLike*FA80+FF80*Slot15_SpendLike*FK80+FP80*Slot16_SpendLike*FU80+FZ80*Slot17_SpendLike*GE80+GJ80*Slot18_SpendLike*GO80+GT80*Slot19_SpendLike*GY80+HD80*Slot20_SpendLike*HI80</f>
        <v>0</v>
      </c>
      <c r="HO80" s="1" t="n">
        <f aca="false">AD80+AO80+AY80+BI80+BS80+CC80+CM80+CW80+DG80+DQ80+EA80+EK80+EU80+FE80+FO80+FY80+GI80+GS80+HC80+HM80</f>
        <v>0</v>
      </c>
      <c r="HP80" s="1" t="n">
        <f aca="false">U80*Slot1_Cost+AF80*Slot2_Cost+AP80*Slot3_Cost+AZ80*Slot4_Cost+BJ80*Slot5_Cost+BT80*Slot6_Cost+CD80*Slot7_Cost+CN80*Slot8_Cost+CX80*Slot9_Cost+DH80*Slot10_Cost+DR80*Slot11_Cost+EB80*Slot12_Cost+EL80*Slot13_Cost+EV80*Slot14_Cost+FF80*Slot15_Cost+FP80*Slot16_Cost+FZ80*Slot17_Cost+GJ80*Slot18_Cost+GT80*Slot19_Cost+HD80*Slot20_Cost</f>
        <v>0</v>
      </c>
      <c r="HQ80" s="1" t="n">
        <f aca="false">HL80</f>
        <v>0</v>
      </c>
      <c r="HR80" s="1" t="n">
        <f aca="false">G80-H80-R80</f>
        <v>51809.8594729214</v>
      </c>
      <c r="HS80" s="1" t="n">
        <f aca="false">IF(B80=0,IF(AND(Has_q6=1,In_q6=4),PR_ShareVaries*(MAX(0,HR80)/12),MIN(IF(Has_q6=1,CHOOSE(In_q6+1,PR_SaveB1,PR_SaveB2,PR_SaveB3,PR_SaveB4,0),AS_NoAnswer),AS_SaveShare*(MAX(0,HR80)/12))),HS79)</f>
        <v>0</v>
      </c>
      <c r="HT80" s="1" t="n">
        <f aca="false">IF(HR80&gt;=0,1,0)</f>
        <v>1</v>
      </c>
      <c r="HU80" s="1" t="n">
        <f aca="false">MAX(0,HR80/12/E80)</f>
        <v>1037.57333333333</v>
      </c>
      <c r="HV80" s="1" t="n">
        <f aca="false">IF(AND(Has_q6=1,In_q6=4),PR_ShareVaries*(HU80),MIN(IF(Has_q6=1,CHOOSE(In_q6+1,PR_SaveB1,PR_SaveB2,PR_SaveB3,PR_SaveB4,0),AS_NoAnswer),AS_SaveShare*(HU80)))</f>
        <v>300</v>
      </c>
      <c r="HW80" s="1" t="n">
        <f aca="false">IF(Has_saveM=1,IF(In_saveUp="Yes",1,IF(In_saveUp="No",0,IF(In_saveM&gt;=HS80-0.5,1,0))),0)</f>
        <v>0</v>
      </c>
      <c r="HX80" s="1" t="n">
        <f aca="false">IF(Has_saveM=1,MIN(HU80,IF(HW80=1,MAX(In_saveM,HV80),MIN(In_saveM,HV80))),HV80)</f>
        <v>300</v>
      </c>
      <c r="HY80" s="1" t="n">
        <f aca="false">IF(F80=1,HX80*12*E80,0)</f>
        <v>0</v>
      </c>
      <c r="HZ80" s="1" t="n">
        <f aca="false">MAX(0,HY80+IF(AND(WI_Retire=0,WI_M&lt;0,F80=1),WI_M*12*E80,0))</f>
        <v>0</v>
      </c>
      <c r="IA80" s="1" t="n">
        <f aca="false">Slot1_IsWG*V80+Slot2_IsWG*AG80+Slot3_IsWG*AQ80+Slot4_IsWG*BA80+Slot5_IsWG*BK80+Slot6_IsWG*BU80+Slot7_IsWG*CE80+Slot8_IsWG*CO80+Slot9_IsWG*CY80+Slot10_IsWG*DI80+Slot11_IsWG*DS80+Slot12_IsWG*EC80+Slot13_IsWG*EM80+Slot14_IsWG*EW80+Slot15_IsWG*FG80+Slot16_IsWG*FQ80+Slot17_IsWG*GA80+Slot18_IsWG*GK80+Slot19_IsWG*GU80+Slot20_IsWG*HE80</f>
        <v>0</v>
      </c>
      <c r="IB80" s="1" t="n">
        <f aca="false">IF(AND(WI_Retire=0,WI_M&gt;0,F80=1,IA80&gt;=1),WI_M*12*E80,0)</f>
        <v>0</v>
      </c>
      <c r="IC80" s="1" t="n">
        <f aca="false">IF(HT80=1,MIN(HZ80,HR80),0)</f>
        <v>0</v>
      </c>
      <c r="ID80" s="1" t="n">
        <f aca="false">IF(HT80=1,MIN(IB80,HR80-IC80),0)</f>
        <v>0</v>
      </c>
      <c r="IE80" s="1" t="n">
        <f aca="false">IF(V80=1,IF(ABS((1+AS_Wage)/(1+Slot1_Rate)-1)&lt;0.000000000001,(Slot1_Age-D80)*(1+Slot1_Rate)^(Slot1_Age-D80),(1+Slot1_Rate)^(Slot1_Age-D80)*(1-((1+AS_Wage)/(1+Slot1_Rate))^(Slot1_Age-D80))/(1-(1+AS_Wage)/(1+Slot1_Rate))),1)</f>
        <v>1</v>
      </c>
      <c r="IF80" s="1" t="n">
        <f aca="false">IF(AND(HT80=1,ID80&gt;0,Slot1_IsWG=1,V80=1),MAX(0,(Slot1_Cost-W80*(1+Slot1_Rate)^(Slot1_Age-D80))/IE80),0)</f>
        <v>0</v>
      </c>
      <c r="IG80" s="1" t="n">
        <f aca="false">IF(AND(HT80=1,ID80&gt;0,Slot1_IsWG=1,V80=1),MIN(ID80,IF80),0)</f>
        <v>0</v>
      </c>
      <c r="IH80" s="1" t="n">
        <f aca="false">W80+IG80</f>
        <v>0</v>
      </c>
      <c r="II80" s="1" t="n">
        <f aca="false">IF(V80=1,MAX(0,(Slot1_Cost-IH80*(1+Slot1_Rate)^(Slot1_Age-D80))/IE80),0)</f>
        <v>0</v>
      </c>
      <c r="IJ80" s="1" t="n">
        <f aca="false">IF(V80=1,MAX(0,(Slot1_Cost-W80*(1+Slot1_Rate)^(Slot1_Age-D80))/IE80),0)</f>
        <v>0</v>
      </c>
      <c r="IK80" s="1" t="n">
        <f aca="false">IF(AND(HT80=1,V80=1),MIN(IC80,II80),0)</f>
        <v>0</v>
      </c>
      <c r="IL80" s="1" t="n">
        <f aca="false">IC80-IK80</f>
        <v>0</v>
      </c>
      <c r="IM80" s="1" t="n">
        <f aca="false">IF(AG80=1,IF(ABS((1+AS_Wage)/(1+Slot2_Rate)-1)&lt;0.000000000001,(Slot2_Age-D80)*(1+Slot2_Rate)^(Slot2_Age-D80),(1+Slot2_Rate)^(Slot2_Age-D80)*(1-((1+AS_Wage)/(1+Slot2_Rate))^(Slot2_Age-D80))/(1-(1+AS_Wage)/(1+Slot2_Rate))),1)</f>
        <v>1</v>
      </c>
      <c r="IN80" s="1" t="n">
        <f aca="false">IF(AND(HT80=1,ID80&gt;0,Slot2_IsWG=1,AG80=1),MAX(0,(Slot2_Cost-AH80*(1+Slot2_Rate)^(Slot2_Age-D80))/IM80),0)</f>
        <v>0</v>
      </c>
      <c r="IO80" s="1" t="n">
        <f aca="false">IF(AND(HT80=1,ID80&gt;0,Slot2_IsWG=1,AG80=1),MIN(ID80,IN80),0)</f>
        <v>0</v>
      </c>
      <c r="IP80" s="1" t="n">
        <f aca="false">AH80+IO80</f>
        <v>0</v>
      </c>
      <c r="IQ80" s="1" t="n">
        <f aca="false">IF(AG80=1,MAX(0,(Slot2_Cost-IP80*(1+Slot2_Rate)^(Slot2_Age-D80))/IM80),0)</f>
        <v>0</v>
      </c>
      <c r="IR80" s="1" t="n">
        <f aca="false">IF(AG80=1,MAX(0,(Slot2_Cost-AH80*(1+Slot2_Rate)^(Slot2_Age-D80))/IM80),0)</f>
        <v>0</v>
      </c>
      <c r="IS80" s="1" t="n">
        <f aca="false">IF(AND(HT80=1,AG80=1),MIN(IL80,IQ80),0)</f>
        <v>0</v>
      </c>
      <c r="IT80" s="1" t="n">
        <f aca="false">IL80-IS80</f>
        <v>0</v>
      </c>
      <c r="IU80" s="1" t="n">
        <f aca="false">IF(AQ80=1,IF(ABS((1+AS_Wage)/(1+Slot3_Rate)-1)&lt;0.000000000001,(Slot3_Age-D80)*(1+Slot3_Rate)^(Slot3_Age-D80),(1+Slot3_Rate)^(Slot3_Age-D80)*(1-((1+AS_Wage)/(1+Slot3_Rate))^(Slot3_Age-D80))/(1-(1+AS_Wage)/(1+Slot3_Rate))),1)</f>
        <v>1</v>
      </c>
      <c r="IV80" s="1" t="n">
        <f aca="false">IF(AND(HT80=1,ID80&gt;0,Slot3_IsWG=1,AQ80=1),MAX(0,(Slot3_Cost-AR80*(1+Slot3_Rate)^(Slot3_Age-D80))/IU80),0)</f>
        <v>0</v>
      </c>
      <c r="IW80" s="1" t="n">
        <f aca="false">IF(AND(HT80=1,ID80&gt;0,Slot3_IsWG=1,AQ80=1),MIN(ID80,IV80),0)</f>
        <v>0</v>
      </c>
      <c r="IX80" s="1" t="n">
        <f aca="false">AR80+IW80</f>
        <v>0</v>
      </c>
      <c r="IY80" s="1" t="n">
        <f aca="false">IF(AQ80=1,MAX(0,(Slot3_Cost-IX80*(1+Slot3_Rate)^(Slot3_Age-D80))/IU80),0)</f>
        <v>0</v>
      </c>
      <c r="IZ80" s="1" t="n">
        <f aca="false">IF(AQ80=1,MAX(0,(Slot3_Cost-AR80*(1+Slot3_Rate)^(Slot3_Age-D80))/IU80),0)</f>
        <v>0</v>
      </c>
      <c r="JA80" s="1" t="n">
        <f aca="false">IF(AND(HT80=1,AQ80=1),MIN(IT80,IY80),0)</f>
        <v>0</v>
      </c>
      <c r="JB80" s="1" t="n">
        <f aca="false">IT80-JA80</f>
        <v>0</v>
      </c>
      <c r="JC80" s="1" t="n">
        <f aca="false">IF(BA80=1,IF(ABS((1+AS_Wage)/(1+Slot4_Rate)-1)&lt;0.000000000001,(Slot4_Age-D80)*(1+Slot4_Rate)^(Slot4_Age-D80),(1+Slot4_Rate)^(Slot4_Age-D80)*(1-((1+AS_Wage)/(1+Slot4_Rate))^(Slot4_Age-D80))/(1-(1+AS_Wage)/(1+Slot4_Rate))),1)</f>
        <v>1</v>
      </c>
      <c r="JD80" s="1" t="n">
        <f aca="false">IF(AND(HT80=1,ID80&gt;0,Slot4_IsWG=1,BA80=1),MAX(0,(Slot4_Cost-BB80*(1+Slot4_Rate)^(Slot4_Age-D80))/JC80),0)</f>
        <v>0</v>
      </c>
      <c r="JE80" s="1" t="n">
        <f aca="false">IF(AND(HT80=1,ID80&gt;0,Slot4_IsWG=1,BA80=1),MIN(ID80,JD80),0)</f>
        <v>0</v>
      </c>
      <c r="JF80" s="1" t="n">
        <f aca="false">BB80+JE80</f>
        <v>0</v>
      </c>
      <c r="JG80" s="1" t="n">
        <f aca="false">IF(BA80=1,MAX(0,(Slot4_Cost-JF80*(1+Slot4_Rate)^(Slot4_Age-D80))/JC80),0)</f>
        <v>0</v>
      </c>
      <c r="JH80" s="1" t="n">
        <f aca="false">IF(BA80=1,MAX(0,(Slot4_Cost-BB80*(1+Slot4_Rate)^(Slot4_Age-D80))/JC80),0)</f>
        <v>0</v>
      </c>
      <c r="JI80" s="1" t="n">
        <f aca="false">IF(AND(HT80=1,BA80=1),MIN(JB80,JG80),0)</f>
        <v>0</v>
      </c>
      <c r="JJ80" s="1" t="n">
        <f aca="false">JB80-JI80</f>
        <v>0</v>
      </c>
      <c r="JK80" s="1" t="n">
        <f aca="false">IF(BK80=1,IF(ABS((1+AS_Wage)/(1+Slot5_Rate)-1)&lt;0.000000000001,(Slot5_Age-D80)*(1+Slot5_Rate)^(Slot5_Age-D80),(1+Slot5_Rate)^(Slot5_Age-D80)*(1-((1+AS_Wage)/(1+Slot5_Rate))^(Slot5_Age-D80))/(1-(1+AS_Wage)/(1+Slot5_Rate))),1)</f>
        <v>1</v>
      </c>
      <c r="JL80" s="1" t="n">
        <f aca="false">IF(AND(HT80=1,ID80&gt;0,Slot5_IsWG=1,BK80=1),MAX(0,(Slot5_Cost-BL80*(1+Slot5_Rate)^(Slot5_Age-D80))/JK80),0)</f>
        <v>0</v>
      </c>
      <c r="JM80" s="1" t="n">
        <f aca="false">IF(AND(HT80=1,ID80&gt;0,Slot5_IsWG=1,BK80=1),MIN(ID80,JL80),0)</f>
        <v>0</v>
      </c>
      <c r="JN80" s="1" t="n">
        <f aca="false">BL80+JM80</f>
        <v>0</v>
      </c>
      <c r="JO80" s="1" t="n">
        <f aca="false">IF(BK80=1,MAX(0,(Slot5_Cost-JN80*(1+Slot5_Rate)^(Slot5_Age-D80))/JK80),0)</f>
        <v>0</v>
      </c>
      <c r="JP80" s="1" t="n">
        <f aca="false">IF(BK80=1,MAX(0,(Slot5_Cost-BL80*(1+Slot5_Rate)^(Slot5_Age-D80))/JK80),0)</f>
        <v>0</v>
      </c>
      <c r="JQ80" s="1" t="n">
        <f aca="false">IF(AND(HT80=1,BK80=1),MIN(JJ80,JO80),0)</f>
        <v>0</v>
      </c>
      <c r="JR80" s="1" t="n">
        <f aca="false">JJ80-JQ80</f>
        <v>0</v>
      </c>
      <c r="JS80" s="1" t="n">
        <f aca="false">IF(BU80=1,IF(ABS((1+AS_Wage)/(1+Slot6_Rate)-1)&lt;0.000000000001,(Slot6_Age-D80)*(1+Slot6_Rate)^(Slot6_Age-D80),(1+Slot6_Rate)^(Slot6_Age-D80)*(1-((1+AS_Wage)/(1+Slot6_Rate))^(Slot6_Age-D80))/(1-(1+AS_Wage)/(1+Slot6_Rate))),1)</f>
        <v>1</v>
      </c>
      <c r="JT80" s="1" t="n">
        <f aca="false">IF(AND(HT80=1,ID80&gt;0,Slot6_IsWG=1,BU80=1),MAX(0,(Slot6_Cost-BV80*(1+Slot6_Rate)^(Slot6_Age-D80))/JS80),0)</f>
        <v>0</v>
      </c>
      <c r="JU80" s="1" t="n">
        <f aca="false">IF(AND(HT80=1,ID80&gt;0,Slot6_IsWG=1,BU80=1),MIN(ID80,JT80),0)</f>
        <v>0</v>
      </c>
      <c r="JV80" s="1" t="n">
        <f aca="false">BV80+JU80</f>
        <v>0</v>
      </c>
      <c r="JW80" s="1" t="n">
        <f aca="false">IF(BU80=1,MAX(0,(Slot6_Cost-JV80*(1+Slot6_Rate)^(Slot6_Age-D80))/JS80),0)</f>
        <v>0</v>
      </c>
      <c r="JX80" s="1" t="n">
        <f aca="false">IF(BU80=1,MAX(0,(Slot6_Cost-BV80*(1+Slot6_Rate)^(Slot6_Age-D80))/JS80),0)</f>
        <v>0</v>
      </c>
      <c r="JY80" s="1" t="n">
        <f aca="false">IF(AND(HT80=1,BU80=1),MIN(JR80,JW80),0)</f>
        <v>0</v>
      </c>
      <c r="JZ80" s="1" t="n">
        <f aca="false">JR80-JY80</f>
        <v>0</v>
      </c>
      <c r="KA80" s="1" t="n">
        <f aca="false">IF(CE80=1,IF(ABS((1+AS_Wage)/(1+Slot7_Rate)-1)&lt;0.000000000001,(Slot7_Age-D80)*(1+Slot7_Rate)^(Slot7_Age-D80),(1+Slot7_Rate)^(Slot7_Age-D80)*(1-((1+AS_Wage)/(1+Slot7_Rate))^(Slot7_Age-D80))/(1-(1+AS_Wage)/(1+Slot7_Rate))),1)</f>
        <v>1</v>
      </c>
      <c r="KB80" s="1" t="n">
        <f aca="false">IF(AND(HT80=1,ID80&gt;0,Slot7_IsWG=1,CE80=1),MAX(0,(Slot7_Cost-CF80*(1+Slot7_Rate)^(Slot7_Age-D80))/KA80),0)</f>
        <v>0</v>
      </c>
      <c r="KC80" s="1" t="n">
        <f aca="false">IF(AND(HT80=1,ID80&gt;0,Slot7_IsWG=1,CE80=1),MIN(ID80,KB80),0)</f>
        <v>0</v>
      </c>
      <c r="KD80" s="1" t="n">
        <f aca="false">CF80+KC80</f>
        <v>0</v>
      </c>
      <c r="KE80" s="1" t="n">
        <f aca="false">IF(CE80=1,MAX(0,(Slot7_Cost-KD80*(1+Slot7_Rate)^(Slot7_Age-D80))/KA80),0)</f>
        <v>0</v>
      </c>
      <c r="KF80" s="1" t="n">
        <f aca="false">IF(CE80=1,MAX(0,(Slot7_Cost-CF80*(1+Slot7_Rate)^(Slot7_Age-D80))/KA80),0)</f>
        <v>0</v>
      </c>
      <c r="KG80" s="1" t="n">
        <f aca="false">IF(AND(HT80=1,CE80=1),MIN(JZ80,KE80),0)</f>
        <v>0</v>
      </c>
      <c r="KH80" s="1" t="n">
        <f aca="false">JZ80-KG80</f>
        <v>0</v>
      </c>
      <c r="KI80" s="1" t="n">
        <f aca="false">IF(CO80=1,IF(ABS((1+AS_Wage)/(1+Slot8_Rate)-1)&lt;0.000000000001,(Slot8_Age-D80)*(1+Slot8_Rate)^(Slot8_Age-D80),(1+Slot8_Rate)^(Slot8_Age-D80)*(1-((1+AS_Wage)/(1+Slot8_Rate))^(Slot8_Age-D80))/(1-(1+AS_Wage)/(1+Slot8_Rate))),1)</f>
        <v>1</v>
      </c>
      <c r="KJ80" s="1" t="n">
        <f aca="false">IF(AND(HT80=1,ID80&gt;0,Slot8_IsWG=1,CO80=1),MAX(0,(Slot8_Cost-CP80*(1+Slot8_Rate)^(Slot8_Age-D80))/KI80),0)</f>
        <v>0</v>
      </c>
      <c r="KK80" s="1" t="n">
        <f aca="false">IF(AND(HT80=1,ID80&gt;0,Slot8_IsWG=1,CO80=1),MIN(ID80,KJ80),0)</f>
        <v>0</v>
      </c>
      <c r="KL80" s="1" t="n">
        <f aca="false">CP80+KK80</f>
        <v>0</v>
      </c>
      <c r="KM80" s="1" t="n">
        <f aca="false">IF(CO80=1,MAX(0,(Slot8_Cost-KL80*(1+Slot8_Rate)^(Slot8_Age-D80))/KI80),0)</f>
        <v>0</v>
      </c>
      <c r="KN80" s="1" t="n">
        <f aca="false">IF(CO80=1,MAX(0,(Slot8_Cost-CP80*(1+Slot8_Rate)^(Slot8_Age-D80))/KI80),0)</f>
        <v>0</v>
      </c>
      <c r="KO80" s="1" t="n">
        <f aca="false">IF(AND(HT80=1,CO80=1),MIN(KH80,KM80),0)</f>
        <v>0</v>
      </c>
      <c r="KP80" s="1" t="n">
        <f aca="false">KH80-KO80</f>
        <v>0</v>
      </c>
      <c r="KQ80" s="1" t="n">
        <f aca="false">IF(CY80=1,IF(ABS((1+AS_Wage)/(1+Slot9_Rate)-1)&lt;0.000000000001,(Slot9_Age-D80)*(1+Slot9_Rate)^(Slot9_Age-D80),(1+Slot9_Rate)^(Slot9_Age-D80)*(1-((1+AS_Wage)/(1+Slot9_Rate))^(Slot9_Age-D80))/(1-(1+AS_Wage)/(1+Slot9_Rate))),1)</f>
        <v>1</v>
      </c>
      <c r="KR80" s="1" t="n">
        <f aca="false">IF(AND(HT80=1,ID80&gt;0,Slot9_IsWG=1,CY80=1),MAX(0,(Slot9_Cost-CZ80*(1+Slot9_Rate)^(Slot9_Age-D80))/KQ80),0)</f>
        <v>0</v>
      </c>
      <c r="KS80" s="1" t="n">
        <f aca="false">IF(AND(HT80=1,ID80&gt;0,Slot9_IsWG=1,CY80=1),MIN(ID80,KR80),0)</f>
        <v>0</v>
      </c>
      <c r="KT80" s="1" t="n">
        <f aca="false">CZ80+KS80</f>
        <v>0</v>
      </c>
      <c r="KU80" s="1" t="n">
        <f aca="false">IF(CY80=1,MAX(0,(Slot9_Cost-KT80*(1+Slot9_Rate)^(Slot9_Age-D80))/KQ80),0)</f>
        <v>0</v>
      </c>
      <c r="KV80" s="1" t="n">
        <f aca="false">IF(CY80=1,MAX(0,(Slot9_Cost-CZ80*(1+Slot9_Rate)^(Slot9_Age-D80))/KQ80),0)</f>
        <v>0</v>
      </c>
      <c r="KW80" s="1" t="n">
        <f aca="false">IF(AND(HT80=1,CY80=1),MIN(KP80,KU80),0)</f>
        <v>0</v>
      </c>
      <c r="KX80" s="1" t="n">
        <f aca="false">KP80-KW80</f>
        <v>0</v>
      </c>
      <c r="KY80" s="1" t="n">
        <f aca="false">IF(DI80=1,IF(ABS((1+AS_Wage)/(1+Slot10_Rate)-1)&lt;0.000000000001,(Slot10_Age-D80)*(1+Slot10_Rate)^(Slot10_Age-D80),(1+Slot10_Rate)^(Slot10_Age-D80)*(1-((1+AS_Wage)/(1+Slot10_Rate))^(Slot10_Age-D80))/(1-(1+AS_Wage)/(1+Slot10_Rate))),1)</f>
        <v>1</v>
      </c>
      <c r="KZ80" s="1" t="n">
        <f aca="false">IF(AND(HT80=1,ID80&gt;0,Slot10_IsWG=1,DI80=1),MAX(0,(Slot10_Cost-DJ80*(1+Slot10_Rate)^(Slot10_Age-D80))/KY80),0)</f>
        <v>0</v>
      </c>
      <c r="LA80" s="1" t="n">
        <f aca="false">IF(AND(HT80=1,ID80&gt;0,Slot10_IsWG=1,DI80=1),MIN(ID80,KZ80),0)</f>
        <v>0</v>
      </c>
      <c r="LB80" s="1" t="n">
        <f aca="false">DJ80+LA80</f>
        <v>0</v>
      </c>
      <c r="LC80" s="1" t="n">
        <f aca="false">IF(DI80=1,MAX(0,(Slot10_Cost-LB80*(1+Slot10_Rate)^(Slot10_Age-D80))/KY80),0)</f>
        <v>0</v>
      </c>
      <c r="LD80" s="1" t="n">
        <f aca="false">IF(DI80=1,MAX(0,(Slot10_Cost-DJ80*(1+Slot10_Rate)^(Slot10_Age-D80))/KY80),0)</f>
        <v>0</v>
      </c>
      <c r="LE80" s="1" t="n">
        <f aca="false">IF(AND(HT80=1,DI80=1),MIN(KX80,LC80),0)</f>
        <v>0</v>
      </c>
      <c r="LF80" s="1" t="n">
        <f aca="false">KX80-LE80</f>
        <v>0</v>
      </c>
      <c r="LG80" s="1" t="n">
        <f aca="false">IF(DS80=1,IF(ABS((1+AS_Wage)/(1+Slot11_Rate)-1)&lt;0.000000000001,(Slot11_Age-D80)*(1+Slot11_Rate)^(Slot11_Age-D80),(1+Slot11_Rate)^(Slot11_Age-D80)*(1-((1+AS_Wage)/(1+Slot11_Rate))^(Slot11_Age-D80))/(1-(1+AS_Wage)/(1+Slot11_Rate))),1)</f>
        <v>1</v>
      </c>
      <c r="LH80" s="1" t="n">
        <f aca="false">IF(AND(HT80=1,ID80&gt;0,Slot11_IsWG=1,DS80=1),MAX(0,(Slot11_Cost-DT80*(1+Slot11_Rate)^(Slot11_Age-D80))/LG80),0)</f>
        <v>0</v>
      </c>
      <c r="LI80" s="1" t="n">
        <f aca="false">IF(AND(HT80=1,ID80&gt;0,Slot11_IsWG=1,DS80=1),MIN(ID80,LH80),0)</f>
        <v>0</v>
      </c>
      <c r="LJ80" s="1" t="n">
        <f aca="false">DT80+LI80</f>
        <v>0</v>
      </c>
      <c r="LK80" s="1" t="n">
        <f aca="false">IF(DS80=1,MAX(0,(Slot11_Cost-LJ80*(1+Slot11_Rate)^(Slot11_Age-D80))/LG80),0)</f>
        <v>0</v>
      </c>
      <c r="LL80" s="1" t="n">
        <f aca="false">IF(DS80=1,MAX(0,(Slot11_Cost-DT80*(1+Slot11_Rate)^(Slot11_Age-D80))/LG80),0)</f>
        <v>0</v>
      </c>
      <c r="LM80" s="1" t="n">
        <f aca="false">IF(AND(HT80=1,DS80=1),MIN(LF80,LK80),0)</f>
        <v>0</v>
      </c>
      <c r="LN80" s="1" t="n">
        <f aca="false">LF80-LM80</f>
        <v>0</v>
      </c>
      <c r="LO80" s="1" t="n">
        <f aca="false">IF(EC80=1,IF(ABS((1+AS_Wage)/(1+Slot12_Rate)-1)&lt;0.000000000001,(Slot12_Age-D80)*(1+Slot12_Rate)^(Slot12_Age-D80),(1+Slot12_Rate)^(Slot12_Age-D80)*(1-((1+AS_Wage)/(1+Slot12_Rate))^(Slot12_Age-D80))/(1-(1+AS_Wage)/(1+Slot12_Rate))),1)</f>
        <v>1</v>
      </c>
      <c r="LP80" s="1" t="n">
        <f aca="false">IF(AND(HT80=1,ID80&gt;0,Slot12_IsWG=1,EC80=1),MAX(0,(Slot12_Cost-ED80*(1+Slot12_Rate)^(Slot12_Age-D80))/LO80),0)</f>
        <v>0</v>
      </c>
      <c r="LQ80" s="1" t="n">
        <f aca="false">IF(AND(HT80=1,ID80&gt;0,Slot12_IsWG=1,EC80=1),MIN(ID80,LP80),0)</f>
        <v>0</v>
      </c>
      <c r="LR80" s="1" t="n">
        <f aca="false">ED80+LQ80</f>
        <v>0</v>
      </c>
      <c r="LS80" s="1" t="n">
        <f aca="false">IF(EC80=1,MAX(0,(Slot12_Cost-LR80*(1+Slot12_Rate)^(Slot12_Age-D80))/LO80),0)</f>
        <v>0</v>
      </c>
      <c r="LT80" s="1" t="n">
        <f aca="false">IF(EC80=1,MAX(0,(Slot12_Cost-ED80*(1+Slot12_Rate)^(Slot12_Age-D80))/LO80),0)</f>
        <v>0</v>
      </c>
      <c r="LU80" s="1" t="n">
        <f aca="false">IF(AND(HT80=1,EC80=1),MIN(LN80,LS80),0)</f>
        <v>0</v>
      </c>
      <c r="LV80" s="1" t="n">
        <f aca="false">LN80-LU80</f>
        <v>0</v>
      </c>
      <c r="LW80" s="1" t="n">
        <f aca="false">IF(EM80=1,IF(ABS((1+AS_Wage)/(1+Slot13_Rate)-1)&lt;0.000000000001,(Slot13_Age-D80)*(1+Slot13_Rate)^(Slot13_Age-D80),(1+Slot13_Rate)^(Slot13_Age-D80)*(1-((1+AS_Wage)/(1+Slot13_Rate))^(Slot13_Age-D80))/(1-(1+AS_Wage)/(1+Slot13_Rate))),1)</f>
        <v>1</v>
      </c>
      <c r="LX80" s="1" t="n">
        <f aca="false">IF(AND(HT80=1,ID80&gt;0,Slot13_IsWG=1,EM80=1),MAX(0,(Slot13_Cost-EN80*(1+Slot13_Rate)^(Slot13_Age-D80))/LW80),0)</f>
        <v>0</v>
      </c>
      <c r="LY80" s="1" t="n">
        <f aca="false">IF(AND(HT80=1,ID80&gt;0,Slot13_IsWG=1,EM80=1),MIN(ID80,LX80),0)</f>
        <v>0</v>
      </c>
      <c r="LZ80" s="1" t="n">
        <f aca="false">EN80+LY80</f>
        <v>0</v>
      </c>
      <c r="MA80" s="1" t="n">
        <f aca="false">IF(EM80=1,MAX(0,(Slot13_Cost-LZ80*(1+Slot13_Rate)^(Slot13_Age-D80))/LW80),0)</f>
        <v>0</v>
      </c>
      <c r="MB80" s="1" t="n">
        <f aca="false">IF(EM80=1,MAX(0,(Slot13_Cost-EN80*(1+Slot13_Rate)^(Slot13_Age-D80))/LW80),0)</f>
        <v>0</v>
      </c>
      <c r="MC80" s="1" t="n">
        <f aca="false">IF(AND(HT80=1,EM80=1),MIN(LV80,MA80),0)</f>
        <v>0</v>
      </c>
      <c r="MD80" s="1" t="n">
        <f aca="false">LV80-MC80</f>
        <v>0</v>
      </c>
      <c r="ME80" s="1" t="n">
        <f aca="false">IF(EW80=1,IF(ABS((1+AS_Wage)/(1+Slot14_Rate)-1)&lt;0.000000000001,(Slot14_Age-D80)*(1+Slot14_Rate)^(Slot14_Age-D80),(1+Slot14_Rate)^(Slot14_Age-D80)*(1-((1+AS_Wage)/(1+Slot14_Rate))^(Slot14_Age-D80))/(1-(1+AS_Wage)/(1+Slot14_Rate))),1)</f>
        <v>1</v>
      </c>
      <c r="MF80" s="1" t="n">
        <f aca="false">IF(AND(HT80=1,ID80&gt;0,Slot14_IsWG=1,EW80=1),MAX(0,(Slot14_Cost-EX80*(1+Slot14_Rate)^(Slot14_Age-D80))/ME80),0)</f>
        <v>0</v>
      </c>
      <c r="MG80" s="1" t="n">
        <f aca="false">IF(AND(HT80=1,ID80&gt;0,Slot14_IsWG=1,EW80=1),MIN(ID80,MF80),0)</f>
        <v>0</v>
      </c>
      <c r="MH80" s="1" t="n">
        <f aca="false">EX80+MG80</f>
        <v>0</v>
      </c>
      <c r="MI80" s="1" t="n">
        <f aca="false">IF(EW80=1,MAX(0,(Slot14_Cost-MH80*(1+Slot14_Rate)^(Slot14_Age-D80))/ME80),0)</f>
        <v>0</v>
      </c>
      <c r="MJ80" s="1" t="n">
        <f aca="false">IF(EW80=1,MAX(0,(Slot14_Cost-EX80*(1+Slot14_Rate)^(Slot14_Age-D80))/ME80),0)</f>
        <v>0</v>
      </c>
      <c r="MK80" s="1" t="n">
        <f aca="false">IF(AND(HT80=1,EW80=1),MIN(MD80,MI80),0)</f>
        <v>0</v>
      </c>
      <c r="ML80" s="1" t="n">
        <f aca="false">MD80-MK80</f>
        <v>0</v>
      </c>
      <c r="MM80" s="1" t="n">
        <f aca="false">IF(FG80=1,IF(ABS((1+AS_Wage)/(1+Slot15_Rate)-1)&lt;0.000000000001,(Slot15_Age-D80)*(1+Slot15_Rate)^(Slot15_Age-D80),(1+Slot15_Rate)^(Slot15_Age-D80)*(1-((1+AS_Wage)/(1+Slot15_Rate))^(Slot15_Age-D80))/(1-(1+AS_Wage)/(1+Slot15_Rate))),1)</f>
        <v>1</v>
      </c>
      <c r="MN80" s="1" t="n">
        <f aca="false">IF(AND(HT80=1,ID80&gt;0,Slot15_IsWG=1,FG80=1),MAX(0,(Slot15_Cost-FH80*(1+Slot15_Rate)^(Slot15_Age-D80))/MM80),0)</f>
        <v>0</v>
      </c>
      <c r="MO80" s="1" t="n">
        <f aca="false">IF(AND(HT80=1,ID80&gt;0,Slot15_IsWG=1,FG80=1),MIN(ID80,MN80),0)</f>
        <v>0</v>
      </c>
      <c r="MP80" s="1" t="n">
        <f aca="false">FH80+MO80</f>
        <v>0</v>
      </c>
      <c r="MQ80" s="1" t="n">
        <f aca="false">IF(FG80=1,MAX(0,(Slot15_Cost-MP80*(1+Slot15_Rate)^(Slot15_Age-D80))/MM80),0)</f>
        <v>0</v>
      </c>
      <c r="MR80" s="1" t="n">
        <f aca="false">IF(FG80=1,MAX(0,(Slot15_Cost-FH80*(1+Slot15_Rate)^(Slot15_Age-D80))/MM80),0)</f>
        <v>0</v>
      </c>
      <c r="MS80" s="1" t="n">
        <f aca="false">IF(AND(HT80=1,FG80=1),MIN(ML80,MQ80),0)</f>
        <v>0</v>
      </c>
      <c r="MT80" s="1" t="n">
        <f aca="false">ML80-MS80</f>
        <v>0</v>
      </c>
      <c r="MU80" s="1" t="n">
        <f aca="false">IF(FQ80=1,IF(ABS((1+AS_Wage)/(1+Slot16_Rate)-1)&lt;0.000000000001,(Slot16_Age-D80)*(1+Slot16_Rate)^(Slot16_Age-D80),(1+Slot16_Rate)^(Slot16_Age-D80)*(1-((1+AS_Wage)/(1+Slot16_Rate))^(Slot16_Age-D80))/(1-(1+AS_Wage)/(1+Slot16_Rate))),1)</f>
        <v>1</v>
      </c>
      <c r="MV80" s="1" t="n">
        <f aca="false">IF(AND(HT80=1,ID80&gt;0,Slot16_IsWG=1,FQ80=1),MAX(0,(Slot16_Cost-FR80*(1+Slot16_Rate)^(Slot16_Age-D80))/MU80),0)</f>
        <v>0</v>
      </c>
      <c r="MW80" s="1" t="n">
        <f aca="false">IF(AND(HT80=1,ID80&gt;0,Slot16_IsWG=1,FQ80=1),MIN(ID80,MV80),0)</f>
        <v>0</v>
      </c>
      <c r="MX80" s="1" t="n">
        <f aca="false">FR80+MW80</f>
        <v>0</v>
      </c>
      <c r="MY80" s="1" t="n">
        <f aca="false">IF(FQ80=1,MAX(0,(Slot16_Cost-MX80*(1+Slot16_Rate)^(Slot16_Age-D80))/MU80),0)</f>
        <v>0</v>
      </c>
      <c r="MZ80" s="1" t="n">
        <f aca="false">IF(FQ80=1,MAX(0,(Slot16_Cost-FR80*(1+Slot16_Rate)^(Slot16_Age-D80))/MU80),0)</f>
        <v>0</v>
      </c>
      <c r="NA80" s="1" t="n">
        <f aca="false">IF(AND(HT80=1,FQ80=1),MIN(MT80,MY80),0)</f>
        <v>0</v>
      </c>
      <c r="NB80" s="1" t="n">
        <f aca="false">MT80-NA80</f>
        <v>0</v>
      </c>
      <c r="NC80" s="1" t="n">
        <f aca="false">IF(GA80=1,IF(ABS((1+AS_Wage)/(1+Slot17_Rate)-1)&lt;0.000000000001,(Slot17_Age-D80)*(1+Slot17_Rate)^(Slot17_Age-D80),(1+Slot17_Rate)^(Slot17_Age-D80)*(1-((1+AS_Wage)/(1+Slot17_Rate))^(Slot17_Age-D80))/(1-(1+AS_Wage)/(1+Slot17_Rate))),1)</f>
        <v>1</v>
      </c>
      <c r="ND80" s="1" t="n">
        <f aca="false">IF(AND(HT80=1,ID80&gt;0,Slot17_IsWG=1,GA80=1),MAX(0,(Slot17_Cost-GB80*(1+Slot17_Rate)^(Slot17_Age-D80))/NC80),0)</f>
        <v>0</v>
      </c>
      <c r="NE80" s="1" t="n">
        <f aca="false">IF(AND(HT80=1,ID80&gt;0,Slot17_IsWG=1,GA80=1),MIN(ID80,ND80),0)</f>
        <v>0</v>
      </c>
      <c r="NF80" s="1" t="n">
        <f aca="false">GB80+NE80</f>
        <v>0</v>
      </c>
      <c r="NG80" s="1" t="n">
        <f aca="false">IF(GA80=1,MAX(0,(Slot17_Cost-NF80*(1+Slot17_Rate)^(Slot17_Age-D80))/NC80),0)</f>
        <v>0</v>
      </c>
      <c r="NH80" s="1" t="n">
        <f aca="false">IF(GA80=1,MAX(0,(Slot17_Cost-GB80*(1+Slot17_Rate)^(Slot17_Age-D80))/NC80),0)</f>
        <v>0</v>
      </c>
      <c r="NI80" s="1" t="n">
        <f aca="false">IF(AND(HT80=1,GA80=1),MIN(NB80,NG80),0)</f>
        <v>0</v>
      </c>
      <c r="NJ80" s="1" t="n">
        <f aca="false">NB80-NI80</f>
        <v>0</v>
      </c>
      <c r="NK80" s="1" t="n">
        <f aca="false">IF(GK80=1,IF(ABS((1+AS_Wage)/(1+Slot18_Rate)-1)&lt;0.000000000001,(Slot18_Age-D80)*(1+Slot18_Rate)^(Slot18_Age-D80),(1+Slot18_Rate)^(Slot18_Age-D80)*(1-((1+AS_Wage)/(1+Slot18_Rate))^(Slot18_Age-D80))/(1-(1+AS_Wage)/(1+Slot18_Rate))),1)</f>
        <v>1</v>
      </c>
      <c r="NL80" s="1" t="n">
        <f aca="false">IF(AND(HT80=1,ID80&gt;0,Slot18_IsWG=1,GK80=1),MAX(0,(Slot18_Cost-GL80*(1+Slot18_Rate)^(Slot18_Age-D80))/NK80),0)</f>
        <v>0</v>
      </c>
      <c r="NM80" s="1" t="n">
        <f aca="false">IF(AND(HT80=1,ID80&gt;0,Slot18_IsWG=1,GK80=1),MIN(ID80,NL80),0)</f>
        <v>0</v>
      </c>
      <c r="NN80" s="1" t="n">
        <f aca="false">GL80+NM80</f>
        <v>0</v>
      </c>
      <c r="NO80" s="1" t="n">
        <f aca="false">IF(GK80=1,MAX(0,(Slot18_Cost-NN80*(1+Slot18_Rate)^(Slot18_Age-D80))/NK80),0)</f>
        <v>0</v>
      </c>
      <c r="NP80" s="1" t="n">
        <f aca="false">IF(GK80=1,MAX(0,(Slot18_Cost-GL80*(1+Slot18_Rate)^(Slot18_Age-D80))/NK80),0)</f>
        <v>0</v>
      </c>
      <c r="NQ80" s="1" t="n">
        <f aca="false">IF(AND(HT80=1,GK80=1),MIN(NJ80,NO80),0)</f>
        <v>0</v>
      </c>
      <c r="NR80" s="1" t="n">
        <f aca="false">NJ80-NQ80</f>
        <v>0</v>
      </c>
      <c r="NS80" s="1" t="n">
        <f aca="false">IF(GU80=1,IF(ABS((1+AS_Wage)/(1+Slot19_Rate)-1)&lt;0.000000000001,(Slot19_Age-D80)*(1+Slot19_Rate)^(Slot19_Age-D80),(1+Slot19_Rate)^(Slot19_Age-D80)*(1-((1+AS_Wage)/(1+Slot19_Rate))^(Slot19_Age-D80))/(1-(1+AS_Wage)/(1+Slot19_Rate))),1)</f>
        <v>1</v>
      </c>
      <c r="NT80" s="1" t="n">
        <f aca="false">IF(AND(HT80=1,ID80&gt;0,Slot19_IsWG=1,GU80=1),MAX(0,(Slot19_Cost-GV80*(1+Slot19_Rate)^(Slot19_Age-D80))/NS80),0)</f>
        <v>0</v>
      </c>
      <c r="NU80" s="1" t="n">
        <f aca="false">IF(AND(HT80=1,ID80&gt;0,Slot19_IsWG=1,GU80=1),MIN(ID80,NT80),0)</f>
        <v>0</v>
      </c>
      <c r="NV80" s="1" t="n">
        <f aca="false">GV80+NU80</f>
        <v>0</v>
      </c>
      <c r="NW80" s="1" t="n">
        <f aca="false">IF(GU80=1,MAX(0,(Slot19_Cost-NV80*(1+Slot19_Rate)^(Slot19_Age-D80))/NS80),0)</f>
        <v>0</v>
      </c>
      <c r="NX80" s="1" t="n">
        <f aca="false">IF(GU80=1,MAX(0,(Slot19_Cost-GV80*(1+Slot19_Rate)^(Slot19_Age-D80))/NS80),0)</f>
        <v>0</v>
      </c>
      <c r="NY80" s="1" t="n">
        <f aca="false">IF(AND(HT80=1,GU80=1),MIN(NR80,NW80),0)</f>
        <v>0</v>
      </c>
      <c r="NZ80" s="1" t="n">
        <f aca="false">NR80-NY80</f>
        <v>0</v>
      </c>
      <c r="OA80" s="1" t="n">
        <f aca="false">IF(HE80=1,IF(ABS((1+AS_Wage)/(1+Slot20_Rate)-1)&lt;0.000000000001,(Slot20_Age-D80)*(1+Slot20_Rate)^(Slot20_Age-D80),(1+Slot20_Rate)^(Slot20_Age-D80)*(1-((1+AS_Wage)/(1+Slot20_Rate))^(Slot20_Age-D80))/(1-(1+AS_Wage)/(1+Slot20_Rate))),1)</f>
        <v>1</v>
      </c>
      <c r="OB80" s="1" t="n">
        <f aca="false">IF(AND(HT80=1,ID80&gt;0,Slot20_IsWG=1,HE80=1),MAX(0,(Slot20_Cost-HF80*(1+Slot20_Rate)^(Slot20_Age-D80))/OA80),0)</f>
        <v>0</v>
      </c>
      <c r="OC80" s="1" t="n">
        <f aca="false">IF(AND(HT80=1,ID80&gt;0,Slot20_IsWG=1,HE80=1),MIN(ID80,OB80),0)</f>
        <v>0</v>
      </c>
      <c r="OD80" s="1" t="n">
        <f aca="false">HF80+OC80</f>
        <v>0</v>
      </c>
      <c r="OE80" s="1" t="n">
        <f aca="false">IF(HE80=1,MAX(0,(Slot20_Cost-OD80*(1+Slot20_Rate)^(Slot20_Age-D80))/OA80),0)</f>
        <v>0</v>
      </c>
      <c r="OF80" s="1" t="n">
        <f aca="false">IF(HE80=1,MAX(0,(Slot20_Cost-HF80*(1+Slot20_Rate)^(Slot20_Age-D80))/OA80),0)</f>
        <v>0</v>
      </c>
      <c r="OG80" s="1" t="n">
        <f aca="false">IF(AND(HT80=1,HE80=1),MIN(NZ80,OE80),0)</f>
        <v>0</v>
      </c>
      <c r="OH80" s="1" t="n">
        <f aca="false">NZ80-OG80</f>
        <v>0</v>
      </c>
      <c r="OI80" s="1" t="n">
        <f aca="false">ID80-(IG80+IO80+IW80+JE80+JM80+JU80+KC80+KK80+KS80+LA80+LI80+LQ80+LY80+MG80+MO80+MW80+NE80+NM80+NU80+OC80)</f>
        <v>0</v>
      </c>
      <c r="OJ80" s="1" t="n">
        <f aca="false">IF(HT80=1,HR80-IC80-ID80,0)</f>
        <v>51809.8594729214</v>
      </c>
      <c r="OK80" s="1" t="n">
        <f aca="false">IF(HT80=0,-HR80,0)</f>
        <v>0</v>
      </c>
      <c r="OL80" s="1" t="n">
        <f aca="false">MIN(OK80,HJ80)</f>
        <v>0</v>
      </c>
      <c r="OM80" s="1" t="n">
        <f aca="false">OK80-OL80</f>
        <v>0</v>
      </c>
      <c r="ON80" s="1" t="n">
        <f aca="false">MIN(OM80,HK80)</f>
        <v>0</v>
      </c>
      <c r="OO80" s="1" t="n">
        <f aca="false">OM80-ON80</f>
        <v>0</v>
      </c>
      <c r="OP80" s="1" t="n">
        <f aca="false">IF(AND(HT80=0,HE80=1,OO80&gt;0),MIN(OO80,HF80),0)</f>
        <v>0</v>
      </c>
      <c r="OQ80" s="1" t="n">
        <f aca="false">OO80-OP80</f>
        <v>0</v>
      </c>
      <c r="OR80" s="1" t="n">
        <f aca="false">IF(AND(HT80=0,GU80=1,OQ80&gt;0),MIN(OQ80,GV80),0)</f>
        <v>0</v>
      </c>
      <c r="OS80" s="1" t="n">
        <f aca="false">OQ80-OR80</f>
        <v>0</v>
      </c>
      <c r="OT80" s="1" t="n">
        <f aca="false">IF(AND(HT80=0,GK80=1,OS80&gt;0),MIN(OS80,GL80),0)</f>
        <v>0</v>
      </c>
      <c r="OU80" s="1" t="n">
        <f aca="false">OS80-OT80</f>
        <v>0</v>
      </c>
      <c r="OV80" s="1" t="n">
        <f aca="false">IF(AND(HT80=0,GA80=1,OU80&gt;0),MIN(OU80,GB80),0)</f>
        <v>0</v>
      </c>
      <c r="OW80" s="1" t="n">
        <f aca="false">OU80-OV80</f>
        <v>0</v>
      </c>
      <c r="OX80" s="1" t="n">
        <f aca="false">IF(AND(HT80=0,FQ80=1,OW80&gt;0),MIN(OW80,FR80),0)</f>
        <v>0</v>
      </c>
      <c r="OY80" s="1" t="n">
        <f aca="false">OW80-OX80</f>
        <v>0</v>
      </c>
      <c r="OZ80" s="1" t="n">
        <f aca="false">IF(AND(HT80=0,FG80=1,OY80&gt;0),MIN(OY80,FH80),0)</f>
        <v>0</v>
      </c>
      <c r="PA80" s="1" t="n">
        <f aca="false">OY80-OZ80</f>
        <v>0</v>
      </c>
      <c r="PB80" s="1" t="n">
        <f aca="false">IF(AND(HT80=0,EW80=1,PA80&gt;0),MIN(PA80,EX80),0)</f>
        <v>0</v>
      </c>
      <c r="PC80" s="1" t="n">
        <f aca="false">PA80-PB80</f>
        <v>0</v>
      </c>
      <c r="PD80" s="1" t="n">
        <f aca="false">IF(AND(HT80=0,EM80=1,PC80&gt;0),MIN(PC80,EN80),0)</f>
        <v>0</v>
      </c>
      <c r="PE80" s="1" t="n">
        <f aca="false">PC80-PD80</f>
        <v>0</v>
      </c>
      <c r="PF80" s="1" t="n">
        <f aca="false">IF(AND(HT80=0,EC80=1,PE80&gt;0),MIN(PE80,ED80),0)</f>
        <v>0</v>
      </c>
      <c r="PG80" s="1" t="n">
        <f aca="false">PE80-PF80</f>
        <v>0</v>
      </c>
      <c r="PH80" s="1" t="n">
        <f aca="false">IF(AND(HT80=0,DS80=1,PG80&gt;0),MIN(PG80,DT80),0)</f>
        <v>0</v>
      </c>
      <c r="PI80" s="1" t="n">
        <f aca="false">PG80-PH80</f>
        <v>0</v>
      </c>
      <c r="PJ80" s="1" t="n">
        <f aca="false">IF(AND(HT80=0,DI80=1,PI80&gt;0),MIN(PI80,DJ80),0)</f>
        <v>0</v>
      </c>
      <c r="PK80" s="1" t="n">
        <f aca="false">PI80-PJ80</f>
        <v>0</v>
      </c>
      <c r="PL80" s="1" t="n">
        <f aca="false">IF(AND(HT80=0,CY80=1,PK80&gt;0),MIN(PK80,CZ80),0)</f>
        <v>0</v>
      </c>
      <c r="PM80" s="1" t="n">
        <f aca="false">PK80-PL80</f>
        <v>0</v>
      </c>
      <c r="PN80" s="1" t="n">
        <f aca="false">IF(AND(HT80=0,CO80=1,PM80&gt;0),MIN(PM80,CP80),0)</f>
        <v>0</v>
      </c>
      <c r="PO80" s="1" t="n">
        <f aca="false">PM80-PN80</f>
        <v>0</v>
      </c>
      <c r="PP80" s="1" t="n">
        <f aca="false">IF(AND(HT80=0,CE80=1,PO80&gt;0),MIN(PO80,CF80),0)</f>
        <v>0</v>
      </c>
      <c r="PQ80" s="1" t="n">
        <f aca="false">PO80-PP80</f>
        <v>0</v>
      </c>
      <c r="PR80" s="1" t="n">
        <f aca="false">IF(AND(HT80=0,BU80=1,PQ80&gt;0),MIN(PQ80,BV80),0)</f>
        <v>0</v>
      </c>
      <c r="PS80" s="1" t="n">
        <f aca="false">PQ80-PR80</f>
        <v>0</v>
      </c>
      <c r="PT80" s="1" t="n">
        <f aca="false">IF(AND(HT80=0,BK80=1,PS80&gt;0),MIN(PS80,BL80),0)</f>
        <v>0</v>
      </c>
      <c r="PU80" s="1" t="n">
        <f aca="false">PS80-PT80</f>
        <v>0</v>
      </c>
      <c r="PV80" s="1" t="n">
        <f aca="false">IF(AND(HT80=0,BA80=1,PU80&gt;0),MIN(PU80,BB80),0)</f>
        <v>0</v>
      </c>
      <c r="PW80" s="1" t="n">
        <f aca="false">PU80-PV80</f>
        <v>0</v>
      </c>
      <c r="PX80" s="1" t="n">
        <f aca="false">IF(AND(HT80=0,AQ80=1,PW80&gt;0),MIN(PW80,AR80),0)</f>
        <v>0</v>
      </c>
      <c r="PY80" s="1" t="n">
        <f aca="false">PW80-PX80</f>
        <v>0</v>
      </c>
      <c r="PZ80" s="1" t="n">
        <f aca="false">IF(AND(HT80=0,AG80=1,PY80&gt;0),MIN(PY80,AH80),0)</f>
        <v>0</v>
      </c>
      <c r="QA80" s="1" t="n">
        <f aca="false">PY80-PZ80</f>
        <v>0</v>
      </c>
      <c r="QB80" s="1" t="n">
        <f aca="false">IF(AND(HT80=0,V80=1,QA80&gt;0),MIN(QA80,W80),0)</f>
        <v>0</v>
      </c>
      <c r="QC80" s="1" t="n">
        <f aca="false">QA80-QB80</f>
        <v>0</v>
      </c>
      <c r="QD80" s="1" t="n">
        <f aca="false">IF(HT80=0,QC80,0)</f>
        <v>0</v>
      </c>
      <c r="QE80" s="1" t="n">
        <f aca="false">OL80+ON80+QB80+PZ80+PX80+PV80+PT80+PR80+PP80+PN80+PL80+PJ80+PH80+PF80+PD80+PB80+OZ80+OX80+OV80+OT80+OR80+OP80</f>
        <v>0</v>
      </c>
      <c r="QF80" s="1" t="n">
        <f aca="false">IF(HT80=1,HJ80+OI80+OH80+IF(F80=1,0,OJ80),HJ80-OL80)</f>
        <v>358851.500258436</v>
      </c>
      <c r="QG80" s="1" t="n">
        <f aca="false">HK80-ON80</f>
        <v>0</v>
      </c>
      <c r="QH80" s="1" t="n">
        <f aca="false">IF(HT80=1,IF(F80=1,IC80+ID80,HR80),0)</f>
        <v>51809.8594729214</v>
      </c>
      <c r="QI80" s="1" t="n">
        <f aca="false">IF(HT80=1,IF(F80=1,HR80-IC80-ID80,0),0)</f>
        <v>0</v>
      </c>
      <c r="QJ80" s="1" t="n">
        <f aca="false">QF80*(1+GR)</f>
        <v>364736.664862674</v>
      </c>
      <c r="QK80" s="1" t="n">
        <f aca="false">QG80*(1+AS_Cash)</f>
        <v>0</v>
      </c>
      <c r="QL80" s="1" t="n">
        <f aca="false">IF(V80=1,IF(HT80=1,IH80+IK80,W80-QB80)*(1+Slot1_Rate),0)</f>
        <v>0</v>
      </c>
      <c r="QM80" s="1" t="n">
        <f aca="false">IF(AND(HT80=1,V80=1),(IG80+IK80)/E80,0)</f>
        <v>0</v>
      </c>
      <c r="QN80" s="1" t="n">
        <f aca="false">IF(B80=0,IG80+IK80,0)</f>
        <v>0</v>
      </c>
      <c r="QO80" s="1" t="n">
        <f aca="false">IF(B80=0,IF(HT80=1,II80,IJ80),0)</f>
        <v>0</v>
      </c>
      <c r="QP80" s="1" t="n">
        <f aca="false">IF(AG80=1,IF(HT80=1,IP80+IS80,AH80-PZ80)*(1+Slot2_Rate),0)</f>
        <v>0</v>
      </c>
      <c r="QQ80" s="1" t="n">
        <f aca="false">IF(AND(HT80=1,AG80=1),(IO80+IS80)/E80,0)</f>
        <v>0</v>
      </c>
      <c r="QR80" s="1" t="n">
        <f aca="false">IF(B80=0,IO80+IS80,0)</f>
        <v>0</v>
      </c>
      <c r="QS80" s="1" t="n">
        <f aca="false">IF(B80=0,IF(HT80=1,IQ80,IR80),0)</f>
        <v>0</v>
      </c>
      <c r="QT80" s="1" t="n">
        <f aca="false">IF(AQ80=1,IF(HT80=1,IX80+JA80,AR80-PX80)*(1+Slot3_Rate),0)</f>
        <v>0</v>
      </c>
      <c r="QU80" s="1" t="n">
        <f aca="false">IF(AND(HT80=1,AQ80=1),(IW80+JA80)/E80,0)</f>
        <v>0</v>
      </c>
      <c r="QV80" s="1" t="n">
        <f aca="false">IF(B80=0,IW80+JA80,0)</f>
        <v>0</v>
      </c>
      <c r="QW80" s="1" t="n">
        <f aca="false">IF(B80=0,IF(HT80=1,IY80,IZ80),0)</f>
        <v>0</v>
      </c>
      <c r="QX80" s="1" t="n">
        <f aca="false">IF(BA80=1,IF(HT80=1,JF80+JI80,BB80-PV80)*(1+Slot4_Rate),0)</f>
        <v>0</v>
      </c>
      <c r="QY80" s="1" t="n">
        <f aca="false">IF(AND(HT80=1,BA80=1),(JE80+JI80)/E80,0)</f>
        <v>0</v>
      </c>
      <c r="QZ80" s="1" t="n">
        <f aca="false">IF(B80=0,JE80+JI80,0)</f>
        <v>0</v>
      </c>
      <c r="RA80" s="1" t="n">
        <f aca="false">IF(B80=0,IF(HT80=1,JG80,JH80),0)</f>
        <v>0</v>
      </c>
      <c r="RB80" s="1" t="n">
        <f aca="false">IF(BK80=1,IF(HT80=1,JN80+JQ80,BL80-PT80)*(1+Slot5_Rate),0)</f>
        <v>0</v>
      </c>
      <c r="RC80" s="1" t="n">
        <f aca="false">IF(AND(HT80=1,BK80=1),(JM80+JQ80)/E80,0)</f>
        <v>0</v>
      </c>
      <c r="RD80" s="1" t="n">
        <f aca="false">IF(B80=0,JM80+JQ80,0)</f>
        <v>0</v>
      </c>
      <c r="RE80" s="1" t="n">
        <f aca="false">IF(B80=0,IF(HT80=1,JO80,JP80),0)</f>
        <v>0</v>
      </c>
      <c r="RF80" s="1" t="n">
        <f aca="false">IF(BU80=1,IF(HT80=1,JV80+JY80,BV80-PR80)*(1+Slot6_Rate),0)</f>
        <v>0</v>
      </c>
      <c r="RG80" s="1" t="n">
        <f aca="false">IF(AND(HT80=1,BU80=1),(JU80+JY80)/E80,0)</f>
        <v>0</v>
      </c>
      <c r="RH80" s="1" t="n">
        <f aca="false">IF(B80=0,JU80+JY80,0)</f>
        <v>0</v>
      </c>
      <c r="RI80" s="1" t="n">
        <f aca="false">IF(B80=0,IF(HT80=1,JW80,JX80),0)</f>
        <v>0</v>
      </c>
      <c r="RJ80" s="1" t="n">
        <f aca="false">IF(CE80=1,IF(HT80=1,KD80+KG80,CF80-PP80)*(1+Slot7_Rate),0)</f>
        <v>0</v>
      </c>
      <c r="RK80" s="1" t="n">
        <f aca="false">IF(AND(HT80=1,CE80=1),(KC80+KG80)/E80,0)</f>
        <v>0</v>
      </c>
      <c r="RL80" s="1" t="n">
        <f aca="false">IF(B80=0,KC80+KG80,0)</f>
        <v>0</v>
      </c>
      <c r="RM80" s="1" t="n">
        <f aca="false">IF(B80=0,IF(HT80=1,KE80,KF80),0)</f>
        <v>0</v>
      </c>
      <c r="RN80" s="1" t="n">
        <f aca="false">IF(CO80=1,IF(HT80=1,KL80+KO80,CP80-PN80)*(1+Slot8_Rate),0)</f>
        <v>0</v>
      </c>
      <c r="RO80" s="1" t="n">
        <f aca="false">IF(AND(HT80=1,CO80=1),(KK80+KO80)/E80,0)</f>
        <v>0</v>
      </c>
      <c r="RP80" s="1" t="n">
        <f aca="false">IF(B80=0,KK80+KO80,0)</f>
        <v>0</v>
      </c>
      <c r="RQ80" s="1" t="n">
        <f aca="false">IF(B80=0,IF(HT80=1,KM80,KN80),0)</f>
        <v>0</v>
      </c>
      <c r="RR80" s="1" t="n">
        <f aca="false">IF(CY80=1,IF(HT80=1,KT80+KW80,CZ80-PL80)*(1+Slot9_Rate),0)</f>
        <v>0</v>
      </c>
      <c r="RS80" s="1" t="n">
        <f aca="false">IF(AND(HT80=1,CY80=1),(KS80+KW80)/E80,0)</f>
        <v>0</v>
      </c>
      <c r="RT80" s="1" t="n">
        <f aca="false">IF(B80=0,KS80+KW80,0)</f>
        <v>0</v>
      </c>
      <c r="RU80" s="1" t="n">
        <f aca="false">IF(B80=0,IF(HT80=1,KU80,KV80),0)</f>
        <v>0</v>
      </c>
      <c r="RV80" s="1" t="n">
        <f aca="false">IF(DI80=1,IF(HT80=1,LB80+LE80,DJ80-PJ80)*(1+Slot10_Rate),0)</f>
        <v>0</v>
      </c>
      <c r="RW80" s="1" t="n">
        <f aca="false">IF(AND(HT80=1,DI80=1),(LA80+LE80)/E80,0)</f>
        <v>0</v>
      </c>
      <c r="RX80" s="1" t="n">
        <f aca="false">IF(B80=0,LA80+LE80,0)</f>
        <v>0</v>
      </c>
      <c r="RY80" s="1" t="n">
        <f aca="false">IF(B80=0,IF(HT80=1,LC80,LD80),0)</f>
        <v>0</v>
      </c>
      <c r="RZ80" s="1" t="n">
        <f aca="false">IF(DS80=1,IF(HT80=1,LJ80+LM80,DT80-PH80)*(1+Slot11_Rate),0)</f>
        <v>0</v>
      </c>
      <c r="SA80" s="1" t="n">
        <f aca="false">IF(AND(HT80=1,DS80=1),(LI80+LM80)/E80,0)</f>
        <v>0</v>
      </c>
      <c r="SB80" s="1" t="n">
        <f aca="false">IF(B80=0,LI80+LM80,0)</f>
        <v>0</v>
      </c>
      <c r="SC80" s="1" t="n">
        <f aca="false">IF(B80=0,IF(HT80=1,LK80,LL80),0)</f>
        <v>0</v>
      </c>
      <c r="SD80" s="1" t="n">
        <f aca="false">IF(EC80=1,IF(HT80=1,LR80+LU80,ED80-PF80)*(1+Slot12_Rate),0)</f>
        <v>0</v>
      </c>
      <c r="SE80" s="1" t="n">
        <f aca="false">IF(AND(HT80=1,EC80=1),(LQ80+LU80)/E80,0)</f>
        <v>0</v>
      </c>
      <c r="SF80" s="1" t="n">
        <f aca="false">IF(B80=0,LQ80+LU80,0)</f>
        <v>0</v>
      </c>
      <c r="SG80" s="1" t="n">
        <f aca="false">IF(B80=0,IF(HT80=1,LS80,LT80),0)</f>
        <v>0</v>
      </c>
      <c r="SH80" s="1" t="n">
        <f aca="false">IF(EM80=1,IF(HT80=1,LZ80+MC80,EN80-PD80)*(1+Slot13_Rate),0)</f>
        <v>0</v>
      </c>
      <c r="SI80" s="1" t="n">
        <f aca="false">IF(AND(HT80=1,EM80=1),(LY80+MC80)/E80,0)</f>
        <v>0</v>
      </c>
      <c r="SJ80" s="1" t="n">
        <f aca="false">IF(B80=0,LY80+MC80,0)</f>
        <v>0</v>
      </c>
      <c r="SK80" s="1" t="n">
        <f aca="false">IF(B80=0,IF(HT80=1,MA80,MB80),0)</f>
        <v>0</v>
      </c>
      <c r="SL80" s="1" t="n">
        <f aca="false">IF(EW80=1,IF(HT80=1,MH80+MK80,EX80-PB80)*(1+Slot14_Rate),0)</f>
        <v>0</v>
      </c>
      <c r="SM80" s="1" t="n">
        <f aca="false">IF(AND(HT80=1,EW80=1),(MG80+MK80)/E80,0)</f>
        <v>0</v>
      </c>
      <c r="SN80" s="1" t="n">
        <f aca="false">IF(B80=0,MG80+MK80,0)</f>
        <v>0</v>
      </c>
      <c r="SO80" s="1" t="n">
        <f aca="false">IF(B80=0,IF(HT80=1,MI80,MJ80),0)</f>
        <v>0</v>
      </c>
      <c r="SP80" s="1" t="n">
        <f aca="false">IF(FG80=1,IF(HT80=1,MP80+MS80,FH80-OZ80)*(1+Slot15_Rate),0)</f>
        <v>0</v>
      </c>
      <c r="SQ80" s="1" t="n">
        <f aca="false">IF(AND(HT80=1,FG80=1),(MO80+MS80)/E80,0)</f>
        <v>0</v>
      </c>
      <c r="SR80" s="1" t="n">
        <f aca="false">IF(B80=0,MO80+MS80,0)</f>
        <v>0</v>
      </c>
      <c r="SS80" s="1" t="n">
        <f aca="false">IF(B80=0,IF(HT80=1,MQ80,MR80),0)</f>
        <v>0</v>
      </c>
      <c r="ST80" s="1" t="n">
        <f aca="false">IF(FQ80=1,IF(HT80=1,MX80+NA80,FR80-OX80)*(1+Slot16_Rate),0)</f>
        <v>0</v>
      </c>
      <c r="SU80" s="1" t="n">
        <f aca="false">IF(AND(HT80=1,FQ80=1),(MW80+NA80)/E80,0)</f>
        <v>0</v>
      </c>
      <c r="SV80" s="1" t="n">
        <f aca="false">IF(B80=0,MW80+NA80,0)</f>
        <v>0</v>
      </c>
      <c r="SW80" s="1" t="n">
        <f aca="false">IF(B80=0,IF(HT80=1,MY80,MZ80),0)</f>
        <v>0</v>
      </c>
      <c r="SX80" s="1" t="n">
        <f aca="false">IF(GA80=1,IF(HT80=1,NF80+NI80,GB80-OV80)*(1+Slot17_Rate),0)</f>
        <v>0</v>
      </c>
      <c r="SY80" s="1" t="n">
        <f aca="false">IF(AND(HT80=1,GA80=1),(NE80+NI80)/E80,0)</f>
        <v>0</v>
      </c>
      <c r="SZ80" s="1" t="n">
        <f aca="false">IF(B80=0,NE80+NI80,0)</f>
        <v>0</v>
      </c>
      <c r="TA80" s="1" t="n">
        <f aca="false">IF(B80=0,IF(HT80=1,NG80,NH80),0)</f>
        <v>0</v>
      </c>
      <c r="TB80" s="1" t="n">
        <f aca="false">IF(GK80=1,IF(HT80=1,NN80+NQ80,GL80-OT80)*(1+Slot18_Rate),0)</f>
        <v>0</v>
      </c>
      <c r="TC80" s="1" t="n">
        <f aca="false">IF(AND(HT80=1,GK80=1),(NM80+NQ80)/E80,0)</f>
        <v>0</v>
      </c>
      <c r="TD80" s="1" t="n">
        <f aca="false">IF(B80=0,NM80+NQ80,0)</f>
        <v>0</v>
      </c>
      <c r="TE80" s="1" t="n">
        <f aca="false">IF(B80=0,IF(HT80=1,NO80,NP80),0)</f>
        <v>0</v>
      </c>
      <c r="TF80" s="1" t="n">
        <f aca="false">IF(GU80=1,IF(HT80=1,NV80+NY80,GV80-OR80)*(1+Slot19_Rate),0)</f>
        <v>0</v>
      </c>
      <c r="TG80" s="1" t="n">
        <f aca="false">IF(AND(HT80=1,GU80=1),(NU80+NY80)/E80,0)</f>
        <v>0</v>
      </c>
      <c r="TH80" s="1" t="n">
        <f aca="false">IF(B80=0,NU80+NY80,0)</f>
        <v>0</v>
      </c>
      <c r="TI80" s="1" t="n">
        <f aca="false">IF(B80=0,IF(HT80=1,NW80,NX80),0)</f>
        <v>0</v>
      </c>
      <c r="TJ80" s="1" t="n">
        <f aca="false">IF(HE80=1,IF(HT80=1,OD80+OG80,HF80-OP80)*(1+Slot20_Rate),0)</f>
        <v>0</v>
      </c>
      <c r="TK80" s="1" t="n">
        <f aca="false">IF(AND(HT80=1,HE80=1),(OC80+OG80)/E80,0)</f>
        <v>0</v>
      </c>
      <c r="TL80" s="1" t="n">
        <f aca="false">IF(B80=0,OC80+OG80,0)</f>
        <v>0</v>
      </c>
      <c r="TM80" s="1" t="n">
        <f aca="false">IF(B80=0,IF(HT80=1,OE80,OF80),0)</f>
        <v>0</v>
      </c>
      <c r="TN80" s="1" t="n">
        <f aca="false">QJ80+QK80+QL80+QP80+QT80+QX80+RB80+RF80+RJ80+RN80+RR80+RV80+RZ80+SD80+SH80+SL80+SP80+ST80+SX80+TB80+TF80+TJ80</f>
        <v>364736.664862674</v>
      </c>
      <c r="TO80" s="1" t="n">
        <f aca="false">QD80+HO80</f>
        <v>0</v>
      </c>
      <c r="TP80" s="1" t="n">
        <f aca="false">H80+R80</f>
        <v>0</v>
      </c>
      <c r="TQ80" s="1" t="n">
        <f aca="false">1-F80</f>
        <v>1</v>
      </c>
      <c r="TR80" s="1" t="n">
        <f aca="false">IF(AND(RG_Exists=1,F80=0,C80=1),H80,0)</f>
        <v>0</v>
      </c>
      <c r="TS80" s="1" t="n">
        <f aca="false">IF(AND(RG_Exists=1,F80=0,C80=1),H80-MIN(QD80,H80),0)</f>
        <v>0</v>
      </c>
      <c r="TT80" s="1" t="n">
        <f aca="false">'Plan pay &amp; tax'!AD306</f>
        <v>0</v>
      </c>
      <c r="TU80" s="1" t="n">
        <f aca="false">IF(AND(C80=1,QD80&gt;MAX(PR_Short1,TP80*PR_Short2)),1,0)</f>
        <v>0</v>
      </c>
      <c r="TV80" s="1" t="n">
        <f aca="false">MIN(G80,H80+R80)</f>
        <v>0</v>
      </c>
      <c r="TW80" s="1" t="n">
        <f aca="false">QE80+MAX(0,HP80-HO80)</f>
        <v>0</v>
      </c>
      <c r="TX80" s="1" t="n">
        <f aca="false">QD80+HO80</f>
        <v>0</v>
      </c>
      <c r="TY80" s="1" t="n">
        <f aca="false">IF(AND(C80=1,TX80&gt;PR_MinShort),1,0)</f>
        <v>0</v>
      </c>
      <c r="TZ80" s="1" t="n">
        <f aca="false">IF(AND(C80=1,TY80=0,TW80&gt;PR_MinShort),1,0)</f>
        <v>0</v>
      </c>
      <c r="UA80" s="1" t="n">
        <f aca="false">IF(AND(C80=1,QD80&gt;PR_MinShort),1,0)</f>
        <v>0</v>
      </c>
      <c r="UB80" s="1" t="n">
        <f aca="false">IF(AND(C80=1,QE80&gt;1,UI80=0),1,0)</f>
        <v>0</v>
      </c>
      <c r="UC80" s="1" t="str">
        <f aca="false">IF(C80=0,"",IF(UI80=1,"Gap to plan for: short "&amp;"€"&amp;TEXT(ROUND(TO80,0),"#,##0"),IF(QE80&gt;1,"Using savings","Comfortable")))</f>
        <v>Comfortable</v>
      </c>
      <c r="UD80" s="1" t="n">
        <f aca="false">IF(AND(INT(D80/10)*10=90,B80&gt;0),80,INT(D80/10)*10)</f>
        <v>70</v>
      </c>
      <c r="UE80" s="1" t="n">
        <f aca="false">IF(B80=0,1,IF(UD80&lt;&gt;UD79,UE79+1,UE79))</f>
        <v>8</v>
      </c>
      <c r="UF80" s="1" t="n">
        <f aca="false">IF(AND(C80=1,F80=1,QD80&gt;MAX(PR_Short1,TP80*PR_Short2)),1,0)</f>
        <v>0</v>
      </c>
      <c r="UG80" s="1" t="n">
        <f aca="false">TQ80*TU80</f>
        <v>0</v>
      </c>
      <c r="UH80" s="1" t="n">
        <f aca="false">IF(AND(U80=1,Slot1_PctLow=1),1,0)+IF(AND(AF80=1,Slot2_PctLow=1),1,0)+IF(AND(AP80=1,Slot3_PctLow=1),1,0)+IF(AND(AZ80=1,Slot4_PctLow=1),1,0)+IF(AND(BJ80=1,Slot5_PctLow=1),1,0)+IF(AND(BT80=1,Slot6_PctLow=1),1,0)+IF(AND(CD80=1,Slot7_PctLow=1),1,0)+IF(AND(CN80=1,Slot8_PctLow=1),1,0)+IF(AND(CX80=1,Slot9_PctLow=1),1,0)+IF(AND(DH80=1,Slot10_PctLow=1),1,0)+IF(AND(DR80=1,Slot11_PctLow=1),1,0)+IF(AND(EB80=1,Slot12_PctLow=1),1,0)+IF(AND(EL80=1,Slot13_PctLow=1),1,0)+IF(AND(EV80=1,Slot14_PctLow=1),1,0)+IF(AND(FF80=1,Slot15_PctLow=1),1,0)+IF(AND(FP80=1,Slot16_PctLow=1),1,0)+IF(AND(FZ80=1,Slot17_PctLow=1),1,0)+IF(AND(GJ80=1,Slot18_PctLow=1),1,0)+IF(AND(GT80=1,Slot19_PctLow=1),1,0)+IF(AND(HD80=1,Slot20_PctLow=1),1,0)</f>
        <v>0</v>
      </c>
      <c r="UI80" s="1" t="n">
        <f aca="false">IF(C80=1,IF(OR(TU80=1,UH80&gt;0),1,0),0)</f>
        <v>0</v>
      </c>
    </row>
    <row r="81" customFormat="false" ht="15" hidden="false" customHeight="true" outlineLevel="0" collapsed="false">
      <c r="B81" s="1" t="n">
        <v>73</v>
      </c>
      <c r="C81" s="1" t="n">
        <f aca="false">IF(B81&lt;=F_N,1,0)</f>
        <v>1</v>
      </c>
      <c r="D81" s="1" t="n">
        <f aca="false">'Plan pay &amp; tax'!C307</f>
        <v>73</v>
      </c>
      <c r="E81" s="111" t="n">
        <f aca="false">'Plan pay &amp; tax'!E307</f>
        <v>4.24436318255255</v>
      </c>
      <c r="F81" s="1" t="n">
        <f aca="false">'Plan pay &amp; tax'!G307</f>
        <v>0</v>
      </c>
      <c r="G81" s="1" t="n">
        <f aca="false">'Plan pay &amp; tax'!BT307-'Plan pay &amp; tax'!BS307-'Plan pay &amp; tax'!R307</f>
        <v>52846.0566623799</v>
      </c>
      <c r="H81" s="1" t="n">
        <f aca="false">IF(F81=1,F_CostsM*12,IF(RG_Exists=1,RG_Amount,F_CostsM*12*AS_RetireSpend))*E81+F_OneOffY*E81</f>
        <v>0</v>
      </c>
      <c r="I81" s="1" t="n">
        <f aca="false">HQ80</f>
        <v>0</v>
      </c>
      <c r="J81" s="1" t="n">
        <f aca="false">IF(I81&gt;1,'Plan debt months'!AC81,0)</f>
        <v>0</v>
      </c>
      <c r="K81" s="1" t="n">
        <f aca="false">IF(I81&gt;1,'Plan debt months'!AB81,I81)</f>
        <v>0</v>
      </c>
      <c r="L81" s="1" t="n">
        <f aca="false">N80</f>
        <v>0</v>
      </c>
      <c r="M81" s="1" t="n">
        <f aca="false">IF(L81&gt;1,'Plan debt months'!BD81,0)</f>
        <v>0</v>
      </c>
      <c r="N81" s="1" t="n">
        <f aca="false">IF(L81&gt;1,'Plan debt months'!BC81,L81)</f>
        <v>0</v>
      </c>
      <c r="O81" s="1" t="n">
        <f aca="false">Q80</f>
        <v>0</v>
      </c>
      <c r="P81" s="1" t="n">
        <f aca="false">IF(O81&gt;1,'Plan debt months'!CE81,0)</f>
        <v>0</v>
      </c>
      <c r="Q81" s="1" t="n">
        <f aca="false">IF(O81&gt;1,'Plan debt months'!CD81,O81)</f>
        <v>0</v>
      </c>
      <c r="R81" s="1" t="n">
        <f aca="false">J81+M81+P81</f>
        <v>0</v>
      </c>
      <c r="S81" s="1" t="n">
        <f aca="false">QJ80+'Plan pay &amp; tax'!Y307</f>
        <v>364736.664862674</v>
      </c>
      <c r="T81" s="1" t="n">
        <f aca="false">QJ80</f>
        <v>364736.664862674</v>
      </c>
      <c r="U81" s="1" t="n">
        <f aca="false">IF(AND(Slot1_On=1,D81=Slot1_Age),1,0)</f>
        <v>0</v>
      </c>
      <c r="V81" s="1" t="n">
        <f aca="false">IF(AND(Slot1_On=1,Slot1_Age&gt;D81),1,0)</f>
        <v>0</v>
      </c>
      <c r="W81" s="1" t="n">
        <f aca="false">QL80</f>
        <v>0</v>
      </c>
      <c r="X81" s="1" t="n">
        <f aca="false">U81*MIN(Slot1_Cost,W81)</f>
        <v>0</v>
      </c>
      <c r="Y81" s="1" t="n">
        <f aca="false">U81*Slot1_SpendLike*MIN(Slot1_Cost-X81,S81)</f>
        <v>0</v>
      </c>
      <c r="Z81" s="1" t="n">
        <f aca="false">X81+Y81</f>
        <v>0</v>
      </c>
      <c r="AA81" s="1" t="n">
        <f aca="false">S81-Y81+U81*IF(Slot1_SpendLike=1,W81-X81,IF(Slot1_PotFree=1,W81,0))</f>
        <v>364736.664862674</v>
      </c>
      <c r="AB81" s="1" t="n">
        <f aca="false">AE81+U81*Slot1_BufPot*W81</f>
        <v>0</v>
      </c>
      <c r="AC81" s="1" t="n">
        <f aca="false">IF(AND(U81=1,Slot1_IsMfree=1),IF(Z81&gt;=Slot1_Cost-1,0,MAX(0,K81-Z81)),K81)</f>
        <v>0</v>
      </c>
      <c r="AD81" s="1" t="n">
        <f aca="false">U81*(Slot1_Cost-Z81)</f>
        <v>0</v>
      </c>
      <c r="AE81" s="1" t="n">
        <f aca="false">QK80</f>
        <v>0</v>
      </c>
      <c r="AF81" s="1" t="n">
        <f aca="false">IF(AND(Slot2_On=1,D81=Slot2_Age),1,0)</f>
        <v>0</v>
      </c>
      <c r="AG81" s="1" t="n">
        <f aca="false">IF(AND(Slot2_On=1,Slot2_Age&gt;D81),1,0)</f>
        <v>0</v>
      </c>
      <c r="AH81" s="1" t="n">
        <f aca="false">QP80</f>
        <v>0</v>
      </c>
      <c r="AI81" s="1" t="n">
        <f aca="false">AF81*MIN(Slot2_Cost,AH81)</f>
        <v>0</v>
      </c>
      <c r="AJ81" s="1" t="n">
        <f aca="false">AF81*Slot2_SpendLike*MIN(Slot2_Cost-AI81,AA81)</f>
        <v>0</v>
      </c>
      <c r="AK81" s="1" t="n">
        <f aca="false">AI81+AJ81</f>
        <v>0</v>
      </c>
      <c r="AL81" s="1" t="n">
        <f aca="false">AA81-AJ81+AF81*IF(Slot2_SpendLike=1,AH81-AI81,IF(Slot2_PotFree=1,AH81,0))</f>
        <v>364736.664862674</v>
      </c>
      <c r="AM81" s="1" t="n">
        <f aca="false">AB81+AF81*Slot2_BufPot*AH81</f>
        <v>0</v>
      </c>
      <c r="AN81" s="1" t="n">
        <f aca="false">IF(AND(AF81=1,Slot2_IsMfree=1),IF(AK81&gt;=Slot2_Cost-1,0,MAX(0,AC81-AK81)),AC81)</f>
        <v>0</v>
      </c>
      <c r="AO81" s="1" t="n">
        <f aca="false">AF81*(Slot2_Cost-AK81)</f>
        <v>0</v>
      </c>
      <c r="AP81" s="1" t="n">
        <f aca="false">IF(AND(Slot3_On=1,D81=Slot3_Age),1,0)</f>
        <v>0</v>
      </c>
      <c r="AQ81" s="1" t="n">
        <f aca="false">IF(AND(Slot3_On=1,Slot3_Age&gt;D81),1,0)</f>
        <v>0</v>
      </c>
      <c r="AR81" s="1" t="n">
        <f aca="false">QT80</f>
        <v>0</v>
      </c>
      <c r="AS81" s="1" t="n">
        <f aca="false">AP81*MIN(Slot3_Cost,AR81)</f>
        <v>0</v>
      </c>
      <c r="AT81" s="1" t="n">
        <f aca="false">AP81*Slot3_SpendLike*MIN(Slot3_Cost-AS81,AL81)</f>
        <v>0</v>
      </c>
      <c r="AU81" s="1" t="n">
        <f aca="false">AS81+AT81</f>
        <v>0</v>
      </c>
      <c r="AV81" s="1" t="n">
        <f aca="false">AL81-AT81+AP81*IF(Slot3_SpendLike=1,AR81-AS81,IF(Slot3_PotFree=1,AR81,0))</f>
        <v>364736.664862674</v>
      </c>
      <c r="AW81" s="1" t="n">
        <f aca="false">AM81+AP81*Slot3_BufPot*AR81</f>
        <v>0</v>
      </c>
      <c r="AX81" s="1" t="n">
        <f aca="false">IF(AND(AP81=1,Slot3_IsMfree=1),IF(AU81&gt;=Slot3_Cost-1,0,MAX(0,AN81-AU81)),AN81)</f>
        <v>0</v>
      </c>
      <c r="AY81" s="1" t="n">
        <f aca="false">AP81*(Slot3_Cost-AU81)</f>
        <v>0</v>
      </c>
      <c r="AZ81" s="1" t="n">
        <f aca="false">IF(AND(Slot4_On=1,D81=Slot4_Age),1,0)</f>
        <v>0</v>
      </c>
      <c r="BA81" s="1" t="n">
        <f aca="false">IF(AND(Slot4_On=1,Slot4_Age&gt;D81),1,0)</f>
        <v>0</v>
      </c>
      <c r="BB81" s="1" t="n">
        <f aca="false">QX80</f>
        <v>0</v>
      </c>
      <c r="BC81" s="1" t="n">
        <f aca="false">AZ81*MIN(Slot4_Cost,BB81)</f>
        <v>0</v>
      </c>
      <c r="BD81" s="1" t="n">
        <f aca="false">AZ81*Slot4_SpendLike*MIN(Slot4_Cost-BC81,AV81)</f>
        <v>0</v>
      </c>
      <c r="BE81" s="1" t="n">
        <f aca="false">BC81+BD81</f>
        <v>0</v>
      </c>
      <c r="BF81" s="1" t="n">
        <f aca="false">AV81-BD81+AZ81*IF(Slot4_SpendLike=1,BB81-BC81,IF(Slot4_PotFree=1,BB81,0))</f>
        <v>364736.664862674</v>
      </c>
      <c r="BG81" s="1" t="n">
        <f aca="false">AW81+AZ81*Slot4_BufPot*BB81</f>
        <v>0</v>
      </c>
      <c r="BH81" s="1" t="n">
        <f aca="false">IF(AND(AZ81=1,Slot4_IsMfree=1),IF(BE81&gt;=Slot4_Cost-1,0,MAX(0,AX81-BE81)),AX81)</f>
        <v>0</v>
      </c>
      <c r="BI81" s="1" t="n">
        <f aca="false">AZ81*(Slot4_Cost-BE81)</f>
        <v>0</v>
      </c>
      <c r="BJ81" s="1" t="n">
        <f aca="false">IF(AND(Slot5_On=1,D81=Slot5_Age),1,0)</f>
        <v>0</v>
      </c>
      <c r="BK81" s="1" t="n">
        <f aca="false">IF(AND(Slot5_On=1,Slot5_Age&gt;D81),1,0)</f>
        <v>0</v>
      </c>
      <c r="BL81" s="1" t="n">
        <f aca="false">RB80</f>
        <v>0</v>
      </c>
      <c r="BM81" s="1" t="n">
        <f aca="false">BJ81*MIN(Slot5_Cost,BL81)</f>
        <v>0</v>
      </c>
      <c r="BN81" s="1" t="n">
        <f aca="false">BJ81*Slot5_SpendLike*MIN(Slot5_Cost-BM81,BF81)</f>
        <v>0</v>
      </c>
      <c r="BO81" s="1" t="n">
        <f aca="false">BM81+BN81</f>
        <v>0</v>
      </c>
      <c r="BP81" s="1" t="n">
        <f aca="false">BF81-BN81+BJ81*IF(Slot5_SpendLike=1,BL81-BM81,IF(Slot5_PotFree=1,BL81,0))</f>
        <v>364736.664862674</v>
      </c>
      <c r="BQ81" s="1" t="n">
        <f aca="false">BG81+BJ81*Slot5_BufPot*BL81</f>
        <v>0</v>
      </c>
      <c r="BR81" s="1" t="n">
        <f aca="false">IF(AND(BJ81=1,Slot5_IsMfree=1),IF(BO81&gt;=Slot5_Cost-1,0,MAX(0,BH81-BO81)),BH81)</f>
        <v>0</v>
      </c>
      <c r="BS81" s="1" t="n">
        <f aca="false">BJ81*(Slot5_Cost-BO81)</f>
        <v>0</v>
      </c>
      <c r="BT81" s="1" t="n">
        <f aca="false">IF(AND(Slot6_On=1,D81=Slot6_Age),1,0)</f>
        <v>0</v>
      </c>
      <c r="BU81" s="1" t="n">
        <f aca="false">IF(AND(Slot6_On=1,Slot6_Age&gt;D81),1,0)</f>
        <v>0</v>
      </c>
      <c r="BV81" s="1" t="n">
        <f aca="false">RF80</f>
        <v>0</v>
      </c>
      <c r="BW81" s="1" t="n">
        <f aca="false">BT81*MIN(Slot6_Cost,BV81)</f>
        <v>0</v>
      </c>
      <c r="BX81" s="1" t="n">
        <f aca="false">BT81*Slot6_SpendLike*MIN(Slot6_Cost-BW81,BP81)</f>
        <v>0</v>
      </c>
      <c r="BY81" s="1" t="n">
        <f aca="false">BW81+BX81</f>
        <v>0</v>
      </c>
      <c r="BZ81" s="1" t="n">
        <f aca="false">BP81-BX81+BT81*IF(Slot6_SpendLike=1,BV81-BW81,IF(Slot6_PotFree=1,BV81,0))</f>
        <v>364736.664862674</v>
      </c>
      <c r="CA81" s="1" t="n">
        <f aca="false">BQ81+BT81*Slot6_BufPot*BV81</f>
        <v>0</v>
      </c>
      <c r="CB81" s="1" t="n">
        <f aca="false">IF(AND(BT81=1,Slot6_IsMfree=1),IF(BY81&gt;=Slot6_Cost-1,0,MAX(0,BR81-BY81)),BR81)</f>
        <v>0</v>
      </c>
      <c r="CC81" s="1" t="n">
        <f aca="false">BT81*(Slot6_Cost-BY81)</f>
        <v>0</v>
      </c>
      <c r="CD81" s="1" t="n">
        <f aca="false">IF(AND(Slot7_On=1,D81=Slot7_Age),1,0)</f>
        <v>0</v>
      </c>
      <c r="CE81" s="1" t="n">
        <f aca="false">IF(AND(Slot7_On=1,Slot7_Age&gt;D81),1,0)</f>
        <v>0</v>
      </c>
      <c r="CF81" s="1" t="n">
        <f aca="false">RJ80</f>
        <v>0</v>
      </c>
      <c r="CG81" s="1" t="n">
        <f aca="false">CD81*MIN(Slot7_Cost,CF81)</f>
        <v>0</v>
      </c>
      <c r="CH81" s="1" t="n">
        <f aca="false">CD81*Slot7_SpendLike*MIN(Slot7_Cost-CG81,BZ81)</f>
        <v>0</v>
      </c>
      <c r="CI81" s="1" t="n">
        <f aca="false">CG81+CH81</f>
        <v>0</v>
      </c>
      <c r="CJ81" s="1" t="n">
        <f aca="false">BZ81-CH81+CD81*IF(Slot7_SpendLike=1,CF81-CG81,IF(Slot7_PotFree=1,CF81,0))</f>
        <v>364736.664862674</v>
      </c>
      <c r="CK81" s="1" t="n">
        <f aca="false">CA81+CD81*Slot7_BufPot*CF81</f>
        <v>0</v>
      </c>
      <c r="CL81" s="1" t="n">
        <f aca="false">IF(AND(CD81=1,Slot7_IsMfree=1),IF(CI81&gt;=Slot7_Cost-1,0,MAX(0,CB81-CI81)),CB81)</f>
        <v>0</v>
      </c>
      <c r="CM81" s="1" t="n">
        <f aca="false">CD81*(Slot7_Cost-CI81)</f>
        <v>0</v>
      </c>
      <c r="CN81" s="1" t="n">
        <f aca="false">IF(AND(Slot8_On=1,D81=Slot8_Age),1,0)</f>
        <v>0</v>
      </c>
      <c r="CO81" s="1" t="n">
        <f aca="false">IF(AND(Slot8_On=1,Slot8_Age&gt;D81),1,0)</f>
        <v>0</v>
      </c>
      <c r="CP81" s="1" t="n">
        <f aca="false">RN80</f>
        <v>0</v>
      </c>
      <c r="CQ81" s="1" t="n">
        <f aca="false">CN81*MIN(Slot8_Cost,CP81)</f>
        <v>0</v>
      </c>
      <c r="CR81" s="1" t="n">
        <f aca="false">CN81*Slot8_SpendLike*MIN(Slot8_Cost-CQ81,CJ81)</f>
        <v>0</v>
      </c>
      <c r="CS81" s="1" t="n">
        <f aca="false">CQ81+CR81</f>
        <v>0</v>
      </c>
      <c r="CT81" s="1" t="n">
        <f aca="false">CJ81-CR81+CN81*IF(Slot8_SpendLike=1,CP81-CQ81,IF(Slot8_PotFree=1,CP81,0))</f>
        <v>364736.664862674</v>
      </c>
      <c r="CU81" s="1" t="n">
        <f aca="false">CK81+CN81*Slot8_BufPot*CP81</f>
        <v>0</v>
      </c>
      <c r="CV81" s="1" t="n">
        <f aca="false">IF(AND(CN81=1,Slot8_IsMfree=1),IF(CS81&gt;=Slot8_Cost-1,0,MAX(0,CL81-CS81)),CL81)</f>
        <v>0</v>
      </c>
      <c r="CW81" s="1" t="n">
        <f aca="false">CN81*(Slot8_Cost-CS81)</f>
        <v>0</v>
      </c>
      <c r="CX81" s="1" t="n">
        <f aca="false">IF(AND(Slot9_On=1,D81=Slot9_Age),1,0)</f>
        <v>0</v>
      </c>
      <c r="CY81" s="1" t="n">
        <f aca="false">IF(AND(Slot9_On=1,Slot9_Age&gt;D81),1,0)</f>
        <v>0</v>
      </c>
      <c r="CZ81" s="1" t="n">
        <f aca="false">RR80</f>
        <v>0</v>
      </c>
      <c r="DA81" s="1" t="n">
        <f aca="false">CX81*MIN(Slot9_Cost,CZ81)</f>
        <v>0</v>
      </c>
      <c r="DB81" s="1" t="n">
        <f aca="false">CX81*Slot9_SpendLike*MIN(Slot9_Cost-DA81,CT81)</f>
        <v>0</v>
      </c>
      <c r="DC81" s="1" t="n">
        <f aca="false">DA81+DB81</f>
        <v>0</v>
      </c>
      <c r="DD81" s="1" t="n">
        <f aca="false">CT81-DB81+CX81*IF(Slot9_SpendLike=1,CZ81-DA81,IF(Slot9_PotFree=1,CZ81,0))</f>
        <v>364736.664862674</v>
      </c>
      <c r="DE81" s="1" t="n">
        <f aca="false">CU81+CX81*Slot9_BufPot*CZ81</f>
        <v>0</v>
      </c>
      <c r="DF81" s="1" t="n">
        <f aca="false">IF(AND(CX81=1,Slot9_IsMfree=1),IF(DC81&gt;=Slot9_Cost-1,0,MAX(0,CV81-DC81)),CV81)</f>
        <v>0</v>
      </c>
      <c r="DG81" s="1" t="n">
        <f aca="false">CX81*(Slot9_Cost-DC81)</f>
        <v>0</v>
      </c>
      <c r="DH81" s="1" t="n">
        <f aca="false">IF(AND(Slot10_On=1,D81=Slot10_Age),1,0)</f>
        <v>0</v>
      </c>
      <c r="DI81" s="1" t="n">
        <f aca="false">IF(AND(Slot10_On=1,Slot10_Age&gt;D81),1,0)</f>
        <v>0</v>
      </c>
      <c r="DJ81" s="1" t="n">
        <f aca="false">RV80</f>
        <v>0</v>
      </c>
      <c r="DK81" s="1" t="n">
        <f aca="false">DH81*MIN(Slot10_Cost,DJ81)</f>
        <v>0</v>
      </c>
      <c r="DL81" s="1" t="n">
        <f aca="false">DH81*Slot10_SpendLike*MIN(Slot10_Cost-DK81,DD81)</f>
        <v>0</v>
      </c>
      <c r="DM81" s="1" t="n">
        <f aca="false">DK81+DL81</f>
        <v>0</v>
      </c>
      <c r="DN81" s="1" t="n">
        <f aca="false">DD81-DL81+DH81*IF(Slot10_SpendLike=1,DJ81-DK81,IF(Slot10_PotFree=1,DJ81,0))</f>
        <v>364736.664862674</v>
      </c>
      <c r="DO81" s="1" t="n">
        <f aca="false">DE81+DH81*Slot10_BufPot*DJ81</f>
        <v>0</v>
      </c>
      <c r="DP81" s="1" t="n">
        <f aca="false">IF(AND(DH81=1,Slot10_IsMfree=1),IF(DM81&gt;=Slot10_Cost-1,0,MAX(0,DF81-DM81)),DF81)</f>
        <v>0</v>
      </c>
      <c r="DQ81" s="1" t="n">
        <f aca="false">DH81*(Slot10_Cost-DM81)</f>
        <v>0</v>
      </c>
      <c r="DR81" s="1" t="n">
        <f aca="false">IF(AND(Slot11_On=1,D81=Slot11_Age),1,0)</f>
        <v>0</v>
      </c>
      <c r="DS81" s="1" t="n">
        <f aca="false">IF(AND(Slot11_On=1,Slot11_Age&gt;D81),1,0)</f>
        <v>0</v>
      </c>
      <c r="DT81" s="1" t="n">
        <f aca="false">RZ80</f>
        <v>0</v>
      </c>
      <c r="DU81" s="1" t="n">
        <f aca="false">DR81*MIN(Slot11_Cost,DT81)</f>
        <v>0</v>
      </c>
      <c r="DV81" s="1" t="n">
        <f aca="false">DR81*Slot11_SpendLike*MIN(Slot11_Cost-DU81,DN81)</f>
        <v>0</v>
      </c>
      <c r="DW81" s="1" t="n">
        <f aca="false">DU81+DV81</f>
        <v>0</v>
      </c>
      <c r="DX81" s="1" t="n">
        <f aca="false">DN81-DV81+DR81*IF(Slot11_SpendLike=1,DT81-DU81,IF(Slot11_PotFree=1,DT81,0))</f>
        <v>364736.664862674</v>
      </c>
      <c r="DY81" s="1" t="n">
        <f aca="false">DO81+DR81*Slot11_BufPot*DT81</f>
        <v>0</v>
      </c>
      <c r="DZ81" s="1" t="n">
        <f aca="false">IF(AND(DR81=1,Slot11_IsMfree=1),IF(DW81&gt;=Slot11_Cost-1,0,MAX(0,DP81-DW81)),DP81)</f>
        <v>0</v>
      </c>
      <c r="EA81" s="1" t="n">
        <f aca="false">DR81*(Slot11_Cost-DW81)</f>
        <v>0</v>
      </c>
      <c r="EB81" s="1" t="n">
        <f aca="false">IF(AND(Slot12_On=1,D81=Slot12_Age),1,0)</f>
        <v>0</v>
      </c>
      <c r="EC81" s="1" t="n">
        <f aca="false">IF(AND(Slot12_On=1,Slot12_Age&gt;D81),1,0)</f>
        <v>0</v>
      </c>
      <c r="ED81" s="1" t="n">
        <f aca="false">SD80</f>
        <v>0</v>
      </c>
      <c r="EE81" s="1" t="n">
        <f aca="false">EB81*MIN(Slot12_Cost,ED81)</f>
        <v>0</v>
      </c>
      <c r="EF81" s="1" t="n">
        <f aca="false">EB81*Slot12_SpendLike*MIN(Slot12_Cost-EE81,DX81)</f>
        <v>0</v>
      </c>
      <c r="EG81" s="1" t="n">
        <f aca="false">EE81+EF81</f>
        <v>0</v>
      </c>
      <c r="EH81" s="1" t="n">
        <f aca="false">DX81-EF81+EB81*IF(Slot12_SpendLike=1,ED81-EE81,IF(Slot12_PotFree=1,ED81,0))</f>
        <v>364736.664862674</v>
      </c>
      <c r="EI81" s="1" t="n">
        <f aca="false">DY81+EB81*Slot12_BufPot*ED81</f>
        <v>0</v>
      </c>
      <c r="EJ81" s="1" t="n">
        <f aca="false">IF(AND(EB81=1,Slot12_IsMfree=1),IF(EG81&gt;=Slot12_Cost-1,0,MAX(0,DZ81-EG81)),DZ81)</f>
        <v>0</v>
      </c>
      <c r="EK81" s="1" t="n">
        <f aca="false">EB81*(Slot12_Cost-EG81)</f>
        <v>0</v>
      </c>
      <c r="EL81" s="1" t="n">
        <f aca="false">IF(AND(Slot13_On=1,D81=Slot13_Age),1,0)</f>
        <v>0</v>
      </c>
      <c r="EM81" s="1" t="n">
        <f aca="false">IF(AND(Slot13_On=1,Slot13_Age&gt;D81),1,0)</f>
        <v>0</v>
      </c>
      <c r="EN81" s="1" t="n">
        <f aca="false">SH80</f>
        <v>0</v>
      </c>
      <c r="EO81" s="1" t="n">
        <f aca="false">EL81*MIN(Slot13_Cost,EN81)</f>
        <v>0</v>
      </c>
      <c r="EP81" s="1" t="n">
        <f aca="false">EL81*Slot13_SpendLike*MIN(Slot13_Cost-EO81,EH81)</f>
        <v>0</v>
      </c>
      <c r="EQ81" s="1" t="n">
        <f aca="false">EO81+EP81</f>
        <v>0</v>
      </c>
      <c r="ER81" s="1" t="n">
        <f aca="false">EH81-EP81+EL81*IF(Slot13_SpendLike=1,EN81-EO81,IF(Slot13_PotFree=1,EN81,0))</f>
        <v>364736.664862674</v>
      </c>
      <c r="ES81" s="1" t="n">
        <f aca="false">EI81+EL81*Slot13_BufPot*EN81</f>
        <v>0</v>
      </c>
      <c r="ET81" s="1" t="n">
        <f aca="false">IF(AND(EL81=1,Slot13_IsMfree=1),IF(EQ81&gt;=Slot13_Cost-1,0,MAX(0,EJ81-EQ81)),EJ81)</f>
        <v>0</v>
      </c>
      <c r="EU81" s="1" t="n">
        <f aca="false">EL81*(Slot13_Cost-EQ81)</f>
        <v>0</v>
      </c>
      <c r="EV81" s="1" t="n">
        <f aca="false">IF(AND(Slot14_On=1,D81=Slot14_Age),1,0)</f>
        <v>0</v>
      </c>
      <c r="EW81" s="1" t="n">
        <f aca="false">IF(AND(Slot14_On=1,Slot14_Age&gt;D81),1,0)</f>
        <v>0</v>
      </c>
      <c r="EX81" s="1" t="n">
        <f aca="false">SL80</f>
        <v>0</v>
      </c>
      <c r="EY81" s="1" t="n">
        <f aca="false">EV81*MIN(Slot14_Cost,EX81)</f>
        <v>0</v>
      </c>
      <c r="EZ81" s="1" t="n">
        <f aca="false">EV81*Slot14_SpendLike*MIN(Slot14_Cost-EY81,ER81)</f>
        <v>0</v>
      </c>
      <c r="FA81" s="1" t="n">
        <f aca="false">EY81+EZ81</f>
        <v>0</v>
      </c>
      <c r="FB81" s="1" t="n">
        <f aca="false">ER81-EZ81+EV81*IF(Slot14_SpendLike=1,EX81-EY81,IF(Slot14_PotFree=1,EX81,0))</f>
        <v>364736.664862674</v>
      </c>
      <c r="FC81" s="1" t="n">
        <f aca="false">ES81+EV81*Slot14_BufPot*EX81</f>
        <v>0</v>
      </c>
      <c r="FD81" s="1" t="n">
        <f aca="false">IF(AND(EV81=1,Slot14_IsMfree=1),IF(FA81&gt;=Slot14_Cost-1,0,MAX(0,ET81-FA81)),ET81)</f>
        <v>0</v>
      </c>
      <c r="FE81" s="1" t="n">
        <f aca="false">EV81*(Slot14_Cost-FA81)</f>
        <v>0</v>
      </c>
      <c r="FF81" s="1" t="n">
        <f aca="false">IF(AND(Slot15_On=1,D81=Slot15_Age),1,0)</f>
        <v>0</v>
      </c>
      <c r="FG81" s="1" t="n">
        <f aca="false">IF(AND(Slot15_On=1,Slot15_Age&gt;D81),1,0)</f>
        <v>0</v>
      </c>
      <c r="FH81" s="1" t="n">
        <f aca="false">SP80</f>
        <v>0</v>
      </c>
      <c r="FI81" s="1" t="n">
        <f aca="false">FF81*MIN(Slot15_Cost,FH81)</f>
        <v>0</v>
      </c>
      <c r="FJ81" s="1" t="n">
        <f aca="false">FF81*Slot15_SpendLike*MIN(Slot15_Cost-FI81,FB81)</f>
        <v>0</v>
      </c>
      <c r="FK81" s="1" t="n">
        <f aca="false">FI81+FJ81</f>
        <v>0</v>
      </c>
      <c r="FL81" s="1" t="n">
        <f aca="false">FB81-FJ81+FF81*IF(Slot15_SpendLike=1,FH81-FI81,IF(Slot15_PotFree=1,FH81,0))</f>
        <v>364736.664862674</v>
      </c>
      <c r="FM81" s="1" t="n">
        <f aca="false">FC81+FF81*Slot15_BufPot*FH81</f>
        <v>0</v>
      </c>
      <c r="FN81" s="1" t="n">
        <f aca="false">IF(AND(FF81=1,Slot15_IsMfree=1),IF(FK81&gt;=Slot15_Cost-1,0,MAX(0,FD81-FK81)),FD81)</f>
        <v>0</v>
      </c>
      <c r="FO81" s="1" t="n">
        <f aca="false">FF81*(Slot15_Cost-FK81)</f>
        <v>0</v>
      </c>
      <c r="FP81" s="1" t="n">
        <f aca="false">IF(AND(Slot16_On=1,D81=Slot16_Age),1,0)</f>
        <v>0</v>
      </c>
      <c r="FQ81" s="1" t="n">
        <f aca="false">IF(AND(Slot16_On=1,Slot16_Age&gt;D81),1,0)</f>
        <v>0</v>
      </c>
      <c r="FR81" s="1" t="n">
        <f aca="false">ST80</f>
        <v>0</v>
      </c>
      <c r="FS81" s="1" t="n">
        <f aca="false">FP81*MIN(Slot16_Cost,FR81)</f>
        <v>0</v>
      </c>
      <c r="FT81" s="1" t="n">
        <f aca="false">FP81*Slot16_SpendLike*MIN(Slot16_Cost-FS81,FL81)</f>
        <v>0</v>
      </c>
      <c r="FU81" s="1" t="n">
        <f aca="false">FS81+FT81</f>
        <v>0</v>
      </c>
      <c r="FV81" s="1" t="n">
        <f aca="false">FL81-FT81+FP81*IF(Slot16_SpendLike=1,FR81-FS81,IF(Slot16_PotFree=1,FR81,0))</f>
        <v>364736.664862674</v>
      </c>
      <c r="FW81" s="1" t="n">
        <f aca="false">FM81+FP81*Slot16_BufPot*FR81</f>
        <v>0</v>
      </c>
      <c r="FX81" s="1" t="n">
        <f aca="false">IF(AND(FP81=1,Slot16_IsMfree=1),IF(FU81&gt;=Slot16_Cost-1,0,MAX(0,FN81-FU81)),FN81)</f>
        <v>0</v>
      </c>
      <c r="FY81" s="1" t="n">
        <f aca="false">FP81*(Slot16_Cost-FU81)</f>
        <v>0</v>
      </c>
      <c r="FZ81" s="1" t="n">
        <f aca="false">IF(AND(Slot17_On=1,D81=Slot17_Age),1,0)</f>
        <v>0</v>
      </c>
      <c r="GA81" s="1" t="n">
        <f aca="false">IF(AND(Slot17_On=1,Slot17_Age&gt;D81),1,0)</f>
        <v>0</v>
      </c>
      <c r="GB81" s="1" t="n">
        <f aca="false">SX80</f>
        <v>0</v>
      </c>
      <c r="GC81" s="1" t="n">
        <f aca="false">FZ81*MIN(Slot17_Cost,GB81)</f>
        <v>0</v>
      </c>
      <c r="GD81" s="1" t="n">
        <f aca="false">FZ81*Slot17_SpendLike*MIN(Slot17_Cost-GC81,FV81)</f>
        <v>0</v>
      </c>
      <c r="GE81" s="1" t="n">
        <f aca="false">GC81+GD81</f>
        <v>0</v>
      </c>
      <c r="GF81" s="1" t="n">
        <f aca="false">FV81-GD81+FZ81*IF(Slot17_SpendLike=1,GB81-GC81,IF(Slot17_PotFree=1,GB81,0))</f>
        <v>364736.664862674</v>
      </c>
      <c r="GG81" s="1" t="n">
        <f aca="false">FW81+FZ81*Slot17_BufPot*GB81</f>
        <v>0</v>
      </c>
      <c r="GH81" s="1" t="n">
        <f aca="false">IF(AND(FZ81=1,Slot17_IsMfree=1),IF(GE81&gt;=Slot17_Cost-1,0,MAX(0,FX81-GE81)),FX81)</f>
        <v>0</v>
      </c>
      <c r="GI81" s="1" t="n">
        <f aca="false">FZ81*(Slot17_Cost-GE81)</f>
        <v>0</v>
      </c>
      <c r="GJ81" s="1" t="n">
        <f aca="false">IF(AND(Slot18_On=1,D81=Slot18_Age),1,0)</f>
        <v>0</v>
      </c>
      <c r="GK81" s="1" t="n">
        <f aca="false">IF(AND(Slot18_On=1,Slot18_Age&gt;D81),1,0)</f>
        <v>0</v>
      </c>
      <c r="GL81" s="1" t="n">
        <f aca="false">TB80</f>
        <v>0</v>
      </c>
      <c r="GM81" s="1" t="n">
        <f aca="false">GJ81*MIN(Slot18_Cost,GL81)</f>
        <v>0</v>
      </c>
      <c r="GN81" s="1" t="n">
        <f aca="false">GJ81*Slot18_SpendLike*MIN(Slot18_Cost-GM81,GF81)</f>
        <v>0</v>
      </c>
      <c r="GO81" s="1" t="n">
        <f aca="false">GM81+GN81</f>
        <v>0</v>
      </c>
      <c r="GP81" s="1" t="n">
        <f aca="false">GF81-GN81+GJ81*IF(Slot18_SpendLike=1,GL81-GM81,IF(Slot18_PotFree=1,GL81,0))</f>
        <v>364736.664862674</v>
      </c>
      <c r="GQ81" s="1" t="n">
        <f aca="false">GG81+GJ81*Slot18_BufPot*GL81</f>
        <v>0</v>
      </c>
      <c r="GR81" s="1" t="n">
        <f aca="false">IF(AND(GJ81=1,Slot18_IsMfree=1),IF(GO81&gt;=Slot18_Cost-1,0,MAX(0,GH81-GO81)),GH81)</f>
        <v>0</v>
      </c>
      <c r="GS81" s="1" t="n">
        <f aca="false">GJ81*(Slot18_Cost-GO81)</f>
        <v>0</v>
      </c>
      <c r="GT81" s="1" t="n">
        <f aca="false">IF(AND(Slot19_On=1,D81=Slot19_Age),1,0)</f>
        <v>0</v>
      </c>
      <c r="GU81" s="1" t="n">
        <f aca="false">IF(AND(Slot19_On=1,Slot19_Age&gt;D81),1,0)</f>
        <v>0</v>
      </c>
      <c r="GV81" s="1" t="n">
        <f aca="false">TF80</f>
        <v>0</v>
      </c>
      <c r="GW81" s="1" t="n">
        <f aca="false">GT81*MIN(Slot19_Cost,GV81)</f>
        <v>0</v>
      </c>
      <c r="GX81" s="1" t="n">
        <f aca="false">GT81*Slot19_SpendLike*MIN(Slot19_Cost-GW81,GP81)</f>
        <v>0</v>
      </c>
      <c r="GY81" s="1" t="n">
        <f aca="false">GW81+GX81</f>
        <v>0</v>
      </c>
      <c r="GZ81" s="1" t="n">
        <f aca="false">GP81-GX81+GT81*IF(Slot19_SpendLike=1,GV81-GW81,IF(Slot19_PotFree=1,GV81,0))</f>
        <v>364736.664862674</v>
      </c>
      <c r="HA81" s="1" t="n">
        <f aca="false">GQ81+GT81*Slot19_BufPot*GV81</f>
        <v>0</v>
      </c>
      <c r="HB81" s="1" t="n">
        <f aca="false">IF(AND(GT81=1,Slot19_IsMfree=1),IF(GY81&gt;=Slot19_Cost-1,0,MAX(0,GR81-GY81)),GR81)</f>
        <v>0</v>
      </c>
      <c r="HC81" s="1" t="n">
        <f aca="false">GT81*(Slot19_Cost-GY81)</f>
        <v>0</v>
      </c>
      <c r="HD81" s="1" t="n">
        <f aca="false">IF(AND(Slot20_On=1,D81=Slot20_Age),1,0)</f>
        <v>0</v>
      </c>
      <c r="HE81" s="1" t="n">
        <f aca="false">IF(AND(Slot20_On=1,Slot20_Age&gt;D81),1,0)</f>
        <v>0</v>
      </c>
      <c r="HF81" s="1" t="n">
        <f aca="false">TJ80</f>
        <v>0</v>
      </c>
      <c r="HG81" s="1" t="n">
        <f aca="false">HD81*MIN(Slot20_Cost,HF81)</f>
        <v>0</v>
      </c>
      <c r="HH81" s="1" t="n">
        <f aca="false">HD81*Slot20_SpendLike*MIN(Slot20_Cost-HG81,GZ81)</f>
        <v>0</v>
      </c>
      <c r="HI81" s="1" t="n">
        <f aca="false">HG81+HH81</f>
        <v>0</v>
      </c>
      <c r="HJ81" s="1" t="n">
        <f aca="false">GZ81-HH81+HD81*IF(Slot20_SpendLike=1,HF81-HG81,IF(Slot20_PotFree=1,HF81,0))</f>
        <v>364736.664862674</v>
      </c>
      <c r="HK81" s="1" t="n">
        <f aca="false">HA81+HD81*Slot20_BufPot*HF81</f>
        <v>0</v>
      </c>
      <c r="HL81" s="1" t="n">
        <f aca="false">IF(AND(HD81=1,Slot20_IsMfree=1),IF(HI81&gt;=Slot20_Cost-1,0,MAX(0,HB81-HI81)),HB81)</f>
        <v>0</v>
      </c>
      <c r="HM81" s="1" t="n">
        <f aca="false">HD81*(Slot20_Cost-HI81)</f>
        <v>0</v>
      </c>
      <c r="HN81" s="1" t="n">
        <f aca="false">U81*Slot1_SpendLike*Z81+AF81*Slot2_SpendLike*AK81+AP81*Slot3_SpendLike*AU81+AZ81*Slot4_SpendLike*BE81+BJ81*Slot5_SpendLike*BO81+BT81*Slot6_SpendLike*BY81+CD81*Slot7_SpendLike*CI81+CN81*Slot8_SpendLike*CS81+CX81*Slot9_SpendLike*DC81+DH81*Slot10_SpendLike*DM81+DR81*Slot11_SpendLike*DW81+EB81*Slot12_SpendLike*EG81+EL81*Slot13_SpendLike*EQ81+EV81*Slot14_SpendLike*FA81+FF81*Slot15_SpendLike*FK81+FP81*Slot16_SpendLike*FU81+FZ81*Slot17_SpendLike*GE81+GJ81*Slot18_SpendLike*GO81+GT81*Slot19_SpendLike*GY81+HD81*Slot20_SpendLike*HI81</f>
        <v>0</v>
      </c>
      <c r="HO81" s="1" t="n">
        <f aca="false">AD81+AO81+AY81+BI81+BS81+CC81+CM81+CW81+DG81+DQ81+EA81+EK81+EU81+FE81+FO81+FY81+GI81+GS81+HC81+HM81</f>
        <v>0</v>
      </c>
      <c r="HP81" s="1" t="n">
        <f aca="false">U81*Slot1_Cost+AF81*Slot2_Cost+AP81*Slot3_Cost+AZ81*Slot4_Cost+BJ81*Slot5_Cost+BT81*Slot6_Cost+CD81*Slot7_Cost+CN81*Slot8_Cost+CX81*Slot9_Cost+DH81*Slot10_Cost+DR81*Slot11_Cost+EB81*Slot12_Cost+EL81*Slot13_Cost+EV81*Slot14_Cost+FF81*Slot15_Cost+FP81*Slot16_Cost+FZ81*Slot17_Cost+GJ81*Slot18_Cost+GT81*Slot19_Cost+HD81*Slot20_Cost</f>
        <v>0</v>
      </c>
      <c r="HQ81" s="1" t="n">
        <f aca="false">HL81</f>
        <v>0</v>
      </c>
      <c r="HR81" s="1" t="n">
        <f aca="false">G81-H81-R81</f>
        <v>52846.0566623799</v>
      </c>
      <c r="HS81" s="1" t="n">
        <f aca="false">IF(B81=0,IF(AND(Has_q6=1,In_q6=4),PR_ShareVaries*(MAX(0,HR81)/12),MIN(IF(Has_q6=1,CHOOSE(In_q6+1,PR_SaveB1,PR_SaveB2,PR_SaveB3,PR_SaveB4,0),AS_NoAnswer),AS_SaveShare*(MAX(0,HR81)/12))),HS80)</f>
        <v>0</v>
      </c>
      <c r="HT81" s="1" t="n">
        <f aca="false">IF(HR81&gt;=0,1,0)</f>
        <v>1</v>
      </c>
      <c r="HU81" s="1" t="n">
        <f aca="false">MAX(0,HR81/12/E81)</f>
        <v>1037.57333333333</v>
      </c>
      <c r="HV81" s="1" t="n">
        <f aca="false">IF(AND(Has_q6=1,In_q6=4),PR_ShareVaries*(HU81),MIN(IF(Has_q6=1,CHOOSE(In_q6+1,PR_SaveB1,PR_SaveB2,PR_SaveB3,PR_SaveB4,0),AS_NoAnswer),AS_SaveShare*(HU81)))</f>
        <v>300</v>
      </c>
      <c r="HW81" s="1" t="n">
        <f aca="false">IF(Has_saveM=1,IF(In_saveUp="Yes",1,IF(In_saveUp="No",0,IF(In_saveM&gt;=HS81-0.5,1,0))),0)</f>
        <v>0</v>
      </c>
      <c r="HX81" s="1" t="n">
        <f aca="false">IF(Has_saveM=1,MIN(HU81,IF(HW81=1,MAX(In_saveM,HV81),MIN(In_saveM,HV81))),HV81)</f>
        <v>300</v>
      </c>
      <c r="HY81" s="1" t="n">
        <f aca="false">IF(F81=1,HX81*12*E81,0)</f>
        <v>0</v>
      </c>
      <c r="HZ81" s="1" t="n">
        <f aca="false">MAX(0,HY81+IF(AND(WI_Retire=0,WI_M&lt;0,F81=1),WI_M*12*E81,0))</f>
        <v>0</v>
      </c>
      <c r="IA81" s="1" t="n">
        <f aca="false">Slot1_IsWG*V81+Slot2_IsWG*AG81+Slot3_IsWG*AQ81+Slot4_IsWG*BA81+Slot5_IsWG*BK81+Slot6_IsWG*BU81+Slot7_IsWG*CE81+Slot8_IsWG*CO81+Slot9_IsWG*CY81+Slot10_IsWG*DI81+Slot11_IsWG*DS81+Slot12_IsWG*EC81+Slot13_IsWG*EM81+Slot14_IsWG*EW81+Slot15_IsWG*FG81+Slot16_IsWG*FQ81+Slot17_IsWG*GA81+Slot18_IsWG*GK81+Slot19_IsWG*GU81+Slot20_IsWG*HE81</f>
        <v>0</v>
      </c>
      <c r="IB81" s="1" t="n">
        <f aca="false">IF(AND(WI_Retire=0,WI_M&gt;0,F81=1,IA81&gt;=1),WI_M*12*E81,0)</f>
        <v>0</v>
      </c>
      <c r="IC81" s="1" t="n">
        <f aca="false">IF(HT81=1,MIN(HZ81,HR81),0)</f>
        <v>0</v>
      </c>
      <c r="ID81" s="1" t="n">
        <f aca="false">IF(HT81=1,MIN(IB81,HR81-IC81),0)</f>
        <v>0</v>
      </c>
      <c r="IE81" s="1" t="n">
        <f aca="false">IF(V81=1,IF(ABS((1+AS_Wage)/(1+Slot1_Rate)-1)&lt;0.000000000001,(Slot1_Age-D81)*(1+Slot1_Rate)^(Slot1_Age-D81),(1+Slot1_Rate)^(Slot1_Age-D81)*(1-((1+AS_Wage)/(1+Slot1_Rate))^(Slot1_Age-D81))/(1-(1+AS_Wage)/(1+Slot1_Rate))),1)</f>
        <v>1</v>
      </c>
      <c r="IF81" s="1" t="n">
        <f aca="false">IF(AND(HT81=1,ID81&gt;0,Slot1_IsWG=1,V81=1),MAX(0,(Slot1_Cost-W81*(1+Slot1_Rate)^(Slot1_Age-D81))/IE81),0)</f>
        <v>0</v>
      </c>
      <c r="IG81" s="1" t="n">
        <f aca="false">IF(AND(HT81=1,ID81&gt;0,Slot1_IsWG=1,V81=1),MIN(ID81,IF81),0)</f>
        <v>0</v>
      </c>
      <c r="IH81" s="1" t="n">
        <f aca="false">W81+IG81</f>
        <v>0</v>
      </c>
      <c r="II81" s="1" t="n">
        <f aca="false">IF(V81=1,MAX(0,(Slot1_Cost-IH81*(1+Slot1_Rate)^(Slot1_Age-D81))/IE81),0)</f>
        <v>0</v>
      </c>
      <c r="IJ81" s="1" t="n">
        <f aca="false">IF(V81=1,MAX(0,(Slot1_Cost-W81*(1+Slot1_Rate)^(Slot1_Age-D81))/IE81),0)</f>
        <v>0</v>
      </c>
      <c r="IK81" s="1" t="n">
        <f aca="false">IF(AND(HT81=1,V81=1),MIN(IC81,II81),0)</f>
        <v>0</v>
      </c>
      <c r="IL81" s="1" t="n">
        <f aca="false">IC81-IK81</f>
        <v>0</v>
      </c>
      <c r="IM81" s="1" t="n">
        <f aca="false">IF(AG81=1,IF(ABS((1+AS_Wage)/(1+Slot2_Rate)-1)&lt;0.000000000001,(Slot2_Age-D81)*(1+Slot2_Rate)^(Slot2_Age-D81),(1+Slot2_Rate)^(Slot2_Age-D81)*(1-((1+AS_Wage)/(1+Slot2_Rate))^(Slot2_Age-D81))/(1-(1+AS_Wage)/(1+Slot2_Rate))),1)</f>
        <v>1</v>
      </c>
      <c r="IN81" s="1" t="n">
        <f aca="false">IF(AND(HT81=1,ID81&gt;0,Slot2_IsWG=1,AG81=1),MAX(0,(Slot2_Cost-AH81*(1+Slot2_Rate)^(Slot2_Age-D81))/IM81),0)</f>
        <v>0</v>
      </c>
      <c r="IO81" s="1" t="n">
        <f aca="false">IF(AND(HT81=1,ID81&gt;0,Slot2_IsWG=1,AG81=1),MIN(ID81,IN81),0)</f>
        <v>0</v>
      </c>
      <c r="IP81" s="1" t="n">
        <f aca="false">AH81+IO81</f>
        <v>0</v>
      </c>
      <c r="IQ81" s="1" t="n">
        <f aca="false">IF(AG81=1,MAX(0,(Slot2_Cost-IP81*(1+Slot2_Rate)^(Slot2_Age-D81))/IM81),0)</f>
        <v>0</v>
      </c>
      <c r="IR81" s="1" t="n">
        <f aca="false">IF(AG81=1,MAX(0,(Slot2_Cost-AH81*(1+Slot2_Rate)^(Slot2_Age-D81))/IM81),0)</f>
        <v>0</v>
      </c>
      <c r="IS81" s="1" t="n">
        <f aca="false">IF(AND(HT81=1,AG81=1),MIN(IL81,IQ81),0)</f>
        <v>0</v>
      </c>
      <c r="IT81" s="1" t="n">
        <f aca="false">IL81-IS81</f>
        <v>0</v>
      </c>
      <c r="IU81" s="1" t="n">
        <f aca="false">IF(AQ81=1,IF(ABS((1+AS_Wage)/(1+Slot3_Rate)-1)&lt;0.000000000001,(Slot3_Age-D81)*(1+Slot3_Rate)^(Slot3_Age-D81),(1+Slot3_Rate)^(Slot3_Age-D81)*(1-((1+AS_Wage)/(1+Slot3_Rate))^(Slot3_Age-D81))/(1-(1+AS_Wage)/(1+Slot3_Rate))),1)</f>
        <v>1</v>
      </c>
      <c r="IV81" s="1" t="n">
        <f aca="false">IF(AND(HT81=1,ID81&gt;0,Slot3_IsWG=1,AQ81=1),MAX(0,(Slot3_Cost-AR81*(1+Slot3_Rate)^(Slot3_Age-D81))/IU81),0)</f>
        <v>0</v>
      </c>
      <c r="IW81" s="1" t="n">
        <f aca="false">IF(AND(HT81=1,ID81&gt;0,Slot3_IsWG=1,AQ81=1),MIN(ID81,IV81),0)</f>
        <v>0</v>
      </c>
      <c r="IX81" s="1" t="n">
        <f aca="false">AR81+IW81</f>
        <v>0</v>
      </c>
      <c r="IY81" s="1" t="n">
        <f aca="false">IF(AQ81=1,MAX(0,(Slot3_Cost-IX81*(1+Slot3_Rate)^(Slot3_Age-D81))/IU81),0)</f>
        <v>0</v>
      </c>
      <c r="IZ81" s="1" t="n">
        <f aca="false">IF(AQ81=1,MAX(0,(Slot3_Cost-AR81*(1+Slot3_Rate)^(Slot3_Age-D81))/IU81),0)</f>
        <v>0</v>
      </c>
      <c r="JA81" s="1" t="n">
        <f aca="false">IF(AND(HT81=1,AQ81=1),MIN(IT81,IY81),0)</f>
        <v>0</v>
      </c>
      <c r="JB81" s="1" t="n">
        <f aca="false">IT81-JA81</f>
        <v>0</v>
      </c>
      <c r="JC81" s="1" t="n">
        <f aca="false">IF(BA81=1,IF(ABS((1+AS_Wage)/(1+Slot4_Rate)-1)&lt;0.000000000001,(Slot4_Age-D81)*(1+Slot4_Rate)^(Slot4_Age-D81),(1+Slot4_Rate)^(Slot4_Age-D81)*(1-((1+AS_Wage)/(1+Slot4_Rate))^(Slot4_Age-D81))/(1-(1+AS_Wage)/(1+Slot4_Rate))),1)</f>
        <v>1</v>
      </c>
      <c r="JD81" s="1" t="n">
        <f aca="false">IF(AND(HT81=1,ID81&gt;0,Slot4_IsWG=1,BA81=1),MAX(0,(Slot4_Cost-BB81*(1+Slot4_Rate)^(Slot4_Age-D81))/JC81),0)</f>
        <v>0</v>
      </c>
      <c r="JE81" s="1" t="n">
        <f aca="false">IF(AND(HT81=1,ID81&gt;0,Slot4_IsWG=1,BA81=1),MIN(ID81,JD81),0)</f>
        <v>0</v>
      </c>
      <c r="JF81" s="1" t="n">
        <f aca="false">BB81+JE81</f>
        <v>0</v>
      </c>
      <c r="JG81" s="1" t="n">
        <f aca="false">IF(BA81=1,MAX(0,(Slot4_Cost-JF81*(1+Slot4_Rate)^(Slot4_Age-D81))/JC81),0)</f>
        <v>0</v>
      </c>
      <c r="JH81" s="1" t="n">
        <f aca="false">IF(BA81=1,MAX(0,(Slot4_Cost-BB81*(1+Slot4_Rate)^(Slot4_Age-D81))/JC81),0)</f>
        <v>0</v>
      </c>
      <c r="JI81" s="1" t="n">
        <f aca="false">IF(AND(HT81=1,BA81=1),MIN(JB81,JG81),0)</f>
        <v>0</v>
      </c>
      <c r="JJ81" s="1" t="n">
        <f aca="false">JB81-JI81</f>
        <v>0</v>
      </c>
      <c r="JK81" s="1" t="n">
        <f aca="false">IF(BK81=1,IF(ABS((1+AS_Wage)/(1+Slot5_Rate)-1)&lt;0.000000000001,(Slot5_Age-D81)*(1+Slot5_Rate)^(Slot5_Age-D81),(1+Slot5_Rate)^(Slot5_Age-D81)*(1-((1+AS_Wage)/(1+Slot5_Rate))^(Slot5_Age-D81))/(1-(1+AS_Wage)/(1+Slot5_Rate))),1)</f>
        <v>1</v>
      </c>
      <c r="JL81" s="1" t="n">
        <f aca="false">IF(AND(HT81=1,ID81&gt;0,Slot5_IsWG=1,BK81=1),MAX(0,(Slot5_Cost-BL81*(1+Slot5_Rate)^(Slot5_Age-D81))/JK81),0)</f>
        <v>0</v>
      </c>
      <c r="JM81" s="1" t="n">
        <f aca="false">IF(AND(HT81=1,ID81&gt;0,Slot5_IsWG=1,BK81=1),MIN(ID81,JL81),0)</f>
        <v>0</v>
      </c>
      <c r="JN81" s="1" t="n">
        <f aca="false">BL81+JM81</f>
        <v>0</v>
      </c>
      <c r="JO81" s="1" t="n">
        <f aca="false">IF(BK81=1,MAX(0,(Slot5_Cost-JN81*(1+Slot5_Rate)^(Slot5_Age-D81))/JK81),0)</f>
        <v>0</v>
      </c>
      <c r="JP81" s="1" t="n">
        <f aca="false">IF(BK81=1,MAX(0,(Slot5_Cost-BL81*(1+Slot5_Rate)^(Slot5_Age-D81))/JK81),0)</f>
        <v>0</v>
      </c>
      <c r="JQ81" s="1" t="n">
        <f aca="false">IF(AND(HT81=1,BK81=1),MIN(JJ81,JO81),0)</f>
        <v>0</v>
      </c>
      <c r="JR81" s="1" t="n">
        <f aca="false">JJ81-JQ81</f>
        <v>0</v>
      </c>
      <c r="JS81" s="1" t="n">
        <f aca="false">IF(BU81=1,IF(ABS((1+AS_Wage)/(1+Slot6_Rate)-1)&lt;0.000000000001,(Slot6_Age-D81)*(1+Slot6_Rate)^(Slot6_Age-D81),(1+Slot6_Rate)^(Slot6_Age-D81)*(1-((1+AS_Wage)/(1+Slot6_Rate))^(Slot6_Age-D81))/(1-(1+AS_Wage)/(1+Slot6_Rate))),1)</f>
        <v>1</v>
      </c>
      <c r="JT81" s="1" t="n">
        <f aca="false">IF(AND(HT81=1,ID81&gt;0,Slot6_IsWG=1,BU81=1),MAX(0,(Slot6_Cost-BV81*(1+Slot6_Rate)^(Slot6_Age-D81))/JS81),0)</f>
        <v>0</v>
      </c>
      <c r="JU81" s="1" t="n">
        <f aca="false">IF(AND(HT81=1,ID81&gt;0,Slot6_IsWG=1,BU81=1),MIN(ID81,JT81),0)</f>
        <v>0</v>
      </c>
      <c r="JV81" s="1" t="n">
        <f aca="false">BV81+JU81</f>
        <v>0</v>
      </c>
      <c r="JW81" s="1" t="n">
        <f aca="false">IF(BU81=1,MAX(0,(Slot6_Cost-JV81*(1+Slot6_Rate)^(Slot6_Age-D81))/JS81),0)</f>
        <v>0</v>
      </c>
      <c r="JX81" s="1" t="n">
        <f aca="false">IF(BU81=1,MAX(0,(Slot6_Cost-BV81*(1+Slot6_Rate)^(Slot6_Age-D81))/JS81),0)</f>
        <v>0</v>
      </c>
      <c r="JY81" s="1" t="n">
        <f aca="false">IF(AND(HT81=1,BU81=1),MIN(JR81,JW81),0)</f>
        <v>0</v>
      </c>
      <c r="JZ81" s="1" t="n">
        <f aca="false">JR81-JY81</f>
        <v>0</v>
      </c>
      <c r="KA81" s="1" t="n">
        <f aca="false">IF(CE81=1,IF(ABS((1+AS_Wage)/(1+Slot7_Rate)-1)&lt;0.000000000001,(Slot7_Age-D81)*(1+Slot7_Rate)^(Slot7_Age-D81),(1+Slot7_Rate)^(Slot7_Age-D81)*(1-((1+AS_Wage)/(1+Slot7_Rate))^(Slot7_Age-D81))/(1-(1+AS_Wage)/(1+Slot7_Rate))),1)</f>
        <v>1</v>
      </c>
      <c r="KB81" s="1" t="n">
        <f aca="false">IF(AND(HT81=1,ID81&gt;0,Slot7_IsWG=1,CE81=1),MAX(0,(Slot7_Cost-CF81*(1+Slot7_Rate)^(Slot7_Age-D81))/KA81),0)</f>
        <v>0</v>
      </c>
      <c r="KC81" s="1" t="n">
        <f aca="false">IF(AND(HT81=1,ID81&gt;0,Slot7_IsWG=1,CE81=1),MIN(ID81,KB81),0)</f>
        <v>0</v>
      </c>
      <c r="KD81" s="1" t="n">
        <f aca="false">CF81+KC81</f>
        <v>0</v>
      </c>
      <c r="KE81" s="1" t="n">
        <f aca="false">IF(CE81=1,MAX(0,(Slot7_Cost-KD81*(1+Slot7_Rate)^(Slot7_Age-D81))/KA81),0)</f>
        <v>0</v>
      </c>
      <c r="KF81" s="1" t="n">
        <f aca="false">IF(CE81=1,MAX(0,(Slot7_Cost-CF81*(1+Slot7_Rate)^(Slot7_Age-D81))/KA81),0)</f>
        <v>0</v>
      </c>
      <c r="KG81" s="1" t="n">
        <f aca="false">IF(AND(HT81=1,CE81=1),MIN(JZ81,KE81),0)</f>
        <v>0</v>
      </c>
      <c r="KH81" s="1" t="n">
        <f aca="false">JZ81-KG81</f>
        <v>0</v>
      </c>
      <c r="KI81" s="1" t="n">
        <f aca="false">IF(CO81=1,IF(ABS((1+AS_Wage)/(1+Slot8_Rate)-1)&lt;0.000000000001,(Slot8_Age-D81)*(1+Slot8_Rate)^(Slot8_Age-D81),(1+Slot8_Rate)^(Slot8_Age-D81)*(1-((1+AS_Wage)/(1+Slot8_Rate))^(Slot8_Age-D81))/(1-(1+AS_Wage)/(1+Slot8_Rate))),1)</f>
        <v>1</v>
      </c>
      <c r="KJ81" s="1" t="n">
        <f aca="false">IF(AND(HT81=1,ID81&gt;0,Slot8_IsWG=1,CO81=1),MAX(0,(Slot8_Cost-CP81*(1+Slot8_Rate)^(Slot8_Age-D81))/KI81),0)</f>
        <v>0</v>
      </c>
      <c r="KK81" s="1" t="n">
        <f aca="false">IF(AND(HT81=1,ID81&gt;0,Slot8_IsWG=1,CO81=1),MIN(ID81,KJ81),0)</f>
        <v>0</v>
      </c>
      <c r="KL81" s="1" t="n">
        <f aca="false">CP81+KK81</f>
        <v>0</v>
      </c>
      <c r="KM81" s="1" t="n">
        <f aca="false">IF(CO81=1,MAX(0,(Slot8_Cost-KL81*(1+Slot8_Rate)^(Slot8_Age-D81))/KI81),0)</f>
        <v>0</v>
      </c>
      <c r="KN81" s="1" t="n">
        <f aca="false">IF(CO81=1,MAX(0,(Slot8_Cost-CP81*(1+Slot8_Rate)^(Slot8_Age-D81))/KI81),0)</f>
        <v>0</v>
      </c>
      <c r="KO81" s="1" t="n">
        <f aca="false">IF(AND(HT81=1,CO81=1),MIN(KH81,KM81),0)</f>
        <v>0</v>
      </c>
      <c r="KP81" s="1" t="n">
        <f aca="false">KH81-KO81</f>
        <v>0</v>
      </c>
      <c r="KQ81" s="1" t="n">
        <f aca="false">IF(CY81=1,IF(ABS((1+AS_Wage)/(1+Slot9_Rate)-1)&lt;0.000000000001,(Slot9_Age-D81)*(1+Slot9_Rate)^(Slot9_Age-D81),(1+Slot9_Rate)^(Slot9_Age-D81)*(1-((1+AS_Wage)/(1+Slot9_Rate))^(Slot9_Age-D81))/(1-(1+AS_Wage)/(1+Slot9_Rate))),1)</f>
        <v>1</v>
      </c>
      <c r="KR81" s="1" t="n">
        <f aca="false">IF(AND(HT81=1,ID81&gt;0,Slot9_IsWG=1,CY81=1),MAX(0,(Slot9_Cost-CZ81*(1+Slot9_Rate)^(Slot9_Age-D81))/KQ81),0)</f>
        <v>0</v>
      </c>
      <c r="KS81" s="1" t="n">
        <f aca="false">IF(AND(HT81=1,ID81&gt;0,Slot9_IsWG=1,CY81=1),MIN(ID81,KR81),0)</f>
        <v>0</v>
      </c>
      <c r="KT81" s="1" t="n">
        <f aca="false">CZ81+KS81</f>
        <v>0</v>
      </c>
      <c r="KU81" s="1" t="n">
        <f aca="false">IF(CY81=1,MAX(0,(Slot9_Cost-KT81*(1+Slot9_Rate)^(Slot9_Age-D81))/KQ81),0)</f>
        <v>0</v>
      </c>
      <c r="KV81" s="1" t="n">
        <f aca="false">IF(CY81=1,MAX(0,(Slot9_Cost-CZ81*(1+Slot9_Rate)^(Slot9_Age-D81))/KQ81),0)</f>
        <v>0</v>
      </c>
      <c r="KW81" s="1" t="n">
        <f aca="false">IF(AND(HT81=1,CY81=1),MIN(KP81,KU81),0)</f>
        <v>0</v>
      </c>
      <c r="KX81" s="1" t="n">
        <f aca="false">KP81-KW81</f>
        <v>0</v>
      </c>
      <c r="KY81" s="1" t="n">
        <f aca="false">IF(DI81=1,IF(ABS((1+AS_Wage)/(1+Slot10_Rate)-1)&lt;0.000000000001,(Slot10_Age-D81)*(1+Slot10_Rate)^(Slot10_Age-D81),(1+Slot10_Rate)^(Slot10_Age-D81)*(1-((1+AS_Wage)/(1+Slot10_Rate))^(Slot10_Age-D81))/(1-(1+AS_Wage)/(1+Slot10_Rate))),1)</f>
        <v>1</v>
      </c>
      <c r="KZ81" s="1" t="n">
        <f aca="false">IF(AND(HT81=1,ID81&gt;0,Slot10_IsWG=1,DI81=1),MAX(0,(Slot10_Cost-DJ81*(1+Slot10_Rate)^(Slot10_Age-D81))/KY81),0)</f>
        <v>0</v>
      </c>
      <c r="LA81" s="1" t="n">
        <f aca="false">IF(AND(HT81=1,ID81&gt;0,Slot10_IsWG=1,DI81=1),MIN(ID81,KZ81),0)</f>
        <v>0</v>
      </c>
      <c r="LB81" s="1" t="n">
        <f aca="false">DJ81+LA81</f>
        <v>0</v>
      </c>
      <c r="LC81" s="1" t="n">
        <f aca="false">IF(DI81=1,MAX(0,(Slot10_Cost-LB81*(1+Slot10_Rate)^(Slot10_Age-D81))/KY81),0)</f>
        <v>0</v>
      </c>
      <c r="LD81" s="1" t="n">
        <f aca="false">IF(DI81=1,MAX(0,(Slot10_Cost-DJ81*(1+Slot10_Rate)^(Slot10_Age-D81))/KY81),0)</f>
        <v>0</v>
      </c>
      <c r="LE81" s="1" t="n">
        <f aca="false">IF(AND(HT81=1,DI81=1),MIN(KX81,LC81),0)</f>
        <v>0</v>
      </c>
      <c r="LF81" s="1" t="n">
        <f aca="false">KX81-LE81</f>
        <v>0</v>
      </c>
      <c r="LG81" s="1" t="n">
        <f aca="false">IF(DS81=1,IF(ABS((1+AS_Wage)/(1+Slot11_Rate)-1)&lt;0.000000000001,(Slot11_Age-D81)*(1+Slot11_Rate)^(Slot11_Age-D81),(1+Slot11_Rate)^(Slot11_Age-D81)*(1-((1+AS_Wage)/(1+Slot11_Rate))^(Slot11_Age-D81))/(1-(1+AS_Wage)/(1+Slot11_Rate))),1)</f>
        <v>1</v>
      </c>
      <c r="LH81" s="1" t="n">
        <f aca="false">IF(AND(HT81=1,ID81&gt;0,Slot11_IsWG=1,DS81=1),MAX(0,(Slot11_Cost-DT81*(1+Slot11_Rate)^(Slot11_Age-D81))/LG81),0)</f>
        <v>0</v>
      </c>
      <c r="LI81" s="1" t="n">
        <f aca="false">IF(AND(HT81=1,ID81&gt;0,Slot11_IsWG=1,DS81=1),MIN(ID81,LH81),0)</f>
        <v>0</v>
      </c>
      <c r="LJ81" s="1" t="n">
        <f aca="false">DT81+LI81</f>
        <v>0</v>
      </c>
      <c r="LK81" s="1" t="n">
        <f aca="false">IF(DS81=1,MAX(0,(Slot11_Cost-LJ81*(1+Slot11_Rate)^(Slot11_Age-D81))/LG81),0)</f>
        <v>0</v>
      </c>
      <c r="LL81" s="1" t="n">
        <f aca="false">IF(DS81=1,MAX(0,(Slot11_Cost-DT81*(1+Slot11_Rate)^(Slot11_Age-D81))/LG81),0)</f>
        <v>0</v>
      </c>
      <c r="LM81" s="1" t="n">
        <f aca="false">IF(AND(HT81=1,DS81=1),MIN(LF81,LK81),0)</f>
        <v>0</v>
      </c>
      <c r="LN81" s="1" t="n">
        <f aca="false">LF81-LM81</f>
        <v>0</v>
      </c>
      <c r="LO81" s="1" t="n">
        <f aca="false">IF(EC81=1,IF(ABS((1+AS_Wage)/(1+Slot12_Rate)-1)&lt;0.000000000001,(Slot12_Age-D81)*(1+Slot12_Rate)^(Slot12_Age-D81),(1+Slot12_Rate)^(Slot12_Age-D81)*(1-((1+AS_Wage)/(1+Slot12_Rate))^(Slot12_Age-D81))/(1-(1+AS_Wage)/(1+Slot12_Rate))),1)</f>
        <v>1</v>
      </c>
      <c r="LP81" s="1" t="n">
        <f aca="false">IF(AND(HT81=1,ID81&gt;0,Slot12_IsWG=1,EC81=1),MAX(0,(Slot12_Cost-ED81*(1+Slot12_Rate)^(Slot12_Age-D81))/LO81),0)</f>
        <v>0</v>
      </c>
      <c r="LQ81" s="1" t="n">
        <f aca="false">IF(AND(HT81=1,ID81&gt;0,Slot12_IsWG=1,EC81=1),MIN(ID81,LP81),0)</f>
        <v>0</v>
      </c>
      <c r="LR81" s="1" t="n">
        <f aca="false">ED81+LQ81</f>
        <v>0</v>
      </c>
      <c r="LS81" s="1" t="n">
        <f aca="false">IF(EC81=1,MAX(0,(Slot12_Cost-LR81*(1+Slot12_Rate)^(Slot12_Age-D81))/LO81),0)</f>
        <v>0</v>
      </c>
      <c r="LT81" s="1" t="n">
        <f aca="false">IF(EC81=1,MAX(0,(Slot12_Cost-ED81*(1+Slot12_Rate)^(Slot12_Age-D81))/LO81),0)</f>
        <v>0</v>
      </c>
      <c r="LU81" s="1" t="n">
        <f aca="false">IF(AND(HT81=1,EC81=1),MIN(LN81,LS81),0)</f>
        <v>0</v>
      </c>
      <c r="LV81" s="1" t="n">
        <f aca="false">LN81-LU81</f>
        <v>0</v>
      </c>
      <c r="LW81" s="1" t="n">
        <f aca="false">IF(EM81=1,IF(ABS((1+AS_Wage)/(1+Slot13_Rate)-1)&lt;0.000000000001,(Slot13_Age-D81)*(1+Slot13_Rate)^(Slot13_Age-D81),(1+Slot13_Rate)^(Slot13_Age-D81)*(1-((1+AS_Wage)/(1+Slot13_Rate))^(Slot13_Age-D81))/(1-(1+AS_Wage)/(1+Slot13_Rate))),1)</f>
        <v>1</v>
      </c>
      <c r="LX81" s="1" t="n">
        <f aca="false">IF(AND(HT81=1,ID81&gt;0,Slot13_IsWG=1,EM81=1),MAX(0,(Slot13_Cost-EN81*(1+Slot13_Rate)^(Slot13_Age-D81))/LW81),0)</f>
        <v>0</v>
      </c>
      <c r="LY81" s="1" t="n">
        <f aca="false">IF(AND(HT81=1,ID81&gt;0,Slot13_IsWG=1,EM81=1),MIN(ID81,LX81),0)</f>
        <v>0</v>
      </c>
      <c r="LZ81" s="1" t="n">
        <f aca="false">EN81+LY81</f>
        <v>0</v>
      </c>
      <c r="MA81" s="1" t="n">
        <f aca="false">IF(EM81=1,MAX(0,(Slot13_Cost-LZ81*(1+Slot13_Rate)^(Slot13_Age-D81))/LW81),0)</f>
        <v>0</v>
      </c>
      <c r="MB81" s="1" t="n">
        <f aca="false">IF(EM81=1,MAX(0,(Slot13_Cost-EN81*(1+Slot13_Rate)^(Slot13_Age-D81))/LW81),0)</f>
        <v>0</v>
      </c>
      <c r="MC81" s="1" t="n">
        <f aca="false">IF(AND(HT81=1,EM81=1),MIN(LV81,MA81),0)</f>
        <v>0</v>
      </c>
      <c r="MD81" s="1" t="n">
        <f aca="false">LV81-MC81</f>
        <v>0</v>
      </c>
      <c r="ME81" s="1" t="n">
        <f aca="false">IF(EW81=1,IF(ABS((1+AS_Wage)/(1+Slot14_Rate)-1)&lt;0.000000000001,(Slot14_Age-D81)*(1+Slot14_Rate)^(Slot14_Age-D81),(1+Slot14_Rate)^(Slot14_Age-D81)*(1-((1+AS_Wage)/(1+Slot14_Rate))^(Slot14_Age-D81))/(1-(1+AS_Wage)/(1+Slot14_Rate))),1)</f>
        <v>1</v>
      </c>
      <c r="MF81" s="1" t="n">
        <f aca="false">IF(AND(HT81=1,ID81&gt;0,Slot14_IsWG=1,EW81=1),MAX(0,(Slot14_Cost-EX81*(1+Slot14_Rate)^(Slot14_Age-D81))/ME81),0)</f>
        <v>0</v>
      </c>
      <c r="MG81" s="1" t="n">
        <f aca="false">IF(AND(HT81=1,ID81&gt;0,Slot14_IsWG=1,EW81=1),MIN(ID81,MF81),0)</f>
        <v>0</v>
      </c>
      <c r="MH81" s="1" t="n">
        <f aca="false">EX81+MG81</f>
        <v>0</v>
      </c>
      <c r="MI81" s="1" t="n">
        <f aca="false">IF(EW81=1,MAX(0,(Slot14_Cost-MH81*(1+Slot14_Rate)^(Slot14_Age-D81))/ME81),0)</f>
        <v>0</v>
      </c>
      <c r="MJ81" s="1" t="n">
        <f aca="false">IF(EW81=1,MAX(0,(Slot14_Cost-EX81*(1+Slot14_Rate)^(Slot14_Age-D81))/ME81),0)</f>
        <v>0</v>
      </c>
      <c r="MK81" s="1" t="n">
        <f aca="false">IF(AND(HT81=1,EW81=1),MIN(MD81,MI81),0)</f>
        <v>0</v>
      </c>
      <c r="ML81" s="1" t="n">
        <f aca="false">MD81-MK81</f>
        <v>0</v>
      </c>
      <c r="MM81" s="1" t="n">
        <f aca="false">IF(FG81=1,IF(ABS((1+AS_Wage)/(1+Slot15_Rate)-1)&lt;0.000000000001,(Slot15_Age-D81)*(1+Slot15_Rate)^(Slot15_Age-D81),(1+Slot15_Rate)^(Slot15_Age-D81)*(1-((1+AS_Wage)/(1+Slot15_Rate))^(Slot15_Age-D81))/(1-(1+AS_Wage)/(1+Slot15_Rate))),1)</f>
        <v>1</v>
      </c>
      <c r="MN81" s="1" t="n">
        <f aca="false">IF(AND(HT81=1,ID81&gt;0,Slot15_IsWG=1,FG81=1),MAX(0,(Slot15_Cost-FH81*(1+Slot15_Rate)^(Slot15_Age-D81))/MM81),0)</f>
        <v>0</v>
      </c>
      <c r="MO81" s="1" t="n">
        <f aca="false">IF(AND(HT81=1,ID81&gt;0,Slot15_IsWG=1,FG81=1),MIN(ID81,MN81),0)</f>
        <v>0</v>
      </c>
      <c r="MP81" s="1" t="n">
        <f aca="false">FH81+MO81</f>
        <v>0</v>
      </c>
      <c r="MQ81" s="1" t="n">
        <f aca="false">IF(FG81=1,MAX(0,(Slot15_Cost-MP81*(1+Slot15_Rate)^(Slot15_Age-D81))/MM81),0)</f>
        <v>0</v>
      </c>
      <c r="MR81" s="1" t="n">
        <f aca="false">IF(FG81=1,MAX(0,(Slot15_Cost-FH81*(1+Slot15_Rate)^(Slot15_Age-D81))/MM81),0)</f>
        <v>0</v>
      </c>
      <c r="MS81" s="1" t="n">
        <f aca="false">IF(AND(HT81=1,FG81=1),MIN(ML81,MQ81),0)</f>
        <v>0</v>
      </c>
      <c r="MT81" s="1" t="n">
        <f aca="false">ML81-MS81</f>
        <v>0</v>
      </c>
      <c r="MU81" s="1" t="n">
        <f aca="false">IF(FQ81=1,IF(ABS((1+AS_Wage)/(1+Slot16_Rate)-1)&lt;0.000000000001,(Slot16_Age-D81)*(1+Slot16_Rate)^(Slot16_Age-D81),(1+Slot16_Rate)^(Slot16_Age-D81)*(1-((1+AS_Wage)/(1+Slot16_Rate))^(Slot16_Age-D81))/(1-(1+AS_Wage)/(1+Slot16_Rate))),1)</f>
        <v>1</v>
      </c>
      <c r="MV81" s="1" t="n">
        <f aca="false">IF(AND(HT81=1,ID81&gt;0,Slot16_IsWG=1,FQ81=1),MAX(0,(Slot16_Cost-FR81*(1+Slot16_Rate)^(Slot16_Age-D81))/MU81),0)</f>
        <v>0</v>
      </c>
      <c r="MW81" s="1" t="n">
        <f aca="false">IF(AND(HT81=1,ID81&gt;0,Slot16_IsWG=1,FQ81=1),MIN(ID81,MV81),0)</f>
        <v>0</v>
      </c>
      <c r="MX81" s="1" t="n">
        <f aca="false">FR81+MW81</f>
        <v>0</v>
      </c>
      <c r="MY81" s="1" t="n">
        <f aca="false">IF(FQ81=1,MAX(0,(Slot16_Cost-MX81*(1+Slot16_Rate)^(Slot16_Age-D81))/MU81),0)</f>
        <v>0</v>
      </c>
      <c r="MZ81" s="1" t="n">
        <f aca="false">IF(FQ81=1,MAX(0,(Slot16_Cost-FR81*(1+Slot16_Rate)^(Slot16_Age-D81))/MU81),0)</f>
        <v>0</v>
      </c>
      <c r="NA81" s="1" t="n">
        <f aca="false">IF(AND(HT81=1,FQ81=1),MIN(MT81,MY81),0)</f>
        <v>0</v>
      </c>
      <c r="NB81" s="1" t="n">
        <f aca="false">MT81-NA81</f>
        <v>0</v>
      </c>
      <c r="NC81" s="1" t="n">
        <f aca="false">IF(GA81=1,IF(ABS((1+AS_Wage)/(1+Slot17_Rate)-1)&lt;0.000000000001,(Slot17_Age-D81)*(1+Slot17_Rate)^(Slot17_Age-D81),(1+Slot17_Rate)^(Slot17_Age-D81)*(1-((1+AS_Wage)/(1+Slot17_Rate))^(Slot17_Age-D81))/(1-(1+AS_Wage)/(1+Slot17_Rate))),1)</f>
        <v>1</v>
      </c>
      <c r="ND81" s="1" t="n">
        <f aca="false">IF(AND(HT81=1,ID81&gt;0,Slot17_IsWG=1,GA81=1),MAX(0,(Slot17_Cost-GB81*(1+Slot17_Rate)^(Slot17_Age-D81))/NC81),0)</f>
        <v>0</v>
      </c>
      <c r="NE81" s="1" t="n">
        <f aca="false">IF(AND(HT81=1,ID81&gt;0,Slot17_IsWG=1,GA81=1),MIN(ID81,ND81),0)</f>
        <v>0</v>
      </c>
      <c r="NF81" s="1" t="n">
        <f aca="false">GB81+NE81</f>
        <v>0</v>
      </c>
      <c r="NG81" s="1" t="n">
        <f aca="false">IF(GA81=1,MAX(0,(Slot17_Cost-NF81*(1+Slot17_Rate)^(Slot17_Age-D81))/NC81),0)</f>
        <v>0</v>
      </c>
      <c r="NH81" s="1" t="n">
        <f aca="false">IF(GA81=1,MAX(0,(Slot17_Cost-GB81*(1+Slot17_Rate)^(Slot17_Age-D81))/NC81),0)</f>
        <v>0</v>
      </c>
      <c r="NI81" s="1" t="n">
        <f aca="false">IF(AND(HT81=1,GA81=1),MIN(NB81,NG81),0)</f>
        <v>0</v>
      </c>
      <c r="NJ81" s="1" t="n">
        <f aca="false">NB81-NI81</f>
        <v>0</v>
      </c>
      <c r="NK81" s="1" t="n">
        <f aca="false">IF(GK81=1,IF(ABS((1+AS_Wage)/(1+Slot18_Rate)-1)&lt;0.000000000001,(Slot18_Age-D81)*(1+Slot18_Rate)^(Slot18_Age-D81),(1+Slot18_Rate)^(Slot18_Age-D81)*(1-((1+AS_Wage)/(1+Slot18_Rate))^(Slot18_Age-D81))/(1-(1+AS_Wage)/(1+Slot18_Rate))),1)</f>
        <v>1</v>
      </c>
      <c r="NL81" s="1" t="n">
        <f aca="false">IF(AND(HT81=1,ID81&gt;0,Slot18_IsWG=1,GK81=1),MAX(0,(Slot18_Cost-GL81*(1+Slot18_Rate)^(Slot18_Age-D81))/NK81),0)</f>
        <v>0</v>
      </c>
      <c r="NM81" s="1" t="n">
        <f aca="false">IF(AND(HT81=1,ID81&gt;0,Slot18_IsWG=1,GK81=1),MIN(ID81,NL81),0)</f>
        <v>0</v>
      </c>
      <c r="NN81" s="1" t="n">
        <f aca="false">GL81+NM81</f>
        <v>0</v>
      </c>
      <c r="NO81" s="1" t="n">
        <f aca="false">IF(GK81=1,MAX(0,(Slot18_Cost-NN81*(1+Slot18_Rate)^(Slot18_Age-D81))/NK81),0)</f>
        <v>0</v>
      </c>
      <c r="NP81" s="1" t="n">
        <f aca="false">IF(GK81=1,MAX(0,(Slot18_Cost-GL81*(1+Slot18_Rate)^(Slot18_Age-D81))/NK81),0)</f>
        <v>0</v>
      </c>
      <c r="NQ81" s="1" t="n">
        <f aca="false">IF(AND(HT81=1,GK81=1),MIN(NJ81,NO81),0)</f>
        <v>0</v>
      </c>
      <c r="NR81" s="1" t="n">
        <f aca="false">NJ81-NQ81</f>
        <v>0</v>
      </c>
      <c r="NS81" s="1" t="n">
        <f aca="false">IF(GU81=1,IF(ABS((1+AS_Wage)/(1+Slot19_Rate)-1)&lt;0.000000000001,(Slot19_Age-D81)*(1+Slot19_Rate)^(Slot19_Age-D81),(1+Slot19_Rate)^(Slot19_Age-D81)*(1-((1+AS_Wage)/(1+Slot19_Rate))^(Slot19_Age-D81))/(1-(1+AS_Wage)/(1+Slot19_Rate))),1)</f>
        <v>1</v>
      </c>
      <c r="NT81" s="1" t="n">
        <f aca="false">IF(AND(HT81=1,ID81&gt;0,Slot19_IsWG=1,GU81=1),MAX(0,(Slot19_Cost-GV81*(1+Slot19_Rate)^(Slot19_Age-D81))/NS81),0)</f>
        <v>0</v>
      </c>
      <c r="NU81" s="1" t="n">
        <f aca="false">IF(AND(HT81=1,ID81&gt;0,Slot19_IsWG=1,GU81=1),MIN(ID81,NT81),0)</f>
        <v>0</v>
      </c>
      <c r="NV81" s="1" t="n">
        <f aca="false">GV81+NU81</f>
        <v>0</v>
      </c>
      <c r="NW81" s="1" t="n">
        <f aca="false">IF(GU81=1,MAX(0,(Slot19_Cost-NV81*(1+Slot19_Rate)^(Slot19_Age-D81))/NS81),0)</f>
        <v>0</v>
      </c>
      <c r="NX81" s="1" t="n">
        <f aca="false">IF(GU81=1,MAX(0,(Slot19_Cost-GV81*(1+Slot19_Rate)^(Slot19_Age-D81))/NS81),0)</f>
        <v>0</v>
      </c>
      <c r="NY81" s="1" t="n">
        <f aca="false">IF(AND(HT81=1,GU81=1),MIN(NR81,NW81),0)</f>
        <v>0</v>
      </c>
      <c r="NZ81" s="1" t="n">
        <f aca="false">NR81-NY81</f>
        <v>0</v>
      </c>
      <c r="OA81" s="1" t="n">
        <f aca="false">IF(HE81=1,IF(ABS((1+AS_Wage)/(1+Slot20_Rate)-1)&lt;0.000000000001,(Slot20_Age-D81)*(1+Slot20_Rate)^(Slot20_Age-D81),(1+Slot20_Rate)^(Slot20_Age-D81)*(1-((1+AS_Wage)/(1+Slot20_Rate))^(Slot20_Age-D81))/(1-(1+AS_Wage)/(1+Slot20_Rate))),1)</f>
        <v>1</v>
      </c>
      <c r="OB81" s="1" t="n">
        <f aca="false">IF(AND(HT81=1,ID81&gt;0,Slot20_IsWG=1,HE81=1),MAX(0,(Slot20_Cost-HF81*(1+Slot20_Rate)^(Slot20_Age-D81))/OA81),0)</f>
        <v>0</v>
      </c>
      <c r="OC81" s="1" t="n">
        <f aca="false">IF(AND(HT81=1,ID81&gt;0,Slot20_IsWG=1,HE81=1),MIN(ID81,OB81),0)</f>
        <v>0</v>
      </c>
      <c r="OD81" s="1" t="n">
        <f aca="false">HF81+OC81</f>
        <v>0</v>
      </c>
      <c r="OE81" s="1" t="n">
        <f aca="false">IF(HE81=1,MAX(0,(Slot20_Cost-OD81*(1+Slot20_Rate)^(Slot20_Age-D81))/OA81),0)</f>
        <v>0</v>
      </c>
      <c r="OF81" s="1" t="n">
        <f aca="false">IF(HE81=1,MAX(0,(Slot20_Cost-HF81*(1+Slot20_Rate)^(Slot20_Age-D81))/OA81),0)</f>
        <v>0</v>
      </c>
      <c r="OG81" s="1" t="n">
        <f aca="false">IF(AND(HT81=1,HE81=1),MIN(NZ81,OE81),0)</f>
        <v>0</v>
      </c>
      <c r="OH81" s="1" t="n">
        <f aca="false">NZ81-OG81</f>
        <v>0</v>
      </c>
      <c r="OI81" s="1" t="n">
        <f aca="false">ID81-(IG81+IO81+IW81+JE81+JM81+JU81+KC81+KK81+KS81+LA81+LI81+LQ81+LY81+MG81+MO81+MW81+NE81+NM81+NU81+OC81)</f>
        <v>0</v>
      </c>
      <c r="OJ81" s="1" t="n">
        <f aca="false">IF(HT81=1,HR81-IC81-ID81,0)</f>
        <v>52846.0566623799</v>
      </c>
      <c r="OK81" s="1" t="n">
        <f aca="false">IF(HT81=0,-HR81,0)</f>
        <v>0</v>
      </c>
      <c r="OL81" s="1" t="n">
        <f aca="false">MIN(OK81,HJ81)</f>
        <v>0</v>
      </c>
      <c r="OM81" s="1" t="n">
        <f aca="false">OK81-OL81</f>
        <v>0</v>
      </c>
      <c r="ON81" s="1" t="n">
        <f aca="false">MIN(OM81,HK81)</f>
        <v>0</v>
      </c>
      <c r="OO81" s="1" t="n">
        <f aca="false">OM81-ON81</f>
        <v>0</v>
      </c>
      <c r="OP81" s="1" t="n">
        <f aca="false">IF(AND(HT81=0,HE81=1,OO81&gt;0),MIN(OO81,HF81),0)</f>
        <v>0</v>
      </c>
      <c r="OQ81" s="1" t="n">
        <f aca="false">OO81-OP81</f>
        <v>0</v>
      </c>
      <c r="OR81" s="1" t="n">
        <f aca="false">IF(AND(HT81=0,GU81=1,OQ81&gt;0),MIN(OQ81,GV81),0)</f>
        <v>0</v>
      </c>
      <c r="OS81" s="1" t="n">
        <f aca="false">OQ81-OR81</f>
        <v>0</v>
      </c>
      <c r="OT81" s="1" t="n">
        <f aca="false">IF(AND(HT81=0,GK81=1,OS81&gt;0),MIN(OS81,GL81),0)</f>
        <v>0</v>
      </c>
      <c r="OU81" s="1" t="n">
        <f aca="false">OS81-OT81</f>
        <v>0</v>
      </c>
      <c r="OV81" s="1" t="n">
        <f aca="false">IF(AND(HT81=0,GA81=1,OU81&gt;0),MIN(OU81,GB81),0)</f>
        <v>0</v>
      </c>
      <c r="OW81" s="1" t="n">
        <f aca="false">OU81-OV81</f>
        <v>0</v>
      </c>
      <c r="OX81" s="1" t="n">
        <f aca="false">IF(AND(HT81=0,FQ81=1,OW81&gt;0),MIN(OW81,FR81),0)</f>
        <v>0</v>
      </c>
      <c r="OY81" s="1" t="n">
        <f aca="false">OW81-OX81</f>
        <v>0</v>
      </c>
      <c r="OZ81" s="1" t="n">
        <f aca="false">IF(AND(HT81=0,FG81=1,OY81&gt;0),MIN(OY81,FH81),0)</f>
        <v>0</v>
      </c>
      <c r="PA81" s="1" t="n">
        <f aca="false">OY81-OZ81</f>
        <v>0</v>
      </c>
      <c r="PB81" s="1" t="n">
        <f aca="false">IF(AND(HT81=0,EW81=1,PA81&gt;0),MIN(PA81,EX81),0)</f>
        <v>0</v>
      </c>
      <c r="PC81" s="1" t="n">
        <f aca="false">PA81-PB81</f>
        <v>0</v>
      </c>
      <c r="PD81" s="1" t="n">
        <f aca="false">IF(AND(HT81=0,EM81=1,PC81&gt;0),MIN(PC81,EN81),0)</f>
        <v>0</v>
      </c>
      <c r="PE81" s="1" t="n">
        <f aca="false">PC81-PD81</f>
        <v>0</v>
      </c>
      <c r="PF81" s="1" t="n">
        <f aca="false">IF(AND(HT81=0,EC81=1,PE81&gt;0),MIN(PE81,ED81),0)</f>
        <v>0</v>
      </c>
      <c r="PG81" s="1" t="n">
        <f aca="false">PE81-PF81</f>
        <v>0</v>
      </c>
      <c r="PH81" s="1" t="n">
        <f aca="false">IF(AND(HT81=0,DS81=1,PG81&gt;0),MIN(PG81,DT81),0)</f>
        <v>0</v>
      </c>
      <c r="PI81" s="1" t="n">
        <f aca="false">PG81-PH81</f>
        <v>0</v>
      </c>
      <c r="PJ81" s="1" t="n">
        <f aca="false">IF(AND(HT81=0,DI81=1,PI81&gt;0),MIN(PI81,DJ81),0)</f>
        <v>0</v>
      </c>
      <c r="PK81" s="1" t="n">
        <f aca="false">PI81-PJ81</f>
        <v>0</v>
      </c>
      <c r="PL81" s="1" t="n">
        <f aca="false">IF(AND(HT81=0,CY81=1,PK81&gt;0),MIN(PK81,CZ81),0)</f>
        <v>0</v>
      </c>
      <c r="PM81" s="1" t="n">
        <f aca="false">PK81-PL81</f>
        <v>0</v>
      </c>
      <c r="PN81" s="1" t="n">
        <f aca="false">IF(AND(HT81=0,CO81=1,PM81&gt;0),MIN(PM81,CP81),0)</f>
        <v>0</v>
      </c>
      <c r="PO81" s="1" t="n">
        <f aca="false">PM81-PN81</f>
        <v>0</v>
      </c>
      <c r="PP81" s="1" t="n">
        <f aca="false">IF(AND(HT81=0,CE81=1,PO81&gt;0),MIN(PO81,CF81),0)</f>
        <v>0</v>
      </c>
      <c r="PQ81" s="1" t="n">
        <f aca="false">PO81-PP81</f>
        <v>0</v>
      </c>
      <c r="PR81" s="1" t="n">
        <f aca="false">IF(AND(HT81=0,BU81=1,PQ81&gt;0),MIN(PQ81,BV81),0)</f>
        <v>0</v>
      </c>
      <c r="PS81" s="1" t="n">
        <f aca="false">PQ81-PR81</f>
        <v>0</v>
      </c>
      <c r="PT81" s="1" t="n">
        <f aca="false">IF(AND(HT81=0,BK81=1,PS81&gt;0),MIN(PS81,BL81),0)</f>
        <v>0</v>
      </c>
      <c r="PU81" s="1" t="n">
        <f aca="false">PS81-PT81</f>
        <v>0</v>
      </c>
      <c r="PV81" s="1" t="n">
        <f aca="false">IF(AND(HT81=0,BA81=1,PU81&gt;0),MIN(PU81,BB81),0)</f>
        <v>0</v>
      </c>
      <c r="PW81" s="1" t="n">
        <f aca="false">PU81-PV81</f>
        <v>0</v>
      </c>
      <c r="PX81" s="1" t="n">
        <f aca="false">IF(AND(HT81=0,AQ81=1,PW81&gt;0),MIN(PW81,AR81),0)</f>
        <v>0</v>
      </c>
      <c r="PY81" s="1" t="n">
        <f aca="false">PW81-PX81</f>
        <v>0</v>
      </c>
      <c r="PZ81" s="1" t="n">
        <f aca="false">IF(AND(HT81=0,AG81=1,PY81&gt;0),MIN(PY81,AH81),0)</f>
        <v>0</v>
      </c>
      <c r="QA81" s="1" t="n">
        <f aca="false">PY81-PZ81</f>
        <v>0</v>
      </c>
      <c r="QB81" s="1" t="n">
        <f aca="false">IF(AND(HT81=0,V81=1,QA81&gt;0),MIN(QA81,W81),0)</f>
        <v>0</v>
      </c>
      <c r="QC81" s="1" t="n">
        <f aca="false">QA81-QB81</f>
        <v>0</v>
      </c>
      <c r="QD81" s="1" t="n">
        <f aca="false">IF(HT81=0,QC81,0)</f>
        <v>0</v>
      </c>
      <c r="QE81" s="1" t="n">
        <f aca="false">OL81+ON81+QB81+PZ81+PX81+PV81+PT81+PR81+PP81+PN81+PL81+PJ81+PH81+PF81+PD81+PB81+OZ81+OX81+OV81+OT81+OR81+OP81</f>
        <v>0</v>
      </c>
      <c r="QF81" s="1" t="n">
        <f aca="false">IF(HT81=1,HJ81+OI81+OH81+IF(F81=1,0,OJ81),HJ81-OL81)</f>
        <v>417582.721525054</v>
      </c>
      <c r="QG81" s="1" t="n">
        <f aca="false">HK81-ON81</f>
        <v>0</v>
      </c>
      <c r="QH81" s="1" t="n">
        <f aca="false">IF(HT81=1,IF(F81=1,IC81+ID81,HR81),0)</f>
        <v>52846.0566623799</v>
      </c>
      <c r="QI81" s="1" t="n">
        <f aca="false">IF(HT81=1,IF(F81=1,HR81-IC81-ID81,0),0)</f>
        <v>0</v>
      </c>
      <c r="QJ81" s="1" t="n">
        <f aca="false">QF81*(1+GR)</f>
        <v>424431.078158065</v>
      </c>
      <c r="QK81" s="1" t="n">
        <f aca="false">QG81*(1+AS_Cash)</f>
        <v>0</v>
      </c>
      <c r="QL81" s="1" t="n">
        <f aca="false">IF(V81=1,IF(HT81=1,IH81+IK81,W81-QB81)*(1+Slot1_Rate),0)</f>
        <v>0</v>
      </c>
      <c r="QM81" s="1" t="n">
        <f aca="false">IF(AND(HT81=1,V81=1),(IG81+IK81)/E81,0)</f>
        <v>0</v>
      </c>
      <c r="QN81" s="1" t="n">
        <f aca="false">IF(B81=0,IG81+IK81,0)</f>
        <v>0</v>
      </c>
      <c r="QO81" s="1" t="n">
        <f aca="false">IF(B81=0,IF(HT81=1,II81,IJ81),0)</f>
        <v>0</v>
      </c>
      <c r="QP81" s="1" t="n">
        <f aca="false">IF(AG81=1,IF(HT81=1,IP81+IS81,AH81-PZ81)*(1+Slot2_Rate),0)</f>
        <v>0</v>
      </c>
      <c r="QQ81" s="1" t="n">
        <f aca="false">IF(AND(HT81=1,AG81=1),(IO81+IS81)/E81,0)</f>
        <v>0</v>
      </c>
      <c r="QR81" s="1" t="n">
        <f aca="false">IF(B81=0,IO81+IS81,0)</f>
        <v>0</v>
      </c>
      <c r="QS81" s="1" t="n">
        <f aca="false">IF(B81=0,IF(HT81=1,IQ81,IR81),0)</f>
        <v>0</v>
      </c>
      <c r="QT81" s="1" t="n">
        <f aca="false">IF(AQ81=1,IF(HT81=1,IX81+JA81,AR81-PX81)*(1+Slot3_Rate),0)</f>
        <v>0</v>
      </c>
      <c r="QU81" s="1" t="n">
        <f aca="false">IF(AND(HT81=1,AQ81=1),(IW81+JA81)/E81,0)</f>
        <v>0</v>
      </c>
      <c r="QV81" s="1" t="n">
        <f aca="false">IF(B81=0,IW81+JA81,0)</f>
        <v>0</v>
      </c>
      <c r="QW81" s="1" t="n">
        <f aca="false">IF(B81=0,IF(HT81=1,IY81,IZ81),0)</f>
        <v>0</v>
      </c>
      <c r="QX81" s="1" t="n">
        <f aca="false">IF(BA81=1,IF(HT81=1,JF81+JI81,BB81-PV81)*(1+Slot4_Rate),0)</f>
        <v>0</v>
      </c>
      <c r="QY81" s="1" t="n">
        <f aca="false">IF(AND(HT81=1,BA81=1),(JE81+JI81)/E81,0)</f>
        <v>0</v>
      </c>
      <c r="QZ81" s="1" t="n">
        <f aca="false">IF(B81=0,JE81+JI81,0)</f>
        <v>0</v>
      </c>
      <c r="RA81" s="1" t="n">
        <f aca="false">IF(B81=0,IF(HT81=1,JG81,JH81),0)</f>
        <v>0</v>
      </c>
      <c r="RB81" s="1" t="n">
        <f aca="false">IF(BK81=1,IF(HT81=1,JN81+JQ81,BL81-PT81)*(1+Slot5_Rate),0)</f>
        <v>0</v>
      </c>
      <c r="RC81" s="1" t="n">
        <f aca="false">IF(AND(HT81=1,BK81=1),(JM81+JQ81)/E81,0)</f>
        <v>0</v>
      </c>
      <c r="RD81" s="1" t="n">
        <f aca="false">IF(B81=0,JM81+JQ81,0)</f>
        <v>0</v>
      </c>
      <c r="RE81" s="1" t="n">
        <f aca="false">IF(B81=0,IF(HT81=1,JO81,JP81),0)</f>
        <v>0</v>
      </c>
      <c r="RF81" s="1" t="n">
        <f aca="false">IF(BU81=1,IF(HT81=1,JV81+JY81,BV81-PR81)*(1+Slot6_Rate),0)</f>
        <v>0</v>
      </c>
      <c r="RG81" s="1" t="n">
        <f aca="false">IF(AND(HT81=1,BU81=1),(JU81+JY81)/E81,0)</f>
        <v>0</v>
      </c>
      <c r="RH81" s="1" t="n">
        <f aca="false">IF(B81=0,JU81+JY81,0)</f>
        <v>0</v>
      </c>
      <c r="RI81" s="1" t="n">
        <f aca="false">IF(B81=0,IF(HT81=1,JW81,JX81),0)</f>
        <v>0</v>
      </c>
      <c r="RJ81" s="1" t="n">
        <f aca="false">IF(CE81=1,IF(HT81=1,KD81+KG81,CF81-PP81)*(1+Slot7_Rate),0)</f>
        <v>0</v>
      </c>
      <c r="RK81" s="1" t="n">
        <f aca="false">IF(AND(HT81=1,CE81=1),(KC81+KG81)/E81,0)</f>
        <v>0</v>
      </c>
      <c r="RL81" s="1" t="n">
        <f aca="false">IF(B81=0,KC81+KG81,0)</f>
        <v>0</v>
      </c>
      <c r="RM81" s="1" t="n">
        <f aca="false">IF(B81=0,IF(HT81=1,KE81,KF81),0)</f>
        <v>0</v>
      </c>
      <c r="RN81" s="1" t="n">
        <f aca="false">IF(CO81=1,IF(HT81=1,KL81+KO81,CP81-PN81)*(1+Slot8_Rate),0)</f>
        <v>0</v>
      </c>
      <c r="RO81" s="1" t="n">
        <f aca="false">IF(AND(HT81=1,CO81=1),(KK81+KO81)/E81,0)</f>
        <v>0</v>
      </c>
      <c r="RP81" s="1" t="n">
        <f aca="false">IF(B81=0,KK81+KO81,0)</f>
        <v>0</v>
      </c>
      <c r="RQ81" s="1" t="n">
        <f aca="false">IF(B81=0,IF(HT81=1,KM81,KN81),0)</f>
        <v>0</v>
      </c>
      <c r="RR81" s="1" t="n">
        <f aca="false">IF(CY81=1,IF(HT81=1,KT81+KW81,CZ81-PL81)*(1+Slot9_Rate),0)</f>
        <v>0</v>
      </c>
      <c r="RS81" s="1" t="n">
        <f aca="false">IF(AND(HT81=1,CY81=1),(KS81+KW81)/E81,0)</f>
        <v>0</v>
      </c>
      <c r="RT81" s="1" t="n">
        <f aca="false">IF(B81=0,KS81+KW81,0)</f>
        <v>0</v>
      </c>
      <c r="RU81" s="1" t="n">
        <f aca="false">IF(B81=0,IF(HT81=1,KU81,KV81),0)</f>
        <v>0</v>
      </c>
      <c r="RV81" s="1" t="n">
        <f aca="false">IF(DI81=1,IF(HT81=1,LB81+LE81,DJ81-PJ81)*(1+Slot10_Rate),0)</f>
        <v>0</v>
      </c>
      <c r="RW81" s="1" t="n">
        <f aca="false">IF(AND(HT81=1,DI81=1),(LA81+LE81)/E81,0)</f>
        <v>0</v>
      </c>
      <c r="RX81" s="1" t="n">
        <f aca="false">IF(B81=0,LA81+LE81,0)</f>
        <v>0</v>
      </c>
      <c r="RY81" s="1" t="n">
        <f aca="false">IF(B81=0,IF(HT81=1,LC81,LD81),0)</f>
        <v>0</v>
      </c>
      <c r="RZ81" s="1" t="n">
        <f aca="false">IF(DS81=1,IF(HT81=1,LJ81+LM81,DT81-PH81)*(1+Slot11_Rate),0)</f>
        <v>0</v>
      </c>
      <c r="SA81" s="1" t="n">
        <f aca="false">IF(AND(HT81=1,DS81=1),(LI81+LM81)/E81,0)</f>
        <v>0</v>
      </c>
      <c r="SB81" s="1" t="n">
        <f aca="false">IF(B81=0,LI81+LM81,0)</f>
        <v>0</v>
      </c>
      <c r="SC81" s="1" t="n">
        <f aca="false">IF(B81=0,IF(HT81=1,LK81,LL81),0)</f>
        <v>0</v>
      </c>
      <c r="SD81" s="1" t="n">
        <f aca="false">IF(EC81=1,IF(HT81=1,LR81+LU81,ED81-PF81)*(1+Slot12_Rate),0)</f>
        <v>0</v>
      </c>
      <c r="SE81" s="1" t="n">
        <f aca="false">IF(AND(HT81=1,EC81=1),(LQ81+LU81)/E81,0)</f>
        <v>0</v>
      </c>
      <c r="SF81" s="1" t="n">
        <f aca="false">IF(B81=0,LQ81+LU81,0)</f>
        <v>0</v>
      </c>
      <c r="SG81" s="1" t="n">
        <f aca="false">IF(B81=0,IF(HT81=1,LS81,LT81),0)</f>
        <v>0</v>
      </c>
      <c r="SH81" s="1" t="n">
        <f aca="false">IF(EM81=1,IF(HT81=1,LZ81+MC81,EN81-PD81)*(1+Slot13_Rate),0)</f>
        <v>0</v>
      </c>
      <c r="SI81" s="1" t="n">
        <f aca="false">IF(AND(HT81=1,EM81=1),(LY81+MC81)/E81,0)</f>
        <v>0</v>
      </c>
      <c r="SJ81" s="1" t="n">
        <f aca="false">IF(B81=0,LY81+MC81,0)</f>
        <v>0</v>
      </c>
      <c r="SK81" s="1" t="n">
        <f aca="false">IF(B81=0,IF(HT81=1,MA81,MB81),0)</f>
        <v>0</v>
      </c>
      <c r="SL81" s="1" t="n">
        <f aca="false">IF(EW81=1,IF(HT81=1,MH81+MK81,EX81-PB81)*(1+Slot14_Rate),0)</f>
        <v>0</v>
      </c>
      <c r="SM81" s="1" t="n">
        <f aca="false">IF(AND(HT81=1,EW81=1),(MG81+MK81)/E81,0)</f>
        <v>0</v>
      </c>
      <c r="SN81" s="1" t="n">
        <f aca="false">IF(B81=0,MG81+MK81,0)</f>
        <v>0</v>
      </c>
      <c r="SO81" s="1" t="n">
        <f aca="false">IF(B81=0,IF(HT81=1,MI81,MJ81),0)</f>
        <v>0</v>
      </c>
      <c r="SP81" s="1" t="n">
        <f aca="false">IF(FG81=1,IF(HT81=1,MP81+MS81,FH81-OZ81)*(1+Slot15_Rate),0)</f>
        <v>0</v>
      </c>
      <c r="SQ81" s="1" t="n">
        <f aca="false">IF(AND(HT81=1,FG81=1),(MO81+MS81)/E81,0)</f>
        <v>0</v>
      </c>
      <c r="SR81" s="1" t="n">
        <f aca="false">IF(B81=0,MO81+MS81,0)</f>
        <v>0</v>
      </c>
      <c r="SS81" s="1" t="n">
        <f aca="false">IF(B81=0,IF(HT81=1,MQ81,MR81),0)</f>
        <v>0</v>
      </c>
      <c r="ST81" s="1" t="n">
        <f aca="false">IF(FQ81=1,IF(HT81=1,MX81+NA81,FR81-OX81)*(1+Slot16_Rate),0)</f>
        <v>0</v>
      </c>
      <c r="SU81" s="1" t="n">
        <f aca="false">IF(AND(HT81=1,FQ81=1),(MW81+NA81)/E81,0)</f>
        <v>0</v>
      </c>
      <c r="SV81" s="1" t="n">
        <f aca="false">IF(B81=0,MW81+NA81,0)</f>
        <v>0</v>
      </c>
      <c r="SW81" s="1" t="n">
        <f aca="false">IF(B81=0,IF(HT81=1,MY81,MZ81),0)</f>
        <v>0</v>
      </c>
      <c r="SX81" s="1" t="n">
        <f aca="false">IF(GA81=1,IF(HT81=1,NF81+NI81,GB81-OV81)*(1+Slot17_Rate),0)</f>
        <v>0</v>
      </c>
      <c r="SY81" s="1" t="n">
        <f aca="false">IF(AND(HT81=1,GA81=1),(NE81+NI81)/E81,0)</f>
        <v>0</v>
      </c>
      <c r="SZ81" s="1" t="n">
        <f aca="false">IF(B81=0,NE81+NI81,0)</f>
        <v>0</v>
      </c>
      <c r="TA81" s="1" t="n">
        <f aca="false">IF(B81=0,IF(HT81=1,NG81,NH81),0)</f>
        <v>0</v>
      </c>
      <c r="TB81" s="1" t="n">
        <f aca="false">IF(GK81=1,IF(HT81=1,NN81+NQ81,GL81-OT81)*(1+Slot18_Rate),0)</f>
        <v>0</v>
      </c>
      <c r="TC81" s="1" t="n">
        <f aca="false">IF(AND(HT81=1,GK81=1),(NM81+NQ81)/E81,0)</f>
        <v>0</v>
      </c>
      <c r="TD81" s="1" t="n">
        <f aca="false">IF(B81=0,NM81+NQ81,0)</f>
        <v>0</v>
      </c>
      <c r="TE81" s="1" t="n">
        <f aca="false">IF(B81=0,IF(HT81=1,NO81,NP81),0)</f>
        <v>0</v>
      </c>
      <c r="TF81" s="1" t="n">
        <f aca="false">IF(GU81=1,IF(HT81=1,NV81+NY81,GV81-OR81)*(1+Slot19_Rate),0)</f>
        <v>0</v>
      </c>
      <c r="TG81" s="1" t="n">
        <f aca="false">IF(AND(HT81=1,GU81=1),(NU81+NY81)/E81,0)</f>
        <v>0</v>
      </c>
      <c r="TH81" s="1" t="n">
        <f aca="false">IF(B81=0,NU81+NY81,0)</f>
        <v>0</v>
      </c>
      <c r="TI81" s="1" t="n">
        <f aca="false">IF(B81=0,IF(HT81=1,NW81,NX81),0)</f>
        <v>0</v>
      </c>
      <c r="TJ81" s="1" t="n">
        <f aca="false">IF(HE81=1,IF(HT81=1,OD81+OG81,HF81-OP81)*(1+Slot20_Rate),0)</f>
        <v>0</v>
      </c>
      <c r="TK81" s="1" t="n">
        <f aca="false">IF(AND(HT81=1,HE81=1),(OC81+OG81)/E81,0)</f>
        <v>0</v>
      </c>
      <c r="TL81" s="1" t="n">
        <f aca="false">IF(B81=0,OC81+OG81,0)</f>
        <v>0</v>
      </c>
      <c r="TM81" s="1" t="n">
        <f aca="false">IF(B81=0,IF(HT81=1,OE81,OF81),0)</f>
        <v>0</v>
      </c>
      <c r="TN81" s="1" t="n">
        <f aca="false">QJ81+QK81+QL81+QP81+QT81+QX81+RB81+RF81+RJ81+RN81+RR81+RV81+RZ81+SD81+SH81+SL81+SP81+ST81+SX81+TB81+TF81+TJ81</f>
        <v>424431.078158065</v>
      </c>
      <c r="TO81" s="1" t="n">
        <f aca="false">QD81+HO81</f>
        <v>0</v>
      </c>
      <c r="TP81" s="1" t="n">
        <f aca="false">H81+R81</f>
        <v>0</v>
      </c>
      <c r="TQ81" s="1" t="n">
        <f aca="false">1-F81</f>
        <v>1</v>
      </c>
      <c r="TR81" s="1" t="n">
        <f aca="false">IF(AND(RG_Exists=1,F81=0,C81=1),H81,0)</f>
        <v>0</v>
      </c>
      <c r="TS81" s="1" t="n">
        <f aca="false">IF(AND(RG_Exists=1,F81=0,C81=1),H81-MIN(QD81,H81),0)</f>
        <v>0</v>
      </c>
      <c r="TT81" s="1" t="n">
        <f aca="false">'Plan pay &amp; tax'!AD307</f>
        <v>0</v>
      </c>
      <c r="TU81" s="1" t="n">
        <f aca="false">IF(AND(C81=1,QD81&gt;MAX(PR_Short1,TP81*PR_Short2)),1,0)</f>
        <v>0</v>
      </c>
      <c r="TV81" s="1" t="n">
        <f aca="false">MIN(G81,H81+R81)</f>
        <v>0</v>
      </c>
      <c r="TW81" s="1" t="n">
        <f aca="false">QE81+MAX(0,HP81-HO81)</f>
        <v>0</v>
      </c>
      <c r="TX81" s="1" t="n">
        <f aca="false">QD81+HO81</f>
        <v>0</v>
      </c>
      <c r="TY81" s="1" t="n">
        <f aca="false">IF(AND(C81=1,TX81&gt;PR_MinShort),1,0)</f>
        <v>0</v>
      </c>
      <c r="TZ81" s="1" t="n">
        <f aca="false">IF(AND(C81=1,TY81=0,TW81&gt;PR_MinShort),1,0)</f>
        <v>0</v>
      </c>
      <c r="UA81" s="1" t="n">
        <f aca="false">IF(AND(C81=1,QD81&gt;PR_MinShort),1,0)</f>
        <v>0</v>
      </c>
      <c r="UB81" s="1" t="n">
        <f aca="false">IF(AND(C81=1,QE81&gt;1,UI81=0),1,0)</f>
        <v>0</v>
      </c>
      <c r="UC81" s="1" t="str">
        <f aca="false">IF(C81=0,"",IF(UI81=1,"Gap to plan for: short "&amp;"€"&amp;TEXT(ROUND(TO81,0),"#,##0"),IF(QE81&gt;1,"Using savings","Comfortable")))</f>
        <v>Comfortable</v>
      </c>
      <c r="UD81" s="1" t="n">
        <f aca="false">IF(AND(INT(D81/10)*10=90,B81&gt;0),80,INT(D81/10)*10)</f>
        <v>70</v>
      </c>
      <c r="UE81" s="1" t="n">
        <f aca="false">IF(B81=0,1,IF(UD81&lt;&gt;UD80,UE80+1,UE80))</f>
        <v>8</v>
      </c>
      <c r="UF81" s="1" t="n">
        <f aca="false">IF(AND(C81=1,F81=1,QD81&gt;MAX(PR_Short1,TP81*PR_Short2)),1,0)</f>
        <v>0</v>
      </c>
      <c r="UG81" s="1" t="n">
        <f aca="false">TQ81*TU81</f>
        <v>0</v>
      </c>
      <c r="UH81" s="1" t="n">
        <f aca="false">IF(AND(U81=1,Slot1_PctLow=1),1,0)+IF(AND(AF81=1,Slot2_PctLow=1),1,0)+IF(AND(AP81=1,Slot3_PctLow=1),1,0)+IF(AND(AZ81=1,Slot4_PctLow=1),1,0)+IF(AND(BJ81=1,Slot5_PctLow=1),1,0)+IF(AND(BT81=1,Slot6_PctLow=1),1,0)+IF(AND(CD81=1,Slot7_PctLow=1),1,0)+IF(AND(CN81=1,Slot8_PctLow=1),1,0)+IF(AND(CX81=1,Slot9_PctLow=1),1,0)+IF(AND(DH81=1,Slot10_PctLow=1),1,0)+IF(AND(DR81=1,Slot11_PctLow=1),1,0)+IF(AND(EB81=1,Slot12_PctLow=1),1,0)+IF(AND(EL81=1,Slot13_PctLow=1),1,0)+IF(AND(EV81=1,Slot14_PctLow=1),1,0)+IF(AND(FF81=1,Slot15_PctLow=1),1,0)+IF(AND(FP81=1,Slot16_PctLow=1),1,0)+IF(AND(FZ81=1,Slot17_PctLow=1),1,0)+IF(AND(GJ81=1,Slot18_PctLow=1),1,0)+IF(AND(GT81=1,Slot19_PctLow=1),1,0)+IF(AND(HD81=1,Slot20_PctLow=1),1,0)</f>
        <v>0</v>
      </c>
      <c r="UI81" s="1" t="n">
        <f aca="false">IF(C81=1,IF(OR(TU81=1,UH81&gt;0),1,0),0)</f>
        <v>0</v>
      </c>
    </row>
    <row r="82" customFormat="false" ht="15" hidden="false" customHeight="true" outlineLevel="0" collapsed="false">
      <c r="B82" s="1" t="n">
        <v>74</v>
      </c>
      <c r="C82" s="1" t="n">
        <f aca="false">IF(B82&lt;=F_N,1,0)</f>
        <v>1</v>
      </c>
      <c r="D82" s="1" t="n">
        <f aca="false">'Plan pay &amp; tax'!C308</f>
        <v>74</v>
      </c>
      <c r="E82" s="111" t="n">
        <f aca="false">'Plan pay &amp; tax'!E308</f>
        <v>4.3292504462036</v>
      </c>
      <c r="F82" s="1" t="n">
        <f aca="false">'Plan pay &amp; tax'!G308</f>
        <v>0</v>
      </c>
      <c r="G82" s="1" t="n">
        <f aca="false">'Plan pay &amp; tax'!BT308-'Plan pay &amp; tax'!BS308-'Plan pay &amp; tax'!R308</f>
        <v>53902.9777956275</v>
      </c>
      <c r="H82" s="1" t="n">
        <f aca="false">IF(F82=1,F_CostsM*12,IF(RG_Exists=1,RG_Amount,F_CostsM*12*AS_RetireSpend))*E82+F_OneOffY*E82</f>
        <v>0</v>
      </c>
      <c r="I82" s="1" t="n">
        <f aca="false">HQ81</f>
        <v>0</v>
      </c>
      <c r="J82" s="1" t="n">
        <f aca="false">IF(I82&gt;1,'Plan debt months'!AC82,0)</f>
        <v>0</v>
      </c>
      <c r="K82" s="1" t="n">
        <f aca="false">IF(I82&gt;1,'Plan debt months'!AB82,I82)</f>
        <v>0</v>
      </c>
      <c r="L82" s="1" t="n">
        <f aca="false">N81</f>
        <v>0</v>
      </c>
      <c r="M82" s="1" t="n">
        <f aca="false">IF(L82&gt;1,'Plan debt months'!BD82,0)</f>
        <v>0</v>
      </c>
      <c r="N82" s="1" t="n">
        <f aca="false">IF(L82&gt;1,'Plan debt months'!BC82,L82)</f>
        <v>0</v>
      </c>
      <c r="O82" s="1" t="n">
        <f aca="false">Q81</f>
        <v>0</v>
      </c>
      <c r="P82" s="1" t="n">
        <f aca="false">IF(O82&gt;1,'Plan debt months'!CE82,0)</f>
        <v>0</v>
      </c>
      <c r="Q82" s="1" t="n">
        <f aca="false">IF(O82&gt;1,'Plan debt months'!CD82,O82)</f>
        <v>0</v>
      </c>
      <c r="R82" s="1" t="n">
        <f aca="false">J82+M82+P82</f>
        <v>0</v>
      </c>
      <c r="S82" s="1" t="n">
        <f aca="false">QJ81+'Plan pay &amp; tax'!Y308</f>
        <v>424431.078158065</v>
      </c>
      <c r="T82" s="1" t="n">
        <f aca="false">QJ81</f>
        <v>424431.078158065</v>
      </c>
      <c r="U82" s="1" t="n">
        <f aca="false">IF(AND(Slot1_On=1,D82=Slot1_Age),1,0)</f>
        <v>0</v>
      </c>
      <c r="V82" s="1" t="n">
        <f aca="false">IF(AND(Slot1_On=1,Slot1_Age&gt;D82),1,0)</f>
        <v>0</v>
      </c>
      <c r="W82" s="1" t="n">
        <f aca="false">QL81</f>
        <v>0</v>
      </c>
      <c r="X82" s="1" t="n">
        <f aca="false">U82*MIN(Slot1_Cost,W82)</f>
        <v>0</v>
      </c>
      <c r="Y82" s="1" t="n">
        <f aca="false">U82*Slot1_SpendLike*MIN(Slot1_Cost-X82,S82)</f>
        <v>0</v>
      </c>
      <c r="Z82" s="1" t="n">
        <f aca="false">X82+Y82</f>
        <v>0</v>
      </c>
      <c r="AA82" s="1" t="n">
        <f aca="false">S82-Y82+U82*IF(Slot1_SpendLike=1,W82-X82,IF(Slot1_PotFree=1,W82,0))</f>
        <v>424431.078158065</v>
      </c>
      <c r="AB82" s="1" t="n">
        <f aca="false">AE82+U82*Slot1_BufPot*W82</f>
        <v>0</v>
      </c>
      <c r="AC82" s="1" t="n">
        <f aca="false">IF(AND(U82=1,Slot1_IsMfree=1),IF(Z82&gt;=Slot1_Cost-1,0,MAX(0,K82-Z82)),K82)</f>
        <v>0</v>
      </c>
      <c r="AD82" s="1" t="n">
        <f aca="false">U82*(Slot1_Cost-Z82)</f>
        <v>0</v>
      </c>
      <c r="AE82" s="1" t="n">
        <f aca="false">QK81</f>
        <v>0</v>
      </c>
      <c r="AF82" s="1" t="n">
        <f aca="false">IF(AND(Slot2_On=1,D82=Slot2_Age),1,0)</f>
        <v>0</v>
      </c>
      <c r="AG82" s="1" t="n">
        <f aca="false">IF(AND(Slot2_On=1,Slot2_Age&gt;D82),1,0)</f>
        <v>0</v>
      </c>
      <c r="AH82" s="1" t="n">
        <f aca="false">QP81</f>
        <v>0</v>
      </c>
      <c r="AI82" s="1" t="n">
        <f aca="false">AF82*MIN(Slot2_Cost,AH82)</f>
        <v>0</v>
      </c>
      <c r="AJ82" s="1" t="n">
        <f aca="false">AF82*Slot2_SpendLike*MIN(Slot2_Cost-AI82,AA82)</f>
        <v>0</v>
      </c>
      <c r="AK82" s="1" t="n">
        <f aca="false">AI82+AJ82</f>
        <v>0</v>
      </c>
      <c r="AL82" s="1" t="n">
        <f aca="false">AA82-AJ82+AF82*IF(Slot2_SpendLike=1,AH82-AI82,IF(Slot2_PotFree=1,AH82,0))</f>
        <v>424431.078158065</v>
      </c>
      <c r="AM82" s="1" t="n">
        <f aca="false">AB82+AF82*Slot2_BufPot*AH82</f>
        <v>0</v>
      </c>
      <c r="AN82" s="1" t="n">
        <f aca="false">IF(AND(AF82=1,Slot2_IsMfree=1),IF(AK82&gt;=Slot2_Cost-1,0,MAX(0,AC82-AK82)),AC82)</f>
        <v>0</v>
      </c>
      <c r="AO82" s="1" t="n">
        <f aca="false">AF82*(Slot2_Cost-AK82)</f>
        <v>0</v>
      </c>
      <c r="AP82" s="1" t="n">
        <f aca="false">IF(AND(Slot3_On=1,D82=Slot3_Age),1,0)</f>
        <v>0</v>
      </c>
      <c r="AQ82" s="1" t="n">
        <f aca="false">IF(AND(Slot3_On=1,Slot3_Age&gt;D82),1,0)</f>
        <v>0</v>
      </c>
      <c r="AR82" s="1" t="n">
        <f aca="false">QT81</f>
        <v>0</v>
      </c>
      <c r="AS82" s="1" t="n">
        <f aca="false">AP82*MIN(Slot3_Cost,AR82)</f>
        <v>0</v>
      </c>
      <c r="AT82" s="1" t="n">
        <f aca="false">AP82*Slot3_SpendLike*MIN(Slot3_Cost-AS82,AL82)</f>
        <v>0</v>
      </c>
      <c r="AU82" s="1" t="n">
        <f aca="false">AS82+AT82</f>
        <v>0</v>
      </c>
      <c r="AV82" s="1" t="n">
        <f aca="false">AL82-AT82+AP82*IF(Slot3_SpendLike=1,AR82-AS82,IF(Slot3_PotFree=1,AR82,0))</f>
        <v>424431.078158065</v>
      </c>
      <c r="AW82" s="1" t="n">
        <f aca="false">AM82+AP82*Slot3_BufPot*AR82</f>
        <v>0</v>
      </c>
      <c r="AX82" s="1" t="n">
        <f aca="false">IF(AND(AP82=1,Slot3_IsMfree=1),IF(AU82&gt;=Slot3_Cost-1,0,MAX(0,AN82-AU82)),AN82)</f>
        <v>0</v>
      </c>
      <c r="AY82" s="1" t="n">
        <f aca="false">AP82*(Slot3_Cost-AU82)</f>
        <v>0</v>
      </c>
      <c r="AZ82" s="1" t="n">
        <f aca="false">IF(AND(Slot4_On=1,D82=Slot4_Age),1,0)</f>
        <v>0</v>
      </c>
      <c r="BA82" s="1" t="n">
        <f aca="false">IF(AND(Slot4_On=1,Slot4_Age&gt;D82),1,0)</f>
        <v>0</v>
      </c>
      <c r="BB82" s="1" t="n">
        <f aca="false">QX81</f>
        <v>0</v>
      </c>
      <c r="BC82" s="1" t="n">
        <f aca="false">AZ82*MIN(Slot4_Cost,BB82)</f>
        <v>0</v>
      </c>
      <c r="BD82" s="1" t="n">
        <f aca="false">AZ82*Slot4_SpendLike*MIN(Slot4_Cost-BC82,AV82)</f>
        <v>0</v>
      </c>
      <c r="BE82" s="1" t="n">
        <f aca="false">BC82+BD82</f>
        <v>0</v>
      </c>
      <c r="BF82" s="1" t="n">
        <f aca="false">AV82-BD82+AZ82*IF(Slot4_SpendLike=1,BB82-BC82,IF(Slot4_PotFree=1,BB82,0))</f>
        <v>424431.078158065</v>
      </c>
      <c r="BG82" s="1" t="n">
        <f aca="false">AW82+AZ82*Slot4_BufPot*BB82</f>
        <v>0</v>
      </c>
      <c r="BH82" s="1" t="n">
        <f aca="false">IF(AND(AZ82=1,Slot4_IsMfree=1),IF(BE82&gt;=Slot4_Cost-1,0,MAX(0,AX82-BE82)),AX82)</f>
        <v>0</v>
      </c>
      <c r="BI82" s="1" t="n">
        <f aca="false">AZ82*(Slot4_Cost-BE82)</f>
        <v>0</v>
      </c>
      <c r="BJ82" s="1" t="n">
        <f aca="false">IF(AND(Slot5_On=1,D82=Slot5_Age),1,0)</f>
        <v>0</v>
      </c>
      <c r="BK82" s="1" t="n">
        <f aca="false">IF(AND(Slot5_On=1,Slot5_Age&gt;D82),1,0)</f>
        <v>0</v>
      </c>
      <c r="BL82" s="1" t="n">
        <f aca="false">RB81</f>
        <v>0</v>
      </c>
      <c r="BM82" s="1" t="n">
        <f aca="false">BJ82*MIN(Slot5_Cost,BL82)</f>
        <v>0</v>
      </c>
      <c r="BN82" s="1" t="n">
        <f aca="false">BJ82*Slot5_SpendLike*MIN(Slot5_Cost-BM82,BF82)</f>
        <v>0</v>
      </c>
      <c r="BO82" s="1" t="n">
        <f aca="false">BM82+BN82</f>
        <v>0</v>
      </c>
      <c r="BP82" s="1" t="n">
        <f aca="false">BF82-BN82+BJ82*IF(Slot5_SpendLike=1,BL82-BM82,IF(Slot5_PotFree=1,BL82,0))</f>
        <v>424431.078158065</v>
      </c>
      <c r="BQ82" s="1" t="n">
        <f aca="false">BG82+BJ82*Slot5_BufPot*BL82</f>
        <v>0</v>
      </c>
      <c r="BR82" s="1" t="n">
        <f aca="false">IF(AND(BJ82=1,Slot5_IsMfree=1),IF(BO82&gt;=Slot5_Cost-1,0,MAX(0,BH82-BO82)),BH82)</f>
        <v>0</v>
      </c>
      <c r="BS82" s="1" t="n">
        <f aca="false">BJ82*(Slot5_Cost-BO82)</f>
        <v>0</v>
      </c>
      <c r="BT82" s="1" t="n">
        <f aca="false">IF(AND(Slot6_On=1,D82=Slot6_Age),1,0)</f>
        <v>0</v>
      </c>
      <c r="BU82" s="1" t="n">
        <f aca="false">IF(AND(Slot6_On=1,Slot6_Age&gt;D82),1,0)</f>
        <v>0</v>
      </c>
      <c r="BV82" s="1" t="n">
        <f aca="false">RF81</f>
        <v>0</v>
      </c>
      <c r="BW82" s="1" t="n">
        <f aca="false">BT82*MIN(Slot6_Cost,BV82)</f>
        <v>0</v>
      </c>
      <c r="BX82" s="1" t="n">
        <f aca="false">BT82*Slot6_SpendLike*MIN(Slot6_Cost-BW82,BP82)</f>
        <v>0</v>
      </c>
      <c r="BY82" s="1" t="n">
        <f aca="false">BW82+BX82</f>
        <v>0</v>
      </c>
      <c r="BZ82" s="1" t="n">
        <f aca="false">BP82-BX82+BT82*IF(Slot6_SpendLike=1,BV82-BW82,IF(Slot6_PotFree=1,BV82,0))</f>
        <v>424431.078158065</v>
      </c>
      <c r="CA82" s="1" t="n">
        <f aca="false">BQ82+BT82*Slot6_BufPot*BV82</f>
        <v>0</v>
      </c>
      <c r="CB82" s="1" t="n">
        <f aca="false">IF(AND(BT82=1,Slot6_IsMfree=1),IF(BY82&gt;=Slot6_Cost-1,0,MAX(0,BR82-BY82)),BR82)</f>
        <v>0</v>
      </c>
      <c r="CC82" s="1" t="n">
        <f aca="false">BT82*(Slot6_Cost-BY82)</f>
        <v>0</v>
      </c>
      <c r="CD82" s="1" t="n">
        <f aca="false">IF(AND(Slot7_On=1,D82=Slot7_Age),1,0)</f>
        <v>0</v>
      </c>
      <c r="CE82" s="1" t="n">
        <f aca="false">IF(AND(Slot7_On=1,Slot7_Age&gt;D82),1,0)</f>
        <v>0</v>
      </c>
      <c r="CF82" s="1" t="n">
        <f aca="false">RJ81</f>
        <v>0</v>
      </c>
      <c r="CG82" s="1" t="n">
        <f aca="false">CD82*MIN(Slot7_Cost,CF82)</f>
        <v>0</v>
      </c>
      <c r="CH82" s="1" t="n">
        <f aca="false">CD82*Slot7_SpendLike*MIN(Slot7_Cost-CG82,BZ82)</f>
        <v>0</v>
      </c>
      <c r="CI82" s="1" t="n">
        <f aca="false">CG82+CH82</f>
        <v>0</v>
      </c>
      <c r="CJ82" s="1" t="n">
        <f aca="false">BZ82-CH82+CD82*IF(Slot7_SpendLike=1,CF82-CG82,IF(Slot7_PotFree=1,CF82,0))</f>
        <v>424431.078158065</v>
      </c>
      <c r="CK82" s="1" t="n">
        <f aca="false">CA82+CD82*Slot7_BufPot*CF82</f>
        <v>0</v>
      </c>
      <c r="CL82" s="1" t="n">
        <f aca="false">IF(AND(CD82=1,Slot7_IsMfree=1),IF(CI82&gt;=Slot7_Cost-1,0,MAX(0,CB82-CI82)),CB82)</f>
        <v>0</v>
      </c>
      <c r="CM82" s="1" t="n">
        <f aca="false">CD82*(Slot7_Cost-CI82)</f>
        <v>0</v>
      </c>
      <c r="CN82" s="1" t="n">
        <f aca="false">IF(AND(Slot8_On=1,D82=Slot8_Age),1,0)</f>
        <v>0</v>
      </c>
      <c r="CO82" s="1" t="n">
        <f aca="false">IF(AND(Slot8_On=1,Slot8_Age&gt;D82),1,0)</f>
        <v>0</v>
      </c>
      <c r="CP82" s="1" t="n">
        <f aca="false">RN81</f>
        <v>0</v>
      </c>
      <c r="CQ82" s="1" t="n">
        <f aca="false">CN82*MIN(Slot8_Cost,CP82)</f>
        <v>0</v>
      </c>
      <c r="CR82" s="1" t="n">
        <f aca="false">CN82*Slot8_SpendLike*MIN(Slot8_Cost-CQ82,CJ82)</f>
        <v>0</v>
      </c>
      <c r="CS82" s="1" t="n">
        <f aca="false">CQ82+CR82</f>
        <v>0</v>
      </c>
      <c r="CT82" s="1" t="n">
        <f aca="false">CJ82-CR82+CN82*IF(Slot8_SpendLike=1,CP82-CQ82,IF(Slot8_PotFree=1,CP82,0))</f>
        <v>424431.078158065</v>
      </c>
      <c r="CU82" s="1" t="n">
        <f aca="false">CK82+CN82*Slot8_BufPot*CP82</f>
        <v>0</v>
      </c>
      <c r="CV82" s="1" t="n">
        <f aca="false">IF(AND(CN82=1,Slot8_IsMfree=1),IF(CS82&gt;=Slot8_Cost-1,0,MAX(0,CL82-CS82)),CL82)</f>
        <v>0</v>
      </c>
      <c r="CW82" s="1" t="n">
        <f aca="false">CN82*(Slot8_Cost-CS82)</f>
        <v>0</v>
      </c>
      <c r="CX82" s="1" t="n">
        <f aca="false">IF(AND(Slot9_On=1,D82=Slot9_Age),1,0)</f>
        <v>0</v>
      </c>
      <c r="CY82" s="1" t="n">
        <f aca="false">IF(AND(Slot9_On=1,Slot9_Age&gt;D82),1,0)</f>
        <v>0</v>
      </c>
      <c r="CZ82" s="1" t="n">
        <f aca="false">RR81</f>
        <v>0</v>
      </c>
      <c r="DA82" s="1" t="n">
        <f aca="false">CX82*MIN(Slot9_Cost,CZ82)</f>
        <v>0</v>
      </c>
      <c r="DB82" s="1" t="n">
        <f aca="false">CX82*Slot9_SpendLike*MIN(Slot9_Cost-DA82,CT82)</f>
        <v>0</v>
      </c>
      <c r="DC82" s="1" t="n">
        <f aca="false">DA82+DB82</f>
        <v>0</v>
      </c>
      <c r="DD82" s="1" t="n">
        <f aca="false">CT82-DB82+CX82*IF(Slot9_SpendLike=1,CZ82-DA82,IF(Slot9_PotFree=1,CZ82,0))</f>
        <v>424431.078158065</v>
      </c>
      <c r="DE82" s="1" t="n">
        <f aca="false">CU82+CX82*Slot9_BufPot*CZ82</f>
        <v>0</v>
      </c>
      <c r="DF82" s="1" t="n">
        <f aca="false">IF(AND(CX82=1,Slot9_IsMfree=1),IF(DC82&gt;=Slot9_Cost-1,0,MAX(0,CV82-DC82)),CV82)</f>
        <v>0</v>
      </c>
      <c r="DG82" s="1" t="n">
        <f aca="false">CX82*(Slot9_Cost-DC82)</f>
        <v>0</v>
      </c>
      <c r="DH82" s="1" t="n">
        <f aca="false">IF(AND(Slot10_On=1,D82=Slot10_Age),1,0)</f>
        <v>0</v>
      </c>
      <c r="DI82" s="1" t="n">
        <f aca="false">IF(AND(Slot10_On=1,Slot10_Age&gt;D82),1,0)</f>
        <v>0</v>
      </c>
      <c r="DJ82" s="1" t="n">
        <f aca="false">RV81</f>
        <v>0</v>
      </c>
      <c r="DK82" s="1" t="n">
        <f aca="false">DH82*MIN(Slot10_Cost,DJ82)</f>
        <v>0</v>
      </c>
      <c r="DL82" s="1" t="n">
        <f aca="false">DH82*Slot10_SpendLike*MIN(Slot10_Cost-DK82,DD82)</f>
        <v>0</v>
      </c>
      <c r="DM82" s="1" t="n">
        <f aca="false">DK82+DL82</f>
        <v>0</v>
      </c>
      <c r="DN82" s="1" t="n">
        <f aca="false">DD82-DL82+DH82*IF(Slot10_SpendLike=1,DJ82-DK82,IF(Slot10_PotFree=1,DJ82,0))</f>
        <v>424431.078158065</v>
      </c>
      <c r="DO82" s="1" t="n">
        <f aca="false">DE82+DH82*Slot10_BufPot*DJ82</f>
        <v>0</v>
      </c>
      <c r="DP82" s="1" t="n">
        <f aca="false">IF(AND(DH82=1,Slot10_IsMfree=1),IF(DM82&gt;=Slot10_Cost-1,0,MAX(0,DF82-DM82)),DF82)</f>
        <v>0</v>
      </c>
      <c r="DQ82" s="1" t="n">
        <f aca="false">DH82*(Slot10_Cost-DM82)</f>
        <v>0</v>
      </c>
      <c r="DR82" s="1" t="n">
        <f aca="false">IF(AND(Slot11_On=1,D82=Slot11_Age),1,0)</f>
        <v>0</v>
      </c>
      <c r="DS82" s="1" t="n">
        <f aca="false">IF(AND(Slot11_On=1,Slot11_Age&gt;D82),1,0)</f>
        <v>0</v>
      </c>
      <c r="DT82" s="1" t="n">
        <f aca="false">RZ81</f>
        <v>0</v>
      </c>
      <c r="DU82" s="1" t="n">
        <f aca="false">DR82*MIN(Slot11_Cost,DT82)</f>
        <v>0</v>
      </c>
      <c r="DV82" s="1" t="n">
        <f aca="false">DR82*Slot11_SpendLike*MIN(Slot11_Cost-DU82,DN82)</f>
        <v>0</v>
      </c>
      <c r="DW82" s="1" t="n">
        <f aca="false">DU82+DV82</f>
        <v>0</v>
      </c>
      <c r="DX82" s="1" t="n">
        <f aca="false">DN82-DV82+DR82*IF(Slot11_SpendLike=1,DT82-DU82,IF(Slot11_PotFree=1,DT82,0))</f>
        <v>424431.078158065</v>
      </c>
      <c r="DY82" s="1" t="n">
        <f aca="false">DO82+DR82*Slot11_BufPot*DT82</f>
        <v>0</v>
      </c>
      <c r="DZ82" s="1" t="n">
        <f aca="false">IF(AND(DR82=1,Slot11_IsMfree=1),IF(DW82&gt;=Slot11_Cost-1,0,MAX(0,DP82-DW82)),DP82)</f>
        <v>0</v>
      </c>
      <c r="EA82" s="1" t="n">
        <f aca="false">DR82*(Slot11_Cost-DW82)</f>
        <v>0</v>
      </c>
      <c r="EB82" s="1" t="n">
        <f aca="false">IF(AND(Slot12_On=1,D82=Slot12_Age),1,0)</f>
        <v>0</v>
      </c>
      <c r="EC82" s="1" t="n">
        <f aca="false">IF(AND(Slot12_On=1,Slot12_Age&gt;D82),1,0)</f>
        <v>0</v>
      </c>
      <c r="ED82" s="1" t="n">
        <f aca="false">SD81</f>
        <v>0</v>
      </c>
      <c r="EE82" s="1" t="n">
        <f aca="false">EB82*MIN(Slot12_Cost,ED82)</f>
        <v>0</v>
      </c>
      <c r="EF82" s="1" t="n">
        <f aca="false">EB82*Slot12_SpendLike*MIN(Slot12_Cost-EE82,DX82)</f>
        <v>0</v>
      </c>
      <c r="EG82" s="1" t="n">
        <f aca="false">EE82+EF82</f>
        <v>0</v>
      </c>
      <c r="EH82" s="1" t="n">
        <f aca="false">DX82-EF82+EB82*IF(Slot12_SpendLike=1,ED82-EE82,IF(Slot12_PotFree=1,ED82,0))</f>
        <v>424431.078158065</v>
      </c>
      <c r="EI82" s="1" t="n">
        <f aca="false">DY82+EB82*Slot12_BufPot*ED82</f>
        <v>0</v>
      </c>
      <c r="EJ82" s="1" t="n">
        <f aca="false">IF(AND(EB82=1,Slot12_IsMfree=1),IF(EG82&gt;=Slot12_Cost-1,0,MAX(0,DZ82-EG82)),DZ82)</f>
        <v>0</v>
      </c>
      <c r="EK82" s="1" t="n">
        <f aca="false">EB82*(Slot12_Cost-EG82)</f>
        <v>0</v>
      </c>
      <c r="EL82" s="1" t="n">
        <f aca="false">IF(AND(Slot13_On=1,D82=Slot13_Age),1,0)</f>
        <v>0</v>
      </c>
      <c r="EM82" s="1" t="n">
        <f aca="false">IF(AND(Slot13_On=1,Slot13_Age&gt;D82),1,0)</f>
        <v>0</v>
      </c>
      <c r="EN82" s="1" t="n">
        <f aca="false">SH81</f>
        <v>0</v>
      </c>
      <c r="EO82" s="1" t="n">
        <f aca="false">EL82*MIN(Slot13_Cost,EN82)</f>
        <v>0</v>
      </c>
      <c r="EP82" s="1" t="n">
        <f aca="false">EL82*Slot13_SpendLike*MIN(Slot13_Cost-EO82,EH82)</f>
        <v>0</v>
      </c>
      <c r="EQ82" s="1" t="n">
        <f aca="false">EO82+EP82</f>
        <v>0</v>
      </c>
      <c r="ER82" s="1" t="n">
        <f aca="false">EH82-EP82+EL82*IF(Slot13_SpendLike=1,EN82-EO82,IF(Slot13_PotFree=1,EN82,0))</f>
        <v>424431.078158065</v>
      </c>
      <c r="ES82" s="1" t="n">
        <f aca="false">EI82+EL82*Slot13_BufPot*EN82</f>
        <v>0</v>
      </c>
      <c r="ET82" s="1" t="n">
        <f aca="false">IF(AND(EL82=1,Slot13_IsMfree=1),IF(EQ82&gt;=Slot13_Cost-1,0,MAX(0,EJ82-EQ82)),EJ82)</f>
        <v>0</v>
      </c>
      <c r="EU82" s="1" t="n">
        <f aca="false">EL82*(Slot13_Cost-EQ82)</f>
        <v>0</v>
      </c>
      <c r="EV82" s="1" t="n">
        <f aca="false">IF(AND(Slot14_On=1,D82=Slot14_Age),1,0)</f>
        <v>0</v>
      </c>
      <c r="EW82" s="1" t="n">
        <f aca="false">IF(AND(Slot14_On=1,Slot14_Age&gt;D82),1,0)</f>
        <v>0</v>
      </c>
      <c r="EX82" s="1" t="n">
        <f aca="false">SL81</f>
        <v>0</v>
      </c>
      <c r="EY82" s="1" t="n">
        <f aca="false">EV82*MIN(Slot14_Cost,EX82)</f>
        <v>0</v>
      </c>
      <c r="EZ82" s="1" t="n">
        <f aca="false">EV82*Slot14_SpendLike*MIN(Slot14_Cost-EY82,ER82)</f>
        <v>0</v>
      </c>
      <c r="FA82" s="1" t="n">
        <f aca="false">EY82+EZ82</f>
        <v>0</v>
      </c>
      <c r="FB82" s="1" t="n">
        <f aca="false">ER82-EZ82+EV82*IF(Slot14_SpendLike=1,EX82-EY82,IF(Slot14_PotFree=1,EX82,0))</f>
        <v>424431.078158065</v>
      </c>
      <c r="FC82" s="1" t="n">
        <f aca="false">ES82+EV82*Slot14_BufPot*EX82</f>
        <v>0</v>
      </c>
      <c r="FD82" s="1" t="n">
        <f aca="false">IF(AND(EV82=1,Slot14_IsMfree=1),IF(FA82&gt;=Slot14_Cost-1,0,MAX(0,ET82-FA82)),ET82)</f>
        <v>0</v>
      </c>
      <c r="FE82" s="1" t="n">
        <f aca="false">EV82*(Slot14_Cost-FA82)</f>
        <v>0</v>
      </c>
      <c r="FF82" s="1" t="n">
        <f aca="false">IF(AND(Slot15_On=1,D82=Slot15_Age),1,0)</f>
        <v>0</v>
      </c>
      <c r="FG82" s="1" t="n">
        <f aca="false">IF(AND(Slot15_On=1,Slot15_Age&gt;D82),1,0)</f>
        <v>0</v>
      </c>
      <c r="FH82" s="1" t="n">
        <f aca="false">SP81</f>
        <v>0</v>
      </c>
      <c r="FI82" s="1" t="n">
        <f aca="false">FF82*MIN(Slot15_Cost,FH82)</f>
        <v>0</v>
      </c>
      <c r="FJ82" s="1" t="n">
        <f aca="false">FF82*Slot15_SpendLike*MIN(Slot15_Cost-FI82,FB82)</f>
        <v>0</v>
      </c>
      <c r="FK82" s="1" t="n">
        <f aca="false">FI82+FJ82</f>
        <v>0</v>
      </c>
      <c r="FL82" s="1" t="n">
        <f aca="false">FB82-FJ82+FF82*IF(Slot15_SpendLike=1,FH82-FI82,IF(Slot15_PotFree=1,FH82,0))</f>
        <v>424431.078158065</v>
      </c>
      <c r="FM82" s="1" t="n">
        <f aca="false">FC82+FF82*Slot15_BufPot*FH82</f>
        <v>0</v>
      </c>
      <c r="FN82" s="1" t="n">
        <f aca="false">IF(AND(FF82=1,Slot15_IsMfree=1),IF(FK82&gt;=Slot15_Cost-1,0,MAX(0,FD82-FK82)),FD82)</f>
        <v>0</v>
      </c>
      <c r="FO82" s="1" t="n">
        <f aca="false">FF82*(Slot15_Cost-FK82)</f>
        <v>0</v>
      </c>
      <c r="FP82" s="1" t="n">
        <f aca="false">IF(AND(Slot16_On=1,D82=Slot16_Age),1,0)</f>
        <v>0</v>
      </c>
      <c r="FQ82" s="1" t="n">
        <f aca="false">IF(AND(Slot16_On=1,Slot16_Age&gt;D82),1,0)</f>
        <v>0</v>
      </c>
      <c r="FR82" s="1" t="n">
        <f aca="false">ST81</f>
        <v>0</v>
      </c>
      <c r="FS82" s="1" t="n">
        <f aca="false">FP82*MIN(Slot16_Cost,FR82)</f>
        <v>0</v>
      </c>
      <c r="FT82" s="1" t="n">
        <f aca="false">FP82*Slot16_SpendLike*MIN(Slot16_Cost-FS82,FL82)</f>
        <v>0</v>
      </c>
      <c r="FU82" s="1" t="n">
        <f aca="false">FS82+FT82</f>
        <v>0</v>
      </c>
      <c r="FV82" s="1" t="n">
        <f aca="false">FL82-FT82+FP82*IF(Slot16_SpendLike=1,FR82-FS82,IF(Slot16_PotFree=1,FR82,0))</f>
        <v>424431.078158065</v>
      </c>
      <c r="FW82" s="1" t="n">
        <f aca="false">FM82+FP82*Slot16_BufPot*FR82</f>
        <v>0</v>
      </c>
      <c r="FX82" s="1" t="n">
        <f aca="false">IF(AND(FP82=1,Slot16_IsMfree=1),IF(FU82&gt;=Slot16_Cost-1,0,MAX(0,FN82-FU82)),FN82)</f>
        <v>0</v>
      </c>
      <c r="FY82" s="1" t="n">
        <f aca="false">FP82*(Slot16_Cost-FU82)</f>
        <v>0</v>
      </c>
      <c r="FZ82" s="1" t="n">
        <f aca="false">IF(AND(Slot17_On=1,D82=Slot17_Age),1,0)</f>
        <v>0</v>
      </c>
      <c r="GA82" s="1" t="n">
        <f aca="false">IF(AND(Slot17_On=1,Slot17_Age&gt;D82),1,0)</f>
        <v>0</v>
      </c>
      <c r="GB82" s="1" t="n">
        <f aca="false">SX81</f>
        <v>0</v>
      </c>
      <c r="GC82" s="1" t="n">
        <f aca="false">FZ82*MIN(Slot17_Cost,GB82)</f>
        <v>0</v>
      </c>
      <c r="GD82" s="1" t="n">
        <f aca="false">FZ82*Slot17_SpendLike*MIN(Slot17_Cost-GC82,FV82)</f>
        <v>0</v>
      </c>
      <c r="GE82" s="1" t="n">
        <f aca="false">GC82+GD82</f>
        <v>0</v>
      </c>
      <c r="GF82" s="1" t="n">
        <f aca="false">FV82-GD82+FZ82*IF(Slot17_SpendLike=1,GB82-GC82,IF(Slot17_PotFree=1,GB82,0))</f>
        <v>424431.078158065</v>
      </c>
      <c r="GG82" s="1" t="n">
        <f aca="false">FW82+FZ82*Slot17_BufPot*GB82</f>
        <v>0</v>
      </c>
      <c r="GH82" s="1" t="n">
        <f aca="false">IF(AND(FZ82=1,Slot17_IsMfree=1),IF(GE82&gt;=Slot17_Cost-1,0,MAX(0,FX82-GE82)),FX82)</f>
        <v>0</v>
      </c>
      <c r="GI82" s="1" t="n">
        <f aca="false">FZ82*(Slot17_Cost-GE82)</f>
        <v>0</v>
      </c>
      <c r="GJ82" s="1" t="n">
        <f aca="false">IF(AND(Slot18_On=1,D82=Slot18_Age),1,0)</f>
        <v>0</v>
      </c>
      <c r="GK82" s="1" t="n">
        <f aca="false">IF(AND(Slot18_On=1,Slot18_Age&gt;D82),1,0)</f>
        <v>0</v>
      </c>
      <c r="GL82" s="1" t="n">
        <f aca="false">TB81</f>
        <v>0</v>
      </c>
      <c r="GM82" s="1" t="n">
        <f aca="false">GJ82*MIN(Slot18_Cost,GL82)</f>
        <v>0</v>
      </c>
      <c r="GN82" s="1" t="n">
        <f aca="false">GJ82*Slot18_SpendLike*MIN(Slot18_Cost-GM82,GF82)</f>
        <v>0</v>
      </c>
      <c r="GO82" s="1" t="n">
        <f aca="false">GM82+GN82</f>
        <v>0</v>
      </c>
      <c r="GP82" s="1" t="n">
        <f aca="false">GF82-GN82+GJ82*IF(Slot18_SpendLike=1,GL82-GM82,IF(Slot18_PotFree=1,GL82,0))</f>
        <v>424431.078158065</v>
      </c>
      <c r="GQ82" s="1" t="n">
        <f aca="false">GG82+GJ82*Slot18_BufPot*GL82</f>
        <v>0</v>
      </c>
      <c r="GR82" s="1" t="n">
        <f aca="false">IF(AND(GJ82=1,Slot18_IsMfree=1),IF(GO82&gt;=Slot18_Cost-1,0,MAX(0,GH82-GO82)),GH82)</f>
        <v>0</v>
      </c>
      <c r="GS82" s="1" t="n">
        <f aca="false">GJ82*(Slot18_Cost-GO82)</f>
        <v>0</v>
      </c>
      <c r="GT82" s="1" t="n">
        <f aca="false">IF(AND(Slot19_On=1,D82=Slot19_Age),1,0)</f>
        <v>0</v>
      </c>
      <c r="GU82" s="1" t="n">
        <f aca="false">IF(AND(Slot19_On=1,Slot19_Age&gt;D82),1,0)</f>
        <v>0</v>
      </c>
      <c r="GV82" s="1" t="n">
        <f aca="false">TF81</f>
        <v>0</v>
      </c>
      <c r="GW82" s="1" t="n">
        <f aca="false">GT82*MIN(Slot19_Cost,GV82)</f>
        <v>0</v>
      </c>
      <c r="GX82" s="1" t="n">
        <f aca="false">GT82*Slot19_SpendLike*MIN(Slot19_Cost-GW82,GP82)</f>
        <v>0</v>
      </c>
      <c r="GY82" s="1" t="n">
        <f aca="false">GW82+GX82</f>
        <v>0</v>
      </c>
      <c r="GZ82" s="1" t="n">
        <f aca="false">GP82-GX82+GT82*IF(Slot19_SpendLike=1,GV82-GW82,IF(Slot19_PotFree=1,GV82,0))</f>
        <v>424431.078158065</v>
      </c>
      <c r="HA82" s="1" t="n">
        <f aca="false">GQ82+GT82*Slot19_BufPot*GV82</f>
        <v>0</v>
      </c>
      <c r="HB82" s="1" t="n">
        <f aca="false">IF(AND(GT82=1,Slot19_IsMfree=1),IF(GY82&gt;=Slot19_Cost-1,0,MAX(0,GR82-GY82)),GR82)</f>
        <v>0</v>
      </c>
      <c r="HC82" s="1" t="n">
        <f aca="false">GT82*(Slot19_Cost-GY82)</f>
        <v>0</v>
      </c>
      <c r="HD82" s="1" t="n">
        <f aca="false">IF(AND(Slot20_On=1,D82=Slot20_Age),1,0)</f>
        <v>0</v>
      </c>
      <c r="HE82" s="1" t="n">
        <f aca="false">IF(AND(Slot20_On=1,Slot20_Age&gt;D82),1,0)</f>
        <v>0</v>
      </c>
      <c r="HF82" s="1" t="n">
        <f aca="false">TJ81</f>
        <v>0</v>
      </c>
      <c r="HG82" s="1" t="n">
        <f aca="false">HD82*MIN(Slot20_Cost,HF82)</f>
        <v>0</v>
      </c>
      <c r="HH82" s="1" t="n">
        <f aca="false">HD82*Slot20_SpendLike*MIN(Slot20_Cost-HG82,GZ82)</f>
        <v>0</v>
      </c>
      <c r="HI82" s="1" t="n">
        <f aca="false">HG82+HH82</f>
        <v>0</v>
      </c>
      <c r="HJ82" s="1" t="n">
        <f aca="false">GZ82-HH82+HD82*IF(Slot20_SpendLike=1,HF82-HG82,IF(Slot20_PotFree=1,HF82,0))</f>
        <v>424431.078158065</v>
      </c>
      <c r="HK82" s="1" t="n">
        <f aca="false">HA82+HD82*Slot20_BufPot*HF82</f>
        <v>0</v>
      </c>
      <c r="HL82" s="1" t="n">
        <f aca="false">IF(AND(HD82=1,Slot20_IsMfree=1),IF(HI82&gt;=Slot20_Cost-1,0,MAX(0,HB82-HI82)),HB82)</f>
        <v>0</v>
      </c>
      <c r="HM82" s="1" t="n">
        <f aca="false">HD82*(Slot20_Cost-HI82)</f>
        <v>0</v>
      </c>
      <c r="HN82" s="1" t="n">
        <f aca="false">U82*Slot1_SpendLike*Z82+AF82*Slot2_SpendLike*AK82+AP82*Slot3_SpendLike*AU82+AZ82*Slot4_SpendLike*BE82+BJ82*Slot5_SpendLike*BO82+BT82*Slot6_SpendLike*BY82+CD82*Slot7_SpendLike*CI82+CN82*Slot8_SpendLike*CS82+CX82*Slot9_SpendLike*DC82+DH82*Slot10_SpendLike*DM82+DR82*Slot11_SpendLike*DW82+EB82*Slot12_SpendLike*EG82+EL82*Slot13_SpendLike*EQ82+EV82*Slot14_SpendLike*FA82+FF82*Slot15_SpendLike*FK82+FP82*Slot16_SpendLike*FU82+FZ82*Slot17_SpendLike*GE82+GJ82*Slot18_SpendLike*GO82+GT82*Slot19_SpendLike*GY82+HD82*Slot20_SpendLike*HI82</f>
        <v>0</v>
      </c>
      <c r="HO82" s="1" t="n">
        <f aca="false">AD82+AO82+AY82+BI82+BS82+CC82+CM82+CW82+DG82+DQ82+EA82+EK82+EU82+FE82+FO82+FY82+GI82+GS82+HC82+HM82</f>
        <v>0</v>
      </c>
      <c r="HP82" s="1" t="n">
        <f aca="false">U82*Slot1_Cost+AF82*Slot2_Cost+AP82*Slot3_Cost+AZ82*Slot4_Cost+BJ82*Slot5_Cost+BT82*Slot6_Cost+CD82*Slot7_Cost+CN82*Slot8_Cost+CX82*Slot9_Cost+DH82*Slot10_Cost+DR82*Slot11_Cost+EB82*Slot12_Cost+EL82*Slot13_Cost+EV82*Slot14_Cost+FF82*Slot15_Cost+FP82*Slot16_Cost+FZ82*Slot17_Cost+GJ82*Slot18_Cost+GT82*Slot19_Cost+HD82*Slot20_Cost</f>
        <v>0</v>
      </c>
      <c r="HQ82" s="1" t="n">
        <f aca="false">HL82</f>
        <v>0</v>
      </c>
      <c r="HR82" s="1" t="n">
        <f aca="false">G82-H82-R82</f>
        <v>53902.9777956275</v>
      </c>
      <c r="HS82" s="1" t="n">
        <f aca="false">IF(B82=0,IF(AND(Has_q6=1,In_q6=4),PR_ShareVaries*(MAX(0,HR82)/12),MIN(IF(Has_q6=1,CHOOSE(In_q6+1,PR_SaveB1,PR_SaveB2,PR_SaveB3,PR_SaveB4,0),AS_NoAnswer),AS_SaveShare*(MAX(0,HR82)/12))),HS81)</f>
        <v>0</v>
      </c>
      <c r="HT82" s="1" t="n">
        <f aca="false">IF(HR82&gt;=0,1,0)</f>
        <v>1</v>
      </c>
      <c r="HU82" s="1" t="n">
        <f aca="false">MAX(0,HR82/12/E82)</f>
        <v>1037.57333333333</v>
      </c>
      <c r="HV82" s="1" t="n">
        <f aca="false">IF(AND(Has_q6=1,In_q6=4),PR_ShareVaries*(HU82),MIN(IF(Has_q6=1,CHOOSE(In_q6+1,PR_SaveB1,PR_SaveB2,PR_SaveB3,PR_SaveB4,0),AS_NoAnswer),AS_SaveShare*(HU82)))</f>
        <v>300</v>
      </c>
      <c r="HW82" s="1" t="n">
        <f aca="false">IF(Has_saveM=1,IF(In_saveUp="Yes",1,IF(In_saveUp="No",0,IF(In_saveM&gt;=HS82-0.5,1,0))),0)</f>
        <v>0</v>
      </c>
      <c r="HX82" s="1" t="n">
        <f aca="false">IF(Has_saveM=1,MIN(HU82,IF(HW82=1,MAX(In_saveM,HV82),MIN(In_saveM,HV82))),HV82)</f>
        <v>300</v>
      </c>
      <c r="HY82" s="1" t="n">
        <f aca="false">IF(F82=1,HX82*12*E82,0)</f>
        <v>0</v>
      </c>
      <c r="HZ82" s="1" t="n">
        <f aca="false">MAX(0,HY82+IF(AND(WI_Retire=0,WI_M&lt;0,F82=1),WI_M*12*E82,0))</f>
        <v>0</v>
      </c>
      <c r="IA82" s="1" t="n">
        <f aca="false">Slot1_IsWG*V82+Slot2_IsWG*AG82+Slot3_IsWG*AQ82+Slot4_IsWG*BA82+Slot5_IsWG*BK82+Slot6_IsWG*BU82+Slot7_IsWG*CE82+Slot8_IsWG*CO82+Slot9_IsWG*CY82+Slot10_IsWG*DI82+Slot11_IsWG*DS82+Slot12_IsWG*EC82+Slot13_IsWG*EM82+Slot14_IsWG*EW82+Slot15_IsWG*FG82+Slot16_IsWG*FQ82+Slot17_IsWG*GA82+Slot18_IsWG*GK82+Slot19_IsWG*GU82+Slot20_IsWG*HE82</f>
        <v>0</v>
      </c>
      <c r="IB82" s="1" t="n">
        <f aca="false">IF(AND(WI_Retire=0,WI_M&gt;0,F82=1,IA82&gt;=1),WI_M*12*E82,0)</f>
        <v>0</v>
      </c>
      <c r="IC82" s="1" t="n">
        <f aca="false">IF(HT82=1,MIN(HZ82,HR82),0)</f>
        <v>0</v>
      </c>
      <c r="ID82" s="1" t="n">
        <f aca="false">IF(HT82=1,MIN(IB82,HR82-IC82),0)</f>
        <v>0</v>
      </c>
      <c r="IE82" s="1" t="n">
        <f aca="false">IF(V82=1,IF(ABS((1+AS_Wage)/(1+Slot1_Rate)-1)&lt;0.000000000001,(Slot1_Age-D82)*(1+Slot1_Rate)^(Slot1_Age-D82),(1+Slot1_Rate)^(Slot1_Age-D82)*(1-((1+AS_Wage)/(1+Slot1_Rate))^(Slot1_Age-D82))/(1-(1+AS_Wage)/(1+Slot1_Rate))),1)</f>
        <v>1</v>
      </c>
      <c r="IF82" s="1" t="n">
        <f aca="false">IF(AND(HT82=1,ID82&gt;0,Slot1_IsWG=1,V82=1),MAX(0,(Slot1_Cost-W82*(1+Slot1_Rate)^(Slot1_Age-D82))/IE82),0)</f>
        <v>0</v>
      </c>
      <c r="IG82" s="1" t="n">
        <f aca="false">IF(AND(HT82=1,ID82&gt;0,Slot1_IsWG=1,V82=1),MIN(ID82,IF82),0)</f>
        <v>0</v>
      </c>
      <c r="IH82" s="1" t="n">
        <f aca="false">W82+IG82</f>
        <v>0</v>
      </c>
      <c r="II82" s="1" t="n">
        <f aca="false">IF(V82=1,MAX(0,(Slot1_Cost-IH82*(1+Slot1_Rate)^(Slot1_Age-D82))/IE82),0)</f>
        <v>0</v>
      </c>
      <c r="IJ82" s="1" t="n">
        <f aca="false">IF(V82=1,MAX(0,(Slot1_Cost-W82*(1+Slot1_Rate)^(Slot1_Age-D82))/IE82),0)</f>
        <v>0</v>
      </c>
      <c r="IK82" s="1" t="n">
        <f aca="false">IF(AND(HT82=1,V82=1),MIN(IC82,II82),0)</f>
        <v>0</v>
      </c>
      <c r="IL82" s="1" t="n">
        <f aca="false">IC82-IK82</f>
        <v>0</v>
      </c>
      <c r="IM82" s="1" t="n">
        <f aca="false">IF(AG82=1,IF(ABS((1+AS_Wage)/(1+Slot2_Rate)-1)&lt;0.000000000001,(Slot2_Age-D82)*(1+Slot2_Rate)^(Slot2_Age-D82),(1+Slot2_Rate)^(Slot2_Age-D82)*(1-((1+AS_Wage)/(1+Slot2_Rate))^(Slot2_Age-D82))/(1-(1+AS_Wage)/(1+Slot2_Rate))),1)</f>
        <v>1</v>
      </c>
      <c r="IN82" s="1" t="n">
        <f aca="false">IF(AND(HT82=1,ID82&gt;0,Slot2_IsWG=1,AG82=1),MAX(0,(Slot2_Cost-AH82*(1+Slot2_Rate)^(Slot2_Age-D82))/IM82),0)</f>
        <v>0</v>
      </c>
      <c r="IO82" s="1" t="n">
        <f aca="false">IF(AND(HT82=1,ID82&gt;0,Slot2_IsWG=1,AG82=1),MIN(ID82,IN82),0)</f>
        <v>0</v>
      </c>
      <c r="IP82" s="1" t="n">
        <f aca="false">AH82+IO82</f>
        <v>0</v>
      </c>
      <c r="IQ82" s="1" t="n">
        <f aca="false">IF(AG82=1,MAX(0,(Slot2_Cost-IP82*(1+Slot2_Rate)^(Slot2_Age-D82))/IM82),0)</f>
        <v>0</v>
      </c>
      <c r="IR82" s="1" t="n">
        <f aca="false">IF(AG82=1,MAX(0,(Slot2_Cost-AH82*(1+Slot2_Rate)^(Slot2_Age-D82))/IM82),0)</f>
        <v>0</v>
      </c>
      <c r="IS82" s="1" t="n">
        <f aca="false">IF(AND(HT82=1,AG82=1),MIN(IL82,IQ82),0)</f>
        <v>0</v>
      </c>
      <c r="IT82" s="1" t="n">
        <f aca="false">IL82-IS82</f>
        <v>0</v>
      </c>
      <c r="IU82" s="1" t="n">
        <f aca="false">IF(AQ82=1,IF(ABS((1+AS_Wage)/(1+Slot3_Rate)-1)&lt;0.000000000001,(Slot3_Age-D82)*(1+Slot3_Rate)^(Slot3_Age-D82),(1+Slot3_Rate)^(Slot3_Age-D82)*(1-((1+AS_Wage)/(1+Slot3_Rate))^(Slot3_Age-D82))/(1-(1+AS_Wage)/(1+Slot3_Rate))),1)</f>
        <v>1</v>
      </c>
      <c r="IV82" s="1" t="n">
        <f aca="false">IF(AND(HT82=1,ID82&gt;0,Slot3_IsWG=1,AQ82=1),MAX(0,(Slot3_Cost-AR82*(1+Slot3_Rate)^(Slot3_Age-D82))/IU82),0)</f>
        <v>0</v>
      </c>
      <c r="IW82" s="1" t="n">
        <f aca="false">IF(AND(HT82=1,ID82&gt;0,Slot3_IsWG=1,AQ82=1),MIN(ID82,IV82),0)</f>
        <v>0</v>
      </c>
      <c r="IX82" s="1" t="n">
        <f aca="false">AR82+IW82</f>
        <v>0</v>
      </c>
      <c r="IY82" s="1" t="n">
        <f aca="false">IF(AQ82=1,MAX(0,(Slot3_Cost-IX82*(1+Slot3_Rate)^(Slot3_Age-D82))/IU82),0)</f>
        <v>0</v>
      </c>
      <c r="IZ82" s="1" t="n">
        <f aca="false">IF(AQ82=1,MAX(0,(Slot3_Cost-AR82*(1+Slot3_Rate)^(Slot3_Age-D82))/IU82),0)</f>
        <v>0</v>
      </c>
      <c r="JA82" s="1" t="n">
        <f aca="false">IF(AND(HT82=1,AQ82=1),MIN(IT82,IY82),0)</f>
        <v>0</v>
      </c>
      <c r="JB82" s="1" t="n">
        <f aca="false">IT82-JA82</f>
        <v>0</v>
      </c>
      <c r="JC82" s="1" t="n">
        <f aca="false">IF(BA82=1,IF(ABS((1+AS_Wage)/(1+Slot4_Rate)-1)&lt;0.000000000001,(Slot4_Age-D82)*(1+Slot4_Rate)^(Slot4_Age-D82),(1+Slot4_Rate)^(Slot4_Age-D82)*(1-((1+AS_Wage)/(1+Slot4_Rate))^(Slot4_Age-D82))/(1-(1+AS_Wage)/(1+Slot4_Rate))),1)</f>
        <v>1</v>
      </c>
      <c r="JD82" s="1" t="n">
        <f aca="false">IF(AND(HT82=1,ID82&gt;0,Slot4_IsWG=1,BA82=1),MAX(0,(Slot4_Cost-BB82*(1+Slot4_Rate)^(Slot4_Age-D82))/JC82),0)</f>
        <v>0</v>
      </c>
      <c r="JE82" s="1" t="n">
        <f aca="false">IF(AND(HT82=1,ID82&gt;0,Slot4_IsWG=1,BA82=1),MIN(ID82,JD82),0)</f>
        <v>0</v>
      </c>
      <c r="JF82" s="1" t="n">
        <f aca="false">BB82+JE82</f>
        <v>0</v>
      </c>
      <c r="JG82" s="1" t="n">
        <f aca="false">IF(BA82=1,MAX(0,(Slot4_Cost-JF82*(1+Slot4_Rate)^(Slot4_Age-D82))/JC82),0)</f>
        <v>0</v>
      </c>
      <c r="JH82" s="1" t="n">
        <f aca="false">IF(BA82=1,MAX(0,(Slot4_Cost-BB82*(1+Slot4_Rate)^(Slot4_Age-D82))/JC82),0)</f>
        <v>0</v>
      </c>
      <c r="JI82" s="1" t="n">
        <f aca="false">IF(AND(HT82=1,BA82=1),MIN(JB82,JG82),0)</f>
        <v>0</v>
      </c>
      <c r="JJ82" s="1" t="n">
        <f aca="false">JB82-JI82</f>
        <v>0</v>
      </c>
      <c r="JK82" s="1" t="n">
        <f aca="false">IF(BK82=1,IF(ABS((1+AS_Wage)/(1+Slot5_Rate)-1)&lt;0.000000000001,(Slot5_Age-D82)*(1+Slot5_Rate)^(Slot5_Age-D82),(1+Slot5_Rate)^(Slot5_Age-D82)*(1-((1+AS_Wage)/(1+Slot5_Rate))^(Slot5_Age-D82))/(1-(1+AS_Wage)/(1+Slot5_Rate))),1)</f>
        <v>1</v>
      </c>
      <c r="JL82" s="1" t="n">
        <f aca="false">IF(AND(HT82=1,ID82&gt;0,Slot5_IsWG=1,BK82=1),MAX(0,(Slot5_Cost-BL82*(1+Slot5_Rate)^(Slot5_Age-D82))/JK82),0)</f>
        <v>0</v>
      </c>
      <c r="JM82" s="1" t="n">
        <f aca="false">IF(AND(HT82=1,ID82&gt;0,Slot5_IsWG=1,BK82=1),MIN(ID82,JL82),0)</f>
        <v>0</v>
      </c>
      <c r="JN82" s="1" t="n">
        <f aca="false">BL82+JM82</f>
        <v>0</v>
      </c>
      <c r="JO82" s="1" t="n">
        <f aca="false">IF(BK82=1,MAX(0,(Slot5_Cost-JN82*(1+Slot5_Rate)^(Slot5_Age-D82))/JK82),0)</f>
        <v>0</v>
      </c>
      <c r="JP82" s="1" t="n">
        <f aca="false">IF(BK82=1,MAX(0,(Slot5_Cost-BL82*(1+Slot5_Rate)^(Slot5_Age-D82))/JK82),0)</f>
        <v>0</v>
      </c>
      <c r="JQ82" s="1" t="n">
        <f aca="false">IF(AND(HT82=1,BK82=1),MIN(JJ82,JO82),0)</f>
        <v>0</v>
      </c>
      <c r="JR82" s="1" t="n">
        <f aca="false">JJ82-JQ82</f>
        <v>0</v>
      </c>
      <c r="JS82" s="1" t="n">
        <f aca="false">IF(BU82=1,IF(ABS((1+AS_Wage)/(1+Slot6_Rate)-1)&lt;0.000000000001,(Slot6_Age-D82)*(1+Slot6_Rate)^(Slot6_Age-D82),(1+Slot6_Rate)^(Slot6_Age-D82)*(1-((1+AS_Wage)/(1+Slot6_Rate))^(Slot6_Age-D82))/(1-(1+AS_Wage)/(1+Slot6_Rate))),1)</f>
        <v>1</v>
      </c>
      <c r="JT82" s="1" t="n">
        <f aca="false">IF(AND(HT82=1,ID82&gt;0,Slot6_IsWG=1,BU82=1),MAX(0,(Slot6_Cost-BV82*(1+Slot6_Rate)^(Slot6_Age-D82))/JS82),0)</f>
        <v>0</v>
      </c>
      <c r="JU82" s="1" t="n">
        <f aca="false">IF(AND(HT82=1,ID82&gt;0,Slot6_IsWG=1,BU82=1),MIN(ID82,JT82),0)</f>
        <v>0</v>
      </c>
      <c r="JV82" s="1" t="n">
        <f aca="false">BV82+JU82</f>
        <v>0</v>
      </c>
      <c r="JW82" s="1" t="n">
        <f aca="false">IF(BU82=1,MAX(0,(Slot6_Cost-JV82*(1+Slot6_Rate)^(Slot6_Age-D82))/JS82),0)</f>
        <v>0</v>
      </c>
      <c r="JX82" s="1" t="n">
        <f aca="false">IF(BU82=1,MAX(0,(Slot6_Cost-BV82*(1+Slot6_Rate)^(Slot6_Age-D82))/JS82),0)</f>
        <v>0</v>
      </c>
      <c r="JY82" s="1" t="n">
        <f aca="false">IF(AND(HT82=1,BU82=1),MIN(JR82,JW82),0)</f>
        <v>0</v>
      </c>
      <c r="JZ82" s="1" t="n">
        <f aca="false">JR82-JY82</f>
        <v>0</v>
      </c>
      <c r="KA82" s="1" t="n">
        <f aca="false">IF(CE82=1,IF(ABS((1+AS_Wage)/(1+Slot7_Rate)-1)&lt;0.000000000001,(Slot7_Age-D82)*(1+Slot7_Rate)^(Slot7_Age-D82),(1+Slot7_Rate)^(Slot7_Age-D82)*(1-((1+AS_Wage)/(1+Slot7_Rate))^(Slot7_Age-D82))/(1-(1+AS_Wage)/(1+Slot7_Rate))),1)</f>
        <v>1</v>
      </c>
      <c r="KB82" s="1" t="n">
        <f aca="false">IF(AND(HT82=1,ID82&gt;0,Slot7_IsWG=1,CE82=1),MAX(0,(Slot7_Cost-CF82*(1+Slot7_Rate)^(Slot7_Age-D82))/KA82),0)</f>
        <v>0</v>
      </c>
      <c r="KC82" s="1" t="n">
        <f aca="false">IF(AND(HT82=1,ID82&gt;0,Slot7_IsWG=1,CE82=1),MIN(ID82,KB82),0)</f>
        <v>0</v>
      </c>
      <c r="KD82" s="1" t="n">
        <f aca="false">CF82+KC82</f>
        <v>0</v>
      </c>
      <c r="KE82" s="1" t="n">
        <f aca="false">IF(CE82=1,MAX(0,(Slot7_Cost-KD82*(1+Slot7_Rate)^(Slot7_Age-D82))/KA82),0)</f>
        <v>0</v>
      </c>
      <c r="KF82" s="1" t="n">
        <f aca="false">IF(CE82=1,MAX(0,(Slot7_Cost-CF82*(1+Slot7_Rate)^(Slot7_Age-D82))/KA82),0)</f>
        <v>0</v>
      </c>
      <c r="KG82" s="1" t="n">
        <f aca="false">IF(AND(HT82=1,CE82=1),MIN(JZ82,KE82),0)</f>
        <v>0</v>
      </c>
      <c r="KH82" s="1" t="n">
        <f aca="false">JZ82-KG82</f>
        <v>0</v>
      </c>
      <c r="KI82" s="1" t="n">
        <f aca="false">IF(CO82=1,IF(ABS((1+AS_Wage)/(1+Slot8_Rate)-1)&lt;0.000000000001,(Slot8_Age-D82)*(1+Slot8_Rate)^(Slot8_Age-D82),(1+Slot8_Rate)^(Slot8_Age-D82)*(1-((1+AS_Wage)/(1+Slot8_Rate))^(Slot8_Age-D82))/(1-(1+AS_Wage)/(1+Slot8_Rate))),1)</f>
        <v>1</v>
      </c>
      <c r="KJ82" s="1" t="n">
        <f aca="false">IF(AND(HT82=1,ID82&gt;0,Slot8_IsWG=1,CO82=1),MAX(0,(Slot8_Cost-CP82*(1+Slot8_Rate)^(Slot8_Age-D82))/KI82),0)</f>
        <v>0</v>
      </c>
      <c r="KK82" s="1" t="n">
        <f aca="false">IF(AND(HT82=1,ID82&gt;0,Slot8_IsWG=1,CO82=1),MIN(ID82,KJ82),0)</f>
        <v>0</v>
      </c>
      <c r="KL82" s="1" t="n">
        <f aca="false">CP82+KK82</f>
        <v>0</v>
      </c>
      <c r="KM82" s="1" t="n">
        <f aca="false">IF(CO82=1,MAX(0,(Slot8_Cost-KL82*(1+Slot8_Rate)^(Slot8_Age-D82))/KI82),0)</f>
        <v>0</v>
      </c>
      <c r="KN82" s="1" t="n">
        <f aca="false">IF(CO82=1,MAX(0,(Slot8_Cost-CP82*(1+Slot8_Rate)^(Slot8_Age-D82))/KI82),0)</f>
        <v>0</v>
      </c>
      <c r="KO82" s="1" t="n">
        <f aca="false">IF(AND(HT82=1,CO82=1),MIN(KH82,KM82),0)</f>
        <v>0</v>
      </c>
      <c r="KP82" s="1" t="n">
        <f aca="false">KH82-KO82</f>
        <v>0</v>
      </c>
      <c r="KQ82" s="1" t="n">
        <f aca="false">IF(CY82=1,IF(ABS((1+AS_Wage)/(1+Slot9_Rate)-1)&lt;0.000000000001,(Slot9_Age-D82)*(1+Slot9_Rate)^(Slot9_Age-D82),(1+Slot9_Rate)^(Slot9_Age-D82)*(1-((1+AS_Wage)/(1+Slot9_Rate))^(Slot9_Age-D82))/(1-(1+AS_Wage)/(1+Slot9_Rate))),1)</f>
        <v>1</v>
      </c>
      <c r="KR82" s="1" t="n">
        <f aca="false">IF(AND(HT82=1,ID82&gt;0,Slot9_IsWG=1,CY82=1),MAX(0,(Slot9_Cost-CZ82*(1+Slot9_Rate)^(Slot9_Age-D82))/KQ82),0)</f>
        <v>0</v>
      </c>
      <c r="KS82" s="1" t="n">
        <f aca="false">IF(AND(HT82=1,ID82&gt;0,Slot9_IsWG=1,CY82=1),MIN(ID82,KR82),0)</f>
        <v>0</v>
      </c>
      <c r="KT82" s="1" t="n">
        <f aca="false">CZ82+KS82</f>
        <v>0</v>
      </c>
      <c r="KU82" s="1" t="n">
        <f aca="false">IF(CY82=1,MAX(0,(Slot9_Cost-KT82*(1+Slot9_Rate)^(Slot9_Age-D82))/KQ82),0)</f>
        <v>0</v>
      </c>
      <c r="KV82" s="1" t="n">
        <f aca="false">IF(CY82=1,MAX(0,(Slot9_Cost-CZ82*(1+Slot9_Rate)^(Slot9_Age-D82))/KQ82),0)</f>
        <v>0</v>
      </c>
      <c r="KW82" s="1" t="n">
        <f aca="false">IF(AND(HT82=1,CY82=1),MIN(KP82,KU82),0)</f>
        <v>0</v>
      </c>
      <c r="KX82" s="1" t="n">
        <f aca="false">KP82-KW82</f>
        <v>0</v>
      </c>
      <c r="KY82" s="1" t="n">
        <f aca="false">IF(DI82=1,IF(ABS((1+AS_Wage)/(1+Slot10_Rate)-1)&lt;0.000000000001,(Slot10_Age-D82)*(1+Slot10_Rate)^(Slot10_Age-D82),(1+Slot10_Rate)^(Slot10_Age-D82)*(1-((1+AS_Wage)/(1+Slot10_Rate))^(Slot10_Age-D82))/(1-(1+AS_Wage)/(1+Slot10_Rate))),1)</f>
        <v>1</v>
      </c>
      <c r="KZ82" s="1" t="n">
        <f aca="false">IF(AND(HT82=1,ID82&gt;0,Slot10_IsWG=1,DI82=1),MAX(0,(Slot10_Cost-DJ82*(1+Slot10_Rate)^(Slot10_Age-D82))/KY82),0)</f>
        <v>0</v>
      </c>
      <c r="LA82" s="1" t="n">
        <f aca="false">IF(AND(HT82=1,ID82&gt;0,Slot10_IsWG=1,DI82=1),MIN(ID82,KZ82),0)</f>
        <v>0</v>
      </c>
      <c r="LB82" s="1" t="n">
        <f aca="false">DJ82+LA82</f>
        <v>0</v>
      </c>
      <c r="LC82" s="1" t="n">
        <f aca="false">IF(DI82=1,MAX(0,(Slot10_Cost-LB82*(1+Slot10_Rate)^(Slot10_Age-D82))/KY82),0)</f>
        <v>0</v>
      </c>
      <c r="LD82" s="1" t="n">
        <f aca="false">IF(DI82=1,MAX(0,(Slot10_Cost-DJ82*(1+Slot10_Rate)^(Slot10_Age-D82))/KY82),0)</f>
        <v>0</v>
      </c>
      <c r="LE82" s="1" t="n">
        <f aca="false">IF(AND(HT82=1,DI82=1),MIN(KX82,LC82),0)</f>
        <v>0</v>
      </c>
      <c r="LF82" s="1" t="n">
        <f aca="false">KX82-LE82</f>
        <v>0</v>
      </c>
      <c r="LG82" s="1" t="n">
        <f aca="false">IF(DS82=1,IF(ABS((1+AS_Wage)/(1+Slot11_Rate)-1)&lt;0.000000000001,(Slot11_Age-D82)*(1+Slot11_Rate)^(Slot11_Age-D82),(1+Slot11_Rate)^(Slot11_Age-D82)*(1-((1+AS_Wage)/(1+Slot11_Rate))^(Slot11_Age-D82))/(1-(1+AS_Wage)/(1+Slot11_Rate))),1)</f>
        <v>1</v>
      </c>
      <c r="LH82" s="1" t="n">
        <f aca="false">IF(AND(HT82=1,ID82&gt;0,Slot11_IsWG=1,DS82=1),MAX(0,(Slot11_Cost-DT82*(1+Slot11_Rate)^(Slot11_Age-D82))/LG82),0)</f>
        <v>0</v>
      </c>
      <c r="LI82" s="1" t="n">
        <f aca="false">IF(AND(HT82=1,ID82&gt;0,Slot11_IsWG=1,DS82=1),MIN(ID82,LH82),0)</f>
        <v>0</v>
      </c>
      <c r="LJ82" s="1" t="n">
        <f aca="false">DT82+LI82</f>
        <v>0</v>
      </c>
      <c r="LK82" s="1" t="n">
        <f aca="false">IF(DS82=1,MAX(0,(Slot11_Cost-LJ82*(1+Slot11_Rate)^(Slot11_Age-D82))/LG82),0)</f>
        <v>0</v>
      </c>
      <c r="LL82" s="1" t="n">
        <f aca="false">IF(DS82=1,MAX(0,(Slot11_Cost-DT82*(1+Slot11_Rate)^(Slot11_Age-D82))/LG82),0)</f>
        <v>0</v>
      </c>
      <c r="LM82" s="1" t="n">
        <f aca="false">IF(AND(HT82=1,DS82=1),MIN(LF82,LK82),0)</f>
        <v>0</v>
      </c>
      <c r="LN82" s="1" t="n">
        <f aca="false">LF82-LM82</f>
        <v>0</v>
      </c>
      <c r="LO82" s="1" t="n">
        <f aca="false">IF(EC82=1,IF(ABS((1+AS_Wage)/(1+Slot12_Rate)-1)&lt;0.000000000001,(Slot12_Age-D82)*(1+Slot12_Rate)^(Slot12_Age-D82),(1+Slot12_Rate)^(Slot12_Age-D82)*(1-((1+AS_Wage)/(1+Slot12_Rate))^(Slot12_Age-D82))/(1-(1+AS_Wage)/(1+Slot12_Rate))),1)</f>
        <v>1</v>
      </c>
      <c r="LP82" s="1" t="n">
        <f aca="false">IF(AND(HT82=1,ID82&gt;0,Slot12_IsWG=1,EC82=1),MAX(0,(Slot12_Cost-ED82*(1+Slot12_Rate)^(Slot12_Age-D82))/LO82),0)</f>
        <v>0</v>
      </c>
      <c r="LQ82" s="1" t="n">
        <f aca="false">IF(AND(HT82=1,ID82&gt;0,Slot12_IsWG=1,EC82=1),MIN(ID82,LP82),0)</f>
        <v>0</v>
      </c>
      <c r="LR82" s="1" t="n">
        <f aca="false">ED82+LQ82</f>
        <v>0</v>
      </c>
      <c r="LS82" s="1" t="n">
        <f aca="false">IF(EC82=1,MAX(0,(Slot12_Cost-LR82*(1+Slot12_Rate)^(Slot12_Age-D82))/LO82),0)</f>
        <v>0</v>
      </c>
      <c r="LT82" s="1" t="n">
        <f aca="false">IF(EC82=1,MAX(0,(Slot12_Cost-ED82*(1+Slot12_Rate)^(Slot12_Age-D82))/LO82),0)</f>
        <v>0</v>
      </c>
      <c r="LU82" s="1" t="n">
        <f aca="false">IF(AND(HT82=1,EC82=1),MIN(LN82,LS82),0)</f>
        <v>0</v>
      </c>
      <c r="LV82" s="1" t="n">
        <f aca="false">LN82-LU82</f>
        <v>0</v>
      </c>
      <c r="LW82" s="1" t="n">
        <f aca="false">IF(EM82=1,IF(ABS((1+AS_Wage)/(1+Slot13_Rate)-1)&lt;0.000000000001,(Slot13_Age-D82)*(1+Slot13_Rate)^(Slot13_Age-D82),(1+Slot13_Rate)^(Slot13_Age-D82)*(1-((1+AS_Wage)/(1+Slot13_Rate))^(Slot13_Age-D82))/(1-(1+AS_Wage)/(1+Slot13_Rate))),1)</f>
        <v>1</v>
      </c>
      <c r="LX82" s="1" t="n">
        <f aca="false">IF(AND(HT82=1,ID82&gt;0,Slot13_IsWG=1,EM82=1),MAX(0,(Slot13_Cost-EN82*(1+Slot13_Rate)^(Slot13_Age-D82))/LW82),0)</f>
        <v>0</v>
      </c>
      <c r="LY82" s="1" t="n">
        <f aca="false">IF(AND(HT82=1,ID82&gt;0,Slot13_IsWG=1,EM82=1),MIN(ID82,LX82),0)</f>
        <v>0</v>
      </c>
      <c r="LZ82" s="1" t="n">
        <f aca="false">EN82+LY82</f>
        <v>0</v>
      </c>
      <c r="MA82" s="1" t="n">
        <f aca="false">IF(EM82=1,MAX(0,(Slot13_Cost-LZ82*(1+Slot13_Rate)^(Slot13_Age-D82))/LW82),0)</f>
        <v>0</v>
      </c>
      <c r="MB82" s="1" t="n">
        <f aca="false">IF(EM82=1,MAX(0,(Slot13_Cost-EN82*(1+Slot13_Rate)^(Slot13_Age-D82))/LW82),0)</f>
        <v>0</v>
      </c>
      <c r="MC82" s="1" t="n">
        <f aca="false">IF(AND(HT82=1,EM82=1),MIN(LV82,MA82),0)</f>
        <v>0</v>
      </c>
      <c r="MD82" s="1" t="n">
        <f aca="false">LV82-MC82</f>
        <v>0</v>
      </c>
      <c r="ME82" s="1" t="n">
        <f aca="false">IF(EW82=1,IF(ABS((1+AS_Wage)/(1+Slot14_Rate)-1)&lt;0.000000000001,(Slot14_Age-D82)*(1+Slot14_Rate)^(Slot14_Age-D82),(1+Slot14_Rate)^(Slot14_Age-D82)*(1-((1+AS_Wage)/(1+Slot14_Rate))^(Slot14_Age-D82))/(1-(1+AS_Wage)/(1+Slot14_Rate))),1)</f>
        <v>1</v>
      </c>
      <c r="MF82" s="1" t="n">
        <f aca="false">IF(AND(HT82=1,ID82&gt;0,Slot14_IsWG=1,EW82=1),MAX(0,(Slot14_Cost-EX82*(1+Slot14_Rate)^(Slot14_Age-D82))/ME82),0)</f>
        <v>0</v>
      </c>
      <c r="MG82" s="1" t="n">
        <f aca="false">IF(AND(HT82=1,ID82&gt;0,Slot14_IsWG=1,EW82=1),MIN(ID82,MF82),0)</f>
        <v>0</v>
      </c>
      <c r="MH82" s="1" t="n">
        <f aca="false">EX82+MG82</f>
        <v>0</v>
      </c>
      <c r="MI82" s="1" t="n">
        <f aca="false">IF(EW82=1,MAX(0,(Slot14_Cost-MH82*(1+Slot14_Rate)^(Slot14_Age-D82))/ME82),0)</f>
        <v>0</v>
      </c>
      <c r="MJ82" s="1" t="n">
        <f aca="false">IF(EW82=1,MAX(0,(Slot14_Cost-EX82*(1+Slot14_Rate)^(Slot14_Age-D82))/ME82),0)</f>
        <v>0</v>
      </c>
      <c r="MK82" s="1" t="n">
        <f aca="false">IF(AND(HT82=1,EW82=1),MIN(MD82,MI82),0)</f>
        <v>0</v>
      </c>
      <c r="ML82" s="1" t="n">
        <f aca="false">MD82-MK82</f>
        <v>0</v>
      </c>
      <c r="MM82" s="1" t="n">
        <f aca="false">IF(FG82=1,IF(ABS((1+AS_Wage)/(1+Slot15_Rate)-1)&lt;0.000000000001,(Slot15_Age-D82)*(1+Slot15_Rate)^(Slot15_Age-D82),(1+Slot15_Rate)^(Slot15_Age-D82)*(1-((1+AS_Wage)/(1+Slot15_Rate))^(Slot15_Age-D82))/(1-(1+AS_Wage)/(1+Slot15_Rate))),1)</f>
        <v>1</v>
      </c>
      <c r="MN82" s="1" t="n">
        <f aca="false">IF(AND(HT82=1,ID82&gt;0,Slot15_IsWG=1,FG82=1),MAX(0,(Slot15_Cost-FH82*(1+Slot15_Rate)^(Slot15_Age-D82))/MM82),0)</f>
        <v>0</v>
      </c>
      <c r="MO82" s="1" t="n">
        <f aca="false">IF(AND(HT82=1,ID82&gt;0,Slot15_IsWG=1,FG82=1),MIN(ID82,MN82),0)</f>
        <v>0</v>
      </c>
      <c r="MP82" s="1" t="n">
        <f aca="false">FH82+MO82</f>
        <v>0</v>
      </c>
      <c r="MQ82" s="1" t="n">
        <f aca="false">IF(FG82=1,MAX(0,(Slot15_Cost-MP82*(1+Slot15_Rate)^(Slot15_Age-D82))/MM82),0)</f>
        <v>0</v>
      </c>
      <c r="MR82" s="1" t="n">
        <f aca="false">IF(FG82=1,MAX(0,(Slot15_Cost-FH82*(1+Slot15_Rate)^(Slot15_Age-D82))/MM82),0)</f>
        <v>0</v>
      </c>
      <c r="MS82" s="1" t="n">
        <f aca="false">IF(AND(HT82=1,FG82=1),MIN(ML82,MQ82),0)</f>
        <v>0</v>
      </c>
      <c r="MT82" s="1" t="n">
        <f aca="false">ML82-MS82</f>
        <v>0</v>
      </c>
      <c r="MU82" s="1" t="n">
        <f aca="false">IF(FQ82=1,IF(ABS((1+AS_Wage)/(1+Slot16_Rate)-1)&lt;0.000000000001,(Slot16_Age-D82)*(1+Slot16_Rate)^(Slot16_Age-D82),(1+Slot16_Rate)^(Slot16_Age-D82)*(1-((1+AS_Wage)/(1+Slot16_Rate))^(Slot16_Age-D82))/(1-(1+AS_Wage)/(1+Slot16_Rate))),1)</f>
        <v>1</v>
      </c>
      <c r="MV82" s="1" t="n">
        <f aca="false">IF(AND(HT82=1,ID82&gt;0,Slot16_IsWG=1,FQ82=1),MAX(0,(Slot16_Cost-FR82*(1+Slot16_Rate)^(Slot16_Age-D82))/MU82),0)</f>
        <v>0</v>
      </c>
      <c r="MW82" s="1" t="n">
        <f aca="false">IF(AND(HT82=1,ID82&gt;0,Slot16_IsWG=1,FQ82=1),MIN(ID82,MV82),0)</f>
        <v>0</v>
      </c>
      <c r="MX82" s="1" t="n">
        <f aca="false">FR82+MW82</f>
        <v>0</v>
      </c>
      <c r="MY82" s="1" t="n">
        <f aca="false">IF(FQ82=1,MAX(0,(Slot16_Cost-MX82*(1+Slot16_Rate)^(Slot16_Age-D82))/MU82),0)</f>
        <v>0</v>
      </c>
      <c r="MZ82" s="1" t="n">
        <f aca="false">IF(FQ82=1,MAX(0,(Slot16_Cost-FR82*(1+Slot16_Rate)^(Slot16_Age-D82))/MU82),0)</f>
        <v>0</v>
      </c>
      <c r="NA82" s="1" t="n">
        <f aca="false">IF(AND(HT82=1,FQ82=1),MIN(MT82,MY82),0)</f>
        <v>0</v>
      </c>
      <c r="NB82" s="1" t="n">
        <f aca="false">MT82-NA82</f>
        <v>0</v>
      </c>
      <c r="NC82" s="1" t="n">
        <f aca="false">IF(GA82=1,IF(ABS((1+AS_Wage)/(1+Slot17_Rate)-1)&lt;0.000000000001,(Slot17_Age-D82)*(1+Slot17_Rate)^(Slot17_Age-D82),(1+Slot17_Rate)^(Slot17_Age-D82)*(1-((1+AS_Wage)/(1+Slot17_Rate))^(Slot17_Age-D82))/(1-(1+AS_Wage)/(1+Slot17_Rate))),1)</f>
        <v>1</v>
      </c>
      <c r="ND82" s="1" t="n">
        <f aca="false">IF(AND(HT82=1,ID82&gt;0,Slot17_IsWG=1,GA82=1),MAX(0,(Slot17_Cost-GB82*(1+Slot17_Rate)^(Slot17_Age-D82))/NC82),0)</f>
        <v>0</v>
      </c>
      <c r="NE82" s="1" t="n">
        <f aca="false">IF(AND(HT82=1,ID82&gt;0,Slot17_IsWG=1,GA82=1),MIN(ID82,ND82),0)</f>
        <v>0</v>
      </c>
      <c r="NF82" s="1" t="n">
        <f aca="false">GB82+NE82</f>
        <v>0</v>
      </c>
      <c r="NG82" s="1" t="n">
        <f aca="false">IF(GA82=1,MAX(0,(Slot17_Cost-NF82*(1+Slot17_Rate)^(Slot17_Age-D82))/NC82),0)</f>
        <v>0</v>
      </c>
      <c r="NH82" s="1" t="n">
        <f aca="false">IF(GA82=1,MAX(0,(Slot17_Cost-GB82*(1+Slot17_Rate)^(Slot17_Age-D82))/NC82),0)</f>
        <v>0</v>
      </c>
      <c r="NI82" s="1" t="n">
        <f aca="false">IF(AND(HT82=1,GA82=1),MIN(NB82,NG82),0)</f>
        <v>0</v>
      </c>
      <c r="NJ82" s="1" t="n">
        <f aca="false">NB82-NI82</f>
        <v>0</v>
      </c>
      <c r="NK82" s="1" t="n">
        <f aca="false">IF(GK82=1,IF(ABS((1+AS_Wage)/(1+Slot18_Rate)-1)&lt;0.000000000001,(Slot18_Age-D82)*(1+Slot18_Rate)^(Slot18_Age-D82),(1+Slot18_Rate)^(Slot18_Age-D82)*(1-((1+AS_Wage)/(1+Slot18_Rate))^(Slot18_Age-D82))/(1-(1+AS_Wage)/(1+Slot18_Rate))),1)</f>
        <v>1</v>
      </c>
      <c r="NL82" s="1" t="n">
        <f aca="false">IF(AND(HT82=1,ID82&gt;0,Slot18_IsWG=1,GK82=1),MAX(0,(Slot18_Cost-GL82*(1+Slot18_Rate)^(Slot18_Age-D82))/NK82),0)</f>
        <v>0</v>
      </c>
      <c r="NM82" s="1" t="n">
        <f aca="false">IF(AND(HT82=1,ID82&gt;0,Slot18_IsWG=1,GK82=1),MIN(ID82,NL82),0)</f>
        <v>0</v>
      </c>
      <c r="NN82" s="1" t="n">
        <f aca="false">GL82+NM82</f>
        <v>0</v>
      </c>
      <c r="NO82" s="1" t="n">
        <f aca="false">IF(GK82=1,MAX(0,(Slot18_Cost-NN82*(1+Slot18_Rate)^(Slot18_Age-D82))/NK82),0)</f>
        <v>0</v>
      </c>
      <c r="NP82" s="1" t="n">
        <f aca="false">IF(GK82=1,MAX(0,(Slot18_Cost-GL82*(1+Slot18_Rate)^(Slot18_Age-D82))/NK82),0)</f>
        <v>0</v>
      </c>
      <c r="NQ82" s="1" t="n">
        <f aca="false">IF(AND(HT82=1,GK82=1),MIN(NJ82,NO82),0)</f>
        <v>0</v>
      </c>
      <c r="NR82" s="1" t="n">
        <f aca="false">NJ82-NQ82</f>
        <v>0</v>
      </c>
      <c r="NS82" s="1" t="n">
        <f aca="false">IF(GU82=1,IF(ABS((1+AS_Wage)/(1+Slot19_Rate)-1)&lt;0.000000000001,(Slot19_Age-D82)*(1+Slot19_Rate)^(Slot19_Age-D82),(1+Slot19_Rate)^(Slot19_Age-D82)*(1-((1+AS_Wage)/(1+Slot19_Rate))^(Slot19_Age-D82))/(1-(1+AS_Wage)/(1+Slot19_Rate))),1)</f>
        <v>1</v>
      </c>
      <c r="NT82" s="1" t="n">
        <f aca="false">IF(AND(HT82=1,ID82&gt;0,Slot19_IsWG=1,GU82=1),MAX(0,(Slot19_Cost-GV82*(1+Slot19_Rate)^(Slot19_Age-D82))/NS82),0)</f>
        <v>0</v>
      </c>
      <c r="NU82" s="1" t="n">
        <f aca="false">IF(AND(HT82=1,ID82&gt;0,Slot19_IsWG=1,GU82=1),MIN(ID82,NT82),0)</f>
        <v>0</v>
      </c>
      <c r="NV82" s="1" t="n">
        <f aca="false">GV82+NU82</f>
        <v>0</v>
      </c>
      <c r="NW82" s="1" t="n">
        <f aca="false">IF(GU82=1,MAX(0,(Slot19_Cost-NV82*(1+Slot19_Rate)^(Slot19_Age-D82))/NS82),0)</f>
        <v>0</v>
      </c>
      <c r="NX82" s="1" t="n">
        <f aca="false">IF(GU82=1,MAX(0,(Slot19_Cost-GV82*(1+Slot19_Rate)^(Slot19_Age-D82))/NS82),0)</f>
        <v>0</v>
      </c>
      <c r="NY82" s="1" t="n">
        <f aca="false">IF(AND(HT82=1,GU82=1),MIN(NR82,NW82),0)</f>
        <v>0</v>
      </c>
      <c r="NZ82" s="1" t="n">
        <f aca="false">NR82-NY82</f>
        <v>0</v>
      </c>
      <c r="OA82" s="1" t="n">
        <f aca="false">IF(HE82=1,IF(ABS((1+AS_Wage)/(1+Slot20_Rate)-1)&lt;0.000000000001,(Slot20_Age-D82)*(1+Slot20_Rate)^(Slot20_Age-D82),(1+Slot20_Rate)^(Slot20_Age-D82)*(1-((1+AS_Wage)/(1+Slot20_Rate))^(Slot20_Age-D82))/(1-(1+AS_Wage)/(1+Slot20_Rate))),1)</f>
        <v>1</v>
      </c>
      <c r="OB82" s="1" t="n">
        <f aca="false">IF(AND(HT82=1,ID82&gt;0,Slot20_IsWG=1,HE82=1),MAX(0,(Slot20_Cost-HF82*(1+Slot20_Rate)^(Slot20_Age-D82))/OA82),0)</f>
        <v>0</v>
      </c>
      <c r="OC82" s="1" t="n">
        <f aca="false">IF(AND(HT82=1,ID82&gt;0,Slot20_IsWG=1,HE82=1),MIN(ID82,OB82),0)</f>
        <v>0</v>
      </c>
      <c r="OD82" s="1" t="n">
        <f aca="false">HF82+OC82</f>
        <v>0</v>
      </c>
      <c r="OE82" s="1" t="n">
        <f aca="false">IF(HE82=1,MAX(0,(Slot20_Cost-OD82*(1+Slot20_Rate)^(Slot20_Age-D82))/OA82),0)</f>
        <v>0</v>
      </c>
      <c r="OF82" s="1" t="n">
        <f aca="false">IF(HE82=1,MAX(0,(Slot20_Cost-HF82*(1+Slot20_Rate)^(Slot20_Age-D82))/OA82),0)</f>
        <v>0</v>
      </c>
      <c r="OG82" s="1" t="n">
        <f aca="false">IF(AND(HT82=1,HE82=1),MIN(NZ82,OE82),0)</f>
        <v>0</v>
      </c>
      <c r="OH82" s="1" t="n">
        <f aca="false">NZ82-OG82</f>
        <v>0</v>
      </c>
      <c r="OI82" s="1" t="n">
        <f aca="false">ID82-(IG82+IO82+IW82+JE82+JM82+JU82+KC82+KK82+KS82+LA82+LI82+LQ82+LY82+MG82+MO82+MW82+NE82+NM82+NU82+OC82)</f>
        <v>0</v>
      </c>
      <c r="OJ82" s="1" t="n">
        <f aca="false">IF(HT82=1,HR82-IC82-ID82,0)</f>
        <v>53902.9777956275</v>
      </c>
      <c r="OK82" s="1" t="n">
        <f aca="false">IF(HT82=0,-HR82,0)</f>
        <v>0</v>
      </c>
      <c r="OL82" s="1" t="n">
        <f aca="false">MIN(OK82,HJ82)</f>
        <v>0</v>
      </c>
      <c r="OM82" s="1" t="n">
        <f aca="false">OK82-OL82</f>
        <v>0</v>
      </c>
      <c r="ON82" s="1" t="n">
        <f aca="false">MIN(OM82,HK82)</f>
        <v>0</v>
      </c>
      <c r="OO82" s="1" t="n">
        <f aca="false">OM82-ON82</f>
        <v>0</v>
      </c>
      <c r="OP82" s="1" t="n">
        <f aca="false">IF(AND(HT82=0,HE82=1,OO82&gt;0),MIN(OO82,HF82),0)</f>
        <v>0</v>
      </c>
      <c r="OQ82" s="1" t="n">
        <f aca="false">OO82-OP82</f>
        <v>0</v>
      </c>
      <c r="OR82" s="1" t="n">
        <f aca="false">IF(AND(HT82=0,GU82=1,OQ82&gt;0),MIN(OQ82,GV82),0)</f>
        <v>0</v>
      </c>
      <c r="OS82" s="1" t="n">
        <f aca="false">OQ82-OR82</f>
        <v>0</v>
      </c>
      <c r="OT82" s="1" t="n">
        <f aca="false">IF(AND(HT82=0,GK82=1,OS82&gt;0),MIN(OS82,GL82),0)</f>
        <v>0</v>
      </c>
      <c r="OU82" s="1" t="n">
        <f aca="false">OS82-OT82</f>
        <v>0</v>
      </c>
      <c r="OV82" s="1" t="n">
        <f aca="false">IF(AND(HT82=0,GA82=1,OU82&gt;0),MIN(OU82,GB82),0)</f>
        <v>0</v>
      </c>
      <c r="OW82" s="1" t="n">
        <f aca="false">OU82-OV82</f>
        <v>0</v>
      </c>
      <c r="OX82" s="1" t="n">
        <f aca="false">IF(AND(HT82=0,FQ82=1,OW82&gt;0),MIN(OW82,FR82),0)</f>
        <v>0</v>
      </c>
      <c r="OY82" s="1" t="n">
        <f aca="false">OW82-OX82</f>
        <v>0</v>
      </c>
      <c r="OZ82" s="1" t="n">
        <f aca="false">IF(AND(HT82=0,FG82=1,OY82&gt;0),MIN(OY82,FH82),0)</f>
        <v>0</v>
      </c>
      <c r="PA82" s="1" t="n">
        <f aca="false">OY82-OZ82</f>
        <v>0</v>
      </c>
      <c r="PB82" s="1" t="n">
        <f aca="false">IF(AND(HT82=0,EW82=1,PA82&gt;0),MIN(PA82,EX82),0)</f>
        <v>0</v>
      </c>
      <c r="PC82" s="1" t="n">
        <f aca="false">PA82-PB82</f>
        <v>0</v>
      </c>
      <c r="PD82" s="1" t="n">
        <f aca="false">IF(AND(HT82=0,EM82=1,PC82&gt;0),MIN(PC82,EN82),0)</f>
        <v>0</v>
      </c>
      <c r="PE82" s="1" t="n">
        <f aca="false">PC82-PD82</f>
        <v>0</v>
      </c>
      <c r="PF82" s="1" t="n">
        <f aca="false">IF(AND(HT82=0,EC82=1,PE82&gt;0),MIN(PE82,ED82),0)</f>
        <v>0</v>
      </c>
      <c r="PG82" s="1" t="n">
        <f aca="false">PE82-PF82</f>
        <v>0</v>
      </c>
      <c r="PH82" s="1" t="n">
        <f aca="false">IF(AND(HT82=0,DS82=1,PG82&gt;0),MIN(PG82,DT82),0)</f>
        <v>0</v>
      </c>
      <c r="PI82" s="1" t="n">
        <f aca="false">PG82-PH82</f>
        <v>0</v>
      </c>
      <c r="PJ82" s="1" t="n">
        <f aca="false">IF(AND(HT82=0,DI82=1,PI82&gt;0),MIN(PI82,DJ82),0)</f>
        <v>0</v>
      </c>
      <c r="PK82" s="1" t="n">
        <f aca="false">PI82-PJ82</f>
        <v>0</v>
      </c>
      <c r="PL82" s="1" t="n">
        <f aca="false">IF(AND(HT82=0,CY82=1,PK82&gt;0),MIN(PK82,CZ82),0)</f>
        <v>0</v>
      </c>
      <c r="PM82" s="1" t="n">
        <f aca="false">PK82-PL82</f>
        <v>0</v>
      </c>
      <c r="PN82" s="1" t="n">
        <f aca="false">IF(AND(HT82=0,CO82=1,PM82&gt;0),MIN(PM82,CP82),0)</f>
        <v>0</v>
      </c>
      <c r="PO82" s="1" t="n">
        <f aca="false">PM82-PN82</f>
        <v>0</v>
      </c>
      <c r="PP82" s="1" t="n">
        <f aca="false">IF(AND(HT82=0,CE82=1,PO82&gt;0),MIN(PO82,CF82),0)</f>
        <v>0</v>
      </c>
      <c r="PQ82" s="1" t="n">
        <f aca="false">PO82-PP82</f>
        <v>0</v>
      </c>
      <c r="PR82" s="1" t="n">
        <f aca="false">IF(AND(HT82=0,BU82=1,PQ82&gt;0),MIN(PQ82,BV82),0)</f>
        <v>0</v>
      </c>
      <c r="PS82" s="1" t="n">
        <f aca="false">PQ82-PR82</f>
        <v>0</v>
      </c>
      <c r="PT82" s="1" t="n">
        <f aca="false">IF(AND(HT82=0,BK82=1,PS82&gt;0),MIN(PS82,BL82),0)</f>
        <v>0</v>
      </c>
      <c r="PU82" s="1" t="n">
        <f aca="false">PS82-PT82</f>
        <v>0</v>
      </c>
      <c r="PV82" s="1" t="n">
        <f aca="false">IF(AND(HT82=0,BA82=1,PU82&gt;0),MIN(PU82,BB82),0)</f>
        <v>0</v>
      </c>
      <c r="PW82" s="1" t="n">
        <f aca="false">PU82-PV82</f>
        <v>0</v>
      </c>
      <c r="PX82" s="1" t="n">
        <f aca="false">IF(AND(HT82=0,AQ82=1,PW82&gt;0),MIN(PW82,AR82),0)</f>
        <v>0</v>
      </c>
      <c r="PY82" s="1" t="n">
        <f aca="false">PW82-PX82</f>
        <v>0</v>
      </c>
      <c r="PZ82" s="1" t="n">
        <f aca="false">IF(AND(HT82=0,AG82=1,PY82&gt;0),MIN(PY82,AH82),0)</f>
        <v>0</v>
      </c>
      <c r="QA82" s="1" t="n">
        <f aca="false">PY82-PZ82</f>
        <v>0</v>
      </c>
      <c r="QB82" s="1" t="n">
        <f aca="false">IF(AND(HT82=0,V82=1,QA82&gt;0),MIN(QA82,W82),0)</f>
        <v>0</v>
      </c>
      <c r="QC82" s="1" t="n">
        <f aca="false">QA82-QB82</f>
        <v>0</v>
      </c>
      <c r="QD82" s="1" t="n">
        <f aca="false">IF(HT82=0,QC82,0)</f>
        <v>0</v>
      </c>
      <c r="QE82" s="1" t="n">
        <f aca="false">OL82+ON82+QB82+PZ82+PX82+PV82+PT82+PR82+PP82+PN82+PL82+PJ82+PH82+PF82+PD82+PB82+OZ82+OX82+OV82+OT82+OR82+OP82</f>
        <v>0</v>
      </c>
      <c r="QF82" s="1" t="n">
        <f aca="false">IF(HT82=1,HJ82+OI82+OH82+IF(F82=1,0,OJ82),HJ82-OL82)</f>
        <v>478334.055953692</v>
      </c>
      <c r="QG82" s="1" t="n">
        <f aca="false">HK82-ON82</f>
        <v>0</v>
      </c>
      <c r="QH82" s="1" t="n">
        <f aca="false">IF(HT82=1,IF(F82=1,IC82+ID82,HR82),0)</f>
        <v>53902.9777956275</v>
      </c>
      <c r="QI82" s="1" t="n">
        <f aca="false">IF(HT82=1,IF(F82=1,HR82-IC82-ID82,0),0)</f>
        <v>0</v>
      </c>
      <c r="QJ82" s="1" t="n">
        <f aca="false">QF82*(1+GR)</f>
        <v>486178.734471333</v>
      </c>
      <c r="QK82" s="1" t="n">
        <f aca="false">QG82*(1+AS_Cash)</f>
        <v>0</v>
      </c>
      <c r="QL82" s="1" t="n">
        <f aca="false">IF(V82=1,IF(HT82=1,IH82+IK82,W82-QB82)*(1+Slot1_Rate),0)</f>
        <v>0</v>
      </c>
      <c r="QM82" s="1" t="n">
        <f aca="false">IF(AND(HT82=1,V82=1),(IG82+IK82)/E82,0)</f>
        <v>0</v>
      </c>
      <c r="QN82" s="1" t="n">
        <f aca="false">IF(B82=0,IG82+IK82,0)</f>
        <v>0</v>
      </c>
      <c r="QO82" s="1" t="n">
        <f aca="false">IF(B82=0,IF(HT82=1,II82,IJ82),0)</f>
        <v>0</v>
      </c>
      <c r="QP82" s="1" t="n">
        <f aca="false">IF(AG82=1,IF(HT82=1,IP82+IS82,AH82-PZ82)*(1+Slot2_Rate),0)</f>
        <v>0</v>
      </c>
      <c r="QQ82" s="1" t="n">
        <f aca="false">IF(AND(HT82=1,AG82=1),(IO82+IS82)/E82,0)</f>
        <v>0</v>
      </c>
      <c r="QR82" s="1" t="n">
        <f aca="false">IF(B82=0,IO82+IS82,0)</f>
        <v>0</v>
      </c>
      <c r="QS82" s="1" t="n">
        <f aca="false">IF(B82=0,IF(HT82=1,IQ82,IR82),0)</f>
        <v>0</v>
      </c>
      <c r="QT82" s="1" t="n">
        <f aca="false">IF(AQ82=1,IF(HT82=1,IX82+JA82,AR82-PX82)*(1+Slot3_Rate),0)</f>
        <v>0</v>
      </c>
      <c r="QU82" s="1" t="n">
        <f aca="false">IF(AND(HT82=1,AQ82=1),(IW82+JA82)/E82,0)</f>
        <v>0</v>
      </c>
      <c r="QV82" s="1" t="n">
        <f aca="false">IF(B82=0,IW82+JA82,0)</f>
        <v>0</v>
      </c>
      <c r="QW82" s="1" t="n">
        <f aca="false">IF(B82=0,IF(HT82=1,IY82,IZ82),0)</f>
        <v>0</v>
      </c>
      <c r="QX82" s="1" t="n">
        <f aca="false">IF(BA82=1,IF(HT82=1,JF82+JI82,BB82-PV82)*(1+Slot4_Rate),0)</f>
        <v>0</v>
      </c>
      <c r="QY82" s="1" t="n">
        <f aca="false">IF(AND(HT82=1,BA82=1),(JE82+JI82)/E82,0)</f>
        <v>0</v>
      </c>
      <c r="QZ82" s="1" t="n">
        <f aca="false">IF(B82=0,JE82+JI82,0)</f>
        <v>0</v>
      </c>
      <c r="RA82" s="1" t="n">
        <f aca="false">IF(B82=0,IF(HT82=1,JG82,JH82),0)</f>
        <v>0</v>
      </c>
      <c r="RB82" s="1" t="n">
        <f aca="false">IF(BK82=1,IF(HT82=1,JN82+JQ82,BL82-PT82)*(1+Slot5_Rate),0)</f>
        <v>0</v>
      </c>
      <c r="RC82" s="1" t="n">
        <f aca="false">IF(AND(HT82=1,BK82=1),(JM82+JQ82)/E82,0)</f>
        <v>0</v>
      </c>
      <c r="RD82" s="1" t="n">
        <f aca="false">IF(B82=0,JM82+JQ82,0)</f>
        <v>0</v>
      </c>
      <c r="RE82" s="1" t="n">
        <f aca="false">IF(B82=0,IF(HT82=1,JO82,JP82),0)</f>
        <v>0</v>
      </c>
      <c r="RF82" s="1" t="n">
        <f aca="false">IF(BU82=1,IF(HT82=1,JV82+JY82,BV82-PR82)*(1+Slot6_Rate),0)</f>
        <v>0</v>
      </c>
      <c r="RG82" s="1" t="n">
        <f aca="false">IF(AND(HT82=1,BU82=1),(JU82+JY82)/E82,0)</f>
        <v>0</v>
      </c>
      <c r="RH82" s="1" t="n">
        <f aca="false">IF(B82=0,JU82+JY82,0)</f>
        <v>0</v>
      </c>
      <c r="RI82" s="1" t="n">
        <f aca="false">IF(B82=0,IF(HT82=1,JW82,JX82),0)</f>
        <v>0</v>
      </c>
      <c r="RJ82" s="1" t="n">
        <f aca="false">IF(CE82=1,IF(HT82=1,KD82+KG82,CF82-PP82)*(1+Slot7_Rate),0)</f>
        <v>0</v>
      </c>
      <c r="RK82" s="1" t="n">
        <f aca="false">IF(AND(HT82=1,CE82=1),(KC82+KG82)/E82,0)</f>
        <v>0</v>
      </c>
      <c r="RL82" s="1" t="n">
        <f aca="false">IF(B82=0,KC82+KG82,0)</f>
        <v>0</v>
      </c>
      <c r="RM82" s="1" t="n">
        <f aca="false">IF(B82=0,IF(HT82=1,KE82,KF82),0)</f>
        <v>0</v>
      </c>
      <c r="RN82" s="1" t="n">
        <f aca="false">IF(CO82=1,IF(HT82=1,KL82+KO82,CP82-PN82)*(1+Slot8_Rate),0)</f>
        <v>0</v>
      </c>
      <c r="RO82" s="1" t="n">
        <f aca="false">IF(AND(HT82=1,CO82=1),(KK82+KO82)/E82,0)</f>
        <v>0</v>
      </c>
      <c r="RP82" s="1" t="n">
        <f aca="false">IF(B82=0,KK82+KO82,0)</f>
        <v>0</v>
      </c>
      <c r="RQ82" s="1" t="n">
        <f aca="false">IF(B82=0,IF(HT82=1,KM82,KN82),0)</f>
        <v>0</v>
      </c>
      <c r="RR82" s="1" t="n">
        <f aca="false">IF(CY82=1,IF(HT82=1,KT82+KW82,CZ82-PL82)*(1+Slot9_Rate),0)</f>
        <v>0</v>
      </c>
      <c r="RS82" s="1" t="n">
        <f aca="false">IF(AND(HT82=1,CY82=1),(KS82+KW82)/E82,0)</f>
        <v>0</v>
      </c>
      <c r="RT82" s="1" t="n">
        <f aca="false">IF(B82=0,KS82+KW82,0)</f>
        <v>0</v>
      </c>
      <c r="RU82" s="1" t="n">
        <f aca="false">IF(B82=0,IF(HT82=1,KU82,KV82),0)</f>
        <v>0</v>
      </c>
      <c r="RV82" s="1" t="n">
        <f aca="false">IF(DI82=1,IF(HT82=1,LB82+LE82,DJ82-PJ82)*(1+Slot10_Rate),0)</f>
        <v>0</v>
      </c>
      <c r="RW82" s="1" t="n">
        <f aca="false">IF(AND(HT82=1,DI82=1),(LA82+LE82)/E82,0)</f>
        <v>0</v>
      </c>
      <c r="RX82" s="1" t="n">
        <f aca="false">IF(B82=0,LA82+LE82,0)</f>
        <v>0</v>
      </c>
      <c r="RY82" s="1" t="n">
        <f aca="false">IF(B82=0,IF(HT82=1,LC82,LD82),0)</f>
        <v>0</v>
      </c>
      <c r="RZ82" s="1" t="n">
        <f aca="false">IF(DS82=1,IF(HT82=1,LJ82+LM82,DT82-PH82)*(1+Slot11_Rate),0)</f>
        <v>0</v>
      </c>
      <c r="SA82" s="1" t="n">
        <f aca="false">IF(AND(HT82=1,DS82=1),(LI82+LM82)/E82,0)</f>
        <v>0</v>
      </c>
      <c r="SB82" s="1" t="n">
        <f aca="false">IF(B82=0,LI82+LM82,0)</f>
        <v>0</v>
      </c>
      <c r="SC82" s="1" t="n">
        <f aca="false">IF(B82=0,IF(HT82=1,LK82,LL82),0)</f>
        <v>0</v>
      </c>
      <c r="SD82" s="1" t="n">
        <f aca="false">IF(EC82=1,IF(HT82=1,LR82+LU82,ED82-PF82)*(1+Slot12_Rate),0)</f>
        <v>0</v>
      </c>
      <c r="SE82" s="1" t="n">
        <f aca="false">IF(AND(HT82=1,EC82=1),(LQ82+LU82)/E82,0)</f>
        <v>0</v>
      </c>
      <c r="SF82" s="1" t="n">
        <f aca="false">IF(B82=0,LQ82+LU82,0)</f>
        <v>0</v>
      </c>
      <c r="SG82" s="1" t="n">
        <f aca="false">IF(B82=0,IF(HT82=1,LS82,LT82),0)</f>
        <v>0</v>
      </c>
      <c r="SH82" s="1" t="n">
        <f aca="false">IF(EM82=1,IF(HT82=1,LZ82+MC82,EN82-PD82)*(1+Slot13_Rate),0)</f>
        <v>0</v>
      </c>
      <c r="SI82" s="1" t="n">
        <f aca="false">IF(AND(HT82=1,EM82=1),(LY82+MC82)/E82,0)</f>
        <v>0</v>
      </c>
      <c r="SJ82" s="1" t="n">
        <f aca="false">IF(B82=0,LY82+MC82,0)</f>
        <v>0</v>
      </c>
      <c r="SK82" s="1" t="n">
        <f aca="false">IF(B82=0,IF(HT82=1,MA82,MB82),0)</f>
        <v>0</v>
      </c>
      <c r="SL82" s="1" t="n">
        <f aca="false">IF(EW82=1,IF(HT82=1,MH82+MK82,EX82-PB82)*(1+Slot14_Rate),0)</f>
        <v>0</v>
      </c>
      <c r="SM82" s="1" t="n">
        <f aca="false">IF(AND(HT82=1,EW82=1),(MG82+MK82)/E82,0)</f>
        <v>0</v>
      </c>
      <c r="SN82" s="1" t="n">
        <f aca="false">IF(B82=0,MG82+MK82,0)</f>
        <v>0</v>
      </c>
      <c r="SO82" s="1" t="n">
        <f aca="false">IF(B82=0,IF(HT82=1,MI82,MJ82),0)</f>
        <v>0</v>
      </c>
      <c r="SP82" s="1" t="n">
        <f aca="false">IF(FG82=1,IF(HT82=1,MP82+MS82,FH82-OZ82)*(1+Slot15_Rate),0)</f>
        <v>0</v>
      </c>
      <c r="SQ82" s="1" t="n">
        <f aca="false">IF(AND(HT82=1,FG82=1),(MO82+MS82)/E82,0)</f>
        <v>0</v>
      </c>
      <c r="SR82" s="1" t="n">
        <f aca="false">IF(B82=0,MO82+MS82,0)</f>
        <v>0</v>
      </c>
      <c r="SS82" s="1" t="n">
        <f aca="false">IF(B82=0,IF(HT82=1,MQ82,MR82),0)</f>
        <v>0</v>
      </c>
      <c r="ST82" s="1" t="n">
        <f aca="false">IF(FQ82=1,IF(HT82=1,MX82+NA82,FR82-OX82)*(1+Slot16_Rate),0)</f>
        <v>0</v>
      </c>
      <c r="SU82" s="1" t="n">
        <f aca="false">IF(AND(HT82=1,FQ82=1),(MW82+NA82)/E82,0)</f>
        <v>0</v>
      </c>
      <c r="SV82" s="1" t="n">
        <f aca="false">IF(B82=0,MW82+NA82,0)</f>
        <v>0</v>
      </c>
      <c r="SW82" s="1" t="n">
        <f aca="false">IF(B82=0,IF(HT82=1,MY82,MZ82),0)</f>
        <v>0</v>
      </c>
      <c r="SX82" s="1" t="n">
        <f aca="false">IF(GA82=1,IF(HT82=1,NF82+NI82,GB82-OV82)*(1+Slot17_Rate),0)</f>
        <v>0</v>
      </c>
      <c r="SY82" s="1" t="n">
        <f aca="false">IF(AND(HT82=1,GA82=1),(NE82+NI82)/E82,0)</f>
        <v>0</v>
      </c>
      <c r="SZ82" s="1" t="n">
        <f aca="false">IF(B82=0,NE82+NI82,0)</f>
        <v>0</v>
      </c>
      <c r="TA82" s="1" t="n">
        <f aca="false">IF(B82=0,IF(HT82=1,NG82,NH82),0)</f>
        <v>0</v>
      </c>
      <c r="TB82" s="1" t="n">
        <f aca="false">IF(GK82=1,IF(HT82=1,NN82+NQ82,GL82-OT82)*(1+Slot18_Rate),0)</f>
        <v>0</v>
      </c>
      <c r="TC82" s="1" t="n">
        <f aca="false">IF(AND(HT82=1,GK82=1),(NM82+NQ82)/E82,0)</f>
        <v>0</v>
      </c>
      <c r="TD82" s="1" t="n">
        <f aca="false">IF(B82=0,NM82+NQ82,0)</f>
        <v>0</v>
      </c>
      <c r="TE82" s="1" t="n">
        <f aca="false">IF(B82=0,IF(HT82=1,NO82,NP82),0)</f>
        <v>0</v>
      </c>
      <c r="TF82" s="1" t="n">
        <f aca="false">IF(GU82=1,IF(HT82=1,NV82+NY82,GV82-OR82)*(1+Slot19_Rate),0)</f>
        <v>0</v>
      </c>
      <c r="TG82" s="1" t="n">
        <f aca="false">IF(AND(HT82=1,GU82=1),(NU82+NY82)/E82,0)</f>
        <v>0</v>
      </c>
      <c r="TH82" s="1" t="n">
        <f aca="false">IF(B82=0,NU82+NY82,0)</f>
        <v>0</v>
      </c>
      <c r="TI82" s="1" t="n">
        <f aca="false">IF(B82=0,IF(HT82=1,NW82,NX82),0)</f>
        <v>0</v>
      </c>
      <c r="TJ82" s="1" t="n">
        <f aca="false">IF(HE82=1,IF(HT82=1,OD82+OG82,HF82-OP82)*(1+Slot20_Rate),0)</f>
        <v>0</v>
      </c>
      <c r="TK82" s="1" t="n">
        <f aca="false">IF(AND(HT82=1,HE82=1),(OC82+OG82)/E82,0)</f>
        <v>0</v>
      </c>
      <c r="TL82" s="1" t="n">
        <f aca="false">IF(B82=0,OC82+OG82,0)</f>
        <v>0</v>
      </c>
      <c r="TM82" s="1" t="n">
        <f aca="false">IF(B82=0,IF(HT82=1,OE82,OF82),0)</f>
        <v>0</v>
      </c>
      <c r="TN82" s="1" t="n">
        <f aca="false">QJ82+QK82+QL82+QP82+QT82+QX82+RB82+RF82+RJ82+RN82+RR82+RV82+RZ82+SD82+SH82+SL82+SP82+ST82+SX82+TB82+TF82+TJ82</f>
        <v>486178.734471333</v>
      </c>
      <c r="TO82" s="1" t="n">
        <f aca="false">QD82+HO82</f>
        <v>0</v>
      </c>
      <c r="TP82" s="1" t="n">
        <f aca="false">H82+R82</f>
        <v>0</v>
      </c>
      <c r="TQ82" s="1" t="n">
        <f aca="false">1-F82</f>
        <v>1</v>
      </c>
      <c r="TR82" s="1" t="n">
        <f aca="false">IF(AND(RG_Exists=1,F82=0,C82=1),H82,0)</f>
        <v>0</v>
      </c>
      <c r="TS82" s="1" t="n">
        <f aca="false">IF(AND(RG_Exists=1,F82=0,C82=1),H82-MIN(QD82,H82),0)</f>
        <v>0</v>
      </c>
      <c r="TT82" s="1" t="n">
        <f aca="false">'Plan pay &amp; tax'!AD308</f>
        <v>0</v>
      </c>
      <c r="TU82" s="1" t="n">
        <f aca="false">IF(AND(C82=1,QD82&gt;MAX(PR_Short1,TP82*PR_Short2)),1,0)</f>
        <v>0</v>
      </c>
      <c r="TV82" s="1" t="n">
        <f aca="false">MIN(G82,H82+R82)</f>
        <v>0</v>
      </c>
      <c r="TW82" s="1" t="n">
        <f aca="false">QE82+MAX(0,HP82-HO82)</f>
        <v>0</v>
      </c>
      <c r="TX82" s="1" t="n">
        <f aca="false">QD82+HO82</f>
        <v>0</v>
      </c>
      <c r="TY82" s="1" t="n">
        <f aca="false">IF(AND(C82=1,TX82&gt;PR_MinShort),1,0)</f>
        <v>0</v>
      </c>
      <c r="TZ82" s="1" t="n">
        <f aca="false">IF(AND(C82=1,TY82=0,TW82&gt;PR_MinShort),1,0)</f>
        <v>0</v>
      </c>
      <c r="UA82" s="1" t="n">
        <f aca="false">IF(AND(C82=1,QD82&gt;PR_MinShort),1,0)</f>
        <v>0</v>
      </c>
      <c r="UB82" s="1" t="n">
        <f aca="false">IF(AND(C82=1,QE82&gt;1,UI82=0),1,0)</f>
        <v>0</v>
      </c>
      <c r="UC82" s="1" t="str">
        <f aca="false">IF(C82=0,"",IF(UI82=1,"Gap to plan for: short "&amp;"€"&amp;TEXT(ROUND(TO82,0),"#,##0"),IF(QE82&gt;1,"Using savings","Comfortable")))</f>
        <v>Comfortable</v>
      </c>
      <c r="UD82" s="1" t="n">
        <f aca="false">IF(AND(INT(D82/10)*10=90,B82&gt;0),80,INT(D82/10)*10)</f>
        <v>70</v>
      </c>
      <c r="UE82" s="1" t="n">
        <f aca="false">IF(B82=0,1,IF(UD82&lt;&gt;UD81,UE81+1,UE81))</f>
        <v>8</v>
      </c>
      <c r="UF82" s="1" t="n">
        <f aca="false">IF(AND(C82=1,F82=1,QD82&gt;MAX(PR_Short1,TP82*PR_Short2)),1,0)</f>
        <v>0</v>
      </c>
      <c r="UG82" s="1" t="n">
        <f aca="false">TQ82*TU82</f>
        <v>0</v>
      </c>
      <c r="UH82" s="1" t="n">
        <f aca="false">IF(AND(U82=1,Slot1_PctLow=1),1,0)+IF(AND(AF82=1,Slot2_PctLow=1),1,0)+IF(AND(AP82=1,Slot3_PctLow=1),1,0)+IF(AND(AZ82=1,Slot4_PctLow=1),1,0)+IF(AND(BJ82=1,Slot5_PctLow=1),1,0)+IF(AND(BT82=1,Slot6_PctLow=1),1,0)+IF(AND(CD82=1,Slot7_PctLow=1),1,0)+IF(AND(CN82=1,Slot8_PctLow=1),1,0)+IF(AND(CX82=1,Slot9_PctLow=1),1,0)+IF(AND(DH82=1,Slot10_PctLow=1),1,0)+IF(AND(DR82=1,Slot11_PctLow=1),1,0)+IF(AND(EB82=1,Slot12_PctLow=1),1,0)+IF(AND(EL82=1,Slot13_PctLow=1),1,0)+IF(AND(EV82=1,Slot14_PctLow=1),1,0)+IF(AND(FF82=1,Slot15_PctLow=1),1,0)+IF(AND(FP82=1,Slot16_PctLow=1),1,0)+IF(AND(FZ82=1,Slot17_PctLow=1),1,0)+IF(AND(GJ82=1,Slot18_PctLow=1),1,0)+IF(AND(GT82=1,Slot19_PctLow=1),1,0)+IF(AND(HD82=1,Slot20_PctLow=1),1,0)</f>
        <v>0</v>
      </c>
      <c r="UI82" s="1" t="n">
        <f aca="false">IF(C82=1,IF(OR(TU82=1,UH82&gt;0),1,0),0)</f>
        <v>0</v>
      </c>
    </row>
    <row r="83" customFormat="false" ht="15" hidden="false" customHeight="true" outlineLevel="0" collapsed="false">
      <c r="B83" s="1" t="n">
        <v>75</v>
      </c>
      <c r="C83" s="1" t="n">
        <f aca="false">IF(B83&lt;=F_N,1,0)</f>
        <v>1</v>
      </c>
      <c r="D83" s="1" t="n">
        <f aca="false">'Plan pay &amp; tax'!C309</f>
        <v>75</v>
      </c>
      <c r="E83" s="111" t="n">
        <f aca="false">'Plan pay &amp; tax'!E309</f>
        <v>4.41583545512767</v>
      </c>
      <c r="F83" s="1" t="n">
        <f aca="false">'Plan pay &amp; tax'!G309</f>
        <v>0</v>
      </c>
      <c r="G83" s="1" t="n">
        <f aca="false">'Plan pay &amp; tax'!BT309-'Plan pay &amp; tax'!BS309-'Plan pay &amp; tax'!R309</f>
        <v>54981.03735154</v>
      </c>
      <c r="H83" s="1" t="n">
        <f aca="false">IF(F83=1,F_CostsM*12,IF(RG_Exists=1,RG_Amount,F_CostsM*12*AS_RetireSpend))*E83+F_OneOffY*E83</f>
        <v>0</v>
      </c>
      <c r="I83" s="1" t="n">
        <f aca="false">HQ82</f>
        <v>0</v>
      </c>
      <c r="J83" s="1" t="n">
        <f aca="false">IF(I83&gt;1,'Plan debt months'!AC83,0)</f>
        <v>0</v>
      </c>
      <c r="K83" s="1" t="n">
        <f aca="false">IF(I83&gt;1,'Plan debt months'!AB83,I83)</f>
        <v>0</v>
      </c>
      <c r="L83" s="1" t="n">
        <f aca="false">N82</f>
        <v>0</v>
      </c>
      <c r="M83" s="1" t="n">
        <f aca="false">IF(L83&gt;1,'Plan debt months'!BD83,0)</f>
        <v>0</v>
      </c>
      <c r="N83" s="1" t="n">
        <f aca="false">IF(L83&gt;1,'Plan debt months'!BC83,L83)</f>
        <v>0</v>
      </c>
      <c r="O83" s="1" t="n">
        <f aca="false">Q82</f>
        <v>0</v>
      </c>
      <c r="P83" s="1" t="n">
        <f aca="false">IF(O83&gt;1,'Plan debt months'!CE83,0)</f>
        <v>0</v>
      </c>
      <c r="Q83" s="1" t="n">
        <f aca="false">IF(O83&gt;1,'Plan debt months'!CD83,O83)</f>
        <v>0</v>
      </c>
      <c r="R83" s="1" t="n">
        <f aca="false">J83+M83+P83</f>
        <v>0</v>
      </c>
      <c r="S83" s="1" t="n">
        <f aca="false">QJ82+'Plan pay &amp; tax'!Y309</f>
        <v>486178.734471333</v>
      </c>
      <c r="T83" s="1" t="n">
        <f aca="false">QJ82</f>
        <v>486178.734471333</v>
      </c>
      <c r="U83" s="1" t="n">
        <f aca="false">IF(AND(Slot1_On=1,D83=Slot1_Age),1,0)</f>
        <v>0</v>
      </c>
      <c r="V83" s="1" t="n">
        <f aca="false">IF(AND(Slot1_On=1,Slot1_Age&gt;D83),1,0)</f>
        <v>0</v>
      </c>
      <c r="W83" s="1" t="n">
        <f aca="false">QL82</f>
        <v>0</v>
      </c>
      <c r="X83" s="1" t="n">
        <f aca="false">U83*MIN(Slot1_Cost,W83)</f>
        <v>0</v>
      </c>
      <c r="Y83" s="1" t="n">
        <f aca="false">U83*Slot1_SpendLike*MIN(Slot1_Cost-X83,S83)</f>
        <v>0</v>
      </c>
      <c r="Z83" s="1" t="n">
        <f aca="false">X83+Y83</f>
        <v>0</v>
      </c>
      <c r="AA83" s="1" t="n">
        <f aca="false">S83-Y83+U83*IF(Slot1_SpendLike=1,W83-X83,IF(Slot1_PotFree=1,W83,0))</f>
        <v>486178.734471333</v>
      </c>
      <c r="AB83" s="1" t="n">
        <f aca="false">AE83+U83*Slot1_BufPot*W83</f>
        <v>0</v>
      </c>
      <c r="AC83" s="1" t="n">
        <f aca="false">IF(AND(U83=1,Slot1_IsMfree=1),IF(Z83&gt;=Slot1_Cost-1,0,MAX(0,K83-Z83)),K83)</f>
        <v>0</v>
      </c>
      <c r="AD83" s="1" t="n">
        <f aca="false">U83*(Slot1_Cost-Z83)</f>
        <v>0</v>
      </c>
      <c r="AE83" s="1" t="n">
        <f aca="false">QK82</f>
        <v>0</v>
      </c>
      <c r="AF83" s="1" t="n">
        <f aca="false">IF(AND(Slot2_On=1,D83=Slot2_Age),1,0)</f>
        <v>0</v>
      </c>
      <c r="AG83" s="1" t="n">
        <f aca="false">IF(AND(Slot2_On=1,Slot2_Age&gt;D83),1,0)</f>
        <v>0</v>
      </c>
      <c r="AH83" s="1" t="n">
        <f aca="false">QP82</f>
        <v>0</v>
      </c>
      <c r="AI83" s="1" t="n">
        <f aca="false">AF83*MIN(Slot2_Cost,AH83)</f>
        <v>0</v>
      </c>
      <c r="AJ83" s="1" t="n">
        <f aca="false">AF83*Slot2_SpendLike*MIN(Slot2_Cost-AI83,AA83)</f>
        <v>0</v>
      </c>
      <c r="AK83" s="1" t="n">
        <f aca="false">AI83+AJ83</f>
        <v>0</v>
      </c>
      <c r="AL83" s="1" t="n">
        <f aca="false">AA83-AJ83+AF83*IF(Slot2_SpendLike=1,AH83-AI83,IF(Slot2_PotFree=1,AH83,0))</f>
        <v>486178.734471333</v>
      </c>
      <c r="AM83" s="1" t="n">
        <f aca="false">AB83+AF83*Slot2_BufPot*AH83</f>
        <v>0</v>
      </c>
      <c r="AN83" s="1" t="n">
        <f aca="false">IF(AND(AF83=1,Slot2_IsMfree=1),IF(AK83&gt;=Slot2_Cost-1,0,MAX(0,AC83-AK83)),AC83)</f>
        <v>0</v>
      </c>
      <c r="AO83" s="1" t="n">
        <f aca="false">AF83*(Slot2_Cost-AK83)</f>
        <v>0</v>
      </c>
      <c r="AP83" s="1" t="n">
        <f aca="false">IF(AND(Slot3_On=1,D83=Slot3_Age),1,0)</f>
        <v>0</v>
      </c>
      <c r="AQ83" s="1" t="n">
        <f aca="false">IF(AND(Slot3_On=1,Slot3_Age&gt;D83),1,0)</f>
        <v>0</v>
      </c>
      <c r="AR83" s="1" t="n">
        <f aca="false">QT82</f>
        <v>0</v>
      </c>
      <c r="AS83" s="1" t="n">
        <f aca="false">AP83*MIN(Slot3_Cost,AR83)</f>
        <v>0</v>
      </c>
      <c r="AT83" s="1" t="n">
        <f aca="false">AP83*Slot3_SpendLike*MIN(Slot3_Cost-AS83,AL83)</f>
        <v>0</v>
      </c>
      <c r="AU83" s="1" t="n">
        <f aca="false">AS83+AT83</f>
        <v>0</v>
      </c>
      <c r="AV83" s="1" t="n">
        <f aca="false">AL83-AT83+AP83*IF(Slot3_SpendLike=1,AR83-AS83,IF(Slot3_PotFree=1,AR83,0))</f>
        <v>486178.734471333</v>
      </c>
      <c r="AW83" s="1" t="n">
        <f aca="false">AM83+AP83*Slot3_BufPot*AR83</f>
        <v>0</v>
      </c>
      <c r="AX83" s="1" t="n">
        <f aca="false">IF(AND(AP83=1,Slot3_IsMfree=1),IF(AU83&gt;=Slot3_Cost-1,0,MAX(0,AN83-AU83)),AN83)</f>
        <v>0</v>
      </c>
      <c r="AY83" s="1" t="n">
        <f aca="false">AP83*(Slot3_Cost-AU83)</f>
        <v>0</v>
      </c>
      <c r="AZ83" s="1" t="n">
        <f aca="false">IF(AND(Slot4_On=1,D83=Slot4_Age),1,0)</f>
        <v>0</v>
      </c>
      <c r="BA83" s="1" t="n">
        <f aca="false">IF(AND(Slot4_On=1,Slot4_Age&gt;D83),1,0)</f>
        <v>0</v>
      </c>
      <c r="BB83" s="1" t="n">
        <f aca="false">QX82</f>
        <v>0</v>
      </c>
      <c r="BC83" s="1" t="n">
        <f aca="false">AZ83*MIN(Slot4_Cost,BB83)</f>
        <v>0</v>
      </c>
      <c r="BD83" s="1" t="n">
        <f aca="false">AZ83*Slot4_SpendLike*MIN(Slot4_Cost-BC83,AV83)</f>
        <v>0</v>
      </c>
      <c r="BE83" s="1" t="n">
        <f aca="false">BC83+BD83</f>
        <v>0</v>
      </c>
      <c r="BF83" s="1" t="n">
        <f aca="false">AV83-BD83+AZ83*IF(Slot4_SpendLike=1,BB83-BC83,IF(Slot4_PotFree=1,BB83,0))</f>
        <v>486178.734471333</v>
      </c>
      <c r="BG83" s="1" t="n">
        <f aca="false">AW83+AZ83*Slot4_BufPot*BB83</f>
        <v>0</v>
      </c>
      <c r="BH83" s="1" t="n">
        <f aca="false">IF(AND(AZ83=1,Slot4_IsMfree=1),IF(BE83&gt;=Slot4_Cost-1,0,MAX(0,AX83-BE83)),AX83)</f>
        <v>0</v>
      </c>
      <c r="BI83" s="1" t="n">
        <f aca="false">AZ83*(Slot4_Cost-BE83)</f>
        <v>0</v>
      </c>
      <c r="BJ83" s="1" t="n">
        <f aca="false">IF(AND(Slot5_On=1,D83=Slot5_Age),1,0)</f>
        <v>0</v>
      </c>
      <c r="BK83" s="1" t="n">
        <f aca="false">IF(AND(Slot5_On=1,Slot5_Age&gt;D83),1,0)</f>
        <v>0</v>
      </c>
      <c r="BL83" s="1" t="n">
        <f aca="false">RB82</f>
        <v>0</v>
      </c>
      <c r="BM83" s="1" t="n">
        <f aca="false">BJ83*MIN(Slot5_Cost,BL83)</f>
        <v>0</v>
      </c>
      <c r="BN83" s="1" t="n">
        <f aca="false">BJ83*Slot5_SpendLike*MIN(Slot5_Cost-BM83,BF83)</f>
        <v>0</v>
      </c>
      <c r="BO83" s="1" t="n">
        <f aca="false">BM83+BN83</f>
        <v>0</v>
      </c>
      <c r="BP83" s="1" t="n">
        <f aca="false">BF83-BN83+BJ83*IF(Slot5_SpendLike=1,BL83-BM83,IF(Slot5_PotFree=1,BL83,0))</f>
        <v>486178.734471333</v>
      </c>
      <c r="BQ83" s="1" t="n">
        <f aca="false">BG83+BJ83*Slot5_BufPot*BL83</f>
        <v>0</v>
      </c>
      <c r="BR83" s="1" t="n">
        <f aca="false">IF(AND(BJ83=1,Slot5_IsMfree=1),IF(BO83&gt;=Slot5_Cost-1,0,MAX(0,BH83-BO83)),BH83)</f>
        <v>0</v>
      </c>
      <c r="BS83" s="1" t="n">
        <f aca="false">BJ83*(Slot5_Cost-BO83)</f>
        <v>0</v>
      </c>
      <c r="BT83" s="1" t="n">
        <f aca="false">IF(AND(Slot6_On=1,D83=Slot6_Age),1,0)</f>
        <v>0</v>
      </c>
      <c r="BU83" s="1" t="n">
        <f aca="false">IF(AND(Slot6_On=1,Slot6_Age&gt;D83),1,0)</f>
        <v>0</v>
      </c>
      <c r="BV83" s="1" t="n">
        <f aca="false">RF82</f>
        <v>0</v>
      </c>
      <c r="BW83" s="1" t="n">
        <f aca="false">BT83*MIN(Slot6_Cost,BV83)</f>
        <v>0</v>
      </c>
      <c r="BX83" s="1" t="n">
        <f aca="false">BT83*Slot6_SpendLike*MIN(Slot6_Cost-BW83,BP83)</f>
        <v>0</v>
      </c>
      <c r="BY83" s="1" t="n">
        <f aca="false">BW83+BX83</f>
        <v>0</v>
      </c>
      <c r="BZ83" s="1" t="n">
        <f aca="false">BP83-BX83+BT83*IF(Slot6_SpendLike=1,BV83-BW83,IF(Slot6_PotFree=1,BV83,0))</f>
        <v>486178.734471333</v>
      </c>
      <c r="CA83" s="1" t="n">
        <f aca="false">BQ83+BT83*Slot6_BufPot*BV83</f>
        <v>0</v>
      </c>
      <c r="CB83" s="1" t="n">
        <f aca="false">IF(AND(BT83=1,Slot6_IsMfree=1),IF(BY83&gt;=Slot6_Cost-1,0,MAX(0,BR83-BY83)),BR83)</f>
        <v>0</v>
      </c>
      <c r="CC83" s="1" t="n">
        <f aca="false">BT83*(Slot6_Cost-BY83)</f>
        <v>0</v>
      </c>
      <c r="CD83" s="1" t="n">
        <f aca="false">IF(AND(Slot7_On=1,D83=Slot7_Age),1,0)</f>
        <v>0</v>
      </c>
      <c r="CE83" s="1" t="n">
        <f aca="false">IF(AND(Slot7_On=1,Slot7_Age&gt;D83),1,0)</f>
        <v>0</v>
      </c>
      <c r="CF83" s="1" t="n">
        <f aca="false">RJ82</f>
        <v>0</v>
      </c>
      <c r="CG83" s="1" t="n">
        <f aca="false">CD83*MIN(Slot7_Cost,CF83)</f>
        <v>0</v>
      </c>
      <c r="CH83" s="1" t="n">
        <f aca="false">CD83*Slot7_SpendLike*MIN(Slot7_Cost-CG83,BZ83)</f>
        <v>0</v>
      </c>
      <c r="CI83" s="1" t="n">
        <f aca="false">CG83+CH83</f>
        <v>0</v>
      </c>
      <c r="CJ83" s="1" t="n">
        <f aca="false">BZ83-CH83+CD83*IF(Slot7_SpendLike=1,CF83-CG83,IF(Slot7_PotFree=1,CF83,0))</f>
        <v>486178.734471333</v>
      </c>
      <c r="CK83" s="1" t="n">
        <f aca="false">CA83+CD83*Slot7_BufPot*CF83</f>
        <v>0</v>
      </c>
      <c r="CL83" s="1" t="n">
        <f aca="false">IF(AND(CD83=1,Slot7_IsMfree=1),IF(CI83&gt;=Slot7_Cost-1,0,MAX(0,CB83-CI83)),CB83)</f>
        <v>0</v>
      </c>
      <c r="CM83" s="1" t="n">
        <f aca="false">CD83*(Slot7_Cost-CI83)</f>
        <v>0</v>
      </c>
      <c r="CN83" s="1" t="n">
        <f aca="false">IF(AND(Slot8_On=1,D83=Slot8_Age),1,0)</f>
        <v>0</v>
      </c>
      <c r="CO83" s="1" t="n">
        <f aca="false">IF(AND(Slot8_On=1,Slot8_Age&gt;D83),1,0)</f>
        <v>0</v>
      </c>
      <c r="CP83" s="1" t="n">
        <f aca="false">RN82</f>
        <v>0</v>
      </c>
      <c r="CQ83" s="1" t="n">
        <f aca="false">CN83*MIN(Slot8_Cost,CP83)</f>
        <v>0</v>
      </c>
      <c r="CR83" s="1" t="n">
        <f aca="false">CN83*Slot8_SpendLike*MIN(Slot8_Cost-CQ83,CJ83)</f>
        <v>0</v>
      </c>
      <c r="CS83" s="1" t="n">
        <f aca="false">CQ83+CR83</f>
        <v>0</v>
      </c>
      <c r="CT83" s="1" t="n">
        <f aca="false">CJ83-CR83+CN83*IF(Slot8_SpendLike=1,CP83-CQ83,IF(Slot8_PotFree=1,CP83,0))</f>
        <v>486178.734471333</v>
      </c>
      <c r="CU83" s="1" t="n">
        <f aca="false">CK83+CN83*Slot8_BufPot*CP83</f>
        <v>0</v>
      </c>
      <c r="CV83" s="1" t="n">
        <f aca="false">IF(AND(CN83=1,Slot8_IsMfree=1),IF(CS83&gt;=Slot8_Cost-1,0,MAX(0,CL83-CS83)),CL83)</f>
        <v>0</v>
      </c>
      <c r="CW83" s="1" t="n">
        <f aca="false">CN83*(Slot8_Cost-CS83)</f>
        <v>0</v>
      </c>
      <c r="CX83" s="1" t="n">
        <f aca="false">IF(AND(Slot9_On=1,D83=Slot9_Age),1,0)</f>
        <v>0</v>
      </c>
      <c r="CY83" s="1" t="n">
        <f aca="false">IF(AND(Slot9_On=1,Slot9_Age&gt;D83),1,0)</f>
        <v>0</v>
      </c>
      <c r="CZ83" s="1" t="n">
        <f aca="false">RR82</f>
        <v>0</v>
      </c>
      <c r="DA83" s="1" t="n">
        <f aca="false">CX83*MIN(Slot9_Cost,CZ83)</f>
        <v>0</v>
      </c>
      <c r="DB83" s="1" t="n">
        <f aca="false">CX83*Slot9_SpendLike*MIN(Slot9_Cost-DA83,CT83)</f>
        <v>0</v>
      </c>
      <c r="DC83" s="1" t="n">
        <f aca="false">DA83+DB83</f>
        <v>0</v>
      </c>
      <c r="DD83" s="1" t="n">
        <f aca="false">CT83-DB83+CX83*IF(Slot9_SpendLike=1,CZ83-DA83,IF(Slot9_PotFree=1,CZ83,0))</f>
        <v>486178.734471333</v>
      </c>
      <c r="DE83" s="1" t="n">
        <f aca="false">CU83+CX83*Slot9_BufPot*CZ83</f>
        <v>0</v>
      </c>
      <c r="DF83" s="1" t="n">
        <f aca="false">IF(AND(CX83=1,Slot9_IsMfree=1),IF(DC83&gt;=Slot9_Cost-1,0,MAX(0,CV83-DC83)),CV83)</f>
        <v>0</v>
      </c>
      <c r="DG83" s="1" t="n">
        <f aca="false">CX83*(Slot9_Cost-DC83)</f>
        <v>0</v>
      </c>
      <c r="DH83" s="1" t="n">
        <f aca="false">IF(AND(Slot10_On=1,D83=Slot10_Age),1,0)</f>
        <v>0</v>
      </c>
      <c r="DI83" s="1" t="n">
        <f aca="false">IF(AND(Slot10_On=1,Slot10_Age&gt;D83),1,0)</f>
        <v>0</v>
      </c>
      <c r="DJ83" s="1" t="n">
        <f aca="false">RV82</f>
        <v>0</v>
      </c>
      <c r="DK83" s="1" t="n">
        <f aca="false">DH83*MIN(Slot10_Cost,DJ83)</f>
        <v>0</v>
      </c>
      <c r="DL83" s="1" t="n">
        <f aca="false">DH83*Slot10_SpendLike*MIN(Slot10_Cost-DK83,DD83)</f>
        <v>0</v>
      </c>
      <c r="DM83" s="1" t="n">
        <f aca="false">DK83+DL83</f>
        <v>0</v>
      </c>
      <c r="DN83" s="1" t="n">
        <f aca="false">DD83-DL83+DH83*IF(Slot10_SpendLike=1,DJ83-DK83,IF(Slot10_PotFree=1,DJ83,0))</f>
        <v>486178.734471333</v>
      </c>
      <c r="DO83" s="1" t="n">
        <f aca="false">DE83+DH83*Slot10_BufPot*DJ83</f>
        <v>0</v>
      </c>
      <c r="DP83" s="1" t="n">
        <f aca="false">IF(AND(DH83=1,Slot10_IsMfree=1),IF(DM83&gt;=Slot10_Cost-1,0,MAX(0,DF83-DM83)),DF83)</f>
        <v>0</v>
      </c>
      <c r="DQ83" s="1" t="n">
        <f aca="false">DH83*(Slot10_Cost-DM83)</f>
        <v>0</v>
      </c>
      <c r="DR83" s="1" t="n">
        <f aca="false">IF(AND(Slot11_On=1,D83=Slot11_Age),1,0)</f>
        <v>0</v>
      </c>
      <c r="DS83" s="1" t="n">
        <f aca="false">IF(AND(Slot11_On=1,Slot11_Age&gt;D83),1,0)</f>
        <v>0</v>
      </c>
      <c r="DT83" s="1" t="n">
        <f aca="false">RZ82</f>
        <v>0</v>
      </c>
      <c r="DU83" s="1" t="n">
        <f aca="false">DR83*MIN(Slot11_Cost,DT83)</f>
        <v>0</v>
      </c>
      <c r="DV83" s="1" t="n">
        <f aca="false">DR83*Slot11_SpendLike*MIN(Slot11_Cost-DU83,DN83)</f>
        <v>0</v>
      </c>
      <c r="DW83" s="1" t="n">
        <f aca="false">DU83+DV83</f>
        <v>0</v>
      </c>
      <c r="DX83" s="1" t="n">
        <f aca="false">DN83-DV83+DR83*IF(Slot11_SpendLike=1,DT83-DU83,IF(Slot11_PotFree=1,DT83,0))</f>
        <v>486178.734471333</v>
      </c>
      <c r="DY83" s="1" t="n">
        <f aca="false">DO83+DR83*Slot11_BufPot*DT83</f>
        <v>0</v>
      </c>
      <c r="DZ83" s="1" t="n">
        <f aca="false">IF(AND(DR83=1,Slot11_IsMfree=1),IF(DW83&gt;=Slot11_Cost-1,0,MAX(0,DP83-DW83)),DP83)</f>
        <v>0</v>
      </c>
      <c r="EA83" s="1" t="n">
        <f aca="false">DR83*(Slot11_Cost-DW83)</f>
        <v>0</v>
      </c>
      <c r="EB83" s="1" t="n">
        <f aca="false">IF(AND(Slot12_On=1,D83=Slot12_Age),1,0)</f>
        <v>0</v>
      </c>
      <c r="EC83" s="1" t="n">
        <f aca="false">IF(AND(Slot12_On=1,Slot12_Age&gt;D83),1,0)</f>
        <v>0</v>
      </c>
      <c r="ED83" s="1" t="n">
        <f aca="false">SD82</f>
        <v>0</v>
      </c>
      <c r="EE83" s="1" t="n">
        <f aca="false">EB83*MIN(Slot12_Cost,ED83)</f>
        <v>0</v>
      </c>
      <c r="EF83" s="1" t="n">
        <f aca="false">EB83*Slot12_SpendLike*MIN(Slot12_Cost-EE83,DX83)</f>
        <v>0</v>
      </c>
      <c r="EG83" s="1" t="n">
        <f aca="false">EE83+EF83</f>
        <v>0</v>
      </c>
      <c r="EH83" s="1" t="n">
        <f aca="false">DX83-EF83+EB83*IF(Slot12_SpendLike=1,ED83-EE83,IF(Slot12_PotFree=1,ED83,0))</f>
        <v>486178.734471333</v>
      </c>
      <c r="EI83" s="1" t="n">
        <f aca="false">DY83+EB83*Slot12_BufPot*ED83</f>
        <v>0</v>
      </c>
      <c r="EJ83" s="1" t="n">
        <f aca="false">IF(AND(EB83=1,Slot12_IsMfree=1),IF(EG83&gt;=Slot12_Cost-1,0,MAX(0,DZ83-EG83)),DZ83)</f>
        <v>0</v>
      </c>
      <c r="EK83" s="1" t="n">
        <f aca="false">EB83*(Slot12_Cost-EG83)</f>
        <v>0</v>
      </c>
      <c r="EL83" s="1" t="n">
        <f aca="false">IF(AND(Slot13_On=1,D83=Slot13_Age),1,0)</f>
        <v>0</v>
      </c>
      <c r="EM83" s="1" t="n">
        <f aca="false">IF(AND(Slot13_On=1,Slot13_Age&gt;D83),1,0)</f>
        <v>0</v>
      </c>
      <c r="EN83" s="1" t="n">
        <f aca="false">SH82</f>
        <v>0</v>
      </c>
      <c r="EO83" s="1" t="n">
        <f aca="false">EL83*MIN(Slot13_Cost,EN83)</f>
        <v>0</v>
      </c>
      <c r="EP83" s="1" t="n">
        <f aca="false">EL83*Slot13_SpendLike*MIN(Slot13_Cost-EO83,EH83)</f>
        <v>0</v>
      </c>
      <c r="EQ83" s="1" t="n">
        <f aca="false">EO83+EP83</f>
        <v>0</v>
      </c>
      <c r="ER83" s="1" t="n">
        <f aca="false">EH83-EP83+EL83*IF(Slot13_SpendLike=1,EN83-EO83,IF(Slot13_PotFree=1,EN83,0))</f>
        <v>486178.734471333</v>
      </c>
      <c r="ES83" s="1" t="n">
        <f aca="false">EI83+EL83*Slot13_BufPot*EN83</f>
        <v>0</v>
      </c>
      <c r="ET83" s="1" t="n">
        <f aca="false">IF(AND(EL83=1,Slot13_IsMfree=1),IF(EQ83&gt;=Slot13_Cost-1,0,MAX(0,EJ83-EQ83)),EJ83)</f>
        <v>0</v>
      </c>
      <c r="EU83" s="1" t="n">
        <f aca="false">EL83*(Slot13_Cost-EQ83)</f>
        <v>0</v>
      </c>
      <c r="EV83" s="1" t="n">
        <f aca="false">IF(AND(Slot14_On=1,D83=Slot14_Age),1,0)</f>
        <v>0</v>
      </c>
      <c r="EW83" s="1" t="n">
        <f aca="false">IF(AND(Slot14_On=1,Slot14_Age&gt;D83),1,0)</f>
        <v>0</v>
      </c>
      <c r="EX83" s="1" t="n">
        <f aca="false">SL82</f>
        <v>0</v>
      </c>
      <c r="EY83" s="1" t="n">
        <f aca="false">EV83*MIN(Slot14_Cost,EX83)</f>
        <v>0</v>
      </c>
      <c r="EZ83" s="1" t="n">
        <f aca="false">EV83*Slot14_SpendLike*MIN(Slot14_Cost-EY83,ER83)</f>
        <v>0</v>
      </c>
      <c r="FA83" s="1" t="n">
        <f aca="false">EY83+EZ83</f>
        <v>0</v>
      </c>
      <c r="FB83" s="1" t="n">
        <f aca="false">ER83-EZ83+EV83*IF(Slot14_SpendLike=1,EX83-EY83,IF(Slot14_PotFree=1,EX83,0))</f>
        <v>486178.734471333</v>
      </c>
      <c r="FC83" s="1" t="n">
        <f aca="false">ES83+EV83*Slot14_BufPot*EX83</f>
        <v>0</v>
      </c>
      <c r="FD83" s="1" t="n">
        <f aca="false">IF(AND(EV83=1,Slot14_IsMfree=1),IF(FA83&gt;=Slot14_Cost-1,0,MAX(0,ET83-FA83)),ET83)</f>
        <v>0</v>
      </c>
      <c r="FE83" s="1" t="n">
        <f aca="false">EV83*(Slot14_Cost-FA83)</f>
        <v>0</v>
      </c>
      <c r="FF83" s="1" t="n">
        <f aca="false">IF(AND(Slot15_On=1,D83=Slot15_Age),1,0)</f>
        <v>0</v>
      </c>
      <c r="FG83" s="1" t="n">
        <f aca="false">IF(AND(Slot15_On=1,Slot15_Age&gt;D83),1,0)</f>
        <v>0</v>
      </c>
      <c r="FH83" s="1" t="n">
        <f aca="false">SP82</f>
        <v>0</v>
      </c>
      <c r="FI83" s="1" t="n">
        <f aca="false">FF83*MIN(Slot15_Cost,FH83)</f>
        <v>0</v>
      </c>
      <c r="FJ83" s="1" t="n">
        <f aca="false">FF83*Slot15_SpendLike*MIN(Slot15_Cost-FI83,FB83)</f>
        <v>0</v>
      </c>
      <c r="FK83" s="1" t="n">
        <f aca="false">FI83+FJ83</f>
        <v>0</v>
      </c>
      <c r="FL83" s="1" t="n">
        <f aca="false">FB83-FJ83+FF83*IF(Slot15_SpendLike=1,FH83-FI83,IF(Slot15_PotFree=1,FH83,0))</f>
        <v>486178.734471333</v>
      </c>
      <c r="FM83" s="1" t="n">
        <f aca="false">FC83+FF83*Slot15_BufPot*FH83</f>
        <v>0</v>
      </c>
      <c r="FN83" s="1" t="n">
        <f aca="false">IF(AND(FF83=1,Slot15_IsMfree=1),IF(FK83&gt;=Slot15_Cost-1,0,MAX(0,FD83-FK83)),FD83)</f>
        <v>0</v>
      </c>
      <c r="FO83" s="1" t="n">
        <f aca="false">FF83*(Slot15_Cost-FK83)</f>
        <v>0</v>
      </c>
      <c r="FP83" s="1" t="n">
        <f aca="false">IF(AND(Slot16_On=1,D83=Slot16_Age),1,0)</f>
        <v>0</v>
      </c>
      <c r="FQ83" s="1" t="n">
        <f aca="false">IF(AND(Slot16_On=1,Slot16_Age&gt;D83),1,0)</f>
        <v>0</v>
      </c>
      <c r="FR83" s="1" t="n">
        <f aca="false">ST82</f>
        <v>0</v>
      </c>
      <c r="FS83" s="1" t="n">
        <f aca="false">FP83*MIN(Slot16_Cost,FR83)</f>
        <v>0</v>
      </c>
      <c r="FT83" s="1" t="n">
        <f aca="false">FP83*Slot16_SpendLike*MIN(Slot16_Cost-FS83,FL83)</f>
        <v>0</v>
      </c>
      <c r="FU83" s="1" t="n">
        <f aca="false">FS83+FT83</f>
        <v>0</v>
      </c>
      <c r="FV83" s="1" t="n">
        <f aca="false">FL83-FT83+FP83*IF(Slot16_SpendLike=1,FR83-FS83,IF(Slot16_PotFree=1,FR83,0))</f>
        <v>486178.734471333</v>
      </c>
      <c r="FW83" s="1" t="n">
        <f aca="false">FM83+FP83*Slot16_BufPot*FR83</f>
        <v>0</v>
      </c>
      <c r="FX83" s="1" t="n">
        <f aca="false">IF(AND(FP83=1,Slot16_IsMfree=1),IF(FU83&gt;=Slot16_Cost-1,0,MAX(0,FN83-FU83)),FN83)</f>
        <v>0</v>
      </c>
      <c r="FY83" s="1" t="n">
        <f aca="false">FP83*(Slot16_Cost-FU83)</f>
        <v>0</v>
      </c>
      <c r="FZ83" s="1" t="n">
        <f aca="false">IF(AND(Slot17_On=1,D83=Slot17_Age),1,0)</f>
        <v>0</v>
      </c>
      <c r="GA83" s="1" t="n">
        <f aca="false">IF(AND(Slot17_On=1,Slot17_Age&gt;D83),1,0)</f>
        <v>0</v>
      </c>
      <c r="GB83" s="1" t="n">
        <f aca="false">SX82</f>
        <v>0</v>
      </c>
      <c r="GC83" s="1" t="n">
        <f aca="false">FZ83*MIN(Slot17_Cost,GB83)</f>
        <v>0</v>
      </c>
      <c r="GD83" s="1" t="n">
        <f aca="false">FZ83*Slot17_SpendLike*MIN(Slot17_Cost-GC83,FV83)</f>
        <v>0</v>
      </c>
      <c r="GE83" s="1" t="n">
        <f aca="false">GC83+GD83</f>
        <v>0</v>
      </c>
      <c r="GF83" s="1" t="n">
        <f aca="false">FV83-GD83+FZ83*IF(Slot17_SpendLike=1,GB83-GC83,IF(Slot17_PotFree=1,GB83,0))</f>
        <v>486178.734471333</v>
      </c>
      <c r="GG83" s="1" t="n">
        <f aca="false">FW83+FZ83*Slot17_BufPot*GB83</f>
        <v>0</v>
      </c>
      <c r="GH83" s="1" t="n">
        <f aca="false">IF(AND(FZ83=1,Slot17_IsMfree=1),IF(GE83&gt;=Slot17_Cost-1,0,MAX(0,FX83-GE83)),FX83)</f>
        <v>0</v>
      </c>
      <c r="GI83" s="1" t="n">
        <f aca="false">FZ83*(Slot17_Cost-GE83)</f>
        <v>0</v>
      </c>
      <c r="GJ83" s="1" t="n">
        <f aca="false">IF(AND(Slot18_On=1,D83=Slot18_Age),1,0)</f>
        <v>0</v>
      </c>
      <c r="GK83" s="1" t="n">
        <f aca="false">IF(AND(Slot18_On=1,Slot18_Age&gt;D83),1,0)</f>
        <v>0</v>
      </c>
      <c r="GL83" s="1" t="n">
        <f aca="false">TB82</f>
        <v>0</v>
      </c>
      <c r="GM83" s="1" t="n">
        <f aca="false">GJ83*MIN(Slot18_Cost,GL83)</f>
        <v>0</v>
      </c>
      <c r="GN83" s="1" t="n">
        <f aca="false">GJ83*Slot18_SpendLike*MIN(Slot18_Cost-GM83,GF83)</f>
        <v>0</v>
      </c>
      <c r="GO83" s="1" t="n">
        <f aca="false">GM83+GN83</f>
        <v>0</v>
      </c>
      <c r="GP83" s="1" t="n">
        <f aca="false">GF83-GN83+GJ83*IF(Slot18_SpendLike=1,GL83-GM83,IF(Slot18_PotFree=1,GL83,0))</f>
        <v>486178.734471333</v>
      </c>
      <c r="GQ83" s="1" t="n">
        <f aca="false">GG83+GJ83*Slot18_BufPot*GL83</f>
        <v>0</v>
      </c>
      <c r="GR83" s="1" t="n">
        <f aca="false">IF(AND(GJ83=1,Slot18_IsMfree=1),IF(GO83&gt;=Slot18_Cost-1,0,MAX(0,GH83-GO83)),GH83)</f>
        <v>0</v>
      </c>
      <c r="GS83" s="1" t="n">
        <f aca="false">GJ83*(Slot18_Cost-GO83)</f>
        <v>0</v>
      </c>
      <c r="GT83" s="1" t="n">
        <f aca="false">IF(AND(Slot19_On=1,D83=Slot19_Age),1,0)</f>
        <v>0</v>
      </c>
      <c r="GU83" s="1" t="n">
        <f aca="false">IF(AND(Slot19_On=1,Slot19_Age&gt;D83),1,0)</f>
        <v>0</v>
      </c>
      <c r="GV83" s="1" t="n">
        <f aca="false">TF82</f>
        <v>0</v>
      </c>
      <c r="GW83" s="1" t="n">
        <f aca="false">GT83*MIN(Slot19_Cost,GV83)</f>
        <v>0</v>
      </c>
      <c r="GX83" s="1" t="n">
        <f aca="false">GT83*Slot19_SpendLike*MIN(Slot19_Cost-GW83,GP83)</f>
        <v>0</v>
      </c>
      <c r="GY83" s="1" t="n">
        <f aca="false">GW83+GX83</f>
        <v>0</v>
      </c>
      <c r="GZ83" s="1" t="n">
        <f aca="false">GP83-GX83+GT83*IF(Slot19_SpendLike=1,GV83-GW83,IF(Slot19_PotFree=1,GV83,0))</f>
        <v>486178.734471333</v>
      </c>
      <c r="HA83" s="1" t="n">
        <f aca="false">GQ83+GT83*Slot19_BufPot*GV83</f>
        <v>0</v>
      </c>
      <c r="HB83" s="1" t="n">
        <f aca="false">IF(AND(GT83=1,Slot19_IsMfree=1),IF(GY83&gt;=Slot19_Cost-1,0,MAX(0,GR83-GY83)),GR83)</f>
        <v>0</v>
      </c>
      <c r="HC83" s="1" t="n">
        <f aca="false">GT83*(Slot19_Cost-GY83)</f>
        <v>0</v>
      </c>
      <c r="HD83" s="1" t="n">
        <f aca="false">IF(AND(Slot20_On=1,D83=Slot20_Age),1,0)</f>
        <v>0</v>
      </c>
      <c r="HE83" s="1" t="n">
        <f aca="false">IF(AND(Slot20_On=1,Slot20_Age&gt;D83),1,0)</f>
        <v>0</v>
      </c>
      <c r="HF83" s="1" t="n">
        <f aca="false">TJ82</f>
        <v>0</v>
      </c>
      <c r="HG83" s="1" t="n">
        <f aca="false">HD83*MIN(Slot20_Cost,HF83)</f>
        <v>0</v>
      </c>
      <c r="HH83" s="1" t="n">
        <f aca="false">HD83*Slot20_SpendLike*MIN(Slot20_Cost-HG83,GZ83)</f>
        <v>0</v>
      </c>
      <c r="HI83" s="1" t="n">
        <f aca="false">HG83+HH83</f>
        <v>0</v>
      </c>
      <c r="HJ83" s="1" t="n">
        <f aca="false">GZ83-HH83+HD83*IF(Slot20_SpendLike=1,HF83-HG83,IF(Slot20_PotFree=1,HF83,0))</f>
        <v>486178.734471333</v>
      </c>
      <c r="HK83" s="1" t="n">
        <f aca="false">HA83+HD83*Slot20_BufPot*HF83</f>
        <v>0</v>
      </c>
      <c r="HL83" s="1" t="n">
        <f aca="false">IF(AND(HD83=1,Slot20_IsMfree=1),IF(HI83&gt;=Slot20_Cost-1,0,MAX(0,HB83-HI83)),HB83)</f>
        <v>0</v>
      </c>
      <c r="HM83" s="1" t="n">
        <f aca="false">HD83*(Slot20_Cost-HI83)</f>
        <v>0</v>
      </c>
      <c r="HN83" s="1" t="n">
        <f aca="false">U83*Slot1_SpendLike*Z83+AF83*Slot2_SpendLike*AK83+AP83*Slot3_SpendLike*AU83+AZ83*Slot4_SpendLike*BE83+BJ83*Slot5_SpendLike*BO83+BT83*Slot6_SpendLike*BY83+CD83*Slot7_SpendLike*CI83+CN83*Slot8_SpendLike*CS83+CX83*Slot9_SpendLike*DC83+DH83*Slot10_SpendLike*DM83+DR83*Slot11_SpendLike*DW83+EB83*Slot12_SpendLike*EG83+EL83*Slot13_SpendLike*EQ83+EV83*Slot14_SpendLike*FA83+FF83*Slot15_SpendLike*FK83+FP83*Slot16_SpendLike*FU83+FZ83*Slot17_SpendLike*GE83+GJ83*Slot18_SpendLike*GO83+GT83*Slot19_SpendLike*GY83+HD83*Slot20_SpendLike*HI83</f>
        <v>0</v>
      </c>
      <c r="HO83" s="1" t="n">
        <f aca="false">AD83+AO83+AY83+BI83+BS83+CC83+CM83+CW83+DG83+DQ83+EA83+EK83+EU83+FE83+FO83+FY83+GI83+GS83+HC83+HM83</f>
        <v>0</v>
      </c>
      <c r="HP83" s="1" t="n">
        <f aca="false">U83*Slot1_Cost+AF83*Slot2_Cost+AP83*Slot3_Cost+AZ83*Slot4_Cost+BJ83*Slot5_Cost+BT83*Slot6_Cost+CD83*Slot7_Cost+CN83*Slot8_Cost+CX83*Slot9_Cost+DH83*Slot10_Cost+DR83*Slot11_Cost+EB83*Slot12_Cost+EL83*Slot13_Cost+EV83*Slot14_Cost+FF83*Slot15_Cost+FP83*Slot16_Cost+FZ83*Slot17_Cost+GJ83*Slot18_Cost+GT83*Slot19_Cost+HD83*Slot20_Cost</f>
        <v>0</v>
      </c>
      <c r="HQ83" s="1" t="n">
        <f aca="false">HL83</f>
        <v>0</v>
      </c>
      <c r="HR83" s="1" t="n">
        <f aca="false">G83-H83-R83</f>
        <v>54981.03735154</v>
      </c>
      <c r="HS83" s="1" t="n">
        <f aca="false">IF(B83=0,IF(AND(Has_q6=1,In_q6=4),PR_ShareVaries*(MAX(0,HR83)/12),MIN(IF(Has_q6=1,CHOOSE(In_q6+1,PR_SaveB1,PR_SaveB2,PR_SaveB3,PR_SaveB4,0),AS_NoAnswer),AS_SaveShare*(MAX(0,HR83)/12))),HS82)</f>
        <v>0</v>
      </c>
      <c r="HT83" s="1" t="n">
        <f aca="false">IF(HR83&gt;=0,1,0)</f>
        <v>1</v>
      </c>
      <c r="HU83" s="1" t="n">
        <f aca="false">MAX(0,HR83/12/E83)</f>
        <v>1037.57333333333</v>
      </c>
      <c r="HV83" s="1" t="n">
        <f aca="false">IF(AND(Has_q6=1,In_q6=4),PR_ShareVaries*(HU83),MIN(IF(Has_q6=1,CHOOSE(In_q6+1,PR_SaveB1,PR_SaveB2,PR_SaveB3,PR_SaveB4,0),AS_NoAnswer),AS_SaveShare*(HU83)))</f>
        <v>300</v>
      </c>
      <c r="HW83" s="1" t="n">
        <f aca="false">IF(Has_saveM=1,IF(In_saveUp="Yes",1,IF(In_saveUp="No",0,IF(In_saveM&gt;=HS83-0.5,1,0))),0)</f>
        <v>0</v>
      </c>
      <c r="HX83" s="1" t="n">
        <f aca="false">IF(Has_saveM=1,MIN(HU83,IF(HW83=1,MAX(In_saveM,HV83),MIN(In_saveM,HV83))),HV83)</f>
        <v>300</v>
      </c>
      <c r="HY83" s="1" t="n">
        <f aca="false">IF(F83=1,HX83*12*E83,0)</f>
        <v>0</v>
      </c>
      <c r="HZ83" s="1" t="n">
        <f aca="false">MAX(0,HY83+IF(AND(WI_Retire=0,WI_M&lt;0,F83=1),WI_M*12*E83,0))</f>
        <v>0</v>
      </c>
      <c r="IA83" s="1" t="n">
        <f aca="false">Slot1_IsWG*V83+Slot2_IsWG*AG83+Slot3_IsWG*AQ83+Slot4_IsWG*BA83+Slot5_IsWG*BK83+Slot6_IsWG*BU83+Slot7_IsWG*CE83+Slot8_IsWG*CO83+Slot9_IsWG*CY83+Slot10_IsWG*DI83+Slot11_IsWG*DS83+Slot12_IsWG*EC83+Slot13_IsWG*EM83+Slot14_IsWG*EW83+Slot15_IsWG*FG83+Slot16_IsWG*FQ83+Slot17_IsWG*GA83+Slot18_IsWG*GK83+Slot19_IsWG*GU83+Slot20_IsWG*HE83</f>
        <v>0</v>
      </c>
      <c r="IB83" s="1" t="n">
        <f aca="false">IF(AND(WI_Retire=0,WI_M&gt;0,F83=1,IA83&gt;=1),WI_M*12*E83,0)</f>
        <v>0</v>
      </c>
      <c r="IC83" s="1" t="n">
        <f aca="false">IF(HT83=1,MIN(HZ83,HR83),0)</f>
        <v>0</v>
      </c>
      <c r="ID83" s="1" t="n">
        <f aca="false">IF(HT83=1,MIN(IB83,HR83-IC83),0)</f>
        <v>0</v>
      </c>
      <c r="IE83" s="1" t="n">
        <f aca="false">IF(V83=1,IF(ABS((1+AS_Wage)/(1+Slot1_Rate)-1)&lt;0.000000000001,(Slot1_Age-D83)*(1+Slot1_Rate)^(Slot1_Age-D83),(1+Slot1_Rate)^(Slot1_Age-D83)*(1-((1+AS_Wage)/(1+Slot1_Rate))^(Slot1_Age-D83))/(1-(1+AS_Wage)/(1+Slot1_Rate))),1)</f>
        <v>1</v>
      </c>
      <c r="IF83" s="1" t="n">
        <f aca="false">IF(AND(HT83=1,ID83&gt;0,Slot1_IsWG=1,V83=1),MAX(0,(Slot1_Cost-W83*(1+Slot1_Rate)^(Slot1_Age-D83))/IE83),0)</f>
        <v>0</v>
      </c>
      <c r="IG83" s="1" t="n">
        <f aca="false">IF(AND(HT83=1,ID83&gt;0,Slot1_IsWG=1,V83=1),MIN(ID83,IF83),0)</f>
        <v>0</v>
      </c>
      <c r="IH83" s="1" t="n">
        <f aca="false">W83+IG83</f>
        <v>0</v>
      </c>
      <c r="II83" s="1" t="n">
        <f aca="false">IF(V83=1,MAX(0,(Slot1_Cost-IH83*(1+Slot1_Rate)^(Slot1_Age-D83))/IE83),0)</f>
        <v>0</v>
      </c>
      <c r="IJ83" s="1" t="n">
        <f aca="false">IF(V83=1,MAX(0,(Slot1_Cost-W83*(1+Slot1_Rate)^(Slot1_Age-D83))/IE83),0)</f>
        <v>0</v>
      </c>
      <c r="IK83" s="1" t="n">
        <f aca="false">IF(AND(HT83=1,V83=1),MIN(IC83,II83),0)</f>
        <v>0</v>
      </c>
      <c r="IL83" s="1" t="n">
        <f aca="false">IC83-IK83</f>
        <v>0</v>
      </c>
      <c r="IM83" s="1" t="n">
        <f aca="false">IF(AG83=1,IF(ABS((1+AS_Wage)/(1+Slot2_Rate)-1)&lt;0.000000000001,(Slot2_Age-D83)*(1+Slot2_Rate)^(Slot2_Age-D83),(1+Slot2_Rate)^(Slot2_Age-D83)*(1-((1+AS_Wage)/(1+Slot2_Rate))^(Slot2_Age-D83))/(1-(1+AS_Wage)/(1+Slot2_Rate))),1)</f>
        <v>1</v>
      </c>
      <c r="IN83" s="1" t="n">
        <f aca="false">IF(AND(HT83=1,ID83&gt;0,Slot2_IsWG=1,AG83=1),MAX(0,(Slot2_Cost-AH83*(1+Slot2_Rate)^(Slot2_Age-D83))/IM83),0)</f>
        <v>0</v>
      </c>
      <c r="IO83" s="1" t="n">
        <f aca="false">IF(AND(HT83=1,ID83&gt;0,Slot2_IsWG=1,AG83=1),MIN(ID83,IN83),0)</f>
        <v>0</v>
      </c>
      <c r="IP83" s="1" t="n">
        <f aca="false">AH83+IO83</f>
        <v>0</v>
      </c>
      <c r="IQ83" s="1" t="n">
        <f aca="false">IF(AG83=1,MAX(0,(Slot2_Cost-IP83*(1+Slot2_Rate)^(Slot2_Age-D83))/IM83),0)</f>
        <v>0</v>
      </c>
      <c r="IR83" s="1" t="n">
        <f aca="false">IF(AG83=1,MAX(0,(Slot2_Cost-AH83*(1+Slot2_Rate)^(Slot2_Age-D83))/IM83),0)</f>
        <v>0</v>
      </c>
      <c r="IS83" s="1" t="n">
        <f aca="false">IF(AND(HT83=1,AG83=1),MIN(IL83,IQ83),0)</f>
        <v>0</v>
      </c>
      <c r="IT83" s="1" t="n">
        <f aca="false">IL83-IS83</f>
        <v>0</v>
      </c>
      <c r="IU83" s="1" t="n">
        <f aca="false">IF(AQ83=1,IF(ABS((1+AS_Wage)/(1+Slot3_Rate)-1)&lt;0.000000000001,(Slot3_Age-D83)*(1+Slot3_Rate)^(Slot3_Age-D83),(1+Slot3_Rate)^(Slot3_Age-D83)*(1-((1+AS_Wage)/(1+Slot3_Rate))^(Slot3_Age-D83))/(1-(1+AS_Wage)/(1+Slot3_Rate))),1)</f>
        <v>1</v>
      </c>
      <c r="IV83" s="1" t="n">
        <f aca="false">IF(AND(HT83=1,ID83&gt;0,Slot3_IsWG=1,AQ83=1),MAX(0,(Slot3_Cost-AR83*(1+Slot3_Rate)^(Slot3_Age-D83))/IU83),0)</f>
        <v>0</v>
      </c>
      <c r="IW83" s="1" t="n">
        <f aca="false">IF(AND(HT83=1,ID83&gt;0,Slot3_IsWG=1,AQ83=1),MIN(ID83,IV83),0)</f>
        <v>0</v>
      </c>
      <c r="IX83" s="1" t="n">
        <f aca="false">AR83+IW83</f>
        <v>0</v>
      </c>
      <c r="IY83" s="1" t="n">
        <f aca="false">IF(AQ83=1,MAX(0,(Slot3_Cost-IX83*(1+Slot3_Rate)^(Slot3_Age-D83))/IU83),0)</f>
        <v>0</v>
      </c>
      <c r="IZ83" s="1" t="n">
        <f aca="false">IF(AQ83=1,MAX(0,(Slot3_Cost-AR83*(1+Slot3_Rate)^(Slot3_Age-D83))/IU83),0)</f>
        <v>0</v>
      </c>
      <c r="JA83" s="1" t="n">
        <f aca="false">IF(AND(HT83=1,AQ83=1),MIN(IT83,IY83),0)</f>
        <v>0</v>
      </c>
      <c r="JB83" s="1" t="n">
        <f aca="false">IT83-JA83</f>
        <v>0</v>
      </c>
      <c r="JC83" s="1" t="n">
        <f aca="false">IF(BA83=1,IF(ABS((1+AS_Wage)/(1+Slot4_Rate)-1)&lt;0.000000000001,(Slot4_Age-D83)*(1+Slot4_Rate)^(Slot4_Age-D83),(1+Slot4_Rate)^(Slot4_Age-D83)*(1-((1+AS_Wage)/(1+Slot4_Rate))^(Slot4_Age-D83))/(1-(1+AS_Wage)/(1+Slot4_Rate))),1)</f>
        <v>1</v>
      </c>
      <c r="JD83" s="1" t="n">
        <f aca="false">IF(AND(HT83=1,ID83&gt;0,Slot4_IsWG=1,BA83=1),MAX(0,(Slot4_Cost-BB83*(1+Slot4_Rate)^(Slot4_Age-D83))/JC83),0)</f>
        <v>0</v>
      </c>
      <c r="JE83" s="1" t="n">
        <f aca="false">IF(AND(HT83=1,ID83&gt;0,Slot4_IsWG=1,BA83=1),MIN(ID83,JD83),0)</f>
        <v>0</v>
      </c>
      <c r="JF83" s="1" t="n">
        <f aca="false">BB83+JE83</f>
        <v>0</v>
      </c>
      <c r="JG83" s="1" t="n">
        <f aca="false">IF(BA83=1,MAX(0,(Slot4_Cost-JF83*(1+Slot4_Rate)^(Slot4_Age-D83))/JC83),0)</f>
        <v>0</v>
      </c>
      <c r="JH83" s="1" t="n">
        <f aca="false">IF(BA83=1,MAX(0,(Slot4_Cost-BB83*(1+Slot4_Rate)^(Slot4_Age-D83))/JC83),0)</f>
        <v>0</v>
      </c>
      <c r="JI83" s="1" t="n">
        <f aca="false">IF(AND(HT83=1,BA83=1),MIN(JB83,JG83),0)</f>
        <v>0</v>
      </c>
      <c r="JJ83" s="1" t="n">
        <f aca="false">JB83-JI83</f>
        <v>0</v>
      </c>
      <c r="JK83" s="1" t="n">
        <f aca="false">IF(BK83=1,IF(ABS((1+AS_Wage)/(1+Slot5_Rate)-1)&lt;0.000000000001,(Slot5_Age-D83)*(1+Slot5_Rate)^(Slot5_Age-D83),(1+Slot5_Rate)^(Slot5_Age-D83)*(1-((1+AS_Wage)/(1+Slot5_Rate))^(Slot5_Age-D83))/(1-(1+AS_Wage)/(1+Slot5_Rate))),1)</f>
        <v>1</v>
      </c>
      <c r="JL83" s="1" t="n">
        <f aca="false">IF(AND(HT83=1,ID83&gt;0,Slot5_IsWG=1,BK83=1),MAX(0,(Slot5_Cost-BL83*(1+Slot5_Rate)^(Slot5_Age-D83))/JK83),0)</f>
        <v>0</v>
      </c>
      <c r="JM83" s="1" t="n">
        <f aca="false">IF(AND(HT83=1,ID83&gt;0,Slot5_IsWG=1,BK83=1),MIN(ID83,JL83),0)</f>
        <v>0</v>
      </c>
      <c r="JN83" s="1" t="n">
        <f aca="false">BL83+JM83</f>
        <v>0</v>
      </c>
      <c r="JO83" s="1" t="n">
        <f aca="false">IF(BK83=1,MAX(0,(Slot5_Cost-JN83*(1+Slot5_Rate)^(Slot5_Age-D83))/JK83),0)</f>
        <v>0</v>
      </c>
      <c r="JP83" s="1" t="n">
        <f aca="false">IF(BK83=1,MAX(0,(Slot5_Cost-BL83*(1+Slot5_Rate)^(Slot5_Age-D83))/JK83),0)</f>
        <v>0</v>
      </c>
      <c r="JQ83" s="1" t="n">
        <f aca="false">IF(AND(HT83=1,BK83=1),MIN(JJ83,JO83),0)</f>
        <v>0</v>
      </c>
      <c r="JR83" s="1" t="n">
        <f aca="false">JJ83-JQ83</f>
        <v>0</v>
      </c>
      <c r="JS83" s="1" t="n">
        <f aca="false">IF(BU83=1,IF(ABS((1+AS_Wage)/(1+Slot6_Rate)-1)&lt;0.000000000001,(Slot6_Age-D83)*(1+Slot6_Rate)^(Slot6_Age-D83),(1+Slot6_Rate)^(Slot6_Age-D83)*(1-((1+AS_Wage)/(1+Slot6_Rate))^(Slot6_Age-D83))/(1-(1+AS_Wage)/(1+Slot6_Rate))),1)</f>
        <v>1</v>
      </c>
      <c r="JT83" s="1" t="n">
        <f aca="false">IF(AND(HT83=1,ID83&gt;0,Slot6_IsWG=1,BU83=1),MAX(0,(Slot6_Cost-BV83*(1+Slot6_Rate)^(Slot6_Age-D83))/JS83),0)</f>
        <v>0</v>
      </c>
      <c r="JU83" s="1" t="n">
        <f aca="false">IF(AND(HT83=1,ID83&gt;0,Slot6_IsWG=1,BU83=1),MIN(ID83,JT83),0)</f>
        <v>0</v>
      </c>
      <c r="JV83" s="1" t="n">
        <f aca="false">BV83+JU83</f>
        <v>0</v>
      </c>
      <c r="JW83" s="1" t="n">
        <f aca="false">IF(BU83=1,MAX(0,(Slot6_Cost-JV83*(1+Slot6_Rate)^(Slot6_Age-D83))/JS83),0)</f>
        <v>0</v>
      </c>
      <c r="JX83" s="1" t="n">
        <f aca="false">IF(BU83=1,MAX(0,(Slot6_Cost-BV83*(1+Slot6_Rate)^(Slot6_Age-D83))/JS83),0)</f>
        <v>0</v>
      </c>
      <c r="JY83" s="1" t="n">
        <f aca="false">IF(AND(HT83=1,BU83=1),MIN(JR83,JW83),0)</f>
        <v>0</v>
      </c>
      <c r="JZ83" s="1" t="n">
        <f aca="false">JR83-JY83</f>
        <v>0</v>
      </c>
      <c r="KA83" s="1" t="n">
        <f aca="false">IF(CE83=1,IF(ABS((1+AS_Wage)/(1+Slot7_Rate)-1)&lt;0.000000000001,(Slot7_Age-D83)*(1+Slot7_Rate)^(Slot7_Age-D83),(1+Slot7_Rate)^(Slot7_Age-D83)*(1-((1+AS_Wage)/(1+Slot7_Rate))^(Slot7_Age-D83))/(1-(1+AS_Wage)/(1+Slot7_Rate))),1)</f>
        <v>1</v>
      </c>
      <c r="KB83" s="1" t="n">
        <f aca="false">IF(AND(HT83=1,ID83&gt;0,Slot7_IsWG=1,CE83=1),MAX(0,(Slot7_Cost-CF83*(1+Slot7_Rate)^(Slot7_Age-D83))/KA83),0)</f>
        <v>0</v>
      </c>
      <c r="KC83" s="1" t="n">
        <f aca="false">IF(AND(HT83=1,ID83&gt;0,Slot7_IsWG=1,CE83=1),MIN(ID83,KB83),0)</f>
        <v>0</v>
      </c>
      <c r="KD83" s="1" t="n">
        <f aca="false">CF83+KC83</f>
        <v>0</v>
      </c>
      <c r="KE83" s="1" t="n">
        <f aca="false">IF(CE83=1,MAX(0,(Slot7_Cost-KD83*(1+Slot7_Rate)^(Slot7_Age-D83))/KA83),0)</f>
        <v>0</v>
      </c>
      <c r="KF83" s="1" t="n">
        <f aca="false">IF(CE83=1,MAX(0,(Slot7_Cost-CF83*(1+Slot7_Rate)^(Slot7_Age-D83))/KA83),0)</f>
        <v>0</v>
      </c>
      <c r="KG83" s="1" t="n">
        <f aca="false">IF(AND(HT83=1,CE83=1),MIN(JZ83,KE83),0)</f>
        <v>0</v>
      </c>
      <c r="KH83" s="1" t="n">
        <f aca="false">JZ83-KG83</f>
        <v>0</v>
      </c>
      <c r="KI83" s="1" t="n">
        <f aca="false">IF(CO83=1,IF(ABS((1+AS_Wage)/(1+Slot8_Rate)-1)&lt;0.000000000001,(Slot8_Age-D83)*(1+Slot8_Rate)^(Slot8_Age-D83),(1+Slot8_Rate)^(Slot8_Age-D83)*(1-((1+AS_Wage)/(1+Slot8_Rate))^(Slot8_Age-D83))/(1-(1+AS_Wage)/(1+Slot8_Rate))),1)</f>
        <v>1</v>
      </c>
      <c r="KJ83" s="1" t="n">
        <f aca="false">IF(AND(HT83=1,ID83&gt;0,Slot8_IsWG=1,CO83=1),MAX(0,(Slot8_Cost-CP83*(1+Slot8_Rate)^(Slot8_Age-D83))/KI83),0)</f>
        <v>0</v>
      </c>
      <c r="KK83" s="1" t="n">
        <f aca="false">IF(AND(HT83=1,ID83&gt;0,Slot8_IsWG=1,CO83=1),MIN(ID83,KJ83),0)</f>
        <v>0</v>
      </c>
      <c r="KL83" s="1" t="n">
        <f aca="false">CP83+KK83</f>
        <v>0</v>
      </c>
      <c r="KM83" s="1" t="n">
        <f aca="false">IF(CO83=1,MAX(0,(Slot8_Cost-KL83*(1+Slot8_Rate)^(Slot8_Age-D83))/KI83),0)</f>
        <v>0</v>
      </c>
      <c r="KN83" s="1" t="n">
        <f aca="false">IF(CO83=1,MAX(0,(Slot8_Cost-CP83*(1+Slot8_Rate)^(Slot8_Age-D83))/KI83),0)</f>
        <v>0</v>
      </c>
      <c r="KO83" s="1" t="n">
        <f aca="false">IF(AND(HT83=1,CO83=1),MIN(KH83,KM83),0)</f>
        <v>0</v>
      </c>
      <c r="KP83" s="1" t="n">
        <f aca="false">KH83-KO83</f>
        <v>0</v>
      </c>
      <c r="KQ83" s="1" t="n">
        <f aca="false">IF(CY83=1,IF(ABS((1+AS_Wage)/(1+Slot9_Rate)-1)&lt;0.000000000001,(Slot9_Age-D83)*(1+Slot9_Rate)^(Slot9_Age-D83),(1+Slot9_Rate)^(Slot9_Age-D83)*(1-((1+AS_Wage)/(1+Slot9_Rate))^(Slot9_Age-D83))/(1-(1+AS_Wage)/(1+Slot9_Rate))),1)</f>
        <v>1</v>
      </c>
      <c r="KR83" s="1" t="n">
        <f aca="false">IF(AND(HT83=1,ID83&gt;0,Slot9_IsWG=1,CY83=1),MAX(0,(Slot9_Cost-CZ83*(1+Slot9_Rate)^(Slot9_Age-D83))/KQ83),0)</f>
        <v>0</v>
      </c>
      <c r="KS83" s="1" t="n">
        <f aca="false">IF(AND(HT83=1,ID83&gt;0,Slot9_IsWG=1,CY83=1),MIN(ID83,KR83),0)</f>
        <v>0</v>
      </c>
      <c r="KT83" s="1" t="n">
        <f aca="false">CZ83+KS83</f>
        <v>0</v>
      </c>
      <c r="KU83" s="1" t="n">
        <f aca="false">IF(CY83=1,MAX(0,(Slot9_Cost-KT83*(1+Slot9_Rate)^(Slot9_Age-D83))/KQ83),0)</f>
        <v>0</v>
      </c>
      <c r="KV83" s="1" t="n">
        <f aca="false">IF(CY83=1,MAX(0,(Slot9_Cost-CZ83*(1+Slot9_Rate)^(Slot9_Age-D83))/KQ83),0)</f>
        <v>0</v>
      </c>
      <c r="KW83" s="1" t="n">
        <f aca="false">IF(AND(HT83=1,CY83=1),MIN(KP83,KU83),0)</f>
        <v>0</v>
      </c>
      <c r="KX83" s="1" t="n">
        <f aca="false">KP83-KW83</f>
        <v>0</v>
      </c>
      <c r="KY83" s="1" t="n">
        <f aca="false">IF(DI83=1,IF(ABS((1+AS_Wage)/(1+Slot10_Rate)-1)&lt;0.000000000001,(Slot10_Age-D83)*(1+Slot10_Rate)^(Slot10_Age-D83),(1+Slot10_Rate)^(Slot10_Age-D83)*(1-((1+AS_Wage)/(1+Slot10_Rate))^(Slot10_Age-D83))/(1-(1+AS_Wage)/(1+Slot10_Rate))),1)</f>
        <v>1</v>
      </c>
      <c r="KZ83" s="1" t="n">
        <f aca="false">IF(AND(HT83=1,ID83&gt;0,Slot10_IsWG=1,DI83=1),MAX(0,(Slot10_Cost-DJ83*(1+Slot10_Rate)^(Slot10_Age-D83))/KY83),0)</f>
        <v>0</v>
      </c>
      <c r="LA83" s="1" t="n">
        <f aca="false">IF(AND(HT83=1,ID83&gt;0,Slot10_IsWG=1,DI83=1),MIN(ID83,KZ83),0)</f>
        <v>0</v>
      </c>
      <c r="LB83" s="1" t="n">
        <f aca="false">DJ83+LA83</f>
        <v>0</v>
      </c>
      <c r="LC83" s="1" t="n">
        <f aca="false">IF(DI83=1,MAX(0,(Slot10_Cost-LB83*(1+Slot10_Rate)^(Slot10_Age-D83))/KY83),0)</f>
        <v>0</v>
      </c>
      <c r="LD83" s="1" t="n">
        <f aca="false">IF(DI83=1,MAX(0,(Slot10_Cost-DJ83*(1+Slot10_Rate)^(Slot10_Age-D83))/KY83),0)</f>
        <v>0</v>
      </c>
      <c r="LE83" s="1" t="n">
        <f aca="false">IF(AND(HT83=1,DI83=1),MIN(KX83,LC83),0)</f>
        <v>0</v>
      </c>
      <c r="LF83" s="1" t="n">
        <f aca="false">KX83-LE83</f>
        <v>0</v>
      </c>
      <c r="LG83" s="1" t="n">
        <f aca="false">IF(DS83=1,IF(ABS((1+AS_Wage)/(1+Slot11_Rate)-1)&lt;0.000000000001,(Slot11_Age-D83)*(1+Slot11_Rate)^(Slot11_Age-D83),(1+Slot11_Rate)^(Slot11_Age-D83)*(1-((1+AS_Wage)/(1+Slot11_Rate))^(Slot11_Age-D83))/(1-(1+AS_Wage)/(1+Slot11_Rate))),1)</f>
        <v>1</v>
      </c>
      <c r="LH83" s="1" t="n">
        <f aca="false">IF(AND(HT83=1,ID83&gt;0,Slot11_IsWG=1,DS83=1),MAX(0,(Slot11_Cost-DT83*(1+Slot11_Rate)^(Slot11_Age-D83))/LG83),0)</f>
        <v>0</v>
      </c>
      <c r="LI83" s="1" t="n">
        <f aca="false">IF(AND(HT83=1,ID83&gt;0,Slot11_IsWG=1,DS83=1),MIN(ID83,LH83),0)</f>
        <v>0</v>
      </c>
      <c r="LJ83" s="1" t="n">
        <f aca="false">DT83+LI83</f>
        <v>0</v>
      </c>
      <c r="LK83" s="1" t="n">
        <f aca="false">IF(DS83=1,MAX(0,(Slot11_Cost-LJ83*(1+Slot11_Rate)^(Slot11_Age-D83))/LG83),0)</f>
        <v>0</v>
      </c>
      <c r="LL83" s="1" t="n">
        <f aca="false">IF(DS83=1,MAX(0,(Slot11_Cost-DT83*(1+Slot11_Rate)^(Slot11_Age-D83))/LG83),0)</f>
        <v>0</v>
      </c>
      <c r="LM83" s="1" t="n">
        <f aca="false">IF(AND(HT83=1,DS83=1),MIN(LF83,LK83),0)</f>
        <v>0</v>
      </c>
      <c r="LN83" s="1" t="n">
        <f aca="false">LF83-LM83</f>
        <v>0</v>
      </c>
      <c r="LO83" s="1" t="n">
        <f aca="false">IF(EC83=1,IF(ABS((1+AS_Wage)/(1+Slot12_Rate)-1)&lt;0.000000000001,(Slot12_Age-D83)*(1+Slot12_Rate)^(Slot12_Age-D83),(1+Slot12_Rate)^(Slot12_Age-D83)*(1-((1+AS_Wage)/(1+Slot12_Rate))^(Slot12_Age-D83))/(1-(1+AS_Wage)/(1+Slot12_Rate))),1)</f>
        <v>1</v>
      </c>
      <c r="LP83" s="1" t="n">
        <f aca="false">IF(AND(HT83=1,ID83&gt;0,Slot12_IsWG=1,EC83=1),MAX(0,(Slot12_Cost-ED83*(1+Slot12_Rate)^(Slot12_Age-D83))/LO83),0)</f>
        <v>0</v>
      </c>
      <c r="LQ83" s="1" t="n">
        <f aca="false">IF(AND(HT83=1,ID83&gt;0,Slot12_IsWG=1,EC83=1),MIN(ID83,LP83),0)</f>
        <v>0</v>
      </c>
      <c r="LR83" s="1" t="n">
        <f aca="false">ED83+LQ83</f>
        <v>0</v>
      </c>
      <c r="LS83" s="1" t="n">
        <f aca="false">IF(EC83=1,MAX(0,(Slot12_Cost-LR83*(1+Slot12_Rate)^(Slot12_Age-D83))/LO83),0)</f>
        <v>0</v>
      </c>
      <c r="LT83" s="1" t="n">
        <f aca="false">IF(EC83=1,MAX(0,(Slot12_Cost-ED83*(1+Slot12_Rate)^(Slot12_Age-D83))/LO83),0)</f>
        <v>0</v>
      </c>
      <c r="LU83" s="1" t="n">
        <f aca="false">IF(AND(HT83=1,EC83=1),MIN(LN83,LS83),0)</f>
        <v>0</v>
      </c>
      <c r="LV83" s="1" t="n">
        <f aca="false">LN83-LU83</f>
        <v>0</v>
      </c>
      <c r="LW83" s="1" t="n">
        <f aca="false">IF(EM83=1,IF(ABS((1+AS_Wage)/(1+Slot13_Rate)-1)&lt;0.000000000001,(Slot13_Age-D83)*(1+Slot13_Rate)^(Slot13_Age-D83),(1+Slot13_Rate)^(Slot13_Age-D83)*(1-((1+AS_Wage)/(1+Slot13_Rate))^(Slot13_Age-D83))/(1-(1+AS_Wage)/(1+Slot13_Rate))),1)</f>
        <v>1</v>
      </c>
      <c r="LX83" s="1" t="n">
        <f aca="false">IF(AND(HT83=1,ID83&gt;0,Slot13_IsWG=1,EM83=1),MAX(0,(Slot13_Cost-EN83*(1+Slot13_Rate)^(Slot13_Age-D83))/LW83),0)</f>
        <v>0</v>
      </c>
      <c r="LY83" s="1" t="n">
        <f aca="false">IF(AND(HT83=1,ID83&gt;0,Slot13_IsWG=1,EM83=1),MIN(ID83,LX83),0)</f>
        <v>0</v>
      </c>
      <c r="LZ83" s="1" t="n">
        <f aca="false">EN83+LY83</f>
        <v>0</v>
      </c>
      <c r="MA83" s="1" t="n">
        <f aca="false">IF(EM83=1,MAX(0,(Slot13_Cost-LZ83*(1+Slot13_Rate)^(Slot13_Age-D83))/LW83),0)</f>
        <v>0</v>
      </c>
      <c r="MB83" s="1" t="n">
        <f aca="false">IF(EM83=1,MAX(0,(Slot13_Cost-EN83*(1+Slot13_Rate)^(Slot13_Age-D83))/LW83),0)</f>
        <v>0</v>
      </c>
      <c r="MC83" s="1" t="n">
        <f aca="false">IF(AND(HT83=1,EM83=1),MIN(LV83,MA83),0)</f>
        <v>0</v>
      </c>
      <c r="MD83" s="1" t="n">
        <f aca="false">LV83-MC83</f>
        <v>0</v>
      </c>
      <c r="ME83" s="1" t="n">
        <f aca="false">IF(EW83=1,IF(ABS((1+AS_Wage)/(1+Slot14_Rate)-1)&lt;0.000000000001,(Slot14_Age-D83)*(1+Slot14_Rate)^(Slot14_Age-D83),(1+Slot14_Rate)^(Slot14_Age-D83)*(1-((1+AS_Wage)/(1+Slot14_Rate))^(Slot14_Age-D83))/(1-(1+AS_Wage)/(1+Slot14_Rate))),1)</f>
        <v>1</v>
      </c>
      <c r="MF83" s="1" t="n">
        <f aca="false">IF(AND(HT83=1,ID83&gt;0,Slot14_IsWG=1,EW83=1),MAX(0,(Slot14_Cost-EX83*(1+Slot14_Rate)^(Slot14_Age-D83))/ME83),0)</f>
        <v>0</v>
      </c>
      <c r="MG83" s="1" t="n">
        <f aca="false">IF(AND(HT83=1,ID83&gt;0,Slot14_IsWG=1,EW83=1),MIN(ID83,MF83),0)</f>
        <v>0</v>
      </c>
      <c r="MH83" s="1" t="n">
        <f aca="false">EX83+MG83</f>
        <v>0</v>
      </c>
      <c r="MI83" s="1" t="n">
        <f aca="false">IF(EW83=1,MAX(0,(Slot14_Cost-MH83*(1+Slot14_Rate)^(Slot14_Age-D83))/ME83),0)</f>
        <v>0</v>
      </c>
      <c r="MJ83" s="1" t="n">
        <f aca="false">IF(EW83=1,MAX(0,(Slot14_Cost-EX83*(1+Slot14_Rate)^(Slot14_Age-D83))/ME83),0)</f>
        <v>0</v>
      </c>
      <c r="MK83" s="1" t="n">
        <f aca="false">IF(AND(HT83=1,EW83=1),MIN(MD83,MI83),0)</f>
        <v>0</v>
      </c>
      <c r="ML83" s="1" t="n">
        <f aca="false">MD83-MK83</f>
        <v>0</v>
      </c>
      <c r="MM83" s="1" t="n">
        <f aca="false">IF(FG83=1,IF(ABS((1+AS_Wage)/(1+Slot15_Rate)-1)&lt;0.000000000001,(Slot15_Age-D83)*(1+Slot15_Rate)^(Slot15_Age-D83),(1+Slot15_Rate)^(Slot15_Age-D83)*(1-((1+AS_Wage)/(1+Slot15_Rate))^(Slot15_Age-D83))/(1-(1+AS_Wage)/(1+Slot15_Rate))),1)</f>
        <v>1</v>
      </c>
      <c r="MN83" s="1" t="n">
        <f aca="false">IF(AND(HT83=1,ID83&gt;0,Slot15_IsWG=1,FG83=1),MAX(0,(Slot15_Cost-FH83*(1+Slot15_Rate)^(Slot15_Age-D83))/MM83),0)</f>
        <v>0</v>
      </c>
      <c r="MO83" s="1" t="n">
        <f aca="false">IF(AND(HT83=1,ID83&gt;0,Slot15_IsWG=1,FG83=1),MIN(ID83,MN83),0)</f>
        <v>0</v>
      </c>
      <c r="MP83" s="1" t="n">
        <f aca="false">FH83+MO83</f>
        <v>0</v>
      </c>
      <c r="MQ83" s="1" t="n">
        <f aca="false">IF(FG83=1,MAX(0,(Slot15_Cost-MP83*(1+Slot15_Rate)^(Slot15_Age-D83))/MM83),0)</f>
        <v>0</v>
      </c>
      <c r="MR83" s="1" t="n">
        <f aca="false">IF(FG83=1,MAX(0,(Slot15_Cost-FH83*(1+Slot15_Rate)^(Slot15_Age-D83))/MM83),0)</f>
        <v>0</v>
      </c>
      <c r="MS83" s="1" t="n">
        <f aca="false">IF(AND(HT83=1,FG83=1),MIN(ML83,MQ83),0)</f>
        <v>0</v>
      </c>
      <c r="MT83" s="1" t="n">
        <f aca="false">ML83-MS83</f>
        <v>0</v>
      </c>
      <c r="MU83" s="1" t="n">
        <f aca="false">IF(FQ83=1,IF(ABS((1+AS_Wage)/(1+Slot16_Rate)-1)&lt;0.000000000001,(Slot16_Age-D83)*(1+Slot16_Rate)^(Slot16_Age-D83),(1+Slot16_Rate)^(Slot16_Age-D83)*(1-((1+AS_Wage)/(1+Slot16_Rate))^(Slot16_Age-D83))/(1-(1+AS_Wage)/(1+Slot16_Rate))),1)</f>
        <v>1</v>
      </c>
      <c r="MV83" s="1" t="n">
        <f aca="false">IF(AND(HT83=1,ID83&gt;0,Slot16_IsWG=1,FQ83=1),MAX(0,(Slot16_Cost-FR83*(1+Slot16_Rate)^(Slot16_Age-D83))/MU83),0)</f>
        <v>0</v>
      </c>
      <c r="MW83" s="1" t="n">
        <f aca="false">IF(AND(HT83=1,ID83&gt;0,Slot16_IsWG=1,FQ83=1),MIN(ID83,MV83),0)</f>
        <v>0</v>
      </c>
      <c r="MX83" s="1" t="n">
        <f aca="false">FR83+MW83</f>
        <v>0</v>
      </c>
      <c r="MY83" s="1" t="n">
        <f aca="false">IF(FQ83=1,MAX(0,(Slot16_Cost-MX83*(1+Slot16_Rate)^(Slot16_Age-D83))/MU83),0)</f>
        <v>0</v>
      </c>
      <c r="MZ83" s="1" t="n">
        <f aca="false">IF(FQ83=1,MAX(0,(Slot16_Cost-FR83*(1+Slot16_Rate)^(Slot16_Age-D83))/MU83),0)</f>
        <v>0</v>
      </c>
      <c r="NA83" s="1" t="n">
        <f aca="false">IF(AND(HT83=1,FQ83=1),MIN(MT83,MY83),0)</f>
        <v>0</v>
      </c>
      <c r="NB83" s="1" t="n">
        <f aca="false">MT83-NA83</f>
        <v>0</v>
      </c>
      <c r="NC83" s="1" t="n">
        <f aca="false">IF(GA83=1,IF(ABS((1+AS_Wage)/(1+Slot17_Rate)-1)&lt;0.000000000001,(Slot17_Age-D83)*(1+Slot17_Rate)^(Slot17_Age-D83),(1+Slot17_Rate)^(Slot17_Age-D83)*(1-((1+AS_Wage)/(1+Slot17_Rate))^(Slot17_Age-D83))/(1-(1+AS_Wage)/(1+Slot17_Rate))),1)</f>
        <v>1</v>
      </c>
      <c r="ND83" s="1" t="n">
        <f aca="false">IF(AND(HT83=1,ID83&gt;0,Slot17_IsWG=1,GA83=1),MAX(0,(Slot17_Cost-GB83*(1+Slot17_Rate)^(Slot17_Age-D83))/NC83),0)</f>
        <v>0</v>
      </c>
      <c r="NE83" s="1" t="n">
        <f aca="false">IF(AND(HT83=1,ID83&gt;0,Slot17_IsWG=1,GA83=1),MIN(ID83,ND83),0)</f>
        <v>0</v>
      </c>
      <c r="NF83" s="1" t="n">
        <f aca="false">GB83+NE83</f>
        <v>0</v>
      </c>
      <c r="NG83" s="1" t="n">
        <f aca="false">IF(GA83=1,MAX(0,(Slot17_Cost-NF83*(1+Slot17_Rate)^(Slot17_Age-D83))/NC83),0)</f>
        <v>0</v>
      </c>
      <c r="NH83" s="1" t="n">
        <f aca="false">IF(GA83=1,MAX(0,(Slot17_Cost-GB83*(1+Slot17_Rate)^(Slot17_Age-D83))/NC83),0)</f>
        <v>0</v>
      </c>
      <c r="NI83" s="1" t="n">
        <f aca="false">IF(AND(HT83=1,GA83=1),MIN(NB83,NG83),0)</f>
        <v>0</v>
      </c>
      <c r="NJ83" s="1" t="n">
        <f aca="false">NB83-NI83</f>
        <v>0</v>
      </c>
      <c r="NK83" s="1" t="n">
        <f aca="false">IF(GK83=1,IF(ABS((1+AS_Wage)/(1+Slot18_Rate)-1)&lt;0.000000000001,(Slot18_Age-D83)*(1+Slot18_Rate)^(Slot18_Age-D83),(1+Slot18_Rate)^(Slot18_Age-D83)*(1-((1+AS_Wage)/(1+Slot18_Rate))^(Slot18_Age-D83))/(1-(1+AS_Wage)/(1+Slot18_Rate))),1)</f>
        <v>1</v>
      </c>
      <c r="NL83" s="1" t="n">
        <f aca="false">IF(AND(HT83=1,ID83&gt;0,Slot18_IsWG=1,GK83=1),MAX(0,(Slot18_Cost-GL83*(1+Slot18_Rate)^(Slot18_Age-D83))/NK83),0)</f>
        <v>0</v>
      </c>
      <c r="NM83" s="1" t="n">
        <f aca="false">IF(AND(HT83=1,ID83&gt;0,Slot18_IsWG=1,GK83=1),MIN(ID83,NL83),0)</f>
        <v>0</v>
      </c>
      <c r="NN83" s="1" t="n">
        <f aca="false">GL83+NM83</f>
        <v>0</v>
      </c>
      <c r="NO83" s="1" t="n">
        <f aca="false">IF(GK83=1,MAX(0,(Slot18_Cost-NN83*(1+Slot18_Rate)^(Slot18_Age-D83))/NK83),0)</f>
        <v>0</v>
      </c>
      <c r="NP83" s="1" t="n">
        <f aca="false">IF(GK83=1,MAX(0,(Slot18_Cost-GL83*(1+Slot18_Rate)^(Slot18_Age-D83))/NK83),0)</f>
        <v>0</v>
      </c>
      <c r="NQ83" s="1" t="n">
        <f aca="false">IF(AND(HT83=1,GK83=1),MIN(NJ83,NO83),0)</f>
        <v>0</v>
      </c>
      <c r="NR83" s="1" t="n">
        <f aca="false">NJ83-NQ83</f>
        <v>0</v>
      </c>
      <c r="NS83" s="1" t="n">
        <f aca="false">IF(GU83=1,IF(ABS((1+AS_Wage)/(1+Slot19_Rate)-1)&lt;0.000000000001,(Slot19_Age-D83)*(1+Slot19_Rate)^(Slot19_Age-D83),(1+Slot19_Rate)^(Slot19_Age-D83)*(1-((1+AS_Wage)/(1+Slot19_Rate))^(Slot19_Age-D83))/(1-(1+AS_Wage)/(1+Slot19_Rate))),1)</f>
        <v>1</v>
      </c>
      <c r="NT83" s="1" t="n">
        <f aca="false">IF(AND(HT83=1,ID83&gt;0,Slot19_IsWG=1,GU83=1),MAX(0,(Slot19_Cost-GV83*(1+Slot19_Rate)^(Slot19_Age-D83))/NS83),0)</f>
        <v>0</v>
      </c>
      <c r="NU83" s="1" t="n">
        <f aca="false">IF(AND(HT83=1,ID83&gt;0,Slot19_IsWG=1,GU83=1),MIN(ID83,NT83),0)</f>
        <v>0</v>
      </c>
      <c r="NV83" s="1" t="n">
        <f aca="false">GV83+NU83</f>
        <v>0</v>
      </c>
      <c r="NW83" s="1" t="n">
        <f aca="false">IF(GU83=1,MAX(0,(Slot19_Cost-NV83*(1+Slot19_Rate)^(Slot19_Age-D83))/NS83),0)</f>
        <v>0</v>
      </c>
      <c r="NX83" s="1" t="n">
        <f aca="false">IF(GU83=1,MAX(0,(Slot19_Cost-GV83*(1+Slot19_Rate)^(Slot19_Age-D83))/NS83),0)</f>
        <v>0</v>
      </c>
      <c r="NY83" s="1" t="n">
        <f aca="false">IF(AND(HT83=1,GU83=1),MIN(NR83,NW83),0)</f>
        <v>0</v>
      </c>
      <c r="NZ83" s="1" t="n">
        <f aca="false">NR83-NY83</f>
        <v>0</v>
      </c>
      <c r="OA83" s="1" t="n">
        <f aca="false">IF(HE83=1,IF(ABS((1+AS_Wage)/(1+Slot20_Rate)-1)&lt;0.000000000001,(Slot20_Age-D83)*(1+Slot20_Rate)^(Slot20_Age-D83),(1+Slot20_Rate)^(Slot20_Age-D83)*(1-((1+AS_Wage)/(1+Slot20_Rate))^(Slot20_Age-D83))/(1-(1+AS_Wage)/(1+Slot20_Rate))),1)</f>
        <v>1</v>
      </c>
      <c r="OB83" s="1" t="n">
        <f aca="false">IF(AND(HT83=1,ID83&gt;0,Slot20_IsWG=1,HE83=1),MAX(0,(Slot20_Cost-HF83*(1+Slot20_Rate)^(Slot20_Age-D83))/OA83),0)</f>
        <v>0</v>
      </c>
      <c r="OC83" s="1" t="n">
        <f aca="false">IF(AND(HT83=1,ID83&gt;0,Slot20_IsWG=1,HE83=1),MIN(ID83,OB83),0)</f>
        <v>0</v>
      </c>
      <c r="OD83" s="1" t="n">
        <f aca="false">HF83+OC83</f>
        <v>0</v>
      </c>
      <c r="OE83" s="1" t="n">
        <f aca="false">IF(HE83=1,MAX(0,(Slot20_Cost-OD83*(1+Slot20_Rate)^(Slot20_Age-D83))/OA83),0)</f>
        <v>0</v>
      </c>
      <c r="OF83" s="1" t="n">
        <f aca="false">IF(HE83=1,MAX(0,(Slot20_Cost-HF83*(1+Slot20_Rate)^(Slot20_Age-D83))/OA83),0)</f>
        <v>0</v>
      </c>
      <c r="OG83" s="1" t="n">
        <f aca="false">IF(AND(HT83=1,HE83=1),MIN(NZ83,OE83),0)</f>
        <v>0</v>
      </c>
      <c r="OH83" s="1" t="n">
        <f aca="false">NZ83-OG83</f>
        <v>0</v>
      </c>
      <c r="OI83" s="1" t="n">
        <f aca="false">ID83-(IG83+IO83+IW83+JE83+JM83+JU83+KC83+KK83+KS83+LA83+LI83+LQ83+LY83+MG83+MO83+MW83+NE83+NM83+NU83+OC83)</f>
        <v>0</v>
      </c>
      <c r="OJ83" s="1" t="n">
        <f aca="false">IF(HT83=1,HR83-IC83-ID83,0)</f>
        <v>54981.03735154</v>
      </c>
      <c r="OK83" s="1" t="n">
        <f aca="false">IF(HT83=0,-HR83,0)</f>
        <v>0</v>
      </c>
      <c r="OL83" s="1" t="n">
        <f aca="false">MIN(OK83,HJ83)</f>
        <v>0</v>
      </c>
      <c r="OM83" s="1" t="n">
        <f aca="false">OK83-OL83</f>
        <v>0</v>
      </c>
      <c r="ON83" s="1" t="n">
        <f aca="false">MIN(OM83,HK83)</f>
        <v>0</v>
      </c>
      <c r="OO83" s="1" t="n">
        <f aca="false">OM83-ON83</f>
        <v>0</v>
      </c>
      <c r="OP83" s="1" t="n">
        <f aca="false">IF(AND(HT83=0,HE83=1,OO83&gt;0),MIN(OO83,HF83),0)</f>
        <v>0</v>
      </c>
      <c r="OQ83" s="1" t="n">
        <f aca="false">OO83-OP83</f>
        <v>0</v>
      </c>
      <c r="OR83" s="1" t="n">
        <f aca="false">IF(AND(HT83=0,GU83=1,OQ83&gt;0),MIN(OQ83,GV83),0)</f>
        <v>0</v>
      </c>
      <c r="OS83" s="1" t="n">
        <f aca="false">OQ83-OR83</f>
        <v>0</v>
      </c>
      <c r="OT83" s="1" t="n">
        <f aca="false">IF(AND(HT83=0,GK83=1,OS83&gt;0),MIN(OS83,GL83),0)</f>
        <v>0</v>
      </c>
      <c r="OU83" s="1" t="n">
        <f aca="false">OS83-OT83</f>
        <v>0</v>
      </c>
      <c r="OV83" s="1" t="n">
        <f aca="false">IF(AND(HT83=0,GA83=1,OU83&gt;0),MIN(OU83,GB83),0)</f>
        <v>0</v>
      </c>
      <c r="OW83" s="1" t="n">
        <f aca="false">OU83-OV83</f>
        <v>0</v>
      </c>
      <c r="OX83" s="1" t="n">
        <f aca="false">IF(AND(HT83=0,FQ83=1,OW83&gt;0),MIN(OW83,FR83),0)</f>
        <v>0</v>
      </c>
      <c r="OY83" s="1" t="n">
        <f aca="false">OW83-OX83</f>
        <v>0</v>
      </c>
      <c r="OZ83" s="1" t="n">
        <f aca="false">IF(AND(HT83=0,FG83=1,OY83&gt;0),MIN(OY83,FH83),0)</f>
        <v>0</v>
      </c>
      <c r="PA83" s="1" t="n">
        <f aca="false">OY83-OZ83</f>
        <v>0</v>
      </c>
      <c r="PB83" s="1" t="n">
        <f aca="false">IF(AND(HT83=0,EW83=1,PA83&gt;0),MIN(PA83,EX83),0)</f>
        <v>0</v>
      </c>
      <c r="PC83" s="1" t="n">
        <f aca="false">PA83-PB83</f>
        <v>0</v>
      </c>
      <c r="PD83" s="1" t="n">
        <f aca="false">IF(AND(HT83=0,EM83=1,PC83&gt;0),MIN(PC83,EN83),0)</f>
        <v>0</v>
      </c>
      <c r="PE83" s="1" t="n">
        <f aca="false">PC83-PD83</f>
        <v>0</v>
      </c>
      <c r="PF83" s="1" t="n">
        <f aca="false">IF(AND(HT83=0,EC83=1,PE83&gt;0),MIN(PE83,ED83),0)</f>
        <v>0</v>
      </c>
      <c r="PG83" s="1" t="n">
        <f aca="false">PE83-PF83</f>
        <v>0</v>
      </c>
      <c r="PH83" s="1" t="n">
        <f aca="false">IF(AND(HT83=0,DS83=1,PG83&gt;0),MIN(PG83,DT83),0)</f>
        <v>0</v>
      </c>
      <c r="PI83" s="1" t="n">
        <f aca="false">PG83-PH83</f>
        <v>0</v>
      </c>
      <c r="PJ83" s="1" t="n">
        <f aca="false">IF(AND(HT83=0,DI83=1,PI83&gt;0),MIN(PI83,DJ83),0)</f>
        <v>0</v>
      </c>
      <c r="PK83" s="1" t="n">
        <f aca="false">PI83-PJ83</f>
        <v>0</v>
      </c>
      <c r="PL83" s="1" t="n">
        <f aca="false">IF(AND(HT83=0,CY83=1,PK83&gt;0),MIN(PK83,CZ83),0)</f>
        <v>0</v>
      </c>
      <c r="PM83" s="1" t="n">
        <f aca="false">PK83-PL83</f>
        <v>0</v>
      </c>
      <c r="PN83" s="1" t="n">
        <f aca="false">IF(AND(HT83=0,CO83=1,PM83&gt;0),MIN(PM83,CP83),0)</f>
        <v>0</v>
      </c>
      <c r="PO83" s="1" t="n">
        <f aca="false">PM83-PN83</f>
        <v>0</v>
      </c>
      <c r="PP83" s="1" t="n">
        <f aca="false">IF(AND(HT83=0,CE83=1,PO83&gt;0),MIN(PO83,CF83),0)</f>
        <v>0</v>
      </c>
      <c r="PQ83" s="1" t="n">
        <f aca="false">PO83-PP83</f>
        <v>0</v>
      </c>
      <c r="PR83" s="1" t="n">
        <f aca="false">IF(AND(HT83=0,BU83=1,PQ83&gt;0),MIN(PQ83,BV83),0)</f>
        <v>0</v>
      </c>
      <c r="PS83" s="1" t="n">
        <f aca="false">PQ83-PR83</f>
        <v>0</v>
      </c>
      <c r="PT83" s="1" t="n">
        <f aca="false">IF(AND(HT83=0,BK83=1,PS83&gt;0),MIN(PS83,BL83),0)</f>
        <v>0</v>
      </c>
      <c r="PU83" s="1" t="n">
        <f aca="false">PS83-PT83</f>
        <v>0</v>
      </c>
      <c r="PV83" s="1" t="n">
        <f aca="false">IF(AND(HT83=0,BA83=1,PU83&gt;0),MIN(PU83,BB83),0)</f>
        <v>0</v>
      </c>
      <c r="PW83" s="1" t="n">
        <f aca="false">PU83-PV83</f>
        <v>0</v>
      </c>
      <c r="PX83" s="1" t="n">
        <f aca="false">IF(AND(HT83=0,AQ83=1,PW83&gt;0),MIN(PW83,AR83),0)</f>
        <v>0</v>
      </c>
      <c r="PY83" s="1" t="n">
        <f aca="false">PW83-PX83</f>
        <v>0</v>
      </c>
      <c r="PZ83" s="1" t="n">
        <f aca="false">IF(AND(HT83=0,AG83=1,PY83&gt;0),MIN(PY83,AH83),0)</f>
        <v>0</v>
      </c>
      <c r="QA83" s="1" t="n">
        <f aca="false">PY83-PZ83</f>
        <v>0</v>
      </c>
      <c r="QB83" s="1" t="n">
        <f aca="false">IF(AND(HT83=0,V83=1,QA83&gt;0),MIN(QA83,W83),0)</f>
        <v>0</v>
      </c>
      <c r="QC83" s="1" t="n">
        <f aca="false">QA83-QB83</f>
        <v>0</v>
      </c>
      <c r="QD83" s="1" t="n">
        <f aca="false">IF(HT83=0,QC83,0)</f>
        <v>0</v>
      </c>
      <c r="QE83" s="1" t="n">
        <f aca="false">OL83+ON83+QB83+PZ83+PX83+PV83+PT83+PR83+PP83+PN83+PL83+PJ83+PH83+PF83+PD83+PB83+OZ83+OX83+OV83+OT83+OR83+OP83</f>
        <v>0</v>
      </c>
      <c r="QF83" s="1" t="n">
        <f aca="false">IF(HT83=1,HJ83+OI83+OH83+IF(F83=1,0,OJ83),HJ83-OL83)</f>
        <v>541159.771822873</v>
      </c>
      <c r="QG83" s="1" t="n">
        <f aca="false">HK83-ON83</f>
        <v>0</v>
      </c>
      <c r="QH83" s="1" t="n">
        <f aca="false">IF(HT83=1,IF(F83=1,IC83+ID83,HR83),0)</f>
        <v>54981.03735154</v>
      </c>
      <c r="QI83" s="1" t="n">
        <f aca="false">IF(HT83=1,IF(F83=1,HR83-IC83-ID83,0),0)</f>
        <v>0</v>
      </c>
      <c r="QJ83" s="1" t="n">
        <f aca="false">QF83*(1+GR)</f>
        <v>550034.792080768</v>
      </c>
      <c r="QK83" s="1" t="n">
        <f aca="false">QG83*(1+AS_Cash)</f>
        <v>0</v>
      </c>
      <c r="QL83" s="1" t="n">
        <f aca="false">IF(V83=1,IF(HT83=1,IH83+IK83,W83-QB83)*(1+Slot1_Rate),0)</f>
        <v>0</v>
      </c>
      <c r="QM83" s="1" t="n">
        <f aca="false">IF(AND(HT83=1,V83=1),(IG83+IK83)/E83,0)</f>
        <v>0</v>
      </c>
      <c r="QN83" s="1" t="n">
        <f aca="false">IF(B83=0,IG83+IK83,0)</f>
        <v>0</v>
      </c>
      <c r="QO83" s="1" t="n">
        <f aca="false">IF(B83=0,IF(HT83=1,II83,IJ83),0)</f>
        <v>0</v>
      </c>
      <c r="QP83" s="1" t="n">
        <f aca="false">IF(AG83=1,IF(HT83=1,IP83+IS83,AH83-PZ83)*(1+Slot2_Rate),0)</f>
        <v>0</v>
      </c>
      <c r="QQ83" s="1" t="n">
        <f aca="false">IF(AND(HT83=1,AG83=1),(IO83+IS83)/E83,0)</f>
        <v>0</v>
      </c>
      <c r="QR83" s="1" t="n">
        <f aca="false">IF(B83=0,IO83+IS83,0)</f>
        <v>0</v>
      </c>
      <c r="QS83" s="1" t="n">
        <f aca="false">IF(B83=0,IF(HT83=1,IQ83,IR83),0)</f>
        <v>0</v>
      </c>
      <c r="QT83" s="1" t="n">
        <f aca="false">IF(AQ83=1,IF(HT83=1,IX83+JA83,AR83-PX83)*(1+Slot3_Rate),0)</f>
        <v>0</v>
      </c>
      <c r="QU83" s="1" t="n">
        <f aca="false">IF(AND(HT83=1,AQ83=1),(IW83+JA83)/E83,0)</f>
        <v>0</v>
      </c>
      <c r="QV83" s="1" t="n">
        <f aca="false">IF(B83=0,IW83+JA83,0)</f>
        <v>0</v>
      </c>
      <c r="QW83" s="1" t="n">
        <f aca="false">IF(B83=0,IF(HT83=1,IY83,IZ83),0)</f>
        <v>0</v>
      </c>
      <c r="QX83" s="1" t="n">
        <f aca="false">IF(BA83=1,IF(HT83=1,JF83+JI83,BB83-PV83)*(1+Slot4_Rate),0)</f>
        <v>0</v>
      </c>
      <c r="QY83" s="1" t="n">
        <f aca="false">IF(AND(HT83=1,BA83=1),(JE83+JI83)/E83,0)</f>
        <v>0</v>
      </c>
      <c r="QZ83" s="1" t="n">
        <f aca="false">IF(B83=0,JE83+JI83,0)</f>
        <v>0</v>
      </c>
      <c r="RA83" s="1" t="n">
        <f aca="false">IF(B83=0,IF(HT83=1,JG83,JH83),0)</f>
        <v>0</v>
      </c>
      <c r="RB83" s="1" t="n">
        <f aca="false">IF(BK83=1,IF(HT83=1,JN83+JQ83,BL83-PT83)*(1+Slot5_Rate),0)</f>
        <v>0</v>
      </c>
      <c r="RC83" s="1" t="n">
        <f aca="false">IF(AND(HT83=1,BK83=1),(JM83+JQ83)/E83,0)</f>
        <v>0</v>
      </c>
      <c r="RD83" s="1" t="n">
        <f aca="false">IF(B83=0,JM83+JQ83,0)</f>
        <v>0</v>
      </c>
      <c r="RE83" s="1" t="n">
        <f aca="false">IF(B83=0,IF(HT83=1,JO83,JP83),0)</f>
        <v>0</v>
      </c>
      <c r="RF83" s="1" t="n">
        <f aca="false">IF(BU83=1,IF(HT83=1,JV83+JY83,BV83-PR83)*(1+Slot6_Rate),0)</f>
        <v>0</v>
      </c>
      <c r="RG83" s="1" t="n">
        <f aca="false">IF(AND(HT83=1,BU83=1),(JU83+JY83)/E83,0)</f>
        <v>0</v>
      </c>
      <c r="RH83" s="1" t="n">
        <f aca="false">IF(B83=0,JU83+JY83,0)</f>
        <v>0</v>
      </c>
      <c r="RI83" s="1" t="n">
        <f aca="false">IF(B83=0,IF(HT83=1,JW83,JX83),0)</f>
        <v>0</v>
      </c>
      <c r="RJ83" s="1" t="n">
        <f aca="false">IF(CE83=1,IF(HT83=1,KD83+KG83,CF83-PP83)*(1+Slot7_Rate),0)</f>
        <v>0</v>
      </c>
      <c r="RK83" s="1" t="n">
        <f aca="false">IF(AND(HT83=1,CE83=1),(KC83+KG83)/E83,0)</f>
        <v>0</v>
      </c>
      <c r="RL83" s="1" t="n">
        <f aca="false">IF(B83=0,KC83+KG83,0)</f>
        <v>0</v>
      </c>
      <c r="RM83" s="1" t="n">
        <f aca="false">IF(B83=0,IF(HT83=1,KE83,KF83),0)</f>
        <v>0</v>
      </c>
      <c r="RN83" s="1" t="n">
        <f aca="false">IF(CO83=1,IF(HT83=1,KL83+KO83,CP83-PN83)*(1+Slot8_Rate),0)</f>
        <v>0</v>
      </c>
      <c r="RO83" s="1" t="n">
        <f aca="false">IF(AND(HT83=1,CO83=1),(KK83+KO83)/E83,0)</f>
        <v>0</v>
      </c>
      <c r="RP83" s="1" t="n">
        <f aca="false">IF(B83=0,KK83+KO83,0)</f>
        <v>0</v>
      </c>
      <c r="RQ83" s="1" t="n">
        <f aca="false">IF(B83=0,IF(HT83=1,KM83,KN83),0)</f>
        <v>0</v>
      </c>
      <c r="RR83" s="1" t="n">
        <f aca="false">IF(CY83=1,IF(HT83=1,KT83+KW83,CZ83-PL83)*(1+Slot9_Rate),0)</f>
        <v>0</v>
      </c>
      <c r="RS83" s="1" t="n">
        <f aca="false">IF(AND(HT83=1,CY83=1),(KS83+KW83)/E83,0)</f>
        <v>0</v>
      </c>
      <c r="RT83" s="1" t="n">
        <f aca="false">IF(B83=0,KS83+KW83,0)</f>
        <v>0</v>
      </c>
      <c r="RU83" s="1" t="n">
        <f aca="false">IF(B83=0,IF(HT83=1,KU83,KV83),0)</f>
        <v>0</v>
      </c>
      <c r="RV83" s="1" t="n">
        <f aca="false">IF(DI83=1,IF(HT83=1,LB83+LE83,DJ83-PJ83)*(1+Slot10_Rate),0)</f>
        <v>0</v>
      </c>
      <c r="RW83" s="1" t="n">
        <f aca="false">IF(AND(HT83=1,DI83=1),(LA83+LE83)/E83,0)</f>
        <v>0</v>
      </c>
      <c r="RX83" s="1" t="n">
        <f aca="false">IF(B83=0,LA83+LE83,0)</f>
        <v>0</v>
      </c>
      <c r="RY83" s="1" t="n">
        <f aca="false">IF(B83=0,IF(HT83=1,LC83,LD83),0)</f>
        <v>0</v>
      </c>
      <c r="RZ83" s="1" t="n">
        <f aca="false">IF(DS83=1,IF(HT83=1,LJ83+LM83,DT83-PH83)*(1+Slot11_Rate),0)</f>
        <v>0</v>
      </c>
      <c r="SA83" s="1" t="n">
        <f aca="false">IF(AND(HT83=1,DS83=1),(LI83+LM83)/E83,0)</f>
        <v>0</v>
      </c>
      <c r="SB83" s="1" t="n">
        <f aca="false">IF(B83=0,LI83+LM83,0)</f>
        <v>0</v>
      </c>
      <c r="SC83" s="1" t="n">
        <f aca="false">IF(B83=0,IF(HT83=1,LK83,LL83),0)</f>
        <v>0</v>
      </c>
      <c r="SD83" s="1" t="n">
        <f aca="false">IF(EC83=1,IF(HT83=1,LR83+LU83,ED83-PF83)*(1+Slot12_Rate),0)</f>
        <v>0</v>
      </c>
      <c r="SE83" s="1" t="n">
        <f aca="false">IF(AND(HT83=1,EC83=1),(LQ83+LU83)/E83,0)</f>
        <v>0</v>
      </c>
      <c r="SF83" s="1" t="n">
        <f aca="false">IF(B83=0,LQ83+LU83,0)</f>
        <v>0</v>
      </c>
      <c r="SG83" s="1" t="n">
        <f aca="false">IF(B83=0,IF(HT83=1,LS83,LT83),0)</f>
        <v>0</v>
      </c>
      <c r="SH83" s="1" t="n">
        <f aca="false">IF(EM83=1,IF(HT83=1,LZ83+MC83,EN83-PD83)*(1+Slot13_Rate),0)</f>
        <v>0</v>
      </c>
      <c r="SI83" s="1" t="n">
        <f aca="false">IF(AND(HT83=1,EM83=1),(LY83+MC83)/E83,0)</f>
        <v>0</v>
      </c>
      <c r="SJ83" s="1" t="n">
        <f aca="false">IF(B83=0,LY83+MC83,0)</f>
        <v>0</v>
      </c>
      <c r="SK83" s="1" t="n">
        <f aca="false">IF(B83=0,IF(HT83=1,MA83,MB83),0)</f>
        <v>0</v>
      </c>
      <c r="SL83" s="1" t="n">
        <f aca="false">IF(EW83=1,IF(HT83=1,MH83+MK83,EX83-PB83)*(1+Slot14_Rate),0)</f>
        <v>0</v>
      </c>
      <c r="SM83" s="1" t="n">
        <f aca="false">IF(AND(HT83=1,EW83=1),(MG83+MK83)/E83,0)</f>
        <v>0</v>
      </c>
      <c r="SN83" s="1" t="n">
        <f aca="false">IF(B83=0,MG83+MK83,0)</f>
        <v>0</v>
      </c>
      <c r="SO83" s="1" t="n">
        <f aca="false">IF(B83=0,IF(HT83=1,MI83,MJ83),0)</f>
        <v>0</v>
      </c>
      <c r="SP83" s="1" t="n">
        <f aca="false">IF(FG83=1,IF(HT83=1,MP83+MS83,FH83-OZ83)*(1+Slot15_Rate),0)</f>
        <v>0</v>
      </c>
      <c r="SQ83" s="1" t="n">
        <f aca="false">IF(AND(HT83=1,FG83=1),(MO83+MS83)/E83,0)</f>
        <v>0</v>
      </c>
      <c r="SR83" s="1" t="n">
        <f aca="false">IF(B83=0,MO83+MS83,0)</f>
        <v>0</v>
      </c>
      <c r="SS83" s="1" t="n">
        <f aca="false">IF(B83=0,IF(HT83=1,MQ83,MR83),0)</f>
        <v>0</v>
      </c>
      <c r="ST83" s="1" t="n">
        <f aca="false">IF(FQ83=1,IF(HT83=1,MX83+NA83,FR83-OX83)*(1+Slot16_Rate),0)</f>
        <v>0</v>
      </c>
      <c r="SU83" s="1" t="n">
        <f aca="false">IF(AND(HT83=1,FQ83=1),(MW83+NA83)/E83,0)</f>
        <v>0</v>
      </c>
      <c r="SV83" s="1" t="n">
        <f aca="false">IF(B83=0,MW83+NA83,0)</f>
        <v>0</v>
      </c>
      <c r="SW83" s="1" t="n">
        <f aca="false">IF(B83=0,IF(HT83=1,MY83,MZ83),0)</f>
        <v>0</v>
      </c>
      <c r="SX83" s="1" t="n">
        <f aca="false">IF(GA83=1,IF(HT83=1,NF83+NI83,GB83-OV83)*(1+Slot17_Rate),0)</f>
        <v>0</v>
      </c>
      <c r="SY83" s="1" t="n">
        <f aca="false">IF(AND(HT83=1,GA83=1),(NE83+NI83)/E83,0)</f>
        <v>0</v>
      </c>
      <c r="SZ83" s="1" t="n">
        <f aca="false">IF(B83=0,NE83+NI83,0)</f>
        <v>0</v>
      </c>
      <c r="TA83" s="1" t="n">
        <f aca="false">IF(B83=0,IF(HT83=1,NG83,NH83),0)</f>
        <v>0</v>
      </c>
      <c r="TB83" s="1" t="n">
        <f aca="false">IF(GK83=1,IF(HT83=1,NN83+NQ83,GL83-OT83)*(1+Slot18_Rate),0)</f>
        <v>0</v>
      </c>
      <c r="TC83" s="1" t="n">
        <f aca="false">IF(AND(HT83=1,GK83=1),(NM83+NQ83)/E83,0)</f>
        <v>0</v>
      </c>
      <c r="TD83" s="1" t="n">
        <f aca="false">IF(B83=0,NM83+NQ83,0)</f>
        <v>0</v>
      </c>
      <c r="TE83" s="1" t="n">
        <f aca="false">IF(B83=0,IF(HT83=1,NO83,NP83),0)</f>
        <v>0</v>
      </c>
      <c r="TF83" s="1" t="n">
        <f aca="false">IF(GU83=1,IF(HT83=1,NV83+NY83,GV83-OR83)*(1+Slot19_Rate),0)</f>
        <v>0</v>
      </c>
      <c r="TG83" s="1" t="n">
        <f aca="false">IF(AND(HT83=1,GU83=1),(NU83+NY83)/E83,0)</f>
        <v>0</v>
      </c>
      <c r="TH83" s="1" t="n">
        <f aca="false">IF(B83=0,NU83+NY83,0)</f>
        <v>0</v>
      </c>
      <c r="TI83" s="1" t="n">
        <f aca="false">IF(B83=0,IF(HT83=1,NW83,NX83),0)</f>
        <v>0</v>
      </c>
      <c r="TJ83" s="1" t="n">
        <f aca="false">IF(HE83=1,IF(HT83=1,OD83+OG83,HF83-OP83)*(1+Slot20_Rate),0)</f>
        <v>0</v>
      </c>
      <c r="TK83" s="1" t="n">
        <f aca="false">IF(AND(HT83=1,HE83=1),(OC83+OG83)/E83,0)</f>
        <v>0</v>
      </c>
      <c r="TL83" s="1" t="n">
        <f aca="false">IF(B83=0,OC83+OG83,0)</f>
        <v>0</v>
      </c>
      <c r="TM83" s="1" t="n">
        <f aca="false">IF(B83=0,IF(HT83=1,OE83,OF83),0)</f>
        <v>0</v>
      </c>
      <c r="TN83" s="1" t="n">
        <f aca="false">QJ83+QK83+QL83+QP83+QT83+QX83+RB83+RF83+RJ83+RN83+RR83+RV83+RZ83+SD83+SH83+SL83+SP83+ST83+SX83+TB83+TF83+TJ83</f>
        <v>550034.792080768</v>
      </c>
      <c r="TO83" s="1" t="n">
        <f aca="false">QD83+HO83</f>
        <v>0</v>
      </c>
      <c r="TP83" s="1" t="n">
        <f aca="false">H83+R83</f>
        <v>0</v>
      </c>
      <c r="TQ83" s="1" t="n">
        <f aca="false">1-F83</f>
        <v>1</v>
      </c>
      <c r="TR83" s="1" t="n">
        <f aca="false">IF(AND(RG_Exists=1,F83=0,C83=1),H83,0)</f>
        <v>0</v>
      </c>
      <c r="TS83" s="1" t="n">
        <f aca="false">IF(AND(RG_Exists=1,F83=0,C83=1),H83-MIN(QD83,H83),0)</f>
        <v>0</v>
      </c>
      <c r="TT83" s="1" t="n">
        <f aca="false">'Plan pay &amp; tax'!AD309</f>
        <v>0</v>
      </c>
      <c r="TU83" s="1" t="n">
        <f aca="false">IF(AND(C83=1,QD83&gt;MAX(PR_Short1,TP83*PR_Short2)),1,0)</f>
        <v>0</v>
      </c>
      <c r="TV83" s="1" t="n">
        <f aca="false">MIN(G83,H83+R83)</f>
        <v>0</v>
      </c>
      <c r="TW83" s="1" t="n">
        <f aca="false">QE83+MAX(0,HP83-HO83)</f>
        <v>0</v>
      </c>
      <c r="TX83" s="1" t="n">
        <f aca="false">QD83+HO83</f>
        <v>0</v>
      </c>
      <c r="TY83" s="1" t="n">
        <f aca="false">IF(AND(C83=1,TX83&gt;PR_MinShort),1,0)</f>
        <v>0</v>
      </c>
      <c r="TZ83" s="1" t="n">
        <f aca="false">IF(AND(C83=1,TY83=0,TW83&gt;PR_MinShort),1,0)</f>
        <v>0</v>
      </c>
      <c r="UA83" s="1" t="n">
        <f aca="false">IF(AND(C83=1,QD83&gt;PR_MinShort),1,0)</f>
        <v>0</v>
      </c>
      <c r="UB83" s="1" t="n">
        <f aca="false">IF(AND(C83=1,QE83&gt;1,UI83=0),1,0)</f>
        <v>0</v>
      </c>
      <c r="UC83" s="1" t="str">
        <f aca="false">IF(C83=0,"",IF(UI83=1,"Gap to plan for: short "&amp;"€"&amp;TEXT(ROUND(TO83,0),"#,##0"),IF(QE83&gt;1,"Using savings","Comfortable")))</f>
        <v>Comfortable</v>
      </c>
      <c r="UD83" s="1" t="n">
        <f aca="false">IF(AND(INT(D83/10)*10=90,B83&gt;0),80,INT(D83/10)*10)</f>
        <v>70</v>
      </c>
      <c r="UE83" s="1" t="n">
        <f aca="false">IF(B83=0,1,IF(UD83&lt;&gt;UD82,UE82+1,UE82))</f>
        <v>8</v>
      </c>
      <c r="UF83" s="1" t="n">
        <f aca="false">IF(AND(C83=1,F83=1,QD83&gt;MAX(PR_Short1,TP83*PR_Short2)),1,0)</f>
        <v>0</v>
      </c>
      <c r="UG83" s="1" t="n">
        <f aca="false">TQ83*TU83</f>
        <v>0</v>
      </c>
      <c r="UH83" s="1" t="n">
        <f aca="false">IF(AND(U83=1,Slot1_PctLow=1),1,0)+IF(AND(AF83=1,Slot2_PctLow=1),1,0)+IF(AND(AP83=1,Slot3_PctLow=1),1,0)+IF(AND(AZ83=1,Slot4_PctLow=1),1,0)+IF(AND(BJ83=1,Slot5_PctLow=1),1,0)+IF(AND(BT83=1,Slot6_PctLow=1),1,0)+IF(AND(CD83=1,Slot7_PctLow=1),1,0)+IF(AND(CN83=1,Slot8_PctLow=1),1,0)+IF(AND(CX83=1,Slot9_PctLow=1),1,0)+IF(AND(DH83=1,Slot10_PctLow=1),1,0)+IF(AND(DR83=1,Slot11_PctLow=1),1,0)+IF(AND(EB83=1,Slot12_PctLow=1),1,0)+IF(AND(EL83=1,Slot13_PctLow=1),1,0)+IF(AND(EV83=1,Slot14_PctLow=1),1,0)+IF(AND(FF83=1,Slot15_PctLow=1),1,0)+IF(AND(FP83=1,Slot16_PctLow=1),1,0)+IF(AND(FZ83=1,Slot17_PctLow=1),1,0)+IF(AND(GJ83=1,Slot18_PctLow=1),1,0)+IF(AND(GT83=1,Slot19_PctLow=1),1,0)+IF(AND(HD83=1,Slot20_PctLow=1),1,0)</f>
        <v>0</v>
      </c>
      <c r="UI83" s="1" t="n">
        <f aca="false">IF(C83=1,IF(OR(TU83=1,UH83&gt;0),1,0),0)</f>
        <v>0</v>
      </c>
    </row>
    <row r="84" customFormat="false" ht="15" hidden="false" customHeight="true" outlineLevel="0" collapsed="false">
      <c r="B84" s="1" t="n">
        <v>76</v>
      </c>
      <c r="C84" s="1" t="n">
        <f aca="false">IF(B84&lt;=F_N,1,0)</f>
        <v>1</v>
      </c>
      <c r="D84" s="1" t="n">
        <f aca="false">'Plan pay &amp; tax'!C310</f>
        <v>76</v>
      </c>
      <c r="E84" s="111" t="n">
        <f aca="false">'Plan pay &amp; tax'!E310</f>
        <v>4.50415216423022</v>
      </c>
      <c r="F84" s="1" t="n">
        <f aca="false">'Plan pay &amp; tax'!G310</f>
        <v>0</v>
      </c>
      <c r="G84" s="1" t="n">
        <f aca="false">'Plan pay &amp; tax'!BT310-'Plan pay &amp; tax'!BS310-'Plan pay &amp; tax'!R310</f>
        <v>56080.6580985708</v>
      </c>
      <c r="H84" s="1" t="n">
        <f aca="false">IF(F84=1,F_CostsM*12,IF(RG_Exists=1,RG_Amount,F_CostsM*12*AS_RetireSpend))*E84+F_OneOffY*E84</f>
        <v>0</v>
      </c>
      <c r="I84" s="1" t="n">
        <f aca="false">HQ83</f>
        <v>0</v>
      </c>
      <c r="J84" s="1" t="n">
        <f aca="false">IF(I84&gt;1,'Plan debt months'!AC84,0)</f>
        <v>0</v>
      </c>
      <c r="K84" s="1" t="n">
        <f aca="false">IF(I84&gt;1,'Plan debt months'!AB84,I84)</f>
        <v>0</v>
      </c>
      <c r="L84" s="1" t="n">
        <f aca="false">N83</f>
        <v>0</v>
      </c>
      <c r="M84" s="1" t="n">
        <f aca="false">IF(L84&gt;1,'Plan debt months'!BD84,0)</f>
        <v>0</v>
      </c>
      <c r="N84" s="1" t="n">
        <f aca="false">IF(L84&gt;1,'Plan debt months'!BC84,L84)</f>
        <v>0</v>
      </c>
      <c r="O84" s="1" t="n">
        <f aca="false">Q83</f>
        <v>0</v>
      </c>
      <c r="P84" s="1" t="n">
        <f aca="false">IF(O84&gt;1,'Plan debt months'!CE84,0)</f>
        <v>0</v>
      </c>
      <c r="Q84" s="1" t="n">
        <f aca="false">IF(O84&gt;1,'Plan debt months'!CD84,O84)</f>
        <v>0</v>
      </c>
      <c r="R84" s="1" t="n">
        <f aca="false">J84+M84+P84</f>
        <v>0</v>
      </c>
      <c r="S84" s="1" t="n">
        <f aca="false">QJ83+'Plan pay &amp; tax'!Y310</f>
        <v>550034.792080768</v>
      </c>
      <c r="T84" s="1" t="n">
        <f aca="false">QJ83</f>
        <v>550034.792080768</v>
      </c>
      <c r="U84" s="1" t="n">
        <f aca="false">IF(AND(Slot1_On=1,D84=Slot1_Age),1,0)</f>
        <v>0</v>
      </c>
      <c r="V84" s="1" t="n">
        <f aca="false">IF(AND(Slot1_On=1,Slot1_Age&gt;D84),1,0)</f>
        <v>0</v>
      </c>
      <c r="W84" s="1" t="n">
        <f aca="false">QL83</f>
        <v>0</v>
      </c>
      <c r="X84" s="1" t="n">
        <f aca="false">U84*MIN(Slot1_Cost,W84)</f>
        <v>0</v>
      </c>
      <c r="Y84" s="1" t="n">
        <f aca="false">U84*Slot1_SpendLike*MIN(Slot1_Cost-X84,S84)</f>
        <v>0</v>
      </c>
      <c r="Z84" s="1" t="n">
        <f aca="false">X84+Y84</f>
        <v>0</v>
      </c>
      <c r="AA84" s="1" t="n">
        <f aca="false">S84-Y84+U84*IF(Slot1_SpendLike=1,W84-X84,IF(Slot1_PotFree=1,W84,0))</f>
        <v>550034.792080768</v>
      </c>
      <c r="AB84" s="1" t="n">
        <f aca="false">AE84+U84*Slot1_BufPot*W84</f>
        <v>0</v>
      </c>
      <c r="AC84" s="1" t="n">
        <f aca="false">IF(AND(U84=1,Slot1_IsMfree=1),IF(Z84&gt;=Slot1_Cost-1,0,MAX(0,K84-Z84)),K84)</f>
        <v>0</v>
      </c>
      <c r="AD84" s="1" t="n">
        <f aca="false">U84*(Slot1_Cost-Z84)</f>
        <v>0</v>
      </c>
      <c r="AE84" s="1" t="n">
        <f aca="false">QK83</f>
        <v>0</v>
      </c>
      <c r="AF84" s="1" t="n">
        <f aca="false">IF(AND(Slot2_On=1,D84=Slot2_Age),1,0)</f>
        <v>0</v>
      </c>
      <c r="AG84" s="1" t="n">
        <f aca="false">IF(AND(Slot2_On=1,Slot2_Age&gt;D84),1,0)</f>
        <v>0</v>
      </c>
      <c r="AH84" s="1" t="n">
        <f aca="false">QP83</f>
        <v>0</v>
      </c>
      <c r="AI84" s="1" t="n">
        <f aca="false">AF84*MIN(Slot2_Cost,AH84)</f>
        <v>0</v>
      </c>
      <c r="AJ84" s="1" t="n">
        <f aca="false">AF84*Slot2_SpendLike*MIN(Slot2_Cost-AI84,AA84)</f>
        <v>0</v>
      </c>
      <c r="AK84" s="1" t="n">
        <f aca="false">AI84+AJ84</f>
        <v>0</v>
      </c>
      <c r="AL84" s="1" t="n">
        <f aca="false">AA84-AJ84+AF84*IF(Slot2_SpendLike=1,AH84-AI84,IF(Slot2_PotFree=1,AH84,0))</f>
        <v>550034.792080768</v>
      </c>
      <c r="AM84" s="1" t="n">
        <f aca="false">AB84+AF84*Slot2_BufPot*AH84</f>
        <v>0</v>
      </c>
      <c r="AN84" s="1" t="n">
        <f aca="false">IF(AND(AF84=1,Slot2_IsMfree=1),IF(AK84&gt;=Slot2_Cost-1,0,MAX(0,AC84-AK84)),AC84)</f>
        <v>0</v>
      </c>
      <c r="AO84" s="1" t="n">
        <f aca="false">AF84*(Slot2_Cost-AK84)</f>
        <v>0</v>
      </c>
      <c r="AP84" s="1" t="n">
        <f aca="false">IF(AND(Slot3_On=1,D84=Slot3_Age),1,0)</f>
        <v>0</v>
      </c>
      <c r="AQ84" s="1" t="n">
        <f aca="false">IF(AND(Slot3_On=1,Slot3_Age&gt;D84),1,0)</f>
        <v>0</v>
      </c>
      <c r="AR84" s="1" t="n">
        <f aca="false">QT83</f>
        <v>0</v>
      </c>
      <c r="AS84" s="1" t="n">
        <f aca="false">AP84*MIN(Slot3_Cost,AR84)</f>
        <v>0</v>
      </c>
      <c r="AT84" s="1" t="n">
        <f aca="false">AP84*Slot3_SpendLike*MIN(Slot3_Cost-AS84,AL84)</f>
        <v>0</v>
      </c>
      <c r="AU84" s="1" t="n">
        <f aca="false">AS84+AT84</f>
        <v>0</v>
      </c>
      <c r="AV84" s="1" t="n">
        <f aca="false">AL84-AT84+AP84*IF(Slot3_SpendLike=1,AR84-AS84,IF(Slot3_PotFree=1,AR84,0))</f>
        <v>550034.792080768</v>
      </c>
      <c r="AW84" s="1" t="n">
        <f aca="false">AM84+AP84*Slot3_BufPot*AR84</f>
        <v>0</v>
      </c>
      <c r="AX84" s="1" t="n">
        <f aca="false">IF(AND(AP84=1,Slot3_IsMfree=1),IF(AU84&gt;=Slot3_Cost-1,0,MAX(0,AN84-AU84)),AN84)</f>
        <v>0</v>
      </c>
      <c r="AY84" s="1" t="n">
        <f aca="false">AP84*(Slot3_Cost-AU84)</f>
        <v>0</v>
      </c>
      <c r="AZ84" s="1" t="n">
        <f aca="false">IF(AND(Slot4_On=1,D84=Slot4_Age),1,0)</f>
        <v>0</v>
      </c>
      <c r="BA84" s="1" t="n">
        <f aca="false">IF(AND(Slot4_On=1,Slot4_Age&gt;D84),1,0)</f>
        <v>0</v>
      </c>
      <c r="BB84" s="1" t="n">
        <f aca="false">QX83</f>
        <v>0</v>
      </c>
      <c r="BC84" s="1" t="n">
        <f aca="false">AZ84*MIN(Slot4_Cost,BB84)</f>
        <v>0</v>
      </c>
      <c r="BD84" s="1" t="n">
        <f aca="false">AZ84*Slot4_SpendLike*MIN(Slot4_Cost-BC84,AV84)</f>
        <v>0</v>
      </c>
      <c r="BE84" s="1" t="n">
        <f aca="false">BC84+BD84</f>
        <v>0</v>
      </c>
      <c r="BF84" s="1" t="n">
        <f aca="false">AV84-BD84+AZ84*IF(Slot4_SpendLike=1,BB84-BC84,IF(Slot4_PotFree=1,BB84,0))</f>
        <v>550034.792080768</v>
      </c>
      <c r="BG84" s="1" t="n">
        <f aca="false">AW84+AZ84*Slot4_BufPot*BB84</f>
        <v>0</v>
      </c>
      <c r="BH84" s="1" t="n">
        <f aca="false">IF(AND(AZ84=1,Slot4_IsMfree=1),IF(BE84&gt;=Slot4_Cost-1,0,MAX(0,AX84-BE84)),AX84)</f>
        <v>0</v>
      </c>
      <c r="BI84" s="1" t="n">
        <f aca="false">AZ84*(Slot4_Cost-BE84)</f>
        <v>0</v>
      </c>
      <c r="BJ84" s="1" t="n">
        <f aca="false">IF(AND(Slot5_On=1,D84=Slot5_Age),1,0)</f>
        <v>0</v>
      </c>
      <c r="BK84" s="1" t="n">
        <f aca="false">IF(AND(Slot5_On=1,Slot5_Age&gt;D84),1,0)</f>
        <v>0</v>
      </c>
      <c r="BL84" s="1" t="n">
        <f aca="false">RB83</f>
        <v>0</v>
      </c>
      <c r="BM84" s="1" t="n">
        <f aca="false">BJ84*MIN(Slot5_Cost,BL84)</f>
        <v>0</v>
      </c>
      <c r="BN84" s="1" t="n">
        <f aca="false">BJ84*Slot5_SpendLike*MIN(Slot5_Cost-BM84,BF84)</f>
        <v>0</v>
      </c>
      <c r="BO84" s="1" t="n">
        <f aca="false">BM84+BN84</f>
        <v>0</v>
      </c>
      <c r="BP84" s="1" t="n">
        <f aca="false">BF84-BN84+BJ84*IF(Slot5_SpendLike=1,BL84-BM84,IF(Slot5_PotFree=1,BL84,0))</f>
        <v>550034.792080768</v>
      </c>
      <c r="BQ84" s="1" t="n">
        <f aca="false">BG84+BJ84*Slot5_BufPot*BL84</f>
        <v>0</v>
      </c>
      <c r="BR84" s="1" t="n">
        <f aca="false">IF(AND(BJ84=1,Slot5_IsMfree=1),IF(BO84&gt;=Slot5_Cost-1,0,MAX(0,BH84-BO84)),BH84)</f>
        <v>0</v>
      </c>
      <c r="BS84" s="1" t="n">
        <f aca="false">BJ84*(Slot5_Cost-BO84)</f>
        <v>0</v>
      </c>
      <c r="BT84" s="1" t="n">
        <f aca="false">IF(AND(Slot6_On=1,D84=Slot6_Age),1,0)</f>
        <v>0</v>
      </c>
      <c r="BU84" s="1" t="n">
        <f aca="false">IF(AND(Slot6_On=1,Slot6_Age&gt;D84),1,0)</f>
        <v>0</v>
      </c>
      <c r="BV84" s="1" t="n">
        <f aca="false">RF83</f>
        <v>0</v>
      </c>
      <c r="BW84" s="1" t="n">
        <f aca="false">BT84*MIN(Slot6_Cost,BV84)</f>
        <v>0</v>
      </c>
      <c r="BX84" s="1" t="n">
        <f aca="false">BT84*Slot6_SpendLike*MIN(Slot6_Cost-BW84,BP84)</f>
        <v>0</v>
      </c>
      <c r="BY84" s="1" t="n">
        <f aca="false">BW84+BX84</f>
        <v>0</v>
      </c>
      <c r="BZ84" s="1" t="n">
        <f aca="false">BP84-BX84+BT84*IF(Slot6_SpendLike=1,BV84-BW84,IF(Slot6_PotFree=1,BV84,0))</f>
        <v>550034.792080768</v>
      </c>
      <c r="CA84" s="1" t="n">
        <f aca="false">BQ84+BT84*Slot6_BufPot*BV84</f>
        <v>0</v>
      </c>
      <c r="CB84" s="1" t="n">
        <f aca="false">IF(AND(BT84=1,Slot6_IsMfree=1),IF(BY84&gt;=Slot6_Cost-1,0,MAX(0,BR84-BY84)),BR84)</f>
        <v>0</v>
      </c>
      <c r="CC84" s="1" t="n">
        <f aca="false">BT84*(Slot6_Cost-BY84)</f>
        <v>0</v>
      </c>
      <c r="CD84" s="1" t="n">
        <f aca="false">IF(AND(Slot7_On=1,D84=Slot7_Age),1,0)</f>
        <v>0</v>
      </c>
      <c r="CE84" s="1" t="n">
        <f aca="false">IF(AND(Slot7_On=1,Slot7_Age&gt;D84),1,0)</f>
        <v>0</v>
      </c>
      <c r="CF84" s="1" t="n">
        <f aca="false">RJ83</f>
        <v>0</v>
      </c>
      <c r="CG84" s="1" t="n">
        <f aca="false">CD84*MIN(Slot7_Cost,CF84)</f>
        <v>0</v>
      </c>
      <c r="CH84" s="1" t="n">
        <f aca="false">CD84*Slot7_SpendLike*MIN(Slot7_Cost-CG84,BZ84)</f>
        <v>0</v>
      </c>
      <c r="CI84" s="1" t="n">
        <f aca="false">CG84+CH84</f>
        <v>0</v>
      </c>
      <c r="CJ84" s="1" t="n">
        <f aca="false">BZ84-CH84+CD84*IF(Slot7_SpendLike=1,CF84-CG84,IF(Slot7_PotFree=1,CF84,0))</f>
        <v>550034.792080768</v>
      </c>
      <c r="CK84" s="1" t="n">
        <f aca="false">CA84+CD84*Slot7_BufPot*CF84</f>
        <v>0</v>
      </c>
      <c r="CL84" s="1" t="n">
        <f aca="false">IF(AND(CD84=1,Slot7_IsMfree=1),IF(CI84&gt;=Slot7_Cost-1,0,MAX(0,CB84-CI84)),CB84)</f>
        <v>0</v>
      </c>
      <c r="CM84" s="1" t="n">
        <f aca="false">CD84*(Slot7_Cost-CI84)</f>
        <v>0</v>
      </c>
      <c r="CN84" s="1" t="n">
        <f aca="false">IF(AND(Slot8_On=1,D84=Slot8_Age),1,0)</f>
        <v>0</v>
      </c>
      <c r="CO84" s="1" t="n">
        <f aca="false">IF(AND(Slot8_On=1,Slot8_Age&gt;D84),1,0)</f>
        <v>0</v>
      </c>
      <c r="CP84" s="1" t="n">
        <f aca="false">RN83</f>
        <v>0</v>
      </c>
      <c r="CQ84" s="1" t="n">
        <f aca="false">CN84*MIN(Slot8_Cost,CP84)</f>
        <v>0</v>
      </c>
      <c r="CR84" s="1" t="n">
        <f aca="false">CN84*Slot8_SpendLike*MIN(Slot8_Cost-CQ84,CJ84)</f>
        <v>0</v>
      </c>
      <c r="CS84" s="1" t="n">
        <f aca="false">CQ84+CR84</f>
        <v>0</v>
      </c>
      <c r="CT84" s="1" t="n">
        <f aca="false">CJ84-CR84+CN84*IF(Slot8_SpendLike=1,CP84-CQ84,IF(Slot8_PotFree=1,CP84,0))</f>
        <v>550034.792080768</v>
      </c>
      <c r="CU84" s="1" t="n">
        <f aca="false">CK84+CN84*Slot8_BufPot*CP84</f>
        <v>0</v>
      </c>
      <c r="CV84" s="1" t="n">
        <f aca="false">IF(AND(CN84=1,Slot8_IsMfree=1),IF(CS84&gt;=Slot8_Cost-1,0,MAX(0,CL84-CS84)),CL84)</f>
        <v>0</v>
      </c>
      <c r="CW84" s="1" t="n">
        <f aca="false">CN84*(Slot8_Cost-CS84)</f>
        <v>0</v>
      </c>
      <c r="CX84" s="1" t="n">
        <f aca="false">IF(AND(Slot9_On=1,D84=Slot9_Age),1,0)</f>
        <v>0</v>
      </c>
      <c r="CY84" s="1" t="n">
        <f aca="false">IF(AND(Slot9_On=1,Slot9_Age&gt;D84),1,0)</f>
        <v>0</v>
      </c>
      <c r="CZ84" s="1" t="n">
        <f aca="false">RR83</f>
        <v>0</v>
      </c>
      <c r="DA84" s="1" t="n">
        <f aca="false">CX84*MIN(Slot9_Cost,CZ84)</f>
        <v>0</v>
      </c>
      <c r="DB84" s="1" t="n">
        <f aca="false">CX84*Slot9_SpendLike*MIN(Slot9_Cost-DA84,CT84)</f>
        <v>0</v>
      </c>
      <c r="DC84" s="1" t="n">
        <f aca="false">DA84+DB84</f>
        <v>0</v>
      </c>
      <c r="DD84" s="1" t="n">
        <f aca="false">CT84-DB84+CX84*IF(Slot9_SpendLike=1,CZ84-DA84,IF(Slot9_PotFree=1,CZ84,0))</f>
        <v>550034.792080768</v>
      </c>
      <c r="DE84" s="1" t="n">
        <f aca="false">CU84+CX84*Slot9_BufPot*CZ84</f>
        <v>0</v>
      </c>
      <c r="DF84" s="1" t="n">
        <f aca="false">IF(AND(CX84=1,Slot9_IsMfree=1),IF(DC84&gt;=Slot9_Cost-1,0,MAX(0,CV84-DC84)),CV84)</f>
        <v>0</v>
      </c>
      <c r="DG84" s="1" t="n">
        <f aca="false">CX84*(Slot9_Cost-DC84)</f>
        <v>0</v>
      </c>
      <c r="DH84" s="1" t="n">
        <f aca="false">IF(AND(Slot10_On=1,D84=Slot10_Age),1,0)</f>
        <v>0</v>
      </c>
      <c r="DI84" s="1" t="n">
        <f aca="false">IF(AND(Slot10_On=1,Slot10_Age&gt;D84),1,0)</f>
        <v>0</v>
      </c>
      <c r="DJ84" s="1" t="n">
        <f aca="false">RV83</f>
        <v>0</v>
      </c>
      <c r="DK84" s="1" t="n">
        <f aca="false">DH84*MIN(Slot10_Cost,DJ84)</f>
        <v>0</v>
      </c>
      <c r="DL84" s="1" t="n">
        <f aca="false">DH84*Slot10_SpendLike*MIN(Slot10_Cost-DK84,DD84)</f>
        <v>0</v>
      </c>
      <c r="DM84" s="1" t="n">
        <f aca="false">DK84+DL84</f>
        <v>0</v>
      </c>
      <c r="DN84" s="1" t="n">
        <f aca="false">DD84-DL84+DH84*IF(Slot10_SpendLike=1,DJ84-DK84,IF(Slot10_PotFree=1,DJ84,0))</f>
        <v>550034.792080768</v>
      </c>
      <c r="DO84" s="1" t="n">
        <f aca="false">DE84+DH84*Slot10_BufPot*DJ84</f>
        <v>0</v>
      </c>
      <c r="DP84" s="1" t="n">
        <f aca="false">IF(AND(DH84=1,Slot10_IsMfree=1),IF(DM84&gt;=Slot10_Cost-1,0,MAX(0,DF84-DM84)),DF84)</f>
        <v>0</v>
      </c>
      <c r="DQ84" s="1" t="n">
        <f aca="false">DH84*(Slot10_Cost-DM84)</f>
        <v>0</v>
      </c>
      <c r="DR84" s="1" t="n">
        <f aca="false">IF(AND(Slot11_On=1,D84=Slot11_Age),1,0)</f>
        <v>0</v>
      </c>
      <c r="DS84" s="1" t="n">
        <f aca="false">IF(AND(Slot11_On=1,Slot11_Age&gt;D84),1,0)</f>
        <v>0</v>
      </c>
      <c r="DT84" s="1" t="n">
        <f aca="false">RZ83</f>
        <v>0</v>
      </c>
      <c r="DU84" s="1" t="n">
        <f aca="false">DR84*MIN(Slot11_Cost,DT84)</f>
        <v>0</v>
      </c>
      <c r="DV84" s="1" t="n">
        <f aca="false">DR84*Slot11_SpendLike*MIN(Slot11_Cost-DU84,DN84)</f>
        <v>0</v>
      </c>
      <c r="DW84" s="1" t="n">
        <f aca="false">DU84+DV84</f>
        <v>0</v>
      </c>
      <c r="DX84" s="1" t="n">
        <f aca="false">DN84-DV84+DR84*IF(Slot11_SpendLike=1,DT84-DU84,IF(Slot11_PotFree=1,DT84,0))</f>
        <v>550034.792080768</v>
      </c>
      <c r="DY84" s="1" t="n">
        <f aca="false">DO84+DR84*Slot11_BufPot*DT84</f>
        <v>0</v>
      </c>
      <c r="DZ84" s="1" t="n">
        <f aca="false">IF(AND(DR84=1,Slot11_IsMfree=1),IF(DW84&gt;=Slot11_Cost-1,0,MAX(0,DP84-DW84)),DP84)</f>
        <v>0</v>
      </c>
      <c r="EA84" s="1" t="n">
        <f aca="false">DR84*(Slot11_Cost-DW84)</f>
        <v>0</v>
      </c>
      <c r="EB84" s="1" t="n">
        <f aca="false">IF(AND(Slot12_On=1,D84=Slot12_Age),1,0)</f>
        <v>0</v>
      </c>
      <c r="EC84" s="1" t="n">
        <f aca="false">IF(AND(Slot12_On=1,Slot12_Age&gt;D84),1,0)</f>
        <v>0</v>
      </c>
      <c r="ED84" s="1" t="n">
        <f aca="false">SD83</f>
        <v>0</v>
      </c>
      <c r="EE84" s="1" t="n">
        <f aca="false">EB84*MIN(Slot12_Cost,ED84)</f>
        <v>0</v>
      </c>
      <c r="EF84" s="1" t="n">
        <f aca="false">EB84*Slot12_SpendLike*MIN(Slot12_Cost-EE84,DX84)</f>
        <v>0</v>
      </c>
      <c r="EG84" s="1" t="n">
        <f aca="false">EE84+EF84</f>
        <v>0</v>
      </c>
      <c r="EH84" s="1" t="n">
        <f aca="false">DX84-EF84+EB84*IF(Slot12_SpendLike=1,ED84-EE84,IF(Slot12_PotFree=1,ED84,0))</f>
        <v>550034.792080768</v>
      </c>
      <c r="EI84" s="1" t="n">
        <f aca="false">DY84+EB84*Slot12_BufPot*ED84</f>
        <v>0</v>
      </c>
      <c r="EJ84" s="1" t="n">
        <f aca="false">IF(AND(EB84=1,Slot12_IsMfree=1),IF(EG84&gt;=Slot12_Cost-1,0,MAX(0,DZ84-EG84)),DZ84)</f>
        <v>0</v>
      </c>
      <c r="EK84" s="1" t="n">
        <f aca="false">EB84*(Slot12_Cost-EG84)</f>
        <v>0</v>
      </c>
      <c r="EL84" s="1" t="n">
        <f aca="false">IF(AND(Slot13_On=1,D84=Slot13_Age),1,0)</f>
        <v>0</v>
      </c>
      <c r="EM84" s="1" t="n">
        <f aca="false">IF(AND(Slot13_On=1,Slot13_Age&gt;D84),1,0)</f>
        <v>0</v>
      </c>
      <c r="EN84" s="1" t="n">
        <f aca="false">SH83</f>
        <v>0</v>
      </c>
      <c r="EO84" s="1" t="n">
        <f aca="false">EL84*MIN(Slot13_Cost,EN84)</f>
        <v>0</v>
      </c>
      <c r="EP84" s="1" t="n">
        <f aca="false">EL84*Slot13_SpendLike*MIN(Slot13_Cost-EO84,EH84)</f>
        <v>0</v>
      </c>
      <c r="EQ84" s="1" t="n">
        <f aca="false">EO84+EP84</f>
        <v>0</v>
      </c>
      <c r="ER84" s="1" t="n">
        <f aca="false">EH84-EP84+EL84*IF(Slot13_SpendLike=1,EN84-EO84,IF(Slot13_PotFree=1,EN84,0))</f>
        <v>550034.792080768</v>
      </c>
      <c r="ES84" s="1" t="n">
        <f aca="false">EI84+EL84*Slot13_BufPot*EN84</f>
        <v>0</v>
      </c>
      <c r="ET84" s="1" t="n">
        <f aca="false">IF(AND(EL84=1,Slot13_IsMfree=1),IF(EQ84&gt;=Slot13_Cost-1,0,MAX(0,EJ84-EQ84)),EJ84)</f>
        <v>0</v>
      </c>
      <c r="EU84" s="1" t="n">
        <f aca="false">EL84*(Slot13_Cost-EQ84)</f>
        <v>0</v>
      </c>
      <c r="EV84" s="1" t="n">
        <f aca="false">IF(AND(Slot14_On=1,D84=Slot14_Age),1,0)</f>
        <v>0</v>
      </c>
      <c r="EW84" s="1" t="n">
        <f aca="false">IF(AND(Slot14_On=1,Slot14_Age&gt;D84),1,0)</f>
        <v>0</v>
      </c>
      <c r="EX84" s="1" t="n">
        <f aca="false">SL83</f>
        <v>0</v>
      </c>
      <c r="EY84" s="1" t="n">
        <f aca="false">EV84*MIN(Slot14_Cost,EX84)</f>
        <v>0</v>
      </c>
      <c r="EZ84" s="1" t="n">
        <f aca="false">EV84*Slot14_SpendLike*MIN(Slot14_Cost-EY84,ER84)</f>
        <v>0</v>
      </c>
      <c r="FA84" s="1" t="n">
        <f aca="false">EY84+EZ84</f>
        <v>0</v>
      </c>
      <c r="FB84" s="1" t="n">
        <f aca="false">ER84-EZ84+EV84*IF(Slot14_SpendLike=1,EX84-EY84,IF(Slot14_PotFree=1,EX84,0))</f>
        <v>550034.792080768</v>
      </c>
      <c r="FC84" s="1" t="n">
        <f aca="false">ES84+EV84*Slot14_BufPot*EX84</f>
        <v>0</v>
      </c>
      <c r="FD84" s="1" t="n">
        <f aca="false">IF(AND(EV84=1,Slot14_IsMfree=1),IF(FA84&gt;=Slot14_Cost-1,0,MAX(0,ET84-FA84)),ET84)</f>
        <v>0</v>
      </c>
      <c r="FE84" s="1" t="n">
        <f aca="false">EV84*(Slot14_Cost-FA84)</f>
        <v>0</v>
      </c>
      <c r="FF84" s="1" t="n">
        <f aca="false">IF(AND(Slot15_On=1,D84=Slot15_Age),1,0)</f>
        <v>0</v>
      </c>
      <c r="FG84" s="1" t="n">
        <f aca="false">IF(AND(Slot15_On=1,Slot15_Age&gt;D84),1,0)</f>
        <v>0</v>
      </c>
      <c r="FH84" s="1" t="n">
        <f aca="false">SP83</f>
        <v>0</v>
      </c>
      <c r="FI84" s="1" t="n">
        <f aca="false">FF84*MIN(Slot15_Cost,FH84)</f>
        <v>0</v>
      </c>
      <c r="FJ84" s="1" t="n">
        <f aca="false">FF84*Slot15_SpendLike*MIN(Slot15_Cost-FI84,FB84)</f>
        <v>0</v>
      </c>
      <c r="FK84" s="1" t="n">
        <f aca="false">FI84+FJ84</f>
        <v>0</v>
      </c>
      <c r="FL84" s="1" t="n">
        <f aca="false">FB84-FJ84+FF84*IF(Slot15_SpendLike=1,FH84-FI84,IF(Slot15_PotFree=1,FH84,0))</f>
        <v>550034.792080768</v>
      </c>
      <c r="FM84" s="1" t="n">
        <f aca="false">FC84+FF84*Slot15_BufPot*FH84</f>
        <v>0</v>
      </c>
      <c r="FN84" s="1" t="n">
        <f aca="false">IF(AND(FF84=1,Slot15_IsMfree=1),IF(FK84&gt;=Slot15_Cost-1,0,MAX(0,FD84-FK84)),FD84)</f>
        <v>0</v>
      </c>
      <c r="FO84" s="1" t="n">
        <f aca="false">FF84*(Slot15_Cost-FK84)</f>
        <v>0</v>
      </c>
      <c r="FP84" s="1" t="n">
        <f aca="false">IF(AND(Slot16_On=1,D84=Slot16_Age),1,0)</f>
        <v>0</v>
      </c>
      <c r="FQ84" s="1" t="n">
        <f aca="false">IF(AND(Slot16_On=1,Slot16_Age&gt;D84),1,0)</f>
        <v>0</v>
      </c>
      <c r="FR84" s="1" t="n">
        <f aca="false">ST83</f>
        <v>0</v>
      </c>
      <c r="FS84" s="1" t="n">
        <f aca="false">FP84*MIN(Slot16_Cost,FR84)</f>
        <v>0</v>
      </c>
      <c r="FT84" s="1" t="n">
        <f aca="false">FP84*Slot16_SpendLike*MIN(Slot16_Cost-FS84,FL84)</f>
        <v>0</v>
      </c>
      <c r="FU84" s="1" t="n">
        <f aca="false">FS84+FT84</f>
        <v>0</v>
      </c>
      <c r="FV84" s="1" t="n">
        <f aca="false">FL84-FT84+FP84*IF(Slot16_SpendLike=1,FR84-FS84,IF(Slot16_PotFree=1,FR84,0))</f>
        <v>550034.792080768</v>
      </c>
      <c r="FW84" s="1" t="n">
        <f aca="false">FM84+FP84*Slot16_BufPot*FR84</f>
        <v>0</v>
      </c>
      <c r="FX84" s="1" t="n">
        <f aca="false">IF(AND(FP84=1,Slot16_IsMfree=1),IF(FU84&gt;=Slot16_Cost-1,0,MAX(0,FN84-FU84)),FN84)</f>
        <v>0</v>
      </c>
      <c r="FY84" s="1" t="n">
        <f aca="false">FP84*(Slot16_Cost-FU84)</f>
        <v>0</v>
      </c>
      <c r="FZ84" s="1" t="n">
        <f aca="false">IF(AND(Slot17_On=1,D84=Slot17_Age),1,0)</f>
        <v>0</v>
      </c>
      <c r="GA84" s="1" t="n">
        <f aca="false">IF(AND(Slot17_On=1,Slot17_Age&gt;D84),1,0)</f>
        <v>0</v>
      </c>
      <c r="GB84" s="1" t="n">
        <f aca="false">SX83</f>
        <v>0</v>
      </c>
      <c r="GC84" s="1" t="n">
        <f aca="false">FZ84*MIN(Slot17_Cost,GB84)</f>
        <v>0</v>
      </c>
      <c r="GD84" s="1" t="n">
        <f aca="false">FZ84*Slot17_SpendLike*MIN(Slot17_Cost-GC84,FV84)</f>
        <v>0</v>
      </c>
      <c r="GE84" s="1" t="n">
        <f aca="false">GC84+GD84</f>
        <v>0</v>
      </c>
      <c r="GF84" s="1" t="n">
        <f aca="false">FV84-GD84+FZ84*IF(Slot17_SpendLike=1,GB84-GC84,IF(Slot17_PotFree=1,GB84,0))</f>
        <v>550034.792080768</v>
      </c>
      <c r="GG84" s="1" t="n">
        <f aca="false">FW84+FZ84*Slot17_BufPot*GB84</f>
        <v>0</v>
      </c>
      <c r="GH84" s="1" t="n">
        <f aca="false">IF(AND(FZ84=1,Slot17_IsMfree=1),IF(GE84&gt;=Slot17_Cost-1,0,MAX(0,FX84-GE84)),FX84)</f>
        <v>0</v>
      </c>
      <c r="GI84" s="1" t="n">
        <f aca="false">FZ84*(Slot17_Cost-GE84)</f>
        <v>0</v>
      </c>
      <c r="GJ84" s="1" t="n">
        <f aca="false">IF(AND(Slot18_On=1,D84=Slot18_Age),1,0)</f>
        <v>0</v>
      </c>
      <c r="GK84" s="1" t="n">
        <f aca="false">IF(AND(Slot18_On=1,Slot18_Age&gt;D84),1,0)</f>
        <v>0</v>
      </c>
      <c r="GL84" s="1" t="n">
        <f aca="false">TB83</f>
        <v>0</v>
      </c>
      <c r="GM84" s="1" t="n">
        <f aca="false">GJ84*MIN(Slot18_Cost,GL84)</f>
        <v>0</v>
      </c>
      <c r="GN84" s="1" t="n">
        <f aca="false">GJ84*Slot18_SpendLike*MIN(Slot18_Cost-GM84,GF84)</f>
        <v>0</v>
      </c>
      <c r="GO84" s="1" t="n">
        <f aca="false">GM84+GN84</f>
        <v>0</v>
      </c>
      <c r="GP84" s="1" t="n">
        <f aca="false">GF84-GN84+GJ84*IF(Slot18_SpendLike=1,GL84-GM84,IF(Slot18_PotFree=1,GL84,0))</f>
        <v>550034.792080768</v>
      </c>
      <c r="GQ84" s="1" t="n">
        <f aca="false">GG84+GJ84*Slot18_BufPot*GL84</f>
        <v>0</v>
      </c>
      <c r="GR84" s="1" t="n">
        <f aca="false">IF(AND(GJ84=1,Slot18_IsMfree=1),IF(GO84&gt;=Slot18_Cost-1,0,MAX(0,GH84-GO84)),GH84)</f>
        <v>0</v>
      </c>
      <c r="GS84" s="1" t="n">
        <f aca="false">GJ84*(Slot18_Cost-GO84)</f>
        <v>0</v>
      </c>
      <c r="GT84" s="1" t="n">
        <f aca="false">IF(AND(Slot19_On=1,D84=Slot19_Age),1,0)</f>
        <v>0</v>
      </c>
      <c r="GU84" s="1" t="n">
        <f aca="false">IF(AND(Slot19_On=1,Slot19_Age&gt;D84),1,0)</f>
        <v>0</v>
      </c>
      <c r="GV84" s="1" t="n">
        <f aca="false">TF83</f>
        <v>0</v>
      </c>
      <c r="GW84" s="1" t="n">
        <f aca="false">GT84*MIN(Slot19_Cost,GV84)</f>
        <v>0</v>
      </c>
      <c r="GX84" s="1" t="n">
        <f aca="false">GT84*Slot19_SpendLike*MIN(Slot19_Cost-GW84,GP84)</f>
        <v>0</v>
      </c>
      <c r="GY84" s="1" t="n">
        <f aca="false">GW84+GX84</f>
        <v>0</v>
      </c>
      <c r="GZ84" s="1" t="n">
        <f aca="false">GP84-GX84+GT84*IF(Slot19_SpendLike=1,GV84-GW84,IF(Slot19_PotFree=1,GV84,0))</f>
        <v>550034.792080768</v>
      </c>
      <c r="HA84" s="1" t="n">
        <f aca="false">GQ84+GT84*Slot19_BufPot*GV84</f>
        <v>0</v>
      </c>
      <c r="HB84" s="1" t="n">
        <f aca="false">IF(AND(GT84=1,Slot19_IsMfree=1),IF(GY84&gt;=Slot19_Cost-1,0,MAX(0,GR84-GY84)),GR84)</f>
        <v>0</v>
      </c>
      <c r="HC84" s="1" t="n">
        <f aca="false">GT84*(Slot19_Cost-GY84)</f>
        <v>0</v>
      </c>
      <c r="HD84" s="1" t="n">
        <f aca="false">IF(AND(Slot20_On=1,D84=Slot20_Age),1,0)</f>
        <v>0</v>
      </c>
      <c r="HE84" s="1" t="n">
        <f aca="false">IF(AND(Slot20_On=1,Slot20_Age&gt;D84),1,0)</f>
        <v>0</v>
      </c>
      <c r="HF84" s="1" t="n">
        <f aca="false">TJ83</f>
        <v>0</v>
      </c>
      <c r="HG84" s="1" t="n">
        <f aca="false">HD84*MIN(Slot20_Cost,HF84)</f>
        <v>0</v>
      </c>
      <c r="HH84" s="1" t="n">
        <f aca="false">HD84*Slot20_SpendLike*MIN(Slot20_Cost-HG84,GZ84)</f>
        <v>0</v>
      </c>
      <c r="HI84" s="1" t="n">
        <f aca="false">HG84+HH84</f>
        <v>0</v>
      </c>
      <c r="HJ84" s="1" t="n">
        <f aca="false">GZ84-HH84+HD84*IF(Slot20_SpendLike=1,HF84-HG84,IF(Slot20_PotFree=1,HF84,0))</f>
        <v>550034.792080768</v>
      </c>
      <c r="HK84" s="1" t="n">
        <f aca="false">HA84+HD84*Slot20_BufPot*HF84</f>
        <v>0</v>
      </c>
      <c r="HL84" s="1" t="n">
        <f aca="false">IF(AND(HD84=1,Slot20_IsMfree=1),IF(HI84&gt;=Slot20_Cost-1,0,MAX(0,HB84-HI84)),HB84)</f>
        <v>0</v>
      </c>
      <c r="HM84" s="1" t="n">
        <f aca="false">HD84*(Slot20_Cost-HI84)</f>
        <v>0</v>
      </c>
      <c r="HN84" s="1" t="n">
        <f aca="false">U84*Slot1_SpendLike*Z84+AF84*Slot2_SpendLike*AK84+AP84*Slot3_SpendLike*AU84+AZ84*Slot4_SpendLike*BE84+BJ84*Slot5_SpendLike*BO84+BT84*Slot6_SpendLike*BY84+CD84*Slot7_SpendLike*CI84+CN84*Slot8_SpendLike*CS84+CX84*Slot9_SpendLike*DC84+DH84*Slot10_SpendLike*DM84+DR84*Slot11_SpendLike*DW84+EB84*Slot12_SpendLike*EG84+EL84*Slot13_SpendLike*EQ84+EV84*Slot14_SpendLike*FA84+FF84*Slot15_SpendLike*FK84+FP84*Slot16_SpendLike*FU84+FZ84*Slot17_SpendLike*GE84+GJ84*Slot18_SpendLike*GO84+GT84*Slot19_SpendLike*GY84+HD84*Slot20_SpendLike*HI84</f>
        <v>0</v>
      </c>
      <c r="HO84" s="1" t="n">
        <f aca="false">AD84+AO84+AY84+BI84+BS84+CC84+CM84+CW84+DG84+DQ84+EA84+EK84+EU84+FE84+FO84+FY84+GI84+GS84+HC84+HM84</f>
        <v>0</v>
      </c>
      <c r="HP84" s="1" t="n">
        <f aca="false">U84*Slot1_Cost+AF84*Slot2_Cost+AP84*Slot3_Cost+AZ84*Slot4_Cost+BJ84*Slot5_Cost+BT84*Slot6_Cost+CD84*Slot7_Cost+CN84*Slot8_Cost+CX84*Slot9_Cost+DH84*Slot10_Cost+DR84*Slot11_Cost+EB84*Slot12_Cost+EL84*Slot13_Cost+EV84*Slot14_Cost+FF84*Slot15_Cost+FP84*Slot16_Cost+FZ84*Slot17_Cost+GJ84*Slot18_Cost+GT84*Slot19_Cost+HD84*Slot20_Cost</f>
        <v>0</v>
      </c>
      <c r="HQ84" s="1" t="n">
        <f aca="false">HL84</f>
        <v>0</v>
      </c>
      <c r="HR84" s="1" t="n">
        <f aca="false">G84-H84-R84</f>
        <v>56080.6580985708</v>
      </c>
      <c r="HS84" s="1" t="n">
        <f aca="false">IF(B84=0,IF(AND(Has_q6=1,In_q6=4),PR_ShareVaries*(MAX(0,HR84)/12),MIN(IF(Has_q6=1,CHOOSE(In_q6+1,PR_SaveB1,PR_SaveB2,PR_SaveB3,PR_SaveB4,0),AS_NoAnswer),AS_SaveShare*(MAX(0,HR84)/12))),HS83)</f>
        <v>0</v>
      </c>
      <c r="HT84" s="1" t="n">
        <f aca="false">IF(HR84&gt;=0,1,0)</f>
        <v>1</v>
      </c>
      <c r="HU84" s="1" t="n">
        <f aca="false">MAX(0,HR84/12/E84)</f>
        <v>1037.57333333333</v>
      </c>
      <c r="HV84" s="1" t="n">
        <f aca="false">IF(AND(Has_q6=1,In_q6=4),PR_ShareVaries*(HU84),MIN(IF(Has_q6=1,CHOOSE(In_q6+1,PR_SaveB1,PR_SaveB2,PR_SaveB3,PR_SaveB4,0),AS_NoAnswer),AS_SaveShare*(HU84)))</f>
        <v>300</v>
      </c>
      <c r="HW84" s="1" t="n">
        <f aca="false">IF(Has_saveM=1,IF(In_saveUp="Yes",1,IF(In_saveUp="No",0,IF(In_saveM&gt;=HS84-0.5,1,0))),0)</f>
        <v>0</v>
      </c>
      <c r="HX84" s="1" t="n">
        <f aca="false">IF(Has_saveM=1,MIN(HU84,IF(HW84=1,MAX(In_saveM,HV84),MIN(In_saveM,HV84))),HV84)</f>
        <v>300</v>
      </c>
      <c r="HY84" s="1" t="n">
        <f aca="false">IF(F84=1,HX84*12*E84,0)</f>
        <v>0</v>
      </c>
      <c r="HZ84" s="1" t="n">
        <f aca="false">MAX(0,HY84+IF(AND(WI_Retire=0,WI_M&lt;0,F84=1),WI_M*12*E84,0))</f>
        <v>0</v>
      </c>
      <c r="IA84" s="1" t="n">
        <f aca="false">Slot1_IsWG*V84+Slot2_IsWG*AG84+Slot3_IsWG*AQ84+Slot4_IsWG*BA84+Slot5_IsWG*BK84+Slot6_IsWG*BU84+Slot7_IsWG*CE84+Slot8_IsWG*CO84+Slot9_IsWG*CY84+Slot10_IsWG*DI84+Slot11_IsWG*DS84+Slot12_IsWG*EC84+Slot13_IsWG*EM84+Slot14_IsWG*EW84+Slot15_IsWG*FG84+Slot16_IsWG*FQ84+Slot17_IsWG*GA84+Slot18_IsWG*GK84+Slot19_IsWG*GU84+Slot20_IsWG*HE84</f>
        <v>0</v>
      </c>
      <c r="IB84" s="1" t="n">
        <f aca="false">IF(AND(WI_Retire=0,WI_M&gt;0,F84=1,IA84&gt;=1),WI_M*12*E84,0)</f>
        <v>0</v>
      </c>
      <c r="IC84" s="1" t="n">
        <f aca="false">IF(HT84=1,MIN(HZ84,HR84),0)</f>
        <v>0</v>
      </c>
      <c r="ID84" s="1" t="n">
        <f aca="false">IF(HT84=1,MIN(IB84,HR84-IC84),0)</f>
        <v>0</v>
      </c>
      <c r="IE84" s="1" t="n">
        <f aca="false">IF(V84=1,IF(ABS((1+AS_Wage)/(1+Slot1_Rate)-1)&lt;0.000000000001,(Slot1_Age-D84)*(1+Slot1_Rate)^(Slot1_Age-D84),(1+Slot1_Rate)^(Slot1_Age-D84)*(1-((1+AS_Wage)/(1+Slot1_Rate))^(Slot1_Age-D84))/(1-(1+AS_Wage)/(1+Slot1_Rate))),1)</f>
        <v>1</v>
      </c>
      <c r="IF84" s="1" t="n">
        <f aca="false">IF(AND(HT84=1,ID84&gt;0,Slot1_IsWG=1,V84=1),MAX(0,(Slot1_Cost-W84*(1+Slot1_Rate)^(Slot1_Age-D84))/IE84),0)</f>
        <v>0</v>
      </c>
      <c r="IG84" s="1" t="n">
        <f aca="false">IF(AND(HT84=1,ID84&gt;0,Slot1_IsWG=1,V84=1),MIN(ID84,IF84),0)</f>
        <v>0</v>
      </c>
      <c r="IH84" s="1" t="n">
        <f aca="false">W84+IG84</f>
        <v>0</v>
      </c>
      <c r="II84" s="1" t="n">
        <f aca="false">IF(V84=1,MAX(0,(Slot1_Cost-IH84*(1+Slot1_Rate)^(Slot1_Age-D84))/IE84),0)</f>
        <v>0</v>
      </c>
      <c r="IJ84" s="1" t="n">
        <f aca="false">IF(V84=1,MAX(0,(Slot1_Cost-W84*(1+Slot1_Rate)^(Slot1_Age-D84))/IE84),0)</f>
        <v>0</v>
      </c>
      <c r="IK84" s="1" t="n">
        <f aca="false">IF(AND(HT84=1,V84=1),MIN(IC84,II84),0)</f>
        <v>0</v>
      </c>
      <c r="IL84" s="1" t="n">
        <f aca="false">IC84-IK84</f>
        <v>0</v>
      </c>
      <c r="IM84" s="1" t="n">
        <f aca="false">IF(AG84=1,IF(ABS((1+AS_Wage)/(1+Slot2_Rate)-1)&lt;0.000000000001,(Slot2_Age-D84)*(1+Slot2_Rate)^(Slot2_Age-D84),(1+Slot2_Rate)^(Slot2_Age-D84)*(1-((1+AS_Wage)/(1+Slot2_Rate))^(Slot2_Age-D84))/(1-(1+AS_Wage)/(1+Slot2_Rate))),1)</f>
        <v>1</v>
      </c>
      <c r="IN84" s="1" t="n">
        <f aca="false">IF(AND(HT84=1,ID84&gt;0,Slot2_IsWG=1,AG84=1),MAX(0,(Slot2_Cost-AH84*(1+Slot2_Rate)^(Slot2_Age-D84))/IM84),0)</f>
        <v>0</v>
      </c>
      <c r="IO84" s="1" t="n">
        <f aca="false">IF(AND(HT84=1,ID84&gt;0,Slot2_IsWG=1,AG84=1),MIN(ID84,IN84),0)</f>
        <v>0</v>
      </c>
      <c r="IP84" s="1" t="n">
        <f aca="false">AH84+IO84</f>
        <v>0</v>
      </c>
      <c r="IQ84" s="1" t="n">
        <f aca="false">IF(AG84=1,MAX(0,(Slot2_Cost-IP84*(1+Slot2_Rate)^(Slot2_Age-D84))/IM84),0)</f>
        <v>0</v>
      </c>
      <c r="IR84" s="1" t="n">
        <f aca="false">IF(AG84=1,MAX(0,(Slot2_Cost-AH84*(1+Slot2_Rate)^(Slot2_Age-D84))/IM84),0)</f>
        <v>0</v>
      </c>
      <c r="IS84" s="1" t="n">
        <f aca="false">IF(AND(HT84=1,AG84=1),MIN(IL84,IQ84),0)</f>
        <v>0</v>
      </c>
      <c r="IT84" s="1" t="n">
        <f aca="false">IL84-IS84</f>
        <v>0</v>
      </c>
      <c r="IU84" s="1" t="n">
        <f aca="false">IF(AQ84=1,IF(ABS((1+AS_Wage)/(1+Slot3_Rate)-1)&lt;0.000000000001,(Slot3_Age-D84)*(1+Slot3_Rate)^(Slot3_Age-D84),(1+Slot3_Rate)^(Slot3_Age-D84)*(1-((1+AS_Wage)/(1+Slot3_Rate))^(Slot3_Age-D84))/(1-(1+AS_Wage)/(1+Slot3_Rate))),1)</f>
        <v>1</v>
      </c>
      <c r="IV84" s="1" t="n">
        <f aca="false">IF(AND(HT84=1,ID84&gt;0,Slot3_IsWG=1,AQ84=1),MAX(0,(Slot3_Cost-AR84*(1+Slot3_Rate)^(Slot3_Age-D84))/IU84),0)</f>
        <v>0</v>
      </c>
      <c r="IW84" s="1" t="n">
        <f aca="false">IF(AND(HT84=1,ID84&gt;0,Slot3_IsWG=1,AQ84=1),MIN(ID84,IV84),0)</f>
        <v>0</v>
      </c>
      <c r="IX84" s="1" t="n">
        <f aca="false">AR84+IW84</f>
        <v>0</v>
      </c>
      <c r="IY84" s="1" t="n">
        <f aca="false">IF(AQ84=1,MAX(0,(Slot3_Cost-IX84*(1+Slot3_Rate)^(Slot3_Age-D84))/IU84),0)</f>
        <v>0</v>
      </c>
      <c r="IZ84" s="1" t="n">
        <f aca="false">IF(AQ84=1,MAX(0,(Slot3_Cost-AR84*(1+Slot3_Rate)^(Slot3_Age-D84))/IU84),0)</f>
        <v>0</v>
      </c>
      <c r="JA84" s="1" t="n">
        <f aca="false">IF(AND(HT84=1,AQ84=1),MIN(IT84,IY84),0)</f>
        <v>0</v>
      </c>
      <c r="JB84" s="1" t="n">
        <f aca="false">IT84-JA84</f>
        <v>0</v>
      </c>
      <c r="JC84" s="1" t="n">
        <f aca="false">IF(BA84=1,IF(ABS((1+AS_Wage)/(1+Slot4_Rate)-1)&lt;0.000000000001,(Slot4_Age-D84)*(1+Slot4_Rate)^(Slot4_Age-D84),(1+Slot4_Rate)^(Slot4_Age-D84)*(1-((1+AS_Wage)/(1+Slot4_Rate))^(Slot4_Age-D84))/(1-(1+AS_Wage)/(1+Slot4_Rate))),1)</f>
        <v>1</v>
      </c>
      <c r="JD84" s="1" t="n">
        <f aca="false">IF(AND(HT84=1,ID84&gt;0,Slot4_IsWG=1,BA84=1),MAX(0,(Slot4_Cost-BB84*(1+Slot4_Rate)^(Slot4_Age-D84))/JC84),0)</f>
        <v>0</v>
      </c>
      <c r="JE84" s="1" t="n">
        <f aca="false">IF(AND(HT84=1,ID84&gt;0,Slot4_IsWG=1,BA84=1),MIN(ID84,JD84),0)</f>
        <v>0</v>
      </c>
      <c r="JF84" s="1" t="n">
        <f aca="false">BB84+JE84</f>
        <v>0</v>
      </c>
      <c r="JG84" s="1" t="n">
        <f aca="false">IF(BA84=1,MAX(0,(Slot4_Cost-JF84*(1+Slot4_Rate)^(Slot4_Age-D84))/JC84),0)</f>
        <v>0</v>
      </c>
      <c r="JH84" s="1" t="n">
        <f aca="false">IF(BA84=1,MAX(0,(Slot4_Cost-BB84*(1+Slot4_Rate)^(Slot4_Age-D84))/JC84),0)</f>
        <v>0</v>
      </c>
      <c r="JI84" s="1" t="n">
        <f aca="false">IF(AND(HT84=1,BA84=1),MIN(JB84,JG84),0)</f>
        <v>0</v>
      </c>
      <c r="JJ84" s="1" t="n">
        <f aca="false">JB84-JI84</f>
        <v>0</v>
      </c>
      <c r="JK84" s="1" t="n">
        <f aca="false">IF(BK84=1,IF(ABS((1+AS_Wage)/(1+Slot5_Rate)-1)&lt;0.000000000001,(Slot5_Age-D84)*(1+Slot5_Rate)^(Slot5_Age-D84),(1+Slot5_Rate)^(Slot5_Age-D84)*(1-((1+AS_Wage)/(1+Slot5_Rate))^(Slot5_Age-D84))/(1-(1+AS_Wage)/(1+Slot5_Rate))),1)</f>
        <v>1</v>
      </c>
      <c r="JL84" s="1" t="n">
        <f aca="false">IF(AND(HT84=1,ID84&gt;0,Slot5_IsWG=1,BK84=1),MAX(0,(Slot5_Cost-BL84*(1+Slot5_Rate)^(Slot5_Age-D84))/JK84),0)</f>
        <v>0</v>
      </c>
      <c r="JM84" s="1" t="n">
        <f aca="false">IF(AND(HT84=1,ID84&gt;0,Slot5_IsWG=1,BK84=1),MIN(ID84,JL84),0)</f>
        <v>0</v>
      </c>
      <c r="JN84" s="1" t="n">
        <f aca="false">BL84+JM84</f>
        <v>0</v>
      </c>
      <c r="JO84" s="1" t="n">
        <f aca="false">IF(BK84=1,MAX(0,(Slot5_Cost-JN84*(1+Slot5_Rate)^(Slot5_Age-D84))/JK84),0)</f>
        <v>0</v>
      </c>
      <c r="JP84" s="1" t="n">
        <f aca="false">IF(BK84=1,MAX(0,(Slot5_Cost-BL84*(1+Slot5_Rate)^(Slot5_Age-D84))/JK84),0)</f>
        <v>0</v>
      </c>
      <c r="JQ84" s="1" t="n">
        <f aca="false">IF(AND(HT84=1,BK84=1),MIN(JJ84,JO84),0)</f>
        <v>0</v>
      </c>
      <c r="JR84" s="1" t="n">
        <f aca="false">JJ84-JQ84</f>
        <v>0</v>
      </c>
      <c r="JS84" s="1" t="n">
        <f aca="false">IF(BU84=1,IF(ABS((1+AS_Wage)/(1+Slot6_Rate)-1)&lt;0.000000000001,(Slot6_Age-D84)*(1+Slot6_Rate)^(Slot6_Age-D84),(1+Slot6_Rate)^(Slot6_Age-D84)*(1-((1+AS_Wage)/(1+Slot6_Rate))^(Slot6_Age-D84))/(1-(1+AS_Wage)/(1+Slot6_Rate))),1)</f>
        <v>1</v>
      </c>
      <c r="JT84" s="1" t="n">
        <f aca="false">IF(AND(HT84=1,ID84&gt;0,Slot6_IsWG=1,BU84=1),MAX(0,(Slot6_Cost-BV84*(1+Slot6_Rate)^(Slot6_Age-D84))/JS84),0)</f>
        <v>0</v>
      </c>
      <c r="JU84" s="1" t="n">
        <f aca="false">IF(AND(HT84=1,ID84&gt;0,Slot6_IsWG=1,BU84=1),MIN(ID84,JT84),0)</f>
        <v>0</v>
      </c>
      <c r="JV84" s="1" t="n">
        <f aca="false">BV84+JU84</f>
        <v>0</v>
      </c>
      <c r="JW84" s="1" t="n">
        <f aca="false">IF(BU84=1,MAX(0,(Slot6_Cost-JV84*(1+Slot6_Rate)^(Slot6_Age-D84))/JS84),0)</f>
        <v>0</v>
      </c>
      <c r="JX84" s="1" t="n">
        <f aca="false">IF(BU84=1,MAX(0,(Slot6_Cost-BV84*(1+Slot6_Rate)^(Slot6_Age-D84))/JS84),0)</f>
        <v>0</v>
      </c>
      <c r="JY84" s="1" t="n">
        <f aca="false">IF(AND(HT84=1,BU84=1),MIN(JR84,JW84),0)</f>
        <v>0</v>
      </c>
      <c r="JZ84" s="1" t="n">
        <f aca="false">JR84-JY84</f>
        <v>0</v>
      </c>
      <c r="KA84" s="1" t="n">
        <f aca="false">IF(CE84=1,IF(ABS((1+AS_Wage)/(1+Slot7_Rate)-1)&lt;0.000000000001,(Slot7_Age-D84)*(1+Slot7_Rate)^(Slot7_Age-D84),(1+Slot7_Rate)^(Slot7_Age-D84)*(1-((1+AS_Wage)/(1+Slot7_Rate))^(Slot7_Age-D84))/(1-(1+AS_Wage)/(1+Slot7_Rate))),1)</f>
        <v>1</v>
      </c>
      <c r="KB84" s="1" t="n">
        <f aca="false">IF(AND(HT84=1,ID84&gt;0,Slot7_IsWG=1,CE84=1),MAX(0,(Slot7_Cost-CF84*(1+Slot7_Rate)^(Slot7_Age-D84))/KA84),0)</f>
        <v>0</v>
      </c>
      <c r="KC84" s="1" t="n">
        <f aca="false">IF(AND(HT84=1,ID84&gt;0,Slot7_IsWG=1,CE84=1),MIN(ID84,KB84),0)</f>
        <v>0</v>
      </c>
      <c r="KD84" s="1" t="n">
        <f aca="false">CF84+KC84</f>
        <v>0</v>
      </c>
      <c r="KE84" s="1" t="n">
        <f aca="false">IF(CE84=1,MAX(0,(Slot7_Cost-KD84*(1+Slot7_Rate)^(Slot7_Age-D84))/KA84),0)</f>
        <v>0</v>
      </c>
      <c r="KF84" s="1" t="n">
        <f aca="false">IF(CE84=1,MAX(0,(Slot7_Cost-CF84*(1+Slot7_Rate)^(Slot7_Age-D84))/KA84),0)</f>
        <v>0</v>
      </c>
      <c r="KG84" s="1" t="n">
        <f aca="false">IF(AND(HT84=1,CE84=1),MIN(JZ84,KE84),0)</f>
        <v>0</v>
      </c>
      <c r="KH84" s="1" t="n">
        <f aca="false">JZ84-KG84</f>
        <v>0</v>
      </c>
      <c r="KI84" s="1" t="n">
        <f aca="false">IF(CO84=1,IF(ABS((1+AS_Wage)/(1+Slot8_Rate)-1)&lt;0.000000000001,(Slot8_Age-D84)*(1+Slot8_Rate)^(Slot8_Age-D84),(1+Slot8_Rate)^(Slot8_Age-D84)*(1-((1+AS_Wage)/(1+Slot8_Rate))^(Slot8_Age-D84))/(1-(1+AS_Wage)/(1+Slot8_Rate))),1)</f>
        <v>1</v>
      </c>
      <c r="KJ84" s="1" t="n">
        <f aca="false">IF(AND(HT84=1,ID84&gt;0,Slot8_IsWG=1,CO84=1),MAX(0,(Slot8_Cost-CP84*(1+Slot8_Rate)^(Slot8_Age-D84))/KI84),0)</f>
        <v>0</v>
      </c>
      <c r="KK84" s="1" t="n">
        <f aca="false">IF(AND(HT84=1,ID84&gt;0,Slot8_IsWG=1,CO84=1),MIN(ID84,KJ84),0)</f>
        <v>0</v>
      </c>
      <c r="KL84" s="1" t="n">
        <f aca="false">CP84+KK84</f>
        <v>0</v>
      </c>
      <c r="KM84" s="1" t="n">
        <f aca="false">IF(CO84=1,MAX(0,(Slot8_Cost-KL84*(1+Slot8_Rate)^(Slot8_Age-D84))/KI84),0)</f>
        <v>0</v>
      </c>
      <c r="KN84" s="1" t="n">
        <f aca="false">IF(CO84=1,MAX(0,(Slot8_Cost-CP84*(1+Slot8_Rate)^(Slot8_Age-D84))/KI84),0)</f>
        <v>0</v>
      </c>
      <c r="KO84" s="1" t="n">
        <f aca="false">IF(AND(HT84=1,CO84=1),MIN(KH84,KM84),0)</f>
        <v>0</v>
      </c>
      <c r="KP84" s="1" t="n">
        <f aca="false">KH84-KO84</f>
        <v>0</v>
      </c>
      <c r="KQ84" s="1" t="n">
        <f aca="false">IF(CY84=1,IF(ABS((1+AS_Wage)/(1+Slot9_Rate)-1)&lt;0.000000000001,(Slot9_Age-D84)*(1+Slot9_Rate)^(Slot9_Age-D84),(1+Slot9_Rate)^(Slot9_Age-D84)*(1-((1+AS_Wage)/(1+Slot9_Rate))^(Slot9_Age-D84))/(1-(1+AS_Wage)/(1+Slot9_Rate))),1)</f>
        <v>1</v>
      </c>
      <c r="KR84" s="1" t="n">
        <f aca="false">IF(AND(HT84=1,ID84&gt;0,Slot9_IsWG=1,CY84=1),MAX(0,(Slot9_Cost-CZ84*(1+Slot9_Rate)^(Slot9_Age-D84))/KQ84),0)</f>
        <v>0</v>
      </c>
      <c r="KS84" s="1" t="n">
        <f aca="false">IF(AND(HT84=1,ID84&gt;0,Slot9_IsWG=1,CY84=1),MIN(ID84,KR84),0)</f>
        <v>0</v>
      </c>
      <c r="KT84" s="1" t="n">
        <f aca="false">CZ84+KS84</f>
        <v>0</v>
      </c>
      <c r="KU84" s="1" t="n">
        <f aca="false">IF(CY84=1,MAX(0,(Slot9_Cost-KT84*(1+Slot9_Rate)^(Slot9_Age-D84))/KQ84),0)</f>
        <v>0</v>
      </c>
      <c r="KV84" s="1" t="n">
        <f aca="false">IF(CY84=1,MAX(0,(Slot9_Cost-CZ84*(1+Slot9_Rate)^(Slot9_Age-D84))/KQ84),0)</f>
        <v>0</v>
      </c>
      <c r="KW84" s="1" t="n">
        <f aca="false">IF(AND(HT84=1,CY84=1),MIN(KP84,KU84),0)</f>
        <v>0</v>
      </c>
      <c r="KX84" s="1" t="n">
        <f aca="false">KP84-KW84</f>
        <v>0</v>
      </c>
      <c r="KY84" s="1" t="n">
        <f aca="false">IF(DI84=1,IF(ABS((1+AS_Wage)/(1+Slot10_Rate)-1)&lt;0.000000000001,(Slot10_Age-D84)*(1+Slot10_Rate)^(Slot10_Age-D84),(1+Slot10_Rate)^(Slot10_Age-D84)*(1-((1+AS_Wage)/(1+Slot10_Rate))^(Slot10_Age-D84))/(1-(1+AS_Wage)/(1+Slot10_Rate))),1)</f>
        <v>1</v>
      </c>
      <c r="KZ84" s="1" t="n">
        <f aca="false">IF(AND(HT84=1,ID84&gt;0,Slot10_IsWG=1,DI84=1),MAX(0,(Slot10_Cost-DJ84*(1+Slot10_Rate)^(Slot10_Age-D84))/KY84),0)</f>
        <v>0</v>
      </c>
      <c r="LA84" s="1" t="n">
        <f aca="false">IF(AND(HT84=1,ID84&gt;0,Slot10_IsWG=1,DI84=1),MIN(ID84,KZ84),0)</f>
        <v>0</v>
      </c>
      <c r="LB84" s="1" t="n">
        <f aca="false">DJ84+LA84</f>
        <v>0</v>
      </c>
      <c r="LC84" s="1" t="n">
        <f aca="false">IF(DI84=1,MAX(0,(Slot10_Cost-LB84*(1+Slot10_Rate)^(Slot10_Age-D84))/KY84),0)</f>
        <v>0</v>
      </c>
      <c r="LD84" s="1" t="n">
        <f aca="false">IF(DI84=1,MAX(0,(Slot10_Cost-DJ84*(1+Slot10_Rate)^(Slot10_Age-D84))/KY84),0)</f>
        <v>0</v>
      </c>
      <c r="LE84" s="1" t="n">
        <f aca="false">IF(AND(HT84=1,DI84=1),MIN(KX84,LC84),0)</f>
        <v>0</v>
      </c>
      <c r="LF84" s="1" t="n">
        <f aca="false">KX84-LE84</f>
        <v>0</v>
      </c>
      <c r="LG84" s="1" t="n">
        <f aca="false">IF(DS84=1,IF(ABS((1+AS_Wage)/(1+Slot11_Rate)-1)&lt;0.000000000001,(Slot11_Age-D84)*(1+Slot11_Rate)^(Slot11_Age-D84),(1+Slot11_Rate)^(Slot11_Age-D84)*(1-((1+AS_Wage)/(1+Slot11_Rate))^(Slot11_Age-D84))/(1-(1+AS_Wage)/(1+Slot11_Rate))),1)</f>
        <v>1</v>
      </c>
      <c r="LH84" s="1" t="n">
        <f aca="false">IF(AND(HT84=1,ID84&gt;0,Slot11_IsWG=1,DS84=1),MAX(0,(Slot11_Cost-DT84*(1+Slot11_Rate)^(Slot11_Age-D84))/LG84),0)</f>
        <v>0</v>
      </c>
      <c r="LI84" s="1" t="n">
        <f aca="false">IF(AND(HT84=1,ID84&gt;0,Slot11_IsWG=1,DS84=1),MIN(ID84,LH84),0)</f>
        <v>0</v>
      </c>
      <c r="LJ84" s="1" t="n">
        <f aca="false">DT84+LI84</f>
        <v>0</v>
      </c>
      <c r="LK84" s="1" t="n">
        <f aca="false">IF(DS84=1,MAX(0,(Slot11_Cost-LJ84*(1+Slot11_Rate)^(Slot11_Age-D84))/LG84),0)</f>
        <v>0</v>
      </c>
      <c r="LL84" s="1" t="n">
        <f aca="false">IF(DS84=1,MAX(0,(Slot11_Cost-DT84*(1+Slot11_Rate)^(Slot11_Age-D84))/LG84),0)</f>
        <v>0</v>
      </c>
      <c r="LM84" s="1" t="n">
        <f aca="false">IF(AND(HT84=1,DS84=1),MIN(LF84,LK84),0)</f>
        <v>0</v>
      </c>
      <c r="LN84" s="1" t="n">
        <f aca="false">LF84-LM84</f>
        <v>0</v>
      </c>
      <c r="LO84" s="1" t="n">
        <f aca="false">IF(EC84=1,IF(ABS((1+AS_Wage)/(1+Slot12_Rate)-1)&lt;0.000000000001,(Slot12_Age-D84)*(1+Slot12_Rate)^(Slot12_Age-D84),(1+Slot12_Rate)^(Slot12_Age-D84)*(1-((1+AS_Wage)/(1+Slot12_Rate))^(Slot12_Age-D84))/(1-(1+AS_Wage)/(1+Slot12_Rate))),1)</f>
        <v>1</v>
      </c>
      <c r="LP84" s="1" t="n">
        <f aca="false">IF(AND(HT84=1,ID84&gt;0,Slot12_IsWG=1,EC84=1),MAX(0,(Slot12_Cost-ED84*(1+Slot12_Rate)^(Slot12_Age-D84))/LO84),0)</f>
        <v>0</v>
      </c>
      <c r="LQ84" s="1" t="n">
        <f aca="false">IF(AND(HT84=1,ID84&gt;0,Slot12_IsWG=1,EC84=1),MIN(ID84,LP84),0)</f>
        <v>0</v>
      </c>
      <c r="LR84" s="1" t="n">
        <f aca="false">ED84+LQ84</f>
        <v>0</v>
      </c>
      <c r="LS84" s="1" t="n">
        <f aca="false">IF(EC84=1,MAX(0,(Slot12_Cost-LR84*(1+Slot12_Rate)^(Slot12_Age-D84))/LO84),0)</f>
        <v>0</v>
      </c>
      <c r="LT84" s="1" t="n">
        <f aca="false">IF(EC84=1,MAX(0,(Slot12_Cost-ED84*(1+Slot12_Rate)^(Slot12_Age-D84))/LO84),0)</f>
        <v>0</v>
      </c>
      <c r="LU84" s="1" t="n">
        <f aca="false">IF(AND(HT84=1,EC84=1),MIN(LN84,LS84),0)</f>
        <v>0</v>
      </c>
      <c r="LV84" s="1" t="n">
        <f aca="false">LN84-LU84</f>
        <v>0</v>
      </c>
      <c r="LW84" s="1" t="n">
        <f aca="false">IF(EM84=1,IF(ABS((1+AS_Wage)/(1+Slot13_Rate)-1)&lt;0.000000000001,(Slot13_Age-D84)*(1+Slot13_Rate)^(Slot13_Age-D84),(1+Slot13_Rate)^(Slot13_Age-D84)*(1-((1+AS_Wage)/(1+Slot13_Rate))^(Slot13_Age-D84))/(1-(1+AS_Wage)/(1+Slot13_Rate))),1)</f>
        <v>1</v>
      </c>
      <c r="LX84" s="1" t="n">
        <f aca="false">IF(AND(HT84=1,ID84&gt;0,Slot13_IsWG=1,EM84=1),MAX(0,(Slot13_Cost-EN84*(1+Slot13_Rate)^(Slot13_Age-D84))/LW84),0)</f>
        <v>0</v>
      </c>
      <c r="LY84" s="1" t="n">
        <f aca="false">IF(AND(HT84=1,ID84&gt;0,Slot13_IsWG=1,EM84=1),MIN(ID84,LX84),0)</f>
        <v>0</v>
      </c>
      <c r="LZ84" s="1" t="n">
        <f aca="false">EN84+LY84</f>
        <v>0</v>
      </c>
      <c r="MA84" s="1" t="n">
        <f aca="false">IF(EM84=1,MAX(0,(Slot13_Cost-LZ84*(1+Slot13_Rate)^(Slot13_Age-D84))/LW84),0)</f>
        <v>0</v>
      </c>
      <c r="MB84" s="1" t="n">
        <f aca="false">IF(EM84=1,MAX(0,(Slot13_Cost-EN84*(1+Slot13_Rate)^(Slot13_Age-D84))/LW84),0)</f>
        <v>0</v>
      </c>
      <c r="MC84" s="1" t="n">
        <f aca="false">IF(AND(HT84=1,EM84=1),MIN(LV84,MA84),0)</f>
        <v>0</v>
      </c>
      <c r="MD84" s="1" t="n">
        <f aca="false">LV84-MC84</f>
        <v>0</v>
      </c>
      <c r="ME84" s="1" t="n">
        <f aca="false">IF(EW84=1,IF(ABS((1+AS_Wage)/(1+Slot14_Rate)-1)&lt;0.000000000001,(Slot14_Age-D84)*(1+Slot14_Rate)^(Slot14_Age-D84),(1+Slot14_Rate)^(Slot14_Age-D84)*(1-((1+AS_Wage)/(1+Slot14_Rate))^(Slot14_Age-D84))/(1-(1+AS_Wage)/(1+Slot14_Rate))),1)</f>
        <v>1</v>
      </c>
      <c r="MF84" s="1" t="n">
        <f aca="false">IF(AND(HT84=1,ID84&gt;0,Slot14_IsWG=1,EW84=1),MAX(0,(Slot14_Cost-EX84*(1+Slot14_Rate)^(Slot14_Age-D84))/ME84),0)</f>
        <v>0</v>
      </c>
      <c r="MG84" s="1" t="n">
        <f aca="false">IF(AND(HT84=1,ID84&gt;0,Slot14_IsWG=1,EW84=1),MIN(ID84,MF84),0)</f>
        <v>0</v>
      </c>
      <c r="MH84" s="1" t="n">
        <f aca="false">EX84+MG84</f>
        <v>0</v>
      </c>
      <c r="MI84" s="1" t="n">
        <f aca="false">IF(EW84=1,MAX(0,(Slot14_Cost-MH84*(1+Slot14_Rate)^(Slot14_Age-D84))/ME84),0)</f>
        <v>0</v>
      </c>
      <c r="MJ84" s="1" t="n">
        <f aca="false">IF(EW84=1,MAX(0,(Slot14_Cost-EX84*(1+Slot14_Rate)^(Slot14_Age-D84))/ME84),0)</f>
        <v>0</v>
      </c>
      <c r="MK84" s="1" t="n">
        <f aca="false">IF(AND(HT84=1,EW84=1),MIN(MD84,MI84),0)</f>
        <v>0</v>
      </c>
      <c r="ML84" s="1" t="n">
        <f aca="false">MD84-MK84</f>
        <v>0</v>
      </c>
      <c r="MM84" s="1" t="n">
        <f aca="false">IF(FG84=1,IF(ABS((1+AS_Wage)/(1+Slot15_Rate)-1)&lt;0.000000000001,(Slot15_Age-D84)*(1+Slot15_Rate)^(Slot15_Age-D84),(1+Slot15_Rate)^(Slot15_Age-D84)*(1-((1+AS_Wage)/(1+Slot15_Rate))^(Slot15_Age-D84))/(1-(1+AS_Wage)/(1+Slot15_Rate))),1)</f>
        <v>1</v>
      </c>
      <c r="MN84" s="1" t="n">
        <f aca="false">IF(AND(HT84=1,ID84&gt;0,Slot15_IsWG=1,FG84=1),MAX(0,(Slot15_Cost-FH84*(1+Slot15_Rate)^(Slot15_Age-D84))/MM84),0)</f>
        <v>0</v>
      </c>
      <c r="MO84" s="1" t="n">
        <f aca="false">IF(AND(HT84=1,ID84&gt;0,Slot15_IsWG=1,FG84=1),MIN(ID84,MN84),0)</f>
        <v>0</v>
      </c>
      <c r="MP84" s="1" t="n">
        <f aca="false">FH84+MO84</f>
        <v>0</v>
      </c>
      <c r="MQ84" s="1" t="n">
        <f aca="false">IF(FG84=1,MAX(0,(Slot15_Cost-MP84*(1+Slot15_Rate)^(Slot15_Age-D84))/MM84),0)</f>
        <v>0</v>
      </c>
      <c r="MR84" s="1" t="n">
        <f aca="false">IF(FG84=1,MAX(0,(Slot15_Cost-FH84*(1+Slot15_Rate)^(Slot15_Age-D84))/MM84),0)</f>
        <v>0</v>
      </c>
      <c r="MS84" s="1" t="n">
        <f aca="false">IF(AND(HT84=1,FG84=1),MIN(ML84,MQ84),0)</f>
        <v>0</v>
      </c>
      <c r="MT84" s="1" t="n">
        <f aca="false">ML84-MS84</f>
        <v>0</v>
      </c>
      <c r="MU84" s="1" t="n">
        <f aca="false">IF(FQ84=1,IF(ABS((1+AS_Wage)/(1+Slot16_Rate)-1)&lt;0.000000000001,(Slot16_Age-D84)*(1+Slot16_Rate)^(Slot16_Age-D84),(1+Slot16_Rate)^(Slot16_Age-D84)*(1-((1+AS_Wage)/(1+Slot16_Rate))^(Slot16_Age-D84))/(1-(1+AS_Wage)/(1+Slot16_Rate))),1)</f>
        <v>1</v>
      </c>
      <c r="MV84" s="1" t="n">
        <f aca="false">IF(AND(HT84=1,ID84&gt;0,Slot16_IsWG=1,FQ84=1),MAX(0,(Slot16_Cost-FR84*(1+Slot16_Rate)^(Slot16_Age-D84))/MU84),0)</f>
        <v>0</v>
      </c>
      <c r="MW84" s="1" t="n">
        <f aca="false">IF(AND(HT84=1,ID84&gt;0,Slot16_IsWG=1,FQ84=1),MIN(ID84,MV84),0)</f>
        <v>0</v>
      </c>
      <c r="MX84" s="1" t="n">
        <f aca="false">FR84+MW84</f>
        <v>0</v>
      </c>
      <c r="MY84" s="1" t="n">
        <f aca="false">IF(FQ84=1,MAX(0,(Slot16_Cost-MX84*(1+Slot16_Rate)^(Slot16_Age-D84))/MU84),0)</f>
        <v>0</v>
      </c>
      <c r="MZ84" s="1" t="n">
        <f aca="false">IF(FQ84=1,MAX(0,(Slot16_Cost-FR84*(1+Slot16_Rate)^(Slot16_Age-D84))/MU84),0)</f>
        <v>0</v>
      </c>
      <c r="NA84" s="1" t="n">
        <f aca="false">IF(AND(HT84=1,FQ84=1),MIN(MT84,MY84),0)</f>
        <v>0</v>
      </c>
      <c r="NB84" s="1" t="n">
        <f aca="false">MT84-NA84</f>
        <v>0</v>
      </c>
      <c r="NC84" s="1" t="n">
        <f aca="false">IF(GA84=1,IF(ABS((1+AS_Wage)/(1+Slot17_Rate)-1)&lt;0.000000000001,(Slot17_Age-D84)*(1+Slot17_Rate)^(Slot17_Age-D84),(1+Slot17_Rate)^(Slot17_Age-D84)*(1-((1+AS_Wage)/(1+Slot17_Rate))^(Slot17_Age-D84))/(1-(1+AS_Wage)/(1+Slot17_Rate))),1)</f>
        <v>1</v>
      </c>
      <c r="ND84" s="1" t="n">
        <f aca="false">IF(AND(HT84=1,ID84&gt;0,Slot17_IsWG=1,GA84=1),MAX(0,(Slot17_Cost-GB84*(1+Slot17_Rate)^(Slot17_Age-D84))/NC84),0)</f>
        <v>0</v>
      </c>
      <c r="NE84" s="1" t="n">
        <f aca="false">IF(AND(HT84=1,ID84&gt;0,Slot17_IsWG=1,GA84=1),MIN(ID84,ND84),0)</f>
        <v>0</v>
      </c>
      <c r="NF84" s="1" t="n">
        <f aca="false">GB84+NE84</f>
        <v>0</v>
      </c>
      <c r="NG84" s="1" t="n">
        <f aca="false">IF(GA84=1,MAX(0,(Slot17_Cost-NF84*(1+Slot17_Rate)^(Slot17_Age-D84))/NC84),0)</f>
        <v>0</v>
      </c>
      <c r="NH84" s="1" t="n">
        <f aca="false">IF(GA84=1,MAX(0,(Slot17_Cost-GB84*(1+Slot17_Rate)^(Slot17_Age-D84))/NC84),0)</f>
        <v>0</v>
      </c>
      <c r="NI84" s="1" t="n">
        <f aca="false">IF(AND(HT84=1,GA84=1),MIN(NB84,NG84),0)</f>
        <v>0</v>
      </c>
      <c r="NJ84" s="1" t="n">
        <f aca="false">NB84-NI84</f>
        <v>0</v>
      </c>
      <c r="NK84" s="1" t="n">
        <f aca="false">IF(GK84=1,IF(ABS((1+AS_Wage)/(1+Slot18_Rate)-1)&lt;0.000000000001,(Slot18_Age-D84)*(1+Slot18_Rate)^(Slot18_Age-D84),(1+Slot18_Rate)^(Slot18_Age-D84)*(1-((1+AS_Wage)/(1+Slot18_Rate))^(Slot18_Age-D84))/(1-(1+AS_Wage)/(1+Slot18_Rate))),1)</f>
        <v>1</v>
      </c>
      <c r="NL84" s="1" t="n">
        <f aca="false">IF(AND(HT84=1,ID84&gt;0,Slot18_IsWG=1,GK84=1),MAX(0,(Slot18_Cost-GL84*(1+Slot18_Rate)^(Slot18_Age-D84))/NK84),0)</f>
        <v>0</v>
      </c>
      <c r="NM84" s="1" t="n">
        <f aca="false">IF(AND(HT84=1,ID84&gt;0,Slot18_IsWG=1,GK84=1),MIN(ID84,NL84),0)</f>
        <v>0</v>
      </c>
      <c r="NN84" s="1" t="n">
        <f aca="false">GL84+NM84</f>
        <v>0</v>
      </c>
      <c r="NO84" s="1" t="n">
        <f aca="false">IF(GK84=1,MAX(0,(Slot18_Cost-NN84*(1+Slot18_Rate)^(Slot18_Age-D84))/NK84),0)</f>
        <v>0</v>
      </c>
      <c r="NP84" s="1" t="n">
        <f aca="false">IF(GK84=1,MAX(0,(Slot18_Cost-GL84*(1+Slot18_Rate)^(Slot18_Age-D84))/NK84),0)</f>
        <v>0</v>
      </c>
      <c r="NQ84" s="1" t="n">
        <f aca="false">IF(AND(HT84=1,GK84=1),MIN(NJ84,NO84),0)</f>
        <v>0</v>
      </c>
      <c r="NR84" s="1" t="n">
        <f aca="false">NJ84-NQ84</f>
        <v>0</v>
      </c>
      <c r="NS84" s="1" t="n">
        <f aca="false">IF(GU84=1,IF(ABS((1+AS_Wage)/(1+Slot19_Rate)-1)&lt;0.000000000001,(Slot19_Age-D84)*(1+Slot19_Rate)^(Slot19_Age-D84),(1+Slot19_Rate)^(Slot19_Age-D84)*(1-((1+AS_Wage)/(1+Slot19_Rate))^(Slot19_Age-D84))/(1-(1+AS_Wage)/(1+Slot19_Rate))),1)</f>
        <v>1</v>
      </c>
      <c r="NT84" s="1" t="n">
        <f aca="false">IF(AND(HT84=1,ID84&gt;0,Slot19_IsWG=1,GU84=1),MAX(0,(Slot19_Cost-GV84*(1+Slot19_Rate)^(Slot19_Age-D84))/NS84),0)</f>
        <v>0</v>
      </c>
      <c r="NU84" s="1" t="n">
        <f aca="false">IF(AND(HT84=1,ID84&gt;0,Slot19_IsWG=1,GU84=1),MIN(ID84,NT84),0)</f>
        <v>0</v>
      </c>
      <c r="NV84" s="1" t="n">
        <f aca="false">GV84+NU84</f>
        <v>0</v>
      </c>
      <c r="NW84" s="1" t="n">
        <f aca="false">IF(GU84=1,MAX(0,(Slot19_Cost-NV84*(1+Slot19_Rate)^(Slot19_Age-D84))/NS84),0)</f>
        <v>0</v>
      </c>
      <c r="NX84" s="1" t="n">
        <f aca="false">IF(GU84=1,MAX(0,(Slot19_Cost-GV84*(1+Slot19_Rate)^(Slot19_Age-D84))/NS84),0)</f>
        <v>0</v>
      </c>
      <c r="NY84" s="1" t="n">
        <f aca="false">IF(AND(HT84=1,GU84=1),MIN(NR84,NW84),0)</f>
        <v>0</v>
      </c>
      <c r="NZ84" s="1" t="n">
        <f aca="false">NR84-NY84</f>
        <v>0</v>
      </c>
      <c r="OA84" s="1" t="n">
        <f aca="false">IF(HE84=1,IF(ABS((1+AS_Wage)/(1+Slot20_Rate)-1)&lt;0.000000000001,(Slot20_Age-D84)*(1+Slot20_Rate)^(Slot20_Age-D84),(1+Slot20_Rate)^(Slot20_Age-D84)*(1-((1+AS_Wage)/(1+Slot20_Rate))^(Slot20_Age-D84))/(1-(1+AS_Wage)/(1+Slot20_Rate))),1)</f>
        <v>1</v>
      </c>
      <c r="OB84" s="1" t="n">
        <f aca="false">IF(AND(HT84=1,ID84&gt;0,Slot20_IsWG=1,HE84=1),MAX(0,(Slot20_Cost-HF84*(1+Slot20_Rate)^(Slot20_Age-D84))/OA84),0)</f>
        <v>0</v>
      </c>
      <c r="OC84" s="1" t="n">
        <f aca="false">IF(AND(HT84=1,ID84&gt;0,Slot20_IsWG=1,HE84=1),MIN(ID84,OB84),0)</f>
        <v>0</v>
      </c>
      <c r="OD84" s="1" t="n">
        <f aca="false">HF84+OC84</f>
        <v>0</v>
      </c>
      <c r="OE84" s="1" t="n">
        <f aca="false">IF(HE84=1,MAX(0,(Slot20_Cost-OD84*(1+Slot20_Rate)^(Slot20_Age-D84))/OA84),0)</f>
        <v>0</v>
      </c>
      <c r="OF84" s="1" t="n">
        <f aca="false">IF(HE84=1,MAX(0,(Slot20_Cost-HF84*(1+Slot20_Rate)^(Slot20_Age-D84))/OA84),0)</f>
        <v>0</v>
      </c>
      <c r="OG84" s="1" t="n">
        <f aca="false">IF(AND(HT84=1,HE84=1),MIN(NZ84,OE84),0)</f>
        <v>0</v>
      </c>
      <c r="OH84" s="1" t="n">
        <f aca="false">NZ84-OG84</f>
        <v>0</v>
      </c>
      <c r="OI84" s="1" t="n">
        <f aca="false">ID84-(IG84+IO84+IW84+JE84+JM84+JU84+KC84+KK84+KS84+LA84+LI84+LQ84+LY84+MG84+MO84+MW84+NE84+NM84+NU84+OC84)</f>
        <v>0</v>
      </c>
      <c r="OJ84" s="1" t="n">
        <f aca="false">IF(HT84=1,HR84-IC84-ID84,0)</f>
        <v>56080.6580985708</v>
      </c>
      <c r="OK84" s="1" t="n">
        <f aca="false">IF(HT84=0,-HR84,0)</f>
        <v>0</v>
      </c>
      <c r="OL84" s="1" t="n">
        <f aca="false">MIN(OK84,HJ84)</f>
        <v>0</v>
      </c>
      <c r="OM84" s="1" t="n">
        <f aca="false">OK84-OL84</f>
        <v>0</v>
      </c>
      <c r="ON84" s="1" t="n">
        <f aca="false">MIN(OM84,HK84)</f>
        <v>0</v>
      </c>
      <c r="OO84" s="1" t="n">
        <f aca="false">OM84-ON84</f>
        <v>0</v>
      </c>
      <c r="OP84" s="1" t="n">
        <f aca="false">IF(AND(HT84=0,HE84=1,OO84&gt;0),MIN(OO84,HF84),0)</f>
        <v>0</v>
      </c>
      <c r="OQ84" s="1" t="n">
        <f aca="false">OO84-OP84</f>
        <v>0</v>
      </c>
      <c r="OR84" s="1" t="n">
        <f aca="false">IF(AND(HT84=0,GU84=1,OQ84&gt;0),MIN(OQ84,GV84),0)</f>
        <v>0</v>
      </c>
      <c r="OS84" s="1" t="n">
        <f aca="false">OQ84-OR84</f>
        <v>0</v>
      </c>
      <c r="OT84" s="1" t="n">
        <f aca="false">IF(AND(HT84=0,GK84=1,OS84&gt;0),MIN(OS84,GL84),0)</f>
        <v>0</v>
      </c>
      <c r="OU84" s="1" t="n">
        <f aca="false">OS84-OT84</f>
        <v>0</v>
      </c>
      <c r="OV84" s="1" t="n">
        <f aca="false">IF(AND(HT84=0,GA84=1,OU84&gt;0),MIN(OU84,GB84),0)</f>
        <v>0</v>
      </c>
      <c r="OW84" s="1" t="n">
        <f aca="false">OU84-OV84</f>
        <v>0</v>
      </c>
      <c r="OX84" s="1" t="n">
        <f aca="false">IF(AND(HT84=0,FQ84=1,OW84&gt;0),MIN(OW84,FR84),0)</f>
        <v>0</v>
      </c>
      <c r="OY84" s="1" t="n">
        <f aca="false">OW84-OX84</f>
        <v>0</v>
      </c>
      <c r="OZ84" s="1" t="n">
        <f aca="false">IF(AND(HT84=0,FG84=1,OY84&gt;0),MIN(OY84,FH84),0)</f>
        <v>0</v>
      </c>
      <c r="PA84" s="1" t="n">
        <f aca="false">OY84-OZ84</f>
        <v>0</v>
      </c>
      <c r="PB84" s="1" t="n">
        <f aca="false">IF(AND(HT84=0,EW84=1,PA84&gt;0),MIN(PA84,EX84),0)</f>
        <v>0</v>
      </c>
      <c r="PC84" s="1" t="n">
        <f aca="false">PA84-PB84</f>
        <v>0</v>
      </c>
      <c r="PD84" s="1" t="n">
        <f aca="false">IF(AND(HT84=0,EM84=1,PC84&gt;0),MIN(PC84,EN84),0)</f>
        <v>0</v>
      </c>
      <c r="PE84" s="1" t="n">
        <f aca="false">PC84-PD84</f>
        <v>0</v>
      </c>
      <c r="PF84" s="1" t="n">
        <f aca="false">IF(AND(HT84=0,EC84=1,PE84&gt;0),MIN(PE84,ED84),0)</f>
        <v>0</v>
      </c>
      <c r="PG84" s="1" t="n">
        <f aca="false">PE84-PF84</f>
        <v>0</v>
      </c>
      <c r="PH84" s="1" t="n">
        <f aca="false">IF(AND(HT84=0,DS84=1,PG84&gt;0),MIN(PG84,DT84),0)</f>
        <v>0</v>
      </c>
      <c r="PI84" s="1" t="n">
        <f aca="false">PG84-PH84</f>
        <v>0</v>
      </c>
      <c r="PJ84" s="1" t="n">
        <f aca="false">IF(AND(HT84=0,DI84=1,PI84&gt;0),MIN(PI84,DJ84),0)</f>
        <v>0</v>
      </c>
      <c r="PK84" s="1" t="n">
        <f aca="false">PI84-PJ84</f>
        <v>0</v>
      </c>
      <c r="PL84" s="1" t="n">
        <f aca="false">IF(AND(HT84=0,CY84=1,PK84&gt;0),MIN(PK84,CZ84),0)</f>
        <v>0</v>
      </c>
      <c r="PM84" s="1" t="n">
        <f aca="false">PK84-PL84</f>
        <v>0</v>
      </c>
      <c r="PN84" s="1" t="n">
        <f aca="false">IF(AND(HT84=0,CO84=1,PM84&gt;0),MIN(PM84,CP84),0)</f>
        <v>0</v>
      </c>
      <c r="PO84" s="1" t="n">
        <f aca="false">PM84-PN84</f>
        <v>0</v>
      </c>
      <c r="PP84" s="1" t="n">
        <f aca="false">IF(AND(HT84=0,CE84=1,PO84&gt;0),MIN(PO84,CF84),0)</f>
        <v>0</v>
      </c>
      <c r="PQ84" s="1" t="n">
        <f aca="false">PO84-PP84</f>
        <v>0</v>
      </c>
      <c r="PR84" s="1" t="n">
        <f aca="false">IF(AND(HT84=0,BU84=1,PQ84&gt;0),MIN(PQ84,BV84),0)</f>
        <v>0</v>
      </c>
      <c r="PS84" s="1" t="n">
        <f aca="false">PQ84-PR84</f>
        <v>0</v>
      </c>
      <c r="PT84" s="1" t="n">
        <f aca="false">IF(AND(HT84=0,BK84=1,PS84&gt;0),MIN(PS84,BL84),0)</f>
        <v>0</v>
      </c>
      <c r="PU84" s="1" t="n">
        <f aca="false">PS84-PT84</f>
        <v>0</v>
      </c>
      <c r="PV84" s="1" t="n">
        <f aca="false">IF(AND(HT84=0,BA84=1,PU84&gt;0),MIN(PU84,BB84),0)</f>
        <v>0</v>
      </c>
      <c r="PW84" s="1" t="n">
        <f aca="false">PU84-PV84</f>
        <v>0</v>
      </c>
      <c r="PX84" s="1" t="n">
        <f aca="false">IF(AND(HT84=0,AQ84=1,PW84&gt;0),MIN(PW84,AR84),0)</f>
        <v>0</v>
      </c>
      <c r="PY84" s="1" t="n">
        <f aca="false">PW84-PX84</f>
        <v>0</v>
      </c>
      <c r="PZ84" s="1" t="n">
        <f aca="false">IF(AND(HT84=0,AG84=1,PY84&gt;0),MIN(PY84,AH84),0)</f>
        <v>0</v>
      </c>
      <c r="QA84" s="1" t="n">
        <f aca="false">PY84-PZ84</f>
        <v>0</v>
      </c>
      <c r="QB84" s="1" t="n">
        <f aca="false">IF(AND(HT84=0,V84=1,QA84&gt;0),MIN(QA84,W84),0)</f>
        <v>0</v>
      </c>
      <c r="QC84" s="1" t="n">
        <f aca="false">QA84-QB84</f>
        <v>0</v>
      </c>
      <c r="QD84" s="1" t="n">
        <f aca="false">IF(HT84=0,QC84,0)</f>
        <v>0</v>
      </c>
      <c r="QE84" s="1" t="n">
        <f aca="false">OL84+ON84+QB84+PZ84+PX84+PV84+PT84+PR84+PP84+PN84+PL84+PJ84+PH84+PF84+PD84+PB84+OZ84+OX84+OV84+OT84+OR84+OP84</f>
        <v>0</v>
      </c>
      <c r="QF84" s="1" t="n">
        <f aca="false">IF(HT84=1,HJ84+OI84+OH84+IF(F84=1,0,OJ84),HJ84-OL84)</f>
        <v>606115.450179339</v>
      </c>
      <c r="QG84" s="1" t="n">
        <f aca="false">HK84-ON84</f>
        <v>0</v>
      </c>
      <c r="QH84" s="1" t="n">
        <f aca="false">IF(HT84=1,IF(F84=1,IC84+ID84,HR84),0)</f>
        <v>56080.6580985708</v>
      </c>
      <c r="QI84" s="1" t="n">
        <f aca="false">IF(HT84=1,IF(F84=1,HR84-IC84-ID84,0),0)</f>
        <v>0</v>
      </c>
      <c r="QJ84" s="1" t="n">
        <f aca="false">QF84*(1+GR)</f>
        <v>616055.74356228</v>
      </c>
      <c r="QK84" s="1" t="n">
        <f aca="false">QG84*(1+AS_Cash)</f>
        <v>0</v>
      </c>
      <c r="QL84" s="1" t="n">
        <f aca="false">IF(V84=1,IF(HT84=1,IH84+IK84,W84-QB84)*(1+Slot1_Rate),0)</f>
        <v>0</v>
      </c>
      <c r="QM84" s="1" t="n">
        <f aca="false">IF(AND(HT84=1,V84=1),(IG84+IK84)/E84,0)</f>
        <v>0</v>
      </c>
      <c r="QN84" s="1" t="n">
        <f aca="false">IF(B84=0,IG84+IK84,0)</f>
        <v>0</v>
      </c>
      <c r="QO84" s="1" t="n">
        <f aca="false">IF(B84=0,IF(HT84=1,II84,IJ84),0)</f>
        <v>0</v>
      </c>
      <c r="QP84" s="1" t="n">
        <f aca="false">IF(AG84=1,IF(HT84=1,IP84+IS84,AH84-PZ84)*(1+Slot2_Rate),0)</f>
        <v>0</v>
      </c>
      <c r="QQ84" s="1" t="n">
        <f aca="false">IF(AND(HT84=1,AG84=1),(IO84+IS84)/E84,0)</f>
        <v>0</v>
      </c>
      <c r="QR84" s="1" t="n">
        <f aca="false">IF(B84=0,IO84+IS84,0)</f>
        <v>0</v>
      </c>
      <c r="QS84" s="1" t="n">
        <f aca="false">IF(B84=0,IF(HT84=1,IQ84,IR84),0)</f>
        <v>0</v>
      </c>
      <c r="QT84" s="1" t="n">
        <f aca="false">IF(AQ84=1,IF(HT84=1,IX84+JA84,AR84-PX84)*(1+Slot3_Rate),0)</f>
        <v>0</v>
      </c>
      <c r="QU84" s="1" t="n">
        <f aca="false">IF(AND(HT84=1,AQ84=1),(IW84+JA84)/E84,0)</f>
        <v>0</v>
      </c>
      <c r="QV84" s="1" t="n">
        <f aca="false">IF(B84=0,IW84+JA84,0)</f>
        <v>0</v>
      </c>
      <c r="QW84" s="1" t="n">
        <f aca="false">IF(B84=0,IF(HT84=1,IY84,IZ84),0)</f>
        <v>0</v>
      </c>
      <c r="QX84" s="1" t="n">
        <f aca="false">IF(BA84=1,IF(HT84=1,JF84+JI84,BB84-PV84)*(1+Slot4_Rate),0)</f>
        <v>0</v>
      </c>
      <c r="QY84" s="1" t="n">
        <f aca="false">IF(AND(HT84=1,BA84=1),(JE84+JI84)/E84,0)</f>
        <v>0</v>
      </c>
      <c r="QZ84" s="1" t="n">
        <f aca="false">IF(B84=0,JE84+JI84,0)</f>
        <v>0</v>
      </c>
      <c r="RA84" s="1" t="n">
        <f aca="false">IF(B84=0,IF(HT84=1,JG84,JH84),0)</f>
        <v>0</v>
      </c>
      <c r="RB84" s="1" t="n">
        <f aca="false">IF(BK84=1,IF(HT84=1,JN84+JQ84,BL84-PT84)*(1+Slot5_Rate),0)</f>
        <v>0</v>
      </c>
      <c r="RC84" s="1" t="n">
        <f aca="false">IF(AND(HT84=1,BK84=1),(JM84+JQ84)/E84,0)</f>
        <v>0</v>
      </c>
      <c r="RD84" s="1" t="n">
        <f aca="false">IF(B84=0,JM84+JQ84,0)</f>
        <v>0</v>
      </c>
      <c r="RE84" s="1" t="n">
        <f aca="false">IF(B84=0,IF(HT84=1,JO84,JP84),0)</f>
        <v>0</v>
      </c>
      <c r="RF84" s="1" t="n">
        <f aca="false">IF(BU84=1,IF(HT84=1,JV84+JY84,BV84-PR84)*(1+Slot6_Rate),0)</f>
        <v>0</v>
      </c>
      <c r="RG84" s="1" t="n">
        <f aca="false">IF(AND(HT84=1,BU84=1),(JU84+JY84)/E84,0)</f>
        <v>0</v>
      </c>
      <c r="RH84" s="1" t="n">
        <f aca="false">IF(B84=0,JU84+JY84,0)</f>
        <v>0</v>
      </c>
      <c r="RI84" s="1" t="n">
        <f aca="false">IF(B84=0,IF(HT84=1,JW84,JX84),0)</f>
        <v>0</v>
      </c>
      <c r="RJ84" s="1" t="n">
        <f aca="false">IF(CE84=1,IF(HT84=1,KD84+KG84,CF84-PP84)*(1+Slot7_Rate),0)</f>
        <v>0</v>
      </c>
      <c r="RK84" s="1" t="n">
        <f aca="false">IF(AND(HT84=1,CE84=1),(KC84+KG84)/E84,0)</f>
        <v>0</v>
      </c>
      <c r="RL84" s="1" t="n">
        <f aca="false">IF(B84=0,KC84+KG84,0)</f>
        <v>0</v>
      </c>
      <c r="RM84" s="1" t="n">
        <f aca="false">IF(B84=0,IF(HT84=1,KE84,KF84),0)</f>
        <v>0</v>
      </c>
      <c r="RN84" s="1" t="n">
        <f aca="false">IF(CO84=1,IF(HT84=1,KL84+KO84,CP84-PN84)*(1+Slot8_Rate),0)</f>
        <v>0</v>
      </c>
      <c r="RO84" s="1" t="n">
        <f aca="false">IF(AND(HT84=1,CO84=1),(KK84+KO84)/E84,0)</f>
        <v>0</v>
      </c>
      <c r="RP84" s="1" t="n">
        <f aca="false">IF(B84=0,KK84+KO84,0)</f>
        <v>0</v>
      </c>
      <c r="RQ84" s="1" t="n">
        <f aca="false">IF(B84=0,IF(HT84=1,KM84,KN84),0)</f>
        <v>0</v>
      </c>
      <c r="RR84" s="1" t="n">
        <f aca="false">IF(CY84=1,IF(HT84=1,KT84+KW84,CZ84-PL84)*(1+Slot9_Rate),0)</f>
        <v>0</v>
      </c>
      <c r="RS84" s="1" t="n">
        <f aca="false">IF(AND(HT84=1,CY84=1),(KS84+KW84)/E84,0)</f>
        <v>0</v>
      </c>
      <c r="RT84" s="1" t="n">
        <f aca="false">IF(B84=0,KS84+KW84,0)</f>
        <v>0</v>
      </c>
      <c r="RU84" s="1" t="n">
        <f aca="false">IF(B84=0,IF(HT84=1,KU84,KV84),0)</f>
        <v>0</v>
      </c>
      <c r="RV84" s="1" t="n">
        <f aca="false">IF(DI84=1,IF(HT84=1,LB84+LE84,DJ84-PJ84)*(1+Slot10_Rate),0)</f>
        <v>0</v>
      </c>
      <c r="RW84" s="1" t="n">
        <f aca="false">IF(AND(HT84=1,DI84=1),(LA84+LE84)/E84,0)</f>
        <v>0</v>
      </c>
      <c r="RX84" s="1" t="n">
        <f aca="false">IF(B84=0,LA84+LE84,0)</f>
        <v>0</v>
      </c>
      <c r="RY84" s="1" t="n">
        <f aca="false">IF(B84=0,IF(HT84=1,LC84,LD84),0)</f>
        <v>0</v>
      </c>
      <c r="RZ84" s="1" t="n">
        <f aca="false">IF(DS84=1,IF(HT84=1,LJ84+LM84,DT84-PH84)*(1+Slot11_Rate),0)</f>
        <v>0</v>
      </c>
      <c r="SA84" s="1" t="n">
        <f aca="false">IF(AND(HT84=1,DS84=1),(LI84+LM84)/E84,0)</f>
        <v>0</v>
      </c>
      <c r="SB84" s="1" t="n">
        <f aca="false">IF(B84=0,LI84+LM84,0)</f>
        <v>0</v>
      </c>
      <c r="SC84" s="1" t="n">
        <f aca="false">IF(B84=0,IF(HT84=1,LK84,LL84),0)</f>
        <v>0</v>
      </c>
      <c r="SD84" s="1" t="n">
        <f aca="false">IF(EC84=1,IF(HT84=1,LR84+LU84,ED84-PF84)*(1+Slot12_Rate),0)</f>
        <v>0</v>
      </c>
      <c r="SE84" s="1" t="n">
        <f aca="false">IF(AND(HT84=1,EC84=1),(LQ84+LU84)/E84,0)</f>
        <v>0</v>
      </c>
      <c r="SF84" s="1" t="n">
        <f aca="false">IF(B84=0,LQ84+LU84,0)</f>
        <v>0</v>
      </c>
      <c r="SG84" s="1" t="n">
        <f aca="false">IF(B84=0,IF(HT84=1,LS84,LT84),0)</f>
        <v>0</v>
      </c>
      <c r="SH84" s="1" t="n">
        <f aca="false">IF(EM84=1,IF(HT84=1,LZ84+MC84,EN84-PD84)*(1+Slot13_Rate),0)</f>
        <v>0</v>
      </c>
      <c r="SI84" s="1" t="n">
        <f aca="false">IF(AND(HT84=1,EM84=1),(LY84+MC84)/E84,0)</f>
        <v>0</v>
      </c>
      <c r="SJ84" s="1" t="n">
        <f aca="false">IF(B84=0,LY84+MC84,0)</f>
        <v>0</v>
      </c>
      <c r="SK84" s="1" t="n">
        <f aca="false">IF(B84=0,IF(HT84=1,MA84,MB84),0)</f>
        <v>0</v>
      </c>
      <c r="SL84" s="1" t="n">
        <f aca="false">IF(EW84=1,IF(HT84=1,MH84+MK84,EX84-PB84)*(1+Slot14_Rate),0)</f>
        <v>0</v>
      </c>
      <c r="SM84" s="1" t="n">
        <f aca="false">IF(AND(HT84=1,EW84=1),(MG84+MK84)/E84,0)</f>
        <v>0</v>
      </c>
      <c r="SN84" s="1" t="n">
        <f aca="false">IF(B84=0,MG84+MK84,0)</f>
        <v>0</v>
      </c>
      <c r="SO84" s="1" t="n">
        <f aca="false">IF(B84=0,IF(HT84=1,MI84,MJ84),0)</f>
        <v>0</v>
      </c>
      <c r="SP84" s="1" t="n">
        <f aca="false">IF(FG84=1,IF(HT84=1,MP84+MS84,FH84-OZ84)*(1+Slot15_Rate),0)</f>
        <v>0</v>
      </c>
      <c r="SQ84" s="1" t="n">
        <f aca="false">IF(AND(HT84=1,FG84=1),(MO84+MS84)/E84,0)</f>
        <v>0</v>
      </c>
      <c r="SR84" s="1" t="n">
        <f aca="false">IF(B84=0,MO84+MS84,0)</f>
        <v>0</v>
      </c>
      <c r="SS84" s="1" t="n">
        <f aca="false">IF(B84=0,IF(HT84=1,MQ84,MR84),0)</f>
        <v>0</v>
      </c>
      <c r="ST84" s="1" t="n">
        <f aca="false">IF(FQ84=1,IF(HT84=1,MX84+NA84,FR84-OX84)*(1+Slot16_Rate),0)</f>
        <v>0</v>
      </c>
      <c r="SU84" s="1" t="n">
        <f aca="false">IF(AND(HT84=1,FQ84=1),(MW84+NA84)/E84,0)</f>
        <v>0</v>
      </c>
      <c r="SV84" s="1" t="n">
        <f aca="false">IF(B84=0,MW84+NA84,0)</f>
        <v>0</v>
      </c>
      <c r="SW84" s="1" t="n">
        <f aca="false">IF(B84=0,IF(HT84=1,MY84,MZ84),0)</f>
        <v>0</v>
      </c>
      <c r="SX84" s="1" t="n">
        <f aca="false">IF(GA84=1,IF(HT84=1,NF84+NI84,GB84-OV84)*(1+Slot17_Rate),0)</f>
        <v>0</v>
      </c>
      <c r="SY84" s="1" t="n">
        <f aca="false">IF(AND(HT84=1,GA84=1),(NE84+NI84)/E84,0)</f>
        <v>0</v>
      </c>
      <c r="SZ84" s="1" t="n">
        <f aca="false">IF(B84=0,NE84+NI84,0)</f>
        <v>0</v>
      </c>
      <c r="TA84" s="1" t="n">
        <f aca="false">IF(B84=0,IF(HT84=1,NG84,NH84),0)</f>
        <v>0</v>
      </c>
      <c r="TB84" s="1" t="n">
        <f aca="false">IF(GK84=1,IF(HT84=1,NN84+NQ84,GL84-OT84)*(1+Slot18_Rate),0)</f>
        <v>0</v>
      </c>
      <c r="TC84" s="1" t="n">
        <f aca="false">IF(AND(HT84=1,GK84=1),(NM84+NQ84)/E84,0)</f>
        <v>0</v>
      </c>
      <c r="TD84" s="1" t="n">
        <f aca="false">IF(B84=0,NM84+NQ84,0)</f>
        <v>0</v>
      </c>
      <c r="TE84" s="1" t="n">
        <f aca="false">IF(B84=0,IF(HT84=1,NO84,NP84),0)</f>
        <v>0</v>
      </c>
      <c r="TF84" s="1" t="n">
        <f aca="false">IF(GU84=1,IF(HT84=1,NV84+NY84,GV84-OR84)*(1+Slot19_Rate),0)</f>
        <v>0</v>
      </c>
      <c r="TG84" s="1" t="n">
        <f aca="false">IF(AND(HT84=1,GU84=1),(NU84+NY84)/E84,0)</f>
        <v>0</v>
      </c>
      <c r="TH84" s="1" t="n">
        <f aca="false">IF(B84=0,NU84+NY84,0)</f>
        <v>0</v>
      </c>
      <c r="TI84" s="1" t="n">
        <f aca="false">IF(B84=0,IF(HT84=1,NW84,NX84),0)</f>
        <v>0</v>
      </c>
      <c r="TJ84" s="1" t="n">
        <f aca="false">IF(HE84=1,IF(HT84=1,OD84+OG84,HF84-OP84)*(1+Slot20_Rate),0)</f>
        <v>0</v>
      </c>
      <c r="TK84" s="1" t="n">
        <f aca="false">IF(AND(HT84=1,HE84=1),(OC84+OG84)/E84,0)</f>
        <v>0</v>
      </c>
      <c r="TL84" s="1" t="n">
        <f aca="false">IF(B84=0,OC84+OG84,0)</f>
        <v>0</v>
      </c>
      <c r="TM84" s="1" t="n">
        <f aca="false">IF(B84=0,IF(HT84=1,OE84,OF84),0)</f>
        <v>0</v>
      </c>
      <c r="TN84" s="1" t="n">
        <f aca="false">QJ84+QK84+QL84+QP84+QT84+QX84+RB84+RF84+RJ84+RN84+RR84+RV84+RZ84+SD84+SH84+SL84+SP84+ST84+SX84+TB84+TF84+TJ84</f>
        <v>616055.74356228</v>
      </c>
      <c r="TO84" s="1" t="n">
        <f aca="false">QD84+HO84</f>
        <v>0</v>
      </c>
      <c r="TP84" s="1" t="n">
        <f aca="false">H84+R84</f>
        <v>0</v>
      </c>
      <c r="TQ84" s="1" t="n">
        <f aca="false">1-F84</f>
        <v>1</v>
      </c>
      <c r="TR84" s="1" t="n">
        <f aca="false">IF(AND(RG_Exists=1,F84=0,C84=1),H84,0)</f>
        <v>0</v>
      </c>
      <c r="TS84" s="1" t="n">
        <f aca="false">IF(AND(RG_Exists=1,F84=0,C84=1),H84-MIN(QD84,H84),0)</f>
        <v>0</v>
      </c>
      <c r="TT84" s="1" t="n">
        <f aca="false">'Plan pay &amp; tax'!AD310</f>
        <v>0</v>
      </c>
      <c r="TU84" s="1" t="n">
        <f aca="false">IF(AND(C84=1,QD84&gt;MAX(PR_Short1,TP84*PR_Short2)),1,0)</f>
        <v>0</v>
      </c>
      <c r="TV84" s="1" t="n">
        <f aca="false">MIN(G84,H84+R84)</f>
        <v>0</v>
      </c>
      <c r="TW84" s="1" t="n">
        <f aca="false">QE84+MAX(0,HP84-HO84)</f>
        <v>0</v>
      </c>
      <c r="TX84" s="1" t="n">
        <f aca="false">QD84+HO84</f>
        <v>0</v>
      </c>
      <c r="TY84" s="1" t="n">
        <f aca="false">IF(AND(C84=1,TX84&gt;PR_MinShort),1,0)</f>
        <v>0</v>
      </c>
      <c r="TZ84" s="1" t="n">
        <f aca="false">IF(AND(C84=1,TY84=0,TW84&gt;PR_MinShort),1,0)</f>
        <v>0</v>
      </c>
      <c r="UA84" s="1" t="n">
        <f aca="false">IF(AND(C84=1,QD84&gt;PR_MinShort),1,0)</f>
        <v>0</v>
      </c>
      <c r="UB84" s="1" t="n">
        <f aca="false">IF(AND(C84=1,QE84&gt;1,UI84=0),1,0)</f>
        <v>0</v>
      </c>
      <c r="UC84" s="1" t="str">
        <f aca="false">IF(C84=0,"",IF(UI84=1,"Gap to plan for: short "&amp;"€"&amp;TEXT(ROUND(TO84,0),"#,##0"),IF(QE84&gt;1,"Using savings","Comfortable")))</f>
        <v>Comfortable</v>
      </c>
      <c r="UD84" s="1" t="n">
        <f aca="false">IF(AND(INT(D84/10)*10=90,B84&gt;0),80,INT(D84/10)*10)</f>
        <v>70</v>
      </c>
      <c r="UE84" s="1" t="n">
        <f aca="false">IF(B84=0,1,IF(UD84&lt;&gt;UD83,UE83+1,UE83))</f>
        <v>8</v>
      </c>
      <c r="UF84" s="1" t="n">
        <f aca="false">IF(AND(C84=1,F84=1,QD84&gt;MAX(PR_Short1,TP84*PR_Short2)),1,0)</f>
        <v>0</v>
      </c>
      <c r="UG84" s="1" t="n">
        <f aca="false">TQ84*TU84</f>
        <v>0</v>
      </c>
      <c r="UH84" s="1" t="n">
        <f aca="false">IF(AND(U84=1,Slot1_PctLow=1),1,0)+IF(AND(AF84=1,Slot2_PctLow=1),1,0)+IF(AND(AP84=1,Slot3_PctLow=1),1,0)+IF(AND(AZ84=1,Slot4_PctLow=1),1,0)+IF(AND(BJ84=1,Slot5_PctLow=1),1,0)+IF(AND(BT84=1,Slot6_PctLow=1),1,0)+IF(AND(CD84=1,Slot7_PctLow=1),1,0)+IF(AND(CN84=1,Slot8_PctLow=1),1,0)+IF(AND(CX84=1,Slot9_PctLow=1),1,0)+IF(AND(DH84=1,Slot10_PctLow=1),1,0)+IF(AND(DR84=1,Slot11_PctLow=1),1,0)+IF(AND(EB84=1,Slot12_PctLow=1),1,0)+IF(AND(EL84=1,Slot13_PctLow=1),1,0)+IF(AND(EV84=1,Slot14_PctLow=1),1,0)+IF(AND(FF84=1,Slot15_PctLow=1),1,0)+IF(AND(FP84=1,Slot16_PctLow=1),1,0)+IF(AND(FZ84=1,Slot17_PctLow=1),1,0)+IF(AND(GJ84=1,Slot18_PctLow=1),1,0)+IF(AND(GT84=1,Slot19_PctLow=1),1,0)+IF(AND(HD84=1,Slot20_PctLow=1),1,0)</f>
        <v>0</v>
      </c>
      <c r="UI84" s="1" t="n">
        <f aca="false">IF(C84=1,IF(OR(TU84=1,UH84&gt;0),1,0),0)</f>
        <v>0</v>
      </c>
    </row>
    <row r="85" customFormat="false" ht="15" hidden="false" customHeight="true" outlineLevel="0" collapsed="false">
      <c r="B85" s="1" t="n">
        <v>77</v>
      </c>
      <c r="C85" s="1" t="n">
        <f aca="false">IF(B85&lt;=F_N,1,0)</f>
        <v>1</v>
      </c>
      <c r="D85" s="1" t="n">
        <f aca="false">'Plan pay &amp; tax'!C311</f>
        <v>77</v>
      </c>
      <c r="E85" s="111" t="n">
        <f aca="false">'Plan pay &amp; tax'!E311</f>
        <v>4.59423520751483</v>
      </c>
      <c r="F85" s="1" t="n">
        <f aca="false">'Plan pay &amp; tax'!G311</f>
        <v>0</v>
      </c>
      <c r="G85" s="1" t="n">
        <f aca="false">'Plan pay &amp; tax'!BT311-'Plan pay &amp; tax'!BS311-'Plan pay &amp; tax'!R311</f>
        <v>57202.2712605422</v>
      </c>
      <c r="H85" s="1" t="n">
        <f aca="false">IF(F85=1,F_CostsM*12,IF(RG_Exists=1,RG_Amount,F_CostsM*12*AS_RetireSpend))*E85+F_OneOffY*E85</f>
        <v>0</v>
      </c>
      <c r="I85" s="1" t="n">
        <f aca="false">HQ84</f>
        <v>0</v>
      </c>
      <c r="J85" s="1" t="n">
        <f aca="false">IF(I85&gt;1,'Plan debt months'!AC85,0)</f>
        <v>0</v>
      </c>
      <c r="K85" s="1" t="n">
        <f aca="false">IF(I85&gt;1,'Plan debt months'!AB85,I85)</f>
        <v>0</v>
      </c>
      <c r="L85" s="1" t="n">
        <f aca="false">N84</f>
        <v>0</v>
      </c>
      <c r="M85" s="1" t="n">
        <f aca="false">IF(L85&gt;1,'Plan debt months'!BD85,0)</f>
        <v>0</v>
      </c>
      <c r="N85" s="1" t="n">
        <f aca="false">IF(L85&gt;1,'Plan debt months'!BC85,L85)</f>
        <v>0</v>
      </c>
      <c r="O85" s="1" t="n">
        <f aca="false">Q84</f>
        <v>0</v>
      </c>
      <c r="P85" s="1" t="n">
        <f aca="false">IF(O85&gt;1,'Plan debt months'!CE85,0)</f>
        <v>0</v>
      </c>
      <c r="Q85" s="1" t="n">
        <f aca="false">IF(O85&gt;1,'Plan debt months'!CD85,O85)</f>
        <v>0</v>
      </c>
      <c r="R85" s="1" t="n">
        <f aca="false">J85+M85+P85</f>
        <v>0</v>
      </c>
      <c r="S85" s="1" t="n">
        <f aca="false">QJ84+'Plan pay &amp; tax'!Y311</f>
        <v>616055.74356228</v>
      </c>
      <c r="T85" s="1" t="n">
        <f aca="false">QJ84</f>
        <v>616055.74356228</v>
      </c>
      <c r="U85" s="1" t="n">
        <f aca="false">IF(AND(Slot1_On=1,D85=Slot1_Age),1,0)</f>
        <v>0</v>
      </c>
      <c r="V85" s="1" t="n">
        <f aca="false">IF(AND(Slot1_On=1,Slot1_Age&gt;D85),1,0)</f>
        <v>0</v>
      </c>
      <c r="W85" s="1" t="n">
        <f aca="false">QL84</f>
        <v>0</v>
      </c>
      <c r="X85" s="1" t="n">
        <f aca="false">U85*MIN(Slot1_Cost,W85)</f>
        <v>0</v>
      </c>
      <c r="Y85" s="1" t="n">
        <f aca="false">U85*Slot1_SpendLike*MIN(Slot1_Cost-X85,S85)</f>
        <v>0</v>
      </c>
      <c r="Z85" s="1" t="n">
        <f aca="false">X85+Y85</f>
        <v>0</v>
      </c>
      <c r="AA85" s="1" t="n">
        <f aca="false">S85-Y85+U85*IF(Slot1_SpendLike=1,W85-X85,IF(Slot1_PotFree=1,W85,0))</f>
        <v>616055.74356228</v>
      </c>
      <c r="AB85" s="1" t="n">
        <f aca="false">AE85+U85*Slot1_BufPot*W85</f>
        <v>0</v>
      </c>
      <c r="AC85" s="1" t="n">
        <f aca="false">IF(AND(U85=1,Slot1_IsMfree=1),IF(Z85&gt;=Slot1_Cost-1,0,MAX(0,K85-Z85)),K85)</f>
        <v>0</v>
      </c>
      <c r="AD85" s="1" t="n">
        <f aca="false">U85*(Slot1_Cost-Z85)</f>
        <v>0</v>
      </c>
      <c r="AE85" s="1" t="n">
        <f aca="false">QK84</f>
        <v>0</v>
      </c>
      <c r="AF85" s="1" t="n">
        <f aca="false">IF(AND(Slot2_On=1,D85=Slot2_Age),1,0)</f>
        <v>0</v>
      </c>
      <c r="AG85" s="1" t="n">
        <f aca="false">IF(AND(Slot2_On=1,Slot2_Age&gt;D85),1,0)</f>
        <v>0</v>
      </c>
      <c r="AH85" s="1" t="n">
        <f aca="false">QP84</f>
        <v>0</v>
      </c>
      <c r="AI85" s="1" t="n">
        <f aca="false">AF85*MIN(Slot2_Cost,AH85)</f>
        <v>0</v>
      </c>
      <c r="AJ85" s="1" t="n">
        <f aca="false">AF85*Slot2_SpendLike*MIN(Slot2_Cost-AI85,AA85)</f>
        <v>0</v>
      </c>
      <c r="AK85" s="1" t="n">
        <f aca="false">AI85+AJ85</f>
        <v>0</v>
      </c>
      <c r="AL85" s="1" t="n">
        <f aca="false">AA85-AJ85+AF85*IF(Slot2_SpendLike=1,AH85-AI85,IF(Slot2_PotFree=1,AH85,0))</f>
        <v>616055.74356228</v>
      </c>
      <c r="AM85" s="1" t="n">
        <f aca="false">AB85+AF85*Slot2_BufPot*AH85</f>
        <v>0</v>
      </c>
      <c r="AN85" s="1" t="n">
        <f aca="false">IF(AND(AF85=1,Slot2_IsMfree=1),IF(AK85&gt;=Slot2_Cost-1,0,MAX(0,AC85-AK85)),AC85)</f>
        <v>0</v>
      </c>
      <c r="AO85" s="1" t="n">
        <f aca="false">AF85*(Slot2_Cost-AK85)</f>
        <v>0</v>
      </c>
      <c r="AP85" s="1" t="n">
        <f aca="false">IF(AND(Slot3_On=1,D85=Slot3_Age),1,0)</f>
        <v>0</v>
      </c>
      <c r="AQ85" s="1" t="n">
        <f aca="false">IF(AND(Slot3_On=1,Slot3_Age&gt;D85),1,0)</f>
        <v>0</v>
      </c>
      <c r="AR85" s="1" t="n">
        <f aca="false">QT84</f>
        <v>0</v>
      </c>
      <c r="AS85" s="1" t="n">
        <f aca="false">AP85*MIN(Slot3_Cost,AR85)</f>
        <v>0</v>
      </c>
      <c r="AT85" s="1" t="n">
        <f aca="false">AP85*Slot3_SpendLike*MIN(Slot3_Cost-AS85,AL85)</f>
        <v>0</v>
      </c>
      <c r="AU85" s="1" t="n">
        <f aca="false">AS85+AT85</f>
        <v>0</v>
      </c>
      <c r="AV85" s="1" t="n">
        <f aca="false">AL85-AT85+AP85*IF(Slot3_SpendLike=1,AR85-AS85,IF(Slot3_PotFree=1,AR85,0))</f>
        <v>616055.74356228</v>
      </c>
      <c r="AW85" s="1" t="n">
        <f aca="false">AM85+AP85*Slot3_BufPot*AR85</f>
        <v>0</v>
      </c>
      <c r="AX85" s="1" t="n">
        <f aca="false">IF(AND(AP85=1,Slot3_IsMfree=1),IF(AU85&gt;=Slot3_Cost-1,0,MAX(0,AN85-AU85)),AN85)</f>
        <v>0</v>
      </c>
      <c r="AY85" s="1" t="n">
        <f aca="false">AP85*(Slot3_Cost-AU85)</f>
        <v>0</v>
      </c>
      <c r="AZ85" s="1" t="n">
        <f aca="false">IF(AND(Slot4_On=1,D85=Slot4_Age),1,0)</f>
        <v>0</v>
      </c>
      <c r="BA85" s="1" t="n">
        <f aca="false">IF(AND(Slot4_On=1,Slot4_Age&gt;D85),1,0)</f>
        <v>0</v>
      </c>
      <c r="BB85" s="1" t="n">
        <f aca="false">QX84</f>
        <v>0</v>
      </c>
      <c r="BC85" s="1" t="n">
        <f aca="false">AZ85*MIN(Slot4_Cost,BB85)</f>
        <v>0</v>
      </c>
      <c r="BD85" s="1" t="n">
        <f aca="false">AZ85*Slot4_SpendLike*MIN(Slot4_Cost-BC85,AV85)</f>
        <v>0</v>
      </c>
      <c r="BE85" s="1" t="n">
        <f aca="false">BC85+BD85</f>
        <v>0</v>
      </c>
      <c r="BF85" s="1" t="n">
        <f aca="false">AV85-BD85+AZ85*IF(Slot4_SpendLike=1,BB85-BC85,IF(Slot4_PotFree=1,BB85,0))</f>
        <v>616055.74356228</v>
      </c>
      <c r="BG85" s="1" t="n">
        <f aca="false">AW85+AZ85*Slot4_BufPot*BB85</f>
        <v>0</v>
      </c>
      <c r="BH85" s="1" t="n">
        <f aca="false">IF(AND(AZ85=1,Slot4_IsMfree=1),IF(BE85&gt;=Slot4_Cost-1,0,MAX(0,AX85-BE85)),AX85)</f>
        <v>0</v>
      </c>
      <c r="BI85" s="1" t="n">
        <f aca="false">AZ85*(Slot4_Cost-BE85)</f>
        <v>0</v>
      </c>
      <c r="BJ85" s="1" t="n">
        <f aca="false">IF(AND(Slot5_On=1,D85=Slot5_Age),1,0)</f>
        <v>0</v>
      </c>
      <c r="BK85" s="1" t="n">
        <f aca="false">IF(AND(Slot5_On=1,Slot5_Age&gt;D85),1,0)</f>
        <v>0</v>
      </c>
      <c r="BL85" s="1" t="n">
        <f aca="false">RB84</f>
        <v>0</v>
      </c>
      <c r="BM85" s="1" t="n">
        <f aca="false">BJ85*MIN(Slot5_Cost,BL85)</f>
        <v>0</v>
      </c>
      <c r="BN85" s="1" t="n">
        <f aca="false">BJ85*Slot5_SpendLike*MIN(Slot5_Cost-BM85,BF85)</f>
        <v>0</v>
      </c>
      <c r="BO85" s="1" t="n">
        <f aca="false">BM85+BN85</f>
        <v>0</v>
      </c>
      <c r="BP85" s="1" t="n">
        <f aca="false">BF85-BN85+BJ85*IF(Slot5_SpendLike=1,BL85-BM85,IF(Slot5_PotFree=1,BL85,0))</f>
        <v>616055.74356228</v>
      </c>
      <c r="BQ85" s="1" t="n">
        <f aca="false">BG85+BJ85*Slot5_BufPot*BL85</f>
        <v>0</v>
      </c>
      <c r="BR85" s="1" t="n">
        <f aca="false">IF(AND(BJ85=1,Slot5_IsMfree=1),IF(BO85&gt;=Slot5_Cost-1,0,MAX(0,BH85-BO85)),BH85)</f>
        <v>0</v>
      </c>
      <c r="BS85" s="1" t="n">
        <f aca="false">BJ85*(Slot5_Cost-BO85)</f>
        <v>0</v>
      </c>
      <c r="BT85" s="1" t="n">
        <f aca="false">IF(AND(Slot6_On=1,D85=Slot6_Age),1,0)</f>
        <v>0</v>
      </c>
      <c r="BU85" s="1" t="n">
        <f aca="false">IF(AND(Slot6_On=1,Slot6_Age&gt;D85),1,0)</f>
        <v>0</v>
      </c>
      <c r="BV85" s="1" t="n">
        <f aca="false">RF84</f>
        <v>0</v>
      </c>
      <c r="BW85" s="1" t="n">
        <f aca="false">BT85*MIN(Slot6_Cost,BV85)</f>
        <v>0</v>
      </c>
      <c r="BX85" s="1" t="n">
        <f aca="false">BT85*Slot6_SpendLike*MIN(Slot6_Cost-BW85,BP85)</f>
        <v>0</v>
      </c>
      <c r="BY85" s="1" t="n">
        <f aca="false">BW85+BX85</f>
        <v>0</v>
      </c>
      <c r="BZ85" s="1" t="n">
        <f aca="false">BP85-BX85+BT85*IF(Slot6_SpendLike=1,BV85-BW85,IF(Slot6_PotFree=1,BV85,0))</f>
        <v>616055.74356228</v>
      </c>
      <c r="CA85" s="1" t="n">
        <f aca="false">BQ85+BT85*Slot6_BufPot*BV85</f>
        <v>0</v>
      </c>
      <c r="CB85" s="1" t="n">
        <f aca="false">IF(AND(BT85=1,Slot6_IsMfree=1),IF(BY85&gt;=Slot6_Cost-1,0,MAX(0,BR85-BY85)),BR85)</f>
        <v>0</v>
      </c>
      <c r="CC85" s="1" t="n">
        <f aca="false">BT85*(Slot6_Cost-BY85)</f>
        <v>0</v>
      </c>
      <c r="CD85" s="1" t="n">
        <f aca="false">IF(AND(Slot7_On=1,D85=Slot7_Age),1,0)</f>
        <v>0</v>
      </c>
      <c r="CE85" s="1" t="n">
        <f aca="false">IF(AND(Slot7_On=1,Slot7_Age&gt;D85),1,0)</f>
        <v>0</v>
      </c>
      <c r="CF85" s="1" t="n">
        <f aca="false">RJ84</f>
        <v>0</v>
      </c>
      <c r="CG85" s="1" t="n">
        <f aca="false">CD85*MIN(Slot7_Cost,CF85)</f>
        <v>0</v>
      </c>
      <c r="CH85" s="1" t="n">
        <f aca="false">CD85*Slot7_SpendLike*MIN(Slot7_Cost-CG85,BZ85)</f>
        <v>0</v>
      </c>
      <c r="CI85" s="1" t="n">
        <f aca="false">CG85+CH85</f>
        <v>0</v>
      </c>
      <c r="CJ85" s="1" t="n">
        <f aca="false">BZ85-CH85+CD85*IF(Slot7_SpendLike=1,CF85-CG85,IF(Slot7_PotFree=1,CF85,0))</f>
        <v>616055.74356228</v>
      </c>
      <c r="CK85" s="1" t="n">
        <f aca="false">CA85+CD85*Slot7_BufPot*CF85</f>
        <v>0</v>
      </c>
      <c r="CL85" s="1" t="n">
        <f aca="false">IF(AND(CD85=1,Slot7_IsMfree=1),IF(CI85&gt;=Slot7_Cost-1,0,MAX(0,CB85-CI85)),CB85)</f>
        <v>0</v>
      </c>
      <c r="CM85" s="1" t="n">
        <f aca="false">CD85*(Slot7_Cost-CI85)</f>
        <v>0</v>
      </c>
      <c r="CN85" s="1" t="n">
        <f aca="false">IF(AND(Slot8_On=1,D85=Slot8_Age),1,0)</f>
        <v>0</v>
      </c>
      <c r="CO85" s="1" t="n">
        <f aca="false">IF(AND(Slot8_On=1,Slot8_Age&gt;D85),1,0)</f>
        <v>0</v>
      </c>
      <c r="CP85" s="1" t="n">
        <f aca="false">RN84</f>
        <v>0</v>
      </c>
      <c r="CQ85" s="1" t="n">
        <f aca="false">CN85*MIN(Slot8_Cost,CP85)</f>
        <v>0</v>
      </c>
      <c r="CR85" s="1" t="n">
        <f aca="false">CN85*Slot8_SpendLike*MIN(Slot8_Cost-CQ85,CJ85)</f>
        <v>0</v>
      </c>
      <c r="CS85" s="1" t="n">
        <f aca="false">CQ85+CR85</f>
        <v>0</v>
      </c>
      <c r="CT85" s="1" t="n">
        <f aca="false">CJ85-CR85+CN85*IF(Slot8_SpendLike=1,CP85-CQ85,IF(Slot8_PotFree=1,CP85,0))</f>
        <v>616055.74356228</v>
      </c>
      <c r="CU85" s="1" t="n">
        <f aca="false">CK85+CN85*Slot8_BufPot*CP85</f>
        <v>0</v>
      </c>
      <c r="CV85" s="1" t="n">
        <f aca="false">IF(AND(CN85=1,Slot8_IsMfree=1),IF(CS85&gt;=Slot8_Cost-1,0,MAX(0,CL85-CS85)),CL85)</f>
        <v>0</v>
      </c>
      <c r="CW85" s="1" t="n">
        <f aca="false">CN85*(Slot8_Cost-CS85)</f>
        <v>0</v>
      </c>
      <c r="CX85" s="1" t="n">
        <f aca="false">IF(AND(Slot9_On=1,D85=Slot9_Age),1,0)</f>
        <v>0</v>
      </c>
      <c r="CY85" s="1" t="n">
        <f aca="false">IF(AND(Slot9_On=1,Slot9_Age&gt;D85),1,0)</f>
        <v>0</v>
      </c>
      <c r="CZ85" s="1" t="n">
        <f aca="false">RR84</f>
        <v>0</v>
      </c>
      <c r="DA85" s="1" t="n">
        <f aca="false">CX85*MIN(Slot9_Cost,CZ85)</f>
        <v>0</v>
      </c>
      <c r="DB85" s="1" t="n">
        <f aca="false">CX85*Slot9_SpendLike*MIN(Slot9_Cost-DA85,CT85)</f>
        <v>0</v>
      </c>
      <c r="DC85" s="1" t="n">
        <f aca="false">DA85+DB85</f>
        <v>0</v>
      </c>
      <c r="DD85" s="1" t="n">
        <f aca="false">CT85-DB85+CX85*IF(Slot9_SpendLike=1,CZ85-DA85,IF(Slot9_PotFree=1,CZ85,0))</f>
        <v>616055.74356228</v>
      </c>
      <c r="DE85" s="1" t="n">
        <f aca="false">CU85+CX85*Slot9_BufPot*CZ85</f>
        <v>0</v>
      </c>
      <c r="DF85" s="1" t="n">
        <f aca="false">IF(AND(CX85=1,Slot9_IsMfree=1),IF(DC85&gt;=Slot9_Cost-1,0,MAX(0,CV85-DC85)),CV85)</f>
        <v>0</v>
      </c>
      <c r="DG85" s="1" t="n">
        <f aca="false">CX85*(Slot9_Cost-DC85)</f>
        <v>0</v>
      </c>
      <c r="DH85" s="1" t="n">
        <f aca="false">IF(AND(Slot10_On=1,D85=Slot10_Age),1,0)</f>
        <v>0</v>
      </c>
      <c r="DI85" s="1" t="n">
        <f aca="false">IF(AND(Slot10_On=1,Slot10_Age&gt;D85),1,0)</f>
        <v>0</v>
      </c>
      <c r="DJ85" s="1" t="n">
        <f aca="false">RV84</f>
        <v>0</v>
      </c>
      <c r="DK85" s="1" t="n">
        <f aca="false">DH85*MIN(Slot10_Cost,DJ85)</f>
        <v>0</v>
      </c>
      <c r="DL85" s="1" t="n">
        <f aca="false">DH85*Slot10_SpendLike*MIN(Slot10_Cost-DK85,DD85)</f>
        <v>0</v>
      </c>
      <c r="DM85" s="1" t="n">
        <f aca="false">DK85+DL85</f>
        <v>0</v>
      </c>
      <c r="DN85" s="1" t="n">
        <f aca="false">DD85-DL85+DH85*IF(Slot10_SpendLike=1,DJ85-DK85,IF(Slot10_PotFree=1,DJ85,0))</f>
        <v>616055.74356228</v>
      </c>
      <c r="DO85" s="1" t="n">
        <f aca="false">DE85+DH85*Slot10_BufPot*DJ85</f>
        <v>0</v>
      </c>
      <c r="DP85" s="1" t="n">
        <f aca="false">IF(AND(DH85=1,Slot10_IsMfree=1),IF(DM85&gt;=Slot10_Cost-1,0,MAX(0,DF85-DM85)),DF85)</f>
        <v>0</v>
      </c>
      <c r="DQ85" s="1" t="n">
        <f aca="false">DH85*(Slot10_Cost-DM85)</f>
        <v>0</v>
      </c>
      <c r="DR85" s="1" t="n">
        <f aca="false">IF(AND(Slot11_On=1,D85=Slot11_Age),1,0)</f>
        <v>0</v>
      </c>
      <c r="DS85" s="1" t="n">
        <f aca="false">IF(AND(Slot11_On=1,Slot11_Age&gt;D85),1,0)</f>
        <v>0</v>
      </c>
      <c r="DT85" s="1" t="n">
        <f aca="false">RZ84</f>
        <v>0</v>
      </c>
      <c r="DU85" s="1" t="n">
        <f aca="false">DR85*MIN(Slot11_Cost,DT85)</f>
        <v>0</v>
      </c>
      <c r="DV85" s="1" t="n">
        <f aca="false">DR85*Slot11_SpendLike*MIN(Slot11_Cost-DU85,DN85)</f>
        <v>0</v>
      </c>
      <c r="DW85" s="1" t="n">
        <f aca="false">DU85+DV85</f>
        <v>0</v>
      </c>
      <c r="DX85" s="1" t="n">
        <f aca="false">DN85-DV85+DR85*IF(Slot11_SpendLike=1,DT85-DU85,IF(Slot11_PotFree=1,DT85,0))</f>
        <v>616055.74356228</v>
      </c>
      <c r="DY85" s="1" t="n">
        <f aca="false">DO85+DR85*Slot11_BufPot*DT85</f>
        <v>0</v>
      </c>
      <c r="DZ85" s="1" t="n">
        <f aca="false">IF(AND(DR85=1,Slot11_IsMfree=1),IF(DW85&gt;=Slot11_Cost-1,0,MAX(0,DP85-DW85)),DP85)</f>
        <v>0</v>
      </c>
      <c r="EA85" s="1" t="n">
        <f aca="false">DR85*(Slot11_Cost-DW85)</f>
        <v>0</v>
      </c>
      <c r="EB85" s="1" t="n">
        <f aca="false">IF(AND(Slot12_On=1,D85=Slot12_Age),1,0)</f>
        <v>0</v>
      </c>
      <c r="EC85" s="1" t="n">
        <f aca="false">IF(AND(Slot12_On=1,Slot12_Age&gt;D85),1,0)</f>
        <v>0</v>
      </c>
      <c r="ED85" s="1" t="n">
        <f aca="false">SD84</f>
        <v>0</v>
      </c>
      <c r="EE85" s="1" t="n">
        <f aca="false">EB85*MIN(Slot12_Cost,ED85)</f>
        <v>0</v>
      </c>
      <c r="EF85" s="1" t="n">
        <f aca="false">EB85*Slot12_SpendLike*MIN(Slot12_Cost-EE85,DX85)</f>
        <v>0</v>
      </c>
      <c r="EG85" s="1" t="n">
        <f aca="false">EE85+EF85</f>
        <v>0</v>
      </c>
      <c r="EH85" s="1" t="n">
        <f aca="false">DX85-EF85+EB85*IF(Slot12_SpendLike=1,ED85-EE85,IF(Slot12_PotFree=1,ED85,0))</f>
        <v>616055.74356228</v>
      </c>
      <c r="EI85" s="1" t="n">
        <f aca="false">DY85+EB85*Slot12_BufPot*ED85</f>
        <v>0</v>
      </c>
      <c r="EJ85" s="1" t="n">
        <f aca="false">IF(AND(EB85=1,Slot12_IsMfree=1),IF(EG85&gt;=Slot12_Cost-1,0,MAX(0,DZ85-EG85)),DZ85)</f>
        <v>0</v>
      </c>
      <c r="EK85" s="1" t="n">
        <f aca="false">EB85*(Slot12_Cost-EG85)</f>
        <v>0</v>
      </c>
      <c r="EL85" s="1" t="n">
        <f aca="false">IF(AND(Slot13_On=1,D85=Slot13_Age),1,0)</f>
        <v>0</v>
      </c>
      <c r="EM85" s="1" t="n">
        <f aca="false">IF(AND(Slot13_On=1,Slot13_Age&gt;D85),1,0)</f>
        <v>0</v>
      </c>
      <c r="EN85" s="1" t="n">
        <f aca="false">SH84</f>
        <v>0</v>
      </c>
      <c r="EO85" s="1" t="n">
        <f aca="false">EL85*MIN(Slot13_Cost,EN85)</f>
        <v>0</v>
      </c>
      <c r="EP85" s="1" t="n">
        <f aca="false">EL85*Slot13_SpendLike*MIN(Slot13_Cost-EO85,EH85)</f>
        <v>0</v>
      </c>
      <c r="EQ85" s="1" t="n">
        <f aca="false">EO85+EP85</f>
        <v>0</v>
      </c>
      <c r="ER85" s="1" t="n">
        <f aca="false">EH85-EP85+EL85*IF(Slot13_SpendLike=1,EN85-EO85,IF(Slot13_PotFree=1,EN85,0))</f>
        <v>616055.74356228</v>
      </c>
      <c r="ES85" s="1" t="n">
        <f aca="false">EI85+EL85*Slot13_BufPot*EN85</f>
        <v>0</v>
      </c>
      <c r="ET85" s="1" t="n">
        <f aca="false">IF(AND(EL85=1,Slot13_IsMfree=1),IF(EQ85&gt;=Slot13_Cost-1,0,MAX(0,EJ85-EQ85)),EJ85)</f>
        <v>0</v>
      </c>
      <c r="EU85" s="1" t="n">
        <f aca="false">EL85*(Slot13_Cost-EQ85)</f>
        <v>0</v>
      </c>
      <c r="EV85" s="1" t="n">
        <f aca="false">IF(AND(Slot14_On=1,D85=Slot14_Age),1,0)</f>
        <v>0</v>
      </c>
      <c r="EW85" s="1" t="n">
        <f aca="false">IF(AND(Slot14_On=1,Slot14_Age&gt;D85),1,0)</f>
        <v>0</v>
      </c>
      <c r="EX85" s="1" t="n">
        <f aca="false">SL84</f>
        <v>0</v>
      </c>
      <c r="EY85" s="1" t="n">
        <f aca="false">EV85*MIN(Slot14_Cost,EX85)</f>
        <v>0</v>
      </c>
      <c r="EZ85" s="1" t="n">
        <f aca="false">EV85*Slot14_SpendLike*MIN(Slot14_Cost-EY85,ER85)</f>
        <v>0</v>
      </c>
      <c r="FA85" s="1" t="n">
        <f aca="false">EY85+EZ85</f>
        <v>0</v>
      </c>
      <c r="FB85" s="1" t="n">
        <f aca="false">ER85-EZ85+EV85*IF(Slot14_SpendLike=1,EX85-EY85,IF(Slot14_PotFree=1,EX85,0))</f>
        <v>616055.74356228</v>
      </c>
      <c r="FC85" s="1" t="n">
        <f aca="false">ES85+EV85*Slot14_BufPot*EX85</f>
        <v>0</v>
      </c>
      <c r="FD85" s="1" t="n">
        <f aca="false">IF(AND(EV85=1,Slot14_IsMfree=1),IF(FA85&gt;=Slot14_Cost-1,0,MAX(0,ET85-FA85)),ET85)</f>
        <v>0</v>
      </c>
      <c r="FE85" s="1" t="n">
        <f aca="false">EV85*(Slot14_Cost-FA85)</f>
        <v>0</v>
      </c>
      <c r="FF85" s="1" t="n">
        <f aca="false">IF(AND(Slot15_On=1,D85=Slot15_Age),1,0)</f>
        <v>0</v>
      </c>
      <c r="FG85" s="1" t="n">
        <f aca="false">IF(AND(Slot15_On=1,Slot15_Age&gt;D85),1,0)</f>
        <v>0</v>
      </c>
      <c r="FH85" s="1" t="n">
        <f aca="false">SP84</f>
        <v>0</v>
      </c>
      <c r="FI85" s="1" t="n">
        <f aca="false">FF85*MIN(Slot15_Cost,FH85)</f>
        <v>0</v>
      </c>
      <c r="FJ85" s="1" t="n">
        <f aca="false">FF85*Slot15_SpendLike*MIN(Slot15_Cost-FI85,FB85)</f>
        <v>0</v>
      </c>
      <c r="FK85" s="1" t="n">
        <f aca="false">FI85+FJ85</f>
        <v>0</v>
      </c>
      <c r="FL85" s="1" t="n">
        <f aca="false">FB85-FJ85+FF85*IF(Slot15_SpendLike=1,FH85-FI85,IF(Slot15_PotFree=1,FH85,0))</f>
        <v>616055.74356228</v>
      </c>
      <c r="FM85" s="1" t="n">
        <f aca="false">FC85+FF85*Slot15_BufPot*FH85</f>
        <v>0</v>
      </c>
      <c r="FN85" s="1" t="n">
        <f aca="false">IF(AND(FF85=1,Slot15_IsMfree=1),IF(FK85&gt;=Slot15_Cost-1,0,MAX(0,FD85-FK85)),FD85)</f>
        <v>0</v>
      </c>
      <c r="FO85" s="1" t="n">
        <f aca="false">FF85*(Slot15_Cost-FK85)</f>
        <v>0</v>
      </c>
      <c r="FP85" s="1" t="n">
        <f aca="false">IF(AND(Slot16_On=1,D85=Slot16_Age),1,0)</f>
        <v>0</v>
      </c>
      <c r="FQ85" s="1" t="n">
        <f aca="false">IF(AND(Slot16_On=1,Slot16_Age&gt;D85),1,0)</f>
        <v>0</v>
      </c>
      <c r="FR85" s="1" t="n">
        <f aca="false">ST84</f>
        <v>0</v>
      </c>
      <c r="FS85" s="1" t="n">
        <f aca="false">FP85*MIN(Slot16_Cost,FR85)</f>
        <v>0</v>
      </c>
      <c r="FT85" s="1" t="n">
        <f aca="false">FP85*Slot16_SpendLike*MIN(Slot16_Cost-FS85,FL85)</f>
        <v>0</v>
      </c>
      <c r="FU85" s="1" t="n">
        <f aca="false">FS85+FT85</f>
        <v>0</v>
      </c>
      <c r="FV85" s="1" t="n">
        <f aca="false">FL85-FT85+FP85*IF(Slot16_SpendLike=1,FR85-FS85,IF(Slot16_PotFree=1,FR85,0))</f>
        <v>616055.74356228</v>
      </c>
      <c r="FW85" s="1" t="n">
        <f aca="false">FM85+FP85*Slot16_BufPot*FR85</f>
        <v>0</v>
      </c>
      <c r="FX85" s="1" t="n">
        <f aca="false">IF(AND(FP85=1,Slot16_IsMfree=1),IF(FU85&gt;=Slot16_Cost-1,0,MAX(0,FN85-FU85)),FN85)</f>
        <v>0</v>
      </c>
      <c r="FY85" s="1" t="n">
        <f aca="false">FP85*(Slot16_Cost-FU85)</f>
        <v>0</v>
      </c>
      <c r="FZ85" s="1" t="n">
        <f aca="false">IF(AND(Slot17_On=1,D85=Slot17_Age),1,0)</f>
        <v>0</v>
      </c>
      <c r="GA85" s="1" t="n">
        <f aca="false">IF(AND(Slot17_On=1,Slot17_Age&gt;D85),1,0)</f>
        <v>0</v>
      </c>
      <c r="GB85" s="1" t="n">
        <f aca="false">SX84</f>
        <v>0</v>
      </c>
      <c r="GC85" s="1" t="n">
        <f aca="false">FZ85*MIN(Slot17_Cost,GB85)</f>
        <v>0</v>
      </c>
      <c r="GD85" s="1" t="n">
        <f aca="false">FZ85*Slot17_SpendLike*MIN(Slot17_Cost-GC85,FV85)</f>
        <v>0</v>
      </c>
      <c r="GE85" s="1" t="n">
        <f aca="false">GC85+GD85</f>
        <v>0</v>
      </c>
      <c r="GF85" s="1" t="n">
        <f aca="false">FV85-GD85+FZ85*IF(Slot17_SpendLike=1,GB85-GC85,IF(Slot17_PotFree=1,GB85,0))</f>
        <v>616055.74356228</v>
      </c>
      <c r="GG85" s="1" t="n">
        <f aca="false">FW85+FZ85*Slot17_BufPot*GB85</f>
        <v>0</v>
      </c>
      <c r="GH85" s="1" t="n">
        <f aca="false">IF(AND(FZ85=1,Slot17_IsMfree=1),IF(GE85&gt;=Slot17_Cost-1,0,MAX(0,FX85-GE85)),FX85)</f>
        <v>0</v>
      </c>
      <c r="GI85" s="1" t="n">
        <f aca="false">FZ85*(Slot17_Cost-GE85)</f>
        <v>0</v>
      </c>
      <c r="GJ85" s="1" t="n">
        <f aca="false">IF(AND(Slot18_On=1,D85=Slot18_Age),1,0)</f>
        <v>0</v>
      </c>
      <c r="GK85" s="1" t="n">
        <f aca="false">IF(AND(Slot18_On=1,Slot18_Age&gt;D85),1,0)</f>
        <v>0</v>
      </c>
      <c r="GL85" s="1" t="n">
        <f aca="false">TB84</f>
        <v>0</v>
      </c>
      <c r="GM85" s="1" t="n">
        <f aca="false">GJ85*MIN(Slot18_Cost,GL85)</f>
        <v>0</v>
      </c>
      <c r="GN85" s="1" t="n">
        <f aca="false">GJ85*Slot18_SpendLike*MIN(Slot18_Cost-GM85,GF85)</f>
        <v>0</v>
      </c>
      <c r="GO85" s="1" t="n">
        <f aca="false">GM85+GN85</f>
        <v>0</v>
      </c>
      <c r="GP85" s="1" t="n">
        <f aca="false">GF85-GN85+GJ85*IF(Slot18_SpendLike=1,GL85-GM85,IF(Slot18_PotFree=1,GL85,0))</f>
        <v>616055.74356228</v>
      </c>
      <c r="GQ85" s="1" t="n">
        <f aca="false">GG85+GJ85*Slot18_BufPot*GL85</f>
        <v>0</v>
      </c>
      <c r="GR85" s="1" t="n">
        <f aca="false">IF(AND(GJ85=1,Slot18_IsMfree=1),IF(GO85&gt;=Slot18_Cost-1,0,MAX(0,GH85-GO85)),GH85)</f>
        <v>0</v>
      </c>
      <c r="GS85" s="1" t="n">
        <f aca="false">GJ85*(Slot18_Cost-GO85)</f>
        <v>0</v>
      </c>
      <c r="GT85" s="1" t="n">
        <f aca="false">IF(AND(Slot19_On=1,D85=Slot19_Age),1,0)</f>
        <v>0</v>
      </c>
      <c r="GU85" s="1" t="n">
        <f aca="false">IF(AND(Slot19_On=1,Slot19_Age&gt;D85),1,0)</f>
        <v>0</v>
      </c>
      <c r="GV85" s="1" t="n">
        <f aca="false">TF84</f>
        <v>0</v>
      </c>
      <c r="GW85" s="1" t="n">
        <f aca="false">GT85*MIN(Slot19_Cost,GV85)</f>
        <v>0</v>
      </c>
      <c r="GX85" s="1" t="n">
        <f aca="false">GT85*Slot19_SpendLike*MIN(Slot19_Cost-GW85,GP85)</f>
        <v>0</v>
      </c>
      <c r="GY85" s="1" t="n">
        <f aca="false">GW85+GX85</f>
        <v>0</v>
      </c>
      <c r="GZ85" s="1" t="n">
        <f aca="false">GP85-GX85+GT85*IF(Slot19_SpendLike=1,GV85-GW85,IF(Slot19_PotFree=1,GV85,0))</f>
        <v>616055.74356228</v>
      </c>
      <c r="HA85" s="1" t="n">
        <f aca="false">GQ85+GT85*Slot19_BufPot*GV85</f>
        <v>0</v>
      </c>
      <c r="HB85" s="1" t="n">
        <f aca="false">IF(AND(GT85=1,Slot19_IsMfree=1),IF(GY85&gt;=Slot19_Cost-1,0,MAX(0,GR85-GY85)),GR85)</f>
        <v>0</v>
      </c>
      <c r="HC85" s="1" t="n">
        <f aca="false">GT85*(Slot19_Cost-GY85)</f>
        <v>0</v>
      </c>
      <c r="HD85" s="1" t="n">
        <f aca="false">IF(AND(Slot20_On=1,D85=Slot20_Age),1,0)</f>
        <v>0</v>
      </c>
      <c r="HE85" s="1" t="n">
        <f aca="false">IF(AND(Slot20_On=1,Slot20_Age&gt;D85),1,0)</f>
        <v>0</v>
      </c>
      <c r="HF85" s="1" t="n">
        <f aca="false">TJ84</f>
        <v>0</v>
      </c>
      <c r="HG85" s="1" t="n">
        <f aca="false">HD85*MIN(Slot20_Cost,HF85)</f>
        <v>0</v>
      </c>
      <c r="HH85" s="1" t="n">
        <f aca="false">HD85*Slot20_SpendLike*MIN(Slot20_Cost-HG85,GZ85)</f>
        <v>0</v>
      </c>
      <c r="HI85" s="1" t="n">
        <f aca="false">HG85+HH85</f>
        <v>0</v>
      </c>
      <c r="HJ85" s="1" t="n">
        <f aca="false">GZ85-HH85+HD85*IF(Slot20_SpendLike=1,HF85-HG85,IF(Slot20_PotFree=1,HF85,0))</f>
        <v>616055.74356228</v>
      </c>
      <c r="HK85" s="1" t="n">
        <f aca="false">HA85+HD85*Slot20_BufPot*HF85</f>
        <v>0</v>
      </c>
      <c r="HL85" s="1" t="n">
        <f aca="false">IF(AND(HD85=1,Slot20_IsMfree=1),IF(HI85&gt;=Slot20_Cost-1,0,MAX(0,HB85-HI85)),HB85)</f>
        <v>0</v>
      </c>
      <c r="HM85" s="1" t="n">
        <f aca="false">HD85*(Slot20_Cost-HI85)</f>
        <v>0</v>
      </c>
      <c r="HN85" s="1" t="n">
        <f aca="false">U85*Slot1_SpendLike*Z85+AF85*Slot2_SpendLike*AK85+AP85*Slot3_SpendLike*AU85+AZ85*Slot4_SpendLike*BE85+BJ85*Slot5_SpendLike*BO85+BT85*Slot6_SpendLike*BY85+CD85*Slot7_SpendLike*CI85+CN85*Slot8_SpendLike*CS85+CX85*Slot9_SpendLike*DC85+DH85*Slot10_SpendLike*DM85+DR85*Slot11_SpendLike*DW85+EB85*Slot12_SpendLike*EG85+EL85*Slot13_SpendLike*EQ85+EV85*Slot14_SpendLike*FA85+FF85*Slot15_SpendLike*FK85+FP85*Slot16_SpendLike*FU85+FZ85*Slot17_SpendLike*GE85+GJ85*Slot18_SpendLike*GO85+GT85*Slot19_SpendLike*GY85+HD85*Slot20_SpendLike*HI85</f>
        <v>0</v>
      </c>
      <c r="HO85" s="1" t="n">
        <f aca="false">AD85+AO85+AY85+BI85+BS85+CC85+CM85+CW85+DG85+DQ85+EA85+EK85+EU85+FE85+FO85+FY85+GI85+GS85+HC85+HM85</f>
        <v>0</v>
      </c>
      <c r="HP85" s="1" t="n">
        <f aca="false">U85*Slot1_Cost+AF85*Slot2_Cost+AP85*Slot3_Cost+AZ85*Slot4_Cost+BJ85*Slot5_Cost+BT85*Slot6_Cost+CD85*Slot7_Cost+CN85*Slot8_Cost+CX85*Slot9_Cost+DH85*Slot10_Cost+DR85*Slot11_Cost+EB85*Slot12_Cost+EL85*Slot13_Cost+EV85*Slot14_Cost+FF85*Slot15_Cost+FP85*Slot16_Cost+FZ85*Slot17_Cost+GJ85*Slot18_Cost+GT85*Slot19_Cost+HD85*Slot20_Cost</f>
        <v>0</v>
      </c>
      <c r="HQ85" s="1" t="n">
        <f aca="false">HL85</f>
        <v>0</v>
      </c>
      <c r="HR85" s="1" t="n">
        <f aca="false">G85-H85-R85</f>
        <v>57202.2712605422</v>
      </c>
      <c r="HS85" s="1" t="n">
        <f aca="false">IF(B85=0,IF(AND(Has_q6=1,In_q6=4),PR_ShareVaries*(MAX(0,HR85)/12),MIN(IF(Has_q6=1,CHOOSE(In_q6+1,PR_SaveB1,PR_SaveB2,PR_SaveB3,PR_SaveB4,0),AS_NoAnswer),AS_SaveShare*(MAX(0,HR85)/12))),HS84)</f>
        <v>0</v>
      </c>
      <c r="HT85" s="1" t="n">
        <f aca="false">IF(HR85&gt;=0,1,0)</f>
        <v>1</v>
      </c>
      <c r="HU85" s="1" t="n">
        <f aca="false">MAX(0,HR85/12/E85)</f>
        <v>1037.57333333333</v>
      </c>
      <c r="HV85" s="1" t="n">
        <f aca="false">IF(AND(Has_q6=1,In_q6=4),PR_ShareVaries*(HU85),MIN(IF(Has_q6=1,CHOOSE(In_q6+1,PR_SaveB1,PR_SaveB2,PR_SaveB3,PR_SaveB4,0),AS_NoAnswer),AS_SaveShare*(HU85)))</f>
        <v>300</v>
      </c>
      <c r="HW85" s="1" t="n">
        <f aca="false">IF(Has_saveM=1,IF(In_saveUp="Yes",1,IF(In_saveUp="No",0,IF(In_saveM&gt;=HS85-0.5,1,0))),0)</f>
        <v>0</v>
      </c>
      <c r="HX85" s="1" t="n">
        <f aca="false">IF(Has_saveM=1,MIN(HU85,IF(HW85=1,MAX(In_saveM,HV85),MIN(In_saveM,HV85))),HV85)</f>
        <v>300</v>
      </c>
      <c r="HY85" s="1" t="n">
        <f aca="false">IF(F85=1,HX85*12*E85,0)</f>
        <v>0</v>
      </c>
      <c r="HZ85" s="1" t="n">
        <f aca="false">MAX(0,HY85+IF(AND(WI_Retire=0,WI_M&lt;0,F85=1),WI_M*12*E85,0))</f>
        <v>0</v>
      </c>
      <c r="IA85" s="1" t="n">
        <f aca="false">Slot1_IsWG*V85+Slot2_IsWG*AG85+Slot3_IsWG*AQ85+Slot4_IsWG*BA85+Slot5_IsWG*BK85+Slot6_IsWG*BU85+Slot7_IsWG*CE85+Slot8_IsWG*CO85+Slot9_IsWG*CY85+Slot10_IsWG*DI85+Slot11_IsWG*DS85+Slot12_IsWG*EC85+Slot13_IsWG*EM85+Slot14_IsWG*EW85+Slot15_IsWG*FG85+Slot16_IsWG*FQ85+Slot17_IsWG*GA85+Slot18_IsWG*GK85+Slot19_IsWG*GU85+Slot20_IsWG*HE85</f>
        <v>0</v>
      </c>
      <c r="IB85" s="1" t="n">
        <f aca="false">IF(AND(WI_Retire=0,WI_M&gt;0,F85=1,IA85&gt;=1),WI_M*12*E85,0)</f>
        <v>0</v>
      </c>
      <c r="IC85" s="1" t="n">
        <f aca="false">IF(HT85=1,MIN(HZ85,HR85),0)</f>
        <v>0</v>
      </c>
      <c r="ID85" s="1" t="n">
        <f aca="false">IF(HT85=1,MIN(IB85,HR85-IC85),0)</f>
        <v>0</v>
      </c>
      <c r="IE85" s="1" t="n">
        <f aca="false">IF(V85=1,IF(ABS((1+AS_Wage)/(1+Slot1_Rate)-1)&lt;0.000000000001,(Slot1_Age-D85)*(1+Slot1_Rate)^(Slot1_Age-D85),(1+Slot1_Rate)^(Slot1_Age-D85)*(1-((1+AS_Wage)/(1+Slot1_Rate))^(Slot1_Age-D85))/(1-(1+AS_Wage)/(1+Slot1_Rate))),1)</f>
        <v>1</v>
      </c>
      <c r="IF85" s="1" t="n">
        <f aca="false">IF(AND(HT85=1,ID85&gt;0,Slot1_IsWG=1,V85=1),MAX(0,(Slot1_Cost-W85*(1+Slot1_Rate)^(Slot1_Age-D85))/IE85),0)</f>
        <v>0</v>
      </c>
      <c r="IG85" s="1" t="n">
        <f aca="false">IF(AND(HT85=1,ID85&gt;0,Slot1_IsWG=1,V85=1),MIN(ID85,IF85),0)</f>
        <v>0</v>
      </c>
      <c r="IH85" s="1" t="n">
        <f aca="false">W85+IG85</f>
        <v>0</v>
      </c>
      <c r="II85" s="1" t="n">
        <f aca="false">IF(V85=1,MAX(0,(Slot1_Cost-IH85*(1+Slot1_Rate)^(Slot1_Age-D85))/IE85),0)</f>
        <v>0</v>
      </c>
      <c r="IJ85" s="1" t="n">
        <f aca="false">IF(V85=1,MAX(0,(Slot1_Cost-W85*(1+Slot1_Rate)^(Slot1_Age-D85))/IE85),0)</f>
        <v>0</v>
      </c>
      <c r="IK85" s="1" t="n">
        <f aca="false">IF(AND(HT85=1,V85=1),MIN(IC85,II85),0)</f>
        <v>0</v>
      </c>
      <c r="IL85" s="1" t="n">
        <f aca="false">IC85-IK85</f>
        <v>0</v>
      </c>
      <c r="IM85" s="1" t="n">
        <f aca="false">IF(AG85=1,IF(ABS((1+AS_Wage)/(1+Slot2_Rate)-1)&lt;0.000000000001,(Slot2_Age-D85)*(1+Slot2_Rate)^(Slot2_Age-D85),(1+Slot2_Rate)^(Slot2_Age-D85)*(1-((1+AS_Wage)/(1+Slot2_Rate))^(Slot2_Age-D85))/(1-(1+AS_Wage)/(1+Slot2_Rate))),1)</f>
        <v>1</v>
      </c>
      <c r="IN85" s="1" t="n">
        <f aca="false">IF(AND(HT85=1,ID85&gt;0,Slot2_IsWG=1,AG85=1),MAX(0,(Slot2_Cost-AH85*(1+Slot2_Rate)^(Slot2_Age-D85))/IM85),0)</f>
        <v>0</v>
      </c>
      <c r="IO85" s="1" t="n">
        <f aca="false">IF(AND(HT85=1,ID85&gt;0,Slot2_IsWG=1,AG85=1),MIN(ID85,IN85),0)</f>
        <v>0</v>
      </c>
      <c r="IP85" s="1" t="n">
        <f aca="false">AH85+IO85</f>
        <v>0</v>
      </c>
      <c r="IQ85" s="1" t="n">
        <f aca="false">IF(AG85=1,MAX(0,(Slot2_Cost-IP85*(1+Slot2_Rate)^(Slot2_Age-D85))/IM85),0)</f>
        <v>0</v>
      </c>
      <c r="IR85" s="1" t="n">
        <f aca="false">IF(AG85=1,MAX(0,(Slot2_Cost-AH85*(1+Slot2_Rate)^(Slot2_Age-D85))/IM85),0)</f>
        <v>0</v>
      </c>
      <c r="IS85" s="1" t="n">
        <f aca="false">IF(AND(HT85=1,AG85=1),MIN(IL85,IQ85),0)</f>
        <v>0</v>
      </c>
      <c r="IT85" s="1" t="n">
        <f aca="false">IL85-IS85</f>
        <v>0</v>
      </c>
      <c r="IU85" s="1" t="n">
        <f aca="false">IF(AQ85=1,IF(ABS((1+AS_Wage)/(1+Slot3_Rate)-1)&lt;0.000000000001,(Slot3_Age-D85)*(1+Slot3_Rate)^(Slot3_Age-D85),(1+Slot3_Rate)^(Slot3_Age-D85)*(1-((1+AS_Wage)/(1+Slot3_Rate))^(Slot3_Age-D85))/(1-(1+AS_Wage)/(1+Slot3_Rate))),1)</f>
        <v>1</v>
      </c>
      <c r="IV85" s="1" t="n">
        <f aca="false">IF(AND(HT85=1,ID85&gt;0,Slot3_IsWG=1,AQ85=1),MAX(0,(Slot3_Cost-AR85*(1+Slot3_Rate)^(Slot3_Age-D85))/IU85),0)</f>
        <v>0</v>
      </c>
      <c r="IW85" s="1" t="n">
        <f aca="false">IF(AND(HT85=1,ID85&gt;0,Slot3_IsWG=1,AQ85=1),MIN(ID85,IV85),0)</f>
        <v>0</v>
      </c>
      <c r="IX85" s="1" t="n">
        <f aca="false">AR85+IW85</f>
        <v>0</v>
      </c>
      <c r="IY85" s="1" t="n">
        <f aca="false">IF(AQ85=1,MAX(0,(Slot3_Cost-IX85*(1+Slot3_Rate)^(Slot3_Age-D85))/IU85),0)</f>
        <v>0</v>
      </c>
      <c r="IZ85" s="1" t="n">
        <f aca="false">IF(AQ85=1,MAX(0,(Slot3_Cost-AR85*(1+Slot3_Rate)^(Slot3_Age-D85))/IU85),0)</f>
        <v>0</v>
      </c>
      <c r="JA85" s="1" t="n">
        <f aca="false">IF(AND(HT85=1,AQ85=1),MIN(IT85,IY85),0)</f>
        <v>0</v>
      </c>
      <c r="JB85" s="1" t="n">
        <f aca="false">IT85-JA85</f>
        <v>0</v>
      </c>
      <c r="JC85" s="1" t="n">
        <f aca="false">IF(BA85=1,IF(ABS((1+AS_Wage)/(1+Slot4_Rate)-1)&lt;0.000000000001,(Slot4_Age-D85)*(1+Slot4_Rate)^(Slot4_Age-D85),(1+Slot4_Rate)^(Slot4_Age-D85)*(1-((1+AS_Wage)/(1+Slot4_Rate))^(Slot4_Age-D85))/(1-(1+AS_Wage)/(1+Slot4_Rate))),1)</f>
        <v>1</v>
      </c>
      <c r="JD85" s="1" t="n">
        <f aca="false">IF(AND(HT85=1,ID85&gt;0,Slot4_IsWG=1,BA85=1),MAX(0,(Slot4_Cost-BB85*(1+Slot4_Rate)^(Slot4_Age-D85))/JC85),0)</f>
        <v>0</v>
      </c>
      <c r="JE85" s="1" t="n">
        <f aca="false">IF(AND(HT85=1,ID85&gt;0,Slot4_IsWG=1,BA85=1),MIN(ID85,JD85),0)</f>
        <v>0</v>
      </c>
      <c r="JF85" s="1" t="n">
        <f aca="false">BB85+JE85</f>
        <v>0</v>
      </c>
      <c r="JG85" s="1" t="n">
        <f aca="false">IF(BA85=1,MAX(0,(Slot4_Cost-JF85*(1+Slot4_Rate)^(Slot4_Age-D85))/JC85),0)</f>
        <v>0</v>
      </c>
      <c r="JH85" s="1" t="n">
        <f aca="false">IF(BA85=1,MAX(0,(Slot4_Cost-BB85*(1+Slot4_Rate)^(Slot4_Age-D85))/JC85),0)</f>
        <v>0</v>
      </c>
      <c r="JI85" s="1" t="n">
        <f aca="false">IF(AND(HT85=1,BA85=1),MIN(JB85,JG85),0)</f>
        <v>0</v>
      </c>
      <c r="JJ85" s="1" t="n">
        <f aca="false">JB85-JI85</f>
        <v>0</v>
      </c>
      <c r="JK85" s="1" t="n">
        <f aca="false">IF(BK85=1,IF(ABS((1+AS_Wage)/(1+Slot5_Rate)-1)&lt;0.000000000001,(Slot5_Age-D85)*(1+Slot5_Rate)^(Slot5_Age-D85),(1+Slot5_Rate)^(Slot5_Age-D85)*(1-((1+AS_Wage)/(1+Slot5_Rate))^(Slot5_Age-D85))/(1-(1+AS_Wage)/(1+Slot5_Rate))),1)</f>
        <v>1</v>
      </c>
      <c r="JL85" s="1" t="n">
        <f aca="false">IF(AND(HT85=1,ID85&gt;0,Slot5_IsWG=1,BK85=1),MAX(0,(Slot5_Cost-BL85*(1+Slot5_Rate)^(Slot5_Age-D85))/JK85),0)</f>
        <v>0</v>
      </c>
      <c r="JM85" s="1" t="n">
        <f aca="false">IF(AND(HT85=1,ID85&gt;0,Slot5_IsWG=1,BK85=1),MIN(ID85,JL85),0)</f>
        <v>0</v>
      </c>
      <c r="JN85" s="1" t="n">
        <f aca="false">BL85+JM85</f>
        <v>0</v>
      </c>
      <c r="JO85" s="1" t="n">
        <f aca="false">IF(BK85=1,MAX(0,(Slot5_Cost-JN85*(1+Slot5_Rate)^(Slot5_Age-D85))/JK85),0)</f>
        <v>0</v>
      </c>
      <c r="JP85" s="1" t="n">
        <f aca="false">IF(BK85=1,MAX(0,(Slot5_Cost-BL85*(1+Slot5_Rate)^(Slot5_Age-D85))/JK85),0)</f>
        <v>0</v>
      </c>
      <c r="JQ85" s="1" t="n">
        <f aca="false">IF(AND(HT85=1,BK85=1),MIN(JJ85,JO85),0)</f>
        <v>0</v>
      </c>
      <c r="JR85" s="1" t="n">
        <f aca="false">JJ85-JQ85</f>
        <v>0</v>
      </c>
      <c r="JS85" s="1" t="n">
        <f aca="false">IF(BU85=1,IF(ABS((1+AS_Wage)/(1+Slot6_Rate)-1)&lt;0.000000000001,(Slot6_Age-D85)*(1+Slot6_Rate)^(Slot6_Age-D85),(1+Slot6_Rate)^(Slot6_Age-D85)*(1-((1+AS_Wage)/(1+Slot6_Rate))^(Slot6_Age-D85))/(1-(1+AS_Wage)/(1+Slot6_Rate))),1)</f>
        <v>1</v>
      </c>
      <c r="JT85" s="1" t="n">
        <f aca="false">IF(AND(HT85=1,ID85&gt;0,Slot6_IsWG=1,BU85=1),MAX(0,(Slot6_Cost-BV85*(1+Slot6_Rate)^(Slot6_Age-D85))/JS85),0)</f>
        <v>0</v>
      </c>
      <c r="JU85" s="1" t="n">
        <f aca="false">IF(AND(HT85=1,ID85&gt;0,Slot6_IsWG=1,BU85=1),MIN(ID85,JT85),0)</f>
        <v>0</v>
      </c>
      <c r="JV85" s="1" t="n">
        <f aca="false">BV85+JU85</f>
        <v>0</v>
      </c>
      <c r="JW85" s="1" t="n">
        <f aca="false">IF(BU85=1,MAX(0,(Slot6_Cost-JV85*(1+Slot6_Rate)^(Slot6_Age-D85))/JS85),0)</f>
        <v>0</v>
      </c>
      <c r="JX85" s="1" t="n">
        <f aca="false">IF(BU85=1,MAX(0,(Slot6_Cost-BV85*(1+Slot6_Rate)^(Slot6_Age-D85))/JS85),0)</f>
        <v>0</v>
      </c>
      <c r="JY85" s="1" t="n">
        <f aca="false">IF(AND(HT85=1,BU85=1),MIN(JR85,JW85),0)</f>
        <v>0</v>
      </c>
      <c r="JZ85" s="1" t="n">
        <f aca="false">JR85-JY85</f>
        <v>0</v>
      </c>
      <c r="KA85" s="1" t="n">
        <f aca="false">IF(CE85=1,IF(ABS((1+AS_Wage)/(1+Slot7_Rate)-1)&lt;0.000000000001,(Slot7_Age-D85)*(1+Slot7_Rate)^(Slot7_Age-D85),(1+Slot7_Rate)^(Slot7_Age-D85)*(1-((1+AS_Wage)/(1+Slot7_Rate))^(Slot7_Age-D85))/(1-(1+AS_Wage)/(1+Slot7_Rate))),1)</f>
        <v>1</v>
      </c>
      <c r="KB85" s="1" t="n">
        <f aca="false">IF(AND(HT85=1,ID85&gt;0,Slot7_IsWG=1,CE85=1),MAX(0,(Slot7_Cost-CF85*(1+Slot7_Rate)^(Slot7_Age-D85))/KA85),0)</f>
        <v>0</v>
      </c>
      <c r="KC85" s="1" t="n">
        <f aca="false">IF(AND(HT85=1,ID85&gt;0,Slot7_IsWG=1,CE85=1),MIN(ID85,KB85),0)</f>
        <v>0</v>
      </c>
      <c r="KD85" s="1" t="n">
        <f aca="false">CF85+KC85</f>
        <v>0</v>
      </c>
      <c r="KE85" s="1" t="n">
        <f aca="false">IF(CE85=1,MAX(0,(Slot7_Cost-KD85*(1+Slot7_Rate)^(Slot7_Age-D85))/KA85),0)</f>
        <v>0</v>
      </c>
      <c r="KF85" s="1" t="n">
        <f aca="false">IF(CE85=1,MAX(0,(Slot7_Cost-CF85*(1+Slot7_Rate)^(Slot7_Age-D85))/KA85),0)</f>
        <v>0</v>
      </c>
      <c r="KG85" s="1" t="n">
        <f aca="false">IF(AND(HT85=1,CE85=1),MIN(JZ85,KE85),0)</f>
        <v>0</v>
      </c>
      <c r="KH85" s="1" t="n">
        <f aca="false">JZ85-KG85</f>
        <v>0</v>
      </c>
      <c r="KI85" s="1" t="n">
        <f aca="false">IF(CO85=1,IF(ABS((1+AS_Wage)/(1+Slot8_Rate)-1)&lt;0.000000000001,(Slot8_Age-D85)*(1+Slot8_Rate)^(Slot8_Age-D85),(1+Slot8_Rate)^(Slot8_Age-D85)*(1-((1+AS_Wage)/(1+Slot8_Rate))^(Slot8_Age-D85))/(1-(1+AS_Wage)/(1+Slot8_Rate))),1)</f>
        <v>1</v>
      </c>
      <c r="KJ85" s="1" t="n">
        <f aca="false">IF(AND(HT85=1,ID85&gt;0,Slot8_IsWG=1,CO85=1),MAX(0,(Slot8_Cost-CP85*(1+Slot8_Rate)^(Slot8_Age-D85))/KI85),0)</f>
        <v>0</v>
      </c>
      <c r="KK85" s="1" t="n">
        <f aca="false">IF(AND(HT85=1,ID85&gt;0,Slot8_IsWG=1,CO85=1),MIN(ID85,KJ85),0)</f>
        <v>0</v>
      </c>
      <c r="KL85" s="1" t="n">
        <f aca="false">CP85+KK85</f>
        <v>0</v>
      </c>
      <c r="KM85" s="1" t="n">
        <f aca="false">IF(CO85=1,MAX(0,(Slot8_Cost-KL85*(1+Slot8_Rate)^(Slot8_Age-D85))/KI85),0)</f>
        <v>0</v>
      </c>
      <c r="KN85" s="1" t="n">
        <f aca="false">IF(CO85=1,MAX(0,(Slot8_Cost-CP85*(1+Slot8_Rate)^(Slot8_Age-D85))/KI85),0)</f>
        <v>0</v>
      </c>
      <c r="KO85" s="1" t="n">
        <f aca="false">IF(AND(HT85=1,CO85=1),MIN(KH85,KM85),0)</f>
        <v>0</v>
      </c>
      <c r="KP85" s="1" t="n">
        <f aca="false">KH85-KO85</f>
        <v>0</v>
      </c>
      <c r="KQ85" s="1" t="n">
        <f aca="false">IF(CY85=1,IF(ABS((1+AS_Wage)/(1+Slot9_Rate)-1)&lt;0.000000000001,(Slot9_Age-D85)*(1+Slot9_Rate)^(Slot9_Age-D85),(1+Slot9_Rate)^(Slot9_Age-D85)*(1-((1+AS_Wage)/(1+Slot9_Rate))^(Slot9_Age-D85))/(1-(1+AS_Wage)/(1+Slot9_Rate))),1)</f>
        <v>1</v>
      </c>
      <c r="KR85" s="1" t="n">
        <f aca="false">IF(AND(HT85=1,ID85&gt;0,Slot9_IsWG=1,CY85=1),MAX(0,(Slot9_Cost-CZ85*(1+Slot9_Rate)^(Slot9_Age-D85))/KQ85),0)</f>
        <v>0</v>
      </c>
      <c r="KS85" s="1" t="n">
        <f aca="false">IF(AND(HT85=1,ID85&gt;0,Slot9_IsWG=1,CY85=1),MIN(ID85,KR85),0)</f>
        <v>0</v>
      </c>
      <c r="KT85" s="1" t="n">
        <f aca="false">CZ85+KS85</f>
        <v>0</v>
      </c>
      <c r="KU85" s="1" t="n">
        <f aca="false">IF(CY85=1,MAX(0,(Slot9_Cost-KT85*(1+Slot9_Rate)^(Slot9_Age-D85))/KQ85),0)</f>
        <v>0</v>
      </c>
      <c r="KV85" s="1" t="n">
        <f aca="false">IF(CY85=1,MAX(0,(Slot9_Cost-CZ85*(1+Slot9_Rate)^(Slot9_Age-D85))/KQ85),0)</f>
        <v>0</v>
      </c>
      <c r="KW85" s="1" t="n">
        <f aca="false">IF(AND(HT85=1,CY85=1),MIN(KP85,KU85),0)</f>
        <v>0</v>
      </c>
      <c r="KX85" s="1" t="n">
        <f aca="false">KP85-KW85</f>
        <v>0</v>
      </c>
      <c r="KY85" s="1" t="n">
        <f aca="false">IF(DI85=1,IF(ABS((1+AS_Wage)/(1+Slot10_Rate)-1)&lt;0.000000000001,(Slot10_Age-D85)*(1+Slot10_Rate)^(Slot10_Age-D85),(1+Slot10_Rate)^(Slot10_Age-D85)*(1-((1+AS_Wage)/(1+Slot10_Rate))^(Slot10_Age-D85))/(1-(1+AS_Wage)/(1+Slot10_Rate))),1)</f>
        <v>1</v>
      </c>
      <c r="KZ85" s="1" t="n">
        <f aca="false">IF(AND(HT85=1,ID85&gt;0,Slot10_IsWG=1,DI85=1),MAX(0,(Slot10_Cost-DJ85*(1+Slot10_Rate)^(Slot10_Age-D85))/KY85),0)</f>
        <v>0</v>
      </c>
      <c r="LA85" s="1" t="n">
        <f aca="false">IF(AND(HT85=1,ID85&gt;0,Slot10_IsWG=1,DI85=1),MIN(ID85,KZ85),0)</f>
        <v>0</v>
      </c>
      <c r="LB85" s="1" t="n">
        <f aca="false">DJ85+LA85</f>
        <v>0</v>
      </c>
      <c r="LC85" s="1" t="n">
        <f aca="false">IF(DI85=1,MAX(0,(Slot10_Cost-LB85*(1+Slot10_Rate)^(Slot10_Age-D85))/KY85),0)</f>
        <v>0</v>
      </c>
      <c r="LD85" s="1" t="n">
        <f aca="false">IF(DI85=1,MAX(0,(Slot10_Cost-DJ85*(1+Slot10_Rate)^(Slot10_Age-D85))/KY85),0)</f>
        <v>0</v>
      </c>
      <c r="LE85" s="1" t="n">
        <f aca="false">IF(AND(HT85=1,DI85=1),MIN(KX85,LC85),0)</f>
        <v>0</v>
      </c>
      <c r="LF85" s="1" t="n">
        <f aca="false">KX85-LE85</f>
        <v>0</v>
      </c>
      <c r="LG85" s="1" t="n">
        <f aca="false">IF(DS85=1,IF(ABS((1+AS_Wage)/(1+Slot11_Rate)-1)&lt;0.000000000001,(Slot11_Age-D85)*(1+Slot11_Rate)^(Slot11_Age-D85),(1+Slot11_Rate)^(Slot11_Age-D85)*(1-((1+AS_Wage)/(1+Slot11_Rate))^(Slot11_Age-D85))/(1-(1+AS_Wage)/(1+Slot11_Rate))),1)</f>
        <v>1</v>
      </c>
      <c r="LH85" s="1" t="n">
        <f aca="false">IF(AND(HT85=1,ID85&gt;0,Slot11_IsWG=1,DS85=1),MAX(0,(Slot11_Cost-DT85*(1+Slot11_Rate)^(Slot11_Age-D85))/LG85),0)</f>
        <v>0</v>
      </c>
      <c r="LI85" s="1" t="n">
        <f aca="false">IF(AND(HT85=1,ID85&gt;0,Slot11_IsWG=1,DS85=1),MIN(ID85,LH85),0)</f>
        <v>0</v>
      </c>
      <c r="LJ85" s="1" t="n">
        <f aca="false">DT85+LI85</f>
        <v>0</v>
      </c>
      <c r="LK85" s="1" t="n">
        <f aca="false">IF(DS85=1,MAX(0,(Slot11_Cost-LJ85*(1+Slot11_Rate)^(Slot11_Age-D85))/LG85),0)</f>
        <v>0</v>
      </c>
      <c r="LL85" s="1" t="n">
        <f aca="false">IF(DS85=1,MAX(0,(Slot11_Cost-DT85*(1+Slot11_Rate)^(Slot11_Age-D85))/LG85),0)</f>
        <v>0</v>
      </c>
      <c r="LM85" s="1" t="n">
        <f aca="false">IF(AND(HT85=1,DS85=1),MIN(LF85,LK85),0)</f>
        <v>0</v>
      </c>
      <c r="LN85" s="1" t="n">
        <f aca="false">LF85-LM85</f>
        <v>0</v>
      </c>
      <c r="LO85" s="1" t="n">
        <f aca="false">IF(EC85=1,IF(ABS((1+AS_Wage)/(1+Slot12_Rate)-1)&lt;0.000000000001,(Slot12_Age-D85)*(1+Slot12_Rate)^(Slot12_Age-D85),(1+Slot12_Rate)^(Slot12_Age-D85)*(1-((1+AS_Wage)/(1+Slot12_Rate))^(Slot12_Age-D85))/(1-(1+AS_Wage)/(1+Slot12_Rate))),1)</f>
        <v>1</v>
      </c>
      <c r="LP85" s="1" t="n">
        <f aca="false">IF(AND(HT85=1,ID85&gt;0,Slot12_IsWG=1,EC85=1),MAX(0,(Slot12_Cost-ED85*(1+Slot12_Rate)^(Slot12_Age-D85))/LO85),0)</f>
        <v>0</v>
      </c>
      <c r="LQ85" s="1" t="n">
        <f aca="false">IF(AND(HT85=1,ID85&gt;0,Slot12_IsWG=1,EC85=1),MIN(ID85,LP85),0)</f>
        <v>0</v>
      </c>
      <c r="LR85" s="1" t="n">
        <f aca="false">ED85+LQ85</f>
        <v>0</v>
      </c>
      <c r="LS85" s="1" t="n">
        <f aca="false">IF(EC85=1,MAX(0,(Slot12_Cost-LR85*(1+Slot12_Rate)^(Slot12_Age-D85))/LO85),0)</f>
        <v>0</v>
      </c>
      <c r="LT85" s="1" t="n">
        <f aca="false">IF(EC85=1,MAX(0,(Slot12_Cost-ED85*(1+Slot12_Rate)^(Slot12_Age-D85))/LO85),0)</f>
        <v>0</v>
      </c>
      <c r="LU85" s="1" t="n">
        <f aca="false">IF(AND(HT85=1,EC85=1),MIN(LN85,LS85),0)</f>
        <v>0</v>
      </c>
      <c r="LV85" s="1" t="n">
        <f aca="false">LN85-LU85</f>
        <v>0</v>
      </c>
      <c r="LW85" s="1" t="n">
        <f aca="false">IF(EM85=1,IF(ABS((1+AS_Wage)/(1+Slot13_Rate)-1)&lt;0.000000000001,(Slot13_Age-D85)*(1+Slot13_Rate)^(Slot13_Age-D85),(1+Slot13_Rate)^(Slot13_Age-D85)*(1-((1+AS_Wage)/(1+Slot13_Rate))^(Slot13_Age-D85))/(1-(1+AS_Wage)/(1+Slot13_Rate))),1)</f>
        <v>1</v>
      </c>
      <c r="LX85" s="1" t="n">
        <f aca="false">IF(AND(HT85=1,ID85&gt;0,Slot13_IsWG=1,EM85=1),MAX(0,(Slot13_Cost-EN85*(1+Slot13_Rate)^(Slot13_Age-D85))/LW85),0)</f>
        <v>0</v>
      </c>
      <c r="LY85" s="1" t="n">
        <f aca="false">IF(AND(HT85=1,ID85&gt;0,Slot13_IsWG=1,EM85=1),MIN(ID85,LX85),0)</f>
        <v>0</v>
      </c>
      <c r="LZ85" s="1" t="n">
        <f aca="false">EN85+LY85</f>
        <v>0</v>
      </c>
      <c r="MA85" s="1" t="n">
        <f aca="false">IF(EM85=1,MAX(0,(Slot13_Cost-LZ85*(1+Slot13_Rate)^(Slot13_Age-D85))/LW85),0)</f>
        <v>0</v>
      </c>
      <c r="MB85" s="1" t="n">
        <f aca="false">IF(EM85=1,MAX(0,(Slot13_Cost-EN85*(1+Slot13_Rate)^(Slot13_Age-D85))/LW85),0)</f>
        <v>0</v>
      </c>
      <c r="MC85" s="1" t="n">
        <f aca="false">IF(AND(HT85=1,EM85=1),MIN(LV85,MA85),0)</f>
        <v>0</v>
      </c>
      <c r="MD85" s="1" t="n">
        <f aca="false">LV85-MC85</f>
        <v>0</v>
      </c>
      <c r="ME85" s="1" t="n">
        <f aca="false">IF(EW85=1,IF(ABS((1+AS_Wage)/(1+Slot14_Rate)-1)&lt;0.000000000001,(Slot14_Age-D85)*(1+Slot14_Rate)^(Slot14_Age-D85),(1+Slot14_Rate)^(Slot14_Age-D85)*(1-((1+AS_Wage)/(1+Slot14_Rate))^(Slot14_Age-D85))/(1-(1+AS_Wage)/(1+Slot14_Rate))),1)</f>
        <v>1</v>
      </c>
      <c r="MF85" s="1" t="n">
        <f aca="false">IF(AND(HT85=1,ID85&gt;0,Slot14_IsWG=1,EW85=1),MAX(0,(Slot14_Cost-EX85*(1+Slot14_Rate)^(Slot14_Age-D85))/ME85),0)</f>
        <v>0</v>
      </c>
      <c r="MG85" s="1" t="n">
        <f aca="false">IF(AND(HT85=1,ID85&gt;0,Slot14_IsWG=1,EW85=1),MIN(ID85,MF85),0)</f>
        <v>0</v>
      </c>
      <c r="MH85" s="1" t="n">
        <f aca="false">EX85+MG85</f>
        <v>0</v>
      </c>
      <c r="MI85" s="1" t="n">
        <f aca="false">IF(EW85=1,MAX(0,(Slot14_Cost-MH85*(1+Slot14_Rate)^(Slot14_Age-D85))/ME85),0)</f>
        <v>0</v>
      </c>
      <c r="MJ85" s="1" t="n">
        <f aca="false">IF(EW85=1,MAX(0,(Slot14_Cost-EX85*(1+Slot14_Rate)^(Slot14_Age-D85))/ME85),0)</f>
        <v>0</v>
      </c>
      <c r="MK85" s="1" t="n">
        <f aca="false">IF(AND(HT85=1,EW85=1),MIN(MD85,MI85),0)</f>
        <v>0</v>
      </c>
      <c r="ML85" s="1" t="n">
        <f aca="false">MD85-MK85</f>
        <v>0</v>
      </c>
      <c r="MM85" s="1" t="n">
        <f aca="false">IF(FG85=1,IF(ABS((1+AS_Wage)/(1+Slot15_Rate)-1)&lt;0.000000000001,(Slot15_Age-D85)*(1+Slot15_Rate)^(Slot15_Age-D85),(1+Slot15_Rate)^(Slot15_Age-D85)*(1-((1+AS_Wage)/(1+Slot15_Rate))^(Slot15_Age-D85))/(1-(1+AS_Wage)/(1+Slot15_Rate))),1)</f>
        <v>1</v>
      </c>
      <c r="MN85" s="1" t="n">
        <f aca="false">IF(AND(HT85=1,ID85&gt;0,Slot15_IsWG=1,FG85=1),MAX(0,(Slot15_Cost-FH85*(1+Slot15_Rate)^(Slot15_Age-D85))/MM85),0)</f>
        <v>0</v>
      </c>
      <c r="MO85" s="1" t="n">
        <f aca="false">IF(AND(HT85=1,ID85&gt;0,Slot15_IsWG=1,FG85=1),MIN(ID85,MN85),0)</f>
        <v>0</v>
      </c>
      <c r="MP85" s="1" t="n">
        <f aca="false">FH85+MO85</f>
        <v>0</v>
      </c>
      <c r="MQ85" s="1" t="n">
        <f aca="false">IF(FG85=1,MAX(0,(Slot15_Cost-MP85*(1+Slot15_Rate)^(Slot15_Age-D85))/MM85),0)</f>
        <v>0</v>
      </c>
      <c r="MR85" s="1" t="n">
        <f aca="false">IF(FG85=1,MAX(0,(Slot15_Cost-FH85*(1+Slot15_Rate)^(Slot15_Age-D85))/MM85),0)</f>
        <v>0</v>
      </c>
      <c r="MS85" s="1" t="n">
        <f aca="false">IF(AND(HT85=1,FG85=1),MIN(ML85,MQ85),0)</f>
        <v>0</v>
      </c>
      <c r="MT85" s="1" t="n">
        <f aca="false">ML85-MS85</f>
        <v>0</v>
      </c>
      <c r="MU85" s="1" t="n">
        <f aca="false">IF(FQ85=1,IF(ABS((1+AS_Wage)/(1+Slot16_Rate)-1)&lt;0.000000000001,(Slot16_Age-D85)*(1+Slot16_Rate)^(Slot16_Age-D85),(1+Slot16_Rate)^(Slot16_Age-D85)*(1-((1+AS_Wage)/(1+Slot16_Rate))^(Slot16_Age-D85))/(1-(1+AS_Wage)/(1+Slot16_Rate))),1)</f>
        <v>1</v>
      </c>
      <c r="MV85" s="1" t="n">
        <f aca="false">IF(AND(HT85=1,ID85&gt;0,Slot16_IsWG=1,FQ85=1),MAX(0,(Slot16_Cost-FR85*(1+Slot16_Rate)^(Slot16_Age-D85))/MU85),0)</f>
        <v>0</v>
      </c>
      <c r="MW85" s="1" t="n">
        <f aca="false">IF(AND(HT85=1,ID85&gt;0,Slot16_IsWG=1,FQ85=1),MIN(ID85,MV85),0)</f>
        <v>0</v>
      </c>
      <c r="MX85" s="1" t="n">
        <f aca="false">FR85+MW85</f>
        <v>0</v>
      </c>
      <c r="MY85" s="1" t="n">
        <f aca="false">IF(FQ85=1,MAX(0,(Slot16_Cost-MX85*(1+Slot16_Rate)^(Slot16_Age-D85))/MU85),0)</f>
        <v>0</v>
      </c>
      <c r="MZ85" s="1" t="n">
        <f aca="false">IF(FQ85=1,MAX(0,(Slot16_Cost-FR85*(1+Slot16_Rate)^(Slot16_Age-D85))/MU85),0)</f>
        <v>0</v>
      </c>
      <c r="NA85" s="1" t="n">
        <f aca="false">IF(AND(HT85=1,FQ85=1),MIN(MT85,MY85),0)</f>
        <v>0</v>
      </c>
      <c r="NB85" s="1" t="n">
        <f aca="false">MT85-NA85</f>
        <v>0</v>
      </c>
      <c r="NC85" s="1" t="n">
        <f aca="false">IF(GA85=1,IF(ABS((1+AS_Wage)/(1+Slot17_Rate)-1)&lt;0.000000000001,(Slot17_Age-D85)*(1+Slot17_Rate)^(Slot17_Age-D85),(1+Slot17_Rate)^(Slot17_Age-D85)*(1-((1+AS_Wage)/(1+Slot17_Rate))^(Slot17_Age-D85))/(1-(1+AS_Wage)/(1+Slot17_Rate))),1)</f>
        <v>1</v>
      </c>
      <c r="ND85" s="1" t="n">
        <f aca="false">IF(AND(HT85=1,ID85&gt;0,Slot17_IsWG=1,GA85=1),MAX(0,(Slot17_Cost-GB85*(1+Slot17_Rate)^(Slot17_Age-D85))/NC85),0)</f>
        <v>0</v>
      </c>
      <c r="NE85" s="1" t="n">
        <f aca="false">IF(AND(HT85=1,ID85&gt;0,Slot17_IsWG=1,GA85=1),MIN(ID85,ND85),0)</f>
        <v>0</v>
      </c>
      <c r="NF85" s="1" t="n">
        <f aca="false">GB85+NE85</f>
        <v>0</v>
      </c>
      <c r="NG85" s="1" t="n">
        <f aca="false">IF(GA85=1,MAX(0,(Slot17_Cost-NF85*(1+Slot17_Rate)^(Slot17_Age-D85))/NC85),0)</f>
        <v>0</v>
      </c>
      <c r="NH85" s="1" t="n">
        <f aca="false">IF(GA85=1,MAX(0,(Slot17_Cost-GB85*(1+Slot17_Rate)^(Slot17_Age-D85))/NC85),0)</f>
        <v>0</v>
      </c>
      <c r="NI85" s="1" t="n">
        <f aca="false">IF(AND(HT85=1,GA85=1),MIN(NB85,NG85),0)</f>
        <v>0</v>
      </c>
      <c r="NJ85" s="1" t="n">
        <f aca="false">NB85-NI85</f>
        <v>0</v>
      </c>
      <c r="NK85" s="1" t="n">
        <f aca="false">IF(GK85=1,IF(ABS((1+AS_Wage)/(1+Slot18_Rate)-1)&lt;0.000000000001,(Slot18_Age-D85)*(1+Slot18_Rate)^(Slot18_Age-D85),(1+Slot18_Rate)^(Slot18_Age-D85)*(1-((1+AS_Wage)/(1+Slot18_Rate))^(Slot18_Age-D85))/(1-(1+AS_Wage)/(1+Slot18_Rate))),1)</f>
        <v>1</v>
      </c>
      <c r="NL85" s="1" t="n">
        <f aca="false">IF(AND(HT85=1,ID85&gt;0,Slot18_IsWG=1,GK85=1),MAX(0,(Slot18_Cost-GL85*(1+Slot18_Rate)^(Slot18_Age-D85))/NK85),0)</f>
        <v>0</v>
      </c>
      <c r="NM85" s="1" t="n">
        <f aca="false">IF(AND(HT85=1,ID85&gt;0,Slot18_IsWG=1,GK85=1),MIN(ID85,NL85),0)</f>
        <v>0</v>
      </c>
      <c r="NN85" s="1" t="n">
        <f aca="false">GL85+NM85</f>
        <v>0</v>
      </c>
      <c r="NO85" s="1" t="n">
        <f aca="false">IF(GK85=1,MAX(0,(Slot18_Cost-NN85*(1+Slot18_Rate)^(Slot18_Age-D85))/NK85),0)</f>
        <v>0</v>
      </c>
      <c r="NP85" s="1" t="n">
        <f aca="false">IF(GK85=1,MAX(0,(Slot18_Cost-GL85*(1+Slot18_Rate)^(Slot18_Age-D85))/NK85),0)</f>
        <v>0</v>
      </c>
      <c r="NQ85" s="1" t="n">
        <f aca="false">IF(AND(HT85=1,GK85=1),MIN(NJ85,NO85),0)</f>
        <v>0</v>
      </c>
      <c r="NR85" s="1" t="n">
        <f aca="false">NJ85-NQ85</f>
        <v>0</v>
      </c>
      <c r="NS85" s="1" t="n">
        <f aca="false">IF(GU85=1,IF(ABS((1+AS_Wage)/(1+Slot19_Rate)-1)&lt;0.000000000001,(Slot19_Age-D85)*(1+Slot19_Rate)^(Slot19_Age-D85),(1+Slot19_Rate)^(Slot19_Age-D85)*(1-((1+AS_Wage)/(1+Slot19_Rate))^(Slot19_Age-D85))/(1-(1+AS_Wage)/(1+Slot19_Rate))),1)</f>
        <v>1</v>
      </c>
      <c r="NT85" s="1" t="n">
        <f aca="false">IF(AND(HT85=1,ID85&gt;0,Slot19_IsWG=1,GU85=1),MAX(0,(Slot19_Cost-GV85*(1+Slot19_Rate)^(Slot19_Age-D85))/NS85),0)</f>
        <v>0</v>
      </c>
      <c r="NU85" s="1" t="n">
        <f aca="false">IF(AND(HT85=1,ID85&gt;0,Slot19_IsWG=1,GU85=1),MIN(ID85,NT85),0)</f>
        <v>0</v>
      </c>
      <c r="NV85" s="1" t="n">
        <f aca="false">GV85+NU85</f>
        <v>0</v>
      </c>
      <c r="NW85" s="1" t="n">
        <f aca="false">IF(GU85=1,MAX(0,(Slot19_Cost-NV85*(1+Slot19_Rate)^(Slot19_Age-D85))/NS85),0)</f>
        <v>0</v>
      </c>
      <c r="NX85" s="1" t="n">
        <f aca="false">IF(GU85=1,MAX(0,(Slot19_Cost-GV85*(1+Slot19_Rate)^(Slot19_Age-D85))/NS85),0)</f>
        <v>0</v>
      </c>
      <c r="NY85" s="1" t="n">
        <f aca="false">IF(AND(HT85=1,GU85=1),MIN(NR85,NW85),0)</f>
        <v>0</v>
      </c>
      <c r="NZ85" s="1" t="n">
        <f aca="false">NR85-NY85</f>
        <v>0</v>
      </c>
      <c r="OA85" s="1" t="n">
        <f aca="false">IF(HE85=1,IF(ABS((1+AS_Wage)/(1+Slot20_Rate)-1)&lt;0.000000000001,(Slot20_Age-D85)*(1+Slot20_Rate)^(Slot20_Age-D85),(1+Slot20_Rate)^(Slot20_Age-D85)*(1-((1+AS_Wage)/(1+Slot20_Rate))^(Slot20_Age-D85))/(1-(1+AS_Wage)/(1+Slot20_Rate))),1)</f>
        <v>1</v>
      </c>
      <c r="OB85" s="1" t="n">
        <f aca="false">IF(AND(HT85=1,ID85&gt;0,Slot20_IsWG=1,HE85=1),MAX(0,(Slot20_Cost-HF85*(1+Slot20_Rate)^(Slot20_Age-D85))/OA85),0)</f>
        <v>0</v>
      </c>
      <c r="OC85" s="1" t="n">
        <f aca="false">IF(AND(HT85=1,ID85&gt;0,Slot20_IsWG=1,HE85=1),MIN(ID85,OB85),0)</f>
        <v>0</v>
      </c>
      <c r="OD85" s="1" t="n">
        <f aca="false">HF85+OC85</f>
        <v>0</v>
      </c>
      <c r="OE85" s="1" t="n">
        <f aca="false">IF(HE85=1,MAX(0,(Slot20_Cost-OD85*(1+Slot20_Rate)^(Slot20_Age-D85))/OA85),0)</f>
        <v>0</v>
      </c>
      <c r="OF85" s="1" t="n">
        <f aca="false">IF(HE85=1,MAX(0,(Slot20_Cost-HF85*(1+Slot20_Rate)^(Slot20_Age-D85))/OA85),0)</f>
        <v>0</v>
      </c>
      <c r="OG85" s="1" t="n">
        <f aca="false">IF(AND(HT85=1,HE85=1),MIN(NZ85,OE85),0)</f>
        <v>0</v>
      </c>
      <c r="OH85" s="1" t="n">
        <f aca="false">NZ85-OG85</f>
        <v>0</v>
      </c>
      <c r="OI85" s="1" t="n">
        <f aca="false">ID85-(IG85+IO85+IW85+JE85+JM85+JU85+KC85+KK85+KS85+LA85+LI85+LQ85+LY85+MG85+MO85+MW85+NE85+NM85+NU85+OC85)</f>
        <v>0</v>
      </c>
      <c r="OJ85" s="1" t="n">
        <f aca="false">IF(HT85=1,HR85-IC85-ID85,0)</f>
        <v>57202.2712605422</v>
      </c>
      <c r="OK85" s="1" t="n">
        <f aca="false">IF(HT85=0,-HR85,0)</f>
        <v>0</v>
      </c>
      <c r="OL85" s="1" t="n">
        <f aca="false">MIN(OK85,HJ85)</f>
        <v>0</v>
      </c>
      <c r="OM85" s="1" t="n">
        <f aca="false">OK85-OL85</f>
        <v>0</v>
      </c>
      <c r="ON85" s="1" t="n">
        <f aca="false">MIN(OM85,HK85)</f>
        <v>0</v>
      </c>
      <c r="OO85" s="1" t="n">
        <f aca="false">OM85-ON85</f>
        <v>0</v>
      </c>
      <c r="OP85" s="1" t="n">
        <f aca="false">IF(AND(HT85=0,HE85=1,OO85&gt;0),MIN(OO85,HF85),0)</f>
        <v>0</v>
      </c>
      <c r="OQ85" s="1" t="n">
        <f aca="false">OO85-OP85</f>
        <v>0</v>
      </c>
      <c r="OR85" s="1" t="n">
        <f aca="false">IF(AND(HT85=0,GU85=1,OQ85&gt;0),MIN(OQ85,GV85),0)</f>
        <v>0</v>
      </c>
      <c r="OS85" s="1" t="n">
        <f aca="false">OQ85-OR85</f>
        <v>0</v>
      </c>
      <c r="OT85" s="1" t="n">
        <f aca="false">IF(AND(HT85=0,GK85=1,OS85&gt;0),MIN(OS85,GL85),0)</f>
        <v>0</v>
      </c>
      <c r="OU85" s="1" t="n">
        <f aca="false">OS85-OT85</f>
        <v>0</v>
      </c>
      <c r="OV85" s="1" t="n">
        <f aca="false">IF(AND(HT85=0,GA85=1,OU85&gt;0),MIN(OU85,GB85),0)</f>
        <v>0</v>
      </c>
      <c r="OW85" s="1" t="n">
        <f aca="false">OU85-OV85</f>
        <v>0</v>
      </c>
      <c r="OX85" s="1" t="n">
        <f aca="false">IF(AND(HT85=0,FQ85=1,OW85&gt;0),MIN(OW85,FR85),0)</f>
        <v>0</v>
      </c>
      <c r="OY85" s="1" t="n">
        <f aca="false">OW85-OX85</f>
        <v>0</v>
      </c>
      <c r="OZ85" s="1" t="n">
        <f aca="false">IF(AND(HT85=0,FG85=1,OY85&gt;0),MIN(OY85,FH85),0)</f>
        <v>0</v>
      </c>
      <c r="PA85" s="1" t="n">
        <f aca="false">OY85-OZ85</f>
        <v>0</v>
      </c>
      <c r="PB85" s="1" t="n">
        <f aca="false">IF(AND(HT85=0,EW85=1,PA85&gt;0),MIN(PA85,EX85),0)</f>
        <v>0</v>
      </c>
      <c r="PC85" s="1" t="n">
        <f aca="false">PA85-PB85</f>
        <v>0</v>
      </c>
      <c r="PD85" s="1" t="n">
        <f aca="false">IF(AND(HT85=0,EM85=1,PC85&gt;0),MIN(PC85,EN85),0)</f>
        <v>0</v>
      </c>
      <c r="PE85" s="1" t="n">
        <f aca="false">PC85-PD85</f>
        <v>0</v>
      </c>
      <c r="PF85" s="1" t="n">
        <f aca="false">IF(AND(HT85=0,EC85=1,PE85&gt;0),MIN(PE85,ED85),0)</f>
        <v>0</v>
      </c>
      <c r="PG85" s="1" t="n">
        <f aca="false">PE85-PF85</f>
        <v>0</v>
      </c>
      <c r="PH85" s="1" t="n">
        <f aca="false">IF(AND(HT85=0,DS85=1,PG85&gt;0),MIN(PG85,DT85),0)</f>
        <v>0</v>
      </c>
      <c r="PI85" s="1" t="n">
        <f aca="false">PG85-PH85</f>
        <v>0</v>
      </c>
      <c r="PJ85" s="1" t="n">
        <f aca="false">IF(AND(HT85=0,DI85=1,PI85&gt;0),MIN(PI85,DJ85),0)</f>
        <v>0</v>
      </c>
      <c r="PK85" s="1" t="n">
        <f aca="false">PI85-PJ85</f>
        <v>0</v>
      </c>
      <c r="PL85" s="1" t="n">
        <f aca="false">IF(AND(HT85=0,CY85=1,PK85&gt;0),MIN(PK85,CZ85),0)</f>
        <v>0</v>
      </c>
      <c r="PM85" s="1" t="n">
        <f aca="false">PK85-PL85</f>
        <v>0</v>
      </c>
      <c r="PN85" s="1" t="n">
        <f aca="false">IF(AND(HT85=0,CO85=1,PM85&gt;0),MIN(PM85,CP85),0)</f>
        <v>0</v>
      </c>
      <c r="PO85" s="1" t="n">
        <f aca="false">PM85-PN85</f>
        <v>0</v>
      </c>
      <c r="PP85" s="1" t="n">
        <f aca="false">IF(AND(HT85=0,CE85=1,PO85&gt;0),MIN(PO85,CF85),0)</f>
        <v>0</v>
      </c>
      <c r="PQ85" s="1" t="n">
        <f aca="false">PO85-PP85</f>
        <v>0</v>
      </c>
      <c r="PR85" s="1" t="n">
        <f aca="false">IF(AND(HT85=0,BU85=1,PQ85&gt;0),MIN(PQ85,BV85),0)</f>
        <v>0</v>
      </c>
      <c r="PS85" s="1" t="n">
        <f aca="false">PQ85-PR85</f>
        <v>0</v>
      </c>
      <c r="PT85" s="1" t="n">
        <f aca="false">IF(AND(HT85=0,BK85=1,PS85&gt;0),MIN(PS85,BL85),0)</f>
        <v>0</v>
      </c>
      <c r="PU85" s="1" t="n">
        <f aca="false">PS85-PT85</f>
        <v>0</v>
      </c>
      <c r="PV85" s="1" t="n">
        <f aca="false">IF(AND(HT85=0,BA85=1,PU85&gt;0),MIN(PU85,BB85),0)</f>
        <v>0</v>
      </c>
      <c r="PW85" s="1" t="n">
        <f aca="false">PU85-PV85</f>
        <v>0</v>
      </c>
      <c r="PX85" s="1" t="n">
        <f aca="false">IF(AND(HT85=0,AQ85=1,PW85&gt;0),MIN(PW85,AR85),0)</f>
        <v>0</v>
      </c>
      <c r="PY85" s="1" t="n">
        <f aca="false">PW85-PX85</f>
        <v>0</v>
      </c>
      <c r="PZ85" s="1" t="n">
        <f aca="false">IF(AND(HT85=0,AG85=1,PY85&gt;0),MIN(PY85,AH85),0)</f>
        <v>0</v>
      </c>
      <c r="QA85" s="1" t="n">
        <f aca="false">PY85-PZ85</f>
        <v>0</v>
      </c>
      <c r="QB85" s="1" t="n">
        <f aca="false">IF(AND(HT85=0,V85=1,QA85&gt;0),MIN(QA85,W85),0)</f>
        <v>0</v>
      </c>
      <c r="QC85" s="1" t="n">
        <f aca="false">QA85-QB85</f>
        <v>0</v>
      </c>
      <c r="QD85" s="1" t="n">
        <f aca="false">IF(HT85=0,QC85,0)</f>
        <v>0</v>
      </c>
      <c r="QE85" s="1" t="n">
        <f aca="false">OL85+ON85+QB85+PZ85+PX85+PV85+PT85+PR85+PP85+PN85+PL85+PJ85+PH85+PF85+PD85+PB85+OZ85+OX85+OV85+OT85+OR85+OP85</f>
        <v>0</v>
      </c>
      <c r="QF85" s="1" t="n">
        <f aca="false">IF(HT85=1,HJ85+OI85+OH85+IF(F85=1,0,OJ85),HJ85-OL85)</f>
        <v>673258.014822822</v>
      </c>
      <c r="QG85" s="1" t="n">
        <f aca="false">HK85-ON85</f>
        <v>0</v>
      </c>
      <c r="QH85" s="1" t="n">
        <f aca="false">IF(HT85=1,IF(F85=1,IC85+ID85,HR85),0)</f>
        <v>57202.2712605422</v>
      </c>
      <c r="QI85" s="1" t="n">
        <f aca="false">IF(HT85=1,IF(F85=1,HR85-IC85-ID85,0),0)</f>
        <v>0</v>
      </c>
      <c r="QJ85" s="1" t="n">
        <f aca="false">QF85*(1+GR)</f>
        <v>684299.446265917</v>
      </c>
      <c r="QK85" s="1" t="n">
        <f aca="false">QG85*(1+AS_Cash)</f>
        <v>0</v>
      </c>
      <c r="QL85" s="1" t="n">
        <f aca="false">IF(V85=1,IF(HT85=1,IH85+IK85,W85-QB85)*(1+Slot1_Rate),0)</f>
        <v>0</v>
      </c>
      <c r="QM85" s="1" t="n">
        <f aca="false">IF(AND(HT85=1,V85=1),(IG85+IK85)/E85,0)</f>
        <v>0</v>
      </c>
      <c r="QN85" s="1" t="n">
        <f aca="false">IF(B85=0,IG85+IK85,0)</f>
        <v>0</v>
      </c>
      <c r="QO85" s="1" t="n">
        <f aca="false">IF(B85=0,IF(HT85=1,II85,IJ85),0)</f>
        <v>0</v>
      </c>
      <c r="QP85" s="1" t="n">
        <f aca="false">IF(AG85=1,IF(HT85=1,IP85+IS85,AH85-PZ85)*(1+Slot2_Rate),0)</f>
        <v>0</v>
      </c>
      <c r="QQ85" s="1" t="n">
        <f aca="false">IF(AND(HT85=1,AG85=1),(IO85+IS85)/E85,0)</f>
        <v>0</v>
      </c>
      <c r="QR85" s="1" t="n">
        <f aca="false">IF(B85=0,IO85+IS85,0)</f>
        <v>0</v>
      </c>
      <c r="QS85" s="1" t="n">
        <f aca="false">IF(B85=0,IF(HT85=1,IQ85,IR85),0)</f>
        <v>0</v>
      </c>
      <c r="QT85" s="1" t="n">
        <f aca="false">IF(AQ85=1,IF(HT85=1,IX85+JA85,AR85-PX85)*(1+Slot3_Rate),0)</f>
        <v>0</v>
      </c>
      <c r="QU85" s="1" t="n">
        <f aca="false">IF(AND(HT85=1,AQ85=1),(IW85+JA85)/E85,0)</f>
        <v>0</v>
      </c>
      <c r="QV85" s="1" t="n">
        <f aca="false">IF(B85=0,IW85+JA85,0)</f>
        <v>0</v>
      </c>
      <c r="QW85" s="1" t="n">
        <f aca="false">IF(B85=0,IF(HT85=1,IY85,IZ85),0)</f>
        <v>0</v>
      </c>
      <c r="QX85" s="1" t="n">
        <f aca="false">IF(BA85=1,IF(HT85=1,JF85+JI85,BB85-PV85)*(1+Slot4_Rate),0)</f>
        <v>0</v>
      </c>
      <c r="QY85" s="1" t="n">
        <f aca="false">IF(AND(HT85=1,BA85=1),(JE85+JI85)/E85,0)</f>
        <v>0</v>
      </c>
      <c r="QZ85" s="1" t="n">
        <f aca="false">IF(B85=0,JE85+JI85,0)</f>
        <v>0</v>
      </c>
      <c r="RA85" s="1" t="n">
        <f aca="false">IF(B85=0,IF(HT85=1,JG85,JH85),0)</f>
        <v>0</v>
      </c>
      <c r="RB85" s="1" t="n">
        <f aca="false">IF(BK85=1,IF(HT85=1,JN85+JQ85,BL85-PT85)*(1+Slot5_Rate),0)</f>
        <v>0</v>
      </c>
      <c r="RC85" s="1" t="n">
        <f aca="false">IF(AND(HT85=1,BK85=1),(JM85+JQ85)/E85,0)</f>
        <v>0</v>
      </c>
      <c r="RD85" s="1" t="n">
        <f aca="false">IF(B85=0,JM85+JQ85,0)</f>
        <v>0</v>
      </c>
      <c r="RE85" s="1" t="n">
        <f aca="false">IF(B85=0,IF(HT85=1,JO85,JP85),0)</f>
        <v>0</v>
      </c>
      <c r="RF85" s="1" t="n">
        <f aca="false">IF(BU85=1,IF(HT85=1,JV85+JY85,BV85-PR85)*(1+Slot6_Rate),0)</f>
        <v>0</v>
      </c>
      <c r="RG85" s="1" t="n">
        <f aca="false">IF(AND(HT85=1,BU85=1),(JU85+JY85)/E85,0)</f>
        <v>0</v>
      </c>
      <c r="RH85" s="1" t="n">
        <f aca="false">IF(B85=0,JU85+JY85,0)</f>
        <v>0</v>
      </c>
      <c r="RI85" s="1" t="n">
        <f aca="false">IF(B85=0,IF(HT85=1,JW85,JX85),0)</f>
        <v>0</v>
      </c>
      <c r="RJ85" s="1" t="n">
        <f aca="false">IF(CE85=1,IF(HT85=1,KD85+KG85,CF85-PP85)*(1+Slot7_Rate),0)</f>
        <v>0</v>
      </c>
      <c r="RK85" s="1" t="n">
        <f aca="false">IF(AND(HT85=1,CE85=1),(KC85+KG85)/E85,0)</f>
        <v>0</v>
      </c>
      <c r="RL85" s="1" t="n">
        <f aca="false">IF(B85=0,KC85+KG85,0)</f>
        <v>0</v>
      </c>
      <c r="RM85" s="1" t="n">
        <f aca="false">IF(B85=0,IF(HT85=1,KE85,KF85),0)</f>
        <v>0</v>
      </c>
      <c r="RN85" s="1" t="n">
        <f aca="false">IF(CO85=1,IF(HT85=1,KL85+KO85,CP85-PN85)*(1+Slot8_Rate),0)</f>
        <v>0</v>
      </c>
      <c r="RO85" s="1" t="n">
        <f aca="false">IF(AND(HT85=1,CO85=1),(KK85+KO85)/E85,0)</f>
        <v>0</v>
      </c>
      <c r="RP85" s="1" t="n">
        <f aca="false">IF(B85=0,KK85+KO85,0)</f>
        <v>0</v>
      </c>
      <c r="RQ85" s="1" t="n">
        <f aca="false">IF(B85=0,IF(HT85=1,KM85,KN85),0)</f>
        <v>0</v>
      </c>
      <c r="RR85" s="1" t="n">
        <f aca="false">IF(CY85=1,IF(HT85=1,KT85+KW85,CZ85-PL85)*(1+Slot9_Rate),0)</f>
        <v>0</v>
      </c>
      <c r="RS85" s="1" t="n">
        <f aca="false">IF(AND(HT85=1,CY85=1),(KS85+KW85)/E85,0)</f>
        <v>0</v>
      </c>
      <c r="RT85" s="1" t="n">
        <f aca="false">IF(B85=0,KS85+KW85,0)</f>
        <v>0</v>
      </c>
      <c r="RU85" s="1" t="n">
        <f aca="false">IF(B85=0,IF(HT85=1,KU85,KV85),0)</f>
        <v>0</v>
      </c>
      <c r="RV85" s="1" t="n">
        <f aca="false">IF(DI85=1,IF(HT85=1,LB85+LE85,DJ85-PJ85)*(1+Slot10_Rate),0)</f>
        <v>0</v>
      </c>
      <c r="RW85" s="1" t="n">
        <f aca="false">IF(AND(HT85=1,DI85=1),(LA85+LE85)/E85,0)</f>
        <v>0</v>
      </c>
      <c r="RX85" s="1" t="n">
        <f aca="false">IF(B85=0,LA85+LE85,0)</f>
        <v>0</v>
      </c>
      <c r="RY85" s="1" t="n">
        <f aca="false">IF(B85=0,IF(HT85=1,LC85,LD85),0)</f>
        <v>0</v>
      </c>
      <c r="RZ85" s="1" t="n">
        <f aca="false">IF(DS85=1,IF(HT85=1,LJ85+LM85,DT85-PH85)*(1+Slot11_Rate),0)</f>
        <v>0</v>
      </c>
      <c r="SA85" s="1" t="n">
        <f aca="false">IF(AND(HT85=1,DS85=1),(LI85+LM85)/E85,0)</f>
        <v>0</v>
      </c>
      <c r="SB85" s="1" t="n">
        <f aca="false">IF(B85=0,LI85+LM85,0)</f>
        <v>0</v>
      </c>
      <c r="SC85" s="1" t="n">
        <f aca="false">IF(B85=0,IF(HT85=1,LK85,LL85),0)</f>
        <v>0</v>
      </c>
      <c r="SD85" s="1" t="n">
        <f aca="false">IF(EC85=1,IF(HT85=1,LR85+LU85,ED85-PF85)*(1+Slot12_Rate),0)</f>
        <v>0</v>
      </c>
      <c r="SE85" s="1" t="n">
        <f aca="false">IF(AND(HT85=1,EC85=1),(LQ85+LU85)/E85,0)</f>
        <v>0</v>
      </c>
      <c r="SF85" s="1" t="n">
        <f aca="false">IF(B85=0,LQ85+LU85,0)</f>
        <v>0</v>
      </c>
      <c r="SG85" s="1" t="n">
        <f aca="false">IF(B85=0,IF(HT85=1,LS85,LT85),0)</f>
        <v>0</v>
      </c>
      <c r="SH85" s="1" t="n">
        <f aca="false">IF(EM85=1,IF(HT85=1,LZ85+MC85,EN85-PD85)*(1+Slot13_Rate),0)</f>
        <v>0</v>
      </c>
      <c r="SI85" s="1" t="n">
        <f aca="false">IF(AND(HT85=1,EM85=1),(LY85+MC85)/E85,0)</f>
        <v>0</v>
      </c>
      <c r="SJ85" s="1" t="n">
        <f aca="false">IF(B85=0,LY85+MC85,0)</f>
        <v>0</v>
      </c>
      <c r="SK85" s="1" t="n">
        <f aca="false">IF(B85=0,IF(HT85=1,MA85,MB85),0)</f>
        <v>0</v>
      </c>
      <c r="SL85" s="1" t="n">
        <f aca="false">IF(EW85=1,IF(HT85=1,MH85+MK85,EX85-PB85)*(1+Slot14_Rate),0)</f>
        <v>0</v>
      </c>
      <c r="SM85" s="1" t="n">
        <f aca="false">IF(AND(HT85=1,EW85=1),(MG85+MK85)/E85,0)</f>
        <v>0</v>
      </c>
      <c r="SN85" s="1" t="n">
        <f aca="false">IF(B85=0,MG85+MK85,0)</f>
        <v>0</v>
      </c>
      <c r="SO85" s="1" t="n">
        <f aca="false">IF(B85=0,IF(HT85=1,MI85,MJ85),0)</f>
        <v>0</v>
      </c>
      <c r="SP85" s="1" t="n">
        <f aca="false">IF(FG85=1,IF(HT85=1,MP85+MS85,FH85-OZ85)*(1+Slot15_Rate),0)</f>
        <v>0</v>
      </c>
      <c r="SQ85" s="1" t="n">
        <f aca="false">IF(AND(HT85=1,FG85=1),(MO85+MS85)/E85,0)</f>
        <v>0</v>
      </c>
      <c r="SR85" s="1" t="n">
        <f aca="false">IF(B85=0,MO85+MS85,0)</f>
        <v>0</v>
      </c>
      <c r="SS85" s="1" t="n">
        <f aca="false">IF(B85=0,IF(HT85=1,MQ85,MR85),0)</f>
        <v>0</v>
      </c>
      <c r="ST85" s="1" t="n">
        <f aca="false">IF(FQ85=1,IF(HT85=1,MX85+NA85,FR85-OX85)*(1+Slot16_Rate),0)</f>
        <v>0</v>
      </c>
      <c r="SU85" s="1" t="n">
        <f aca="false">IF(AND(HT85=1,FQ85=1),(MW85+NA85)/E85,0)</f>
        <v>0</v>
      </c>
      <c r="SV85" s="1" t="n">
        <f aca="false">IF(B85=0,MW85+NA85,0)</f>
        <v>0</v>
      </c>
      <c r="SW85" s="1" t="n">
        <f aca="false">IF(B85=0,IF(HT85=1,MY85,MZ85),0)</f>
        <v>0</v>
      </c>
      <c r="SX85" s="1" t="n">
        <f aca="false">IF(GA85=1,IF(HT85=1,NF85+NI85,GB85-OV85)*(1+Slot17_Rate),0)</f>
        <v>0</v>
      </c>
      <c r="SY85" s="1" t="n">
        <f aca="false">IF(AND(HT85=1,GA85=1),(NE85+NI85)/E85,0)</f>
        <v>0</v>
      </c>
      <c r="SZ85" s="1" t="n">
        <f aca="false">IF(B85=0,NE85+NI85,0)</f>
        <v>0</v>
      </c>
      <c r="TA85" s="1" t="n">
        <f aca="false">IF(B85=0,IF(HT85=1,NG85,NH85),0)</f>
        <v>0</v>
      </c>
      <c r="TB85" s="1" t="n">
        <f aca="false">IF(GK85=1,IF(HT85=1,NN85+NQ85,GL85-OT85)*(1+Slot18_Rate),0)</f>
        <v>0</v>
      </c>
      <c r="TC85" s="1" t="n">
        <f aca="false">IF(AND(HT85=1,GK85=1),(NM85+NQ85)/E85,0)</f>
        <v>0</v>
      </c>
      <c r="TD85" s="1" t="n">
        <f aca="false">IF(B85=0,NM85+NQ85,0)</f>
        <v>0</v>
      </c>
      <c r="TE85" s="1" t="n">
        <f aca="false">IF(B85=0,IF(HT85=1,NO85,NP85),0)</f>
        <v>0</v>
      </c>
      <c r="TF85" s="1" t="n">
        <f aca="false">IF(GU85=1,IF(HT85=1,NV85+NY85,GV85-OR85)*(1+Slot19_Rate),0)</f>
        <v>0</v>
      </c>
      <c r="TG85" s="1" t="n">
        <f aca="false">IF(AND(HT85=1,GU85=1),(NU85+NY85)/E85,0)</f>
        <v>0</v>
      </c>
      <c r="TH85" s="1" t="n">
        <f aca="false">IF(B85=0,NU85+NY85,0)</f>
        <v>0</v>
      </c>
      <c r="TI85" s="1" t="n">
        <f aca="false">IF(B85=0,IF(HT85=1,NW85,NX85),0)</f>
        <v>0</v>
      </c>
      <c r="TJ85" s="1" t="n">
        <f aca="false">IF(HE85=1,IF(HT85=1,OD85+OG85,HF85-OP85)*(1+Slot20_Rate),0)</f>
        <v>0</v>
      </c>
      <c r="TK85" s="1" t="n">
        <f aca="false">IF(AND(HT85=1,HE85=1),(OC85+OG85)/E85,0)</f>
        <v>0</v>
      </c>
      <c r="TL85" s="1" t="n">
        <f aca="false">IF(B85=0,OC85+OG85,0)</f>
        <v>0</v>
      </c>
      <c r="TM85" s="1" t="n">
        <f aca="false">IF(B85=0,IF(HT85=1,OE85,OF85),0)</f>
        <v>0</v>
      </c>
      <c r="TN85" s="1" t="n">
        <f aca="false">QJ85+QK85+QL85+QP85+QT85+QX85+RB85+RF85+RJ85+RN85+RR85+RV85+RZ85+SD85+SH85+SL85+SP85+ST85+SX85+TB85+TF85+TJ85</f>
        <v>684299.446265917</v>
      </c>
      <c r="TO85" s="1" t="n">
        <f aca="false">QD85+HO85</f>
        <v>0</v>
      </c>
      <c r="TP85" s="1" t="n">
        <f aca="false">H85+R85</f>
        <v>0</v>
      </c>
      <c r="TQ85" s="1" t="n">
        <f aca="false">1-F85</f>
        <v>1</v>
      </c>
      <c r="TR85" s="1" t="n">
        <f aca="false">IF(AND(RG_Exists=1,F85=0,C85=1),H85,0)</f>
        <v>0</v>
      </c>
      <c r="TS85" s="1" t="n">
        <f aca="false">IF(AND(RG_Exists=1,F85=0,C85=1),H85-MIN(QD85,H85),0)</f>
        <v>0</v>
      </c>
      <c r="TT85" s="1" t="n">
        <f aca="false">'Plan pay &amp; tax'!AD311</f>
        <v>0</v>
      </c>
      <c r="TU85" s="1" t="n">
        <f aca="false">IF(AND(C85=1,QD85&gt;MAX(PR_Short1,TP85*PR_Short2)),1,0)</f>
        <v>0</v>
      </c>
      <c r="TV85" s="1" t="n">
        <f aca="false">MIN(G85,H85+R85)</f>
        <v>0</v>
      </c>
      <c r="TW85" s="1" t="n">
        <f aca="false">QE85+MAX(0,HP85-HO85)</f>
        <v>0</v>
      </c>
      <c r="TX85" s="1" t="n">
        <f aca="false">QD85+HO85</f>
        <v>0</v>
      </c>
      <c r="TY85" s="1" t="n">
        <f aca="false">IF(AND(C85=1,TX85&gt;PR_MinShort),1,0)</f>
        <v>0</v>
      </c>
      <c r="TZ85" s="1" t="n">
        <f aca="false">IF(AND(C85=1,TY85=0,TW85&gt;PR_MinShort),1,0)</f>
        <v>0</v>
      </c>
      <c r="UA85" s="1" t="n">
        <f aca="false">IF(AND(C85=1,QD85&gt;PR_MinShort),1,0)</f>
        <v>0</v>
      </c>
      <c r="UB85" s="1" t="n">
        <f aca="false">IF(AND(C85=1,QE85&gt;1,UI85=0),1,0)</f>
        <v>0</v>
      </c>
      <c r="UC85" s="1" t="str">
        <f aca="false">IF(C85=0,"",IF(UI85=1,"Gap to plan for: short "&amp;"€"&amp;TEXT(ROUND(TO85,0),"#,##0"),IF(QE85&gt;1,"Using savings","Comfortable")))</f>
        <v>Comfortable</v>
      </c>
      <c r="UD85" s="1" t="n">
        <f aca="false">IF(AND(INT(D85/10)*10=90,B85&gt;0),80,INT(D85/10)*10)</f>
        <v>70</v>
      </c>
      <c r="UE85" s="1" t="n">
        <f aca="false">IF(B85=0,1,IF(UD85&lt;&gt;UD84,UE84+1,UE84))</f>
        <v>8</v>
      </c>
      <c r="UF85" s="1" t="n">
        <f aca="false">IF(AND(C85=1,F85=1,QD85&gt;MAX(PR_Short1,TP85*PR_Short2)),1,0)</f>
        <v>0</v>
      </c>
      <c r="UG85" s="1" t="n">
        <f aca="false">TQ85*TU85</f>
        <v>0</v>
      </c>
      <c r="UH85" s="1" t="n">
        <f aca="false">IF(AND(U85=1,Slot1_PctLow=1),1,0)+IF(AND(AF85=1,Slot2_PctLow=1),1,0)+IF(AND(AP85=1,Slot3_PctLow=1),1,0)+IF(AND(AZ85=1,Slot4_PctLow=1),1,0)+IF(AND(BJ85=1,Slot5_PctLow=1),1,0)+IF(AND(BT85=1,Slot6_PctLow=1),1,0)+IF(AND(CD85=1,Slot7_PctLow=1),1,0)+IF(AND(CN85=1,Slot8_PctLow=1),1,0)+IF(AND(CX85=1,Slot9_PctLow=1),1,0)+IF(AND(DH85=1,Slot10_PctLow=1),1,0)+IF(AND(DR85=1,Slot11_PctLow=1),1,0)+IF(AND(EB85=1,Slot12_PctLow=1),1,0)+IF(AND(EL85=1,Slot13_PctLow=1),1,0)+IF(AND(EV85=1,Slot14_PctLow=1),1,0)+IF(AND(FF85=1,Slot15_PctLow=1),1,0)+IF(AND(FP85=1,Slot16_PctLow=1),1,0)+IF(AND(FZ85=1,Slot17_PctLow=1),1,0)+IF(AND(GJ85=1,Slot18_PctLow=1),1,0)+IF(AND(GT85=1,Slot19_PctLow=1),1,0)+IF(AND(HD85=1,Slot20_PctLow=1),1,0)</f>
        <v>0</v>
      </c>
      <c r="UI85" s="1" t="n">
        <f aca="false">IF(C85=1,IF(OR(TU85=1,UH85&gt;0),1,0),0)</f>
        <v>0</v>
      </c>
    </row>
    <row r="86" customFormat="false" ht="15" hidden="false" customHeight="true" outlineLevel="0" collapsed="false">
      <c r="B86" s="1" t="n">
        <v>78</v>
      </c>
      <c r="C86" s="1" t="n">
        <f aca="false">IF(B86&lt;=F_N,1,0)</f>
        <v>1</v>
      </c>
      <c r="D86" s="1" t="n">
        <f aca="false">'Plan pay &amp; tax'!C312</f>
        <v>78</v>
      </c>
      <c r="E86" s="111" t="n">
        <f aca="false">'Plan pay &amp; tax'!E312</f>
        <v>4.68611991166513</v>
      </c>
      <c r="F86" s="1" t="n">
        <f aca="false">'Plan pay &amp; tax'!G312</f>
        <v>0</v>
      </c>
      <c r="G86" s="1" t="n">
        <f aca="false">'Plan pay &amp; tax'!BT312-'Plan pay &amp; tax'!BS312-'Plan pay &amp; tax'!R312</f>
        <v>58346.3166857531</v>
      </c>
      <c r="H86" s="1" t="n">
        <f aca="false">IF(F86=1,F_CostsM*12,IF(RG_Exists=1,RG_Amount,F_CostsM*12*AS_RetireSpend))*E86+F_OneOffY*E86</f>
        <v>0</v>
      </c>
      <c r="I86" s="1" t="n">
        <f aca="false">HQ85</f>
        <v>0</v>
      </c>
      <c r="J86" s="1" t="n">
        <f aca="false">IF(I86&gt;1,'Plan debt months'!AC86,0)</f>
        <v>0</v>
      </c>
      <c r="K86" s="1" t="n">
        <f aca="false">IF(I86&gt;1,'Plan debt months'!AB86,I86)</f>
        <v>0</v>
      </c>
      <c r="L86" s="1" t="n">
        <f aca="false">N85</f>
        <v>0</v>
      </c>
      <c r="M86" s="1" t="n">
        <f aca="false">IF(L86&gt;1,'Plan debt months'!BD86,0)</f>
        <v>0</v>
      </c>
      <c r="N86" s="1" t="n">
        <f aca="false">IF(L86&gt;1,'Plan debt months'!BC86,L86)</f>
        <v>0</v>
      </c>
      <c r="O86" s="1" t="n">
        <f aca="false">Q85</f>
        <v>0</v>
      </c>
      <c r="P86" s="1" t="n">
        <f aca="false">IF(O86&gt;1,'Plan debt months'!CE86,0)</f>
        <v>0</v>
      </c>
      <c r="Q86" s="1" t="n">
        <f aca="false">IF(O86&gt;1,'Plan debt months'!CD86,O86)</f>
        <v>0</v>
      </c>
      <c r="R86" s="1" t="n">
        <f aca="false">J86+M86+P86</f>
        <v>0</v>
      </c>
      <c r="S86" s="1" t="n">
        <f aca="false">QJ85+'Plan pay &amp; tax'!Y312</f>
        <v>684299.446265917</v>
      </c>
      <c r="T86" s="1" t="n">
        <f aca="false">QJ85</f>
        <v>684299.446265917</v>
      </c>
      <c r="U86" s="1" t="n">
        <f aca="false">IF(AND(Slot1_On=1,D86=Slot1_Age),1,0)</f>
        <v>0</v>
      </c>
      <c r="V86" s="1" t="n">
        <f aca="false">IF(AND(Slot1_On=1,Slot1_Age&gt;D86),1,0)</f>
        <v>0</v>
      </c>
      <c r="W86" s="1" t="n">
        <f aca="false">QL85</f>
        <v>0</v>
      </c>
      <c r="X86" s="1" t="n">
        <f aca="false">U86*MIN(Slot1_Cost,W86)</f>
        <v>0</v>
      </c>
      <c r="Y86" s="1" t="n">
        <f aca="false">U86*Slot1_SpendLike*MIN(Slot1_Cost-X86,S86)</f>
        <v>0</v>
      </c>
      <c r="Z86" s="1" t="n">
        <f aca="false">X86+Y86</f>
        <v>0</v>
      </c>
      <c r="AA86" s="1" t="n">
        <f aca="false">S86-Y86+U86*IF(Slot1_SpendLike=1,W86-X86,IF(Slot1_PotFree=1,W86,0))</f>
        <v>684299.446265917</v>
      </c>
      <c r="AB86" s="1" t="n">
        <f aca="false">AE86+U86*Slot1_BufPot*W86</f>
        <v>0</v>
      </c>
      <c r="AC86" s="1" t="n">
        <f aca="false">IF(AND(U86=1,Slot1_IsMfree=1),IF(Z86&gt;=Slot1_Cost-1,0,MAX(0,K86-Z86)),K86)</f>
        <v>0</v>
      </c>
      <c r="AD86" s="1" t="n">
        <f aca="false">U86*(Slot1_Cost-Z86)</f>
        <v>0</v>
      </c>
      <c r="AE86" s="1" t="n">
        <f aca="false">QK85</f>
        <v>0</v>
      </c>
      <c r="AF86" s="1" t="n">
        <f aca="false">IF(AND(Slot2_On=1,D86=Slot2_Age),1,0)</f>
        <v>0</v>
      </c>
      <c r="AG86" s="1" t="n">
        <f aca="false">IF(AND(Slot2_On=1,Slot2_Age&gt;D86),1,0)</f>
        <v>0</v>
      </c>
      <c r="AH86" s="1" t="n">
        <f aca="false">QP85</f>
        <v>0</v>
      </c>
      <c r="AI86" s="1" t="n">
        <f aca="false">AF86*MIN(Slot2_Cost,AH86)</f>
        <v>0</v>
      </c>
      <c r="AJ86" s="1" t="n">
        <f aca="false">AF86*Slot2_SpendLike*MIN(Slot2_Cost-AI86,AA86)</f>
        <v>0</v>
      </c>
      <c r="AK86" s="1" t="n">
        <f aca="false">AI86+AJ86</f>
        <v>0</v>
      </c>
      <c r="AL86" s="1" t="n">
        <f aca="false">AA86-AJ86+AF86*IF(Slot2_SpendLike=1,AH86-AI86,IF(Slot2_PotFree=1,AH86,0))</f>
        <v>684299.446265917</v>
      </c>
      <c r="AM86" s="1" t="n">
        <f aca="false">AB86+AF86*Slot2_BufPot*AH86</f>
        <v>0</v>
      </c>
      <c r="AN86" s="1" t="n">
        <f aca="false">IF(AND(AF86=1,Slot2_IsMfree=1),IF(AK86&gt;=Slot2_Cost-1,0,MAX(0,AC86-AK86)),AC86)</f>
        <v>0</v>
      </c>
      <c r="AO86" s="1" t="n">
        <f aca="false">AF86*(Slot2_Cost-AK86)</f>
        <v>0</v>
      </c>
      <c r="AP86" s="1" t="n">
        <f aca="false">IF(AND(Slot3_On=1,D86=Slot3_Age),1,0)</f>
        <v>0</v>
      </c>
      <c r="AQ86" s="1" t="n">
        <f aca="false">IF(AND(Slot3_On=1,Slot3_Age&gt;D86),1,0)</f>
        <v>0</v>
      </c>
      <c r="AR86" s="1" t="n">
        <f aca="false">QT85</f>
        <v>0</v>
      </c>
      <c r="AS86" s="1" t="n">
        <f aca="false">AP86*MIN(Slot3_Cost,AR86)</f>
        <v>0</v>
      </c>
      <c r="AT86" s="1" t="n">
        <f aca="false">AP86*Slot3_SpendLike*MIN(Slot3_Cost-AS86,AL86)</f>
        <v>0</v>
      </c>
      <c r="AU86" s="1" t="n">
        <f aca="false">AS86+AT86</f>
        <v>0</v>
      </c>
      <c r="AV86" s="1" t="n">
        <f aca="false">AL86-AT86+AP86*IF(Slot3_SpendLike=1,AR86-AS86,IF(Slot3_PotFree=1,AR86,0))</f>
        <v>684299.446265917</v>
      </c>
      <c r="AW86" s="1" t="n">
        <f aca="false">AM86+AP86*Slot3_BufPot*AR86</f>
        <v>0</v>
      </c>
      <c r="AX86" s="1" t="n">
        <f aca="false">IF(AND(AP86=1,Slot3_IsMfree=1),IF(AU86&gt;=Slot3_Cost-1,0,MAX(0,AN86-AU86)),AN86)</f>
        <v>0</v>
      </c>
      <c r="AY86" s="1" t="n">
        <f aca="false">AP86*(Slot3_Cost-AU86)</f>
        <v>0</v>
      </c>
      <c r="AZ86" s="1" t="n">
        <f aca="false">IF(AND(Slot4_On=1,D86=Slot4_Age),1,0)</f>
        <v>0</v>
      </c>
      <c r="BA86" s="1" t="n">
        <f aca="false">IF(AND(Slot4_On=1,Slot4_Age&gt;D86),1,0)</f>
        <v>0</v>
      </c>
      <c r="BB86" s="1" t="n">
        <f aca="false">QX85</f>
        <v>0</v>
      </c>
      <c r="BC86" s="1" t="n">
        <f aca="false">AZ86*MIN(Slot4_Cost,BB86)</f>
        <v>0</v>
      </c>
      <c r="BD86" s="1" t="n">
        <f aca="false">AZ86*Slot4_SpendLike*MIN(Slot4_Cost-BC86,AV86)</f>
        <v>0</v>
      </c>
      <c r="BE86" s="1" t="n">
        <f aca="false">BC86+BD86</f>
        <v>0</v>
      </c>
      <c r="BF86" s="1" t="n">
        <f aca="false">AV86-BD86+AZ86*IF(Slot4_SpendLike=1,BB86-BC86,IF(Slot4_PotFree=1,BB86,0))</f>
        <v>684299.446265917</v>
      </c>
      <c r="BG86" s="1" t="n">
        <f aca="false">AW86+AZ86*Slot4_BufPot*BB86</f>
        <v>0</v>
      </c>
      <c r="BH86" s="1" t="n">
        <f aca="false">IF(AND(AZ86=1,Slot4_IsMfree=1),IF(BE86&gt;=Slot4_Cost-1,0,MAX(0,AX86-BE86)),AX86)</f>
        <v>0</v>
      </c>
      <c r="BI86" s="1" t="n">
        <f aca="false">AZ86*(Slot4_Cost-BE86)</f>
        <v>0</v>
      </c>
      <c r="BJ86" s="1" t="n">
        <f aca="false">IF(AND(Slot5_On=1,D86=Slot5_Age),1,0)</f>
        <v>0</v>
      </c>
      <c r="BK86" s="1" t="n">
        <f aca="false">IF(AND(Slot5_On=1,Slot5_Age&gt;D86),1,0)</f>
        <v>0</v>
      </c>
      <c r="BL86" s="1" t="n">
        <f aca="false">RB85</f>
        <v>0</v>
      </c>
      <c r="BM86" s="1" t="n">
        <f aca="false">BJ86*MIN(Slot5_Cost,BL86)</f>
        <v>0</v>
      </c>
      <c r="BN86" s="1" t="n">
        <f aca="false">BJ86*Slot5_SpendLike*MIN(Slot5_Cost-BM86,BF86)</f>
        <v>0</v>
      </c>
      <c r="BO86" s="1" t="n">
        <f aca="false">BM86+BN86</f>
        <v>0</v>
      </c>
      <c r="BP86" s="1" t="n">
        <f aca="false">BF86-BN86+BJ86*IF(Slot5_SpendLike=1,BL86-BM86,IF(Slot5_PotFree=1,BL86,0))</f>
        <v>684299.446265917</v>
      </c>
      <c r="BQ86" s="1" t="n">
        <f aca="false">BG86+BJ86*Slot5_BufPot*BL86</f>
        <v>0</v>
      </c>
      <c r="BR86" s="1" t="n">
        <f aca="false">IF(AND(BJ86=1,Slot5_IsMfree=1),IF(BO86&gt;=Slot5_Cost-1,0,MAX(0,BH86-BO86)),BH86)</f>
        <v>0</v>
      </c>
      <c r="BS86" s="1" t="n">
        <f aca="false">BJ86*(Slot5_Cost-BO86)</f>
        <v>0</v>
      </c>
      <c r="BT86" s="1" t="n">
        <f aca="false">IF(AND(Slot6_On=1,D86=Slot6_Age),1,0)</f>
        <v>0</v>
      </c>
      <c r="BU86" s="1" t="n">
        <f aca="false">IF(AND(Slot6_On=1,Slot6_Age&gt;D86),1,0)</f>
        <v>0</v>
      </c>
      <c r="BV86" s="1" t="n">
        <f aca="false">RF85</f>
        <v>0</v>
      </c>
      <c r="BW86" s="1" t="n">
        <f aca="false">BT86*MIN(Slot6_Cost,BV86)</f>
        <v>0</v>
      </c>
      <c r="BX86" s="1" t="n">
        <f aca="false">BT86*Slot6_SpendLike*MIN(Slot6_Cost-BW86,BP86)</f>
        <v>0</v>
      </c>
      <c r="BY86" s="1" t="n">
        <f aca="false">BW86+BX86</f>
        <v>0</v>
      </c>
      <c r="BZ86" s="1" t="n">
        <f aca="false">BP86-BX86+BT86*IF(Slot6_SpendLike=1,BV86-BW86,IF(Slot6_PotFree=1,BV86,0))</f>
        <v>684299.446265917</v>
      </c>
      <c r="CA86" s="1" t="n">
        <f aca="false">BQ86+BT86*Slot6_BufPot*BV86</f>
        <v>0</v>
      </c>
      <c r="CB86" s="1" t="n">
        <f aca="false">IF(AND(BT86=1,Slot6_IsMfree=1),IF(BY86&gt;=Slot6_Cost-1,0,MAX(0,BR86-BY86)),BR86)</f>
        <v>0</v>
      </c>
      <c r="CC86" s="1" t="n">
        <f aca="false">BT86*(Slot6_Cost-BY86)</f>
        <v>0</v>
      </c>
      <c r="CD86" s="1" t="n">
        <f aca="false">IF(AND(Slot7_On=1,D86=Slot7_Age),1,0)</f>
        <v>0</v>
      </c>
      <c r="CE86" s="1" t="n">
        <f aca="false">IF(AND(Slot7_On=1,Slot7_Age&gt;D86),1,0)</f>
        <v>0</v>
      </c>
      <c r="CF86" s="1" t="n">
        <f aca="false">RJ85</f>
        <v>0</v>
      </c>
      <c r="CG86" s="1" t="n">
        <f aca="false">CD86*MIN(Slot7_Cost,CF86)</f>
        <v>0</v>
      </c>
      <c r="CH86" s="1" t="n">
        <f aca="false">CD86*Slot7_SpendLike*MIN(Slot7_Cost-CG86,BZ86)</f>
        <v>0</v>
      </c>
      <c r="CI86" s="1" t="n">
        <f aca="false">CG86+CH86</f>
        <v>0</v>
      </c>
      <c r="CJ86" s="1" t="n">
        <f aca="false">BZ86-CH86+CD86*IF(Slot7_SpendLike=1,CF86-CG86,IF(Slot7_PotFree=1,CF86,0))</f>
        <v>684299.446265917</v>
      </c>
      <c r="CK86" s="1" t="n">
        <f aca="false">CA86+CD86*Slot7_BufPot*CF86</f>
        <v>0</v>
      </c>
      <c r="CL86" s="1" t="n">
        <f aca="false">IF(AND(CD86=1,Slot7_IsMfree=1),IF(CI86&gt;=Slot7_Cost-1,0,MAX(0,CB86-CI86)),CB86)</f>
        <v>0</v>
      </c>
      <c r="CM86" s="1" t="n">
        <f aca="false">CD86*(Slot7_Cost-CI86)</f>
        <v>0</v>
      </c>
      <c r="CN86" s="1" t="n">
        <f aca="false">IF(AND(Slot8_On=1,D86=Slot8_Age),1,0)</f>
        <v>0</v>
      </c>
      <c r="CO86" s="1" t="n">
        <f aca="false">IF(AND(Slot8_On=1,Slot8_Age&gt;D86),1,0)</f>
        <v>0</v>
      </c>
      <c r="CP86" s="1" t="n">
        <f aca="false">RN85</f>
        <v>0</v>
      </c>
      <c r="CQ86" s="1" t="n">
        <f aca="false">CN86*MIN(Slot8_Cost,CP86)</f>
        <v>0</v>
      </c>
      <c r="CR86" s="1" t="n">
        <f aca="false">CN86*Slot8_SpendLike*MIN(Slot8_Cost-CQ86,CJ86)</f>
        <v>0</v>
      </c>
      <c r="CS86" s="1" t="n">
        <f aca="false">CQ86+CR86</f>
        <v>0</v>
      </c>
      <c r="CT86" s="1" t="n">
        <f aca="false">CJ86-CR86+CN86*IF(Slot8_SpendLike=1,CP86-CQ86,IF(Slot8_PotFree=1,CP86,0))</f>
        <v>684299.446265917</v>
      </c>
      <c r="CU86" s="1" t="n">
        <f aca="false">CK86+CN86*Slot8_BufPot*CP86</f>
        <v>0</v>
      </c>
      <c r="CV86" s="1" t="n">
        <f aca="false">IF(AND(CN86=1,Slot8_IsMfree=1),IF(CS86&gt;=Slot8_Cost-1,0,MAX(0,CL86-CS86)),CL86)</f>
        <v>0</v>
      </c>
      <c r="CW86" s="1" t="n">
        <f aca="false">CN86*(Slot8_Cost-CS86)</f>
        <v>0</v>
      </c>
      <c r="CX86" s="1" t="n">
        <f aca="false">IF(AND(Slot9_On=1,D86=Slot9_Age),1,0)</f>
        <v>0</v>
      </c>
      <c r="CY86" s="1" t="n">
        <f aca="false">IF(AND(Slot9_On=1,Slot9_Age&gt;D86),1,0)</f>
        <v>0</v>
      </c>
      <c r="CZ86" s="1" t="n">
        <f aca="false">RR85</f>
        <v>0</v>
      </c>
      <c r="DA86" s="1" t="n">
        <f aca="false">CX86*MIN(Slot9_Cost,CZ86)</f>
        <v>0</v>
      </c>
      <c r="DB86" s="1" t="n">
        <f aca="false">CX86*Slot9_SpendLike*MIN(Slot9_Cost-DA86,CT86)</f>
        <v>0</v>
      </c>
      <c r="DC86" s="1" t="n">
        <f aca="false">DA86+DB86</f>
        <v>0</v>
      </c>
      <c r="DD86" s="1" t="n">
        <f aca="false">CT86-DB86+CX86*IF(Slot9_SpendLike=1,CZ86-DA86,IF(Slot9_PotFree=1,CZ86,0))</f>
        <v>684299.446265917</v>
      </c>
      <c r="DE86" s="1" t="n">
        <f aca="false">CU86+CX86*Slot9_BufPot*CZ86</f>
        <v>0</v>
      </c>
      <c r="DF86" s="1" t="n">
        <f aca="false">IF(AND(CX86=1,Slot9_IsMfree=1),IF(DC86&gt;=Slot9_Cost-1,0,MAX(0,CV86-DC86)),CV86)</f>
        <v>0</v>
      </c>
      <c r="DG86" s="1" t="n">
        <f aca="false">CX86*(Slot9_Cost-DC86)</f>
        <v>0</v>
      </c>
      <c r="DH86" s="1" t="n">
        <f aca="false">IF(AND(Slot10_On=1,D86=Slot10_Age),1,0)</f>
        <v>0</v>
      </c>
      <c r="DI86" s="1" t="n">
        <f aca="false">IF(AND(Slot10_On=1,Slot10_Age&gt;D86),1,0)</f>
        <v>0</v>
      </c>
      <c r="DJ86" s="1" t="n">
        <f aca="false">RV85</f>
        <v>0</v>
      </c>
      <c r="DK86" s="1" t="n">
        <f aca="false">DH86*MIN(Slot10_Cost,DJ86)</f>
        <v>0</v>
      </c>
      <c r="DL86" s="1" t="n">
        <f aca="false">DH86*Slot10_SpendLike*MIN(Slot10_Cost-DK86,DD86)</f>
        <v>0</v>
      </c>
      <c r="DM86" s="1" t="n">
        <f aca="false">DK86+DL86</f>
        <v>0</v>
      </c>
      <c r="DN86" s="1" t="n">
        <f aca="false">DD86-DL86+DH86*IF(Slot10_SpendLike=1,DJ86-DK86,IF(Slot10_PotFree=1,DJ86,0))</f>
        <v>684299.446265917</v>
      </c>
      <c r="DO86" s="1" t="n">
        <f aca="false">DE86+DH86*Slot10_BufPot*DJ86</f>
        <v>0</v>
      </c>
      <c r="DP86" s="1" t="n">
        <f aca="false">IF(AND(DH86=1,Slot10_IsMfree=1),IF(DM86&gt;=Slot10_Cost-1,0,MAX(0,DF86-DM86)),DF86)</f>
        <v>0</v>
      </c>
      <c r="DQ86" s="1" t="n">
        <f aca="false">DH86*(Slot10_Cost-DM86)</f>
        <v>0</v>
      </c>
      <c r="DR86" s="1" t="n">
        <f aca="false">IF(AND(Slot11_On=1,D86=Slot11_Age),1,0)</f>
        <v>0</v>
      </c>
      <c r="DS86" s="1" t="n">
        <f aca="false">IF(AND(Slot11_On=1,Slot11_Age&gt;D86),1,0)</f>
        <v>0</v>
      </c>
      <c r="DT86" s="1" t="n">
        <f aca="false">RZ85</f>
        <v>0</v>
      </c>
      <c r="DU86" s="1" t="n">
        <f aca="false">DR86*MIN(Slot11_Cost,DT86)</f>
        <v>0</v>
      </c>
      <c r="DV86" s="1" t="n">
        <f aca="false">DR86*Slot11_SpendLike*MIN(Slot11_Cost-DU86,DN86)</f>
        <v>0</v>
      </c>
      <c r="DW86" s="1" t="n">
        <f aca="false">DU86+DV86</f>
        <v>0</v>
      </c>
      <c r="DX86" s="1" t="n">
        <f aca="false">DN86-DV86+DR86*IF(Slot11_SpendLike=1,DT86-DU86,IF(Slot11_PotFree=1,DT86,0))</f>
        <v>684299.446265917</v>
      </c>
      <c r="DY86" s="1" t="n">
        <f aca="false">DO86+DR86*Slot11_BufPot*DT86</f>
        <v>0</v>
      </c>
      <c r="DZ86" s="1" t="n">
        <f aca="false">IF(AND(DR86=1,Slot11_IsMfree=1),IF(DW86&gt;=Slot11_Cost-1,0,MAX(0,DP86-DW86)),DP86)</f>
        <v>0</v>
      </c>
      <c r="EA86" s="1" t="n">
        <f aca="false">DR86*(Slot11_Cost-DW86)</f>
        <v>0</v>
      </c>
      <c r="EB86" s="1" t="n">
        <f aca="false">IF(AND(Slot12_On=1,D86=Slot12_Age),1,0)</f>
        <v>0</v>
      </c>
      <c r="EC86" s="1" t="n">
        <f aca="false">IF(AND(Slot12_On=1,Slot12_Age&gt;D86),1,0)</f>
        <v>0</v>
      </c>
      <c r="ED86" s="1" t="n">
        <f aca="false">SD85</f>
        <v>0</v>
      </c>
      <c r="EE86" s="1" t="n">
        <f aca="false">EB86*MIN(Slot12_Cost,ED86)</f>
        <v>0</v>
      </c>
      <c r="EF86" s="1" t="n">
        <f aca="false">EB86*Slot12_SpendLike*MIN(Slot12_Cost-EE86,DX86)</f>
        <v>0</v>
      </c>
      <c r="EG86" s="1" t="n">
        <f aca="false">EE86+EF86</f>
        <v>0</v>
      </c>
      <c r="EH86" s="1" t="n">
        <f aca="false">DX86-EF86+EB86*IF(Slot12_SpendLike=1,ED86-EE86,IF(Slot12_PotFree=1,ED86,0))</f>
        <v>684299.446265917</v>
      </c>
      <c r="EI86" s="1" t="n">
        <f aca="false">DY86+EB86*Slot12_BufPot*ED86</f>
        <v>0</v>
      </c>
      <c r="EJ86" s="1" t="n">
        <f aca="false">IF(AND(EB86=1,Slot12_IsMfree=1),IF(EG86&gt;=Slot12_Cost-1,0,MAX(0,DZ86-EG86)),DZ86)</f>
        <v>0</v>
      </c>
      <c r="EK86" s="1" t="n">
        <f aca="false">EB86*(Slot12_Cost-EG86)</f>
        <v>0</v>
      </c>
      <c r="EL86" s="1" t="n">
        <f aca="false">IF(AND(Slot13_On=1,D86=Slot13_Age),1,0)</f>
        <v>0</v>
      </c>
      <c r="EM86" s="1" t="n">
        <f aca="false">IF(AND(Slot13_On=1,Slot13_Age&gt;D86),1,0)</f>
        <v>0</v>
      </c>
      <c r="EN86" s="1" t="n">
        <f aca="false">SH85</f>
        <v>0</v>
      </c>
      <c r="EO86" s="1" t="n">
        <f aca="false">EL86*MIN(Slot13_Cost,EN86)</f>
        <v>0</v>
      </c>
      <c r="EP86" s="1" t="n">
        <f aca="false">EL86*Slot13_SpendLike*MIN(Slot13_Cost-EO86,EH86)</f>
        <v>0</v>
      </c>
      <c r="EQ86" s="1" t="n">
        <f aca="false">EO86+EP86</f>
        <v>0</v>
      </c>
      <c r="ER86" s="1" t="n">
        <f aca="false">EH86-EP86+EL86*IF(Slot13_SpendLike=1,EN86-EO86,IF(Slot13_PotFree=1,EN86,0))</f>
        <v>684299.446265917</v>
      </c>
      <c r="ES86" s="1" t="n">
        <f aca="false">EI86+EL86*Slot13_BufPot*EN86</f>
        <v>0</v>
      </c>
      <c r="ET86" s="1" t="n">
        <f aca="false">IF(AND(EL86=1,Slot13_IsMfree=1),IF(EQ86&gt;=Slot13_Cost-1,0,MAX(0,EJ86-EQ86)),EJ86)</f>
        <v>0</v>
      </c>
      <c r="EU86" s="1" t="n">
        <f aca="false">EL86*(Slot13_Cost-EQ86)</f>
        <v>0</v>
      </c>
      <c r="EV86" s="1" t="n">
        <f aca="false">IF(AND(Slot14_On=1,D86=Slot14_Age),1,0)</f>
        <v>0</v>
      </c>
      <c r="EW86" s="1" t="n">
        <f aca="false">IF(AND(Slot14_On=1,Slot14_Age&gt;D86),1,0)</f>
        <v>0</v>
      </c>
      <c r="EX86" s="1" t="n">
        <f aca="false">SL85</f>
        <v>0</v>
      </c>
      <c r="EY86" s="1" t="n">
        <f aca="false">EV86*MIN(Slot14_Cost,EX86)</f>
        <v>0</v>
      </c>
      <c r="EZ86" s="1" t="n">
        <f aca="false">EV86*Slot14_SpendLike*MIN(Slot14_Cost-EY86,ER86)</f>
        <v>0</v>
      </c>
      <c r="FA86" s="1" t="n">
        <f aca="false">EY86+EZ86</f>
        <v>0</v>
      </c>
      <c r="FB86" s="1" t="n">
        <f aca="false">ER86-EZ86+EV86*IF(Slot14_SpendLike=1,EX86-EY86,IF(Slot14_PotFree=1,EX86,0))</f>
        <v>684299.446265917</v>
      </c>
      <c r="FC86" s="1" t="n">
        <f aca="false">ES86+EV86*Slot14_BufPot*EX86</f>
        <v>0</v>
      </c>
      <c r="FD86" s="1" t="n">
        <f aca="false">IF(AND(EV86=1,Slot14_IsMfree=1),IF(FA86&gt;=Slot14_Cost-1,0,MAX(0,ET86-FA86)),ET86)</f>
        <v>0</v>
      </c>
      <c r="FE86" s="1" t="n">
        <f aca="false">EV86*(Slot14_Cost-FA86)</f>
        <v>0</v>
      </c>
      <c r="FF86" s="1" t="n">
        <f aca="false">IF(AND(Slot15_On=1,D86=Slot15_Age),1,0)</f>
        <v>0</v>
      </c>
      <c r="FG86" s="1" t="n">
        <f aca="false">IF(AND(Slot15_On=1,Slot15_Age&gt;D86),1,0)</f>
        <v>0</v>
      </c>
      <c r="FH86" s="1" t="n">
        <f aca="false">SP85</f>
        <v>0</v>
      </c>
      <c r="FI86" s="1" t="n">
        <f aca="false">FF86*MIN(Slot15_Cost,FH86)</f>
        <v>0</v>
      </c>
      <c r="FJ86" s="1" t="n">
        <f aca="false">FF86*Slot15_SpendLike*MIN(Slot15_Cost-FI86,FB86)</f>
        <v>0</v>
      </c>
      <c r="FK86" s="1" t="n">
        <f aca="false">FI86+FJ86</f>
        <v>0</v>
      </c>
      <c r="FL86" s="1" t="n">
        <f aca="false">FB86-FJ86+FF86*IF(Slot15_SpendLike=1,FH86-FI86,IF(Slot15_PotFree=1,FH86,0))</f>
        <v>684299.446265917</v>
      </c>
      <c r="FM86" s="1" t="n">
        <f aca="false">FC86+FF86*Slot15_BufPot*FH86</f>
        <v>0</v>
      </c>
      <c r="FN86" s="1" t="n">
        <f aca="false">IF(AND(FF86=1,Slot15_IsMfree=1),IF(FK86&gt;=Slot15_Cost-1,0,MAX(0,FD86-FK86)),FD86)</f>
        <v>0</v>
      </c>
      <c r="FO86" s="1" t="n">
        <f aca="false">FF86*(Slot15_Cost-FK86)</f>
        <v>0</v>
      </c>
      <c r="FP86" s="1" t="n">
        <f aca="false">IF(AND(Slot16_On=1,D86=Slot16_Age),1,0)</f>
        <v>0</v>
      </c>
      <c r="FQ86" s="1" t="n">
        <f aca="false">IF(AND(Slot16_On=1,Slot16_Age&gt;D86),1,0)</f>
        <v>0</v>
      </c>
      <c r="FR86" s="1" t="n">
        <f aca="false">ST85</f>
        <v>0</v>
      </c>
      <c r="FS86" s="1" t="n">
        <f aca="false">FP86*MIN(Slot16_Cost,FR86)</f>
        <v>0</v>
      </c>
      <c r="FT86" s="1" t="n">
        <f aca="false">FP86*Slot16_SpendLike*MIN(Slot16_Cost-FS86,FL86)</f>
        <v>0</v>
      </c>
      <c r="FU86" s="1" t="n">
        <f aca="false">FS86+FT86</f>
        <v>0</v>
      </c>
      <c r="FV86" s="1" t="n">
        <f aca="false">FL86-FT86+FP86*IF(Slot16_SpendLike=1,FR86-FS86,IF(Slot16_PotFree=1,FR86,0))</f>
        <v>684299.446265917</v>
      </c>
      <c r="FW86" s="1" t="n">
        <f aca="false">FM86+FP86*Slot16_BufPot*FR86</f>
        <v>0</v>
      </c>
      <c r="FX86" s="1" t="n">
        <f aca="false">IF(AND(FP86=1,Slot16_IsMfree=1),IF(FU86&gt;=Slot16_Cost-1,0,MAX(0,FN86-FU86)),FN86)</f>
        <v>0</v>
      </c>
      <c r="FY86" s="1" t="n">
        <f aca="false">FP86*(Slot16_Cost-FU86)</f>
        <v>0</v>
      </c>
      <c r="FZ86" s="1" t="n">
        <f aca="false">IF(AND(Slot17_On=1,D86=Slot17_Age),1,0)</f>
        <v>0</v>
      </c>
      <c r="GA86" s="1" t="n">
        <f aca="false">IF(AND(Slot17_On=1,Slot17_Age&gt;D86),1,0)</f>
        <v>0</v>
      </c>
      <c r="GB86" s="1" t="n">
        <f aca="false">SX85</f>
        <v>0</v>
      </c>
      <c r="GC86" s="1" t="n">
        <f aca="false">FZ86*MIN(Slot17_Cost,GB86)</f>
        <v>0</v>
      </c>
      <c r="GD86" s="1" t="n">
        <f aca="false">FZ86*Slot17_SpendLike*MIN(Slot17_Cost-GC86,FV86)</f>
        <v>0</v>
      </c>
      <c r="GE86" s="1" t="n">
        <f aca="false">GC86+GD86</f>
        <v>0</v>
      </c>
      <c r="GF86" s="1" t="n">
        <f aca="false">FV86-GD86+FZ86*IF(Slot17_SpendLike=1,GB86-GC86,IF(Slot17_PotFree=1,GB86,0))</f>
        <v>684299.446265917</v>
      </c>
      <c r="GG86" s="1" t="n">
        <f aca="false">FW86+FZ86*Slot17_BufPot*GB86</f>
        <v>0</v>
      </c>
      <c r="GH86" s="1" t="n">
        <f aca="false">IF(AND(FZ86=1,Slot17_IsMfree=1),IF(GE86&gt;=Slot17_Cost-1,0,MAX(0,FX86-GE86)),FX86)</f>
        <v>0</v>
      </c>
      <c r="GI86" s="1" t="n">
        <f aca="false">FZ86*(Slot17_Cost-GE86)</f>
        <v>0</v>
      </c>
      <c r="GJ86" s="1" t="n">
        <f aca="false">IF(AND(Slot18_On=1,D86=Slot18_Age),1,0)</f>
        <v>0</v>
      </c>
      <c r="GK86" s="1" t="n">
        <f aca="false">IF(AND(Slot18_On=1,Slot18_Age&gt;D86),1,0)</f>
        <v>0</v>
      </c>
      <c r="GL86" s="1" t="n">
        <f aca="false">TB85</f>
        <v>0</v>
      </c>
      <c r="GM86" s="1" t="n">
        <f aca="false">GJ86*MIN(Slot18_Cost,GL86)</f>
        <v>0</v>
      </c>
      <c r="GN86" s="1" t="n">
        <f aca="false">GJ86*Slot18_SpendLike*MIN(Slot18_Cost-GM86,GF86)</f>
        <v>0</v>
      </c>
      <c r="GO86" s="1" t="n">
        <f aca="false">GM86+GN86</f>
        <v>0</v>
      </c>
      <c r="GP86" s="1" t="n">
        <f aca="false">GF86-GN86+GJ86*IF(Slot18_SpendLike=1,GL86-GM86,IF(Slot18_PotFree=1,GL86,0))</f>
        <v>684299.446265917</v>
      </c>
      <c r="GQ86" s="1" t="n">
        <f aca="false">GG86+GJ86*Slot18_BufPot*GL86</f>
        <v>0</v>
      </c>
      <c r="GR86" s="1" t="n">
        <f aca="false">IF(AND(GJ86=1,Slot18_IsMfree=1),IF(GO86&gt;=Slot18_Cost-1,0,MAX(0,GH86-GO86)),GH86)</f>
        <v>0</v>
      </c>
      <c r="GS86" s="1" t="n">
        <f aca="false">GJ86*(Slot18_Cost-GO86)</f>
        <v>0</v>
      </c>
      <c r="GT86" s="1" t="n">
        <f aca="false">IF(AND(Slot19_On=1,D86=Slot19_Age),1,0)</f>
        <v>0</v>
      </c>
      <c r="GU86" s="1" t="n">
        <f aca="false">IF(AND(Slot19_On=1,Slot19_Age&gt;D86),1,0)</f>
        <v>0</v>
      </c>
      <c r="GV86" s="1" t="n">
        <f aca="false">TF85</f>
        <v>0</v>
      </c>
      <c r="GW86" s="1" t="n">
        <f aca="false">GT86*MIN(Slot19_Cost,GV86)</f>
        <v>0</v>
      </c>
      <c r="GX86" s="1" t="n">
        <f aca="false">GT86*Slot19_SpendLike*MIN(Slot19_Cost-GW86,GP86)</f>
        <v>0</v>
      </c>
      <c r="GY86" s="1" t="n">
        <f aca="false">GW86+GX86</f>
        <v>0</v>
      </c>
      <c r="GZ86" s="1" t="n">
        <f aca="false">GP86-GX86+GT86*IF(Slot19_SpendLike=1,GV86-GW86,IF(Slot19_PotFree=1,GV86,0))</f>
        <v>684299.446265917</v>
      </c>
      <c r="HA86" s="1" t="n">
        <f aca="false">GQ86+GT86*Slot19_BufPot*GV86</f>
        <v>0</v>
      </c>
      <c r="HB86" s="1" t="n">
        <f aca="false">IF(AND(GT86=1,Slot19_IsMfree=1),IF(GY86&gt;=Slot19_Cost-1,0,MAX(0,GR86-GY86)),GR86)</f>
        <v>0</v>
      </c>
      <c r="HC86" s="1" t="n">
        <f aca="false">GT86*(Slot19_Cost-GY86)</f>
        <v>0</v>
      </c>
      <c r="HD86" s="1" t="n">
        <f aca="false">IF(AND(Slot20_On=1,D86=Slot20_Age),1,0)</f>
        <v>0</v>
      </c>
      <c r="HE86" s="1" t="n">
        <f aca="false">IF(AND(Slot20_On=1,Slot20_Age&gt;D86),1,0)</f>
        <v>0</v>
      </c>
      <c r="HF86" s="1" t="n">
        <f aca="false">TJ85</f>
        <v>0</v>
      </c>
      <c r="HG86" s="1" t="n">
        <f aca="false">HD86*MIN(Slot20_Cost,HF86)</f>
        <v>0</v>
      </c>
      <c r="HH86" s="1" t="n">
        <f aca="false">HD86*Slot20_SpendLike*MIN(Slot20_Cost-HG86,GZ86)</f>
        <v>0</v>
      </c>
      <c r="HI86" s="1" t="n">
        <f aca="false">HG86+HH86</f>
        <v>0</v>
      </c>
      <c r="HJ86" s="1" t="n">
        <f aca="false">GZ86-HH86+HD86*IF(Slot20_SpendLike=1,HF86-HG86,IF(Slot20_PotFree=1,HF86,0))</f>
        <v>684299.446265917</v>
      </c>
      <c r="HK86" s="1" t="n">
        <f aca="false">HA86+HD86*Slot20_BufPot*HF86</f>
        <v>0</v>
      </c>
      <c r="HL86" s="1" t="n">
        <f aca="false">IF(AND(HD86=1,Slot20_IsMfree=1),IF(HI86&gt;=Slot20_Cost-1,0,MAX(0,HB86-HI86)),HB86)</f>
        <v>0</v>
      </c>
      <c r="HM86" s="1" t="n">
        <f aca="false">HD86*(Slot20_Cost-HI86)</f>
        <v>0</v>
      </c>
      <c r="HN86" s="1" t="n">
        <f aca="false">U86*Slot1_SpendLike*Z86+AF86*Slot2_SpendLike*AK86+AP86*Slot3_SpendLike*AU86+AZ86*Slot4_SpendLike*BE86+BJ86*Slot5_SpendLike*BO86+BT86*Slot6_SpendLike*BY86+CD86*Slot7_SpendLike*CI86+CN86*Slot8_SpendLike*CS86+CX86*Slot9_SpendLike*DC86+DH86*Slot10_SpendLike*DM86+DR86*Slot11_SpendLike*DW86+EB86*Slot12_SpendLike*EG86+EL86*Slot13_SpendLike*EQ86+EV86*Slot14_SpendLike*FA86+FF86*Slot15_SpendLike*FK86+FP86*Slot16_SpendLike*FU86+FZ86*Slot17_SpendLike*GE86+GJ86*Slot18_SpendLike*GO86+GT86*Slot19_SpendLike*GY86+HD86*Slot20_SpendLike*HI86</f>
        <v>0</v>
      </c>
      <c r="HO86" s="1" t="n">
        <f aca="false">AD86+AO86+AY86+BI86+BS86+CC86+CM86+CW86+DG86+DQ86+EA86+EK86+EU86+FE86+FO86+FY86+GI86+GS86+HC86+HM86</f>
        <v>0</v>
      </c>
      <c r="HP86" s="1" t="n">
        <f aca="false">U86*Slot1_Cost+AF86*Slot2_Cost+AP86*Slot3_Cost+AZ86*Slot4_Cost+BJ86*Slot5_Cost+BT86*Slot6_Cost+CD86*Slot7_Cost+CN86*Slot8_Cost+CX86*Slot9_Cost+DH86*Slot10_Cost+DR86*Slot11_Cost+EB86*Slot12_Cost+EL86*Slot13_Cost+EV86*Slot14_Cost+FF86*Slot15_Cost+FP86*Slot16_Cost+FZ86*Slot17_Cost+GJ86*Slot18_Cost+GT86*Slot19_Cost+HD86*Slot20_Cost</f>
        <v>0</v>
      </c>
      <c r="HQ86" s="1" t="n">
        <f aca="false">HL86</f>
        <v>0</v>
      </c>
      <c r="HR86" s="1" t="n">
        <f aca="false">G86-H86-R86</f>
        <v>58346.3166857531</v>
      </c>
      <c r="HS86" s="1" t="n">
        <f aca="false">IF(B86=0,IF(AND(Has_q6=1,In_q6=4),PR_ShareVaries*(MAX(0,HR86)/12),MIN(IF(Has_q6=1,CHOOSE(In_q6+1,PR_SaveB1,PR_SaveB2,PR_SaveB3,PR_SaveB4,0),AS_NoAnswer),AS_SaveShare*(MAX(0,HR86)/12))),HS85)</f>
        <v>0</v>
      </c>
      <c r="HT86" s="1" t="n">
        <f aca="false">IF(HR86&gt;=0,1,0)</f>
        <v>1</v>
      </c>
      <c r="HU86" s="1" t="n">
        <f aca="false">MAX(0,HR86/12/E86)</f>
        <v>1037.57333333333</v>
      </c>
      <c r="HV86" s="1" t="n">
        <f aca="false">IF(AND(Has_q6=1,In_q6=4),PR_ShareVaries*(HU86),MIN(IF(Has_q6=1,CHOOSE(In_q6+1,PR_SaveB1,PR_SaveB2,PR_SaveB3,PR_SaveB4,0),AS_NoAnswer),AS_SaveShare*(HU86)))</f>
        <v>300</v>
      </c>
      <c r="HW86" s="1" t="n">
        <f aca="false">IF(Has_saveM=1,IF(In_saveUp="Yes",1,IF(In_saveUp="No",0,IF(In_saveM&gt;=HS86-0.5,1,0))),0)</f>
        <v>0</v>
      </c>
      <c r="HX86" s="1" t="n">
        <f aca="false">IF(Has_saveM=1,MIN(HU86,IF(HW86=1,MAX(In_saveM,HV86),MIN(In_saveM,HV86))),HV86)</f>
        <v>300</v>
      </c>
      <c r="HY86" s="1" t="n">
        <f aca="false">IF(F86=1,HX86*12*E86,0)</f>
        <v>0</v>
      </c>
      <c r="HZ86" s="1" t="n">
        <f aca="false">MAX(0,HY86+IF(AND(WI_Retire=0,WI_M&lt;0,F86=1),WI_M*12*E86,0))</f>
        <v>0</v>
      </c>
      <c r="IA86" s="1" t="n">
        <f aca="false">Slot1_IsWG*V86+Slot2_IsWG*AG86+Slot3_IsWG*AQ86+Slot4_IsWG*BA86+Slot5_IsWG*BK86+Slot6_IsWG*BU86+Slot7_IsWG*CE86+Slot8_IsWG*CO86+Slot9_IsWG*CY86+Slot10_IsWG*DI86+Slot11_IsWG*DS86+Slot12_IsWG*EC86+Slot13_IsWG*EM86+Slot14_IsWG*EW86+Slot15_IsWG*FG86+Slot16_IsWG*FQ86+Slot17_IsWG*GA86+Slot18_IsWG*GK86+Slot19_IsWG*GU86+Slot20_IsWG*HE86</f>
        <v>0</v>
      </c>
      <c r="IB86" s="1" t="n">
        <f aca="false">IF(AND(WI_Retire=0,WI_M&gt;0,F86=1,IA86&gt;=1),WI_M*12*E86,0)</f>
        <v>0</v>
      </c>
      <c r="IC86" s="1" t="n">
        <f aca="false">IF(HT86=1,MIN(HZ86,HR86),0)</f>
        <v>0</v>
      </c>
      <c r="ID86" s="1" t="n">
        <f aca="false">IF(HT86=1,MIN(IB86,HR86-IC86),0)</f>
        <v>0</v>
      </c>
      <c r="IE86" s="1" t="n">
        <f aca="false">IF(V86=1,IF(ABS((1+AS_Wage)/(1+Slot1_Rate)-1)&lt;0.000000000001,(Slot1_Age-D86)*(1+Slot1_Rate)^(Slot1_Age-D86),(1+Slot1_Rate)^(Slot1_Age-D86)*(1-((1+AS_Wage)/(1+Slot1_Rate))^(Slot1_Age-D86))/(1-(1+AS_Wage)/(1+Slot1_Rate))),1)</f>
        <v>1</v>
      </c>
      <c r="IF86" s="1" t="n">
        <f aca="false">IF(AND(HT86=1,ID86&gt;0,Slot1_IsWG=1,V86=1),MAX(0,(Slot1_Cost-W86*(1+Slot1_Rate)^(Slot1_Age-D86))/IE86),0)</f>
        <v>0</v>
      </c>
      <c r="IG86" s="1" t="n">
        <f aca="false">IF(AND(HT86=1,ID86&gt;0,Slot1_IsWG=1,V86=1),MIN(ID86,IF86),0)</f>
        <v>0</v>
      </c>
      <c r="IH86" s="1" t="n">
        <f aca="false">W86+IG86</f>
        <v>0</v>
      </c>
      <c r="II86" s="1" t="n">
        <f aca="false">IF(V86=1,MAX(0,(Slot1_Cost-IH86*(1+Slot1_Rate)^(Slot1_Age-D86))/IE86),0)</f>
        <v>0</v>
      </c>
      <c r="IJ86" s="1" t="n">
        <f aca="false">IF(V86=1,MAX(0,(Slot1_Cost-W86*(1+Slot1_Rate)^(Slot1_Age-D86))/IE86),0)</f>
        <v>0</v>
      </c>
      <c r="IK86" s="1" t="n">
        <f aca="false">IF(AND(HT86=1,V86=1),MIN(IC86,II86),0)</f>
        <v>0</v>
      </c>
      <c r="IL86" s="1" t="n">
        <f aca="false">IC86-IK86</f>
        <v>0</v>
      </c>
      <c r="IM86" s="1" t="n">
        <f aca="false">IF(AG86=1,IF(ABS((1+AS_Wage)/(1+Slot2_Rate)-1)&lt;0.000000000001,(Slot2_Age-D86)*(1+Slot2_Rate)^(Slot2_Age-D86),(1+Slot2_Rate)^(Slot2_Age-D86)*(1-((1+AS_Wage)/(1+Slot2_Rate))^(Slot2_Age-D86))/(1-(1+AS_Wage)/(1+Slot2_Rate))),1)</f>
        <v>1</v>
      </c>
      <c r="IN86" s="1" t="n">
        <f aca="false">IF(AND(HT86=1,ID86&gt;0,Slot2_IsWG=1,AG86=1),MAX(0,(Slot2_Cost-AH86*(1+Slot2_Rate)^(Slot2_Age-D86))/IM86),0)</f>
        <v>0</v>
      </c>
      <c r="IO86" s="1" t="n">
        <f aca="false">IF(AND(HT86=1,ID86&gt;0,Slot2_IsWG=1,AG86=1),MIN(ID86,IN86),0)</f>
        <v>0</v>
      </c>
      <c r="IP86" s="1" t="n">
        <f aca="false">AH86+IO86</f>
        <v>0</v>
      </c>
      <c r="IQ86" s="1" t="n">
        <f aca="false">IF(AG86=1,MAX(0,(Slot2_Cost-IP86*(1+Slot2_Rate)^(Slot2_Age-D86))/IM86),0)</f>
        <v>0</v>
      </c>
      <c r="IR86" s="1" t="n">
        <f aca="false">IF(AG86=1,MAX(0,(Slot2_Cost-AH86*(1+Slot2_Rate)^(Slot2_Age-D86))/IM86),0)</f>
        <v>0</v>
      </c>
      <c r="IS86" s="1" t="n">
        <f aca="false">IF(AND(HT86=1,AG86=1),MIN(IL86,IQ86),0)</f>
        <v>0</v>
      </c>
      <c r="IT86" s="1" t="n">
        <f aca="false">IL86-IS86</f>
        <v>0</v>
      </c>
      <c r="IU86" s="1" t="n">
        <f aca="false">IF(AQ86=1,IF(ABS((1+AS_Wage)/(1+Slot3_Rate)-1)&lt;0.000000000001,(Slot3_Age-D86)*(1+Slot3_Rate)^(Slot3_Age-D86),(1+Slot3_Rate)^(Slot3_Age-D86)*(1-((1+AS_Wage)/(1+Slot3_Rate))^(Slot3_Age-D86))/(1-(1+AS_Wage)/(1+Slot3_Rate))),1)</f>
        <v>1</v>
      </c>
      <c r="IV86" s="1" t="n">
        <f aca="false">IF(AND(HT86=1,ID86&gt;0,Slot3_IsWG=1,AQ86=1),MAX(0,(Slot3_Cost-AR86*(1+Slot3_Rate)^(Slot3_Age-D86))/IU86),0)</f>
        <v>0</v>
      </c>
      <c r="IW86" s="1" t="n">
        <f aca="false">IF(AND(HT86=1,ID86&gt;0,Slot3_IsWG=1,AQ86=1),MIN(ID86,IV86),0)</f>
        <v>0</v>
      </c>
      <c r="IX86" s="1" t="n">
        <f aca="false">AR86+IW86</f>
        <v>0</v>
      </c>
      <c r="IY86" s="1" t="n">
        <f aca="false">IF(AQ86=1,MAX(0,(Slot3_Cost-IX86*(1+Slot3_Rate)^(Slot3_Age-D86))/IU86),0)</f>
        <v>0</v>
      </c>
      <c r="IZ86" s="1" t="n">
        <f aca="false">IF(AQ86=1,MAX(0,(Slot3_Cost-AR86*(1+Slot3_Rate)^(Slot3_Age-D86))/IU86),0)</f>
        <v>0</v>
      </c>
      <c r="JA86" s="1" t="n">
        <f aca="false">IF(AND(HT86=1,AQ86=1),MIN(IT86,IY86),0)</f>
        <v>0</v>
      </c>
      <c r="JB86" s="1" t="n">
        <f aca="false">IT86-JA86</f>
        <v>0</v>
      </c>
      <c r="JC86" s="1" t="n">
        <f aca="false">IF(BA86=1,IF(ABS((1+AS_Wage)/(1+Slot4_Rate)-1)&lt;0.000000000001,(Slot4_Age-D86)*(1+Slot4_Rate)^(Slot4_Age-D86),(1+Slot4_Rate)^(Slot4_Age-D86)*(1-((1+AS_Wage)/(1+Slot4_Rate))^(Slot4_Age-D86))/(1-(1+AS_Wage)/(1+Slot4_Rate))),1)</f>
        <v>1</v>
      </c>
      <c r="JD86" s="1" t="n">
        <f aca="false">IF(AND(HT86=1,ID86&gt;0,Slot4_IsWG=1,BA86=1),MAX(0,(Slot4_Cost-BB86*(1+Slot4_Rate)^(Slot4_Age-D86))/JC86),0)</f>
        <v>0</v>
      </c>
      <c r="JE86" s="1" t="n">
        <f aca="false">IF(AND(HT86=1,ID86&gt;0,Slot4_IsWG=1,BA86=1),MIN(ID86,JD86),0)</f>
        <v>0</v>
      </c>
      <c r="JF86" s="1" t="n">
        <f aca="false">BB86+JE86</f>
        <v>0</v>
      </c>
      <c r="JG86" s="1" t="n">
        <f aca="false">IF(BA86=1,MAX(0,(Slot4_Cost-JF86*(1+Slot4_Rate)^(Slot4_Age-D86))/JC86),0)</f>
        <v>0</v>
      </c>
      <c r="JH86" s="1" t="n">
        <f aca="false">IF(BA86=1,MAX(0,(Slot4_Cost-BB86*(1+Slot4_Rate)^(Slot4_Age-D86))/JC86),0)</f>
        <v>0</v>
      </c>
      <c r="JI86" s="1" t="n">
        <f aca="false">IF(AND(HT86=1,BA86=1),MIN(JB86,JG86),0)</f>
        <v>0</v>
      </c>
      <c r="JJ86" s="1" t="n">
        <f aca="false">JB86-JI86</f>
        <v>0</v>
      </c>
      <c r="JK86" s="1" t="n">
        <f aca="false">IF(BK86=1,IF(ABS((1+AS_Wage)/(1+Slot5_Rate)-1)&lt;0.000000000001,(Slot5_Age-D86)*(1+Slot5_Rate)^(Slot5_Age-D86),(1+Slot5_Rate)^(Slot5_Age-D86)*(1-((1+AS_Wage)/(1+Slot5_Rate))^(Slot5_Age-D86))/(1-(1+AS_Wage)/(1+Slot5_Rate))),1)</f>
        <v>1</v>
      </c>
      <c r="JL86" s="1" t="n">
        <f aca="false">IF(AND(HT86=1,ID86&gt;0,Slot5_IsWG=1,BK86=1),MAX(0,(Slot5_Cost-BL86*(1+Slot5_Rate)^(Slot5_Age-D86))/JK86),0)</f>
        <v>0</v>
      </c>
      <c r="JM86" s="1" t="n">
        <f aca="false">IF(AND(HT86=1,ID86&gt;0,Slot5_IsWG=1,BK86=1),MIN(ID86,JL86),0)</f>
        <v>0</v>
      </c>
      <c r="JN86" s="1" t="n">
        <f aca="false">BL86+JM86</f>
        <v>0</v>
      </c>
      <c r="JO86" s="1" t="n">
        <f aca="false">IF(BK86=1,MAX(0,(Slot5_Cost-JN86*(1+Slot5_Rate)^(Slot5_Age-D86))/JK86),0)</f>
        <v>0</v>
      </c>
      <c r="JP86" s="1" t="n">
        <f aca="false">IF(BK86=1,MAX(0,(Slot5_Cost-BL86*(1+Slot5_Rate)^(Slot5_Age-D86))/JK86),0)</f>
        <v>0</v>
      </c>
      <c r="JQ86" s="1" t="n">
        <f aca="false">IF(AND(HT86=1,BK86=1),MIN(JJ86,JO86),0)</f>
        <v>0</v>
      </c>
      <c r="JR86" s="1" t="n">
        <f aca="false">JJ86-JQ86</f>
        <v>0</v>
      </c>
      <c r="JS86" s="1" t="n">
        <f aca="false">IF(BU86=1,IF(ABS((1+AS_Wage)/(1+Slot6_Rate)-1)&lt;0.000000000001,(Slot6_Age-D86)*(1+Slot6_Rate)^(Slot6_Age-D86),(1+Slot6_Rate)^(Slot6_Age-D86)*(1-((1+AS_Wage)/(1+Slot6_Rate))^(Slot6_Age-D86))/(1-(1+AS_Wage)/(1+Slot6_Rate))),1)</f>
        <v>1</v>
      </c>
      <c r="JT86" s="1" t="n">
        <f aca="false">IF(AND(HT86=1,ID86&gt;0,Slot6_IsWG=1,BU86=1),MAX(0,(Slot6_Cost-BV86*(1+Slot6_Rate)^(Slot6_Age-D86))/JS86),0)</f>
        <v>0</v>
      </c>
      <c r="JU86" s="1" t="n">
        <f aca="false">IF(AND(HT86=1,ID86&gt;0,Slot6_IsWG=1,BU86=1),MIN(ID86,JT86),0)</f>
        <v>0</v>
      </c>
      <c r="JV86" s="1" t="n">
        <f aca="false">BV86+JU86</f>
        <v>0</v>
      </c>
      <c r="JW86" s="1" t="n">
        <f aca="false">IF(BU86=1,MAX(0,(Slot6_Cost-JV86*(1+Slot6_Rate)^(Slot6_Age-D86))/JS86),0)</f>
        <v>0</v>
      </c>
      <c r="JX86" s="1" t="n">
        <f aca="false">IF(BU86=1,MAX(0,(Slot6_Cost-BV86*(1+Slot6_Rate)^(Slot6_Age-D86))/JS86),0)</f>
        <v>0</v>
      </c>
      <c r="JY86" s="1" t="n">
        <f aca="false">IF(AND(HT86=1,BU86=1),MIN(JR86,JW86),0)</f>
        <v>0</v>
      </c>
      <c r="JZ86" s="1" t="n">
        <f aca="false">JR86-JY86</f>
        <v>0</v>
      </c>
      <c r="KA86" s="1" t="n">
        <f aca="false">IF(CE86=1,IF(ABS((1+AS_Wage)/(1+Slot7_Rate)-1)&lt;0.000000000001,(Slot7_Age-D86)*(1+Slot7_Rate)^(Slot7_Age-D86),(1+Slot7_Rate)^(Slot7_Age-D86)*(1-((1+AS_Wage)/(1+Slot7_Rate))^(Slot7_Age-D86))/(1-(1+AS_Wage)/(1+Slot7_Rate))),1)</f>
        <v>1</v>
      </c>
      <c r="KB86" s="1" t="n">
        <f aca="false">IF(AND(HT86=1,ID86&gt;0,Slot7_IsWG=1,CE86=1),MAX(0,(Slot7_Cost-CF86*(1+Slot7_Rate)^(Slot7_Age-D86))/KA86),0)</f>
        <v>0</v>
      </c>
      <c r="KC86" s="1" t="n">
        <f aca="false">IF(AND(HT86=1,ID86&gt;0,Slot7_IsWG=1,CE86=1),MIN(ID86,KB86),0)</f>
        <v>0</v>
      </c>
      <c r="KD86" s="1" t="n">
        <f aca="false">CF86+KC86</f>
        <v>0</v>
      </c>
      <c r="KE86" s="1" t="n">
        <f aca="false">IF(CE86=1,MAX(0,(Slot7_Cost-KD86*(1+Slot7_Rate)^(Slot7_Age-D86))/KA86),0)</f>
        <v>0</v>
      </c>
      <c r="KF86" s="1" t="n">
        <f aca="false">IF(CE86=1,MAX(0,(Slot7_Cost-CF86*(1+Slot7_Rate)^(Slot7_Age-D86))/KA86),0)</f>
        <v>0</v>
      </c>
      <c r="KG86" s="1" t="n">
        <f aca="false">IF(AND(HT86=1,CE86=1),MIN(JZ86,KE86),0)</f>
        <v>0</v>
      </c>
      <c r="KH86" s="1" t="n">
        <f aca="false">JZ86-KG86</f>
        <v>0</v>
      </c>
      <c r="KI86" s="1" t="n">
        <f aca="false">IF(CO86=1,IF(ABS((1+AS_Wage)/(1+Slot8_Rate)-1)&lt;0.000000000001,(Slot8_Age-D86)*(1+Slot8_Rate)^(Slot8_Age-D86),(1+Slot8_Rate)^(Slot8_Age-D86)*(1-((1+AS_Wage)/(1+Slot8_Rate))^(Slot8_Age-D86))/(1-(1+AS_Wage)/(1+Slot8_Rate))),1)</f>
        <v>1</v>
      </c>
      <c r="KJ86" s="1" t="n">
        <f aca="false">IF(AND(HT86=1,ID86&gt;0,Slot8_IsWG=1,CO86=1),MAX(0,(Slot8_Cost-CP86*(1+Slot8_Rate)^(Slot8_Age-D86))/KI86),0)</f>
        <v>0</v>
      </c>
      <c r="KK86" s="1" t="n">
        <f aca="false">IF(AND(HT86=1,ID86&gt;0,Slot8_IsWG=1,CO86=1),MIN(ID86,KJ86),0)</f>
        <v>0</v>
      </c>
      <c r="KL86" s="1" t="n">
        <f aca="false">CP86+KK86</f>
        <v>0</v>
      </c>
      <c r="KM86" s="1" t="n">
        <f aca="false">IF(CO86=1,MAX(0,(Slot8_Cost-KL86*(1+Slot8_Rate)^(Slot8_Age-D86))/KI86),0)</f>
        <v>0</v>
      </c>
      <c r="KN86" s="1" t="n">
        <f aca="false">IF(CO86=1,MAX(0,(Slot8_Cost-CP86*(1+Slot8_Rate)^(Slot8_Age-D86))/KI86),0)</f>
        <v>0</v>
      </c>
      <c r="KO86" s="1" t="n">
        <f aca="false">IF(AND(HT86=1,CO86=1),MIN(KH86,KM86),0)</f>
        <v>0</v>
      </c>
      <c r="KP86" s="1" t="n">
        <f aca="false">KH86-KO86</f>
        <v>0</v>
      </c>
      <c r="KQ86" s="1" t="n">
        <f aca="false">IF(CY86=1,IF(ABS((1+AS_Wage)/(1+Slot9_Rate)-1)&lt;0.000000000001,(Slot9_Age-D86)*(1+Slot9_Rate)^(Slot9_Age-D86),(1+Slot9_Rate)^(Slot9_Age-D86)*(1-((1+AS_Wage)/(1+Slot9_Rate))^(Slot9_Age-D86))/(1-(1+AS_Wage)/(1+Slot9_Rate))),1)</f>
        <v>1</v>
      </c>
      <c r="KR86" s="1" t="n">
        <f aca="false">IF(AND(HT86=1,ID86&gt;0,Slot9_IsWG=1,CY86=1),MAX(0,(Slot9_Cost-CZ86*(1+Slot9_Rate)^(Slot9_Age-D86))/KQ86),0)</f>
        <v>0</v>
      </c>
      <c r="KS86" s="1" t="n">
        <f aca="false">IF(AND(HT86=1,ID86&gt;0,Slot9_IsWG=1,CY86=1),MIN(ID86,KR86),0)</f>
        <v>0</v>
      </c>
      <c r="KT86" s="1" t="n">
        <f aca="false">CZ86+KS86</f>
        <v>0</v>
      </c>
      <c r="KU86" s="1" t="n">
        <f aca="false">IF(CY86=1,MAX(0,(Slot9_Cost-KT86*(1+Slot9_Rate)^(Slot9_Age-D86))/KQ86),0)</f>
        <v>0</v>
      </c>
      <c r="KV86" s="1" t="n">
        <f aca="false">IF(CY86=1,MAX(0,(Slot9_Cost-CZ86*(1+Slot9_Rate)^(Slot9_Age-D86))/KQ86),0)</f>
        <v>0</v>
      </c>
      <c r="KW86" s="1" t="n">
        <f aca="false">IF(AND(HT86=1,CY86=1),MIN(KP86,KU86),0)</f>
        <v>0</v>
      </c>
      <c r="KX86" s="1" t="n">
        <f aca="false">KP86-KW86</f>
        <v>0</v>
      </c>
      <c r="KY86" s="1" t="n">
        <f aca="false">IF(DI86=1,IF(ABS((1+AS_Wage)/(1+Slot10_Rate)-1)&lt;0.000000000001,(Slot10_Age-D86)*(1+Slot10_Rate)^(Slot10_Age-D86),(1+Slot10_Rate)^(Slot10_Age-D86)*(1-((1+AS_Wage)/(1+Slot10_Rate))^(Slot10_Age-D86))/(1-(1+AS_Wage)/(1+Slot10_Rate))),1)</f>
        <v>1</v>
      </c>
      <c r="KZ86" s="1" t="n">
        <f aca="false">IF(AND(HT86=1,ID86&gt;0,Slot10_IsWG=1,DI86=1),MAX(0,(Slot10_Cost-DJ86*(1+Slot10_Rate)^(Slot10_Age-D86))/KY86),0)</f>
        <v>0</v>
      </c>
      <c r="LA86" s="1" t="n">
        <f aca="false">IF(AND(HT86=1,ID86&gt;0,Slot10_IsWG=1,DI86=1),MIN(ID86,KZ86),0)</f>
        <v>0</v>
      </c>
      <c r="LB86" s="1" t="n">
        <f aca="false">DJ86+LA86</f>
        <v>0</v>
      </c>
      <c r="LC86" s="1" t="n">
        <f aca="false">IF(DI86=1,MAX(0,(Slot10_Cost-LB86*(1+Slot10_Rate)^(Slot10_Age-D86))/KY86),0)</f>
        <v>0</v>
      </c>
      <c r="LD86" s="1" t="n">
        <f aca="false">IF(DI86=1,MAX(0,(Slot10_Cost-DJ86*(1+Slot10_Rate)^(Slot10_Age-D86))/KY86),0)</f>
        <v>0</v>
      </c>
      <c r="LE86" s="1" t="n">
        <f aca="false">IF(AND(HT86=1,DI86=1),MIN(KX86,LC86),0)</f>
        <v>0</v>
      </c>
      <c r="LF86" s="1" t="n">
        <f aca="false">KX86-LE86</f>
        <v>0</v>
      </c>
      <c r="LG86" s="1" t="n">
        <f aca="false">IF(DS86=1,IF(ABS((1+AS_Wage)/(1+Slot11_Rate)-1)&lt;0.000000000001,(Slot11_Age-D86)*(1+Slot11_Rate)^(Slot11_Age-D86),(1+Slot11_Rate)^(Slot11_Age-D86)*(1-((1+AS_Wage)/(1+Slot11_Rate))^(Slot11_Age-D86))/(1-(1+AS_Wage)/(1+Slot11_Rate))),1)</f>
        <v>1</v>
      </c>
      <c r="LH86" s="1" t="n">
        <f aca="false">IF(AND(HT86=1,ID86&gt;0,Slot11_IsWG=1,DS86=1),MAX(0,(Slot11_Cost-DT86*(1+Slot11_Rate)^(Slot11_Age-D86))/LG86),0)</f>
        <v>0</v>
      </c>
      <c r="LI86" s="1" t="n">
        <f aca="false">IF(AND(HT86=1,ID86&gt;0,Slot11_IsWG=1,DS86=1),MIN(ID86,LH86),0)</f>
        <v>0</v>
      </c>
      <c r="LJ86" s="1" t="n">
        <f aca="false">DT86+LI86</f>
        <v>0</v>
      </c>
      <c r="LK86" s="1" t="n">
        <f aca="false">IF(DS86=1,MAX(0,(Slot11_Cost-LJ86*(1+Slot11_Rate)^(Slot11_Age-D86))/LG86),0)</f>
        <v>0</v>
      </c>
      <c r="LL86" s="1" t="n">
        <f aca="false">IF(DS86=1,MAX(0,(Slot11_Cost-DT86*(1+Slot11_Rate)^(Slot11_Age-D86))/LG86),0)</f>
        <v>0</v>
      </c>
      <c r="LM86" s="1" t="n">
        <f aca="false">IF(AND(HT86=1,DS86=1),MIN(LF86,LK86),0)</f>
        <v>0</v>
      </c>
      <c r="LN86" s="1" t="n">
        <f aca="false">LF86-LM86</f>
        <v>0</v>
      </c>
      <c r="LO86" s="1" t="n">
        <f aca="false">IF(EC86=1,IF(ABS((1+AS_Wage)/(1+Slot12_Rate)-1)&lt;0.000000000001,(Slot12_Age-D86)*(1+Slot12_Rate)^(Slot12_Age-D86),(1+Slot12_Rate)^(Slot12_Age-D86)*(1-((1+AS_Wage)/(1+Slot12_Rate))^(Slot12_Age-D86))/(1-(1+AS_Wage)/(1+Slot12_Rate))),1)</f>
        <v>1</v>
      </c>
      <c r="LP86" s="1" t="n">
        <f aca="false">IF(AND(HT86=1,ID86&gt;0,Slot12_IsWG=1,EC86=1),MAX(0,(Slot12_Cost-ED86*(1+Slot12_Rate)^(Slot12_Age-D86))/LO86),0)</f>
        <v>0</v>
      </c>
      <c r="LQ86" s="1" t="n">
        <f aca="false">IF(AND(HT86=1,ID86&gt;0,Slot12_IsWG=1,EC86=1),MIN(ID86,LP86),0)</f>
        <v>0</v>
      </c>
      <c r="LR86" s="1" t="n">
        <f aca="false">ED86+LQ86</f>
        <v>0</v>
      </c>
      <c r="LS86" s="1" t="n">
        <f aca="false">IF(EC86=1,MAX(0,(Slot12_Cost-LR86*(1+Slot12_Rate)^(Slot12_Age-D86))/LO86),0)</f>
        <v>0</v>
      </c>
      <c r="LT86" s="1" t="n">
        <f aca="false">IF(EC86=1,MAX(0,(Slot12_Cost-ED86*(1+Slot12_Rate)^(Slot12_Age-D86))/LO86),0)</f>
        <v>0</v>
      </c>
      <c r="LU86" s="1" t="n">
        <f aca="false">IF(AND(HT86=1,EC86=1),MIN(LN86,LS86),0)</f>
        <v>0</v>
      </c>
      <c r="LV86" s="1" t="n">
        <f aca="false">LN86-LU86</f>
        <v>0</v>
      </c>
      <c r="LW86" s="1" t="n">
        <f aca="false">IF(EM86=1,IF(ABS((1+AS_Wage)/(1+Slot13_Rate)-1)&lt;0.000000000001,(Slot13_Age-D86)*(1+Slot13_Rate)^(Slot13_Age-D86),(1+Slot13_Rate)^(Slot13_Age-D86)*(1-((1+AS_Wage)/(1+Slot13_Rate))^(Slot13_Age-D86))/(1-(1+AS_Wage)/(1+Slot13_Rate))),1)</f>
        <v>1</v>
      </c>
      <c r="LX86" s="1" t="n">
        <f aca="false">IF(AND(HT86=1,ID86&gt;0,Slot13_IsWG=1,EM86=1),MAX(0,(Slot13_Cost-EN86*(1+Slot13_Rate)^(Slot13_Age-D86))/LW86),0)</f>
        <v>0</v>
      </c>
      <c r="LY86" s="1" t="n">
        <f aca="false">IF(AND(HT86=1,ID86&gt;0,Slot13_IsWG=1,EM86=1),MIN(ID86,LX86),0)</f>
        <v>0</v>
      </c>
      <c r="LZ86" s="1" t="n">
        <f aca="false">EN86+LY86</f>
        <v>0</v>
      </c>
      <c r="MA86" s="1" t="n">
        <f aca="false">IF(EM86=1,MAX(0,(Slot13_Cost-LZ86*(1+Slot13_Rate)^(Slot13_Age-D86))/LW86),0)</f>
        <v>0</v>
      </c>
      <c r="MB86" s="1" t="n">
        <f aca="false">IF(EM86=1,MAX(0,(Slot13_Cost-EN86*(1+Slot13_Rate)^(Slot13_Age-D86))/LW86),0)</f>
        <v>0</v>
      </c>
      <c r="MC86" s="1" t="n">
        <f aca="false">IF(AND(HT86=1,EM86=1),MIN(LV86,MA86),0)</f>
        <v>0</v>
      </c>
      <c r="MD86" s="1" t="n">
        <f aca="false">LV86-MC86</f>
        <v>0</v>
      </c>
      <c r="ME86" s="1" t="n">
        <f aca="false">IF(EW86=1,IF(ABS((1+AS_Wage)/(1+Slot14_Rate)-1)&lt;0.000000000001,(Slot14_Age-D86)*(1+Slot14_Rate)^(Slot14_Age-D86),(1+Slot14_Rate)^(Slot14_Age-D86)*(1-((1+AS_Wage)/(1+Slot14_Rate))^(Slot14_Age-D86))/(1-(1+AS_Wage)/(1+Slot14_Rate))),1)</f>
        <v>1</v>
      </c>
      <c r="MF86" s="1" t="n">
        <f aca="false">IF(AND(HT86=1,ID86&gt;0,Slot14_IsWG=1,EW86=1),MAX(0,(Slot14_Cost-EX86*(1+Slot14_Rate)^(Slot14_Age-D86))/ME86),0)</f>
        <v>0</v>
      </c>
      <c r="MG86" s="1" t="n">
        <f aca="false">IF(AND(HT86=1,ID86&gt;0,Slot14_IsWG=1,EW86=1),MIN(ID86,MF86),0)</f>
        <v>0</v>
      </c>
      <c r="MH86" s="1" t="n">
        <f aca="false">EX86+MG86</f>
        <v>0</v>
      </c>
      <c r="MI86" s="1" t="n">
        <f aca="false">IF(EW86=1,MAX(0,(Slot14_Cost-MH86*(1+Slot14_Rate)^(Slot14_Age-D86))/ME86),0)</f>
        <v>0</v>
      </c>
      <c r="MJ86" s="1" t="n">
        <f aca="false">IF(EW86=1,MAX(0,(Slot14_Cost-EX86*(1+Slot14_Rate)^(Slot14_Age-D86))/ME86),0)</f>
        <v>0</v>
      </c>
      <c r="MK86" s="1" t="n">
        <f aca="false">IF(AND(HT86=1,EW86=1),MIN(MD86,MI86),0)</f>
        <v>0</v>
      </c>
      <c r="ML86" s="1" t="n">
        <f aca="false">MD86-MK86</f>
        <v>0</v>
      </c>
      <c r="MM86" s="1" t="n">
        <f aca="false">IF(FG86=1,IF(ABS((1+AS_Wage)/(1+Slot15_Rate)-1)&lt;0.000000000001,(Slot15_Age-D86)*(1+Slot15_Rate)^(Slot15_Age-D86),(1+Slot15_Rate)^(Slot15_Age-D86)*(1-((1+AS_Wage)/(1+Slot15_Rate))^(Slot15_Age-D86))/(1-(1+AS_Wage)/(1+Slot15_Rate))),1)</f>
        <v>1</v>
      </c>
      <c r="MN86" s="1" t="n">
        <f aca="false">IF(AND(HT86=1,ID86&gt;0,Slot15_IsWG=1,FG86=1),MAX(0,(Slot15_Cost-FH86*(1+Slot15_Rate)^(Slot15_Age-D86))/MM86),0)</f>
        <v>0</v>
      </c>
      <c r="MO86" s="1" t="n">
        <f aca="false">IF(AND(HT86=1,ID86&gt;0,Slot15_IsWG=1,FG86=1),MIN(ID86,MN86),0)</f>
        <v>0</v>
      </c>
      <c r="MP86" s="1" t="n">
        <f aca="false">FH86+MO86</f>
        <v>0</v>
      </c>
      <c r="MQ86" s="1" t="n">
        <f aca="false">IF(FG86=1,MAX(0,(Slot15_Cost-MP86*(1+Slot15_Rate)^(Slot15_Age-D86))/MM86),0)</f>
        <v>0</v>
      </c>
      <c r="MR86" s="1" t="n">
        <f aca="false">IF(FG86=1,MAX(0,(Slot15_Cost-FH86*(1+Slot15_Rate)^(Slot15_Age-D86))/MM86),0)</f>
        <v>0</v>
      </c>
      <c r="MS86" s="1" t="n">
        <f aca="false">IF(AND(HT86=1,FG86=1),MIN(ML86,MQ86),0)</f>
        <v>0</v>
      </c>
      <c r="MT86" s="1" t="n">
        <f aca="false">ML86-MS86</f>
        <v>0</v>
      </c>
      <c r="MU86" s="1" t="n">
        <f aca="false">IF(FQ86=1,IF(ABS((1+AS_Wage)/(1+Slot16_Rate)-1)&lt;0.000000000001,(Slot16_Age-D86)*(1+Slot16_Rate)^(Slot16_Age-D86),(1+Slot16_Rate)^(Slot16_Age-D86)*(1-((1+AS_Wage)/(1+Slot16_Rate))^(Slot16_Age-D86))/(1-(1+AS_Wage)/(1+Slot16_Rate))),1)</f>
        <v>1</v>
      </c>
      <c r="MV86" s="1" t="n">
        <f aca="false">IF(AND(HT86=1,ID86&gt;0,Slot16_IsWG=1,FQ86=1),MAX(0,(Slot16_Cost-FR86*(1+Slot16_Rate)^(Slot16_Age-D86))/MU86),0)</f>
        <v>0</v>
      </c>
      <c r="MW86" s="1" t="n">
        <f aca="false">IF(AND(HT86=1,ID86&gt;0,Slot16_IsWG=1,FQ86=1),MIN(ID86,MV86),0)</f>
        <v>0</v>
      </c>
      <c r="MX86" s="1" t="n">
        <f aca="false">FR86+MW86</f>
        <v>0</v>
      </c>
      <c r="MY86" s="1" t="n">
        <f aca="false">IF(FQ86=1,MAX(0,(Slot16_Cost-MX86*(1+Slot16_Rate)^(Slot16_Age-D86))/MU86),0)</f>
        <v>0</v>
      </c>
      <c r="MZ86" s="1" t="n">
        <f aca="false">IF(FQ86=1,MAX(0,(Slot16_Cost-FR86*(1+Slot16_Rate)^(Slot16_Age-D86))/MU86),0)</f>
        <v>0</v>
      </c>
      <c r="NA86" s="1" t="n">
        <f aca="false">IF(AND(HT86=1,FQ86=1),MIN(MT86,MY86),0)</f>
        <v>0</v>
      </c>
      <c r="NB86" s="1" t="n">
        <f aca="false">MT86-NA86</f>
        <v>0</v>
      </c>
      <c r="NC86" s="1" t="n">
        <f aca="false">IF(GA86=1,IF(ABS((1+AS_Wage)/(1+Slot17_Rate)-1)&lt;0.000000000001,(Slot17_Age-D86)*(1+Slot17_Rate)^(Slot17_Age-D86),(1+Slot17_Rate)^(Slot17_Age-D86)*(1-((1+AS_Wage)/(1+Slot17_Rate))^(Slot17_Age-D86))/(1-(1+AS_Wage)/(1+Slot17_Rate))),1)</f>
        <v>1</v>
      </c>
      <c r="ND86" s="1" t="n">
        <f aca="false">IF(AND(HT86=1,ID86&gt;0,Slot17_IsWG=1,GA86=1),MAX(0,(Slot17_Cost-GB86*(1+Slot17_Rate)^(Slot17_Age-D86))/NC86),0)</f>
        <v>0</v>
      </c>
      <c r="NE86" s="1" t="n">
        <f aca="false">IF(AND(HT86=1,ID86&gt;0,Slot17_IsWG=1,GA86=1),MIN(ID86,ND86),0)</f>
        <v>0</v>
      </c>
      <c r="NF86" s="1" t="n">
        <f aca="false">GB86+NE86</f>
        <v>0</v>
      </c>
      <c r="NG86" s="1" t="n">
        <f aca="false">IF(GA86=1,MAX(0,(Slot17_Cost-NF86*(1+Slot17_Rate)^(Slot17_Age-D86))/NC86),0)</f>
        <v>0</v>
      </c>
      <c r="NH86" s="1" t="n">
        <f aca="false">IF(GA86=1,MAX(0,(Slot17_Cost-GB86*(1+Slot17_Rate)^(Slot17_Age-D86))/NC86),0)</f>
        <v>0</v>
      </c>
      <c r="NI86" s="1" t="n">
        <f aca="false">IF(AND(HT86=1,GA86=1),MIN(NB86,NG86),0)</f>
        <v>0</v>
      </c>
      <c r="NJ86" s="1" t="n">
        <f aca="false">NB86-NI86</f>
        <v>0</v>
      </c>
      <c r="NK86" s="1" t="n">
        <f aca="false">IF(GK86=1,IF(ABS((1+AS_Wage)/(1+Slot18_Rate)-1)&lt;0.000000000001,(Slot18_Age-D86)*(1+Slot18_Rate)^(Slot18_Age-D86),(1+Slot18_Rate)^(Slot18_Age-D86)*(1-((1+AS_Wage)/(1+Slot18_Rate))^(Slot18_Age-D86))/(1-(1+AS_Wage)/(1+Slot18_Rate))),1)</f>
        <v>1</v>
      </c>
      <c r="NL86" s="1" t="n">
        <f aca="false">IF(AND(HT86=1,ID86&gt;0,Slot18_IsWG=1,GK86=1),MAX(0,(Slot18_Cost-GL86*(1+Slot18_Rate)^(Slot18_Age-D86))/NK86),0)</f>
        <v>0</v>
      </c>
      <c r="NM86" s="1" t="n">
        <f aca="false">IF(AND(HT86=1,ID86&gt;0,Slot18_IsWG=1,GK86=1),MIN(ID86,NL86),0)</f>
        <v>0</v>
      </c>
      <c r="NN86" s="1" t="n">
        <f aca="false">GL86+NM86</f>
        <v>0</v>
      </c>
      <c r="NO86" s="1" t="n">
        <f aca="false">IF(GK86=1,MAX(0,(Slot18_Cost-NN86*(1+Slot18_Rate)^(Slot18_Age-D86))/NK86),0)</f>
        <v>0</v>
      </c>
      <c r="NP86" s="1" t="n">
        <f aca="false">IF(GK86=1,MAX(0,(Slot18_Cost-GL86*(1+Slot18_Rate)^(Slot18_Age-D86))/NK86),0)</f>
        <v>0</v>
      </c>
      <c r="NQ86" s="1" t="n">
        <f aca="false">IF(AND(HT86=1,GK86=1),MIN(NJ86,NO86),0)</f>
        <v>0</v>
      </c>
      <c r="NR86" s="1" t="n">
        <f aca="false">NJ86-NQ86</f>
        <v>0</v>
      </c>
      <c r="NS86" s="1" t="n">
        <f aca="false">IF(GU86=1,IF(ABS((1+AS_Wage)/(1+Slot19_Rate)-1)&lt;0.000000000001,(Slot19_Age-D86)*(1+Slot19_Rate)^(Slot19_Age-D86),(1+Slot19_Rate)^(Slot19_Age-D86)*(1-((1+AS_Wage)/(1+Slot19_Rate))^(Slot19_Age-D86))/(1-(1+AS_Wage)/(1+Slot19_Rate))),1)</f>
        <v>1</v>
      </c>
      <c r="NT86" s="1" t="n">
        <f aca="false">IF(AND(HT86=1,ID86&gt;0,Slot19_IsWG=1,GU86=1),MAX(0,(Slot19_Cost-GV86*(1+Slot19_Rate)^(Slot19_Age-D86))/NS86),0)</f>
        <v>0</v>
      </c>
      <c r="NU86" s="1" t="n">
        <f aca="false">IF(AND(HT86=1,ID86&gt;0,Slot19_IsWG=1,GU86=1),MIN(ID86,NT86),0)</f>
        <v>0</v>
      </c>
      <c r="NV86" s="1" t="n">
        <f aca="false">GV86+NU86</f>
        <v>0</v>
      </c>
      <c r="NW86" s="1" t="n">
        <f aca="false">IF(GU86=1,MAX(0,(Slot19_Cost-NV86*(1+Slot19_Rate)^(Slot19_Age-D86))/NS86),0)</f>
        <v>0</v>
      </c>
      <c r="NX86" s="1" t="n">
        <f aca="false">IF(GU86=1,MAX(0,(Slot19_Cost-GV86*(1+Slot19_Rate)^(Slot19_Age-D86))/NS86),0)</f>
        <v>0</v>
      </c>
      <c r="NY86" s="1" t="n">
        <f aca="false">IF(AND(HT86=1,GU86=1),MIN(NR86,NW86),0)</f>
        <v>0</v>
      </c>
      <c r="NZ86" s="1" t="n">
        <f aca="false">NR86-NY86</f>
        <v>0</v>
      </c>
      <c r="OA86" s="1" t="n">
        <f aca="false">IF(HE86=1,IF(ABS((1+AS_Wage)/(1+Slot20_Rate)-1)&lt;0.000000000001,(Slot20_Age-D86)*(1+Slot20_Rate)^(Slot20_Age-D86),(1+Slot20_Rate)^(Slot20_Age-D86)*(1-((1+AS_Wage)/(1+Slot20_Rate))^(Slot20_Age-D86))/(1-(1+AS_Wage)/(1+Slot20_Rate))),1)</f>
        <v>1</v>
      </c>
      <c r="OB86" s="1" t="n">
        <f aca="false">IF(AND(HT86=1,ID86&gt;0,Slot20_IsWG=1,HE86=1),MAX(0,(Slot20_Cost-HF86*(1+Slot20_Rate)^(Slot20_Age-D86))/OA86),0)</f>
        <v>0</v>
      </c>
      <c r="OC86" s="1" t="n">
        <f aca="false">IF(AND(HT86=1,ID86&gt;0,Slot20_IsWG=1,HE86=1),MIN(ID86,OB86),0)</f>
        <v>0</v>
      </c>
      <c r="OD86" s="1" t="n">
        <f aca="false">HF86+OC86</f>
        <v>0</v>
      </c>
      <c r="OE86" s="1" t="n">
        <f aca="false">IF(HE86=1,MAX(0,(Slot20_Cost-OD86*(1+Slot20_Rate)^(Slot20_Age-D86))/OA86),0)</f>
        <v>0</v>
      </c>
      <c r="OF86" s="1" t="n">
        <f aca="false">IF(HE86=1,MAX(0,(Slot20_Cost-HF86*(1+Slot20_Rate)^(Slot20_Age-D86))/OA86),0)</f>
        <v>0</v>
      </c>
      <c r="OG86" s="1" t="n">
        <f aca="false">IF(AND(HT86=1,HE86=1),MIN(NZ86,OE86),0)</f>
        <v>0</v>
      </c>
      <c r="OH86" s="1" t="n">
        <f aca="false">NZ86-OG86</f>
        <v>0</v>
      </c>
      <c r="OI86" s="1" t="n">
        <f aca="false">ID86-(IG86+IO86+IW86+JE86+JM86+JU86+KC86+KK86+KS86+LA86+LI86+LQ86+LY86+MG86+MO86+MW86+NE86+NM86+NU86+OC86)</f>
        <v>0</v>
      </c>
      <c r="OJ86" s="1" t="n">
        <f aca="false">IF(HT86=1,HR86-IC86-ID86,0)</f>
        <v>58346.3166857531</v>
      </c>
      <c r="OK86" s="1" t="n">
        <f aca="false">IF(HT86=0,-HR86,0)</f>
        <v>0</v>
      </c>
      <c r="OL86" s="1" t="n">
        <f aca="false">MIN(OK86,HJ86)</f>
        <v>0</v>
      </c>
      <c r="OM86" s="1" t="n">
        <f aca="false">OK86-OL86</f>
        <v>0</v>
      </c>
      <c r="ON86" s="1" t="n">
        <f aca="false">MIN(OM86,HK86)</f>
        <v>0</v>
      </c>
      <c r="OO86" s="1" t="n">
        <f aca="false">OM86-ON86</f>
        <v>0</v>
      </c>
      <c r="OP86" s="1" t="n">
        <f aca="false">IF(AND(HT86=0,HE86=1,OO86&gt;0),MIN(OO86,HF86),0)</f>
        <v>0</v>
      </c>
      <c r="OQ86" s="1" t="n">
        <f aca="false">OO86-OP86</f>
        <v>0</v>
      </c>
      <c r="OR86" s="1" t="n">
        <f aca="false">IF(AND(HT86=0,GU86=1,OQ86&gt;0),MIN(OQ86,GV86),0)</f>
        <v>0</v>
      </c>
      <c r="OS86" s="1" t="n">
        <f aca="false">OQ86-OR86</f>
        <v>0</v>
      </c>
      <c r="OT86" s="1" t="n">
        <f aca="false">IF(AND(HT86=0,GK86=1,OS86&gt;0),MIN(OS86,GL86),0)</f>
        <v>0</v>
      </c>
      <c r="OU86" s="1" t="n">
        <f aca="false">OS86-OT86</f>
        <v>0</v>
      </c>
      <c r="OV86" s="1" t="n">
        <f aca="false">IF(AND(HT86=0,GA86=1,OU86&gt;0),MIN(OU86,GB86),0)</f>
        <v>0</v>
      </c>
      <c r="OW86" s="1" t="n">
        <f aca="false">OU86-OV86</f>
        <v>0</v>
      </c>
      <c r="OX86" s="1" t="n">
        <f aca="false">IF(AND(HT86=0,FQ86=1,OW86&gt;0),MIN(OW86,FR86),0)</f>
        <v>0</v>
      </c>
      <c r="OY86" s="1" t="n">
        <f aca="false">OW86-OX86</f>
        <v>0</v>
      </c>
      <c r="OZ86" s="1" t="n">
        <f aca="false">IF(AND(HT86=0,FG86=1,OY86&gt;0),MIN(OY86,FH86),0)</f>
        <v>0</v>
      </c>
      <c r="PA86" s="1" t="n">
        <f aca="false">OY86-OZ86</f>
        <v>0</v>
      </c>
      <c r="PB86" s="1" t="n">
        <f aca="false">IF(AND(HT86=0,EW86=1,PA86&gt;0),MIN(PA86,EX86),0)</f>
        <v>0</v>
      </c>
      <c r="PC86" s="1" t="n">
        <f aca="false">PA86-PB86</f>
        <v>0</v>
      </c>
      <c r="PD86" s="1" t="n">
        <f aca="false">IF(AND(HT86=0,EM86=1,PC86&gt;0),MIN(PC86,EN86),0)</f>
        <v>0</v>
      </c>
      <c r="PE86" s="1" t="n">
        <f aca="false">PC86-PD86</f>
        <v>0</v>
      </c>
      <c r="PF86" s="1" t="n">
        <f aca="false">IF(AND(HT86=0,EC86=1,PE86&gt;0),MIN(PE86,ED86),0)</f>
        <v>0</v>
      </c>
      <c r="PG86" s="1" t="n">
        <f aca="false">PE86-PF86</f>
        <v>0</v>
      </c>
      <c r="PH86" s="1" t="n">
        <f aca="false">IF(AND(HT86=0,DS86=1,PG86&gt;0),MIN(PG86,DT86),0)</f>
        <v>0</v>
      </c>
      <c r="PI86" s="1" t="n">
        <f aca="false">PG86-PH86</f>
        <v>0</v>
      </c>
      <c r="PJ86" s="1" t="n">
        <f aca="false">IF(AND(HT86=0,DI86=1,PI86&gt;0),MIN(PI86,DJ86),0)</f>
        <v>0</v>
      </c>
      <c r="PK86" s="1" t="n">
        <f aca="false">PI86-PJ86</f>
        <v>0</v>
      </c>
      <c r="PL86" s="1" t="n">
        <f aca="false">IF(AND(HT86=0,CY86=1,PK86&gt;0),MIN(PK86,CZ86),0)</f>
        <v>0</v>
      </c>
      <c r="PM86" s="1" t="n">
        <f aca="false">PK86-PL86</f>
        <v>0</v>
      </c>
      <c r="PN86" s="1" t="n">
        <f aca="false">IF(AND(HT86=0,CO86=1,PM86&gt;0),MIN(PM86,CP86),0)</f>
        <v>0</v>
      </c>
      <c r="PO86" s="1" t="n">
        <f aca="false">PM86-PN86</f>
        <v>0</v>
      </c>
      <c r="PP86" s="1" t="n">
        <f aca="false">IF(AND(HT86=0,CE86=1,PO86&gt;0),MIN(PO86,CF86),0)</f>
        <v>0</v>
      </c>
      <c r="PQ86" s="1" t="n">
        <f aca="false">PO86-PP86</f>
        <v>0</v>
      </c>
      <c r="PR86" s="1" t="n">
        <f aca="false">IF(AND(HT86=0,BU86=1,PQ86&gt;0),MIN(PQ86,BV86),0)</f>
        <v>0</v>
      </c>
      <c r="PS86" s="1" t="n">
        <f aca="false">PQ86-PR86</f>
        <v>0</v>
      </c>
      <c r="PT86" s="1" t="n">
        <f aca="false">IF(AND(HT86=0,BK86=1,PS86&gt;0),MIN(PS86,BL86),0)</f>
        <v>0</v>
      </c>
      <c r="PU86" s="1" t="n">
        <f aca="false">PS86-PT86</f>
        <v>0</v>
      </c>
      <c r="PV86" s="1" t="n">
        <f aca="false">IF(AND(HT86=0,BA86=1,PU86&gt;0),MIN(PU86,BB86),0)</f>
        <v>0</v>
      </c>
      <c r="PW86" s="1" t="n">
        <f aca="false">PU86-PV86</f>
        <v>0</v>
      </c>
      <c r="PX86" s="1" t="n">
        <f aca="false">IF(AND(HT86=0,AQ86=1,PW86&gt;0),MIN(PW86,AR86),0)</f>
        <v>0</v>
      </c>
      <c r="PY86" s="1" t="n">
        <f aca="false">PW86-PX86</f>
        <v>0</v>
      </c>
      <c r="PZ86" s="1" t="n">
        <f aca="false">IF(AND(HT86=0,AG86=1,PY86&gt;0),MIN(PY86,AH86),0)</f>
        <v>0</v>
      </c>
      <c r="QA86" s="1" t="n">
        <f aca="false">PY86-PZ86</f>
        <v>0</v>
      </c>
      <c r="QB86" s="1" t="n">
        <f aca="false">IF(AND(HT86=0,V86=1,QA86&gt;0),MIN(QA86,W86),0)</f>
        <v>0</v>
      </c>
      <c r="QC86" s="1" t="n">
        <f aca="false">QA86-QB86</f>
        <v>0</v>
      </c>
      <c r="QD86" s="1" t="n">
        <f aca="false">IF(HT86=0,QC86,0)</f>
        <v>0</v>
      </c>
      <c r="QE86" s="1" t="n">
        <f aca="false">OL86+ON86+QB86+PZ86+PX86+PV86+PT86+PR86+PP86+PN86+PL86+PJ86+PH86+PF86+PD86+PB86+OZ86+OX86+OV86+OT86+OR86+OP86</f>
        <v>0</v>
      </c>
      <c r="QF86" s="1" t="n">
        <f aca="false">IF(HT86=1,HJ86+OI86+OH86+IF(F86=1,0,OJ86),HJ86-OL86)</f>
        <v>742645.76295167</v>
      </c>
      <c r="QG86" s="1" t="n">
        <f aca="false">HK86-ON86</f>
        <v>0</v>
      </c>
      <c r="QH86" s="1" t="n">
        <f aca="false">IF(HT86=1,IF(F86=1,IC86+ID86,HR86),0)</f>
        <v>58346.3166857531</v>
      </c>
      <c r="QI86" s="1" t="n">
        <f aca="false">IF(HT86=1,IF(F86=1,HR86-IC86-ID86,0),0)</f>
        <v>0</v>
      </c>
      <c r="QJ86" s="1" t="n">
        <f aca="false">QF86*(1+GR)</f>
        <v>754825.153464077</v>
      </c>
      <c r="QK86" s="1" t="n">
        <f aca="false">QG86*(1+AS_Cash)</f>
        <v>0</v>
      </c>
      <c r="QL86" s="1" t="n">
        <f aca="false">IF(V86=1,IF(HT86=1,IH86+IK86,W86-QB86)*(1+Slot1_Rate),0)</f>
        <v>0</v>
      </c>
      <c r="QM86" s="1" t="n">
        <f aca="false">IF(AND(HT86=1,V86=1),(IG86+IK86)/E86,0)</f>
        <v>0</v>
      </c>
      <c r="QN86" s="1" t="n">
        <f aca="false">IF(B86=0,IG86+IK86,0)</f>
        <v>0</v>
      </c>
      <c r="QO86" s="1" t="n">
        <f aca="false">IF(B86=0,IF(HT86=1,II86,IJ86),0)</f>
        <v>0</v>
      </c>
      <c r="QP86" s="1" t="n">
        <f aca="false">IF(AG86=1,IF(HT86=1,IP86+IS86,AH86-PZ86)*(1+Slot2_Rate),0)</f>
        <v>0</v>
      </c>
      <c r="QQ86" s="1" t="n">
        <f aca="false">IF(AND(HT86=1,AG86=1),(IO86+IS86)/E86,0)</f>
        <v>0</v>
      </c>
      <c r="QR86" s="1" t="n">
        <f aca="false">IF(B86=0,IO86+IS86,0)</f>
        <v>0</v>
      </c>
      <c r="QS86" s="1" t="n">
        <f aca="false">IF(B86=0,IF(HT86=1,IQ86,IR86),0)</f>
        <v>0</v>
      </c>
      <c r="QT86" s="1" t="n">
        <f aca="false">IF(AQ86=1,IF(HT86=1,IX86+JA86,AR86-PX86)*(1+Slot3_Rate),0)</f>
        <v>0</v>
      </c>
      <c r="QU86" s="1" t="n">
        <f aca="false">IF(AND(HT86=1,AQ86=1),(IW86+JA86)/E86,0)</f>
        <v>0</v>
      </c>
      <c r="QV86" s="1" t="n">
        <f aca="false">IF(B86=0,IW86+JA86,0)</f>
        <v>0</v>
      </c>
      <c r="QW86" s="1" t="n">
        <f aca="false">IF(B86=0,IF(HT86=1,IY86,IZ86),0)</f>
        <v>0</v>
      </c>
      <c r="QX86" s="1" t="n">
        <f aca="false">IF(BA86=1,IF(HT86=1,JF86+JI86,BB86-PV86)*(1+Slot4_Rate),0)</f>
        <v>0</v>
      </c>
      <c r="QY86" s="1" t="n">
        <f aca="false">IF(AND(HT86=1,BA86=1),(JE86+JI86)/E86,0)</f>
        <v>0</v>
      </c>
      <c r="QZ86" s="1" t="n">
        <f aca="false">IF(B86=0,JE86+JI86,0)</f>
        <v>0</v>
      </c>
      <c r="RA86" s="1" t="n">
        <f aca="false">IF(B86=0,IF(HT86=1,JG86,JH86),0)</f>
        <v>0</v>
      </c>
      <c r="RB86" s="1" t="n">
        <f aca="false">IF(BK86=1,IF(HT86=1,JN86+JQ86,BL86-PT86)*(1+Slot5_Rate),0)</f>
        <v>0</v>
      </c>
      <c r="RC86" s="1" t="n">
        <f aca="false">IF(AND(HT86=1,BK86=1),(JM86+JQ86)/E86,0)</f>
        <v>0</v>
      </c>
      <c r="RD86" s="1" t="n">
        <f aca="false">IF(B86=0,JM86+JQ86,0)</f>
        <v>0</v>
      </c>
      <c r="RE86" s="1" t="n">
        <f aca="false">IF(B86=0,IF(HT86=1,JO86,JP86),0)</f>
        <v>0</v>
      </c>
      <c r="RF86" s="1" t="n">
        <f aca="false">IF(BU86=1,IF(HT86=1,JV86+JY86,BV86-PR86)*(1+Slot6_Rate),0)</f>
        <v>0</v>
      </c>
      <c r="RG86" s="1" t="n">
        <f aca="false">IF(AND(HT86=1,BU86=1),(JU86+JY86)/E86,0)</f>
        <v>0</v>
      </c>
      <c r="RH86" s="1" t="n">
        <f aca="false">IF(B86=0,JU86+JY86,0)</f>
        <v>0</v>
      </c>
      <c r="RI86" s="1" t="n">
        <f aca="false">IF(B86=0,IF(HT86=1,JW86,JX86),0)</f>
        <v>0</v>
      </c>
      <c r="RJ86" s="1" t="n">
        <f aca="false">IF(CE86=1,IF(HT86=1,KD86+KG86,CF86-PP86)*(1+Slot7_Rate),0)</f>
        <v>0</v>
      </c>
      <c r="RK86" s="1" t="n">
        <f aca="false">IF(AND(HT86=1,CE86=1),(KC86+KG86)/E86,0)</f>
        <v>0</v>
      </c>
      <c r="RL86" s="1" t="n">
        <f aca="false">IF(B86=0,KC86+KG86,0)</f>
        <v>0</v>
      </c>
      <c r="RM86" s="1" t="n">
        <f aca="false">IF(B86=0,IF(HT86=1,KE86,KF86),0)</f>
        <v>0</v>
      </c>
      <c r="RN86" s="1" t="n">
        <f aca="false">IF(CO86=1,IF(HT86=1,KL86+KO86,CP86-PN86)*(1+Slot8_Rate),0)</f>
        <v>0</v>
      </c>
      <c r="RO86" s="1" t="n">
        <f aca="false">IF(AND(HT86=1,CO86=1),(KK86+KO86)/E86,0)</f>
        <v>0</v>
      </c>
      <c r="RP86" s="1" t="n">
        <f aca="false">IF(B86=0,KK86+KO86,0)</f>
        <v>0</v>
      </c>
      <c r="RQ86" s="1" t="n">
        <f aca="false">IF(B86=0,IF(HT86=1,KM86,KN86),0)</f>
        <v>0</v>
      </c>
      <c r="RR86" s="1" t="n">
        <f aca="false">IF(CY86=1,IF(HT86=1,KT86+KW86,CZ86-PL86)*(1+Slot9_Rate),0)</f>
        <v>0</v>
      </c>
      <c r="RS86" s="1" t="n">
        <f aca="false">IF(AND(HT86=1,CY86=1),(KS86+KW86)/E86,0)</f>
        <v>0</v>
      </c>
      <c r="RT86" s="1" t="n">
        <f aca="false">IF(B86=0,KS86+KW86,0)</f>
        <v>0</v>
      </c>
      <c r="RU86" s="1" t="n">
        <f aca="false">IF(B86=0,IF(HT86=1,KU86,KV86),0)</f>
        <v>0</v>
      </c>
      <c r="RV86" s="1" t="n">
        <f aca="false">IF(DI86=1,IF(HT86=1,LB86+LE86,DJ86-PJ86)*(1+Slot10_Rate),0)</f>
        <v>0</v>
      </c>
      <c r="RW86" s="1" t="n">
        <f aca="false">IF(AND(HT86=1,DI86=1),(LA86+LE86)/E86,0)</f>
        <v>0</v>
      </c>
      <c r="RX86" s="1" t="n">
        <f aca="false">IF(B86=0,LA86+LE86,0)</f>
        <v>0</v>
      </c>
      <c r="RY86" s="1" t="n">
        <f aca="false">IF(B86=0,IF(HT86=1,LC86,LD86),0)</f>
        <v>0</v>
      </c>
      <c r="RZ86" s="1" t="n">
        <f aca="false">IF(DS86=1,IF(HT86=1,LJ86+LM86,DT86-PH86)*(1+Slot11_Rate),0)</f>
        <v>0</v>
      </c>
      <c r="SA86" s="1" t="n">
        <f aca="false">IF(AND(HT86=1,DS86=1),(LI86+LM86)/E86,0)</f>
        <v>0</v>
      </c>
      <c r="SB86" s="1" t="n">
        <f aca="false">IF(B86=0,LI86+LM86,0)</f>
        <v>0</v>
      </c>
      <c r="SC86" s="1" t="n">
        <f aca="false">IF(B86=0,IF(HT86=1,LK86,LL86),0)</f>
        <v>0</v>
      </c>
      <c r="SD86" s="1" t="n">
        <f aca="false">IF(EC86=1,IF(HT86=1,LR86+LU86,ED86-PF86)*(1+Slot12_Rate),0)</f>
        <v>0</v>
      </c>
      <c r="SE86" s="1" t="n">
        <f aca="false">IF(AND(HT86=1,EC86=1),(LQ86+LU86)/E86,0)</f>
        <v>0</v>
      </c>
      <c r="SF86" s="1" t="n">
        <f aca="false">IF(B86=0,LQ86+LU86,0)</f>
        <v>0</v>
      </c>
      <c r="SG86" s="1" t="n">
        <f aca="false">IF(B86=0,IF(HT86=1,LS86,LT86),0)</f>
        <v>0</v>
      </c>
      <c r="SH86" s="1" t="n">
        <f aca="false">IF(EM86=1,IF(HT86=1,LZ86+MC86,EN86-PD86)*(1+Slot13_Rate),0)</f>
        <v>0</v>
      </c>
      <c r="SI86" s="1" t="n">
        <f aca="false">IF(AND(HT86=1,EM86=1),(LY86+MC86)/E86,0)</f>
        <v>0</v>
      </c>
      <c r="SJ86" s="1" t="n">
        <f aca="false">IF(B86=0,LY86+MC86,0)</f>
        <v>0</v>
      </c>
      <c r="SK86" s="1" t="n">
        <f aca="false">IF(B86=0,IF(HT86=1,MA86,MB86),0)</f>
        <v>0</v>
      </c>
      <c r="SL86" s="1" t="n">
        <f aca="false">IF(EW86=1,IF(HT86=1,MH86+MK86,EX86-PB86)*(1+Slot14_Rate),0)</f>
        <v>0</v>
      </c>
      <c r="SM86" s="1" t="n">
        <f aca="false">IF(AND(HT86=1,EW86=1),(MG86+MK86)/E86,0)</f>
        <v>0</v>
      </c>
      <c r="SN86" s="1" t="n">
        <f aca="false">IF(B86=0,MG86+MK86,0)</f>
        <v>0</v>
      </c>
      <c r="SO86" s="1" t="n">
        <f aca="false">IF(B86=0,IF(HT86=1,MI86,MJ86),0)</f>
        <v>0</v>
      </c>
      <c r="SP86" s="1" t="n">
        <f aca="false">IF(FG86=1,IF(HT86=1,MP86+MS86,FH86-OZ86)*(1+Slot15_Rate),0)</f>
        <v>0</v>
      </c>
      <c r="SQ86" s="1" t="n">
        <f aca="false">IF(AND(HT86=1,FG86=1),(MO86+MS86)/E86,0)</f>
        <v>0</v>
      </c>
      <c r="SR86" s="1" t="n">
        <f aca="false">IF(B86=0,MO86+MS86,0)</f>
        <v>0</v>
      </c>
      <c r="SS86" s="1" t="n">
        <f aca="false">IF(B86=0,IF(HT86=1,MQ86,MR86),0)</f>
        <v>0</v>
      </c>
      <c r="ST86" s="1" t="n">
        <f aca="false">IF(FQ86=1,IF(HT86=1,MX86+NA86,FR86-OX86)*(1+Slot16_Rate),0)</f>
        <v>0</v>
      </c>
      <c r="SU86" s="1" t="n">
        <f aca="false">IF(AND(HT86=1,FQ86=1),(MW86+NA86)/E86,0)</f>
        <v>0</v>
      </c>
      <c r="SV86" s="1" t="n">
        <f aca="false">IF(B86=0,MW86+NA86,0)</f>
        <v>0</v>
      </c>
      <c r="SW86" s="1" t="n">
        <f aca="false">IF(B86=0,IF(HT86=1,MY86,MZ86),0)</f>
        <v>0</v>
      </c>
      <c r="SX86" s="1" t="n">
        <f aca="false">IF(GA86=1,IF(HT86=1,NF86+NI86,GB86-OV86)*(1+Slot17_Rate),0)</f>
        <v>0</v>
      </c>
      <c r="SY86" s="1" t="n">
        <f aca="false">IF(AND(HT86=1,GA86=1),(NE86+NI86)/E86,0)</f>
        <v>0</v>
      </c>
      <c r="SZ86" s="1" t="n">
        <f aca="false">IF(B86=0,NE86+NI86,0)</f>
        <v>0</v>
      </c>
      <c r="TA86" s="1" t="n">
        <f aca="false">IF(B86=0,IF(HT86=1,NG86,NH86),0)</f>
        <v>0</v>
      </c>
      <c r="TB86" s="1" t="n">
        <f aca="false">IF(GK86=1,IF(HT86=1,NN86+NQ86,GL86-OT86)*(1+Slot18_Rate),0)</f>
        <v>0</v>
      </c>
      <c r="TC86" s="1" t="n">
        <f aca="false">IF(AND(HT86=1,GK86=1),(NM86+NQ86)/E86,0)</f>
        <v>0</v>
      </c>
      <c r="TD86" s="1" t="n">
        <f aca="false">IF(B86=0,NM86+NQ86,0)</f>
        <v>0</v>
      </c>
      <c r="TE86" s="1" t="n">
        <f aca="false">IF(B86=0,IF(HT86=1,NO86,NP86),0)</f>
        <v>0</v>
      </c>
      <c r="TF86" s="1" t="n">
        <f aca="false">IF(GU86=1,IF(HT86=1,NV86+NY86,GV86-OR86)*(1+Slot19_Rate),0)</f>
        <v>0</v>
      </c>
      <c r="TG86" s="1" t="n">
        <f aca="false">IF(AND(HT86=1,GU86=1),(NU86+NY86)/E86,0)</f>
        <v>0</v>
      </c>
      <c r="TH86" s="1" t="n">
        <f aca="false">IF(B86=0,NU86+NY86,0)</f>
        <v>0</v>
      </c>
      <c r="TI86" s="1" t="n">
        <f aca="false">IF(B86=0,IF(HT86=1,NW86,NX86),0)</f>
        <v>0</v>
      </c>
      <c r="TJ86" s="1" t="n">
        <f aca="false">IF(HE86=1,IF(HT86=1,OD86+OG86,HF86-OP86)*(1+Slot20_Rate),0)</f>
        <v>0</v>
      </c>
      <c r="TK86" s="1" t="n">
        <f aca="false">IF(AND(HT86=1,HE86=1),(OC86+OG86)/E86,0)</f>
        <v>0</v>
      </c>
      <c r="TL86" s="1" t="n">
        <f aca="false">IF(B86=0,OC86+OG86,0)</f>
        <v>0</v>
      </c>
      <c r="TM86" s="1" t="n">
        <f aca="false">IF(B86=0,IF(HT86=1,OE86,OF86),0)</f>
        <v>0</v>
      </c>
      <c r="TN86" s="1" t="n">
        <f aca="false">QJ86+QK86+QL86+QP86+QT86+QX86+RB86+RF86+RJ86+RN86+RR86+RV86+RZ86+SD86+SH86+SL86+SP86+ST86+SX86+TB86+TF86+TJ86</f>
        <v>754825.153464077</v>
      </c>
      <c r="TO86" s="1" t="n">
        <f aca="false">QD86+HO86</f>
        <v>0</v>
      </c>
      <c r="TP86" s="1" t="n">
        <f aca="false">H86+R86</f>
        <v>0</v>
      </c>
      <c r="TQ86" s="1" t="n">
        <f aca="false">1-F86</f>
        <v>1</v>
      </c>
      <c r="TR86" s="1" t="n">
        <f aca="false">IF(AND(RG_Exists=1,F86=0,C86=1),H86,0)</f>
        <v>0</v>
      </c>
      <c r="TS86" s="1" t="n">
        <f aca="false">IF(AND(RG_Exists=1,F86=0,C86=1),H86-MIN(QD86,H86),0)</f>
        <v>0</v>
      </c>
      <c r="TT86" s="1" t="n">
        <f aca="false">'Plan pay &amp; tax'!AD312</f>
        <v>0</v>
      </c>
      <c r="TU86" s="1" t="n">
        <f aca="false">IF(AND(C86=1,QD86&gt;MAX(PR_Short1,TP86*PR_Short2)),1,0)</f>
        <v>0</v>
      </c>
      <c r="TV86" s="1" t="n">
        <f aca="false">MIN(G86,H86+R86)</f>
        <v>0</v>
      </c>
      <c r="TW86" s="1" t="n">
        <f aca="false">QE86+MAX(0,HP86-HO86)</f>
        <v>0</v>
      </c>
      <c r="TX86" s="1" t="n">
        <f aca="false">QD86+HO86</f>
        <v>0</v>
      </c>
      <c r="TY86" s="1" t="n">
        <f aca="false">IF(AND(C86=1,TX86&gt;PR_MinShort),1,0)</f>
        <v>0</v>
      </c>
      <c r="TZ86" s="1" t="n">
        <f aca="false">IF(AND(C86=1,TY86=0,TW86&gt;PR_MinShort),1,0)</f>
        <v>0</v>
      </c>
      <c r="UA86" s="1" t="n">
        <f aca="false">IF(AND(C86=1,QD86&gt;PR_MinShort),1,0)</f>
        <v>0</v>
      </c>
      <c r="UB86" s="1" t="n">
        <f aca="false">IF(AND(C86=1,QE86&gt;1,UI86=0),1,0)</f>
        <v>0</v>
      </c>
      <c r="UC86" s="1" t="str">
        <f aca="false">IF(C86=0,"",IF(UI86=1,"Gap to plan for: short "&amp;"€"&amp;TEXT(ROUND(TO86,0),"#,##0"),IF(QE86&gt;1,"Using savings","Comfortable")))</f>
        <v>Comfortable</v>
      </c>
      <c r="UD86" s="1" t="n">
        <f aca="false">IF(AND(INT(D86/10)*10=90,B86&gt;0),80,INT(D86/10)*10)</f>
        <v>70</v>
      </c>
      <c r="UE86" s="1" t="n">
        <f aca="false">IF(B86=0,1,IF(UD86&lt;&gt;UD85,UE85+1,UE85))</f>
        <v>8</v>
      </c>
      <c r="UF86" s="1" t="n">
        <f aca="false">IF(AND(C86=1,F86=1,QD86&gt;MAX(PR_Short1,TP86*PR_Short2)),1,0)</f>
        <v>0</v>
      </c>
      <c r="UG86" s="1" t="n">
        <f aca="false">TQ86*TU86</f>
        <v>0</v>
      </c>
      <c r="UH86" s="1" t="n">
        <f aca="false">IF(AND(U86=1,Slot1_PctLow=1),1,0)+IF(AND(AF86=1,Slot2_PctLow=1),1,0)+IF(AND(AP86=1,Slot3_PctLow=1),1,0)+IF(AND(AZ86=1,Slot4_PctLow=1),1,0)+IF(AND(BJ86=1,Slot5_PctLow=1),1,0)+IF(AND(BT86=1,Slot6_PctLow=1),1,0)+IF(AND(CD86=1,Slot7_PctLow=1),1,0)+IF(AND(CN86=1,Slot8_PctLow=1),1,0)+IF(AND(CX86=1,Slot9_PctLow=1),1,0)+IF(AND(DH86=1,Slot10_PctLow=1),1,0)+IF(AND(DR86=1,Slot11_PctLow=1),1,0)+IF(AND(EB86=1,Slot12_PctLow=1),1,0)+IF(AND(EL86=1,Slot13_PctLow=1),1,0)+IF(AND(EV86=1,Slot14_PctLow=1),1,0)+IF(AND(FF86=1,Slot15_PctLow=1),1,0)+IF(AND(FP86=1,Slot16_PctLow=1),1,0)+IF(AND(FZ86=1,Slot17_PctLow=1),1,0)+IF(AND(GJ86=1,Slot18_PctLow=1),1,0)+IF(AND(GT86=1,Slot19_PctLow=1),1,0)+IF(AND(HD86=1,Slot20_PctLow=1),1,0)</f>
        <v>0</v>
      </c>
      <c r="UI86" s="1" t="n">
        <f aca="false">IF(C86=1,IF(OR(TU86=1,UH86&gt;0),1,0),0)</f>
        <v>0</v>
      </c>
    </row>
    <row r="87" customFormat="false" ht="15" hidden="false" customHeight="true" outlineLevel="0" collapsed="false">
      <c r="B87" s="1" t="n">
        <v>79</v>
      </c>
      <c r="C87" s="1" t="n">
        <f aca="false">IF(B87&lt;=F_N,1,0)</f>
        <v>1</v>
      </c>
      <c r="D87" s="1" t="n">
        <f aca="false">'Plan pay &amp; tax'!C313</f>
        <v>79</v>
      </c>
      <c r="E87" s="111" t="n">
        <f aca="false">'Plan pay &amp; tax'!E313</f>
        <v>4.77984230989843</v>
      </c>
      <c r="F87" s="1" t="n">
        <f aca="false">'Plan pay &amp; tax'!G313</f>
        <v>0</v>
      </c>
      <c r="G87" s="1" t="n">
        <f aca="false">'Plan pay &amp; tax'!BT313-'Plan pay &amp; tax'!BS313-'Plan pay &amp; tax'!R313</f>
        <v>59513.2430194681</v>
      </c>
      <c r="H87" s="1" t="n">
        <f aca="false">IF(F87=1,F_CostsM*12,IF(RG_Exists=1,RG_Amount,F_CostsM*12*AS_RetireSpend))*E87+F_OneOffY*E87</f>
        <v>0</v>
      </c>
      <c r="I87" s="1" t="n">
        <f aca="false">HQ86</f>
        <v>0</v>
      </c>
      <c r="J87" s="1" t="n">
        <f aca="false">IF(I87&gt;1,'Plan debt months'!AC87,0)</f>
        <v>0</v>
      </c>
      <c r="K87" s="1" t="n">
        <f aca="false">IF(I87&gt;1,'Plan debt months'!AB87,I87)</f>
        <v>0</v>
      </c>
      <c r="L87" s="1" t="n">
        <f aca="false">N86</f>
        <v>0</v>
      </c>
      <c r="M87" s="1" t="n">
        <f aca="false">IF(L87&gt;1,'Plan debt months'!BD87,0)</f>
        <v>0</v>
      </c>
      <c r="N87" s="1" t="n">
        <f aca="false">IF(L87&gt;1,'Plan debt months'!BC87,L87)</f>
        <v>0</v>
      </c>
      <c r="O87" s="1" t="n">
        <f aca="false">Q86</f>
        <v>0</v>
      </c>
      <c r="P87" s="1" t="n">
        <f aca="false">IF(O87&gt;1,'Plan debt months'!CE87,0)</f>
        <v>0</v>
      </c>
      <c r="Q87" s="1" t="n">
        <f aca="false">IF(O87&gt;1,'Plan debt months'!CD87,O87)</f>
        <v>0</v>
      </c>
      <c r="R87" s="1" t="n">
        <f aca="false">J87+M87+P87</f>
        <v>0</v>
      </c>
      <c r="S87" s="1" t="n">
        <f aca="false">QJ86+'Plan pay &amp; tax'!Y313</f>
        <v>754825.153464077</v>
      </c>
      <c r="T87" s="1" t="n">
        <f aca="false">QJ86</f>
        <v>754825.153464077</v>
      </c>
      <c r="U87" s="1" t="n">
        <f aca="false">IF(AND(Slot1_On=1,D87=Slot1_Age),1,0)</f>
        <v>0</v>
      </c>
      <c r="V87" s="1" t="n">
        <f aca="false">IF(AND(Slot1_On=1,Slot1_Age&gt;D87),1,0)</f>
        <v>0</v>
      </c>
      <c r="W87" s="1" t="n">
        <f aca="false">QL86</f>
        <v>0</v>
      </c>
      <c r="X87" s="1" t="n">
        <f aca="false">U87*MIN(Slot1_Cost,W87)</f>
        <v>0</v>
      </c>
      <c r="Y87" s="1" t="n">
        <f aca="false">U87*Slot1_SpendLike*MIN(Slot1_Cost-X87,S87)</f>
        <v>0</v>
      </c>
      <c r="Z87" s="1" t="n">
        <f aca="false">X87+Y87</f>
        <v>0</v>
      </c>
      <c r="AA87" s="1" t="n">
        <f aca="false">S87-Y87+U87*IF(Slot1_SpendLike=1,W87-X87,IF(Slot1_PotFree=1,W87,0))</f>
        <v>754825.153464077</v>
      </c>
      <c r="AB87" s="1" t="n">
        <f aca="false">AE87+U87*Slot1_BufPot*W87</f>
        <v>0</v>
      </c>
      <c r="AC87" s="1" t="n">
        <f aca="false">IF(AND(U87=1,Slot1_IsMfree=1),IF(Z87&gt;=Slot1_Cost-1,0,MAX(0,K87-Z87)),K87)</f>
        <v>0</v>
      </c>
      <c r="AD87" s="1" t="n">
        <f aca="false">U87*(Slot1_Cost-Z87)</f>
        <v>0</v>
      </c>
      <c r="AE87" s="1" t="n">
        <f aca="false">QK86</f>
        <v>0</v>
      </c>
      <c r="AF87" s="1" t="n">
        <f aca="false">IF(AND(Slot2_On=1,D87=Slot2_Age),1,0)</f>
        <v>0</v>
      </c>
      <c r="AG87" s="1" t="n">
        <f aca="false">IF(AND(Slot2_On=1,Slot2_Age&gt;D87),1,0)</f>
        <v>0</v>
      </c>
      <c r="AH87" s="1" t="n">
        <f aca="false">QP86</f>
        <v>0</v>
      </c>
      <c r="AI87" s="1" t="n">
        <f aca="false">AF87*MIN(Slot2_Cost,AH87)</f>
        <v>0</v>
      </c>
      <c r="AJ87" s="1" t="n">
        <f aca="false">AF87*Slot2_SpendLike*MIN(Slot2_Cost-AI87,AA87)</f>
        <v>0</v>
      </c>
      <c r="AK87" s="1" t="n">
        <f aca="false">AI87+AJ87</f>
        <v>0</v>
      </c>
      <c r="AL87" s="1" t="n">
        <f aca="false">AA87-AJ87+AF87*IF(Slot2_SpendLike=1,AH87-AI87,IF(Slot2_PotFree=1,AH87,0))</f>
        <v>754825.153464077</v>
      </c>
      <c r="AM87" s="1" t="n">
        <f aca="false">AB87+AF87*Slot2_BufPot*AH87</f>
        <v>0</v>
      </c>
      <c r="AN87" s="1" t="n">
        <f aca="false">IF(AND(AF87=1,Slot2_IsMfree=1),IF(AK87&gt;=Slot2_Cost-1,0,MAX(0,AC87-AK87)),AC87)</f>
        <v>0</v>
      </c>
      <c r="AO87" s="1" t="n">
        <f aca="false">AF87*(Slot2_Cost-AK87)</f>
        <v>0</v>
      </c>
      <c r="AP87" s="1" t="n">
        <f aca="false">IF(AND(Slot3_On=1,D87=Slot3_Age),1,0)</f>
        <v>0</v>
      </c>
      <c r="AQ87" s="1" t="n">
        <f aca="false">IF(AND(Slot3_On=1,Slot3_Age&gt;D87),1,0)</f>
        <v>0</v>
      </c>
      <c r="AR87" s="1" t="n">
        <f aca="false">QT86</f>
        <v>0</v>
      </c>
      <c r="AS87" s="1" t="n">
        <f aca="false">AP87*MIN(Slot3_Cost,AR87)</f>
        <v>0</v>
      </c>
      <c r="AT87" s="1" t="n">
        <f aca="false">AP87*Slot3_SpendLike*MIN(Slot3_Cost-AS87,AL87)</f>
        <v>0</v>
      </c>
      <c r="AU87" s="1" t="n">
        <f aca="false">AS87+AT87</f>
        <v>0</v>
      </c>
      <c r="AV87" s="1" t="n">
        <f aca="false">AL87-AT87+AP87*IF(Slot3_SpendLike=1,AR87-AS87,IF(Slot3_PotFree=1,AR87,0))</f>
        <v>754825.153464077</v>
      </c>
      <c r="AW87" s="1" t="n">
        <f aca="false">AM87+AP87*Slot3_BufPot*AR87</f>
        <v>0</v>
      </c>
      <c r="AX87" s="1" t="n">
        <f aca="false">IF(AND(AP87=1,Slot3_IsMfree=1),IF(AU87&gt;=Slot3_Cost-1,0,MAX(0,AN87-AU87)),AN87)</f>
        <v>0</v>
      </c>
      <c r="AY87" s="1" t="n">
        <f aca="false">AP87*(Slot3_Cost-AU87)</f>
        <v>0</v>
      </c>
      <c r="AZ87" s="1" t="n">
        <f aca="false">IF(AND(Slot4_On=1,D87=Slot4_Age),1,0)</f>
        <v>0</v>
      </c>
      <c r="BA87" s="1" t="n">
        <f aca="false">IF(AND(Slot4_On=1,Slot4_Age&gt;D87),1,0)</f>
        <v>0</v>
      </c>
      <c r="BB87" s="1" t="n">
        <f aca="false">QX86</f>
        <v>0</v>
      </c>
      <c r="BC87" s="1" t="n">
        <f aca="false">AZ87*MIN(Slot4_Cost,BB87)</f>
        <v>0</v>
      </c>
      <c r="BD87" s="1" t="n">
        <f aca="false">AZ87*Slot4_SpendLike*MIN(Slot4_Cost-BC87,AV87)</f>
        <v>0</v>
      </c>
      <c r="BE87" s="1" t="n">
        <f aca="false">BC87+BD87</f>
        <v>0</v>
      </c>
      <c r="BF87" s="1" t="n">
        <f aca="false">AV87-BD87+AZ87*IF(Slot4_SpendLike=1,BB87-BC87,IF(Slot4_PotFree=1,BB87,0))</f>
        <v>754825.153464077</v>
      </c>
      <c r="BG87" s="1" t="n">
        <f aca="false">AW87+AZ87*Slot4_BufPot*BB87</f>
        <v>0</v>
      </c>
      <c r="BH87" s="1" t="n">
        <f aca="false">IF(AND(AZ87=1,Slot4_IsMfree=1),IF(BE87&gt;=Slot4_Cost-1,0,MAX(0,AX87-BE87)),AX87)</f>
        <v>0</v>
      </c>
      <c r="BI87" s="1" t="n">
        <f aca="false">AZ87*(Slot4_Cost-BE87)</f>
        <v>0</v>
      </c>
      <c r="BJ87" s="1" t="n">
        <f aca="false">IF(AND(Slot5_On=1,D87=Slot5_Age),1,0)</f>
        <v>0</v>
      </c>
      <c r="BK87" s="1" t="n">
        <f aca="false">IF(AND(Slot5_On=1,Slot5_Age&gt;D87),1,0)</f>
        <v>0</v>
      </c>
      <c r="BL87" s="1" t="n">
        <f aca="false">RB86</f>
        <v>0</v>
      </c>
      <c r="BM87" s="1" t="n">
        <f aca="false">BJ87*MIN(Slot5_Cost,BL87)</f>
        <v>0</v>
      </c>
      <c r="BN87" s="1" t="n">
        <f aca="false">BJ87*Slot5_SpendLike*MIN(Slot5_Cost-BM87,BF87)</f>
        <v>0</v>
      </c>
      <c r="BO87" s="1" t="n">
        <f aca="false">BM87+BN87</f>
        <v>0</v>
      </c>
      <c r="BP87" s="1" t="n">
        <f aca="false">BF87-BN87+BJ87*IF(Slot5_SpendLike=1,BL87-BM87,IF(Slot5_PotFree=1,BL87,0))</f>
        <v>754825.153464077</v>
      </c>
      <c r="BQ87" s="1" t="n">
        <f aca="false">BG87+BJ87*Slot5_BufPot*BL87</f>
        <v>0</v>
      </c>
      <c r="BR87" s="1" t="n">
        <f aca="false">IF(AND(BJ87=1,Slot5_IsMfree=1),IF(BO87&gt;=Slot5_Cost-1,0,MAX(0,BH87-BO87)),BH87)</f>
        <v>0</v>
      </c>
      <c r="BS87" s="1" t="n">
        <f aca="false">BJ87*(Slot5_Cost-BO87)</f>
        <v>0</v>
      </c>
      <c r="BT87" s="1" t="n">
        <f aca="false">IF(AND(Slot6_On=1,D87=Slot6_Age),1,0)</f>
        <v>0</v>
      </c>
      <c r="BU87" s="1" t="n">
        <f aca="false">IF(AND(Slot6_On=1,Slot6_Age&gt;D87),1,0)</f>
        <v>0</v>
      </c>
      <c r="BV87" s="1" t="n">
        <f aca="false">RF86</f>
        <v>0</v>
      </c>
      <c r="BW87" s="1" t="n">
        <f aca="false">BT87*MIN(Slot6_Cost,BV87)</f>
        <v>0</v>
      </c>
      <c r="BX87" s="1" t="n">
        <f aca="false">BT87*Slot6_SpendLike*MIN(Slot6_Cost-BW87,BP87)</f>
        <v>0</v>
      </c>
      <c r="BY87" s="1" t="n">
        <f aca="false">BW87+BX87</f>
        <v>0</v>
      </c>
      <c r="BZ87" s="1" t="n">
        <f aca="false">BP87-BX87+BT87*IF(Slot6_SpendLike=1,BV87-BW87,IF(Slot6_PotFree=1,BV87,0))</f>
        <v>754825.153464077</v>
      </c>
      <c r="CA87" s="1" t="n">
        <f aca="false">BQ87+BT87*Slot6_BufPot*BV87</f>
        <v>0</v>
      </c>
      <c r="CB87" s="1" t="n">
        <f aca="false">IF(AND(BT87=1,Slot6_IsMfree=1),IF(BY87&gt;=Slot6_Cost-1,0,MAX(0,BR87-BY87)),BR87)</f>
        <v>0</v>
      </c>
      <c r="CC87" s="1" t="n">
        <f aca="false">BT87*(Slot6_Cost-BY87)</f>
        <v>0</v>
      </c>
      <c r="CD87" s="1" t="n">
        <f aca="false">IF(AND(Slot7_On=1,D87=Slot7_Age),1,0)</f>
        <v>0</v>
      </c>
      <c r="CE87" s="1" t="n">
        <f aca="false">IF(AND(Slot7_On=1,Slot7_Age&gt;D87),1,0)</f>
        <v>0</v>
      </c>
      <c r="CF87" s="1" t="n">
        <f aca="false">RJ86</f>
        <v>0</v>
      </c>
      <c r="CG87" s="1" t="n">
        <f aca="false">CD87*MIN(Slot7_Cost,CF87)</f>
        <v>0</v>
      </c>
      <c r="CH87" s="1" t="n">
        <f aca="false">CD87*Slot7_SpendLike*MIN(Slot7_Cost-CG87,BZ87)</f>
        <v>0</v>
      </c>
      <c r="CI87" s="1" t="n">
        <f aca="false">CG87+CH87</f>
        <v>0</v>
      </c>
      <c r="CJ87" s="1" t="n">
        <f aca="false">BZ87-CH87+CD87*IF(Slot7_SpendLike=1,CF87-CG87,IF(Slot7_PotFree=1,CF87,0))</f>
        <v>754825.153464077</v>
      </c>
      <c r="CK87" s="1" t="n">
        <f aca="false">CA87+CD87*Slot7_BufPot*CF87</f>
        <v>0</v>
      </c>
      <c r="CL87" s="1" t="n">
        <f aca="false">IF(AND(CD87=1,Slot7_IsMfree=1),IF(CI87&gt;=Slot7_Cost-1,0,MAX(0,CB87-CI87)),CB87)</f>
        <v>0</v>
      </c>
      <c r="CM87" s="1" t="n">
        <f aca="false">CD87*(Slot7_Cost-CI87)</f>
        <v>0</v>
      </c>
      <c r="CN87" s="1" t="n">
        <f aca="false">IF(AND(Slot8_On=1,D87=Slot8_Age),1,0)</f>
        <v>0</v>
      </c>
      <c r="CO87" s="1" t="n">
        <f aca="false">IF(AND(Slot8_On=1,Slot8_Age&gt;D87),1,0)</f>
        <v>0</v>
      </c>
      <c r="CP87" s="1" t="n">
        <f aca="false">RN86</f>
        <v>0</v>
      </c>
      <c r="CQ87" s="1" t="n">
        <f aca="false">CN87*MIN(Slot8_Cost,CP87)</f>
        <v>0</v>
      </c>
      <c r="CR87" s="1" t="n">
        <f aca="false">CN87*Slot8_SpendLike*MIN(Slot8_Cost-CQ87,CJ87)</f>
        <v>0</v>
      </c>
      <c r="CS87" s="1" t="n">
        <f aca="false">CQ87+CR87</f>
        <v>0</v>
      </c>
      <c r="CT87" s="1" t="n">
        <f aca="false">CJ87-CR87+CN87*IF(Slot8_SpendLike=1,CP87-CQ87,IF(Slot8_PotFree=1,CP87,0))</f>
        <v>754825.153464077</v>
      </c>
      <c r="CU87" s="1" t="n">
        <f aca="false">CK87+CN87*Slot8_BufPot*CP87</f>
        <v>0</v>
      </c>
      <c r="CV87" s="1" t="n">
        <f aca="false">IF(AND(CN87=1,Slot8_IsMfree=1),IF(CS87&gt;=Slot8_Cost-1,0,MAX(0,CL87-CS87)),CL87)</f>
        <v>0</v>
      </c>
      <c r="CW87" s="1" t="n">
        <f aca="false">CN87*(Slot8_Cost-CS87)</f>
        <v>0</v>
      </c>
      <c r="CX87" s="1" t="n">
        <f aca="false">IF(AND(Slot9_On=1,D87=Slot9_Age),1,0)</f>
        <v>0</v>
      </c>
      <c r="CY87" s="1" t="n">
        <f aca="false">IF(AND(Slot9_On=1,Slot9_Age&gt;D87),1,0)</f>
        <v>0</v>
      </c>
      <c r="CZ87" s="1" t="n">
        <f aca="false">RR86</f>
        <v>0</v>
      </c>
      <c r="DA87" s="1" t="n">
        <f aca="false">CX87*MIN(Slot9_Cost,CZ87)</f>
        <v>0</v>
      </c>
      <c r="DB87" s="1" t="n">
        <f aca="false">CX87*Slot9_SpendLike*MIN(Slot9_Cost-DA87,CT87)</f>
        <v>0</v>
      </c>
      <c r="DC87" s="1" t="n">
        <f aca="false">DA87+DB87</f>
        <v>0</v>
      </c>
      <c r="DD87" s="1" t="n">
        <f aca="false">CT87-DB87+CX87*IF(Slot9_SpendLike=1,CZ87-DA87,IF(Slot9_PotFree=1,CZ87,0))</f>
        <v>754825.153464077</v>
      </c>
      <c r="DE87" s="1" t="n">
        <f aca="false">CU87+CX87*Slot9_BufPot*CZ87</f>
        <v>0</v>
      </c>
      <c r="DF87" s="1" t="n">
        <f aca="false">IF(AND(CX87=1,Slot9_IsMfree=1),IF(DC87&gt;=Slot9_Cost-1,0,MAX(0,CV87-DC87)),CV87)</f>
        <v>0</v>
      </c>
      <c r="DG87" s="1" t="n">
        <f aca="false">CX87*(Slot9_Cost-DC87)</f>
        <v>0</v>
      </c>
      <c r="DH87" s="1" t="n">
        <f aca="false">IF(AND(Slot10_On=1,D87=Slot10_Age),1,0)</f>
        <v>0</v>
      </c>
      <c r="DI87" s="1" t="n">
        <f aca="false">IF(AND(Slot10_On=1,Slot10_Age&gt;D87),1,0)</f>
        <v>0</v>
      </c>
      <c r="DJ87" s="1" t="n">
        <f aca="false">RV86</f>
        <v>0</v>
      </c>
      <c r="DK87" s="1" t="n">
        <f aca="false">DH87*MIN(Slot10_Cost,DJ87)</f>
        <v>0</v>
      </c>
      <c r="DL87" s="1" t="n">
        <f aca="false">DH87*Slot10_SpendLike*MIN(Slot10_Cost-DK87,DD87)</f>
        <v>0</v>
      </c>
      <c r="DM87" s="1" t="n">
        <f aca="false">DK87+DL87</f>
        <v>0</v>
      </c>
      <c r="DN87" s="1" t="n">
        <f aca="false">DD87-DL87+DH87*IF(Slot10_SpendLike=1,DJ87-DK87,IF(Slot10_PotFree=1,DJ87,0))</f>
        <v>754825.153464077</v>
      </c>
      <c r="DO87" s="1" t="n">
        <f aca="false">DE87+DH87*Slot10_BufPot*DJ87</f>
        <v>0</v>
      </c>
      <c r="DP87" s="1" t="n">
        <f aca="false">IF(AND(DH87=1,Slot10_IsMfree=1),IF(DM87&gt;=Slot10_Cost-1,0,MAX(0,DF87-DM87)),DF87)</f>
        <v>0</v>
      </c>
      <c r="DQ87" s="1" t="n">
        <f aca="false">DH87*(Slot10_Cost-DM87)</f>
        <v>0</v>
      </c>
      <c r="DR87" s="1" t="n">
        <f aca="false">IF(AND(Slot11_On=1,D87=Slot11_Age),1,0)</f>
        <v>0</v>
      </c>
      <c r="DS87" s="1" t="n">
        <f aca="false">IF(AND(Slot11_On=1,Slot11_Age&gt;D87),1,0)</f>
        <v>0</v>
      </c>
      <c r="DT87" s="1" t="n">
        <f aca="false">RZ86</f>
        <v>0</v>
      </c>
      <c r="DU87" s="1" t="n">
        <f aca="false">DR87*MIN(Slot11_Cost,DT87)</f>
        <v>0</v>
      </c>
      <c r="DV87" s="1" t="n">
        <f aca="false">DR87*Slot11_SpendLike*MIN(Slot11_Cost-DU87,DN87)</f>
        <v>0</v>
      </c>
      <c r="DW87" s="1" t="n">
        <f aca="false">DU87+DV87</f>
        <v>0</v>
      </c>
      <c r="DX87" s="1" t="n">
        <f aca="false">DN87-DV87+DR87*IF(Slot11_SpendLike=1,DT87-DU87,IF(Slot11_PotFree=1,DT87,0))</f>
        <v>754825.153464077</v>
      </c>
      <c r="DY87" s="1" t="n">
        <f aca="false">DO87+DR87*Slot11_BufPot*DT87</f>
        <v>0</v>
      </c>
      <c r="DZ87" s="1" t="n">
        <f aca="false">IF(AND(DR87=1,Slot11_IsMfree=1),IF(DW87&gt;=Slot11_Cost-1,0,MAX(0,DP87-DW87)),DP87)</f>
        <v>0</v>
      </c>
      <c r="EA87" s="1" t="n">
        <f aca="false">DR87*(Slot11_Cost-DW87)</f>
        <v>0</v>
      </c>
      <c r="EB87" s="1" t="n">
        <f aca="false">IF(AND(Slot12_On=1,D87=Slot12_Age),1,0)</f>
        <v>0</v>
      </c>
      <c r="EC87" s="1" t="n">
        <f aca="false">IF(AND(Slot12_On=1,Slot12_Age&gt;D87),1,0)</f>
        <v>0</v>
      </c>
      <c r="ED87" s="1" t="n">
        <f aca="false">SD86</f>
        <v>0</v>
      </c>
      <c r="EE87" s="1" t="n">
        <f aca="false">EB87*MIN(Slot12_Cost,ED87)</f>
        <v>0</v>
      </c>
      <c r="EF87" s="1" t="n">
        <f aca="false">EB87*Slot12_SpendLike*MIN(Slot12_Cost-EE87,DX87)</f>
        <v>0</v>
      </c>
      <c r="EG87" s="1" t="n">
        <f aca="false">EE87+EF87</f>
        <v>0</v>
      </c>
      <c r="EH87" s="1" t="n">
        <f aca="false">DX87-EF87+EB87*IF(Slot12_SpendLike=1,ED87-EE87,IF(Slot12_PotFree=1,ED87,0))</f>
        <v>754825.153464077</v>
      </c>
      <c r="EI87" s="1" t="n">
        <f aca="false">DY87+EB87*Slot12_BufPot*ED87</f>
        <v>0</v>
      </c>
      <c r="EJ87" s="1" t="n">
        <f aca="false">IF(AND(EB87=1,Slot12_IsMfree=1),IF(EG87&gt;=Slot12_Cost-1,0,MAX(0,DZ87-EG87)),DZ87)</f>
        <v>0</v>
      </c>
      <c r="EK87" s="1" t="n">
        <f aca="false">EB87*(Slot12_Cost-EG87)</f>
        <v>0</v>
      </c>
      <c r="EL87" s="1" t="n">
        <f aca="false">IF(AND(Slot13_On=1,D87=Slot13_Age),1,0)</f>
        <v>0</v>
      </c>
      <c r="EM87" s="1" t="n">
        <f aca="false">IF(AND(Slot13_On=1,Slot13_Age&gt;D87),1,0)</f>
        <v>0</v>
      </c>
      <c r="EN87" s="1" t="n">
        <f aca="false">SH86</f>
        <v>0</v>
      </c>
      <c r="EO87" s="1" t="n">
        <f aca="false">EL87*MIN(Slot13_Cost,EN87)</f>
        <v>0</v>
      </c>
      <c r="EP87" s="1" t="n">
        <f aca="false">EL87*Slot13_SpendLike*MIN(Slot13_Cost-EO87,EH87)</f>
        <v>0</v>
      </c>
      <c r="EQ87" s="1" t="n">
        <f aca="false">EO87+EP87</f>
        <v>0</v>
      </c>
      <c r="ER87" s="1" t="n">
        <f aca="false">EH87-EP87+EL87*IF(Slot13_SpendLike=1,EN87-EO87,IF(Slot13_PotFree=1,EN87,0))</f>
        <v>754825.153464077</v>
      </c>
      <c r="ES87" s="1" t="n">
        <f aca="false">EI87+EL87*Slot13_BufPot*EN87</f>
        <v>0</v>
      </c>
      <c r="ET87" s="1" t="n">
        <f aca="false">IF(AND(EL87=1,Slot13_IsMfree=1),IF(EQ87&gt;=Slot13_Cost-1,0,MAX(0,EJ87-EQ87)),EJ87)</f>
        <v>0</v>
      </c>
      <c r="EU87" s="1" t="n">
        <f aca="false">EL87*(Slot13_Cost-EQ87)</f>
        <v>0</v>
      </c>
      <c r="EV87" s="1" t="n">
        <f aca="false">IF(AND(Slot14_On=1,D87=Slot14_Age),1,0)</f>
        <v>0</v>
      </c>
      <c r="EW87" s="1" t="n">
        <f aca="false">IF(AND(Slot14_On=1,Slot14_Age&gt;D87),1,0)</f>
        <v>0</v>
      </c>
      <c r="EX87" s="1" t="n">
        <f aca="false">SL86</f>
        <v>0</v>
      </c>
      <c r="EY87" s="1" t="n">
        <f aca="false">EV87*MIN(Slot14_Cost,EX87)</f>
        <v>0</v>
      </c>
      <c r="EZ87" s="1" t="n">
        <f aca="false">EV87*Slot14_SpendLike*MIN(Slot14_Cost-EY87,ER87)</f>
        <v>0</v>
      </c>
      <c r="FA87" s="1" t="n">
        <f aca="false">EY87+EZ87</f>
        <v>0</v>
      </c>
      <c r="FB87" s="1" t="n">
        <f aca="false">ER87-EZ87+EV87*IF(Slot14_SpendLike=1,EX87-EY87,IF(Slot14_PotFree=1,EX87,0))</f>
        <v>754825.153464077</v>
      </c>
      <c r="FC87" s="1" t="n">
        <f aca="false">ES87+EV87*Slot14_BufPot*EX87</f>
        <v>0</v>
      </c>
      <c r="FD87" s="1" t="n">
        <f aca="false">IF(AND(EV87=1,Slot14_IsMfree=1),IF(FA87&gt;=Slot14_Cost-1,0,MAX(0,ET87-FA87)),ET87)</f>
        <v>0</v>
      </c>
      <c r="FE87" s="1" t="n">
        <f aca="false">EV87*(Slot14_Cost-FA87)</f>
        <v>0</v>
      </c>
      <c r="FF87" s="1" t="n">
        <f aca="false">IF(AND(Slot15_On=1,D87=Slot15_Age),1,0)</f>
        <v>0</v>
      </c>
      <c r="FG87" s="1" t="n">
        <f aca="false">IF(AND(Slot15_On=1,Slot15_Age&gt;D87),1,0)</f>
        <v>0</v>
      </c>
      <c r="FH87" s="1" t="n">
        <f aca="false">SP86</f>
        <v>0</v>
      </c>
      <c r="FI87" s="1" t="n">
        <f aca="false">FF87*MIN(Slot15_Cost,FH87)</f>
        <v>0</v>
      </c>
      <c r="FJ87" s="1" t="n">
        <f aca="false">FF87*Slot15_SpendLike*MIN(Slot15_Cost-FI87,FB87)</f>
        <v>0</v>
      </c>
      <c r="FK87" s="1" t="n">
        <f aca="false">FI87+FJ87</f>
        <v>0</v>
      </c>
      <c r="FL87" s="1" t="n">
        <f aca="false">FB87-FJ87+FF87*IF(Slot15_SpendLike=1,FH87-FI87,IF(Slot15_PotFree=1,FH87,0))</f>
        <v>754825.153464077</v>
      </c>
      <c r="FM87" s="1" t="n">
        <f aca="false">FC87+FF87*Slot15_BufPot*FH87</f>
        <v>0</v>
      </c>
      <c r="FN87" s="1" t="n">
        <f aca="false">IF(AND(FF87=1,Slot15_IsMfree=1),IF(FK87&gt;=Slot15_Cost-1,0,MAX(0,FD87-FK87)),FD87)</f>
        <v>0</v>
      </c>
      <c r="FO87" s="1" t="n">
        <f aca="false">FF87*(Slot15_Cost-FK87)</f>
        <v>0</v>
      </c>
      <c r="FP87" s="1" t="n">
        <f aca="false">IF(AND(Slot16_On=1,D87=Slot16_Age),1,0)</f>
        <v>0</v>
      </c>
      <c r="FQ87" s="1" t="n">
        <f aca="false">IF(AND(Slot16_On=1,Slot16_Age&gt;D87),1,0)</f>
        <v>0</v>
      </c>
      <c r="FR87" s="1" t="n">
        <f aca="false">ST86</f>
        <v>0</v>
      </c>
      <c r="FS87" s="1" t="n">
        <f aca="false">FP87*MIN(Slot16_Cost,FR87)</f>
        <v>0</v>
      </c>
      <c r="FT87" s="1" t="n">
        <f aca="false">FP87*Slot16_SpendLike*MIN(Slot16_Cost-FS87,FL87)</f>
        <v>0</v>
      </c>
      <c r="FU87" s="1" t="n">
        <f aca="false">FS87+FT87</f>
        <v>0</v>
      </c>
      <c r="FV87" s="1" t="n">
        <f aca="false">FL87-FT87+FP87*IF(Slot16_SpendLike=1,FR87-FS87,IF(Slot16_PotFree=1,FR87,0))</f>
        <v>754825.153464077</v>
      </c>
      <c r="FW87" s="1" t="n">
        <f aca="false">FM87+FP87*Slot16_BufPot*FR87</f>
        <v>0</v>
      </c>
      <c r="FX87" s="1" t="n">
        <f aca="false">IF(AND(FP87=1,Slot16_IsMfree=1),IF(FU87&gt;=Slot16_Cost-1,0,MAX(0,FN87-FU87)),FN87)</f>
        <v>0</v>
      </c>
      <c r="FY87" s="1" t="n">
        <f aca="false">FP87*(Slot16_Cost-FU87)</f>
        <v>0</v>
      </c>
      <c r="FZ87" s="1" t="n">
        <f aca="false">IF(AND(Slot17_On=1,D87=Slot17_Age),1,0)</f>
        <v>0</v>
      </c>
      <c r="GA87" s="1" t="n">
        <f aca="false">IF(AND(Slot17_On=1,Slot17_Age&gt;D87),1,0)</f>
        <v>0</v>
      </c>
      <c r="GB87" s="1" t="n">
        <f aca="false">SX86</f>
        <v>0</v>
      </c>
      <c r="GC87" s="1" t="n">
        <f aca="false">FZ87*MIN(Slot17_Cost,GB87)</f>
        <v>0</v>
      </c>
      <c r="GD87" s="1" t="n">
        <f aca="false">FZ87*Slot17_SpendLike*MIN(Slot17_Cost-GC87,FV87)</f>
        <v>0</v>
      </c>
      <c r="GE87" s="1" t="n">
        <f aca="false">GC87+GD87</f>
        <v>0</v>
      </c>
      <c r="GF87" s="1" t="n">
        <f aca="false">FV87-GD87+FZ87*IF(Slot17_SpendLike=1,GB87-GC87,IF(Slot17_PotFree=1,GB87,0))</f>
        <v>754825.153464077</v>
      </c>
      <c r="GG87" s="1" t="n">
        <f aca="false">FW87+FZ87*Slot17_BufPot*GB87</f>
        <v>0</v>
      </c>
      <c r="GH87" s="1" t="n">
        <f aca="false">IF(AND(FZ87=1,Slot17_IsMfree=1),IF(GE87&gt;=Slot17_Cost-1,0,MAX(0,FX87-GE87)),FX87)</f>
        <v>0</v>
      </c>
      <c r="GI87" s="1" t="n">
        <f aca="false">FZ87*(Slot17_Cost-GE87)</f>
        <v>0</v>
      </c>
      <c r="GJ87" s="1" t="n">
        <f aca="false">IF(AND(Slot18_On=1,D87=Slot18_Age),1,0)</f>
        <v>0</v>
      </c>
      <c r="GK87" s="1" t="n">
        <f aca="false">IF(AND(Slot18_On=1,Slot18_Age&gt;D87),1,0)</f>
        <v>0</v>
      </c>
      <c r="GL87" s="1" t="n">
        <f aca="false">TB86</f>
        <v>0</v>
      </c>
      <c r="GM87" s="1" t="n">
        <f aca="false">GJ87*MIN(Slot18_Cost,GL87)</f>
        <v>0</v>
      </c>
      <c r="GN87" s="1" t="n">
        <f aca="false">GJ87*Slot18_SpendLike*MIN(Slot18_Cost-GM87,GF87)</f>
        <v>0</v>
      </c>
      <c r="GO87" s="1" t="n">
        <f aca="false">GM87+GN87</f>
        <v>0</v>
      </c>
      <c r="GP87" s="1" t="n">
        <f aca="false">GF87-GN87+GJ87*IF(Slot18_SpendLike=1,GL87-GM87,IF(Slot18_PotFree=1,GL87,0))</f>
        <v>754825.153464077</v>
      </c>
      <c r="GQ87" s="1" t="n">
        <f aca="false">GG87+GJ87*Slot18_BufPot*GL87</f>
        <v>0</v>
      </c>
      <c r="GR87" s="1" t="n">
        <f aca="false">IF(AND(GJ87=1,Slot18_IsMfree=1),IF(GO87&gt;=Slot18_Cost-1,0,MAX(0,GH87-GO87)),GH87)</f>
        <v>0</v>
      </c>
      <c r="GS87" s="1" t="n">
        <f aca="false">GJ87*(Slot18_Cost-GO87)</f>
        <v>0</v>
      </c>
      <c r="GT87" s="1" t="n">
        <f aca="false">IF(AND(Slot19_On=1,D87=Slot19_Age),1,0)</f>
        <v>0</v>
      </c>
      <c r="GU87" s="1" t="n">
        <f aca="false">IF(AND(Slot19_On=1,Slot19_Age&gt;D87),1,0)</f>
        <v>0</v>
      </c>
      <c r="GV87" s="1" t="n">
        <f aca="false">TF86</f>
        <v>0</v>
      </c>
      <c r="GW87" s="1" t="n">
        <f aca="false">GT87*MIN(Slot19_Cost,GV87)</f>
        <v>0</v>
      </c>
      <c r="GX87" s="1" t="n">
        <f aca="false">GT87*Slot19_SpendLike*MIN(Slot19_Cost-GW87,GP87)</f>
        <v>0</v>
      </c>
      <c r="GY87" s="1" t="n">
        <f aca="false">GW87+GX87</f>
        <v>0</v>
      </c>
      <c r="GZ87" s="1" t="n">
        <f aca="false">GP87-GX87+GT87*IF(Slot19_SpendLike=1,GV87-GW87,IF(Slot19_PotFree=1,GV87,0))</f>
        <v>754825.153464077</v>
      </c>
      <c r="HA87" s="1" t="n">
        <f aca="false">GQ87+GT87*Slot19_BufPot*GV87</f>
        <v>0</v>
      </c>
      <c r="HB87" s="1" t="n">
        <f aca="false">IF(AND(GT87=1,Slot19_IsMfree=1),IF(GY87&gt;=Slot19_Cost-1,0,MAX(0,GR87-GY87)),GR87)</f>
        <v>0</v>
      </c>
      <c r="HC87" s="1" t="n">
        <f aca="false">GT87*(Slot19_Cost-GY87)</f>
        <v>0</v>
      </c>
      <c r="HD87" s="1" t="n">
        <f aca="false">IF(AND(Slot20_On=1,D87=Slot20_Age),1,0)</f>
        <v>0</v>
      </c>
      <c r="HE87" s="1" t="n">
        <f aca="false">IF(AND(Slot20_On=1,Slot20_Age&gt;D87),1,0)</f>
        <v>0</v>
      </c>
      <c r="HF87" s="1" t="n">
        <f aca="false">TJ86</f>
        <v>0</v>
      </c>
      <c r="HG87" s="1" t="n">
        <f aca="false">HD87*MIN(Slot20_Cost,HF87)</f>
        <v>0</v>
      </c>
      <c r="HH87" s="1" t="n">
        <f aca="false">HD87*Slot20_SpendLike*MIN(Slot20_Cost-HG87,GZ87)</f>
        <v>0</v>
      </c>
      <c r="HI87" s="1" t="n">
        <f aca="false">HG87+HH87</f>
        <v>0</v>
      </c>
      <c r="HJ87" s="1" t="n">
        <f aca="false">GZ87-HH87+HD87*IF(Slot20_SpendLike=1,HF87-HG87,IF(Slot20_PotFree=1,HF87,0))</f>
        <v>754825.153464077</v>
      </c>
      <c r="HK87" s="1" t="n">
        <f aca="false">HA87+HD87*Slot20_BufPot*HF87</f>
        <v>0</v>
      </c>
      <c r="HL87" s="1" t="n">
        <f aca="false">IF(AND(HD87=1,Slot20_IsMfree=1),IF(HI87&gt;=Slot20_Cost-1,0,MAX(0,HB87-HI87)),HB87)</f>
        <v>0</v>
      </c>
      <c r="HM87" s="1" t="n">
        <f aca="false">HD87*(Slot20_Cost-HI87)</f>
        <v>0</v>
      </c>
      <c r="HN87" s="1" t="n">
        <f aca="false">U87*Slot1_SpendLike*Z87+AF87*Slot2_SpendLike*AK87+AP87*Slot3_SpendLike*AU87+AZ87*Slot4_SpendLike*BE87+BJ87*Slot5_SpendLike*BO87+BT87*Slot6_SpendLike*BY87+CD87*Slot7_SpendLike*CI87+CN87*Slot8_SpendLike*CS87+CX87*Slot9_SpendLike*DC87+DH87*Slot10_SpendLike*DM87+DR87*Slot11_SpendLike*DW87+EB87*Slot12_SpendLike*EG87+EL87*Slot13_SpendLike*EQ87+EV87*Slot14_SpendLike*FA87+FF87*Slot15_SpendLike*FK87+FP87*Slot16_SpendLike*FU87+FZ87*Slot17_SpendLike*GE87+GJ87*Slot18_SpendLike*GO87+GT87*Slot19_SpendLike*GY87+HD87*Slot20_SpendLike*HI87</f>
        <v>0</v>
      </c>
      <c r="HO87" s="1" t="n">
        <f aca="false">AD87+AO87+AY87+BI87+BS87+CC87+CM87+CW87+DG87+DQ87+EA87+EK87+EU87+FE87+FO87+FY87+GI87+GS87+HC87+HM87</f>
        <v>0</v>
      </c>
      <c r="HP87" s="1" t="n">
        <f aca="false">U87*Slot1_Cost+AF87*Slot2_Cost+AP87*Slot3_Cost+AZ87*Slot4_Cost+BJ87*Slot5_Cost+BT87*Slot6_Cost+CD87*Slot7_Cost+CN87*Slot8_Cost+CX87*Slot9_Cost+DH87*Slot10_Cost+DR87*Slot11_Cost+EB87*Slot12_Cost+EL87*Slot13_Cost+EV87*Slot14_Cost+FF87*Slot15_Cost+FP87*Slot16_Cost+FZ87*Slot17_Cost+GJ87*Slot18_Cost+GT87*Slot19_Cost+HD87*Slot20_Cost</f>
        <v>0</v>
      </c>
      <c r="HQ87" s="1" t="n">
        <f aca="false">HL87</f>
        <v>0</v>
      </c>
      <c r="HR87" s="1" t="n">
        <f aca="false">G87-H87-R87</f>
        <v>59513.2430194681</v>
      </c>
      <c r="HS87" s="1" t="n">
        <f aca="false">IF(B87=0,IF(AND(Has_q6=1,In_q6=4),PR_ShareVaries*(MAX(0,HR87)/12),MIN(IF(Has_q6=1,CHOOSE(In_q6+1,PR_SaveB1,PR_SaveB2,PR_SaveB3,PR_SaveB4,0),AS_NoAnswer),AS_SaveShare*(MAX(0,HR87)/12))),HS86)</f>
        <v>0</v>
      </c>
      <c r="HT87" s="1" t="n">
        <f aca="false">IF(HR87&gt;=0,1,0)</f>
        <v>1</v>
      </c>
      <c r="HU87" s="1" t="n">
        <f aca="false">MAX(0,HR87/12/E87)</f>
        <v>1037.57333333333</v>
      </c>
      <c r="HV87" s="1" t="n">
        <f aca="false">IF(AND(Has_q6=1,In_q6=4),PR_ShareVaries*(HU87),MIN(IF(Has_q6=1,CHOOSE(In_q6+1,PR_SaveB1,PR_SaveB2,PR_SaveB3,PR_SaveB4,0),AS_NoAnswer),AS_SaveShare*(HU87)))</f>
        <v>300</v>
      </c>
      <c r="HW87" s="1" t="n">
        <f aca="false">IF(Has_saveM=1,IF(In_saveUp="Yes",1,IF(In_saveUp="No",0,IF(In_saveM&gt;=HS87-0.5,1,0))),0)</f>
        <v>0</v>
      </c>
      <c r="HX87" s="1" t="n">
        <f aca="false">IF(Has_saveM=1,MIN(HU87,IF(HW87=1,MAX(In_saveM,HV87),MIN(In_saveM,HV87))),HV87)</f>
        <v>300</v>
      </c>
      <c r="HY87" s="1" t="n">
        <f aca="false">IF(F87=1,HX87*12*E87,0)</f>
        <v>0</v>
      </c>
      <c r="HZ87" s="1" t="n">
        <f aca="false">MAX(0,HY87+IF(AND(WI_Retire=0,WI_M&lt;0,F87=1),WI_M*12*E87,0))</f>
        <v>0</v>
      </c>
      <c r="IA87" s="1" t="n">
        <f aca="false">Slot1_IsWG*V87+Slot2_IsWG*AG87+Slot3_IsWG*AQ87+Slot4_IsWG*BA87+Slot5_IsWG*BK87+Slot6_IsWG*BU87+Slot7_IsWG*CE87+Slot8_IsWG*CO87+Slot9_IsWG*CY87+Slot10_IsWG*DI87+Slot11_IsWG*DS87+Slot12_IsWG*EC87+Slot13_IsWG*EM87+Slot14_IsWG*EW87+Slot15_IsWG*FG87+Slot16_IsWG*FQ87+Slot17_IsWG*GA87+Slot18_IsWG*GK87+Slot19_IsWG*GU87+Slot20_IsWG*HE87</f>
        <v>0</v>
      </c>
      <c r="IB87" s="1" t="n">
        <f aca="false">IF(AND(WI_Retire=0,WI_M&gt;0,F87=1,IA87&gt;=1),WI_M*12*E87,0)</f>
        <v>0</v>
      </c>
      <c r="IC87" s="1" t="n">
        <f aca="false">IF(HT87=1,MIN(HZ87,HR87),0)</f>
        <v>0</v>
      </c>
      <c r="ID87" s="1" t="n">
        <f aca="false">IF(HT87=1,MIN(IB87,HR87-IC87),0)</f>
        <v>0</v>
      </c>
      <c r="IE87" s="1" t="n">
        <f aca="false">IF(V87=1,IF(ABS((1+AS_Wage)/(1+Slot1_Rate)-1)&lt;0.000000000001,(Slot1_Age-D87)*(1+Slot1_Rate)^(Slot1_Age-D87),(1+Slot1_Rate)^(Slot1_Age-D87)*(1-((1+AS_Wage)/(1+Slot1_Rate))^(Slot1_Age-D87))/(1-(1+AS_Wage)/(1+Slot1_Rate))),1)</f>
        <v>1</v>
      </c>
      <c r="IF87" s="1" t="n">
        <f aca="false">IF(AND(HT87=1,ID87&gt;0,Slot1_IsWG=1,V87=1),MAX(0,(Slot1_Cost-W87*(1+Slot1_Rate)^(Slot1_Age-D87))/IE87),0)</f>
        <v>0</v>
      </c>
      <c r="IG87" s="1" t="n">
        <f aca="false">IF(AND(HT87=1,ID87&gt;0,Slot1_IsWG=1,V87=1),MIN(ID87,IF87),0)</f>
        <v>0</v>
      </c>
      <c r="IH87" s="1" t="n">
        <f aca="false">W87+IG87</f>
        <v>0</v>
      </c>
      <c r="II87" s="1" t="n">
        <f aca="false">IF(V87=1,MAX(0,(Slot1_Cost-IH87*(1+Slot1_Rate)^(Slot1_Age-D87))/IE87),0)</f>
        <v>0</v>
      </c>
      <c r="IJ87" s="1" t="n">
        <f aca="false">IF(V87=1,MAX(0,(Slot1_Cost-W87*(1+Slot1_Rate)^(Slot1_Age-D87))/IE87),0)</f>
        <v>0</v>
      </c>
      <c r="IK87" s="1" t="n">
        <f aca="false">IF(AND(HT87=1,V87=1),MIN(IC87,II87),0)</f>
        <v>0</v>
      </c>
      <c r="IL87" s="1" t="n">
        <f aca="false">IC87-IK87</f>
        <v>0</v>
      </c>
      <c r="IM87" s="1" t="n">
        <f aca="false">IF(AG87=1,IF(ABS((1+AS_Wage)/(1+Slot2_Rate)-1)&lt;0.000000000001,(Slot2_Age-D87)*(1+Slot2_Rate)^(Slot2_Age-D87),(1+Slot2_Rate)^(Slot2_Age-D87)*(1-((1+AS_Wage)/(1+Slot2_Rate))^(Slot2_Age-D87))/(1-(1+AS_Wage)/(1+Slot2_Rate))),1)</f>
        <v>1</v>
      </c>
      <c r="IN87" s="1" t="n">
        <f aca="false">IF(AND(HT87=1,ID87&gt;0,Slot2_IsWG=1,AG87=1),MAX(0,(Slot2_Cost-AH87*(1+Slot2_Rate)^(Slot2_Age-D87))/IM87),0)</f>
        <v>0</v>
      </c>
      <c r="IO87" s="1" t="n">
        <f aca="false">IF(AND(HT87=1,ID87&gt;0,Slot2_IsWG=1,AG87=1),MIN(ID87,IN87),0)</f>
        <v>0</v>
      </c>
      <c r="IP87" s="1" t="n">
        <f aca="false">AH87+IO87</f>
        <v>0</v>
      </c>
      <c r="IQ87" s="1" t="n">
        <f aca="false">IF(AG87=1,MAX(0,(Slot2_Cost-IP87*(1+Slot2_Rate)^(Slot2_Age-D87))/IM87),0)</f>
        <v>0</v>
      </c>
      <c r="IR87" s="1" t="n">
        <f aca="false">IF(AG87=1,MAX(0,(Slot2_Cost-AH87*(1+Slot2_Rate)^(Slot2_Age-D87))/IM87),0)</f>
        <v>0</v>
      </c>
      <c r="IS87" s="1" t="n">
        <f aca="false">IF(AND(HT87=1,AG87=1),MIN(IL87,IQ87),0)</f>
        <v>0</v>
      </c>
      <c r="IT87" s="1" t="n">
        <f aca="false">IL87-IS87</f>
        <v>0</v>
      </c>
      <c r="IU87" s="1" t="n">
        <f aca="false">IF(AQ87=1,IF(ABS((1+AS_Wage)/(1+Slot3_Rate)-1)&lt;0.000000000001,(Slot3_Age-D87)*(1+Slot3_Rate)^(Slot3_Age-D87),(1+Slot3_Rate)^(Slot3_Age-D87)*(1-((1+AS_Wage)/(1+Slot3_Rate))^(Slot3_Age-D87))/(1-(1+AS_Wage)/(1+Slot3_Rate))),1)</f>
        <v>1</v>
      </c>
      <c r="IV87" s="1" t="n">
        <f aca="false">IF(AND(HT87=1,ID87&gt;0,Slot3_IsWG=1,AQ87=1),MAX(0,(Slot3_Cost-AR87*(1+Slot3_Rate)^(Slot3_Age-D87))/IU87),0)</f>
        <v>0</v>
      </c>
      <c r="IW87" s="1" t="n">
        <f aca="false">IF(AND(HT87=1,ID87&gt;0,Slot3_IsWG=1,AQ87=1),MIN(ID87,IV87),0)</f>
        <v>0</v>
      </c>
      <c r="IX87" s="1" t="n">
        <f aca="false">AR87+IW87</f>
        <v>0</v>
      </c>
      <c r="IY87" s="1" t="n">
        <f aca="false">IF(AQ87=1,MAX(0,(Slot3_Cost-IX87*(1+Slot3_Rate)^(Slot3_Age-D87))/IU87),0)</f>
        <v>0</v>
      </c>
      <c r="IZ87" s="1" t="n">
        <f aca="false">IF(AQ87=1,MAX(0,(Slot3_Cost-AR87*(1+Slot3_Rate)^(Slot3_Age-D87))/IU87),0)</f>
        <v>0</v>
      </c>
      <c r="JA87" s="1" t="n">
        <f aca="false">IF(AND(HT87=1,AQ87=1),MIN(IT87,IY87),0)</f>
        <v>0</v>
      </c>
      <c r="JB87" s="1" t="n">
        <f aca="false">IT87-JA87</f>
        <v>0</v>
      </c>
      <c r="JC87" s="1" t="n">
        <f aca="false">IF(BA87=1,IF(ABS((1+AS_Wage)/(1+Slot4_Rate)-1)&lt;0.000000000001,(Slot4_Age-D87)*(1+Slot4_Rate)^(Slot4_Age-D87),(1+Slot4_Rate)^(Slot4_Age-D87)*(1-((1+AS_Wage)/(1+Slot4_Rate))^(Slot4_Age-D87))/(1-(1+AS_Wage)/(1+Slot4_Rate))),1)</f>
        <v>1</v>
      </c>
      <c r="JD87" s="1" t="n">
        <f aca="false">IF(AND(HT87=1,ID87&gt;0,Slot4_IsWG=1,BA87=1),MAX(0,(Slot4_Cost-BB87*(1+Slot4_Rate)^(Slot4_Age-D87))/JC87),0)</f>
        <v>0</v>
      </c>
      <c r="JE87" s="1" t="n">
        <f aca="false">IF(AND(HT87=1,ID87&gt;0,Slot4_IsWG=1,BA87=1),MIN(ID87,JD87),0)</f>
        <v>0</v>
      </c>
      <c r="JF87" s="1" t="n">
        <f aca="false">BB87+JE87</f>
        <v>0</v>
      </c>
      <c r="JG87" s="1" t="n">
        <f aca="false">IF(BA87=1,MAX(0,(Slot4_Cost-JF87*(1+Slot4_Rate)^(Slot4_Age-D87))/JC87),0)</f>
        <v>0</v>
      </c>
      <c r="JH87" s="1" t="n">
        <f aca="false">IF(BA87=1,MAX(0,(Slot4_Cost-BB87*(1+Slot4_Rate)^(Slot4_Age-D87))/JC87),0)</f>
        <v>0</v>
      </c>
      <c r="JI87" s="1" t="n">
        <f aca="false">IF(AND(HT87=1,BA87=1),MIN(JB87,JG87),0)</f>
        <v>0</v>
      </c>
      <c r="JJ87" s="1" t="n">
        <f aca="false">JB87-JI87</f>
        <v>0</v>
      </c>
      <c r="JK87" s="1" t="n">
        <f aca="false">IF(BK87=1,IF(ABS((1+AS_Wage)/(1+Slot5_Rate)-1)&lt;0.000000000001,(Slot5_Age-D87)*(1+Slot5_Rate)^(Slot5_Age-D87),(1+Slot5_Rate)^(Slot5_Age-D87)*(1-((1+AS_Wage)/(1+Slot5_Rate))^(Slot5_Age-D87))/(1-(1+AS_Wage)/(1+Slot5_Rate))),1)</f>
        <v>1</v>
      </c>
      <c r="JL87" s="1" t="n">
        <f aca="false">IF(AND(HT87=1,ID87&gt;0,Slot5_IsWG=1,BK87=1),MAX(0,(Slot5_Cost-BL87*(1+Slot5_Rate)^(Slot5_Age-D87))/JK87),0)</f>
        <v>0</v>
      </c>
      <c r="JM87" s="1" t="n">
        <f aca="false">IF(AND(HT87=1,ID87&gt;0,Slot5_IsWG=1,BK87=1),MIN(ID87,JL87),0)</f>
        <v>0</v>
      </c>
      <c r="JN87" s="1" t="n">
        <f aca="false">BL87+JM87</f>
        <v>0</v>
      </c>
      <c r="JO87" s="1" t="n">
        <f aca="false">IF(BK87=1,MAX(0,(Slot5_Cost-JN87*(1+Slot5_Rate)^(Slot5_Age-D87))/JK87),0)</f>
        <v>0</v>
      </c>
      <c r="JP87" s="1" t="n">
        <f aca="false">IF(BK87=1,MAX(0,(Slot5_Cost-BL87*(1+Slot5_Rate)^(Slot5_Age-D87))/JK87),0)</f>
        <v>0</v>
      </c>
      <c r="JQ87" s="1" t="n">
        <f aca="false">IF(AND(HT87=1,BK87=1),MIN(JJ87,JO87),0)</f>
        <v>0</v>
      </c>
      <c r="JR87" s="1" t="n">
        <f aca="false">JJ87-JQ87</f>
        <v>0</v>
      </c>
      <c r="JS87" s="1" t="n">
        <f aca="false">IF(BU87=1,IF(ABS((1+AS_Wage)/(1+Slot6_Rate)-1)&lt;0.000000000001,(Slot6_Age-D87)*(1+Slot6_Rate)^(Slot6_Age-D87),(1+Slot6_Rate)^(Slot6_Age-D87)*(1-((1+AS_Wage)/(1+Slot6_Rate))^(Slot6_Age-D87))/(1-(1+AS_Wage)/(1+Slot6_Rate))),1)</f>
        <v>1</v>
      </c>
      <c r="JT87" s="1" t="n">
        <f aca="false">IF(AND(HT87=1,ID87&gt;0,Slot6_IsWG=1,BU87=1),MAX(0,(Slot6_Cost-BV87*(1+Slot6_Rate)^(Slot6_Age-D87))/JS87),0)</f>
        <v>0</v>
      </c>
      <c r="JU87" s="1" t="n">
        <f aca="false">IF(AND(HT87=1,ID87&gt;0,Slot6_IsWG=1,BU87=1),MIN(ID87,JT87),0)</f>
        <v>0</v>
      </c>
      <c r="JV87" s="1" t="n">
        <f aca="false">BV87+JU87</f>
        <v>0</v>
      </c>
      <c r="JW87" s="1" t="n">
        <f aca="false">IF(BU87=1,MAX(0,(Slot6_Cost-JV87*(1+Slot6_Rate)^(Slot6_Age-D87))/JS87),0)</f>
        <v>0</v>
      </c>
      <c r="JX87" s="1" t="n">
        <f aca="false">IF(BU87=1,MAX(0,(Slot6_Cost-BV87*(1+Slot6_Rate)^(Slot6_Age-D87))/JS87),0)</f>
        <v>0</v>
      </c>
      <c r="JY87" s="1" t="n">
        <f aca="false">IF(AND(HT87=1,BU87=1),MIN(JR87,JW87),0)</f>
        <v>0</v>
      </c>
      <c r="JZ87" s="1" t="n">
        <f aca="false">JR87-JY87</f>
        <v>0</v>
      </c>
      <c r="KA87" s="1" t="n">
        <f aca="false">IF(CE87=1,IF(ABS((1+AS_Wage)/(1+Slot7_Rate)-1)&lt;0.000000000001,(Slot7_Age-D87)*(1+Slot7_Rate)^(Slot7_Age-D87),(1+Slot7_Rate)^(Slot7_Age-D87)*(1-((1+AS_Wage)/(1+Slot7_Rate))^(Slot7_Age-D87))/(1-(1+AS_Wage)/(1+Slot7_Rate))),1)</f>
        <v>1</v>
      </c>
      <c r="KB87" s="1" t="n">
        <f aca="false">IF(AND(HT87=1,ID87&gt;0,Slot7_IsWG=1,CE87=1),MAX(0,(Slot7_Cost-CF87*(1+Slot7_Rate)^(Slot7_Age-D87))/KA87),0)</f>
        <v>0</v>
      </c>
      <c r="KC87" s="1" t="n">
        <f aca="false">IF(AND(HT87=1,ID87&gt;0,Slot7_IsWG=1,CE87=1),MIN(ID87,KB87),0)</f>
        <v>0</v>
      </c>
      <c r="KD87" s="1" t="n">
        <f aca="false">CF87+KC87</f>
        <v>0</v>
      </c>
      <c r="KE87" s="1" t="n">
        <f aca="false">IF(CE87=1,MAX(0,(Slot7_Cost-KD87*(1+Slot7_Rate)^(Slot7_Age-D87))/KA87),0)</f>
        <v>0</v>
      </c>
      <c r="KF87" s="1" t="n">
        <f aca="false">IF(CE87=1,MAX(0,(Slot7_Cost-CF87*(1+Slot7_Rate)^(Slot7_Age-D87))/KA87),0)</f>
        <v>0</v>
      </c>
      <c r="KG87" s="1" t="n">
        <f aca="false">IF(AND(HT87=1,CE87=1),MIN(JZ87,KE87),0)</f>
        <v>0</v>
      </c>
      <c r="KH87" s="1" t="n">
        <f aca="false">JZ87-KG87</f>
        <v>0</v>
      </c>
      <c r="KI87" s="1" t="n">
        <f aca="false">IF(CO87=1,IF(ABS((1+AS_Wage)/(1+Slot8_Rate)-1)&lt;0.000000000001,(Slot8_Age-D87)*(1+Slot8_Rate)^(Slot8_Age-D87),(1+Slot8_Rate)^(Slot8_Age-D87)*(1-((1+AS_Wage)/(1+Slot8_Rate))^(Slot8_Age-D87))/(1-(1+AS_Wage)/(1+Slot8_Rate))),1)</f>
        <v>1</v>
      </c>
      <c r="KJ87" s="1" t="n">
        <f aca="false">IF(AND(HT87=1,ID87&gt;0,Slot8_IsWG=1,CO87=1),MAX(0,(Slot8_Cost-CP87*(1+Slot8_Rate)^(Slot8_Age-D87))/KI87),0)</f>
        <v>0</v>
      </c>
      <c r="KK87" s="1" t="n">
        <f aca="false">IF(AND(HT87=1,ID87&gt;0,Slot8_IsWG=1,CO87=1),MIN(ID87,KJ87),0)</f>
        <v>0</v>
      </c>
      <c r="KL87" s="1" t="n">
        <f aca="false">CP87+KK87</f>
        <v>0</v>
      </c>
      <c r="KM87" s="1" t="n">
        <f aca="false">IF(CO87=1,MAX(0,(Slot8_Cost-KL87*(1+Slot8_Rate)^(Slot8_Age-D87))/KI87),0)</f>
        <v>0</v>
      </c>
      <c r="KN87" s="1" t="n">
        <f aca="false">IF(CO87=1,MAX(0,(Slot8_Cost-CP87*(1+Slot8_Rate)^(Slot8_Age-D87))/KI87),0)</f>
        <v>0</v>
      </c>
      <c r="KO87" s="1" t="n">
        <f aca="false">IF(AND(HT87=1,CO87=1),MIN(KH87,KM87),0)</f>
        <v>0</v>
      </c>
      <c r="KP87" s="1" t="n">
        <f aca="false">KH87-KO87</f>
        <v>0</v>
      </c>
      <c r="KQ87" s="1" t="n">
        <f aca="false">IF(CY87=1,IF(ABS((1+AS_Wage)/(1+Slot9_Rate)-1)&lt;0.000000000001,(Slot9_Age-D87)*(1+Slot9_Rate)^(Slot9_Age-D87),(1+Slot9_Rate)^(Slot9_Age-D87)*(1-((1+AS_Wage)/(1+Slot9_Rate))^(Slot9_Age-D87))/(1-(1+AS_Wage)/(1+Slot9_Rate))),1)</f>
        <v>1</v>
      </c>
      <c r="KR87" s="1" t="n">
        <f aca="false">IF(AND(HT87=1,ID87&gt;0,Slot9_IsWG=1,CY87=1),MAX(0,(Slot9_Cost-CZ87*(1+Slot9_Rate)^(Slot9_Age-D87))/KQ87),0)</f>
        <v>0</v>
      </c>
      <c r="KS87" s="1" t="n">
        <f aca="false">IF(AND(HT87=1,ID87&gt;0,Slot9_IsWG=1,CY87=1),MIN(ID87,KR87),0)</f>
        <v>0</v>
      </c>
      <c r="KT87" s="1" t="n">
        <f aca="false">CZ87+KS87</f>
        <v>0</v>
      </c>
      <c r="KU87" s="1" t="n">
        <f aca="false">IF(CY87=1,MAX(0,(Slot9_Cost-KT87*(1+Slot9_Rate)^(Slot9_Age-D87))/KQ87),0)</f>
        <v>0</v>
      </c>
      <c r="KV87" s="1" t="n">
        <f aca="false">IF(CY87=1,MAX(0,(Slot9_Cost-CZ87*(1+Slot9_Rate)^(Slot9_Age-D87))/KQ87),0)</f>
        <v>0</v>
      </c>
      <c r="KW87" s="1" t="n">
        <f aca="false">IF(AND(HT87=1,CY87=1),MIN(KP87,KU87),0)</f>
        <v>0</v>
      </c>
      <c r="KX87" s="1" t="n">
        <f aca="false">KP87-KW87</f>
        <v>0</v>
      </c>
      <c r="KY87" s="1" t="n">
        <f aca="false">IF(DI87=1,IF(ABS((1+AS_Wage)/(1+Slot10_Rate)-1)&lt;0.000000000001,(Slot10_Age-D87)*(1+Slot10_Rate)^(Slot10_Age-D87),(1+Slot10_Rate)^(Slot10_Age-D87)*(1-((1+AS_Wage)/(1+Slot10_Rate))^(Slot10_Age-D87))/(1-(1+AS_Wage)/(1+Slot10_Rate))),1)</f>
        <v>1</v>
      </c>
      <c r="KZ87" s="1" t="n">
        <f aca="false">IF(AND(HT87=1,ID87&gt;0,Slot10_IsWG=1,DI87=1),MAX(0,(Slot10_Cost-DJ87*(1+Slot10_Rate)^(Slot10_Age-D87))/KY87),0)</f>
        <v>0</v>
      </c>
      <c r="LA87" s="1" t="n">
        <f aca="false">IF(AND(HT87=1,ID87&gt;0,Slot10_IsWG=1,DI87=1),MIN(ID87,KZ87),0)</f>
        <v>0</v>
      </c>
      <c r="LB87" s="1" t="n">
        <f aca="false">DJ87+LA87</f>
        <v>0</v>
      </c>
      <c r="LC87" s="1" t="n">
        <f aca="false">IF(DI87=1,MAX(0,(Slot10_Cost-LB87*(1+Slot10_Rate)^(Slot10_Age-D87))/KY87),0)</f>
        <v>0</v>
      </c>
      <c r="LD87" s="1" t="n">
        <f aca="false">IF(DI87=1,MAX(0,(Slot10_Cost-DJ87*(1+Slot10_Rate)^(Slot10_Age-D87))/KY87),0)</f>
        <v>0</v>
      </c>
      <c r="LE87" s="1" t="n">
        <f aca="false">IF(AND(HT87=1,DI87=1),MIN(KX87,LC87),0)</f>
        <v>0</v>
      </c>
      <c r="LF87" s="1" t="n">
        <f aca="false">KX87-LE87</f>
        <v>0</v>
      </c>
      <c r="LG87" s="1" t="n">
        <f aca="false">IF(DS87=1,IF(ABS((1+AS_Wage)/(1+Slot11_Rate)-1)&lt;0.000000000001,(Slot11_Age-D87)*(1+Slot11_Rate)^(Slot11_Age-D87),(1+Slot11_Rate)^(Slot11_Age-D87)*(1-((1+AS_Wage)/(1+Slot11_Rate))^(Slot11_Age-D87))/(1-(1+AS_Wage)/(1+Slot11_Rate))),1)</f>
        <v>1</v>
      </c>
      <c r="LH87" s="1" t="n">
        <f aca="false">IF(AND(HT87=1,ID87&gt;0,Slot11_IsWG=1,DS87=1),MAX(0,(Slot11_Cost-DT87*(1+Slot11_Rate)^(Slot11_Age-D87))/LG87),0)</f>
        <v>0</v>
      </c>
      <c r="LI87" s="1" t="n">
        <f aca="false">IF(AND(HT87=1,ID87&gt;0,Slot11_IsWG=1,DS87=1),MIN(ID87,LH87),0)</f>
        <v>0</v>
      </c>
      <c r="LJ87" s="1" t="n">
        <f aca="false">DT87+LI87</f>
        <v>0</v>
      </c>
      <c r="LK87" s="1" t="n">
        <f aca="false">IF(DS87=1,MAX(0,(Slot11_Cost-LJ87*(1+Slot11_Rate)^(Slot11_Age-D87))/LG87),0)</f>
        <v>0</v>
      </c>
      <c r="LL87" s="1" t="n">
        <f aca="false">IF(DS87=1,MAX(0,(Slot11_Cost-DT87*(1+Slot11_Rate)^(Slot11_Age-D87))/LG87),0)</f>
        <v>0</v>
      </c>
      <c r="LM87" s="1" t="n">
        <f aca="false">IF(AND(HT87=1,DS87=1),MIN(LF87,LK87),0)</f>
        <v>0</v>
      </c>
      <c r="LN87" s="1" t="n">
        <f aca="false">LF87-LM87</f>
        <v>0</v>
      </c>
      <c r="LO87" s="1" t="n">
        <f aca="false">IF(EC87=1,IF(ABS((1+AS_Wage)/(1+Slot12_Rate)-1)&lt;0.000000000001,(Slot12_Age-D87)*(1+Slot12_Rate)^(Slot12_Age-D87),(1+Slot12_Rate)^(Slot12_Age-D87)*(1-((1+AS_Wage)/(1+Slot12_Rate))^(Slot12_Age-D87))/(1-(1+AS_Wage)/(1+Slot12_Rate))),1)</f>
        <v>1</v>
      </c>
      <c r="LP87" s="1" t="n">
        <f aca="false">IF(AND(HT87=1,ID87&gt;0,Slot12_IsWG=1,EC87=1),MAX(0,(Slot12_Cost-ED87*(1+Slot12_Rate)^(Slot12_Age-D87))/LO87),0)</f>
        <v>0</v>
      </c>
      <c r="LQ87" s="1" t="n">
        <f aca="false">IF(AND(HT87=1,ID87&gt;0,Slot12_IsWG=1,EC87=1),MIN(ID87,LP87),0)</f>
        <v>0</v>
      </c>
      <c r="LR87" s="1" t="n">
        <f aca="false">ED87+LQ87</f>
        <v>0</v>
      </c>
      <c r="LS87" s="1" t="n">
        <f aca="false">IF(EC87=1,MAX(0,(Slot12_Cost-LR87*(1+Slot12_Rate)^(Slot12_Age-D87))/LO87),0)</f>
        <v>0</v>
      </c>
      <c r="LT87" s="1" t="n">
        <f aca="false">IF(EC87=1,MAX(0,(Slot12_Cost-ED87*(1+Slot12_Rate)^(Slot12_Age-D87))/LO87),0)</f>
        <v>0</v>
      </c>
      <c r="LU87" s="1" t="n">
        <f aca="false">IF(AND(HT87=1,EC87=1),MIN(LN87,LS87),0)</f>
        <v>0</v>
      </c>
      <c r="LV87" s="1" t="n">
        <f aca="false">LN87-LU87</f>
        <v>0</v>
      </c>
      <c r="LW87" s="1" t="n">
        <f aca="false">IF(EM87=1,IF(ABS((1+AS_Wage)/(1+Slot13_Rate)-1)&lt;0.000000000001,(Slot13_Age-D87)*(1+Slot13_Rate)^(Slot13_Age-D87),(1+Slot13_Rate)^(Slot13_Age-D87)*(1-((1+AS_Wage)/(1+Slot13_Rate))^(Slot13_Age-D87))/(1-(1+AS_Wage)/(1+Slot13_Rate))),1)</f>
        <v>1</v>
      </c>
      <c r="LX87" s="1" t="n">
        <f aca="false">IF(AND(HT87=1,ID87&gt;0,Slot13_IsWG=1,EM87=1),MAX(0,(Slot13_Cost-EN87*(1+Slot13_Rate)^(Slot13_Age-D87))/LW87),0)</f>
        <v>0</v>
      </c>
      <c r="LY87" s="1" t="n">
        <f aca="false">IF(AND(HT87=1,ID87&gt;0,Slot13_IsWG=1,EM87=1),MIN(ID87,LX87),0)</f>
        <v>0</v>
      </c>
      <c r="LZ87" s="1" t="n">
        <f aca="false">EN87+LY87</f>
        <v>0</v>
      </c>
      <c r="MA87" s="1" t="n">
        <f aca="false">IF(EM87=1,MAX(0,(Slot13_Cost-LZ87*(1+Slot13_Rate)^(Slot13_Age-D87))/LW87),0)</f>
        <v>0</v>
      </c>
      <c r="MB87" s="1" t="n">
        <f aca="false">IF(EM87=1,MAX(0,(Slot13_Cost-EN87*(1+Slot13_Rate)^(Slot13_Age-D87))/LW87),0)</f>
        <v>0</v>
      </c>
      <c r="MC87" s="1" t="n">
        <f aca="false">IF(AND(HT87=1,EM87=1),MIN(LV87,MA87),0)</f>
        <v>0</v>
      </c>
      <c r="MD87" s="1" t="n">
        <f aca="false">LV87-MC87</f>
        <v>0</v>
      </c>
      <c r="ME87" s="1" t="n">
        <f aca="false">IF(EW87=1,IF(ABS((1+AS_Wage)/(1+Slot14_Rate)-1)&lt;0.000000000001,(Slot14_Age-D87)*(1+Slot14_Rate)^(Slot14_Age-D87),(1+Slot14_Rate)^(Slot14_Age-D87)*(1-((1+AS_Wage)/(1+Slot14_Rate))^(Slot14_Age-D87))/(1-(1+AS_Wage)/(1+Slot14_Rate))),1)</f>
        <v>1</v>
      </c>
      <c r="MF87" s="1" t="n">
        <f aca="false">IF(AND(HT87=1,ID87&gt;0,Slot14_IsWG=1,EW87=1),MAX(0,(Slot14_Cost-EX87*(1+Slot14_Rate)^(Slot14_Age-D87))/ME87),0)</f>
        <v>0</v>
      </c>
      <c r="MG87" s="1" t="n">
        <f aca="false">IF(AND(HT87=1,ID87&gt;0,Slot14_IsWG=1,EW87=1),MIN(ID87,MF87),0)</f>
        <v>0</v>
      </c>
      <c r="MH87" s="1" t="n">
        <f aca="false">EX87+MG87</f>
        <v>0</v>
      </c>
      <c r="MI87" s="1" t="n">
        <f aca="false">IF(EW87=1,MAX(0,(Slot14_Cost-MH87*(1+Slot14_Rate)^(Slot14_Age-D87))/ME87),0)</f>
        <v>0</v>
      </c>
      <c r="MJ87" s="1" t="n">
        <f aca="false">IF(EW87=1,MAX(0,(Slot14_Cost-EX87*(1+Slot14_Rate)^(Slot14_Age-D87))/ME87),0)</f>
        <v>0</v>
      </c>
      <c r="MK87" s="1" t="n">
        <f aca="false">IF(AND(HT87=1,EW87=1),MIN(MD87,MI87),0)</f>
        <v>0</v>
      </c>
      <c r="ML87" s="1" t="n">
        <f aca="false">MD87-MK87</f>
        <v>0</v>
      </c>
      <c r="MM87" s="1" t="n">
        <f aca="false">IF(FG87=1,IF(ABS((1+AS_Wage)/(1+Slot15_Rate)-1)&lt;0.000000000001,(Slot15_Age-D87)*(1+Slot15_Rate)^(Slot15_Age-D87),(1+Slot15_Rate)^(Slot15_Age-D87)*(1-((1+AS_Wage)/(1+Slot15_Rate))^(Slot15_Age-D87))/(1-(1+AS_Wage)/(1+Slot15_Rate))),1)</f>
        <v>1</v>
      </c>
      <c r="MN87" s="1" t="n">
        <f aca="false">IF(AND(HT87=1,ID87&gt;0,Slot15_IsWG=1,FG87=1),MAX(0,(Slot15_Cost-FH87*(1+Slot15_Rate)^(Slot15_Age-D87))/MM87),0)</f>
        <v>0</v>
      </c>
      <c r="MO87" s="1" t="n">
        <f aca="false">IF(AND(HT87=1,ID87&gt;0,Slot15_IsWG=1,FG87=1),MIN(ID87,MN87),0)</f>
        <v>0</v>
      </c>
      <c r="MP87" s="1" t="n">
        <f aca="false">FH87+MO87</f>
        <v>0</v>
      </c>
      <c r="MQ87" s="1" t="n">
        <f aca="false">IF(FG87=1,MAX(0,(Slot15_Cost-MP87*(1+Slot15_Rate)^(Slot15_Age-D87))/MM87),0)</f>
        <v>0</v>
      </c>
      <c r="MR87" s="1" t="n">
        <f aca="false">IF(FG87=1,MAX(0,(Slot15_Cost-FH87*(1+Slot15_Rate)^(Slot15_Age-D87))/MM87),0)</f>
        <v>0</v>
      </c>
      <c r="MS87" s="1" t="n">
        <f aca="false">IF(AND(HT87=1,FG87=1),MIN(ML87,MQ87),0)</f>
        <v>0</v>
      </c>
      <c r="MT87" s="1" t="n">
        <f aca="false">ML87-MS87</f>
        <v>0</v>
      </c>
      <c r="MU87" s="1" t="n">
        <f aca="false">IF(FQ87=1,IF(ABS((1+AS_Wage)/(1+Slot16_Rate)-1)&lt;0.000000000001,(Slot16_Age-D87)*(1+Slot16_Rate)^(Slot16_Age-D87),(1+Slot16_Rate)^(Slot16_Age-D87)*(1-((1+AS_Wage)/(1+Slot16_Rate))^(Slot16_Age-D87))/(1-(1+AS_Wage)/(1+Slot16_Rate))),1)</f>
        <v>1</v>
      </c>
      <c r="MV87" s="1" t="n">
        <f aca="false">IF(AND(HT87=1,ID87&gt;0,Slot16_IsWG=1,FQ87=1),MAX(0,(Slot16_Cost-FR87*(1+Slot16_Rate)^(Slot16_Age-D87))/MU87),0)</f>
        <v>0</v>
      </c>
      <c r="MW87" s="1" t="n">
        <f aca="false">IF(AND(HT87=1,ID87&gt;0,Slot16_IsWG=1,FQ87=1),MIN(ID87,MV87),0)</f>
        <v>0</v>
      </c>
      <c r="MX87" s="1" t="n">
        <f aca="false">FR87+MW87</f>
        <v>0</v>
      </c>
      <c r="MY87" s="1" t="n">
        <f aca="false">IF(FQ87=1,MAX(0,(Slot16_Cost-MX87*(1+Slot16_Rate)^(Slot16_Age-D87))/MU87),0)</f>
        <v>0</v>
      </c>
      <c r="MZ87" s="1" t="n">
        <f aca="false">IF(FQ87=1,MAX(0,(Slot16_Cost-FR87*(1+Slot16_Rate)^(Slot16_Age-D87))/MU87),0)</f>
        <v>0</v>
      </c>
      <c r="NA87" s="1" t="n">
        <f aca="false">IF(AND(HT87=1,FQ87=1),MIN(MT87,MY87),0)</f>
        <v>0</v>
      </c>
      <c r="NB87" s="1" t="n">
        <f aca="false">MT87-NA87</f>
        <v>0</v>
      </c>
      <c r="NC87" s="1" t="n">
        <f aca="false">IF(GA87=1,IF(ABS((1+AS_Wage)/(1+Slot17_Rate)-1)&lt;0.000000000001,(Slot17_Age-D87)*(1+Slot17_Rate)^(Slot17_Age-D87),(1+Slot17_Rate)^(Slot17_Age-D87)*(1-((1+AS_Wage)/(1+Slot17_Rate))^(Slot17_Age-D87))/(1-(1+AS_Wage)/(1+Slot17_Rate))),1)</f>
        <v>1</v>
      </c>
      <c r="ND87" s="1" t="n">
        <f aca="false">IF(AND(HT87=1,ID87&gt;0,Slot17_IsWG=1,GA87=1),MAX(0,(Slot17_Cost-GB87*(1+Slot17_Rate)^(Slot17_Age-D87))/NC87),0)</f>
        <v>0</v>
      </c>
      <c r="NE87" s="1" t="n">
        <f aca="false">IF(AND(HT87=1,ID87&gt;0,Slot17_IsWG=1,GA87=1),MIN(ID87,ND87),0)</f>
        <v>0</v>
      </c>
      <c r="NF87" s="1" t="n">
        <f aca="false">GB87+NE87</f>
        <v>0</v>
      </c>
      <c r="NG87" s="1" t="n">
        <f aca="false">IF(GA87=1,MAX(0,(Slot17_Cost-NF87*(1+Slot17_Rate)^(Slot17_Age-D87))/NC87),0)</f>
        <v>0</v>
      </c>
      <c r="NH87" s="1" t="n">
        <f aca="false">IF(GA87=1,MAX(0,(Slot17_Cost-GB87*(1+Slot17_Rate)^(Slot17_Age-D87))/NC87),0)</f>
        <v>0</v>
      </c>
      <c r="NI87" s="1" t="n">
        <f aca="false">IF(AND(HT87=1,GA87=1),MIN(NB87,NG87),0)</f>
        <v>0</v>
      </c>
      <c r="NJ87" s="1" t="n">
        <f aca="false">NB87-NI87</f>
        <v>0</v>
      </c>
      <c r="NK87" s="1" t="n">
        <f aca="false">IF(GK87=1,IF(ABS((1+AS_Wage)/(1+Slot18_Rate)-1)&lt;0.000000000001,(Slot18_Age-D87)*(1+Slot18_Rate)^(Slot18_Age-D87),(1+Slot18_Rate)^(Slot18_Age-D87)*(1-((1+AS_Wage)/(1+Slot18_Rate))^(Slot18_Age-D87))/(1-(1+AS_Wage)/(1+Slot18_Rate))),1)</f>
        <v>1</v>
      </c>
      <c r="NL87" s="1" t="n">
        <f aca="false">IF(AND(HT87=1,ID87&gt;0,Slot18_IsWG=1,GK87=1),MAX(0,(Slot18_Cost-GL87*(1+Slot18_Rate)^(Slot18_Age-D87))/NK87),0)</f>
        <v>0</v>
      </c>
      <c r="NM87" s="1" t="n">
        <f aca="false">IF(AND(HT87=1,ID87&gt;0,Slot18_IsWG=1,GK87=1),MIN(ID87,NL87),0)</f>
        <v>0</v>
      </c>
      <c r="NN87" s="1" t="n">
        <f aca="false">GL87+NM87</f>
        <v>0</v>
      </c>
      <c r="NO87" s="1" t="n">
        <f aca="false">IF(GK87=1,MAX(0,(Slot18_Cost-NN87*(1+Slot18_Rate)^(Slot18_Age-D87))/NK87),0)</f>
        <v>0</v>
      </c>
      <c r="NP87" s="1" t="n">
        <f aca="false">IF(GK87=1,MAX(0,(Slot18_Cost-GL87*(1+Slot18_Rate)^(Slot18_Age-D87))/NK87),0)</f>
        <v>0</v>
      </c>
      <c r="NQ87" s="1" t="n">
        <f aca="false">IF(AND(HT87=1,GK87=1),MIN(NJ87,NO87),0)</f>
        <v>0</v>
      </c>
      <c r="NR87" s="1" t="n">
        <f aca="false">NJ87-NQ87</f>
        <v>0</v>
      </c>
      <c r="NS87" s="1" t="n">
        <f aca="false">IF(GU87=1,IF(ABS((1+AS_Wage)/(1+Slot19_Rate)-1)&lt;0.000000000001,(Slot19_Age-D87)*(1+Slot19_Rate)^(Slot19_Age-D87),(1+Slot19_Rate)^(Slot19_Age-D87)*(1-((1+AS_Wage)/(1+Slot19_Rate))^(Slot19_Age-D87))/(1-(1+AS_Wage)/(1+Slot19_Rate))),1)</f>
        <v>1</v>
      </c>
      <c r="NT87" s="1" t="n">
        <f aca="false">IF(AND(HT87=1,ID87&gt;0,Slot19_IsWG=1,GU87=1),MAX(0,(Slot19_Cost-GV87*(1+Slot19_Rate)^(Slot19_Age-D87))/NS87),0)</f>
        <v>0</v>
      </c>
      <c r="NU87" s="1" t="n">
        <f aca="false">IF(AND(HT87=1,ID87&gt;0,Slot19_IsWG=1,GU87=1),MIN(ID87,NT87),0)</f>
        <v>0</v>
      </c>
      <c r="NV87" s="1" t="n">
        <f aca="false">GV87+NU87</f>
        <v>0</v>
      </c>
      <c r="NW87" s="1" t="n">
        <f aca="false">IF(GU87=1,MAX(0,(Slot19_Cost-NV87*(1+Slot19_Rate)^(Slot19_Age-D87))/NS87),0)</f>
        <v>0</v>
      </c>
      <c r="NX87" s="1" t="n">
        <f aca="false">IF(GU87=1,MAX(0,(Slot19_Cost-GV87*(1+Slot19_Rate)^(Slot19_Age-D87))/NS87),0)</f>
        <v>0</v>
      </c>
      <c r="NY87" s="1" t="n">
        <f aca="false">IF(AND(HT87=1,GU87=1),MIN(NR87,NW87),0)</f>
        <v>0</v>
      </c>
      <c r="NZ87" s="1" t="n">
        <f aca="false">NR87-NY87</f>
        <v>0</v>
      </c>
      <c r="OA87" s="1" t="n">
        <f aca="false">IF(HE87=1,IF(ABS((1+AS_Wage)/(1+Slot20_Rate)-1)&lt;0.000000000001,(Slot20_Age-D87)*(1+Slot20_Rate)^(Slot20_Age-D87),(1+Slot20_Rate)^(Slot20_Age-D87)*(1-((1+AS_Wage)/(1+Slot20_Rate))^(Slot20_Age-D87))/(1-(1+AS_Wage)/(1+Slot20_Rate))),1)</f>
        <v>1</v>
      </c>
      <c r="OB87" s="1" t="n">
        <f aca="false">IF(AND(HT87=1,ID87&gt;0,Slot20_IsWG=1,HE87=1),MAX(0,(Slot20_Cost-HF87*(1+Slot20_Rate)^(Slot20_Age-D87))/OA87),0)</f>
        <v>0</v>
      </c>
      <c r="OC87" s="1" t="n">
        <f aca="false">IF(AND(HT87=1,ID87&gt;0,Slot20_IsWG=1,HE87=1),MIN(ID87,OB87),0)</f>
        <v>0</v>
      </c>
      <c r="OD87" s="1" t="n">
        <f aca="false">HF87+OC87</f>
        <v>0</v>
      </c>
      <c r="OE87" s="1" t="n">
        <f aca="false">IF(HE87=1,MAX(0,(Slot20_Cost-OD87*(1+Slot20_Rate)^(Slot20_Age-D87))/OA87),0)</f>
        <v>0</v>
      </c>
      <c r="OF87" s="1" t="n">
        <f aca="false">IF(HE87=1,MAX(0,(Slot20_Cost-HF87*(1+Slot20_Rate)^(Slot20_Age-D87))/OA87),0)</f>
        <v>0</v>
      </c>
      <c r="OG87" s="1" t="n">
        <f aca="false">IF(AND(HT87=1,HE87=1),MIN(NZ87,OE87),0)</f>
        <v>0</v>
      </c>
      <c r="OH87" s="1" t="n">
        <f aca="false">NZ87-OG87</f>
        <v>0</v>
      </c>
      <c r="OI87" s="1" t="n">
        <f aca="false">ID87-(IG87+IO87+IW87+JE87+JM87+JU87+KC87+KK87+KS87+LA87+LI87+LQ87+LY87+MG87+MO87+MW87+NE87+NM87+NU87+OC87)</f>
        <v>0</v>
      </c>
      <c r="OJ87" s="1" t="n">
        <f aca="false">IF(HT87=1,HR87-IC87-ID87,0)</f>
        <v>59513.2430194681</v>
      </c>
      <c r="OK87" s="1" t="n">
        <f aca="false">IF(HT87=0,-HR87,0)</f>
        <v>0</v>
      </c>
      <c r="OL87" s="1" t="n">
        <f aca="false">MIN(OK87,HJ87)</f>
        <v>0</v>
      </c>
      <c r="OM87" s="1" t="n">
        <f aca="false">OK87-OL87</f>
        <v>0</v>
      </c>
      <c r="ON87" s="1" t="n">
        <f aca="false">MIN(OM87,HK87)</f>
        <v>0</v>
      </c>
      <c r="OO87" s="1" t="n">
        <f aca="false">OM87-ON87</f>
        <v>0</v>
      </c>
      <c r="OP87" s="1" t="n">
        <f aca="false">IF(AND(HT87=0,HE87=1,OO87&gt;0),MIN(OO87,HF87),0)</f>
        <v>0</v>
      </c>
      <c r="OQ87" s="1" t="n">
        <f aca="false">OO87-OP87</f>
        <v>0</v>
      </c>
      <c r="OR87" s="1" t="n">
        <f aca="false">IF(AND(HT87=0,GU87=1,OQ87&gt;0),MIN(OQ87,GV87),0)</f>
        <v>0</v>
      </c>
      <c r="OS87" s="1" t="n">
        <f aca="false">OQ87-OR87</f>
        <v>0</v>
      </c>
      <c r="OT87" s="1" t="n">
        <f aca="false">IF(AND(HT87=0,GK87=1,OS87&gt;0),MIN(OS87,GL87),0)</f>
        <v>0</v>
      </c>
      <c r="OU87" s="1" t="n">
        <f aca="false">OS87-OT87</f>
        <v>0</v>
      </c>
      <c r="OV87" s="1" t="n">
        <f aca="false">IF(AND(HT87=0,GA87=1,OU87&gt;0),MIN(OU87,GB87),0)</f>
        <v>0</v>
      </c>
      <c r="OW87" s="1" t="n">
        <f aca="false">OU87-OV87</f>
        <v>0</v>
      </c>
      <c r="OX87" s="1" t="n">
        <f aca="false">IF(AND(HT87=0,FQ87=1,OW87&gt;0),MIN(OW87,FR87),0)</f>
        <v>0</v>
      </c>
      <c r="OY87" s="1" t="n">
        <f aca="false">OW87-OX87</f>
        <v>0</v>
      </c>
      <c r="OZ87" s="1" t="n">
        <f aca="false">IF(AND(HT87=0,FG87=1,OY87&gt;0),MIN(OY87,FH87),0)</f>
        <v>0</v>
      </c>
      <c r="PA87" s="1" t="n">
        <f aca="false">OY87-OZ87</f>
        <v>0</v>
      </c>
      <c r="PB87" s="1" t="n">
        <f aca="false">IF(AND(HT87=0,EW87=1,PA87&gt;0),MIN(PA87,EX87),0)</f>
        <v>0</v>
      </c>
      <c r="PC87" s="1" t="n">
        <f aca="false">PA87-PB87</f>
        <v>0</v>
      </c>
      <c r="PD87" s="1" t="n">
        <f aca="false">IF(AND(HT87=0,EM87=1,PC87&gt;0),MIN(PC87,EN87),0)</f>
        <v>0</v>
      </c>
      <c r="PE87" s="1" t="n">
        <f aca="false">PC87-PD87</f>
        <v>0</v>
      </c>
      <c r="PF87" s="1" t="n">
        <f aca="false">IF(AND(HT87=0,EC87=1,PE87&gt;0),MIN(PE87,ED87),0)</f>
        <v>0</v>
      </c>
      <c r="PG87" s="1" t="n">
        <f aca="false">PE87-PF87</f>
        <v>0</v>
      </c>
      <c r="PH87" s="1" t="n">
        <f aca="false">IF(AND(HT87=0,DS87=1,PG87&gt;0),MIN(PG87,DT87),0)</f>
        <v>0</v>
      </c>
      <c r="PI87" s="1" t="n">
        <f aca="false">PG87-PH87</f>
        <v>0</v>
      </c>
      <c r="PJ87" s="1" t="n">
        <f aca="false">IF(AND(HT87=0,DI87=1,PI87&gt;0),MIN(PI87,DJ87),0)</f>
        <v>0</v>
      </c>
      <c r="PK87" s="1" t="n">
        <f aca="false">PI87-PJ87</f>
        <v>0</v>
      </c>
      <c r="PL87" s="1" t="n">
        <f aca="false">IF(AND(HT87=0,CY87=1,PK87&gt;0),MIN(PK87,CZ87),0)</f>
        <v>0</v>
      </c>
      <c r="PM87" s="1" t="n">
        <f aca="false">PK87-PL87</f>
        <v>0</v>
      </c>
      <c r="PN87" s="1" t="n">
        <f aca="false">IF(AND(HT87=0,CO87=1,PM87&gt;0),MIN(PM87,CP87),0)</f>
        <v>0</v>
      </c>
      <c r="PO87" s="1" t="n">
        <f aca="false">PM87-PN87</f>
        <v>0</v>
      </c>
      <c r="PP87" s="1" t="n">
        <f aca="false">IF(AND(HT87=0,CE87=1,PO87&gt;0),MIN(PO87,CF87),0)</f>
        <v>0</v>
      </c>
      <c r="PQ87" s="1" t="n">
        <f aca="false">PO87-PP87</f>
        <v>0</v>
      </c>
      <c r="PR87" s="1" t="n">
        <f aca="false">IF(AND(HT87=0,BU87=1,PQ87&gt;0),MIN(PQ87,BV87),0)</f>
        <v>0</v>
      </c>
      <c r="PS87" s="1" t="n">
        <f aca="false">PQ87-PR87</f>
        <v>0</v>
      </c>
      <c r="PT87" s="1" t="n">
        <f aca="false">IF(AND(HT87=0,BK87=1,PS87&gt;0),MIN(PS87,BL87),0)</f>
        <v>0</v>
      </c>
      <c r="PU87" s="1" t="n">
        <f aca="false">PS87-PT87</f>
        <v>0</v>
      </c>
      <c r="PV87" s="1" t="n">
        <f aca="false">IF(AND(HT87=0,BA87=1,PU87&gt;0),MIN(PU87,BB87),0)</f>
        <v>0</v>
      </c>
      <c r="PW87" s="1" t="n">
        <f aca="false">PU87-PV87</f>
        <v>0</v>
      </c>
      <c r="PX87" s="1" t="n">
        <f aca="false">IF(AND(HT87=0,AQ87=1,PW87&gt;0),MIN(PW87,AR87),0)</f>
        <v>0</v>
      </c>
      <c r="PY87" s="1" t="n">
        <f aca="false">PW87-PX87</f>
        <v>0</v>
      </c>
      <c r="PZ87" s="1" t="n">
        <f aca="false">IF(AND(HT87=0,AG87=1,PY87&gt;0),MIN(PY87,AH87),0)</f>
        <v>0</v>
      </c>
      <c r="QA87" s="1" t="n">
        <f aca="false">PY87-PZ87</f>
        <v>0</v>
      </c>
      <c r="QB87" s="1" t="n">
        <f aca="false">IF(AND(HT87=0,V87=1,QA87&gt;0),MIN(QA87,W87),0)</f>
        <v>0</v>
      </c>
      <c r="QC87" s="1" t="n">
        <f aca="false">QA87-QB87</f>
        <v>0</v>
      </c>
      <c r="QD87" s="1" t="n">
        <f aca="false">IF(HT87=0,QC87,0)</f>
        <v>0</v>
      </c>
      <c r="QE87" s="1" t="n">
        <f aca="false">OL87+ON87+QB87+PZ87+PX87+PV87+PT87+PR87+PP87+PN87+PL87+PJ87+PH87+PF87+PD87+PB87+OZ87+OX87+OV87+OT87+OR87+OP87</f>
        <v>0</v>
      </c>
      <c r="QF87" s="1" t="n">
        <f aca="false">IF(HT87=1,HJ87+OI87+OH87+IF(F87=1,0,OJ87),HJ87-OL87)</f>
        <v>814338.396483545</v>
      </c>
      <c r="QG87" s="1" t="n">
        <f aca="false">HK87-ON87</f>
        <v>0</v>
      </c>
      <c r="QH87" s="1" t="n">
        <f aca="false">IF(HT87=1,IF(F87=1,IC87+ID87,HR87),0)</f>
        <v>59513.2430194681</v>
      </c>
      <c r="QI87" s="1" t="n">
        <f aca="false">IF(HT87=1,IF(F87=1,HR87-IC87-ID87,0),0)</f>
        <v>0</v>
      </c>
      <c r="QJ87" s="1" t="n">
        <f aca="false">QF87*(1+GR)</f>
        <v>827693.546185875</v>
      </c>
      <c r="QK87" s="1" t="n">
        <f aca="false">QG87*(1+AS_Cash)</f>
        <v>0</v>
      </c>
      <c r="QL87" s="1" t="n">
        <f aca="false">IF(V87=1,IF(HT87=1,IH87+IK87,W87-QB87)*(1+Slot1_Rate),0)</f>
        <v>0</v>
      </c>
      <c r="QM87" s="1" t="n">
        <f aca="false">IF(AND(HT87=1,V87=1),(IG87+IK87)/E87,0)</f>
        <v>0</v>
      </c>
      <c r="QN87" s="1" t="n">
        <f aca="false">IF(B87=0,IG87+IK87,0)</f>
        <v>0</v>
      </c>
      <c r="QO87" s="1" t="n">
        <f aca="false">IF(B87=0,IF(HT87=1,II87,IJ87),0)</f>
        <v>0</v>
      </c>
      <c r="QP87" s="1" t="n">
        <f aca="false">IF(AG87=1,IF(HT87=1,IP87+IS87,AH87-PZ87)*(1+Slot2_Rate),0)</f>
        <v>0</v>
      </c>
      <c r="QQ87" s="1" t="n">
        <f aca="false">IF(AND(HT87=1,AG87=1),(IO87+IS87)/E87,0)</f>
        <v>0</v>
      </c>
      <c r="QR87" s="1" t="n">
        <f aca="false">IF(B87=0,IO87+IS87,0)</f>
        <v>0</v>
      </c>
      <c r="QS87" s="1" t="n">
        <f aca="false">IF(B87=0,IF(HT87=1,IQ87,IR87),0)</f>
        <v>0</v>
      </c>
      <c r="QT87" s="1" t="n">
        <f aca="false">IF(AQ87=1,IF(HT87=1,IX87+JA87,AR87-PX87)*(1+Slot3_Rate),0)</f>
        <v>0</v>
      </c>
      <c r="QU87" s="1" t="n">
        <f aca="false">IF(AND(HT87=1,AQ87=1),(IW87+JA87)/E87,0)</f>
        <v>0</v>
      </c>
      <c r="QV87" s="1" t="n">
        <f aca="false">IF(B87=0,IW87+JA87,0)</f>
        <v>0</v>
      </c>
      <c r="QW87" s="1" t="n">
        <f aca="false">IF(B87=0,IF(HT87=1,IY87,IZ87),0)</f>
        <v>0</v>
      </c>
      <c r="QX87" s="1" t="n">
        <f aca="false">IF(BA87=1,IF(HT87=1,JF87+JI87,BB87-PV87)*(1+Slot4_Rate),0)</f>
        <v>0</v>
      </c>
      <c r="QY87" s="1" t="n">
        <f aca="false">IF(AND(HT87=1,BA87=1),(JE87+JI87)/E87,0)</f>
        <v>0</v>
      </c>
      <c r="QZ87" s="1" t="n">
        <f aca="false">IF(B87=0,JE87+JI87,0)</f>
        <v>0</v>
      </c>
      <c r="RA87" s="1" t="n">
        <f aca="false">IF(B87=0,IF(HT87=1,JG87,JH87),0)</f>
        <v>0</v>
      </c>
      <c r="RB87" s="1" t="n">
        <f aca="false">IF(BK87=1,IF(HT87=1,JN87+JQ87,BL87-PT87)*(1+Slot5_Rate),0)</f>
        <v>0</v>
      </c>
      <c r="RC87" s="1" t="n">
        <f aca="false">IF(AND(HT87=1,BK87=1),(JM87+JQ87)/E87,0)</f>
        <v>0</v>
      </c>
      <c r="RD87" s="1" t="n">
        <f aca="false">IF(B87=0,JM87+JQ87,0)</f>
        <v>0</v>
      </c>
      <c r="RE87" s="1" t="n">
        <f aca="false">IF(B87=0,IF(HT87=1,JO87,JP87),0)</f>
        <v>0</v>
      </c>
      <c r="RF87" s="1" t="n">
        <f aca="false">IF(BU87=1,IF(HT87=1,JV87+JY87,BV87-PR87)*(1+Slot6_Rate),0)</f>
        <v>0</v>
      </c>
      <c r="RG87" s="1" t="n">
        <f aca="false">IF(AND(HT87=1,BU87=1),(JU87+JY87)/E87,0)</f>
        <v>0</v>
      </c>
      <c r="RH87" s="1" t="n">
        <f aca="false">IF(B87=0,JU87+JY87,0)</f>
        <v>0</v>
      </c>
      <c r="RI87" s="1" t="n">
        <f aca="false">IF(B87=0,IF(HT87=1,JW87,JX87),0)</f>
        <v>0</v>
      </c>
      <c r="RJ87" s="1" t="n">
        <f aca="false">IF(CE87=1,IF(HT87=1,KD87+KG87,CF87-PP87)*(1+Slot7_Rate),0)</f>
        <v>0</v>
      </c>
      <c r="RK87" s="1" t="n">
        <f aca="false">IF(AND(HT87=1,CE87=1),(KC87+KG87)/E87,0)</f>
        <v>0</v>
      </c>
      <c r="RL87" s="1" t="n">
        <f aca="false">IF(B87=0,KC87+KG87,0)</f>
        <v>0</v>
      </c>
      <c r="RM87" s="1" t="n">
        <f aca="false">IF(B87=0,IF(HT87=1,KE87,KF87),0)</f>
        <v>0</v>
      </c>
      <c r="RN87" s="1" t="n">
        <f aca="false">IF(CO87=1,IF(HT87=1,KL87+KO87,CP87-PN87)*(1+Slot8_Rate),0)</f>
        <v>0</v>
      </c>
      <c r="RO87" s="1" t="n">
        <f aca="false">IF(AND(HT87=1,CO87=1),(KK87+KO87)/E87,0)</f>
        <v>0</v>
      </c>
      <c r="RP87" s="1" t="n">
        <f aca="false">IF(B87=0,KK87+KO87,0)</f>
        <v>0</v>
      </c>
      <c r="RQ87" s="1" t="n">
        <f aca="false">IF(B87=0,IF(HT87=1,KM87,KN87),0)</f>
        <v>0</v>
      </c>
      <c r="RR87" s="1" t="n">
        <f aca="false">IF(CY87=1,IF(HT87=1,KT87+KW87,CZ87-PL87)*(1+Slot9_Rate),0)</f>
        <v>0</v>
      </c>
      <c r="RS87" s="1" t="n">
        <f aca="false">IF(AND(HT87=1,CY87=1),(KS87+KW87)/E87,0)</f>
        <v>0</v>
      </c>
      <c r="RT87" s="1" t="n">
        <f aca="false">IF(B87=0,KS87+KW87,0)</f>
        <v>0</v>
      </c>
      <c r="RU87" s="1" t="n">
        <f aca="false">IF(B87=0,IF(HT87=1,KU87,KV87),0)</f>
        <v>0</v>
      </c>
      <c r="RV87" s="1" t="n">
        <f aca="false">IF(DI87=1,IF(HT87=1,LB87+LE87,DJ87-PJ87)*(1+Slot10_Rate),0)</f>
        <v>0</v>
      </c>
      <c r="RW87" s="1" t="n">
        <f aca="false">IF(AND(HT87=1,DI87=1),(LA87+LE87)/E87,0)</f>
        <v>0</v>
      </c>
      <c r="RX87" s="1" t="n">
        <f aca="false">IF(B87=0,LA87+LE87,0)</f>
        <v>0</v>
      </c>
      <c r="RY87" s="1" t="n">
        <f aca="false">IF(B87=0,IF(HT87=1,LC87,LD87),0)</f>
        <v>0</v>
      </c>
      <c r="RZ87" s="1" t="n">
        <f aca="false">IF(DS87=1,IF(HT87=1,LJ87+LM87,DT87-PH87)*(1+Slot11_Rate),0)</f>
        <v>0</v>
      </c>
      <c r="SA87" s="1" t="n">
        <f aca="false">IF(AND(HT87=1,DS87=1),(LI87+LM87)/E87,0)</f>
        <v>0</v>
      </c>
      <c r="SB87" s="1" t="n">
        <f aca="false">IF(B87=0,LI87+LM87,0)</f>
        <v>0</v>
      </c>
      <c r="SC87" s="1" t="n">
        <f aca="false">IF(B87=0,IF(HT87=1,LK87,LL87),0)</f>
        <v>0</v>
      </c>
      <c r="SD87" s="1" t="n">
        <f aca="false">IF(EC87=1,IF(HT87=1,LR87+LU87,ED87-PF87)*(1+Slot12_Rate),0)</f>
        <v>0</v>
      </c>
      <c r="SE87" s="1" t="n">
        <f aca="false">IF(AND(HT87=1,EC87=1),(LQ87+LU87)/E87,0)</f>
        <v>0</v>
      </c>
      <c r="SF87" s="1" t="n">
        <f aca="false">IF(B87=0,LQ87+LU87,0)</f>
        <v>0</v>
      </c>
      <c r="SG87" s="1" t="n">
        <f aca="false">IF(B87=0,IF(HT87=1,LS87,LT87),0)</f>
        <v>0</v>
      </c>
      <c r="SH87" s="1" t="n">
        <f aca="false">IF(EM87=1,IF(HT87=1,LZ87+MC87,EN87-PD87)*(1+Slot13_Rate),0)</f>
        <v>0</v>
      </c>
      <c r="SI87" s="1" t="n">
        <f aca="false">IF(AND(HT87=1,EM87=1),(LY87+MC87)/E87,0)</f>
        <v>0</v>
      </c>
      <c r="SJ87" s="1" t="n">
        <f aca="false">IF(B87=0,LY87+MC87,0)</f>
        <v>0</v>
      </c>
      <c r="SK87" s="1" t="n">
        <f aca="false">IF(B87=0,IF(HT87=1,MA87,MB87),0)</f>
        <v>0</v>
      </c>
      <c r="SL87" s="1" t="n">
        <f aca="false">IF(EW87=1,IF(HT87=1,MH87+MK87,EX87-PB87)*(1+Slot14_Rate),0)</f>
        <v>0</v>
      </c>
      <c r="SM87" s="1" t="n">
        <f aca="false">IF(AND(HT87=1,EW87=1),(MG87+MK87)/E87,0)</f>
        <v>0</v>
      </c>
      <c r="SN87" s="1" t="n">
        <f aca="false">IF(B87=0,MG87+MK87,0)</f>
        <v>0</v>
      </c>
      <c r="SO87" s="1" t="n">
        <f aca="false">IF(B87=0,IF(HT87=1,MI87,MJ87),0)</f>
        <v>0</v>
      </c>
      <c r="SP87" s="1" t="n">
        <f aca="false">IF(FG87=1,IF(HT87=1,MP87+MS87,FH87-OZ87)*(1+Slot15_Rate),0)</f>
        <v>0</v>
      </c>
      <c r="SQ87" s="1" t="n">
        <f aca="false">IF(AND(HT87=1,FG87=1),(MO87+MS87)/E87,0)</f>
        <v>0</v>
      </c>
      <c r="SR87" s="1" t="n">
        <f aca="false">IF(B87=0,MO87+MS87,0)</f>
        <v>0</v>
      </c>
      <c r="SS87" s="1" t="n">
        <f aca="false">IF(B87=0,IF(HT87=1,MQ87,MR87),0)</f>
        <v>0</v>
      </c>
      <c r="ST87" s="1" t="n">
        <f aca="false">IF(FQ87=1,IF(HT87=1,MX87+NA87,FR87-OX87)*(1+Slot16_Rate),0)</f>
        <v>0</v>
      </c>
      <c r="SU87" s="1" t="n">
        <f aca="false">IF(AND(HT87=1,FQ87=1),(MW87+NA87)/E87,0)</f>
        <v>0</v>
      </c>
      <c r="SV87" s="1" t="n">
        <f aca="false">IF(B87=0,MW87+NA87,0)</f>
        <v>0</v>
      </c>
      <c r="SW87" s="1" t="n">
        <f aca="false">IF(B87=0,IF(HT87=1,MY87,MZ87),0)</f>
        <v>0</v>
      </c>
      <c r="SX87" s="1" t="n">
        <f aca="false">IF(GA87=1,IF(HT87=1,NF87+NI87,GB87-OV87)*(1+Slot17_Rate),0)</f>
        <v>0</v>
      </c>
      <c r="SY87" s="1" t="n">
        <f aca="false">IF(AND(HT87=1,GA87=1),(NE87+NI87)/E87,0)</f>
        <v>0</v>
      </c>
      <c r="SZ87" s="1" t="n">
        <f aca="false">IF(B87=0,NE87+NI87,0)</f>
        <v>0</v>
      </c>
      <c r="TA87" s="1" t="n">
        <f aca="false">IF(B87=0,IF(HT87=1,NG87,NH87),0)</f>
        <v>0</v>
      </c>
      <c r="TB87" s="1" t="n">
        <f aca="false">IF(GK87=1,IF(HT87=1,NN87+NQ87,GL87-OT87)*(1+Slot18_Rate),0)</f>
        <v>0</v>
      </c>
      <c r="TC87" s="1" t="n">
        <f aca="false">IF(AND(HT87=1,GK87=1),(NM87+NQ87)/E87,0)</f>
        <v>0</v>
      </c>
      <c r="TD87" s="1" t="n">
        <f aca="false">IF(B87=0,NM87+NQ87,0)</f>
        <v>0</v>
      </c>
      <c r="TE87" s="1" t="n">
        <f aca="false">IF(B87=0,IF(HT87=1,NO87,NP87),0)</f>
        <v>0</v>
      </c>
      <c r="TF87" s="1" t="n">
        <f aca="false">IF(GU87=1,IF(HT87=1,NV87+NY87,GV87-OR87)*(1+Slot19_Rate),0)</f>
        <v>0</v>
      </c>
      <c r="TG87" s="1" t="n">
        <f aca="false">IF(AND(HT87=1,GU87=1),(NU87+NY87)/E87,0)</f>
        <v>0</v>
      </c>
      <c r="TH87" s="1" t="n">
        <f aca="false">IF(B87=0,NU87+NY87,0)</f>
        <v>0</v>
      </c>
      <c r="TI87" s="1" t="n">
        <f aca="false">IF(B87=0,IF(HT87=1,NW87,NX87),0)</f>
        <v>0</v>
      </c>
      <c r="TJ87" s="1" t="n">
        <f aca="false">IF(HE87=1,IF(HT87=1,OD87+OG87,HF87-OP87)*(1+Slot20_Rate),0)</f>
        <v>0</v>
      </c>
      <c r="TK87" s="1" t="n">
        <f aca="false">IF(AND(HT87=1,HE87=1),(OC87+OG87)/E87,0)</f>
        <v>0</v>
      </c>
      <c r="TL87" s="1" t="n">
        <f aca="false">IF(B87=0,OC87+OG87,0)</f>
        <v>0</v>
      </c>
      <c r="TM87" s="1" t="n">
        <f aca="false">IF(B87=0,IF(HT87=1,OE87,OF87),0)</f>
        <v>0</v>
      </c>
      <c r="TN87" s="1" t="n">
        <f aca="false">QJ87+QK87+QL87+QP87+QT87+QX87+RB87+RF87+RJ87+RN87+RR87+RV87+RZ87+SD87+SH87+SL87+SP87+ST87+SX87+TB87+TF87+TJ87</f>
        <v>827693.546185875</v>
      </c>
      <c r="TO87" s="1" t="n">
        <f aca="false">QD87+HO87</f>
        <v>0</v>
      </c>
      <c r="TP87" s="1" t="n">
        <f aca="false">H87+R87</f>
        <v>0</v>
      </c>
      <c r="TQ87" s="1" t="n">
        <f aca="false">1-F87</f>
        <v>1</v>
      </c>
      <c r="TR87" s="1" t="n">
        <f aca="false">IF(AND(RG_Exists=1,F87=0,C87=1),H87,0)</f>
        <v>0</v>
      </c>
      <c r="TS87" s="1" t="n">
        <f aca="false">IF(AND(RG_Exists=1,F87=0,C87=1),H87-MIN(QD87,H87),0)</f>
        <v>0</v>
      </c>
      <c r="TT87" s="1" t="n">
        <f aca="false">'Plan pay &amp; tax'!AD313</f>
        <v>0</v>
      </c>
      <c r="TU87" s="1" t="n">
        <f aca="false">IF(AND(C87=1,QD87&gt;MAX(PR_Short1,TP87*PR_Short2)),1,0)</f>
        <v>0</v>
      </c>
      <c r="TV87" s="1" t="n">
        <f aca="false">MIN(G87,H87+R87)</f>
        <v>0</v>
      </c>
      <c r="TW87" s="1" t="n">
        <f aca="false">QE87+MAX(0,HP87-HO87)</f>
        <v>0</v>
      </c>
      <c r="TX87" s="1" t="n">
        <f aca="false">QD87+HO87</f>
        <v>0</v>
      </c>
      <c r="TY87" s="1" t="n">
        <f aca="false">IF(AND(C87=1,TX87&gt;PR_MinShort),1,0)</f>
        <v>0</v>
      </c>
      <c r="TZ87" s="1" t="n">
        <f aca="false">IF(AND(C87=1,TY87=0,TW87&gt;PR_MinShort),1,0)</f>
        <v>0</v>
      </c>
      <c r="UA87" s="1" t="n">
        <f aca="false">IF(AND(C87=1,QD87&gt;PR_MinShort),1,0)</f>
        <v>0</v>
      </c>
      <c r="UB87" s="1" t="n">
        <f aca="false">IF(AND(C87=1,QE87&gt;1,UI87=0),1,0)</f>
        <v>0</v>
      </c>
      <c r="UC87" s="1" t="str">
        <f aca="false">IF(C87=0,"",IF(UI87=1,"Gap to plan for: short "&amp;"€"&amp;TEXT(ROUND(TO87,0),"#,##0"),IF(QE87&gt;1,"Using savings","Comfortable")))</f>
        <v>Comfortable</v>
      </c>
      <c r="UD87" s="1" t="n">
        <f aca="false">IF(AND(INT(D87/10)*10=90,B87&gt;0),80,INT(D87/10)*10)</f>
        <v>70</v>
      </c>
      <c r="UE87" s="1" t="n">
        <f aca="false">IF(B87=0,1,IF(UD87&lt;&gt;UD86,UE86+1,UE86))</f>
        <v>8</v>
      </c>
      <c r="UF87" s="1" t="n">
        <f aca="false">IF(AND(C87=1,F87=1,QD87&gt;MAX(PR_Short1,TP87*PR_Short2)),1,0)</f>
        <v>0</v>
      </c>
      <c r="UG87" s="1" t="n">
        <f aca="false">TQ87*TU87</f>
        <v>0</v>
      </c>
      <c r="UH87" s="1" t="n">
        <f aca="false">IF(AND(U87=1,Slot1_PctLow=1),1,0)+IF(AND(AF87=1,Slot2_PctLow=1),1,0)+IF(AND(AP87=1,Slot3_PctLow=1),1,0)+IF(AND(AZ87=1,Slot4_PctLow=1),1,0)+IF(AND(BJ87=1,Slot5_PctLow=1),1,0)+IF(AND(BT87=1,Slot6_PctLow=1),1,0)+IF(AND(CD87=1,Slot7_PctLow=1),1,0)+IF(AND(CN87=1,Slot8_PctLow=1),1,0)+IF(AND(CX87=1,Slot9_PctLow=1),1,0)+IF(AND(DH87=1,Slot10_PctLow=1),1,0)+IF(AND(DR87=1,Slot11_PctLow=1),1,0)+IF(AND(EB87=1,Slot12_PctLow=1),1,0)+IF(AND(EL87=1,Slot13_PctLow=1),1,0)+IF(AND(EV87=1,Slot14_PctLow=1),1,0)+IF(AND(FF87=1,Slot15_PctLow=1),1,0)+IF(AND(FP87=1,Slot16_PctLow=1),1,0)+IF(AND(FZ87=1,Slot17_PctLow=1),1,0)+IF(AND(GJ87=1,Slot18_PctLow=1),1,0)+IF(AND(GT87=1,Slot19_PctLow=1),1,0)+IF(AND(HD87=1,Slot20_PctLow=1),1,0)</f>
        <v>0</v>
      </c>
      <c r="UI87" s="1" t="n">
        <f aca="false">IF(C87=1,IF(OR(TU87=1,UH87&gt;0),1,0),0)</f>
        <v>0</v>
      </c>
    </row>
    <row r="88" customFormat="false" ht="15" hidden="false" customHeight="true" outlineLevel="0" collapsed="false">
      <c r="B88" s="1" t="n">
        <v>80</v>
      </c>
      <c r="C88" s="1" t="n">
        <f aca="false">IF(B88&lt;=F_N,1,0)</f>
        <v>1</v>
      </c>
      <c r="D88" s="1" t="n">
        <f aca="false">'Plan pay &amp; tax'!C314</f>
        <v>80</v>
      </c>
      <c r="E88" s="111" t="n">
        <f aca="false">'Plan pay &amp; tax'!E314</f>
        <v>4.8754391560964</v>
      </c>
      <c r="F88" s="1" t="n">
        <f aca="false">'Plan pay &amp; tax'!G314</f>
        <v>0</v>
      </c>
      <c r="G88" s="1" t="n">
        <f aca="false">'Plan pay &amp; tax'!BT314-'Plan pay &amp; tax'!BS314-'Plan pay &amp; tax'!R314</f>
        <v>63238.7362410276</v>
      </c>
      <c r="H88" s="1" t="n">
        <f aca="false">IF(F88=1,F_CostsM*12,IF(RG_Exists=1,RG_Amount,F_CostsM*12*AS_RetireSpend))*E88+F_OneOffY*E88</f>
        <v>0</v>
      </c>
      <c r="I88" s="1" t="n">
        <f aca="false">HQ87</f>
        <v>0</v>
      </c>
      <c r="J88" s="1" t="n">
        <f aca="false">IF(I88&gt;1,'Plan debt months'!AC88,0)</f>
        <v>0</v>
      </c>
      <c r="K88" s="1" t="n">
        <f aca="false">IF(I88&gt;1,'Plan debt months'!AB88,I88)</f>
        <v>0</v>
      </c>
      <c r="L88" s="1" t="n">
        <f aca="false">N87</f>
        <v>0</v>
      </c>
      <c r="M88" s="1" t="n">
        <f aca="false">IF(L88&gt;1,'Plan debt months'!BD88,0)</f>
        <v>0</v>
      </c>
      <c r="N88" s="1" t="n">
        <f aca="false">IF(L88&gt;1,'Plan debt months'!BC88,L88)</f>
        <v>0</v>
      </c>
      <c r="O88" s="1" t="n">
        <f aca="false">Q87</f>
        <v>0</v>
      </c>
      <c r="P88" s="1" t="n">
        <f aca="false">IF(O88&gt;1,'Plan debt months'!CE88,0)</f>
        <v>0</v>
      </c>
      <c r="Q88" s="1" t="n">
        <f aca="false">IF(O88&gt;1,'Plan debt months'!CD88,O88)</f>
        <v>0</v>
      </c>
      <c r="R88" s="1" t="n">
        <f aca="false">J88+M88+P88</f>
        <v>0</v>
      </c>
      <c r="S88" s="1" t="n">
        <f aca="false">QJ87+'Plan pay &amp; tax'!Y314</f>
        <v>827693.546185875</v>
      </c>
      <c r="T88" s="1" t="n">
        <f aca="false">QJ87</f>
        <v>827693.546185875</v>
      </c>
      <c r="U88" s="1" t="n">
        <f aca="false">IF(AND(Slot1_On=1,D88=Slot1_Age),1,0)</f>
        <v>0</v>
      </c>
      <c r="V88" s="1" t="n">
        <f aca="false">IF(AND(Slot1_On=1,Slot1_Age&gt;D88),1,0)</f>
        <v>0</v>
      </c>
      <c r="W88" s="1" t="n">
        <f aca="false">QL87</f>
        <v>0</v>
      </c>
      <c r="X88" s="1" t="n">
        <f aca="false">U88*MIN(Slot1_Cost,W88)</f>
        <v>0</v>
      </c>
      <c r="Y88" s="1" t="n">
        <f aca="false">U88*Slot1_SpendLike*MIN(Slot1_Cost-X88,S88)</f>
        <v>0</v>
      </c>
      <c r="Z88" s="1" t="n">
        <f aca="false">X88+Y88</f>
        <v>0</v>
      </c>
      <c r="AA88" s="1" t="n">
        <f aca="false">S88-Y88+U88*IF(Slot1_SpendLike=1,W88-X88,IF(Slot1_PotFree=1,W88,0))</f>
        <v>827693.546185875</v>
      </c>
      <c r="AB88" s="1" t="n">
        <f aca="false">AE88+U88*Slot1_BufPot*W88</f>
        <v>0</v>
      </c>
      <c r="AC88" s="1" t="n">
        <f aca="false">IF(AND(U88=1,Slot1_IsMfree=1),IF(Z88&gt;=Slot1_Cost-1,0,MAX(0,K88-Z88)),K88)</f>
        <v>0</v>
      </c>
      <c r="AD88" s="1" t="n">
        <f aca="false">U88*(Slot1_Cost-Z88)</f>
        <v>0</v>
      </c>
      <c r="AE88" s="1" t="n">
        <f aca="false">QK87</f>
        <v>0</v>
      </c>
      <c r="AF88" s="1" t="n">
        <f aca="false">IF(AND(Slot2_On=1,D88=Slot2_Age),1,0)</f>
        <v>0</v>
      </c>
      <c r="AG88" s="1" t="n">
        <f aca="false">IF(AND(Slot2_On=1,Slot2_Age&gt;D88),1,0)</f>
        <v>0</v>
      </c>
      <c r="AH88" s="1" t="n">
        <f aca="false">QP87</f>
        <v>0</v>
      </c>
      <c r="AI88" s="1" t="n">
        <f aca="false">AF88*MIN(Slot2_Cost,AH88)</f>
        <v>0</v>
      </c>
      <c r="AJ88" s="1" t="n">
        <f aca="false">AF88*Slot2_SpendLike*MIN(Slot2_Cost-AI88,AA88)</f>
        <v>0</v>
      </c>
      <c r="AK88" s="1" t="n">
        <f aca="false">AI88+AJ88</f>
        <v>0</v>
      </c>
      <c r="AL88" s="1" t="n">
        <f aca="false">AA88-AJ88+AF88*IF(Slot2_SpendLike=1,AH88-AI88,IF(Slot2_PotFree=1,AH88,0))</f>
        <v>827693.546185875</v>
      </c>
      <c r="AM88" s="1" t="n">
        <f aca="false">AB88+AF88*Slot2_BufPot*AH88</f>
        <v>0</v>
      </c>
      <c r="AN88" s="1" t="n">
        <f aca="false">IF(AND(AF88=1,Slot2_IsMfree=1),IF(AK88&gt;=Slot2_Cost-1,0,MAX(0,AC88-AK88)),AC88)</f>
        <v>0</v>
      </c>
      <c r="AO88" s="1" t="n">
        <f aca="false">AF88*(Slot2_Cost-AK88)</f>
        <v>0</v>
      </c>
      <c r="AP88" s="1" t="n">
        <f aca="false">IF(AND(Slot3_On=1,D88=Slot3_Age),1,0)</f>
        <v>0</v>
      </c>
      <c r="AQ88" s="1" t="n">
        <f aca="false">IF(AND(Slot3_On=1,Slot3_Age&gt;D88),1,0)</f>
        <v>0</v>
      </c>
      <c r="AR88" s="1" t="n">
        <f aca="false">QT87</f>
        <v>0</v>
      </c>
      <c r="AS88" s="1" t="n">
        <f aca="false">AP88*MIN(Slot3_Cost,AR88)</f>
        <v>0</v>
      </c>
      <c r="AT88" s="1" t="n">
        <f aca="false">AP88*Slot3_SpendLike*MIN(Slot3_Cost-AS88,AL88)</f>
        <v>0</v>
      </c>
      <c r="AU88" s="1" t="n">
        <f aca="false">AS88+AT88</f>
        <v>0</v>
      </c>
      <c r="AV88" s="1" t="n">
        <f aca="false">AL88-AT88+AP88*IF(Slot3_SpendLike=1,AR88-AS88,IF(Slot3_PotFree=1,AR88,0))</f>
        <v>827693.546185875</v>
      </c>
      <c r="AW88" s="1" t="n">
        <f aca="false">AM88+AP88*Slot3_BufPot*AR88</f>
        <v>0</v>
      </c>
      <c r="AX88" s="1" t="n">
        <f aca="false">IF(AND(AP88=1,Slot3_IsMfree=1),IF(AU88&gt;=Slot3_Cost-1,0,MAX(0,AN88-AU88)),AN88)</f>
        <v>0</v>
      </c>
      <c r="AY88" s="1" t="n">
        <f aca="false">AP88*(Slot3_Cost-AU88)</f>
        <v>0</v>
      </c>
      <c r="AZ88" s="1" t="n">
        <f aca="false">IF(AND(Slot4_On=1,D88=Slot4_Age),1,0)</f>
        <v>0</v>
      </c>
      <c r="BA88" s="1" t="n">
        <f aca="false">IF(AND(Slot4_On=1,Slot4_Age&gt;D88),1,0)</f>
        <v>0</v>
      </c>
      <c r="BB88" s="1" t="n">
        <f aca="false">QX87</f>
        <v>0</v>
      </c>
      <c r="BC88" s="1" t="n">
        <f aca="false">AZ88*MIN(Slot4_Cost,BB88)</f>
        <v>0</v>
      </c>
      <c r="BD88" s="1" t="n">
        <f aca="false">AZ88*Slot4_SpendLike*MIN(Slot4_Cost-BC88,AV88)</f>
        <v>0</v>
      </c>
      <c r="BE88" s="1" t="n">
        <f aca="false">BC88+BD88</f>
        <v>0</v>
      </c>
      <c r="BF88" s="1" t="n">
        <f aca="false">AV88-BD88+AZ88*IF(Slot4_SpendLike=1,BB88-BC88,IF(Slot4_PotFree=1,BB88,0))</f>
        <v>827693.546185875</v>
      </c>
      <c r="BG88" s="1" t="n">
        <f aca="false">AW88+AZ88*Slot4_BufPot*BB88</f>
        <v>0</v>
      </c>
      <c r="BH88" s="1" t="n">
        <f aca="false">IF(AND(AZ88=1,Slot4_IsMfree=1),IF(BE88&gt;=Slot4_Cost-1,0,MAX(0,AX88-BE88)),AX88)</f>
        <v>0</v>
      </c>
      <c r="BI88" s="1" t="n">
        <f aca="false">AZ88*(Slot4_Cost-BE88)</f>
        <v>0</v>
      </c>
      <c r="BJ88" s="1" t="n">
        <f aca="false">IF(AND(Slot5_On=1,D88=Slot5_Age),1,0)</f>
        <v>0</v>
      </c>
      <c r="BK88" s="1" t="n">
        <f aca="false">IF(AND(Slot5_On=1,Slot5_Age&gt;D88),1,0)</f>
        <v>0</v>
      </c>
      <c r="BL88" s="1" t="n">
        <f aca="false">RB87</f>
        <v>0</v>
      </c>
      <c r="BM88" s="1" t="n">
        <f aca="false">BJ88*MIN(Slot5_Cost,BL88)</f>
        <v>0</v>
      </c>
      <c r="BN88" s="1" t="n">
        <f aca="false">BJ88*Slot5_SpendLike*MIN(Slot5_Cost-BM88,BF88)</f>
        <v>0</v>
      </c>
      <c r="BO88" s="1" t="n">
        <f aca="false">BM88+BN88</f>
        <v>0</v>
      </c>
      <c r="BP88" s="1" t="n">
        <f aca="false">BF88-BN88+BJ88*IF(Slot5_SpendLike=1,BL88-BM88,IF(Slot5_PotFree=1,BL88,0))</f>
        <v>827693.546185875</v>
      </c>
      <c r="BQ88" s="1" t="n">
        <f aca="false">BG88+BJ88*Slot5_BufPot*BL88</f>
        <v>0</v>
      </c>
      <c r="BR88" s="1" t="n">
        <f aca="false">IF(AND(BJ88=1,Slot5_IsMfree=1),IF(BO88&gt;=Slot5_Cost-1,0,MAX(0,BH88-BO88)),BH88)</f>
        <v>0</v>
      </c>
      <c r="BS88" s="1" t="n">
        <f aca="false">BJ88*(Slot5_Cost-BO88)</f>
        <v>0</v>
      </c>
      <c r="BT88" s="1" t="n">
        <f aca="false">IF(AND(Slot6_On=1,D88=Slot6_Age),1,0)</f>
        <v>0</v>
      </c>
      <c r="BU88" s="1" t="n">
        <f aca="false">IF(AND(Slot6_On=1,Slot6_Age&gt;D88),1,0)</f>
        <v>0</v>
      </c>
      <c r="BV88" s="1" t="n">
        <f aca="false">RF87</f>
        <v>0</v>
      </c>
      <c r="BW88" s="1" t="n">
        <f aca="false">BT88*MIN(Slot6_Cost,BV88)</f>
        <v>0</v>
      </c>
      <c r="BX88" s="1" t="n">
        <f aca="false">BT88*Slot6_SpendLike*MIN(Slot6_Cost-BW88,BP88)</f>
        <v>0</v>
      </c>
      <c r="BY88" s="1" t="n">
        <f aca="false">BW88+BX88</f>
        <v>0</v>
      </c>
      <c r="BZ88" s="1" t="n">
        <f aca="false">BP88-BX88+BT88*IF(Slot6_SpendLike=1,BV88-BW88,IF(Slot6_PotFree=1,BV88,0))</f>
        <v>827693.546185875</v>
      </c>
      <c r="CA88" s="1" t="n">
        <f aca="false">BQ88+BT88*Slot6_BufPot*BV88</f>
        <v>0</v>
      </c>
      <c r="CB88" s="1" t="n">
        <f aca="false">IF(AND(BT88=1,Slot6_IsMfree=1),IF(BY88&gt;=Slot6_Cost-1,0,MAX(0,BR88-BY88)),BR88)</f>
        <v>0</v>
      </c>
      <c r="CC88" s="1" t="n">
        <f aca="false">BT88*(Slot6_Cost-BY88)</f>
        <v>0</v>
      </c>
      <c r="CD88" s="1" t="n">
        <f aca="false">IF(AND(Slot7_On=1,D88=Slot7_Age),1,0)</f>
        <v>0</v>
      </c>
      <c r="CE88" s="1" t="n">
        <f aca="false">IF(AND(Slot7_On=1,Slot7_Age&gt;D88),1,0)</f>
        <v>0</v>
      </c>
      <c r="CF88" s="1" t="n">
        <f aca="false">RJ87</f>
        <v>0</v>
      </c>
      <c r="CG88" s="1" t="n">
        <f aca="false">CD88*MIN(Slot7_Cost,CF88)</f>
        <v>0</v>
      </c>
      <c r="CH88" s="1" t="n">
        <f aca="false">CD88*Slot7_SpendLike*MIN(Slot7_Cost-CG88,BZ88)</f>
        <v>0</v>
      </c>
      <c r="CI88" s="1" t="n">
        <f aca="false">CG88+CH88</f>
        <v>0</v>
      </c>
      <c r="CJ88" s="1" t="n">
        <f aca="false">BZ88-CH88+CD88*IF(Slot7_SpendLike=1,CF88-CG88,IF(Slot7_PotFree=1,CF88,0))</f>
        <v>827693.546185875</v>
      </c>
      <c r="CK88" s="1" t="n">
        <f aca="false">CA88+CD88*Slot7_BufPot*CF88</f>
        <v>0</v>
      </c>
      <c r="CL88" s="1" t="n">
        <f aca="false">IF(AND(CD88=1,Slot7_IsMfree=1),IF(CI88&gt;=Slot7_Cost-1,0,MAX(0,CB88-CI88)),CB88)</f>
        <v>0</v>
      </c>
      <c r="CM88" s="1" t="n">
        <f aca="false">CD88*(Slot7_Cost-CI88)</f>
        <v>0</v>
      </c>
      <c r="CN88" s="1" t="n">
        <f aca="false">IF(AND(Slot8_On=1,D88=Slot8_Age),1,0)</f>
        <v>0</v>
      </c>
      <c r="CO88" s="1" t="n">
        <f aca="false">IF(AND(Slot8_On=1,Slot8_Age&gt;D88),1,0)</f>
        <v>0</v>
      </c>
      <c r="CP88" s="1" t="n">
        <f aca="false">RN87</f>
        <v>0</v>
      </c>
      <c r="CQ88" s="1" t="n">
        <f aca="false">CN88*MIN(Slot8_Cost,CP88)</f>
        <v>0</v>
      </c>
      <c r="CR88" s="1" t="n">
        <f aca="false">CN88*Slot8_SpendLike*MIN(Slot8_Cost-CQ88,CJ88)</f>
        <v>0</v>
      </c>
      <c r="CS88" s="1" t="n">
        <f aca="false">CQ88+CR88</f>
        <v>0</v>
      </c>
      <c r="CT88" s="1" t="n">
        <f aca="false">CJ88-CR88+CN88*IF(Slot8_SpendLike=1,CP88-CQ88,IF(Slot8_PotFree=1,CP88,0))</f>
        <v>827693.546185875</v>
      </c>
      <c r="CU88" s="1" t="n">
        <f aca="false">CK88+CN88*Slot8_BufPot*CP88</f>
        <v>0</v>
      </c>
      <c r="CV88" s="1" t="n">
        <f aca="false">IF(AND(CN88=1,Slot8_IsMfree=1),IF(CS88&gt;=Slot8_Cost-1,0,MAX(0,CL88-CS88)),CL88)</f>
        <v>0</v>
      </c>
      <c r="CW88" s="1" t="n">
        <f aca="false">CN88*(Slot8_Cost-CS88)</f>
        <v>0</v>
      </c>
      <c r="CX88" s="1" t="n">
        <f aca="false">IF(AND(Slot9_On=1,D88=Slot9_Age),1,0)</f>
        <v>0</v>
      </c>
      <c r="CY88" s="1" t="n">
        <f aca="false">IF(AND(Slot9_On=1,Slot9_Age&gt;D88),1,0)</f>
        <v>0</v>
      </c>
      <c r="CZ88" s="1" t="n">
        <f aca="false">RR87</f>
        <v>0</v>
      </c>
      <c r="DA88" s="1" t="n">
        <f aca="false">CX88*MIN(Slot9_Cost,CZ88)</f>
        <v>0</v>
      </c>
      <c r="DB88" s="1" t="n">
        <f aca="false">CX88*Slot9_SpendLike*MIN(Slot9_Cost-DA88,CT88)</f>
        <v>0</v>
      </c>
      <c r="DC88" s="1" t="n">
        <f aca="false">DA88+DB88</f>
        <v>0</v>
      </c>
      <c r="DD88" s="1" t="n">
        <f aca="false">CT88-DB88+CX88*IF(Slot9_SpendLike=1,CZ88-DA88,IF(Slot9_PotFree=1,CZ88,0))</f>
        <v>827693.546185875</v>
      </c>
      <c r="DE88" s="1" t="n">
        <f aca="false">CU88+CX88*Slot9_BufPot*CZ88</f>
        <v>0</v>
      </c>
      <c r="DF88" s="1" t="n">
        <f aca="false">IF(AND(CX88=1,Slot9_IsMfree=1),IF(DC88&gt;=Slot9_Cost-1,0,MAX(0,CV88-DC88)),CV88)</f>
        <v>0</v>
      </c>
      <c r="DG88" s="1" t="n">
        <f aca="false">CX88*(Slot9_Cost-DC88)</f>
        <v>0</v>
      </c>
      <c r="DH88" s="1" t="n">
        <f aca="false">IF(AND(Slot10_On=1,D88=Slot10_Age),1,0)</f>
        <v>0</v>
      </c>
      <c r="DI88" s="1" t="n">
        <f aca="false">IF(AND(Slot10_On=1,Slot10_Age&gt;D88),1,0)</f>
        <v>0</v>
      </c>
      <c r="DJ88" s="1" t="n">
        <f aca="false">RV87</f>
        <v>0</v>
      </c>
      <c r="DK88" s="1" t="n">
        <f aca="false">DH88*MIN(Slot10_Cost,DJ88)</f>
        <v>0</v>
      </c>
      <c r="DL88" s="1" t="n">
        <f aca="false">DH88*Slot10_SpendLike*MIN(Slot10_Cost-DK88,DD88)</f>
        <v>0</v>
      </c>
      <c r="DM88" s="1" t="n">
        <f aca="false">DK88+DL88</f>
        <v>0</v>
      </c>
      <c r="DN88" s="1" t="n">
        <f aca="false">DD88-DL88+DH88*IF(Slot10_SpendLike=1,DJ88-DK88,IF(Slot10_PotFree=1,DJ88,0))</f>
        <v>827693.546185875</v>
      </c>
      <c r="DO88" s="1" t="n">
        <f aca="false">DE88+DH88*Slot10_BufPot*DJ88</f>
        <v>0</v>
      </c>
      <c r="DP88" s="1" t="n">
        <f aca="false">IF(AND(DH88=1,Slot10_IsMfree=1),IF(DM88&gt;=Slot10_Cost-1,0,MAX(0,DF88-DM88)),DF88)</f>
        <v>0</v>
      </c>
      <c r="DQ88" s="1" t="n">
        <f aca="false">DH88*(Slot10_Cost-DM88)</f>
        <v>0</v>
      </c>
      <c r="DR88" s="1" t="n">
        <f aca="false">IF(AND(Slot11_On=1,D88=Slot11_Age),1,0)</f>
        <v>0</v>
      </c>
      <c r="DS88" s="1" t="n">
        <f aca="false">IF(AND(Slot11_On=1,Slot11_Age&gt;D88),1,0)</f>
        <v>0</v>
      </c>
      <c r="DT88" s="1" t="n">
        <f aca="false">RZ87</f>
        <v>0</v>
      </c>
      <c r="DU88" s="1" t="n">
        <f aca="false">DR88*MIN(Slot11_Cost,DT88)</f>
        <v>0</v>
      </c>
      <c r="DV88" s="1" t="n">
        <f aca="false">DR88*Slot11_SpendLike*MIN(Slot11_Cost-DU88,DN88)</f>
        <v>0</v>
      </c>
      <c r="DW88" s="1" t="n">
        <f aca="false">DU88+DV88</f>
        <v>0</v>
      </c>
      <c r="DX88" s="1" t="n">
        <f aca="false">DN88-DV88+DR88*IF(Slot11_SpendLike=1,DT88-DU88,IF(Slot11_PotFree=1,DT88,0))</f>
        <v>827693.546185875</v>
      </c>
      <c r="DY88" s="1" t="n">
        <f aca="false">DO88+DR88*Slot11_BufPot*DT88</f>
        <v>0</v>
      </c>
      <c r="DZ88" s="1" t="n">
        <f aca="false">IF(AND(DR88=1,Slot11_IsMfree=1),IF(DW88&gt;=Slot11_Cost-1,0,MAX(0,DP88-DW88)),DP88)</f>
        <v>0</v>
      </c>
      <c r="EA88" s="1" t="n">
        <f aca="false">DR88*(Slot11_Cost-DW88)</f>
        <v>0</v>
      </c>
      <c r="EB88" s="1" t="n">
        <f aca="false">IF(AND(Slot12_On=1,D88=Slot12_Age),1,0)</f>
        <v>0</v>
      </c>
      <c r="EC88" s="1" t="n">
        <f aca="false">IF(AND(Slot12_On=1,Slot12_Age&gt;D88),1,0)</f>
        <v>0</v>
      </c>
      <c r="ED88" s="1" t="n">
        <f aca="false">SD87</f>
        <v>0</v>
      </c>
      <c r="EE88" s="1" t="n">
        <f aca="false">EB88*MIN(Slot12_Cost,ED88)</f>
        <v>0</v>
      </c>
      <c r="EF88" s="1" t="n">
        <f aca="false">EB88*Slot12_SpendLike*MIN(Slot12_Cost-EE88,DX88)</f>
        <v>0</v>
      </c>
      <c r="EG88" s="1" t="n">
        <f aca="false">EE88+EF88</f>
        <v>0</v>
      </c>
      <c r="EH88" s="1" t="n">
        <f aca="false">DX88-EF88+EB88*IF(Slot12_SpendLike=1,ED88-EE88,IF(Slot12_PotFree=1,ED88,0))</f>
        <v>827693.546185875</v>
      </c>
      <c r="EI88" s="1" t="n">
        <f aca="false">DY88+EB88*Slot12_BufPot*ED88</f>
        <v>0</v>
      </c>
      <c r="EJ88" s="1" t="n">
        <f aca="false">IF(AND(EB88=1,Slot12_IsMfree=1),IF(EG88&gt;=Slot12_Cost-1,0,MAX(0,DZ88-EG88)),DZ88)</f>
        <v>0</v>
      </c>
      <c r="EK88" s="1" t="n">
        <f aca="false">EB88*(Slot12_Cost-EG88)</f>
        <v>0</v>
      </c>
      <c r="EL88" s="1" t="n">
        <f aca="false">IF(AND(Slot13_On=1,D88=Slot13_Age),1,0)</f>
        <v>0</v>
      </c>
      <c r="EM88" s="1" t="n">
        <f aca="false">IF(AND(Slot13_On=1,Slot13_Age&gt;D88),1,0)</f>
        <v>0</v>
      </c>
      <c r="EN88" s="1" t="n">
        <f aca="false">SH87</f>
        <v>0</v>
      </c>
      <c r="EO88" s="1" t="n">
        <f aca="false">EL88*MIN(Slot13_Cost,EN88)</f>
        <v>0</v>
      </c>
      <c r="EP88" s="1" t="n">
        <f aca="false">EL88*Slot13_SpendLike*MIN(Slot13_Cost-EO88,EH88)</f>
        <v>0</v>
      </c>
      <c r="EQ88" s="1" t="n">
        <f aca="false">EO88+EP88</f>
        <v>0</v>
      </c>
      <c r="ER88" s="1" t="n">
        <f aca="false">EH88-EP88+EL88*IF(Slot13_SpendLike=1,EN88-EO88,IF(Slot13_PotFree=1,EN88,0))</f>
        <v>827693.546185875</v>
      </c>
      <c r="ES88" s="1" t="n">
        <f aca="false">EI88+EL88*Slot13_BufPot*EN88</f>
        <v>0</v>
      </c>
      <c r="ET88" s="1" t="n">
        <f aca="false">IF(AND(EL88=1,Slot13_IsMfree=1),IF(EQ88&gt;=Slot13_Cost-1,0,MAX(0,EJ88-EQ88)),EJ88)</f>
        <v>0</v>
      </c>
      <c r="EU88" s="1" t="n">
        <f aca="false">EL88*(Slot13_Cost-EQ88)</f>
        <v>0</v>
      </c>
      <c r="EV88" s="1" t="n">
        <f aca="false">IF(AND(Slot14_On=1,D88=Slot14_Age),1,0)</f>
        <v>0</v>
      </c>
      <c r="EW88" s="1" t="n">
        <f aca="false">IF(AND(Slot14_On=1,Slot14_Age&gt;D88),1,0)</f>
        <v>0</v>
      </c>
      <c r="EX88" s="1" t="n">
        <f aca="false">SL87</f>
        <v>0</v>
      </c>
      <c r="EY88" s="1" t="n">
        <f aca="false">EV88*MIN(Slot14_Cost,EX88)</f>
        <v>0</v>
      </c>
      <c r="EZ88" s="1" t="n">
        <f aca="false">EV88*Slot14_SpendLike*MIN(Slot14_Cost-EY88,ER88)</f>
        <v>0</v>
      </c>
      <c r="FA88" s="1" t="n">
        <f aca="false">EY88+EZ88</f>
        <v>0</v>
      </c>
      <c r="FB88" s="1" t="n">
        <f aca="false">ER88-EZ88+EV88*IF(Slot14_SpendLike=1,EX88-EY88,IF(Slot14_PotFree=1,EX88,0))</f>
        <v>827693.546185875</v>
      </c>
      <c r="FC88" s="1" t="n">
        <f aca="false">ES88+EV88*Slot14_BufPot*EX88</f>
        <v>0</v>
      </c>
      <c r="FD88" s="1" t="n">
        <f aca="false">IF(AND(EV88=1,Slot14_IsMfree=1),IF(FA88&gt;=Slot14_Cost-1,0,MAX(0,ET88-FA88)),ET88)</f>
        <v>0</v>
      </c>
      <c r="FE88" s="1" t="n">
        <f aca="false">EV88*(Slot14_Cost-FA88)</f>
        <v>0</v>
      </c>
      <c r="FF88" s="1" t="n">
        <f aca="false">IF(AND(Slot15_On=1,D88=Slot15_Age),1,0)</f>
        <v>0</v>
      </c>
      <c r="FG88" s="1" t="n">
        <f aca="false">IF(AND(Slot15_On=1,Slot15_Age&gt;D88),1,0)</f>
        <v>0</v>
      </c>
      <c r="FH88" s="1" t="n">
        <f aca="false">SP87</f>
        <v>0</v>
      </c>
      <c r="FI88" s="1" t="n">
        <f aca="false">FF88*MIN(Slot15_Cost,FH88)</f>
        <v>0</v>
      </c>
      <c r="FJ88" s="1" t="n">
        <f aca="false">FF88*Slot15_SpendLike*MIN(Slot15_Cost-FI88,FB88)</f>
        <v>0</v>
      </c>
      <c r="FK88" s="1" t="n">
        <f aca="false">FI88+FJ88</f>
        <v>0</v>
      </c>
      <c r="FL88" s="1" t="n">
        <f aca="false">FB88-FJ88+FF88*IF(Slot15_SpendLike=1,FH88-FI88,IF(Slot15_PotFree=1,FH88,0))</f>
        <v>827693.546185875</v>
      </c>
      <c r="FM88" s="1" t="n">
        <f aca="false">FC88+FF88*Slot15_BufPot*FH88</f>
        <v>0</v>
      </c>
      <c r="FN88" s="1" t="n">
        <f aca="false">IF(AND(FF88=1,Slot15_IsMfree=1),IF(FK88&gt;=Slot15_Cost-1,0,MAX(0,FD88-FK88)),FD88)</f>
        <v>0</v>
      </c>
      <c r="FO88" s="1" t="n">
        <f aca="false">FF88*(Slot15_Cost-FK88)</f>
        <v>0</v>
      </c>
      <c r="FP88" s="1" t="n">
        <f aca="false">IF(AND(Slot16_On=1,D88=Slot16_Age),1,0)</f>
        <v>0</v>
      </c>
      <c r="FQ88" s="1" t="n">
        <f aca="false">IF(AND(Slot16_On=1,Slot16_Age&gt;D88),1,0)</f>
        <v>0</v>
      </c>
      <c r="FR88" s="1" t="n">
        <f aca="false">ST87</f>
        <v>0</v>
      </c>
      <c r="FS88" s="1" t="n">
        <f aca="false">FP88*MIN(Slot16_Cost,FR88)</f>
        <v>0</v>
      </c>
      <c r="FT88" s="1" t="n">
        <f aca="false">FP88*Slot16_SpendLike*MIN(Slot16_Cost-FS88,FL88)</f>
        <v>0</v>
      </c>
      <c r="FU88" s="1" t="n">
        <f aca="false">FS88+FT88</f>
        <v>0</v>
      </c>
      <c r="FV88" s="1" t="n">
        <f aca="false">FL88-FT88+FP88*IF(Slot16_SpendLike=1,FR88-FS88,IF(Slot16_PotFree=1,FR88,0))</f>
        <v>827693.546185875</v>
      </c>
      <c r="FW88" s="1" t="n">
        <f aca="false">FM88+FP88*Slot16_BufPot*FR88</f>
        <v>0</v>
      </c>
      <c r="FX88" s="1" t="n">
        <f aca="false">IF(AND(FP88=1,Slot16_IsMfree=1),IF(FU88&gt;=Slot16_Cost-1,0,MAX(0,FN88-FU88)),FN88)</f>
        <v>0</v>
      </c>
      <c r="FY88" s="1" t="n">
        <f aca="false">FP88*(Slot16_Cost-FU88)</f>
        <v>0</v>
      </c>
      <c r="FZ88" s="1" t="n">
        <f aca="false">IF(AND(Slot17_On=1,D88=Slot17_Age),1,0)</f>
        <v>0</v>
      </c>
      <c r="GA88" s="1" t="n">
        <f aca="false">IF(AND(Slot17_On=1,Slot17_Age&gt;D88),1,0)</f>
        <v>0</v>
      </c>
      <c r="GB88" s="1" t="n">
        <f aca="false">SX87</f>
        <v>0</v>
      </c>
      <c r="GC88" s="1" t="n">
        <f aca="false">FZ88*MIN(Slot17_Cost,GB88)</f>
        <v>0</v>
      </c>
      <c r="GD88" s="1" t="n">
        <f aca="false">FZ88*Slot17_SpendLike*MIN(Slot17_Cost-GC88,FV88)</f>
        <v>0</v>
      </c>
      <c r="GE88" s="1" t="n">
        <f aca="false">GC88+GD88</f>
        <v>0</v>
      </c>
      <c r="GF88" s="1" t="n">
        <f aca="false">FV88-GD88+FZ88*IF(Slot17_SpendLike=1,GB88-GC88,IF(Slot17_PotFree=1,GB88,0))</f>
        <v>827693.546185875</v>
      </c>
      <c r="GG88" s="1" t="n">
        <f aca="false">FW88+FZ88*Slot17_BufPot*GB88</f>
        <v>0</v>
      </c>
      <c r="GH88" s="1" t="n">
        <f aca="false">IF(AND(FZ88=1,Slot17_IsMfree=1),IF(GE88&gt;=Slot17_Cost-1,0,MAX(0,FX88-GE88)),FX88)</f>
        <v>0</v>
      </c>
      <c r="GI88" s="1" t="n">
        <f aca="false">FZ88*(Slot17_Cost-GE88)</f>
        <v>0</v>
      </c>
      <c r="GJ88" s="1" t="n">
        <f aca="false">IF(AND(Slot18_On=1,D88=Slot18_Age),1,0)</f>
        <v>0</v>
      </c>
      <c r="GK88" s="1" t="n">
        <f aca="false">IF(AND(Slot18_On=1,Slot18_Age&gt;D88),1,0)</f>
        <v>0</v>
      </c>
      <c r="GL88" s="1" t="n">
        <f aca="false">TB87</f>
        <v>0</v>
      </c>
      <c r="GM88" s="1" t="n">
        <f aca="false">GJ88*MIN(Slot18_Cost,GL88)</f>
        <v>0</v>
      </c>
      <c r="GN88" s="1" t="n">
        <f aca="false">GJ88*Slot18_SpendLike*MIN(Slot18_Cost-GM88,GF88)</f>
        <v>0</v>
      </c>
      <c r="GO88" s="1" t="n">
        <f aca="false">GM88+GN88</f>
        <v>0</v>
      </c>
      <c r="GP88" s="1" t="n">
        <f aca="false">GF88-GN88+GJ88*IF(Slot18_SpendLike=1,GL88-GM88,IF(Slot18_PotFree=1,GL88,0))</f>
        <v>827693.546185875</v>
      </c>
      <c r="GQ88" s="1" t="n">
        <f aca="false">GG88+GJ88*Slot18_BufPot*GL88</f>
        <v>0</v>
      </c>
      <c r="GR88" s="1" t="n">
        <f aca="false">IF(AND(GJ88=1,Slot18_IsMfree=1),IF(GO88&gt;=Slot18_Cost-1,0,MAX(0,GH88-GO88)),GH88)</f>
        <v>0</v>
      </c>
      <c r="GS88" s="1" t="n">
        <f aca="false">GJ88*(Slot18_Cost-GO88)</f>
        <v>0</v>
      </c>
      <c r="GT88" s="1" t="n">
        <f aca="false">IF(AND(Slot19_On=1,D88=Slot19_Age),1,0)</f>
        <v>0</v>
      </c>
      <c r="GU88" s="1" t="n">
        <f aca="false">IF(AND(Slot19_On=1,Slot19_Age&gt;D88),1,0)</f>
        <v>0</v>
      </c>
      <c r="GV88" s="1" t="n">
        <f aca="false">TF87</f>
        <v>0</v>
      </c>
      <c r="GW88" s="1" t="n">
        <f aca="false">GT88*MIN(Slot19_Cost,GV88)</f>
        <v>0</v>
      </c>
      <c r="GX88" s="1" t="n">
        <f aca="false">GT88*Slot19_SpendLike*MIN(Slot19_Cost-GW88,GP88)</f>
        <v>0</v>
      </c>
      <c r="GY88" s="1" t="n">
        <f aca="false">GW88+GX88</f>
        <v>0</v>
      </c>
      <c r="GZ88" s="1" t="n">
        <f aca="false">GP88-GX88+GT88*IF(Slot19_SpendLike=1,GV88-GW88,IF(Slot19_PotFree=1,GV88,0))</f>
        <v>827693.546185875</v>
      </c>
      <c r="HA88" s="1" t="n">
        <f aca="false">GQ88+GT88*Slot19_BufPot*GV88</f>
        <v>0</v>
      </c>
      <c r="HB88" s="1" t="n">
        <f aca="false">IF(AND(GT88=1,Slot19_IsMfree=1),IF(GY88&gt;=Slot19_Cost-1,0,MAX(0,GR88-GY88)),GR88)</f>
        <v>0</v>
      </c>
      <c r="HC88" s="1" t="n">
        <f aca="false">GT88*(Slot19_Cost-GY88)</f>
        <v>0</v>
      </c>
      <c r="HD88" s="1" t="n">
        <f aca="false">IF(AND(Slot20_On=1,D88=Slot20_Age),1,0)</f>
        <v>0</v>
      </c>
      <c r="HE88" s="1" t="n">
        <f aca="false">IF(AND(Slot20_On=1,Slot20_Age&gt;D88),1,0)</f>
        <v>0</v>
      </c>
      <c r="HF88" s="1" t="n">
        <f aca="false">TJ87</f>
        <v>0</v>
      </c>
      <c r="HG88" s="1" t="n">
        <f aca="false">HD88*MIN(Slot20_Cost,HF88)</f>
        <v>0</v>
      </c>
      <c r="HH88" s="1" t="n">
        <f aca="false">HD88*Slot20_SpendLike*MIN(Slot20_Cost-HG88,GZ88)</f>
        <v>0</v>
      </c>
      <c r="HI88" s="1" t="n">
        <f aca="false">HG88+HH88</f>
        <v>0</v>
      </c>
      <c r="HJ88" s="1" t="n">
        <f aca="false">GZ88-HH88+HD88*IF(Slot20_SpendLike=1,HF88-HG88,IF(Slot20_PotFree=1,HF88,0))</f>
        <v>827693.546185875</v>
      </c>
      <c r="HK88" s="1" t="n">
        <f aca="false">HA88+HD88*Slot20_BufPot*HF88</f>
        <v>0</v>
      </c>
      <c r="HL88" s="1" t="n">
        <f aca="false">IF(AND(HD88=1,Slot20_IsMfree=1),IF(HI88&gt;=Slot20_Cost-1,0,MAX(0,HB88-HI88)),HB88)</f>
        <v>0</v>
      </c>
      <c r="HM88" s="1" t="n">
        <f aca="false">HD88*(Slot20_Cost-HI88)</f>
        <v>0</v>
      </c>
      <c r="HN88" s="1" t="n">
        <f aca="false">U88*Slot1_SpendLike*Z88+AF88*Slot2_SpendLike*AK88+AP88*Slot3_SpendLike*AU88+AZ88*Slot4_SpendLike*BE88+BJ88*Slot5_SpendLike*BO88+BT88*Slot6_SpendLike*BY88+CD88*Slot7_SpendLike*CI88+CN88*Slot8_SpendLike*CS88+CX88*Slot9_SpendLike*DC88+DH88*Slot10_SpendLike*DM88+DR88*Slot11_SpendLike*DW88+EB88*Slot12_SpendLike*EG88+EL88*Slot13_SpendLike*EQ88+EV88*Slot14_SpendLike*FA88+FF88*Slot15_SpendLike*FK88+FP88*Slot16_SpendLike*FU88+FZ88*Slot17_SpendLike*GE88+GJ88*Slot18_SpendLike*GO88+GT88*Slot19_SpendLike*GY88+HD88*Slot20_SpendLike*HI88</f>
        <v>0</v>
      </c>
      <c r="HO88" s="1" t="n">
        <f aca="false">AD88+AO88+AY88+BI88+BS88+CC88+CM88+CW88+DG88+DQ88+EA88+EK88+EU88+FE88+FO88+FY88+GI88+GS88+HC88+HM88</f>
        <v>0</v>
      </c>
      <c r="HP88" s="1" t="n">
        <f aca="false">U88*Slot1_Cost+AF88*Slot2_Cost+AP88*Slot3_Cost+AZ88*Slot4_Cost+BJ88*Slot5_Cost+BT88*Slot6_Cost+CD88*Slot7_Cost+CN88*Slot8_Cost+CX88*Slot9_Cost+DH88*Slot10_Cost+DR88*Slot11_Cost+EB88*Slot12_Cost+EL88*Slot13_Cost+EV88*Slot14_Cost+FF88*Slot15_Cost+FP88*Slot16_Cost+FZ88*Slot17_Cost+GJ88*Slot18_Cost+GT88*Slot19_Cost+HD88*Slot20_Cost</f>
        <v>0</v>
      </c>
      <c r="HQ88" s="1" t="n">
        <f aca="false">HL88</f>
        <v>0</v>
      </c>
      <c r="HR88" s="1" t="n">
        <f aca="false">G88-H88-R88</f>
        <v>63238.7362410276</v>
      </c>
      <c r="HS88" s="1" t="n">
        <f aca="false">IF(B88=0,IF(AND(Has_q6=1,In_q6=4),PR_ShareVaries*(MAX(0,HR88)/12),MIN(IF(Has_q6=1,CHOOSE(In_q6+1,PR_SaveB1,PR_SaveB2,PR_SaveB3,PR_SaveB4,0),AS_NoAnswer),AS_SaveShare*(MAX(0,HR88)/12))),HS87)</f>
        <v>0</v>
      </c>
      <c r="HT88" s="1" t="n">
        <f aca="false">IF(HR88&gt;=0,1,0)</f>
        <v>1</v>
      </c>
      <c r="HU88" s="1" t="n">
        <f aca="false">MAX(0,HR88/12/E88)</f>
        <v>1080.90666666667</v>
      </c>
      <c r="HV88" s="1" t="n">
        <f aca="false">IF(AND(Has_q6=1,In_q6=4),PR_ShareVaries*(HU88),MIN(IF(Has_q6=1,CHOOSE(In_q6+1,PR_SaveB1,PR_SaveB2,PR_SaveB3,PR_SaveB4,0),AS_NoAnswer),AS_SaveShare*(HU88)))</f>
        <v>300</v>
      </c>
      <c r="HW88" s="1" t="n">
        <f aca="false">IF(Has_saveM=1,IF(In_saveUp="Yes",1,IF(In_saveUp="No",0,IF(In_saveM&gt;=HS88-0.5,1,0))),0)</f>
        <v>0</v>
      </c>
      <c r="HX88" s="1" t="n">
        <f aca="false">IF(Has_saveM=1,MIN(HU88,IF(HW88=1,MAX(In_saveM,HV88),MIN(In_saveM,HV88))),HV88)</f>
        <v>300</v>
      </c>
      <c r="HY88" s="1" t="n">
        <f aca="false">IF(F88=1,HX88*12*E88,0)</f>
        <v>0</v>
      </c>
      <c r="HZ88" s="1" t="n">
        <f aca="false">MAX(0,HY88+IF(AND(WI_Retire=0,WI_M&lt;0,F88=1),WI_M*12*E88,0))</f>
        <v>0</v>
      </c>
      <c r="IA88" s="1" t="n">
        <f aca="false">Slot1_IsWG*V88+Slot2_IsWG*AG88+Slot3_IsWG*AQ88+Slot4_IsWG*BA88+Slot5_IsWG*BK88+Slot6_IsWG*BU88+Slot7_IsWG*CE88+Slot8_IsWG*CO88+Slot9_IsWG*CY88+Slot10_IsWG*DI88+Slot11_IsWG*DS88+Slot12_IsWG*EC88+Slot13_IsWG*EM88+Slot14_IsWG*EW88+Slot15_IsWG*FG88+Slot16_IsWG*FQ88+Slot17_IsWG*GA88+Slot18_IsWG*GK88+Slot19_IsWG*GU88+Slot20_IsWG*HE88</f>
        <v>0</v>
      </c>
      <c r="IB88" s="1" t="n">
        <f aca="false">IF(AND(WI_Retire=0,WI_M&gt;0,F88=1,IA88&gt;=1),WI_M*12*E88,0)</f>
        <v>0</v>
      </c>
      <c r="IC88" s="1" t="n">
        <f aca="false">IF(HT88=1,MIN(HZ88,HR88),0)</f>
        <v>0</v>
      </c>
      <c r="ID88" s="1" t="n">
        <f aca="false">IF(HT88=1,MIN(IB88,HR88-IC88),0)</f>
        <v>0</v>
      </c>
      <c r="IE88" s="1" t="n">
        <f aca="false">IF(V88=1,IF(ABS((1+AS_Wage)/(1+Slot1_Rate)-1)&lt;0.000000000001,(Slot1_Age-D88)*(1+Slot1_Rate)^(Slot1_Age-D88),(1+Slot1_Rate)^(Slot1_Age-D88)*(1-((1+AS_Wage)/(1+Slot1_Rate))^(Slot1_Age-D88))/(1-(1+AS_Wage)/(1+Slot1_Rate))),1)</f>
        <v>1</v>
      </c>
      <c r="IF88" s="1" t="n">
        <f aca="false">IF(AND(HT88=1,ID88&gt;0,Slot1_IsWG=1,V88=1),MAX(0,(Slot1_Cost-W88*(1+Slot1_Rate)^(Slot1_Age-D88))/IE88),0)</f>
        <v>0</v>
      </c>
      <c r="IG88" s="1" t="n">
        <f aca="false">IF(AND(HT88=1,ID88&gt;0,Slot1_IsWG=1,V88=1),MIN(ID88,IF88),0)</f>
        <v>0</v>
      </c>
      <c r="IH88" s="1" t="n">
        <f aca="false">W88+IG88</f>
        <v>0</v>
      </c>
      <c r="II88" s="1" t="n">
        <f aca="false">IF(V88=1,MAX(0,(Slot1_Cost-IH88*(1+Slot1_Rate)^(Slot1_Age-D88))/IE88),0)</f>
        <v>0</v>
      </c>
      <c r="IJ88" s="1" t="n">
        <f aca="false">IF(V88=1,MAX(0,(Slot1_Cost-W88*(1+Slot1_Rate)^(Slot1_Age-D88))/IE88),0)</f>
        <v>0</v>
      </c>
      <c r="IK88" s="1" t="n">
        <f aca="false">IF(AND(HT88=1,V88=1),MIN(IC88,II88),0)</f>
        <v>0</v>
      </c>
      <c r="IL88" s="1" t="n">
        <f aca="false">IC88-IK88</f>
        <v>0</v>
      </c>
      <c r="IM88" s="1" t="n">
        <f aca="false">IF(AG88=1,IF(ABS((1+AS_Wage)/(1+Slot2_Rate)-1)&lt;0.000000000001,(Slot2_Age-D88)*(1+Slot2_Rate)^(Slot2_Age-D88),(1+Slot2_Rate)^(Slot2_Age-D88)*(1-((1+AS_Wage)/(1+Slot2_Rate))^(Slot2_Age-D88))/(1-(1+AS_Wage)/(1+Slot2_Rate))),1)</f>
        <v>1</v>
      </c>
      <c r="IN88" s="1" t="n">
        <f aca="false">IF(AND(HT88=1,ID88&gt;0,Slot2_IsWG=1,AG88=1),MAX(0,(Slot2_Cost-AH88*(1+Slot2_Rate)^(Slot2_Age-D88))/IM88),0)</f>
        <v>0</v>
      </c>
      <c r="IO88" s="1" t="n">
        <f aca="false">IF(AND(HT88=1,ID88&gt;0,Slot2_IsWG=1,AG88=1),MIN(ID88,IN88),0)</f>
        <v>0</v>
      </c>
      <c r="IP88" s="1" t="n">
        <f aca="false">AH88+IO88</f>
        <v>0</v>
      </c>
      <c r="IQ88" s="1" t="n">
        <f aca="false">IF(AG88=1,MAX(0,(Slot2_Cost-IP88*(1+Slot2_Rate)^(Slot2_Age-D88))/IM88),0)</f>
        <v>0</v>
      </c>
      <c r="IR88" s="1" t="n">
        <f aca="false">IF(AG88=1,MAX(0,(Slot2_Cost-AH88*(1+Slot2_Rate)^(Slot2_Age-D88))/IM88),0)</f>
        <v>0</v>
      </c>
      <c r="IS88" s="1" t="n">
        <f aca="false">IF(AND(HT88=1,AG88=1),MIN(IL88,IQ88),0)</f>
        <v>0</v>
      </c>
      <c r="IT88" s="1" t="n">
        <f aca="false">IL88-IS88</f>
        <v>0</v>
      </c>
      <c r="IU88" s="1" t="n">
        <f aca="false">IF(AQ88=1,IF(ABS((1+AS_Wage)/(1+Slot3_Rate)-1)&lt;0.000000000001,(Slot3_Age-D88)*(1+Slot3_Rate)^(Slot3_Age-D88),(1+Slot3_Rate)^(Slot3_Age-D88)*(1-((1+AS_Wage)/(1+Slot3_Rate))^(Slot3_Age-D88))/(1-(1+AS_Wage)/(1+Slot3_Rate))),1)</f>
        <v>1</v>
      </c>
      <c r="IV88" s="1" t="n">
        <f aca="false">IF(AND(HT88=1,ID88&gt;0,Slot3_IsWG=1,AQ88=1),MAX(0,(Slot3_Cost-AR88*(1+Slot3_Rate)^(Slot3_Age-D88))/IU88),0)</f>
        <v>0</v>
      </c>
      <c r="IW88" s="1" t="n">
        <f aca="false">IF(AND(HT88=1,ID88&gt;0,Slot3_IsWG=1,AQ88=1),MIN(ID88,IV88),0)</f>
        <v>0</v>
      </c>
      <c r="IX88" s="1" t="n">
        <f aca="false">AR88+IW88</f>
        <v>0</v>
      </c>
      <c r="IY88" s="1" t="n">
        <f aca="false">IF(AQ88=1,MAX(0,(Slot3_Cost-IX88*(1+Slot3_Rate)^(Slot3_Age-D88))/IU88),0)</f>
        <v>0</v>
      </c>
      <c r="IZ88" s="1" t="n">
        <f aca="false">IF(AQ88=1,MAX(0,(Slot3_Cost-AR88*(1+Slot3_Rate)^(Slot3_Age-D88))/IU88),0)</f>
        <v>0</v>
      </c>
      <c r="JA88" s="1" t="n">
        <f aca="false">IF(AND(HT88=1,AQ88=1),MIN(IT88,IY88),0)</f>
        <v>0</v>
      </c>
      <c r="JB88" s="1" t="n">
        <f aca="false">IT88-JA88</f>
        <v>0</v>
      </c>
      <c r="JC88" s="1" t="n">
        <f aca="false">IF(BA88=1,IF(ABS((1+AS_Wage)/(1+Slot4_Rate)-1)&lt;0.000000000001,(Slot4_Age-D88)*(1+Slot4_Rate)^(Slot4_Age-D88),(1+Slot4_Rate)^(Slot4_Age-D88)*(1-((1+AS_Wage)/(1+Slot4_Rate))^(Slot4_Age-D88))/(1-(1+AS_Wage)/(1+Slot4_Rate))),1)</f>
        <v>1</v>
      </c>
      <c r="JD88" s="1" t="n">
        <f aca="false">IF(AND(HT88=1,ID88&gt;0,Slot4_IsWG=1,BA88=1),MAX(0,(Slot4_Cost-BB88*(1+Slot4_Rate)^(Slot4_Age-D88))/JC88),0)</f>
        <v>0</v>
      </c>
      <c r="JE88" s="1" t="n">
        <f aca="false">IF(AND(HT88=1,ID88&gt;0,Slot4_IsWG=1,BA88=1),MIN(ID88,JD88),0)</f>
        <v>0</v>
      </c>
      <c r="JF88" s="1" t="n">
        <f aca="false">BB88+JE88</f>
        <v>0</v>
      </c>
      <c r="JG88" s="1" t="n">
        <f aca="false">IF(BA88=1,MAX(0,(Slot4_Cost-JF88*(1+Slot4_Rate)^(Slot4_Age-D88))/JC88),0)</f>
        <v>0</v>
      </c>
      <c r="JH88" s="1" t="n">
        <f aca="false">IF(BA88=1,MAX(0,(Slot4_Cost-BB88*(1+Slot4_Rate)^(Slot4_Age-D88))/JC88),0)</f>
        <v>0</v>
      </c>
      <c r="JI88" s="1" t="n">
        <f aca="false">IF(AND(HT88=1,BA88=1),MIN(JB88,JG88),0)</f>
        <v>0</v>
      </c>
      <c r="JJ88" s="1" t="n">
        <f aca="false">JB88-JI88</f>
        <v>0</v>
      </c>
      <c r="JK88" s="1" t="n">
        <f aca="false">IF(BK88=1,IF(ABS((1+AS_Wage)/(1+Slot5_Rate)-1)&lt;0.000000000001,(Slot5_Age-D88)*(1+Slot5_Rate)^(Slot5_Age-D88),(1+Slot5_Rate)^(Slot5_Age-D88)*(1-((1+AS_Wage)/(1+Slot5_Rate))^(Slot5_Age-D88))/(1-(1+AS_Wage)/(1+Slot5_Rate))),1)</f>
        <v>1</v>
      </c>
      <c r="JL88" s="1" t="n">
        <f aca="false">IF(AND(HT88=1,ID88&gt;0,Slot5_IsWG=1,BK88=1),MAX(0,(Slot5_Cost-BL88*(1+Slot5_Rate)^(Slot5_Age-D88))/JK88),0)</f>
        <v>0</v>
      </c>
      <c r="JM88" s="1" t="n">
        <f aca="false">IF(AND(HT88=1,ID88&gt;0,Slot5_IsWG=1,BK88=1),MIN(ID88,JL88),0)</f>
        <v>0</v>
      </c>
      <c r="JN88" s="1" t="n">
        <f aca="false">BL88+JM88</f>
        <v>0</v>
      </c>
      <c r="JO88" s="1" t="n">
        <f aca="false">IF(BK88=1,MAX(0,(Slot5_Cost-JN88*(1+Slot5_Rate)^(Slot5_Age-D88))/JK88),0)</f>
        <v>0</v>
      </c>
      <c r="JP88" s="1" t="n">
        <f aca="false">IF(BK88=1,MAX(0,(Slot5_Cost-BL88*(1+Slot5_Rate)^(Slot5_Age-D88))/JK88),0)</f>
        <v>0</v>
      </c>
      <c r="JQ88" s="1" t="n">
        <f aca="false">IF(AND(HT88=1,BK88=1),MIN(JJ88,JO88),0)</f>
        <v>0</v>
      </c>
      <c r="JR88" s="1" t="n">
        <f aca="false">JJ88-JQ88</f>
        <v>0</v>
      </c>
      <c r="JS88" s="1" t="n">
        <f aca="false">IF(BU88=1,IF(ABS((1+AS_Wage)/(1+Slot6_Rate)-1)&lt;0.000000000001,(Slot6_Age-D88)*(1+Slot6_Rate)^(Slot6_Age-D88),(1+Slot6_Rate)^(Slot6_Age-D88)*(1-((1+AS_Wage)/(1+Slot6_Rate))^(Slot6_Age-D88))/(1-(1+AS_Wage)/(1+Slot6_Rate))),1)</f>
        <v>1</v>
      </c>
      <c r="JT88" s="1" t="n">
        <f aca="false">IF(AND(HT88=1,ID88&gt;0,Slot6_IsWG=1,BU88=1),MAX(0,(Slot6_Cost-BV88*(1+Slot6_Rate)^(Slot6_Age-D88))/JS88),0)</f>
        <v>0</v>
      </c>
      <c r="JU88" s="1" t="n">
        <f aca="false">IF(AND(HT88=1,ID88&gt;0,Slot6_IsWG=1,BU88=1),MIN(ID88,JT88),0)</f>
        <v>0</v>
      </c>
      <c r="JV88" s="1" t="n">
        <f aca="false">BV88+JU88</f>
        <v>0</v>
      </c>
      <c r="JW88" s="1" t="n">
        <f aca="false">IF(BU88=1,MAX(0,(Slot6_Cost-JV88*(1+Slot6_Rate)^(Slot6_Age-D88))/JS88),0)</f>
        <v>0</v>
      </c>
      <c r="JX88" s="1" t="n">
        <f aca="false">IF(BU88=1,MAX(0,(Slot6_Cost-BV88*(1+Slot6_Rate)^(Slot6_Age-D88))/JS88),0)</f>
        <v>0</v>
      </c>
      <c r="JY88" s="1" t="n">
        <f aca="false">IF(AND(HT88=1,BU88=1),MIN(JR88,JW88),0)</f>
        <v>0</v>
      </c>
      <c r="JZ88" s="1" t="n">
        <f aca="false">JR88-JY88</f>
        <v>0</v>
      </c>
      <c r="KA88" s="1" t="n">
        <f aca="false">IF(CE88=1,IF(ABS((1+AS_Wage)/(1+Slot7_Rate)-1)&lt;0.000000000001,(Slot7_Age-D88)*(1+Slot7_Rate)^(Slot7_Age-D88),(1+Slot7_Rate)^(Slot7_Age-D88)*(1-((1+AS_Wage)/(1+Slot7_Rate))^(Slot7_Age-D88))/(1-(1+AS_Wage)/(1+Slot7_Rate))),1)</f>
        <v>1</v>
      </c>
      <c r="KB88" s="1" t="n">
        <f aca="false">IF(AND(HT88=1,ID88&gt;0,Slot7_IsWG=1,CE88=1),MAX(0,(Slot7_Cost-CF88*(1+Slot7_Rate)^(Slot7_Age-D88))/KA88),0)</f>
        <v>0</v>
      </c>
      <c r="KC88" s="1" t="n">
        <f aca="false">IF(AND(HT88=1,ID88&gt;0,Slot7_IsWG=1,CE88=1),MIN(ID88,KB88),0)</f>
        <v>0</v>
      </c>
      <c r="KD88" s="1" t="n">
        <f aca="false">CF88+KC88</f>
        <v>0</v>
      </c>
      <c r="KE88" s="1" t="n">
        <f aca="false">IF(CE88=1,MAX(0,(Slot7_Cost-KD88*(1+Slot7_Rate)^(Slot7_Age-D88))/KA88),0)</f>
        <v>0</v>
      </c>
      <c r="KF88" s="1" t="n">
        <f aca="false">IF(CE88=1,MAX(0,(Slot7_Cost-CF88*(1+Slot7_Rate)^(Slot7_Age-D88))/KA88),0)</f>
        <v>0</v>
      </c>
      <c r="KG88" s="1" t="n">
        <f aca="false">IF(AND(HT88=1,CE88=1),MIN(JZ88,KE88),0)</f>
        <v>0</v>
      </c>
      <c r="KH88" s="1" t="n">
        <f aca="false">JZ88-KG88</f>
        <v>0</v>
      </c>
      <c r="KI88" s="1" t="n">
        <f aca="false">IF(CO88=1,IF(ABS((1+AS_Wage)/(1+Slot8_Rate)-1)&lt;0.000000000001,(Slot8_Age-D88)*(1+Slot8_Rate)^(Slot8_Age-D88),(1+Slot8_Rate)^(Slot8_Age-D88)*(1-((1+AS_Wage)/(1+Slot8_Rate))^(Slot8_Age-D88))/(1-(1+AS_Wage)/(1+Slot8_Rate))),1)</f>
        <v>1</v>
      </c>
      <c r="KJ88" s="1" t="n">
        <f aca="false">IF(AND(HT88=1,ID88&gt;0,Slot8_IsWG=1,CO88=1),MAX(0,(Slot8_Cost-CP88*(1+Slot8_Rate)^(Slot8_Age-D88))/KI88),0)</f>
        <v>0</v>
      </c>
      <c r="KK88" s="1" t="n">
        <f aca="false">IF(AND(HT88=1,ID88&gt;0,Slot8_IsWG=1,CO88=1),MIN(ID88,KJ88),0)</f>
        <v>0</v>
      </c>
      <c r="KL88" s="1" t="n">
        <f aca="false">CP88+KK88</f>
        <v>0</v>
      </c>
      <c r="KM88" s="1" t="n">
        <f aca="false">IF(CO88=1,MAX(0,(Slot8_Cost-KL88*(1+Slot8_Rate)^(Slot8_Age-D88))/KI88),0)</f>
        <v>0</v>
      </c>
      <c r="KN88" s="1" t="n">
        <f aca="false">IF(CO88=1,MAX(0,(Slot8_Cost-CP88*(1+Slot8_Rate)^(Slot8_Age-D88))/KI88),0)</f>
        <v>0</v>
      </c>
      <c r="KO88" s="1" t="n">
        <f aca="false">IF(AND(HT88=1,CO88=1),MIN(KH88,KM88),0)</f>
        <v>0</v>
      </c>
      <c r="KP88" s="1" t="n">
        <f aca="false">KH88-KO88</f>
        <v>0</v>
      </c>
      <c r="KQ88" s="1" t="n">
        <f aca="false">IF(CY88=1,IF(ABS((1+AS_Wage)/(1+Slot9_Rate)-1)&lt;0.000000000001,(Slot9_Age-D88)*(1+Slot9_Rate)^(Slot9_Age-D88),(1+Slot9_Rate)^(Slot9_Age-D88)*(1-((1+AS_Wage)/(1+Slot9_Rate))^(Slot9_Age-D88))/(1-(1+AS_Wage)/(1+Slot9_Rate))),1)</f>
        <v>1</v>
      </c>
      <c r="KR88" s="1" t="n">
        <f aca="false">IF(AND(HT88=1,ID88&gt;0,Slot9_IsWG=1,CY88=1),MAX(0,(Slot9_Cost-CZ88*(1+Slot9_Rate)^(Slot9_Age-D88))/KQ88),0)</f>
        <v>0</v>
      </c>
      <c r="KS88" s="1" t="n">
        <f aca="false">IF(AND(HT88=1,ID88&gt;0,Slot9_IsWG=1,CY88=1),MIN(ID88,KR88),0)</f>
        <v>0</v>
      </c>
      <c r="KT88" s="1" t="n">
        <f aca="false">CZ88+KS88</f>
        <v>0</v>
      </c>
      <c r="KU88" s="1" t="n">
        <f aca="false">IF(CY88=1,MAX(0,(Slot9_Cost-KT88*(1+Slot9_Rate)^(Slot9_Age-D88))/KQ88),0)</f>
        <v>0</v>
      </c>
      <c r="KV88" s="1" t="n">
        <f aca="false">IF(CY88=1,MAX(0,(Slot9_Cost-CZ88*(1+Slot9_Rate)^(Slot9_Age-D88))/KQ88),0)</f>
        <v>0</v>
      </c>
      <c r="KW88" s="1" t="n">
        <f aca="false">IF(AND(HT88=1,CY88=1),MIN(KP88,KU88),0)</f>
        <v>0</v>
      </c>
      <c r="KX88" s="1" t="n">
        <f aca="false">KP88-KW88</f>
        <v>0</v>
      </c>
      <c r="KY88" s="1" t="n">
        <f aca="false">IF(DI88=1,IF(ABS((1+AS_Wage)/(1+Slot10_Rate)-1)&lt;0.000000000001,(Slot10_Age-D88)*(1+Slot10_Rate)^(Slot10_Age-D88),(1+Slot10_Rate)^(Slot10_Age-D88)*(1-((1+AS_Wage)/(1+Slot10_Rate))^(Slot10_Age-D88))/(1-(1+AS_Wage)/(1+Slot10_Rate))),1)</f>
        <v>1</v>
      </c>
      <c r="KZ88" s="1" t="n">
        <f aca="false">IF(AND(HT88=1,ID88&gt;0,Slot10_IsWG=1,DI88=1),MAX(0,(Slot10_Cost-DJ88*(1+Slot10_Rate)^(Slot10_Age-D88))/KY88),0)</f>
        <v>0</v>
      </c>
      <c r="LA88" s="1" t="n">
        <f aca="false">IF(AND(HT88=1,ID88&gt;0,Slot10_IsWG=1,DI88=1),MIN(ID88,KZ88),0)</f>
        <v>0</v>
      </c>
      <c r="LB88" s="1" t="n">
        <f aca="false">DJ88+LA88</f>
        <v>0</v>
      </c>
      <c r="LC88" s="1" t="n">
        <f aca="false">IF(DI88=1,MAX(0,(Slot10_Cost-LB88*(1+Slot10_Rate)^(Slot10_Age-D88))/KY88),0)</f>
        <v>0</v>
      </c>
      <c r="LD88" s="1" t="n">
        <f aca="false">IF(DI88=1,MAX(0,(Slot10_Cost-DJ88*(1+Slot10_Rate)^(Slot10_Age-D88))/KY88),0)</f>
        <v>0</v>
      </c>
      <c r="LE88" s="1" t="n">
        <f aca="false">IF(AND(HT88=1,DI88=1),MIN(KX88,LC88),0)</f>
        <v>0</v>
      </c>
      <c r="LF88" s="1" t="n">
        <f aca="false">KX88-LE88</f>
        <v>0</v>
      </c>
      <c r="LG88" s="1" t="n">
        <f aca="false">IF(DS88=1,IF(ABS((1+AS_Wage)/(1+Slot11_Rate)-1)&lt;0.000000000001,(Slot11_Age-D88)*(1+Slot11_Rate)^(Slot11_Age-D88),(1+Slot11_Rate)^(Slot11_Age-D88)*(1-((1+AS_Wage)/(1+Slot11_Rate))^(Slot11_Age-D88))/(1-(1+AS_Wage)/(1+Slot11_Rate))),1)</f>
        <v>1</v>
      </c>
      <c r="LH88" s="1" t="n">
        <f aca="false">IF(AND(HT88=1,ID88&gt;0,Slot11_IsWG=1,DS88=1),MAX(0,(Slot11_Cost-DT88*(1+Slot11_Rate)^(Slot11_Age-D88))/LG88),0)</f>
        <v>0</v>
      </c>
      <c r="LI88" s="1" t="n">
        <f aca="false">IF(AND(HT88=1,ID88&gt;0,Slot11_IsWG=1,DS88=1),MIN(ID88,LH88),0)</f>
        <v>0</v>
      </c>
      <c r="LJ88" s="1" t="n">
        <f aca="false">DT88+LI88</f>
        <v>0</v>
      </c>
      <c r="LK88" s="1" t="n">
        <f aca="false">IF(DS88=1,MAX(0,(Slot11_Cost-LJ88*(1+Slot11_Rate)^(Slot11_Age-D88))/LG88),0)</f>
        <v>0</v>
      </c>
      <c r="LL88" s="1" t="n">
        <f aca="false">IF(DS88=1,MAX(0,(Slot11_Cost-DT88*(1+Slot11_Rate)^(Slot11_Age-D88))/LG88),0)</f>
        <v>0</v>
      </c>
      <c r="LM88" s="1" t="n">
        <f aca="false">IF(AND(HT88=1,DS88=1),MIN(LF88,LK88),0)</f>
        <v>0</v>
      </c>
      <c r="LN88" s="1" t="n">
        <f aca="false">LF88-LM88</f>
        <v>0</v>
      </c>
      <c r="LO88" s="1" t="n">
        <f aca="false">IF(EC88=1,IF(ABS((1+AS_Wage)/(1+Slot12_Rate)-1)&lt;0.000000000001,(Slot12_Age-D88)*(1+Slot12_Rate)^(Slot12_Age-D88),(1+Slot12_Rate)^(Slot12_Age-D88)*(1-((1+AS_Wage)/(1+Slot12_Rate))^(Slot12_Age-D88))/(1-(1+AS_Wage)/(1+Slot12_Rate))),1)</f>
        <v>1</v>
      </c>
      <c r="LP88" s="1" t="n">
        <f aca="false">IF(AND(HT88=1,ID88&gt;0,Slot12_IsWG=1,EC88=1),MAX(0,(Slot12_Cost-ED88*(1+Slot12_Rate)^(Slot12_Age-D88))/LO88),0)</f>
        <v>0</v>
      </c>
      <c r="LQ88" s="1" t="n">
        <f aca="false">IF(AND(HT88=1,ID88&gt;0,Slot12_IsWG=1,EC88=1),MIN(ID88,LP88),0)</f>
        <v>0</v>
      </c>
      <c r="LR88" s="1" t="n">
        <f aca="false">ED88+LQ88</f>
        <v>0</v>
      </c>
      <c r="LS88" s="1" t="n">
        <f aca="false">IF(EC88=1,MAX(0,(Slot12_Cost-LR88*(1+Slot12_Rate)^(Slot12_Age-D88))/LO88),0)</f>
        <v>0</v>
      </c>
      <c r="LT88" s="1" t="n">
        <f aca="false">IF(EC88=1,MAX(0,(Slot12_Cost-ED88*(1+Slot12_Rate)^(Slot12_Age-D88))/LO88),0)</f>
        <v>0</v>
      </c>
      <c r="LU88" s="1" t="n">
        <f aca="false">IF(AND(HT88=1,EC88=1),MIN(LN88,LS88),0)</f>
        <v>0</v>
      </c>
      <c r="LV88" s="1" t="n">
        <f aca="false">LN88-LU88</f>
        <v>0</v>
      </c>
      <c r="LW88" s="1" t="n">
        <f aca="false">IF(EM88=1,IF(ABS((1+AS_Wage)/(1+Slot13_Rate)-1)&lt;0.000000000001,(Slot13_Age-D88)*(1+Slot13_Rate)^(Slot13_Age-D88),(1+Slot13_Rate)^(Slot13_Age-D88)*(1-((1+AS_Wage)/(1+Slot13_Rate))^(Slot13_Age-D88))/(1-(1+AS_Wage)/(1+Slot13_Rate))),1)</f>
        <v>1</v>
      </c>
      <c r="LX88" s="1" t="n">
        <f aca="false">IF(AND(HT88=1,ID88&gt;0,Slot13_IsWG=1,EM88=1),MAX(0,(Slot13_Cost-EN88*(1+Slot13_Rate)^(Slot13_Age-D88))/LW88),0)</f>
        <v>0</v>
      </c>
      <c r="LY88" s="1" t="n">
        <f aca="false">IF(AND(HT88=1,ID88&gt;0,Slot13_IsWG=1,EM88=1),MIN(ID88,LX88),0)</f>
        <v>0</v>
      </c>
      <c r="LZ88" s="1" t="n">
        <f aca="false">EN88+LY88</f>
        <v>0</v>
      </c>
      <c r="MA88" s="1" t="n">
        <f aca="false">IF(EM88=1,MAX(0,(Slot13_Cost-LZ88*(1+Slot13_Rate)^(Slot13_Age-D88))/LW88),0)</f>
        <v>0</v>
      </c>
      <c r="MB88" s="1" t="n">
        <f aca="false">IF(EM88=1,MAX(0,(Slot13_Cost-EN88*(1+Slot13_Rate)^(Slot13_Age-D88))/LW88),0)</f>
        <v>0</v>
      </c>
      <c r="MC88" s="1" t="n">
        <f aca="false">IF(AND(HT88=1,EM88=1),MIN(LV88,MA88),0)</f>
        <v>0</v>
      </c>
      <c r="MD88" s="1" t="n">
        <f aca="false">LV88-MC88</f>
        <v>0</v>
      </c>
      <c r="ME88" s="1" t="n">
        <f aca="false">IF(EW88=1,IF(ABS((1+AS_Wage)/(1+Slot14_Rate)-1)&lt;0.000000000001,(Slot14_Age-D88)*(1+Slot14_Rate)^(Slot14_Age-D88),(1+Slot14_Rate)^(Slot14_Age-D88)*(1-((1+AS_Wage)/(1+Slot14_Rate))^(Slot14_Age-D88))/(1-(1+AS_Wage)/(1+Slot14_Rate))),1)</f>
        <v>1</v>
      </c>
      <c r="MF88" s="1" t="n">
        <f aca="false">IF(AND(HT88=1,ID88&gt;0,Slot14_IsWG=1,EW88=1),MAX(0,(Slot14_Cost-EX88*(1+Slot14_Rate)^(Slot14_Age-D88))/ME88),0)</f>
        <v>0</v>
      </c>
      <c r="MG88" s="1" t="n">
        <f aca="false">IF(AND(HT88=1,ID88&gt;0,Slot14_IsWG=1,EW88=1),MIN(ID88,MF88),0)</f>
        <v>0</v>
      </c>
      <c r="MH88" s="1" t="n">
        <f aca="false">EX88+MG88</f>
        <v>0</v>
      </c>
      <c r="MI88" s="1" t="n">
        <f aca="false">IF(EW88=1,MAX(0,(Slot14_Cost-MH88*(1+Slot14_Rate)^(Slot14_Age-D88))/ME88),0)</f>
        <v>0</v>
      </c>
      <c r="MJ88" s="1" t="n">
        <f aca="false">IF(EW88=1,MAX(0,(Slot14_Cost-EX88*(1+Slot14_Rate)^(Slot14_Age-D88))/ME88),0)</f>
        <v>0</v>
      </c>
      <c r="MK88" s="1" t="n">
        <f aca="false">IF(AND(HT88=1,EW88=1),MIN(MD88,MI88),0)</f>
        <v>0</v>
      </c>
      <c r="ML88" s="1" t="n">
        <f aca="false">MD88-MK88</f>
        <v>0</v>
      </c>
      <c r="MM88" s="1" t="n">
        <f aca="false">IF(FG88=1,IF(ABS((1+AS_Wage)/(1+Slot15_Rate)-1)&lt;0.000000000001,(Slot15_Age-D88)*(1+Slot15_Rate)^(Slot15_Age-D88),(1+Slot15_Rate)^(Slot15_Age-D88)*(1-((1+AS_Wage)/(1+Slot15_Rate))^(Slot15_Age-D88))/(1-(1+AS_Wage)/(1+Slot15_Rate))),1)</f>
        <v>1</v>
      </c>
      <c r="MN88" s="1" t="n">
        <f aca="false">IF(AND(HT88=1,ID88&gt;0,Slot15_IsWG=1,FG88=1),MAX(0,(Slot15_Cost-FH88*(1+Slot15_Rate)^(Slot15_Age-D88))/MM88),0)</f>
        <v>0</v>
      </c>
      <c r="MO88" s="1" t="n">
        <f aca="false">IF(AND(HT88=1,ID88&gt;0,Slot15_IsWG=1,FG88=1),MIN(ID88,MN88),0)</f>
        <v>0</v>
      </c>
      <c r="MP88" s="1" t="n">
        <f aca="false">FH88+MO88</f>
        <v>0</v>
      </c>
      <c r="MQ88" s="1" t="n">
        <f aca="false">IF(FG88=1,MAX(0,(Slot15_Cost-MP88*(1+Slot15_Rate)^(Slot15_Age-D88))/MM88),0)</f>
        <v>0</v>
      </c>
      <c r="MR88" s="1" t="n">
        <f aca="false">IF(FG88=1,MAX(0,(Slot15_Cost-FH88*(1+Slot15_Rate)^(Slot15_Age-D88))/MM88),0)</f>
        <v>0</v>
      </c>
      <c r="MS88" s="1" t="n">
        <f aca="false">IF(AND(HT88=1,FG88=1),MIN(ML88,MQ88),0)</f>
        <v>0</v>
      </c>
      <c r="MT88" s="1" t="n">
        <f aca="false">ML88-MS88</f>
        <v>0</v>
      </c>
      <c r="MU88" s="1" t="n">
        <f aca="false">IF(FQ88=1,IF(ABS((1+AS_Wage)/(1+Slot16_Rate)-1)&lt;0.000000000001,(Slot16_Age-D88)*(1+Slot16_Rate)^(Slot16_Age-D88),(1+Slot16_Rate)^(Slot16_Age-D88)*(1-((1+AS_Wage)/(1+Slot16_Rate))^(Slot16_Age-D88))/(1-(1+AS_Wage)/(1+Slot16_Rate))),1)</f>
        <v>1</v>
      </c>
      <c r="MV88" s="1" t="n">
        <f aca="false">IF(AND(HT88=1,ID88&gt;0,Slot16_IsWG=1,FQ88=1),MAX(0,(Slot16_Cost-FR88*(1+Slot16_Rate)^(Slot16_Age-D88))/MU88),0)</f>
        <v>0</v>
      </c>
      <c r="MW88" s="1" t="n">
        <f aca="false">IF(AND(HT88=1,ID88&gt;0,Slot16_IsWG=1,FQ88=1),MIN(ID88,MV88),0)</f>
        <v>0</v>
      </c>
      <c r="MX88" s="1" t="n">
        <f aca="false">FR88+MW88</f>
        <v>0</v>
      </c>
      <c r="MY88" s="1" t="n">
        <f aca="false">IF(FQ88=1,MAX(0,(Slot16_Cost-MX88*(1+Slot16_Rate)^(Slot16_Age-D88))/MU88),0)</f>
        <v>0</v>
      </c>
      <c r="MZ88" s="1" t="n">
        <f aca="false">IF(FQ88=1,MAX(0,(Slot16_Cost-FR88*(1+Slot16_Rate)^(Slot16_Age-D88))/MU88),0)</f>
        <v>0</v>
      </c>
      <c r="NA88" s="1" t="n">
        <f aca="false">IF(AND(HT88=1,FQ88=1),MIN(MT88,MY88),0)</f>
        <v>0</v>
      </c>
      <c r="NB88" s="1" t="n">
        <f aca="false">MT88-NA88</f>
        <v>0</v>
      </c>
      <c r="NC88" s="1" t="n">
        <f aca="false">IF(GA88=1,IF(ABS((1+AS_Wage)/(1+Slot17_Rate)-1)&lt;0.000000000001,(Slot17_Age-D88)*(1+Slot17_Rate)^(Slot17_Age-D88),(1+Slot17_Rate)^(Slot17_Age-D88)*(1-((1+AS_Wage)/(1+Slot17_Rate))^(Slot17_Age-D88))/(1-(1+AS_Wage)/(1+Slot17_Rate))),1)</f>
        <v>1</v>
      </c>
      <c r="ND88" s="1" t="n">
        <f aca="false">IF(AND(HT88=1,ID88&gt;0,Slot17_IsWG=1,GA88=1),MAX(0,(Slot17_Cost-GB88*(1+Slot17_Rate)^(Slot17_Age-D88))/NC88),0)</f>
        <v>0</v>
      </c>
      <c r="NE88" s="1" t="n">
        <f aca="false">IF(AND(HT88=1,ID88&gt;0,Slot17_IsWG=1,GA88=1),MIN(ID88,ND88),0)</f>
        <v>0</v>
      </c>
      <c r="NF88" s="1" t="n">
        <f aca="false">GB88+NE88</f>
        <v>0</v>
      </c>
      <c r="NG88" s="1" t="n">
        <f aca="false">IF(GA88=1,MAX(0,(Slot17_Cost-NF88*(1+Slot17_Rate)^(Slot17_Age-D88))/NC88),0)</f>
        <v>0</v>
      </c>
      <c r="NH88" s="1" t="n">
        <f aca="false">IF(GA88=1,MAX(0,(Slot17_Cost-GB88*(1+Slot17_Rate)^(Slot17_Age-D88))/NC88),0)</f>
        <v>0</v>
      </c>
      <c r="NI88" s="1" t="n">
        <f aca="false">IF(AND(HT88=1,GA88=1),MIN(NB88,NG88),0)</f>
        <v>0</v>
      </c>
      <c r="NJ88" s="1" t="n">
        <f aca="false">NB88-NI88</f>
        <v>0</v>
      </c>
      <c r="NK88" s="1" t="n">
        <f aca="false">IF(GK88=1,IF(ABS((1+AS_Wage)/(1+Slot18_Rate)-1)&lt;0.000000000001,(Slot18_Age-D88)*(1+Slot18_Rate)^(Slot18_Age-D88),(1+Slot18_Rate)^(Slot18_Age-D88)*(1-((1+AS_Wage)/(1+Slot18_Rate))^(Slot18_Age-D88))/(1-(1+AS_Wage)/(1+Slot18_Rate))),1)</f>
        <v>1</v>
      </c>
      <c r="NL88" s="1" t="n">
        <f aca="false">IF(AND(HT88=1,ID88&gt;0,Slot18_IsWG=1,GK88=1),MAX(0,(Slot18_Cost-GL88*(1+Slot18_Rate)^(Slot18_Age-D88))/NK88),0)</f>
        <v>0</v>
      </c>
      <c r="NM88" s="1" t="n">
        <f aca="false">IF(AND(HT88=1,ID88&gt;0,Slot18_IsWG=1,GK88=1),MIN(ID88,NL88),0)</f>
        <v>0</v>
      </c>
      <c r="NN88" s="1" t="n">
        <f aca="false">GL88+NM88</f>
        <v>0</v>
      </c>
      <c r="NO88" s="1" t="n">
        <f aca="false">IF(GK88=1,MAX(0,(Slot18_Cost-NN88*(1+Slot18_Rate)^(Slot18_Age-D88))/NK88),0)</f>
        <v>0</v>
      </c>
      <c r="NP88" s="1" t="n">
        <f aca="false">IF(GK88=1,MAX(0,(Slot18_Cost-GL88*(1+Slot18_Rate)^(Slot18_Age-D88))/NK88),0)</f>
        <v>0</v>
      </c>
      <c r="NQ88" s="1" t="n">
        <f aca="false">IF(AND(HT88=1,GK88=1),MIN(NJ88,NO88),0)</f>
        <v>0</v>
      </c>
      <c r="NR88" s="1" t="n">
        <f aca="false">NJ88-NQ88</f>
        <v>0</v>
      </c>
      <c r="NS88" s="1" t="n">
        <f aca="false">IF(GU88=1,IF(ABS((1+AS_Wage)/(1+Slot19_Rate)-1)&lt;0.000000000001,(Slot19_Age-D88)*(1+Slot19_Rate)^(Slot19_Age-D88),(1+Slot19_Rate)^(Slot19_Age-D88)*(1-((1+AS_Wage)/(1+Slot19_Rate))^(Slot19_Age-D88))/(1-(1+AS_Wage)/(1+Slot19_Rate))),1)</f>
        <v>1</v>
      </c>
      <c r="NT88" s="1" t="n">
        <f aca="false">IF(AND(HT88=1,ID88&gt;0,Slot19_IsWG=1,GU88=1),MAX(0,(Slot19_Cost-GV88*(1+Slot19_Rate)^(Slot19_Age-D88))/NS88),0)</f>
        <v>0</v>
      </c>
      <c r="NU88" s="1" t="n">
        <f aca="false">IF(AND(HT88=1,ID88&gt;0,Slot19_IsWG=1,GU88=1),MIN(ID88,NT88),0)</f>
        <v>0</v>
      </c>
      <c r="NV88" s="1" t="n">
        <f aca="false">GV88+NU88</f>
        <v>0</v>
      </c>
      <c r="NW88" s="1" t="n">
        <f aca="false">IF(GU88=1,MAX(0,(Slot19_Cost-NV88*(1+Slot19_Rate)^(Slot19_Age-D88))/NS88),0)</f>
        <v>0</v>
      </c>
      <c r="NX88" s="1" t="n">
        <f aca="false">IF(GU88=1,MAX(0,(Slot19_Cost-GV88*(1+Slot19_Rate)^(Slot19_Age-D88))/NS88),0)</f>
        <v>0</v>
      </c>
      <c r="NY88" s="1" t="n">
        <f aca="false">IF(AND(HT88=1,GU88=1),MIN(NR88,NW88),0)</f>
        <v>0</v>
      </c>
      <c r="NZ88" s="1" t="n">
        <f aca="false">NR88-NY88</f>
        <v>0</v>
      </c>
      <c r="OA88" s="1" t="n">
        <f aca="false">IF(HE88=1,IF(ABS((1+AS_Wage)/(1+Slot20_Rate)-1)&lt;0.000000000001,(Slot20_Age-D88)*(1+Slot20_Rate)^(Slot20_Age-D88),(1+Slot20_Rate)^(Slot20_Age-D88)*(1-((1+AS_Wage)/(1+Slot20_Rate))^(Slot20_Age-D88))/(1-(1+AS_Wage)/(1+Slot20_Rate))),1)</f>
        <v>1</v>
      </c>
      <c r="OB88" s="1" t="n">
        <f aca="false">IF(AND(HT88=1,ID88&gt;0,Slot20_IsWG=1,HE88=1),MAX(0,(Slot20_Cost-HF88*(1+Slot20_Rate)^(Slot20_Age-D88))/OA88),0)</f>
        <v>0</v>
      </c>
      <c r="OC88" s="1" t="n">
        <f aca="false">IF(AND(HT88=1,ID88&gt;0,Slot20_IsWG=1,HE88=1),MIN(ID88,OB88),0)</f>
        <v>0</v>
      </c>
      <c r="OD88" s="1" t="n">
        <f aca="false">HF88+OC88</f>
        <v>0</v>
      </c>
      <c r="OE88" s="1" t="n">
        <f aca="false">IF(HE88=1,MAX(0,(Slot20_Cost-OD88*(1+Slot20_Rate)^(Slot20_Age-D88))/OA88),0)</f>
        <v>0</v>
      </c>
      <c r="OF88" s="1" t="n">
        <f aca="false">IF(HE88=1,MAX(0,(Slot20_Cost-HF88*(1+Slot20_Rate)^(Slot20_Age-D88))/OA88),0)</f>
        <v>0</v>
      </c>
      <c r="OG88" s="1" t="n">
        <f aca="false">IF(AND(HT88=1,HE88=1),MIN(NZ88,OE88),0)</f>
        <v>0</v>
      </c>
      <c r="OH88" s="1" t="n">
        <f aca="false">NZ88-OG88</f>
        <v>0</v>
      </c>
      <c r="OI88" s="1" t="n">
        <f aca="false">ID88-(IG88+IO88+IW88+JE88+JM88+JU88+KC88+KK88+KS88+LA88+LI88+LQ88+LY88+MG88+MO88+MW88+NE88+NM88+NU88+OC88)</f>
        <v>0</v>
      </c>
      <c r="OJ88" s="1" t="n">
        <f aca="false">IF(HT88=1,HR88-IC88-ID88,0)</f>
        <v>63238.7362410276</v>
      </c>
      <c r="OK88" s="1" t="n">
        <f aca="false">IF(HT88=0,-HR88,0)</f>
        <v>0</v>
      </c>
      <c r="OL88" s="1" t="n">
        <f aca="false">MIN(OK88,HJ88)</f>
        <v>0</v>
      </c>
      <c r="OM88" s="1" t="n">
        <f aca="false">OK88-OL88</f>
        <v>0</v>
      </c>
      <c r="ON88" s="1" t="n">
        <f aca="false">MIN(OM88,HK88)</f>
        <v>0</v>
      </c>
      <c r="OO88" s="1" t="n">
        <f aca="false">OM88-ON88</f>
        <v>0</v>
      </c>
      <c r="OP88" s="1" t="n">
        <f aca="false">IF(AND(HT88=0,HE88=1,OO88&gt;0),MIN(OO88,HF88),0)</f>
        <v>0</v>
      </c>
      <c r="OQ88" s="1" t="n">
        <f aca="false">OO88-OP88</f>
        <v>0</v>
      </c>
      <c r="OR88" s="1" t="n">
        <f aca="false">IF(AND(HT88=0,GU88=1,OQ88&gt;0),MIN(OQ88,GV88),0)</f>
        <v>0</v>
      </c>
      <c r="OS88" s="1" t="n">
        <f aca="false">OQ88-OR88</f>
        <v>0</v>
      </c>
      <c r="OT88" s="1" t="n">
        <f aca="false">IF(AND(HT88=0,GK88=1,OS88&gt;0),MIN(OS88,GL88),0)</f>
        <v>0</v>
      </c>
      <c r="OU88" s="1" t="n">
        <f aca="false">OS88-OT88</f>
        <v>0</v>
      </c>
      <c r="OV88" s="1" t="n">
        <f aca="false">IF(AND(HT88=0,GA88=1,OU88&gt;0),MIN(OU88,GB88),0)</f>
        <v>0</v>
      </c>
      <c r="OW88" s="1" t="n">
        <f aca="false">OU88-OV88</f>
        <v>0</v>
      </c>
      <c r="OX88" s="1" t="n">
        <f aca="false">IF(AND(HT88=0,FQ88=1,OW88&gt;0),MIN(OW88,FR88),0)</f>
        <v>0</v>
      </c>
      <c r="OY88" s="1" t="n">
        <f aca="false">OW88-OX88</f>
        <v>0</v>
      </c>
      <c r="OZ88" s="1" t="n">
        <f aca="false">IF(AND(HT88=0,FG88=1,OY88&gt;0),MIN(OY88,FH88),0)</f>
        <v>0</v>
      </c>
      <c r="PA88" s="1" t="n">
        <f aca="false">OY88-OZ88</f>
        <v>0</v>
      </c>
      <c r="PB88" s="1" t="n">
        <f aca="false">IF(AND(HT88=0,EW88=1,PA88&gt;0),MIN(PA88,EX88),0)</f>
        <v>0</v>
      </c>
      <c r="PC88" s="1" t="n">
        <f aca="false">PA88-PB88</f>
        <v>0</v>
      </c>
      <c r="PD88" s="1" t="n">
        <f aca="false">IF(AND(HT88=0,EM88=1,PC88&gt;0),MIN(PC88,EN88),0)</f>
        <v>0</v>
      </c>
      <c r="PE88" s="1" t="n">
        <f aca="false">PC88-PD88</f>
        <v>0</v>
      </c>
      <c r="PF88" s="1" t="n">
        <f aca="false">IF(AND(HT88=0,EC88=1,PE88&gt;0),MIN(PE88,ED88),0)</f>
        <v>0</v>
      </c>
      <c r="PG88" s="1" t="n">
        <f aca="false">PE88-PF88</f>
        <v>0</v>
      </c>
      <c r="PH88" s="1" t="n">
        <f aca="false">IF(AND(HT88=0,DS88=1,PG88&gt;0),MIN(PG88,DT88),0)</f>
        <v>0</v>
      </c>
      <c r="PI88" s="1" t="n">
        <f aca="false">PG88-PH88</f>
        <v>0</v>
      </c>
      <c r="PJ88" s="1" t="n">
        <f aca="false">IF(AND(HT88=0,DI88=1,PI88&gt;0),MIN(PI88,DJ88),0)</f>
        <v>0</v>
      </c>
      <c r="PK88" s="1" t="n">
        <f aca="false">PI88-PJ88</f>
        <v>0</v>
      </c>
      <c r="PL88" s="1" t="n">
        <f aca="false">IF(AND(HT88=0,CY88=1,PK88&gt;0),MIN(PK88,CZ88),0)</f>
        <v>0</v>
      </c>
      <c r="PM88" s="1" t="n">
        <f aca="false">PK88-PL88</f>
        <v>0</v>
      </c>
      <c r="PN88" s="1" t="n">
        <f aca="false">IF(AND(HT88=0,CO88=1,PM88&gt;0),MIN(PM88,CP88),0)</f>
        <v>0</v>
      </c>
      <c r="PO88" s="1" t="n">
        <f aca="false">PM88-PN88</f>
        <v>0</v>
      </c>
      <c r="PP88" s="1" t="n">
        <f aca="false">IF(AND(HT88=0,CE88=1,PO88&gt;0),MIN(PO88,CF88),0)</f>
        <v>0</v>
      </c>
      <c r="PQ88" s="1" t="n">
        <f aca="false">PO88-PP88</f>
        <v>0</v>
      </c>
      <c r="PR88" s="1" t="n">
        <f aca="false">IF(AND(HT88=0,BU88=1,PQ88&gt;0),MIN(PQ88,BV88),0)</f>
        <v>0</v>
      </c>
      <c r="PS88" s="1" t="n">
        <f aca="false">PQ88-PR88</f>
        <v>0</v>
      </c>
      <c r="PT88" s="1" t="n">
        <f aca="false">IF(AND(HT88=0,BK88=1,PS88&gt;0),MIN(PS88,BL88),0)</f>
        <v>0</v>
      </c>
      <c r="PU88" s="1" t="n">
        <f aca="false">PS88-PT88</f>
        <v>0</v>
      </c>
      <c r="PV88" s="1" t="n">
        <f aca="false">IF(AND(HT88=0,BA88=1,PU88&gt;0),MIN(PU88,BB88),0)</f>
        <v>0</v>
      </c>
      <c r="PW88" s="1" t="n">
        <f aca="false">PU88-PV88</f>
        <v>0</v>
      </c>
      <c r="PX88" s="1" t="n">
        <f aca="false">IF(AND(HT88=0,AQ88=1,PW88&gt;0),MIN(PW88,AR88),0)</f>
        <v>0</v>
      </c>
      <c r="PY88" s="1" t="n">
        <f aca="false">PW88-PX88</f>
        <v>0</v>
      </c>
      <c r="PZ88" s="1" t="n">
        <f aca="false">IF(AND(HT88=0,AG88=1,PY88&gt;0),MIN(PY88,AH88),0)</f>
        <v>0</v>
      </c>
      <c r="QA88" s="1" t="n">
        <f aca="false">PY88-PZ88</f>
        <v>0</v>
      </c>
      <c r="QB88" s="1" t="n">
        <f aca="false">IF(AND(HT88=0,V88=1,QA88&gt;0),MIN(QA88,W88),0)</f>
        <v>0</v>
      </c>
      <c r="QC88" s="1" t="n">
        <f aca="false">QA88-QB88</f>
        <v>0</v>
      </c>
      <c r="QD88" s="1" t="n">
        <f aca="false">IF(HT88=0,QC88,0)</f>
        <v>0</v>
      </c>
      <c r="QE88" s="1" t="n">
        <f aca="false">OL88+ON88+QB88+PZ88+PX88+PV88+PT88+PR88+PP88+PN88+PL88+PJ88+PH88+PF88+PD88+PB88+OZ88+OX88+OV88+OT88+OR88+OP88</f>
        <v>0</v>
      </c>
      <c r="QF88" s="1" t="n">
        <f aca="false">IF(HT88=1,HJ88+OI88+OH88+IF(F88=1,0,OJ88),HJ88-OL88)</f>
        <v>890932.282426903</v>
      </c>
      <c r="QG88" s="1" t="n">
        <f aca="false">HK88-ON88</f>
        <v>0</v>
      </c>
      <c r="QH88" s="1" t="n">
        <f aca="false">IF(HT88=1,IF(F88=1,IC88+ID88,HR88),0)</f>
        <v>63238.7362410276</v>
      </c>
      <c r="QI88" s="1" t="n">
        <f aca="false">IF(HT88=1,IF(F88=1,HR88-IC88-ID88,0),0)</f>
        <v>0</v>
      </c>
      <c r="QJ88" s="1" t="n">
        <f aca="false">QF88*(1+GR)</f>
        <v>905543.571858704</v>
      </c>
      <c r="QK88" s="1" t="n">
        <f aca="false">QG88*(1+AS_Cash)</f>
        <v>0</v>
      </c>
      <c r="QL88" s="1" t="n">
        <f aca="false">IF(V88=1,IF(HT88=1,IH88+IK88,W88-QB88)*(1+Slot1_Rate),0)</f>
        <v>0</v>
      </c>
      <c r="QM88" s="1" t="n">
        <f aca="false">IF(AND(HT88=1,V88=1),(IG88+IK88)/E88,0)</f>
        <v>0</v>
      </c>
      <c r="QN88" s="1" t="n">
        <f aca="false">IF(B88=0,IG88+IK88,0)</f>
        <v>0</v>
      </c>
      <c r="QO88" s="1" t="n">
        <f aca="false">IF(B88=0,IF(HT88=1,II88,IJ88),0)</f>
        <v>0</v>
      </c>
      <c r="QP88" s="1" t="n">
        <f aca="false">IF(AG88=1,IF(HT88=1,IP88+IS88,AH88-PZ88)*(1+Slot2_Rate),0)</f>
        <v>0</v>
      </c>
      <c r="QQ88" s="1" t="n">
        <f aca="false">IF(AND(HT88=1,AG88=1),(IO88+IS88)/E88,0)</f>
        <v>0</v>
      </c>
      <c r="QR88" s="1" t="n">
        <f aca="false">IF(B88=0,IO88+IS88,0)</f>
        <v>0</v>
      </c>
      <c r="QS88" s="1" t="n">
        <f aca="false">IF(B88=0,IF(HT88=1,IQ88,IR88),0)</f>
        <v>0</v>
      </c>
      <c r="QT88" s="1" t="n">
        <f aca="false">IF(AQ88=1,IF(HT88=1,IX88+JA88,AR88-PX88)*(1+Slot3_Rate),0)</f>
        <v>0</v>
      </c>
      <c r="QU88" s="1" t="n">
        <f aca="false">IF(AND(HT88=1,AQ88=1),(IW88+JA88)/E88,0)</f>
        <v>0</v>
      </c>
      <c r="QV88" s="1" t="n">
        <f aca="false">IF(B88=0,IW88+JA88,0)</f>
        <v>0</v>
      </c>
      <c r="QW88" s="1" t="n">
        <f aca="false">IF(B88=0,IF(HT88=1,IY88,IZ88),0)</f>
        <v>0</v>
      </c>
      <c r="QX88" s="1" t="n">
        <f aca="false">IF(BA88=1,IF(HT88=1,JF88+JI88,BB88-PV88)*(1+Slot4_Rate),0)</f>
        <v>0</v>
      </c>
      <c r="QY88" s="1" t="n">
        <f aca="false">IF(AND(HT88=1,BA88=1),(JE88+JI88)/E88,0)</f>
        <v>0</v>
      </c>
      <c r="QZ88" s="1" t="n">
        <f aca="false">IF(B88=0,JE88+JI88,0)</f>
        <v>0</v>
      </c>
      <c r="RA88" s="1" t="n">
        <f aca="false">IF(B88=0,IF(HT88=1,JG88,JH88),0)</f>
        <v>0</v>
      </c>
      <c r="RB88" s="1" t="n">
        <f aca="false">IF(BK88=1,IF(HT88=1,JN88+JQ88,BL88-PT88)*(1+Slot5_Rate),0)</f>
        <v>0</v>
      </c>
      <c r="RC88" s="1" t="n">
        <f aca="false">IF(AND(HT88=1,BK88=1),(JM88+JQ88)/E88,0)</f>
        <v>0</v>
      </c>
      <c r="RD88" s="1" t="n">
        <f aca="false">IF(B88=0,JM88+JQ88,0)</f>
        <v>0</v>
      </c>
      <c r="RE88" s="1" t="n">
        <f aca="false">IF(B88=0,IF(HT88=1,JO88,JP88),0)</f>
        <v>0</v>
      </c>
      <c r="RF88" s="1" t="n">
        <f aca="false">IF(BU88=1,IF(HT88=1,JV88+JY88,BV88-PR88)*(1+Slot6_Rate),0)</f>
        <v>0</v>
      </c>
      <c r="RG88" s="1" t="n">
        <f aca="false">IF(AND(HT88=1,BU88=1),(JU88+JY88)/E88,0)</f>
        <v>0</v>
      </c>
      <c r="RH88" s="1" t="n">
        <f aca="false">IF(B88=0,JU88+JY88,0)</f>
        <v>0</v>
      </c>
      <c r="RI88" s="1" t="n">
        <f aca="false">IF(B88=0,IF(HT88=1,JW88,JX88),0)</f>
        <v>0</v>
      </c>
      <c r="RJ88" s="1" t="n">
        <f aca="false">IF(CE88=1,IF(HT88=1,KD88+KG88,CF88-PP88)*(1+Slot7_Rate),0)</f>
        <v>0</v>
      </c>
      <c r="RK88" s="1" t="n">
        <f aca="false">IF(AND(HT88=1,CE88=1),(KC88+KG88)/E88,0)</f>
        <v>0</v>
      </c>
      <c r="RL88" s="1" t="n">
        <f aca="false">IF(B88=0,KC88+KG88,0)</f>
        <v>0</v>
      </c>
      <c r="RM88" s="1" t="n">
        <f aca="false">IF(B88=0,IF(HT88=1,KE88,KF88),0)</f>
        <v>0</v>
      </c>
      <c r="RN88" s="1" t="n">
        <f aca="false">IF(CO88=1,IF(HT88=1,KL88+KO88,CP88-PN88)*(1+Slot8_Rate),0)</f>
        <v>0</v>
      </c>
      <c r="RO88" s="1" t="n">
        <f aca="false">IF(AND(HT88=1,CO88=1),(KK88+KO88)/E88,0)</f>
        <v>0</v>
      </c>
      <c r="RP88" s="1" t="n">
        <f aca="false">IF(B88=0,KK88+KO88,0)</f>
        <v>0</v>
      </c>
      <c r="RQ88" s="1" t="n">
        <f aca="false">IF(B88=0,IF(HT88=1,KM88,KN88),0)</f>
        <v>0</v>
      </c>
      <c r="RR88" s="1" t="n">
        <f aca="false">IF(CY88=1,IF(HT88=1,KT88+KW88,CZ88-PL88)*(1+Slot9_Rate),0)</f>
        <v>0</v>
      </c>
      <c r="RS88" s="1" t="n">
        <f aca="false">IF(AND(HT88=1,CY88=1),(KS88+KW88)/E88,0)</f>
        <v>0</v>
      </c>
      <c r="RT88" s="1" t="n">
        <f aca="false">IF(B88=0,KS88+KW88,0)</f>
        <v>0</v>
      </c>
      <c r="RU88" s="1" t="n">
        <f aca="false">IF(B88=0,IF(HT88=1,KU88,KV88),0)</f>
        <v>0</v>
      </c>
      <c r="RV88" s="1" t="n">
        <f aca="false">IF(DI88=1,IF(HT88=1,LB88+LE88,DJ88-PJ88)*(1+Slot10_Rate),0)</f>
        <v>0</v>
      </c>
      <c r="RW88" s="1" t="n">
        <f aca="false">IF(AND(HT88=1,DI88=1),(LA88+LE88)/E88,0)</f>
        <v>0</v>
      </c>
      <c r="RX88" s="1" t="n">
        <f aca="false">IF(B88=0,LA88+LE88,0)</f>
        <v>0</v>
      </c>
      <c r="RY88" s="1" t="n">
        <f aca="false">IF(B88=0,IF(HT88=1,LC88,LD88),0)</f>
        <v>0</v>
      </c>
      <c r="RZ88" s="1" t="n">
        <f aca="false">IF(DS88=1,IF(HT88=1,LJ88+LM88,DT88-PH88)*(1+Slot11_Rate),0)</f>
        <v>0</v>
      </c>
      <c r="SA88" s="1" t="n">
        <f aca="false">IF(AND(HT88=1,DS88=1),(LI88+LM88)/E88,0)</f>
        <v>0</v>
      </c>
      <c r="SB88" s="1" t="n">
        <f aca="false">IF(B88=0,LI88+LM88,0)</f>
        <v>0</v>
      </c>
      <c r="SC88" s="1" t="n">
        <f aca="false">IF(B88=0,IF(HT88=1,LK88,LL88),0)</f>
        <v>0</v>
      </c>
      <c r="SD88" s="1" t="n">
        <f aca="false">IF(EC88=1,IF(HT88=1,LR88+LU88,ED88-PF88)*(1+Slot12_Rate),0)</f>
        <v>0</v>
      </c>
      <c r="SE88" s="1" t="n">
        <f aca="false">IF(AND(HT88=1,EC88=1),(LQ88+LU88)/E88,0)</f>
        <v>0</v>
      </c>
      <c r="SF88" s="1" t="n">
        <f aca="false">IF(B88=0,LQ88+LU88,0)</f>
        <v>0</v>
      </c>
      <c r="SG88" s="1" t="n">
        <f aca="false">IF(B88=0,IF(HT88=1,LS88,LT88),0)</f>
        <v>0</v>
      </c>
      <c r="SH88" s="1" t="n">
        <f aca="false">IF(EM88=1,IF(HT88=1,LZ88+MC88,EN88-PD88)*(1+Slot13_Rate),0)</f>
        <v>0</v>
      </c>
      <c r="SI88" s="1" t="n">
        <f aca="false">IF(AND(HT88=1,EM88=1),(LY88+MC88)/E88,0)</f>
        <v>0</v>
      </c>
      <c r="SJ88" s="1" t="n">
        <f aca="false">IF(B88=0,LY88+MC88,0)</f>
        <v>0</v>
      </c>
      <c r="SK88" s="1" t="n">
        <f aca="false">IF(B88=0,IF(HT88=1,MA88,MB88),0)</f>
        <v>0</v>
      </c>
      <c r="SL88" s="1" t="n">
        <f aca="false">IF(EW88=1,IF(HT88=1,MH88+MK88,EX88-PB88)*(1+Slot14_Rate),0)</f>
        <v>0</v>
      </c>
      <c r="SM88" s="1" t="n">
        <f aca="false">IF(AND(HT88=1,EW88=1),(MG88+MK88)/E88,0)</f>
        <v>0</v>
      </c>
      <c r="SN88" s="1" t="n">
        <f aca="false">IF(B88=0,MG88+MK88,0)</f>
        <v>0</v>
      </c>
      <c r="SO88" s="1" t="n">
        <f aca="false">IF(B88=0,IF(HT88=1,MI88,MJ88),0)</f>
        <v>0</v>
      </c>
      <c r="SP88" s="1" t="n">
        <f aca="false">IF(FG88=1,IF(HT88=1,MP88+MS88,FH88-OZ88)*(1+Slot15_Rate),0)</f>
        <v>0</v>
      </c>
      <c r="SQ88" s="1" t="n">
        <f aca="false">IF(AND(HT88=1,FG88=1),(MO88+MS88)/E88,0)</f>
        <v>0</v>
      </c>
      <c r="SR88" s="1" t="n">
        <f aca="false">IF(B88=0,MO88+MS88,0)</f>
        <v>0</v>
      </c>
      <c r="SS88" s="1" t="n">
        <f aca="false">IF(B88=0,IF(HT88=1,MQ88,MR88),0)</f>
        <v>0</v>
      </c>
      <c r="ST88" s="1" t="n">
        <f aca="false">IF(FQ88=1,IF(HT88=1,MX88+NA88,FR88-OX88)*(1+Slot16_Rate),0)</f>
        <v>0</v>
      </c>
      <c r="SU88" s="1" t="n">
        <f aca="false">IF(AND(HT88=1,FQ88=1),(MW88+NA88)/E88,0)</f>
        <v>0</v>
      </c>
      <c r="SV88" s="1" t="n">
        <f aca="false">IF(B88=0,MW88+NA88,0)</f>
        <v>0</v>
      </c>
      <c r="SW88" s="1" t="n">
        <f aca="false">IF(B88=0,IF(HT88=1,MY88,MZ88),0)</f>
        <v>0</v>
      </c>
      <c r="SX88" s="1" t="n">
        <f aca="false">IF(GA88=1,IF(HT88=1,NF88+NI88,GB88-OV88)*(1+Slot17_Rate),0)</f>
        <v>0</v>
      </c>
      <c r="SY88" s="1" t="n">
        <f aca="false">IF(AND(HT88=1,GA88=1),(NE88+NI88)/E88,0)</f>
        <v>0</v>
      </c>
      <c r="SZ88" s="1" t="n">
        <f aca="false">IF(B88=0,NE88+NI88,0)</f>
        <v>0</v>
      </c>
      <c r="TA88" s="1" t="n">
        <f aca="false">IF(B88=0,IF(HT88=1,NG88,NH88),0)</f>
        <v>0</v>
      </c>
      <c r="TB88" s="1" t="n">
        <f aca="false">IF(GK88=1,IF(HT88=1,NN88+NQ88,GL88-OT88)*(1+Slot18_Rate),0)</f>
        <v>0</v>
      </c>
      <c r="TC88" s="1" t="n">
        <f aca="false">IF(AND(HT88=1,GK88=1),(NM88+NQ88)/E88,0)</f>
        <v>0</v>
      </c>
      <c r="TD88" s="1" t="n">
        <f aca="false">IF(B88=0,NM88+NQ88,0)</f>
        <v>0</v>
      </c>
      <c r="TE88" s="1" t="n">
        <f aca="false">IF(B88=0,IF(HT88=1,NO88,NP88),0)</f>
        <v>0</v>
      </c>
      <c r="TF88" s="1" t="n">
        <f aca="false">IF(GU88=1,IF(HT88=1,NV88+NY88,GV88-OR88)*(1+Slot19_Rate),0)</f>
        <v>0</v>
      </c>
      <c r="TG88" s="1" t="n">
        <f aca="false">IF(AND(HT88=1,GU88=1),(NU88+NY88)/E88,0)</f>
        <v>0</v>
      </c>
      <c r="TH88" s="1" t="n">
        <f aca="false">IF(B88=0,NU88+NY88,0)</f>
        <v>0</v>
      </c>
      <c r="TI88" s="1" t="n">
        <f aca="false">IF(B88=0,IF(HT88=1,NW88,NX88),0)</f>
        <v>0</v>
      </c>
      <c r="TJ88" s="1" t="n">
        <f aca="false">IF(HE88=1,IF(HT88=1,OD88+OG88,HF88-OP88)*(1+Slot20_Rate),0)</f>
        <v>0</v>
      </c>
      <c r="TK88" s="1" t="n">
        <f aca="false">IF(AND(HT88=1,HE88=1),(OC88+OG88)/E88,0)</f>
        <v>0</v>
      </c>
      <c r="TL88" s="1" t="n">
        <f aca="false">IF(B88=0,OC88+OG88,0)</f>
        <v>0</v>
      </c>
      <c r="TM88" s="1" t="n">
        <f aca="false">IF(B88=0,IF(HT88=1,OE88,OF88),0)</f>
        <v>0</v>
      </c>
      <c r="TN88" s="1" t="n">
        <f aca="false">QJ88+QK88+QL88+QP88+QT88+QX88+RB88+RF88+RJ88+RN88+RR88+RV88+RZ88+SD88+SH88+SL88+SP88+ST88+SX88+TB88+TF88+TJ88</f>
        <v>905543.571858704</v>
      </c>
      <c r="TO88" s="1" t="n">
        <f aca="false">QD88+HO88</f>
        <v>0</v>
      </c>
      <c r="TP88" s="1" t="n">
        <f aca="false">H88+R88</f>
        <v>0</v>
      </c>
      <c r="TQ88" s="1" t="n">
        <f aca="false">1-F88</f>
        <v>1</v>
      </c>
      <c r="TR88" s="1" t="n">
        <f aca="false">IF(AND(RG_Exists=1,F88=0,C88=1),H88,0)</f>
        <v>0</v>
      </c>
      <c r="TS88" s="1" t="n">
        <f aca="false">IF(AND(RG_Exists=1,F88=0,C88=1),H88-MIN(QD88,H88),0)</f>
        <v>0</v>
      </c>
      <c r="TT88" s="1" t="n">
        <f aca="false">'Plan pay &amp; tax'!AD314</f>
        <v>0</v>
      </c>
      <c r="TU88" s="1" t="n">
        <f aca="false">IF(AND(C88=1,QD88&gt;MAX(PR_Short1,TP88*PR_Short2)),1,0)</f>
        <v>0</v>
      </c>
      <c r="TV88" s="1" t="n">
        <f aca="false">MIN(G88,H88+R88)</f>
        <v>0</v>
      </c>
      <c r="TW88" s="1" t="n">
        <f aca="false">QE88+MAX(0,HP88-HO88)</f>
        <v>0</v>
      </c>
      <c r="TX88" s="1" t="n">
        <f aca="false">QD88+HO88</f>
        <v>0</v>
      </c>
      <c r="TY88" s="1" t="n">
        <f aca="false">IF(AND(C88=1,TX88&gt;PR_MinShort),1,0)</f>
        <v>0</v>
      </c>
      <c r="TZ88" s="1" t="n">
        <f aca="false">IF(AND(C88=1,TY88=0,TW88&gt;PR_MinShort),1,0)</f>
        <v>0</v>
      </c>
      <c r="UA88" s="1" t="n">
        <f aca="false">IF(AND(C88=1,QD88&gt;PR_MinShort),1,0)</f>
        <v>0</v>
      </c>
      <c r="UB88" s="1" t="n">
        <f aca="false">IF(AND(C88=1,QE88&gt;1,UI88=0),1,0)</f>
        <v>0</v>
      </c>
      <c r="UC88" s="1" t="str">
        <f aca="false">IF(C88=0,"",IF(UI88=1,"Gap to plan for: short "&amp;"€"&amp;TEXT(ROUND(TO88,0),"#,##0"),IF(QE88&gt;1,"Using savings","Comfortable")))</f>
        <v>Comfortable</v>
      </c>
      <c r="UD88" s="1" t="n">
        <f aca="false">IF(AND(INT(D88/10)*10=90,B88&gt;0),80,INT(D88/10)*10)</f>
        <v>80</v>
      </c>
      <c r="UE88" s="1" t="n">
        <f aca="false">IF(B88=0,1,IF(UD88&lt;&gt;UD87,UE87+1,UE87))</f>
        <v>9</v>
      </c>
      <c r="UF88" s="1" t="n">
        <f aca="false">IF(AND(C88=1,F88=1,QD88&gt;MAX(PR_Short1,TP88*PR_Short2)),1,0)</f>
        <v>0</v>
      </c>
      <c r="UG88" s="1" t="n">
        <f aca="false">TQ88*TU88</f>
        <v>0</v>
      </c>
      <c r="UH88" s="1" t="n">
        <f aca="false">IF(AND(U88=1,Slot1_PctLow=1),1,0)+IF(AND(AF88=1,Slot2_PctLow=1),1,0)+IF(AND(AP88=1,Slot3_PctLow=1),1,0)+IF(AND(AZ88=1,Slot4_PctLow=1),1,0)+IF(AND(BJ88=1,Slot5_PctLow=1),1,0)+IF(AND(BT88=1,Slot6_PctLow=1),1,0)+IF(AND(CD88=1,Slot7_PctLow=1),1,0)+IF(AND(CN88=1,Slot8_PctLow=1),1,0)+IF(AND(CX88=1,Slot9_PctLow=1),1,0)+IF(AND(DH88=1,Slot10_PctLow=1),1,0)+IF(AND(DR88=1,Slot11_PctLow=1),1,0)+IF(AND(EB88=1,Slot12_PctLow=1),1,0)+IF(AND(EL88=1,Slot13_PctLow=1),1,0)+IF(AND(EV88=1,Slot14_PctLow=1),1,0)+IF(AND(FF88=1,Slot15_PctLow=1),1,0)+IF(AND(FP88=1,Slot16_PctLow=1),1,0)+IF(AND(FZ88=1,Slot17_PctLow=1),1,0)+IF(AND(GJ88=1,Slot18_PctLow=1),1,0)+IF(AND(GT88=1,Slot19_PctLow=1),1,0)+IF(AND(HD88=1,Slot20_PctLow=1),1,0)</f>
        <v>0</v>
      </c>
      <c r="UI88" s="1" t="n">
        <f aca="false">IF(C88=1,IF(OR(TU88=1,UH88&gt;0),1,0),0)</f>
        <v>0</v>
      </c>
    </row>
    <row r="89" customFormat="false" ht="15" hidden="false" customHeight="true" outlineLevel="0" collapsed="false">
      <c r="B89" s="1" t="n">
        <v>81</v>
      </c>
      <c r="C89" s="1" t="n">
        <f aca="false">IF(B89&lt;=F_N,1,0)</f>
        <v>1</v>
      </c>
      <c r="D89" s="1" t="n">
        <f aca="false">'Plan pay &amp; tax'!C315</f>
        <v>81</v>
      </c>
      <c r="E89" s="111" t="n">
        <f aca="false">'Plan pay &amp; tax'!E315</f>
        <v>4.97294793921833</v>
      </c>
      <c r="F89" s="1" t="n">
        <f aca="false">'Plan pay &amp; tax'!G315</f>
        <v>0</v>
      </c>
      <c r="G89" s="1" t="n">
        <f aca="false">'Plan pay &amp; tax'!BT315-'Plan pay &amp; tax'!BS315-'Plan pay &amp; tax'!R315</f>
        <v>64503.5109658482</v>
      </c>
      <c r="H89" s="1" t="n">
        <f aca="false">IF(F89=1,F_CostsM*12,IF(RG_Exists=1,RG_Amount,F_CostsM*12*AS_RetireSpend))*E89+F_OneOffY*E89</f>
        <v>0</v>
      </c>
      <c r="I89" s="1" t="n">
        <f aca="false">HQ88</f>
        <v>0</v>
      </c>
      <c r="J89" s="1" t="n">
        <f aca="false">IF(I89&gt;1,'Plan debt months'!AC89,0)</f>
        <v>0</v>
      </c>
      <c r="K89" s="1" t="n">
        <f aca="false">IF(I89&gt;1,'Plan debt months'!AB89,I89)</f>
        <v>0</v>
      </c>
      <c r="L89" s="1" t="n">
        <f aca="false">N88</f>
        <v>0</v>
      </c>
      <c r="M89" s="1" t="n">
        <f aca="false">IF(L89&gt;1,'Plan debt months'!BD89,0)</f>
        <v>0</v>
      </c>
      <c r="N89" s="1" t="n">
        <f aca="false">IF(L89&gt;1,'Plan debt months'!BC89,L89)</f>
        <v>0</v>
      </c>
      <c r="O89" s="1" t="n">
        <f aca="false">Q88</f>
        <v>0</v>
      </c>
      <c r="P89" s="1" t="n">
        <f aca="false">IF(O89&gt;1,'Plan debt months'!CE89,0)</f>
        <v>0</v>
      </c>
      <c r="Q89" s="1" t="n">
        <f aca="false">IF(O89&gt;1,'Plan debt months'!CD89,O89)</f>
        <v>0</v>
      </c>
      <c r="R89" s="1" t="n">
        <f aca="false">J89+M89+P89</f>
        <v>0</v>
      </c>
      <c r="S89" s="1" t="n">
        <f aca="false">QJ88+'Plan pay &amp; tax'!Y315</f>
        <v>905543.571858704</v>
      </c>
      <c r="T89" s="1" t="n">
        <f aca="false">QJ88</f>
        <v>905543.571858704</v>
      </c>
      <c r="U89" s="1" t="n">
        <f aca="false">IF(AND(Slot1_On=1,D89=Slot1_Age),1,0)</f>
        <v>0</v>
      </c>
      <c r="V89" s="1" t="n">
        <f aca="false">IF(AND(Slot1_On=1,Slot1_Age&gt;D89),1,0)</f>
        <v>0</v>
      </c>
      <c r="W89" s="1" t="n">
        <f aca="false">QL88</f>
        <v>0</v>
      </c>
      <c r="X89" s="1" t="n">
        <f aca="false">U89*MIN(Slot1_Cost,W89)</f>
        <v>0</v>
      </c>
      <c r="Y89" s="1" t="n">
        <f aca="false">U89*Slot1_SpendLike*MIN(Slot1_Cost-X89,S89)</f>
        <v>0</v>
      </c>
      <c r="Z89" s="1" t="n">
        <f aca="false">X89+Y89</f>
        <v>0</v>
      </c>
      <c r="AA89" s="1" t="n">
        <f aca="false">S89-Y89+U89*IF(Slot1_SpendLike=1,W89-X89,IF(Slot1_PotFree=1,W89,0))</f>
        <v>905543.571858704</v>
      </c>
      <c r="AB89" s="1" t="n">
        <f aca="false">AE89+U89*Slot1_BufPot*W89</f>
        <v>0</v>
      </c>
      <c r="AC89" s="1" t="n">
        <f aca="false">IF(AND(U89=1,Slot1_IsMfree=1),IF(Z89&gt;=Slot1_Cost-1,0,MAX(0,K89-Z89)),K89)</f>
        <v>0</v>
      </c>
      <c r="AD89" s="1" t="n">
        <f aca="false">U89*(Slot1_Cost-Z89)</f>
        <v>0</v>
      </c>
      <c r="AE89" s="1" t="n">
        <f aca="false">QK88</f>
        <v>0</v>
      </c>
      <c r="AF89" s="1" t="n">
        <f aca="false">IF(AND(Slot2_On=1,D89=Slot2_Age),1,0)</f>
        <v>0</v>
      </c>
      <c r="AG89" s="1" t="n">
        <f aca="false">IF(AND(Slot2_On=1,Slot2_Age&gt;D89),1,0)</f>
        <v>0</v>
      </c>
      <c r="AH89" s="1" t="n">
        <f aca="false">QP88</f>
        <v>0</v>
      </c>
      <c r="AI89" s="1" t="n">
        <f aca="false">AF89*MIN(Slot2_Cost,AH89)</f>
        <v>0</v>
      </c>
      <c r="AJ89" s="1" t="n">
        <f aca="false">AF89*Slot2_SpendLike*MIN(Slot2_Cost-AI89,AA89)</f>
        <v>0</v>
      </c>
      <c r="AK89" s="1" t="n">
        <f aca="false">AI89+AJ89</f>
        <v>0</v>
      </c>
      <c r="AL89" s="1" t="n">
        <f aca="false">AA89-AJ89+AF89*IF(Slot2_SpendLike=1,AH89-AI89,IF(Slot2_PotFree=1,AH89,0))</f>
        <v>905543.571858704</v>
      </c>
      <c r="AM89" s="1" t="n">
        <f aca="false">AB89+AF89*Slot2_BufPot*AH89</f>
        <v>0</v>
      </c>
      <c r="AN89" s="1" t="n">
        <f aca="false">IF(AND(AF89=1,Slot2_IsMfree=1),IF(AK89&gt;=Slot2_Cost-1,0,MAX(0,AC89-AK89)),AC89)</f>
        <v>0</v>
      </c>
      <c r="AO89" s="1" t="n">
        <f aca="false">AF89*(Slot2_Cost-AK89)</f>
        <v>0</v>
      </c>
      <c r="AP89" s="1" t="n">
        <f aca="false">IF(AND(Slot3_On=1,D89=Slot3_Age),1,0)</f>
        <v>0</v>
      </c>
      <c r="AQ89" s="1" t="n">
        <f aca="false">IF(AND(Slot3_On=1,Slot3_Age&gt;D89),1,0)</f>
        <v>0</v>
      </c>
      <c r="AR89" s="1" t="n">
        <f aca="false">QT88</f>
        <v>0</v>
      </c>
      <c r="AS89" s="1" t="n">
        <f aca="false">AP89*MIN(Slot3_Cost,AR89)</f>
        <v>0</v>
      </c>
      <c r="AT89" s="1" t="n">
        <f aca="false">AP89*Slot3_SpendLike*MIN(Slot3_Cost-AS89,AL89)</f>
        <v>0</v>
      </c>
      <c r="AU89" s="1" t="n">
        <f aca="false">AS89+AT89</f>
        <v>0</v>
      </c>
      <c r="AV89" s="1" t="n">
        <f aca="false">AL89-AT89+AP89*IF(Slot3_SpendLike=1,AR89-AS89,IF(Slot3_PotFree=1,AR89,0))</f>
        <v>905543.571858704</v>
      </c>
      <c r="AW89" s="1" t="n">
        <f aca="false">AM89+AP89*Slot3_BufPot*AR89</f>
        <v>0</v>
      </c>
      <c r="AX89" s="1" t="n">
        <f aca="false">IF(AND(AP89=1,Slot3_IsMfree=1),IF(AU89&gt;=Slot3_Cost-1,0,MAX(0,AN89-AU89)),AN89)</f>
        <v>0</v>
      </c>
      <c r="AY89" s="1" t="n">
        <f aca="false">AP89*(Slot3_Cost-AU89)</f>
        <v>0</v>
      </c>
      <c r="AZ89" s="1" t="n">
        <f aca="false">IF(AND(Slot4_On=1,D89=Slot4_Age),1,0)</f>
        <v>0</v>
      </c>
      <c r="BA89" s="1" t="n">
        <f aca="false">IF(AND(Slot4_On=1,Slot4_Age&gt;D89),1,0)</f>
        <v>0</v>
      </c>
      <c r="BB89" s="1" t="n">
        <f aca="false">QX88</f>
        <v>0</v>
      </c>
      <c r="BC89" s="1" t="n">
        <f aca="false">AZ89*MIN(Slot4_Cost,BB89)</f>
        <v>0</v>
      </c>
      <c r="BD89" s="1" t="n">
        <f aca="false">AZ89*Slot4_SpendLike*MIN(Slot4_Cost-BC89,AV89)</f>
        <v>0</v>
      </c>
      <c r="BE89" s="1" t="n">
        <f aca="false">BC89+BD89</f>
        <v>0</v>
      </c>
      <c r="BF89" s="1" t="n">
        <f aca="false">AV89-BD89+AZ89*IF(Slot4_SpendLike=1,BB89-BC89,IF(Slot4_PotFree=1,BB89,0))</f>
        <v>905543.571858704</v>
      </c>
      <c r="BG89" s="1" t="n">
        <f aca="false">AW89+AZ89*Slot4_BufPot*BB89</f>
        <v>0</v>
      </c>
      <c r="BH89" s="1" t="n">
        <f aca="false">IF(AND(AZ89=1,Slot4_IsMfree=1),IF(BE89&gt;=Slot4_Cost-1,0,MAX(0,AX89-BE89)),AX89)</f>
        <v>0</v>
      </c>
      <c r="BI89" s="1" t="n">
        <f aca="false">AZ89*(Slot4_Cost-BE89)</f>
        <v>0</v>
      </c>
      <c r="BJ89" s="1" t="n">
        <f aca="false">IF(AND(Slot5_On=1,D89=Slot5_Age),1,0)</f>
        <v>0</v>
      </c>
      <c r="BK89" s="1" t="n">
        <f aca="false">IF(AND(Slot5_On=1,Slot5_Age&gt;D89),1,0)</f>
        <v>0</v>
      </c>
      <c r="BL89" s="1" t="n">
        <f aca="false">RB88</f>
        <v>0</v>
      </c>
      <c r="BM89" s="1" t="n">
        <f aca="false">BJ89*MIN(Slot5_Cost,BL89)</f>
        <v>0</v>
      </c>
      <c r="BN89" s="1" t="n">
        <f aca="false">BJ89*Slot5_SpendLike*MIN(Slot5_Cost-BM89,BF89)</f>
        <v>0</v>
      </c>
      <c r="BO89" s="1" t="n">
        <f aca="false">BM89+BN89</f>
        <v>0</v>
      </c>
      <c r="BP89" s="1" t="n">
        <f aca="false">BF89-BN89+BJ89*IF(Slot5_SpendLike=1,BL89-BM89,IF(Slot5_PotFree=1,BL89,0))</f>
        <v>905543.571858704</v>
      </c>
      <c r="BQ89" s="1" t="n">
        <f aca="false">BG89+BJ89*Slot5_BufPot*BL89</f>
        <v>0</v>
      </c>
      <c r="BR89" s="1" t="n">
        <f aca="false">IF(AND(BJ89=1,Slot5_IsMfree=1),IF(BO89&gt;=Slot5_Cost-1,0,MAX(0,BH89-BO89)),BH89)</f>
        <v>0</v>
      </c>
      <c r="BS89" s="1" t="n">
        <f aca="false">BJ89*(Slot5_Cost-BO89)</f>
        <v>0</v>
      </c>
      <c r="BT89" s="1" t="n">
        <f aca="false">IF(AND(Slot6_On=1,D89=Slot6_Age),1,0)</f>
        <v>0</v>
      </c>
      <c r="BU89" s="1" t="n">
        <f aca="false">IF(AND(Slot6_On=1,Slot6_Age&gt;D89),1,0)</f>
        <v>0</v>
      </c>
      <c r="BV89" s="1" t="n">
        <f aca="false">RF88</f>
        <v>0</v>
      </c>
      <c r="BW89" s="1" t="n">
        <f aca="false">BT89*MIN(Slot6_Cost,BV89)</f>
        <v>0</v>
      </c>
      <c r="BX89" s="1" t="n">
        <f aca="false">BT89*Slot6_SpendLike*MIN(Slot6_Cost-BW89,BP89)</f>
        <v>0</v>
      </c>
      <c r="BY89" s="1" t="n">
        <f aca="false">BW89+BX89</f>
        <v>0</v>
      </c>
      <c r="BZ89" s="1" t="n">
        <f aca="false">BP89-BX89+BT89*IF(Slot6_SpendLike=1,BV89-BW89,IF(Slot6_PotFree=1,BV89,0))</f>
        <v>905543.571858704</v>
      </c>
      <c r="CA89" s="1" t="n">
        <f aca="false">BQ89+BT89*Slot6_BufPot*BV89</f>
        <v>0</v>
      </c>
      <c r="CB89" s="1" t="n">
        <f aca="false">IF(AND(BT89=1,Slot6_IsMfree=1),IF(BY89&gt;=Slot6_Cost-1,0,MAX(0,BR89-BY89)),BR89)</f>
        <v>0</v>
      </c>
      <c r="CC89" s="1" t="n">
        <f aca="false">BT89*(Slot6_Cost-BY89)</f>
        <v>0</v>
      </c>
      <c r="CD89" s="1" t="n">
        <f aca="false">IF(AND(Slot7_On=1,D89=Slot7_Age),1,0)</f>
        <v>0</v>
      </c>
      <c r="CE89" s="1" t="n">
        <f aca="false">IF(AND(Slot7_On=1,Slot7_Age&gt;D89),1,0)</f>
        <v>0</v>
      </c>
      <c r="CF89" s="1" t="n">
        <f aca="false">RJ88</f>
        <v>0</v>
      </c>
      <c r="CG89" s="1" t="n">
        <f aca="false">CD89*MIN(Slot7_Cost,CF89)</f>
        <v>0</v>
      </c>
      <c r="CH89" s="1" t="n">
        <f aca="false">CD89*Slot7_SpendLike*MIN(Slot7_Cost-CG89,BZ89)</f>
        <v>0</v>
      </c>
      <c r="CI89" s="1" t="n">
        <f aca="false">CG89+CH89</f>
        <v>0</v>
      </c>
      <c r="CJ89" s="1" t="n">
        <f aca="false">BZ89-CH89+CD89*IF(Slot7_SpendLike=1,CF89-CG89,IF(Slot7_PotFree=1,CF89,0))</f>
        <v>905543.571858704</v>
      </c>
      <c r="CK89" s="1" t="n">
        <f aca="false">CA89+CD89*Slot7_BufPot*CF89</f>
        <v>0</v>
      </c>
      <c r="CL89" s="1" t="n">
        <f aca="false">IF(AND(CD89=1,Slot7_IsMfree=1),IF(CI89&gt;=Slot7_Cost-1,0,MAX(0,CB89-CI89)),CB89)</f>
        <v>0</v>
      </c>
      <c r="CM89" s="1" t="n">
        <f aca="false">CD89*(Slot7_Cost-CI89)</f>
        <v>0</v>
      </c>
      <c r="CN89" s="1" t="n">
        <f aca="false">IF(AND(Slot8_On=1,D89=Slot8_Age),1,0)</f>
        <v>0</v>
      </c>
      <c r="CO89" s="1" t="n">
        <f aca="false">IF(AND(Slot8_On=1,Slot8_Age&gt;D89),1,0)</f>
        <v>0</v>
      </c>
      <c r="CP89" s="1" t="n">
        <f aca="false">RN88</f>
        <v>0</v>
      </c>
      <c r="CQ89" s="1" t="n">
        <f aca="false">CN89*MIN(Slot8_Cost,CP89)</f>
        <v>0</v>
      </c>
      <c r="CR89" s="1" t="n">
        <f aca="false">CN89*Slot8_SpendLike*MIN(Slot8_Cost-CQ89,CJ89)</f>
        <v>0</v>
      </c>
      <c r="CS89" s="1" t="n">
        <f aca="false">CQ89+CR89</f>
        <v>0</v>
      </c>
      <c r="CT89" s="1" t="n">
        <f aca="false">CJ89-CR89+CN89*IF(Slot8_SpendLike=1,CP89-CQ89,IF(Slot8_PotFree=1,CP89,0))</f>
        <v>905543.571858704</v>
      </c>
      <c r="CU89" s="1" t="n">
        <f aca="false">CK89+CN89*Slot8_BufPot*CP89</f>
        <v>0</v>
      </c>
      <c r="CV89" s="1" t="n">
        <f aca="false">IF(AND(CN89=1,Slot8_IsMfree=1),IF(CS89&gt;=Slot8_Cost-1,0,MAX(0,CL89-CS89)),CL89)</f>
        <v>0</v>
      </c>
      <c r="CW89" s="1" t="n">
        <f aca="false">CN89*(Slot8_Cost-CS89)</f>
        <v>0</v>
      </c>
      <c r="CX89" s="1" t="n">
        <f aca="false">IF(AND(Slot9_On=1,D89=Slot9_Age),1,0)</f>
        <v>0</v>
      </c>
      <c r="CY89" s="1" t="n">
        <f aca="false">IF(AND(Slot9_On=1,Slot9_Age&gt;D89),1,0)</f>
        <v>0</v>
      </c>
      <c r="CZ89" s="1" t="n">
        <f aca="false">RR88</f>
        <v>0</v>
      </c>
      <c r="DA89" s="1" t="n">
        <f aca="false">CX89*MIN(Slot9_Cost,CZ89)</f>
        <v>0</v>
      </c>
      <c r="DB89" s="1" t="n">
        <f aca="false">CX89*Slot9_SpendLike*MIN(Slot9_Cost-DA89,CT89)</f>
        <v>0</v>
      </c>
      <c r="DC89" s="1" t="n">
        <f aca="false">DA89+DB89</f>
        <v>0</v>
      </c>
      <c r="DD89" s="1" t="n">
        <f aca="false">CT89-DB89+CX89*IF(Slot9_SpendLike=1,CZ89-DA89,IF(Slot9_PotFree=1,CZ89,0))</f>
        <v>905543.571858704</v>
      </c>
      <c r="DE89" s="1" t="n">
        <f aca="false">CU89+CX89*Slot9_BufPot*CZ89</f>
        <v>0</v>
      </c>
      <c r="DF89" s="1" t="n">
        <f aca="false">IF(AND(CX89=1,Slot9_IsMfree=1),IF(DC89&gt;=Slot9_Cost-1,0,MAX(0,CV89-DC89)),CV89)</f>
        <v>0</v>
      </c>
      <c r="DG89" s="1" t="n">
        <f aca="false">CX89*(Slot9_Cost-DC89)</f>
        <v>0</v>
      </c>
      <c r="DH89" s="1" t="n">
        <f aca="false">IF(AND(Slot10_On=1,D89=Slot10_Age),1,0)</f>
        <v>0</v>
      </c>
      <c r="DI89" s="1" t="n">
        <f aca="false">IF(AND(Slot10_On=1,Slot10_Age&gt;D89),1,0)</f>
        <v>0</v>
      </c>
      <c r="DJ89" s="1" t="n">
        <f aca="false">RV88</f>
        <v>0</v>
      </c>
      <c r="DK89" s="1" t="n">
        <f aca="false">DH89*MIN(Slot10_Cost,DJ89)</f>
        <v>0</v>
      </c>
      <c r="DL89" s="1" t="n">
        <f aca="false">DH89*Slot10_SpendLike*MIN(Slot10_Cost-DK89,DD89)</f>
        <v>0</v>
      </c>
      <c r="DM89" s="1" t="n">
        <f aca="false">DK89+DL89</f>
        <v>0</v>
      </c>
      <c r="DN89" s="1" t="n">
        <f aca="false">DD89-DL89+DH89*IF(Slot10_SpendLike=1,DJ89-DK89,IF(Slot10_PotFree=1,DJ89,0))</f>
        <v>905543.571858704</v>
      </c>
      <c r="DO89" s="1" t="n">
        <f aca="false">DE89+DH89*Slot10_BufPot*DJ89</f>
        <v>0</v>
      </c>
      <c r="DP89" s="1" t="n">
        <f aca="false">IF(AND(DH89=1,Slot10_IsMfree=1),IF(DM89&gt;=Slot10_Cost-1,0,MAX(0,DF89-DM89)),DF89)</f>
        <v>0</v>
      </c>
      <c r="DQ89" s="1" t="n">
        <f aca="false">DH89*(Slot10_Cost-DM89)</f>
        <v>0</v>
      </c>
      <c r="DR89" s="1" t="n">
        <f aca="false">IF(AND(Slot11_On=1,D89=Slot11_Age),1,0)</f>
        <v>0</v>
      </c>
      <c r="DS89" s="1" t="n">
        <f aca="false">IF(AND(Slot11_On=1,Slot11_Age&gt;D89),1,0)</f>
        <v>0</v>
      </c>
      <c r="DT89" s="1" t="n">
        <f aca="false">RZ88</f>
        <v>0</v>
      </c>
      <c r="DU89" s="1" t="n">
        <f aca="false">DR89*MIN(Slot11_Cost,DT89)</f>
        <v>0</v>
      </c>
      <c r="DV89" s="1" t="n">
        <f aca="false">DR89*Slot11_SpendLike*MIN(Slot11_Cost-DU89,DN89)</f>
        <v>0</v>
      </c>
      <c r="DW89" s="1" t="n">
        <f aca="false">DU89+DV89</f>
        <v>0</v>
      </c>
      <c r="DX89" s="1" t="n">
        <f aca="false">DN89-DV89+DR89*IF(Slot11_SpendLike=1,DT89-DU89,IF(Slot11_PotFree=1,DT89,0))</f>
        <v>905543.571858704</v>
      </c>
      <c r="DY89" s="1" t="n">
        <f aca="false">DO89+DR89*Slot11_BufPot*DT89</f>
        <v>0</v>
      </c>
      <c r="DZ89" s="1" t="n">
        <f aca="false">IF(AND(DR89=1,Slot11_IsMfree=1),IF(DW89&gt;=Slot11_Cost-1,0,MAX(0,DP89-DW89)),DP89)</f>
        <v>0</v>
      </c>
      <c r="EA89" s="1" t="n">
        <f aca="false">DR89*(Slot11_Cost-DW89)</f>
        <v>0</v>
      </c>
      <c r="EB89" s="1" t="n">
        <f aca="false">IF(AND(Slot12_On=1,D89=Slot12_Age),1,0)</f>
        <v>0</v>
      </c>
      <c r="EC89" s="1" t="n">
        <f aca="false">IF(AND(Slot12_On=1,Slot12_Age&gt;D89),1,0)</f>
        <v>0</v>
      </c>
      <c r="ED89" s="1" t="n">
        <f aca="false">SD88</f>
        <v>0</v>
      </c>
      <c r="EE89" s="1" t="n">
        <f aca="false">EB89*MIN(Slot12_Cost,ED89)</f>
        <v>0</v>
      </c>
      <c r="EF89" s="1" t="n">
        <f aca="false">EB89*Slot12_SpendLike*MIN(Slot12_Cost-EE89,DX89)</f>
        <v>0</v>
      </c>
      <c r="EG89" s="1" t="n">
        <f aca="false">EE89+EF89</f>
        <v>0</v>
      </c>
      <c r="EH89" s="1" t="n">
        <f aca="false">DX89-EF89+EB89*IF(Slot12_SpendLike=1,ED89-EE89,IF(Slot12_PotFree=1,ED89,0))</f>
        <v>905543.571858704</v>
      </c>
      <c r="EI89" s="1" t="n">
        <f aca="false">DY89+EB89*Slot12_BufPot*ED89</f>
        <v>0</v>
      </c>
      <c r="EJ89" s="1" t="n">
        <f aca="false">IF(AND(EB89=1,Slot12_IsMfree=1),IF(EG89&gt;=Slot12_Cost-1,0,MAX(0,DZ89-EG89)),DZ89)</f>
        <v>0</v>
      </c>
      <c r="EK89" s="1" t="n">
        <f aca="false">EB89*(Slot12_Cost-EG89)</f>
        <v>0</v>
      </c>
      <c r="EL89" s="1" t="n">
        <f aca="false">IF(AND(Slot13_On=1,D89=Slot13_Age),1,0)</f>
        <v>0</v>
      </c>
      <c r="EM89" s="1" t="n">
        <f aca="false">IF(AND(Slot13_On=1,Slot13_Age&gt;D89),1,0)</f>
        <v>0</v>
      </c>
      <c r="EN89" s="1" t="n">
        <f aca="false">SH88</f>
        <v>0</v>
      </c>
      <c r="EO89" s="1" t="n">
        <f aca="false">EL89*MIN(Slot13_Cost,EN89)</f>
        <v>0</v>
      </c>
      <c r="EP89" s="1" t="n">
        <f aca="false">EL89*Slot13_SpendLike*MIN(Slot13_Cost-EO89,EH89)</f>
        <v>0</v>
      </c>
      <c r="EQ89" s="1" t="n">
        <f aca="false">EO89+EP89</f>
        <v>0</v>
      </c>
      <c r="ER89" s="1" t="n">
        <f aca="false">EH89-EP89+EL89*IF(Slot13_SpendLike=1,EN89-EO89,IF(Slot13_PotFree=1,EN89,0))</f>
        <v>905543.571858704</v>
      </c>
      <c r="ES89" s="1" t="n">
        <f aca="false">EI89+EL89*Slot13_BufPot*EN89</f>
        <v>0</v>
      </c>
      <c r="ET89" s="1" t="n">
        <f aca="false">IF(AND(EL89=1,Slot13_IsMfree=1),IF(EQ89&gt;=Slot13_Cost-1,0,MAX(0,EJ89-EQ89)),EJ89)</f>
        <v>0</v>
      </c>
      <c r="EU89" s="1" t="n">
        <f aca="false">EL89*(Slot13_Cost-EQ89)</f>
        <v>0</v>
      </c>
      <c r="EV89" s="1" t="n">
        <f aca="false">IF(AND(Slot14_On=1,D89=Slot14_Age),1,0)</f>
        <v>0</v>
      </c>
      <c r="EW89" s="1" t="n">
        <f aca="false">IF(AND(Slot14_On=1,Slot14_Age&gt;D89),1,0)</f>
        <v>0</v>
      </c>
      <c r="EX89" s="1" t="n">
        <f aca="false">SL88</f>
        <v>0</v>
      </c>
      <c r="EY89" s="1" t="n">
        <f aca="false">EV89*MIN(Slot14_Cost,EX89)</f>
        <v>0</v>
      </c>
      <c r="EZ89" s="1" t="n">
        <f aca="false">EV89*Slot14_SpendLike*MIN(Slot14_Cost-EY89,ER89)</f>
        <v>0</v>
      </c>
      <c r="FA89" s="1" t="n">
        <f aca="false">EY89+EZ89</f>
        <v>0</v>
      </c>
      <c r="FB89" s="1" t="n">
        <f aca="false">ER89-EZ89+EV89*IF(Slot14_SpendLike=1,EX89-EY89,IF(Slot14_PotFree=1,EX89,0))</f>
        <v>905543.571858704</v>
      </c>
      <c r="FC89" s="1" t="n">
        <f aca="false">ES89+EV89*Slot14_BufPot*EX89</f>
        <v>0</v>
      </c>
      <c r="FD89" s="1" t="n">
        <f aca="false">IF(AND(EV89=1,Slot14_IsMfree=1),IF(FA89&gt;=Slot14_Cost-1,0,MAX(0,ET89-FA89)),ET89)</f>
        <v>0</v>
      </c>
      <c r="FE89" s="1" t="n">
        <f aca="false">EV89*(Slot14_Cost-FA89)</f>
        <v>0</v>
      </c>
      <c r="FF89" s="1" t="n">
        <f aca="false">IF(AND(Slot15_On=1,D89=Slot15_Age),1,0)</f>
        <v>0</v>
      </c>
      <c r="FG89" s="1" t="n">
        <f aca="false">IF(AND(Slot15_On=1,Slot15_Age&gt;D89),1,0)</f>
        <v>0</v>
      </c>
      <c r="FH89" s="1" t="n">
        <f aca="false">SP88</f>
        <v>0</v>
      </c>
      <c r="FI89" s="1" t="n">
        <f aca="false">FF89*MIN(Slot15_Cost,FH89)</f>
        <v>0</v>
      </c>
      <c r="FJ89" s="1" t="n">
        <f aca="false">FF89*Slot15_SpendLike*MIN(Slot15_Cost-FI89,FB89)</f>
        <v>0</v>
      </c>
      <c r="FK89" s="1" t="n">
        <f aca="false">FI89+FJ89</f>
        <v>0</v>
      </c>
      <c r="FL89" s="1" t="n">
        <f aca="false">FB89-FJ89+FF89*IF(Slot15_SpendLike=1,FH89-FI89,IF(Slot15_PotFree=1,FH89,0))</f>
        <v>905543.571858704</v>
      </c>
      <c r="FM89" s="1" t="n">
        <f aca="false">FC89+FF89*Slot15_BufPot*FH89</f>
        <v>0</v>
      </c>
      <c r="FN89" s="1" t="n">
        <f aca="false">IF(AND(FF89=1,Slot15_IsMfree=1),IF(FK89&gt;=Slot15_Cost-1,0,MAX(0,FD89-FK89)),FD89)</f>
        <v>0</v>
      </c>
      <c r="FO89" s="1" t="n">
        <f aca="false">FF89*(Slot15_Cost-FK89)</f>
        <v>0</v>
      </c>
      <c r="FP89" s="1" t="n">
        <f aca="false">IF(AND(Slot16_On=1,D89=Slot16_Age),1,0)</f>
        <v>0</v>
      </c>
      <c r="FQ89" s="1" t="n">
        <f aca="false">IF(AND(Slot16_On=1,Slot16_Age&gt;D89),1,0)</f>
        <v>0</v>
      </c>
      <c r="FR89" s="1" t="n">
        <f aca="false">ST88</f>
        <v>0</v>
      </c>
      <c r="FS89" s="1" t="n">
        <f aca="false">FP89*MIN(Slot16_Cost,FR89)</f>
        <v>0</v>
      </c>
      <c r="FT89" s="1" t="n">
        <f aca="false">FP89*Slot16_SpendLike*MIN(Slot16_Cost-FS89,FL89)</f>
        <v>0</v>
      </c>
      <c r="FU89" s="1" t="n">
        <f aca="false">FS89+FT89</f>
        <v>0</v>
      </c>
      <c r="FV89" s="1" t="n">
        <f aca="false">FL89-FT89+FP89*IF(Slot16_SpendLike=1,FR89-FS89,IF(Slot16_PotFree=1,FR89,0))</f>
        <v>905543.571858704</v>
      </c>
      <c r="FW89" s="1" t="n">
        <f aca="false">FM89+FP89*Slot16_BufPot*FR89</f>
        <v>0</v>
      </c>
      <c r="FX89" s="1" t="n">
        <f aca="false">IF(AND(FP89=1,Slot16_IsMfree=1),IF(FU89&gt;=Slot16_Cost-1,0,MAX(0,FN89-FU89)),FN89)</f>
        <v>0</v>
      </c>
      <c r="FY89" s="1" t="n">
        <f aca="false">FP89*(Slot16_Cost-FU89)</f>
        <v>0</v>
      </c>
      <c r="FZ89" s="1" t="n">
        <f aca="false">IF(AND(Slot17_On=1,D89=Slot17_Age),1,0)</f>
        <v>0</v>
      </c>
      <c r="GA89" s="1" t="n">
        <f aca="false">IF(AND(Slot17_On=1,Slot17_Age&gt;D89),1,0)</f>
        <v>0</v>
      </c>
      <c r="GB89" s="1" t="n">
        <f aca="false">SX88</f>
        <v>0</v>
      </c>
      <c r="GC89" s="1" t="n">
        <f aca="false">FZ89*MIN(Slot17_Cost,GB89)</f>
        <v>0</v>
      </c>
      <c r="GD89" s="1" t="n">
        <f aca="false">FZ89*Slot17_SpendLike*MIN(Slot17_Cost-GC89,FV89)</f>
        <v>0</v>
      </c>
      <c r="GE89" s="1" t="n">
        <f aca="false">GC89+GD89</f>
        <v>0</v>
      </c>
      <c r="GF89" s="1" t="n">
        <f aca="false">FV89-GD89+FZ89*IF(Slot17_SpendLike=1,GB89-GC89,IF(Slot17_PotFree=1,GB89,0))</f>
        <v>905543.571858704</v>
      </c>
      <c r="GG89" s="1" t="n">
        <f aca="false">FW89+FZ89*Slot17_BufPot*GB89</f>
        <v>0</v>
      </c>
      <c r="GH89" s="1" t="n">
        <f aca="false">IF(AND(FZ89=1,Slot17_IsMfree=1),IF(GE89&gt;=Slot17_Cost-1,0,MAX(0,FX89-GE89)),FX89)</f>
        <v>0</v>
      </c>
      <c r="GI89" s="1" t="n">
        <f aca="false">FZ89*(Slot17_Cost-GE89)</f>
        <v>0</v>
      </c>
      <c r="GJ89" s="1" t="n">
        <f aca="false">IF(AND(Slot18_On=1,D89=Slot18_Age),1,0)</f>
        <v>0</v>
      </c>
      <c r="GK89" s="1" t="n">
        <f aca="false">IF(AND(Slot18_On=1,Slot18_Age&gt;D89),1,0)</f>
        <v>0</v>
      </c>
      <c r="GL89" s="1" t="n">
        <f aca="false">TB88</f>
        <v>0</v>
      </c>
      <c r="GM89" s="1" t="n">
        <f aca="false">GJ89*MIN(Slot18_Cost,GL89)</f>
        <v>0</v>
      </c>
      <c r="GN89" s="1" t="n">
        <f aca="false">GJ89*Slot18_SpendLike*MIN(Slot18_Cost-GM89,GF89)</f>
        <v>0</v>
      </c>
      <c r="GO89" s="1" t="n">
        <f aca="false">GM89+GN89</f>
        <v>0</v>
      </c>
      <c r="GP89" s="1" t="n">
        <f aca="false">GF89-GN89+GJ89*IF(Slot18_SpendLike=1,GL89-GM89,IF(Slot18_PotFree=1,GL89,0))</f>
        <v>905543.571858704</v>
      </c>
      <c r="GQ89" s="1" t="n">
        <f aca="false">GG89+GJ89*Slot18_BufPot*GL89</f>
        <v>0</v>
      </c>
      <c r="GR89" s="1" t="n">
        <f aca="false">IF(AND(GJ89=1,Slot18_IsMfree=1),IF(GO89&gt;=Slot18_Cost-1,0,MAX(0,GH89-GO89)),GH89)</f>
        <v>0</v>
      </c>
      <c r="GS89" s="1" t="n">
        <f aca="false">GJ89*(Slot18_Cost-GO89)</f>
        <v>0</v>
      </c>
      <c r="GT89" s="1" t="n">
        <f aca="false">IF(AND(Slot19_On=1,D89=Slot19_Age),1,0)</f>
        <v>0</v>
      </c>
      <c r="GU89" s="1" t="n">
        <f aca="false">IF(AND(Slot19_On=1,Slot19_Age&gt;D89),1,0)</f>
        <v>0</v>
      </c>
      <c r="GV89" s="1" t="n">
        <f aca="false">TF88</f>
        <v>0</v>
      </c>
      <c r="GW89" s="1" t="n">
        <f aca="false">GT89*MIN(Slot19_Cost,GV89)</f>
        <v>0</v>
      </c>
      <c r="GX89" s="1" t="n">
        <f aca="false">GT89*Slot19_SpendLike*MIN(Slot19_Cost-GW89,GP89)</f>
        <v>0</v>
      </c>
      <c r="GY89" s="1" t="n">
        <f aca="false">GW89+GX89</f>
        <v>0</v>
      </c>
      <c r="GZ89" s="1" t="n">
        <f aca="false">GP89-GX89+GT89*IF(Slot19_SpendLike=1,GV89-GW89,IF(Slot19_PotFree=1,GV89,0))</f>
        <v>905543.571858704</v>
      </c>
      <c r="HA89" s="1" t="n">
        <f aca="false">GQ89+GT89*Slot19_BufPot*GV89</f>
        <v>0</v>
      </c>
      <c r="HB89" s="1" t="n">
        <f aca="false">IF(AND(GT89=1,Slot19_IsMfree=1),IF(GY89&gt;=Slot19_Cost-1,0,MAX(0,GR89-GY89)),GR89)</f>
        <v>0</v>
      </c>
      <c r="HC89" s="1" t="n">
        <f aca="false">GT89*(Slot19_Cost-GY89)</f>
        <v>0</v>
      </c>
      <c r="HD89" s="1" t="n">
        <f aca="false">IF(AND(Slot20_On=1,D89=Slot20_Age),1,0)</f>
        <v>0</v>
      </c>
      <c r="HE89" s="1" t="n">
        <f aca="false">IF(AND(Slot20_On=1,Slot20_Age&gt;D89),1,0)</f>
        <v>0</v>
      </c>
      <c r="HF89" s="1" t="n">
        <f aca="false">TJ88</f>
        <v>0</v>
      </c>
      <c r="HG89" s="1" t="n">
        <f aca="false">HD89*MIN(Slot20_Cost,HF89)</f>
        <v>0</v>
      </c>
      <c r="HH89" s="1" t="n">
        <f aca="false">HD89*Slot20_SpendLike*MIN(Slot20_Cost-HG89,GZ89)</f>
        <v>0</v>
      </c>
      <c r="HI89" s="1" t="n">
        <f aca="false">HG89+HH89</f>
        <v>0</v>
      </c>
      <c r="HJ89" s="1" t="n">
        <f aca="false">GZ89-HH89+HD89*IF(Slot20_SpendLike=1,HF89-HG89,IF(Slot20_PotFree=1,HF89,0))</f>
        <v>905543.571858704</v>
      </c>
      <c r="HK89" s="1" t="n">
        <f aca="false">HA89+HD89*Slot20_BufPot*HF89</f>
        <v>0</v>
      </c>
      <c r="HL89" s="1" t="n">
        <f aca="false">IF(AND(HD89=1,Slot20_IsMfree=1),IF(HI89&gt;=Slot20_Cost-1,0,MAX(0,HB89-HI89)),HB89)</f>
        <v>0</v>
      </c>
      <c r="HM89" s="1" t="n">
        <f aca="false">HD89*(Slot20_Cost-HI89)</f>
        <v>0</v>
      </c>
      <c r="HN89" s="1" t="n">
        <f aca="false">U89*Slot1_SpendLike*Z89+AF89*Slot2_SpendLike*AK89+AP89*Slot3_SpendLike*AU89+AZ89*Slot4_SpendLike*BE89+BJ89*Slot5_SpendLike*BO89+BT89*Slot6_SpendLike*BY89+CD89*Slot7_SpendLike*CI89+CN89*Slot8_SpendLike*CS89+CX89*Slot9_SpendLike*DC89+DH89*Slot10_SpendLike*DM89+DR89*Slot11_SpendLike*DW89+EB89*Slot12_SpendLike*EG89+EL89*Slot13_SpendLike*EQ89+EV89*Slot14_SpendLike*FA89+FF89*Slot15_SpendLike*FK89+FP89*Slot16_SpendLike*FU89+FZ89*Slot17_SpendLike*GE89+GJ89*Slot18_SpendLike*GO89+GT89*Slot19_SpendLike*GY89+HD89*Slot20_SpendLike*HI89</f>
        <v>0</v>
      </c>
      <c r="HO89" s="1" t="n">
        <f aca="false">AD89+AO89+AY89+BI89+BS89+CC89+CM89+CW89+DG89+DQ89+EA89+EK89+EU89+FE89+FO89+FY89+GI89+GS89+HC89+HM89</f>
        <v>0</v>
      </c>
      <c r="HP89" s="1" t="n">
        <f aca="false">U89*Slot1_Cost+AF89*Slot2_Cost+AP89*Slot3_Cost+AZ89*Slot4_Cost+BJ89*Slot5_Cost+BT89*Slot6_Cost+CD89*Slot7_Cost+CN89*Slot8_Cost+CX89*Slot9_Cost+DH89*Slot10_Cost+DR89*Slot11_Cost+EB89*Slot12_Cost+EL89*Slot13_Cost+EV89*Slot14_Cost+FF89*Slot15_Cost+FP89*Slot16_Cost+FZ89*Slot17_Cost+GJ89*Slot18_Cost+GT89*Slot19_Cost+HD89*Slot20_Cost</f>
        <v>0</v>
      </c>
      <c r="HQ89" s="1" t="n">
        <f aca="false">HL89</f>
        <v>0</v>
      </c>
      <c r="HR89" s="1" t="n">
        <f aca="false">G89-H89-R89</f>
        <v>64503.5109658482</v>
      </c>
      <c r="HS89" s="1" t="n">
        <f aca="false">IF(B89=0,IF(AND(Has_q6=1,In_q6=4),PR_ShareVaries*(MAX(0,HR89)/12),MIN(IF(Has_q6=1,CHOOSE(In_q6+1,PR_SaveB1,PR_SaveB2,PR_SaveB3,PR_SaveB4,0),AS_NoAnswer),AS_SaveShare*(MAX(0,HR89)/12))),HS88)</f>
        <v>0</v>
      </c>
      <c r="HT89" s="1" t="n">
        <f aca="false">IF(HR89&gt;=0,1,0)</f>
        <v>1</v>
      </c>
      <c r="HU89" s="1" t="n">
        <f aca="false">MAX(0,HR89/12/E89)</f>
        <v>1080.90666666667</v>
      </c>
      <c r="HV89" s="1" t="n">
        <f aca="false">IF(AND(Has_q6=1,In_q6=4),PR_ShareVaries*(HU89),MIN(IF(Has_q6=1,CHOOSE(In_q6+1,PR_SaveB1,PR_SaveB2,PR_SaveB3,PR_SaveB4,0),AS_NoAnswer),AS_SaveShare*(HU89)))</f>
        <v>300</v>
      </c>
      <c r="HW89" s="1" t="n">
        <f aca="false">IF(Has_saveM=1,IF(In_saveUp="Yes",1,IF(In_saveUp="No",0,IF(In_saveM&gt;=HS89-0.5,1,0))),0)</f>
        <v>0</v>
      </c>
      <c r="HX89" s="1" t="n">
        <f aca="false">IF(Has_saveM=1,MIN(HU89,IF(HW89=1,MAX(In_saveM,HV89),MIN(In_saveM,HV89))),HV89)</f>
        <v>300</v>
      </c>
      <c r="HY89" s="1" t="n">
        <f aca="false">IF(F89=1,HX89*12*E89,0)</f>
        <v>0</v>
      </c>
      <c r="HZ89" s="1" t="n">
        <f aca="false">MAX(0,HY89+IF(AND(WI_Retire=0,WI_M&lt;0,F89=1),WI_M*12*E89,0))</f>
        <v>0</v>
      </c>
      <c r="IA89" s="1" t="n">
        <f aca="false">Slot1_IsWG*V89+Slot2_IsWG*AG89+Slot3_IsWG*AQ89+Slot4_IsWG*BA89+Slot5_IsWG*BK89+Slot6_IsWG*BU89+Slot7_IsWG*CE89+Slot8_IsWG*CO89+Slot9_IsWG*CY89+Slot10_IsWG*DI89+Slot11_IsWG*DS89+Slot12_IsWG*EC89+Slot13_IsWG*EM89+Slot14_IsWG*EW89+Slot15_IsWG*FG89+Slot16_IsWG*FQ89+Slot17_IsWG*GA89+Slot18_IsWG*GK89+Slot19_IsWG*GU89+Slot20_IsWG*HE89</f>
        <v>0</v>
      </c>
      <c r="IB89" s="1" t="n">
        <f aca="false">IF(AND(WI_Retire=0,WI_M&gt;0,F89=1,IA89&gt;=1),WI_M*12*E89,0)</f>
        <v>0</v>
      </c>
      <c r="IC89" s="1" t="n">
        <f aca="false">IF(HT89=1,MIN(HZ89,HR89),0)</f>
        <v>0</v>
      </c>
      <c r="ID89" s="1" t="n">
        <f aca="false">IF(HT89=1,MIN(IB89,HR89-IC89),0)</f>
        <v>0</v>
      </c>
      <c r="IE89" s="1" t="n">
        <f aca="false">IF(V89=1,IF(ABS((1+AS_Wage)/(1+Slot1_Rate)-1)&lt;0.000000000001,(Slot1_Age-D89)*(1+Slot1_Rate)^(Slot1_Age-D89),(1+Slot1_Rate)^(Slot1_Age-D89)*(1-((1+AS_Wage)/(1+Slot1_Rate))^(Slot1_Age-D89))/(1-(1+AS_Wage)/(1+Slot1_Rate))),1)</f>
        <v>1</v>
      </c>
      <c r="IF89" s="1" t="n">
        <f aca="false">IF(AND(HT89=1,ID89&gt;0,Slot1_IsWG=1,V89=1),MAX(0,(Slot1_Cost-W89*(1+Slot1_Rate)^(Slot1_Age-D89))/IE89),0)</f>
        <v>0</v>
      </c>
      <c r="IG89" s="1" t="n">
        <f aca="false">IF(AND(HT89=1,ID89&gt;0,Slot1_IsWG=1,V89=1),MIN(ID89,IF89),0)</f>
        <v>0</v>
      </c>
      <c r="IH89" s="1" t="n">
        <f aca="false">W89+IG89</f>
        <v>0</v>
      </c>
      <c r="II89" s="1" t="n">
        <f aca="false">IF(V89=1,MAX(0,(Slot1_Cost-IH89*(1+Slot1_Rate)^(Slot1_Age-D89))/IE89),0)</f>
        <v>0</v>
      </c>
      <c r="IJ89" s="1" t="n">
        <f aca="false">IF(V89=1,MAX(0,(Slot1_Cost-W89*(1+Slot1_Rate)^(Slot1_Age-D89))/IE89),0)</f>
        <v>0</v>
      </c>
      <c r="IK89" s="1" t="n">
        <f aca="false">IF(AND(HT89=1,V89=1),MIN(IC89,II89),0)</f>
        <v>0</v>
      </c>
      <c r="IL89" s="1" t="n">
        <f aca="false">IC89-IK89</f>
        <v>0</v>
      </c>
      <c r="IM89" s="1" t="n">
        <f aca="false">IF(AG89=1,IF(ABS((1+AS_Wage)/(1+Slot2_Rate)-1)&lt;0.000000000001,(Slot2_Age-D89)*(1+Slot2_Rate)^(Slot2_Age-D89),(1+Slot2_Rate)^(Slot2_Age-D89)*(1-((1+AS_Wage)/(1+Slot2_Rate))^(Slot2_Age-D89))/(1-(1+AS_Wage)/(1+Slot2_Rate))),1)</f>
        <v>1</v>
      </c>
      <c r="IN89" s="1" t="n">
        <f aca="false">IF(AND(HT89=1,ID89&gt;0,Slot2_IsWG=1,AG89=1),MAX(0,(Slot2_Cost-AH89*(1+Slot2_Rate)^(Slot2_Age-D89))/IM89),0)</f>
        <v>0</v>
      </c>
      <c r="IO89" s="1" t="n">
        <f aca="false">IF(AND(HT89=1,ID89&gt;0,Slot2_IsWG=1,AG89=1),MIN(ID89,IN89),0)</f>
        <v>0</v>
      </c>
      <c r="IP89" s="1" t="n">
        <f aca="false">AH89+IO89</f>
        <v>0</v>
      </c>
      <c r="IQ89" s="1" t="n">
        <f aca="false">IF(AG89=1,MAX(0,(Slot2_Cost-IP89*(1+Slot2_Rate)^(Slot2_Age-D89))/IM89),0)</f>
        <v>0</v>
      </c>
      <c r="IR89" s="1" t="n">
        <f aca="false">IF(AG89=1,MAX(0,(Slot2_Cost-AH89*(1+Slot2_Rate)^(Slot2_Age-D89))/IM89),0)</f>
        <v>0</v>
      </c>
      <c r="IS89" s="1" t="n">
        <f aca="false">IF(AND(HT89=1,AG89=1),MIN(IL89,IQ89),0)</f>
        <v>0</v>
      </c>
      <c r="IT89" s="1" t="n">
        <f aca="false">IL89-IS89</f>
        <v>0</v>
      </c>
      <c r="IU89" s="1" t="n">
        <f aca="false">IF(AQ89=1,IF(ABS((1+AS_Wage)/(1+Slot3_Rate)-1)&lt;0.000000000001,(Slot3_Age-D89)*(1+Slot3_Rate)^(Slot3_Age-D89),(1+Slot3_Rate)^(Slot3_Age-D89)*(1-((1+AS_Wage)/(1+Slot3_Rate))^(Slot3_Age-D89))/(1-(1+AS_Wage)/(1+Slot3_Rate))),1)</f>
        <v>1</v>
      </c>
      <c r="IV89" s="1" t="n">
        <f aca="false">IF(AND(HT89=1,ID89&gt;0,Slot3_IsWG=1,AQ89=1),MAX(0,(Slot3_Cost-AR89*(1+Slot3_Rate)^(Slot3_Age-D89))/IU89),0)</f>
        <v>0</v>
      </c>
      <c r="IW89" s="1" t="n">
        <f aca="false">IF(AND(HT89=1,ID89&gt;0,Slot3_IsWG=1,AQ89=1),MIN(ID89,IV89),0)</f>
        <v>0</v>
      </c>
      <c r="IX89" s="1" t="n">
        <f aca="false">AR89+IW89</f>
        <v>0</v>
      </c>
      <c r="IY89" s="1" t="n">
        <f aca="false">IF(AQ89=1,MAX(0,(Slot3_Cost-IX89*(1+Slot3_Rate)^(Slot3_Age-D89))/IU89),0)</f>
        <v>0</v>
      </c>
      <c r="IZ89" s="1" t="n">
        <f aca="false">IF(AQ89=1,MAX(0,(Slot3_Cost-AR89*(1+Slot3_Rate)^(Slot3_Age-D89))/IU89),0)</f>
        <v>0</v>
      </c>
      <c r="JA89" s="1" t="n">
        <f aca="false">IF(AND(HT89=1,AQ89=1),MIN(IT89,IY89),0)</f>
        <v>0</v>
      </c>
      <c r="JB89" s="1" t="n">
        <f aca="false">IT89-JA89</f>
        <v>0</v>
      </c>
      <c r="JC89" s="1" t="n">
        <f aca="false">IF(BA89=1,IF(ABS((1+AS_Wage)/(1+Slot4_Rate)-1)&lt;0.000000000001,(Slot4_Age-D89)*(1+Slot4_Rate)^(Slot4_Age-D89),(1+Slot4_Rate)^(Slot4_Age-D89)*(1-((1+AS_Wage)/(1+Slot4_Rate))^(Slot4_Age-D89))/(1-(1+AS_Wage)/(1+Slot4_Rate))),1)</f>
        <v>1</v>
      </c>
      <c r="JD89" s="1" t="n">
        <f aca="false">IF(AND(HT89=1,ID89&gt;0,Slot4_IsWG=1,BA89=1),MAX(0,(Slot4_Cost-BB89*(1+Slot4_Rate)^(Slot4_Age-D89))/JC89),0)</f>
        <v>0</v>
      </c>
      <c r="JE89" s="1" t="n">
        <f aca="false">IF(AND(HT89=1,ID89&gt;0,Slot4_IsWG=1,BA89=1),MIN(ID89,JD89),0)</f>
        <v>0</v>
      </c>
      <c r="JF89" s="1" t="n">
        <f aca="false">BB89+JE89</f>
        <v>0</v>
      </c>
      <c r="JG89" s="1" t="n">
        <f aca="false">IF(BA89=1,MAX(0,(Slot4_Cost-JF89*(1+Slot4_Rate)^(Slot4_Age-D89))/JC89),0)</f>
        <v>0</v>
      </c>
      <c r="JH89" s="1" t="n">
        <f aca="false">IF(BA89=1,MAX(0,(Slot4_Cost-BB89*(1+Slot4_Rate)^(Slot4_Age-D89))/JC89),0)</f>
        <v>0</v>
      </c>
      <c r="JI89" s="1" t="n">
        <f aca="false">IF(AND(HT89=1,BA89=1),MIN(JB89,JG89),0)</f>
        <v>0</v>
      </c>
      <c r="JJ89" s="1" t="n">
        <f aca="false">JB89-JI89</f>
        <v>0</v>
      </c>
      <c r="JK89" s="1" t="n">
        <f aca="false">IF(BK89=1,IF(ABS((1+AS_Wage)/(1+Slot5_Rate)-1)&lt;0.000000000001,(Slot5_Age-D89)*(1+Slot5_Rate)^(Slot5_Age-D89),(1+Slot5_Rate)^(Slot5_Age-D89)*(1-((1+AS_Wage)/(1+Slot5_Rate))^(Slot5_Age-D89))/(1-(1+AS_Wage)/(1+Slot5_Rate))),1)</f>
        <v>1</v>
      </c>
      <c r="JL89" s="1" t="n">
        <f aca="false">IF(AND(HT89=1,ID89&gt;0,Slot5_IsWG=1,BK89=1),MAX(0,(Slot5_Cost-BL89*(1+Slot5_Rate)^(Slot5_Age-D89))/JK89),0)</f>
        <v>0</v>
      </c>
      <c r="JM89" s="1" t="n">
        <f aca="false">IF(AND(HT89=1,ID89&gt;0,Slot5_IsWG=1,BK89=1),MIN(ID89,JL89),0)</f>
        <v>0</v>
      </c>
      <c r="JN89" s="1" t="n">
        <f aca="false">BL89+JM89</f>
        <v>0</v>
      </c>
      <c r="JO89" s="1" t="n">
        <f aca="false">IF(BK89=1,MAX(0,(Slot5_Cost-JN89*(1+Slot5_Rate)^(Slot5_Age-D89))/JK89),0)</f>
        <v>0</v>
      </c>
      <c r="JP89" s="1" t="n">
        <f aca="false">IF(BK89=1,MAX(0,(Slot5_Cost-BL89*(1+Slot5_Rate)^(Slot5_Age-D89))/JK89),0)</f>
        <v>0</v>
      </c>
      <c r="JQ89" s="1" t="n">
        <f aca="false">IF(AND(HT89=1,BK89=1),MIN(JJ89,JO89),0)</f>
        <v>0</v>
      </c>
      <c r="JR89" s="1" t="n">
        <f aca="false">JJ89-JQ89</f>
        <v>0</v>
      </c>
      <c r="JS89" s="1" t="n">
        <f aca="false">IF(BU89=1,IF(ABS((1+AS_Wage)/(1+Slot6_Rate)-1)&lt;0.000000000001,(Slot6_Age-D89)*(1+Slot6_Rate)^(Slot6_Age-D89),(1+Slot6_Rate)^(Slot6_Age-D89)*(1-((1+AS_Wage)/(1+Slot6_Rate))^(Slot6_Age-D89))/(1-(1+AS_Wage)/(1+Slot6_Rate))),1)</f>
        <v>1</v>
      </c>
      <c r="JT89" s="1" t="n">
        <f aca="false">IF(AND(HT89=1,ID89&gt;0,Slot6_IsWG=1,BU89=1),MAX(0,(Slot6_Cost-BV89*(1+Slot6_Rate)^(Slot6_Age-D89))/JS89),0)</f>
        <v>0</v>
      </c>
      <c r="JU89" s="1" t="n">
        <f aca="false">IF(AND(HT89=1,ID89&gt;0,Slot6_IsWG=1,BU89=1),MIN(ID89,JT89),0)</f>
        <v>0</v>
      </c>
      <c r="JV89" s="1" t="n">
        <f aca="false">BV89+JU89</f>
        <v>0</v>
      </c>
      <c r="JW89" s="1" t="n">
        <f aca="false">IF(BU89=1,MAX(0,(Slot6_Cost-JV89*(1+Slot6_Rate)^(Slot6_Age-D89))/JS89),0)</f>
        <v>0</v>
      </c>
      <c r="JX89" s="1" t="n">
        <f aca="false">IF(BU89=1,MAX(0,(Slot6_Cost-BV89*(1+Slot6_Rate)^(Slot6_Age-D89))/JS89),0)</f>
        <v>0</v>
      </c>
      <c r="JY89" s="1" t="n">
        <f aca="false">IF(AND(HT89=1,BU89=1),MIN(JR89,JW89),0)</f>
        <v>0</v>
      </c>
      <c r="JZ89" s="1" t="n">
        <f aca="false">JR89-JY89</f>
        <v>0</v>
      </c>
      <c r="KA89" s="1" t="n">
        <f aca="false">IF(CE89=1,IF(ABS((1+AS_Wage)/(1+Slot7_Rate)-1)&lt;0.000000000001,(Slot7_Age-D89)*(1+Slot7_Rate)^(Slot7_Age-D89),(1+Slot7_Rate)^(Slot7_Age-D89)*(1-((1+AS_Wage)/(1+Slot7_Rate))^(Slot7_Age-D89))/(1-(1+AS_Wage)/(1+Slot7_Rate))),1)</f>
        <v>1</v>
      </c>
      <c r="KB89" s="1" t="n">
        <f aca="false">IF(AND(HT89=1,ID89&gt;0,Slot7_IsWG=1,CE89=1),MAX(0,(Slot7_Cost-CF89*(1+Slot7_Rate)^(Slot7_Age-D89))/KA89),0)</f>
        <v>0</v>
      </c>
      <c r="KC89" s="1" t="n">
        <f aca="false">IF(AND(HT89=1,ID89&gt;0,Slot7_IsWG=1,CE89=1),MIN(ID89,KB89),0)</f>
        <v>0</v>
      </c>
      <c r="KD89" s="1" t="n">
        <f aca="false">CF89+KC89</f>
        <v>0</v>
      </c>
      <c r="KE89" s="1" t="n">
        <f aca="false">IF(CE89=1,MAX(0,(Slot7_Cost-KD89*(1+Slot7_Rate)^(Slot7_Age-D89))/KA89),0)</f>
        <v>0</v>
      </c>
      <c r="KF89" s="1" t="n">
        <f aca="false">IF(CE89=1,MAX(0,(Slot7_Cost-CF89*(1+Slot7_Rate)^(Slot7_Age-D89))/KA89),0)</f>
        <v>0</v>
      </c>
      <c r="KG89" s="1" t="n">
        <f aca="false">IF(AND(HT89=1,CE89=1),MIN(JZ89,KE89),0)</f>
        <v>0</v>
      </c>
      <c r="KH89" s="1" t="n">
        <f aca="false">JZ89-KG89</f>
        <v>0</v>
      </c>
      <c r="KI89" s="1" t="n">
        <f aca="false">IF(CO89=1,IF(ABS((1+AS_Wage)/(1+Slot8_Rate)-1)&lt;0.000000000001,(Slot8_Age-D89)*(1+Slot8_Rate)^(Slot8_Age-D89),(1+Slot8_Rate)^(Slot8_Age-D89)*(1-((1+AS_Wage)/(1+Slot8_Rate))^(Slot8_Age-D89))/(1-(1+AS_Wage)/(1+Slot8_Rate))),1)</f>
        <v>1</v>
      </c>
      <c r="KJ89" s="1" t="n">
        <f aca="false">IF(AND(HT89=1,ID89&gt;0,Slot8_IsWG=1,CO89=1),MAX(0,(Slot8_Cost-CP89*(1+Slot8_Rate)^(Slot8_Age-D89))/KI89),0)</f>
        <v>0</v>
      </c>
      <c r="KK89" s="1" t="n">
        <f aca="false">IF(AND(HT89=1,ID89&gt;0,Slot8_IsWG=1,CO89=1),MIN(ID89,KJ89),0)</f>
        <v>0</v>
      </c>
      <c r="KL89" s="1" t="n">
        <f aca="false">CP89+KK89</f>
        <v>0</v>
      </c>
      <c r="KM89" s="1" t="n">
        <f aca="false">IF(CO89=1,MAX(0,(Slot8_Cost-KL89*(1+Slot8_Rate)^(Slot8_Age-D89))/KI89),0)</f>
        <v>0</v>
      </c>
      <c r="KN89" s="1" t="n">
        <f aca="false">IF(CO89=1,MAX(0,(Slot8_Cost-CP89*(1+Slot8_Rate)^(Slot8_Age-D89))/KI89),0)</f>
        <v>0</v>
      </c>
      <c r="KO89" s="1" t="n">
        <f aca="false">IF(AND(HT89=1,CO89=1),MIN(KH89,KM89),0)</f>
        <v>0</v>
      </c>
      <c r="KP89" s="1" t="n">
        <f aca="false">KH89-KO89</f>
        <v>0</v>
      </c>
      <c r="KQ89" s="1" t="n">
        <f aca="false">IF(CY89=1,IF(ABS((1+AS_Wage)/(1+Slot9_Rate)-1)&lt;0.000000000001,(Slot9_Age-D89)*(1+Slot9_Rate)^(Slot9_Age-D89),(1+Slot9_Rate)^(Slot9_Age-D89)*(1-((1+AS_Wage)/(1+Slot9_Rate))^(Slot9_Age-D89))/(1-(1+AS_Wage)/(1+Slot9_Rate))),1)</f>
        <v>1</v>
      </c>
      <c r="KR89" s="1" t="n">
        <f aca="false">IF(AND(HT89=1,ID89&gt;0,Slot9_IsWG=1,CY89=1),MAX(0,(Slot9_Cost-CZ89*(1+Slot9_Rate)^(Slot9_Age-D89))/KQ89),0)</f>
        <v>0</v>
      </c>
      <c r="KS89" s="1" t="n">
        <f aca="false">IF(AND(HT89=1,ID89&gt;0,Slot9_IsWG=1,CY89=1),MIN(ID89,KR89),0)</f>
        <v>0</v>
      </c>
      <c r="KT89" s="1" t="n">
        <f aca="false">CZ89+KS89</f>
        <v>0</v>
      </c>
      <c r="KU89" s="1" t="n">
        <f aca="false">IF(CY89=1,MAX(0,(Slot9_Cost-KT89*(1+Slot9_Rate)^(Slot9_Age-D89))/KQ89),0)</f>
        <v>0</v>
      </c>
      <c r="KV89" s="1" t="n">
        <f aca="false">IF(CY89=1,MAX(0,(Slot9_Cost-CZ89*(1+Slot9_Rate)^(Slot9_Age-D89))/KQ89),0)</f>
        <v>0</v>
      </c>
      <c r="KW89" s="1" t="n">
        <f aca="false">IF(AND(HT89=1,CY89=1),MIN(KP89,KU89),0)</f>
        <v>0</v>
      </c>
      <c r="KX89" s="1" t="n">
        <f aca="false">KP89-KW89</f>
        <v>0</v>
      </c>
      <c r="KY89" s="1" t="n">
        <f aca="false">IF(DI89=1,IF(ABS((1+AS_Wage)/(1+Slot10_Rate)-1)&lt;0.000000000001,(Slot10_Age-D89)*(1+Slot10_Rate)^(Slot10_Age-D89),(1+Slot10_Rate)^(Slot10_Age-D89)*(1-((1+AS_Wage)/(1+Slot10_Rate))^(Slot10_Age-D89))/(1-(1+AS_Wage)/(1+Slot10_Rate))),1)</f>
        <v>1</v>
      </c>
      <c r="KZ89" s="1" t="n">
        <f aca="false">IF(AND(HT89=1,ID89&gt;0,Slot10_IsWG=1,DI89=1),MAX(0,(Slot10_Cost-DJ89*(1+Slot10_Rate)^(Slot10_Age-D89))/KY89),0)</f>
        <v>0</v>
      </c>
      <c r="LA89" s="1" t="n">
        <f aca="false">IF(AND(HT89=1,ID89&gt;0,Slot10_IsWG=1,DI89=1),MIN(ID89,KZ89),0)</f>
        <v>0</v>
      </c>
      <c r="LB89" s="1" t="n">
        <f aca="false">DJ89+LA89</f>
        <v>0</v>
      </c>
      <c r="LC89" s="1" t="n">
        <f aca="false">IF(DI89=1,MAX(0,(Slot10_Cost-LB89*(1+Slot10_Rate)^(Slot10_Age-D89))/KY89),0)</f>
        <v>0</v>
      </c>
      <c r="LD89" s="1" t="n">
        <f aca="false">IF(DI89=1,MAX(0,(Slot10_Cost-DJ89*(1+Slot10_Rate)^(Slot10_Age-D89))/KY89),0)</f>
        <v>0</v>
      </c>
      <c r="LE89" s="1" t="n">
        <f aca="false">IF(AND(HT89=1,DI89=1),MIN(KX89,LC89),0)</f>
        <v>0</v>
      </c>
      <c r="LF89" s="1" t="n">
        <f aca="false">KX89-LE89</f>
        <v>0</v>
      </c>
      <c r="LG89" s="1" t="n">
        <f aca="false">IF(DS89=1,IF(ABS((1+AS_Wage)/(1+Slot11_Rate)-1)&lt;0.000000000001,(Slot11_Age-D89)*(1+Slot11_Rate)^(Slot11_Age-D89),(1+Slot11_Rate)^(Slot11_Age-D89)*(1-((1+AS_Wage)/(1+Slot11_Rate))^(Slot11_Age-D89))/(1-(1+AS_Wage)/(1+Slot11_Rate))),1)</f>
        <v>1</v>
      </c>
      <c r="LH89" s="1" t="n">
        <f aca="false">IF(AND(HT89=1,ID89&gt;0,Slot11_IsWG=1,DS89=1),MAX(0,(Slot11_Cost-DT89*(1+Slot11_Rate)^(Slot11_Age-D89))/LG89),0)</f>
        <v>0</v>
      </c>
      <c r="LI89" s="1" t="n">
        <f aca="false">IF(AND(HT89=1,ID89&gt;0,Slot11_IsWG=1,DS89=1),MIN(ID89,LH89),0)</f>
        <v>0</v>
      </c>
      <c r="LJ89" s="1" t="n">
        <f aca="false">DT89+LI89</f>
        <v>0</v>
      </c>
      <c r="LK89" s="1" t="n">
        <f aca="false">IF(DS89=1,MAX(0,(Slot11_Cost-LJ89*(1+Slot11_Rate)^(Slot11_Age-D89))/LG89),0)</f>
        <v>0</v>
      </c>
      <c r="LL89" s="1" t="n">
        <f aca="false">IF(DS89=1,MAX(0,(Slot11_Cost-DT89*(1+Slot11_Rate)^(Slot11_Age-D89))/LG89),0)</f>
        <v>0</v>
      </c>
      <c r="LM89" s="1" t="n">
        <f aca="false">IF(AND(HT89=1,DS89=1),MIN(LF89,LK89),0)</f>
        <v>0</v>
      </c>
      <c r="LN89" s="1" t="n">
        <f aca="false">LF89-LM89</f>
        <v>0</v>
      </c>
      <c r="LO89" s="1" t="n">
        <f aca="false">IF(EC89=1,IF(ABS((1+AS_Wage)/(1+Slot12_Rate)-1)&lt;0.000000000001,(Slot12_Age-D89)*(1+Slot12_Rate)^(Slot12_Age-D89),(1+Slot12_Rate)^(Slot12_Age-D89)*(1-((1+AS_Wage)/(1+Slot12_Rate))^(Slot12_Age-D89))/(1-(1+AS_Wage)/(1+Slot12_Rate))),1)</f>
        <v>1</v>
      </c>
      <c r="LP89" s="1" t="n">
        <f aca="false">IF(AND(HT89=1,ID89&gt;0,Slot12_IsWG=1,EC89=1),MAX(0,(Slot12_Cost-ED89*(1+Slot12_Rate)^(Slot12_Age-D89))/LO89),0)</f>
        <v>0</v>
      </c>
      <c r="LQ89" s="1" t="n">
        <f aca="false">IF(AND(HT89=1,ID89&gt;0,Slot12_IsWG=1,EC89=1),MIN(ID89,LP89),0)</f>
        <v>0</v>
      </c>
      <c r="LR89" s="1" t="n">
        <f aca="false">ED89+LQ89</f>
        <v>0</v>
      </c>
      <c r="LS89" s="1" t="n">
        <f aca="false">IF(EC89=1,MAX(0,(Slot12_Cost-LR89*(1+Slot12_Rate)^(Slot12_Age-D89))/LO89),0)</f>
        <v>0</v>
      </c>
      <c r="LT89" s="1" t="n">
        <f aca="false">IF(EC89=1,MAX(0,(Slot12_Cost-ED89*(1+Slot12_Rate)^(Slot12_Age-D89))/LO89),0)</f>
        <v>0</v>
      </c>
      <c r="LU89" s="1" t="n">
        <f aca="false">IF(AND(HT89=1,EC89=1),MIN(LN89,LS89),0)</f>
        <v>0</v>
      </c>
      <c r="LV89" s="1" t="n">
        <f aca="false">LN89-LU89</f>
        <v>0</v>
      </c>
      <c r="LW89" s="1" t="n">
        <f aca="false">IF(EM89=1,IF(ABS((1+AS_Wage)/(1+Slot13_Rate)-1)&lt;0.000000000001,(Slot13_Age-D89)*(1+Slot13_Rate)^(Slot13_Age-D89),(1+Slot13_Rate)^(Slot13_Age-D89)*(1-((1+AS_Wage)/(1+Slot13_Rate))^(Slot13_Age-D89))/(1-(1+AS_Wage)/(1+Slot13_Rate))),1)</f>
        <v>1</v>
      </c>
      <c r="LX89" s="1" t="n">
        <f aca="false">IF(AND(HT89=1,ID89&gt;0,Slot13_IsWG=1,EM89=1),MAX(0,(Slot13_Cost-EN89*(1+Slot13_Rate)^(Slot13_Age-D89))/LW89),0)</f>
        <v>0</v>
      </c>
      <c r="LY89" s="1" t="n">
        <f aca="false">IF(AND(HT89=1,ID89&gt;0,Slot13_IsWG=1,EM89=1),MIN(ID89,LX89),0)</f>
        <v>0</v>
      </c>
      <c r="LZ89" s="1" t="n">
        <f aca="false">EN89+LY89</f>
        <v>0</v>
      </c>
      <c r="MA89" s="1" t="n">
        <f aca="false">IF(EM89=1,MAX(0,(Slot13_Cost-LZ89*(1+Slot13_Rate)^(Slot13_Age-D89))/LW89),0)</f>
        <v>0</v>
      </c>
      <c r="MB89" s="1" t="n">
        <f aca="false">IF(EM89=1,MAX(0,(Slot13_Cost-EN89*(1+Slot13_Rate)^(Slot13_Age-D89))/LW89),0)</f>
        <v>0</v>
      </c>
      <c r="MC89" s="1" t="n">
        <f aca="false">IF(AND(HT89=1,EM89=1),MIN(LV89,MA89),0)</f>
        <v>0</v>
      </c>
      <c r="MD89" s="1" t="n">
        <f aca="false">LV89-MC89</f>
        <v>0</v>
      </c>
      <c r="ME89" s="1" t="n">
        <f aca="false">IF(EW89=1,IF(ABS((1+AS_Wage)/(1+Slot14_Rate)-1)&lt;0.000000000001,(Slot14_Age-D89)*(1+Slot14_Rate)^(Slot14_Age-D89),(1+Slot14_Rate)^(Slot14_Age-D89)*(1-((1+AS_Wage)/(1+Slot14_Rate))^(Slot14_Age-D89))/(1-(1+AS_Wage)/(1+Slot14_Rate))),1)</f>
        <v>1</v>
      </c>
      <c r="MF89" s="1" t="n">
        <f aca="false">IF(AND(HT89=1,ID89&gt;0,Slot14_IsWG=1,EW89=1),MAX(0,(Slot14_Cost-EX89*(1+Slot14_Rate)^(Slot14_Age-D89))/ME89),0)</f>
        <v>0</v>
      </c>
      <c r="MG89" s="1" t="n">
        <f aca="false">IF(AND(HT89=1,ID89&gt;0,Slot14_IsWG=1,EW89=1),MIN(ID89,MF89),0)</f>
        <v>0</v>
      </c>
      <c r="MH89" s="1" t="n">
        <f aca="false">EX89+MG89</f>
        <v>0</v>
      </c>
      <c r="MI89" s="1" t="n">
        <f aca="false">IF(EW89=1,MAX(0,(Slot14_Cost-MH89*(1+Slot14_Rate)^(Slot14_Age-D89))/ME89),0)</f>
        <v>0</v>
      </c>
      <c r="MJ89" s="1" t="n">
        <f aca="false">IF(EW89=1,MAX(0,(Slot14_Cost-EX89*(1+Slot14_Rate)^(Slot14_Age-D89))/ME89),0)</f>
        <v>0</v>
      </c>
      <c r="MK89" s="1" t="n">
        <f aca="false">IF(AND(HT89=1,EW89=1),MIN(MD89,MI89),0)</f>
        <v>0</v>
      </c>
      <c r="ML89" s="1" t="n">
        <f aca="false">MD89-MK89</f>
        <v>0</v>
      </c>
      <c r="MM89" s="1" t="n">
        <f aca="false">IF(FG89=1,IF(ABS((1+AS_Wage)/(1+Slot15_Rate)-1)&lt;0.000000000001,(Slot15_Age-D89)*(1+Slot15_Rate)^(Slot15_Age-D89),(1+Slot15_Rate)^(Slot15_Age-D89)*(1-((1+AS_Wage)/(1+Slot15_Rate))^(Slot15_Age-D89))/(1-(1+AS_Wage)/(1+Slot15_Rate))),1)</f>
        <v>1</v>
      </c>
      <c r="MN89" s="1" t="n">
        <f aca="false">IF(AND(HT89=1,ID89&gt;0,Slot15_IsWG=1,FG89=1),MAX(0,(Slot15_Cost-FH89*(1+Slot15_Rate)^(Slot15_Age-D89))/MM89),0)</f>
        <v>0</v>
      </c>
      <c r="MO89" s="1" t="n">
        <f aca="false">IF(AND(HT89=1,ID89&gt;0,Slot15_IsWG=1,FG89=1),MIN(ID89,MN89),0)</f>
        <v>0</v>
      </c>
      <c r="MP89" s="1" t="n">
        <f aca="false">FH89+MO89</f>
        <v>0</v>
      </c>
      <c r="MQ89" s="1" t="n">
        <f aca="false">IF(FG89=1,MAX(0,(Slot15_Cost-MP89*(1+Slot15_Rate)^(Slot15_Age-D89))/MM89),0)</f>
        <v>0</v>
      </c>
      <c r="MR89" s="1" t="n">
        <f aca="false">IF(FG89=1,MAX(0,(Slot15_Cost-FH89*(1+Slot15_Rate)^(Slot15_Age-D89))/MM89),0)</f>
        <v>0</v>
      </c>
      <c r="MS89" s="1" t="n">
        <f aca="false">IF(AND(HT89=1,FG89=1),MIN(ML89,MQ89),0)</f>
        <v>0</v>
      </c>
      <c r="MT89" s="1" t="n">
        <f aca="false">ML89-MS89</f>
        <v>0</v>
      </c>
      <c r="MU89" s="1" t="n">
        <f aca="false">IF(FQ89=1,IF(ABS((1+AS_Wage)/(1+Slot16_Rate)-1)&lt;0.000000000001,(Slot16_Age-D89)*(1+Slot16_Rate)^(Slot16_Age-D89),(1+Slot16_Rate)^(Slot16_Age-D89)*(1-((1+AS_Wage)/(1+Slot16_Rate))^(Slot16_Age-D89))/(1-(1+AS_Wage)/(1+Slot16_Rate))),1)</f>
        <v>1</v>
      </c>
      <c r="MV89" s="1" t="n">
        <f aca="false">IF(AND(HT89=1,ID89&gt;0,Slot16_IsWG=1,FQ89=1),MAX(0,(Slot16_Cost-FR89*(1+Slot16_Rate)^(Slot16_Age-D89))/MU89),0)</f>
        <v>0</v>
      </c>
      <c r="MW89" s="1" t="n">
        <f aca="false">IF(AND(HT89=1,ID89&gt;0,Slot16_IsWG=1,FQ89=1),MIN(ID89,MV89),0)</f>
        <v>0</v>
      </c>
      <c r="MX89" s="1" t="n">
        <f aca="false">FR89+MW89</f>
        <v>0</v>
      </c>
      <c r="MY89" s="1" t="n">
        <f aca="false">IF(FQ89=1,MAX(0,(Slot16_Cost-MX89*(1+Slot16_Rate)^(Slot16_Age-D89))/MU89),0)</f>
        <v>0</v>
      </c>
      <c r="MZ89" s="1" t="n">
        <f aca="false">IF(FQ89=1,MAX(0,(Slot16_Cost-FR89*(1+Slot16_Rate)^(Slot16_Age-D89))/MU89),0)</f>
        <v>0</v>
      </c>
      <c r="NA89" s="1" t="n">
        <f aca="false">IF(AND(HT89=1,FQ89=1),MIN(MT89,MY89),0)</f>
        <v>0</v>
      </c>
      <c r="NB89" s="1" t="n">
        <f aca="false">MT89-NA89</f>
        <v>0</v>
      </c>
      <c r="NC89" s="1" t="n">
        <f aca="false">IF(GA89=1,IF(ABS((1+AS_Wage)/(1+Slot17_Rate)-1)&lt;0.000000000001,(Slot17_Age-D89)*(1+Slot17_Rate)^(Slot17_Age-D89),(1+Slot17_Rate)^(Slot17_Age-D89)*(1-((1+AS_Wage)/(1+Slot17_Rate))^(Slot17_Age-D89))/(1-(1+AS_Wage)/(1+Slot17_Rate))),1)</f>
        <v>1</v>
      </c>
      <c r="ND89" s="1" t="n">
        <f aca="false">IF(AND(HT89=1,ID89&gt;0,Slot17_IsWG=1,GA89=1),MAX(0,(Slot17_Cost-GB89*(1+Slot17_Rate)^(Slot17_Age-D89))/NC89),0)</f>
        <v>0</v>
      </c>
      <c r="NE89" s="1" t="n">
        <f aca="false">IF(AND(HT89=1,ID89&gt;0,Slot17_IsWG=1,GA89=1),MIN(ID89,ND89),0)</f>
        <v>0</v>
      </c>
      <c r="NF89" s="1" t="n">
        <f aca="false">GB89+NE89</f>
        <v>0</v>
      </c>
      <c r="NG89" s="1" t="n">
        <f aca="false">IF(GA89=1,MAX(0,(Slot17_Cost-NF89*(1+Slot17_Rate)^(Slot17_Age-D89))/NC89),0)</f>
        <v>0</v>
      </c>
      <c r="NH89" s="1" t="n">
        <f aca="false">IF(GA89=1,MAX(0,(Slot17_Cost-GB89*(1+Slot17_Rate)^(Slot17_Age-D89))/NC89),0)</f>
        <v>0</v>
      </c>
      <c r="NI89" s="1" t="n">
        <f aca="false">IF(AND(HT89=1,GA89=1),MIN(NB89,NG89),0)</f>
        <v>0</v>
      </c>
      <c r="NJ89" s="1" t="n">
        <f aca="false">NB89-NI89</f>
        <v>0</v>
      </c>
      <c r="NK89" s="1" t="n">
        <f aca="false">IF(GK89=1,IF(ABS((1+AS_Wage)/(1+Slot18_Rate)-1)&lt;0.000000000001,(Slot18_Age-D89)*(1+Slot18_Rate)^(Slot18_Age-D89),(1+Slot18_Rate)^(Slot18_Age-D89)*(1-((1+AS_Wage)/(1+Slot18_Rate))^(Slot18_Age-D89))/(1-(1+AS_Wage)/(1+Slot18_Rate))),1)</f>
        <v>1</v>
      </c>
      <c r="NL89" s="1" t="n">
        <f aca="false">IF(AND(HT89=1,ID89&gt;0,Slot18_IsWG=1,GK89=1),MAX(0,(Slot18_Cost-GL89*(1+Slot18_Rate)^(Slot18_Age-D89))/NK89),0)</f>
        <v>0</v>
      </c>
      <c r="NM89" s="1" t="n">
        <f aca="false">IF(AND(HT89=1,ID89&gt;0,Slot18_IsWG=1,GK89=1),MIN(ID89,NL89),0)</f>
        <v>0</v>
      </c>
      <c r="NN89" s="1" t="n">
        <f aca="false">GL89+NM89</f>
        <v>0</v>
      </c>
      <c r="NO89" s="1" t="n">
        <f aca="false">IF(GK89=1,MAX(0,(Slot18_Cost-NN89*(1+Slot18_Rate)^(Slot18_Age-D89))/NK89),0)</f>
        <v>0</v>
      </c>
      <c r="NP89" s="1" t="n">
        <f aca="false">IF(GK89=1,MAX(0,(Slot18_Cost-GL89*(1+Slot18_Rate)^(Slot18_Age-D89))/NK89),0)</f>
        <v>0</v>
      </c>
      <c r="NQ89" s="1" t="n">
        <f aca="false">IF(AND(HT89=1,GK89=1),MIN(NJ89,NO89),0)</f>
        <v>0</v>
      </c>
      <c r="NR89" s="1" t="n">
        <f aca="false">NJ89-NQ89</f>
        <v>0</v>
      </c>
      <c r="NS89" s="1" t="n">
        <f aca="false">IF(GU89=1,IF(ABS((1+AS_Wage)/(1+Slot19_Rate)-1)&lt;0.000000000001,(Slot19_Age-D89)*(1+Slot19_Rate)^(Slot19_Age-D89),(1+Slot19_Rate)^(Slot19_Age-D89)*(1-((1+AS_Wage)/(1+Slot19_Rate))^(Slot19_Age-D89))/(1-(1+AS_Wage)/(1+Slot19_Rate))),1)</f>
        <v>1</v>
      </c>
      <c r="NT89" s="1" t="n">
        <f aca="false">IF(AND(HT89=1,ID89&gt;0,Slot19_IsWG=1,GU89=1),MAX(0,(Slot19_Cost-GV89*(1+Slot19_Rate)^(Slot19_Age-D89))/NS89),0)</f>
        <v>0</v>
      </c>
      <c r="NU89" s="1" t="n">
        <f aca="false">IF(AND(HT89=1,ID89&gt;0,Slot19_IsWG=1,GU89=1),MIN(ID89,NT89),0)</f>
        <v>0</v>
      </c>
      <c r="NV89" s="1" t="n">
        <f aca="false">GV89+NU89</f>
        <v>0</v>
      </c>
      <c r="NW89" s="1" t="n">
        <f aca="false">IF(GU89=1,MAX(0,(Slot19_Cost-NV89*(1+Slot19_Rate)^(Slot19_Age-D89))/NS89),0)</f>
        <v>0</v>
      </c>
      <c r="NX89" s="1" t="n">
        <f aca="false">IF(GU89=1,MAX(0,(Slot19_Cost-GV89*(1+Slot19_Rate)^(Slot19_Age-D89))/NS89),0)</f>
        <v>0</v>
      </c>
      <c r="NY89" s="1" t="n">
        <f aca="false">IF(AND(HT89=1,GU89=1),MIN(NR89,NW89),0)</f>
        <v>0</v>
      </c>
      <c r="NZ89" s="1" t="n">
        <f aca="false">NR89-NY89</f>
        <v>0</v>
      </c>
      <c r="OA89" s="1" t="n">
        <f aca="false">IF(HE89=1,IF(ABS((1+AS_Wage)/(1+Slot20_Rate)-1)&lt;0.000000000001,(Slot20_Age-D89)*(1+Slot20_Rate)^(Slot20_Age-D89),(1+Slot20_Rate)^(Slot20_Age-D89)*(1-((1+AS_Wage)/(1+Slot20_Rate))^(Slot20_Age-D89))/(1-(1+AS_Wage)/(1+Slot20_Rate))),1)</f>
        <v>1</v>
      </c>
      <c r="OB89" s="1" t="n">
        <f aca="false">IF(AND(HT89=1,ID89&gt;0,Slot20_IsWG=1,HE89=1),MAX(0,(Slot20_Cost-HF89*(1+Slot20_Rate)^(Slot20_Age-D89))/OA89),0)</f>
        <v>0</v>
      </c>
      <c r="OC89" s="1" t="n">
        <f aca="false">IF(AND(HT89=1,ID89&gt;0,Slot20_IsWG=1,HE89=1),MIN(ID89,OB89),0)</f>
        <v>0</v>
      </c>
      <c r="OD89" s="1" t="n">
        <f aca="false">HF89+OC89</f>
        <v>0</v>
      </c>
      <c r="OE89" s="1" t="n">
        <f aca="false">IF(HE89=1,MAX(0,(Slot20_Cost-OD89*(1+Slot20_Rate)^(Slot20_Age-D89))/OA89),0)</f>
        <v>0</v>
      </c>
      <c r="OF89" s="1" t="n">
        <f aca="false">IF(HE89=1,MAX(0,(Slot20_Cost-HF89*(1+Slot20_Rate)^(Slot20_Age-D89))/OA89),0)</f>
        <v>0</v>
      </c>
      <c r="OG89" s="1" t="n">
        <f aca="false">IF(AND(HT89=1,HE89=1),MIN(NZ89,OE89),0)</f>
        <v>0</v>
      </c>
      <c r="OH89" s="1" t="n">
        <f aca="false">NZ89-OG89</f>
        <v>0</v>
      </c>
      <c r="OI89" s="1" t="n">
        <f aca="false">ID89-(IG89+IO89+IW89+JE89+JM89+JU89+KC89+KK89+KS89+LA89+LI89+LQ89+LY89+MG89+MO89+MW89+NE89+NM89+NU89+OC89)</f>
        <v>0</v>
      </c>
      <c r="OJ89" s="1" t="n">
        <f aca="false">IF(HT89=1,HR89-IC89-ID89,0)</f>
        <v>64503.5109658482</v>
      </c>
      <c r="OK89" s="1" t="n">
        <f aca="false">IF(HT89=0,-HR89,0)</f>
        <v>0</v>
      </c>
      <c r="OL89" s="1" t="n">
        <f aca="false">MIN(OK89,HJ89)</f>
        <v>0</v>
      </c>
      <c r="OM89" s="1" t="n">
        <f aca="false">OK89-OL89</f>
        <v>0</v>
      </c>
      <c r="ON89" s="1" t="n">
        <f aca="false">MIN(OM89,HK89)</f>
        <v>0</v>
      </c>
      <c r="OO89" s="1" t="n">
        <f aca="false">OM89-ON89</f>
        <v>0</v>
      </c>
      <c r="OP89" s="1" t="n">
        <f aca="false">IF(AND(HT89=0,HE89=1,OO89&gt;0),MIN(OO89,HF89),0)</f>
        <v>0</v>
      </c>
      <c r="OQ89" s="1" t="n">
        <f aca="false">OO89-OP89</f>
        <v>0</v>
      </c>
      <c r="OR89" s="1" t="n">
        <f aca="false">IF(AND(HT89=0,GU89=1,OQ89&gt;0),MIN(OQ89,GV89),0)</f>
        <v>0</v>
      </c>
      <c r="OS89" s="1" t="n">
        <f aca="false">OQ89-OR89</f>
        <v>0</v>
      </c>
      <c r="OT89" s="1" t="n">
        <f aca="false">IF(AND(HT89=0,GK89=1,OS89&gt;0),MIN(OS89,GL89),0)</f>
        <v>0</v>
      </c>
      <c r="OU89" s="1" t="n">
        <f aca="false">OS89-OT89</f>
        <v>0</v>
      </c>
      <c r="OV89" s="1" t="n">
        <f aca="false">IF(AND(HT89=0,GA89=1,OU89&gt;0),MIN(OU89,GB89),0)</f>
        <v>0</v>
      </c>
      <c r="OW89" s="1" t="n">
        <f aca="false">OU89-OV89</f>
        <v>0</v>
      </c>
      <c r="OX89" s="1" t="n">
        <f aca="false">IF(AND(HT89=0,FQ89=1,OW89&gt;0),MIN(OW89,FR89),0)</f>
        <v>0</v>
      </c>
      <c r="OY89" s="1" t="n">
        <f aca="false">OW89-OX89</f>
        <v>0</v>
      </c>
      <c r="OZ89" s="1" t="n">
        <f aca="false">IF(AND(HT89=0,FG89=1,OY89&gt;0),MIN(OY89,FH89),0)</f>
        <v>0</v>
      </c>
      <c r="PA89" s="1" t="n">
        <f aca="false">OY89-OZ89</f>
        <v>0</v>
      </c>
      <c r="PB89" s="1" t="n">
        <f aca="false">IF(AND(HT89=0,EW89=1,PA89&gt;0),MIN(PA89,EX89),0)</f>
        <v>0</v>
      </c>
      <c r="PC89" s="1" t="n">
        <f aca="false">PA89-PB89</f>
        <v>0</v>
      </c>
      <c r="PD89" s="1" t="n">
        <f aca="false">IF(AND(HT89=0,EM89=1,PC89&gt;0),MIN(PC89,EN89),0)</f>
        <v>0</v>
      </c>
      <c r="PE89" s="1" t="n">
        <f aca="false">PC89-PD89</f>
        <v>0</v>
      </c>
      <c r="PF89" s="1" t="n">
        <f aca="false">IF(AND(HT89=0,EC89=1,PE89&gt;0),MIN(PE89,ED89),0)</f>
        <v>0</v>
      </c>
      <c r="PG89" s="1" t="n">
        <f aca="false">PE89-PF89</f>
        <v>0</v>
      </c>
      <c r="PH89" s="1" t="n">
        <f aca="false">IF(AND(HT89=0,DS89=1,PG89&gt;0),MIN(PG89,DT89),0)</f>
        <v>0</v>
      </c>
      <c r="PI89" s="1" t="n">
        <f aca="false">PG89-PH89</f>
        <v>0</v>
      </c>
      <c r="PJ89" s="1" t="n">
        <f aca="false">IF(AND(HT89=0,DI89=1,PI89&gt;0),MIN(PI89,DJ89),0)</f>
        <v>0</v>
      </c>
      <c r="PK89" s="1" t="n">
        <f aca="false">PI89-PJ89</f>
        <v>0</v>
      </c>
      <c r="PL89" s="1" t="n">
        <f aca="false">IF(AND(HT89=0,CY89=1,PK89&gt;0),MIN(PK89,CZ89),0)</f>
        <v>0</v>
      </c>
      <c r="PM89" s="1" t="n">
        <f aca="false">PK89-PL89</f>
        <v>0</v>
      </c>
      <c r="PN89" s="1" t="n">
        <f aca="false">IF(AND(HT89=0,CO89=1,PM89&gt;0),MIN(PM89,CP89),0)</f>
        <v>0</v>
      </c>
      <c r="PO89" s="1" t="n">
        <f aca="false">PM89-PN89</f>
        <v>0</v>
      </c>
      <c r="PP89" s="1" t="n">
        <f aca="false">IF(AND(HT89=0,CE89=1,PO89&gt;0),MIN(PO89,CF89),0)</f>
        <v>0</v>
      </c>
      <c r="PQ89" s="1" t="n">
        <f aca="false">PO89-PP89</f>
        <v>0</v>
      </c>
      <c r="PR89" s="1" t="n">
        <f aca="false">IF(AND(HT89=0,BU89=1,PQ89&gt;0),MIN(PQ89,BV89),0)</f>
        <v>0</v>
      </c>
      <c r="PS89" s="1" t="n">
        <f aca="false">PQ89-PR89</f>
        <v>0</v>
      </c>
      <c r="PT89" s="1" t="n">
        <f aca="false">IF(AND(HT89=0,BK89=1,PS89&gt;0),MIN(PS89,BL89),0)</f>
        <v>0</v>
      </c>
      <c r="PU89" s="1" t="n">
        <f aca="false">PS89-PT89</f>
        <v>0</v>
      </c>
      <c r="PV89" s="1" t="n">
        <f aca="false">IF(AND(HT89=0,BA89=1,PU89&gt;0),MIN(PU89,BB89),0)</f>
        <v>0</v>
      </c>
      <c r="PW89" s="1" t="n">
        <f aca="false">PU89-PV89</f>
        <v>0</v>
      </c>
      <c r="PX89" s="1" t="n">
        <f aca="false">IF(AND(HT89=0,AQ89=1,PW89&gt;0),MIN(PW89,AR89),0)</f>
        <v>0</v>
      </c>
      <c r="PY89" s="1" t="n">
        <f aca="false">PW89-PX89</f>
        <v>0</v>
      </c>
      <c r="PZ89" s="1" t="n">
        <f aca="false">IF(AND(HT89=0,AG89=1,PY89&gt;0),MIN(PY89,AH89),0)</f>
        <v>0</v>
      </c>
      <c r="QA89" s="1" t="n">
        <f aca="false">PY89-PZ89</f>
        <v>0</v>
      </c>
      <c r="QB89" s="1" t="n">
        <f aca="false">IF(AND(HT89=0,V89=1,QA89&gt;0),MIN(QA89,W89),0)</f>
        <v>0</v>
      </c>
      <c r="QC89" s="1" t="n">
        <f aca="false">QA89-QB89</f>
        <v>0</v>
      </c>
      <c r="QD89" s="1" t="n">
        <f aca="false">IF(HT89=0,QC89,0)</f>
        <v>0</v>
      </c>
      <c r="QE89" s="1" t="n">
        <f aca="false">OL89+ON89+QB89+PZ89+PX89+PV89+PT89+PR89+PP89+PN89+PL89+PJ89+PH89+PF89+PD89+PB89+OZ89+OX89+OV89+OT89+OR89+OP89</f>
        <v>0</v>
      </c>
      <c r="QF89" s="1" t="n">
        <f aca="false">IF(HT89=1,HJ89+OI89+OH89+IF(F89=1,0,OJ89),HJ89-OL89)</f>
        <v>970047.082824552</v>
      </c>
      <c r="QG89" s="1" t="n">
        <f aca="false">HK89-ON89</f>
        <v>0</v>
      </c>
      <c r="QH89" s="1" t="n">
        <f aca="false">IF(HT89=1,IF(F89=1,IC89+ID89,HR89),0)</f>
        <v>64503.5109658482</v>
      </c>
      <c r="QI89" s="1" t="n">
        <f aca="false">IF(HT89=1,IF(F89=1,HR89-IC89-ID89,0),0)</f>
        <v>0</v>
      </c>
      <c r="QJ89" s="1" t="n">
        <f aca="false">QF89*(1+GR)</f>
        <v>985955.854982875</v>
      </c>
      <c r="QK89" s="1" t="n">
        <f aca="false">QG89*(1+AS_Cash)</f>
        <v>0</v>
      </c>
      <c r="QL89" s="1" t="n">
        <f aca="false">IF(V89=1,IF(HT89=1,IH89+IK89,W89-QB89)*(1+Slot1_Rate),0)</f>
        <v>0</v>
      </c>
      <c r="QM89" s="1" t="n">
        <f aca="false">IF(AND(HT89=1,V89=1),(IG89+IK89)/E89,0)</f>
        <v>0</v>
      </c>
      <c r="QN89" s="1" t="n">
        <f aca="false">IF(B89=0,IG89+IK89,0)</f>
        <v>0</v>
      </c>
      <c r="QO89" s="1" t="n">
        <f aca="false">IF(B89=0,IF(HT89=1,II89,IJ89),0)</f>
        <v>0</v>
      </c>
      <c r="QP89" s="1" t="n">
        <f aca="false">IF(AG89=1,IF(HT89=1,IP89+IS89,AH89-PZ89)*(1+Slot2_Rate),0)</f>
        <v>0</v>
      </c>
      <c r="QQ89" s="1" t="n">
        <f aca="false">IF(AND(HT89=1,AG89=1),(IO89+IS89)/E89,0)</f>
        <v>0</v>
      </c>
      <c r="QR89" s="1" t="n">
        <f aca="false">IF(B89=0,IO89+IS89,0)</f>
        <v>0</v>
      </c>
      <c r="QS89" s="1" t="n">
        <f aca="false">IF(B89=0,IF(HT89=1,IQ89,IR89),0)</f>
        <v>0</v>
      </c>
      <c r="QT89" s="1" t="n">
        <f aca="false">IF(AQ89=1,IF(HT89=1,IX89+JA89,AR89-PX89)*(1+Slot3_Rate),0)</f>
        <v>0</v>
      </c>
      <c r="QU89" s="1" t="n">
        <f aca="false">IF(AND(HT89=1,AQ89=1),(IW89+JA89)/E89,0)</f>
        <v>0</v>
      </c>
      <c r="QV89" s="1" t="n">
        <f aca="false">IF(B89=0,IW89+JA89,0)</f>
        <v>0</v>
      </c>
      <c r="QW89" s="1" t="n">
        <f aca="false">IF(B89=0,IF(HT89=1,IY89,IZ89),0)</f>
        <v>0</v>
      </c>
      <c r="QX89" s="1" t="n">
        <f aca="false">IF(BA89=1,IF(HT89=1,JF89+JI89,BB89-PV89)*(1+Slot4_Rate),0)</f>
        <v>0</v>
      </c>
      <c r="QY89" s="1" t="n">
        <f aca="false">IF(AND(HT89=1,BA89=1),(JE89+JI89)/E89,0)</f>
        <v>0</v>
      </c>
      <c r="QZ89" s="1" t="n">
        <f aca="false">IF(B89=0,JE89+JI89,0)</f>
        <v>0</v>
      </c>
      <c r="RA89" s="1" t="n">
        <f aca="false">IF(B89=0,IF(HT89=1,JG89,JH89),0)</f>
        <v>0</v>
      </c>
      <c r="RB89" s="1" t="n">
        <f aca="false">IF(BK89=1,IF(HT89=1,JN89+JQ89,BL89-PT89)*(1+Slot5_Rate),0)</f>
        <v>0</v>
      </c>
      <c r="RC89" s="1" t="n">
        <f aca="false">IF(AND(HT89=1,BK89=1),(JM89+JQ89)/E89,0)</f>
        <v>0</v>
      </c>
      <c r="RD89" s="1" t="n">
        <f aca="false">IF(B89=0,JM89+JQ89,0)</f>
        <v>0</v>
      </c>
      <c r="RE89" s="1" t="n">
        <f aca="false">IF(B89=0,IF(HT89=1,JO89,JP89),0)</f>
        <v>0</v>
      </c>
      <c r="RF89" s="1" t="n">
        <f aca="false">IF(BU89=1,IF(HT89=1,JV89+JY89,BV89-PR89)*(1+Slot6_Rate),0)</f>
        <v>0</v>
      </c>
      <c r="RG89" s="1" t="n">
        <f aca="false">IF(AND(HT89=1,BU89=1),(JU89+JY89)/E89,0)</f>
        <v>0</v>
      </c>
      <c r="RH89" s="1" t="n">
        <f aca="false">IF(B89=0,JU89+JY89,0)</f>
        <v>0</v>
      </c>
      <c r="RI89" s="1" t="n">
        <f aca="false">IF(B89=0,IF(HT89=1,JW89,JX89),0)</f>
        <v>0</v>
      </c>
      <c r="RJ89" s="1" t="n">
        <f aca="false">IF(CE89=1,IF(HT89=1,KD89+KG89,CF89-PP89)*(1+Slot7_Rate),0)</f>
        <v>0</v>
      </c>
      <c r="RK89" s="1" t="n">
        <f aca="false">IF(AND(HT89=1,CE89=1),(KC89+KG89)/E89,0)</f>
        <v>0</v>
      </c>
      <c r="RL89" s="1" t="n">
        <f aca="false">IF(B89=0,KC89+KG89,0)</f>
        <v>0</v>
      </c>
      <c r="RM89" s="1" t="n">
        <f aca="false">IF(B89=0,IF(HT89=1,KE89,KF89),0)</f>
        <v>0</v>
      </c>
      <c r="RN89" s="1" t="n">
        <f aca="false">IF(CO89=1,IF(HT89=1,KL89+KO89,CP89-PN89)*(1+Slot8_Rate),0)</f>
        <v>0</v>
      </c>
      <c r="RO89" s="1" t="n">
        <f aca="false">IF(AND(HT89=1,CO89=1),(KK89+KO89)/E89,0)</f>
        <v>0</v>
      </c>
      <c r="RP89" s="1" t="n">
        <f aca="false">IF(B89=0,KK89+KO89,0)</f>
        <v>0</v>
      </c>
      <c r="RQ89" s="1" t="n">
        <f aca="false">IF(B89=0,IF(HT89=1,KM89,KN89),0)</f>
        <v>0</v>
      </c>
      <c r="RR89" s="1" t="n">
        <f aca="false">IF(CY89=1,IF(HT89=1,KT89+KW89,CZ89-PL89)*(1+Slot9_Rate),0)</f>
        <v>0</v>
      </c>
      <c r="RS89" s="1" t="n">
        <f aca="false">IF(AND(HT89=1,CY89=1),(KS89+KW89)/E89,0)</f>
        <v>0</v>
      </c>
      <c r="RT89" s="1" t="n">
        <f aca="false">IF(B89=0,KS89+KW89,0)</f>
        <v>0</v>
      </c>
      <c r="RU89" s="1" t="n">
        <f aca="false">IF(B89=0,IF(HT89=1,KU89,KV89),0)</f>
        <v>0</v>
      </c>
      <c r="RV89" s="1" t="n">
        <f aca="false">IF(DI89=1,IF(HT89=1,LB89+LE89,DJ89-PJ89)*(1+Slot10_Rate),0)</f>
        <v>0</v>
      </c>
      <c r="RW89" s="1" t="n">
        <f aca="false">IF(AND(HT89=1,DI89=1),(LA89+LE89)/E89,0)</f>
        <v>0</v>
      </c>
      <c r="RX89" s="1" t="n">
        <f aca="false">IF(B89=0,LA89+LE89,0)</f>
        <v>0</v>
      </c>
      <c r="RY89" s="1" t="n">
        <f aca="false">IF(B89=0,IF(HT89=1,LC89,LD89),0)</f>
        <v>0</v>
      </c>
      <c r="RZ89" s="1" t="n">
        <f aca="false">IF(DS89=1,IF(HT89=1,LJ89+LM89,DT89-PH89)*(1+Slot11_Rate),0)</f>
        <v>0</v>
      </c>
      <c r="SA89" s="1" t="n">
        <f aca="false">IF(AND(HT89=1,DS89=1),(LI89+LM89)/E89,0)</f>
        <v>0</v>
      </c>
      <c r="SB89" s="1" t="n">
        <f aca="false">IF(B89=0,LI89+LM89,0)</f>
        <v>0</v>
      </c>
      <c r="SC89" s="1" t="n">
        <f aca="false">IF(B89=0,IF(HT89=1,LK89,LL89),0)</f>
        <v>0</v>
      </c>
      <c r="SD89" s="1" t="n">
        <f aca="false">IF(EC89=1,IF(HT89=1,LR89+LU89,ED89-PF89)*(1+Slot12_Rate),0)</f>
        <v>0</v>
      </c>
      <c r="SE89" s="1" t="n">
        <f aca="false">IF(AND(HT89=1,EC89=1),(LQ89+LU89)/E89,0)</f>
        <v>0</v>
      </c>
      <c r="SF89" s="1" t="n">
        <f aca="false">IF(B89=0,LQ89+LU89,0)</f>
        <v>0</v>
      </c>
      <c r="SG89" s="1" t="n">
        <f aca="false">IF(B89=0,IF(HT89=1,LS89,LT89),0)</f>
        <v>0</v>
      </c>
      <c r="SH89" s="1" t="n">
        <f aca="false">IF(EM89=1,IF(HT89=1,LZ89+MC89,EN89-PD89)*(1+Slot13_Rate),0)</f>
        <v>0</v>
      </c>
      <c r="SI89" s="1" t="n">
        <f aca="false">IF(AND(HT89=1,EM89=1),(LY89+MC89)/E89,0)</f>
        <v>0</v>
      </c>
      <c r="SJ89" s="1" t="n">
        <f aca="false">IF(B89=0,LY89+MC89,0)</f>
        <v>0</v>
      </c>
      <c r="SK89" s="1" t="n">
        <f aca="false">IF(B89=0,IF(HT89=1,MA89,MB89),0)</f>
        <v>0</v>
      </c>
      <c r="SL89" s="1" t="n">
        <f aca="false">IF(EW89=1,IF(HT89=1,MH89+MK89,EX89-PB89)*(1+Slot14_Rate),0)</f>
        <v>0</v>
      </c>
      <c r="SM89" s="1" t="n">
        <f aca="false">IF(AND(HT89=1,EW89=1),(MG89+MK89)/E89,0)</f>
        <v>0</v>
      </c>
      <c r="SN89" s="1" t="n">
        <f aca="false">IF(B89=0,MG89+MK89,0)</f>
        <v>0</v>
      </c>
      <c r="SO89" s="1" t="n">
        <f aca="false">IF(B89=0,IF(HT89=1,MI89,MJ89),0)</f>
        <v>0</v>
      </c>
      <c r="SP89" s="1" t="n">
        <f aca="false">IF(FG89=1,IF(HT89=1,MP89+MS89,FH89-OZ89)*(1+Slot15_Rate),0)</f>
        <v>0</v>
      </c>
      <c r="SQ89" s="1" t="n">
        <f aca="false">IF(AND(HT89=1,FG89=1),(MO89+MS89)/E89,0)</f>
        <v>0</v>
      </c>
      <c r="SR89" s="1" t="n">
        <f aca="false">IF(B89=0,MO89+MS89,0)</f>
        <v>0</v>
      </c>
      <c r="SS89" s="1" t="n">
        <f aca="false">IF(B89=0,IF(HT89=1,MQ89,MR89),0)</f>
        <v>0</v>
      </c>
      <c r="ST89" s="1" t="n">
        <f aca="false">IF(FQ89=1,IF(HT89=1,MX89+NA89,FR89-OX89)*(1+Slot16_Rate),0)</f>
        <v>0</v>
      </c>
      <c r="SU89" s="1" t="n">
        <f aca="false">IF(AND(HT89=1,FQ89=1),(MW89+NA89)/E89,0)</f>
        <v>0</v>
      </c>
      <c r="SV89" s="1" t="n">
        <f aca="false">IF(B89=0,MW89+NA89,0)</f>
        <v>0</v>
      </c>
      <c r="SW89" s="1" t="n">
        <f aca="false">IF(B89=0,IF(HT89=1,MY89,MZ89),0)</f>
        <v>0</v>
      </c>
      <c r="SX89" s="1" t="n">
        <f aca="false">IF(GA89=1,IF(HT89=1,NF89+NI89,GB89-OV89)*(1+Slot17_Rate),0)</f>
        <v>0</v>
      </c>
      <c r="SY89" s="1" t="n">
        <f aca="false">IF(AND(HT89=1,GA89=1),(NE89+NI89)/E89,0)</f>
        <v>0</v>
      </c>
      <c r="SZ89" s="1" t="n">
        <f aca="false">IF(B89=0,NE89+NI89,0)</f>
        <v>0</v>
      </c>
      <c r="TA89" s="1" t="n">
        <f aca="false">IF(B89=0,IF(HT89=1,NG89,NH89),0)</f>
        <v>0</v>
      </c>
      <c r="TB89" s="1" t="n">
        <f aca="false">IF(GK89=1,IF(HT89=1,NN89+NQ89,GL89-OT89)*(1+Slot18_Rate),0)</f>
        <v>0</v>
      </c>
      <c r="TC89" s="1" t="n">
        <f aca="false">IF(AND(HT89=1,GK89=1),(NM89+NQ89)/E89,0)</f>
        <v>0</v>
      </c>
      <c r="TD89" s="1" t="n">
        <f aca="false">IF(B89=0,NM89+NQ89,0)</f>
        <v>0</v>
      </c>
      <c r="TE89" s="1" t="n">
        <f aca="false">IF(B89=0,IF(HT89=1,NO89,NP89),0)</f>
        <v>0</v>
      </c>
      <c r="TF89" s="1" t="n">
        <f aca="false">IF(GU89=1,IF(HT89=1,NV89+NY89,GV89-OR89)*(1+Slot19_Rate),0)</f>
        <v>0</v>
      </c>
      <c r="TG89" s="1" t="n">
        <f aca="false">IF(AND(HT89=1,GU89=1),(NU89+NY89)/E89,0)</f>
        <v>0</v>
      </c>
      <c r="TH89" s="1" t="n">
        <f aca="false">IF(B89=0,NU89+NY89,0)</f>
        <v>0</v>
      </c>
      <c r="TI89" s="1" t="n">
        <f aca="false">IF(B89=0,IF(HT89=1,NW89,NX89),0)</f>
        <v>0</v>
      </c>
      <c r="TJ89" s="1" t="n">
        <f aca="false">IF(HE89=1,IF(HT89=1,OD89+OG89,HF89-OP89)*(1+Slot20_Rate),0)</f>
        <v>0</v>
      </c>
      <c r="TK89" s="1" t="n">
        <f aca="false">IF(AND(HT89=1,HE89=1),(OC89+OG89)/E89,0)</f>
        <v>0</v>
      </c>
      <c r="TL89" s="1" t="n">
        <f aca="false">IF(B89=0,OC89+OG89,0)</f>
        <v>0</v>
      </c>
      <c r="TM89" s="1" t="n">
        <f aca="false">IF(B89=0,IF(HT89=1,OE89,OF89),0)</f>
        <v>0</v>
      </c>
      <c r="TN89" s="1" t="n">
        <f aca="false">QJ89+QK89+QL89+QP89+QT89+QX89+RB89+RF89+RJ89+RN89+RR89+RV89+RZ89+SD89+SH89+SL89+SP89+ST89+SX89+TB89+TF89+TJ89</f>
        <v>985955.854982875</v>
      </c>
      <c r="TO89" s="1" t="n">
        <f aca="false">QD89+HO89</f>
        <v>0</v>
      </c>
      <c r="TP89" s="1" t="n">
        <f aca="false">H89+R89</f>
        <v>0</v>
      </c>
      <c r="TQ89" s="1" t="n">
        <f aca="false">1-F89</f>
        <v>1</v>
      </c>
      <c r="TR89" s="1" t="n">
        <f aca="false">IF(AND(RG_Exists=1,F89=0,C89=1),H89,0)</f>
        <v>0</v>
      </c>
      <c r="TS89" s="1" t="n">
        <f aca="false">IF(AND(RG_Exists=1,F89=0,C89=1),H89-MIN(QD89,H89),0)</f>
        <v>0</v>
      </c>
      <c r="TT89" s="1" t="n">
        <f aca="false">'Plan pay &amp; tax'!AD315</f>
        <v>0</v>
      </c>
      <c r="TU89" s="1" t="n">
        <f aca="false">IF(AND(C89=1,QD89&gt;MAX(PR_Short1,TP89*PR_Short2)),1,0)</f>
        <v>0</v>
      </c>
      <c r="TV89" s="1" t="n">
        <f aca="false">MIN(G89,H89+R89)</f>
        <v>0</v>
      </c>
      <c r="TW89" s="1" t="n">
        <f aca="false">QE89+MAX(0,HP89-HO89)</f>
        <v>0</v>
      </c>
      <c r="TX89" s="1" t="n">
        <f aca="false">QD89+HO89</f>
        <v>0</v>
      </c>
      <c r="TY89" s="1" t="n">
        <f aca="false">IF(AND(C89=1,TX89&gt;PR_MinShort),1,0)</f>
        <v>0</v>
      </c>
      <c r="TZ89" s="1" t="n">
        <f aca="false">IF(AND(C89=1,TY89=0,TW89&gt;PR_MinShort),1,0)</f>
        <v>0</v>
      </c>
      <c r="UA89" s="1" t="n">
        <f aca="false">IF(AND(C89=1,QD89&gt;PR_MinShort),1,0)</f>
        <v>0</v>
      </c>
      <c r="UB89" s="1" t="n">
        <f aca="false">IF(AND(C89=1,QE89&gt;1,UI89=0),1,0)</f>
        <v>0</v>
      </c>
      <c r="UC89" s="1" t="str">
        <f aca="false">IF(C89=0,"",IF(UI89=1,"Gap to plan for: short "&amp;"€"&amp;TEXT(ROUND(TO89,0),"#,##0"),IF(QE89&gt;1,"Using savings","Comfortable")))</f>
        <v>Comfortable</v>
      </c>
      <c r="UD89" s="1" t="n">
        <f aca="false">IF(AND(INT(D89/10)*10=90,B89&gt;0),80,INT(D89/10)*10)</f>
        <v>80</v>
      </c>
      <c r="UE89" s="1" t="n">
        <f aca="false">IF(B89=0,1,IF(UD89&lt;&gt;UD88,UE88+1,UE88))</f>
        <v>9</v>
      </c>
      <c r="UF89" s="1" t="n">
        <f aca="false">IF(AND(C89=1,F89=1,QD89&gt;MAX(PR_Short1,TP89*PR_Short2)),1,0)</f>
        <v>0</v>
      </c>
      <c r="UG89" s="1" t="n">
        <f aca="false">TQ89*TU89</f>
        <v>0</v>
      </c>
      <c r="UH89" s="1" t="n">
        <f aca="false">IF(AND(U89=1,Slot1_PctLow=1),1,0)+IF(AND(AF89=1,Slot2_PctLow=1),1,0)+IF(AND(AP89=1,Slot3_PctLow=1),1,0)+IF(AND(AZ89=1,Slot4_PctLow=1),1,0)+IF(AND(BJ89=1,Slot5_PctLow=1),1,0)+IF(AND(BT89=1,Slot6_PctLow=1),1,0)+IF(AND(CD89=1,Slot7_PctLow=1),1,0)+IF(AND(CN89=1,Slot8_PctLow=1),1,0)+IF(AND(CX89=1,Slot9_PctLow=1),1,0)+IF(AND(DH89=1,Slot10_PctLow=1),1,0)+IF(AND(DR89=1,Slot11_PctLow=1),1,0)+IF(AND(EB89=1,Slot12_PctLow=1),1,0)+IF(AND(EL89=1,Slot13_PctLow=1),1,0)+IF(AND(EV89=1,Slot14_PctLow=1),1,0)+IF(AND(FF89=1,Slot15_PctLow=1),1,0)+IF(AND(FP89=1,Slot16_PctLow=1),1,0)+IF(AND(FZ89=1,Slot17_PctLow=1),1,0)+IF(AND(GJ89=1,Slot18_PctLow=1),1,0)+IF(AND(GT89=1,Slot19_PctLow=1),1,0)+IF(AND(HD89=1,Slot20_PctLow=1),1,0)</f>
        <v>0</v>
      </c>
      <c r="UI89" s="1" t="n">
        <f aca="false">IF(C89=1,IF(OR(TU89=1,UH89&gt;0),1,0),0)</f>
        <v>0</v>
      </c>
    </row>
    <row r="90" customFormat="false" ht="15" hidden="false" customHeight="true" outlineLevel="0" collapsed="false">
      <c r="B90" s="1" t="n">
        <v>82</v>
      </c>
      <c r="C90" s="1" t="n">
        <f aca="false">IF(B90&lt;=F_N,1,0)</f>
        <v>1</v>
      </c>
      <c r="D90" s="1" t="n">
        <f aca="false">'Plan pay &amp; tax'!C316</f>
        <v>82</v>
      </c>
      <c r="E90" s="111" t="n">
        <f aca="false">'Plan pay &amp; tax'!E316</f>
        <v>5.07240689800269</v>
      </c>
      <c r="F90" s="1" t="n">
        <f aca="false">'Plan pay &amp; tax'!G316</f>
        <v>0</v>
      </c>
      <c r="G90" s="1" t="n">
        <f aca="false">'Plan pay &amp; tax'!BT316-'Plan pay &amp; tax'!BS316-'Plan pay &amp; tax'!R316</f>
        <v>65793.5811851652</v>
      </c>
      <c r="H90" s="1" t="n">
        <f aca="false">IF(F90=1,F_CostsM*12,IF(RG_Exists=1,RG_Amount,F_CostsM*12*AS_RetireSpend))*E90+F_OneOffY*E90</f>
        <v>0</v>
      </c>
      <c r="I90" s="1" t="n">
        <f aca="false">HQ89</f>
        <v>0</v>
      </c>
      <c r="J90" s="1" t="n">
        <f aca="false">IF(I90&gt;1,'Plan debt months'!AC90,0)</f>
        <v>0</v>
      </c>
      <c r="K90" s="1" t="n">
        <f aca="false">IF(I90&gt;1,'Plan debt months'!AB90,I90)</f>
        <v>0</v>
      </c>
      <c r="L90" s="1" t="n">
        <f aca="false">N89</f>
        <v>0</v>
      </c>
      <c r="M90" s="1" t="n">
        <f aca="false">IF(L90&gt;1,'Plan debt months'!BD90,0)</f>
        <v>0</v>
      </c>
      <c r="N90" s="1" t="n">
        <f aca="false">IF(L90&gt;1,'Plan debt months'!BC90,L90)</f>
        <v>0</v>
      </c>
      <c r="O90" s="1" t="n">
        <f aca="false">Q89</f>
        <v>0</v>
      </c>
      <c r="P90" s="1" t="n">
        <f aca="false">IF(O90&gt;1,'Plan debt months'!CE90,0)</f>
        <v>0</v>
      </c>
      <c r="Q90" s="1" t="n">
        <f aca="false">IF(O90&gt;1,'Plan debt months'!CD90,O90)</f>
        <v>0</v>
      </c>
      <c r="R90" s="1" t="n">
        <f aca="false">J90+M90+P90</f>
        <v>0</v>
      </c>
      <c r="S90" s="1" t="n">
        <f aca="false">QJ89+'Plan pay &amp; tax'!Y316</f>
        <v>985955.854982875</v>
      </c>
      <c r="T90" s="1" t="n">
        <f aca="false">QJ89</f>
        <v>985955.854982875</v>
      </c>
      <c r="U90" s="1" t="n">
        <f aca="false">IF(AND(Slot1_On=1,D90=Slot1_Age),1,0)</f>
        <v>0</v>
      </c>
      <c r="V90" s="1" t="n">
        <f aca="false">IF(AND(Slot1_On=1,Slot1_Age&gt;D90),1,0)</f>
        <v>0</v>
      </c>
      <c r="W90" s="1" t="n">
        <f aca="false">QL89</f>
        <v>0</v>
      </c>
      <c r="X90" s="1" t="n">
        <f aca="false">U90*MIN(Slot1_Cost,W90)</f>
        <v>0</v>
      </c>
      <c r="Y90" s="1" t="n">
        <f aca="false">U90*Slot1_SpendLike*MIN(Slot1_Cost-X90,S90)</f>
        <v>0</v>
      </c>
      <c r="Z90" s="1" t="n">
        <f aca="false">X90+Y90</f>
        <v>0</v>
      </c>
      <c r="AA90" s="1" t="n">
        <f aca="false">S90-Y90+U90*IF(Slot1_SpendLike=1,W90-X90,IF(Slot1_PotFree=1,W90,0))</f>
        <v>985955.854982875</v>
      </c>
      <c r="AB90" s="1" t="n">
        <f aca="false">AE90+U90*Slot1_BufPot*W90</f>
        <v>0</v>
      </c>
      <c r="AC90" s="1" t="n">
        <f aca="false">IF(AND(U90=1,Slot1_IsMfree=1),IF(Z90&gt;=Slot1_Cost-1,0,MAX(0,K90-Z90)),K90)</f>
        <v>0</v>
      </c>
      <c r="AD90" s="1" t="n">
        <f aca="false">U90*(Slot1_Cost-Z90)</f>
        <v>0</v>
      </c>
      <c r="AE90" s="1" t="n">
        <f aca="false">QK89</f>
        <v>0</v>
      </c>
      <c r="AF90" s="1" t="n">
        <f aca="false">IF(AND(Slot2_On=1,D90=Slot2_Age),1,0)</f>
        <v>0</v>
      </c>
      <c r="AG90" s="1" t="n">
        <f aca="false">IF(AND(Slot2_On=1,Slot2_Age&gt;D90),1,0)</f>
        <v>0</v>
      </c>
      <c r="AH90" s="1" t="n">
        <f aca="false">QP89</f>
        <v>0</v>
      </c>
      <c r="AI90" s="1" t="n">
        <f aca="false">AF90*MIN(Slot2_Cost,AH90)</f>
        <v>0</v>
      </c>
      <c r="AJ90" s="1" t="n">
        <f aca="false">AF90*Slot2_SpendLike*MIN(Slot2_Cost-AI90,AA90)</f>
        <v>0</v>
      </c>
      <c r="AK90" s="1" t="n">
        <f aca="false">AI90+AJ90</f>
        <v>0</v>
      </c>
      <c r="AL90" s="1" t="n">
        <f aca="false">AA90-AJ90+AF90*IF(Slot2_SpendLike=1,AH90-AI90,IF(Slot2_PotFree=1,AH90,0))</f>
        <v>985955.854982875</v>
      </c>
      <c r="AM90" s="1" t="n">
        <f aca="false">AB90+AF90*Slot2_BufPot*AH90</f>
        <v>0</v>
      </c>
      <c r="AN90" s="1" t="n">
        <f aca="false">IF(AND(AF90=1,Slot2_IsMfree=1),IF(AK90&gt;=Slot2_Cost-1,0,MAX(0,AC90-AK90)),AC90)</f>
        <v>0</v>
      </c>
      <c r="AO90" s="1" t="n">
        <f aca="false">AF90*(Slot2_Cost-AK90)</f>
        <v>0</v>
      </c>
      <c r="AP90" s="1" t="n">
        <f aca="false">IF(AND(Slot3_On=1,D90=Slot3_Age),1,0)</f>
        <v>0</v>
      </c>
      <c r="AQ90" s="1" t="n">
        <f aca="false">IF(AND(Slot3_On=1,Slot3_Age&gt;D90),1,0)</f>
        <v>0</v>
      </c>
      <c r="AR90" s="1" t="n">
        <f aca="false">QT89</f>
        <v>0</v>
      </c>
      <c r="AS90" s="1" t="n">
        <f aca="false">AP90*MIN(Slot3_Cost,AR90)</f>
        <v>0</v>
      </c>
      <c r="AT90" s="1" t="n">
        <f aca="false">AP90*Slot3_SpendLike*MIN(Slot3_Cost-AS90,AL90)</f>
        <v>0</v>
      </c>
      <c r="AU90" s="1" t="n">
        <f aca="false">AS90+AT90</f>
        <v>0</v>
      </c>
      <c r="AV90" s="1" t="n">
        <f aca="false">AL90-AT90+AP90*IF(Slot3_SpendLike=1,AR90-AS90,IF(Slot3_PotFree=1,AR90,0))</f>
        <v>985955.854982875</v>
      </c>
      <c r="AW90" s="1" t="n">
        <f aca="false">AM90+AP90*Slot3_BufPot*AR90</f>
        <v>0</v>
      </c>
      <c r="AX90" s="1" t="n">
        <f aca="false">IF(AND(AP90=1,Slot3_IsMfree=1),IF(AU90&gt;=Slot3_Cost-1,0,MAX(0,AN90-AU90)),AN90)</f>
        <v>0</v>
      </c>
      <c r="AY90" s="1" t="n">
        <f aca="false">AP90*(Slot3_Cost-AU90)</f>
        <v>0</v>
      </c>
      <c r="AZ90" s="1" t="n">
        <f aca="false">IF(AND(Slot4_On=1,D90=Slot4_Age),1,0)</f>
        <v>0</v>
      </c>
      <c r="BA90" s="1" t="n">
        <f aca="false">IF(AND(Slot4_On=1,Slot4_Age&gt;D90),1,0)</f>
        <v>0</v>
      </c>
      <c r="BB90" s="1" t="n">
        <f aca="false">QX89</f>
        <v>0</v>
      </c>
      <c r="BC90" s="1" t="n">
        <f aca="false">AZ90*MIN(Slot4_Cost,BB90)</f>
        <v>0</v>
      </c>
      <c r="BD90" s="1" t="n">
        <f aca="false">AZ90*Slot4_SpendLike*MIN(Slot4_Cost-BC90,AV90)</f>
        <v>0</v>
      </c>
      <c r="BE90" s="1" t="n">
        <f aca="false">BC90+BD90</f>
        <v>0</v>
      </c>
      <c r="BF90" s="1" t="n">
        <f aca="false">AV90-BD90+AZ90*IF(Slot4_SpendLike=1,BB90-BC90,IF(Slot4_PotFree=1,BB90,0))</f>
        <v>985955.854982875</v>
      </c>
      <c r="BG90" s="1" t="n">
        <f aca="false">AW90+AZ90*Slot4_BufPot*BB90</f>
        <v>0</v>
      </c>
      <c r="BH90" s="1" t="n">
        <f aca="false">IF(AND(AZ90=1,Slot4_IsMfree=1),IF(BE90&gt;=Slot4_Cost-1,0,MAX(0,AX90-BE90)),AX90)</f>
        <v>0</v>
      </c>
      <c r="BI90" s="1" t="n">
        <f aca="false">AZ90*(Slot4_Cost-BE90)</f>
        <v>0</v>
      </c>
      <c r="BJ90" s="1" t="n">
        <f aca="false">IF(AND(Slot5_On=1,D90=Slot5_Age),1,0)</f>
        <v>0</v>
      </c>
      <c r="BK90" s="1" t="n">
        <f aca="false">IF(AND(Slot5_On=1,Slot5_Age&gt;D90),1,0)</f>
        <v>0</v>
      </c>
      <c r="BL90" s="1" t="n">
        <f aca="false">RB89</f>
        <v>0</v>
      </c>
      <c r="BM90" s="1" t="n">
        <f aca="false">BJ90*MIN(Slot5_Cost,BL90)</f>
        <v>0</v>
      </c>
      <c r="BN90" s="1" t="n">
        <f aca="false">BJ90*Slot5_SpendLike*MIN(Slot5_Cost-BM90,BF90)</f>
        <v>0</v>
      </c>
      <c r="BO90" s="1" t="n">
        <f aca="false">BM90+BN90</f>
        <v>0</v>
      </c>
      <c r="BP90" s="1" t="n">
        <f aca="false">BF90-BN90+BJ90*IF(Slot5_SpendLike=1,BL90-BM90,IF(Slot5_PotFree=1,BL90,0))</f>
        <v>985955.854982875</v>
      </c>
      <c r="BQ90" s="1" t="n">
        <f aca="false">BG90+BJ90*Slot5_BufPot*BL90</f>
        <v>0</v>
      </c>
      <c r="BR90" s="1" t="n">
        <f aca="false">IF(AND(BJ90=1,Slot5_IsMfree=1),IF(BO90&gt;=Slot5_Cost-1,0,MAX(0,BH90-BO90)),BH90)</f>
        <v>0</v>
      </c>
      <c r="BS90" s="1" t="n">
        <f aca="false">BJ90*(Slot5_Cost-BO90)</f>
        <v>0</v>
      </c>
      <c r="BT90" s="1" t="n">
        <f aca="false">IF(AND(Slot6_On=1,D90=Slot6_Age),1,0)</f>
        <v>0</v>
      </c>
      <c r="BU90" s="1" t="n">
        <f aca="false">IF(AND(Slot6_On=1,Slot6_Age&gt;D90),1,0)</f>
        <v>0</v>
      </c>
      <c r="BV90" s="1" t="n">
        <f aca="false">RF89</f>
        <v>0</v>
      </c>
      <c r="BW90" s="1" t="n">
        <f aca="false">BT90*MIN(Slot6_Cost,BV90)</f>
        <v>0</v>
      </c>
      <c r="BX90" s="1" t="n">
        <f aca="false">BT90*Slot6_SpendLike*MIN(Slot6_Cost-BW90,BP90)</f>
        <v>0</v>
      </c>
      <c r="BY90" s="1" t="n">
        <f aca="false">BW90+BX90</f>
        <v>0</v>
      </c>
      <c r="BZ90" s="1" t="n">
        <f aca="false">BP90-BX90+BT90*IF(Slot6_SpendLike=1,BV90-BW90,IF(Slot6_PotFree=1,BV90,0))</f>
        <v>985955.854982875</v>
      </c>
      <c r="CA90" s="1" t="n">
        <f aca="false">BQ90+BT90*Slot6_BufPot*BV90</f>
        <v>0</v>
      </c>
      <c r="CB90" s="1" t="n">
        <f aca="false">IF(AND(BT90=1,Slot6_IsMfree=1),IF(BY90&gt;=Slot6_Cost-1,0,MAX(0,BR90-BY90)),BR90)</f>
        <v>0</v>
      </c>
      <c r="CC90" s="1" t="n">
        <f aca="false">BT90*(Slot6_Cost-BY90)</f>
        <v>0</v>
      </c>
      <c r="CD90" s="1" t="n">
        <f aca="false">IF(AND(Slot7_On=1,D90=Slot7_Age),1,0)</f>
        <v>0</v>
      </c>
      <c r="CE90" s="1" t="n">
        <f aca="false">IF(AND(Slot7_On=1,Slot7_Age&gt;D90),1,0)</f>
        <v>0</v>
      </c>
      <c r="CF90" s="1" t="n">
        <f aca="false">RJ89</f>
        <v>0</v>
      </c>
      <c r="CG90" s="1" t="n">
        <f aca="false">CD90*MIN(Slot7_Cost,CF90)</f>
        <v>0</v>
      </c>
      <c r="CH90" s="1" t="n">
        <f aca="false">CD90*Slot7_SpendLike*MIN(Slot7_Cost-CG90,BZ90)</f>
        <v>0</v>
      </c>
      <c r="CI90" s="1" t="n">
        <f aca="false">CG90+CH90</f>
        <v>0</v>
      </c>
      <c r="CJ90" s="1" t="n">
        <f aca="false">BZ90-CH90+CD90*IF(Slot7_SpendLike=1,CF90-CG90,IF(Slot7_PotFree=1,CF90,0))</f>
        <v>985955.854982875</v>
      </c>
      <c r="CK90" s="1" t="n">
        <f aca="false">CA90+CD90*Slot7_BufPot*CF90</f>
        <v>0</v>
      </c>
      <c r="CL90" s="1" t="n">
        <f aca="false">IF(AND(CD90=1,Slot7_IsMfree=1),IF(CI90&gt;=Slot7_Cost-1,0,MAX(0,CB90-CI90)),CB90)</f>
        <v>0</v>
      </c>
      <c r="CM90" s="1" t="n">
        <f aca="false">CD90*(Slot7_Cost-CI90)</f>
        <v>0</v>
      </c>
      <c r="CN90" s="1" t="n">
        <f aca="false">IF(AND(Slot8_On=1,D90=Slot8_Age),1,0)</f>
        <v>0</v>
      </c>
      <c r="CO90" s="1" t="n">
        <f aca="false">IF(AND(Slot8_On=1,Slot8_Age&gt;D90),1,0)</f>
        <v>0</v>
      </c>
      <c r="CP90" s="1" t="n">
        <f aca="false">RN89</f>
        <v>0</v>
      </c>
      <c r="CQ90" s="1" t="n">
        <f aca="false">CN90*MIN(Slot8_Cost,CP90)</f>
        <v>0</v>
      </c>
      <c r="CR90" s="1" t="n">
        <f aca="false">CN90*Slot8_SpendLike*MIN(Slot8_Cost-CQ90,CJ90)</f>
        <v>0</v>
      </c>
      <c r="CS90" s="1" t="n">
        <f aca="false">CQ90+CR90</f>
        <v>0</v>
      </c>
      <c r="CT90" s="1" t="n">
        <f aca="false">CJ90-CR90+CN90*IF(Slot8_SpendLike=1,CP90-CQ90,IF(Slot8_PotFree=1,CP90,0))</f>
        <v>985955.854982875</v>
      </c>
      <c r="CU90" s="1" t="n">
        <f aca="false">CK90+CN90*Slot8_BufPot*CP90</f>
        <v>0</v>
      </c>
      <c r="CV90" s="1" t="n">
        <f aca="false">IF(AND(CN90=1,Slot8_IsMfree=1),IF(CS90&gt;=Slot8_Cost-1,0,MAX(0,CL90-CS90)),CL90)</f>
        <v>0</v>
      </c>
      <c r="CW90" s="1" t="n">
        <f aca="false">CN90*(Slot8_Cost-CS90)</f>
        <v>0</v>
      </c>
      <c r="CX90" s="1" t="n">
        <f aca="false">IF(AND(Slot9_On=1,D90=Slot9_Age),1,0)</f>
        <v>0</v>
      </c>
      <c r="CY90" s="1" t="n">
        <f aca="false">IF(AND(Slot9_On=1,Slot9_Age&gt;D90),1,0)</f>
        <v>0</v>
      </c>
      <c r="CZ90" s="1" t="n">
        <f aca="false">RR89</f>
        <v>0</v>
      </c>
      <c r="DA90" s="1" t="n">
        <f aca="false">CX90*MIN(Slot9_Cost,CZ90)</f>
        <v>0</v>
      </c>
      <c r="DB90" s="1" t="n">
        <f aca="false">CX90*Slot9_SpendLike*MIN(Slot9_Cost-DA90,CT90)</f>
        <v>0</v>
      </c>
      <c r="DC90" s="1" t="n">
        <f aca="false">DA90+DB90</f>
        <v>0</v>
      </c>
      <c r="DD90" s="1" t="n">
        <f aca="false">CT90-DB90+CX90*IF(Slot9_SpendLike=1,CZ90-DA90,IF(Slot9_PotFree=1,CZ90,0))</f>
        <v>985955.854982875</v>
      </c>
      <c r="DE90" s="1" t="n">
        <f aca="false">CU90+CX90*Slot9_BufPot*CZ90</f>
        <v>0</v>
      </c>
      <c r="DF90" s="1" t="n">
        <f aca="false">IF(AND(CX90=1,Slot9_IsMfree=1),IF(DC90&gt;=Slot9_Cost-1,0,MAX(0,CV90-DC90)),CV90)</f>
        <v>0</v>
      </c>
      <c r="DG90" s="1" t="n">
        <f aca="false">CX90*(Slot9_Cost-DC90)</f>
        <v>0</v>
      </c>
      <c r="DH90" s="1" t="n">
        <f aca="false">IF(AND(Slot10_On=1,D90=Slot10_Age),1,0)</f>
        <v>0</v>
      </c>
      <c r="DI90" s="1" t="n">
        <f aca="false">IF(AND(Slot10_On=1,Slot10_Age&gt;D90),1,0)</f>
        <v>0</v>
      </c>
      <c r="DJ90" s="1" t="n">
        <f aca="false">RV89</f>
        <v>0</v>
      </c>
      <c r="DK90" s="1" t="n">
        <f aca="false">DH90*MIN(Slot10_Cost,DJ90)</f>
        <v>0</v>
      </c>
      <c r="DL90" s="1" t="n">
        <f aca="false">DH90*Slot10_SpendLike*MIN(Slot10_Cost-DK90,DD90)</f>
        <v>0</v>
      </c>
      <c r="DM90" s="1" t="n">
        <f aca="false">DK90+DL90</f>
        <v>0</v>
      </c>
      <c r="DN90" s="1" t="n">
        <f aca="false">DD90-DL90+DH90*IF(Slot10_SpendLike=1,DJ90-DK90,IF(Slot10_PotFree=1,DJ90,0))</f>
        <v>985955.854982875</v>
      </c>
      <c r="DO90" s="1" t="n">
        <f aca="false">DE90+DH90*Slot10_BufPot*DJ90</f>
        <v>0</v>
      </c>
      <c r="DP90" s="1" t="n">
        <f aca="false">IF(AND(DH90=1,Slot10_IsMfree=1),IF(DM90&gt;=Slot10_Cost-1,0,MAX(0,DF90-DM90)),DF90)</f>
        <v>0</v>
      </c>
      <c r="DQ90" s="1" t="n">
        <f aca="false">DH90*(Slot10_Cost-DM90)</f>
        <v>0</v>
      </c>
      <c r="DR90" s="1" t="n">
        <f aca="false">IF(AND(Slot11_On=1,D90=Slot11_Age),1,0)</f>
        <v>0</v>
      </c>
      <c r="DS90" s="1" t="n">
        <f aca="false">IF(AND(Slot11_On=1,Slot11_Age&gt;D90),1,0)</f>
        <v>0</v>
      </c>
      <c r="DT90" s="1" t="n">
        <f aca="false">RZ89</f>
        <v>0</v>
      </c>
      <c r="DU90" s="1" t="n">
        <f aca="false">DR90*MIN(Slot11_Cost,DT90)</f>
        <v>0</v>
      </c>
      <c r="DV90" s="1" t="n">
        <f aca="false">DR90*Slot11_SpendLike*MIN(Slot11_Cost-DU90,DN90)</f>
        <v>0</v>
      </c>
      <c r="DW90" s="1" t="n">
        <f aca="false">DU90+DV90</f>
        <v>0</v>
      </c>
      <c r="DX90" s="1" t="n">
        <f aca="false">DN90-DV90+DR90*IF(Slot11_SpendLike=1,DT90-DU90,IF(Slot11_PotFree=1,DT90,0))</f>
        <v>985955.854982875</v>
      </c>
      <c r="DY90" s="1" t="n">
        <f aca="false">DO90+DR90*Slot11_BufPot*DT90</f>
        <v>0</v>
      </c>
      <c r="DZ90" s="1" t="n">
        <f aca="false">IF(AND(DR90=1,Slot11_IsMfree=1),IF(DW90&gt;=Slot11_Cost-1,0,MAX(0,DP90-DW90)),DP90)</f>
        <v>0</v>
      </c>
      <c r="EA90" s="1" t="n">
        <f aca="false">DR90*(Slot11_Cost-DW90)</f>
        <v>0</v>
      </c>
      <c r="EB90" s="1" t="n">
        <f aca="false">IF(AND(Slot12_On=1,D90=Slot12_Age),1,0)</f>
        <v>0</v>
      </c>
      <c r="EC90" s="1" t="n">
        <f aca="false">IF(AND(Slot12_On=1,Slot12_Age&gt;D90),1,0)</f>
        <v>0</v>
      </c>
      <c r="ED90" s="1" t="n">
        <f aca="false">SD89</f>
        <v>0</v>
      </c>
      <c r="EE90" s="1" t="n">
        <f aca="false">EB90*MIN(Slot12_Cost,ED90)</f>
        <v>0</v>
      </c>
      <c r="EF90" s="1" t="n">
        <f aca="false">EB90*Slot12_SpendLike*MIN(Slot12_Cost-EE90,DX90)</f>
        <v>0</v>
      </c>
      <c r="EG90" s="1" t="n">
        <f aca="false">EE90+EF90</f>
        <v>0</v>
      </c>
      <c r="EH90" s="1" t="n">
        <f aca="false">DX90-EF90+EB90*IF(Slot12_SpendLike=1,ED90-EE90,IF(Slot12_PotFree=1,ED90,0))</f>
        <v>985955.854982875</v>
      </c>
      <c r="EI90" s="1" t="n">
        <f aca="false">DY90+EB90*Slot12_BufPot*ED90</f>
        <v>0</v>
      </c>
      <c r="EJ90" s="1" t="n">
        <f aca="false">IF(AND(EB90=1,Slot12_IsMfree=1),IF(EG90&gt;=Slot12_Cost-1,0,MAX(0,DZ90-EG90)),DZ90)</f>
        <v>0</v>
      </c>
      <c r="EK90" s="1" t="n">
        <f aca="false">EB90*(Slot12_Cost-EG90)</f>
        <v>0</v>
      </c>
      <c r="EL90" s="1" t="n">
        <f aca="false">IF(AND(Slot13_On=1,D90=Slot13_Age),1,0)</f>
        <v>0</v>
      </c>
      <c r="EM90" s="1" t="n">
        <f aca="false">IF(AND(Slot13_On=1,Slot13_Age&gt;D90),1,0)</f>
        <v>0</v>
      </c>
      <c r="EN90" s="1" t="n">
        <f aca="false">SH89</f>
        <v>0</v>
      </c>
      <c r="EO90" s="1" t="n">
        <f aca="false">EL90*MIN(Slot13_Cost,EN90)</f>
        <v>0</v>
      </c>
      <c r="EP90" s="1" t="n">
        <f aca="false">EL90*Slot13_SpendLike*MIN(Slot13_Cost-EO90,EH90)</f>
        <v>0</v>
      </c>
      <c r="EQ90" s="1" t="n">
        <f aca="false">EO90+EP90</f>
        <v>0</v>
      </c>
      <c r="ER90" s="1" t="n">
        <f aca="false">EH90-EP90+EL90*IF(Slot13_SpendLike=1,EN90-EO90,IF(Slot13_PotFree=1,EN90,0))</f>
        <v>985955.854982875</v>
      </c>
      <c r="ES90" s="1" t="n">
        <f aca="false">EI90+EL90*Slot13_BufPot*EN90</f>
        <v>0</v>
      </c>
      <c r="ET90" s="1" t="n">
        <f aca="false">IF(AND(EL90=1,Slot13_IsMfree=1),IF(EQ90&gt;=Slot13_Cost-1,0,MAX(0,EJ90-EQ90)),EJ90)</f>
        <v>0</v>
      </c>
      <c r="EU90" s="1" t="n">
        <f aca="false">EL90*(Slot13_Cost-EQ90)</f>
        <v>0</v>
      </c>
      <c r="EV90" s="1" t="n">
        <f aca="false">IF(AND(Slot14_On=1,D90=Slot14_Age),1,0)</f>
        <v>0</v>
      </c>
      <c r="EW90" s="1" t="n">
        <f aca="false">IF(AND(Slot14_On=1,Slot14_Age&gt;D90),1,0)</f>
        <v>0</v>
      </c>
      <c r="EX90" s="1" t="n">
        <f aca="false">SL89</f>
        <v>0</v>
      </c>
      <c r="EY90" s="1" t="n">
        <f aca="false">EV90*MIN(Slot14_Cost,EX90)</f>
        <v>0</v>
      </c>
      <c r="EZ90" s="1" t="n">
        <f aca="false">EV90*Slot14_SpendLike*MIN(Slot14_Cost-EY90,ER90)</f>
        <v>0</v>
      </c>
      <c r="FA90" s="1" t="n">
        <f aca="false">EY90+EZ90</f>
        <v>0</v>
      </c>
      <c r="FB90" s="1" t="n">
        <f aca="false">ER90-EZ90+EV90*IF(Slot14_SpendLike=1,EX90-EY90,IF(Slot14_PotFree=1,EX90,0))</f>
        <v>985955.854982875</v>
      </c>
      <c r="FC90" s="1" t="n">
        <f aca="false">ES90+EV90*Slot14_BufPot*EX90</f>
        <v>0</v>
      </c>
      <c r="FD90" s="1" t="n">
        <f aca="false">IF(AND(EV90=1,Slot14_IsMfree=1),IF(FA90&gt;=Slot14_Cost-1,0,MAX(0,ET90-FA90)),ET90)</f>
        <v>0</v>
      </c>
      <c r="FE90" s="1" t="n">
        <f aca="false">EV90*(Slot14_Cost-FA90)</f>
        <v>0</v>
      </c>
      <c r="FF90" s="1" t="n">
        <f aca="false">IF(AND(Slot15_On=1,D90=Slot15_Age),1,0)</f>
        <v>0</v>
      </c>
      <c r="FG90" s="1" t="n">
        <f aca="false">IF(AND(Slot15_On=1,Slot15_Age&gt;D90),1,0)</f>
        <v>0</v>
      </c>
      <c r="FH90" s="1" t="n">
        <f aca="false">SP89</f>
        <v>0</v>
      </c>
      <c r="FI90" s="1" t="n">
        <f aca="false">FF90*MIN(Slot15_Cost,FH90)</f>
        <v>0</v>
      </c>
      <c r="FJ90" s="1" t="n">
        <f aca="false">FF90*Slot15_SpendLike*MIN(Slot15_Cost-FI90,FB90)</f>
        <v>0</v>
      </c>
      <c r="FK90" s="1" t="n">
        <f aca="false">FI90+FJ90</f>
        <v>0</v>
      </c>
      <c r="FL90" s="1" t="n">
        <f aca="false">FB90-FJ90+FF90*IF(Slot15_SpendLike=1,FH90-FI90,IF(Slot15_PotFree=1,FH90,0))</f>
        <v>985955.854982875</v>
      </c>
      <c r="FM90" s="1" t="n">
        <f aca="false">FC90+FF90*Slot15_BufPot*FH90</f>
        <v>0</v>
      </c>
      <c r="FN90" s="1" t="n">
        <f aca="false">IF(AND(FF90=1,Slot15_IsMfree=1),IF(FK90&gt;=Slot15_Cost-1,0,MAX(0,FD90-FK90)),FD90)</f>
        <v>0</v>
      </c>
      <c r="FO90" s="1" t="n">
        <f aca="false">FF90*(Slot15_Cost-FK90)</f>
        <v>0</v>
      </c>
      <c r="FP90" s="1" t="n">
        <f aca="false">IF(AND(Slot16_On=1,D90=Slot16_Age),1,0)</f>
        <v>0</v>
      </c>
      <c r="FQ90" s="1" t="n">
        <f aca="false">IF(AND(Slot16_On=1,Slot16_Age&gt;D90),1,0)</f>
        <v>0</v>
      </c>
      <c r="FR90" s="1" t="n">
        <f aca="false">ST89</f>
        <v>0</v>
      </c>
      <c r="FS90" s="1" t="n">
        <f aca="false">FP90*MIN(Slot16_Cost,FR90)</f>
        <v>0</v>
      </c>
      <c r="FT90" s="1" t="n">
        <f aca="false">FP90*Slot16_SpendLike*MIN(Slot16_Cost-FS90,FL90)</f>
        <v>0</v>
      </c>
      <c r="FU90" s="1" t="n">
        <f aca="false">FS90+FT90</f>
        <v>0</v>
      </c>
      <c r="FV90" s="1" t="n">
        <f aca="false">FL90-FT90+FP90*IF(Slot16_SpendLike=1,FR90-FS90,IF(Slot16_PotFree=1,FR90,0))</f>
        <v>985955.854982875</v>
      </c>
      <c r="FW90" s="1" t="n">
        <f aca="false">FM90+FP90*Slot16_BufPot*FR90</f>
        <v>0</v>
      </c>
      <c r="FX90" s="1" t="n">
        <f aca="false">IF(AND(FP90=1,Slot16_IsMfree=1),IF(FU90&gt;=Slot16_Cost-1,0,MAX(0,FN90-FU90)),FN90)</f>
        <v>0</v>
      </c>
      <c r="FY90" s="1" t="n">
        <f aca="false">FP90*(Slot16_Cost-FU90)</f>
        <v>0</v>
      </c>
      <c r="FZ90" s="1" t="n">
        <f aca="false">IF(AND(Slot17_On=1,D90=Slot17_Age),1,0)</f>
        <v>0</v>
      </c>
      <c r="GA90" s="1" t="n">
        <f aca="false">IF(AND(Slot17_On=1,Slot17_Age&gt;D90),1,0)</f>
        <v>0</v>
      </c>
      <c r="GB90" s="1" t="n">
        <f aca="false">SX89</f>
        <v>0</v>
      </c>
      <c r="GC90" s="1" t="n">
        <f aca="false">FZ90*MIN(Slot17_Cost,GB90)</f>
        <v>0</v>
      </c>
      <c r="GD90" s="1" t="n">
        <f aca="false">FZ90*Slot17_SpendLike*MIN(Slot17_Cost-GC90,FV90)</f>
        <v>0</v>
      </c>
      <c r="GE90" s="1" t="n">
        <f aca="false">GC90+GD90</f>
        <v>0</v>
      </c>
      <c r="GF90" s="1" t="n">
        <f aca="false">FV90-GD90+FZ90*IF(Slot17_SpendLike=1,GB90-GC90,IF(Slot17_PotFree=1,GB90,0))</f>
        <v>985955.854982875</v>
      </c>
      <c r="GG90" s="1" t="n">
        <f aca="false">FW90+FZ90*Slot17_BufPot*GB90</f>
        <v>0</v>
      </c>
      <c r="GH90" s="1" t="n">
        <f aca="false">IF(AND(FZ90=1,Slot17_IsMfree=1),IF(GE90&gt;=Slot17_Cost-1,0,MAX(0,FX90-GE90)),FX90)</f>
        <v>0</v>
      </c>
      <c r="GI90" s="1" t="n">
        <f aca="false">FZ90*(Slot17_Cost-GE90)</f>
        <v>0</v>
      </c>
      <c r="GJ90" s="1" t="n">
        <f aca="false">IF(AND(Slot18_On=1,D90=Slot18_Age),1,0)</f>
        <v>0</v>
      </c>
      <c r="GK90" s="1" t="n">
        <f aca="false">IF(AND(Slot18_On=1,Slot18_Age&gt;D90),1,0)</f>
        <v>0</v>
      </c>
      <c r="GL90" s="1" t="n">
        <f aca="false">TB89</f>
        <v>0</v>
      </c>
      <c r="GM90" s="1" t="n">
        <f aca="false">GJ90*MIN(Slot18_Cost,GL90)</f>
        <v>0</v>
      </c>
      <c r="GN90" s="1" t="n">
        <f aca="false">GJ90*Slot18_SpendLike*MIN(Slot18_Cost-GM90,GF90)</f>
        <v>0</v>
      </c>
      <c r="GO90" s="1" t="n">
        <f aca="false">GM90+GN90</f>
        <v>0</v>
      </c>
      <c r="GP90" s="1" t="n">
        <f aca="false">GF90-GN90+GJ90*IF(Slot18_SpendLike=1,GL90-GM90,IF(Slot18_PotFree=1,GL90,0))</f>
        <v>985955.854982875</v>
      </c>
      <c r="GQ90" s="1" t="n">
        <f aca="false">GG90+GJ90*Slot18_BufPot*GL90</f>
        <v>0</v>
      </c>
      <c r="GR90" s="1" t="n">
        <f aca="false">IF(AND(GJ90=1,Slot18_IsMfree=1),IF(GO90&gt;=Slot18_Cost-1,0,MAX(0,GH90-GO90)),GH90)</f>
        <v>0</v>
      </c>
      <c r="GS90" s="1" t="n">
        <f aca="false">GJ90*(Slot18_Cost-GO90)</f>
        <v>0</v>
      </c>
      <c r="GT90" s="1" t="n">
        <f aca="false">IF(AND(Slot19_On=1,D90=Slot19_Age),1,0)</f>
        <v>0</v>
      </c>
      <c r="GU90" s="1" t="n">
        <f aca="false">IF(AND(Slot19_On=1,Slot19_Age&gt;D90),1,0)</f>
        <v>0</v>
      </c>
      <c r="GV90" s="1" t="n">
        <f aca="false">TF89</f>
        <v>0</v>
      </c>
      <c r="GW90" s="1" t="n">
        <f aca="false">GT90*MIN(Slot19_Cost,GV90)</f>
        <v>0</v>
      </c>
      <c r="GX90" s="1" t="n">
        <f aca="false">GT90*Slot19_SpendLike*MIN(Slot19_Cost-GW90,GP90)</f>
        <v>0</v>
      </c>
      <c r="GY90" s="1" t="n">
        <f aca="false">GW90+GX90</f>
        <v>0</v>
      </c>
      <c r="GZ90" s="1" t="n">
        <f aca="false">GP90-GX90+GT90*IF(Slot19_SpendLike=1,GV90-GW90,IF(Slot19_PotFree=1,GV90,0))</f>
        <v>985955.854982875</v>
      </c>
      <c r="HA90" s="1" t="n">
        <f aca="false">GQ90+GT90*Slot19_BufPot*GV90</f>
        <v>0</v>
      </c>
      <c r="HB90" s="1" t="n">
        <f aca="false">IF(AND(GT90=1,Slot19_IsMfree=1),IF(GY90&gt;=Slot19_Cost-1,0,MAX(0,GR90-GY90)),GR90)</f>
        <v>0</v>
      </c>
      <c r="HC90" s="1" t="n">
        <f aca="false">GT90*(Slot19_Cost-GY90)</f>
        <v>0</v>
      </c>
      <c r="HD90" s="1" t="n">
        <f aca="false">IF(AND(Slot20_On=1,D90=Slot20_Age),1,0)</f>
        <v>0</v>
      </c>
      <c r="HE90" s="1" t="n">
        <f aca="false">IF(AND(Slot20_On=1,Slot20_Age&gt;D90),1,0)</f>
        <v>0</v>
      </c>
      <c r="HF90" s="1" t="n">
        <f aca="false">TJ89</f>
        <v>0</v>
      </c>
      <c r="HG90" s="1" t="n">
        <f aca="false">HD90*MIN(Slot20_Cost,HF90)</f>
        <v>0</v>
      </c>
      <c r="HH90" s="1" t="n">
        <f aca="false">HD90*Slot20_SpendLike*MIN(Slot20_Cost-HG90,GZ90)</f>
        <v>0</v>
      </c>
      <c r="HI90" s="1" t="n">
        <f aca="false">HG90+HH90</f>
        <v>0</v>
      </c>
      <c r="HJ90" s="1" t="n">
        <f aca="false">GZ90-HH90+HD90*IF(Slot20_SpendLike=1,HF90-HG90,IF(Slot20_PotFree=1,HF90,0))</f>
        <v>985955.854982875</v>
      </c>
      <c r="HK90" s="1" t="n">
        <f aca="false">HA90+HD90*Slot20_BufPot*HF90</f>
        <v>0</v>
      </c>
      <c r="HL90" s="1" t="n">
        <f aca="false">IF(AND(HD90=1,Slot20_IsMfree=1),IF(HI90&gt;=Slot20_Cost-1,0,MAX(0,HB90-HI90)),HB90)</f>
        <v>0</v>
      </c>
      <c r="HM90" s="1" t="n">
        <f aca="false">HD90*(Slot20_Cost-HI90)</f>
        <v>0</v>
      </c>
      <c r="HN90" s="1" t="n">
        <f aca="false">U90*Slot1_SpendLike*Z90+AF90*Slot2_SpendLike*AK90+AP90*Slot3_SpendLike*AU90+AZ90*Slot4_SpendLike*BE90+BJ90*Slot5_SpendLike*BO90+BT90*Slot6_SpendLike*BY90+CD90*Slot7_SpendLike*CI90+CN90*Slot8_SpendLike*CS90+CX90*Slot9_SpendLike*DC90+DH90*Slot10_SpendLike*DM90+DR90*Slot11_SpendLike*DW90+EB90*Slot12_SpendLike*EG90+EL90*Slot13_SpendLike*EQ90+EV90*Slot14_SpendLike*FA90+FF90*Slot15_SpendLike*FK90+FP90*Slot16_SpendLike*FU90+FZ90*Slot17_SpendLike*GE90+GJ90*Slot18_SpendLike*GO90+GT90*Slot19_SpendLike*GY90+HD90*Slot20_SpendLike*HI90</f>
        <v>0</v>
      </c>
      <c r="HO90" s="1" t="n">
        <f aca="false">AD90+AO90+AY90+BI90+BS90+CC90+CM90+CW90+DG90+DQ90+EA90+EK90+EU90+FE90+FO90+FY90+GI90+GS90+HC90+HM90</f>
        <v>0</v>
      </c>
      <c r="HP90" s="1" t="n">
        <f aca="false">U90*Slot1_Cost+AF90*Slot2_Cost+AP90*Slot3_Cost+AZ90*Slot4_Cost+BJ90*Slot5_Cost+BT90*Slot6_Cost+CD90*Slot7_Cost+CN90*Slot8_Cost+CX90*Slot9_Cost+DH90*Slot10_Cost+DR90*Slot11_Cost+EB90*Slot12_Cost+EL90*Slot13_Cost+EV90*Slot14_Cost+FF90*Slot15_Cost+FP90*Slot16_Cost+FZ90*Slot17_Cost+GJ90*Slot18_Cost+GT90*Slot19_Cost+HD90*Slot20_Cost</f>
        <v>0</v>
      </c>
      <c r="HQ90" s="1" t="n">
        <f aca="false">HL90</f>
        <v>0</v>
      </c>
      <c r="HR90" s="1" t="n">
        <f aca="false">G90-H90-R90</f>
        <v>65793.5811851652</v>
      </c>
      <c r="HS90" s="1" t="n">
        <f aca="false">IF(B90=0,IF(AND(Has_q6=1,In_q6=4),PR_ShareVaries*(MAX(0,HR90)/12),MIN(IF(Has_q6=1,CHOOSE(In_q6+1,PR_SaveB1,PR_SaveB2,PR_SaveB3,PR_SaveB4,0),AS_NoAnswer),AS_SaveShare*(MAX(0,HR90)/12))),HS89)</f>
        <v>0</v>
      </c>
      <c r="HT90" s="1" t="n">
        <f aca="false">IF(HR90&gt;=0,1,0)</f>
        <v>1</v>
      </c>
      <c r="HU90" s="1" t="n">
        <f aca="false">MAX(0,HR90/12/E90)</f>
        <v>1080.90666666667</v>
      </c>
      <c r="HV90" s="1" t="n">
        <f aca="false">IF(AND(Has_q6=1,In_q6=4),PR_ShareVaries*(HU90),MIN(IF(Has_q6=1,CHOOSE(In_q6+1,PR_SaveB1,PR_SaveB2,PR_SaveB3,PR_SaveB4,0),AS_NoAnswer),AS_SaveShare*(HU90)))</f>
        <v>300</v>
      </c>
      <c r="HW90" s="1" t="n">
        <f aca="false">IF(Has_saveM=1,IF(In_saveUp="Yes",1,IF(In_saveUp="No",0,IF(In_saveM&gt;=HS90-0.5,1,0))),0)</f>
        <v>0</v>
      </c>
      <c r="HX90" s="1" t="n">
        <f aca="false">IF(Has_saveM=1,MIN(HU90,IF(HW90=1,MAX(In_saveM,HV90),MIN(In_saveM,HV90))),HV90)</f>
        <v>300</v>
      </c>
      <c r="HY90" s="1" t="n">
        <f aca="false">IF(F90=1,HX90*12*E90,0)</f>
        <v>0</v>
      </c>
      <c r="HZ90" s="1" t="n">
        <f aca="false">MAX(0,HY90+IF(AND(WI_Retire=0,WI_M&lt;0,F90=1),WI_M*12*E90,0))</f>
        <v>0</v>
      </c>
      <c r="IA90" s="1" t="n">
        <f aca="false">Slot1_IsWG*V90+Slot2_IsWG*AG90+Slot3_IsWG*AQ90+Slot4_IsWG*BA90+Slot5_IsWG*BK90+Slot6_IsWG*BU90+Slot7_IsWG*CE90+Slot8_IsWG*CO90+Slot9_IsWG*CY90+Slot10_IsWG*DI90+Slot11_IsWG*DS90+Slot12_IsWG*EC90+Slot13_IsWG*EM90+Slot14_IsWG*EW90+Slot15_IsWG*FG90+Slot16_IsWG*FQ90+Slot17_IsWG*GA90+Slot18_IsWG*GK90+Slot19_IsWG*GU90+Slot20_IsWG*HE90</f>
        <v>0</v>
      </c>
      <c r="IB90" s="1" t="n">
        <f aca="false">IF(AND(WI_Retire=0,WI_M&gt;0,F90=1,IA90&gt;=1),WI_M*12*E90,0)</f>
        <v>0</v>
      </c>
      <c r="IC90" s="1" t="n">
        <f aca="false">IF(HT90=1,MIN(HZ90,HR90),0)</f>
        <v>0</v>
      </c>
      <c r="ID90" s="1" t="n">
        <f aca="false">IF(HT90=1,MIN(IB90,HR90-IC90),0)</f>
        <v>0</v>
      </c>
      <c r="IE90" s="1" t="n">
        <f aca="false">IF(V90=1,IF(ABS((1+AS_Wage)/(1+Slot1_Rate)-1)&lt;0.000000000001,(Slot1_Age-D90)*(1+Slot1_Rate)^(Slot1_Age-D90),(1+Slot1_Rate)^(Slot1_Age-D90)*(1-((1+AS_Wage)/(1+Slot1_Rate))^(Slot1_Age-D90))/(1-(1+AS_Wage)/(1+Slot1_Rate))),1)</f>
        <v>1</v>
      </c>
      <c r="IF90" s="1" t="n">
        <f aca="false">IF(AND(HT90=1,ID90&gt;0,Slot1_IsWG=1,V90=1),MAX(0,(Slot1_Cost-W90*(1+Slot1_Rate)^(Slot1_Age-D90))/IE90),0)</f>
        <v>0</v>
      </c>
      <c r="IG90" s="1" t="n">
        <f aca="false">IF(AND(HT90=1,ID90&gt;0,Slot1_IsWG=1,V90=1),MIN(ID90,IF90),0)</f>
        <v>0</v>
      </c>
      <c r="IH90" s="1" t="n">
        <f aca="false">W90+IG90</f>
        <v>0</v>
      </c>
      <c r="II90" s="1" t="n">
        <f aca="false">IF(V90=1,MAX(0,(Slot1_Cost-IH90*(1+Slot1_Rate)^(Slot1_Age-D90))/IE90),0)</f>
        <v>0</v>
      </c>
      <c r="IJ90" s="1" t="n">
        <f aca="false">IF(V90=1,MAX(0,(Slot1_Cost-W90*(1+Slot1_Rate)^(Slot1_Age-D90))/IE90),0)</f>
        <v>0</v>
      </c>
      <c r="IK90" s="1" t="n">
        <f aca="false">IF(AND(HT90=1,V90=1),MIN(IC90,II90),0)</f>
        <v>0</v>
      </c>
      <c r="IL90" s="1" t="n">
        <f aca="false">IC90-IK90</f>
        <v>0</v>
      </c>
      <c r="IM90" s="1" t="n">
        <f aca="false">IF(AG90=1,IF(ABS((1+AS_Wage)/(1+Slot2_Rate)-1)&lt;0.000000000001,(Slot2_Age-D90)*(1+Slot2_Rate)^(Slot2_Age-D90),(1+Slot2_Rate)^(Slot2_Age-D90)*(1-((1+AS_Wage)/(1+Slot2_Rate))^(Slot2_Age-D90))/(1-(1+AS_Wage)/(1+Slot2_Rate))),1)</f>
        <v>1</v>
      </c>
      <c r="IN90" s="1" t="n">
        <f aca="false">IF(AND(HT90=1,ID90&gt;0,Slot2_IsWG=1,AG90=1),MAX(0,(Slot2_Cost-AH90*(1+Slot2_Rate)^(Slot2_Age-D90))/IM90),0)</f>
        <v>0</v>
      </c>
      <c r="IO90" s="1" t="n">
        <f aca="false">IF(AND(HT90=1,ID90&gt;0,Slot2_IsWG=1,AG90=1),MIN(ID90,IN90),0)</f>
        <v>0</v>
      </c>
      <c r="IP90" s="1" t="n">
        <f aca="false">AH90+IO90</f>
        <v>0</v>
      </c>
      <c r="IQ90" s="1" t="n">
        <f aca="false">IF(AG90=1,MAX(0,(Slot2_Cost-IP90*(1+Slot2_Rate)^(Slot2_Age-D90))/IM90),0)</f>
        <v>0</v>
      </c>
      <c r="IR90" s="1" t="n">
        <f aca="false">IF(AG90=1,MAX(0,(Slot2_Cost-AH90*(1+Slot2_Rate)^(Slot2_Age-D90))/IM90),0)</f>
        <v>0</v>
      </c>
      <c r="IS90" s="1" t="n">
        <f aca="false">IF(AND(HT90=1,AG90=1),MIN(IL90,IQ90),0)</f>
        <v>0</v>
      </c>
      <c r="IT90" s="1" t="n">
        <f aca="false">IL90-IS90</f>
        <v>0</v>
      </c>
      <c r="IU90" s="1" t="n">
        <f aca="false">IF(AQ90=1,IF(ABS((1+AS_Wage)/(1+Slot3_Rate)-1)&lt;0.000000000001,(Slot3_Age-D90)*(1+Slot3_Rate)^(Slot3_Age-D90),(1+Slot3_Rate)^(Slot3_Age-D90)*(1-((1+AS_Wage)/(1+Slot3_Rate))^(Slot3_Age-D90))/(1-(1+AS_Wage)/(1+Slot3_Rate))),1)</f>
        <v>1</v>
      </c>
      <c r="IV90" s="1" t="n">
        <f aca="false">IF(AND(HT90=1,ID90&gt;0,Slot3_IsWG=1,AQ90=1),MAX(0,(Slot3_Cost-AR90*(1+Slot3_Rate)^(Slot3_Age-D90))/IU90),0)</f>
        <v>0</v>
      </c>
      <c r="IW90" s="1" t="n">
        <f aca="false">IF(AND(HT90=1,ID90&gt;0,Slot3_IsWG=1,AQ90=1),MIN(ID90,IV90),0)</f>
        <v>0</v>
      </c>
      <c r="IX90" s="1" t="n">
        <f aca="false">AR90+IW90</f>
        <v>0</v>
      </c>
      <c r="IY90" s="1" t="n">
        <f aca="false">IF(AQ90=1,MAX(0,(Slot3_Cost-IX90*(1+Slot3_Rate)^(Slot3_Age-D90))/IU90),0)</f>
        <v>0</v>
      </c>
      <c r="IZ90" s="1" t="n">
        <f aca="false">IF(AQ90=1,MAX(0,(Slot3_Cost-AR90*(1+Slot3_Rate)^(Slot3_Age-D90))/IU90),0)</f>
        <v>0</v>
      </c>
      <c r="JA90" s="1" t="n">
        <f aca="false">IF(AND(HT90=1,AQ90=1),MIN(IT90,IY90),0)</f>
        <v>0</v>
      </c>
      <c r="JB90" s="1" t="n">
        <f aca="false">IT90-JA90</f>
        <v>0</v>
      </c>
      <c r="JC90" s="1" t="n">
        <f aca="false">IF(BA90=1,IF(ABS((1+AS_Wage)/(1+Slot4_Rate)-1)&lt;0.000000000001,(Slot4_Age-D90)*(1+Slot4_Rate)^(Slot4_Age-D90),(1+Slot4_Rate)^(Slot4_Age-D90)*(1-((1+AS_Wage)/(1+Slot4_Rate))^(Slot4_Age-D90))/(1-(1+AS_Wage)/(1+Slot4_Rate))),1)</f>
        <v>1</v>
      </c>
      <c r="JD90" s="1" t="n">
        <f aca="false">IF(AND(HT90=1,ID90&gt;0,Slot4_IsWG=1,BA90=1),MAX(0,(Slot4_Cost-BB90*(1+Slot4_Rate)^(Slot4_Age-D90))/JC90),0)</f>
        <v>0</v>
      </c>
      <c r="JE90" s="1" t="n">
        <f aca="false">IF(AND(HT90=1,ID90&gt;0,Slot4_IsWG=1,BA90=1),MIN(ID90,JD90),0)</f>
        <v>0</v>
      </c>
      <c r="JF90" s="1" t="n">
        <f aca="false">BB90+JE90</f>
        <v>0</v>
      </c>
      <c r="JG90" s="1" t="n">
        <f aca="false">IF(BA90=1,MAX(0,(Slot4_Cost-JF90*(1+Slot4_Rate)^(Slot4_Age-D90))/JC90),0)</f>
        <v>0</v>
      </c>
      <c r="JH90" s="1" t="n">
        <f aca="false">IF(BA90=1,MAX(0,(Slot4_Cost-BB90*(1+Slot4_Rate)^(Slot4_Age-D90))/JC90),0)</f>
        <v>0</v>
      </c>
      <c r="JI90" s="1" t="n">
        <f aca="false">IF(AND(HT90=1,BA90=1),MIN(JB90,JG90),0)</f>
        <v>0</v>
      </c>
      <c r="JJ90" s="1" t="n">
        <f aca="false">JB90-JI90</f>
        <v>0</v>
      </c>
      <c r="JK90" s="1" t="n">
        <f aca="false">IF(BK90=1,IF(ABS((1+AS_Wage)/(1+Slot5_Rate)-1)&lt;0.000000000001,(Slot5_Age-D90)*(1+Slot5_Rate)^(Slot5_Age-D90),(1+Slot5_Rate)^(Slot5_Age-D90)*(1-((1+AS_Wage)/(1+Slot5_Rate))^(Slot5_Age-D90))/(1-(1+AS_Wage)/(1+Slot5_Rate))),1)</f>
        <v>1</v>
      </c>
      <c r="JL90" s="1" t="n">
        <f aca="false">IF(AND(HT90=1,ID90&gt;0,Slot5_IsWG=1,BK90=1),MAX(0,(Slot5_Cost-BL90*(1+Slot5_Rate)^(Slot5_Age-D90))/JK90),0)</f>
        <v>0</v>
      </c>
      <c r="JM90" s="1" t="n">
        <f aca="false">IF(AND(HT90=1,ID90&gt;0,Slot5_IsWG=1,BK90=1),MIN(ID90,JL90),0)</f>
        <v>0</v>
      </c>
      <c r="JN90" s="1" t="n">
        <f aca="false">BL90+JM90</f>
        <v>0</v>
      </c>
      <c r="JO90" s="1" t="n">
        <f aca="false">IF(BK90=1,MAX(0,(Slot5_Cost-JN90*(1+Slot5_Rate)^(Slot5_Age-D90))/JK90),0)</f>
        <v>0</v>
      </c>
      <c r="JP90" s="1" t="n">
        <f aca="false">IF(BK90=1,MAX(0,(Slot5_Cost-BL90*(1+Slot5_Rate)^(Slot5_Age-D90))/JK90),0)</f>
        <v>0</v>
      </c>
      <c r="JQ90" s="1" t="n">
        <f aca="false">IF(AND(HT90=1,BK90=1),MIN(JJ90,JO90),0)</f>
        <v>0</v>
      </c>
      <c r="JR90" s="1" t="n">
        <f aca="false">JJ90-JQ90</f>
        <v>0</v>
      </c>
      <c r="JS90" s="1" t="n">
        <f aca="false">IF(BU90=1,IF(ABS((1+AS_Wage)/(1+Slot6_Rate)-1)&lt;0.000000000001,(Slot6_Age-D90)*(1+Slot6_Rate)^(Slot6_Age-D90),(1+Slot6_Rate)^(Slot6_Age-D90)*(1-((1+AS_Wage)/(1+Slot6_Rate))^(Slot6_Age-D90))/(1-(1+AS_Wage)/(1+Slot6_Rate))),1)</f>
        <v>1</v>
      </c>
      <c r="JT90" s="1" t="n">
        <f aca="false">IF(AND(HT90=1,ID90&gt;0,Slot6_IsWG=1,BU90=1),MAX(0,(Slot6_Cost-BV90*(1+Slot6_Rate)^(Slot6_Age-D90))/JS90),0)</f>
        <v>0</v>
      </c>
      <c r="JU90" s="1" t="n">
        <f aca="false">IF(AND(HT90=1,ID90&gt;0,Slot6_IsWG=1,BU90=1),MIN(ID90,JT90),0)</f>
        <v>0</v>
      </c>
      <c r="JV90" s="1" t="n">
        <f aca="false">BV90+JU90</f>
        <v>0</v>
      </c>
      <c r="JW90" s="1" t="n">
        <f aca="false">IF(BU90=1,MAX(0,(Slot6_Cost-JV90*(1+Slot6_Rate)^(Slot6_Age-D90))/JS90),0)</f>
        <v>0</v>
      </c>
      <c r="JX90" s="1" t="n">
        <f aca="false">IF(BU90=1,MAX(0,(Slot6_Cost-BV90*(1+Slot6_Rate)^(Slot6_Age-D90))/JS90),0)</f>
        <v>0</v>
      </c>
      <c r="JY90" s="1" t="n">
        <f aca="false">IF(AND(HT90=1,BU90=1),MIN(JR90,JW90),0)</f>
        <v>0</v>
      </c>
      <c r="JZ90" s="1" t="n">
        <f aca="false">JR90-JY90</f>
        <v>0</v>
      </c>
      <c r="KA90" s="1" t="n">
        <f aca="false">IF(CE90=1,IF(ABS((1+AS_Wage)/(1+Slot7_Rate)-1)&lt;0.000000000001,(Slot7_Age-D90)*(1+Slot7_Rate)^(Slot7_Age-D90),(1+Slot7_Rate)^(Slot7_Age-D90)*(1-((1+AS_Wage)/(1+Slot7_Rate))^(Slot7_Age-D90))/(1-(1+AS_Wage)/(1+Slot7_Rate))),1)</f>
        <v>1</v>
      </c>
      <c r="KB90" s="1" t="n">
        <f aca="false">IF(AND(HT90=1,ID90&gt;0,Slot7_IsWG=1,CE90=1),MAX(0,(Slot7_Cost-CF90*(1+Slot7_Rate)^(Slot7_Age-D90))/KA90),0)</f>
        <v>0</v>
      </c>
      <c r="KC90" s="1" t="n">
        <f aca="false">IF(AND(HT90=1,ID90&gt;0,Slot7_IsWG=1,CE90=1),MIN(ID90,KB90),0)</f>
        <v>0</v>
      </c>
      <c r="KD90" s="1" t="n">
        <f aca="false">CF90+KC90</f>
        <v>0</v>
      </c>
      <c r="KE90" s="1" t="n">
        <f aca="false">IF(CE90=1,MAX(0,(Slot7_Cost-KD90*(1+Slot7_Rate)^(Slot7_Age-D90))/KA90),0)</f>
        <v>0</v>
      </c>
      <c r="KF90" s="1" t="n">
        <f aca="false">IF(CE90=1,MAX(0,(Slot7_Cost-CF90*(1+Slot7_Rate)^(Slot7_Age-D90))/KA90),0)</f>
        <v>0</v>
      </c>
      <c r="KG90" s="1" t="n">
        <f aca="false">IF(AND(HT90=1,CE90=1),MIN(JZ90,KE90),0)</f>
        <v>0</v>
      </c>
      <c r="KH90" s="1" t="n">
        <f aca="false">JZ90-KG90</f>
        <v>0</v>
      </c>
      <c r="KI90" s="1" t="n">
        <f aca="false">IF(CO90=1,IF(ABS((1+AS_Wage)/(1+Slot8_Rate)-1)&lt;0.000000000001,(Slot8_Age-D90)*(1+Slot8_Rate)^(Slot8_Age-D90),(1+Slot8_Rate)^(Slot8_Age-D90)*(1-((1+AS_Wage)/(1+Slot8_Rate))^(Slot8_Age-D90))/(1-(1+AS_Wage)/(1+Slot8_Rate))),1)</f>
        <v>1</v>
      </c>
      <c r="KJ90" s="1" t="n">
        <f aca="false">IF(AND(HT90=1,ID90&gt;0,Slot8_IsWG=1,CO90=1),MAX(0,(Slot8_Cost-CP90*(1+Slot8_Rate)^(Slot8_Age-D90))/KI90),0)</f>
        <v>0</v>
      </c>
      <c r="KK90" s="1" t="n">
        <f aca="false">IF(AND(HT90=1,ID90&gt;0,Slot8_IsWG=1,CO90=1),MIN(ID90,KJ90),0)</f>
        <v>0</v>
      </c>
      <c r="KL90" s="1" t="n">
        <f aca="false">CP90+KK90</f>
        <v>0</v>
      </c>
      <c r="KM90" s="1" t="n">
        <f aca="false">IF(CO90=1,MAX(0,(Slot8_Cost-KL90*(1+Slot8_Rate)^(Slot8_Age-D90))/KI90),0)</f>
        <v>0</v>
      </c>
      <c r="KN90" s="1" t="n">
        <f aca="false">IF(CO90=1,MAX(0,(Slot8_Cost-CP90*(1+Slot8_Rate)^(Slot8_Age-D90))/KI90),0)</f>
        <v>0</v>
      </c>
      <c r="KO90" s="1" t="n">
        <f aca="false">IF(AND(HT90=1,CO90=1),MIN(KH90,KM90),0)</f>
        <v>0</v>
      </c>
      <c r="KP90" s="1" t="n">
        <f aca="false">KH90-KO90</f>
        <v>0</v>
      </c>
      <c r="KQ90" s="1" t="n">
        <f aca="false">IF(CY90=1,IF(ABS((1+AS_Wage)/(1+Slot9_Rate)-1)&lt;0.000000000001,(Slot9_Age-D90)*(1+Slot9_Rate)^(Slot9_Age-D90),(1+Slot9_Rate)^(Slot9_Age-D90)*(1-((1+AS_Wage)/(1+Slot9_Rate))^(Slot9_Age-D90))/(1-(1+AS_Wage)/(1+Slot9_Rate))),1)</f>
        <v>1</v>
      </c>
      <c r="KR90" s="1" t="n">
        <f aca="false">IF(AND(HT90=1,ID90&gt;0,Slot9_IsWG=1,CY90=1),MAX(0,(Slot9_Cost-CZ90*(1+Slot9_Rate)^(Slot9_Age-D90))/KQ90),0)</f>
        <v>0</v>
      </c>
      <c r="KS90" s="1" t="n">
        <f aca="false">IF(AND(HT90=1,ID90&gt;0,Slot9_IsWG=1,CY90=1),MIN(ID90,KR90),0)</f>
        <v>0</v>
      </c>
      <c r="KT90" s="1" t="n">
        <f aca="false">CZ90+KS90</f>
        <v>0</v>
      </c>
      <c r="KU90" s="1" t="n">
        <f aca="false">IF(CY90=1,MAX(0,(Slot9_Cost-KT90*(1+Slot9_Rate)^(Slot9_Age-D90))/KQ90),0)</f>
        <v>0</v>
      </c>
      <c r="KV90" s="1" t="n">
        <f aca="false">IF(CY90=1,MAX(0,(Slot9_Cost-CZ90*(1+Slot9_Rate)^(Slot9_Age-D90))/KQ90),0)</f>
        <v>0</v>
      </c>
      <c r="KW90" s="1" t="n">
        <f aca="false">IF(AND(HT90=1,CY90=1),MIN(KP90,KU90),0)</f>
        <v>0</v>
      </c>
      <c r="KX90" s="1" t="n">
        <f aca="false">KP90-KW90</f>
        <v>0</v>
      </c>
      <c r="KY90" s="1" t="n">
        <f aca="false">IF(DI90=1,IF(ABS((1+AS_Wage)/(1+Slot10_Rate)-1)&lt;0.000000000001,(Slot10_Age-D90)*(1+Slot10_Rate)^(Slot10_Age-D90),(1+Slot10_Rate)^(Slot10_Age-D90)*(1-((1+AS_Wage)/(1+Slot10_Rate))^(Slot10_Age-D90))/(1-(1+AS_Wage)/(1+Slot10_Rate))),1)</f>
        <v>1</v>
      </c>
      <c r="KZ90" s="1" t="n">
        <f aca="false">IF(AND(HT90=1,ID90&gt;0,Slot10_IsWG=1,DI90=1),MAX(0,(Slot10_Cost-DJ90*(1+Slot10_Rate)^(Slot10_Age-D90))/KY90),0)</f>
        <v>0</v>
      </c>
      <c r="LA90" s="1" t="n">
        <f aca="false">IF(AND(HT90=1,ID90&gt;0,Slot10_IsWG=1,DI90=1),MIN(ID90,KZ90),0)</f>
        <v>0</v>
      </c>
      <c r="LB90" s="1" t="n">
        <f aca="false">DJ90+LA90</f>
        <v>0</v>
      </c>
      <c r="LC90" s="1" t="n">
        <f aca="false">IF(DI90=1,MAX(0,(Slot10_Cost-LB90*(1+Slot10_Rate)^(Slot10_Age-D90))/KY90),0)</f>
        <v>0</v>
      </c>
      <c r="LD90" s="1" t="n">
        <f aca="false">IF(DI90=1,MAX(0,(Slot10_Cost-DJ90*(1+Slot10_Rate)^(Slot10_Age-D90))/KY90),0)</f>
        <v>0</v>
      </c>
      <c r="LE90" s="1" t="n">
        <f aca="false">IF(AND(HT90=1,DI90=1),MIN(KX90,LC90),0)</f>
        <v>0</v>
      </c>
      <c r="LF90" s="1" t="n">
        <f aca="false">KX90-LE90</f>
        <v>0</v>
      </c>
      <c r="LG90" s="1" t="n">
        <f aca="false">IF(DS90=1,IF(ABS((1+AS_Wage)/(1+Slot11_Rate)-1)&lt;0.000000000001,(Slot11_Age-D90)*(1+Slot11_Rate)^(Slot11_Age-D90),(1+Slot11_Rate)^(Slot11_Age-D90)*(1-((1+AS_Wage)/(1+Slot11_Rate))^(Slot11_Age-D90))/(1-(1+AS_Wage)/(1+Slot11_Rate))),1)</f>
        <v>1</v>
      </c>
      <c r="LH90" s="1" t="n">
        <f aca="false">IF(AND(HT90=1,ID90&gt;0,Slot11_IsWG=1,DS90=1),MAX(0,(Slot11_Cost-DT90*(1+Slot11_Rate)^(Slot11_Age-D90))/LG90),0)</f>
        <v>0</v>
      </c>
      <c r="LI90" s="1" t="n">
        <f aca="false">IF(AND(HT90=1,ID90&gt;0,Slot11_IsWG=1,DS90=1),MIN(ID90,LH90),0)</f>
        <v>0</v>
      </c>
      <c r="LJ90" s="1" t="n">
        <f aca="false">DT90+LI90</f>
        <v>0</v>
      </c>
      <c r="LK90" s="1" t="n">
        <f aca="false">IF(DS90=1,MAX(0,(Slot11_Cost-LJ90*(1+Slot11_Rate)^(Slot11_Age-D90))/LG90),0)</f>
        <v>0</v>
      </c>
      <c r="LL90" s="1" t="n">
        <f aca="false">IF(DS90=1,MAX(0,(Slot11_Cost-DT90*(1+Slot11_Rate)^(Slot11_Age-D90))/LG90),0)</f>
        <v>0</v>
      </c>
      <c r="LM90" s="1" t="n">
        <f aca="false">IF(AND(HT90=1,DS90=1),MIN(LF90,LK90),0)</f>
        <v>0</v>
      </c>
      <c r="LN90" s="1" t="n">
        <f aca="false">LF90-LM90</f>
        <v>0</v>
      </c>
      <c r="LO90" s="1" t="n">
        <f aca="false">IF(EC90=1,IF(ABS((1+AS_Wage)/(1+Slot12_Rate)-1)&lt;0.000000000001,(Slot12_Age-D90)*(1+Slot12_Rate)^(Slot12_Age-D90),(1+Slot12_Rate)^(Slot12_Age-D90)*(1-((1+AS_Wage)/(1+Slot12_Rate))^(Slot12_Age-D90))/(1-(1+AS_Wage)/(1+Slot12_Rate))),1)</f>
        <v>1</v>
      </c>
      <c r="LP90" s="1" t="n">
        <f aca="false">IF(AND(HT90=1,ID90&gt;0,Slot12_IsWG=1,EC90=1),MAX(0,(Slot12_Cost-ED90*(1+Slot12_Rate)^(Slot12_Age-D90))/LO90),0)</f>
        <v>0</v>
      </c>
      <c r="LQ90" s="1" t="n">
        <f aca="false">IF(AND(HT90=1,ID90&gt;0,Slot12_IsWG=1,EC90=1),MIN(ID90,LP90),0)</f>
        <v>0</v>
      </c>
      <c r="LR90" s="1" t="n">
        <f aca="false">ED90+LQ90</f>
        <v>0</v>
      </c>
      <c r="LS90" s="1" t="n">
        <f aca="false">IF(EC90=1,MAX(0,(Slot12_Cost-LR90*(1+Slot12_Rate)^(Slot12_Age-D90))/LO90),0)</f>
        <v>0</v>
      </c>
      <c r="LT90" s="1" t="n">
        <f aca="false">IF(EC90=1,MAX(0,(Slot12_Cost-ED90*(1+Slot12_Rate)^(Slot12_Age-D90))/LO90),0)</f>
        <v>0</v>
      </c>
      <c r="LU90" s="1" t="n">
        <f aca="false">IF(AND(HT90=1,EC90=1),MIN(LN90,LS90),0)</f>
        <v>0</v>
      </c>
      <c r="LV90" s="1" t="n">
        <f aca="false">LN90-LU90</f>
        <v>0</v>
      </c>
      <c r="LW90" s="1" t="n">
        <f aca="false">IF(EM90=1,IF(ABS((1+AS_Wage)/(1+Slot13_Rate)-1)&lt;0.000000000001,(Slot13_Age-D90)*(1+Slot13_Rate)^(Slot13_Age-D90),(1+Slot13_Rate)^(Slot13_Age-D90)*(1-((1+AS_Wage)/(1+Slot13_Rate))^(Slot13_Age-D90))/(1-(1+AS_Wage)/(1+Slot13_Rate))),1)</f>
        <v>1</v>
      </c>
      <c r="LX90" s="1" t="n">
        <f aca="false">IF(AND(HT90=1,ID90&gt;0,Slot13_IsWG=1,EM90=1),MAX(0,(Slot13_Cost-EN90*(1+Slot13_Rate)^(Slot13_Age-D90))/LW90),0)</f>
        <v>0</v>
      </c>
      <c r="LY90" s="1" t="n">
        <f aca="false">IF(AND(HT90=1,ID90&gt;0,Slot13_IsWG=1,EM90=1),MIN(ID90,LX90),0)</f>
        <v>0</v>
      </c>
      <c r="LZ90" s="1" t="n">
        <f aca="false">EN90+LY90</f>
        <v>0</v>
      </c>
      <c r="MA90" s="1" t="n">
        <f aca="false">IF(EM90=1,MAX(0,(Slot13_Cost-LZ90*(1+Slot13_Rate)^(Slot13_Age-D90))/LW90),0)</f>
        <v>0</v>
      </c>
      <c r="MB90" s="1" t="n">
        <f aca="false">IF(EM90=1,MAX(0,(Slot13_Cost-EN90*(1+Slot13_Rate)^(Slot13_Age-D90))/LW90),0)</f>
        <v>0</v>
      </c>
      <c r="MC90" s="1" t="n">
        <f aca="false">IF(AND(HT90=1,EM90=1),MIN(LV90,MA90),0)</f>
        <v>0</v>
      </c>
      <c r="MD90" s="1" t="n">
        <f aca="false">LV90-MC90</f>
        <v>0</v>
      </c>
      <c r="ME90" s="1" t="n">
        <f aca="false">IF(EW90=1,IF(ABS((1+AS_Wage)/(1+Slot14_Rate)-1)&lt;0.000000000001,(Slot14_Age-D90)*(1+Slot14_Rate)^(Slot14_Age-D90),(1+Slot14_Rate)^(Slot14_Age-D90)*(1-((1+AS_Wage)/(1+Slot14_Rate))^(Slot14_Age-D90))/(1-(1+AS_Wage)/(1+Slot14_Rate))),1)</f>
        <v>1</v>
      </c>
      <c r="MF90" s="1" t="n">
        <f aca="false">IF(AND(HT90=1,ID90&gt;0,Slot14_IsWG=1,EW90=1),MAX(0,(Slot14_Cost-EX90*(1+Slot14_Rate)^(Slot14_Age-D90))/ME90),0)</f>
        <v>0</v>
      </c>
      <c r="MG90" s="1" t="n">
        <f aca="false">IF(AND(HT90=1,ID90&gt;0,Slot14_IsWG=1,EW90=1),MIN(ID90,MF90),0)</f>
        <v>0</v>
      </c>
      <c r="MH90" s="1" t="n">
        <f aca="false">EX90+MG90</f>
        <v>0</v>
      </c>
      <c r="MI90" s="1" t="n">
        <f aca="false">IF(EW90=1,MAX(0,(Slot14_Cost-MH90*(1+Slot14_Rate)^(Slot14_Age-D90))/ME90),0)</f>
        <v>0</v>
      </c>
      <c r="MJ90" s="1" t="n">
        <f aca="false">IF(EW90=1,MAX(0,(Slot14_Cost-EX90*(1+Slot14_Rate)^(Slot14_Age-D90))/ME90),0)</f>
        <v>0</v>
      </c>
      <c r="MK90" s="1" t="n">
        <f aca="false">IF(AND(HT90=1,EW90=1),MIN(MD90,MI90),0)</f>
        <v>0</v>
      </c>
      <c r="ML90" s="1" t="n">
        <f aca="false">MD90-MK90</f>
        <v>0</v>
      </c>
      <c r="MM90" s="1" t="n">
        <f aca="false">IF(FG90=1,IF(ABS((1+AS_Wage)/(1+Slot15_Rate)-1)&lt;0.000000000001,(Slot15_Age-D90)*(1+Slot15_Rate)^(Slot15_Age-D90),(1+Slot15_Rate)^(Slot15_Age-D90)*(1-((1+AS_Wage)/(1+Slot15_Rate))^(Slot15_Age-D90))/(1-(1+AS_Wage)/(1+Slot15_Rate))),1)</f>
        <v>1</v>
      </c>
      <c r="MN90" s="1" t="n">
        <f aca="false">IF(AND(HT90=1,ID90&gt;0,Slot15_IsWG=1,FG90=1),MAX(0,(Slot15_Cost-FH90*(1+Slot15_Rate)^(Slot15_Age-D90))/MM90),0)</f>
        <v>0</v>
      </c>
      <c r="MO90" s="1" t="n">
        <f aca="false">IF(AND(HT90=1,ID90&gt;0,Slot15_IsWG=1,FG90=1),MIN(ID90,MN90),0)</f>
        <v>0</v>
      </c>
      <c r="MP90" s="1" t="n">
        <f aca="false">FH90+MO90</f>
        <v>0</v>
      </c>
      <c r="MQ90" s="1" t="n">
        <f aca="false">IF(FG90=1,MAX(0,(Slot15_Cost-MP90*(1+Slot15_Rate)^(Slot15_Age-D90))/MM90),0)</f>
        <v>0</v>
      </c>
      <c r="MR90" s="1" t="n">
        <f aca="false">IF(FG90=1,MAX(0,(Slot15_Cost-FH90*(1+Slot15_Rate)^(Slot15_Age-D90))/MM90),0)</f>
        <v>0</v>
      </c>
      <c r="MS90" s="1" t="n">
        <f aca="false">IF(AND(HT90=1,FG90=1),MIN(ML90,MQ90),0)</f>
        <v>0</v>
      </c>
      <c r="MT90" s="1" t="n">
        <f aca="false">ML90-MS90</f>
        <v>0</v>
      </c>
      <c r="MU90" s="1" t="n">
        <f aca="false">IF(FQ90=1,IF(ABS((1+AS_Wage)/(1+Slot16_Rate)-1)&lt;0.000000000001,(Slot16_Age-D90)*(1+Slot16_Rate)^(Slot16_Age-D90),(1+Slot16_Rate)^(Slot16_Age-D90)*(1-((1+AS_Wage)/(1+Slot16_Rate))^(Slot16_Age-D90))/(1-(1+AS_Wage)/(1+Slot16_Rate))),1)</f>
        <v>1</v>
      </c>
      <c r="MV90" s="1" t="n">
        <f aca="false">IF(AND(HT90=1,ID90&gt;0,Slot16_IsWG=1,FQ90=1),MAX(0,(Slot16_Cost-FR90*(1+Slot16_Rate)^(Slot16_Age-D90))/MU90),0)</f>
        <v>0</v>
      </c>
      <c r="MW90" s="1" t="n">
        <f aca="false">IF(AND(HT90=1,ID90&gt;0,Slot16_IsWG=1,FQ90=1),MIN(ID90,MV90),0)</f>
        <v>0</v>
      </c>
      <c r="MX90" s="1" t="n">
        <f aca="false">FR90+MW90</f>
        <v>0</v>
      </c>
      <c r="MY90" s="1" t="n">
        <f aca="false">IF(FQ90=1,MAX(0,(Slot16_Cost-MX90*(1+Slot16_Rate)^(Slot16_Age-D90))/MU90),0)</f>
        <v>0</v>
      </c>
      <c r="MZ90" s="1" t="n">
        <f aca="false">IF(FQ90=1,MAX(0,(Slot16_Cost-FR90*(1+Slot16_Rate)^(Slot16_Age-D90))/MU90),0)</f>
        <v>0</v>
      </c>
      <c r="NA90" s="1" t="n">
        <f aca="false">IF(AND(HT90=1,FQ90=1),MIN(MT90,MY90),0)</f>
        <v>0</v>
      </c>
      <c r="NB90" s="1" t="n">
        <f aca="false">MT90-NA90</f>
        <v>0</v>
      </c>
      <c r="NC90" s="1" t="n">
        <f aca="false">IF(GA90=1,IF(ABS((1+AS_Wage)/(1+Slot17_Rate)-1)&lt;0.000000000001,(Slot17_Age-D90)*(1+Slot17_Rate)^(Slot17_Age-D90),(1+Slot17_Rate)^(Slot17_Age-D90)*(1-((1+AS_Wage)/(1+Slot17_Rate))^(Slot17_Age-D90))/(1-(1+AS_Wage)/(1+Slot17_Rate))),1)</f>
        <v>1</v>
      </c>
      <c r="ND90" s="1" t="n">
        <f aca="false">IF(AND(HT90=1,ID90&gt;0,Slot17_IsWG=1,GA90=1),MAX(0,(Slot17_Cost-GB90*(1+Slot17_Rate)^(Slot17_Age-D90))/NC90),0)</f>
        <v>0</v>
      </c>
      <c r="NE90" s="1" t="n">
        <f aca="false">IF(AND(HT90=1,ID90&gt;0,Slot17_IsWG=1,GA90=1),MIN(ID90,ND90),0)</f>
        <v>0</v>
      </c>
      <c r="NF90" s="1" t="n">
        <f aca="false">GB90+NE90</f>
        <v>0</v>
      </c>
      <c r="NG90" s="1" t="n">
        <f aca="false">IF(GA90=1,MAX(0,(Slot17_Cost-NF90*(1+Slot17_Rate)^(Slot17_Age-D90))/NC90),0)</f>
        <v>0</v>
      </c>
      <c r="NH90" s="1" t="n">
        <f aca="false">IF(GA90=1,MAX(0,(Slot17_Cost-GB90*(1+Slot17_Rate)^(Slot17_Age-D90))/NC90),0)</f>
        <v>0</v>
      </c>
      <c r="NI90" s="1" t="n">
        <f aca="false">IF(AND(HT90=1,GA90=1),MIN(NB90,NG90),0)</f>
        <v>0</v>
      </c>
      <c r="NJ90" s="1" t="n">
        <f aca="false">NB90-NI90</f>
        <v>0</v>
      </c>
      <c r="NK90" s="1" t="n">
        <f aca="false">IF(GK90=1,IF(ABS((1+AS_Wage)/(1+Slot18_Rate)-1)&lt;0.000000000001,(Slot18_Age-D90)*(1+Slot18_Rate)^(Slot18_Age-D90),(1+Slot18_Rate)^(Slot18_Age-D90)*(1-((1+AS_Wage)/(1+Slot18_Rate))^(Slot18_Age-D90))/(1-(1+AS_Wage)/(1+Slot18_Rate))),1)</f>
        <v>1</v>
      </c>
      <c r="NL90" s="1" t="n">
        <f aca="false">IF(AND(HT90=1,ID90&gt;0,Slot18_IsWG=1,GK90=1),MAX(0,(Slot18_Cost-GL90*(1+Slot18_Rate)^(Slot18_Age-D90))/NK90),0)</f>
        <v>0</v>
      </c>
      <c r="NM90" s="1" t="n">
        <f aca="false">IF(AND(HT90=1,ID90&gt;0,Slot18_IsWG=1,GK90=1),MIN(ID90,NL90),0)</f>
        <v>0</v>
      </c>
      <c r="NN90" s="1" t="n">
        <f aca="false">GL90+NM90</f>
        <v>0</v>
      </c>
      <c r="NO90" s="1" t="n">
        <f aca="false">IF(GK90=1,MAX(0,(Slot18_Cost-NN90*(1+Slot18_Rate)^(Slot18_Age-D90))/NK90),0)</f>
        <v>0</v>
      </c>
      <c r="NP90" s="1" t="n">
        <f aca="false">IF(GK90=1,MAX(0,(Slot18_Cost-GL90*(1+Slot18_Rate)^(Slot18_Age-D90))/NK90),0)</f>
        <v>0</v>
      </c>
      <c r="NQ90" s="1" t="n">
        <f aca="false">IF(AND(HT90=1,GK90=1),MIN(NJ90,NO90),0)</f>
        <v>0</v>
      </c>
      <c r="NR90" s="1" t="n">
        <f aca="false">NJ90-NQ90</f>
        <v>0</v>
      </c>
      <c r="NS90" s="1" t="n">
        <f aca="false">IF(GU90=1,IF(ABS((1+AS_Wage)/(1+Slot19_Rate)-1)&lt;0.000000000001,(Slot19_Age-D90)*(1+Slot19_Rate)^(Slot19_Age-D90),(1+Slot19_Rate)^(Slot19_Age-D90)*(1-((1+AS_Wage)/(1+Slot19_Rate))^(Slot19_Age-D90))/(1-(1+AS_Wage)/(1+Slot19_Rate))),1)</f>
        <v>1</v>
      </c>
      <c r="NT90" s="1" t="n">
        <f aca="false">IF(AND(HT90=1,ID90&gt;0,Slot19_IsWG=1,GU90=1),MAX(0,(Slot19_Cost-GV90*(1+Slot19_Rate)^(Slot19_Age-D90))/NS90),0)</f>
        <v>0</v>
      </c>
      <c r="NU90" s="1" t="n">
        <f aca="false">IF(AND(HT90=1,ID90&gt;0,Slot19_IsWG=1,GU90=1),MIN(ID90,NT90),0)</f>
        <v>0</v>
      </c>
      <c r="NV90" s="1" t="n">
        <f aca="false">GV90+NU90</f>
        <v>0</v>
      </c>
      <c r="NW90" s="1" t="n">
        <f aca="false">IF(GU90=1,MAX(0,(Slot19_Cost-NV90*(1+Slot19_Rate)^(Slot19_Age-D90))/NS90),0)</f>
        <v>0</v>
      </c>
      <c r="NX90" s="1" t="n">
        <f aca="false">IF(GU90=1,MAX(0,(Slot19_Cost-GV90*(1+Slot19_Rate)^(Slot19_Age-D90))/NS90),0)</f>
        <v>0</v>
      </c>
      <c r="NY90" s="1" t="n">
        <f aca="false">IF(AND(HT90=1,GU90=1),MIN(NR90,NW90),0)</f>
        <v>0</v>
      </c>
      <c r="NZ90" s="1" t="n">
        <f aca="false">NR90-NY90</f>
        <v>0</v>
      </c>
      <c r="OA90" s="1" t="n">
        <f aca="false">IF(HE90=1,IF(ABS((1+AS_Wage)/(1+Slot20_Rate)-1)&lt;0.000000000001,(Slot20_Age-D90)*(1+Slot20_Rate)^(Slot20_Age-D90),(1+Slot20_Rate)^(Slot20_Age-D90)*(1-((1+AS_Wage)/(1+Slot20_Rate))^(Slot20_Age-D90))/(1-(1+AS_Wage)/(1+Slot20_Rate))),1)</f>
        <v>1</v>
      </c>
      <c r="OB90" s="1" t="n">
        <f aca="false">IF(AND(HT90=1,ID90&gt;0,Slot20_IsWG=1,HE90=1),MAX(0,(Slot20_Cost-HF90*(1+Slot20_Rate)^(Slot20_Age-D90))/OA90),0)</f>
        <v>0</v>
      </c>
      <c r="OC90" s="1" t="n">
        <f aca="false">IF(AND(HT90=1,ID90&gt;0,Slot20_IsWG=1,HE90=1),MIN(ID90,OB90),0)</f>
        <v>0</v>
      </c>
      <c r="OD90" s="1" t="n">
        <f aca="false">HF90+OC90</f>
        <v>0</v>
      </c>
      <c r="OE90" s="1" t="n">
        <f aca="false">IF(HE90=1,MAX(0,(Slot20_Cost-OD90*(1+Slot20_Rate)^(Slot20_Age-D90))/OA90),0)</f>
        <v>0</v>
      </c>
      <c r="OF90" s="1" t="n">
        <f aca="false">IF(HE90=1,MAX(0,(Slot20_Cost-HF90*(1+Slot20_Rate)^(Slot20_Age-D90))/OA90),0)</f>
        <v>0</v>
      </c>
      <c r="OG90" s="1" t="n">
        <f aca="false">IF(AND(HT90=1,HE90=1),MIN(NZ90,OE90),0)</f>
        <v>0</v>
      </c>
      <c r="OH90" s="1" t="n">
        <f aca="false">NZ90-OG90</f>
        <v>0</v>
      </c>
      <c r="OI90" s="1" t="n">
        <f aca="false">ID90-(IG90+IO90+IW90+JE90+JM90+JU90+KC90+KK90+KS90+LA90+LI90+LQ90+LY90+MG90+MO90+MW90+NE90+NM90+NU90+OC90)</f>
        <v>0</v>
      </c>
      <c r="OJ90" s="1" t="n">
        <f aca="false">IF(HT90=1,HR90-IC90-ID90,0)</f>
        <v>65793.5811851652</v>
      </c>
      <c r="OK90" s="1" t="n">
        <f aca="false">IF(HT90=0,-HR90,0)</f>
        <v>0</v>
      </c>
      <c r="OL90" s="1" t="n">
        <f aca="false">MIN(OK90,HJ90)</f>
        <v>0</v>
      </c>
      <c r="OM90" s="1" t="n">
        <f aca="false">OK90-OL90</f>
        <v>0</v>
      </c>
      <c r="ON90" s="1" t="n">
        <f aca="false">MIN(OM90,HK90)</f>
        <v>0</v>
      </c>
      <c r="OO90" s="1" t="n">
        <f aca="false">OM90-ON90</f>
        <v>0</v>
      </c>
      <c r="OP90" s="1" t="n">
        <f aca="false">IF(AND(HT90=0,HE90=1,OO90&gt;0),MIN(OO90,HF90),0)</f>
        <v>0</v>
      </c>
      <c r="OQ90" s="1" t="n">
        <f aca="false">OO90-OP90</f>
        <v>0</v>
      </c>
      <c r="OR90" s="1" t="n">
        <f aca="false">IF(AND(HT90=0,GU90=1,OQ90&gt;0),MIN(OQ90,GV90),0)</f>
        <v>0</v>
      </c>
      <c r="OS90" s="1" t="n">
        <f aca="false">OQ90-OR90</f>
        <v>0</v>
      </c>
      <c r="OT90" s="1" t="n">
        <f aca="false">IF(AND(HT90=0,GK90=1,OS90&gt;0),MIN(OS90,GL90),0)</f>
        <v>0</v>
      </c>
      <c r="OU90" s="1" t="n">
        <f aca="false">OS90-OT90</f>
        <v>0</v>
      </c>
      <c r="OV90" s="1" t="n">
        <f aca="false">IF(AND(HT90=0,GA90=1,OU90&gt;0),MIN(OU90,GB90),0)</f>
        <v>0</v>
      </c>
      <c r="OW90" s="1" t="n">
        <f aca="false">OU90-OV90</f>
        <v>0</v>
      </c>
      <c r="OX90" s="1" t="n">
        <f aca="false">IF(AND(HT90=0,FQ90=1,OW90&gt;0),MIN(OW90,FR90),0)</f>
        <v>0</v>
      </c>
      <c r="OY90" s="1" t="n">
        <f aca="false">OW90-OX90</f>
        <v>0</v>
      </c>
      <c r="OZ90" s="1" t="n">
        <f aca="false">IF(AND(HT90=0,FG90=1,OY90&gt;0),MIN(OY90,FH90),0)</f>
        <v>0</v>
      </c>
      <c r="PA90" s="1" t="n">
        <f aca="false">OY90-OZ90</f>
        <v>0</v>
      </c>
      <c r="PB90" s="1" t="n">
        <f aca="false">IF(AND(HT90=0,EW90=1,PA90&gt;0),MIN(PA90,EX90),0)</f>
        <v>0</v>
      </c>
      <c r="PC90" s="1" t="n">
        <f aca="false">PA90-PB90</f>
        <v>0</v>
      </c>
      <c r="PD90" s="1" t="n">
        <f aca="false">IF(AND(HT90=0,EM90=1,PC90&gt;0),MIN(PC90,EN90),0)</f>
        <v>0</v>
      </c>
      <c r="PE90" s="1" t="n">
        <f aca="false">PC90-PD90</f>
        <v>0</v>
      </c>
      <c r="PF90" s="1" t="n">
        <f aca="false">IF(AND(HT90=0,EC90=1,PE90&gt;0),MIN(PE90,ED90),0)</f>
        <v>0</v>
      </c>
      <c r="PG90" s="1" t="n">
        <f aca="false">PE90-PF90</f>
        <v>0</v>
      </c>
      <c r="PH90" s="1" t="n">
        <f aca="false">IF(AND(HT90=0,DS90=1,PG90&gt;0),MIN(PG90,DT90),0)</f>
        <v>0</v>
      </c>
      <c r="PI90" s="1" t="n">
        <f aca="false">PG90-PH90</f>
        <v>0</v>
      </c>
      <c r="PJ90" s="1" t="n">
        <f aca="false">IF(AND(HT90=0,DI90=1,PI90&gt;0),MIN(PI90,DJ90),0)</f>
        <v>0</v>
      </c>
      <c r="PK90" s="1" t="n">
        <f aca="false">PI90-PJ90</f>
        <v>0</v>
      </c>
      <c r="PL90" s="1" t="n">
        <f aca="false">IF(AND(HT90=0,CY90=1,PK90&gt;0),MIN(PK90,CZ90),0)</f>
        <v>0</v>
      </c>
      <c r="PM90" s="1" t="n">
        <f aca="false">PK90-PL90</f>
        <v>0</v>
      </c>
      <c r="PN90" s="1" t="n">
        <f aca="false">IF(AND(HT90=0,CO90=1,PM90&gt;0),MIN(PM90,CP90),0)</f>
        <v>0</v>
      </c>
      <c r="PO90" s="1" t="n">
        <f aca="false">PM90-PN90</f>
        <v>0</v>
      </c>
      <c r="PP90" s="1" t="n">
        <f aca="false">IF(AND(HT90=0,CE90=1,PO90&gt;0),MIN(PO90,CF90),0)</f>
        <v>0</v>
      </c>
      <c r="PQ90" s="1" t="n">
        <f aca="false">PO90-PP90</f>
        <v>0</v>
      </c>
      <c r="PR90" s="1" t="n">
        <f aca="false">IF(AND(HT90=0,BU90=1,PQ90&gt;0),MIN(PQ90,BV90),0)</f>
        <v>0</v>
      </c>
      <c r="PS90" s="1" t="n">
        <f aca="false">PQ90-PR90</f>
        <v>0</v>
      </c>
      <c r="PT90" s="1" t="n">
        <f aca="false">IF(AND(HT90=0,BK90=1,PS90&gt;0),MIN(PS90,BL90),0)</f>
        <v>0</v>
      </c>
      <c r="PU90" s="1" t="n">
        <f aca="false">PS90-PT90</f>
        <v>0</v>
      </c>
      <c r="PV90" s="1" t="n">
        <f aca="false">IF(AND(HT90=0,BA90=1,PU90&gt;0),MIN(PU90,BB90),0)</f>
        <v>0</v>
      </c>
      <c r="PW90" s="1" t="n">
        <f aca="false">PU90-PV90</f>
        <v>0</v>
      </c>
      <c r="PX90" s="1" t="n">
        <f aca="false">IF(AND(HT90=0,AQ90=1,PW90&gt;0),MIN(PW90,AR90),0)</f>
        <v>0</v>
      </c>
      <c r="PY90" s="1" t="n">
        <f aca="false">PW90-PX90</f>
        <v>0</v>
      </c>
      <c r="PZ90" s="1" t="n">
        <f aca="false">IF(AND(HT90=0,AG90=1,PY90&gt;0),MIN(PY90,AH90),0)</f>
        <v>0</v>
      </c>
      <c r="QA90" s="1" t="n">
        <f aca="false">PY90-PZ90</f>
        <v>0</v>
      </c>
      <c r="QB90" s="1" t="n">
        <f aca="false">IF(AND(HT90=0,V90=1,QA90&gt;0),MIN(QA90,W90),0)</f>
        <v>0</v>
      </c>
      <c r="QC90" s="1" t="n">
        <f aca="false">QA90-QB90</f>
        <v>0</v>
      </c>
      <c r="QD90" s="1" t="n">
        <f aca="false">IF(HT90=0,QC90,0)</f>
        <v>0</v>
      </c>
      <c r="QE90" s="1" t="n">
        <f aca="false">OL90+ON90+QB90+PZ90+PX90+PV90+PT90+PR90+PP90+PN90+PL90+PJ90+PH90+PF90+PD90+PB90+OZ90+OX90+OV90+OT90+OR90+OP90</f>
        <v>0</v>
      </c>
      <c r="QF90" s="1" t="n">
        <f aca="false">IF(HT90=1,HJ90+OI90+OH90+IF(F90=1,0,OJ90),HJ90-OL90)</f>
        <v>1051749.43616804</v>
      </c>
      <c r="QG90" s="1" t="n">
        <f aca="false">HK90-ON90</f>
        <v>0</v>
      </c>
      <c r="QH90" s="1" t="n">
        <f aca="false">IF(HT90=1,IF(F90=1,IC90+ID90,HR90),0)</f>
        <v>65793.5811851652</v>
      </c>
      <c r="QI90" s="1" t="n">
        <f aca="false">IF(HT90=1,IF(F90=1,HR90-IC90-ID90,0),0)</f>
        <v>0</v>
      </c>
      <c r="QJ90" s="1" t="n">
        <f aca="false">QF90*(1+GR)</f>
        <v>1068998.1269212</v>
      </c>
      <c r="QK90" s="1" t="n">
        <f aca="false">QG90*(1+AS_Cash)</f>
        <v>0</v>
      </c>
      <c r="QL90" s="1" t="n">
        <f aca="false">IF(V90=1,IF(HT90=1,IH90+IK90,W90-QB90)*(1+Slot1_Rate),0)</f>
        <v>0</v>
      </c>
      <c r="QM90" s="1" t="n">
        <f aca="false">IF(AND(HT90=1,V90=1),(IG90+IK90)/E90,0)</f>
        <v>0</v>
      </c>
      <c r="QN90" s="1" t="n">
        <f aca="false">IF(B90=0,IG90+IK90,0)</f>
        <v>0</v>
      </c>
      <c r="QO90" s="1" t="n">
        <f aca="false">IF(B90=0,IF(HT90=1,II90,IJ90),0)</f>
        <v>0</v>
      </c>
      <c r="QP90" s="1" t="n">
        <f aca="false">IF(AG90=1,IF(HT90=1,IP90+IS90,AH90-PZ90)*(1+Slot2_Rate),0)</f>
        <v>0</v>
      </c>
      <c r="QQ90" s="1" t="n">
        <f aca="false">IF(AND(HT90=1,AG90=1),(IO90+IS90)/E90,0)</f>
        <v>0</v>
      </c>
      <c r="QR90" s="1" t="n">
        <f aca="false">IF(B90=0,IO90+IS90,0)</f>
        <v>0</v>
      </c>
      <c r="QS90" s="1" t="n">
        <f aca="false">IF(B90=0,IF(HT90=1,IQ90,IR90),0)</f>
        <v>0</v>
      </c>
      <c r="QT90" s="1" t="n">
        <f aca="false">IF(AQ90=1,IF(HT90=1,IX90+JA90,AR90-PX90)*(1+Slot3_Rate),0)</f>
        <v>0</v>
      </c>
      <c r="QU90" s="1" t="n">
        <f aca="false">IF(AND(HT90=1,AQ90=1),(IW90+JA90)/E90,0)</f>
        <v>0</v>
      </c>
      <c r="QV90" s="1" t="n">
        <f aca="false">IF(B90=0,IW90+JA90,0)</f>
        <v>0</v>
      </c>
      <c r="QW90" s="1" t="n">
        <f aca="false">IF(B90=0,IF(HT90=1,IY90,IZ90),0)</f>
        <v>0</v>
      </c>
      <c r="QX90" s="1" t="n">
        <f aca="false">IF(BA90=1,IF(HT90=1,JF90+JI90,BB90-PV90)*(1+Slot4_Rate),0)</f>
        <v>0</v>
      </c>
      <c r="QY90" s="1" t="n">
        <f aca="false">IF(AND(HT90=1,BA90=1),(JE90+JI90)/E90,0)</f>
        <v>0</v>
      </c>
      <c r="QZ90" s="1" t="n">
        <f aca="false">IF(B90=0,JE90+JI90,0)</f>
        <v>0</v>
      </c>
      <c r="RA90" s="1" t="n">
        <f aca="false">IF(B90=0,IF(HT90=1,JG90,JH90),0)</f>
        <v>0</v>
      </c>
      <c r="RB90" s="1" t="n">
        <f aca="false">IF(BK90=1,IF(HT90=1,JN90+JQ90,BL90-PT90)*(1+Slot5_Rate),0)</f>
        <v>0</v>
      </c>
      <c r="RC90" s="1" t="n">
        <f aca="false">IF(AND(HT90=1,BK90=1),(JM90+JQ90)/E90,0)</f>
        <v>0</v>
      </c>
      <c r="RD90" s="1" t="n">
        <f aca="false">IF(B90=0,JM90+JQ90,0)</f>
        <v>0</v>
      </c>
      <c r="RE90" s="1" t="n">
        <f aca="false">IF(B90=0,IF(HT90=1,JO90,JP90),0)</f>
        <v>0</v>
      </c>
      <c r="RF90" s="1" t="n">
        <f aca="false">IF(BU90=1,IF(HT90=1,JV90+JY90,BV90-PR90)*(1+Slot6_Rate),0)</f>
        <v>0</v>
      </c>
      <c r="RG90" s="1" t="n">
        <f aca="false">IF(AND(HT90=1,BU90=1),(JU90+JY90)/E90,0)</f>
        <v>0</v>
      </c>
      <c r="RH90" s="1" t="n">
        <f aca="false">IF(B90=0,JU90+JY90,0)</f>
        <v>0</v>
      </c>
      <c r="RI90" s="1" t="n">
        <f aca="false">IF(B90=0,IF(HT90=1,JW90,JX90),0)</f>
        <v>0</v>
      </c>
      <c r="RJ90" s="1" t="n">
        <f aca="false">IF(CE90=1,IF(HT90=1,KD90+KG90,CF90-PP90)*(1+Slot7_Rate),0)</f>
        <v>0</v>
      </c>
      <c r="RK90" s="1" t="n">
        <f aca="false">IF(AND(HT90=1,CE90=1),(KC90+KG90)/E90,0)</f>
        <v>0</v>
      </c>
      <c r="RL90" s="1" t="n">
        <f aca="false">IF(B90=0,KC90+KG90,0)</f>
        <v>0</v>
      </c>
      <c r="RM90" s="1" t="n">
        <f aca="false">IF(B90=0,IF(HT90=1,KE90,KF90),0)</f>
        <v>0</v>
      </c>
      <c r="RN90" s="1" t="n">
        <f aca="false">IF(CO90=1,IF(HT90=1,KL90+KO90,CP90-PN90)*(1+Slot8_Rate),0)</f>
        <v>0</v>
      </c>
      <c r="RO90" s="1" t="n">
        <f aca="false">IF(AND(HT90=1,CO90=1),(KK90+KO90)/E90,0)</f>
        <v>0</v>
      </c>
      <c r="RP90" s="1" t="n">
        <f aca="false">IF(B90=0,KK90+KO90,0)</f>
        <v>0</v>
      </c>
      <c r="RQ90" s="1" t="n">
        <f aca="false">IF(B90=0,IF(HT90=1,KM90,KN90),0)</f>
        <v>0</v>
      </c>
      <c r="RR90" s="1" t="n">
        <f aca="false">IF(CY90=1,IF(HT90=1,KT90+KW90,CZ90-PL90)*(1+Slot9_Rate),0)</f>
        <v>0</v>
      </c>
      <c r="RS90" s="1" t="n">
        <f aca="false">IF(AND(HT90=1,CY90=1),(KS90+KW90)/E90,0)</f>
        <v>0</v>
      </c>
      <c r="RT90" s="1" t="n">
        <f aca="false">IF(B90=0,KS90+KW90,0)</f>
        <v>0</v>
      </c>
      <c r="RU90" s="1" t="n">
        <f aca="false">IF(B90=0,IF(HT90=1,KU90,KV90),0)</f>
        <v>0</v>
      </c>
      <c r="RV90" s="1" t="n">
        <f aca="false">IF(DI90=1,IF(HT90=1,LB90+LE90,DJ90-PJ90)*(1+Slot10_Rate),0)</f>
        <v>0</v>
      </c>
      <c r="RW90" s="1" t="n">
        <f aca="false">IF(AND(HT90=1,DI90=1),(LA90+LE90)/E90,0)</f>
        <v>0</v>
      </c>
      <c r="RX90" s="1" t="n">
        <f aca="false">IF(B90=0,LA90+LE90,0)</f>
        <v>0</v>
      </c>
      <c r="RY90" s="1" t="n">
        <f aca="false">IF(B90=0,IF(HT90=1,LC90,LD90),0)</f>
        <v>0</v>
      </c>
      <c r="RZ90" s="1" t="n">
        <f aca="false">IF(DS90=1,IF(HT90=1,LJ90+LM90,DT90-PH90)*(1+Slot11_Rate),0)</f>
        <v>0</v>
      </c>
      <c r="SA90" s="1" t="n">
        <f aca="false">IF(AND(HT90=1,DS90=1),(LI90+LM90)/E90,0)</f>
        <v>0</v>
      </c>
      <c r="SB90" s="1" t="n">
        <f aca="false">IF(B90=0,LI90+LM90,0)</f>
        <v>0</v>
      </c>
      <c r="SC90" s="1" t="n">
        <f aca="false">IF(B90=0,IF(HT90=1,LK90,LL90),0)</f>
        <v>0</v>
      </c>
      <c r="SD90" s="1" t="n">
        <f aca="false">IF(EC90=1,IF(HT90=1,LR90+LU90,ED90-PF90)*(1+Slot12_Rate),0)</f>
        <v>0</v>
      </c>
      <c r="SE90" s="1" t="n">
        <f aca="false">IF(AND(HT90=1,EC90=1),(LQ90+LU90)/E90,0)</f>
        <v>0</v>
      </c>
      <c r="SF90" s="1" t="n">
        <f aca="false">IF(B90=0,LQ90+LU90,0)</f>
        <v>0</v>
      </c>
      <c r="SG90" s="1" t="n">
        <f aca="false">IF(B90=0,IF(HT90=1,LS90,LT90),0)</f>
        <v>0</v>
      </c>
      <c r="SH90" s="1" t="n">
        <f aca="false">IF(EM90=1,IF(HT90=1,LZ90+MC90,EN90-PD90)*(1+Slot13_Rate),0)</f>
        <v>0</v>
      </c>
      <c r="SI90" s="1" t="n">
        <f aca="false">IF(AND(HT90=1,EM90=1),(LY90+MC90)/E90,0)</f>
        <v>0</v>
      </c>
      <c r="SJ90" s="1" t="n">
        <f aca="false">IF(B90=0,LY90+MC90,0)</f>
        <v>0</v>
      </c>
      <c r="SK90" s="1" t="n">
        <f aca="false">IF(B90=0,IF(HT90=1,MA90,MB90),0)</f>
        <v>0</v>
      </c>
      <c r="SL90" s="1" t="n">
        <f aca="false">IF(EW90=1,IF(HT90=1,MH90+MK90,EX90-PB90)*(1+Slot14_Rate),0)</f>
        <v>0</v>
      </c>
      <c r="SM90" s="1" t="n">
        <f aca="false">IF(AND(HT90=1,EW90=1),(MG90+MK90)/E90,0)</f>
        <v>0</v>
      </c>
      <c r="SN90" s="1" t="n">
        <f aca="false">IF(B90=0,MG90+MK90,0)</f>
        <v>0</v>
      </c>
      <c r="SO90" s="1" t="n">
        <f aca="false">IF(B90=0,IF(HT90=1,MI90,MJ90),0)</f>
        <v>0</v>
      </c>
      <c r="SP90" s="1" t="n">
        <f aca="false">IF(FG90=1,IF(HT90=1,MP90+MS90,FH90-OZ90)*(1+Slot15_Rate),0)</f>
        <v>0</v>
      </c>
      <c r="SQ90" s="1" t="n">
        <f aca="false">IF(AND(HT90=1,FG90=1),(MO90+MS90)/E90,0)</f>
        <v>0</v>
      </c>
      <c r="SR90" s="1" t="n">
        <f aca="false">IF(B90=0,MO90+MS90,0)</f>
        <v>0</v>
      </c>
      <c r="SS90" s="1" t="n">
        <f aca="false">IF(B90=0,IF(HT90=1,MQ90,MR90),0)</f>
        <v>0</v>
      </c>
      <c r="ST90" s="1" t="n">
        <f aca="false">IF(FQ90=1,IF(HT90=1,MX90+NA90,FR90-OX90)*(1+Slot16_Rate),0)</f>
        <v>0</v>
      </c>
      <c r="SU90" s="1" t="n">
        <f aca="false">IF(AND(HT90=1,FQ90=1),(MW90+NA90)/E90,0)</f>
        <v>0</v>
      </c>
      <c r="SV90" s="1" t="n">
        <f aca="false">IF(B90=0,MW90+NA90,0)</f>
        <v>0</v>
      </c>
      <c r="SW90" s="1" t="n">
        <f aca="false">IF(B90=0,IF(HT90=1,MY90,MZ90),0)</f>
        <v>0</v>
      </c>
      <c r="SX90" s="1" t="n">
        <f aca="false">IF(GA90=1,IF(HT90=1,NF90+NI90,GB90-OV90)*(1+Slot17_Rate),0)</f>
        <v>0</v>
      </c>
      <c r="SY90" s="1" t="n">
        <f aca="false">IF(AND(HT90=1,GA90=1),(NE90+NI90)/E90,0)</f>
        <v>0</v>
      </c>
      <c r="SZ90" s="1" t="n">
        <f aca="false">IF(B90=0,NE90+NI90,0)</f>
        <v>0</v>
      </c>
      <c r="TA90" s="1" t="n">
        <f aca="false">IF(B90=0,IF(HT90=1,NG90,NH90),0)</f>
        <v>0</v>
      </c>
      <c r="TB90" s="1" t="n">
        <f aca="false">IF(GK90=1,IF(HT90=1,NN90+NQ90,GL90-OT90)*(1+Slot18_Rate),0)</f>
        <v>0</v>
      </c>
      <c r="TC90" s="1" t="n">
        <f aca="false">IF(AND(HT90=1,GK90=1),(NM90+NQ90)/E90,0)</f>
        <v>0</v>
      </c>
      <c r="TD90" s="1" t="n">
        <f aca="false">IF(B90=0,NM90+NQ90,0)</f>
        <v>0</v>
      </c>
      <c r="TE90" s="1" t="n">
        <f aca="false">IF(B90=0,IF(HT90=1,NO90,NP90),0)</f>
        <v>0</v>
      </c>
      <c r="TF90" s="1" t="n">
        <f aca="false">IF(GU90=1,IF(HT90=1,NV90+NY90,GV90-OR90)*(1+Slot19_Rate),0)</f>
        <v>0</v>
      </c>
      <c r="TG90" s="1" t="n">
        <f aca="false">IF(AND(HT90=1,GU90=1),(NU90+NY90)/E90,0)</f>
        <v>0</v>
      </c>
      <c r="TH90" s="1" t="n">
        <f aca="false">IF(B90=0,NU90+NY90,0)</f>
        <v>0</v>
      </c>
      <c r="TI90" s="1" t="n">
        <f aca="false">IF(B90=0,IF(HT90=1,NW90,NX90),0)</f>
        <v>0</v>
      </c>
      <c r="TJ90" s="1" t="n">
        <f aca="false">IF(HE90=1,IF(HT90=1,OD90+OG90,HF90-OP90)*(1+Slot20_Rate),0)</f>
        <v>0</v>
      </c>
      <c r="TK90" s="1" t="n">
        <f aca="false">IF(AND(HT90=1,HE90=1),(OC90+OG90)/E90,0)</f>
        <v>0</v>
      </c>
      <c r="TL90" s="1" t="n">
        <f aca="false">IF(B90=0,OC90+OG90,0)</f>
        <v>0</v>
      </c>
      <c r="TM90" s="1" t="n">
        <f aca="false">IF(B90=0,IF(HT90=1,OE90,OF90),0)</f>
        <v>0</v>
      </c>
      <c r="TN90" s="1" t="n">
        <f aca="false">QJ90+QK90+QL90+QP90+QT90+QX90+RB90+RF90+RJ90+RN90+RR90+RV90+RZ90+SD90+SH90+SL90+SP90+ST90+SX90+TB90+TF90+TJ90</f>
        <v>1068998.1269212</v>
      </c>
      <c r="TO90" s="1" t="n">
        <f aca="false">QD90+HO90</f>
        <v>0</v>
      </c>
      <c r="TP90" s="1" t="n">
        <f aca="false">H90+R90</f>
        <v>0</v>
      </c>
      <c r="TQ90" s="1" t="n">
        <f aca="false">1-F90</f>
        <v>1</v>
      </c>
      <c r="TR90" s="1" t="n">
        <f aca="false">IF(AND(RG_Exists=1,F90=0,C90=1),H90,0)</f>
        <v>0</v>
      </c>
      <c r="TS90" s="1" t="n">
        <f aca="false">IF(AND(RG_Exists=1,F90=0,C90=1),H90-MIN(QD90,H90),0)</f>
        <v>0</v>
      </c>
      <c r="TT90" s="1" t="n">
        <f aca="false">'Plan pay &amp; tax'!AD316</f>
        <v>0</v>
      </c>
      <c r="TU90" s="1" t="n">
        <f aca="false">IF(AND(C90=1,QD90&gt;MAX(PR_Short1,TP90*PR_Short2)),1,0)</f>
        <v>0</v>
      </c>
      <c r="TV90" s="1" t="n">
        <f aca="false">MIN(G90,H90+R90)</f>
        <v>0</v>
      </c>
      <c r="TW90" s="1" t="n">
        <f aca="false">QE90+MAX(0,HP90-HO90)</f>
        <v>0</v>
      </c>
      <c r="TX90" s="1" t="n">
        <f aca="false">QD90+HO90</f>
        <v>0</v>
      </c>
      <c r="TY90" s="1" t="n">
        <f aca="false">IF(AND(C90=1,TX90&gt;PR_MinShort),1,0)</f>
        <v>0</v>
      </c>
      <c r="TZ90" s="1" t="n">
        <f aca="false">IF(AND(C90=1,TY90=0,TW90&gt;PR_MinShort),1,0)</f>
        <v>0</v>
      </c>
      <c r="UA90" s="1" t="n">
        <f aca="false">IF(AND(C90=1,QD90&gt;PR_MinShort),1,0)</f>
        <v>0</v>
      </c>
      <c r="UB90" s="1" t="n">
        <f aca="false">IF(AND(C90=1,QE90&gt;1,UI90=0),1,0)</f>
        <v>0</v>
      </c>
      <c r="UC90" s="1" t="str">
        <f aca="false">IF(C90=0,"",IF(UI90=1,"Gap to plan for: short "&amp;"€"&amp;TEXT(ROUND(TO90,0),"#,##0"),IF(QE90&gt;1,"Using savings","Comfortable")))</f>
        <v>Comfortable</v>
      </c>
      <c r="UD90" s="1" t="n">
        <f aca="false">IF(AND(INT(D90/10)*10=90,B90&gt;0),80,INT(D90/10)*10)</f>
        <v>80</v>
      </c>
      <c r="UE90" s="1" t="n">
        <f aca="false">IF(B90=0,1,IF(UD90&lt;&gt;UD89,UE89+1,UE89))</f>
        <v>9</v>
      </c>
      <c r="UF90" s="1" t="n">
        <f aca="false">IF(AND(C90=1,F90=1,QD90&gt;MAX(PR_Short1,TP90*PR_Short2)),1,0)</f>
        <v>0</v>
      </c>
      <c r="UG90" s="1" t="n">
        <f aca="false">TQ90*TU90</f>
        <v>0</v>
      </c>
      <c r="UH90" s="1" t="n">
        <f aca="false">IF(AND(U90=1,Slot1_PctLow=1),1,0)+IF(AND(AF90=1,Slot2_PctLow=1),1,0)+IF(AND(AP90=1,Slot3_PctLow=1),1,0)+IF(AND(AZ90=1,Slot4_PctLow=1),1,0)+IF(AND(BJ90=1,Slot5_PctLow=1),1,0)+IF(AND(BT90=1,Slot6_PctLow=1),1,0)+IF(AND(CD90=1,Slot7_PctLow=1),1,0)+IF(AND(CN90=1,Slot8_PctLow=1),1,0)+IF(AND(CX90=1,Slot9_PctLow=1),1,0)+IF(AND(DH90=1,Slot10_PctLow=1),1,0)+IF(AND(DR90=1,Slot11_PctLow=1),1,0)+IF(AND(EB90=1,Slot12_PctLow=1),1,0)+IF(AND(EL90=1,Slot13_PctLow=1),1,0)+IF(AND(EV90=1,Slot14_PctLow=1),1,0)+IF(AND(FF90=1,Slot15_PctLow=1),1,0)+IF(AND(FP90=1,Slot16_PctLow=1),1,0)+IF(AND(FZ90=1,Slot17_PctLow=1),1,0)+IF(AND(GJ90=1,Slot18_PctLow=1),1,0)+IF(AND(GT90=1,Slot19_PctLow=1),1,0)+IF(AND(HD90=1,Slot20_PctLow=1),1,0)</f>
        <v>0</v>
      </c>
      <c r="UI90" s="1" t="n">
        <f aca="false">IF(C90=1,IF(OR(TU90=1,UH90&gt;0),1,0),0)</f>
        <v>0</v>
      </c>
    </row>
    <row r="91" customFormat="false" ht="15" hidden="false" customHeight="true" outlineLevel="0" collapsed="false">
      <c r="B91" s="1" t="n">
        <v>83</v>
      </c>
      <c r="C91" s="1" t="n">
        <f aca="false">IF(B91&lt;=F_N,1,0)</f>
        <v>1</v>
      </c>
      <c r="D91" s="1" t="n">
        <f aca="false">'Plan pay &amp; tax'!C317</f>
        <v>83</v>
      </c>
      <c r="E91" s="111" t="n">
        <f aca="false">'Plan pay &amp; tax'!E317</f>
        <v>5.17385503596275</v>
      </c>
      <c r="F91" s="1" t="n">
        <f aca="false">'Plan pay &amp; tax'!G317</f>
        <v>0</v>
      </c>
      <c r="G91" s="1" t="n">
        <f aca="false">'Plan pay &amp; tax'!BT317-'Plan pay &amp; tax'!BS317-'Plan pay &amp; tax'!R317</f>
        <v>67109.4528088685</v>
      </c>
      <c r="H91" s="1" t="n">
        <f aca="false">IF(F91=1,F_CostsM*12,IF(RG_Exists=1,RG_Amount,F_CostsM*12*AS_RetireSpend))*E91+F_OneOffY*E91</f>
        <v>0</v>
      </c>
      <c r="I91" s="1" t="n">
        <f aca="false">HQ90</f>
        <v>0</v>
      </c>
      <c r="J91" s="1" t="n">
        <f aca="false">IF(I91&gt;1,'Plan debt months'!AC91,0)</f>
        <v>0</v>
      </c>
      <c r="K91" s="1" t="n">
        <f aca="false">IF(I91&gt;1,'Plan debt months'!AB91,I91)</f>
        <v>0</v>
      </c>
      <c r="L91" s="1" t="n">
        <f aca="false">N90</f>
        <v>0</v>
      </c>
      <c r="M91" s="1" t="n">
        <f aca="false">IF(L91&gt;1,'Plan debt months'!BD91,0)</f>
        <v>0</v>
      </c>
      <c r="N91" s="1" t="n">
        <f aca="false">IF(L91&gt;1,'Plan debt months'!BC91,L91)</f>
        <v>0</v>
      </c>
      <c r="O91" s="1" t="n">
        <f aca="false">Q90</f>
        <v>0</v>
      </c>
      <c r="P91" s="1" t="n">
        <f aca="false">IF(O91&gt;1,'Plan debt months'!CE91,0)</f>
        <v>0</v>
      </c>
      <c r="Q91" s="1" t="n">
        <f aca="false">IF(O91&gt;1,'Plan debt months'!CD91,O91)</f>
        <v>0</v>
      </c>
      <c r="R91" s="1" t="n">
        <f aca="false">J91+M91+P91</f>
        <v>0</v>
      </c>
      <c r="S91" s="1" t="n">
        <f aca="false">QJ90+'Plan pay &amp; tax'!Y317</f>
        <v>1068998.1269212</v>
      </c>
      <c r="T91" s="1" t="n">
        <f aca="false">QJ90</f>
        <v>1068998.1269212</v>
      </c>
      <c r="U91" s="1" t="n">
        <f aca="false">IF(AND(Slot1_On=1,D91=Slot1_Age),1,0)</f>
        <v>0</v>
      </c>
      <c r="V91" s="1" t="n">
        <f aca="false">IF(AND(Slot1_On=1,Slot1_Age&gt;D91),1,0)</f>
        <v>0</v>
      </c>
      <c r="W91" s="1" t="n">
        <f aca="false">QL90</f>
        <v>0</v>
      </c>
      <c r="X91" s="1" t="n">
        <f aca="false">U91*MIN(Slot1_Cost,W91)</f>
        <v>0</v>
      </c>
      <c r="Y91" s="1" t="n">
        <f aca="false">U91*Slot1_SpendLike*MIN(Slot1_Cost-X91,S91)</f>
        <v>0</v>
      </c>
      <c r="Z91" s="1" t="n">
        <f aca="false">X91+Y91</f>
        <v>0</v>
      </c>
      <c r="AA91" s="1" t="n">
        <f aca="false">S91-Y91+U91*IF(Slot1_SpendLike=1,W91-X91,IF(Slot1_PotFree=1,W91,0))</f>
        <v>1068998.1269212</v>
      </c>
      <c r="AB91" s="1" t="n">
        <f aca="false">AE91+U91*Slot1_BufPot*W91</f>
        <v>0</v>
      </c>
      <c r="AC91" s="1" t="n">
        <f aca="false">IF(AND(U91=1,Slot1_IsMfree=1),IF(Z91&gt;=Slot1_Cost-1,0,MAX(0,K91-Z91)),K91)</f>
        <v>0</v>
      </c>
      <c r="AD91" s="1" t="n">
        <f aca="false">U91*(Slot1_Cost-Z91)</f>
        <v>0</v>
      </c>
      <c r="AE91" s="1" t="n">
        <f aca="false">QK90</f>
        <v>0</v>
      </c>
      <c r="AF91" s="1" t="n">
        <f aca="false">IF(AND(Slot2_On=1,D91=Slot2_Age),1,0)</f>
        <v>0</v>
      </c>
      <c r="AG91" s="1" t="n">
        <f aca="false">IF(AND(Slot2_On=1,Slot2_Age&gt;D91),1,0)</f>
        <v>0</v>
      </c>
      <c r="AH91" s="1" t="n">
        <f aca="false">QP90</f>
        <v>0</v>
      </c>
      <c r="AI91" s="1" t="n">
        <f aca="false">AF91*MIN(Slot2_Cost,AH91)</f>
        <v>0</v>
      </c>
      <c r="AJ91" s="1" t="n">
        <f aca="false">AF91*Slot2_SpendLike*MIN(Slot2_Cost-AI91,AA91)</f>
        <v>0</v>
      </c>
      <c r="AK91" s="1" t="n">
        <f aca="false">AI91+AJ91</f>
        <v>0</v>
      </c>
      <c r="AL91" s="1" t="n">
        <f aca="false">AA91-AJ91+AF91*IF(Slot2_SpendLike=1,AH91-AI91,IF(Slot2_PotFree=1,AH91,0))</f>
        <v>1068998.1269212</v>
      </c>
      <c r="AM91" s="1" t="n">
        <f aca="false">AB91+AF91*Slot2_BufPot*AH91</f>
        <v>0</v>
      </c>
      <c r="AN91" s="1" t="n">
        <f aca="false">IF(AND(AF91=1,Slot2_IsMfree=1),IF(AK91&gt;=Slot2_Cost-1,0,MAX(0,AC91-AK91)),AC91)</f>
        <v>0</v>
      </c>
      <c r="AO91" s="1" t="n">
        <f aca="false">AF91*(Slot2_Cost-AK91)</f>
        <v>0</v>
      </c>
      <c r="AP91" s="1" t="n">
        <f aca="false">IF(AND(Slot3_On=1,D91=Slot3_Age),1,0)</f>
        <v>0</v>
      </c>
      <c r="AQ91" s="1" t="n">
        <f aca="false">IF(AND(Slot3_On=1,Slot3_Age&gt;D91),1,0)</f>
        <v>0</v>
      </c>
      <c r="AR91" s="1" t="n">
        <f aca="false">QT90</f>
        <v>0</v>
      </c>
      <c r="AS91" s="1" t="n">
        <f aca="false">AP91*MIN(Slot3_Cost,AR91)</f>
        <v>0</v>
      </c>
      <c r="AT91" s="1" t="n">
        <f aca="false">AP91*Slot3_SpendLike*MIN(Slot3_Cost-AS91,AL91)</f>
        <v>0</v>
      </c>
      <c r="AU91" s="1" t="n">
        <f aca="false">AS91+AT91</f>
        <v>0</v>
      </c>
      <c r="AV91" s="1" t="n">
        <f aca="false">AL91-AT91+AP91*IF(Slot3_SpendLike=1,AR91-AS91,IF(Slot3_PotFree=1,AR91,0))</f>
        <v>1068998.1269212</v>
      </c>
      <c r="AW91" s="1" t="n">
        <f aca="false">AM91+AP91*Slot3_BufPot*AR91</f>
        <v>0</v>
      </c>
      <c r="AX91" s="1" t="n">
        <f aca="false">IF(AND(AP91=1,Slot3_IsMfree=1),IF(AU91&gt;=Slot3_Cost-1,0,MAX(0,AN91-AU91)),AN91)</f>
        <v>0</v>
      </c>
      <c r="AY91" s="1" t="n">
        <f aca="false">AP91*(Slot3_Cost-AU91)</f>
        <v>0</v>
      </c>
      <c r="AZ91" s="1" t="n">
        <f aca="false">IF(AND(Slot4_On=1,D91=Slot4_Age),1,0)</f>
        <v>0</v>
      </c>
      <c r="BA91" s="1" t="n">
        <f aca="false">IF(AND(Slot4_On=1,Slot4_Age&gt;D91),1,0)</f>
        <v>0</v>
      </c>
      <c r="BB91" s="1" t="n">
        <f aca="false">QX90</f>
        <v>0</v>
      </c>
      <c r="BC91" s="1" t="n">
        <f aca="false">AZ91*MIN(Slot4_Cost,BB91)</f>
        <v>0</v>
      </c>
      <c r="BD91" s="1" t="n">
        <f aca="false">AZ91*Slot4_SpendLike*MIN(Slot4_Cost-BC91,AV91)</f>
        <v>0</v>
      </c>
      <c r="BE91" s="1" t="n">
        <f aca="false">BC91+BD91</f>
        <v>0</v>
      </c>
      <c r="BF91" s="1" t="n">
        <f aca="false">AV91-BD91+AZ91*IF(Slot4_SpendLike=1,BB91-BC91,IF(Slot4_PotFree=1,BB91,0))</f>
        <v>1068998.1269212</v>
      </c>
      <c r="BG91" s="1" t="n">
        <f aca="false">AW91+AZ91*Slot4_BufPot*BB91</f>
        <v>0</v>
      </c>
      <c r="BH91" s="1" t="n">
        <f aca="false">IF(AND(AZ91=1,Slot4_IsMfree=1),IF(BE91&gt;=Slot4_Cost-1,0,MAX(0,AX91-BE91)),AX91)</f>
        <v>0</v>
      </c>
      <c r="BI91" s="1" t="n">
        <f aca="false">AZ91*(Slot4_Cost-BE91)</f>
        <v>0</v>
      </c>
      <c r="BJ91" s="1" t="n">
        <f aca="false">IF(AND(Slot5_On=1,D91=Slot5_Age),1,0)</f>
        <v>0</v>
      </c>
      <c r="BK91" s="1" t="n">
        <f aca="false">IF(AND(Slot5_On=1,Slot5_Age&gt;D91),1,0)</f>
        <v>0</v>
      </c>
      <c r="BL91" s="1" t="n">
        <f aca="false">RB90</f>
        <v>0</v>
      </c>
      <c r="BM91" s="1" t="n">
        <f aca="false">BJ91*MIN(Slot5_Cost,BL91)</f>
        <v>0</v>
      </c>
      <c r="BN91" s="1" t="n">
        <f aca="false">BJ91*Slot5_SpendLike*MIN(Slot5_Cost-BM91,BF91)</f>
        <v>0</v>
      </c>
      <c r="BO91" s="1" t="n">
        <f aca="false">BM91+BN91</f>
        <v>0</v>
      </c>
      <c r="BP91" s="1" t="n">
        <f aca="false">BF91-BN91+BJ91*IF(Slot5_SpendLike=1,BL91-BM91,IF(Slot5_PotFree=1,BL91,0))</f>
        <v>1068998.1269212</v>
      </c>
      <c r="BQ91" s="1" t="n">
        <f aca="false">BG91+BJ91*Slot5_BufPot*BL91</f>
        <v>0</v>
      </c>
      <c r="BR91" s="1" t="n">
        <f aca="false">IF(AND(BJ91=1,Slot5_IsMfree=1),IF(BO91&gt;=Slot5_Cost-1,0,MAX(0,BH91-BO91)),BH91)</f>
        <v>0</v>
      </c>
      <c r="BS91" s="1" t="n">
        <f aca="false">BJ91*(Slot5_Cost-BO91)</f>
        <v>0</v>
      </c>
      <c r="BT91" s="1" t="n">
        <f aca="false">IF(AND(Slot6_On=1,D91=Slot6_Age),1,0)</f>
        <v>0</v>
      </c>
      <c r="BU91" s="1" t="n">
        <f aca="false">IF(AND(Slot6_On=1,Slot6_Age&gt;D91),1,0)</f>
        <v>0</v>
      </c>
      <c r="BV91" s="1" t="n">
        <f aca="false">RF90</f>
        <v>0</v>
      </c>
      <c r="BW91" s="1" t="n">
        <f aca="false">BT91*MIN(Slot6_Cost,BV91)</f>
        <v>0</v>
      </c>
      <c r="BX91" s="1" t="n">
        <f aca="false">BT91*Slot6_SpendLike*MIN(Slot6_Cost-BW91,BP91)</f>
        <v>0</v>
      </c>
      <c r="BY91" s="1" t="n">
        <f aca="false">BW91+BX91</f>
        <v>0</v>
      </c>
      <c r="BZ91" s="1" t="n">
        <f aca="false">BP91-BX91+BT91*IF(Slot6_SpendLike=1,BV91-BW91,IF(Slot6_PotFree=1,BV91,0))</f>
        <v>1068998.1269212</v>
      </c>
      <c r="CA91" s="1" t="n">
        <f aca="false">BQ91+BT91*Slot6_BufPot*BV91</f>
        <v>0</v>
      </c>
      <c r="CB91" s="1" t="n">
        <f aca="false">IF(AND(BT91=1,Slot6_IsMfree=1),IF(BY91&gt;=Slot6_Cost-1,0,MAX(0,BR91-BY91)),BR91)</f>
        <v>0</v>
      </c>
      <c r="CC91" s="1" t="n">
        <f aca="false">BT91*(Slot6_Cost-BY91)</f>
        <v>0</v>
      </c>
      <c r="CD91" s="1" t="n">
        <f aca="false">IF(AND(Slot7_On=1,D91=Slot7_Age),1,0)</f>
        <v>0</v>
      </c>
      <c r="CE91" s="1" t="n">
        <f aca="false">IF(AND(Slot7_On=1,Slot7_Age&gt;D91),1,0)</f>
        <v>0</v>
      </c>
      <c r="CF91" s="1" t="n">
        <f aca="false">RJ90</f>
        <v>0</v>
      </c>
      <c r="CG91" s="1" t="n">
        <f aca="false">CD91*MIN(Slot7_Cost,CF91)</f>
        <v>0</v>
      </c>
      <c r="CH91" s="1" t="n">
        <f aca="false">CD91*Slot7_SpendLike*MIN(Slot7_Cost-CG91,BZ91)</f>
        <v>0</v>
      </c>
      <c r="CI91" s="1" t="n">
        <f aca="false">CG91+CH91</f>
        <v>0</v>
      </c>
      <c r="CJ91" s="1" t="n">
        <f aca="false">BZ91-CH91+CD91*IF(Slot7_SpendLike=1,CF91-CG91,IF(Slot7_PotFree=1,CF91,0))</f>
        <v>1068998.1269212</v>
      </c>
      <c r="CK91" s="1" t="n">
        <f aca="false">CA91+CD91*Slot7_BufPot*CF91</f>
        <v>0</v>
      </c>
      <c r="CL91" s="1" t="n">
        <f aca="false">IF(AND(CD91=1,Slot7_IsMfree=1),IF(CI91&gt;=Slot7_Cost-1,0,MAX(0,CB91-CI91)),CB91)</f>
        <v>0</v>
      </c>
      <c r="CM91" s="1" t="n">
        <f aca="false">CD91*(Slot7_Cost-CI91)</f>
        <v>0</v>
      </c>
      <c r="CN91" s="1" t="n">
        <f aca="false">IF(AND(Slot8_On=1,D91=Slot8_Age),1,0)</f>
        <v>0</v>
      </c>
      <c r="CO91" s="1" t="n">
        <f aca="false">IF(AND(Slot8_On=1,Slot8_Age&gt;D91),1,0)</f>
        <v>0</v>
      </c>
      <c r="CP91" s="1" t="n">
        <f aca="false">RN90</f>
        <v>0</v>
      </c>
      <c r="CQ91" s="1" t="n">
        <f aca="false">CN91*MIN(Slot8_Cost,CP91)</f>
        <v>0</v>
      </c>
      <c r="CR91" s="1" t="n">
        <f aca="false">CN91*Slot8_SpendLike*MIN(Slot8_Cost-CQ91,CJ91)</f>
        <v>0</v>
      </c>
      <c r="CS91" s="1" t="n">
        <f aca="false">CQ91+CR91</f>
        <v>0</v>
      </c>
      <c r="CT91" s="1" t="n">
        <f aca="false">CJ91-CR91+CN91*IF(Slot8_SpendLike=1,CP91-CQ91,IF(Slot8_PotFree=1,CP91,0))</f>
        <v>1068998.1269212</v>
      </c>
      <c r="CU91" s="1" t="n">
        <f aca="false">CK91+CN91*Slot8_BufPot*CP91</f>
        <v>0</v>
      </c>
      <c r="CV91" s="1" t="n">
        <f aca="false">IF(AND(CN91=1,Slot8_IsMfree=1),IF(CS91&gt;=Slot8_Cost-1,0,MAX(0,CL91-CS91)),CL91)</f>
        <v>0</v>
      </c>
      <c r="CW91" s="1" t="n">
        <f aca="false">CN91*(Slot8_Cost-CS91)</f>
        <v>0</v>
      </c>
      <c r="CX91" s="1" t="n">
        <f aca="false">IF(AND(Slot9_On=1,D91=Slot9_Age),1,0)</f>
        <v>0</v>
      </c>
      <c r="CY91" s="1" t="n">
        <f aca="false">IF(AND(Slot9_On=1,Slot9_Age&gt;D91),1,0)</f>
        <v>0</v>
      </c>
      <c r="CZ91" s="1" t="n">
        <f aca="false">RR90</f>
        <v>0</v>
      </c>
      <c r="DA91" s="1" t="n">
        <f aca="false">CX91*MIN(Slot9_Cost,CZ91)</f>
        <v>0</v>
      </c>
      <c r="DB91" s="1" t="n">
        <f aca="false">CX91*Slot9_SpendLike*MIN(Slot9_Cost-DA91,CT91)</f>
        <v>0</v>
      </c>
      <c r="DC91" s="1" t="n">
        <f aca="false">DA91+DB91</f>
        <v>0</v>
      </c>
      <c r="DD91" s="1" t="n">
        <f aca="false">CT91-DB91+CX91*IF(Slot9_SpendLike=1,CZ91-DA91,IF(Slot9_PotFree=1,CZ91,0))</f>
        <v>1068998.1269212</v>
      </c>
      <c r="DE91" s="1" t="n">
        <f aca="false">CU91+CX91*Slot9_BufPot*CZ91</f>
        <v>0</v>
      </c>
      <c r="DF91" s="1" t="n">
        <f aca="false">IF(AND(CX91=1,Slot9_IsMfree=1),IF(DC91&gt;=Slot9_Cost-1,0,MAX(0,CV91-DC91)),CV91)</f>
        <v>0</v>
      </c>
      <c r="DG91" s="1" t="n">
        <f aca="false">CX91*(Slot9_Cost-DC91)</f>
        <v>0</v>
      </c>
      <c r="DH91" s="1" t="n">
        <f aca="false">IF(AND(Slot10_On=1,D91=Slot10_Age),1,0)</f>
        <v>0</v>
      </c>
      <c r="DI91" s="1" t="n">
        <f aca="false">IF(AND(Slot10_On=1,Slot10_Age&gt;D91),1,0)</f>
        <v>0</v>
      </c>
      <c r="DJ91" s="1" t="n">
        <f aca="false">RV90</f>
        <v>0</v>
      </c>
      <c r="DK91" s="1" t="n">
        <f aca="false">DH91*MIN(Slot10_Cost,DJ91)</f>
        <v>0</v>
      </c>
      <c r="DL91" s="1" t="n">
        <f aca="false">DH91*Slot10_SpendLike*MIN(Slot10_Cost-DK91,DD91)</f>
        <v>0</v>
      </c>
      <c r="DM91" s="1" t="n">
        <f aca="false">DK91+DL91</f>
        <v>0</v>
      </c>
      <c r="DN91" s="1" t="n">
        <f aca="false">DD91-DL91+DH91*IF(Slot10_SpendLike=1,DJ91-DK91,IF(Slot10_PotFree=1,DJ91,0))</f>
        <v>1068998.1269212</v>
      </c>
      <c r="DO91" s="1" t="n">
        <f aca="false">DE91+DH91*Slot10_BufPot*DJ91</f>
        <v>0</v>
      </c>
      <c r="DP91" s="1" t="n">
        <f aca="false">IF(AND(DH91=1,Slot10_IsMfree=1),IF(DM91&gt;=Slot10_Cost-1,0,MAX(0,DF91-DM91)),DF91)</f>
        <v>0</v>
      </c>
      <c r="DQ91" s="1" t="n">
        <f aca="false">DH91*(Slot10_Cost-DM91)</f>
        <v>0</v>
      </c>
      <c r="DR91" s="1" t="n">
        <f aca="false">IF(AND(Slot11_On=1,D91=Slot11_Age),1,0)</f>
        <v>0</v>
      </c>
      <c r="DS91" s="1" t="n">
        <f aca="false">IF(AND(Slot11_On=1,Slot11_Age&gt;D91),1,0)</f>
        <v>0</v>
      </c>
      <c r="DT91" s="1" t="n">
        <f aca="false">RZ90</f>
        <v>0</v>
      </c>
      <c r="DU91" s="1" t="n">
        <f aca="false">DR91*MIN(Slot11_Cost,DT91)</f>
        <v>0</v>
      </c>
      <c r="DV91" s="1" t="n">
        <f aca="false">DR91*Slot11_SpendLike*MIN(Slot11_Cost-DU91,DN91)</f>
        <v>0</v>
      </c>
      <c r="DW91" s="1" t="n">
        <f aca="false">DU91+DV91</f>
        <v>0</v>
      </c>
      <c r="DX91" s="1" t="n">
        <f aca="false">DN91-DV91+DR91*IF(Slot11_SpendLike=1,DT91-DU91,IF(Slot11_PotFree=1,DT91,0))</f>
        <v>1068998.1269212</v>
      </c>
      <c r="DY91" s="1" t="n">
        <f aca="false">DO91+DR91*Slot11_BufPot*DT91</f>
        <v>0</v>
      </c>
      <c r="DZ91" s="1" t="n">
        <f aca="false">IF(AND(DR91=1,Slot11_IsMfree=1),IF(DW91&gt;=Slot11_Cost-1,0,MAX(0,DP91-DW91)),DP91)</f>
        <v>0</v>
      </c>
      <c r="EA91" s="1" t="n">
        <f aca="false">DR91*(Slot11_Cost-DW91)</f>
        <v>0</v>
      </c>
      <c r="EB91" s="1" t="n">
        <f aca="false">IF(AND(Slot12_On=1,D91=Slot12_Age),1,0)</f>
        <v>0</v>
      </c>
      <c r="EC91" s="1" t="n">
        <f aca="false">IF(AND(Slot12_On=1,Slot12_Age&gt;D91),1,0)</f>
        <v>0</v>
      </c>
      <c r="ED91" s="1" t="n">
        <f aca="false">SD90</f>
        <v>0</v>
      </c>
      <c r="EE91" s="1" t="n">
        <f aca="false">EB91*MIN(Slot12_Cost,ED91)</f>
        <v>0</v>
      </c>
      <c r="EF91" s="1" t="n">
        <f aca="false">EB91*Slot12_SpendLike*MIN(Slot12_Cost-EE91,DX91)</f>
        <v>0</v>
      </c>
      <c r="EG91" s="1" t="n">
        <f aca="false">EE91+EF91</f>
        <v>0</v>
      </c>
      <c r="EH91" s="1" t="n">
        <f aca="false">DX91-EF91+EB91*IF(Slot12_SpendLike=1,ED91-EE91,IF(Slot12_PotFree=1,ED91,0))</f>
        <v>1068998.1269212</v>
      </c>
      <c r="EI91" s="1" t="n">
        <f aca="false">DY91+EB91*Slot12_BufPot*ED91</f>
        <v>0</v>
      </c>
      <c r="EJ91" s="1" t="n">
        <f aca="false">IF(AND(EB91=1,Slot12_IsMfree=1),IF(EG91&gt;=Slot12_Cost-1,0,MAX(0,DZ91-EG91)),DZ91)</f>
        <v>0</v>
      </c>
      <c r="EK91" s="1" t="n">
        <f aca="false">EB91*(Slot12_Cost-EG91)</f>
        <v>0</v>
      </c>
      <c r="EL91" s="1" t="n">
        <f aca="false">IF(AND(Slot13_On=1,D91=Slot13_Age),1,0)</f>
        <v>0</v>
      </c>
      <c r="EM91" s="1" t="n">
        <f aca="false">IF(AND(Slot13_On=1,Slot13_Age&gt;D91),1,0)</f>
        <v>0</v>
      </c>
      <c r="EN91" s="1" t="n">
        <f aca="false">SH90</f>
        <v>0</v>
      </c>
      <c r="EO91" s="1" t="n">
        <f aca="false">EL91*MIN(Slot13_Cost,EN91)</f>
        <v>0</v>
      </c>
      <c r="EP91" s="1" t="n">
        <f aca="false">EL91*Slot13_SpendLike*MIN(Slot13_Cost-EO91,EH91)</f>
        <v>0</v>
      </c>
      <c r="EQ91" s="1" t="n">
        <f aca="false">EO91+EP91</f>
        <v>0</v>
      </c>
      <c r="ER91" s="1" t="n">
        <f aca="false">EH91-EP91+EL91*IF(Slot13_SpendLike=1,EN91-EO91,IF(Slot13_PotFree=1,EN91,0))</f>
        <v>1068998.1269212</v>
      </c>
      <c r="ES91" s="1" t="n">
        <f aca="false">EI91+EL91*Slot13_BufPot*EN91</f>
        <v>0</v>
      </c>
      <c r="ET91" s="1" t="n">
        <f aca="false">IF(AND(EL91=1,Slot13_IsMfree=1),IF(EQ91&gt;=Slot13_Cost-1,0,MAX(0,EJ91-EQ91)),EJ91)</f>
        <v>0</v>
      </c>
      <c r="EU91" s="1" t="n">
        <f aca="false">EL91*(Slot13_Cost-EQ91)</f>
        <v>0</v>
      </c>
      <c r="EV91" s="1" t="n">
        <f aca="false">IF(AND(Slot14_On=1,D91=Slot14_Age),1,0)</f>
        <v>0</v>
      </c>
      <c r="EW91" s="1" t="n">
        <f aca="false">IF(AND(Slot14_On=1,Slot14_Age&gt;D91),1,0)</f>
        <v>0</v>
      </c>
      <c r="EX91" s="1" t="n">
        <f aca="false">SL90</f>
        <v>0</v>
      </c>
      <c r="EY91" s="1" t="n">
        <f aca="false">EV91*MIN(Slot14_Cost,EX91)</f>
        <v>0</v>
      </c>
      <c r="EZ91" s="1" t="n">
        <f aca="false">EV91*Slot14_SpendLike*MIN(Slot14_Cost-EY91,ER91)</f>
        <v>0</v>
      </c>
      <c r="FA91" s="1" t="n">
        <f aca="false">EY91+EZ91</f>
        <v>0</v>
      </c>
      <c r="FB91" s="1" t="n">
        <f aca="false">ER91-EZ91+EV91*IF(Slot14_SpendLike=1,EX91-EY91,IF(Slot14_PotFree=1,EX91,0))</f>
        <v>1068998.1269212</v>
      </c>
      <c r="FC91" s="1" t="n">
        <f aca="false">ES91+EV91*Slot14_BufPot*EX91</f>
        <v>0</v>
      </c>
      <c r="FD91" s="1" t="n">
        <f aca="false">IF(AND(EV91=1,Slot14_IsMfree=1),IF(FA91&gt;=Slot14_Cost-1,0,MAX(0,ET91-FA91)),ET91)</f>
        <v>0</v>
      </c>
      <c r="FE91" s="1" t="n">
        <f aca="false">EV91*(Slot14_Cost-FA91)</f>
        <v>0</v>
      </c>
      <c r="FF91" s="1" t="n">
        <f aca="false">IF(AND(Slot15_On=1,D91=Slot15_Age),1,0)</f>
        <v>0</v>
      </c>
      <c r="FG91" s="1" t="n">
        <f aca="false">IF(AND(Slot15_On=1,Slot15_Age&gt;D91),1,0)</f>
        <v>0</v>
      </c>
      <c r="FH91" s="1" t="n">
        <f aca="false">SP90</f>
        <v>0</v>
      </c>
      <c r="FI91" s="1" t="n">
        <f aca="false">FF91*MIN(Slot15_Cost,FH91)</f>
        <v>0</v>
      </c>
      <c r="FJ91" s="1" t="n">
        <f aca="false">FF91*Slot15_SpendLike*MIN(Slot15_Cost-FI91,FB91)</f>
        <v>0</v>
      </c>
      <c r="FK91" s="1" t="n">
        <f aca="false">FI91+FJ91</f>
        <v>0</v>
      </c>
      <c r="FL91" s="1" t="n">
        <f aca="false">FB91-FJ91+FF91*IF(Slot15_SpendLike=1,FH91-FI91,IF(Slot15_PotFree=1,FH91,0))</f>
        <v>1068998.1269212</v>
      </c>
      <c r="FM91" s="1" t="n">
        <f aca="false">FC91+FF91*Slot15_BufPot*FH91</f>
        <v>0</v>
      </c>
      <c r="FN91" s="1" t="n">
        <f aca="false">IF(AND(FF91=1,Slot15_IsMfree=1),IF(FK91&gt;=Slot15_Cost-1,0,MAX(0,FD91-FK91)),FD91)</f>
        <v>0</v>
      </c>
      <c r="FO91" s="1" t="n">
        <f aca="false">FF91*(Slot15_Cost-FK91)</f>
        <v>0</v>
      </c>
      <c r="FP91" s="1" t="n">
        <f aca="false">IF(AND(Slot16_On=1,D91=Slot16_Age),1,0)</f>
        <v>0</v>
      </c>
      <c r="FQ91" s="1" t="n">
        <f aca="false">IF(AND(Slot16_On=1,Slot16_Age&gt;D91),1,0)</f>
        <v>0</v>
      </c>
      <c r="FR91" s="1" t="n">
        <f aca="false">ST90</f>
        <v>0</v>
      </c>
      <c r="FS91" s="1" t="n">
        <f aca="false">FP91*MIN(Slot16_Cost,FR91)</f>
        <v>0</v>
      </c>
      <c r="FT91" s="1" t="n">
        <f aca="false">FP91*Slot16_SpendLike*MIN(Slot16_Cost-FS91,FL91)</f>
        <v>0</v>
      </c>
      <c r="FU91" s="1" t="n">
        <f aca="false">FS91+FT91</f>
        <v>0</v>
      </c>
      <c r="FV91" s="1" t="n">
        <f aca="false">FL91-FT91+FP91*IF(Slot16_SpendLike=1,FR91-FS91,IF(Slot16_PotFree=1,FR91,0))</f>
        <v>1068998.1269212</v>
      </c>
      <c r="FW91" s="1" t="n">
        <f aca="false">FM91+FP91*Slot16_BufPot*FR91</f>
        <v>0</v>
      </c>
      <c r="FX91" s="1" t="n">
        <f aca="false">IF(AND(FP91=1,Slot16_IsMfree=1),IF(FU91&gt;=Slot16_Cost-1,0,MAX(0,FN91-FU91)),FN91)</f>
        <v>0</v>
      </c>
      <c r="FY91" s="1" t="n">
        <f aca="false">FP91*(Slot16_Cost-FU91)</f>
        <v>0</v>
      </c>
      <c r="FZ91" s="1" t="n">
        <f aca="false">IF(AND(Slot17_On=1,D91=Slot17_Age),1,0)</f>
        <v>0</v>
      </c>
      <c r="GA91" s="1" t="n">
        <f aca="false">IF(AND(Slot17_On=1,Slot17_Age&gt;D91),1,0)</f>
        <v>0</v>
      </c>
      <c r="GB91" s="1" t="n">
        <f aca="false">SX90</f>
        <v>0</v>
      </c>
      <c r="GC91" s="1" t="n">
        <f aca="false">FZ91*MIN(Slot17_Cost,GB91)</f>
        <v>0</v>
      </c>
      <c r="GD91" s="1" t="n">
        <f aca="false">FZ91*Slot17_SpendLike*MIN(Slot17_Cost-GC91,FV91)</f>
        <v>0</v>
      </c>
      <c r="GE91" s="1" t="n">
        <f aca="false">GC91+GD91</f>
        <v>0</v>
      </c>
      <c r="GF91" s="1" t="n">
        <f aca="false">FV91-GD91+FZ91*IF(Slot17_SpendLike=1,GB91-GC91,IF(Slot17_PotFree=1,GB91,0))</f>
        <v>1068998.1269212</v>
      </c>
      <c r="GG91" s="1" t="n">
        <f aca="false">FW91+FZ91*Slot17_BufPot*GB91</f>
        <v>0</v>
      </c>
      <c r="GH91" s="1" t="n">
        <f aca="false">IF(AND(FZ91=1,Slot17_IsMfree=1),IF(GE91&gt;=Slot17_Cost-1,0,MAX(0,FX91-GE91)),FX91)</f>
        <v>0</v>
      </c>
      <c r="GI91" s="1" t="n">
        <f aca="false">FZ91*(Slot17_Cost-GE91)</f>
        <v>0</v>
      </c>
      <c r="GJ91" s="1" t="n">
        <f aca="false">IF(AND(Slot18_On=1,D91=Slot18_Age),1,0)</f>
        <v>0</v>
      </c>
      <c r="GK91" s="1" t="n">
        <f aca="false">IF(AND(Slot18_On=1,Slot18_Age&gt;D91),1,0)</f>
        <v>0</v>
      </c>
      <c r="GL91" s="1" t="n">
        <f aca="false">TB90</f>
        <v>0</v>
      </c>
      <c r="GM91" s="1" t="n">
        <f aca="false">GJ91*MIN(Slot18_Cost,GL91)</f>
        <v>0</v>
      </c>
      <c r="GN91" s="1" t="n">
        <f aca="false">GJ91*Slot18_SpendLike*MIN(Slot18_Cost-GM91,GF91)</f>
        <v>0</v>
      </c>
      <c r="GO91" s="1" t="n">
        <f aca="false">GM91+GN91</f>
        <v>0</v>
      </c>
      <c r="GP91" s="1" t="n">
        <f aca="false">GF91-GN91+GJ91*IF(Slot18_SpendLike=1,GL91-GM91,IF(Slot18_PotFree=1,GL91,0))</f>
        <v>1068998.1269212</v>
      </c>
      <c r="GQ91" s="1" t="n">
        <f aca="false">GG91+GJ91*Slot18_BufPot*GL91</f>
        <v>0</v>
      </c>
      <c r="GR91" s="1" t="n">
        <f aca="false">IF(AND(GJ91=1,Slot18_IsMfree=1),IF(GO91&gt;=Slot18_Cost-1,0,MAX(0,GH91-GO91)),GH91)</f>
        <v>0</v>
      </c>
      <c r="GS91" s="1" t="n">
        <f aca="false">GJ91*(Slot18_Cost-GO91)</f>
        <v>0</v>
      </c>
      <c r="GT91" s="1" t="n">
        <f aca="false">IF(AND(Slot19_On=1,D91=Slot19_Age),1,0)</f>
        <v>0</v>
      </c>
      <c r="GU91" s="1" t="n">
        <f aca="false">IF(AND(Slot19_On=1,Slot19_Age&gt;D91),1,0)</f>
        <v>0</v>
      </c>
      <c r="GV91" s="1" t="n">
        <f aca="false">TF90</f>
        <v>0</v>
      </c>
      <c r="GW91" s="1" t="n">
        <f aca="false">GT91*MIN(Slot19_Cost,GV91)</f>
        <v>0</v>
      </c>
      <c r="GX91" s="1" t="n">
        <f aca="false">GT91*Slot19_SpendLike*MIN(Slot19_Cost-GW91,GP91)</f>
        <v>0</v>
      </c>
      <c r="GY91" s="1" t="n">
        <f aca="false">GW91+GX91</f>
        <v>0</v>
      </c>
      <c r="GZ91" s="1" t="n">
        <f aca="false">GP91-GX91+GT91*IF(Slot19_SpendLike=1,GV91-GW91,IF(Slot19_PotFree=1,GV91,0))</f>
        <v>1068998.1269212</v>
      </c>
      <c r="HA91" s="1" t="n">
        <f aca="false">GQ91+GT91*Slot19_BufPot*GV91</f>
        <v>0</v>
      </c>
      <c r="HB91" s="1" t="n">
        <f aca="false">IF(AND(GT91=1,Slot19_IsMfree=1),IF(GY91&gt;=Slot19_Cost-1,0,MAX(0,GR91-GY91)),GR91)</f>
        <v>0</v>
      </c>
      <c r="HC91" s="1" t="n">
        <f aca="false">GT91*(Slot19_Cost-GY91)</f>
        <v>0</v>
      </c>
      <c r="HD91" s="1" t="n">
        <f aca="false">IF(AND(Slot20_On=1,D91=Slot20_Age),1,0)</f>
        <v>0</v>
      </c>
      <c r="HE91" s="1" t="n">
        <f aca="false">IF(AND(Slot20_On=1,Slot20_Age&gt;D91),1,0)</f>
        <v>0</v>
      </c>
      <c r="HF91" s="1" t="n">
        <f aca="false">TJ90</f>
        <v>0</v>
      </c>
      <c r="HG91" s="1" t="n">
        <f aca="false">HD91*MIN(Slot20_Cost,HF91)</f>
        <v>0</v>
      </c>
      <c r="HH91" s="1" t="n">
        <f aca="false">HD91*Slot20_SpendLike*MIN(Slot20_Cost-HG91,GZ91)</f>
        <v>0</v>
      </c>
      <c r="HI91" s="1" t="n">
        <f aca="false">HG91+HH91</f>
        <v>0</v>
      </c>
      <c r="HJ91" s="1" t="n">
        <f aca="false">GZ91-HH91+HD91*IF(Slot20_SpendLike=1,HF91-HG91,IF(Slot20_PotFree=1,HF91,0))</f>
        <v>1068998.1269212</v>
      </c>
      <c r="HK91" s="1" t="n">
        <f aca="false">HA91+HD91*Slot20_BufPot*HF91</f>
        <v>0</v>
      </c>
      <c r="HL91" s="1" t="n">
        <f aca="false">IF(AND(HD91=1,Slot20_IsMfree=1),IF(HI91&gt;=Slot20_Cost-1,0,MAX(0,HB91-HI91)),HB91)</f>
        <v>0</v>
      </c>
      <c r="HM91" s="1" t="n">
        <f aca="false">HD91*(Slot20_Cost-HI91)</f>
        <v>0</v>
      </c>
      <c r="HN91" s="1" t="n">
        <f aca="false">U91*Slot1_SpendLike*Z91+AF91*Slot2_SpendLike*AK91+AP91*Slot3_SpendLike*AU91+AZ91*Slot4_SpendLike*BE91+BJ91*Slot5_SpendLike*BO91+BT91*Slot6_SpendLike*BY91+CD91*Slot7_SpendLike*CI91+CN91*Slot8_SpendLike*CS91+CX91*Slot9_SpendLike*DC91+DH91*Slot10_SpendLike*DM91+DR91*Slot11_SpendLike*DW91+EB91*Slot12_SpendLike*EG91+EL91*Slot13_SpendLike*EQ91+EV91*Slot14_SpendLike*FA91+FF91*Slot15_SpendLike*FK91+FP91*Slot16_SpendLike*FU91+FZ91*Slot17_SpendLike*GE91+GJ91*Slot18_SpendLike*GO91+GT91*Slot19_SpendLike*GY91+HD91*Slot20_SpendLike*HI91</f>
        <v>0</v>
      </c>
      <c r="HO91" s="1" t="n">
        <f aca="false">AD91+AO91+AY91+BI91+BS91+CC91+CM91+CW91+DG91+DQ91+EA91+EK91+EU91+FE91+FO91+FY91+GI91+GS91+HC91+HM91</f>
        <v>0</v>
      </c>
      <c r="HP91" s="1" t="n">
        <f aca="false">U91*Slot1_Cost+AF91*Slot2_Cost+AP91*Slot3_Cost+AZ91*Slot4_Cost+BJ91*Slot5_Cost+BT91*Slot6_Cost+CD91*Slot7_Cost+CN91*Slot8_Cost+CX91*Slot9_Cost+DH91*Slot10_Cost+DR91*Slot11_Cost+EB91*Slot12_Cost+EL91*Slot13_Cost+EV91*Slot14_Cost+FF91*Slot15_Cost+FP91*Slot16_Cost+FZ91*Slot17_Cost+GJ91*Slot18_Cost+GT91*Slot19_Cost+HD91*Slot20_Cost</f>
        <v>0</v>
      </c>
      <c r="HQ91" s="1" t="n">
        <f aca="false">HL91</f>
        <v>0</v>
      </c>
      <c r="HR91" s="1" t="n">
        <f aca="false">G91-H91-R91</f>
        <v>67109.4528088685</v>
      </c>
      <c r="HS91" s="1" t="n">
        <f aca="false">IF(B91=0,IF(AND(Has_q6=1,In_q6=4),PR_ShareVaries*(MAX(0,HR91)/12),MIN(IF(Has_q6=1,CHOOSE(In_q6+1,PR_SaveB1,PR_SaveB2,PR_SaveB3,PR_SaveB4,0),AS_NoAnswer),AS_SaveShare*(MAX(0,HR91)/12))),HS90)</f>
        <v>0</v>
      </c>
      <c r="HT91" s="1" t="n">
        <f aca="false">IF(HR91&gt;=0,1,0)</f>
        <v>1</v>
      </c>
      <c r="HU91" s="1" t="n">
        <f aca="false">MAX(0,HR91/12/E91)</f>
        <v>1080.90666666667</v>
      </c>
      <c r="HV91" s="1" t="n">
        <f aca="false">IF(AND(Has_q6=1,In_q6=4),PR_ShareVaries*(HU91),MIN(IF(Has_q6=1,CHOOSE(In_q6+1,PR_SaveB1,PR_SaveB2,PR_SaveB3,PR_SaveB4,0),AS_NoAnswer),AS_SaveShare*(HU91)))</f>
        <v>300</v>
      </c>
      <c r="HW91" s="1" t="n">
        <f aca="false">IF(Has_saveM=1,IF(In_saveUp="Yes",1,IF(In_saveUp="No",0,IF(In_saveM&gt;=HS91-0.5,1,0))),0)</f>
        <v>0</v>
      </c>
      <c r="HX91" s="1" t="n">
        <f aca="false">IF(Has_saveM=1,MIN(HU91,IF(HW91=1,MAX(In_saveM,HV91),MIN(In_saveM,HV91))),HV91)</f>
        <v>300</v>
      </c>
      <c r="HY91" s="1" t="n">
        <f aca="false">IF(F91=1,HX91*12*E91,0)</f>
        <v>0</v>
      </c>
      <c r="HZ91" s="1" t="n">
        <f aca="false">MAX(0,HY91+IF(AND(WI_Retire=0,WI_M&lt;0,F91=1),WI_M*12*E91,0))</f>
        <v>0</v>
      </c>
      <c r="IA91" s="1" t="n">
        <f aca="false">Slot1_IsWG*V91+Slot2_IsWG*AG91+Slot3_IsWG*AQ91+Slot4_IsWG*BA91+Slot5_IsWG*BK91+Slot6_IsWG*BU91+Slot7_IsWG*CE91+Slot8_IsWG*CO91+Slot9_IsWG*CY91+Slot10_IsWG*DI91+Slot11_IsWG*DS91+Slot12_IsWG*EC91+Slot13_IsWG*EM91+Slot14_IsWG*EW91+Slot15_IsWG*FG91+Slot16_IsWG*FQ91+Slot17_IsWG*GA91+Slot18_IsWG*GK91+Slot19_IsWG*GU91+Slot20_IsWG*HE91</f>
        <v>0</v>
      </c>
      <c r="IB91" s="1" t="n">
        <f aca="false">IF(AND(WI_Retire=0,WI_M&gt;0,F91=1,IA91&gt;=1),WI_M*12*E91,0)</f>
        <v>0</v>
      </c>
      <c r="IC91" s="1" t="n">
        <f aca="false">IF(HT91=1,MIN(HZ91,HR91),0)</f>
        <v>0</v>
      </c>
      <c r="ID91" s="1" t="n">
        <f aca="false">IF(HT91=1,MIN(IB91,HR91-IC91),0)</f>
        <v>0</v>
      </c>
      <c r="IE91" s="1" t="n">
        <f aca="false">IF(V91=1,IF(ABS((1+AS_Wage)/(1+Slot1_Rate)-1)&lt;0.000000000001,(Slot1_Age-D91)*(1+Slot1_Rate)^(Slot1_Age-D91),(1+Slot1_Rate)^(Slot1_Age-D91)*(1-((1+AS_Wage)/(1+Slot1_Rate))^(Slot1_Age-D91))/(1-(1+AS_Wage)/(1+Slot1_Rate))),1)</f>
        <v>1</v>
      </c>
      <c r="IF91" s="1" t="n">
        <f aca="false">IF(AND(HT91=1,ID91&gt;0,Slot1_IsWG=1,V91=1),MAX(0,(Slot1_Cost-W91*(1+Slot1_Rate)^(Slot1_Age-D91))/IE91),0)</f>
        <v>0</v>
      </c>
      <c r="IG91" s="1" t="n">
        <f aca="false">IF(AND(HT91=1,ID91&gt;0,Slot1_IsWG=1,V91=1),MIN(ID91,IF91),0)</f>
        <v>0</v>
      </c>
      <c r="IH91" s="1" t="n">
        <f aca="false">W91+IG91</f>
        <v>0</v>
      </c>
      <c r="II91" s="1" t="n">
        <f aca="false">IF(V91=1,MAX(0,(Slot1_Cost-IH91*(1+Slot1_Rate)^(Slot1_Age-D91))/IE91),0)</f>
        <v>0</v>
      </c>
      <c r="IJ91" s="1" t="n">
        <f aca="false">IF(V91=1,MAX(0,(Slot1_Cost-W91*(1+Slot1_Rate)^(Slot1_Age-D91))/IE91),0)</f>
        <v>0</v>
      </c>
      <c r="IK91" s="1" t="n">
        <f aca="false">IF(AND(HT91=1,V91=1),MIN(IC91,II91),0)</f>
        <v>0</v>
      </c>
      <c r="IL91" s="1" t="n">
        <f aca="false">IC91-IK91</f>
        <v>0</v>
      </c>
      <c r="IM91" s="1" t="n">
        <f aca="false">IF(AG91=1,IF(ABS((1+AS_Wage)/(1+Slot2_Rate)-1)&lt;0.000000000001,(Slot2_Age-D91)*(1+Slot2_Rate)^(Slot2_Age-D91),(1+Slot2_Rate)^(Slot2_Age-D91)*(1-((1+AS_Wage)/(1+Slot2_Rate))^(Slot2_Age-D91))/(1-(1+AS_Wage)/(1+Slot2_Rate))),1)</f>
        <v>1</v>
      </c>
      <c r="IN91" s="1" t="n">
        <f aca="false">IF(AND(HT91=1,ID91&gt;0,Slot2_IsWG=1,AG91=1),MAX(0,(Slot2_Cost-AH91*(1+Slot2_Rate)^(Slot2_Age-D91))/IM91),0)</f>
        <v>0</v>
      </c>
      <c r="IO91" s="1" t="n">
        <f aca="false">IF(AND(HT91=1,ID91&gt;0,Slot2_IsWG=1,AG91=1),MIN(ID91,IN91),0)</f>
        <v>0</v>
      </c>
      <c r="IP91" s="1" t="n">
        <f aca="false">AH91+IO91</f>
        <v>0</v>
      </c>
      <c r="IQ91" s="1" t="n">
        <f aca="false">IF(AG91=1,MAX(0,(Slot2_Cost-IP91*(1+Slot2_Rate)^(Slot2_Age-D91))/IM91),0)</f>
        <v>0</v>
      </c>
      <c r="IR91" s="1" t="n">
        <f aca="false">IF(AG91=1,MAX(0,(Slot2_Cost-AH91*(1+Slot2_Rate)^(Slot2_Age-D91))/IM91),0)</f>
        <v>0</v>
      </c>
      <c r="IS91" s="1" t="n">
        <f aca="false">IF(AND(HT91=1,AG91=1),MIN(IL91,IQ91),0)</f>
        <v>0</v>
      </c>
      <c r="IT91" s="1" t="n">
        <f aca="false">IL91-IS91</f>
        <v>0</v>
      </c>
      <c r="IU91" s="1" t="n">
        <f aca="false">IF(AQ91=1,IF(ABS((1+AS_Wage)/(1+Slot3_Rate)-1)&lt;0.000000000001,(Slot3_Age-D91)*(1+Slot3_Rate)^(Slot3_Age-D91),(1+Slot3_Rate)^(Slot3_Age-D91)*(1-((1+AS_Wage)/(1+Slot3_Rate))^(Slot3_Age-D91))/(1-(1+AS_Wage)/(1+Slot3_Rate))),1)</f>
        <v>1</v>
      </c>
      <c r="IV91" s="1" t="n">
        <f aca="false">IF(AND(HT91=1,ID91&gt;0,Slot3_IsWG=1,AQ91=1),MAX(0,(Slot3_Cost-AR91*(1+Slot3_Rate)^(Slot3_Age-D91))/IU91),0)</f>
        <v>0</v>
      </c>
      <c r="IW91" s="1" t="n">
        <f aca="false">IF(AND(HT91=1,ID91&gt;0,Slot3_IsWG=1,AQ91=1),MIN(ID91,IV91),0)</f>
        <v>0</v>
      </c>
      <c r="IX91" s="1" t="n">
        <f aca="false">AR91+IW91</f>
        <v>0</v>
      </c>
      <c r="IY91" s="1" t="n">
        <f aca="false">IF(AQ91=1,MAX(0,(Slot3_Cost-IX91*(1+Slot3_Rate)^(Slot3_Age-D91))/IU91),0)</f>
        <v>0</v>
      </c>
      <c r="IZ91" s="1" t="n">
        <f aca="false">IF(AQ91=1,MAX(0,(Slot3_Cost-AR91*(1+Slot3_Rate)^(Slot3_Age-D91))/IU91),0)</f>
        <v>0</v>
      </c>
      <c r="JA91" s="1" t="n">
        <f aca="false">IF(AND(HT91=1,AQ91=1),MIN(IT91,IY91),0)</f>
        <v>0</v>
      </c>
      <c r="JB91" s="1" t="n">
        <f aca="false">IT91-JA91</f>
        <v>0</v>
      </c>
      <c r="JC91" s="1" t="n">
        <f aca="false">IF(BA91=1,IF(ABS((1+AS_Wage)/(1+Slot4_Rate)-1)&lt;0.000000000001,(Slot4_Age-D91)*(1+Slot4_Rate)^(Slot4_Age-D91),(1+Slot4_Rate)^(Slot4_Age-D91)*(1-((1+AS_Wage)/(1+Slot4_Rate))^(Slot4_Age-D91))/(1-(1+AS_Wage)/(1+Slot4_Rate))),1)</f>
        <v>1</v>
      </c>
      <c r="JD91" s="1" t="n">
        <f aca="false">IF(AND(HT91=1,ID91&gt;0,Slot4_IsWG=1,BA91=1),MAX(0,(Slot4_Cost-BB91*(1+Slot4_Rate)^(Slot4_Age-D91))/JC91),0)</f>
        <v>0</v>
      </c>
      <c r="JE91" s="1" t="n">
        <f aca="false">IF(AND(HT91=1,ID91&gt;0,Slot4_IsWG=1,BA91=1),MIN(ID91,JD91),0)</f>
        <v>0</v>
      </c>
      <c r="JF91" s="1" t="n">
        <f aca="false">BB91+JE91</f>
        <v>0</v>
      </c>
      <c r="JG91" s="1" t="n">
        <f aca="false">IF(BA91=1,MAX(0,(Slot4_Cost-JF91*(1+Slot4_Rate)^(Slot4_Age-D91))/JC91),0)</f>
        <v>0</v>
      </c>
      <c r="JH91" s="1" t="n">
        <f aca="false">IF(BA91=1,MAX(0,(Slot4_Cost-BB91*(1+Slot4_Rate)^(Slot4_Age-D91))/JC91),0)</f>
        <v>0</v>
      </c>
      <c r="JI91" s="1" t="n">
        <f aca="false">IF(AND(HT91=1,BA91=1),MIN(JB91,JG91),0)</f>
        <v>0</v>
      </c>
      <c r="JJ91" s="1" t="n">
        <f aca="false">JB91-JI91</f>
        <v>0</v>
      </c>
      <c r="JK91" s="1" t="n">
        <f aca="false">IF(BK91=1,IF(ABS((1+AS_Wage)/(1+Slot5_Rate)-1)&lt;0.000000000001,(Slot5_Age-D91)*(1+Slot5_Rate)^(Slot5_Age-D91),(1+Slot5_Rate)^(Slot5_Age-D91)*(1-((1+AS_Wage)/(1+Slot5_Rate))^(Slot5_Age-D91))/(1-(1+AS_Wage)/(1+Slot5_Rate))),1)</f>
        <v>1</v>
      </c>
      <c r="JL91" s="1" t="n">
        <f aca="false">IF(AND(HT91=1,ID91&gt;0,Slot5_IsWG=1,BK91=1),MAX(0,(Slot5_Cost-BL91*(1+Slot5_Rate)^(Slot5_Age-D91))/JK91),0)</f>
        <v>0</v>
      </c>
      <c r="JM91" s="1" t="n">
        <f aca="false">IF(AND(HT91=1,ID91&gt;0,Slot5_IsWG=1,BK91=1),MIN(ID91,JL91),0)</f>
        <v>0</v>
      </c>
      <c r="JN91" s="1" t="n">
        <f aca="false">BL91+JM91</f>
        <v>0</v>
      </c>
      <c r="JO91" s="1" t="n">
        <f aca="false">IF(BK91=1,MAX(0,(Slot5_Cost-JN91*(1+Slot5_Rate)^(Slot5_Age-D91))/JK91),0)</f>
        <v>0</v>
      </c>
      <c r="JP91" s="1" t="n">
        <f aca="false">IF(BK91=1,MAX(0,(Slot5_Cost-BL91*(1+Slot5_Rate)^(Slot5_Age-D91))/JK91),0)</f>
        <v>0</v>
      </c>
      <c r="JQ91" s="1" t="n">
        <f aca="false">IF(AND(HT91=1,BK91=1),MIN(JJ91,JO91),0)</f>
        <v>0</v>
      </c>
      <c r="JR91" s="1" t="n">
        <f aca="false">JJ91-JQ91</f>
        <v>0</v>
      </c>
      <c r="JS91" s="1" t="n">
        <f aca="false">IF(BU91=1,IF(ABS((1+AS_Wage)/(1+Slot6_Rate)-1)&lt;0.000000000001,(Slot6_Age-D91)*(1+Slot6_Rate)^(Slot6_Age-D91),(1+Slot6_Rate)^(Slot6_Age-D91)*(1-((1+AS_Wage)/(1+Slot6_Rate))^(Slot6_Age-D91))/(1-(1+AS_Wage)/(1+Slot6_Rate))),1)</f>
        <v>1</v>
      </c>
      <c r="JT91" s="1" t="n">
        <f aca="false">IF(AND(HT91=1,ID91&gt;0,Slot6_IsWG=1,BU91=1),MAX(0,(Slot6_Cost-BV91*(1+Slot6_Rate)^(Slot6_Age-D91))/JS91),0)</f>
        <v>0</v>
      </c>
      <c r="JU91" s="1" t="n">
        <f aca="false">IF(AND(HT91=1,ID91&gt;0,Slot6_IsWG=1,BU91=1),MIN(ID91,JT91),0)</f>
        <v>0</v>
      </c>
      <c r="JV91" s="1" t="n">
        <f aca="false">BV91+JU91</f>
        <v>0</v>
      </c>
      <c r="JW91" s="1" t="n">
        <f aca="false">IF(BU91=1,MAX(0,(Slot6_Cost-JV91*(1+Slot6_Rate)^(Slot6_Age-D91))/JS91),0)</f>
        <v>0</v>
      </c>
      <c r="JX91" s="1" t="n">
        <f aca="false">IF(BU91=1,MAX(0,(Slot6_Cost-BV91*(1+Slot6_Rate)^(Slot6_Age-D91))/JS91),0)</f>
        <v>0</v>
      </c>
      <c r="JY91" s="1" t="n">
        <f aca="false">IF(AND(HT91=1,BU91=1),MIN(JR91,JW91),0)</f>
        <v>0</v>
      </c>
      <c r="JZ91" s="1" t="n">
        <f aca="false">JR91-JY91</f>
        <v>0</v>
      </c>
      <c r="KA91" s="1" t="n">
        <f aca="false">IF(CE91=1,IF(ABS((1+AS_Wage)/(1+Slot7_Rate)-1)&lt;0.000000000001,(Slot7_Age-D91)*(1+Slot7_Rate)^(Slot7_Age-D91),(1+Slot7_Rate)^(Slot7_Age-D91)*(1-((1+AS_Wage)/(1+Slot7_Rate))^(Slot7_Age-D91))/(1-(1+AS_Wage)/(1+Slot7_Rate))),1)</f>
        <v>1</v>
      </c>
      <c r="KB91" s="1" t="n">
        <f aca="false">IF(AND(HT91=1,ID91&gt;0,Slot7_IsWG=1,CE91=1),MAX(0,(Slot7_Cost-CF91*(1+Slot7_Rate)^(Slot7_Age-D91))/KA91),0)</f>
        <v>0</v>
      </c>
      <c r="KC91" s="1" t="n">
        <f aca="false">IF(AND(HT91=1,ID91&gt;0,Slot7_IsWG=1,CE91=1),MIN(ID91,KB91),0)</f>
        <v>0</v>
      </c>
      <c r="KD91" s="1" t="n">
        <f aca="false">CF91+KC91</f>
        <v>0</v>
      </c>
      <c r="KE91" s="1" t="n">
        <f aca="false">IF(CE91=1,MAX(0,(Slot7_Cost-KD91*(1+Slot7_Rate)^(Slot7_Age-D91))/KA91),0)</f>
        <v>0</v>
      </c>
      <c r="KF91" s="1" t="n">
        <f aca="false">IF(CE91=1,MAX(0,(Slot7_Cost-CF91*(1+Slot7_Rate)^(Slot7_Age-D91))/KA91),0)</f>
        <v>0</v>
      </c>
      <c r="KG91" s="1" t="n">
        <f aca="false">IF(AND(HT91=1,CE91=1),MIN(JZ91,KE91),0)</f>
        <v>0</v>
      </c>
      <c r="KH91" s="1" t="n">
        <f aca="false">JZ91-KG91</f>
        <v>0</v>
      </c>
      <c r="KI91" s="1" t="n">
        <f aca="false">IF(CO91=1,IF(ABS((1+AS_Wage)/(1+Slot8_Rate)-1)&lt;0.000000000001,(Slot8_Age-D91)*(1+Slot8_Rate)^(Slot8_Age-D91),(1+Slot8_Rate)^(Slot8_Age-D91)*(1-((1+AS_Wage)/(1+Slot8_Rate))^(Slot8_Age-D91))/(1-(1+AS_Wage)/(1+Slot8_Rate))),1)</f>
        <v>1</v>
      </c>
      <c r="KJ91" s="1" t="n">
        <f aca="false">IF(AND(HT91=1,ID91&gt;0,Slot8_IsWG=1,CO91=1),MAX(0,(Slot8_Cost-CP91*(1+Slot8_Rate)^(Slot8_Age-D91))/KI91),0)</f>
        <v>0</v>
      </c>
      <c r="KK91" s="1" t="n">
        <f aca="false">IF(AND(HT91=1,ID91&gt;0,Slot8_IsWG=1,CO91=1),MIN(ID91,KJ91),0)</f>
        <v>0</v>
      </c>
      <c r="KL91" s="1" t="n">
        <f aca="false">CP91+KK91</f>
        <v>0</v>
      </c>
      <c r="KM91" s="1" t="n">
        <f aca="false">IF(CO91=1,MAX(0,(Slot8_Cost-KL91*(1+Slot8_Rate)^(Slot8_Age-D91))/KI91),0)</f>
        <v>0</v>
      </c>
      <c r="KN91" s="1" t="n">
        <f aca="false">IF(CO91=1,MAX(0,(Slot8_Cost-CP91*(1+Slot8_Rate)^(Slot8_Age-D91))/KI91),0)</f>
        <v>0</v>
      </c>
      <c r="KO91" s="1" t="n">
        <f aca="false">IF(AND(HT91=1,CO91=1),MIN(KH91,KM91),0)</f>
        <v>0</v>
      </c>
      <c r="KP91" s="1" t="n">
        <f aca="false">KH91-KO91</f>
        <v>0</v>
      </c>
      <c r="KQ91" s="1" t="n">
        <f aca="false">IF(CY91=1,IF(ABS((1+AS_Wage)/(1+Slot9_Rate)-1)&lt;0.000000000001,(Slot9_Age-D91)*(1+Slot9_Rate)^(Slot9_Age-D91),(1+Slot9_Rate)^(Slot9_Age-D91)*(1-((1+AS_Wage)/(1+Slot9_Rate))^(Slot9_Age-D91))/(1-(1+AS_Wage)/(1+Slot9_Rate))),1)</f>
        <v>1</v>
      </c>
      <c r="KR91" s="1" t="n">
        <f aca="false">IF(AND(HT91=1,ID91&gt;0,Slot9_IsWG=1,CY91=1),MAX(0,(Slot9_Cost-CZ91*(1+Slot9_Rate)^(Slot9_Age-D91))/KQ91),0)</f>
        <v>0</v>
      </c>
      <c r="KS91" s="1" t="n">
        <f aca="false">IF(AND(HT91=1,ID91&gt;0,Slot9_IsWG=1,CY91=1),MIN(ID91,KR91),0)</f>
        <v>0</v>
      </c>
      <c r="KT91" s="1" t="n">
        <f aca="false">CZ91+KS91</f>
        <v>0</v>
      </c>
      <c r="KU91" s="1" t="n">
        <f aca="false">IF(CY91=1,MAX(0,(Slot9_Cost-KT91*(1+Slot9_Rate)^(Slot9_Age-D91))/KQ91),0)</f>
        <v>0</v>
      </c>
      <c r="KV91" s="1" t="n">
        <f aca="false">IF(CY91=1,MAX(0,(Slot9_Cost-CZ91*(1+Slot9_Rate)^(Slot9_Age-D91))/KQ91),0)</f>
        <v>0</v>
      </c>
      <c r="KW91" s="1" t="n">
        <f aca="false">IF(AND(HT91=1,CY91=1),MIN(KP91,KU91),0)</f>
        <v>0</v>
      </c>
      <c r="KX91" s="1" t="n">
        <f aca="false">KP91-KW91</f>
        <v>0</v>
      </c>
      <c r="KY91" s="1" t="n">
        <f aca="false">IF(DI91=1,IF(ABS((1+AS_Wage)/(1+Slot10_Rate)-1)&lt;0.000000000001,(Slot10_Age-D91)*(1+Slot10_Rate)^(Slot10_Age-D91),(1+Slot10_Rate)^(Slot10_Age-D91)*(1-((1+AS_Wage)/(1+Slot10_Rate))^(Slot10_Age-D91))/(1-(1+AS_Wage)/(1+Slot10_Rate))),1)</f>
        <v>1</v>
      </c>
      <c r="KZ91" s="1" t="n">
        <f aca="false">IF(AND(HT91=1,ID91&gt;0,Slot10_IsWG=1,DI91=1),MAX(0,(Slot10_Cost-DJ91*(1+Slot10_Rate)^(Slot10_Age-D91))/KY91),0)</f>
        <v>0</v>
      </c>
      <c r="LA91" s="1" t="n">
        <f aca="false">IF(AND(HT91=1,ID91&gt;0,Slot10_IsWG=1,DI91=1),MIN(ID91,KZ91),0)</f>
        <v>0</v>
      </c>
      <c r="LB91" s="1" t="n">
        <f aca="false">DJ91+LA91</f>
        <v>0</v>
      </c>
      <c r="LC91" s="1" t="n">
        <f aca="false">IF(DI91=1,MAX(0,(Slot10_Cost-LB91*(1+Slot10_Rate)^(Slot10_Age-D91))/KY91),0)</f>
        <v>0</v>
      </c>
      <c r="LD91" s="1" t="n">
        <f aca="false">IF(DI91=1,MAX(0,(Slot10_Cost-DJ91*(1+Slot10_Rate)^(Slot10_Age-D91))/KY91),0)</f>
        <v>0</v>
      </c>
      <c r="LE91" s="1" t="n">
        <f aca="false">IF(AND(HT91=1,DI91=1),MIN(KX91,LC91),0)</f>
        <v>0</v>
      </c>
      <c r="LF91" s="1" t="n">
        <f aca="false">KX91-LE91</f>
        <v>0</v>
      </c>
      <c r="LG91" s="1" t="n">
        <f aca="false">IF(DS91=1,IF(ABS((1+AS_Wage)/(1+Slot11_Rate)-1)&lt;0.000000000001,(Slot11_Age-D91)*(1+Slot11_Rate)^(Slot11_Age-D91),(1+Slot11_Rate)^(Slot11_Age-D91)*(1-((1+AS_Wage)/(1+Slot11_Rate))^(Slot11_Age-D91))/(1-(1+AS_Wage)/(1+Slot11_Rate))),1)</f>
        <v>1</v>
      </c>
      <c r="LH91" s="1" t="n">
        <f aca="false">IF(AND(HT91=1,ID91&gt;0,Slot11_IsWG=1,DS91=1),MAX(0,(Slot11_Cost-DT91*(1+Slot11_Rate)^(Slot11_Age-D91))/LG91),0)</f>
        <v>0</v>
      </c>
      <c r="LI91" s="1" t="n">
        <f aca="false">IF(AND(HT91=1,ID91&gt;0,Slot11_IsWG=1,DS91=1),MIN(ID91,LH91),0)</f>
        <v>0</v>
      </c>
      <c r="LJ91" s="1" t="n">
        <f aca="false">DT91+LI91</f>
        <v>0</v>
      </c>
      <c r="LK91" s="1" t="n">
        <f aca="false">IF(DS91=1,MAX(0,(Slot11_Cost-LJ91*(1+Slot11_Rate)^(Slot11_Age-D91))/LG91),0)</f>
        <v>0</v>
      </c>
      <c r="LL91" s="1" t="n">
        <f aca="false">IF(DS91=1,MAX(0,(Slot11_Cost-DT91*(1+Slot11_Rate)^(Slot11_Age-D91))/LG91),0)</f>
        <v>0</v>
      </c>
      <c r="LM91" s="1" t="n">
        <f aca="false">IF(AND(HT91=1,DS91=1),MIN(LF91,LK91),0)</f>
        <v>0</v>
      </c>
      <c r="LN91" s="1" t="n">
        <f aca="false">LF91-LM91</f>
        <v>0</v>
      </c>
      <c r="LO91" s="1" t="n">
        <f aca="false">IF(EC91=1,IF(ABS((1+AS_Wage)/(1+Slot12_Rate)-1)&lt;0.000000000001,(Slot12_Age-D91)*(1+Slot12_Rate)^(Slot12_Age-D91),(1+Slot12_Rate)^(Slot12_Age-D91)*(1-((1+AS_Wage)/(1+Slot12_Rate))^(Slot12_Age-D91))/(1-(1+AS_Wage)/(1+Slot12_Rate))),1)</f>
        <v>1</v>
      </c>
      <c r="LP91" s="1" t="n">
        <f aca="false">IF(AND(HT91=1,ID91&gt;0,Slot12_IsWG=1,EC91=1),MAX(0,(Slot12_Cost-ED91*(1+Slot12_Rate)^(Slot12_Age-D91))/LO91),0)</f>
        <v>0</v>
      </c>
      <c r="LQ91" s="1" t="n">
        <f aca="false">IF(AND(HT91=1,ID91&gt;0,Slot12_IsWG=1,EC91=1),MIN(ID91,LP91),0)</f>
        <v>0</v>
      </c>
      <c r="LR91" s="1" t="n">
        <f aca="false">ED91+LQ91</f>
        <v>0</v>
      </c>
      <c r="LS91" s="1" t="n">
        <f aca="false">IF(EC91=1,MAX(0,(Slot12_Cost-LR91*(1+Slot12_Rate)^(Slot12_Age-D91))/LO91),0)</f>
        <v>0</v>
      </c>
      <c r="LT91" s="1" t="n">
        <f aca="false">IF(EC91=1,MAX(0,(Slot12_Cost-ED91*(1+Slot12_Rate)^(Slot12_Age-D91))/LO91),0)</f>
        <v>0</v>
      </c>
      <c r="LU91" s="1" t="n">
        <f aca="false">IF(AND(HT91=1,EC91=1),MIN(LN91,LS91),0)</f>
        <v>0</v>
      </c>
      <c r="LV91" s="1" t="n">
        <f aca="false">LN91-LU91</f>
        <v>0</v>
      </c>
      <c r="LW91" s="1" t="n">
        <f aca="false">IF(EM91=1,IF(ABS((1+AS_Wage)/(1+Slot13_Rate)-1)&lt;0.000000000001,(Slot13_Age-D91)*(1+Slot13_Rate)^(Slot13_Age-D91),(1+Slot13_Rate)^(Slot13_Age-D91)*(1-((1+AS_Wage)/(1+Slot13_Rate))^(Slot13_Age-D91))/(1-(1+AS_Wage)/(1+Slot13_Rate))),1)</f>
        <v>1</v>
      </c>
      <c r="LX91" s="1" t="n">
        <f aca="false">IF(AND(HT91=1,ID91&gt;0,Slot13_IsWG=1,EM91=1),MAX(0,(Slot13_Cost-EN91*(1+Slot13_Rate)^(Slot13_Age-D91))/LW91),0)</f>
        <v>0</v>
      </c>
      <c r="LY91" s="1" t="n">
        <f aca="false">IF(AND(HT91=1,ID91&gt;0,Slot13_IsWG=1,EM91=1),MIN(ID91,LX91),0)</f>
        <v>0</v>
      </c>
      <c r="LZ91" s="1" t="n">
        <f aca="false">EN91+LY91</f>
        <v>0</v>
      </c>
      <c r="MA91" s="1" t="n">
        <f aca="false">IF(EM91=1,MAX(0,(Slot13_Cost-LZ91*(1+Slot13_Rate)^(Slot13_Age-D91))/LW91),0)</f>
        <v>0</v>
      </c>
      <c r="MB91" s="1" t="n">
        <f aca="false">IF(EM91=1,MAX(0,(Slot13_Cost-EN91*(1+Slot13_Rate)^(Slot13_Age-D91))/LW91),0)</f>
        <v>0</v>
      </c>
      <c r="MC91" s="1" t="n">
        <f aca="false">IF(AND(HT91=1,EM91=1),MIN(LV91,MA91),0)</f>
        <v>0</v>
      </c>
      <c r="MD91" s="1" t="n">
        <f aca="false">LV91-MC91</f>
        <v>0</v>
      </c>
      <c r="ME91" s="1" t="n">
        <f aca="false">IF(EW91=1,IF(ABS((1+AS_Wage)/(1+Slot14_Rate)-1)&lt;0.000000000001,(Slot14_Age-D91)*(1+Slot14_Rate)^(Slot14_Age-D91),(1+Slot14_Rate)^(Slot14_Age-D91)*(1-((1+AS_Wage)/(1+Slot14_Rate))^(Slot14_Age-D91))/(1-(1+AS_Wage)/(1+Slot14_Rate))),1)</f>
        <v>1</v>
      </c>
      <c r="MF91" s="1" t="n">
        <f aca="false">IF(AND(HT91=1,ID91&gt;0,Slot14_IsWG=1,EW91=1),MAX(0,(Slot14_Cost-EX91*(1+Slot14_Rate)^(Slot14_Age-D91))/ME91),0)</f>
        <v>0</v>
      </c>
      <c r="MG91" s="1" t="n">
        <f aca="false">IF(AND(HT91=1,ID91&gt;0,Slot14_IsWG=1,EW91=1),MIN(ID91,MF91),0)</f>
        <v>0</v>
      </c>
      <c r="MH91" s="1" t="n">
        <f aca="false">EX91+MG91</f>
        <v>0</v>
      </c>
      <c r="MI91" s="1" t="n">
        <f aca="false">IF(EW91=1,MAX(0,(Slot14_Cost-MH91*(1+Slot14_Rate)^(Slot14_Age-D91))/ME91),0)</f>
        <v>0</v>
      </c>
      <c r="MJ91" s="1" t="n">
        <f aca="false">IF(EW91=1,MAX(0,(Slot14_Cost-EX91*(1+Slot14_Rate)^(Slot14_Age-D91))/ME91),0)</f>
        <v>0</v>
      </c>
      <c r="MK91" s="1" t="n">
        <f aca="false">IF(AND(HT91=1,EW91=1),MIN(MD91,MI91),0)</f>
        <v>0</v>
      </c>
      <c r="ML91" s="1" t="n">
        <f aca="false">MD91-MK91</f>
        <v>0</v>
      </c>
      <c r="MM91" s="1" t="n">
        <f aca="false">IF(FG91=1,IF(ABS((1+AS_Wage)/(1+Slot15_Rate)-1)&lt;0.000000000001,(Slot15_Age-D91)*(1+Slot15_Rate)^(Slot15_Age-D91),(1+Slot15_Rate)^(Slot15_Age-D91)*(1-((1+AS_Wage)/(1+Slot15_Rate))^(Slot15_Age-D91))/(1-(1+AS_Wage)/(1+Slot15_Rate))),1)</f>
        <v>1</v>
      </c>
      <c r="MN91" s="1" t="n">
        <f aca="false">IF(AND(HT91=1,ID91&gt;0,Slot15_IsWG=1,FG91=1),MAX(0,(Slot15_Cost-FH91*(1+Slot15_Rate)^(Slot15_Age-D91))/MM91),0)</f>
        <v>0</v>
      </c>
      <c r="MO91" s="1" t="n">
        <f aca="false">IF(AND(HT91=1,ID91&gt;0,Slot15_IsWG=1,FG91=1),MIN(ID91,MN91),0)</f>
        <v>0</v>
      </c>
      <c r="MP91" s="1" t="n">
        <f aca="false">FH91+MO91</f>
        <v>0</v>
      </c>
      <c r="MQ91" s="1" t="n">
        <f aca="false">IF(FG91=1,MAX(0,(Slot15_Cost-MP91*(1+Slot15_Rate)^(Slot15_Age-D91))/MM91),0)</f>
        <v>0</v>
      </c>
      <c r="MR91" s="1" t="n">
        <f aca="false">IF(FG91=1,MAX(0,(Slot15_Cost-FH91*(1+Slot15_Rate)^(Slot15_Age-D91))/MM91),0)</f>
        <v>0</v>
      </c>
      <c r="MS91" s="1" t="n">
        <f aca="false">IF(AND(HT91=1,FG91=1),MIN(ML91,MQ91),0)</f>
        <v>0</v>
      </c>
      <c r="MT91" s="1" t="n">
        <f aca="false">ML91-MS91</f>
        <v>0</v>
      </c>
      <c r="MU91" s="1" t="n">
        <f aca="false">IF(FQ91=1,IF(ABS((1+AS_Wage)/(1+Slot16_Rate)-1)&lt;0.000000000001,(Slot16_Age-D91)*(1+Slot16_Rate)^(Slot16_Age-D91),(1+Slot16_Rate)^(Slot16_Age-D91)*(1-((1+AS_Wage)/(1+Slot16_Rate))^(Slot16_Age-D91))/(1-(1+AS_Wage)/(1+Slot16_Rate))),1)</f>
        <v>1</v>
      </c>
      <c r="MV91" s="1" t="n">
        <f aca="false">IF(AND(HT91=1,ID91&gt;0,Slot16_IsWG=1,FQ91=1),MAX(0,(Slot16_Cost-FR91*(1+Slot16_Rate)^(Slot16_Age-D91))/MU91),0)</f>
        <v>0</v>
      </c>
      <c r="MW91" s="1" t="n">
        <f aca="false">IF(AND(HT91=1,ID91&gt;0,Slot16_IsWG=1,FQ91=1),MIN(ID91,MV91),0)</f>
        <v>0</v>
      </c>
      <c r="MX91" s="1" t="n">
        <f aca="false">FR91+MW91</f>
        <v>0</v>
      </c>
      <c r="MY91" s="1" t="n">
        <f aca="false">IF(FQ91=1,MAX(0,(Slot16_Cost-MX91*(1+Slot16_Rate)^(Slot16_Age-D91))/MU91),0)</f>
        <v>0</v>
      </c>
      <c r="MZ91" s="1" t="n">
        <f aca="false">IF(FQ91=1,MAX(0,(Slot16_Cost-FR91*(1+Slot16_Rate)^(Slot16_Age-D91))/MU91),0)</f>
        <v>0</v>
      </c>
      <c r="NA91" s="1" t="n">
        <f aca="false">IF(AND(HT91=1,FQ91=1),MIN(MT91,MY91),0)</f>
        <v>0</v>
      </c>
      <c r="NB91" s="1" t="n">
        <f aca="false">MT91-NA91</f>
        <v>0</v>
      </c>
      <c r="NC91" s="1" t="n">
        <f aca="false">IF(GA91=1,IF(ABS((1+AS_Wage)/(1+Slot17_Rate)-1)&lt;0.000000000001,(Slot17_Age-D91)*(1+Slot17_Rate)^(Slot17_Age-D91),(1+Slot17_Rate)^(Slot17_Age-D91)*(1-((1+AS_Wage)/(1+Slot17_Rate))^(Slot17_Age-D91))/(1-(1+AS_Wage)/(1+Slot17_Rate))),1)</f>
        <v>1</v>
      </c>
      <c r="ND91" s="1" t="n">
        <f aca="false">IF(AND(HT91=1,ID91&gt;0,Slot17_IsWG=1,GA91=1),MAX(0,(Slot17_Cost-GB91*(1+Slot17_Rate)^(Slot17_Age-D91))/NC91),0)</f>
        <v>0</v>
      </c>
      <c r="NE91" s="1" t="n">
        <f aca="false">IF(AND(HT91=1,ID91&gt;0,Slot17_IsWG=1,GA91=1),MIN(ID91,ND91),0)</f>
        <v>0</v>
      </c>
      <c r="NF91" s="1" t="n">
        <f aca="false">GB91+NE91</f>
        <v>0</v>
      </c>
      <c r="NG91" s="1" t="n">
        <f aca="false">IF(GA91=1,MAX(0,(Slot17_Cost-NF91*(1+Slot17_Rate)^(Slot17_Age-D91))/NC91),0)</f>
        <v>0</v>
      </c>
      <c r="NH91" s="1" t="n">
        <f aca="false">IF(GA91=1,MAX(0,(Slot17_Cost-GB91*(1+Slot17_Rate)^(Slot17_Age-D91))/NC91),0)</f>
        <v>0</v>
      </c>
      <c r="NI91" s="1" t="n">
        <f aca="false">IF(AND(HT91=1,GA91=1),MIN(NB91,NG91),0)</f>
        <v>0</v>
      </c>
      <c r="NJ91" s="1" t="n">
        <f aca="false">NB91-NI91</f>
        <v>0</v>
      </c>
      <c r="NK91" s="1" t="n">
        <f aca="false">IF(GK91=1,IF(ABS((1+AS_Wage)/(1+Slot18_Rate)-1)&lt;0.000000000001,(Slot18_Age-D91)*(1+Slot18_Rate)^(Slot18_Age-D91),(1+Slot18_Rate)^(Slot18_Age-D91)*(1-((1+AS_Wage)/(1+Slot18_Rate))^(Slot18_Age-D91))/(1-(1+AS_Wage)/(1+Slot18_Rate))),1)</f>
        <v>1</v>
      </c>
      <c r="NL91" s="1" t="n">
        <f aca="false">IF(AND(HT91=1,ID91&gt;0,Slot18_IsWG=1,GK91=1),MAX(0,(Slot18_Cost-GL91*(1+Slot18_Rate)^(Slot18_Age-D91))/NK91),0)</f>
        <v>0</v>
      </c>
      <c r="NM91" s="1" t="n">
        <f aca="false">IF(AND(HT91=1,ID91&gt;0,Slot18_IsWG=1,GK91=1),MIN(ID91,NL91),0)</f>
        <v>0</v>
      </c>
      <c r="NN91" s="1" t="n">
        <f aca="false">GL91+NM91</f>
        <v>0</v>
      </c>
      <c r="NO91" s="1" t="n">
        <f aca="false">IF(GK91=1,MAX(0,(Slot18_Cost-NN91*(1+Slot18_Rate)^(Slot18_Age-D91))/NK91),0)</f>
        <v>0</v>
      </c>
      <c r="NP91" s="1" t="n">
        <f aca="false">IF(GK91=1,MAX(0,(Slot18_Cost-GL91*(1+Slot18_Rate)^(Slot18_Age-D91))/NK91),0)</f>
        <v>0</v>
      </c>
      <c r="NQ91" s="1" t="n">
        <f aca="false">IF(AND(HT91=1,GK91=1),MIN(NJ91,NO91),0)</f>
        <v>0</v>
      </c>
      <c r="NR91" s="1" t="n">
        <f aca="false">NJ91-NQ91</f>
        <v>0</v>
      </c>
      <c r="NS91" s="1" t="n">
        <f aca="false">IF(GU91=1,IF(ABS((1+AS_Wage)/(1+Slot19_Rate)-1)&lt;0.000000000001,(Slot19_Age-D91)*(1+Slot19_Rate)^(Slot19_Age-D91),(1+Slot19_Rate)^(Slot19_Age-D91)*(1-((1+AS_Wage)/(1+Slot19_Rate))^(Slot19_Age-D91))/(1-(1+AS_Wage)/(1+Slot19_Rate))),1)</f>
        <v>1</v>
      </c>
      <c r="NT91" s="1" t="n">
        <f aca="false">IF(AND(HT91=1,ID91&gt;0,Slot19_IsWG=1,GU91=1),MAX(0,(Slot19_Cost-GV91*(1+Slot19_Rate)^(Slot19_Age-D91))/NS91),0)</f>
        <v>0</v>
      </c>
      <c r="NU91" s="1" t="n">
        <f aca="false">IF(AND(HT91=1,ID91&gt;0,Slot19_IsWG=1,GU91=1),MIN(ID91,NT91),0)</f>
        <v>0</v>
      </c>
      <c r="NV91" s="1" t="n">
        <f aca="false">GV91+NU91</f>
        <v>0</v>
      </c>
      <c r="NW91" s="1" t="n">
        <f aca="false">IF(GU91=1,MAX(0,(Slot19_Cost-NV91*(1+Slot19_Rate)^(Slot19_Age-D91))/NS91),0)</f>
        <v>0</v>
      </c>
      <c r="NX91" s="1" t="n">
        <f aca="false">IF(GU91=1,MAX(0,(Slot19_Cost-GV91*(1+Slot19_Rate)^(Slot19_Age-D91))/NS91),0)</f>
        <v>0</v>
      </c>
      <c r="NY91" s="1" t="n">
        <f aca="false">IF(AND(HT91=1,GU91=1),MIN(NR91,NW91),0)</f>
        <v>0</v>
      </c>
      <c r="NZ91" s="1" t="n">
        <f aca="false">NR91-NY91</f>
        <v>0</v>
      </c>
      <c r="OA91" s="1" t="n">
        <f aca="false">IF(HE91=1,IF(ABS((1+AS_Wage)/(1+Slot20_Rate)-1)&lt;0.000000000001,(Slot20_Age-D91)*(1+Slot20_Rate)^(Slot20_Age-D91),(1+Slot20_Rate)^(Slot20_Age-D91)*(1-((1+AS_Wage)/(1+Slot20_Rate))^(Slot20_Age-D91))/(1-(1+AS_Wage)/(1+Slot20_Rate))),1)</f>
        <v>1</v>
      </c>
      <c r="OB91" s="1" t="n">
        <f aca="false">IF(AND(HT91=1,ID91&gt;0,Slot20_IsWG=1,HE91=1),MAX(0,(Slot20_Cost-HF91*(1+Slot20_Rate)^(Slot20_Age-D91))/OA91),0)</f>
        <v>0</v>
      </c>
      <c r="OC91" s="1" t="n">
        <f aca="false">IF(AND(HT91=1,ID91&gt;0,Slot20_IsWG=1,HE91=1),MIN(ID91,OB91),0)</f>
        <v>0</v>
      </c>
      <c r="OD91" s="1" t="n">
        <f aca="false">HF91+OC91</f>
        <v>0</v>
      </c>
      <c r="OE91" s="1" t="n">
        <f aca="false">IF(HE91=1,MAX(0,(Slot20_Cost-OD91*(1+Slot20_Rate)^(Slot20_Age-D91))/OA91),0)</f>
        <v>0</v>
      </c>
      <c r="OF91" s="1" t="n">
        <f aca="false">IF(HE91=1,MAX(0,(Slot20_Cost-HF91*(1+Slot20_Rate)^(Slot20_Age-D91))/OA91),0)</f>
        <v>0</v>
      </c>
      <c r="OG91" s="1" t="n">
        <f aca="false">IF(AND(HT91=1,HE91=1),MIN(NZ91,OE91),0)</f>
        <v>0</v>
      </c>
      <c r="OH91" s="1" t="n">
        <f aca="false">NZ91-OG91</f>
        <v>0</v>
      </c>
      <c r="OI91" s="1" t="n">
        <f aca="false">ID91-(IG91+IO91+IW91+JE91+JM91+JU91+KC91+KK91+KS91+LA91+LI91+LQ91+LY91+MG91+MO91+MW91+NE91+NM91+NU91+OC91)</f>
        <v>0</v>
      </c>
      <c r="OJ91" s="1" t="n">
        <f aca="false">IF(HT91=1,HR91-IC91-ID91,0)</f>
        <v>67109.4528088685</v>
      </c>
      <c r="OK91" s="1" t="n">
        <f aca="false">IF(HT91=0,-HR91,0)</f>
        <v>0</v>
      </c>
      <c r="OL91" s="1" t="n">
        <f aca="false">MIN(OK91,HJ91)</f>
        <v>0</v>
      </c>
      <c r="OM91" s="1" t="n">
        <f aca="false">OK91-OL91</f>
        <v>0</v>
      </c>
      <c r="ON91" s="1" t="n">
        <f aca="false">MIN(OM91,HK91)</f>
        <v>0</v>
      </c>
      <c r="OO91" s="1" t="n">
        <f aca="false">OM91-ON91</f>
        <v>0</v>
      </c>
      <c r="OP91" s="1" t="n">
        <f aca="false">IF(AND(HT91=0,HE91=1,OO91&gt;0),MIN(OO91,HF91),0)</f>
        <v>0</v>
      </c>
      <c r="OQ91" s="1" t="n">
        <f aca="false">OO91-OP91</f>
        <v>0</v>
      </c>
      <c r="OR91" s="1" t="n">
        <f aca="false">IF(AND(HT91=0,GU91=1,OQ91&gt;0),MIN(OQ91,GV91),0)</f>
        <v>0</v>
      </c>
      <c r="OS91" s="1" t="n">
        <f aca="false">OQ91-OR91</f>
        <v>0</v>
      </c>
      <c r="OT91" s="1" t="n">
        <f aca="false">IF(AND(HT91=0,GK91=1,OS91&gt;0),MIN(OS91,GL91),0)</f>
        <v>0</v>
      </c>
      <c r="OU91" s="1" t="n">
        <f aca="false">OS91-OT91</f>
        <v>0</v>
      </c>
      <c r="OV91" s="1" t="n">
        <f aca="false">IF(AND(HT91=0,GA91=1,OU91&gt;0),MIN(OU91,GB91),0)</f>
        <v>0</v>
      </c>
      <c r="OW91" s="1" t="n">
        <f aca="false">OU91-OV91</f>
        <v>0</v>
      </c>
      <c r="OX91" s="1" t="n">
        <f aca="false">IF(AND(HT91=0,FQ91=1,OW91&gt;0),MIN(OW91,FR91),0)</f>
        <v>0</v>
      </c>
      <c r="OY91" s="1" t="n">
        <f aca="false">OW91-OX91</f>
        <v>0</v>
      </c>
      <c r="OZ91" s="1" t="n">
        <f aca="false">IF(AND(HT91=0,FG91=1,OY91&gt;0),MIN(OY91,FH91),0)</f>
        <v>0</v>
      </c>
      <c r="PA91" s="1" t="n">
        <f aca="false">OY91-OZ91</f>
        <v>0</v>
      </c>
      <c r="PB91" s="1" t="n">
        <f aca="false">IF(AND(HT91=0,EW91=1,PA91&gt;0),MIN(PA91,EX91),0)</f>
        <v>0</v>
      </c>
      <c r="PC91" s="1" t="n">
        <f aca="false">PA91-PB91</f>
        <v>0</v>
      </c>
      <c r="PD91" s="1" t="n">
        <f aca="false">IF(AND(HT91=0,EM91=1,PC91&gt;0),MIN(PC91,EN91),0)</f>
        <v>0</v>
      </c>
      <c r="PE91" s="1" t="n">
        <f aca="false">PC91-PD91</f>
        <v>0</v>
      </c>
      <c r="PF91" s="1" t="n">
        <f aca="false">IF(AND(HT91=0,EC91=1,PE91&gt;0),MIN(PE91,ED91),0)</f>
        <v>0</v>
      </c>
      <c r="PG91" s="1" t="n">
        <f aca="false">PE91-PF91</f>
        <v>0</v>
      </c>
      <c r="PH91" s="1" t="n">
        <f aca="false">IF(AND(HT91=0,DS91=1,PG91&gt;0),MIN(PG91,DT91),0)</f>
        <v>0</v>
      </c>
      <c r="PI91" s="1" t="n">
        <f aca="false">PG91-PH91</f>
        <v>0</v>
      </c>
      <c r="PJ91" s="1" t="n">
        <f aca="false">IF(AND(HT91=0,DI91=1,PI91&gt;0),MIN(PI91,DJ91),0)</f>
        <v>0</v>
      </c>
      <c r="PK91" s="1" t="n">
        <f aca="false">PI91-PJ91</f>
        <v>0</v>
      </c>
      <c r="PL91" s="1" t="n">
        <f aca="false">IF(AND(HT91=0,CY91=1,PK91&gt;0),MIN(PK91,CZ91),0)</f>
        <v>0</v>
      </c>
      <c r="PM91" s="1" t="n">
        <f aca="false">PK91-PL91</f>
        <v>0</v>
      </c>
      <c r="PN91" s="1" t="n">
        <f aca="false">IF(AND(HT91=0,CO91=1,PM91&gt;0),MIN(PM91,CP91),0)</f>
        <v>0</v>
      </c>
      <c r="PO91" s="1" t="n">
        <f aca="false">PM91-PN91</f>
        <v>0</v>
      </c>
      <c r="PP91" s="1" t="n">
        <f aca="false">IF(AND(HT91=0,CE91=1,PO91&gt;0),MIN(PO91,CF91),0)</f>
        <v>0</v>
      </c>
      <c r="PQ91" s="1" t="n">
        <f aca="false">PO91-PP91</f>
        <v>0</v>
      </c>
      <c r="PR91" s="1" t="n">
        <f aca="false">IF(AND(HT91=0,BU91=1,PQ91&gt;0),MIN(PQ91,BV91),0)</f>
        <v>0</v>
      </c>
      <c r="PS91" s="1" t="n">
        <f aca="false">PQ91-PR91</f>
        <v>0</v>
      </c>
      <c r="PT91" s="1" t="n">
        <f aca="false">IF(AND(HT91=0,BK91=1,PS91&gt;0),MIN(PS91,BL91),0)</f>
        <v>0</v>
      </c>
      <c r="PU91" s="1" t="n">
        <f aca="false">PS91-PT91</f>
        <v>0</v>
      </c>
      <c r="PV91" s="1" t="n">
        <f aca="false">IF(AND(HT91=0,BA91=1,PU91&gt;0),MIN(PU91,BB91),0)</f>
        <v>0</v>
      </c>
      <c r="PW91" s="1" t="n">
        <f aca="false">PU91-PV91</f>
        <v>0</v>
      </c>
      <c r="PX91" s="1" t="n">
        <f aca="false">IF(AND(HT91=0,AQ91=1,PW91&gt;0),MIN(PW91,AR91),0)</f>
        <v>0</v>
      </c>
      <c r="PY91" s="1" t="n">
        <f aca="false">PW91-PX91</f>
        <v>0</v>
      </c>
      <c r="PZ91" s="1" t="n">
        <f aca="false">IF(AND(HT91=0,AG91=1,PY91&gt;0),MIN(PY91,AH91),0)</f>
        <v>0</v>
      </c>
      <c r="QA91" s="1" t="n">
        <f aca="false">PY91-PZ91</f>
        <v>0</v>
      </c>
      <c r="QB91" s="1" t="n">
        <f aca="false">IF(AND(HT91=0,V91=1,QA91&gt;0),MIN(QA91,W91),0)</f>
        <v>0</v>
      </c>
      <c r="QC91" s="1" t="n">
        <f aca="false">QA91-QB91</f>
        <v>0</v>
      </c>
      <c r="QD91" s="1" t="n">
        <f aca="false">IF(HT91=0,QC91,0)</f>
        <v>0</v>
      </c>
      <c r="QE91" s="1" t="n">
        <f aca="false">OL91+ON91+QB91+PZ91+PX91+PV91+PT91+PR91+PP91+PN91+PL91+PJ91+PH91+PF91+PD91+PB91+OZ91+OX91+OV91+OT91+OR91+OP91</f>
        <v>0</v>
      </c>
      <c r="QF91" s="1" t="n">
        <f aca="false">IF(HT91=1,HJ91+OI91+OH91+IF(F91=1,0,OJ91),HJ91-OL91)</f>
        <v>1136107.57973006</v>
      </c>
      <c r="QG91" s="1" t="n">
        <f aca="false">HK91-ON91</f>
        <v>0</v>
      </c>
      <c r="QH91" s="1" t="n">
        <f aca="false">IF(HT91=1,IF(F91=1,IC91+ID91,HR91),0)</f>
        <v>67109.4528088685</v>
      </c>
      <c r="QI91" s="1" t="n">
        <f aca="false">IF(HT91=1,IF(F91=1,HR91-IC91-ID91,0),0)</f>
        <v>0</v>
      </c>
      <c r="QJ91" s="1" t="n">
        <f aca="false">QF91*(1+GR)</f>
        <v>1154739.74403764</v>
      </c>
      <c r="QK91" s="1" t="n">
        <f aca="false">QG91*(1+AS_Cash)</f>
        <v>0</v>
      </c>
      <c r="QL91" s="1" t="n">
        <f aca="false">IF(V91=1,IF(HT91=1,IH91+IK91,W91-QB91)*(1+Slot1_Rate),0)</f>
        <v>0</v>
      </c>
      <c r="QM91" s="1" t="n">
        <f aca="false">IF(AND(HT91=1,V91=1),(IG91+IK91)/E91,0)</f>
        <v>0</v>
      </c>
      <c r="QN91" s="1" t="n">
        <f aca="false">IF(B91=0,IG91+IK91,0)</f>
        <v>0</v>
      </c>
      <c r="QO91" s="1" t="n">
        <f aca="false">IF(B91=0,IF(HT91=1,II91,IJ91),0)</f>
        <v>0</v>
      </c>
      <c r="QP91" s="1" t="n">
        <f aca="false">IF(AG91=1,IF(HT91=1,IP91+IS91,AH91-PZ91)*(1+Slot2_Rate),0)</f>
        <v>0</v>
      </c>
      <c r="QQ91" s="1" t="n">
        <f aca="false">IF(AND(HT91=1,AG91=1),(IO91+IS91)/E91,0)</f>
        <v>0</v>
      </c>
      <c r="QR91" s="1" t="n">
        <f aca="false">IF(B91=0,IO91+IS91,0)</f>
        <v>0</v>
      </c>
      <c r="QS91" s="1" t="n">
        <f aca="false">IF(B91=0,IF(HT91=1,IQ91,IR91),0)</f>
        <v>0</v>
      </c>
      <c r="QT91" s="1" t="n">
        <f aca="false">IF(AQ91=1,IF(HT91=1,IX91+JA91,AR91-PX91)*(1+Slot3_Rate),0)</f>
        <v>0</v>
      </c>
      <c r="QU91" s="1" t="n">
        <f aca="false">IF(AND(HT91=1,AQ91=1),(IW91+JA91)/E91,0)</f>
        <v>0</v>
      </c>
      <c r="QV91" s="1" t="n">
        <f aca="false">IF(B91=0,IW91+JA91,0)</f>
        <v>0</v>
      </c>
      <c r="QW91" s="1" t="n">
        <f aca="false">IF(B91=0,IF(HT91=1,IY91,IZ91),0)</f>
        <v>0</v>
      </c>
      <c r="QX91" s="1" t="n">
        <f aca="false">IF(BA91=1,IF(HT91=1,JF91+JI91,BB91-PV91)*(1+Slot4_Rate),0)</f>
        <v>0</v>
      </c>
      <c r="QY91" s="1" t="n">
        <f aca="false">IF(AND(HT91=1,BA91=1),(JE91+JI91)/E91,0)</f>
        <v>0</v>
      </c>
      <c r="QZ91" s="1" t="n">
        <f aca="false">IF(B91=0,JE91+JI91,0)</f>
        <v>0</v>
      </c>
      <c r="RA91" s="1" t="n">
        <f aca="false">IF(B91=0,IF(HT91=1,JG91,JH91),0)</f>
        <v>0</v>
      </c>
      <c r="RB91" s="1" t="n">
        <f aca="false">IF(BK91=1,IF(HT91=1,JN91+JQ91,BL91-PT91)*(1+Slot5_Rate),0)</f>
        <v>0</v>
      </c>
      <c r="RC91" s="1" t="n">
        <f aca="false">IF(AND(HT91=1,BK91=1),(JM91+JQ91)/E91,0)</f>
        <v>0</v>
      </c>
      <c r="RD91" s="1" t="n">
        <f aca="false">IF(B91=0,JM91+JQ91,0)</f>
        <v>0</v>
      </c>
      <c r="RE91" s="1" t="n">
        <f aca="false">IF(B91=0,IF(HT91=1,JO91,JP91),0)</f>
        <v>0</v>
      </c>
      <c r="RF91" s="1" t="n">
        <f aca="false">IF(BU91=1,IF(HT91=1,JV91+JY91,BV91-PR91)*(1+Slot6_Rate),0)</f>
        <v>0</v>
      </c>
      <c r="RG91" s="1" t="n">
        <f aca="false">IF(AND(HT91=1,BU91=1),(JU91+JY91)/E91,0)</f>
        <v>0</v>
      </c>
      <c r="RH91" s="1" t="n">
        <f aca="false">IF(B91=0,JU91+JY91,0)</f>
        <v>0</v>
      </c>
      <c r="RI91" s="1" t="n">
        <f aca="false">IF(B91=0,IF(HT91=1,JW91,JX91),0)</f>
        <v>0</v>
      </c>
      <c r="RJ91" s="1" t="n">
        <f aca="false">IF(CE91=1,IF(HT91=1,KD91+KG91,CF91-PP91)*(1+Slot7_Rate),0)</f>
        <v>0</v>
      </c>
      <c r="RK91" s="1" t="n">
        <f aca="false">IF(AND(HT91=1,CE91=1),(KC91+KG91)/E91,0)</f>
        <v>0</v>
      </c>
      <c r="RL91" s="1" t="n">
        <f aca="false">IF(B91=0,KC91+KG91,0)</f>
        <v>0</v>
      </c>
      <c r="RM91" s="1" t="n">
        <f aca="false">IF(B91=0,IF(HT91=1,KE91,KF91),0)</f>
        <v>0</v>
      </c>
      <c r="RN91" s="1" t="n">
        <f aca="false">IF(CO91=1,IF(HT91=1,KL91+KO91,CP91-PN91)*(1+Slot8_Rate),0)</f>
        <v>0</v>
      </c>
      <c r="RO91" s="1" t="n">
        <f aca="false">IF(AND(HT91=1,CO91=1),(KK91+KO91)/E91,0)</f>
        <v>0</v>
      </c>
      <c r="RP91" s="1" t="n">
        <f aca="false">IF(B91=0,KK91+KO91,0)</f>
        <v>0</v>
      </c>
      <c r="RQ91" s="1" t="n">
        <f aca="false">IF(B91=0,IF(HT91=1,KM91,KN91),0)</f>
        <v>0</v>
      </c>
      <c r="RR91" s="1" t="n">
        <f aca="false">IF(CY91=1,IF(HT91=1,KT91+KW91,CZ91-PL91)*(1+Slot9_Rate),0)</f>
        <v>0</v>
      </c>
      <c r="RS91" s="1" t="n">
        <f aca="false">IF(AND(HT91=1,CY91=1),(KS91+KW91)/E91,0)</f>
        <v>0</v>
      </c>
      <c r="RT91" s="1" t="n">
        <f aca="false">IF(B91=0,KS91+KW91,0)</f>
        <v>0</v>
      </c>
      <c r="RU91" s="1" t="n">
        <f aca="false">IF(B91=0,IF(HT91=1,KU91,KV91),0)</f>
        <v>0</v>
      </c>
      <c r="RV91" s="1" t="n">
        <f aca="false">IF(DI91=1,IF(HT91=1,LB91+LE91,DJ91-PJ91)*(1+Slot10_Rate),0)</f>
        <v>0</v>
      </c>
      <c r="RW91" s="1" t="n">
        <f aca="false">IF(AND(HT91=1,DI91=1),(LA91+LE91)/E91,0)</f>
        <v>0</v>
      </c>
      <c r="RX91" s="1" t="n">
        <f aca="false">IF(B91=0,LA91+LE91,0)</f>
        <v>0</v>
      </c>
      <c r="RY91" s="1" t="n">
        <f aca="false">IF(B91=0,IF(HT91=1,LC91,LD91),0)</f>
        <v>0</v>
      </c>
      <c r="RZ91" s="1" t="n">
        <f aca="false">IF(DS91=1,IF(HT91=1,LJ91+LM91,DT91-PH91)*(1+Slot11_Rate),0)</f>
        <v>0</v>
      </c>
      <c r="SA91" s="1" t="n">
        <f aca="false">IF(AND(HT91=1,DS91=1),(LI91+LM91)/E91,0)</f>
        <v>0</v>
      </c>
      <c r="SB91" s="1" t="n">
        <f aca="false">IF(B91=0,LI91+LM91,0)</f>
        <v>0</v>
      </c>
      <c r="SC91" s="1" t="n">
        <f aca="false">IF(B91=0,IF(HT91=1,LK91,LL91),0)</f>
        <v>0</v>
      </c>
      <c r="SD91" s="1" t="n">
        <f aca="false">IF(EC91=1,IF(HT91=1,LR91+LU91,ED91-PF91)*(1+Slot12_Rate),0)</f>
        <v>0</v>
      </c>
      <c r="SE91" s="1" t="n">
        <f aca="false">IF(AND(HT91=1,EC91=1),(LQ91+LU91)/E91,0)</f>
        <v>0</v>
      </c>
      <c r="SF91" s="1" t="n">
        <f aca="false">IF(B91=0,LQ91+LU91,0)</f>
        <v>0</v>
      </c>
      <c r="SG91" s="1" t="n">
        <f aca="false">IF(B91=0,IF(HT91=1,LS91,LT91),0)</f>
        <v>0</v>
      </c>
      <c r="SH91" s="1" t="n">
        <f aca="false">IF(EM91=1,IF(HT91=1,LZ91+MC91,EN91-PD91)*(1+Slot13_Rate),0)</f>
        <v>0</v>
      </c>
      <c r="SI91" s="1" t="n">
        <f aca="false">IF(AND(HT91=1,EM91=1),(LY91+MC91)/E91,0)</f>
        <v>0</v>
      </c>
      <c r="SJ91" s="1" t="n">
        <f aca="false">IF(B91=0,LY91+MC91,0)</f>
        <v>0</v>
      </c>
      <c r="SK91" s="1" t="n">
        <f aca="false">IF(B91=0,IF(HT91=1,MA91,MB91),0)</f>
        <v>0</v>
      </c>
      <c r="SL91" s="1" t="n">
        <f aca="false">IF(EW91=1,IF(HT91=1,MH91+MK91,EX91-PB91)*(1+Slot14_Rate),0)</f>
        <v>0</v>
      </c>
      <c r="SM91" s="1" t="n">
        <f aca="false">IF(AND(HT91=1,EW91=1),(MG91+MK91)/E91,0)</f>
        <v>0</v>
      </c>
      <c r="SN91" s="1" t="n">
        <f aca="false">IF(B91=0,MG91+MK91,0)</f>
        <v>0</v>
      </c>
      <c r="SO91" s="1" t="n">
        <f aca="false">IF(B91=0,IF(HT91=1,MI91,MJ91),0)</f>
        <v>0</v>
      </c>
      <c r="SP91" s="1" t="n">
        <f aca="false">IF(FG91=1,IF(HT91=1,MP91+MS91,FH91-OZ91)*(1+Slot15_Rate),0)</f>
        <v>0</v>
      </c>
      <c r="SQ91" s="1" t="n">
        <f aca="false">IF(AND(HT91=1,FG91=1),(MO91+MS91)/E91,0)</f>
        <v>0</v>
      </c>
      <c r="SR91" s="1" t="n">
        <f aca="false">IF(B91=0,MO91+MS91,0)</f>
        <v>0</v>
      </c>
      <c r="SS91" s="1" t="n">
        <f aca="false">IF(B91=0,IF(HT91=1,MQ91,MR91),0)</f>
        <v>0</v>
      </c>
      <c r="ST91" s="1" t="n">
        <f aca="false">IF(FQ91=1,IF(HT91=1,MX91+NA91,FR91-OX91)*(1+Slot16_Rate),0)</f>
        <v>0</v>
      </c>
      <c r="SU91" s="1" t="n">
        <f aca="false">IF(AND(HT91=1,FQ91=1),(MW91+NA91)/E91,0)</f>
        <v>0</v>
      </c>
      <c r="SV91" s="1" t="n">
        <f aca="false">IF(B91=0,MW91+NA91,0)</f>
        <v>0</v>
      </c>
      <c r="SW91" s="1" t="n">
        <f aca="false">IF(B91=0,IF(HT91=1,MY91,MZ91),0)</f>
        <v>0</v>
      </c>
      <c r="SX91" s="1" t="n">
        <f aca="false">IF(GA91=1,IF(HT91=1,NF91+NI91,GB91-OV91)*(1+Slot17_Rate),0)</f>
        <v>0</v>
      </c>
      <c r="SY91" s="1" t="n">
        <f aca="false">IF(AND(HT91=1,GA91=1),(NE91+NI91)/E91,0)</f>
        <v>0</v>
      </c>
      <c r="SZ91" s="1" t="n">
        <f aca="false">IF(B91=0,NE91+NI91,0)</f>
        <v>0</v>
      </c>
      <c r="TA91" s="1" t="n">
        <f aca="false">IF(B91=0,IF(HT91=1,NG91,NH91),0)</f>
        <v>0</v>
      </c>
      <c r="TB91" s="1" t="n">
        <f aca="false">IF(GK91=1,IF(HT91=1,NN91+NQ91,GL91-OT91)*(1+Slot18_Rate),0)</f>
        <v>0</v>
      </c>
      <c r="TC91" s="1" t="n">
        <f aca="false">IF(AND(HT91=1,GK91=1),(NM91+NQ91)/E91,0)</f>
        <v>0</v>
      </c>
      <c r="TD91" s="1" t="n">
        <f aca="false">IF(B91=0,NM91+NQ91,0)</f>
        <v>0</v>
      </c>
      <c r="TE91" s="1" t="n">
        <f aca="false">IF(B91=0,IF(HT91=1,NO91,NP91),0)</f>
        <v>0</v>
      </c>
      <c r="TF91" s="1" t="n">
        <f aca="false">IF(GU91=1,IF(HT91=1,NV91+NY91,GV91-OR91)*(1+Slot19_Rate),0)</f>
        <v>0</v>
      </c>
      <c r="TG91" s="1" t="n">
        <f aca="false">IF(AND(HT91=1,GU91=1),(NU91+NY91)/E91,0)</f>
        <v>0</v>
      </c>
      <c r="TH91" s="1" t="n">
        <f aca="false">IF(B91=0,NU91+NY91,0)</f>
        <v>0</v>
      </c>
      <c r="TI91" s="1" t="n">
        <f aca="false">IF(B91=0,IF(HT91=1,NW91,NX91),0)</f>
        <v>0</v>
      </c>
      <c r="TJ91" s="1" t="n">
        <f aca="false">IF(HE91=1,IF(HT91=1,OD91+OG91,HF91-OP91)*(1+Slot20_Rate),0)</f>
        <v>0</v>
      </c>
      <c r="TK91" s="1" t="n">
        <f aca="false">IF(AND(HT91=1,HE91=1),(OC91+OG91)/E91,0)</f>
        <v>0</v>
      </c>
      <c r="TL91" s="1" t="n">
        <f aca="false">IF(B91=0,OC91+OG91,0)</f>
        <v>0</v>
      </c>
      <c r="TM91" s="1" t="n">
        <f aca="false">IF(B91=0,IF(HT91=1,OE91,OF91),0)</f>
        <v>0</v>
      </c>
      <c r="TN91" s="1" t="n">
        <f aca="false">QJ91+QK91+QL91+QP91+QT91+QX91+RB91+RF91+RJ91+RN91+RR91+RV91+RZ91+SD91+SH91+SL91+SP91+ST91+SX91+TB91+TF91+TJ91</f>
        <v>1154739.74403764</v>
      </c>
      <c r="TO91" s="1" t="n">
        <f aca="false">QD91+HO91</f>
        <v>0</v>
      </c>
      <c r="TP91" s="1" t="n">
        <f aca="false">H91+R91</f>
        <v>0</v>
      </c>
      <c r="TQ91" s="1" t="n">
        <f aca="false">1-F91</f>
        <v>1</v>
      </c>
      <c r="TR91" s="1" t="n">
        <f aca="false">IF(AND(RG_Exists=1,F91=0,C91=1),H91,0)</f>
        <v>0</v>
      </c>
      <c r="TS91" s="1" t="n">
        <f aca="false">IF(AND(RG_Exists=1,F91=0,C91=1),H91-MIN(QD91,H91),0)</f>
        <v>0</v>
      </c>
      <c r="TT91" s="1" t="n">
        <f aca="false">'Plan pay &amp; tax'!AD317</f>
        <v>0</v>
      </c>
      <c r="TU91" s="1" t="n">
        <f aca="false">IF(AND(C91=1,QD91&gt;MAX(PR_Short1,TP91*PR_Short2)),1,0)</f>
        <v>0</v>
      </c>
      <c r="TV91" s="1" t="n">
        <f aca="false">MIN(G91,H91+R91)</f>
        <v>0</v>
      </c>
      <c r="TW91" s="1" t="n">
        <f aca="false">QE91+MAX(0,HP91-HO91)</f>
        <v>0</v>
      </c>
      <c r="TX91" s="1" t="n">
        <f aca="false">QD91+HO91</f>
        <v>0</v>
      </c>
      <c r="TY91" s="1" t="n">
        <f aca="false">IF(AND(C91=1,TX91&gt;PR_MinShort),1,0)</f>
        <v>0</v>
      </c>
      <c r="TZ91" s="1" t="n">
        <f aca="false">IF(AND(C91=1,TY91=0,TW91&gt;PR_MinShort),1,0)</f>
        <v>0</v>
      </c>
      <c r="UA91" s="1" t="n">
        <f aca="false">IF(AND(C91=1,QD91&gt;PR_MinShort),1,0)</f>
        <v>0</v>
      </c>
      <c r="UB91" s="1" t="n">
        <f aca="false">IF(AND(C91=1,QE91&gt;1,UI91=0),1,0)</f>
        <v>0</v>
      </c>
      <c r="UC91" s="1" t="str">
        <f aca="false">IF(C91=0,"",IF(UI91=1,"Gap to plan for: short "&amp;"€"&amp;TEXT(ROUND(TO91,0),"#,##0"),IF(QE91&gt;1,"Using savings","Comfortable")))</f>
        <v>Comfortable</v>
      </c>
      <c r="UD91" s="1" t="n">
        <f aca="false">IF(AND(INT(D91/10)*10=90,B91&gt;0),80,INT(D91/10)*10)</f>
        <v>80</v>
      </c>
      <c r="UE91" s="1" t="n">
        <f aca="false">IF(B91=0,1,IF(UD91&lt;&gt;UD90,UE90+1,UE90))</f>
        <v>9</v>
      </c>
      <c r="UF91" s="1" t="n">
        <f aca="false">IF(AND(C91=1,F91=1,QD91&gt;MAX(PR_Short1,TP91*PR_Short2)),1,0)</f>
        <v>0</v>
      </c>
      <c r="UG91" s="1" t="n">
        <f aca="false">TQ91*TU91</f>
        <v>0</v>
      </c>
      <c r="UH91" s="1" t="n">
        <f aca="false">IF(AND(U91=1,Slot1_PctLow=1),1,0)+IF(AND(AF91=1,Slot2_PctLow=1),1,0)+IF(AND(AP91=1,Slot3_PctLow=1),1,0)+IF(AND(AZ91=1,Slot4_PctLow=1),1,0)+IF(AND(BJ91=1,Slot5_PctLow=1),1,0)+IF(AND(BT91=1,Slot6_PctLow=1),1,0)+IF(AND(CD91=1,Slot7_PctLow=1),1,0)+IF(AND(CN91=1,Slot8_PctLow=1),1,0)+IF(AND(CX91=1,Slot9_PctLow=1),1,0)+IF(AND(DH91=1,Slot10_PctLow=1),1,0)+IF(AND(DR91=1,Slot11_PctLow=1),1,0)+IF(AND(EB91=1,Slot12_PctLow=1),1,0)+IF(AND(EL91=1,Slot13_PctLow=1),1,0)+IF(AND(EV91=1,Slot14_PctLow=1),1,0)+IF(AND(FF91=1,Slot15_PctLow=1),1,0)+IF(AND(FP91=1,Slot16_PctLow=1),1,0)+IF(AND(FZ91=1,Slot17_PctLow=1),1,0)+IF(AND(GJ91=1,Slot18_PctLow=1),1,0)+IF(AND(GT91=1,Slot19_PctLow=1),1,0)+IF(AND(HD91=1,Slot20_PctLow=1),1,0)</f>
        <v>0</v>
      </c>
      <c r="UI91" s="1" t="n">
        <f aca="false">IF(C91=1,IF(OR(TU91=1,UH91&gt;0),1,0),0)</f>
        <v>0</v>
      </c>
    </row>
    <row r="92" customFormat="false" ht="15" hidden="false" customHeight="true" outlineLevel="0" collapsed="false">
      <c r="B92" s="1" t="n">
        <v>84</v>
      </c>
      <c r="C92" s="1" t="n">
        <f aca="false">IF(B92&lt;=F_N,1,0)</f>
        <v>1</v>
      </c>
      <c r="D92" s="1" t="n">
        <f aca="false">'Plan pay &amp; tax'!C318</f>
        <v>84</v>
      </c>
      <c r="E92" s="111" t="n">
        <f aca="false">'Plan pay &amp; tax'!E318</f>
        <v>5.277332136682</v>
      </c>
      <c r="F92" s="1" t="n">
        <f aca="false">'Plan pay &amp; tax'!G318</f>
        <v>0</v>
      </c>
      <c r="G92" s="1" t="n">
        <f aca="false">'Plan pay &amp; tax'!BT318-'Plan pay &amp; tax'!BS318-'Plan pay &amp; tax'!R318</f>
        <v>68451.6418650458</v>
      </c>
      <c r="H92" s="1" t="n">
        <f aca="false">IF(F92=1,F_CostsM*12,IF(RG_Exists=1,RG_Amount,F_CostsM*12*AS_RetireSpend))*E92+F_OneOffY*E92</f>
        <v>0</v>
      </c>
      <c r="I92" s="1" t="n">
        <f aca="false">HQ91</f>
        <v>0</v>
      </c>
      <c r="J92" s="1" t="n">
        <f aca="false">IF(I92&gt;1,'Plan debt months'!AC92,0)</f>
        <v>0</v>
      </c>
      <c r="K92" s="1" t="n">
        <f aca="false">IF(I92&gt;1,'Plan debt months'!AB92,I92)</f>
        <v>0</v>
      </c>
      <c r="L92" s="1" t="n">
        <f aca="false">N91</f>
        <v>0</v>
      </c>
      <c r="M92" s="1" t="n">
        <f aca="false">IF(L92&gt;1,'Plan debt months'!BD92,0)</f>
        <v>0</v>
      </c>
      <c r="N92" s="1" t="n">
        <f aca="false">IF(L92&gt;1,'Plan debt months'!BC92,L92)</f>
        <v>0</v>
      </c>
      <c r="O92" s="1" t="n">
        <f aca="false">Q91</f>
        <v>0</v>
      </c>
      <c r="P92" s="1" t="n">
        <f aca="false">IF(O92&gt;1,'Plan debt months'!CE92,0)</f>
        <v>0</v>
      </c>
      <c r="Q92" s="1" t="n">
        <f aca="false">IF(O92&gt;1,'Plan debt months'!CD92,O92)</f>
        <v>0</v>
      </c>
      <c r="R92" s="1" t="n">
        <f aca="false">J92+M92+P92</f>
        <v>0</v>
      </c>
      <c r="S92" s="1" t="n">
        <f aca="false">QJ91+'Plan pay &amp; tax'!Y318</f>
        <v>1154739.74403764</v>
      </c>
      <c r="T92" s="1" t="n">
        <f aca="false">QJ91</f>
        <v>1154739.74403764</v>
      </c>
      <c r="U92" s="1" t="n">
        <f aca="false">IF(AND(Slot1_On=1,D92=Slot1_Age),1,0)</f>
        <v>0</v>
      </c>
      <c r="V92" s="1" t="n">
        <f aca="false">IF(AND(Slot1_On=1,Slot1_Age&gt;D92),1,0)</f>
        <v>0</v>
      </c>
      <c r="W92" s="1" t="n">
        <f aca="false">QL91</f>
        <v>0</v>
      </c>
      <c r="X92" s="1" t="n">
        <f aca="false">U92*MIN(Slot1_Cost,W92)</f>
        <v>0</v>
      </c>
      <c r="Y92" s="1" t="n">
        <f aca="false">U92*Slot1_SpendLike*MIN(Slot1_Cost-X92,S92)</f>
        <v>0</v>
      </c>
      <c r="Z92" s="1" t="n">
        <f aca="false">X92+Y92</f>
        <v>0</v>
      </c>
      <c r="AA92" s="1" t="n">
        <f aca="false">S92-Y92+U92*IF(Slot1_SpendLike=1,W92-X92,IF(Slot1_PotFree=1,W92,0))</f>
        <v>1154739.74403764</v>
      </c>
      <c r="AB92" s="1" t="n">
        <f aca="false">AE92+U92*Slot1_BufPot*W92</f>
        <v>0</v>
      </c>
      <c r="AC92" s="1" t="n">
        <f aca="false">IF(AND(U92=1,Slot1_IsMfree=1),IF(Z92&gt;=Slot1_Cost-1,0,MAX(0,K92-Z92)),K92)</f>
        <v>0</v>
      </c>
      <c r="AD92" s="1" t="n">
        <f aca="false">U92*(Slot1_Cost-Z92)</f>
        <v>0</v>
      </c>
      <c r="AE92" s="1" t="n">
        <f aca="false">QK91</f>
        <v>0</v>
      </c>
      <c r="AF92" s="1" t="n">
        <f aca="false">IF(AND(Slot2_On=1,D92=Slot2_Age),1,0)</f>
        <v>0</v>
      </c>
      <c r="AG92" s="1" t="n">
        <f aca="false">IF(AND(Slot2_On=1,Slot2_Age&gt;D92),1,0)</f>
        <v>0</v>
      </c>
      <c r="AH92" s="1" t="n">
        <f aca="false">QP91</f>
        <v>0</v>
      </c>
      <c r="AI92" s="1" t="n">
        <f aca="false">AF92*MIN(Slot2_Cost,AH92)</f>
        <v>0</v>
      </c>
      <c r="AJ92" s="1" t="n">
        <f aca="false">AF92*Slot2_SpendLike*MIN(Slot2_Cost-AI92,AA92)</f>
        <v>0</v>
      </c>
      <c r="AK92" s="1" t="n">
        <f aca="false">AI92+AJ92</f>
        <v>0</v>
      </c>
      <c r="AL92" s="1" t="n">
        <f aca="false">AA92-AJ92+AF92*IF(Slot2_SpendLike=1,AH92-AI92,IF(Slot2_PotFree=1,AH92,0))</f>
        <v>1154739.74403764</v>
      </c>
      <c r="AM92" s="1" t="n">
        <f aca="false">AB92+AF92*Slot2_BufPot*AH92</f>
        <v>0</v>
      </c>
      <c r="AN92" s="1" t="n">
        <f aca="false">IF(AND(AF92=1,Slot2_IsMfree=1),IF(AK92&gt;=Slot2_Cost-1,0,MAX(0,AC92-AK92)),AC92)</f>
        <v>0</v>
      </c>
      <c r="AO92" s="1" t="n">
        <f aca="false">AF92*(Slot2_Cost-AK92)</f>
        <v>0</v>
      </c>
      <c r="AP92" s="1" t="n">
        <f aca="false">IF(AND(Slot3_On=1,D92=Slot3_Age),1,0)</f>
        <v>0</v>
      </c>
      <c r="AQ92" s="1" t="n">
        <f aca="false">IF(AND(Slot3_On=1,Slot3_Age&gt;D92),1,0)</f>
        <v>0</v>
      </c>
      <c r="AR92" s="1" t="n">
        <f aca="false">QT91</f>
        <v>0</v>
      </c>
      <c r="AS92" s="1" t="n">
        <f aca="false">AP92*MIN(Slot3_Cost,AR92)</f>
        <v>0</v>
      </c>
      <c r="AT92" s="1" t="n">
        <f aca="false">AP92*Slot3_SpendLike*MIN(Slot3_Cost-AS92,AL92)</f>
        <v>0</v>
      </c>
      <c r="AU92" s="1" t="n">
        <f aca="false">AS92+AT92</f>
        <v>0</v>
      </c>
      <c r="AV92" s="1" t="n">
        <f aca="false">AL92-AT92+AP92*IF(Slot3_SpendLike=1,AR92-AS92,IF(Slot3_PotFree=1,AR92,0))</f>
        <v>1154739.74403764</v>
      </c>
      <c r="AW92" s="1" t="n">
        <f aca="false">AM92+AP92*Slot3_BufPot*AR92</f>
        <v>0</v>
      </c>
      <c r="AX92" s="1" t="n">
        <f aca="false">IF(AND(AP92=1,Slot3_IsMfree=1),IF(AU92&gt;=Slot3_Cost-1,0,MAX(0,AN92-AU92)),AN92)</f>
        <v>0</v>
      </c>
      <c r="AY92" s="1" t="n">
        <f aca="false">AP92*(Slot3_Cost-AU92)</f>
        <v>0</v>
      </c>
      <c r="AZ92" s="1" t="n">
        <f aca="false">IF(AND(Slot4_On=1,D92=Slot4_Age),1,0)</f>
        <v>0</v>
      </c>
      <c r="BA92" s="1" t="n">
        <f aca="false">IF(AND(Slot4_On=1,Slot4_Age&gt;D92),1,0)</f>
        <v>0</v>
      </c>
      <c r="BB92" s="1" t="n">
        <f aca="false">QX91</f>
        <v>0</v>
      </c>
      <c r="BC92" s="1" t="n">
        <f aca="false">AZ92*MIN(Slot4_Cost,BB92)</f>
        <v>0</v>
      </c>
      <c r="BD92" s="1" t="n">
        <f aca="false">AZ92*Slot4_SpendLike*MIN(Slot4_Cost-BC92,AV92)</f>
        <v>0</v>
      </c>
      <c r="BE92" s="1" t="n">
        <f aca="false">BC92+BD92</f>
        <v>0</v>
      </c>
      <c r="BF92" s="1" t="n">
        <f aca="false">AV92-BD92+AZ92*IF(Slot4_SpendLike=1,BB92-BC92,IF(Slot4_PotFree=1,BB92,0))</f>
        <v>1154739.74403764</v>
      </c>
      <c r="BG92" s="1" t="n">
        <f aca="false">AW92+AZ92*Slot4_BufPot*BB92</f>
        <v>0</v>
      </c>
      <c r="BH92" s="1" t="n">
        <f aca="false">IF(AND(AZ92=1,Slot4_IsMfree=1),IF(BE92&gt;=Slot4_Cost-1,0,MAX(0,AX92-BE92)),AX92)</f>
        <v>0</v>
      </c>
      <c r="BI92" s="1" t="n">
        <f aca="false">AZ92*(Slot4_Cost-BE92)</f>
        <v>0</v>
      </c>
      <c r="BJ92" s="1" t="n">
        <f aca="false">IF(AND(Slot5_On=1,D92=Slot5_Age),1,0)</f>
        <v>0</v>
      </c>
      <c r="BK92" s="1" t="n">
        <f aca="false">IF(AND(Slot5_On=1,Slot5_Age&gt;D92),1,0)</f>
        <v>0</v>
      </c>
      <c r="BL92" s="1" t="n">
        <f aca="false">RB91</f>
        <v>0</v>
      </c>
      <c r="BM92" s="1" t="n">
        <f aca="false">BJ92*MIN(Slot5_Cost,BL92)</f>
        <v>0</v>
      </c>
      <c r="BN92" s="1" t="n">
        <f aca="false">BJ92*Slot5_SpendLike*MIN(Slot5_Cost-BM92,BF92)</f>
        <v>0</v>
      </c>
      <c r="BO92" s="1" t="n">
        <f aca="false">BM92+BN92</f>
        <v>0</v>
      </c>
      <c r="BP92" s="1" t="n">
        <f aca="false">BF92-BN92+BJ92*IF(Slot5_SpendLike=1,BL92-BM92,IF(Slot5_PotFree=1,BL92,0))</f>
        <v>1154739.74403764</v>
      </c>
      <c r="BQ92" s="1" t="n">
        <f aca="false">BG92+BJ92*Slot5_BufPot*BL92</f>
        <v>0</v>
      </c>
      <c r="BR92" s="1" t="n">
        <f aca="false">IF(AND(BJ92=1,Slot5_IsMfree=1),IF(BO92&gt;=Slot5_Cost-1,0,MAX(0,BH92-BO92)),BH92)</f>
        <v>0</v>
      </c>
      <c r="BS92" s="1" t="n">
        <f aca="false">BJ92*(Slot5_Cost-BO92)</f>
        <v>0</v>
      </c>
      <c r="BT92" s="1" t="n">
        <f aca="false">IF(AND(Slot6_On=1,D92=Slot6_Age),1,0)</f>
        <v>0</v>
      </c>
      <c r="BU92" s="1" t="n">
        <f aca="false">IF(AND(Slot6_On=1,Slot6_Age&gt;D92),1,0)</f>
        <v>0</v>
      </c>
      <c r="BV92" s="1" t="n">
        <f aca="false">RF91</f>
        <v>0</v>
      </c>
      <c r="BW92" s="1" t="n">
        <f aca="false">BT92*MIN(Slot6_Cost,BV92)</f>
        <v>0</v>
      </c>
      <c r="BX92" s="1" t="n">
        <f aca="false">BT92*Slot6_SpendLike*MIN(Slot6_Cost-BW92,BP92)</f>
        <v>0</v>
      </c>
      <c r="BY92" s="1" t="n">
        <f aca="false">BW92+BX92</f>
        <v>0</v>
      </c>
      <c r="BZ92" s="1" t="n">
        <f aca="false">BP92-BX92+BT92*IF(Slot6_SpendLike=1,BV92-BW92,IF(Slot6_PotFree=1,BV92,0))</f>
        <v>1154739.74403764</v>
      </c>
      <c r="CA92" s="1" t="n">
        <f aca="false">BQ92+BT92*Slot6_BufPot*BV92</f>
        <v>0</v>
      </c>
      <c r="CB92" s="1" t="n">
        <f aca="false">IF(AND(BT92=1,Slot6_IsMfree=1),IF(BY92&gt;=Slot6_Cost-1,0,MAX(0,BR92-BY92)),BR92)</f>
        <v>0</v>
      </c>
      <c r="CC92" s="1" t="n">
        <f aca="false">BT92*(Slot6_Cost-BY92)</f>
        <v>0</v>
      </c>
      <c r="CD92" s="1" t="n">
        <f aca="false">IF(AND(Slot7_On=1,D92=Slot7_Age),1,0)</f>
        <v>0</v>
      </c>
      <c r="CE92" s="1" t="n">
        <f aca="false">IF(AND(Slot7_On=1,Slot7_Age&gt;D92),1,0)</f>
        <v>0</v>
      </c>
      <c r="CF92" s="1" t="n">
        <f aca="false">RJ91</f>
        <v>0</v>
      </c>
      <c r="CG92" s="1" t="n">
        <f aca="false">CD92*MIN(Slot7_Cost,CF92)</f>
        <v>0</v>
      </c>
      <c r="CH92" s="1" t="n">
        <f aca="false">CD92*Slot7_SpendLike*MIN(Slot7_Cost-CG92,BZ92)</f>
        <v>0</v>
      </c>
      <c r="CI92" s="1" t="n">
        <f aca="false">CG92+CH92</f>
        <v>0</v>
      </c>
      <c r="CJ92" s="1" t="n">
        <f aca="false">BZ92-CH92+CD92*IF(Slot7_SpendLike=1,CF92-CG92,IF(Slot7_PotFree=1,CF92,0))</f>
        <v>1154739.74403764</v>
      </c>
      <c r="CK92" s="1" t="n">
        <f aca="false">CA92+CD92*Slot7_BufPot*CF92</f>
        <v>0</v>
      </c>
      <c r="CL92" s="1" t="n">
        <f aca="false">IF(AND(CD92=1,Slot7_IsMfree=1),IF(CI92&gt;=Slot7_Cost-1,0,MAX(0,CB92-CI92)),CB92)</f>
        <v>0</v>
      </c>
      <c r="CM92" s="1" t="n">
        <f aca="false">CD92*(Slot7_Cost-CI92)</f>
        <v>0</v>
      </c>
      <c r="CN92" s="1" t="n">
        <f aca="false">IF(AND(Slot8_On=1,D92=Slot8_Age),1,0)</f>
        <v>0</v>
      </c>
      <c r="CO92" s="1" t="n">
        <f aca="false">IF(AND(Slot8_On=1,Slot8_Age&gt;D92),1,0)</f>
        <v>0</v>
      </c>
      <c r="CP92" s="1" t="n">
        <f aca="false">RN91</f>
        <v>0</v>
      </c>
      <c r="CQ92" s="1" t="n">
        <f aca="false">CN92*MIN(Slot8_Cost,CP92)</f>
        <v>0</v>
      </c>
      <c r="CR92" s="1" t="n">
        <f aca="false">CN92*Slot8_SpendLike*MIN(Slot8_Cost-CQ92,CJ92)</f>
        <v>0</v>
      </c>
      <c r="CS92" s="1" t="n">
        <f aca="false">CQ92+CR92</f>
        <v>0</v>
      </c>
      <c r="CT92" s="1" t="n">
        <f aca="false">CJ92-CR92+CN92*IF(Slot8_SpendLike=1,CP92-CQ92,IF(Slot8_PotFree=1,CP92,0))</f>
        <v>1154739.74403764</v>
      </c>
      <c r="CU92" s="1" t="n">
        <f aca="false">CK92+CN92*Slot8_BufPot*CP92</f>
        <v>0</v>
      </c>
      <c r="CV92" s="1" t="n">
        <f aca="false">IF(AND(CN92=1,Slot8_IsMfree=1),IF(CS92&gt;=Slot8_Cost-1,0,MAX(0,CL92-CS92)),CL92)</f>
        <v>0</v>
      </c>
      <c r="CW92" s="1" t="n">
        <f aca="false">CN92*(Slot8_Cost-CS92)</f>
        <v>0</v>
      </c>
      <c r="CX92" s="1" t="n">
        <f aca="false">IF(AND(Slot9_On=1,D92=Slot9_Age),1,0)</f>
        <v>0</v>
      </c>
      <c r="CY92" s="1" t="n">
        <f aca="false">IF(AND(Slot9_On=1,Slot9_Age&gt;D92),1,0)</f>
        <v>0</v>
      </c>
      <c r="CZ92" s="1" t="n">
        <f aca="false">RR91</f>
        <v>0</v>
      </c>
      <c r="DA92" s="1" t="n">
        <f aca="false">CX92*MIN(Slot9_Cost,CZ92)</f>
        <v>0</v>
      </c>
      <c r="DB92" s="1" t="n">
        <f aca="false">CX92*Slot9_SpendLike*MIN(Slot9_Cost-DA92,CT92)</f>
        <v>0</v>
      </c>
      <c r="DC92" s="1" t="n">
        <f aca="false">DA92+DB92</f>
        <v>0</v>
      </c>
      <c r="DD92" s="1" t="n">
        <f aca="false">CT92-DB92+CX92*IF(Slot9_SpendLike=1,CZ92-DA92,IF(Slot9_PotFree=1,CZ92,0))</f>
        <v>1154739.74403764</v>
      </c>
      <c r="DE92" s="1" t="n">
        <f aca="false">CU92+CX92*Slot9_BufPot*CZ92</f>
        <v>0</v>
      </c>
      <c r="DF92" s="1" t="n">
        <f aca="false">IF(AND(CX92=1,Slot9_IsMfree=1),IF(DC92&gt;=Slot9_Cost-1,0,MAX(0,CV92-DC92)),CV92)</f>
        <v>0</v>
      </c>
      <c r="DG92" s="1" t="n">
        <f aca="false">CX92*(Slot9_Cost-DC92)</f>
        <v>0</v>
      </c>
      <c r="DH92" s="1" t="n">
        <f aca="false">IF(AND(Slot10_On=1,D92=Slot10_Age),1,0)</f>
        <v>0</v>
      </c>
      <c r="DI92" s="1" t="n">
        <f aca="false">IF(AND(Slot10_On=1,Slot10_Age&gt;D92),1,0)</f>
        <v>0</v>
      </c>
      <c r="DJ92" s="1" t="n">
        <f aca="false">RV91</f>
        <v>0</v>
      </c>
      <c r="DK92" s="1" t="n">
        <f aca="false">DH92*MIN(Slot10_Cost,DJ92)</f>
        <v>0</v>
      </c>
      <c r="DL92" s="1" t="n">
        <f aca="false">DH92*Slot10_SpendLike*MIN(Slot10_Cost-DK92,DD92)</f>
        <v>0</v>
      </c>
      <c r="DM92" s="1" t="n">
        <f aca="false">DK92+DL92</f>
        <v>0</v>
      </c>
      <c r="DN92" s="1" t="n">
        <f aca="false">DD92-DL92+DH92*IF(Slot10_SpendLike=1,DJ92-DK92,IF(Slot10_PotFree=1,DJ92,0))</f>
        <v>1154739.74403764</v>
      </c>
      <c r="DO92" s="1" t="n">
        <f aca="false">DE92+DH92*Slot10_BufPot*DJ92</f>
        <v>0</v>
      </c>
      <c r="DP92" s="1" t="n">
        <f aca="false">IF(AND(DH92=1,Slot10_IsMfree=1),IF(DM92&gt;=Slot10_Cost-1,0,MAX(0,DF92-DM92)),DF92)</f>
        <v>0</v>
      </c>
      <c r="DQ92" s="1" t="n">
        <f aca="false">DH92*(Slot10_Cost-DM92)</f>
        <v>0</v>
      </c>
      <c r="DR92" s="1" t="n">
        <f aca="false">IF(AND(Slot11_On=1,D92=Slot11_Age),1,0)</f>
        <v>0</v>
      </c>
      <c r="DS92" s="1" t="n">
        <f aca="false">IF(AND(Slot11_On=1,Slot11_Age&gt;D92),1,0)</f>
        <v>0</v>
      </c>
      <c r="DT92" s="1" t="n">
        <f aca="false">RZ91</f>
        <v>0</v>
      </c>
      <c r="DU92" s="1" t="n">
        <f aca="false">DR92*MIN(Slot11_Cost,DT92)</f>
        <v>0</v>
      </c>
      <c r="DV92" s="1" t="n">
        <f aca="false">DR92*Slot11_SpendLike*MIN(Slot11_Cost-DU92,DN92)</f>
        <v>0</v>
      </c>
      <c r="DW92" s="1" t="n">
        <f aca="false">DU92+DV92</f>
        <v>0</v>
      </c>
      <c r="DX92" s="1" t="n">
        <f aca="false">DN92-DV92+DR92*IF(Slot11_SpendLike=1,DT92-DU92,IF(Slot11_PotFree=1,DT92,0))</f>
        <v>1154739.74403764</v>
      </c>
      <c r="DY92" s="1" t="n">
        <f aca="false">DO92+DR92*Slot11_BufPot*DT92</f>
        <v>0</v>
      </c>
      <c r="DZ92" s="1" t="n">
        <f aca="false">IF(AND(DR92=1,Slot11_IsMfree=1),IF(DW92&gt;=Slot11_Cost-1,0,MAX(0,DP92-DW92)),DP92)</f>
        <v>0</v>
      </c>
      <c r="EA92" s="1" t="n">
        <f aca="false">DR92*(Slot11_Cost-DW92)</f>
        <v>0</v>
      </c>
      <c r="EB92" s="1" t="n">
        <f aca="false">IF(AND(Slot12_On=1,D92=Slot12_Age),1,0)</f>
        <v>0</v>
      </c>
      <c r="EC92" s="1" t="n">
        <f aca="false">IF(AND(Slot12_On=1,Slot12_Age&gt;D92),1,0)</f>
        <v>0</v>
      </c>
      <c r="ED92" s="1" t="n">
        <f aca="false">SD91</f>
        <v>0</v>
      </c>
      <c r="EE92" s="1" t="n">
        <f aca="false">EB92*MIN(Slot12_Cost,ED92)</f>
        <v>0</v>
      </c>
      <c r="EF92" s="1" t="n">
        <f aca="false">EB92*Slot12_SpendLike*MIN(Slot12_Cost-EE92,DX92)</f>
        <v>0</v>
      </c>
      <c r="EG92" s="1" t="n">
        <f aca="false">EE92+EF92</f>
        <v>0</v>
      </c>
      <c r="EH92" s="1" t="n">
        <f aca="false">DX92-EF92+EB92*IF(Slot12_SpendLike=1,ED92-EE92,IF(Slot12_PotFree=1,ED92,0))</f>
        <v>1154739.74403764</v>
      </c>
      <c r="EI92" s="1" t="n">
        <f aca="false">DY92+EB92*Slot12_BufPot*ED92</f>
        <v>0</v>
      </c>
      <c r="EJ92" s="1" t="n">
        <f aca="false">IF(AND(EB92=1,Slot12_IsMfree=1),IF(EG92&gt;=Slot12_Cost-1,0,MAX(0,DZ92-EG92)),DZ92)</f>
        <v>0</v>
      </c>
      <c r="EK92" s="1" t="n">
        <f aca="false">EB92*(Slot12_Cost-EG92)</f>
        <v>0</v>
      </c>
      <c r="EL92" s="1" t="n">
        <f aca="false">IF(AND(Slot13_On=1,D92=Slot13_Age),1,0)</f>
        <v>0</v>
      </c>
      <c r="EM92" s="1" t="n">
        <f aca="false">IF(AND(Slot13_On=1,Slot13_Age&gt;D92),1,0)</f>
        <v>0</v>
      </c>
      <c r="EN92" s="1" t="n">
        <f aca="false">SH91</f>
        <v>0</v>
      </c>
      <c r="EO92" s="1" t="n">
        <f aca="false">EL92*MIN(Slot13_Cost,EN92)</f>
        <v>0</v>
      </c>
      <c r="EP92" s="1" t="n">
        <f aca="false">EL92*Slot13_SpendLike*MIN(Slot13_Cost-EO92,EH92)</f>
        <v>0</v>
      </c>
      <c r="EQ92" s="1" t="n">
        <f aca="false">EO92+EP92</f>
        <v>0</v>
      </c>
      <c r="ER92" s="1" t="n">
        <f aca="false">EH92-EP92+EL92*IF(Slot13_SpendLike=1,EN92-EO92,IF(Slot13_PotFree=1,EN92,0))</f>
        <v>1154739.74403764</v>
      </c>
      <c r="ES92" s="1" t="n">
        <f aca="false">EI92+EL92*Slot13_BufPot*EN92</f>
        <v>0</v>
      </c>
      <c r="ET92" s="1" t="n">
        <f aca="false">IF(AND(EL92=1,Slot13_IsMfree=1),IF(EQ92&gt;=Slot13_Cost-1,0,MAX(0,EJ92-EQ92)),EJ92)</f>
        <v>0</v>
      </c>
      <c r="EU92" s="1" t="n">
        <f aca="false">EL92*(Slot13_Cost-EQ92)</f>
        <v>0</v>
      </c>
      <c r="EV92" s="1" t="n">
        <f aca="false">IF(AND(Slot14_On=1,D92=Slot14_Age),1,0)</f>
        <v>0</v>
      </c>
      <c r="EW92" s="1" t="n">
        <f aca="false">IF(AND(Slot14_On=1,Slot14_Age&gt;D92),1,0)</f>
        <v>0</v>
      </c>
      <c r="EX92" s="1" t="n">
        <f aca="false">SL91</f>
        <v>0</v>
      </c>
      <c r="EY92" s="1" t="n">
        <f aca="false">EV92*MIN(Slot14_Cost,EX92)</f>
        <v>0</v>
      </c>
      <c r="EZ92" s="1" t="n">
        <f aca="false">EV92*Slot14_SpendLike*MIN(Slot14_Cost-EY92,ER92)</f>
        <v>0</v>
      </c>
      <c r="FA92" s="1" t="n">
        <f aca="false">EY92+EZ92</f>
        <v>0</v>
      </c>
      <c r="FB92" s="1" t="n">
        <f aca="false">ER92-EZ92+EV92*IF(Slot14_SpendLike=1,EX92-EY92,IF(Slot14_PotFree=1,EX92,0))</f>
        <v>1154739.74403764</v>
      </c>
      <c r="FC92" s="1" t="n">
        <f aca="false">ES92+EV92*Slot14_BufPot*EX92</f>
        <v>0</v>
      </c>
      <c r="FD92" s="1" t="n">
        <f aca="false">IF(AND(EV92=1,Slot14_IsMfree=1),IF(FA92&gt;=Slot14_Cost-1,0,MAX(0,ET92-FA92)),ET92)</f>
        <v>0</v>
      </c>
      <c r="FE92" s="1" t="n">
        <f aca="false">EV92*(Slot14_Cost-FA92)</f>
        <v>0</v>
      </c>
      <c r="FF92" s="1" t="n">
        <f aca="false">IF(AND(Slot15_On=1,D92=Slot15_Age),1,0)</f>
        <v>0</v>
      </c>
      <c r="FG92" s="1" t="n">
        <f aca="false">IF(AND(Slot15_On=1,Slot15_Age&gt;D92),1,0)</f>
        <v>0</v>
      </c>
      <c r="FH92" s="1" t="n">
        <f aca="false">SP91</f>
        <v>0</v>
      </c>
      <c r="FI92" s="1" t="n">
        <f aca="false">FF92*MIN(Slot15_Cost,FH92)</f>
        <v>0</v>
      </c>
      <c r="FJ92" s="1" t="n">
        <f aca="false">FF92*Slot15_SpendLike*MIN(Slot15_Cost-FI92,FB92)</f>
        <v>0</v>
      </c>
      <c r="FK92" s="1" t="n">
        <f aca="false">FI92+FJ92</f>
        <v>0</v>
      </c>
      <c r="FL92" s="1" t="n">
        <f aca="false">FB92-FJ92+FF92*IF(Slot15_SpendLike=1,FH92-FI92,IF(Slot15_PotFree=1,FH92,0))</f>
        <v>1154739.74403764</v>
      </c>
      <c r="FM92" s="1" t="n">
        <f aca="false">FC92+FF92*Slot15_BufPot*FH92</f>
        <v>0</v>
      </c>
      <c r="FN92" s="1" t="n">
        <f aca="false">IF(AND(FF92=1,Slot15_IsMfree=1),IF(FK92&gt;=Slot15_Cost-1,0,MAX(0,FD92-FK92)),FD92)</f>
        <v>0</v>
      </c>
      <c r="FO92" s="1" t="n">
        <f aca="false">FF92*(Slot15_Cost-FK92)</f>
        <v>0</v>
      </c>
      <c r="FP92" s="1" t="n">
        <f aca="false">IF(AND(Slot16_On=1,D92=Slot16_Age),1,0)</f>
        <v>0</v>
      </c>
      <c r="FQ92" s="1" t="n">
        <f aca="false">IF(AND(Slot16_On=1,Slot16_Age&gt;D92),1,0)</f>
        <v>0</v>
      </c>
      <c r="FR92" s="1" t="n">
        <f aca="false">ST91</f>
        <v>0</v>
      </c>
      <c r="FS92" s="1" t="n">
        <f aca="false">FP92*MIN(Slot16_Cost,FR92)</f>
        <v>0</v>
      </c>
      <c r="FT92" s="1" t="n">
        <f aca="false">FP92*Slot16_SpendLike*MIN(Slot16_Cost-FS92,FL92)</f>
        <v>0</v>
      </c>
      <c r="FU92" s="1" t="n">
        <f aca="false">FS92+FT92</f>
        <v>0</v>
      </c>
      <c r="FV92" s="1" t="n">
        <f aca="false">FL92-FT92+FP92*IF(Slot16_SpendLike=1,FR92-FS92,IF(Slot16_PotFree=1,FR92,0))</f>
        <v>1154739.74403764</v>
      </c>
      <c r="FW92" s="1" t="n">
        <f aca="false">FM92+FP92*Slot16_BufPot*FR92</f>
        <v>0</v>
      </c>
      <c r="FX92" s="1" t="n">
        <f aca="false">IF(AND(FP92=1,Slot16_IsMfree=1),IF(FU92&gt;=Slot16_Cost-1,0,MAX(0,FN92-FU92)),FN92)</f>
        <v>0</v>
      </c>
      <c r="FY92" s="1" t="n">
        <f aca="false">FP92*(Slot16_Cost-FU92)</f>
        <v>0</v>
      </c>
      <c r="FZ92" s="1" t="n">
        <f aca="false">IF(AND(Slot17_On=1,D92=Slot17_Age),1,0)</f>
        <v>0</v>
      </c>
      <c r="GA92" s="1" t="n">
        <f aca="false">IF(AND(Slot17_On=1,Slot17_Age&gt;D92),1,0)</f>
        <v>0</v>
      </c>
      <c r="GB92" s="1" t="n">
        <f aca="false">SX91</f>
        <v>0</v>
      </c>
      <c r="GC92" s="1" t="n">
        <f aca="false">FZ92*MIN(Slot17_Cost,GB92)</f>
        <v>0</v>
      </c>
      <c r="GD92" s="1" t="n">
        <f aca="false">FZ92*Slot17_SpendLike*MIN(Slot17_Cost-GC92,FV92)</f>
        <v>0</v>
      </c>
      <c r="GE92" s="1" t="n">
        <f aca="false">GC92+GD92</f>
        <v>0</v>
      </c>
      <c r="GF92" s="1" t="n">
        <f aca="false">FV92-GD92+FZ92*IF(Slot17_SpendLike=1,GB92-GC92,IF(Slot17_PotFree=1,GB92,0))</f>
        <v>1154739.74403764</v>
      </c>
      <c r="GG92" s="1" t="n">
        <f aca="false">FW92+FZ92*Slot17_BufPot*GB92</f>
        <v>0</v>
      </c>
      <c r="GH92" s="1" t="n">
        <f aca="false">IF(AND(FZ92=1,Slot17_IsMfree=1),IF(GE92&gt;=Slot17_Cost-1,0,MAX(0,FX92-GE92)),FX92)</f>
        <v>0</v>
      </c>
      <c r="GI92" s="1" t="n">
        <f aca="false">FZ92*(Slot17_Cost-GE92)</f>
        <v>0</v>
      </c>
      <c r="GJ92" s="1" t="n">
        <f aca="false">IF(AND(Slot18_On=1,D92=Slot18_Age),1,0)</f>
        <v>0</v>
      </c>
      <c r="GK92" s="1" t="n">
        <f aca="false">IF(AND(Slot18_On=1,Slot18_Age&gt;D92),1,0)</f>
        <v>0</v>
      </c>
      <c r="GL92" s="1" t="n">
        <f aca="false">TB91</f>
        <v>0</v>
      </c>
      <c r="GM92" s="1" t="n">
        <f aca="false">GJ92*MIN(Slot18_Cost,GL92)</f>
        <v>0</v>
      </c>
      <c r="GN92" s="1" t="n">
        <f aca="false">GJ92*Slot18_SpendLike*MIN(Slot18_Cost-GM92,GF92)</f>
        <v>0</v>
      </c>
      <c r="GO92" s="1" t="n">
        <f aca="false">GM92+GN92</f>
        <v>0</v>
      </c>
      <c r="GP92" s="1" t="n">
        <f aca="false">GF92-GN92+GJ92*IF(Slot18_SpendLike=1,GL92-GM92,IF(Slot18_PotFree=1,GL92,0))</f>
        <v>1154739.74403764</v>
      </c>
      <c r="GQ92" s="1" t="n">
        <f aca="false">GG92+GJ92*Slot18_BufPot*GL92</f>
        <v>0</v>
      </c>
      <c r="GR92" s="1" t="n">
        <f aca="false">IF(AND(GJ92=1,Slot18_IsMfree=1),IF(GO92&gt;=Slot18_Cost-1,0,MAX(0,GH92-GO92)),GH92)</f>
        <v>0</v>
      </c>
      <c r="GS92" s="1" t="n">
        <f aca="false">GJ92*(Slot18_Cost-GO92)</f>
        <v>0</v>
      </c>
      <c r="GT92" s="1" t="n">
        <f aca="false">IF(AND(Slot19_On=1,D92=Slot19_Age),1,0)</f>
        <v>0</v>
      </c>
      <c r="GU92" s="1" t="n">
        <f aca="false">IF(AND(Slot19_On=1,Slot19_Age&gt;D92),1,0)</f>
        <v>0</v>
      </c>
      <c r="GV92" s="1" t="n">
        <f aca="false">TF91</f>
        <v>0</v>
      </c>
      <c r="GW92" s="1" t="n">
        <f aca="false">GT92*MIN(Slot19_Cost,GV92)</f>
        <v>0</v>
      </c>
      <c r="GX92" s="1" t="n">
        <f aca="false">GT92*Slot19_SpendLike*MIN(Slot19_Cost-GW92,GP92)</f>
        <v>0</v>
      </c>
      <c r="GY92" s="1" t="n">
        <f aca="false">GW92+GX92</f>
        <v>0</v>
      </c>
      <c r="GZ92" s="1" t="n">
        <f aca="false">GP92-GX92+GT92*IF(Slot19_SpendLike=1,GV92-GW92,IF(Slot19_PotFree=1,GV92,0))</f>
        <v>1154739.74403764</v>
      </c>
      <c r="HA92" s="1" t="n">
        <f aca="false">GQ92+GT92*Slot19_BufPot*GV92</f>
        <v>0</v>
      </c>
      <c r="HB92" s="1" t="n">
        <f aca="false">IF(AND(GT92=1,Slot19_IsMfree=1),IF(GY92&gt;=Slot19_Cost-1,0,MAX(0,GR92-GY92)),GR92)</f>
        <v>0</v>
      </c>
      <c r="HC92" s="1" t="n">
        <f aca="false">GT92*(Slot19_Cost-GY92)</f>
        <v>0</v>
      </c>
      <c r="HD92" s="1" t="n">
        <f aca="false">IF(AND(Slot20_On=1,D92=Slot20_Age),1,0)</f>
        <v>0</v>
      </c>
      <c r="HE92" s="1" t="n">
        <f aca="false">IF(AND(Slot20_On=1,Slot20_Age&gt;D92),1,0)</f>
        <v>0</v>
      </c>
      <c r="HF92" s="1" t="n">
        <f aca="false">TJ91</f>
        <v>0</v>
      </c>
      <c r="HG92" s="1" t="n">
        <f aca="false">HD92*MIN(Slot20_Cost,HF92)</f>
        <v>0</v>
      </c>
      <c r="HH92" s="1" t="n">
        <f aca="false">HD92*Slot20_SpendLike*MIN(Slot20_Cost-HG92,GZ92)</f>
        <v>0</v>
      </c>
      <c r="HI92" s="1" t="n">
        <f aca="false">HG92+HH92</f>
        <v>0</v>
      </c>
      <c r="HJ92" s="1" t="n">
        <f aca="false">GZ92-HH92+HD92*IF(Slot20_SpendLike=1,HF92-HG92,IF(Slot20_PotFree=1,HF92,0))</f>
        <v>1154739.74403764</v>
      </c>
      <c r="HK92" s="1" t="n">
        <f aca="false">HA92+HD92*Slot20_BufPot*HF92</f>
        <v>0</v>
      </c>
      <c r="HL92" s="1" t="n">
        <f aca="false">IF(AND(HD92=1,Slot20_IsMfree=1),IF(HI92&gt;=Slot20_Cost-1,0,MAX(0,HB92-HI92)),HB92)</f>
        <v>0</v>
      </c>
      <c r="HM92" s="1" t="n">
        <f aca="false">HD92*(Slot20_Cost-HI92)</f>
        <v>0</v>
      </c>
      <c r="HN92" s="1" t="n">
        <f aca="false">U92*Slot1_SpendLike*Z92+AF92*Slot2_SpendLike*AK92+AP92*Slot3_SpendLike*AU92+AZ92*Slot4_SpendLike*BE92+BJ92*Slot5_SpendLike*BO92+BT92*Slot6_SpendLike*BY92+CD92*Slot7_SpendLike*CI92+CN92*Slot8_SpendLike*CS92+CX92*Slot9_SpendLike*DC92+DH92*Slot10_SpendLike*DM92+DR92*Slot11_SpendLike*DW92+EB92*Slot12_SpendLike*EG92+EL92*Slot13_SpendLike*EQ92+EV92*Slot14_SpendLike*FA92+FF92*Slot15_SpendLike*FK92+FP92*Slot16_SpendLike*FU92+FZ92*Slot17_SpendLike*GE92+GJ92*Slot18_SpendLike*GO92+GT92*Slot19_SpendLike*GY92+HD92*Slot20_SpendLike*HI92</f>
        <v>0</v>
      </c>
      <c r="HO92" s="1" t="n">
        <f aca="false">AD92+AO92+AY92+BI92+BS92+CC92+CM92+CW92+DG92+DQ92+EA92+EK92+EU92+FE92+FO92+FY92+GI92+GS92+HC92+HM92</f>
        <v>0</v>
      </c>
      <c r="HP92" s="1" t="n">
        <f aca="false">U92*Slot1_Cost+AF92*Slot2_Cost+AP92*Slot3_Cost+AZ92*Slot4_Cost+BJ92*Slot5_Cost+BT92*Slot6_Cost+CD92*Slot7_Cost+CN92*Slot8_Cost+CX92*Slot9_Cost+DH92*Slot10_Cost+DR92*Slot11_Cost+EB92*Slot12_Cost+EL92*Slot13_Cost+EV92*Slot14_Cost+FF92*Slot15_Cost+FP92*Slot16_Cost+FZ92*Slot17_Cost+GJ92*Slot18_Cost+GT92*Slot19_Cost+HD92*Slot20_Cost</f>
        <v>0</v>
      </c>
      <c r="HQ92" s="1" t="n">
        <f aca="false">HL92</f>
        <v>0</v>
      </c>
      <c r="HR92" s="1" t="n">
        <f aca="false">G92-H92-R92</f>
        <v>68451.6418650458</v>
      </c>
      <c r="HS92" s="1" t="n">
        <f aca="false">IF(B92=0,IF(AND(Has_q6=1,In_q6=4),PR_ShareVaries*(MAX(0,HR92)/12),MIN(IF(Has_q6=1,CHOOSE(In_q6+1,PR_SaveB1,PR_SaveB2,PR_SaveB3,PR_SaveB4,0),AS_NoAnswer),AS_SaveShare*(MAX(0,HR92)/12))),HS91)</f>
        <v>0</v>
      </c>
      <c r="HT92" s="1" t="n">
        <f aca="false">IF(HR92&gt;=0,1,0)</f>
        <v>1</v>
      </c>
      <c r="HU92" s="1" t="n">
        <f aca="false">MAX(0,HR92/12/E92)</f>
        <v>1080.90666666667</v>
      </c>
      <c r="HV92" s="1" t="n">
        <f aca="false">IF(AND(Has_q6=1,In_q6=4),PR_ShareVaries*(HU92),MIN(IF(Has_q6=1,CHOOSE(In_q6+1,PR_SaveB1,PR_SaveB2,PR_SaveB3,PR_SaveB4,0),AS_NoAnswer),AS_SaveShare*(HU92)))</f>
        <v>300</v>
      </c>
      <c r="HW92" s="1" t="n">
        <f aca="false">IF(Has_saveM=1,IF(In_saveUp="Yes",1,IF(In_saveUp="No",0,IF(In_saveM&gt;=HS92-0.5,1,0))),0)</f>
        <v>0</v>
      </c>
      <c r="HX92" s="1" t="n">
        <f aca="false">IF(Has_saveM=1,MIN(HU92,IF(HW92=1,MAX(In_saveM,HV92),MIN(In_saveM,HV92))),HV92)</f>
        <v>300</v>
      </c>
      <c r="HY92" s="1" t="n">
        <f aca="false">IF(F92=1,HX92*12*E92,0)</f>
        <v>0</v>
      </c>
      <c r="HZ92" s="1" t="n">
        <f aca="false">MAX(0,HY92+IF(AND(WI_Retire=0,WI_M&lt;0,F92=1),WI_M*12*E92,0))</f>
        <v>0</v>
      </c>
      <c r="IA92" s="1" t="n">
        <f aca="false">Slot1_IsWG*V92+Slot2_IsWG*AG92+Slot3_IsWG*AQ92+Slot4_IsWG*BA92+Slot5_IsWG*BK92+Slot6_IsWG*BU92+Slot7_IsWG*CE92+Slot8_IsWG*CO92+Slot9_IsWG*CY92+Slot10_IsWG*DI92+Slot11_IsWG*DS92+Slot12_IsWG*EC92+Slot13_IsWG*EM92+Slot14_IsWG*EW92+Slot15_IsWG*FG92+Slot16_IsWG*FQ92+Slot17_IsWG*GA92+Slot18_IsWG*GK92+Slot19_IsWG*GU92+Slot20_IsWG*HE92</f>
        <v>0</v>
      </c>
      <c r="IB92" s="1" t="n">
        <f aca="false">IF(AND(WI_Retire=0,WI_M&gt;0,F92=1,IA92&gt;=1),WI_M*12*E92,0)</f>
        <v>0</v>
      </c>
      <c r="IC92" s="1" t="n">
        <f aca="false">IF(HT92=1,MIN(HZ92,HR92),0)</f>
        <v>0</v>
      </c>
      <c r="ID92" s="1" t="n">
        <f aca="false">IF(HT92=1,MIN(IB92,HR92-IC92),0)</f>
        <v>0</v>
      </c>
      <c r="IE92" s="1" t="n">
        <f aca="false">IF(V92=1,IF(ABS((1+AS_Wage)/(1+Slot1_Rate)-1)&lt;0.000000000001,(Slot1_Age-D92)*(1+Slot1_Rate)^(Slot1_Age-D92),(1+Slot1_Rate)^(Slot1_Age-D92)*(1-((1+AS_Wage)/(1+Slot1_Rate))^(Slot1_Age-D92))/(1-(1+AS_Wage)/(1+Slot1_Rate))),1)</f>
        <v>1</v>
      </c>
      <c r="IF92" s="1" t="n">
        <f aca="false">IF(AND(HT92=1,ID92&gt;0,Slot1_IsWG=1,V92=1),MAX(0,(Slot1_Cost-W92*(1+Slot1_Rate)^(Slot1_Age-D92))/IE92),0)</f>
        <v>0</v>
      </c>
      <c r="IG92" s="1" t="n">
        <f aca="false">IF(AND(HT92=1,ID92&gt;0,Slot1_IsWG=1,V92=1),MIN(ID92,IF92),0)</f>
        <v>0</v>
      </c>
      <c r="IH92" s="1" t="n">
        <f aca="false">W92+IG92</f>
        <v>0</v>
      </c>
      <c r="II92" s="1" t="n">
        <f aca="false">IF(V92=1,MAX(0,(Slot1_Cost-IH92*(1+Slot1_Rate)^(Slot1_Age-D92))/IE92),0)</f>
        <v>0</v>
      </c>
      <c r="IJ92" s="1" t="n">
        <f aca="false">IF(V92=1,MAX(0,(Slot1_Cost-W92*(1+Slot1_Rate)^(Slot1_Age-D92))/IE92),0)</f>
        <v>0</v>
      </c>
      <c r="IK92" s="1" t="n">
        <f aca="false">IF(AND(HT92=1,V92=1),MIN(IC92,II92),0)</f>
        <v>0</v>
      </c>
      <c r="IL92" s="1" t="n">
        <f aca="false">IC92-IK92</f>
        <v>0</v>
      </c>
      <c r="IM92" s="1" t="n">
        <f aca="false">IF(AG92=1,IF(ABS((1+AS_Wage)/(1+Slot2_Rate)-1)&lt;0.000000000001,(Slot2_Age-D92)*(1+Slot2_Rate)^(Slot2_Age-D92),(1+Slot2_Rate)^(Slot2_Age-D92)*(1-((1+AS_Wage)/(1+Slot2_Rate))^(Slot2_Age-D92))/(1-(1+AS_Wage)/(1+Slot2_Rate))),1)</f>
        <v>1</v>
      </c>
      <c r="IN92" s="1" t="n">
        <f aca="false">IF(AND(HT92=1,ID92&gt;0,Slot2_IsWG=1,AG92=1),MAX(0,(Slot2_Cost-AH92*(1+Slot2_Rate)^(Slot2_Age-D92))/IM92),0)</f>
        <v>0</v>
      </c>
      <c r="IO92" s="1" t="n">
        <f aca="false">IF(AND(HT92=1,ID92&gt;0,Slot2_IsWG=1,AG92=1),MIN(ID92,IN92),0)</f>
        <v>0</v>
      </c>
      <c r="IP92" s="1" t="n">
        <f aca="false">AH92+IO92</f>
        <v>0</v>
      </c>
      <c r="IQ92" s="1" t="n">
        <f aca="false">IF(AG92=1,MAX(0,(Slot2_Cost-IP92*(1+Slot2_Rate)^(Slot2_Age-D92))/IM92),0)</f>
        <v>0</v>
      </c>
      <c r="IR92" s="1" t="n">
        <f aca="false">IF(AG92=1,MAX(0,(Slot2_Cost-AH92*(1+Slot2_Rate)^(Slot2_Age-D92))/IM92),0)</f>
        <v>0</v>
      </c>
      <c r="IS92" s="1" t="n">
        <f aca="false">IF(AND(HT92=1,AG92=1),MIN(IL92,IQ92),0)</f>
        <v>0</v>
      </c>
      <c r="IT92" s="1" t="n">
        <f aca="false">IL92-IS92</f>
        <v>0</v>
      </c>
      <c r="IU92" s="1" t="n">
        <f aca="false">IF(AQ92=1,IF(ABS((1+AS_Wage)/(1+Slot3_Rate)-1)&lt;0.000000000001,(Slot3_Age-D92)*(1+Slot3_Rate)^(Slot3_Age-D92),(1+Slot3_Rate)^(Slot3_Age-D92)*(1-((1+AS_Wage)/(1+Slot3_Rate))^(Slot3_Age-D92))/(1-(1+AS_Wage)/(1+Slot3_Rate))),1)</f>
        <v>1</v>
      </c>
      <c r="IV92" s="1" t="n">
        <f aca="false">IF(AND(HT92=1,ID92&gt;0,Slot3_IsWG=1,AQ92=1),MAX(0,(Slot3_Cost-AR92*(1+Slot3_Rate)^(Slot3_Age-D92))/IU92),0)</f>
        <v>0</v>
      </c>
      <c r="IW92" s="1" t="n">
        <f aca="false">IF(AND(HT92=1,ID92&gt;0,Slot3_IsWG=1,AQ92=1),MIN(ID92,IV92),0)</f>
        <v>0</v>
      </c>
      <c r="IX92" s="1" t="n">
        <f aca="false">AR92+IW92</f>
        <v>0</v>
      </c>
      <c r="IY92" s="1" t="n">
        <f aca="false">IF(AQ92=1,MAX(0,(Slot3_Cost-IX92*(1+Slot3_Rate)^(Slot3_Age-D92))/IU92),0)</f>
        <v>0</v>
      </c>
      <c r="IZ92" s="1" t="n">
        <f aca="false">IF(AQ92=1,MAX(0,(Slot3_Cost-AR92*(1+Slot3_Rate)^(Slot3_Age-D92))/IU92),0)</f>
        <v>0</v>
      </c>
      <c r="JA92" s="1" t="n">
        <f aca="false">IF(AND(HT92=1,AQ92=1),MIN(IT92,IY92),0)</f>
        <v>0</v>
      </c>
      <c r="JB92" s="1" t="n">
        <f aca="false">IT92-JA92</f>
        <v>0</v>
      </c>
      <c r="JC92" s="1" t="n">
        <f aca="false">IF(BA92=1,IF(ABS((1+AS_Wage)/(1+Slot4_Rate)-1)&lt;0.000000000001,(Slot4_Age-D92)*(1+Slot4_Rate)^(Slot4_Age-D92),(1+Slot4_Rate)^(Slot4_Age-D92)*(1-((1+AS_Wage)/(1+Slot4_Rate))^(Slot4_Age-D92))/(1-(1+AS_Wage)/(1+Slot4_Rate))),1)</f>
        <v>1</v>
      </c>
      <c r="JD92" s="1" t="n">
        <f aca="false">IF(AND(HT92=1,ID92&gt;0,Slot4_IsWG=1,BA92=1),MAX(0,(Slot4_Cost-BB92*(1+Slot4_Rate)^(Slot4_Age-D92))/JC92),0)</f>
        <v>0</v>
      </c>
      <c r="JE92" s="1" t="n">
        <f aca="false">IF(AND(HT92=1,ID92&gt;0,Slot4_IsWG=1,BA92=1),MIN(ID92,JD92),0)</f>
        <v>0</v>
      </c>
      <c r="JF92" s="1" t="n">
        <f aca="false">BB92+JE92</f>
        <v>0</v>
      </c>
      <c r="JG92" s="1" t="n">
        <f aca="false">IF(BA92=1,MAX(0,(Slot4_Cost-JF92*(1+Slot4_Rate)^(Slot4_Age-D92))/JC92),0)</f>
        <v>0</v>
      </c>
      <c r="JH92" s="1" t="n">
        <f aca="false">IF(BA92=1,MAX(0,(Slot4_Cost-BB92*(1+Slot4_Rate)^(Slot4_Age-D92))/JC92),0)</f>
        <v>0</v>
      </c>
      <c r="JI92" s="1" t="n">
        <f aca="false">IF(AND(HT92=1,BA92=1),MIN(JB92,JG92),0)</f>
        <v>0</v>
      </c>
      <c r="JJ92" s="1" t="n">
        <f aca="false">JB92-JI92</f>
        <v>0</v>
      </c>
      <c r="JK92" s="1" t="n">
        <f aca="false">IF(BK92=1,IF(ABS((1+AS_Wage)/(1+Slot5_Rate)-1)&lt;0.000000000001,(Slot5_Age-D92)*(1+Slot5_Rate)^(Slot5_Age-D92),(1+Slot5_Rate)^(Slot5_Age-D92)*(1-((1+AS_Wage)/(1+Slot5_Rate))^(Slot5_Age-D92))/(1-(1+AS_Wage)/(1+Slot5_Rate))),1)</f>
        <v>1</v>
      </c>
      <c r="JL92" s="1" t="n">
        <f aca="false">IF(AND(HT92=1,ID92&gt;0,Slot5_IsWG=1,BK92=1),MAX(0,(Slot5_Cost-BL92*(1+Slot5_Rate)^(Slot5_Age-D92))/JK92),0)</f>
        <v>0</v>
      </c>
      <c r="JM92" s="1" t="n">
        <f aca="false">IF(AND(HT92=1,ID92&gt;0,Slot5_IsWG=1,BK92=1),MIN(ID92,JL92),0)</f>
        <v>0</v>
      </c>
      <c r="JN92" s="1" t="n">
        <f aca="false">BL92+JM92</f>
        <v>0</v>
      </c>
      <c r="JO92" s="1" t="n">
        <f aca="false">IF(BK92=1,MAX(0,(Slot5_Cost-JN92*(1+Slot5_Rate)^(Slot5_Age-D92))/JK92),0)</f>
        <v>0</v>
      </c>
      <c r="JP92" s="1" t="n">
        <f aca="false">IF(BK92=1,MAX(0,(Slot5_Cost-BL92*(1+Slot5_Rate)^(Slot5_Age-D92))/JK92),0)</f>
        <v>0</v>
      </c>
      <c r="JQ92" s="1" t="n">
        <f aca="false">IF(AND(HT92=1,BK92=1),MIN(JJ92,JO92),0)</f>
        <v>0</v>
      </c>
      <c r="JR92" s="1" t="n">
        <f aca="false">JJ92-JQ92</f>
        <v>0</v>
      </c>
      <c r="JS92" s="1" t="n">
        <f aca="false">IF(BU92=1,IF(ABS((1+AS_Wage)/(1+Slot6_Rate)-1)&lt;0.000000000001,(Slot6_Age-D92)*(1+Slot6_Rate)^(Slot6_Age-D92),(1+Slot6_Rate)^(Slot6_Age-D92)*(1-((1+AS_Wage)/(1+Slot6_Rate))^(Slot6_Age-D92))/(1-(1+AS_Wage)/(1+Slot6_Rate))),1)</f>
        <v>1</v>
      </c>
      <c r="JT92" s="1" t="n">
        <f aca="false">IF(AND(HT92=1,ID92&gt;0,Slot6_IsWG=1,BU92=1),MAX(0,(Slot6_Cost-BV92*(1+Slot6_Rate)^(Slot6_Age-D92))/JS92),0)</f>
        <v>0</v>
      </c>
      <c r="JU92" s="1" t="n">
        <f aca="false">IF(AND(HT92=1,ID92&gt;0,Slot6_IsWG=1,BU92=1),MIN(ID92,JT92),0)</f>
        <v>0</v>
      </c>
      <c r="JV92" s="1" t="n">
        <f aca="false">BV92+JU92</f>
        <v>0</v>
      </c>
      <c r="JW92" s="1" t="n">
        <f aca="false">IF(BU92=1,MAX(0,(Slot6_Cost-JV92*(1+Slot6_Rate)^(Slot6_Age-D92))/JS92),0)</f>
        <v>0</v>
      </c>
      <c r="JX92" s="1" t="n">
        <f aca="false">IF(BU92=1,MAX(0,(Slot6_Cost-BV92*(1+Slot6_Rate)^(Slot6_Age-D92))/JS92),0)</f>
        <v>0</v>
      </c>
      <c r="JY92" s="1" t="n">
        <f aca="false">IF(AND(HT92=1,BU92=1),MIN(JR92,JW92),0)</f>
        <v>0</v>
      </c>
      <c r="JZ92" s="1" t="n">
        <f aca="false">JR92-JY92</f>
        <v>0</v>
      </c>
      <c r="KA92" s="1" t="n">
        <f aca="false">IF(CE92=1,IF(ABS((1+AS_Wage)/(1+Slot7_Rate)-1)&lt;0.000000000001,(Slot7_Age-D92)*(1+Slot7_Rate)^(Slot7_Age-D92),(1+Slot7_Rate)^(Slot7_Age-D92)*(1-((1+AS_Wage)/(1+Slot7_Rate))^(Slot7_Age-D92))/(1-(1+AS_Wage)/(1+Slot7_Rate))),1)</f>
        <v>1</v>
      </c>
      <c r="KB92" s="1" t="n">
        <f aca="false">IF(AND(HT92=1,ID92&gt;0,Slot7_IsWG=1,CE92=1),MAX(0,(Slot7_Cost-CF92*(1+Slot7_Rate)^(Slot7_Age-D92))/KA92),0)</f>
        <v>0</v>
      </c>
      <c r="KC92" s="1" t="n">
        <f aca="false">IF(AND(HT92=1,ID92&gt;0,Slot7_IsWG=1,CE92=1),MIN(ID92,KB92),0)</f>
        <v>0</v>
      </c>
      <c r="KD92" s="1" t="n">
        <f aca="false">CF92+KC92</f>
        <v>0</v>
      </c>
      <c r="KE92" s="1" t="n">
        <f aca="false">IF(CE92=1,MAX(0,(Slot7_Cost-KD92*(1+Slot7_Rate)^(Slot7_Age-D92))/KA92),0)</f>
        <v>0</v>
      </c>
      <c r="KF92" s="1" t="n">
        <f aca="false">IF(CE92=1,MAX(0,(Slot7_Cost-CF92*(1+Slot7_Rate)^(Slot7_Age-D92))/KA92),0)</f>
        <v>0</v>
      </c>
      <c r="KG92" s="1" t="n">
        <f aca="false">IF(AND(HT92=1,CE92=1),MIN(JZ92,KE92),0)</f>
        <v>0</v>
      </c>
      <c r="KH92" s="1" t="n">
        <f aca="false">JZ92-KG92</f>
        <v>0</v>
      </c>
      <c r="KI92" s="1" t="n">
        <f aca="false">IF(CO92=1,IF(ABS((1+AS_Wage)/(1+Slot8_Rate)-1)&lt;0.000000000001,(Slot8_Age-D92)*(1+Slot8_Rate)^(Slot8_Age-D92),(1+Slot8_Rate)^(Slot8_Age-D92)*(1-((1+AS_Wage)/(1+Slot8_Rate))^(Slot8_Age-D92))/(1-(1+AS_Wage)/(1+Slot8_Rate))),1)</f>
        <v>1</v>
      </c>
      <c r="KJ92" s="1" t="n">
        <f aca="false">IF(AND(HT92=1,ID92&gt;0,Slot8_IsWG=1,CO92=1),MAX(0,(Slot8_Cost-CP92*(1+Slot8_Rate)^(Slot8_Age-D92))/KI92),0)</f>
        <v>0</v>
      </c>
      <c r="KK92" s="1" t="n">
        <f aca="false">IF(AND(HT92=1,ID92&gt;0,Slot8_IsWG=1,CO92=1),MIN(ID92,KJ92),0)</f>
        <v>0</v>
      </c>
      <c r="KL92" s="1" t="n">
        <f aca="false">CP92+KK92</f>
        <v>0</v>
      </c>
      <c r="KM92" s="1" t="n">
        <f aca="false">IF(CO92=1,MAX(0,(Slot8_Cost-KL92*(1+Slot8_Rate)^(Slot8_Age-D92))/KI92),0)</f>
        <v>0</v>
      </c>
      <c r="KN92" s="1" t="n">
        <f aca="false">IF(CO92=1,MAX(0,(Slot8_Cost-CP92*(1+Slot8_Rate)^(Slot8_Age-D92))/KI92),0)</f>
        <v>0</v>
      </c>
      <c r="KO92" s="1" t="n">
        <f aca="false">IF(AND(HT92=1,CO92=1),MIN(KH92,KM92),0)</f>
        <v>0</v>
      </c>
      <c r="KP92" s="1" t="n">
        <f aca="false">KH92-KO92</f>
        <v>0</v>
      </c>
      <c r="KQ92" s="1" t="n">
        <f aca="false">IF(CY92=1,IF(ABS((1+AS_Wage)/(1+Slot9_Rate)-1)&lt;0.000000000001,(Slot9_Age-D92)*(1+Slot9_Rate)^(Slot9_Age-D92),(1+Slot9_Rate)^(Slot9_Age-D92)*(1-((1+AS_Wage)/(1+Slot9_Rate))^(Slot9_Age-D92))/(1-(1+AS_Wage)/(1+Slot9_Rate))),1)</f>
        <v>1</v>
      </c>
      <c r="KR92" s="1" t="n">
        <f aca="false">IF(AND(HT92=1,ID92&gt;0,Slot9_IsWG=1,CY92=1),MAX(0,(Slot9_Cost-CZ92*(1+Slot9_Rate)^(Slot9_Age-D92))/KQ92),0)</f>
        <v>0</v>
      </c>
      <c r="KS92" s="1" t="n">
        <f aca="false">IF(AND(HT92=1,ID92&gt;0,Slot9_IsWG=1,CY92=1),MIN(ID92,KR92),0)</f>
        <v>0</v>
      </c>
      <c r="KT92" s="1" t="n">
        <f aca="false">CZ92+KS92</f>
        <v>0</v>
      </c>
      <c r="KU92" s="1" t="n">
        <f aca="false">IF(CY92=1,MAX(0,(Slot9_Cost-KT92*(1+Slot9_Rate)^(Slot9_Age-D92))/KQ92),0)</f>
        <v>0</v>
      </c>
      <c r="KV92" s="1" t="n">
        <f aca="false">IF(CY92=1,MAX(0,(Slot9_Cost-CZ92*(1+Slot9_Rate)^(Slot9_Age-D92))/KQ92),0)</f>
        <v>0</v>
      </c>
      <c r="KW92" s="1" t="n">
        <f aca="false">IF(AND(HT92=1,CY92=1),MIN(KP92,KU92),0)</f>
        <v>0</v>
      </c>
      <c r="KX92" s="1" t="n">
        <f aca="false">KP92-KW92</f>
        <v>0</v>
      </c>
      <c r="KY92" s="1" t="n">
        <f aca="false">IF(DI92=1,IF(ABS((1+AS_Wage)/(1+Slot10_Rate)-1)&lt;0.000000000001,(Slot10_Age-D92)*(1+Slot10_Rate)^(Slot10_Age-D92),(1+Slot10_Rate)^(Slot10_Age-D92)*(1-((1+AS_Wage)/(1+Slot10_Rate))^(Slot10_Age-D92))/(1-(1+AS_Wage)/(1+Slot10_Rate))),1)</f>
        <v>1</v>
      </c>
      <c r="KZ92" s="1" t="n">
        <f aca="false">IF(AND(HT92=1,ID92&gt;0,Slot10_IsWG=1,DI92=1),MAX(0,(Slot10_Cost-DJ92*(1+Slot10_Rate)^(Slot10_Age-D92))/KY92),0)</f>
        <v>0</v>
      </c>
      <c r="LA92" s="1" t="n">
        <f aca="false">IF(AND(HT92=1,ID92&gt;0,Slot10_IsWG=1,DI92=1),MIN(ID92,KZ92),0)</f>
        <v>0</v>
      </c>
      <c r="LB92" s="1" t="n">
        <f aca="false">DJ92+LA92</f>
        <v>0</v>
      </c>
      <c r="LC92" s="1" t="n">
        <f aca="false">IF(DI92=1,MAX(0,(Slot10_Cost-LB92*(1+Slot10_Rate)^(Slot10_Age-D92))/KY92),0)</f>
        <v>0</v>
      </c>
      <c r="LD92" s="1" t="n">
        <f aca="false">IF(DI92=1,MAX(0,(Slot10_Cost-DJ92*(1+Slot10_Rate)^(Slot10_Age-D92))/KY92),0)</f>
        <v>0</v>
      </c>
      <c r="LE92" s="1" t="n">
        <f aca="false">IF(AND(HT92=1,DI92=1),MIN(KX92,LC92),0)</f>
        <v>0</v>
      </c>
      <c r="LF92" s="1" t="n">
        <f aca="false">KX92-LE92</f>
        <v>0</v>
      </c>
      <c r="LG92" s="1" t="n">
        <f aca="false">IF(DS92=1,IF(ABS((1+AS_Wage)/(1+Slot11_Rate)-1)&lt;0.000000000001,(Slot11_Age-D92)*(1+Slot11_Rate)^(Slot11_Age-D92),(1+Slot11_Rate)^(Slot11_Age-D92)*(1-((1+AS_Wage)/(1+Slot11_Rate))^(Slot11_Age-D92))/(1-(1+AS_Wage)/(1+Slot11_Rate))),1)</f>
        <v>1</v>
      </c>
      <c r="LH92" s="1" t="n">
        <f aca="false">IF(AND(HT92=1,ID92&gt;0,Slot11_IsWG=1,DS92=1),MAX(0,(Slot11_Cost-DT92*(1+Slot11_Rate)^(Slot11_Age-D92))/LG92),0)</f>
        <v>0</v>
      </c>
      <c r="LI92" s="1" t="n">
        <f aca="false">IF(AND(HT92=1,ID92&gt;0,Slot11_IsWG=1,DS92=1),MIN(ID92,LH92),0)</f>
        <v>0</v>
      </c>
      <c r="LJ92" s="1" t="n">
        <f aca="false">DT92+LI92</f>
        <v>0</v>
      </c>
      <c r="LK92" s="1" t="n">
        <f aca="false">IF(DS92=1,MAX(0,(Slot11_Cost-LJ92*(1+Slot11_Rate)^(Slot11_Age-D92))/LG92),0)</f>
        <v>0</v>
      </c>
      <c r="LL92" s="1" t="n">
        <f aca="false">IF(DS92=1,MAX(0,(Slot11_Cost-DT92*(1+Slot11_Rate)^(Slot11_Age-D92))/LG92),0)</f>
        <v>0</v>
      </c>
      <c r="LM92" s="1" t="n">
        <f aca="false">IF(AND(HT92=1,DS92=1),MIN(LF92,LK92),0)</f>
        <v>0</v>
      </c>
      <c r="LN92" s="1" t="n">
        <f aca="false">LF92-LM92</f>
        <v>0</v>
      </c>
      <c r="LO92" s="1" t="n">
        <f aca="false">IF(EC92=1,IF(ABS((1+AS_Wage)/(1+Slot12_Rate)-1)&lt;0.000000000001,(Slot12_Age-D92)*(1+Slot12_Rate)^(Slot12_Age-D92),(1+Slot12_Rate)^(Slot12_Age-D92)*(1-((1+AS_Wage)/(1+Slot12_Rate))^(Slot12_Age-D92))/(1-(1+AS_Wage)/(1+Slot12_Rate))),1)</f>
        <v>1</v>
      </c>
      <c r="LP92" s="1" t="n">
        <f aca="false">IF(AND(HT92=1,ID92&gt;0,Slot12_IsWG=1,EC92=1),MAX(0,(Slot12_Cost-ED92*(1+Slot12_Rate)^(Slot12_Age-D92))/LO92),0)</f>
        <v>0</v>
      </c>
      <c r="LQ92" s="1" t="n">
        <f aca="false">IF(AND(HT92=1,ID92&gt;0,Slot12_IsWG=1,EC92=1),MIN(ID92,LP92),0)</f>
        <v>0</v>
      </c>
      <c r="LR92" s="1" t="n">
        <f aca="false">ED92+LQ92</f>
        <v>0</v>
      </c>
      <c r="LS92" s="1" t="n">
        <f aca="false">IF(EC92=1,MAX(0,(Slot12_Cost-LR92*(1+Slot12_Rate)^(Slot12_Age-D92))/LO92),0)</f>
        <v>0</v>
      </c>
      <c r="LT92" s="1" t="n">
        <f aca="false">IF(EC92=1,MAX(0,(Slot12_Cost-ED92*(1+Slot12_Rate)^(Slot12_Age-D92))/LO92),0)</f>
        <v>0</v>
      </c>
      <c r="LU92" s="1" t="n">
        <f aca="false">IF(AND(HT92=1,EC92=1),MIN(LN92,LS92),0)</f>
        <v>0</v>
      </c>
      <c r="LV92" s="1" t="n">
        <f aca="false">LN92-LU92</f>
        <v>0</v>
      </c>
      <c r="LW92" s="1" t="n">
        <f aca="false">IF(EM92=1,IF(ABS((1+AS_Wage)/(1+Slot13_Rate)-1)&lt;0.000000000001,(Slot13_Age-D92)*(1+Slot13_Rate)^(Slot13_Age-D92),(1+Slot13_Rate)^(Slot13_Age-D92)*(1-((1+AS_Wage)/(1+Slot13_Rate))^(Slot13_Age-D92))/(1-(1+AS_Wage)/(1+Slot13_Rate))),1)</f>
        <v>1</v>
      </c>
      <c r="LX92" s="1" t="n">
        <f aca="false">IF(AND(HT92=1,ID92&gt;0,Slot13_IsWG=1,EM92=1),MAX(0,(Slot13_Cost-EN92*(1+Slot13_Rate)^(Slot13_Age-D92))/LW92),0)</f>
        <v>0</v>
      </c>
      <c r="LY92" s="1" t="n">
        <f aca="false">IF(AND(HT92=1,ID92&gt;0,Slot13_IsWG=1,EM92=1),MIN(ID92,LX92),0)</f>
        <v>0</v>
      </c>
      <c r="LZ92" s="1" t="n">
        <f aca="false">EN92+LY92</f>
        <v>0</v>
      </c>
      <c r="MA92" s="1" t="n">
        <f aca="false">IF(EM92=1,MAX(0,(Slot13_Cost-LZ92*(1+Slot13_Rate)^(Slot13_Age-D92))/LW92),0)</f>
        <v>0</v>
      </c>
      <c r="MB92" s="1" t="n">
        <f aca="false">IF(EM92=1,MAX(0,(Slot13_Cost-EN92*(1+Slot13_Rate)^(Slot13_Age-D92))/LW92),0)</f>
        <v>0</v>
      </c>
      <c r="MC92" s="1" t="n">
        <f aca="false">IF(AND(HT92=1,EM92=1),MIN(LV92,MA92),0)</f>
        <v>0</v>
      </c>
      <c r="MD92" s="1" t="n">
        <f aca="false">LV92-MC92</f>
        <v>0</v>
      </c>
      <c r="ME92" s="1" t="n">
        <f aca="false">IF(EW92=1,IF(ABS((1+AS_Wage)/(1+Slot14_Rate)-1)&lt;0.000000000001,(Slot14_Age-D92)*(1+Slot14_Rate)^(Slot14_Age-D92),(1+Slot14_Rate)^(Slot14_Age-D92)*(1-((1+AS_Wage)/(1+Slot14_Rate))^(Slot14_Age-D92))/(1-(1+AS_Wage)/(1+Slot14_Rate))),1)</f>
        <v>1</v>
      </c>
      <c r="MF92" s="1" t="n">
        <f aca="false">IF(AND(HT92=1,ID92&gt;0,Slot14_IsWG=1,EW92=1),MAX(0,(Slot14_Cost-EX92*(1+Slot14_Rate)^(Slot14_Age-D92))/ME92),0)</f>
        <v>0</v>
      </c>
      <c r="MG92" s="1" t="n">
        <f aca="false">IF(AND(HT92=1,ID92&gt;0,Slot14_IsWG=1,EW92=1),MIN(ID92,MF92),0)</f>
        <v>0</v>
      </c>
      <c r="MH92" s="1" t="n">
        <f aca="false">EX92+MG92</f>
        <v>0</v>
      </c>
      <c r="MI92" s="1" t="n">
        <f aca="false">IF(EW92=1,MAX(0,(Slot14_Cost-MH92*(1+Slot14_Rate)^(Slot14_Age-D92))/ME92),0)</f>
        <v>0</v>
      </c>
      <c r="MJ92" s="1" t="n">
        <f aca="false">IF(EW92=1,MAX(0,(Slot14_Cost-EX92*(1+Slot14_Rate)^(Slot14_Age-D92))/ME92),0)</f>
        <v>0</v>
      </c>
      <c r="MK92" s="1" t="n">
        <f aca="false">IF(AND(HT92=1,EW92=1),MIN(MD92,MI92),0)</f>
        <v>0</v>
      </c>
      <c r="ML92" s="1" t="n">
        <f aca="false">MD92-MK92</f>
        <v>0</v>
      </c>
      <c r="MM92" s="1" t="n">
        <f aca="false">IF(FG92=1,IF(ABS((1+AS_Wage)/(1+Slot15_Rate)-1)&lt;0.000000000001,(Slot15_Age-D92)*(1+Slot15_Rate)^(Slot15_Age-D92),(1+Slot15_Rate)^(Slot15_Age-D92)*(1-((1+AS_Wage)/(1+Slot15_Rate))^(Slot15_Age-D92))/(1-(1+AS_Wage)/(1+Slot15_Rate))),1)</f>
        <v>1</v>
      </c>
      <c r="MN92" s="1" t="n">
        <f aca="false">IF(AND(HT92=1,ID92&gt;0,Slot15_IsWG=1,FG92=1),MAX(0,(Slot15_Cost-FH92*(1+Slot15_Rate)^(Slot15_Age-D92))/MM92),0)</f>
        <v>0</v>
      </c>
      <c r="MO92" s="1" t="n">
        <f aca="false">IF(AND(HT92=1,ID92&gt;0,Slot15_IsWG=1,FG92=1),MIN(ID92,MN92),0)</f>
        <v>0</v>
      </c>
      <c r="MP92" s="1" t="n">
        <f aca="false">FH92+MO92</f>
        <v>0</v>
      </c>
      <c r="MQ92" s="1" t="n">
        <f aca="false">IF(FG92=1,MAX(0,(Slot15_Cost-MP92*(1+Slot15_Rate)^(Slot15_Age-D92))/MM92),0)</f>
        <v>0</v>
      </c>
      <c r="MR92" s="1" t="n">
        <f aca="false">IF(FG92=1,MAX(0,(Slot15_Cost-FH92*(1+Slot15_Rate)^(Slot15_Age-D92))/MM92),0)</f>
        <v>0</v>
      </c>
      <c r="MS92" s="1" t="n">
        <f aca="false">IF(AND(HT92=1,FG92=1),MIN(ML92,MQ92),0)</f>
        <v>0</v>
      </c>
      <c r="MT92" s="1" t="n">
        <f aca="false">ML92-MS92</f>
        <v>0</v>
      </c>
      <c r="MU92" s="1" t="n">
        <f aca="false">IF(FQ92=1,IF(ABS((1+AS_Wage)/(1+Slot16_Rate)-1)&lt;0.000000000001,(Slot16_Age-D92)*(1+Slot16_Rate)^(Slot16_Age-D92),(1+Slot16_Rate)^(Slot16_Age-D92)*(1-((1+AS_Wage)/(1+Slot16_Rate))^(Slot16_Age-D92))/(1-(1+AS_Wage)/(1+Slot16_Rate))),1)</f>
        <v>1</v>
      </c>
      <c r="MV92" s="1" t="n">
        <f aca="false">IF(AND(HT92=1,ID92&gt;0,Slot16_IsWG=1,FQ92=1),MAX(0,(Slot16_Cost-FR92*(1+Slot16_Rate)^(Slot16_Age-D92))/MU92),0)</f>
        <v>0</v>
      </c>
      <c r="MW92" s="1" t="n">
        <f aca="false">IF(AND(HT92=1,ID92&gt;0,Slot16_IsWG=1,FQ92=1),MIN(ID92,MV92),0)</f>
        <v>0</v>
      </c>
      <c r="MX92" s="1" t="n">
        <f aca="false">FR92+MW92</f>
        <v>0</v>
      </c>
      <c r="MY92" s="1" t="n">
        <f aca="false">IF(FQ92=1,MAX(0,(Slot16_Cost-MX92*(1+Slot16_Rate)^(Slot16_Age-D92))/MU92),0)</f>
        <v>0</v>
      </c>
      <c r="MZ92" s="1" t="n">
        <f aca="false">IF(FQ92=1,MAX(0,(Slot16_Cost-FR92*(1+Slot16_Rate)^(Slot16_Age-D92))/MU92),0)</f>
        <v>0</v>
      </c>
      <c r="NA92" s="1" t="n">
        <f aca="false">IF(AND(HT92=1,FQ92=1),MIN(MT92,MY92),0)</f>
        <v>0</v>
      </c>
      <c r="NB92" s="1" t="n">
        <f aca="false">MT92-NA92</f>
        <v>0</v>
      </c>
      <c r="NC92" s="1" t="n">
        <f aca="false">IF(GA92=1,IF(ABS((1+AS_Wage)/(1+Slot17_Rate)-1)&lt;0.000000000001,(Slot17_Age-D92)*(1+Slot17_Rate)^(Slot17_Age-D92),(1+Slot17_Rate)^(Slot17_Age-D92)*(1-((1+AS_Wage)/(1+Slot17_Rate))^(Slot17_Age-D92))/(1-(1+AS_Wage)/(1+Slot17_Rate))),1)</f>
        <v>1</v>
      </c>
      <c r="ND92" s="1" t="n">
        <f aca="false">IF(AND(HT92=1,ID92&gt;0,Slot17_IsWG=1,GA92=1),MAX(0,(Slot17_Cost-GB92*(1+Slot17_Rate)^(Slot17_Age-D92))/NC92),0)</f>
        <v>0</v>
      </c>
      <c r="NE92" s="1" t="n">
        <f aca="false">IF(AND(HT92=1,ID92&gt;0,Slot17_IsWG=1,GA92=1),MIN(ID92,ND92),0)</f>
        <v>0</v>
      </c>
      <c r="NF92" s="1" t="n">
        <f aca="false">GB92+NE92</f>
        <v>0</v>
      </c>
      <c r="NG92" s="1" t="n">
        <f aca="false">IF(GA92=1,MAX(0,(Slot17_Cost-NF92*(1+Slot17_Rate)^(Slot17_Age-D92))/NC92),0)</f>
        <v>0</v>
      </c>
      <c r="NH92" s="1" t="n">
        <f aca="false">IF(GA92=1,MAX(0,(Slot17_Cost-GB92*(1+Slot17_Rate)^(Slot17_Age-D92))/NC92),0)</f>
        <v>0</v>
      </c>
      <c r="NI92" s="1" t="n">
        <f aca="false">IF(AND(HT92=1,GA92=1),MIN(NB92,NG92),0)</f>
        <v>0</v>
      </c>
      <c r="NJ92" s="1" t="n">
        <f aca="false">NB92-NI92</f>
        <v>0</v>
      </c>
      <c r="NK92" s="1" t="n">
        <f aca="false">IF(GK92=1,IF(ABS((1+AS_Wage)/(1+Slot18_Rate)-1)&lt;0.000000000001,(Slot18_Age-D92)*(1+Slot18_Rate)^(Slot18_Age-D92),(1+Slot18_Rate)^(Slot18_Age-D92)*(1-((1+AS_Wage)/(1+Slot18_Rate))^(Slot18_Age-D92))/(1-(1+AS_Wage)/(1+Slot18_Rate))),1)</f>
        <v>1</v>
      </c>
      <c r="NL92" s="1" t="n">
        <f aca="false">IF(AND(HT92=1,ID92&gt;0,Slot18_IsWG=1,GK92=1),MAX(0,(Slot18_Cost-GL92*(1+Slot18_Rate)^(Slot18_Age-D92))/NK92),0)</f>
        <v>0</v>
      </c>
      <c r="NM92" s="1" t="n">
        <f aca="false">IF(AND(HT92=1,ID92&gt;0,Slot18_IsWG=1,GK92=1),MIN(ID92,NL92),0)</f>
        <v>0</v>
      </c>
      <c r="NN92" s="1" t="n">
        <f aca="false">GL92+NM92</f>
        <v>0</v>
      </c>
      <c r="NO92" s="1" t="n">
        <f aca="false">IF(GK92=1,MAX(0,(Slot18_Cost-NN92*(1+Slot18_Rate)^(Slot18_Age-D92))/NK92),0)</f>
        <v>0</v>
      </c>
      <c r="NP92" s="1" t="n">
        <f aca="false">IF(GK92=1,MAX(0,(Slot18_Cost-GL92*(1+Slot18_Rate)^(Slot18_Age-D92))/NK92),0)</f>
        <v>0</v>
      </c>
      <c r="NQ92" s="1" t="n">
        <f aca="false">IF(AND(HT92=1,GK92=1),MIN(NJ92,NO92),0)</f>
        <v>0</v>
      </c>
      <c r="NR92" s="1" t="n">
        <f aca="false">NJ92-NQ92</f>
        <v>0</v>
      </c>
      <c r="NS92" s="1" t="n">
        <f aca="false">IF(GU92=1,IF(ABS((1+AS_Wage)/(1+Slot19_Rate)-1)&lt;0.000000000001,(Slot19_Age-D92)*(1+Slot19_Rate)^(Slot19_Age-D92),(1+Slot19_Rate)^(Slot19_Age-D92)*(1-((1+AS_Wage)/(1+Slot19_Rate))^(Slot19_Age-D92))/(1-(1+AS_Wage)/(1+Slot19_Rate))),1)</f>
        <v>1</v>
      </c>
      <c r="NT92" s="1" t="n">
        <f aca="false">IF(AND(HT92=1,ID92&gt;0,Slot19_IsWG=1,GU92=1),MAX(0,(Slot19_Cost-GV92*(1+Slot19_Rate)^(Slot19_Age-D92))/NS92),0)</f>
        <v>0</v>
      </c>
      <c r="NU92" s="1" t="n">
        <f aca="false">IF(AND(HT92=1,ID92&gt;0,Slot19_IsWG=1,GU92=1),MIN(ID92,NT92),0)</f>
        <v>0</v>
      </c>
      <c r="NV92" s="1" t="n">
        <f aca="false">GV92+NU92</f>
        <v>0</v>
      </c>
      <c r="NW92" s="1" t="n">
        <f aca="false">IF(GU92=1,MAX(0,(Slot19_Cost-NV92*(1+Slot19_Rate)^(Slot19_Age-D92))/NS92),0)</f>
        <v>0</v>
      </c>
      <c r="NX92" s="1" t="n">
        <f aca="false">IF(GU92=1,MAX(0,(Slot19_Cost-GV92*(1+Slot19_Rate)^(Slot19_Age-D92))/NS92),0)</f>
        <v>0</v>
      </c>
      <c r="NY92" s="1" t="n">
        <f aca="false">IF(AND(HT92=1,GU92=1),MIN(NR92,NW92),0)</f>
        <v>0</v>
      </c>
      <c r="NZ92" s="1" t="n">
        <f aca="false">NR92-NY92</f>
        <v>0</v>
      </c>
      <c r="OA92" s="1" t="n">
        <f aca="false">IF(HE92=1,IF(ABS((1+AS_Wage)/(1+Slot20_Rate)-1)&lt;0.000000000001,(Slot20_Age-D92)*(1+Slot20_Rate)^(Slot20_Age-D92),(1+Slot20_Rate)^(Slot20_Age-D92)*(1-((1+AS_Wage)/(1+Slot20_Rate))^(Slot20_Age-D92))/(1-(1+AS_Wage)/(1+Slot20_Rate))),1)</f>
        <v>1</v>
      </c>
      <c r="OB92" s="1" t="n">
        <f aca="false">IF(AND(HT92=1,ID92&gt;0,Slot20_IsWG=1,HE92=1),MAX(0,(Slot20_Cost-HF92*(1+Slot20_Rate)^(Slot20_Age-D92))/OA92),0)</f>
        <v>0</v>
      </c>
      <c r="OC92" s="1" t="n">
        <f aca="false">IF(AND(HT92=1,ID92&gt;0,Slot20_IsWG=1,HE92=1),MIN(ID92,OB92),0)</f>
        <v>0</v>
      </c>
      <c r="OD92" s="1" t="n">
        <f aca="false">HF92+OC92</f>
        <v>0</v>
      </c>
      <c r="OE92" s="1" t="n">
        <f aca="false">IF(HE92=1,MAX(0,(Slot20_Cost-OD92*(1+Slot20_Rate)^(Slot20_Age-D92))/OA92),0)</f>
        <v>0</v>
      </c>
      <c r="OF92" s="1" t="n">
        <f aca="false">IF(HE92=1,MAX(0,(Slot20_Cost-HF92*(1+Slot20_Rate)^(Slot20_Age-D92))/OA92),0)</f>
        <v>0</v>
      </c>
      <c r="OG92" s="1" t="n">
        <f aca="false">IF(AND(HT92=1,HE92=1),MIN(NZ92,OE92),0)</f>
        <v>0</v>
      </c>
      <c r="OH92" s="1" t="n">
        <f aca="false">NZ92-OG92</f>
        <v>0</v>
      </c>
      <c r="OI92" s="1" t="n">
        <f aca="false">ID92-(IG92+IO92+IW92+JE92+JM92+JU92+KC92+KK92+KS92+LA92+LI92+LQ92+LY92+MG92+MO92+MW92+NE92+NM92+NU92+OC92)</f>
        <v>0</v>
      </c>
      <c r="OJ92" s="1" t="n">
        <f aca="false">IF(HT92=1,HR92-IC92-ID92,0)</f>
        <v>68451.6418650458</v>
      </c>
      <c r="OK92" s="1" t="n">
        <f aca="false">IF(HT92=0,-HR92,0)</f>
        <v>0</v>
      </c>
      <c r="OL92" s="1" t="n">
        <f aca="false">MIN(OK92,HJ92)</f>
        <v>0</v>
      </c>
      <c r="OM92" s="1" t="n">
        <f aca="false">OK92-OL92</f>
        <v>0</v>
      </c>
      <c r="ON92" s="1" t="n">
        <f aca="false">MIN(OM92,HK92)</f>
        <v>0</v>
      </c>
      <c r="OO92" s="1" t="n">
        <f aca="false">OM92-ON92</f>
        <v>0</v>
      </c>
      <c r="OP92" s="1" t="n">
        <f aca="false">IF(AND(HT92=0,HE92=1,OO92&gt;0),MIN(OO92,HF92),0)</f>
        <v>0</v>
      </c>
      <c r="OQ92" s="1" t="n">
        <f aca="false">OO92-OP92</f>
        <v>0</v>
      </c>
      <c r="OR92" s="1" t="n">
        <f aca="false">IF(AND(HT92=0,GU92=1,OQ92&gt;0),MIN(OQ92,GV92),0)</f>
        <v>0</v>
      </c>
      <c r="OS92" s="1" t="n">
        <f aca="false">OQ92-OR92</f>
        <v>0</v>
      </c>
      <c r="OT92" s="1" t="n">
        <f aca="false">IF(AND(HT92=0,GK92=1,OS92&gt;0),MIN(OS92,GL92),0)</f>
        <v>0</v>
      </c>
      <c r="OU92" s="1" t="n">
        <f aca="false">OS92-OT92</f>
        <v>0</v>
      </c>
      <c r="OV92" s="1" t="n">
        <f aca="false">IF(AND(HT92=0,GA92=1,OU92&gt;0),MIN(OU92,GB92),0)</f>
        <v>0</v>
      </c>
      <c r="OW92" s="1" t="n">
        <f aca="false">OU92-OV92</f>
        <v>0</v>
      </c>
      <c r="OX92" s="1" t="n">
        <f aca="false">IF(AND(HT92=0,FQ92=1,OW92&gt;0),MIN(OW92,FR92),0)</f>
        <v>0</v>
      </c>
      <c r="OY92" s="1" t="n">
        <f aca="false">OW92-OX92</f>
        <v>0</v>
      </c>
      <c r="OZ92" s="1" t="n">
        <f aca="false">IF(AND(HT92=0,FG92=1,OY92&gt;0),MIN(OY92,FH92),0)</f>
        <v>0</v>
      </c>
      <c r="PA92" s="1" t="n">
        <f aca="false">OY92-OZ92</f>
        <v>0</v>
      </c>
      <c r="PB92" s="1" t="n">
        <f aca="false">IF(AND(HT92=0,EW92=1,PA92&gt;0),MIN(PA92,EX92),0)</f>
        <v>0</v>
      </c>
      <c r="PC92" s="1" t="n">
        <f aca="false">PA92-PB92</f>
        <v>0</v>
      </c>
      <c r="PD92" s="1" t="n">
        <f aca="false">IF(AND(HT92=0,EM92=1,PC92&gt;0),MIN(PC92,EN92),0)</f>
        <v>0</v>
      </c>
      <c r="PE92" s="1" t="n">
        <f aca="false">PC92-PD92</f>
        <v>0</v>
      </c>
      <c r="PF92" s="1" t="n">
        <f aca="false">IF(AND(HT92=0,EC92=1,PE92&gt;0),MIN(PE92,ED92),0)</f>
        <v>0</v>
      </c>
      <c r="PG92" s="1" t="n">
        <f aca="false">PE92-PF92</f>
        <v>0</v>
      </c>
      <c r="PH92" s="1" t="n">
        <f aca="false">IF(AND(HT92=0,DS92=1,PG92&gt;0),MIN(PG92,DT92),0)</f>
        <v>0</v>
      </c>
      <c r="PI92" s="1" t="n">
        <f aca="false">PG92-PH92</f>
        <v>0</v>
      </c>
      <c r="PJ92" s="1" t="n">
        <f aca="false">IF(AND(HT92=0,DI92=1,PI92&gt;0),MIN(PI92,DJ92),0)</f>
        <v>0</v>
      </c>
      <c r="PK92" s="1" t="n">
        <f aca="false">PI92-PJ92</f>
        <v>0</v>
      </c>
      <c r="PL92" s="1" t="n">
        <f aca="false">IF(AND(HT92=0,CY92=1,PK92&gt;0),MIN(PK92,CZ92),0)</f>
        <v>0</v>
      </c>
      <c r="PM92" s="1" t="n">
        <f aca="false">PK92-PL92</f>
        <v>0</v>
      </c>
      <c r="PN92" s="1" t="n">
        <f aca="false">IF(AND(HT92=0,CO92=1,PM92&gt;0),MIN(PM92,CP92),0)</f>
        <v>0</v>
      </c>
      <c r="PO92" s="1" t="n">
        <f aca="false">PM92-PN92</f>
        <v>0</v>
      </c>
      <c r="PP92" s="1" t="n">
        <f aca="false">IF(AND(HT92=0,CE92=1,PO92&gt;0),MIN(PO92,CF92),0)</f>
        <v>0</v>
      </c>
      <c r="PQ92" s="1" t="n">
        <f aca="false">PO92-PP92</f>
        <v>0</v>
      </c>
      <c r="PR92" s="1" t="n">
        <f aca="false">IF(AND(HT92=0,BU92=1,PQ92&gt;0),MIN(PQ92,BV92),0)</f>
        <v>0</v>
      </c>
      <c r="PS92" s="1" t="n">
        <f aca="false">PQ92-PR92</f>
        <v>0</v>
      </c>
      <c r="PT92" s="1" t="n">
        <f aca="false">IF(AND(HT92=0,BK92=1,PS92&gt;0),MIN(PS92,BL92),0)</f>
        <v>0</v>
      </c>
      <c r="PU92" s="1" t="n">
        <f aca="false">PS92-PT92</f>
        <v>0</v>
      </c>
      <c r="PV92" s="1" t="n">
        <f aca="false">IF(AND(HT92=0,BA92=1,PU92&gt;0),MIN(PU92,BB92),0)</f>
        <v>0</v>
      </c>
      <c r="PW92" s="1" t="n">
        <f aca="false">PU92-PV92</f>
        <v>0</v>
      </c>
      <c r="PX92" s="1" t="n">
        <f aca="false">IF(AND(HT92=0,AQ92=1,PW92&gt;0),MIN(PW92,AR92),0)</f>
        <v>0</v>
      </c>
      <c r="PY92" s="1" t="n">
        <f aca="false">PW92-PX92</f>
        <v>0</v>
      </c>
      <c r="PZ92" s="1" t="n">
        <f aca="false">IF(AND(HT92=0,AG92=1,PY92&gt;0),MIN(PY92,AH92),0)</f>
        <v>0</v>
      </c>
      <c r="QA92" s="1" t="n">
        <f aca="false">PY92-PZ92</f>
        <v>0</v>
      </c>
      <c r="QB92" s="1" t="n">
        <f aca="false">IF(AND(HT92=0,V92=1,QA92&gt;0),MIN(QA92,W92),0)</f>
        <v>0</v>
      </c>
      <c r="QC92" s="1" t="n">
        <f aca="false">QA92-QB92</f>
        <v>0</v>
      </c>
      <c r="QD92" s="1" t="n">
        <f aca="false">IF(HT92=0,QC92,0)</f>
        <v>0</v>
      </c>
      <c r="QE92" s="1" t="n">
        <f aca="false">OL92+ON92+QB92+PZ92+PX92+PV92+PT92+PR92+PP92+PN92+PL92+PJ92+PH92+PF92+PD92+PB92+OZ92+OX92+OV92+OT92+OR92+OP92</f>
        <v>0</v>
      </c>
      <c r="QF92" s="1" t="n">
        <f aca="false">IF(HT92=1,HJ92+OI92+OH92+IF(F92=1,0,OJ92),HJ92-OL92)</f>
        <v>1223191.38590268</v>
      </c>
      <c r="QG92" s="1" t="n">
        <f aca="false">HK92-ON92</f>
        <v>0</v>
      </c>
      <c r="QH92" s="1" t="n">
        <f aca="false">IF(HT92=1,IF(F92=1,IC92+ID92,HR92),0)</f>
        <v>68451.6418650458</v>
      </c>
      <c r="QI92" s="1" t="n">
        <f aca="false">IF(HT92=1,IF(F92=1,HR92-IC92-ID92,0),0)</f>
        <v>0</v>
      </c>
      <c r="QJ92" s="1" t="n">
        <f aca="false">QF92*(1+GR)</f>
        <v>1243251.72463149</v>
      </c>
      <c r="QK92" s="1" t="n">
        <f aca="false">QG92*(1+AS_Cash)</f>
        <v>0</v>
      </c>
      <c r="QL92" s="1" t="n">
        <f aca="false">IF(V92=1,IF(HT92=1,IH92+IK92,W92-QB92)*(1+Slot1_Rate),0)</f>
        <v>0</v>
      </c>
      <c r="QM92" s="1" t="n">
        <f aca="false">IF(AND(HT92=1,V92=1),(IG92+IK92)/E92,0)</f>
        <v>0</v>
      </c>
      <c r="QN92" s="1" t="n">
        <f aca="false">IF(B92=0,IG92+IK92,0)</f>
        <v>0</v>
      </c>
      <c r="QO92" s="1" t="n">
        <f aca="false">IF(B92=0,IF(HT92=1,II92,IJ92),0)</f>
        <v>0</v>
      </c>
      <c r="QP92" s="1" t="n">
        <f aca="false">IF(AG92=1,IF(HT92=1,IP92+IS92,AH92-PZ92)*(1+Slot2_Rate),0)</f>
        <v>0</v>
      </c>
      <c r="QQ92" s="1" t="n">
        <f aca="false">IF(AND(HT92=1,AG92=1),(IO92+IS92)/E92,0)</f>
        <v>0</v>
      </c>
      <c r="QR92" s="1" t="n">
        <f aca="false">IF(B92=0,IO92+IS92,0)</f>
        <v>0</v>
      </c>
      <c r="QS92" s="1" t="n">
        <f aca="false">IF(B92=0,IF(HT92=1,IQ92,IR92),0)</f>
        <v>0</v>
      </c>
      <c r="QT92" s="1" t="n">
        <f aca="false">IF(AQ92=1,IF(HT92=1,IX92+JA92,AR92-PX92)*(1+Slot3_Rate),0)</f>
        <v>0</v>
      </c>
      <c r="QU92" s="1" t="n">
        <f aca="false">IF(AND(HT92=1,AQ92=1),(IW92+JA92)/E92,0)</f>
        <v>0</v>
      </c>
      <c r="QV92" s="1" t="n">
        <f aca="false">IF(B92=0,IW92+JA92,0)</f>
        <v>0</v>
      </c>
      <c r="QW92" s="1" t="n">
        <f aca="false">IF(B92=0,IF(HT92=1,IY92,IZ92),0)</f>
        <v>0</v>
      </c>
      <c r="QX92" s="1" t="n">
        <f aca="false">IF(BA92=1,IF(HT92=1,JF92+JI92,BB92-PV92)*(1+Slot4_Rate),0)</f>
        <v>0</v>
      </c>
      <c r="QY92" s="1" t="n">
        <f aca="false">IF(AND(HT92=1,BA92=1),(JE92+JI92)/E92,0)</f>
        <v>0</v>
      </c>
      <c r="QZ92" s="1" t="n">
        <f aca="false">IF(B92=0,JE92+JI92,0)</f>
        <v>0</v>
      </c>
      <c r="RA92" s="1" t="n">
        <f aca="false">IF(B92=0,IF(HT92=1,JG92,JH92),0)</f>
        <v>0</v>
      </c>
      <c r="RB92" s="1" t="n">
        <f aca="false">IF(BK92=1,IF(HT92=1,JN92+JQ92,BL92-PT92)*(1+Slot5_Rate),0)</f>
        <v>0</v>
      </c>
      <c r="RC92" s="1" t="n">
        <f aca="false">IF(AND(HT92=1,BK92=1),(JM92+JQ92)/E92,0)</f>
        <v>0</v>
      </c>
      <c r="RD92" s="1" t="n">
        <f aca="false">IF(B92=0,JM92+JQ92,0)</f>
        <v>0</v>
      </c>
      <c r="RE92" s="1" t="n">
        <f aca="false">IF(B92=0,IF(HT92=1,JO92,JP92),0)</f>
        <v>0</v>
      </c>
      <c r="RF92" s="1" t="n">
        <f aca="false">IF(BU92=1,IF(HT92=1,JV92+JY92,BV92-PR92)*(1+Slot6_Rate),0)</f>
        <v>0</v>
      </c>
      <c r="RG92" s="1" t="n">
        <f aca="false">IF(AND(HT92=1,BU92=1),(JU92+JY92)/E92,0)</f>
        <v>0</v>
      </c>
      <c r="RH92" s="1" t="n">
        <f aca="false">IF(B92=0,JU92+JY92,0)</f>
        <v>0</v>
      </c>
      <c r="RI92" s="1" t="n">
        <f aca="false">IF(B92=0,IF(HT92=1,JW92,JX92),0)</f>
        <v>0</v>
      </c>
      <c r="RJ92" s="1" t="n">
        <f aca="false">IF(CE92=1,IF(HT92=1,KD92+KG92,CF92-PP92)*(1+Slot7_Rate),0)</f>
        <v>0</v>
      </c>
      <c r="RK92" s="1" t="n">
        <f aca="false">IF(AND(HT92=1,CE92=1),(KC92+KG92)/E92,0)</f>
        <v>0</v>
      </c>
      <c r="RL92" s="1" t="n">
        <f aca="false">IF(B92=0,KC92+KG92,0)</f>
        <v>0</v>
      </c>
      <c r="RM92" s="1" t="n">
        <f aca="false">IF(B92=0,IF(HT92=1,KE92,KF92),0)</f>
        <v>0</v>
      </c>
      <c r="RN92" s="1" t="n">
        <f aca="false">IF(CO92=1,IF(HT92=1,KL92+KO92,CP92-PN92)*(1+Slot8_Rate),0)</f>
        <v>0</v>
      </c>
      <c r="RO92" s="1" t="n">
        <f aca="false">IF(AND(HT92=1,CO92=1),(KK92+KO92)/E92,0)</f>
        <v>0</v>
      </c>
      <c r="RP92" s="1" t="n">
        <f aca="false">IF(B92=0,KK92+KO92,0)</f>
        <v>0</v>
      </c>
      <c r="RQ92" s="1" t="n">
        <f aca="false">IF(B92=0,IF(HT92=1,KM92,KN92),0)</f>
        <v>0</v>
      </c>
      <c r="RR92" s="1" t="n">
        <f aca="false">IF(CY92=1,IF(HT92=1,KT92+KW92,CZ92-PL92)*(1+Slot9_Rate),0)</f>
        <v>0</v>
      </c>
      <c r="RS92" s="1" t="n">
        <f aca="false">IF(AND(HT92=1,CY92=1),(KS92+KW92)/E92,0)</f>
        <v>0</v>
      </c>
      <c r="RT92" s="1" t="n">
        <f aca="false">IF(B92=0,KS92+KW92,0)</f>
        <v>0</v>
      </c>
      <c r="RU92" s="1" t="n">
        <f aca="false">IF(B92=0,IF(HT92=1,KU92,KV92),0)</f>
        <v>0</v>
      </c>
      <c r="RV92" s="1" t="n">
        <f aca="false">IF(DI92=1,IF(HT92=1,LB92+LE92,DJ92-PJ92)*(1+Slot10_Rate),0)</f>
        <v>0</v>
      </c>
      <c r="RW92" s="1" t="n">
        <f aca="false">IF(AND(HT92=1,DI92=1),(LA92+LE92)/E92,0)</f>
        <v>0</v>
      </c>
      <c r="RX92" s="1" t="n">
        <f aca="false">IF(B92=0,LA92+LE92,0)</f>
        <v>0</v>
      </c>
      <c r="RY92" s="1" t="n">
        <f aca="false">IF(B92=0,IF(HT92=1,LC92,LD92),0)</f>
        <v>0</v>
      </c>
      <c r="RZ92" s="1" t="n">
        <f aca="false">IF(DS92=1,IF(HT92=1,LJ92+LM92,DT92-PH92)*(1+Slot11_Rate),0)</f>
        <v>0</v>
      </c>
      <c r="SA92" s="1" t="n">
        <f aca="false">IF(AND(HT92=1,DS92=1),(LI92+LM92)/E92,0)</f>
        <v>0</v>
      </c>
      <c r="SB92" s="1" t="n">
        <f aca="false">IF(B92=0,LI92+LM92,0)</f>
        <v>0</v>
      </c>
      <c r="SC92" s="1" t="n">
        <f aca="false">IF(B92=0,IF(HT92=1,LK92,LL92),0)</f>
        <v>0</v>
      </c>
      <c r="SD92" s="1" t="n">
        <f aca="false">IF(EC92=1,IF(HT92=1,LR92+LU92,ED92-PF92)*(1+Slot12_Rate),0)</f>
        <v>0</v>
      </c>
      <c r="SE92" s="1" t="n">
        <f aca="false">IF(AND(HT92=1,EC92=1),(LQ92+LU92)/E92,0)</f>
        <v>0</v>
      </c>
      <c r="SF92" s="1" t="n">
        <f aca="false">IF(B92=0,LQ92+LU92,0)</f>
        <v>0</v>
      </c>
      <c r="SG92" s="1" t="n">
        <f aca="false">IF(B92=0,IF(HT92=1,LS92,LT92),0)</f>
        <v>0</v>
      </c>
      <c r="SH92" s="1" t="n">
        <f aca="false">IF(EM92=1,IF(HT92=1,LZ92+MC92,EN92-PD92)*(1+Slot13_Rate),0)</f>
        <v>0</v>
      </c>
      <c r="SI92" s="1" t="n">
        <f aca="false">IF(AND(HT92=1,EM92=1),(LY92+MC92)/E92,0)</f>
        <v>0</v>
      </c>
      <c r="SJ92" s="1" t="n">
        <f aca="false">IF(B92=0,LY92+MC92,0)</f>
        <v>0</v>
      </c>
      <c r="SK92" s="1" t="n">
        <f aca="false">IF(B92=0,IF(HT92=1,MA92,MB92),0)</f>
        <v>0</v>
      </c>
      <c r="SL92" s="1" t="n">
        <f aca="false">IF(EW92=1,IF(HT92=1,MH92+MK92,EX92-PB92)*(1+Slot14_Rate),0)</f>
        <v>0</v>
      </c>
      <c r="SM92" s="1" t="n">
        <f aca="false">IF(AND(HT92=1,EW92=1),(MG92+MK92)/E92,0)</f>
        <v>0</v>
      </c>
      <c r="SN92" s="1" t="n">
        <f aca="false">IF(B92=0,MG92+MK92,0)</f>
        <v>0</v>
      </c>
      <c r="SO92" s="1" t="n">
        <f aca="false">IF(B92=0,IF(HT92=1,MI92,MJ92),0)</f>
        <v>0</v>
      </c>
      <c r="SP92" s="1" t="n">
        <f aca="false">IF(FG92=1,IF(HT92=1,MP92+MS92,FH92-OZ92)*(1+Slot15_Rate),0)</f>
        <v>0</v>
      </c>
      <c r="SQ92" s="1" t="n">
        <f aca="false">IF(AND(HT92=1,FG92=1),(MO92+MS92)/E92,0)</f>
        <v>0</v>
      </c>
      <c r="SR92" s="1" t="n">
        <f aca="false">IF(B92=0,MO92+MS92,0)</f>
        <v>0</v>
      </c>
      <c r="SS92" s="1" t="n">
        <f aca="false">IF(B92=0,IF(HT92=1,MQ92,MR92),0)</f>
        <v>0</v>
      </c>
      <c r="ST92" s="1" t="n">
        <f aca="false">IF(FQ92=1,IF(HT92=1,MX92+NA92,FR92-OX92)*(1+Slot16_Rate),0)</f>
        <v>0</v>
      </c>
      <c r="SU92" s="1" t="n">
        <f aca="false">IF(AND(HT92=1,FQ92=1),(MW92+NA92)/E92,0)</f>
        <v>0</v>
      </c>
      <c r="SV92" s="1" t="n">
        <f aca="false">IF(B92=0,MW92+NA92,0)</f>
        <v>0</v>
      </c>
      <c r="SW92" s="1" t="n">
        <f aca="false">IF(B92=0,IF(HT92=1,MY92,MZ92),0)</f>
        <v>0</v>
      </c>
      <c r="SX92" s="1" t="n">
        <f aca="false">IF(GA92=1,IF(HT92=1,NF92+NI92,GB92-OV92)*(1+Slot17_Rate),0)</f>
        <v>0</v>
      </c>
      <c r="SY92" s="1" t="n">
        <f aca="false">IF(AND(HT92=1,GA92=1),(NE92+NI92)/E92,0)</f>
        <v>0</v>
      </c>
      <c r="SZ92" s="1" t="n">
        <f aca="false">IF(B92=0,NE92+NI92,0)</f>
        <v>0</v>
      </c>
      <c r="TA92" s="1" t="n">
        <f aca="false">IF(B92=0,IF(HT92=1,NG92,NH92),0)</f>
        <v>0</v>
      </c>
      <c r="TB92" s="1" t="n">
        <f aca="false">IF(GK92=1,IF(HT92=1,NN92+NQ92,GL92-OT92)*(1+Slot18_Rate),0)</f>
        <v>0</v>
      </c>
      <c r="TC92" s="1" t="n">
        <f aca="false">IF(AND(HT92=1,GK92=1),(NM92+NQ92)/E92,0)</f>
        <v>0</v>
      </c>
      <c r="TD92" s="1" t="n">
        <f aca="false">IF(B92=0,NM92+NQ92,0)</f>
        <v>0</v>
      </c>
      <c r="TE92" s="1" t="n">
        <f aca="false">IF(B92=0,IF(HT92=1,NO92,NP92),0)</f>
        <v>0</v>
      </c>
      <c r="TF92" s="1" t="n">
        <f aca="false">IF(GU92=1,IF(HT92=1,NV92+NY92,GV92-OR92)*(1+Slot19_Rate),0)</f>
        <v>0</v>
      </c>
      <c r="TG92" s="1" t="n">
        <f aca="false">IF(AND(HT92=1,GU92=1),(NU92+NY92)/E92,0)</f>
        <v>0</v>
      </c>
      <c r="TH92" s="1" t="n">
        <f aca="false">IF(B92=0,NU92+NY92,0)</f>
        <v>0</v>
      </c>
      <c r="TI92" s="1" t="n">
        <f aca="false">IF(B92=0,IF(HT92=1,NW92,NX92),0)</f>
        <v>0</v>
      </c>
      <c r="TJ92" s="1" t="n">
        <f aca="false">IF(HE92=1,IF(HT92=1,OD92+OG92,HF92-OP92)*(1+Slot20_Rate),0)</f>
        <v>0</v>
      </c>
      <c r="TK92" s="1" t="n">
        <f aca="false">IF(AND(HT92=1,HE92=1),(OC92+OG92)/E92,0)</f>
        <v>0</v>
      </c>
      <c r="TL92" s="1" t="n">
        <f aca="false">IF(B92=0,OC92+OG92,0)</f>
        <v>0</v>
      </c>
      <c r="TM92" s="1" t="n">
        <f aca="false">IF(B92=0,IF(HT92=1,OE92,OF92),0)</f>
        <v>0</v>
      </c>
      <c r="TN92" s="1" t="n">
        <f aca="false">QJ92+QK92+QL92+QP92+QT92+QX92+RB92+RF92+RJ92+RN92+RR92+RV92+RZ92+SD92+SH92+SL92+SP92+ST92+SX92+TB92+TF92+TJ92</f>
        <v>1243251.72463149</v>
      </c>
      <c r="TO92" s="1" t="n">
        <f aca="false">QD92+HO92</f>
        <v>0</v>
      </c>
      <c r="TP92" s="1" t="n">
        <f aca="false">H92+R92</f>
        <v>0</v>
      </c>
      <c r="TQ92" s="1" t="n">
        <f aca="false">1-F92</f>
        <v>1</v>
      </c>
      <c r="TR92" s="1" t="n">
        <f aca="false">IF(AND(RG_Exists=1,F92=0,C92=1),H92,0)</f>
        <v>0</v>
      </c>
      <c r="TS92" s="1" t="n">
        <f aca="false">IF(AND(RG_Exists=1,F92=0,C92=1),H92-MIN(QD92,H92),0)</f>
        <v>0</v>
      </c>
      <c r="TT92" s="1" t="n">
        <f aca="false">'Plan pay &amp; tax'!AD318</f>
        <v>0</v>
      </c>
      <c r="TU92" s="1" t="n">
        <f aca="false">IF(AND(C92=1,QD92&gt;MAX(PR_Short1,TP92*PR_Short2)),1,0)</f>
        <v>0</v>
      </c>
      <c r="TV92" s="1" t="n">
        <f aca="false">MIN(G92,H92+R92)</f>
        <v>0</v>
      </c>
      <c r="TW92" s="1" t="n">
        <f aca="false">QE92+MAX(0,HP92-HO92)</f>
        <v>0</v>
      </c>
      <c r="TX92" s="1" t="n">
        <f aca="false">QD92+HO92</f>
        <v>0</v>
      </c>
      <c r="TY92" s="1" t="n">
        <f aca="false">IF(AND(C92=1,TX92&gt;PR_MinShort),1,0)</f>
        <v>0</v>
      </c>
      <c r="TZ92" s="1" t="n">
        <f aca="false">IF(AND(C92=1,TY92=0,TW92&gt;PR_MinShort),1,0)</f>
        <v>0</v>
      </c>
      <c r="UA92" s="1" t="n">
        <f aca="false">IF(AND(C92=1,QD92&gt;PR_MinShort),1,0)</f>
        <v>0</v>
      </c>
      <c r="UB92" s="1" t="n">
        <f aca="false">IF(AND(C92=1,QE92&gt;1,UI92=0),1,0)</f>
        <v>0</v>
      </c>
      <c r="UC92" s="1" t="str">
        <f aca="false">IF(C92=0,"",IF(UI92=1,"Gap to plan for: short "&amp;"€"&amp;TEXT(ROUND(TO92,0),"#,##0"),IF(QE92&gt;1,"Using savings","Comfortable")))</f>
        <v>Comfortable</v>
      </c>
      <c r="UD92" s="1" t="n">
        <f aca="false">IF(AND(INT(D92/10)*10=90,B92&gt;0),80,INT(D92/10)*10)</f>
        <v>80</v>
      </c>
      <c r="UE92" s="1" t="n">
        <f aca="false">IF(B92=0,1,IF(UD92&lt;&gt;UD91,UE91+1,UE91))</f>
        <v>9</v>
      </c>
      <c r="UF92" s="1" t="n">
        <f aca="false">IF(AND(C92=1,F92=1,QD92&gt;MAX(PR_Short1,TP92*PR_Short2)),1,0)</f>
        <v>0</v>
      </c>
      <c r="UG92" s="1" t="n">
        <f aca="false">TQ92*TU92</f>
        <v>0</v>
      </c>
      <c r="UH92" s="1" t="n">
        <f aca="false">IF(AND(U92=1,Slot1_PctLow=1),1,0)+IF(AND(AF92=1,Slot2_PctLow=1),1,0)+IF(AND(AP92=1,Slot3_PctLow=1),1,0)+IF(AND(AZ92=1,Slot4_PctLow=1),1,0)+IF(AND(BJ92=1,Slot5_PctLow=1),1,0)+IF(AND(BT92=1,Slot6_PctLow=1),1,0)+IF(AND(CD92=1,Slot7_PctLow=1),1,0)+IF(AND(CN92=1,Slot8_PctLow=1),1,0)+IF(AND(CX92=1,Slot9_PctLow=1),1,0)+IF(AND(DH92=1,Slot10_PctLow=1),1,0)+IF(AND(DR92=1,Slot11_PctLow=1),1,0)+IF(AND(EB92=1,Slot12_PctLow=1),1,0)+IF(AND(EL92=1,Slot13_PctLow=1),1,0)+IF(AND(EV92=1,Slot14_PctLow=1),1,0)+IF(AND(FF92=1,Slot15_PctLow=1),1,0)+IF(AND(FP92=1,Slot16_PctLow=1),1,0)+IF(AND(FZ92=1,Slot17_PctLow=1),1,0)+IF(AND(GJ92=1,Slot18_PctLow=1),1,0)+IF(AND(GT92=1,Slot19_PctLow=1),1,0)+IF(AND(HD92=1,Slot20_PctLow=1),1,0)</f>
        <v>0</v>
      </c>
      <c r="UI92" s="1" t="n">
        <f aca="false">IF(C92=1,IF(OR(TU92=1,UH92&gt;0),1,0),0)</f>
        <v>0</v>
      </c>
    </row>
    <row r="93" customFormat="false" ht="15" hidden="false" customHeight="true" outlineLevel="0" collapsed="false">
      <c r="B93" s="1" t="n">
        <v>85</v>
      </c>
      <c r="C93" s="1" t="n">
        <f aca="false">IF(B93&lt;=F_N,1,0)</f>
        <v>1</v>
      </c>
      <c r="D93" s="1" t="n">
        <f aca="false">'Plan pay &amp; tax'!C319</f>
        <v>85</v>
      </c>
      <c r="E93" s="111" t="n">
        <f aca="false">'Plan pay &amp; tax'!E319</f>
        <v>5.38287877941564</v>
      </c>
      <c r="F93" s="1" t="n">
        <f aca="false">'Plan pay &amp; tax'!G319</f>
        <v>0</v>
      </c>
      <c r="G93" s="1" t="n">
        <f aca="false">'Plan pay &amp; tax'!BT319-'Plan pay &amp; tax'!BS319-'Plan pay &amp; tax'!R319</f>
        <v>69820.6747023468</v>
      </c>
      <c r="H93" s="1" t="n">
        <f aca="false">IF(F93=1,F_CostsM*12,IF(RG_Exists=1,RG_Amount,F_CostsM*12*AS_RetireSpend))*E93+F_OneOffY*E93</f>
        <v>0</v>
      </c>
      <c r="I93" s="1" t="n">
        <f aca="false">HQ92</f>
        <v>0</v>
      </c>
      <c r="J93" s="1" t="n">
        <f aca="false">IF(I93&gt;1,'Plan debt months'!AC93,0)</f>
        <v>0</v>
      </c>
      <c r="K93" s="1" t="n">
        <f aca="false">IF(I93&gt;1,'Plan debt months'!AB93,I93)</f>
        <v>0</v>
      </c>
      <c r="L93" s="1" t="n">
        <f aca="false">N92</f>
        <v>0</v>
      </c>
      <c r="M93" s="1" t="n">
        <f aca="false">IF(L93&gt;1,'Plan debt months'!BD93,0)</f>
        <v>0</v>
      </c>
      <c r="N93" s="1" t="n">
        <f aca="false">IF(L93&gt;1,'Plan debt months'!BC93,L93)</f>
        <v>0</v>
      </c>
      <c r="O93" s="1" t="n">
        <f aca="false">Q92</f>
        <v>0</v>
      </c>
      <c r="P93" s="1" t="n">
        <f aca="false">IF(O93&gt;1,'Plan debt months'!CE93,0)</f>
        <v>0</v>
      </c>
      <c r="Q93" s="1" t="n">
        <f aca="false">IF(O93&gt;1,'Plan debt months'!CD93,O93)</f>
        <v>0</v>
      </c>
      <c r="R93" s="1" t="n">
        <f aca="false">J93+M93+P93</f>
        <v>0</v>
      </c>
      <c r="S93" s="1" t="n">
        <f aca="false">QJ92+'Plan pay &amp; tax'!Y319</f>
        <v>1243251.72463149</v>
      </c>
      <c r="T93" s="1" t="n">
        <f aca="false">QJ92</f>
        <v>1243251.72463149</v>
      </c>
      <c r="U93" s="1" t="n">
        <f aca="false">IF(AND(Slot1_On=1,D93=Slot1_Age),1,0)</f>
        <v>0</v>
      </c>
      <c r="V93" s="1" t="n">
        <f aca="false">IF(AND(Slot1_On=1,Slot1_Age&gt;D93),1,0)</f>
        <v>0</v>
      </c>
      <c r="W93" s="1" t="n">
        <f aca="false">QL92</f>
        <v>0</v>
      </c>
      <c r="X93" s="1" t="n">
        <f aca="false">U93*MIN(Slot1_Cost,W93)</f>
        <v>0</v>
      </c>
      <c r="Y93" s="1" t="n">
        <f aca="false">U93*Slot1_SpendLike*MIN(Slot1_Cost-X93,S93)</f>
        <v>0</v>
      </c>
      <c r="Z93" s="1" t="n">
        <f aca="false">X93+Y93</f>
        <v>0</v>
      </c>
      <c r="AA93" s="1" t="n">
        <f aca="false">S93-Y93+U93*IF(Slot1_SpendLike=1,W93-X93,IF(Slot1_PotFree=1,W93,0))</f>
        <v>1243251.72463149</v>
      </c>
      <c r="AB93" s="1" t="n">
        <f aca="false">AE93+U93*Slot1_BufPot*W93</f>
        <v>0</v>
      </c>
      <c r="AC93" s="1" t="n">
        <f aca="false">IF(AND(U93=1,Slot1_IsMfree=1),IF(Z93&gt;=Slot1_Cost-1,0,MAX(0,K93-Z93)),K93)</f>
        <v>0</v>
      </c>
      <c r="AD93" s="1" t="n">
        <f aca="false">U93*(Slot1_Cost-Z93)</f>
        <v>0</v>
      </c>
      <c r="AE93" s="1" t="n">
        <f aca="false">QK92</f>
        <v>0</v>
      </c>
      <c r="AF93" s="1" t="n">
        <f aca="false">IF(AND(Slot2_On=1,D93=Slot2_Age),1,0)</f>
        <v>0</v>
      </c>
      <c r="AG93" s="1" t="n">
        <f aca="false">IF(AND(Slot2_On=1,Slot2_Age&gt;D93),1,0)</f>
        <v>0</v>
      </c>
      <c r="AH93" s="1" t="n">
        <f aca="false">QP92</f>
        <v>0</v>
      </c>
      <c r="AI93" s="1" t="n">
        <f aca="false">AF93*MIN(Slot2_Cost,AH93)</f>
        <v>0</v>
      </c>
      <c r="AJ93" s="1" t="n">
        <f aca="false">AF93*Slot2_SpendLike*MIN(Slot2_Cost-AI93,AA93)</f>
        <v>0</v>
      </c>
      <c r="AK93" s="1" t="n">
        <f aca="false">AI93+AJ93</f>
        <v>0</v>
      </c>
      <c r="AL93" s="1" t="n">
        <f aca="false">AA93-AJ93+AF93*IF(Slot2_SpendLike=1,AH93-AI93,IF(Slot2_PotFree=1,AH93,0))</f>
        <v>1243251.72463149</v>
      </c>
      <c r="AM93" s="1" t="n">
        <f aca="false">AB93+AF93*Slot2_BufPot*AH93</f>
        <v>0</v>
      </c>
      <c r="AN93" s="1" t="n">
        <f aca="false">IF(AND(AF93=1,Slot2_IsMfree=1),IF(AK93&gt;=Slot2_Cost-1,0,MAX(0,AC93-AK93)),AC93)</f>
        <v>0</v>
      </c>
      <c r="AO93" s="1" t="n">
        <f aca="false">AF93*(Slot2_Cost-AK93)</f>
        <v>0</v>
      </c>
      <c r="AP93" s="1" t="n">
        <f aca="false">IF(AND(Slot3_On=1,D93=Slot3_Age),1,0)</f>
        <v>0</v>
      </c>
      <c r="AQ93" s="1" t="n">
        <f aca="false">IF(AND(Slot3_On=1,Slot3_Age&gt;D93),1,0)</f>
        <v>0</v>
      </c>
      <c r="AR93" s="1" t="n">
        <f aca="false">QT92</f>
        <v>0</v>
      </c>
      <c r="AS93" s="1" t="n">
        <f aca="false">AP93*MIN(Slot3_Cost,AR93)</f>
        <v>0</v>
      </c>
      <c r="AT93" s="1" t="n">
        <f aca="false">AP93*Slot3_SpendLike*MIN(Slot3_Cost-AS93,AL93)</f>
        <v>0</v>
      </c>
      <c r="AU93" s="1" t="n">
        <f aca="false">AS93+AT93</f>
        <v>0</v>
      </c>
      <c r="AV93" s="1" t="n">
        <f aca="false">AL93-AT93+AP93*IF(Slot3_SpendLike=1,AR93-AS93,IF(Slot3_PotFree=1,AR93,0))</f>
        <v>1243251.72463149</v>
      </c>
      <c r="AW93" s="1" t="n">
        <f aca="false">AM93+AP93*Slot3_BufPot*AR93</f>
        <v>0</v>
      </c>
      <c r="AX93" s="1" t="n">
        <f aca="false">IF(AND(AP93=1,Slot3_IsMfree=1),IF(AU93&gt;=Slot3_Cost-1,0,MAX(0,AN93-AU93)),AN93)</f>
        <v>0</v>
      </c>
      <c r="AY93" s="1" t="n">
        <f aca="false">AP93*(Slot3_Cost-AU93)</f>
        <v>0</v>
      </c>
      <c r="AZ93" s="1" t="n">
        <f aca="false">IF(AND(Slot4_On=1,D93=Slot4_Age),1,0)</f>
        <v>0</v>
      </c>
      <c r="BA93" s="1" t="n">
        <f aca="false">IF(AND(Slot4_On=1,Slot4_Age&gt;D93),1,0)</f>
        <v>0</v>
      </c>
      <c r="BB93" s="1" t="n">
        <f aca="false">QX92</f>
        <v>0</v>
      </c>
      <c r="BC93" s="1" t="n">
        <f aca="false">AZ93*MIN(Slot4_Cost,BB93)</f>
        <v>0</v>
      </c>
      <c r="BD93" s="1" t="n">
        <f aca="false">AZ93*Slot4_SpendLike*MIN(Slot4_Cost-BC93,AV93)</f>
        <v>0</v>
      </c>
      <c r="BE93" s="1" t="n">
        <f aca="false">BC93+BD93</f>
        <v>0</v>
      </c>
      <c r="BF93" s="1" t="n">
        <f aca="false">AV93-BD93+AZ93*IF(Slot4_SpendLike=1,BB93-BC93,IF(Slot4_PotFree=1,BB93,0))</f>
        <v>1243251.72463149</v>
      </c>
      <c r="BG93" s="1" t="n">
        <f aca="false">AW93+AZ93*Slot4_BufPot*BB93</f>
        <v>0</v>
      </c>
      <c r="BH93" s="1" t="n">
        <f aca="false">IF(AND(AZ93=1,Slot4_IsMfree=1),IF(BE93&gt;=Slot4_Cost-1,0,MAX(0,AX93-BE93)),AX93)</f>
        <v>0</v>
      </c>
      <c r="BI93" s="1" t="n">
        <f aca="false">AZ93*(Slot4_Cost-BE93)</f>
        <v>0</v>
      </c>
      <c r="BJ93" s="1" t="n">
        <f aca="false">IF(AND(Slot5_On=1,D93=Slot5_Age),1,0)</f>
        <v>0</v>
      </c>
      <c r="BK93" s="1" t="n">
        <f aca="false">IF(AND(Slot5_On=1,Slot5_Age&gt;D93),1,0)</f>
        <v>0</v>
      </c>
      <c r="BL93" s="1" t="n">
        <f aca="false">RB92</f>
        <v>0</v>
      </c>
      <c r="BM93" s="1" t="n">
        <f aca="false">BJ93*MIN(Slot5_Cost,BL93)</f>
        <v>0</v>
      </c>
      <c r="BN93" s="1" t="n">
        <f aca="false">BJ93*Slot5_SpendLike*MIN(Slot5_Cost-BM93,BF93)</f>
        <v>0</v>
      </c>
      <c r="BO93" s="1" t="n">
        <f aca="false">BM93+BN93</f>
        <v>0</v>
      </c>
      <c r="BP93" s="1" t="n">
        <f aca="false">BF93-BN93+BJ93*IF(Slot5_SpendLike=1,BL93-BM93,IF(Slot5_PotFree=1,BL93,0))</f>
        <v>1243251.72463149</v>
      </c>
      <c r="BQ93" s="1" t="n">
        <f aca="false">BG93+BJ93*Slot5_BufPot*BL93</f>
        <v>0</v>
      </c>
      <c r="BR93" s="1" t="n">
        <f aca="false">IF(AND(BJ93=1,Slot5_IsMfree=1),IF(BO93&gt;=Slot5_Cost-1,0,MAX(0,BH93-BO93)),BH93)</f>
        <v>0</v>
      </c>
      <c r="BS93" s="1" t="n">
        <f aca="false">BJ93*(Slot5_Cost-BO93)</f>
        <v>0</v>
      </c>
      <c r="BT93" s="1" t="n">
        <f aca="false">IF(AND(Slot6_On=1,D93=Slot6_Age),1,0)</f>
        <v>0</v>
      </c>
      <c r="BU93" s="1" t="n">
        <f aca="false">IF(AND(Slot6_On=1,Slot6_Age&gt;D93),1,0)</f>
        <v>0</v>
      </c>
      <c r="BV93" s="1" t="n">
        <f aca="false">RF92</f>
        <v>0</v>
      </c>
      <c r="BW93" s="1" t="n">
        <f aca="false">BT93*MIN(Slot6_Cost,BV93)</f>
        <v>0</v>
      </c>
      <c r="BX93" s="1" t="n">
        <f aca="false">BT93*Slot6_SpendLike*MIN(Slot6_Cost-BW93,BP93)</f>
        <v>0</v>
      </c>
      <c r="BY93" s="1" t="n">
        <f aca="false">BW93+BX93</f>
        <v>0</v>
      </c>
      <c r="BZ93" s="1" t="n">
        <f aca="false">BP93-BX93+BT93*IF(Slot6_SpendLike=1,BV93-BW93,IF(Slot6_PotFree=1,BV93,0))</f>
        <v>1243251.72463149</v>
      </c>
      <c r="CA93" s="1" t="n">
        <f aca="false">BQ93+BT93*Slot6_BufPot*BV93</f>
        <v>0</v>
      </c>
      <c r="CB93" s="1" t="n">
        <f aca="false">IF(AND(BT93=1,Slot6_IsMfree=1),IF(BY93&gt;=Slot6_Cost-1,0,MAX(0,BR93-BY93)),BR93)</f>
        <v>0</v>
      </c>
      <c r="CC93" s="1" t="n">
        <f aca="false">BT93*(Slot6_Cost-BY93)</f>
        <v>0</v>
      </c>
      <c r="CD93" s="1" t="n">
        <f aca="false">IF(AND(Slot7_On=1,D93=Slot7_Age),1,0)</f>
        <v>0</v>
      </c>
      <c r="CE93" s="1" t="n">
        <f aca="false">IF(AND(Slot7_On=1,Slot7_Age&gt;D93),1,0)</f>
        <v>0</v>
      </c>
      <c r="CF93" s="1" t="n">
        <f aca="false">RJ92</f>
        <v>0</v>
      </c>
      <c r="CG93" s="1" t="n">
        <f aca="false">CD93*MIN(Slot7_Cost,CF93)</f>
        <v>0</v>
      </c>
      <c r="CH93" s="1" t="n">
        <f aca="false">CD93*Slot7_SpendLike*MIN(Slot7_Cost-CG93,BZ93)</f>
        <v>0</v>
      </c>
      <c r="CI93" s="1" t="n">
        <f aca="false">CG93+CH93</f>
        <v>0</v>
      </c>
      <c r="CJ93" s="1" t="n">
        <f aca="false">BZ93-CH93+CD93*IF(Slot7_SpendLike=1,CF93-CG93,IF(Slot7_PotFree=1,CF93,0))</f>
        <v>1243251.72463149</v>
      </c>
      <c r="CK93" s="1" t="n">
        <f aca="false">CA93+CD93*Slot7_BufPot*CF93</f>
        <v>0</v>
      </c>
      <c r="CL93" s="1" t="n">
        <f aca="false">IF(AND(CD93=1,Slot7_IsMfree=1),IF(CI93&gt;=Slot7_Cost-1,0,MAX(0,CB93-CI93)),CB93)</f>
        <v>0</v>
      </c>
      <c r="CM93" s="1" t="n">
        <f aca="false">CD93*(Slot7_Cost-CI93)</f>
        <v>0</v>
      </c>
      <c r="CN93" s="1" t="n">
        <f aca="false">IF(AND(Slot8_On=1,D93=Slot8_Age),1,0)</f>
        <v>0</v>
      </c>
      <c r="CO93" s="1" t="n">
        <f aca="false">IF(AND(Slot8_On=1,Slot8_Age&gt;D93),1,0)</f>
        <v>0</v>
      </c>
      <c r="CP93" s="1" t="n">
        <f aca="false">RN92</f>
        <v>0</v>
      </c>
      <c r="CQ93" s="1" t="n">
        <f aca="false">CN93*MIN(Slot8_Cost,CP93)</f>
        <v>0</v>
      </c>
      <c r="CR93" s="1" t="n">
        <f aca="false">CN93*Slot8_SpendLike*MIN(Slot8_Cost-CQ93,CJ93)</f>
        <v>0</v>
      </c>
      <c r="CS93" s="1" t="n">
        <f aca="false">CQ93+CR93</f>
        <v>0</v>
      </c>
      <c r="CT93" s="1" t="n">
        <f aca="false">CJ93-CR93+CN93*IF(Slot8_SpendLike=1,CP93-CQ93,IF(Slot8_PotFree=1,CP93,0))</f>
        <v>1243251.72463149</v>
      </c>
      <c r="CU93" s="1" t="n">
        <f aca="false">CK93+CN93*Slot8_BufPot*CP93</f>
        <v>0</v>
      </c>
      <c r="CV93" s="1" t="n">
        <f aca="false">IF(AND(CN93=1,Slot8_IsMfree=1),IF(CS93&gt;=Slot8_Cost-1,0,MAX(0,CL93-CS93)),CL93)</f>
        <v>0</v>
      </c>
      <c r="CW93" s="1" t="n">
        <f aca="false">CN93*(Slot8_Cost-CS93)</f>
        <v>0</v>
      </c>
      <c r="CX93" s="1" t="n">
        <f aca="false">IF(AND(Slot9_On=1,D93=Slot9_Age),1,0)</f>
        <v>0</v>
      </c>
      <c r="CY93" s="1" t="n">
        <f aca="false">IF(AND(Slot9_On=1,Slot9_Age&gt;D93),1,0)</f>
        <v>0</v>
      </c>
      <c r="CZ93" s="1" t="n">
        <f aca="false">RR92</f>
        <v>0</v>
      </c>
      <c r="DA93" s="1" t="n">
        <f aca="false">CX93*MIN(Slot9_Cost,CZ93)</f>
        <v>0</v>
      </c>
      <c r="DB93" s="1" t="n">
        <f aca="false">CX93*Slot9_SpendLike*MIN(Slot9_Cost-DA93,CT93)</f>
        <v>0</v>
      </c>
      <c r="DC93" s="1" t="n">
        <f aca="false">DA93+DB93</f>
        <v>0</v>
      </c>
      <c r="DD93" s="1" t="n">
        <f aca="false">CT93-DB93+CX93*IF(Slot9_SpendLike=1,CZ93-DA93,IF(Slot9_PotFree=1,CZ93,0))</f>
        <v>1243251.72463149</v>
      </c>
      <c r="DE93" s="1" t="n">
        <f aca="false">CU93+CX93*Slot9_BufPot*CZ93</f>
        <v>0</v>
      </c>
      <c r="DF93" s="1" t="n">
        <f aca="false">IF(AND(CX93=1,Slot9_IsMfree=1),IF(DC93&gt;=Slot9_Cost-1,0,MAX(0,CV93-DC93)),CV93)</f>
        <v>0</v>
      </c>
      <c r="DG93" s="1" t="n">
        <f aca="false">CX93*(Slot9_Cost-DC93)</f>
        <v>0</v>
      </c>
      <c r="DH93" s="1" t="n">
        <f aca="false">IF(AND(Slot10_On=1,D93=Slot10_Age),1,0)</f>
        <v>0</v>
      </c>
      <c r="DI93" s="1" t="n">
        <f aca="false">IF(AND(Slot10_On=1,Slot10_Age&gt;D93),1,0)</f>
        <v>0</v>
      </c>
      <c r="DJ93" s="1" t="n">
        <f aca="false">RV92</f>
        <v>0</v>
      </c>
      <c r="DK93" s="1" t="n">
        <f aca="false">DH93*MIN(Slot10_Cost,DJ93)</f>
        <v>0</v>
      </c>
      <c r="DL93" s="1" t="n">
        <f aca="false">DH93*Slot10_SpendLike*MIN(Slot10_Cost-DK93,DD93)</f>
        <v>0</v>
      </c>
      <c r="DM93" s="1" t="n">
        <f aca="false">DK93+DL93</f>
        <v>0</v>
      </c>
      <c r="DN93" s="1" t="n">
        <f aca="false">DD93-DL93+DH93*IF(Slot10_SpendLike=1,DJ93-DK93,IF(Slot10_PotFree=1,DJ93,0))</f>
        <v>1243251.72463149</v>
      </c>
      <c r="DO93" s="1" t="n">
        <f aca="false">DE93+DH93*Slot10_BufPot*DJ93</f>
        <v>0</v>
      </c>
      <c r="DP93" s="1" t="n">
        <f aca="false">IF(AND(DH93=1,Slot10_IsMfree=1),IF(DM93&gt;=Slot10_Cost-1,0,MAX(0,DF93-DM93)),DF93)</f>
        <v>0</v>
      </c>
      <c r="DQ93" s="1" t="n">
        <f aca="false">DH93*(Slot10_Cost-DM93)</f>
        <v>0</v>
      </c>
      <c r="DR93" s="1" t="n">
        <f aca="false">IF(AND(Slot11_On=1,D93=Slot11_Age),1,0)</f>
        <v>0</v>
      </c>
      <c r="DS93" s="1" t="n">
        <f aca="false">IF(AND(Slot11_On=1,Slot11_Age&gt;D93),1,0)</f>
        <v>0</v>
      </c>
      <c r="DT93" s="1" t="n">
        <f aca="false">RZ92</f>
        <v>0</v>
      </c>
      <c r="DU93" s="1" t="n">
        <f aca="false">DR93*MIN(Slot11_Cost,DT93)</f>
        <v>0</v>
      </c>
      <c r="DV93" s="1" t="n">
        <f aca="false">DR93*Slot11_SpendLike*MIN(Slot11_Cost-DU93,DN93)</f>
        <v>0</v>
      </c>
      <c r="DW93" s="1" t="n">
        <f aca="false">DU93+DV93</f>
        <v>0</v>
      </c>
      <c r="DX93" s="1" t="n">
        <f aca="false">DN93-DV93+DR93*IF(Slot11_SpendLike=1,DT93-DU93,IF(Slot11_PotFree=1,DT93,0))</f>
        <v>1243251.72463149</v>
      </c>
      <c r="DY93" s="1" t="n">
        <f aca="false">DO93+DR93*Slot11_BufPot*DT93</f>
        <v>0</v>
      </c>
      <c r="DZ93" s="1" t="n">
        <f aca="false">IF(AND(DR93=1,Slot11_IsMfree=1),IF(DW93&gt;=Slot11_Cost-1,0,MAX(0,DP93-DW93)),DP93)</f>
        <v>0</v>
      </c>
      <c r="EA93" s="1" t="n">
        <f aca="false">DR93*(Slot11_Cost-DW93)</f>
        <v>0</v>
      </c>
      <c r="EB93" s="1" t="n">
        <f aca="false">IF(AND(Slot12_On=1,D93=Slot12_Age),1,0)</f>
        <v>0</v>
      </c>
      <c r="EC93" s="1" t="n">
        <f aca="false">IF(AND(Slot12_On=1,Slot12_Age&gt;D93),1,0)</f>
        <v>0</v>
      </c>
      <c r="ED93" s="1" t="n">
        <f aca="false">SD92</f>
        <v>0</v>
      </c>
      <c r="EE93" s="1" t="n">
        <f aca="false">EB93*MIN(Slot12_Cost,ED93)</f>
        <v>0</v>
      </c>
      <c r="EF93" s="1" t="n">
        <f aca="false">EB93*Slot12_SpendLike*MIN(Slot12_Cost-EE93,DX93)</f>
        <v>0</v>
      </c>
      <c r="EG93" s="1" t="n">
        <f aca="false">EE93+EF93</f>
        <v>0</v>
      </c>
      <c r="EH93" s="1" t="n">
        <f aca="false">DX93-EF93+EB93*IF(Slot12_SpendLike=1,ED93-EE93,IF(Slot12_PotFree=1,ED93,0))</f>
        <v>1243251.72463149</v>
      </c>
      <c r="EI93" s="1" t="n">
        <f aca="false">DY93+EB93*Slot12_BufPot*ED93</f>
        <v>0</v>
      </c>
      <c r="EJ93" s="1" t="n">
        <f aca="false">IF(AND(EB93=1,Slot12_IsMfree=1),IF(EG93&gt;=Slot12_Cost-1,0,MAX(0,DZ93-EG93)),DZ93)</f>
        <v>0</v>
      </c>
      <c r="EK93" s="1" t="n">
        <f aca="false">EB93*(Slot12_Cost-EG93)</f>
        <v>0</v>
      </c>
      <c r="EL93" s="1" t="n">
        <f aca="false">IF(AND(Slot13_On=1,D93=Slot13_Age),1,0)</f>
        <v>0</v>
      </c>
      <c r="EM93" s="1" t="n">
        <f aca="false">IF(AND(Slot13_On=1,Slot13_Age&gt;D93),1,0)</f>
        <v>0</v>
      </c>
      <c r="EN93" s="1" t="n">
        <f aca="false">SH92</f>
        <v>0</v>
      </c>
      <c r="EO93" s="1" t="n">
        <f aca="false">EL93*MIN(Slot13_Cost,EN93)</f>
        <v>0</v>
      </c>
      <c r="EP93" s="1" t="n">
        <f aca="false">EL93*Slot13_SpendLike*MIN(Slot13_Cost-EO93,EH93)</f>
        <v>0</v>
      </c>
      <c r="EQ93" s="1" t="n">
        <f aca="false">EO93+EP93</f>
        <v>0</v>
      </c>
      <c r="ER93" s="1" t="n">
        <f aca="false">EH93-EP93+EL93*IF(Slot13_SpendLike=1,EN93-EO93,IF(Slot13_PotFree=1,EN93,0))</f>
        <v>1243251.72463149</v>
      </c>
      <c r="ES93" s="1" t="n">
        <f aca="false">EI93+EL93*Slot13_BufPot*EN93</f>
        <v>0</v>
      </c>
      <c r="ET93" s="1" t="n">
        <f aca="false">IF(AND(EL93=1,Slot13_IsMfree=1),IF(EQ93&gt;=Slot13_Cost-1,0,MAX(0,EJ93-EQ93)),EJ93)</f>
        <v>0</v>
      </c>
      <c r="EU93" s="1" t="n">
        <f aca="false">EL93*(Slot13_Cost-EQ93)</f>
        <v>0</v>
      </c>
      <c r="EV93" s="1" t="n">
        <f aca="false">IF(AND(Slot14_On=1,D93=Slot14_Age),1,0)</f>
        <v>0</v>
      </c>
      <c r="EW93" s="1" t="n">
        <f aca="false">IF(AND(Slot14_On=1,Slot14_Age&gt;D93),1,0)</f>
        <v>0</v>
      </c>
      <c r="EX93" s="1" t="n">
        <f aca="false">SL92</f>
        <v>0</v>
      </c>
      <c r="EY93" s="1" t="n">
        <f aca="false">EV93*MIN(Slot14_Cost,EX93)</f>
        <v>0</v>
      </c>
      <c r="EZ93" s="1" t="n">
        <f aca="false">EV93*Slot14_SpendLike*MIN(Slot14_Cost-EY93,ER93)</f>
        <v>0</v>
      </c>
      <c r="FA93" s="1" t="n">
        <f aca="false">EY93+EZ93</f>
        <v>0</v>
      </c>
      <c r="FB93" s="1" t="n">
        <f aca="false">ER93-EZ93+EV93*IF(Slot14_SpendLike=1,EX93-EY93,IF(Slot14_PotFree=1,EX93,0))</f>
        <v>1243251.72463149</v>
      </c>
      <c r="FC93" s="1" t="n">
        <f aca="false">ES93+EV93*Slot14_BufPot*EX93</f>
        <v>0</v>
      </c>
      <c r="FD93" s="1" t="n">
        <f aca="false">IF(AND(EV93=1,Slot14_IsMfree=1),IF(FA93&gt;=Slot14_Cost-1,0,MAX(0,ET93-FA93)),ET93)</f>
        <v>0</v>
      </c>
      <c r="FE93" s="1" t="n">
        <f aca="false">EV93*(Slot14_Cost-FA93)</f>
        <v>0</v>
      </c>
      <c r="FF93" s="1" t="n">
        <f aca="false">IF(AND(Slot15_On=1,D93=Slot15_Age),1,0)</f>
        <v>0</v>
      </c>
      <c r="FG93" s="1" t="n">
        <f aca="false">IF(AND(Slot15_On=1,Slot15_Age&gt;D93),1,0)</f>
        <v>0</v>
      </c>
      <c r="FH93" s="1" t="n">
        <f aca="false">SP92</f>
        <v>0</v>
      </c>
      <c r="FI93" s="1" t="n">
        <f aca="false">FF93*MIN(Slot15_Cost,FH93)</f>
        <v>0</v>
      </c>
      <c r="FJ93" s="1" t="n">
        <f aca="false">FF93*Slot15_SpendLike*MIN(Slot15_Cost-FI93,FB93)</f>
        <v>0</v>
      </c>
      <c r="FK93" s="1" t="n">
        <f aca="false">FI93+FJ93</f>
        <v>0</v>
      </c>
      <c r="FL93" s="1" t="n">
        <f aca="false">FB93-FJ93+FF93*IF(Slot15_SpendLike=1,FH93-FI93,IF(Slot15_PotFree=1,FH93,0))</f>
        <v>1243251.72463149</v>
      </c>
      <c r="FM93" s="1" t="n">
        <f aca="false">FC93+FF93*Slot15_BufPot*FH93</f>
        <v>0</v>
      </c>
      <c r="FN93" s="1" t="n">
        <f aca="false">IF(AND(FF93=1,Slot15_IsMfree=1),IF(FK93&gt;=Slot15_Cost-1,0,MAX(0,FD93-FK93)),FD93)</f>
        <v>0</v>
      </c>
      <c r="FO93" s="1" t="n">
        <f aca="false">FF93*(Slot15_Cost-FK93)</f>
        <v>0</v>
      </c>
      <c r="FP93" s="1" t="n">
        <f aca="false">IF(AND(Slot16_On=1,D93=Slot16_Age),1,0)</f>
        <v>0</v>
      </c>
      <c r="FQ93" s="1" t="n">
        <f aca="false">IF(AND(Slot16_On=1,Slot16_Age&gt;D93),1,0)</f>
        <v>0</v>
      </c>
      <c r="FR93" s="1" t="n">
        <f aca="false">ST92</f>
        <v>0</v>
      </c>
      <c r="FS93" s="1" t="n">
        <f aca="false">FP93*MIN(Slot16_Cost,FR93)</f>
        <v>0</v>
      </c>
      <c r="FT93" s="1" t="n">
        <f aca="false">FP93*Slot16_SpendLike*MIN(Slot16_Cost-FS93,FL93)</f>
        <v>0</v>
      </c>
      <c r="FU93" s="1" t="n">
        <f aca="false">FS93+FT93</f>
        <v>0</v>
      </c>
      <c r="FV93" s="1" t="n">
        <f aca="false">FL93-FT93+FP93*IF(Slot16_SpendLike=1,FR93-FS93,IF(Slot16_PotFree=1,FR93,0))</f>
        <v>1243251.72463149</v>
      </c>
      <c r="FW93" s="1" t="n">
        <f aca="false">FM93+FP93*Slot16_BufPot*FR93</f>
        <v>0</v>
      </c>
      <c r="FX93" s="1" t="n">
        <f aca="false">IF(AND(FP93=1,Slot16_IsMfree=1),IF(FU93&gt;=Slot16_Cost-1,0,MAX(0,FN93-FU93)),FN93)</f>
        <v>0</v>
      </c>
      <c r="FY93" s="1" t="n">
        <f aca="false">FP93*(Slot16_Cost-FU93)</f>
        <v>0</v>
      </c>
      <c r="FZ93" s="1" t="n">
        <f aca="false">IF(AND(Slot17_On=1,D93=Slot17_Age),1,0)</f>
        <v>0</v>
      </c>
      <c r="GA93" s="1" t="n">
        <f aca="false">IF(AND(Slot17_On=1,Slot17_Age&gt;D93),1,0)</f>
        <v>0</v>
      </c>
      <c r="GB93" s="1" t="n">
        <f aca="false">SX92</f>
        <v>0</v>
      </c>
      <c r="GC93" s="1" t="n">
        <f aca="false">FZ93*MIN(Slot17_Cost,GB93)</f>
        <v>0</v>
      </c>
      <c r="GD93" s="1" t="n">
        <f aca="false">FZ93*Slot17_SpendLike*MIN(Slot17_Cost-GC93,FV93)</f>
        <v>0</v>
      </c>
      <c r="GE93" s="1" t="n">
        <f aca="false">GC93+GD93</f>
        <v>0</v>
      </c>
      <c r="GF93" s="1" t="n">
        <f aca="false">FV93-GD93+FZ93*IF(Slot17_SpendLike=1,GB93-GC93,IF(Slot17_PotFree=1,GB93,0))</f>
        <v>1243251.72463149</v>
      </c>
      <c r="GG93" s="1" t="n">
        <f aca="false">FW93+FZ93*Slot17_BufPot*GB93</f>
        <v>0</v>
      </c>
      <c r="GH93" s="1" t="n">
        <f aca="false">IF(AND(FZ93=1,Slot17_IsMfree=1),IF(GE93&gt;=Slot17_Cost-1,0,MAX(0,FX93-GE93)),FX93)</f>
        <v>0</v>
      </c>
      <c r="GI93" s="1" t="n">
        <f aca="false">FZ93*(Slot17_Cost-GE93)</f>
        <v>0</v>
      </c>
      <c r="GJ93" s="1" t="n">
        <f aca="false">IF(AND(Slot18_On=1,D93=Slot18_Age),1,0)</f>
        <v>0</v>
      </c>
      <c r="GK93" s="1" t="n">
        <f aca="false">IF(AND(Slot18_On=1,Slot18_Age&gt;D93),1,0)</f>
        <v>0</v>
      </c>
      <c r="GL93" s="1" t="n">
        <f aca="false">TB92</f>
        <v>0</v>
      </c>
      <c r="GM93" s="1" t="n">
        <f aca="false">GJ93*MIN(Slot18_Cost,GL93)</f>
        <v>0</v>
      </c>
      <c r="GN93" s="1" t="n">
        <f aca="false">GJ93*Slot18_SpendLike*MIN(Slot18_Cost-GM93,GF93)</f>
        <v>0</v>
      </c>
      <c r="GO93" s="1" t="n">
        <f aca="false">GM93+GN93</f>
        <v>0</v>
      </c>
      <c r="GP93" s="1" t="n">
        <f aca="false">GF93-GN93+GJ93*IF(Slot18_SpendLike=1,GL93-GM93,IF(Slot18_PotFree=1,GL93,0))</f>
        <v>1243251.72463149</v>
      </c>
      <c r="GQ93" s="1" t="n">
        <f aca="false">GG93+GJ93*Slot18_BufPot*GL93</f>
        <v>0</v>
      </c>
      <c r="GR93" s="1" t="n">
        <f aca="false">IF(AND(GJ93=1,Slot18_IsMfree=1),IF(GO93&gt;=Slot18_Cost-1,0,MAX(0,GH93-GO93)),GH93)</f>
        <v>0</v>
      </c>
      <c r="GS93" s="1" t="n">
        <f aca="false">GJ93*(Slot18_Cost-GO93)</f>
        <v>0</v>
      </c>
      <c r="GT93" s="1" t="n">
        <f aca="false">IF(AND(Slot19_On=1,D93=Slot19_Age),1,0)</f>
        <v>0</v>
      </c>
      <c r="GU93" s="1" t="n">
        <f aca="false">IF(AND(Slot19_On=1,Slot19_Age&gt;D93),1,0)</f>
        <v>0</v>
      </c>
      <c r="GV93" s="1" t="n">
        <f aca="false">TF92</f>
        <v>0</v>
      </c>
      <c r="GW93" s="1" t="n">
        <f aca="false">GT93*MIN(Slot19_Cost,GV93)</f>
        <v>0</v>
      </c>
      <c r="GX93" s="1" t="n">
        <f aca="false">GT93*Slot19_SpendLike*MIN(Slot19_Cost-GW93,GP93)</f>
        <v>0</v>
      </c>
      <c r="GY93" s="1" t="n">
        <f aca="false">GW93+GX93</f>
        <v>0</v>
      </c>
      <c r="GZ93" s="1" t="n">
        <f aca="false">GP93-GX93+GT93*IF(Slot19_SpendLike=1,GV93-GW93,IF(Slot19_PotFree=1,GV93,0))</f>
        <v>1243251.72463149</v>
      </c>
      <c r="HA93" s="1" t="n">
        <f aca="false">GQ93+GT93*Slot19_BufPot*GV93</f>
        <v>0</v>
      </c>
      <c r="HB93" s="1" t="n">
        <f aca="false">IF(AND(GT93=1,Slot19_IsMfree=1),IF(GY93&gt;=Slot19_Cost-1,0,MAX(0,GR93-GY93)),GR93)</f>
        <v>0</v>
      </c>
      <c r="HC93" s="1" t="n">
        <f aca="false">GT93*(Slot19_Cost-GY93)</f>
        <v>0</v>
      </c>
      <c r="HD93" s="1" t="n">
        <f aca="false">IF(AND(Slot20_On=1,D93=Slot20_Age),1,0)</f>
        <v>0</v>
      </c>
      <c r="HE93" s="1" t="n">
        <f aca="false">IF(AND(Slot20_On=1,Slot20_Age&gt;D93),1,0)</f>
        <v>0</v>
      </c>
      <c r="HF93" s="1" t="n">
        <f aca="false">TJ92</f>
        <v>0</v>
      </c>
      <c r="HG93" s="1" t="n">
        <f aca="false">HD93*MIN(Slot20_Cost,HF93)</f>
        <v>0</v>
      </c>
      <c r="HH93" s="1" t="n">
        <f aca="false">HD93*Slot20_SpendLike*MIN(Slot20_Cost-HG93,GZ93)</f>
        <v>0</v>
      </c>
      <c r="HI93" s="1" t="n">
        <f aca="false">HG93+HH93</f>
        <v>0</v>
      </c>
      <c r="HJ93" s="1" t="n">
        <f aca="false">GZ93-HH93+HD93*IF(Slot20_SpendLike=1,HF93-HG93,IF(Slot20_PotFree=1,HF93,0))</f>
        <v>1243251.72463149</v>
      </c>
      <c r="HK93" s="1" t="n">
        <f aca="false">HA93+HD93*Slot20_BufPot*HF93</f>
        <v>0</v>
      </c>
      <c r="HL93" s="1" t="n">
        <f aca="false">IF(AND(HD93=1,Slot20_IsMfree=1),IF(HI93&gt;=Slot20_Cost-1,0,MAX(0,HB93-HI93)),HB93)</f>
        <v>0</v>
      </c>
      <c r="HM93" s="1" t="n">
        <f aca="false">HD93*(Slot20_Cost-HI93)</f>
        <v>0</v>
      </c>
      <c r="HN93" s="1" t="n">
        <f aca="false">U93*Slot1_SpendLike*Z93+AF93*Slot2_SpendLike*AK93+AP93*Slot3_SpendLike*AU93+AZ93*Slot4_SpendLike*BE93+BJ93*Slot5_SpendLike*BO93+BT93*Slot6_SpendLike*BY93+CD93*Slot7_SpendLike*CI93+CN93*Slot8_SpendLike*CS93+CX93*Slot9_SpendLike*DC93+DH93*Slot10_SpendLike*DM93+DR93*Slot11_SpendLike*DW93+EB93*Slot12_SpendLike*EG93+EL93*Slot13_SpendLike*EQ93+EV93*Slot14_SpendLike*FA93+FF93*Slot15_SpendLike*FK93+FP93*Slot16_SpendLike*FU93+FZ93*Slot17_SpendLike*GE93+GJ93*Slot18_SpendLike*GO93+GT93*Slot19_SpendLike*GY93+HD93*Slot20_SpendLike*HI93</f>
        <v>0</v>
      </c>
      <c r="HO93" s="1" t="n">
        <f aca="false">AD93+AO93+AY93+BI93+BS93+CC93+CM93+CW93+DG93+DQ93+EA93+EK93+EU93+FE93+FO93+FY93+GI93+GS93+HC93+HM93</f>
        <v>0</v>
      </c>
      <c r="HP93" s="1" t="n">
        <f aca="false">U93*Slot1_Cost+AF93*Slot2_Cost+AP93*Slot3_Cost+AZ93*Slot4_Cost+BJ93*Slot5_Cost+BT93*Slot6_Cost+CD93*Slot7_Cost+CN93*Slot8_Cost+CX93*Slot9_Cost+DH93*Slot10_Cost+DR93*Slot11_Cost+EB93*Slot12_Cost+EL93*Slot13_Cost+EV93*Slot14_Cost+FF93*Slot15_Cost+FP93*Slot16_Cost+FZ93*Slot17_Cost+GJ93*Slot18_Cost+GT93*Slot19_Cost+HD93*Slot20_Cost</f>
        <v>0</v>
      </c>
      <c r="HQ93" s="1" t="n">
        <f aca="false">HL93</f>
        <v>0</v>
      </c>
      <c r="HR93" s="1" t="n">
        <f aca="false">G93-H93-R93</f>
        <v>69820.6747023468</v>
      </c>
      <c r="HS93" s="1" t="n">
        <f aca="false">IF(B93=0,IF(AND(Has_q6=1,In_q6=4),PR_ShareVaries*(MAX(0,HR93)/12),MIN(IF(Has_q6=1,CHOOSE(In_q6+1,PR_SaveB1,PR_SaveB2,PR_SaveB3,PR_SaveB4,0),AS_NoAnswer),AS_SaveShare*(MAX(0,HR93)/12))),HS92)</f>
        <v>0</v>
      </c>
      <c r="HT93" s="1" t="n">
        <f aca="false">IF(HR93&gt;=0,1,0)</f>
        <v>1</v>
      </c>
      <c r="HU93" s="1" t="n">
        <f aca="false">MAX(0,HR93/12/E93)</f>
        <v>1080.90666666667</v>
      </c>
      <c r="HV93" s="1" t="n">
        <f aca="false">IF(AND(Has_q6=1,In_q6=4),PR_ShareVaries*(HU93),MIN(IF(Has_q6=1,CHOOSE(In_q6+1,PR_SaveB1,PR_SaveB2,PR_SaveB3,PR_SaveB4,0),AS_NoAnswer),AS_SaveShare*(HU93)))</f>
        <v>300</v>
      </c>
      <c r="HW93" s="1" t="n">
        <f aca="false">IF(Has_saveM=1,IF(In_saveUp="Yes",1,IF(In_saveUp="No",0,IF(In_saveM&gt;=HS93-0.5,1,0))),0)</f>
        <v>0</v>
      </c>
      <c r="HX93" s="1" t="n">
        <f aca="false">IF(Has_saveM=1,MIN(HU93,IF(HW93=1,MAX(In_saveM,HV93),MIN(In_saveM,HV93))),HV93)</f>
        <v>300</v>
      </c>
      <c r="HY93" s="1" t="n">
        <f aca="false">IF(F93=1,HX93*12*E93,0)</f>
        <v>0</v>
      </c>
      <c r="HZ93" s="1" t="n">
        <f aca="false">MAX(0,HY93+IF(AND(WI_Retire=0,WI_M&lt;0,F93=1),WI_M*12*E93,0))</f>
        <v>0</v>
      </c>
      <c r="IA93" s="1" t="n">
        <f aca="false">Slot1_IsWG*V93+Slot2_IsWG*AG93+Slot3_IsWG*AQ93+Slot4_IsWG*BA93+Slot5_IsWG*BK93+Slot6_IsWG*BU93+Slot7_IsWG*CE93+Slot8_IsWG*CO93+Slot9_IsWG*CY93+Slot10_IsWG*DI93+Slot11_IsWG*DS93+Slot12_IsWG*EC93+Slot13_IsWG*EM93+Slot14_IsWG*EW93+Slot15_IsWG*FG93+Slot16_IsWG*FQ93+Slot17_IsWG*GA93+Slot18_IsWG*GK93+Slot19_IsWG*GU93+Slot20_IsWG*HE93</f>
        <v>0</v>
      </c>
      <c r="IB93" s="1" t="n">
        <f aca="false">IF(AND(WI_Retire=0,WI_M&gt;0,F93=1,IA93&gt;=1),WI_M*12*E93,0)</f>
        <v>0</v>
      </c>
      <c r="IC93" s="1" t="n">
        <f aca="false">IF(HT93=1,MIN(HZ93,HR93),0)</f>
        <v>0</v>
      </c>
      <c r="ID93" s="1" t="n">
        <f aca="false">IF(HT93=1,MIN(IB93,HR93-IC93),0)</f>
        <v>0</v>
      </c>
      <c r="IE93" s="1" t="n">
        <f aca="false">IF(V93=1,IF(ABS((1+AS_Wage)/(1+Slot1_Rate)-1)&lt;0.000000000001,(Slot1_Age-D93)*(1+Slot1_Rate)^(Slot1_Age-D93),(1+Slot1_Rate)^(Slot1_Age-D93)*(1-((1+AS_Wage)/(1+Slot1_Rate))^(Slot1_Age-D93))/(1-(1+AS_Wage)/(1+Slot1_Rate))),1)</f>
        <v>1</v>
      </c>
      <c r="IF93" s="1" t="n">
        <f aca="false">IF(AND(HT93=1,ID93&gt;0,Slot1_IsWG=1,V93=1),MAX(0,(Slot1_Cost-W93*(1+Slot1_Rate)^(Slot1_Age-D93))/IE93),0)</f>
        <v>0</v>
      </c>
      <c r="IG93" s="1" t="n">
        <f aca="false">IF(AND(HT93=1,ID93&gt;0,Slot1_IsWG=1,V93=1),MIN(ID93,IF93),0)</f>
        <v>0</v>
      </c>
      <c r="IH93" s="1" t="n">
        <f aca="false">W93+IG93</f>
        <v>0</v>
      </c>
      <c r="II93" s="1" t="n">
        <f aca="false">IF(V93=1,MAX(0,(Slot1_Cost-IH93*(1+Slot1_Rate)^(Slot1_Age-D93))/IE93),0)</f>
        <v>0</v>
      </c>
      <c r="IJ93" s="1" t="n">
        <f aca="false">IF(V93=1,MAX(0,(Slot1_Cost-W93*(1+Slot1_Rate)^(Slot1_Age-D93))/IE93),0)</f>
        <v>0</v>
      </c>
      <c r="IK93" s="1" t="n">
        <f aca="false">IF(AND(HT93=1,V93=1),MIN(IC93,II93),0)</f>
        <v>0</v>
      </c>
      <c r="IL93" s="1" t="n">
        <f aca="false">IC93-IK93</f>
        <v>0</v>
      </c>
      <c r="IM93" s="1" t="n">
        <f aca="false">IF(AG93=1,IF(ABS((1+AS_Wage)/(1+Slot2_Rate)-1)&lt;0.000000000001,(Slot2_Age-D93)*(1+Slot2_Rate)^(Slot2_Age-D93),(1+Slot2_Rate)^(Slot2_Age-D93)*(1-((1+AS_Wage)/(1+Slot2_Rate))^(Slot2_Age-D93))/(1-(1+AS_Wage)/(1+Slot2_Rate))),1)</f>
        <v>1</v>
      </c>
      <c r="IN93" s="1" t="n">
        <f aca="false">IF(AND(HT93=1,ID93&gt;0,Slot2_IsWG=1,AG93=1),MAX(0,(Slot2_Cost-AH93*(1+Slot2_Rate)^(Slot2_Age-D93))/IM93),0)</f>
        <v>0</v>
      </c>
      <c r="IO93" s="1" t="n">
        <f aca="false">IF(AND(HT93=1,ID93&gt;0,Slot2_IsWG=1,AG93=1),MIN(ID93,IN93),0)</f>
        <v>0</v>
      </c>
      <c r="IP93" s="1" t="n">
        <f aca="false">AH93+IO93</f>
        <v>0</v>
      </c>
      <c r="IQ93" s="1" t="n">
        <f aca="false">IF(AG93=1,MAX(0,(Slot2_Cost-IP93*(1+Slot2_Rate)^(Slot2_Age-D93))/IM93),0)</f>
        <v>0</v>
      </c>
      <c r="IR93" s="1" t="n">
        <f aca="false">IF(AG93=1,MAX(0,(Slot2_Cost-AH93*(1+Slot2_Rate)^(Slot2_Age-D93))/IM93),0)</f>
        <v>0</v>
      </c>
      <c r="IS93" s="1" t="n">
        <f aca="false">IF(AND(HT93=1,AG93=1),MIN(IL93,IQ93),0)</f>
        <v>0</v>
      </c>
      <c r="IT93" s="1" t="n">
        <f aca="false">IL93-IS93</f>
        <v>0</v>
      </c>
      <c r="IU93" s="1" t="n">
        <f aca="false">IF(AQ93=1,IF(ABS((1+AS_Wage)/(1+Slot3_Rate)-1)&lt;0.000000000001,(Slot3_Age-D93)*(1+Slot3_Rate)^(Slot3_Age-D93),(1+Slot3_Rate)^(Slot3_Age-D93)*(1-((1+AS_Wage)/(1+Slot3_Rate))^(Slot3_Age-D93))/(1-(1+AS_Wage)/(1+Slot3_Rate))),1)</f>
        <v>1</v>
      </c>
      <c r="IV93" s="1" t="n">
        <f aca="false">IF(AND(HT93=1,ID93&gt;0,Slot3_IsWG=1,AQ93=1),MAX(0,(Slot3_Cost-AR93*(1+Slot3_Rate)^(Slot3_Age-D93))/IU93),0)</f>
        <v>0</v>
      </c>
      <c r="IW93" s="1" t="n">
        <f aca="false">IF(AND(HT93=1,ID93&gt;0,Slot3_IsWG=1,AQ93=1),MIN(ID93,IV93),0)</f>
        <v>0</v>
      </c>
      <c r="IX93" s="1" t="n">
        <f aca="false">AR93+IW93</f>
        <v>0</v>
      </c>
      <c r="IY93" s="1" t="n">
        <f aca="false">IF(AQ93=1,MAX(0,(Slot3_Cost-IX93*(1+Slot3_Rate)^(Slot3_Age-D93))/IU93),0)</f>
        <v>0</v>
      </c>
      <c r="IZ93" s="1" t="n">
        <f aca="false">IF(AQ93=1,MAX(0,(Slot3_Cost-AR93*(1+Slot3_Rate)^(Slot3_Age-D93))/IU93),0)</f>
        <v>0</v>
      </c>
      <c r="JA93" s="1" t="n">
        <f aca="false">IF(AND(HT93=1,AQ93=1),MIN(IT93,IY93),0)</f>
        <v>0</v>
      </c>
      <c r="JB93" s="1" t="n">
        <f aca="false">IT93-JA93</f>
        <v>0</v>
      </c>
      <c r="JC93" s="1" t="n">
        <f aca="false">IF(BA93=1,IF(ABS((1+AS_Wage)/(1+Slot4_Rate)-1)&lt;0.000000000001,(Slot4_Age-D93)*(1+Slot4_Rate)^(Slot4_Age-D93),(1+Slot4_Rate)^(Slot4_Age-D93)*(1-((1+AS_Wage)/(1+Slot4_Rate))^(Slot4_Age-D93))/(1-(1+AS_Wage)/(1+Slot4_Rate))),1)</f>
        <v>1</v>
      </c>
      <c r="JD93" s="1" t="n">
        <f aca="false">IF(AND(HT93=1,ID93&gt;0,Slot4_IsWG=1,BA93=1),MAX(0,(Slot4_Cost-BB93*(1+Slot4_Rate)^(Slot4_Age-D93))/JC93),0)</f>
        <v>0</v>
      </c>
      <c r="JE93" s="1" t="n">
        <f aca="false">IF(AND(HT93=1,ID93&gt;0,Slot4_IsWG=1,BA93=1),MIN(ID93,JD93),0)</f>
        <v>0</v>
      </c>
      <c r="JF93" s="1" t="n">
        <f aca="false">BB93+JE93</f>
        <v>0</v>
      </c>
      <c r="JG93" s="1" t="n">
        <f aca="false">IF(BA93=1,MAX(0,(Slot4_Cost-JF93*(1+Slot4_Rate)^(Slot4_Age-D93))/JC93),0)</f>
        <v>0</v>
      </c>
      <c r="JH93" s="1" t="n">
        <f aca="false">IF(BA93=1,MAX(0,(Slot4_Cost-BB93*(1+Slot4_Rate)^(Slot4_Age-D93))/JC93),0)</f>
        <v>0</v>
      </c>
      <c r="JI93" s="1" t="n">
        <f aca="false">IF(AND(HT93=1,BA93=1),MIN(JB93,JG93),0)</f>
        <v>0</v>
      </c>
      <c r="JJ93" s="1" t="n">
        <f aca="false">JB93-JI93</f>
        <v>0</v>
      </c>
      <c r="JK93" s="1" t="n">
        <f aca="false">IF(BK93=1,IF(ABS((1+AS_Wage)/(1+Slot5_Rate)-1)&lt;0.000000000001,(Slot5_Age-D93)*(1+Slot5_Rate)^(Slot5_Age-D93),(1+Slot5_Rate)^(Slot5_Age-D93)*(1-((1+AS_Wage)/(1+Slot5_Rate))^(Slot5_Age-D93))/(1-(1+AS_Wage)/(1+Slot5_Rate))),1)</f>
        <v>1</v>
      </c>
      <c r="JL93" s="1" t="n">
        <f aca="false">IF(AND(HT93=1,ID93&gt;0,Slot5_IsWG=1,BK93=1),MAX(0,(Slot5_Cost-BL93*(1+Slot5_Rate)^(Slot5_Age-D93))/JK93),0)</f>
        <v>0</v>
      </c>
      <c r="JM93" s="1" t="n">
        <f aca="false">IF(AND(HT93=1,ID93&gt;0,Slot5_IsWG=1,BK93=1),MIN(ID93,JL93),0)</f>
        <v>0</v>
      </c>
      <c r="JN93" s="1" t="n">
        <f aca="false">BL93+JM93</f>
        <v>0</v>
      </c>
      <c r="JO93" s="1" t="n">
        <f aca="false">IF(BK93=1,MAX(0,(Slot5_Cost-JN93*(1+Slot5_Rate)^(Slot5_Age-D93))/JK93),0)</f>
        <v>0</v>
      </c>
      <c r="JP93" s="1" t="n">
        <f aca="false">IF(BK93=1,MAX(0,(Slot5_Cost-BL93*(1+Slot5_Rate)^(Slot5_Age-D93))/JK93),0)</f>
        <v>0</v>
      </c>
      <c r="JQ93" s="1" t="n">
        <f aca="false">IF(AND(HT93=1,BK93=1),MIN(JJ93,JO93),0)</f>
        <v>0</v>
      </c>
      <c r="JR93" s="1" t="n">
        <f aca="false">JJ93-JQ93</f>
        <v>0</v>
      </c>
      <c r="JS93" s="1" t="n">
        <f aca="false">IF(BU93=1,IF(ABS((1+AS_Wage)/(1+Slot6_Rate)-1)&lt;0.000000000001,(Slot6_Age-D93)*(1+Slot6_Rate)^(Slot6_Age-D93),(1+Slot6_Rate)^(Slot6_Age-D93)*(1-((1+AS_Wage)/(1+Slot6_Rate))^(Slot6_Age-D93))/(1-(1+AS_Wage)/(1+Slot6_Rate))),1)</f>
        <v>1</v>
      </c>
      <c r="JT93" s="1" t="n">
        <f aca="false">IF(AND(HT93=1,ID93&gt;0,Slot6_IsWG=1,BU93=1),MAX(0,(Slot6_Cost-BV93*(1+Slot6_Rate)^(Slot6_Age-D93))/JS93),0)</f>
        <v>0</v>
      </c>
      <c r="JU93" s="1" t="n">
        <f aca="false">IF(AND(HT93=1,ID93&gt;0,Slot6_IsWG=1,BU93=1),MIN(ID93,JT93),0)</f>
        <v>0</v>
      </c>
      <c r="JV93" s="1" t="n">
        <f aca="false">BV93+JU93</f>
        <v>0</v>
      </c>
      <c r="JW93" s="1" t="n">
        <f aca="false">IF(BU93=1,MAX(0,(Slot6_Cost-JV93*(1+Slot6_Rate)^(Slot6_Age-D93))/JS93),0)</f>
        <v>0</v>
      </c>
      <c r="JX93" s="1" t="n">
        <f aca="false">IF(BU93=1,MAX(0,(Slot6_Cost-BV93*(1+Slot6_Rate)^(Slot6_Age-D93))/JS93),0)</f>
        <v>0</v>
      </c>
      <c r="JY93" s="1" t="n">
        <f aca="false">IF(AND(HT93=1,BU93=1),MIN(JR93,JW93),0)</f>
        <v>0</v>
      </c>
      <c r="JZ93" s="1" t="n">
        <f aca="false">JR93-JY93</f>
        <v>0</v>
      </c>
      <c r="KA93" s="1" t="n">
        <f aca="false">IF(CE93=1,IF(ABS((1+AS_Wage)/(1+Slot7_Rate)-1)&lt;0.000000000001,(Slot7_Age-D93)*(1+Slot7_Rate)^(Slot7_Age-D93),(1+Slot7_Rate)^(Slot7_Age-D93)*(1-((1+AS_Wage)/(1+Slot7_Rate))^(Slot7_Age-D93))/(1-(1+AS_Wage)/(1+Slot7_Rate))),1)</f>
        <v>1</v>
      </c>
      <c r="KB93" s="1" t="n">
        <f aca="false">IF(AND(HT93=1,ID93&gt;0,Slot7_IsWG=1,CE93=1),MAX(0,(Slot7_Cost-CF93*(1+Slot7_Rate)^(Slot7_Age-D93))/KA93),0)</f>
        <v>0</v>
      </c>
      <c r="KC93" s="1" t="n">
        <f aca="false">IF(AND(HT93=1,ID93&gt;0,Slot7_IsWG=1,CE93=1),MIN(ID93,KB93),0)</f>
        <v>0</v>
      </c>
      <c r="KD93" s="1" t="n">
        <f aca="false">CF93+KC93</f>
        <v>0</v>
      </c>
      <c r="KE93" s="1" t="n">
        <f aca="false">IF(CE93=1,MAX(0,(Slot7_Cost-KD93*(1+Slot7_Rate)^(Slot7_Age-D93))/KA93),0)</f>
        <v>0</v>
      </c>
      <c r="KF93" s="1" t="n">
        <f aca="false">IF(CE93=1,MAX(0,(Slot7_Cost-CF93*(1+Slot7_Rate)^(Slot7_Age-D93))/KA93),0)</f>
        <v>0</v>
      </c>
      <c r="KG93" s="1" t="n">
        <f aca="false">IF(AND(HT93=1,CE93=1),MIN(JZ93,KE93),0)</f>
        <v>0</v>
      </c>
      <c r="KH93" s="1" t="n">
        <f aca="false">JZ93-KG93</f>
        <v>0</v>
      </c>
      <c r="KI93" s="1" t="n">
        <f aca="false">IF(CO93=1,IF(ABS((1+AS_Wage)/(1+Slot8_Rate)-1)&lt;0.000000000001,(Slot8_Age-D93)*(1+Slot8_Rate)^(Slot8_Age-D93),(1+Slot8_Rate)^(Slot8_Age-D93)*(1-((1+AS_Wage)/(1+Slot8_Rate))^(Slot8_Age-D93))/(1-(1+AS_Wage)/(1+Slot8_Rate))),1)</f>
        <v>1</v>
      </c>
      <c r="KJ93" s="1" t="n">
        <f aca="false">IF(AND(HT93=1,ID93&gt;0,Slot8_IsWG=1,CO93=1),MAX(0,(Slot8_Cost-CP93*(1+Slot8_Rate)^(Slot8_Age-D93))/KI93),0)</f>
        <v>0</v>
      </c>
      <c r="KK93" s="1" t="n">
        <f aca="false">IF(AND(HT93=1,ID93&gt;0,Slot8_IsWG=1,CO93=1),MIN(ID93,KJ93),0)</f>
        <v>0</v>
      </c>
      <c r="KL93" s="1" t="n">
        <f aca="false">CP93+KK93</f>
        <v>0</v>
      </c>
      <c r="KM93" s="1" t="n">
        <f aca="false">IF(CO93=1,MAX(0,(Slot8_Cost-KL93*(1+Slot8_Rate)^(Slot8_Age-D93))/KI93),0)</f>
        <v>0</v>
      </c>
      <c r="KN93" s="1" t="n">
        <f aca="false">IF(CO93=1,MAX(0,(Slot8_Cost-CP93*(1+Slot8_Rate)^(Slot8_Age-D93))/KI93),0)</f>
        <v>0</v>
      </c>
      <c r="KO93" s="1" t="n">
        <f aca="false">IF(AND(HT93=1,CO93=1),MIN(KH93,KM93),0)</f>
        <v>0</v>
      </c>
      <c r="KP93" s="1" t="n">
        <f aca="false">KH93-KO93</f>
        <v>0</v>
      </c>
      <c r="KQ93" s="1" t="n">
        <f aca="false">IF(CY93=1,IF(ABS((1+AS_Wage)/(1+Slot9_Rate)-1)&lt;0.000000000001,(Slot9_Age-D93)*(1+Slot9_Rate)^(Slot9_Age-D93),(1+Slot9_Rate)^(Slot9_Age-D93)*(1-((1+AS_Wage)/(1+Slot9_Rate))^(Slot9_Age-D93))/(1-(1+AS_Wage)/(1+Slot9_Rate))),1)</f>
        <v>1</v>
      </c>
      <c r="KR93" s="1" t="n">
        <f aca="false">IF(AND(HT93=1,ID93&gt;0,Slot9_IsWG=1,CY93=1),MAX(0,(Slot9_Cost-CZ93*(1+Slot9_Rate)^(Slot9_Age-D93))/KQ93),0)</f>
        <v>0</v>
      </c>
      <c r="KS93" s="1" t="n">
        <f aca="false">IF(AND(HT93=1,ID93&gt;0,Slot9_IsWG=1,CY93=1),MIN(ID93,KR93),0)</f>
        <v>0</v>
      </c>
      <c r="KT93" s="1" t="n">
        <f aca="false">CZ93+KS93</f>
        <v>0</v>
      </c>
      <c r="KU93" s="1" t="n">
        <f aca="false">IF(CY93=1,MAX(0,(Slot9_Cost-KT93*(1+Slot9_Rate)^(Slot9_Age-D93))/KQ93),0)</f>
        <v>0</v>
      </c>
      <c r="KV93" s="1" t="n">
        <f aca="false">IF(CY93=1,MAX(0,(Slot9_Cost-CZ93*(1+Slot9_Rate)^(Slot9_Age-D93))/KQ93),0)</f>
        <v>0</v>
      </c>
      <c r="KW93" s="1" t="n">
        <f aca="false">IF(AND(HT93=1,CY93=1),MIN(KP93,KU93),0)</f>
        <v>0</v>
      </c>
      <c r="KX93" s="1" t="n">
        <f aca="false">KP93-KW93</f>
        <v>0</v>
      </c>
      <c r="KY93" s="1" t="n">
        <f aca="false">IF(DI93=1,IF(ABS((1+AS_Wage)/(1+Slot10_Rate)-1)&lt;0.000000000001,(Slot10_Age-D93)*(1+Slot10_Rate)^(Slot10_Age-D93),(1+Slot10_Rate)^(Slot10_Age-D93)*(1-((1+AS_Wage)/(1+Slot10_Rate))^(Slot10_Age-D93))/(1-(1+AS_Wage)/(1+Slot10_Rate))),1)</f>
        <v>1</v>
      </c>
      <c r="KZ93" s="1" t="n">
        <f aca="false">IF(AND(HT93=1,ID93&gt;0,Slot10_IsWG=1,DI93=1),MAX(0,(Slot10_Cost-DJ93*(1+Slot10_Rate)^(Slot10_Age-D93))/KY93),0)</f>
        <v>0</v>
      </c>
      <c r="LA93" s="1" t="n">
        <f aca="false">IF(AND(HT93=1,ID93&gt;0,Slot10_IsWG=1,DI93=1),MIN(ID93,KZ93),0)</f>
        <v>0</v>
      </c>
      <c r="LB93" s="1" t="n">
        <f aca="false">DJ93+LA93</f>
        <v>0</v>
      </c>
      <c r="LC93" s="1" t="n">
        <f aca="false">IF(DI93=1,MAX(0,(Slot10_Cost-LB93*(1+Slot10_Rate)^(Slot10_Age-D93))/KY93),0)</f>
        <v>0</v>
      </c>
      <c r="LD93" s="1" t="n">
        <f aca="false">IF(DI93=1,MAX(0,(Slot10_Cost-DJ93*(1+Slot10_Rate)^(Slot10_Age-D93))/KY93),0)</f>
        <v>0</v>
      </c>
      <c r="LE93" s="1" t="n">
        <f aca="false">IF(AND(HT93=1,DI93=1),MIN(KX93,LC93),0)</f>
        <v>0</v>
      </c>
      <c r="LF93" s="1" t="n">
        <f aca="false">KX93-LE93</f>
        <v>0</v>
      </c>
      <c r="LG93" s="1" t="n">
        <f aca="false">IF(DS93=1,IF(ABS((1+AS_Wage)/(1+Slot11_Rate)-1)&lt;0.000000000001,(Slot11_Age-D93)*(1+Slot11_Rate)^(Slot11_Age-D93),(1+Slot11_Rate)^(Slot11_Age-D93)*(1-((1+AS_Wage)/(1+Slot11_Rate))^(Slot11_Age-D93))/(1-(1+AS_Wage)/(1+Slot11_Rate))),1)</f>
        <v>1</v>
      </c>
      <c r="LH93" s="1" t="n">
        <f aca="false">IF(AND(HT93=1,ID93&gt;0,Slot11_IsWG=1,DS93=1),MAX(0,(Slot11_Cost-DT93*(1+Slot11_Rate)^(Slot11_Age-D93))/LG93),0)</f>
        <v>0</v>
      </c>
      <c r="LI93" s="1" t="n">
        <f aca="false">IF(AND(HT93=1,ID93&gt;0,Slot11_IsWG=1,DS93=1),MIN(ID93,LH93),0)</f>
        <v>0</v>
      </c>
      <c r="LJ93" s="1" t="n">
        <f aca="false">DT93+LI93</f>
        <v>0</v>
      </c>
      <c r="LK93" s="1" t="n">
        <f aca="false">IF(DS93=1,MAX(0,(Slot11_Cost-LJ93*(1+Slot11_Rate)^(Slot11_Age-D93))/LG93),0)</f>
        <v>0</v>
      </c>
      <c r="LL93" s="1" t="n">
        <f aca="false">IF(DS93=1,MAX(0,(Slot11_Cost-DT93*(1+Slot11_Rate)^(Slot11_Age-D93))/LG93),0)</f>
        <v>0</v>
      </c>
      <c r="LM93" s="1" t="n">
        <f aca="false">IF(AND(HT93=1,DS93=1),MIN(LF93,LK93),0)</f>
        <v>0</v>
      </c>
      <c r="LN93" s="1" t="n">
        <f aca="false">LF93-LM93</f>
        <v>0</v>
      </c>
      <c r="LO93" s="1" t="n">
        <f aca="false">IF(EC93=1,IF(ABS((1+AS_Wage)/(1+Slot12_Rate)-1)&lt;0.000000000001,(Slot12_Age-D93)*(1+Slot12_Rate)^(Slot12_Age-D93),(1+Slot12_Rate)^(Slot12_Age-D93)*(1-((1+AS_Wage)/(1+Slot12_Rate))^(Slot12_Age-D93))/(1-(1+AS_Wage)/(1+Slot12_Rate))),1)</f>
        <v>1</v>
      </c>
      <c r="LP93" s="1" t="n">
        <f aca="false">IF(AND(HT93=1,ID93&gt;0,Slot12_IsWG=1,EC93=1),MAX(0,(Slot12_Cost-ED93*(1+Slot12_Rate)^(Slot12_Age-D93))/LO93),0)</f>
        <v>0</v>
      </c>
      <c r="LQ93" s="1" t="n">
        <f aca="false">IF(AND(HT93=1,ID93&gt;0,Slot12_IsWG=1,EC93=1),MIN(ID93,LP93),0)</f>
        <v>0</v>
      </c>
      <c r="LR93" s="1" t="n">
        <f aca="false">ED93+LQ93</f>
        <v>0</v>
      </c>
      <c r="LS93" s="1" t="n">
        <f aca="false">IF(EC93=1,MAX(0,(Slot12_Cost-LR93*(1+Slot12_Rate)^(Slot12_Age-D93))/LO93),0)</f>
        <v>0</v>
      </c>
      <c r="LT93" s="1" t="n">
        <f aca="false">IF(EC93=1,MAX(0,(Slot12_Cost-ED93*(1+Slot12_Rate)^(Slot12_Age-D93))/LO93),0)</f>
        <v>0</v>
      </c>
      <c r="LU93" s="1" t="n">
        <f aca="false">IF(AND(HT93=1,EC93=1),MIN(LN93,LS93),0)</f>
        <v>0</v>
      </c>
      <c r="LV93" s="1" t="n">
        <f aca="false">LN93-LU93</f>
        <v>0</v>
      </c>
      <c r="LW93" s="1" t="n">
        <f aca="false">IF(EM93=1,IF(ABS((1+AS_Wage)/(1+Slot13_Rate)-1)&lt;0.000000000001,(Slot13_Age-D93)*(1+Slot13_Rate)^(Slot13_Age-D93),(1+Slot13_Rate)^(Slot13_Age-D93)*(1-((1+AS_Wage)/(1+Slot13_Rate))^(Slot13_Age-D93))/(1-(1+AS_Wage)/(1+Slot13_Rate))),1)</f>
        <v>1</v>
      </c>
      <c r="LX93" s="1" t="n">
        <f aca="false">IF(AND(HT93=1,ID93&gt;0,Slot13_IsWG=1,EM93=1),MAX(0,(Slot13_Cost-EN93*(1+Slot13_Rate)^(Slot13_Age-D93))/LW93),0)</f>
        <v>0</v>
      </c>
      <c r="LY93" s="1" t="n">
        <f aca="false">IF(AND(HT93=1,ID93&gt;0,Slot13_IsWG=1,EM93=1),MIN(ID93,LX93),0)</f>
        <v>0</v>
      </c>
      <c r="LZ93" s="1" t="n">
        <f aca="false">EN93+LY93</f>
        <v>0</v>
      </c>
      <c r="MA93" s="1" t="n">
        <f aca="false">IF(EM93=1,MAX(0,(Slot13_Cost-LZ93*(1+Slot13_Rate)^(Slot13_Age-D93))/LW93),0)</f>
        <v>0</v>
      </c>
      <c r="MB93" s="1" t="n">
        <f aca="false">IF(EM93=1,MAX(0,(Slot13_Cost-EN93*(1+Slot13_Rate)^(Slot13_Age-D93))/LW93),0)</f>
        <v>0</v>
      </c>
      <c r="MC93" s="1" t="n">
        <f aca="false">IF(AND(HT93=1,EM93=1),MIN(LV93,MA93),0)</f>
        <v>0</v>
      </c>
      <c r="MD93" s="1" t="n">
        <f aca="false">LV93-MC93</f>
        <v>0</v>
      </c>
      <c r="ME93" s="1" t="n">
        <f aca="false">IF(EW93=1,IF(ABS((1+AS_Wage)/(1+Slot14_Rate)-1)&lt;0.000000000001,(Slot14_Age-D93)*(1+Slot14_Rate)^(Slot14_Age-D93),(1+Slot14_Rate)^(Slot14_Age-D93)*(1-((1+AS_Wage)/(1+Slot14_Rate))^(Slot14_Age-D93))/(1-(1+AS_Wage)/(1+Slot14_Rate))),1)</f>
        <v>1</v>
      </c>
      <c r="MF93" s="1" t="n">
        <f aca="false">IF(AND(HT93=1,ID93&gt;0,Slot14_IsWG=1,EW93=1),MAX(0,(Slot14_Cost-EX93*(1+Slot14_Rate)^(Slot14_Age-D93))/ME93),0)</f>
        <v>0</v>
      </c>
      <c r="MG93" s="1" t="n">
        <f aca="false">IF(AND(HT93=1,ID93&gt;0,Slot14_IsWG=1,EW93=1),MIN(ID93,MF93),0)</f>
        <v>0</v>
      </c>
      <c r="MH93" s="1" t="n">
        <f aca="false">EX93+MG93</f>
        <v>0</v>
      </c>
      <c r="MI93" s="1" t="n">
        <f aca="false">IF(EW93=1,MAX(0,(Slot14_Cost-MH93*(1+Slot14_Rate)^(Slot14_Age-D93))/ME93),0)</f>
        <v>0</v>
      </c>
      <c r="MJ93" s="1" t="n">
        <f aca="false">IF(EW93=1,MAX(0,(Slot14_Cost-EX93*(1+Slot14_Rate)^(Slot14_Age-D93))/ME93),0)</f>
        <v>0</v>
      </c>
      <c r="MK93" s="1" t="n">
        <f aca="false">IF(AND(HT93=1,EW93=1),MIN(MD93,MI93),0)</f>
        <v>0</v>
      </c>
      <c r="ML93" s="1" t="n">
        <f aca="false">MD93-MK93</f>
        <v>0</v>
      </c>
      <c r="MM93" s="1" t="n">
        <f aca="false">IF(FG93=1,IF(ABS((1+AS_Wage)/(1+Slot15_Rate)-1)&lt;0.000000000001,(Slot15_Age-D93)*(1+Slot15_Rate)^(Slot15_Age-D93),(1+Slot15_Rate)^(Slot15_Age-D93)*(1-((1+AS_Wage)/(1+Slot15_Rate))^(Slot15_Age-D93))/(1-(1+AS_Wage)/(1+Slot15_Rate))),1)</f>
        <v>1</v>
      </c>
      <c r="MN93" s="1" t="n">
        <f aca="false">IF(AND(HT93=1,ID93&gt;0,Slot15_IsWG=1,FG93=1),MAX(0,(Slot15_Cost-FH93*(1+Slot15_Rate)^(Slot15_Age-D93))/MM93),0)</f>
        <v>0</v>
      </c>
      <c r="MO93" s="1" t="n">
        <f aca="false">IF(AND(HT93=1,ID93&gt;0,Slot15_IsWG=1,FG93=1),MIN(ID93,MN93),0)</f>
        <v>0</v>
      </c>
      <c r="MP93" s="1" t="n">
        <f aca="false">FH93+MO93</f>
        <v>0</v>
      </c>
      <c r="MQ93" s="1" t="n">
        <f aca="false">IF(FG93=1,MAX(0,(Slot15_Cost-MP93*(1+Slot15_Rate)^(Slot15_Age-D93))/MM93),0)</f>
        <v>0</v>
      </c>
      <c r="MR93" s="1" t="n">
        <f aca="false">IF(FG93=1,MAX(0,(Slot15_Cost-FH93*(1+Slot15_Rate)^(Slot15_Age-D93))/MM93),0)</f>
        <v>0</v>
      </c>
      <c r="MS93" s="1" t="n">
        <f aca="false">IF(AND(HT93=1,FG93=1),MIN(ML93,MQ93),0)</f>
        <v>0</v>
      </c>
      <c r="MT93" s="1" t="n">
        <f aca="false">ML93-MS93</f>
        <v>0</v>
      </c>
      <c r="MU93" s="1" t="n">
        <f aca="false">IF(FQ93=1,IF(ABS((1+AS_Wage)/(1+Slot16_Rate)-1)&lt;0.000000000001,(Slot16_Age-D93)*(1+Slot16_Rate)^(Slot16_Age-D93),(1+Slot16_Rate)^(Slot16_Age-D93)*(1-((1+AS_Wage)/(1+Slot16_Rate))^(Slot16_Age-D93))/(1-(1+AS_Wage)/(1+Slot16_Rate))),1)</f>
        <v>1</v>
      </c>
      <c r="MV93" s="1" t="n">
        <f aca="false">IF(AND(HT93=1,ID93&gt;0,Slot16_IsWG=1,FQ93=1),MAX(0,(Slot16_Cost-FR93*(1+Slot16_Rate)^(Slot16_Age-D93))/MU93),0)</f>
        <v>0</v>
      </c>
      <c r="MW93" s="1" t="n">
        <f aca="false">IF(AND(HT93=1,ID93&gt;0,Slot16_IsWG=1,FQ93=1),MIN(ID93,MV93),0)</f>
        <v>0</v>
      </c>
      <c r="MX93" s="1" t="n">
        <f aca="false">FR93+MW93</f>
        <v>0</v>
      </c>
      <c r="MY93" s="1" t="n">
        <f aca="false">IF(FQ93=1,MAX(0,(Slot16_Cost-MX93*(1+Slot16_Rate)^(Slot16_Age-D93))/MU93),0)</f>
        <v>0</v>
      </c>
      <c r="MZ93" s="1" t="n">
        <f aca="false">IF(FQ93=1,MAX(0,(Slot16_Cost-FR93*(1+Slot16_Rate)^(Slot16_Age-D93))/MU93),0)</f>
        <v>0</v>
      </c>
      <c r="NA93" s="1" t="n">
        <f aca="false">IF(AND(HT93=1,FQ93=1),MIN(MT93,MY93),0)</f>
        <v>0</v>
      </c>
      <c r="NB93" s="1" t="n">
        <f aca="false">MT93-NA93</f>
        <v>0</v>
      </c>
      <c r="NC93" s="1" t="n">
        <f aca="false">IF(GA93=1,IF(ABS((1+AS_Wage)/(1+Slot17_Rate)-1)&lt;0.000000000001,(Slot17_Age-D93)*(1+Slot17_Rate)^(Slot17_Age-D93),(1+Slot17_Rate)^(Slot17_Age-D93)*(1-((1+AS_Wage)/(1+Slot17_Rate))^(Slot17_Age-D93))/(1-(1+AS_Wage)/(1+Slot17_Rate))),1)</f>
        <v>1</v>
      </c>
      <c r="ND93" s="1" t="n">
        <f aca="false">IF(AND(HT93=1,ID93&gt;0,Slot17_IsWG=1,GA93=1),MAX(0,(Slot17_Cost-GB93*(1+Slot17_Rate)^(Slot17_Age-D93))/NC93),0)</f>
        <v>0</v>
      </c>
      <c r="NE93" s="1" t="n">
        <f aca="false">IF(AND(HT93=1,ID93&gt;0,Slot17_IsWG=1,GA93=1),MIN(ID93,ND93),0)</f>
        <v>0</v>
      </c>
      <c r="NF93" s="1" t="n">
        <f aca="false">GB93+NE93</f>
        <v>0</v>
      </c>
      <c r="NG93" s="1" t="n">
        <f aca="false">IF(GA93=1,MAX(0,(Slot17_Cost-NF93*(1+Slot17_Rate)^(Slot17_Age-D93))/NC93),0)</f>
        <v>0</v>
      </c>
      <c r="NH93" s="1" t="n">
        <f aca="false">IF(GA93=1,MAX(0,(Slot17_Cost-GB93*(1+Slot17_Rate)^(Slot17_Age-D93))/NC93),0)</f>
        <v>0</v>
      </c>
      <c r="NI93" s="1" t="n">
        <f aca="false">IF(AND(HT93=1,GA93=1),MIN(NB93,NG93),0)</f>
        <v>0</v>
      </c>
      <c r="NJ93" s="1" t="n">
        <f aca="false">NB93-NI93</f>
        <v>0</v>
      </c>
      <c r="NK93" s="1" t="n">
        <f aca="false">IF(GK93=1,IF(ABS((1+AS_Wage)/(1+Slot18_Rate)-1)&lt;0.000000000001,(Slot18_Age-D93)*(1+Slot18_Rate)^(Slot18_Age-D93),(1+Slot18_Rate)^(Slot18_Age-D93)*(1-((1+AS_Wage)/(1+Slot18_Rate))^(Slot18_Age-D93))/(1-(1+AS_Wage)/(1+Slot18_Rate))),1)</f>
        <v>1</v>
      </c>
      <c r="NL93" s="1" t="n">
        <f aca="false">IF(AND(HT93=1,ID93&gt;0,Slot18_IsWG=1,GK93=1),MAX(0,(Slot18_Cost-GL93*(1+Slot18_Rate)^(Slot18_Age-D93))/NK93),0)</f>
        <v>0</v>
      </c>
      <c r="NM93" s="1" t="n">
        <f aca="false">IF(AND(HT93=1,ID93&gt;0,Slot18_IsWG=1,GK93=1),MIN(ID93,NL93),0)</f>
        <v>0</v>
      </c>
      <c r="NN93" s="1" t="n">
        <f aca="false">GL93+NM93</f>
        <v>0</v>
      </c>
      <c r="NO93" s="1" t="n">
        <f aca="false">IF(GK93=1,MAX(0,(Slot18_Cost-NN93*(1+Slot18_Rate)^(Slot18_Age-D93))/NK93),0)</f>
        <v>0</v>
      </c>
      <c r="NP93" s="1" t="n">
        <f aca="false">IF(GK93=1,MAX(0,(Slot18_Cost-GL93*(1+Slot18_Rate)^(Slot18_Age-D93))/NK93),0)</f>
        <v>0</v>
      </c>
      <c r="NQ93" s="1" t="n">
        <f aca="false">IF(AND(HT93=1,GK93=1),MIN(NJ93,NO93),0)</f>
        <v>0</v>
      </c>
      <c r="NR93" s="1" t="n">
        <f aca="false">NJ93-NQ93</f>
        <v>0</v>
      </c>
      <c r="NS93" s="1" t="n">
        <f aca="false">IF(GU93=1,IF(ABS((1+AS_Wage)/(1+Slot19_Rate)-1)&lt;0.000000000001,(Slot19_Age-D93)*(1+Slot19_Rate)^(Slot19_Age-D93),(1+Slot19_Rate)^(Slot19_Age-D93)*(1-((1+AS_Wage)/(1+Slot19_Rate))^(Slot19_Age-D93))/(1-(1+AS_Wage)/(1+Slot19_Rate))),1)</f>
        <v>1</v>
      </c>
      <c r="NT93" s="1" t="n">
        <f aca="false">IF(AND(HT93=1,ID93&gt;0,Slot19_IsWG=1,GU93=1),MAX(0,(Slot19_Cost-GV93*(1+Slot19_Rate)^(Slot19_Age-D93))/NS93),0)</f>
        <v>0</v>
      </c>
      <c r="NU93" s="1" t="n">
        <f aca="false">IF(AND(HT93=1,ID93&gt;0,Slot19_IsWG=1,GU93=1),MIN(ID93,NT93),0)</f>
        <v>0</v>
      </c>
      <c r="NV93" s="1" t="n">
        <f aca="false">GV93+NU93</f>
        <v>0</v>
      </c>
      <c r="NW93" s="1" t="n">
        <f aca="false">IF(GU93=1,MAX(0,(Slot19_Cost-NV93*(1+Slot19_Rate)^(Slot19_Age-D93))/NS93),0)</f>
        <v>0</v>
      </c>
      <c r="NX93" s="1" t="n">
        <f aca="false">IF(GU93=1,MAX(0,(Slot19_Cost-GV93*(1+Slot19_Rate)^(Slot19_Age-D93))/NS93),0)</f>
        <v>0</v>
      </c>
      <c r="NY93" s="1" t="n">
        <f aca="false">IF(AND(HT93=1,GU93=1),MIN(NR93,NW93),0)</f>
        <v>0</v>
      </c>
      <c r="NZ93" s="1" t="n">
        <f aca="false">NR93-NY93</f>
        <v>0</v>
      </c>
      <c r="OA93" s="1" t="n">
        <f aca="false">IF(HE93=1,IF(ABS((1+AS_Wage)/(1+Slot20_Rate)-1)&lt;0.000000000001,(Slot20_Age-D93)*(1+Slot20_Rate)^(Slot20_Age-D93),(1+Slot20_Rate)^(Slot20_Age-D93)*(1-((1+AS_Wage)/(1+Slot20_Rate))^(Slot20_Age-D93))/(1-(1+AS_Wage)/(1+Slot20_Rate))),1)</f>
        <v>1</v>
      </c>
      <c r="OB93" s="1" t="n">
        <f aca="false">IF(AND(HT93=1,ID93&gt;0,Slot20_IsWG=1,HE93=1),MAX(0,(Slot20_Cost-HF93*(1+Slot20_Rate)^(Slot20_Age-D93))/OA93),0)</f>
        <v>0</v>
      </c>
      <c r="OC93" s="1" t="n">
        <f aca="false">IF(AND(HT93=1,ID93&gt;0,Slot20_IsWG=1,HE93=1),MIN(ID93,OB93),0)</f>
        <v>0</v>
      </c>
      <c r="OD93" s="1" t="n">
        <f aca="false">HF93+OC93</f>
        <v>0</v>
      </c>
      <c r="OE93" s="1" t="n">
        <f aca="false">IF(HE93=1,MAX(0,(Slot20_Cost-OD93*(1+Slot20_Rate)^(Slot20_Age-D93))/OA93),0)</f>
        <v>0</v>
      </c>
      <c r="OF93" s="1" t="n">
        <f aca="false">IF(HE93=1,MAX(0,(Slot20_Cost-HF93*(1+Slot20_Rate)^(Slot20_Age-D93))/OA93),0)</f>
        <v>0</v>
      </c>
      <c r="OG93" s="1" t="n">
        <f aca="false">IF(AND(HT93=1,HE93=1),MIN(NZ93,OE93),0)</f>
        <v>0</v>
      </c>
      <c r="OH93" s="1" t="n">
        <f aca="false">NZ93-OG93</f>
        <v>0</v>
      </c>
      <c r="OI93" s="1" t="n">
        <f aca="false">ID93-(IG93+IO93+IW93+JE93+JM93+JU93+KC93+KK93+KS93+LA93+LI93+LQ93+LY93+MG93+MO93+MW93+NE93+NM93+NU93+OC93)</f>
        <v>0</v>
      </c>
      <c r="OJ93" s="1" t="n">
        <f aca="false">IF(HT93=1,HR93-IC93-ID93,0)</f>
        <v>69820.6747023468</v>
      </c>
      <c r="OK93" s="1" t="n">
        <f aca="false">IF(HT93=0,-HR93,0)</f>
        <v>0</v>
      </c>
      <c r="OL93" s="1" t="n">
        <f aca="false">MIN(OK93,HJ93)</f>
        <v>0</v>
      </c>
      <c r="OM93" s="1" t="n">
        <f aca="false">OK93-OL93</f>
        <v>0</v>
      </c>
      <c r="ON93" s="1" t="n">
        <f aca="false">MIN(OM93,HK93)</f>
        <v>0</v>
      </c>
      <c r="OO93" s="1" t="n">
        <f aca="false">OM93-ON93</f>
        <v>0</v>
      </c>
      <c r="OP93" s="1" t="n">
        <f aca="false">IF(AND(HT93=0,HE93=1,OO93&gt;0),MIN(OO93,HF93),0)</f>
        <v>0</v>
      </c>
      <c r="OQ93" s="1" t="n">
        <f aca="false">OO93-OP93</f>
        <v>0</v>
      </c>
      <c r="OR93" s="1" t="n">
        <f aca="false">IF(AND(HT93=0,GU93=1,OQ93&gt;0),MIN(OQ93,GV93),0)</f>
        <v>0</v>
      </c>
      <c r="OS93" s="1" t="n">
        <f aca="false">OQ93-OR93</f>
        <v>0</v>
      </c>
      <c r="OT93" s="1" t="n">
        <f aca="false">IF(AND(HT93=0,GK93=1,OS93&gt;0),MIN(OS93,GL93),0)</f>
        <v>0</v>
      </c>
      <c r="OU93" s="1" t="n">
        <f aca="false">OS93-OT93</f>
        <v>0</v>
      </c>
      <c r="OV93" s="1" t="n">
        <f aca="false">IF(AND(HT93=0,GA93=1,OU93&gt;0),MIN(OU93,GB93),0)</f>
        <v>0</v>
      </c>
      <c r="OW93" s="1" t="n">
        <f aca="false">OU93-OV93</f>
        <v>0</v>
      </c>
      <c r="OX93" s="1" t="n">
        <f aca="false">IF(AND(HT93=0,FQ93=1,OW93&gt;0),MIN(OW93,FR93),0)</f>
        <v>0</v>
      </c>
      <c r="OY93" s="1" t="n">
        <f aca="false">OW93-OX93</f>
        <v>0</v>
      </c>
      <c r="OZ93" s="1" t="n">
        <f aca="false">IF(AND(HT93=0,FG93=1,OY93&gt;0),MIN(OY93,FH93),0)</f>
        <v>0</v>
      </c>
      <c r="PA93" s="1" t="n">
        <f aca="false">OY93-OZ93</f>
        <v>0</v>
      </c>
      <c r="PB93" s="1" t="n">
        <f aca="false">IF(AND(HT93=0,EW93=1,PA93&gt;0),MIN(PA93,EX93),0)</f>
        <v>0</v>
      </c>
      <c r="PC93" s="1" t="n">
        <f aca="false">PA93-PB93</f>
        <v>0</v>
      </c>
      <c r="PD93" s="1" t="n">
        <f aca="false">IF(AND(HT93=0,EM93=1,PC93&gt;0),MIN(PC93,EN93),0)</f>
        <v>0</v>
      </c>
      <c r="PE93" s="1" t="n">
        <f aca="false">PC93-PD93</f>
        <v>0</v>
      </c>
      <c r="PF93" s="1" t="n">
        <f aca="false">IF(AND(HT93=0,EC93=1,PE93&gt;0),MIN(PE93,ED93),0)</f>
        <v>0</v>
      </c>
      <c r="PG93" s="1" t="n">
        <f aca="false">PE93-PF93</f>
        <v>0</v>
      </c>
      <c r="PH93" s="1" t="n">
        <f aca="false">IF(AND(HT93=0,DS93=1,PG93&gt;0),MIN(PG93,DT93),0)</f>
        <v>0</v>
      </c>
      <c r="PI93" s="1" t="n">
        <f aca="false">PG93-PH93</f>
        <v>0</v>
      </c>
      <c r="PJ93" s="1" t="n">
        <f aca="false">IF(AND(HT93=0,DI93=1,PI93&gt;0),MIN(PI93,DJ93),0)</f>
        <v>0</v>
      </c>
      <c r="PK93" s="1" t="n">
        <f aca="false">PI93-PJ93</f>
        <v>0</v>
      </c>
      <c r="PL93" s="1" t="n">
        <f aca="false">IF(AND(HT93=0,CY93=1,PK93&gt;0),MIN(PK93,CZ93),0)</f>
        <v>0</v>
      </c>
      <c r="PM93" s="1" t="n">
        <f aca="false">PK93-PL93</f>
        <v>0</v>
      </c>
      <c r="PN93" s="1" t="n">
        <f aca="false">IF(AND(HT93=0,CO93=1,PM93&gt;0),MIN(PM93,CP93),0)</f>
        <v>0</v>
      </c>
      <c r="PO93" s="1" t="n">
        <f aca="false">PM93-PN93</f>
        <v>0</v>
      </c>
      <c r="PP93" s="1" t="n">
        <f aca="false">IF(AND(HT93=0,CE93=1,PO93&gt;0),MIN(PO93,CF93),0)</f>
        <v>0</v>
      </c>
      <c r="PQ93" s="1" t="n">
        <f aca="false">PO93-PP93</f>
        <v>0</v>
      </c>
      <c r="PR93" s="1" t="n">
        <f aca="false">IF(AND(HT93=0,BU93=1,PQ93&gt;0),MIN(PQ93,BV93),0)</f>
        <v>0</v>
      </c>
      <c r="PS93" s="1" t="n">
        <f aca="false">PQ93-PR93</f>
        <v>0</v>
      </c>
      <c r="PT93" s="1" t="n">
        <f aca="false">IF(AND(HT93=0,BK93=1,PS93&gt;0),MIN(PS93,BL93),0)</f>
        <v>0</v>
      </c>
      <c r="PU93" s="1" t="n">
        <f aca="false">PS93-PT93</f>
        <v>0</v>
      </c>
      <c r="PV93" s="1" t="n">
        <f aca="false">IF(AND(HT93=0,BA93=1,PU93&gt;0),MIN(PU93,BB93),0)</f>
        <v>0</v>
      </c>
      <c r="PW93" s="1" t="n">
        <f aca="false">PU93-PV93</f>
        <v>0</v>
      </c>
      <c r="PX93" s="1" t="n">
        <f aca="false">IF(AND(HT93=0,AQ93=1,PW93&gt;0),MIN(PW93,AR93),0)</f>
        <v>0</v>
      </c>
      <c r="PY93" s="1" t="n">
        <f aca="false">PW93-PX93</f>
        <v>0</v>
      </c>
      <c r="PZ93" s="1" t="n">
        <f aca="false">IF(AND(HT93=0,AG93=1,PY93&gt;0),MIN(PY93,AH93),0)</f>
        <v>0</v>
      </c>
      <c r="QA93" s="1" t="n">
        <f aca="false">PY93-PZ93</f>
        <v>0</v>
      </c>
      <c r="QB93" s="1" t="n">
        <f aca="false">IF(AND(HT93=0,V93=1,QA93&gt;0),MIN(QA93,W93),0)</f>
        <v>0</v>
      </c>
      <c r="QC93" s="1" t="n">
        <f aca="false">QA93-QB93</f>
        <v>0</v>
      </c>
      <c r="QD93" s="1" t="n">
        <f aca="false">IF(HT93=0,QC93,0)</f>
        <v>0</v>
      </c>
      <c r="QE93" s="1" t="n">
        <f aca="false">OL93+ON93+QB93+PZ93+PX93+PV93+PT93+PR93+PP93+PN93+PL93+PJ93+PH93+PF93+PD93+PB93+OZ93+OX93+OV93+OT93+OR93+OP93</f>
        <v>0</v>
      </c>
      <c r="QF93" s="1" t="n">
        <f aca="false">IF(HT93=1,HJ93+OI93+OH93+IF(F93=1,0,OJ93),HJ93-OL93)</f>
        <v>1313072.39933383</v>
      </c>
      <c r="QG93" s="1" t="n">
        <f aca="false">HK93-ON93</f>
        <v>0</v>
      </c>
      <c r="QH93" s="1" t="n">
        <f aca="false">IF(HT93=1,IF(F93=1,IC93+ID93,HR93),0)</f>
        <v>69820.6747023468</v>
      </c>
      <c r="QI93" s="1" t="n">
        <f aca="false">IF(HT93=1,IF(F93=1,HR93-IC93-ID93,0),0)</f>
        <v>0</v>
      </c>
      <c r="QJ93" s="1" t="n">
        <f aca="false">QF93*(1+GR)</f>
        <v>1334606.78668291</v>
      </c>
      <c r="QK93" s="1" t="n">
        <f aca="false">QG93*(1+AS_Cash)</f>
        <v>0</v>
      </c>
      <c r="QL93" s="1" t="n">
        <f aca="false">IF(V93=1,IF(HT93=1,IH93+IK93,W93-QB93)*(1+Slot1_Rate),0)</f>
        <v>0</v>
      </c>
      <c r="QM93" s="1" t="n">
        <f aca="false">IF(AND(HT93=1,V93=1),(IG93+IK93)/E93,0)</f>
        <v>0</v>
      </c>
      <c r="QN93" s="1" t="n">
        <f aca="false">IF(B93=0,IG93+IK93,0)</f>
        <v>0</v>
      </c>
      <c r="QO93" s="1" t="n">
        <f aca="false">IF(B93=0,IF(HT93=1,II93,IJ93),0)</f>
        <v>0</v>
      </c>
      <c r="QP93" s="1" t="n">
        <f aca="false">IF(AG93=1,IF(HT93=1,IP93+IS93,AH93-PZ93)*(1+Slot2_Rate),0)</f>
        <v>0</v>
      </c>
      <c r="QQ93" s="1" t="n">
        <f aca="false">IF(AND(HT93=1,AG93=1),(IO93+IS93)/E93,0)</f>
        <v>0</v>
      </c>
      <c r="QR93" s="1" t="n">
        <f aca="false">IF(B93=0,IO93+IS93,0)</f>
        <v>0</v>
      </c>
      <c r="QS93" s="1" t="n">
        <f aca="false">IF(B93=0,IF(HT93=1,IQ93,IR93),0)</f>
        <v>0</v>
      </c>
      <c r="QT93" s="1" t="n">
        <f aca="false">IF(AQ93=1,IF(HT93=1,IX93+JA93,AR93-PX93)*(1+Slot3_Rate),0)</f>
        <v>0</v>
      </c>
      <c r="QU93" s="1" t="n">
        <f aca="false">IF(AND(HT93=1,AQ93=1),(IW93+JA93)/E93,0)</f>
        <v>0</v>
      </c>
      <c r="QV93" s="1" t="n">
        <f aca="false">IF(B93=0,IW93+JA93,0)</f>
        <v>0</v>
      </c>
      <c r="QW93" s="1" t="n">
        <f aca="false">IF(B93=0,IF(HT93=1,IY93,IZ93),0)</f>
        <v>0</v>
      </c>
      <c r="QX93" s="1" t="n">
        <f aca="false">IF(BA93=1,IF(HT93=1,JF93+JI93,BB93-PV93)*(1+Slot4_Rate),0)</f>
        <v>0</v>
      </c>
      <c r="QY93" s="1" t="n">
        <f aca="false">IF(AND(HT93=1,BA93=1),(JE93+JI93)/E93,0)</f>
        <v>0</v>
      </c>
      <c r="QZ93" s="1" t="n">
        <f aca="false">IF(B93=0,JE93+JI93,0)</f>
        <v>0</v>
      </c>
      <c r="RA93" s="1" t="n">
        <f aca="false">IF(B93=0,IF(HT93=1,JG93,JH93),0)</f>
        <v>0</v>
      </c>
      <c r="RB93" s="1" t="n">
        <f aca="false">IF(BK93=1,IF(HT93=1,JN93+JQ93,BL93-PT93)*(1+Slot5_Rate),0)</f>
        <v>0</v>
      </c>
      <c r="RC93" s="1" t="n">
        <f aca="false">IF(AND(HT93=1,BK93=1),(JM93+JQ93)/E93,0)</f>
        <v>0</v>
      </c>
      <c r="RD93" s="1" t="n">
        <f aca="false">IF(B93=0,JM93+JQ93,0)</f>
        <v>0</v>
      </c>
      <c r="RE93" s="1" t="n">
        <f aca="false">IF(B93=0,IF(HT93=1,JO93,JP93),0)</f>
        <v>0</v>
      </c>
      <c r="RF93" s="1" t="n">
        <f aca="false">IF(BU93=1,IF(HT93=1,JV93+JY93,BV93-PR93)*(1+Slot6_Rate),0)</f>
        <v>0</v>
      </c>
      <c r="RG93" s="1" t="n">
        <f aca="false">IF(AND(HT93=1,BU93=1),(JU93+JY93)/E93,0)</f>
        <v>0</v>
      </c>
      <c r="RH93" s="1" t="n">
        <f aca="false">IF(B93=0,JU93+JY93,0)</f>
        <v>0</v>
      </c>
      <c r="RI93" s="1" t="n">
        <f aca="false">IF(B93=0,IF(HT93=1,JW93,JX93),0)</f>
        <v>0</v>
      </c>
      <c r="RJ93" s="1" t="n">
        <f aca="false">IF(CE93=1,IF(HT93=1,KD93+KG93,CF93-PP93)*(1+Slot7_Rate),0)</f>
        <v>0</v>
      </c>
      <c r="RK93" s="1" t="n">
        <f aca="false">IF(AND(HT93=1,CE93=1),(KC93+KG93)/E93,0)</f>
        <v>0</v>
      </c>
      <c r="RL93" s="1" t="n">
        <f aca="false">IF(B93=0,KC93+KG93,0)</f>
        <v>0</v>
      </c>
      <c r="RM93" s="1" t="n">
        <f aca="false">IF(B93=0,IF(HT93=1,KE93,KF93),0)</f>
        <v>0</v>
      </c>
      <c r="RN93" s="1" t="n">
        <f aca="false">IF(CO93=1,IF(HT93=1,KL93+KO93,CP93-PN93)*(1+Slot8_Rate),0)</f>
        <v>0</v>
      </c>
      <c r="RO93" s="1" t="n">
        <f aca="false">IF(AND(HT93=1,CO93=1),(KK93+KO93)/E93,0)</f>
        <v>0</v>
      </c>
      <c r="RP93" s="1" t="n">
        <f aca="false">IF(B93=0,KK93+KO93,0)</f>
        <v>0</v>
      </c>
      <c r="RQ93" s="1" t="n">
        <f aca="false">IF(B93=0,IF(HT93=1,KM93,KN93),0)</f>
        <v>0</v>
      </c>
      <c r="RR93" s="1" t="n">
        <f aca="false">IF(CY93=1,IF(HT93=1,KT93+KW93,CZ93-PL93)*(1+Slot9_Rate),0)</f>
        <v>0</v>
      </c>
      <c r="RS93" s="1" t="n">
        <f aca="false">IF(AND(HT93=1,CY93=1),(KS93+KW93)/E93,0)</f>
        <v>0</v>
      </c>
      <c r="RT93" s="1" t="n">
        <f aca="false">IF(B93=0,KS93+KW93,0)</f>
        <v>0</v>
      </c>
      <c r="RU93" s="1" t="n">
        <f aca="false">IF(B93=0,IF(HT93=1,KU93,KV93),0)</f>
        <v>0</v>
      </c>
      <c r="RV93" s="1" t="n">
        <f aca="false">IF(DI93=1,IF(HT93=1,LB93+LE93,DJ93-PJ93)*(1+Slot10_Rate),0)</f>
        <v>0</v>
      </c>
      <c r="RW93" s="1" t="n">
        <f aca="false">IF(AND(HT93=1,DI93=1),(LA93+LE93)/E93,0)</f>
        <v>0</v>
      </c>
      <c r="RX93" s="1" t="n">
        <f aca="false">IF(B93=0,LA93+LE93,0)</f>
        <v>0</v>
      </c>
      <c r="RY93" s="1" t="n">
        <f aca="false">IF(B93=0,IF(HT93=1,LC93,LD93),0)</f>
        <v>0</v>
      </c>
      <c r="RZ93" s="1" t="n">
        <f aca="false">IF(DS93=1,IF(HT93=1,LJ93+LM93,DT93-PH93)*(1+Slot11_Rate),0)</f>
        <v>0</v>
      </c>
      <c r="SA93" s="1" t="n">
        <f aca="false">IF(AND(HT93=1,DS93=1),(LI93+LM93)/E93,0)</f>
        <v>0</v>
      </c>
      <c r="SB93" s="1" t="n">
        <f aca="false">IF(B93=0,LI93+LM93,0)</f>
        <v>0</v>
      </c>
      <c r="SC93" s="1" t="n">
        <f aca="false">IF(B93=0,IF(HT93=1,LK93,LL93),0)</f>
        <v>0</v>
      </c>
      <c r="SD93" s="1" t="n">
        <f aca="false">IF(EC93=1,IF(HT93=1,LR93+LU93,ED93-PF93)*(1+Slot12_Rate),0)</f>
        <v>0</v>
      </c>
      <c r="SE93" s="1" t="n">
        <f aca="false">IF(AND(HT93=1,EC93=1),(LQ93+LU93)/E93,0)</f>
        <v>0</v>
      </c>
      <c r="SF93" s="1" t="n">
        <f aca="false">IF(B93=0,LQ93+LU93,0)</f>
        <v>0</v>
      </c>
      <c r="SG93" s="1" t="n">
        <f aca="false">IF(B93=0,IF(HT93=1,LS93,LT93),0)</f>
        <v>0</v>
      </c>
      <c r="SH93" s="1" t="n">
        <f aca="false">IF(EM93=1,IF(HT93=1,LZ93+MC93,EN93-PD93)*(1+Slot13_Rate),0)</f>
        <v>0</v>
      </c>
      <c r="SI93" s="1" t="n">
        <f aca="false">IF(AND(HT93=1,EM93=1),(LY93+MC93)/E93,0)</f>
        <v>0</v>
      </c>
      <c r="SJ93" s="1" t="n">
        <f aca="false">IF(B93=0,LY93+MC93,0)</f>
        <v>0</v>
      </c>
      <c r="SK93" s="1" t="n">
        <f aca="false">IF(B93=0,IF(HT93=1,MA93,MB93),0)</f>
        <v>0</v>
      </c>
      <c r="SL93" s="1" t="n">
        <f aca="false">IF(EW93=1,IF(HT93=1,MH93+MK93,EX93-PB93)*(1+Slot14_Rate),0)</f>
        <v>0</v>
      </c>
      <c r="SM93" s="1" t="n">
        <f aca="false">IF(AND(HT93=1,EW93=1),(MG93+MK93)/E93,0)</f>
        <v>0</v>
      </c>
      <c r="SN93" s="1" t="n">
        <f aca="false">IF(B93=0,MG93+MK93,0)</f>
        <v>0</v>
      </c>
      <c r="SO93" s="1" t="n">
        <f aca="false">IF(B93=0,IF(HT93=1,MI93,MJ93),0)</f>
        <v>0</v>
      </c>
      <c r="SP93" s="1" t="n">
        <f aca="false">IF(FG93=1,IF(HT93=1,MP93+MS93,FH93-OZ93)*(1+Slot15_Rate),0)</f>
        <v>0</v>
      </c>
      <c r="SQ93" s="1" t="n">
        <f aca="false">IF(AND(HT93=1,FG93=1),(MO93+MS93)/E93,0)</f>
        <v>0</v>
      </c>
      <c r="SR93" s="1" t="n">
        <f aca="false">IF(B93=0,MO93+MS93,0)</f>
        <v>0</v>
      </c>
      <c r="SS93" s="1" t="n">
        <f aca="false">IF(B93=0,IF(HT93=1,MQ93,MR93),0)</f>
        <v>0</v>
      </c>
      <c r="ST93" s="1" t="n">
        <f aca="false">IF(FQ93=1,IF(HT93=1,MX93+NA93,FR93-OX93)*(1+Slot16_Rate),0)</f>
        <v>0</v>
      </c>
      <c r="SU93" s="1" t="n">
        <f aca="false">IF(AND(HT93=1,FQ93=1),(MW93+NA93)/E93,0)</f>
        <v>0</v>
      </c>
      <c r="SV93" s="1" t="n">
        <f aca="false">IF(B93=0,MW93+NA93,0)</f>
        <v>0</v>
      </c>
      <c r="SW93" s="1" t="n">
        <f aca="false">IF(B93=0,IF(HT93=1,MY93,MZ93),0)</f>
        <v>0</v>
      </c>
      <c r="SX93" s="1" t="n">
        <f aca="false">IF(GA93=1,IF(HT93=1,NF93+NI93,GB93-OV93)*(1+Slot17_Rate),0)</f>
        <v>0</v>
      </c>
      <c r="SY93" s="1" t="n">
        <f aca="false">IF(AND(HT93=1,GA93=1),(NE93+NI93)/E93,0)</f>
        <v>0</v>
      </c>
      <c r="SZ93" s="1" t="n">
        <f aca="false">IF(B93=0,NE93+NI93,0)</f>
        <v>0</v>
      </c>
      <c r="TA93" s="1" t="n">
        <f aca="false">IF(B93=0,IF(HT93=1,NG93,NH93),0)</f>
        <v>0</v>
      </c>
      <c r="TB93" s="1" t="n">
        <f aca="false">IF(GK93=1,IF(HT93=1,NN93+NQ93,GL93-OT93)*(1+Slot18_Rate),0)</f>
        <v>0</v>
      </c>
      <c r="TC93" s="1" t="n">
        <f aca="false">IF(AND(HT93=1,GK93=1),(NM93+NQ93)/E93,0)</f>
        <v>0</v>
      </c>
      <c r="TD93" s="1" t="n">
        <f aca="false">IF(B93=0,NM93+NQ93,0)</f>
        <v>0</v>
      </c>
      <c r="TE93" s="1" t="n">
        <f aca="false">IF(B93=0,IF(HT93=1,NO93,NP93),0)</f>
        <v>0</v>
      </c>
      <c r="TF93" s="1" t="n">
        <f aca="false">IF(GU93=1,IF(HT93=1,NV93+NY93,GV93-OR93)*(1+Slot19_Rate),0)</f>
        <v>0</v>
      </c>
      <c r="TG93" s="1" t="n">
        <f aca="false">IF(AND(HT93=1,GU93=1),(NU93+NY93)/E93,0)</f>
        <v>0</v>
      </c>
      <c r="TH93" s="1" t="n">
        <f aca="false">IF(B93=0,NU93+NY93,0)</f>
        <v>0</v>
      </c>
      <c r="TI93" s="1" t="n">
        <f aca="false">IF(B93=0,IF(HT93=1,NW93,NX93),0)</f>
        <v>0</v>
      </c>
      <c r="TJ93" s="1" t="n">
        <f aca="false">IF(HE93=1,IF(HT93=1,OD93+OG93,HF93-OP93)*(1+Slot20_Rate),0)</f>
        <v>0</v>
      </c>
      <c r="TK93" s="1" t="n">
        <f aca="false">IF(AND(HT93=1,HE93=1),(OC93+OG93)/E93,0)</f>
        <v>0</v>
      </c>
      <c r="TL93" s="1" t="n">
        <f aca="false">IF(B93=0,OC93+OG93,0)</f>
        <v>0</v>
      </c>
      <c r="TM93" s="1" t="n">
        <f aca="false">IF(B93=0,IF(HT93=1,OE93,OF93),0)</f>
        <v>0</v>
      </c>
      <c r="TN93" s="1" t="n">
        <f aca="false">QJ93+QK93+QL93+QP93+QT93+QX93+RB93+RF93+RJ93+RN93+RR93+RV93+RZ93+SD93+SH93+SL93+SP93+ST93+SX93+TB93+TF93+TJ93</f>
        <v>1334606.78668291</v>
      </c>
      <c r="TO93" s="1" t="n">
        <f aca="false">QD93+HO93</f>
        <v>0</v>
      </c>
      <c r="TP93" s="1" t="n">
        <f aca="false">H93+R93</f>
        <v>0</v>
      </c>
      <c r="TQ93" s="1" t="n">
        <f aca="false">1-F93</f>
        <v>1</v>
      </c>
      <c r="TR93" s="1" t="n">
        <f aca="false">IF(AND(RG_Exists=1,F93=0,C93=1),H93,0)</f>
        <v>0</v>
      </c>
      <c r="TS93" s="1" t="n">
        <f aca="false">IF(AND(RG_Exists=1,F93=0,C93=1),H93-MIN(QD93,H93),0)</f>
        <v>0</v>
      </c>
      <c r="TT93" s="1" t="n">
        <f aca="false">'Plan pay &amp; tax'!AD319</f>
        <v>0</v>
      </c>
      <c r="TU93" s="1" t="n">
        <f aca="false">IF(AND(C93=1,QD93&gt;MAX(PR_Short1,TP93*PR_Short2)),1,0)</f>
        <v>0</v>
      </c>
      <c r="TV93" s="1" t="n">
        <f aca="false">MIN(G93,H93+R93)</f>
        <v>0</v>
      </c>
      <c r="TW93" s="1" t="n">
        <f aca="false">QE93+MAX(0,HP93-HO93)</f>
        <v>0</v>
      </c>
      <c r="TX93" s="1" t="n">
        <f aca="false">QD93+HO93</f>
        <v>0</v>
      </c>
      <c r="TY93" s="1" t="n">
        <f aca="false">IF(AND(C93=1,TX93&gt;PR_MinShort),1,0)</f>
        <v>0</v>
      </c>
      <c r="TZ93" s="1" t="n">
        <f aca="false">IF(AND(C93=1,TY93=0,TW93&gt;PR_MinShort),1,0)</f>
        <v>0</v>
      </c>
      <c r="UA93" s="1" t="n">
        <f aca="false">IF(AND(C93=1,QD93&gt;PR_MinShort),1,0)</f>
        <v>0</v>
      </c>
      <c r="UB93" s="1" t="n">
        <f aca="false">IF(AND(C93=1,QE93&gt;1,UI93=0),1,0)</f>
        <v>0</v>
      </c>
      <c r="UC93" s="1" t="str">
        <f aca="false">IF(C93=0,"",IF(UI93=1,"Gap to plan for: short "&amp;"€"&amp;TEXT(ROUND(TO93,0),"#,##0"),IF(QE93&gt;1,"Using savings","Comfortable")))</f>
        <v>Comfortable</v>
      </c>
      <c r="UD93" s="1" t="n">
        <f aca="false">IF(AND(INT(D93/10)*10=90,B93&gt;0),80,INT(D93/10)*10)</f>
        <v>80</v>
      </c>
      <c r="UE93" s="1" t="n">
        <f aca="false">IF(B93=0,1,IF(UD93&lt;&gt;UD92,UE92+1,UE92))</f>
        <v>9</v>
      </c>
      <c r="UF93" s="1" t="n">
        <f aca="false">IF(AND(C93=1,F93=1,QD93&gt;MAX(PR_Short1,TP93*PR_Short2)),1,0)</f>
        <v>0</v>
      </c>
      <c r="UG93" s="1" t="n">
        <f aca="false">TQ93*TU93</f>
        <v>0</v>
      </c>
      <c r="UH93" s="1" t="n">
        <f aca="false">IF(AND(U93=1,Slot1_PctLow=1),1,0)+IF(AND(AF93=1,Slot2_PctLow=1),1,0)+IF(AND(AP93=1,Slot3_PctLow=1),1,0)+IF(AND(AZ93=1,Slot4_PctLow=1),1,0)+IF(AND(BJ93=1,Slot5_PctLow=1),1,0)+IF(AND(BT93=1,Slot6_PctLow=1),1,0)+IF(AND(CD93=1,Slot7_PctLow=1),1,0)+IF(AND(CN93=1,Slot8_PctLow=1),1,0)+IF(AND(CX93=1,Slot9_PctLow=1),1,0)+IF(AND(DH93=1,Slot10_PctLow=1),1,0)+IF(AND(DR93=1,Slot11_PctLow=1),1,0)+IF(AND(EB93=1,Slot12_PctLow=1),1,0)+IF(AND(EL93=1,Slot13_PctLow=1),1,0)+IF(AND(EV93=1,Slot14_PctLow=1),1,0)+IF(AND(FF93=1,Slot15_PctLow=1),1,0)+IF(AND(FP93=1,Slot16_PctLow=1),1,0)+IF(AND(FZ93=1,Slot17_PctLow=1),1,0)+IF(AND(GJ93=1,Slot18_PctLow=1),1,0)+IF(AND(GT93=1,Slot19_PctLow=1),1,0)+IF(AND(HD93=1,Slot20_PctLow=1),1,0)</f>
        <v>0</v>
      </c>
      <c r="UI93" s="1" t="n">
        <f aca="false">IF(C93=1,IF(OR(TU93=1,UH93&gt;0),1,0),0)</f>
        <v>0</v>
      </c>
    </row>
    <row r="94" customFormat="false" ht="15" hidden="false" customHeight="true" outlineLevel="0" collapsed="false">
      <c r="B94" s="1" t="n">
        <v>86</v>
      </c>
      <c r="C94" s="1" t="n">
        <f aca="false">IF(B94&lt;=F_N,1,0)</f>
        <v>1</v>
      </c>
      <c r="D94" s="1" t="n">
        <f aca="false">'Plan pay &amp; tax'!C320</f>
        <v>86</v>
      </c>
      <c r="E94" s="111" t="n">
        <f aca="false">'Plan pay &amp; tax'!E320</f>
        <v>5.49053635500395</v>
      </c>
      <c r="F94" s="1" t="n">
        <f aca="false">'Plan pay &amp; tax'!G320</f>
        <v>0</v>
      </c>
      <c r="G94" s="1" t="n">
        <f aca="false">'Plan pay &amp; tax'!BT320-'Plan pay &amp; tax'!BS320-'Plan pay &amp; tax'!R320</f>
        <v>71217.0881963937</v>
      </c>
      <c r="H94" s="1" t="n">
        <f aca="false">IF(F94=1,F_CostsM*12,IF(RG_Exists=1,RG_Amount,F_CostsM*12*AS_RetireSpend))*E94+F_OneOffY*E94</f>
        <v>0</v>
      </c>
      <c r="I94" s="1" t="n">
        <f aca="false">HQ93</f>
        <v>0</v>
      </c>
      <c r="J94" s="1" t="n">
        <f aca="false">IF(I94&gt;1,'Plan debt months'!AC94,0)</f>
        <v>0</v>
      </c>
      <c r="K94" s="1" t="n">
        <f aca="false">IF(I94&gt;1,'Plan debt months'!AB94,I94)</f>
        <v>0</v>
      </c>
      <c r="L94" s="1" t="n">
        <f aca="false">N93</f>
        <v>0</v>
      </c>
      <c r="M94" s="1" t="n">
        <f aca="false">IF(L94&gt;1,'Plan debt months'!BD94,0)</f>
        <v>0</v>
      </c>
      <c r="N94" s="1" t="n">
        <f aca="false">IF(L94&gt;1,'Plan debt months'!BC94,L94)</f>
        <v>0</v>
      </c>
      <c r="O94" s="1" t="n">
        <f aca="false">Q93</f>
        <v>0</v>
      </c>
      <c r="P94" s="1" t="n">
        <f aca="false">IF(O94&gt;1,'Plan debt months'!CE94,0)</f>
        <v>0</v>
      </c>
      <c r="Q94" s="1" t="n">
        <f aca="false">IF(O94&gt;1,'Plan debt months'!CD94,O94)</f>
        <v>0</v>
      </c>
      <c r="R94" s="1" t="n">
        <f aca="false">J94+M94+P94</f>
        <v>0</v>
      </c>
      <c r="S94" s="1" t="n">
        <f aca="false">QJ93+'Plan pay &amp; tax'!Y320</f>
        <v>1334606.78668291</v>
      </c>
      <c r="T94" s="1" t="n">
        <f aca="false">QJ93</f>
        <v>1334606.78668291</v>
      </c>
      <c r="U94" s="1" t="n">
        <f aca="false">IF(AND(Slot1_On=1,D94=Slot1_Age),1,0)</f>
        <v>0</v>
      </c>
      <c r="V94" s="1" t="n">
        <f aca="false">IF(AND(Slot1_On=1,Slot1_Age&gt;D94),1,0)</f>
        <v>0</v>
      </c>
      <c r="W94" s="1" t="n">
        <f aca="false">QL93</f>
        <v>0</v>
      </c>
      <c r="X94" s="1" t="n">
        <f aca="false">U94*MIN(Slot1_Cost,W94)</f>
        <v>0</v>
      </c>
      <c r="Y94" s="1" t="n">
        <f aca="false">U94*Slot1_SpendLike*MIN(Slot1_Cost-X94,S94)</f>
        <v>0</v>
      </c>
      <c r="Z94" s="1" t="n">
        <f aca="false">X94+Y94</f>
        <v>0</v>
      </c>
      <c r="AA94" s="1" t="n">
        <f aca="false">S94-Y94+U94*IF(Slot1_SpendLike=1,W94-X94,IF(Slot1_PotFree=1,W94,0))</f>
        <v>1334606.78668291</v>
      </c>
      <c r="AB94" s="1" t="n">
        <f aca="false">AE94+U94*Slot1_BufPot*W94</f>
        <v>0</v>
      </c>
      <c r="AC94" s="1" t="n">
        <f aca="false">IF(AND(U94=1,Slot1_IsMfree=1),IF(Z94&gt;=Slot1_Cost-1,0,MAX(0,K94-Z94)),K94)</f>
        <v>0</v>
      </c>
      <c r="AD94" s="1" t="n">
        <f aca="false">U94*(Slot1_Cost-Z94)</f>
        <v>0</v>
      </c>
      <c r="AE94" s="1" t="n">
        <f aca="false">QK93</f>
        <v>0</v>
      </c>
      <c r="AF94" s="1" t="n">
        <f aca="false">IF(AND(Slot2_On=1,D94=Slot2_Age),1,0)</f>
        <v>0</v>
      </c>
      <c r="AG94" s="1" t="n">
        <f aca="false">IF(AND(Slot2_On=1,Slot2_Age&gt;D94),1,0)</f>
        <v>0</v>
      </c>
      <c r="AH94" s="1" t="n">
        <f aca="false">QP93</f>
        <v>0</v>
      </c>
      <c r="AI94" s="1" t="n">
        <f aca="false">AF94*MIN(Slot2_Cost,AH94)</f>
        <v>0</v>
      </c>
      <c r="AJ94" s="1" t="n">
        <f aca="false">AF94*Slot2_SpendLike*MIN(Slot2_Cost-AI94,AA94)</f>
        <v>0</v>
      </c>
      <c r="AK94" s="1" t="n">
        <f aca="false">AI94+AJ94</f>
        <v>0</v>
      </c>
      <c r="AL94" s="1" t="n">
        <f aca="false">AA94-AJ94+AF94*IF(Slot2_SpendLike=1,AH94-AI94,IF(Slot2_PotFree=1,AH94,0))</f>
        <v>1334606.78668291</v>
      </c>
      <c r="AM94" s="1" t="n">
        <f aca="false">AB94+AF94*Slot2_BufPot*AH94</f>
        <v>0</v>
      </c>
      <c r="AN94" s="1" t="n">
        <f aca="false">IF(AND(AF94=1,Slot2_IsMfree=1),IF(AK94&gt;=Slot2_Cost-1,0,MAX(0,AC94-AK94)),AC94)</f>
        <v>0</v>
      </c>
      <c r="AO94" s="1" t="n">
        <f aca="false">AF94*(Slot2_Cost-AK94)</f>
        <v>0</v>
      </c>
      <c r="AP94" s="1" t="n">
        <f aca="false">IF(AND(Slot3_On=1,D94=Slot3_Age),1,0)</f>
        <v>0</v>
      </c>
      <c r="AQ94" s="1" t="n">
        <f aca="false">IF(AND(Slot3_On=1,Slot3_Age&gt;D94),1,0)</f>
        <v>0</v>
      </c>
      <c r="AR94" s="1" t="n">
        <f aca="false">QT93</f>
        <v>0</v>
      </c>
      <c r="AS94" s="1" t="n">
        <f aca="false">AP94*MIN(Slot3_Cost,AR94)</f>
        <v>0</v>
      </c>
      <c r="AT94" s="1" t="n">
        <f aca="false">AP94*Slot3_SpendLike*MIN(Slot3_Cost-AS94,AL94)</f>
        <v>0</v>
      </c>
      <c r="AU94" s="1" t="n">
        <f aca="false">AS94+AT94</f>
        <v>0</v>
      </c>
      <c r="AV94" s="1" t="n">
        <f aca="false">AL94-AT94+AP94*IF(Slot3_SpendLike=1,AR94-AS94,IF(Slot3_PotFree=1,AR94,0))</f>
        <v>1334606.78668291</v>
      </c>
      <c r="AW94" s="1" t="n">
        <f aca="false">AM94+AP94*Slot3_BufPot*AR94</f>
        <v>0</v>
      </c>
      <c r="AX94" s="1" t="n">
        <f aca="false">IF(AND(AP94=1,Slot3_IsMfree=1),IF(AU94&gt;=Slot3_Cost-1,0,MAX(0,AN94-AU94)),AN94)</f>
        <v>0</v>
      </c>
      <c r="AY94" s="1" t="n">
        <f aca="false">AP94*(Slot3_Cost-AU94)</f>
        <v>0</v>
      </c>
      <c r="AZ94" s="1" t="n">
        <f aca="false">IF(AND(Slot4_On=1,D94=Slot4_Age),1,0)</f>
        <v>0</v>
      </c>
      <c r="BA94" s="1" t="n">
        <f aca="false">IF(AND(Slot4_On=1,Slot4_Age&gt;D94),1,0)</f>
        <v>0</v>
      </c>
      <c r="BB94" s="1" t="n">
        <f aca="false">QX93</f>
        <v>0</v>
      </c>
      <c r="BC94" s="1" t="n">
        <f aca="false">AZ94*MIN(Slot4_Cost,BB94)</f>
        <v>0</v>
      </c>
      <c r="BD94" s="1" t="n">
        <f aca="false">AZ94*Slot4_SpendLike*MIN(Slot4_Cost-BC94,AV94)</f>
        <v>0</v>
      </c>
      <c r="BE94" s="1" t="n">
        <f aca="false">BC94+BD94</f>
        <v>0</v>
      </c>
      <c r="BF94" s="1" t="n">
        <f aca="false">AV94-BD94+AZ94*IF(Slot4_SpendLike=1,BB94-BC94,IF(Slot4_PotFree=1,BB94,0))</f>
        <v>1334606.78668291</v>
      </c>
      <c r="BG94" s="1" t="n">
        <f aca="false">AW94+AZ94*Slot4_BufPot*BB94</f>
        <v>0</v>
      </c>
      <c r="BH94" s="1" t="n">
        <f aca="false">IF(AND(AZ94=1,Slot4_IsMfree=1),IF(BE94&gt;=Slot4_Cost-1,0,MAX(0,AX94-BE94)),AX94)</f>
        <v>0</v>
      </c>
      <c r="BI94" s="1" t="n">
        <f aca="false">AZ94*(Slot4_Cost-BE94)</f>
        <v>0</v>
      </c>
      <c r="BJ94" s="1" t="n">
        <f aca="false">IF(AND(Slot5_On=1,D94=Slot5_Age),1,0)</f>
        <v>0</v>
      </c>
      <c r="BK94" s="1" t="n">
        <f aca="false">IF(AND(Slot5_On=1,Slot5_Age&gt;D94),1,0)</f>
        <v>0</v>
      </c>
      <c r="BL94" s="1" t="n">
        <f aca="false">RB93</f>
        <v>0</v>
      </c>
      <c r="BM94" s="1" t="n">
        <f aca="false">BJ94*MIN(Slot5_Cost,BL94)</f>
        <v>0</v>
      </c>
      <c r="BN94" s="1" t="n">
        <f aca="false">BJ94*Slot5_SpendLike*MIN(Slot5_Cost-BM94,BF94)</f>
        <v>0</v>
      </c>
      <c r="BO94" s="1" t="n">
        <f aca="false">BM94+BN94</f>
        <v>0</v>
      </c>
      <c r="BP94" s="1" t="n">
        <f aca="false">BF94-BN94+BJ94*IF(Slot5_SpendLike=1,BL94-BM94,IF(Slot5_PotFree=1,BL94,0))</f>
        <v>1334606.78668291</v>
      </c>
      <c r="BQ94" s="1" t="n">
        <f aca="false">BG94+BJ94*Slot5_BufPot*BL94</f>
        <v>0</v>
      </c>
      <c r="BR94" s="1" t="n">
        <f aca="false">IF(AND(BJ94=1,Slot5_IsMfree=1),IF(BO94&gt;=Slot5_Cost-1,0,MAX(0,BH94-BO94)),BH94)</f>
        <v>0</v>
      </c>
      <c r="BS94" s="1" t="n">
        <f aca="false">BJ94*(Slot5_Cost-BO94)</f>
        <v>0</v>
      </c>
      <c r="BT94" s="1" t="n">
        <f aca="false">IF(AND(Slot6_On=1,D94=Slot6_Age),1,0)</f>
        <v>0</v>
      </c>
      <c r="BU94" s="1" t="n">
        <f aca="false">IF(AND(Slot6_On=1,Slot6_Age&gt;D94),1,0)</f>
        <v>0</v>
      </c>
      <c r="BV94" s="1" t="n">
        <f aca="false">RF93</f>
        <v>0</v>
      </c>
      <c r="BW94" s="1" t="n">
        <f aca="false">BT94*MIN(Slot6_Cost,BV94)</f>
        <v>0</v>
      </c>
      <c r="BX94" s="1" t="n">
        <f aca="false">BT94*Slot6_SpendLike*MIN(Slot6_Cost-BW94,BP94)</f>
        <v>0</v>
      </c>
      <c r="BY94" s="1" t="n">
        <f aca="false">BW94+BX94</f>
        <v>0</v>
      </c>
      <c r="BZ94" s="1" t="n">
        <f aca="false">BP94-BX94+BT94*IF(Slot6_SpendLike=1,BV94-BW94,IF(Slot6_PotFree=1,BV94,0))</f>
        <v>1334606.78668291</v>
      </c>
      <c r="CA94" s="1" t="n">
        <f aca="false">BQ94+BT94*Slot6_BufPot*BV94</f>
        <v>0</v>
      </c>
      <c r="CB94" s="1" t="n">
        <f aca="false">IF(AND(BT94=1,Slot6_IsMfree=1),IF(BY94&gt;=Slot6_Cost-1,0,MAX(0,BR94-BY94)),BR94)</f>
        <v>0</v>
      </c>
      <c r="CC94" s="1" t="n">
        <f aca="false">BT94*(Slot6_Cost-BY94)</f>
        <v>0</v>
      </c>
      <c r="CD94" s="1" t="n">
        <f aca="false">IF(AND(Slot7_On=1,D94=Slot7_Age),1,0)</f>
        <v>0</v>
      </c>
      <c r="CE94" s="1" t="n">
        <f aca="false">IF(AND(Slot7_On=1,Slot7_Age&gt;D94),1,0)</f>
        <v>0</v>
      </c>
      <c r="CF94" s="1" t="n">
        <f aca="false">RJ93</f>
        <v>0</v>
      </c>
      <c r="CG94" s="1" t="n">
        <f aca="false">CD94*MIN(Slot7_Cost,CF94)</f>
        <v>0</v>
      </c>
      <c r="CH94" s="1" t="n">
        <f aca="false">CD94*Slot7_SpendLike*MIN(Slot7_Cost-CG94,BZ94)</f>
        <v>0</v>
      </c>
      <c r="CI94" s="1" t="n">
        <f aca="false">CG94+CH94</f>
        <v>0</v>
      </c>
      <c r="CJ94" s="1" t="n">
        <f aca="false">BZ94-CH94+CD94*IF(Slot7_SpendLike=1,CF94-CG94,IF(Slot7_PotFree=1,CF94,0))</f>
        <v>1334606.78668291</v>
      </c>
      <c r="CK94" s="1" t="n">
        <f aca="false">CA94+CD94*Slot7_BufPot*CF94</f>
        <v>0</v>
      </c>
      <c r="CL94" s="1" t="n">
        <f aca="false">IF(AND(CD94=1,Slot7_IsMfree=1),IF(CI94&gt;=Slot7_Cost-1,0,MAX(0,CB94-CI94)),CB94)</f>
        <v>0</v>
      </c>
      <c r="CM94" s="1" t="n">
        <f aca="false">CD94*(Slot7_Cost-CI94)</f>
        <v>0</v>
      </c>
      <c r="CN94" s="1" t="n">
        <f aca="false">IF(AND(Slot8_On=1,D94=Slot8_Age),1,0)</f>
        <v>0</v>
      </c>
      <c r="CO94" s="1" t="n">
        <f aca="false">IF(AND(Slot8_On=1,Slot8_Age&gt;D94),1,0)</f>
        <v>0</v>
      </c>
      <c r="CP94" s="1" t="n">
        <f aca="false">RN93</f>
        <v>0</v>
      </c>
      <c r="CQ94" s="1" t="n">
        <f aca="false">CN94*MIN(Slot8_Cost,CP94)</f>
        <v>0</v>
      </c>
      <c r="CR94" s="1" t="n">
        <f aca="false">CN94*Slot8_SpendLike*MIN(Slot8_Cost-CQ94,CJ94)</f>
        <v>0</v>
      </c>
      <c r="CS94" s="1" t="n">
        <f aca="false">CQ94+CR94</f>
        <v>0</v>
      </c>
      <c r="CT94" s="1" t="n">
        <f aca="false">CJ94-CR94+CN94*IF(Slot8_SpendLike=1,CP94-CQ94,IF(Slot8_PotFree=1,CP94,0))</f>
        <v>1334606.78668291</v>
      </c>
      <c r="CU94" s="1" t="n">
        <f aca="false">CK94+CN94*Slot8_BufPot*CP94</f>
        <v>0</v>
      </c>
      <c r="CV94" s="1" t="n">
        <f aca="false">IF(AND(CN94=1,Slot8_IsMfree=1),IF(CS94&gt;=Slot8_Cost-1,0,MAX(0,CL94-CS94)),CL94)</f>
        <v>0</v>
      </c>
      <c r="CW94" s="1" t="n">
        <f aca="false">CN94*(Slot8_Cost-CS94)</f>
        <v>0</v>
      </c>
      <c r="CX94" s="1" t="n">
        <f aca="false">IF(AND(Slot9_On=1,D94=Slot9_Age),1,0)</f>
        <v>0</v>
      </c>
      <c r="CY94" s="1" t="n">
        <f aca="false">IF(AND(Slot9_On=1,Slot9_Age&gt;D94),1,0)</f>
        <v>0</v>
      </c>
      <c r="CZ94" s="1" t="n">
        <f aca="false">RR93</f>
        <v>0</v>
      </c>
      <c r="DA94" s="1" t="n">
        <f aca="false">CX94*MIN(Slot9_Cost,CZ94)</f>
        <v>0</v>
      </c>
      <c r="DB94" s="1" t="n">
        <f aca="false">CX94*Slot9_SpendLike*MIN(Slot9_Cost-DA94,CT94)</f>
        <v>0</v>
      </c>
      <c r="DC94" s="1" t="n">
        <f aca="false">DA94+DB94</f>
        <v>0</v>
      </c>
      <c r="DD94" s="1" t="n">
        <f aca="false">CT94-DB94+CX94*IF(Slot9_SpendLike=1,CZ94-DA94,IF(Slot9_PotFree=1,CZ94,0))</f>
        <v>1334606.78668291</v>
      </c>
      <c r="DE94" s="1" t="n">
        <f aca="false">CU94+CX94*Slot9_BufPot*CZ94</f>
        <v>0</v>
      </c>
      <c r="DF94" s="1" t="n">
        <f aca="false">IF(AND(CX94=1,Slot9_IsMfree=1),IF(DC94&gt;=Slot9_Cost-1,0,MAX(0,CV94-DC94)),CV94)</f>
        <v>0</v>
      </c>
      <c r="DG94" s="1" t="n">
        <f aca="false">CX94*(Slot9_Cost-DC94)</f>
        <v>0</v>
      </c>
      <c r="DH94" s="1" t="n">
        <f aca="false">IF(AND(Slot10_On=1,D94=Slot10_Age),1,0)</f>
        <v>0</v>
      </c>
      <c r="DI94" s="1" t="n">
        <f aca="false">IF(AND(Slot10_On=1,Slot10_Age&gt;D94),1,0)</f>
        <v>0</v>
      </c>
      <c r="DJ94" s="1" t="n">
        <f aca="false">RV93</f>
        <v>0</v>
      </c>
      <c r="DK94" s="1" t="n">
        <f aca="false">DH94*MIN(Slot10_Cost,DJ94)</f>
        <v>0</v>
      </c>
      <c r="DL94" s="1" t="n">
        <f aca="false">DH94*Slot10_SpendLike*MIN(Slot10_Cost-DK94,DD94)</f>
        <v>0</v>
      </c>
      <c r="DM94" s="1" t="n">
        <f aca="false">DK94+DL94</f>
        <v>0</v>
      </c>
      <c r="DN94" s="1" t="n">
        <f aca="false">DD94-DL94+DH94*IF(Slot10_SpendLike=1,DJ94-DK94,IF(Slot10_PotFree=1,DJ94,0))</f>
        <v>1334606.78668291</v>
      </c>
      <c r="DO94" s="1" t="n">
        <f aca="false">DE94+DH94*Slot10_BufPot*DJ94</f>
        <v>0</v>
      </c>
      <c r="DP94" s="1" t="n">
        <f aca="false">IF(AND(DH94=1,Slot10_IsMfree=1),IF(DM94&gt;=Slot10_Cost-1,0,MAX(0,DF94-DM94)),DF94)</f>
        <v>0</v>
      </c>
      <c r="DQ94" s="1" t="n">
        <f aca="false">DH94*(Slot10_Cost-DM94)</f>
        <v>0</v>
      </c>
      <c r="DR94" s="1" t="n">
        <f aca="false">IF(AND(Slot11_On=1,D94=Slot11_Age),1,0)</f>
        <v>0</v>
      </c>
      <c r="DS94" s="1" t="n">
        <f aca="false">IF(AND(Slot11_On=1,Slot11_Age&gt;D94),1,0)</f>
        <v>0</v>
      </c>
      <c r="DT94" s="1" t="n">
        <f aca="false">RZ93</f>
        <v>0</v>
      </c>
      <c r="DU94" s="1" t="n">
        <f aca="false">DR94*MIN(Slot11_Cost,DT94)</f>
        <v>0</v>
      </c>
      <c r="DV94" s="1" t="n">
        <f aca="false">DR94*Slot11_SpendLike*MIN(Slot11_Cost-DU94,DN94)</f>
        <v>0</v>
      </c>
      <c r="DW94" s="1" t="n">
        <f aca="false">DU94+DV94</f>
        <v>0</v>
      </c>
      <c r="DX94" s="1" t="n">
        <f aca="false">DN94-DV94+DR94*IF(Slot11_SpendLike=1,DT94-DU94,IF(Slot11_PotFree=1,DT94,0))</f>
        <v>1334606.78668291</v>
      </c>
      <c r="DY94" s="1" t="n">
        <f aca="false">DO94+DR94*Slot11_BufPot*DT94</f>
        <v>0</v>
      </c>
      <c r="DZ94" s="1" t="n">
        <f aca="false">IF(AND(DR94=1,Slot11_IsMfree=1),IF(DW94&gt;=Slot11_Cost-1,0,MAX(0,DP94-DW94)),DP94)</f>
        <v>0</v>
      </c>
      <c r="EA94" s="1" t="n">
        <f aca="false">DR94*(Slot11_Cost-DW94)</f>
        <v>0</v>
      </c>
      <c r="EB94" s="1" t="n">
        <f aca="false">IF(AND(Slot12_On=1,D94=Slot12_Age),1,0)</f>
        <v>0</v>
      </c>
      <c r="EC94" s="1" t="n">
        <f aca="false">IF(AND(Slot12_On=1,Slot12_Age&gt;D94),1,0)</f>
        <v>0</v>
      </c>
      <c r="ED94" s="1" t="n">
        <f aca="false">SD93</f>
        <v>0</v>
      </c>
      <c r="EE94" s="1" t="n">
        <f aca="false">EB94*MIN(Slot12_Cost,ED94)</f>
        <v>0</v>
      </c>
      <c r="EF94" s="1" t="n">
        <f aca="false">EB94*Slot12_SpendLike*MIN(Slot12_Cost-EE94,DX94)</f>
        <v>0</v>
      </c>
      <c r="EG94" s="1" t="n">
        <f aca="false">EE94+EF94</f>
        <v>0</v>
      </c>
      <c r="EH94" s="1" t="n">
        <f aca="false">DX94-EF94+EB94*IF(Slot12_SpendLike=1,ED94-EE94,IF(Slot12_PotFree=1,ED94,0))</f>
        <v>1334606.78668291</v>
      </c>
      <c r="EI94" s="1" t="n">
        <f aca="false">DY94+EB94*Slot12_BufPot*ED94</f>
        <v>0</v>
      </c>
      <c r="EJ94" s="1" t="n">
        <f aca="false">IF(AND(EB94=1,Slot12_IsMfree=1),IF(EG94&gt;=Slot12_Cost-1,0,MAX(0,DZ94-EG94)),DZ94)</f>
        <v>0</v>
      </c>
      <c r="EK94" s="1" t="n">
        <f aca="false">EB94*(Slot12_Cost-EG94)</f>
        <v>0</v>
      </c>
      <c r="EL94" s="1" t="n">
        <f aca="false">IF(AND(Slot13_On=1,D94=Slot13_Age),1,0)</f>
        <v>0</v>
      </c>
      <c r="EM94" s="1" t="n">
        <f aca="false">IF(AND(Slot13_On=1,Slot13_Age&gt;D94),1,0)</f>
        <v>0</v>
      </c>
      <c r="EN94" s="1" t="n">
        <f aca="false">SH93</f>
        <v>0</v>
      </c>
      <c r="EO94" s="1" t="n">
        <f aca="false">EL94*MIN(Slot13_Cost,EN94)</f>
        <v>0</v>
      </c>
      <c r="EP94" s="1" t="n">
        <f aca="false">EL94*Slot13_SpendLike*MIN(Slot13_Cost-EO94,EH94)</f>
        <v>0</v>
      </c>
      <c r="EQ94" s="1" t="n">
        <f aca="false">EO94+EP94</f>
        <v>0</v>
      </c>
      <c r="ER94" s="1" t="n">
        <f aca="false">EH94-EP94+EL94*IF(Slot13_SpendLike=1,EN94-EO94,IF(Slot13_PotFree=1,EN94,0))</f>
        <v>1334606.78668291</v>
      </c>
      <c r="ES94" s="1" t="n">
        <f aca="false">EI94+EL94*Slot13_BufPot*EN94</f>
        <v>0</v>
      </c>
      <c r="ET94" s="1" t="n">
        <f aca="false">IF(AND(EL94=1,Slot13_IsMfree=1),IF(EQ94&gt;=Slot13_Cost-1,0,MAX(0,EJ94-EQ94)),EJ94)</f>
        <v>0</v>
      </c>
      <c r="EU94" s="1" t="n">
        <f aca="false">EL94*(Slot13_Cost-EQ94)</f>
        <v>0</v>
      </c>
      <c r="EV94" s="1" t="n">
        <f aca="false">IF(AND(Slot14_On=1,D94=Slot14_Age),1,0)</f>
        <v>0</v>
      </c>
      <c r="EW94" s="1" t="n">
        <f aca="false">IF(AND(Slot14_On=1,Slot14_Age&gt;D94),1,0)</f>
        <v>0</v>
      </c>
      <c r="EX94" s="1" t="n">
        <f aca="false">SL93</f>
        <v>0</v>
      </c>
      <c r="EY94" s="1" t="n">
        <f aca="false">EV94*MIN(Slot14_Cost,EX94)</f>
        <v>0</v>
      </c>
      <c r="EZ94" s="1" t="n">
        <f aca="false">EV94*Slot14_SpendLike*MIN(Slot14_Cost-EY94,ER94)</f>
        <v>0</v>
      </c>
      <c r="FA94" s="1" t="n">
        <f aca="false">EY94+EZ94</f>
        <v>0</v>
      </c>
      <c r="FB94" s="1" t="n">
        <f aca="false">ER94-EZ94+EV94*IF(Slot14_SpendLike=1,EX94-EY94,IF(Slot14_PotFree=1,EX94,0))</f>
        <v>1334606.78668291</v>
      </c>
      <c r="FC94" s="1" t="n">
        <f aca="false">ES94+EV94*Slot14_BufPot*EX94</f>
        <v>0</v>
      </c>
      <c r="FD94" s="1" t="n">
        <f aca="false">IF(AND(EV94=1,Slot14_IsMfree=1),IF(FA94&gt;=Slot14_Cost-1,0,MAX(0,ET94-FA94)),ET94)</f>
        <v>0</v>
      </c>
      <c r="FE94" s="1" t="n">
        <f aca="false">EV94*(Slot14_Cost-FA94)</f>
        <v>0</v>
      </c>
      <c r="FF94" s="1" t="n">
        <f aca="false">IF(AND(Slot15_On=1,D94=Slot15_Age),1,0)</f>
        <v>0</v>
      </c>
      <c r="FG94" s="1" t="n">
        <f aca="false">IF(AND(Slot15_On=1,Slot15_Age&gt;D94),1,0)</f>
        <v>0</v>
      </c>
      <c r="FH94" s="1" t="n">
        <f aca="false">SP93</f>
        <v>0</v>
      </c>
      <c r="FI94" s="1" t="n">
        <f aca="false">FF94*MIN(Slot15_Cost,FH94)</f>
        <v>0</v>
      </c>
      <c r="FJ94" s="1" t="n">
        <f aca="false">FF94*Slot15_SpendLike*MIN(Slot15_Cost-FI94,FB94)</f>
        <v>0</v>
      </c>
      <c r="FK94" s="1" t="n">
        <f aca="false">FI94+FJ94</f>
        <v>0</v>
      </c>
      <c r="FL94" s="1" t="n">
        <f aca="false">FB94-FJ94+FF94*IF(Slot15_SpendLike=1,FH94-FI94,IF(Slot15_PotFree=1,FH94,0))</f>
        <v>1334606.78668291</v>
      </c>
      <c r="FM94" s="1" t="n">
        <f aca="false">FC94+FF94*Slot15_BufPot*FH94</f>
        <v>0</v>
      </c>
      <c r="FN94" s="1" t="n">
        <f aca="false">IF(AND(FF94=1,Slot15_IsMfree=1),IF(FK94&gt;=Slot15_Cost-1,0,MAX(0,FD94-FK94)),FD94)</f>
        <v>0</v>
      </c>
      <c r="FO94" s="1" t="n">
        <f aca="false">FF94*(Slot15_Cost-FK94)</f>
        <v>0</v>
      </c>
      <c r="FP94" s="1" t="n">
        <f aca="false">IF(AND(Slot16_On=1,D94=Slot16_Age),1,0)</f>
        <v>0</v>
      </c>
      <c r="FQ94" s="1" t="n">
        <f aca="false">IF(AND(Slot16_On=1,Slot16_Age&gt;D94),1,0)</f>
        <v>0</v>
      </c>
      <c r="FR94" s="1" t="n">
        <f aca="false">ST93</f>
        <v>0</v>
      </c>
      <c r="FS94" s="1" t="n">
        <f aca="false">FP94*MIN(Slot16_Cost,FR94)</f>
        <v>0</v>
      </c>
      <c r="FT94" s="1" t="n">
        <f aca="false">FP94*Slot16_SpendLike*MIN(Slot16_Cost-FS94,FL94)</f>
        <v>0</v>
      </c>
      <c r="FU94" s="1" t="n">
        <f aca="false">FS94+FT94</f>
        <v>0</v>
      </c>
      <c r="FV94" s="1" t="n">
        <f aca="false">FL94-FT94+FP94*IF(Slot16_SpendLike=1,FR94-FS94,IF(Slot16_PotFree=1,FR94,0))</f>
        <v>1334606.78668291</v>
      </c>
      <c r="FW94" s="1" t="n">
        <f aca="false">FM94+FP94*Slot16_BufPot*FR94</f>
        <v>0</v>
      </c>
      <c r="FX94" s="1" t="n">
        <f aca="false">IF(AND(FP94=1,Slot16_IsMfree=1),IF(FU94&gt;=Slot16_Cost-1,0,MAX(0,FN94-FU94)),FN94)</f>
        <v>0</v>
      </c>
      <c r="FY94" s="1" t="n">
        <f aca="false">FP94*(Slot16_Cost-FU94)</f>
        <v>0</v>
      </c>
      <c r="FZ94" s="1" t="n">
        <f aca="false">IF(AND(Slot17_On=1,D94=Slot17_Age),1,0)</f>
        <v>0</v>
      </c>
      <c r="GA94" s="1" t="n">
        <f aca="false">IF(AND(Slot17_On=1,Slot17_Age&gt;D94),1,0)</f>
        <v>0</v>
      </c>
      <c r="GB94" s="1" t="n">
        <f aca="false">SX93</f>
        <v>0</v>
      </c>
      <c r="GC94" s="1" t="n">
        <f aca="false">FZ94*MIN(Slot17_Cost,GB94)</f>
        <v>0</v>
      </c>
      <c r="GD94" s="1" t="n">
        <f aca="false">FZ94*Slot17_SpendLike*MIN(Slot17_Cost-GC94,FV94)</f>
        <v>0</v>
      </c>
      <c r="GE94" s="1" t="n">
        <f aca="false">GC94+GD94</f>
        <v>0</v>
      </c>
      <c r="GF94" s="1" t="n">
        <f aca="false">FV94-GD94+FZ94*IF(Slot17_SpendLike=1,GB94-GC94,IF(Slot17_PotFree=1,GB94,0))</f>
        <v>1334606.78668291</v>
      </c>
      <c r="GG94" s="1" t="n">
        <f aca="false">FW94+FZ94*Slot17_BufPot*GB94</f>
        <v>0</v>
      </c>
      <c r="GH94" s="1" t="n">
        <f aca="false">IF(AND(FZ94=1,Slot17_IsMfree=1),IF(GE94&gt;=Slot17_Cost-1,0,MAX(0,FX94-GE94)),FX94)</f>
        <v>0</v>
      </c>
      <c r="GI94" s="1" t="n">
        <f aca="false">FZ94*(Slot17_Cost-GE94)</f>
        <v>0</v>
      </c>
      <c r="GJ94" s="1" t="n">
        <f aca="false">IF(AND(Slot18_On=1,D94=Slot18_Age),1,0)</f>
        <v>0</v>
      </c>
      <c r="GK94" s="1" t="n">
        <f aca="false">IF(AND(Slot18_On=1,Slot18_Age&gt;D94),1,0)</f>
        <v>0</v>
      </c>
      <c r="GL94" s="1" t="n">
        <f aca="false">TB93</f>
        <v>0</v>
      </c>
      <c r="GM94" s="1" t="n">
        <f aca="false">GJ94*MIN(Slot18_Cost,GL94)</f>
        <v>0</v>
      </c>
      <c r="GN94" s="1" t="n">
        <f aca="false">GJ94*Slot18_SpendLike*MIN(Slot18_Cost-GM94,GF94)</f>
        <v>0</v>
      </c>
      <c r="GO94" s="1" t="n">
        <f aca="false">GM94+GN94</f>
        <v>0</v>
      </c>
      <c r="GP94" s="1" t="n">
        <f aca="false">GF94-GN94+GJ94*IF(Slot18_SpendLike=1,GL94-GM94,IF(Slot18_PotFree=1,GL94,0))</f>
        <v>1334606.78668291</v>
      </c>
      <c r="GQ94" s="1" t="n">
        <f aca="false">GG94+GJ94*Slot18_BufPot*GL94</f>
        <v>0</v>
      </c>
      <c r="GR94" s="1" t="n">
        <f aca="false">IF(AND(GJ94=1,Slot18_IsMfree=1),IF(GO94&gt;=Slot18_Cost-1,0,MAX(0,GH94-GO94)),GH94)</f>
        <v>0</v>
      </c>
      <c r="GS94" s="1" t="n">
        <f aca="false">GJ94*(Slot18_Cost-GO94)</f>
        <v>0</v>
      </c>
      <c r="GT94" s="1" t="n">
        <f aca="false">IF(AND(Slot19_On=1,D94=Slot19_Age),1,0)</f>
        <v>0</v>
      </c>
      <c r="GU94" s="1" t="n">
        <f aca="false">IF(AND(Slot19_On=1,Slot19_Age&gt;D94),1,0)</f>
        <v>0</v>
      </c>
      <c r="GV94" s="1" t="n">
        <f aca="false">TF93</f>
        <v>0</v>
      </c>
      <c r="GW94" s="1" t="n">
        <f aca="false">GT94*MIN(Slot19_Cost,GV94)</f>
        <v>0</v>
      </c>
      <c r="GX94" s="1" t="n">
        <f aca="false">GT94*Slot19_SpendLike*MIN(Slot19_Cost-GW94,GP94)</f>
        <v>0</v>
      </c>
      <c r="GY94" s="1" t="n">
        <f aca="false">GW94+GX94</f>
        <v>0</v>
      </c>
      <c r="GZ94" s="1" t="n">
        <f aca="false">GP94-GX94+GT94*IF(Slot19_SpendLike=1,GV94-GW94,IF(Slot19_PotFree=1,GV94,0))</f>
        <v>1334606.78668291</v>
      </c>
      <c r="HA94" s="1" t="n">
        <f aca="false">GQ94+GT94*Slot19_BufPot*GV94</f>
        <v>0</v>
      </c>
      <c r="HB94" s="1" t="n">
        <f aca="false">IF(AND(GT94=1,Slot19_IsMfree=1),IF(GY94&gt;=Slot19_Cost-1,0,MAX(0,GR94-GY94)),GR94)</f>
        <v>0</v>
      </c>
      <c r="HC94" s="1" t="n">
        <f aca="false">GT94*(Slot19_Cost-GY94)</f>
        <v>0</v>
      </c>
      <c r="HD94" s="1" t="n">
        <f aca="false">IF(AND(Slot20_On=1,D94=Slot20_Age),1,0)</f>
        <v>0</v>
      </c>
      <c r="HE94" s="1" t="n">
        <f aca="false">IF(AND(Slot20_On=1,Slot20_Age&gt;D94),1,0)</f>
        <v>0</v>
      </c>
      <c r="HF94" s="1" t="n">
        <f aca="false">TJ93</f>
        <v>0</v>
      </c>
      <c r="HG94" s="1" t="n">
        <f aca="false">HD94*MIN(Slot20_Cost,HF94)</f>
        <v>0</v>
      </c>
      <c r="HH94" s="1" t="n">
        <f aca="false">HD94*Slot20_SpendLike*MIN(Slot20_Cost-HG94,GZ94)</f>
        <v>0</v>
      </c>
      <c r="HI94" s="1" t="n">
        <f aca="false">HG94+HH94</f>
        <v>0</v>
      </c>
      <c r="HJ94" s="1" t="n">
        <f aca="false">GZ94-HH94+HD94*IF(Slot20_SpendLike=1,HF94-HG94,IF(Slot20_PotFree=1,HF94,0))</f>
        <v>1334606.78668291</v>
      </c>
      <c r="HK94" s="1" t="n">
        <f aca="false">HA94+HD94*Slot20_BufPot*HF94</f>
        <v>0</v>
      </c>
      <c r="HL94" s="1" t="n">
        <f aca="false">IF(AND(HD94=1,Slot20_IsMfree=1),IF(HI94&gt;=Slot20_Cost-1,0,MAX(0,HB94-HI94)),HB94)</f>
        <v>0</v>
      </c>
      <c r="HM94" s="1" t="n">
        <f aca="false">HD94*(Slot20_Cost-HI94)</f>
        <v>0</v>
      </c>
      <c r="HN94" s="1" t="n">
        <f aca="false">U94*Slot1_SpendLike*Z94+AF94*Slot2_SpendLike*AK94+AP94*Slot3_SpendLike*AU94+AZ94*Slot4_SpendLike*BE94+BJ94*Slot5_SpendLike*BO94+BT94*Slot6_SpendLike*BY94+CD94*Slot7_SpendLike*CI94+CN94*Slot8_SpendLike*CS94+CX94*Slot9_SpendLike*DC94+DH94*Slot10_SpendLike*DM94+DR94*Slot11_SpendLike*DW94+EB94*Slot12_SpendLike*EG94+EL94*Slot13_SpendLike*EQ94+EV94*Slot14_SpendLike*FA94+FF94*Slot15_SpendLike*FK94+FP94*Slot16_SpendLike*FU94+FZ94*Slot17_SpendLike*GE94+GJ94*Slot18_SpendLike*GO94+GT94*Slot19_SpendLike*GY94+HD94*Slot20_SpendLike*HI94</f>
        <v>0</v>
      </c>
      <c r="HO94" s="1" t="n">
        <f aca="false">AD94+AO94+AY94+BI94+BS94+CC94+CM94+CW94+DG94+DQ94+EA94+EK94+EU94+FE94+FO94+FY94+GI94+GS94+HC94+HM94</f>
        <v>0</v>
      </c>
      <c r="HP94" s="1" t="n">
        <f aca="false">U94*Slot1_Cost+AF94*Slot2_Cost+AP94*Slot3_Cost+AZ94*Slot4_Cost+BJ94*Slot5_Cost+BT94*Slot6_Cost+CD94*Slot7_Cost+CN94*Slot8_Cost+CX94*Slot9_Cost+DH94*Slot10_Cost+DR94*Slot11_Cost+EB94*Slot12_Cost+EL94*Slot13_Cost+EV94*Slot14_Cost+FF94*Slot15_Cost+FP94*Slot16_Cost+FZ94*Slot17_Cost+GJ94*Slot18_Cost+GT94*Slot19_Cost+HD94*Slot20_Cost</f>
        <v>0</v>
      </c>
      <c r="HQ94" s="1" t="n">
        <f aca="false">HL94</f>
        <v>0</v>
      </c>
      <c r="HR94" s="1" t="n">
        <f aca="false">G94-H94-R94</f>
        <v>71217.0881963937</v>
      </c>
      <c r="HS94" s="1" t="n">
        <f aca="false">IF(B94=0,IF(AND(Has_q6=1,In_q6=4),PR_ShareVaries*(MAX(0,HR94)/12),MIN(IF(Has_q6=1,CHOOSE(In_q6+1,PR_SaveB1,PR_SaveB2,PR_SaveB3,PR_SaveB4,0),AS_NoAnswer),AS_SaveShare*(MAX(0,HR94)/12))),HS93)</f>
        <v>0</v>
      </c>
      <c r="HT94" s="1" t="n">
        <f aca="false">IF(HR94&gt;=0,1,0)</f>
        <v>1</v>
      </c>
      <c r="HU94" s="1" t="n">
        <f aca="false">MAX(0,HR94/12/E94)</f>
        <v>1080.90666666667</v>
      </c>
      <c r="HV94" s="1" t="n">
        <f aca="false">IF(AND(Has_q6=1,In_q6=4),PR_ShareVaries*(HU94),MIN(IF(Has_q6=1,CHOOSE(In_q6+1,PR_SaveB1,PR_SaveB2,PR_SaveB3,PR_SaveB4,0),AS_NoAnswer),AS_SaveShare*(HU94)))</f>
        <v>300</v>
      </c>
      <c r="HW94" s="1" t="n">
        <f aca="false">IF(Has_saveM=1,IF(In_saveUp="Yes",1,IF(In_saveUp="No",0,IF(In_saveM&gt;=HS94-0.5,1,0))),0)</f>
        <v>0</v>
      </c>
      <c r="HX94" s="1" t="n">
        <f aca="false">IF(Has_saveM=1,MIN(HU94,IF(HW94=1,MAX(In_saveM,HV94),MIN(In_saveM,HV94))),HV94)</f>
        <v>300</v>
      </c>
      <c r="HY94" s="1" t="n">
        <f aca="false">IF(F94=1,HX94*12*E94,0)</f>
        <v>0</v>
      </c>
      <c r="HZ94" s="1" t="n">
        <f aca="false">MAX(0,HY94+IF(AND(WI_Retire=0,WI_M&lt;0,F94=1),WI_M*12*E94,0))</f>
        <v>0</v>
      </c>
      <c r="IA94" s="1" t="n">
        <f aca="false">Slot1_IsWG*V94+Slot2_IsWG*AG94+Slot3_IsWG*AQ94+Slot4_IsWG*BA94+Slot5_IsWG*BK94+Slot6_IsWG*BU94+Slot7_IsWG*CE94+Slot8_IsWG*CO94+Slot9_IsWG*CY94+Slot10_IsWG*DI94+Slot11_IsWG*DS94+Slot12_IsWG*EC94+Slot13_IsWG*EM94+Slot14_IsWG*EW94+Slot15_IsWG*FG94+Slot16_IsWG*FQ94+Slot17_IsWG*GA94+Slot18_IsWG*GK94+Slot19_IsWG*GU94+Slot20_IsWG*HE94</f>
        <v>0</v>
      </c>
      <c r="IB94" s="1" t="n">
        <f aca="false">IF(AND(WI_Retire=0,WI_M&gt;0,F94=1,IA94&gt;=1),WI_M*12*E94,0)</f>
        <v>0</v>
      </c>
      <c r="IC94" s="1" t="n">
        <f aca="false">IF(HT94=1,MIN(HZ94,HR94),0)</f>
        <v>0</v>
      </c>
      <c r="ID94" s="1" t="n">
        <f aca="false">IF(HT94=1,MIN(IB94,HR94-IC94),0)</f>
        <v>0</v>
      </c>
      <c r="IE94" s="1" t="n">
        <f aca="false">IF(V94=1,IF(ABS((1+AS_Wage)/(1+Slot1_Rate)-1)&lt;0.000000000001,(Slot1_Age-D94)*(1+Slot1_Rate)^(Slot1_Age-D94),(1+Slot1_Rate)^(Slot1_Age-D94)*(1-((1+AS_Wage)/(1+Slot1_Rate))^(Slot1_Age-D94))/(1-(1+AS_Wage)/(1+Slot1_Rate))),1)</f>
        <v>1</v>
      </c>
      <c r="IF94" s="1" t="n">
        <f aca="false">IF(AND(HT94=1,ID94&gt;0,Slot1_IsWG=1,V94=1),MAX(0,(Slot1_Cost-W94*(1+Slot1_Rate)^(Slot1_Age-D94))/IE94),0)</f>
        <v>0</v>
      </c>
      <c r="IG94" s="1" t="n">
        <f aca="false">IF(AND(HT94=1,ID94&gt;0,Slot1_IsWG=1,V94=1),MIN(ID94,IF94),0)</f>
        <v>0</v>
      </c>
      <c r="IH94" s="1" t="n">
        <f aca="false">W94+IG94</f>
        <v>0</v>
      </c>
      <c r="II94" s="1" t="n">
        <f aca="false">IF(V94=1,MAX(0,(Slot1_Cost-IH94*(1+Slot1_Rate)^(Slot1_Age-D94))/IE94),0)</f>
        <v>0</v>
      </c>
      <c r="IJ94" s="1" t="n">
        <f aca="false">IF(V94=1,MAX(0,(Slot1_Cost-W94*(1+Slot1_Rate)^(Slot1_Age-D94))/IE94),0)</f>
        <v>0</v>
      </c>
      <c r="IK94" s="1" t="n">
        <f aca="false">IF(AND(HT94=1,V94=1),MIN(IC94,II94),0)</f>
        <v>0</v>
      </c>
      <c r="IL94" s="1" t="n">
        <f aca="false">IC94-IK94</f>
        <v>0</v>
      </c>
      <c r="IM94" s="1" t="n">
        <f aca="false">IF(AG94=1,IF(ABS((1+AS_Wage)/(1+Slot2_Rate)-1)&lt;0.000000000001,(Slot2_Age-D94)*(1+Slot2_Rate)^(Slot2_Age-D94),(1+Slot2_Rate)^(Slot2_Age-D94)*(1-((1+AS_Wage)/(1+Slot2_Rate))^(Slot2_Age-D94))/(1-(1+AS_Wage)/(1+Slot2_Rate))),1)</f>
        <v>1</v>
      </c>
      <c r="IN94" s="1" t="n">
        <f aca="false">IF(AND(HT94=1,ID94&gt;0,Slot2_IsWG=1,AG94=1),MAX(0,(Slot2_Cost-AH94*(1+Slot2_Rate)^(Slot2_Age-D94))/IM94),0)</f>
        <v>0</v>
      </c>
      <c r="IO94" s="1" t="n">
        <f aca="false">IF(AND(HT94=1,ID94&gt;0,Slot2_IsWG=1,AG94=1),MIN(ID94,IN94),0)</f>
        <v>0</v>
      </c>
      <c r="IP94" s="1" t="n">
        <f aca="false">AH94+IO94</f>
        <v>0</v>
      </c>
      <c r="IQ94" s="1" t="n">
        <f aca="false">IF(AG94=1,MAX(0,(Slot2_Cost-IP94*(1+Slot2_Rate)^(Slot2_Age-D94))/IM94),0)</f>
        <v>0</v>
      </c>
      <c r="IR94" s="1" t="n">
        <f aca="false">IF(AG94=1,MAX(0,(Slot2_Cost-AH94*(1+Slot2_Rate)^(Slot2_Age-D94))/IM94),0)</f>
        <v>0</v>
      </c>
      <c r="IS94" s="1" t="n">
        <f aca="false">IF(AND(HT94=1,AG94=1),MIN(IL94,IQ94),0)</f>
        <v>0</v>
      </c>
      <c r="IT94" s="1" t="n">
        <f aca="false">IL94-IS94</f>
        <v>0</v>
      </c>
      <c r="IU94" s="1" t="n">
        <f aca="false">IF(AQ94=1,IF(ABS((1+AS_Wage)/(1+Slot3_Rate)-1)&lt;0.000000000001,(Slot3_Age-D94)*(1+Slot3_Rate)^(Slot3_Age-D94),(1+Slot3_Rate)^(Slot3_Age-D94)*(1-((1+AS_Wage)/(1+Slot3_Rate))^(Slot3_Age-D94))/(1-(1+AS_Wage)/(1+Slot3_Rate))),1)</f>
        <v>1</v>
      </c>
      <c r="IV94" s="1" t="n">
        <f aca="false">IF(AND(HT94=1,ID94&gt;0,Slot3_IsWG=1,AQ94=1),MAX(0,(Slot3_Cost-AR94*(1+Slot3_Rate)^(Slot3_Age-D94))/IU94),0)</f>
        <v>0</v>
      </c>
      <c r="IW94" s="1" t="n">
        <f aca="false">IF(AND(HT94=1,ID94&gt;0,Slot3_IsWG=1,AQ94=1),MIN(ID94,IV94),0)</f>
        <v>0</v>
      </c>
      <c r="IX94" s="1" t="n">
        <f aca="false">AR94+IW94</f>
        <v>0</v>
      </c>
      <c r="IY94" s="1" t="n">
        <f aca="false">IF(AQ94=1,MAX(0,(Slot3_Cost-IX94*(1+Slot3_Rate)^(Slot3_Age-D94))/IU94),0)</f>
        <v>0</v>
      </c>
      <c r="IZ94" s="1" t="n">
        <f aca="false">IF(AQ94=1,MAX(0,(Slot3_Cost-AR94*(1+Slot3_Rate)^(Slot3_Age-D94))/IU94),0)</f>
        <v>0</v>
      </c>
      <c r="JA94" s="1" t="n">
        <f aca="false">IF(AND(HT94=1,AQ94=1),MIN(IT94,IY94),0)</f>
        <v>0</v>
      </c>
      <c r="JB94" s="1" t="n">
        <f aca="false">IT94-JA94</f>
        <v>0</v>
      </c>
      <c r="JC94" s="1" t="n">
        <f aca="false">IF(BA94=1,IF(ABS((1+AS_Wage)/(1+Slot4_Rate)-1)&lt;0.000000000001,(Slot4_Age-D94)*(1+Slot4_Rate)^(Slot4_Age-D94),(1+Slot4_Rate)^(Slot4_Age-D94)*(1-((1+AS_Wage)/(1+Slot4_Rate))^(Slot4_Age-D94))/(1-(1+AS_Wage)/(1+Slot4_Rate))),1)</f>
        <v>1</v>
      </c>
      <c r="JD94" s="1" t="n">
        <f aca="false">IF(AND(HT94=1,ID94&gt;0,Slot4_IsWG=1,BA94=1),MAX(0,(Slot4_Cost-BB94*(1+Slot4_Rate)^(Slot4_Age-D94))/JC94),0)</f>
        <v>0</v>
      </c>
      <c r="JE94" s="1" t="n">
        <f aca="false">IF(AND(HT94=1,ID94&gt;0,Slot4_IsWG=1,BA94=1),MIN(ID94,JD94),0)</f>
        <v>0</v>
      </c>
      <c r="JF94" s="1" t="n">
        <f aca="false">BB94+JE94</f>
        <v>0</v>
      </c>
      <c r="JG94" s="1" t="n">
        <f aca="false">IF(BA94=1,MAX(0,(Slot4_Cost-JF94*(1+Slot4_Rate)^(Slot4_Age-D94))/JC94),0)</f>
        <v>0</v>
      </c>
      <c r="JH94" s="1" t="n">
        <f aca="false">IF(BA94=1,MAX(0,(Slot4_Cost-BB94*(1+Slot4_Rate)^(Slot4_Age-D94))/JC94),0)</f>
        <v>0</v>
      </c>
      <c r="JI94" s="1" t="n">
        <f aca="false">IF(AND(HT94=1,BA94=1),MIN(JB94,JG94),0)</f>
        <v>0</v>
      </c>
      <c r="JJ94" s="1" t="n">
        <f aca="false">JB94-JI94</f>
        <v>0</v>
      </c>
      <c r="JK94" s="1" t="n">
        <f aca="false">IF(BK94=1,IF(ABS((1+AS_Wage)/(1+Slot5_Rate)-1)&lt;0.000000000001,(Slot5_Age-D94)*(1+Slot5_Rate)^(Slot5_Age-D94),(1+Slot5_Rate)^(Slot5_Age-D94)*(1-((1+AS_Wage)/(1+Slot5_Rate))^(Slot5_Age-D94))/(1-(1+AS_Wage)/(1+Slot5_Rate))),1)</f>
        <v>1</v>
      </c>
      <c r="JL94" s="1" t="n">
        <f aca="false">IF(AND(HT94=1,ID94&gt;0,Slot5_IsWG=1,BK94=1),MAX(0,(Slot5_Cost-BL94*(1+Slot5_Rate)^(Slot5_Age-D94))/JK94),0)</f>
        <v>0</v>
      </c>
      <c r="JM94" s="1" t="n">
        <f aca="false">IF(AND(HT94=1,ID94&gt;0,Slot5_IsWG=1,BK94=1),MIN(ID94,JL94),0)</f>
        <v>0</v>
      </c>
      <c r="JN94" s="1" t="n">
        <f aca="false">BL94+JM94</f>
        <v>0</v>
      </c>
      <c r="JO94" s="1" t="n">
        <f aca="false">IF(BK94=1,MAX(0,(Slot5_Cost-JN94*(1+Slot5_Rate)^(Slot5_Age-D94))/JK94),0)</f>
        <v>0</v>
      </c>
      <c r="JP94" s="1" t="n">
        <f aca="false">IF(BK94=1,MAX(0,(Slot5_Cost-BL94*(1+Slot5_Rate)^(Slot5_Age-D94))/JK94),0)</f>
        <v>0</v>
      </c>
      <c r="JQ94" s="1" t="n">
        <f aca="false">IF(AND(HT94=1,BK94=1),MIN(JJ94,JO94),0)</f>
        <v>0</v>
      </c>
      <c r="JR94" s="1" t="n">
        <f aca="false">JJ94-JQ94</f>
        <v>0</v>
      </c>
      <c r="JS94" s="1" t="n">
        <f aca="false">IF(BU94=1,IF(ABS((1+AS_Wage)/(1+Slot6_Rate)-1)&lt;0.000000000001,(Slot6_Age-D94)*(1+Slot6_Rate)^(Slot6_Age-D94),(1+Slot6_Rate)^(Slot6_Age-D94)*(1-((1+AS_Wage)/(1+Slot6_Rate))^(Slot6_Age-D94))/(1-(1+AS_Wage)/(1+Slot6_Rate))),1)</f>
        <v>1</v>
      </c>
      <c r="JT94" s="1" t="n">
        <f aca="false">IF(AND(HT94=1,ID94&gt;0,Slot6_IsWG=1,BU94=1),MAX(0,(Slot6_Cost-BV94*(1+Slot6_Rate)^(Slot6_Age-D94))/JS94),0)</f>
        <v>0</v>
      </c>
      <c r="JU94" s="1" t="n">
        <f aca="false">IF(AND(HT94=1,ID94&gt;0,Slot6_IsWG=1,BU94=1),MIN(ID94,JT94),0)</f>
        <v>0</v>
      </c>
      <c r="JV94" s="1" t="n">
        <f aca="false">BV94+JU94</f>
        <v>0</v>
      </c>
      <c r="JW94" s="1" t="n">
        <f aca="false">IF(BU94=1,MAX(0,(Slot6_Cost-JV94*(1+Slot6_Rate)^(Slot6_Age-D94))/JS94),0)</f>
        <v>0</v>
      </c>
      <c r="JX94" s="1" t="n">
        <f aca="false">IF(BU94=1,MAX(0,(Slot6_Cost-BV94*(1+Slot6_Rate)^(Slot6_Age-D94))/JS94),0)</f>
        <v>0</v>
      </c>
      <c r="JY94" s="1" t="n">
        <f aca="false">IF(AND(HT94=1,BU94=1),MIN(JR94,JW94),0)</f>
        <v>0</v>
      </c>
      <c r="JZ94" s="1" t="n">
        <f aca="false">JR94-JY94</f>
        <v>0</v>
      </c>
      <c r="KA94" s="1" t="n">
        <f aca="false">IF(CE94=1,IF(ABS((1+AS_Wage)/(1+Slot7_Rate)-1)&lt;0.000000000001,(Slot7_Age-D94)*(1+Slot7_Rate)^(Slot7_Age-D94),(1+Slot7_Rate)^(Slot7_Age-D94)*(1-((1+AS_Wage)/(1+Slot7_Rate))^(Slot7_Age-D94))/(1-(1+AS_Wage)/(1+Slot7_Rate))),1)</f>
        <v>1</v>
      </c>
      <c r="KB94" s="1" t="n">
        <f aca="false">IF(AND(HT94=1,ID94&gt;0,Slot7_IsWG=1,CE94=1),MAX(0,(Slot7_Cost-CF94*(1+Slot7_Rate)^(Slot7_Age-D94))/KA94),0)</f>
        <v>0</v>
      </c>
      <c r="KC94" s="1" t="n">
        <f aca="false">IF(AND(HT94=1,ID94&gt;0,Slot7_IsWG=1,CE94=1),MIN(ID94,KB94),0)</f>
        <v>0</v>
      </c>
      <c r="KD94" s="1" t="n">
        <f aca="false">CF94+KC94</f>
        <v>0</v>
      </c>
      <c r="KE94" s="1" t="n">
        <f aca="false">IF(CE94=1,MAX(0,(Slot7_Cost-KD94*(1+Slot7_Rate)^(Slot7_Age-D94))/KA94),0)</f>
        <v>0</v>
      </c>
      <c r="KF94" s="1" t="n">
        <f aca="false">IF(CE94=1,MAX(0,(Slot7_Cost-CF94*(1+Slot7_Rate)^(Slot7_Age-D94))/KA94),0)</f>
        <v>0</v>
      </c>
      <c r="KG94" s="1" t="n">
        <f aca="false">IF(AND(HT94=1,CE94=1),MIN(JZ94,KE94),0)</f>
        <v>0</v>
      </c>
      <c r="KH94" s="1" t="n">
        <f aca="false">JZ94-KG94</f>
        <v>0</v>
      </c>
      <c r="KI94" s="1" t="n">
        <f aca="false">IF(CO94=1,IF(ABS((1+AS_Wage)/(1+Slot8_Rate)-1)&lt;0.000000000001,(Slot8_Age-D94)*(1+Slot8_Rate)^(Slot8_Age-D94),(1+Slot8_Rate)^(Slot8_Age-D94)*(1-((1+AS_Wage)/(1+Slot8_Rate))^(Slot8_Age-D94))/(1-(1+AS_Wage)/(1+Slot8_Rate))),1)</f>
        <v>1</v>
      </c>
      <c r="KJ94" s="1" t="n">
        <f aca="false">IF(AND(HT94=1,ID94&gt;0,Slot8_IsWG=1,CO94=1),MAX(0,(Slot8_Cost-CP94*(1+Slot8_Rate)^(Slot8_Age-D94))/KI94),0)</f>
        <v>0</v>
      </c>
      <c r="KK94" s="1" t="n">
        <f aca="false">IF(AND(HT94=1,ID94&gt;0,Slot8_IsWG=1,CO94=1),MIN(ID94,KJ94),0)</f>
        <v>0</v>
      </c>
      <c r="KL94" s="1" t="n">
        <f aca="false">CP94+KK94</f>
        <v>0</v>
      </c>
      <c r="KM94" s="1" t="n">
        <f aca="false">IF(CO94=1,MAX(0,(Slot8_Cost-KL94*(1+Slot8_Rate)^(Slot8_Age-D94))/KI94),0)</f>
        <v>0</v>
      </c>
      <c r="KN94" s="1" t="n">
        <f aca="false">IF(CO94=1,MAX(0,(Slot8_Cost-CP94*(1+Slot8_Rate)^(Slot8_Age-D94))/KI94),0)</f>
        <v>0</v>
      </c>
      <c r="KO94" s="1" t="n">
        <f aca="false">IF(AND(HT94=1,CO94=1),MIN(KH94,KM94),0)</f>
        <v>0</v>
      </c>
      <c r="KP94" s="1" t="n">
        <f aca="false">KH94-KO94</f>
        <v>0</v>
      </c>
      <c r="KQ94" s="1" t="n">
        <f aca="false">IF(CY94=1,IF(ABS((1+AS_Wage)/(1+Slot9_Rate)-1)&lt;0.000000000001,(Slot9_Age-D94)*(1+Slot9_Rate)^(Slot9_Age-D94),(1+Slot9_Rate)^(Slot9_Age-D94)*(1-((1+AS_Wage)/(1+Slot9_Rate))^(Slot9_Age-D94))/(1-(1+AS_Wage)/(1+Slot9_Rate))),1)</f>
        <v>1</v>
      </c>
      <c r="KR94" s="1" t="n">
        <f aca="false">IF(AND(HT94=1,ID94&gt;0,Slot9_IsWG=1,CY94=1),MAX(0,(Slot9_Cost-CZ94*(1+Slot9_Rate)^(Slot9_Age-D94))/KQ94),0)</f>
        <v>0</v>
      </c>
      <c r="KS94" s="1" t="n">
        <f aca="false">IF(AND(HT94=1,ID94&gt;0,Slot9_IsWG=1,CY94=1),MIN(ID94,KR94),0)</f>
        <v>0</v>
      </c>
      <c r="KT94" s="1" t="n">
        <f aca="false">CZ94+KS94</f>
        <v>0</v>
      </c>
      <c r="KU94" s="1" t="n">
        <f aca="false">IF(CY94=1,MAX(0,(Slot9_Cost-KT94*(1+Slot9_Rate)^(Slot9_Age-D94))/KQ94),0)</f>
        <v>0</v>
      </c>
      <c r="KV94" s="1" t="n">
        <f aca="false">IF(CY94=1,MAX(0,(Slot9_Cost-CZ94*(1+Slot9_Rate)^(Slot9_Age-D94))/KQ94),0)</f>
        <v>0</v>
      </c>
      <c r="KW94" s="1" t="n">
        <f aca="false">IF(AND(HT94=1,CY94=1),MIN(KP94,KU94),0)</f>
        <v>0</v>
      </c>
      <c r="KX94" s="1" t="n">
        <f aca="false">KP94-KW94</f>
        <v>0</v>
      </c>
      <c r="KY94" s="1" t="n">
        <f aca="false">IF(DI94=1,IF(ABS((1+AS_Wage)/(1+Slot10_Rate)-1)&lt;0.000000000001,(Slot10_Age-D94)*(1+Slot10_Rate)^(Slot10_Age-D94),(1+Slot10_Rate)^(Slot10_Age-D94)*(1-((1+AS_Wage)/(1+Slot10_Rate))^(Slot10_Age-D94))/(1-(1+AS_Wage)/(1+Slot10_Rate))),1)</f>
        <v>1</v>
      </c>
      <c r="KZ94" s="1" t="n">
        <f aca="false">IF(AND(HT94=1,ID94&gt;0,Slot10_IsWG=1,DI94=1),MAX(0,(Slot10_Cost-DJ94*(1+Slot10_Rate)^(Slot10_Age-D94))/KY94),0)</f>
        <v>0</v>
      </c>
      <c r="LA94" s="1" t="n">
        <f aca="false">IF(AND(HT94=1,ID94&gt;0,Slot10_IsWG=1,DI94=1),MIN(ID94,KZ94),0)</f>
        <v>0</v>
      </c>
      <c r="LB94" s="1" t="n">
        <f aca="false">DJ94+LA94</f>
        <v>0</v>
      </c>
      <c r="LC94" s="1" t="n">
        <f aca="false">IF(DI94=1,MAX(0,(Slot10_Cost-LB94*(1+Slot10_Rate)^(Slot10_Age-D94))/KY94),0)</f>
        <v>0</v>
      </c>
      <c r="LD94" s="1" t="n">
        <f aca="false">IF(DI94=1,MAX(0,(Slot10_Cost-DJ94*(1+Slot10_Rate)^(Slot10_Age-D94))/KY94),0)</f>
        <v>0</v>
      </c>
      <c r="LE94" s="1" t="n">
        <f aca="false">IF(AND(HT94=1,DI94=1),MIN(KX94,LC94),0)</f>
        <v>0</v>
      </c>
      <c r="LF94" s="1" t="n">
        <f aca="false">KX94-LE94</f>
        <v>0</v>
      </c>
      <c r="LG94" s="1" t="n">
        <f aca="false">IF(DS94=1,IF(ABS((1+AS_Wage)/(1+Slot11_Rate)-1)&lt;0.000000000001,(Slot11_Age-D94)*(1+Slot11_Rate)^(Slot11_Age-D94),(1+Slot11_Rate)^(Slot11_Age-D94)*(1-((1+AS_Wage)/(1+Slot11_Rate))^(Slot11_Age-D94))/(1-(1+AS_Wage)/(1+Slot11_Rate))),1)</f>
        <v>1</v>
      </c>
      <c r="LH94" s="1" t="n">
        <f aca="false">IF(AND(HT94=1,ID94&gt;0,Slot11_IsWG=1,DS94=1),MAX(0,(Slot11_Cost-DT94*(1+Slot11_Rate)^(Slot11_Age-D94))/LG94),0)</f>
        <v>0</v>
      </c>
      <c r="LI94" s="1" t="n">
        <f aca="false">IF(AND(HT94=1,ID94&gt;0,Slot11_IsWG=1,DS94=1),MIN(ID94,LH94),0)</f>
        <v>0</v>
      </c>
      <c r="LJ94" s="1" t="n">
        <f aca="false">DT94+LI94</f>
        <v>0</v>
      </c>
      <c r="LK94" s="1" t="n">
        <f aca="false">IF(DS94=1,MAX(0,(Slot11_Cost-LJ94*(1+Slot11_Rate)^(Slot11_Age-D94))/LG94),0)</f>
        <v>0</v>
      </c>
      <c r="LL94" s="1" t="n">
        <f aca="false">IF(DS94=1,MAX(0,(Slot11_Cost-DT94*(1+Slot11_Rate)^(Slot11_Age-D94))/LG94),0)</f>
        <v>0</v>
      </c>
      <c r="LM94" s="1" t="n">
        <f aca="false">IF(AND(HT94=1,DS94=1),MIN(LF94,LK94),0)</f>
        <v>0</v>
      </c>
      <c r="LN94" s="1" t="n">
        <f aca="false">LF94-LM94</f>
        <v>0</v>
      </c>
      <c r="LO94" s="1" t="n">
        <f aca="false">IF(EC94=1,IF(ABS((1+AS_Wage)/(1+Slot12_Rate)-1)&lt;0.000000000001,(Slot12_Age-D94)*(1+Slot12_Rate)^(Slot12_Age-D94),(1+Slot12_Rate)^(Slot12_Age-D94)*(1-((1+AS_Wage)/(1+Slot12_Rate))^(Slot12_Age-D94))/(1-(1+AS_Wage)/(1+Slot12_Rate))),1)</f>
        <v>1</v>
      </c>
      <c r="LP94" s="1" t="n">
        <f aca="false">IF(AND(HT94=1,ID94&gt;0,Slot12_IsWG=1,EC94=1),MAX(0,(Slot12_Cost-ED94*(1+Slot12_Rate)^(Slot12_Age-D94))/LO94),0)</f>
        <v>0</v>
      </c>
      <c r="LQ94" s="1" t="n">
        <f aca="false">IF(AND(HT94=1,ID94&gt;0,Slot12_IsWG=1,EC94=1),MIN(ID94,LP94),0)</f>
        <v>0</v>
      </c>
      <c r="LR94" s="1" t="n">
        <f aca="false">ED94+LQ94</f>
        <v>0</v>
      </c>
      <c r="LS94" s="1" t="n">
        <f aca="false">IF(EC94=1,MAX(0,(Slot12_Cost-LR94*(1+Slot12_Rate)^(Slot12_Age-D94))/LO94),0)</f>
        <v>0</v>
      </c>
      <c r="LT94" s="1" t="n">
        <f aca="false">IF(EC94=1,MAX(0,(Slot12_Cost-ED94*(1+Slot12_Rate)^(Slot12_Age-D94))/LO94),0)</f>
        <v>0</v>
      </c>
      <c r="LU94" s="1" t="n">
        <f aca="false">IF(AND(HT94=1,EC94=1),MIN(LN94,LS94),0)</f>
        <v>0</v>
      </c>
      <c r="LV94" s="1" t="n">
        <f aca="false">LN94-LU94</f>
        <v>0</v>
      </c>
      <c r="LW94" s="1" t="n">
        <f aca="false">IF(EM94=1,IF(ABS((1+AS_Wage)/(1+Slot13_Rate)-1)&lt;0.000000000001,(Slot13_Age-D94)*(1+Slot13_Rate)^(Slot13_Age-D94),(1+Slot13_Rate)^(Slot13_Age-D94)*(1-((1+AS_Wage)/(1+Slot13_Rate))^(Slot13_Age-D94))/(1-(1+AS_Wage)/(1+Slot13_Rate))),1)</f>
        <v>1</v>
      </c>
      <c r="LX94" s="1" t="n">
        <f aca="false">IF(AND(HT94=1,ID94&gt;0,Slot13_IsWG=1,EM94=1),MAX(0,(Slot13_Cost-EN94*(1+Slot13_Rate)^(Slot13_Age-D94))/LW94),0)</f>
        <v>0</v>
      </c>
      <c r="LY94" s="1" t="n">
        <f aca="false">IF(AND(HT94=1,ID94&gt;0,Slot13_IsWG=1,EM94=1),MIN(ID94,LX94),0)</f>
        <v>0</v>
      </c>
      <c r="LZ94" s="1" t="n">
        <f aca="false">EN94+LY94</f>
        <v>0</v>
      </c>
      <c r="MA94" s="1" t="n">
        <f aca="false">IF(EM94=1,MAX(0,(Slot13_Cost-LZ94*(1+Slot13_Rate)^(Slot13_Age-D94))/LW94),0)</f>
        <v>0</v>
      </c>
      <c r="MB94" s="1" t="n">
        <f aca="false">IF(EM94=1,MAX(0,(Slot13_Cost-EN94*(1+Slot13_Rate)^(Slot13_Age-D94))/LW94),0)</f>
        <v>0</v>
      </c>
      <c r="MC94" s="1" t="n">
        <f aca="false">IF(AND(HT94=1,EM94=1),MIN(LV94,MA94),0)</f>
        <v>0</v>
      </c>
      <c r="MD94" s="1" t="n">
        <f aca="false">LV94-MC94</f>
        <v>0</v>
      </c>
      <c r="ME94" s="1" t="n">
        <f aca="false">IF(EW94=1,IF(ABS((1+AS_Wage)/(1+Slot14_Rate)-1)&lt;0.000000000001,(Slot14_Age-D94)*(1+Slot14_Rate)^(Slot14_Age-D94),(1+Slot14_Rate)^(Slot14_Age-D94)*(1-((1+AS_Wage)/(1+Slot14_Rate))^(Slot14_Age-D94))/(1-(1+AS_Wage)/(1+Slot14_Rate))),1)</f>
        <v>1</v>
      </c>
      <c r="MF94" s="1" t="n">
        <f aca="false">IF(AND(HT94=1,ID94&gt;0,Slot14_IsWG=1,EW94=1),MAX(0,(Slot14_Cost-EX94*(1+Slot14_Rate)^(Slot14_Age-D94))/ME94),0)</f>
        <v>0</v>
      </c>
      <c r="MG94" s="1" t="n">
        <f aca="false">IF(AND(HT94=1,ID94&gt;0,Slot14_IsWG=1,EW94=1),MIN(ID94,MF94),0)</f>
        <v>0</v>
      </c>
      <c r="MH94" s="1" t="n">
        <f aca="false">EX94+MG94</f>
        <v>0</v>
      </c>
      <c r="MI94" s="1" t="n">
        <f aca="false">IF(EW94=1,MAX(0,(Slot14_Cost-MH94*(1+Slot14_Rate)^(Slot14_Age-D94))/ME94),0)</f>
        <v>0</v>
      </c>
      <c r="MJ94" s="1" t="n">
        <f aca="false">IF(EW94=1,MAX(0,(Slot14_Cost-EX94*(1+Slot14_Rate)^(Slot14_Age-D94))/ME94),0)</f>
        <v>0</v>
      </c>
      <c r="MK94" s="1" t="n">
        <f aca="false">IF(AND(HT94=1,EW94=1),MIN(MD94,MI94),0)</f>
        <v>0</v>
      </c>
      <c r="ML94" s="1" t="n">
        <f aca="false">MD94-MK94</f>
        <v>0</v>
      </c>
      <c r="MM94" s="1" t="n">
        <f aca="false">IF(FG94=1,IF(ABS((1+AS_Wage)/(1+Slot15_Rate)-1)&lt;0.000000000001,(Slot15_Age-D94)*(1+Slot15_Rate)^(Slot15_Age-D94),(1+Slot15_Rate)^(Slot15_Age-D94)*(1-((1+AS_Wage)/(1+Slot15_Rate))^(Slot15_Age-D94))/(1-(1+AS_Wage)/(1+Slot15_Rate))),1)</f>
        <v>1</v>
      </c>
      <c r="MN94" s="1" t="n">
        <f aca="false">IF(AND(HT94=1,ID94&gt;0,Slot15_IsWG=1,FG94=1),MAX(0,(Slot15_Cost-FH94*(1+Slot15_Rate)^(Slot15_Age-D94))/MM94),0)</f>
        <v>0</v>
      </c>
      <c r="MO94" s="1" t="n">
        <f aca="false">IF(AND(HT94=1,ID94&gt;0,Slot15_IsWG=1,FG94=1),MIN(ID94,MN94),0)</f>
        <v>0</v>
      </c>
      <c r="MP94" s="1" t="n">
        <f aca="false">FH94+MO94</f>
        <v>0</v>
      </c>
      <c r="MQ94" s="1" t="n">
        <f aca="false">IF(FG94=1,MAX(0,(Slot15_Cost-MP94*(1+Slot15_Rate)^(Slot15_Age-D94))/MM94),0)</f>
        <v>0</v>
      </c>
      <c r="MR94" s="1" t="n">
        <f aca="false">IF(FG94=1,MAX(0,(Slot15_Cost-FH94*(1+Slot15_Rate)^(Slot15_Age-D94))/MM94),0)</f>
        <v>0</v>
      </c>
      <c r="MS94" s="1" t="n">
        <f aca="false">IF(AND(HT94=1,FG94=1),MIN(ML94,MQ94),0)</f>
        <v>0</v>
      </c>
      <c r="MT94" s="1" t="n">
        <f aca="false">ML94-MS94</f>
        <v>0</v>
      </c>
      <c r="MU94" s="1" t="n">
        <f aca="false">IF(FQ94=1,IF(ABS((1+AS_Wage)/(1+Slot16_Rate)-1)&lt;0.000000000001,(Slot16_Age-D94)*(1+Slot16_Rate)^(Slot16_Age-D94),(1+Slot16_Rate)^(Slot16_Age-D94)*(1-((1+AS_Wage)/(1+Slot16_Rate))^(Slot16_Age-D94))/(1-(1+AS_Wage)/(1+Slot16_Rate))),1)</f>
        <v>1</v>
      </c>
      <c r="MV94" s="1" t="n">
        <f aca="false">IF(AND(HT94=1,ID94&gt;0,Slot16_IsWG=1,FQ94=1),MAX(0,(Slot16_Cost-FR94*(1+Slot16_Rate)^(Slot16_Age-D94))/MU94),0)</f>
        <v>0</v>
      </c>
      <c r="MW94" s="1" t="n">
        <f aca="false">IF(AND(HT94=1,ID94&gt;0,Slot16_IsWG=1,FQ94=1),MIN(ID94,MV94),0)</f>
        <v>0</v>
      </c>
      <c r="MX94" s="1" t="n">
        <f aca="false">FR94+MW94</f>
        <v>0</v>
      </c>
      <c r="MY94" s="1" t="n">
        <f aca="false">IF(FQ94=1,MAX(0,(Slot16_Cost-MX94*(1+Slot16_Rate)^(Slot16_Age-D94))/MU94),0)</f>
        <v>0</v>
      </c>
      <c r="MZ94" s="1" t="n">
        <f aca="false">IF(FQ94=1,MAX(0,(Slot16_Cost-FR94*(1+Slot16_Rate)^(Slot16_Age-D94))/MU94),0)</f>
        <v>0</v>
      </c>
      <c r="NA94" s="1" t="n">
        <f aca="false">IF(AND(HT94=1,FQ94=1),MIN(MT94,MY94),0)</f>
        <v>0</v>
      </c>
      <c r="NB94" s="1" t="n">
        <f aca="false">MT94-NA94</f>
        <v>0</v>
      </c>
      <c r="NC94" s="1" t="n">
        <f aca="false">IF(GA94=1,IF(ABS((1+AS_Wage)/(1+Slot17_Rate)-1)&lt;0.000000000001,(Slot17_Age-D94)*(1+Slot17_Rate)^(Slot17_Age-D94),(1+Slot17_Rate)^(Slot17_Age-D94)*(1-((1+AS_Wage)/(1+Slot17_Rate))^(Slot17_Age-D94))/(1-(1+AS_Wage)/(1+Slot17_Rate))),1)</f>
        <v>1</v>
      </c>
      <c r="ND94" s="1" t="n">
        <f aca="false">IF(AND(HT94=1,ID94&gt;0,Slot17_IsWG=1,GA94=1),MAX(0,(Slot17_Cost-GB94*(1+Slot17_Rate)^(Slot17_Age-D94))/NC94),0)</f>
        <v>0</v>
      </c>
      <c r="NE94" s="1" t="n">
        <f aca="false">IF(AND(HT94=1,ID94&gt;0,Slot17_IsWG=1,GA94=1),MIN(ID94,ND94),0)</f>
        <v>0</v>
      </c>
      <c r="NF94" s="1" t="n">
        <f aca="false">GB94+NE94</f>
        <v>0</v>
      </c>
      <c r="NG94" s="1" t="n">
        <f aca="false">IF(GA94=1,MAX(0,(Slot17_Cost-NF94*(1+Slot17_Rate)^(Slot17_Age-D94))/NC94),0)</f>
        <v>0</v>
      </c>
      <c r="NH94" s="1" t="n">
        <f aca="false">IF(GA94=1,MAX(0,(Slot17_Cost-GB94*(1+Slot17_Rate)^(Slot17_Age-D94))/NC94),0)</f>
        <v>0</v>
      </c>
      <c r="NI94" s="1" t="n">
        <f aca="false">IF(AND(HT94=1,GA94=1),MIN(NB94,NG94),0)</f>
        <v>0</v>
      </c>
      <c r="NJ94" s="1" t="n">
        <f aca="false">NB94-NI94</f>
        <v>0</v>
      </c>
      <c r="NK94" s="1" t="n">
        <f aca="false">IF(GK94=1,IF(ABS((1+AS_Wage)/(1+Slot18_Rate)-1)&lt;0.000000000001,(Slot18_Age-D94)*(1+Slot18_Rate)^(Slot18_Age-D94),(1+Slot18_Rate)^(Slot18_Age-D94)*(1-((1+AS_Wage)/(1+Slot18_Rate))^(Slot18_Age-D94))/(1-(1+AS_Wage)/(1+Slot18_Rate))),1)</f>
        <v>1</v>
      </c>
      <c r="NL94" s="1" t="n">
        <f aca="false">IF(AND(HT94=1,ID94&gt;0,Slot18_IsWG=1,GK94=1),MAX(0,(Slot18_Cost-GL94*(1+Slot18_Rate)^(Slot18_Age-D94))/NK94),0)</f>
        <v>0</v>
      </c>
      <c r="NM94" s="1" t="n">
        <f aca="false">IF(AND(HT94=1,ID94&gt;0,Slot18_IsWG=1,GK94=1),MIN(ID94,NL94),0)</f>
        <v>0</v>
      </c>
      <c r="NN94" s="1" t="n">
        <f aca="false">GL94+NM94</f>
        <v>0</v>
      </c>
      <c r="NO94" s="1" t="n">
        <f aca="false">IF(GK94=1,MAX(0,(Slot18_Cost-NN94*(1+Slot18_Rate)^(Slot18_Age-D94))/NK94),0)</f>
        <v>0</v>
      </c>
      <c r="NP94" s="1" t="n">
        <f aca="false">IF(GK94=1,MAX(0,(Slot18_Cost-GL94*(1+Slot18_Rate)^(Slot18_Age-D94))/NK94),0)</f>
        <v>0</v>
      </c>
      <c r="NQ94" s="1" t="n">
        <f aca="false">IF(AND(HT94=1,GK94=1),MIN(NJ94,NO94),0)</f>
        <v>0</v>
      </c>
      <c r="NR94" s="1" t="n">
        <f aca="false">NJ94-NQ94</f>
        <v>0</v>
      </c>
      <c r="NS94" s="1" t="n">
        <f aca="false">IF(GU94=1,IF(ABS((1+AS_Wage)/(1+Slot19_Rate)-1)&lt;0.000000000001,(Slot19_Age-D94)*(1+Slot19_Rate)^(Slot19_Age-D94),(1+Slot19_Rate)^(Slot19_Age-D94)*(1-((1+AS_Wage)/(1+Slot19_Rate))^(Slot19_Age-D94))/(1-(1+AS_Wage)/(1+Slot19_Rate))),1)</f>
        <v>1</v>
      </c>
      <c r="NT94" s="1" t="n">
        <f aca="false">IF(AND(HT94=1,ID94&gt;0,Slot19_IsWG=1,GU94=1),MAX(0,(Slot19_Cost-GV94*(1+Slot19_Rate)^(Slot19_Age-D94))/NS94),0)</f>
        <v>0</v>
      </c>
      <c r="NU94" s="1" t="n">
        <f aca="false">IF(AND(HT94=1,ID94&gt;0,Slot19_IsWG=1,GU94=1),MIN(ID94,NT94),0)</f>
        <v>0</v>
      </c>
      <c r="NV94" s="1" t="n">
        <f aca="false">GV94+NU94</f>
        <v>0</v>
      </c>
      <c r="NW94" s="1" t="n">
        <f aca="false">IF(GU94=1,MAX(0,(Slot19_Cost-NV94*(1+Slot19_Rate)^(Slot19_Age-D94))/NS94),0)</f>
        <v>0</v>
      </c>
      <c r="NX94" s="1" t="n">
        <f aca="false">IF(GU94=1,MAX(0,(Slot19_Cost-GV94*(1+Slot19_Rate)^(Slot19_Age-D94))/NS94),0)</f>
        <v>0</v>
      </c>
      <c r="NY94" s="1" t="n">
        <f aca="false">IF(AND(HT94=1,GU94=1),MIN(NR94,NW94),0)</f>
        <v>0</v>
      </c>
      <c r="NZ94" s="1" t="n">
        <f aca="false">NR94-NY94</f>
        <v>0</v>
      </c>
      <c r="OA94" s="1" t="n">
        <f aca="false">IF(HE94=1,IF(ABS((1+AS_Wage)/(1+Slot20_Rate)-1)&lt;0.000000000001,(Slot20_Age-D94)*(1+Slot20_Rate)^(Slot20_Age-D94),(1+Slot20_Rate)^(Slot20_Age-D94)*(1-((1+AS_Wage)/(1+Slot20_Rate))^(Slot20_Age-D94))/(1-(1+AS_Wage)/(1+Slot20_Rate))),1)</f>
        <v>1</v>
      </c>
      <c r="OB94" s="1" t="n">
        <f aca="false">IF(AND(HT94=1,ID94&gt;0,Slot20_IsWG=1,HE94=1),MAX(0,(Slot20_Cost-HF94*(1+Slot20_Rate)^(Slot20_Age-D94))/OA94),0)</f>
        <v>0</v>
      </c>
      <c r="OC94" s="1" t="n">
        <f aca="false">IF(AND(HT94=1,ID94&gt;0,Slot20_IsWG=1,HE94=1),MIN(ID94,OB94),0)</f>
        <v>0</v>
      </c>
      <c r="OD94" s="1" t="n">
        <f aca="false">HF94+OC94</f>
        <v>0</v>
      </c>
      <c r="OE94" s="1" t="n">
        <f aca="false">IF(HE94=1,MAX(0,(Slot20_Cost-OD94*(1+Slot20_Rate)^(Slot20_Age-D94))/OA94),0)</f>
        <v>0</v>
      </c>
      <c r="OF94" s="1" t="n">
        <f aca="false">IF(HE94=1,MAX(0,(Slot20_Cost-HF94*(1+Slot20_Rate)^(Slot20_Age-D94))/OA94),0)</f>
        <v>0</v>
      </c>
      <c r="OG94" s="1" t="n">
        <f aca="false">IF(AND(HT94=1,HE94=1),MIN(NZ94,OE94),0)</f>
        <v>0</v>
      </c>
      <c r="OH94" s="1" t="n">
        <f aca="false">NZ94-OG94</f>
        <v>0</v>
      </c>
      <c r="OI94" s="1" t="n">
        <f aca="false">ID94-(IG94+IO94+IW94+JE94+JM94+JU94+KC94+KK94+KS94+LA94+LI94+LQ94+LY94+MG94+MO94+MW94+NE94+NM94+NU94+OC94)</f>
        <v>0</v>
      </c>
      <c r="OJ94" s="1" t="n">
        <f aca="false">IF(HT94=1,HR94-IC94-ID94,0)</f>
        <v>71217.0881963937</v>
      </c>
      <c r="OK94" s="1" t="n">
        <f aca="false">IF(HT94=0,-HR94,0)</f>
        <v>0</v>
      </c>
      <c r="OL94" s="1" t="n">
        <f aca="false">MIN(OK94,HJ94)</f>
        <v>0</v>
      </c>
      <c r="OM94" s="1" t="n">
        <f aca="false">OK94-OL94</f>
        <v>0</v>
      </c>
      <c r="ON94" s="1" t="n">
        <f aca="false">MIN(OM94,HK94)</f>
        <v>0</v>
      </c>
      <c r="OO94" s="1" t="n">
        <f aca="false">OM94-ON94</f>
        <v>0</v>
      </c>
      <c r="OP94" s="1" t="n">
        <f aca="false">IF(AND(HT94=0,HE94=1,OO94&gt;0),MIN(OO94,HF94),0)</f>
        <v>0</v>
      </c>
      <c r="OQ94" s="1" t="n">
        <f aca="false">OO94-OP94</f>
        <v>0</v>
      </c>
      <c r="OR94" s="1" t="n">
        <f aca="false">IF(AND(HT94=0,GU94=1,OQ94&gt;0),MIN(OQ94,GV94),0)</f>
        <v>0</v>
      </c>
      <c r="OS94" s="1" t="n">
        <f aca="false">OQ94-OR94</f>
        <v>0</v>
      </c>
      <c r="OT94" s="1" t="n">
        <f aca="false">IF(AND(HT94=0,GK94=1,OS94&gt;0),MIN(OS94,GL94),0)</f>
        <v>0</v>
      </c>
      <c r="OU94" s="1" t="n">
        <f aca="false">OS94-OT94</f>
        <v>0</v>
      </c>
      <c r="OV94" s="1" t="n">
        <f aca="false">IF(AND(HT94=0,GA94=1,OU94&gt;0),MIN(OU94,GB94),0)</f>
        <v>0</v>
      </c>
      <c r="OW94" s="1" t="n">
        <f aca="false">OU94-OV94</f>
        <v>0</v>
      </c>
      <c r="OX94" s="1" t="n">
        <f aca="false">IF(AND(HT94=0,FQ94=1,OW94&gt;0),MIN(OW94,FR94),0)</f>
        <v>0</v>
      </c>
      <c r="OY94" s="1" t="n">
        <f aca="false">OW94-OX94</f>
        <v>0</v>
      </c>
      <c r="OZ94" s="1" t="n">
        <f aca="false">IF(AND(HT94=0,FG94=1,OY94&gt;0),MIN(OY94,FH94),0)</f>
        <v>0</v>
      </c>
      <c r="PA94" s="1" t="n">
        <f aca="false">OY94-OZ94</f>
        <v>0</v>
      </c>
      <c r="PB94" s="1" t="n">
        <f aca="false">IF(AND(HT94=0,EW94=1,PA94&gt;0),MIN(PA94,EX94),0)</f>
        <v>0</v>
      </c>
      <c r="PC94" s="1" t="n">
        <f aca="false">PA94-PB94</f>
        <v>0</v>
      </c>
      <c r="PD94" s="1" t="n">
        <f aca="false">IF(AND(HT94=0,EM94=1,PC94&gt;0),MIN(PC94,EN94),0)</f>
        <v>0</v>
      </c>
      <c r="PE94" s="1" t="n">
        <f aca="false">PC94-PD94</f>
        <v>0</v>
      </c>
      <c r="PF94" s="1" t="n">
        <f aca="false">IF(AND(HT94=0,EC94=1,PE94&gt;0),MIN(PE94,ED94),0)</f>
        <v>0</v>
      </c>
      <c r="PG94" s="1" t="n">
        <f aca="false">PE94-PF94</f>
        <v>0</v>
      </c>
      <c r="PH94" s="1" t="n">
        <f aca="false">IF(AND(HT94=0,DS94=1,PG94&gt;0),MIN(PG94,DT94),0)</f>
        <v>0</v>
      </c>
      <c r="PI94" s="1" t="n">
        <f aca="false">PG94-PH94</f>
        <v>0</v>
      </c>
      <c r="PJ94" s="1" t="n">
        <f aca="false">IF(AND(HT94=0,DI94=1,PI94&gt;0),MIN(PI94,DJ94),0)</f>
        <v>0</v>
      </c>
      <c r="PK94" s="1" t="n">
        <f aca="false">PI94-PJ94</f>
        <v>0</v>
      </c>
      <c r="PL94" s="1" t="n">
        <f aca="false">IF(AND(HT94=0,CY94=1,PK94&gt;0),MIN(PK94,CZ94),0)</f>
        <v>0</v>
      </c>
      <c r="PM94" s="1" t="n">
        <f aca="false">PK94-PL94</f>
        <v>0</v>
      </c>
      <c r="PN94" s="1" t="n">
        <f aca="false">IF(AND(HT94=0,CO94=1,PM94&gt;0),MIN(PM94,CP94),0)</f>
        <v>0</v>
      </c>
      <c r="PO94" s="1" t="n">
        <f aca="false">PM94-PN94</f>
        <v>0</v>
      </c>
      <c r="PP94" s="1" t="n">
        <f aca="false">IF(AND(HT94=0,CE94=1,PO94&gt;0),MIN(PO94,CF94),0)</f>
        <v>0</v>
      </c>
      <c r="PQ94" s="1" t="n">
        <f aca="false">PO94-PP94</f>
        <v>0</v>
      </c>
      <c r="PR94" s="1" t="n">
        <f aca="false">IF(AND(HT94=0,BU94=1,PQ94&gt;0),MIN(PQ94,BV94),0)</f>
        <v>0</v>
      </c>
      <c r="PS94" s="1" t="n">
        <f aca="false">PQ94-PR94</f>
        <v>0</v>
      </c>
      <c r="PT94" s="1" t="n">
        <f aca="false">IF(AND(HT94=0,BK94=1,PS94&gt;0),MIN(PS94,BL94),0)</f>
        <v>0</v>
      </c>
      <c r="PU94" s="1" t="n">
        <f aca="false">PS94-PT94</f>
        <v>0</v>
      </c>
      <c r="PV94" s="1" t="n">
        <f aca="false">IF(AND(HT94=0,BA94=1,PU94&gt;0),MIN(PU94,BB94),0)</f>
        <v>0</v>
      </c>
      <c r="PW94" s="1" t="n">
        <f aca="false">PU94-PV94</f>
        <v>0</v>
      </c>
      <c r="PX94" s="1" t="n">
        <f aca="false">IF(AND(HT94=0,AQ94=1,PW94&gt;0),MIN(PW94,AR94),0)</f>
        <v>0</v>
      </c>
      <c r="PY94" s="1" t="n">
        <f aca="false">PW94-PX94</f>
        <v>0</v>
      </c>
      <c r="PZ94" s="1" t="n">
        <f aca="false">IF(AND(HT94=0,AG94=1,PY94&gt;0),MIN(PY94,AH94),0)</f>
        <v>0</v>
      </c>
      <c r="QA94" s="1" t="n">
        <f aca="false">PY94-PZ94</f>
        <v>0</v>
      </c>
      <c r="QB94" s="1" t="n">
        <f aca="false">IF(AND(HT94=0,V94=1,QA94&gt;0),MIN(QA94,W94),0)</f>
        <v>0</v>
      </c>
      <c r="QC94" s="1" t="n">
        <f aca="false">QA94-QB94</f>
        <v>0</v>
      </c>
      <c r="QD94" s="1" t="n">
        <f aca="false">IF(HT94=0,QC94,0)</f>
        <v>0</v>
      </c>
      <c r="QE94" s="1" t="n">
        <f aca="false">OL94+ON94+QB94+PZ94+PX94+PV94+PT94+PR94+PP94+PN94+PL94+PJ94+PH94+PF94+PD94+PB94+OZ94+OX94+OV94+OT94+OR94+OP94</f>
        <v>0</v>
      </c>
      <c r="QF94" s="1" t="n">
        <f aca="false">IF(HT94=1,HJ94+OI94+OH94+IF(F94=1,0,OJ94),HJ94-OL94)</f>
        <v>1405823.8748793</v>
      </c>
      <c r="QG94" s="1" t="n">
        <f aca="false">HK94-ON94</f>
        <v>0</v>
      </c>
      <c r="QH94" s="1" t="n">
        <f aca="false">IF(HT94=1,IF(F94=1,IC94+ID94,HR94),0)</f>
        <v>71217.0881963937</v>
      </c>
      <c r="QI94" s="1" t="n">
        <f aca="false">IF(HT94=1,IF(F94=1,HR94-IC94-ID94,0),0)</f>
        <v>0</v>
      </c>
      <c r="QJ94" s="1" t="n">
        <f aca="false">QF94*(1+GR)</f>
        <v>1428879.38642732</v>
      </c>
      <c r="QK94" s="1" t="n">
        <f aca="false">QG94*(1+AS_Cash)</f>
        <v>0</v>
      </c>
      <c r="QL94" s="1" t="n">
        <f aca="false">IF(V94=1,IF(HT94=1,IH94+IK94,W94-QB94)*(1+Slot1_Rate),0)</f>
        <v>0</v>
      </c>
      <c r="QM94" s="1" t="n">
        <f aca="false">IF(AND(HT94=1,V94=1),(IG94+IK94)/E94,0)</f>
        <v>0</v>
      </c>
      <c r="QN94" s="1" t="n">
        <f aca="false">IF(B94=0,IG94+IK94,0)</f>
        <v>0</v>
      </c>
      <c r="QO94" s="1" t="n">
        <f aca="false">IF(B94=0,IF(HT94=1,II94,IJ94),0)</f>
        <v>0</v>
      </c>
      <c r="QP94" s="1" t="n">
        <f aca="false">IF(AG94=1,IF(HT94=1,IP94+IS94,AH94-PZ94)*(1+Slot2_Rate),0)</f>
        <v>0</v>
      </c>
      <c r="QQ94" s="1" t="n">
        <f aca="false">IF(AND(HT94=1,AG94=1),(IO94+IS94)/E94,0)</f>
        <v>0</v>
      </c>
      <c r="QR94" s="1" t="n">
        <f aca="false">IF(B94=0,IO94+IS94,0)</f>
        <v>0</v>
      </c>
      <c r="QS94" s="1" t="n">
        <f aca="false">IF(B94=0,IF(HT94=1,IQ94,IR94),0)</f>
        <v>0</v>
      </c>
      <c r="QT94" s="1" t="n">
        <f aca="false">IF(AQ94=1,IF(HT94=1,IX94+JA94,AR94-PX94)*(1+Slot3_Rate),0)</f>
        <v>0</v>
      </c>
      <c r="QU94" s="1" t="n">
        <f aca="false">IF(AND(HT94=1,AQ94=1),(IW94+JA94)/E94,0)</f>
        <v>0</v>
      </c>
      <c r="QV94" s="1" t="n">
        <f aca="false">IF(B94=0,IW94+JA94,0)</f>
        <v>0</v>
      </c>
      <c r="QW94" s="1" t="n">
        <f aca="false">IF(B94=0,IF(HT94=1,IY94,IZ94),0)</f>
        <v>0</v>
      </c>
      <c r="QX94" s="1" t="n">
        <f aca="false">IF(BA94=1,IF(HT94=1,JF94+JI94,BB94-PV94)*(1+Slot4_Rate),0)</f>
        <v>0</v>
      </c>
      <c r="QY94" s="1" t="n">
        <f aca="false">IF(AND(HT94=1,BA94=1),(JE94+JI94)/E94,0)</f>
        <v>0</v>
      </c>
      <c r="QZ94" s="1" t="n">
        <f aca="false">IF(B94=0,JE94+JI94,0)</f>
        <v>0</v>
      </c>
      <c r="RA94" s="1" t="n">
        <f aca="false">IF(B94=0,IF(HT94=1,JG94,JH94),0)</f>
        <v>0</v>
      </c>
      <c r="RB94" s="1" t="n">
        <f aca="false">IF(BK94=1,IF(HT94=1,JN94+JQ94,BL94-PT94)*(1+Slot5_Rate),0)</f>
        <v>0</v>
      </c>
      <c r="RC94" s="1" t="n">
        <f aca="false">IF(AND(HT94=1,BK94=1),(JM94+JQ94)/E94,0)</f>
        <v>0</v>
      </c>
      <c r="RD94" s="1" t="n">
        <f aca="false">IF(B94=0,JM94+JQ94,0)</f>
        <v>0</v>
      </c>
      <c r="RE94" s="1" t="n">
        <f aca="false">IF(B94=0,IF(HT94=1,JO94,JP94),0)</f>
        <v>0</v>
      </c>
      <c r="RF94" s="1" t="n">
        <f aca="false">IF(BU94=1,IF(HT94=1,JV94+JY94,BV94-PR94)*(1+Slot6_Rate),0)</f>
        <v>0</v>
      </c>
      <c r="RG94" s="1" t="n">
        <f aca="false">IF(AND(HT94=1,BU94=1),(JU94+JY94)/E94,0)</f>
        <v>0</v>
      </c>
      <c r="RH94" s="1" t="n">
        <f aca="false">IF(B94=0,JU94+JY94,0)</f>
        <v>0</v>
      </c>
      <c r="RI94" s="1" t="n">
        <f aca="false">IF(B94=0,IF(HT94=1,JW94,JX94),0)</f>
        <v>0</v>
      </c>
      <c r="RJ94" s="1" t="n">
        <f aca="false">IF(CE94=1,IF(HT94=1,KD94+KG94,CF94-PP94)*(1+Slot7_Rate),0)</f>
        <v>0</v>
      </c>
      <c r="RK94" s="1" t="n">
        <f aca="false">IF(AND(HT94=1,CE94=1),(KC94+KG94)/E94,0)</f>
        <v>0</v>
      </c>
      <c r="RL94" s="1" t="n">
        <f aca="false">IF(B94=0,KC94+KG94,0)</f>
        <v>0</v>
      </c>
      <c r="RM94" s="1" t="n">
        <f aca="false">IF(B94=0,IF(HT94=1,KE94,KF94),0)</f>
        <v>0</v>
      </c>
      <c r="RN94" s="1" t="n">
        <f aca="false">IF(CO94=1,IF(HT94=1,KL94+KO94,CP94-PN94)*(1+Slot8_Rate),0)</f>
        <v>0</v>
      </c>
      <c r="RO94" s="1" t="n">
        <f aca="false">IF(AND(HT94=1,CO94=1),(KK94+KO94)/E94,0)</f>
        <v>0</v>
      </c>
      <c r="RP94" s="1" t="n">
        <f aca="false">IF(B94=0,KK94+KO94,0)</f>
        <v>0</v>
      </c>
      <c r="RQ94" s="1" t="n">
        <f aca="false">IF(B94=0,IF(HT94=1,KM94,KN94),0)</f>
        <v>0</v>
      </c>
      <c r="RR94" s="1" t="n">
        <f aca="false">IF(CY94=1,IF(HT94=1,KT94+KW94,CZ94-PL94)*(1+Slot9_Rate),0)</f>
        <v>0</v>
      </c>
      <c r="RS94" s="1" t="n">
        <f aca="false">IF(AND(HT94=1,CY94=1),(KS94+KW94)/E94,0)</f>
        <v>0</v>
      </c>
      <c r="RT94" s="1" t="n">
        <f aca="false">IF(B94=0,KS94+KW94,0)</f>
        <v>0</v>
      </c>
      <c r="RU94" s="1" t="n">
        <f aca="false">IF(B94=0,IF(HT94=1,KU94,KV94),0)</f>
        <v>0</v>
      </c>
      <c r="RV94" s="1" t="n">
        <f aca="false">IF(DI94=1,IF(HT94=1,LB94+LE94,DJ94-PJ94)*(1+Slot10_Rate),0)</f>
        <v>0</v>
      </c>
      <c r="RW94" s="1" t="n">
        <f aca="false">IF(AND(HT94=1,DI94=1),(LA94+LE94)/E94,0)</f>
        <v>0</v>
      </c>
      <c r="RX94" s="1" t="n">
        <f aca="false">IF(B94=0,LA94+LE94,0)</f>
        <v>0</v>
      </c>
      <c r="RY94" s="1" t="n">
        <f aca="false">IF(B94=0,IF(HT94=1,LC94,LD94),0)</f>
        <v>0</v>
      </c>
      <c r="RZ94" s="1" t="n">
        <f aca="false">IF(DS94=1,IF(HT94=1,LJ94+LM94,DT94-PH94)*(1+Slot11_Rate),0)</f>
        <v>0</v>
      </c>
      <c r="SA94" s="1" t="n">
        <f aca="false">IF(AND(HT94=1,DS94=1),(LI94+LM94)/E94,0)</f>
        <v>0</v>
      </c>
      <c r="SB94" s="1" t="n">
        <f aca="false">IF(B94=0,LI94+LM94,0)</f>
        <v>0</v>
      </c>
      <c r="SC94" s="1" t="n">
        <f aca="false">IF(B94=0,IF(HT94=1,LK94,LL94),0)</f>
        <v>0</v>
      </c>
      <c r="SD94" s="1" t="n">
        <f aca="false">IF(EC94=1,IF(HT94=1,LR94+LU94,ED94-PF94)*(1+Slot12_Rate),0)</f>
        <v>0</v>
      </c>
      <c r="SE94" s="1" t="n">
        <f aca="false">IF(AND(HT94=1,EC94=1),(LQ94+LU94)/E94,0)</f>
        <v>0</v>
      </c>
      <c r="SF94" s="1" t="n">
        <f aca="false">IF(B94=0,LQ94+LU94,0)</f>
        <v>0</v>
      </c>
      <c r="SG94" s="1" t="n">
        <f aca="false">IF(B94=0,IF(HT94=1,LS94,LT94),0)</f>
        <v>0</v>
      </c>
      <c r="SH94" s="1" t="n">
        <f aca="false">IF(EM94=1,IF(HT94=1,LZ94+MC94,EN94-PD94)*(1+Slot13_Rate),0)</f>
        <v>0</v>
      </c>
      <c r="SI94" s="1" t="n">
        <f aca="false">IF(AND(HT94=1,EM94=1),(LY94+MC94)/E94,0)</f>
        <v>0</v>
      </c>
      <c r="SJ94" s="1" t="n">
        <f aca="false">IF(B94=0,LY94+MC94,0)</f>
        <v>0</v>
      </c>
      <c r="SK94" s="1" t="n">
        <f aca="false">IF(B94=0,IF(HT94=1,MA94,MB94),0)</f>
        <v>0</v>
      </c>
      <c r="SL94" s="1" t="n">
        <f aca="false">IF(EW94=1,IF(HT94=1,MH94+MK94,EX94-PB94)*(1+Slot14_Rate),0)</f>
        <v>0</v>
      </c>
      <c r="SM94" s="1" t="n">
        <f aca="false">IF(AND(HT94=1,EW94=1),(MG94+MK94)/E94,0)</f>
        <v>0</v>
      </c>
      <c r="SN94" s="1" t="n">
        <f aca="false">IF(B94=0,MG94+MK94,0)</f>
        <v>0</v>
      </c>
      <c r="SO94" s="1" t="n">
        <f aca="false">IF(B94=0,IF(HT94=1,MI94,MJ94),0)</f>
        <v>0</v>
      </c>
      <c r="SP94" s="1" t="n">
        <f aca="false">IF(FG94=1,IF(HT94=1,MP94+MS94,FH94-OZ94)*(1+Slot15_Rate),0)</f>
        <v>0</v>
      </c>
      <c r="SQ94" s="1" t="n">
        <f aca="false">IF(AND(HT94=1,FG94=1),(MO94+MS94)/E94,0)</f>
        <v>0</v>
      </c>
      <c r="SR94" s="1" t="n">
        <f aca="false">IF(B94=0,MO94+MS94,0)</f>
        <v>0</v>
      </c>
      <c r="SS94" s="1" t="n">
        <f aca="false">IF(B94=0,IF(HT94=1,MQ94,MR94),0)</f>
        <v>0</v>
      </c>
      <c r="ST94" s="1" t="n">
        <f aca="false">IF(FQ94=1,IF(HT94=1,MX94+NA94,FR94-OX94)*(1+Slot16_Rate),0)</f>
        <v>0</v>
      </c>
      <c r="SU94" s="1" t="n">
        <f aca="false">IF(AND(HT94=1,FQ94=1),(MW94+NA94)/E94,0)</f>
        <v>0</v>
      </c>
      <c r="SV94" s="1" t="n">
        <f aca="false">IF(B94=0,MW94+NA94,0)</f>
        <v>0</v>
      </c>
      <c r="SW94" s="1" t="n">
        <f aca="false">IF(B94=0,IF(HT94=1,MY94,MZ94),0)</f>
        <v>0</v>
      </c>
      <c r="SX94" s="1" t="n">
        <f aca="false">IF(GA94=1,IF(HT94=1,NF94+NI94,GB94-OV94)*(1+Slot17_Rate),0)</f>
        <v>0</v>
      </c>
      <c r="SY94" s="1" t="n">
        <f aca="false">IF(AND(HT94=1,GA94=1),(NE94+NI94)/E94,0)</f>
        <v>0</v>
      </c>
      <c r="SZ94" s="1" t="n">
        <f aca="false">IF(B94=0,NE94+NI94,0)</f>
        <v>0</v>
      </c>
      <c r="TA94" s="1" t="n">
        <f aca="false">IF(B94=0,IF(HT94=1,NG94,NH94),0)</f>
        <v>0</v>
      </c>
      <c r="TB94" s="1" t="n">
        <f aca="false">IF(GK94=1,IF(HT94=1,NN94+NQ94,GL94-OT94)*(1+Slot18_Rate),0)</f>
        <v>0</v>
      </c>
      <c r="TC94" s="1" t="n">
        <f aca="false">IF(AND(HT94=1,GK94=1),(NM94+NQ94)/E94,0)</f>
        <v>0</v>
      </c>
      <c r="TD94" s="1" t="n">
        <f aca="false">IF(B94=0,NM94+NQ94,0)</f>
        <v>0</v>
      </c>
      <c r="TE94" s="1" t="n">
        <f aca="false">IF(B94=0,IF(HT94=1,NO94,NP94),0)</f>
        <v>0</v>
      </c>
      <c r="TF94" s="1" t="n">
        <f aca="false">IF(GU94=1,IF(HT94=1,NV94+NY94,GV94-OR94)*(1+Slot19_Rate),0)</f>
        <v>0</v>
      </c>
      <c r="TG94" s="1" t="n">
        <f aca="false">IF(AND(HT94=1,GU94=1),(NU94+NY94)/E94,0)</f>
        <v>0</v>
      </c>
      <c r="TH94" s="1" t="n">
        <f aca="false">IF(B94=0,NU94+NY94,0)</f>
        <v>0</v>
      </c>
      <c r="TI94" s="1" t="n">
        <f aca="false">IF(B94=0,IF(HT94=1,NW94,NX94),0)</f>
        <v>0</v>
      </c>
      <c r="TJ94" s="1" t="n">
        <f aca="false">IF(HE94=1,IF(HT94=1,OD94+OG94,HF94-OP94)*(1+Slot20_Rate),0)</f>
        <v>0</v>
      </c>
      <c r="TK94" s="1" t="n">
        <f aca="false">IF(AND(HT94=1,HE94=1),(OC94+OG94)/E94,0)</f>
        <v>0</v>
      </c>
      <c r="TL94" s="1" t="n">
        <f aca="false">IF(B94=0,OC94+OG94,0)</f>
        <v>0</v>
      </c>
      <c r="TM94" s="1" t="n">
        <f aca="false">IF(B94=0,IF(HT94=1,OE94,OF94),0)</f>
        <v>0</v>
      </c>
      <c r="TN94" s="1" t="n">
        <f aca="false">QJ94+QK94+QL94+QP94+QT94+QX94+RB94+RF94+RJ94+RN94+RR94+RV94+RZ94+SD94+SH94+SL94+SP94+ST94+SX94+TB94+TF94+TJ94</f>
        <v>1428879.38642732</v>
      </c>
      <c r="TO94" s="1" t="n">
        <f aca="false">QD94+HO94</f>
        <v>0</v>
      </c>
      <c r="TP94" s="1" t="n">
        <f aca="false">H94+R94</f>
        <v>0</v>
      </c>
      <c r="TQ94" s="1" t="n">
        <f aca="false">1-F94</f>
        <v>1</v>
      </c>
      <c r="TR94" s="1" t="n">
        <f aca="false">IF(AND(RG_Exists=1,F94=0,C94=1),H94,0)</f>
        <v>0</v>
      </c>
      <c r="TS94" s="1" t="n">
        <f aca="false">IF(AND(RG_Exists=1,F94=0,C94=1),H94-MIN(QD94,H94),0)</f>
        <v>0</v>
      </c>
      <c r="TT94" s="1" t="n">
        <f aca="false">'Plan pay &amp; tax'!AD320</f>
        <v>0</v>
      </c>
      <c r="TU94" s="1" t="n">
        <f aca="false">IF(AND(C94=1,QD94&gt;MAX(PR_Short1,TP94*PR_Short2)),1,0)</f>
        <v>0</v>
      </c>
      <c r="TV94" s="1" t="n">
        <f aca="false">MIN(G94,H94+R94)</f>
        <v>0</v>
      </c>
      <c r="TW94" s="1" t="n">
        <f aca="false">QE94+MAX(0,HP94-HO94)</f>
        <v>0</v>
      </c>
      <c r="TX94" s="1" t="n">
        <f aca="false">QD94+HO94</f>
        <v>0</v>
      </c>
      <c r="TY94" s="1" t="n">
        <f aca="false">IF(AND(C94=1,TX94&gt;PR_MinShort),1,0)</f>
        <v>0</v>
      </c>
      <c r="TZ94" s="1" t="n">
        <f aca="false">IF(AND(C94=1,TY94=0,TW94&gt;PR_MinShort),1,0)</f>
        <v>0</v>
      </c>
      <c r="UA94" s="1" t="n">
        <f aca="false">IF(AND(C94=1,QD94&gt;PR_MinShort),1,0)</f>
        <v>0</v>
      </c>
      <c r="UB94" s="1" t="n">
        <f aca="false">IF(AND(C94=1,QE94&gt;1,UI94=0),1,0)</f>
        <v>0</v>
      </c>
      <c r="UC94" s="1" t="str">
        <f aca="false">IF(C94=0,"",IF(UI94=1,"Gap to plan for: short "&amp;"€"&amp;TEXT(ROUND(TO94,0),"#,##0"),IF(QE94&gt;1,"Using savings","Comfortable")))</f>
        <v>Comfortable</v>
      </c>
      <c r="UD94" s="1" t="n">
        <f aca="false">IF(AND(INT(D94/10)*10=90,B94&gt;0),80,INT(D94/10)*10)</f>
        <v>80</v>
      </c>
      <c r="UE94" s="1" t="n">
        <f aca="false">IF(B94=0,1,IF(UD94&lt;&gt;UD93,UE93+1,UE93))</f>
        <v>9</v>
      </c>
      <c r="UF94" s="1" t="n">
        <f aca="false">IF(AND(C94=1,F94=1,QD94&gt;MAX(PR_Short1,TP94*PR_Short2)),1,0)</f>
        <v>0</v>
      </c>
      <c r="UG94" s="1" t="n">
        <f aca="false">TQ94*TU94</f>
        <v>0</v>
      </c>
      <c r="UH94" s="1" t="n">
        <f aca="false">IF(AND(U94=1,Slot1_PctLow=1),1,0)+IF(AND(AF94=1,Slot2_PctLow=1),1,0)+IF(AND(AP94=1,Slot3_PctLow=1),1,0)+IF(AND(AZ94=1,Slot4_PctLow=1),1,0)+IF(AND(BJ94=1,Slot5_PctLow=1),1,0)+IF(AND(BT94=1,Slot6_PctLow=1),1,0)+IF(AND(CD94=1,Slot7_PctLow=1),1,0)+IF(AND(CN94=1,Slot8_PctLow=1),1,0)+IF(AND(CX94=1,Slot9_PctLow=1),1,0)+IF(AND(DH94=1,Slot10_PctLow=1),1,0)+IF(AND(DR94=1,Slot11_PctLow=1),1,0)+IF(AND(EB94=1,Slot12_PctLow=1),1,0)+IF(AND(EL94=1,Slot13_PctLow=1),1,0)+IF(AND(EV94=1,Slot14_PctLow=1),1,0)+IF(AND(FF94=1,Slot15_PctLow=1),1,0)+IF(AND(FP94=1,Slot16_PctLow=1),1,0)+IF(AND(FZ94=1,Slot17_PctLow=1),1,0)+IF(AND(GJ94=1,Slot18_PctLow=1),1,0)+IF(AND(GT94=1,Slot19_PctLow=1),1,0)+IF(AND(HD94=1,Slot20_PctLow=1),1,0)</f>
        <v>0</v>
      </c>
      <c r="UI94" s="1" t="n">
        <f aca="false">IF(C94=1,IF(OR(TU94=1,UH94&gt;0),1,0),0)</f>
        <v>0</v>
      </c>
    </row>
    <row r="95" customFormat="false" ht="15" hidden="false" customHeight="true" outlineLevel="0" collapsed="false">
      <c r="B95" s="1" t="n">
        <v>87</v>
      </c>
      <c r="C95" s="1" t="n">
        <f aca="false">IF(B95&lt;=F_N,1,0)</f>
        <v>1</v>
      </c>
      <c r="D95" s="1" t="n">
        <f aca="false">'Plan pay &amp; tax'!C321</f>
        <v>87</v>
      </c>
      <c r="E95" s="111" t="n">
        <f aca="false">'Plan pay &amp; tax'!E321</f>
        <v>5.60034708210403</v>
      </c>
      <c r="F95" s="1" t="n">
        <f aca="false">'Plan pay &amp; tax'!G321</f>
        <v>0</v>
      </c>
      <c r="G95" s="1" t="n">
        <f aca="false">'Plan pay &amp; tax'!BT321-'Plan pay &amp; tax'!BS321-'Plan pay &amp; tax'!R321</f>
        <v>72641.4299603216</v>
      </c>
      <c r="H95" s="1" t="n">
        <f aca="false">IF(F95=1,F_CostsM*12,IF(RG_Exists=1,RG_Amount,F_CostsM*12*AS_RetireSpend))*E95+F_OneOffY*E95</f>
        <v>0</v>
      </c>
      <c r="I95" s="1" t="n">
        <f aca="false">HQ94</f>
        <v>0</v>
      </c>
      <c r="J95" s="1" t="n">
        <f aca="false">IF(I95&gt;1,'Plan debt months'!AC95,0)</f>
        <v>0</v>
      </c>
      <c r="K95" s="1" t="n">
        <f aca="false">IF(I95&gt;1,'Plan debt months'!AB95,I95)</f>
        <v>0</v>
      </c>
      <c r="L95" s="1" t="n">
        <f aca="false">N94</f>
        <v>0</v>
      </c>
      <c r="M95" s="1" t="n">
        <f aca="false">IF(L95&gt;1,'Plan debt months'!BD95,0)</f>
        <v>0</v>
      </c>
      <c r="N95" s="1" t="n">
        <f aca="false">IF(L95&gt;1,'Plan debt months'!BC95,L95)</f>
        <v>0</v>
      </c>
      <c r="O95" s="1" t="n">
        <f aca="false">Q94</f>
        <v>0</v>
      </c>
      <c r="P95" s="1" t="n">
        <f aca="false">IF(O95&gt;1,'Plan debt months'!CE95,0)</f>
        <v>0</v>
      </c>
      <c r="Q95" s="1" t="n">
        <f aca="false">IF(O95&gt;1,'Plan debt months'!CD95,O95)</f>
        <v>0</v>
      </c>
      <c r="R95" s="1" t="n">
        <f aca="false">J95+M95+P95</f>
        <v>0</v>
      </c>
      <c r="S95" s="1" t="n">
        <f aca="false">QJ94+'Plan pay &amp; tax'!Y321</f>
        <v>1428879.38642732</v>
      </c>
      <c r="T95" s="1" t="n">
        <f aca="false">QJ94</f>
        <v>1428879.38642732</v>
      </c>
      <c r="U95" s="1" t="n">
        <f aca="false">IF(AND(Slot1_On=1,D95=Slot1_Age),1,0)</f>
        <v>0</v>
      </c>
      <c r="V95" s="1" t="n">
        <f aca="false">IF(AND(Slot1_On=1,Slot1_Age&gt;D95),1,0)</f>
        <v>0</v>
      </c>
      <c r="W95" s="1" t="n">
        <f aca="false">QL94</f>
        <v>0</v>
      </c>
      <c r="X95" s="1" t="n">
        <f aca="false">U95*MIN(Slot1_Cost,W95)</f>
        <v>0</v>
      </c>
      <c r="Y95" s="1" t="n">
        <f aca="false">U95*Slot1_SpendLike*MIN(Slot1_Cost-X95,S95)</f>
        <v>0</v>
      </c>
      <c r="Z95" s="1" t="n">
        <f aca="false">X95+Y95</f>
        <v>0</v>
      </c>
      <c r="AA95" s="1" t="n">
        <f aca="false">S95-Y95+U95*IF(Slot1_SpendLike=1,W95-X95,IF(Slot1_PotFree=1,W95,0))</f>
        <v>1428879.38642732</v>
      </c>
      <c r="AB95" s="1" t="n">
        <f aca="false">AE95+U95*Slot1_BufPot*W95</f>
        <v>0</v>
      </c>
      <c r="AC95" s="1" t="n">
        <f aca="false">IF(AND(U95=1,Slot1_IsMfree=1),IF(Z95&gt;=Slot1_Cost-1,0,MAX(0,K95-Z95)),K95)</f>
        <v>0</v>
      </c>
      <c r="AD95" s="1" t="n">
        <f aca="false">U95*(Slot1_Cost-Z95)</f>
        <v>0</v>
      </c>
      <c r="AE95" s="1" t="n">
        <f aca="false">QK94</f>
        <v>0</v>
      </c>
      <c r="AF95" s="1" t="n">
        <f aca="false">IF(AND(Slot2_On=1,D95=Slot2_Age),1,0)</f>
        <v>0</v>
      </c>
      <c r="AG95" s="1" t="n">
        <f aca="false">IF(AND(Slot2_On=1,Slot2_Age&gt;D95),1,0)</f>
        <v>0</v>
      </c>
      <c r="AH95" s="1" t="n">
        <f aca="false">QP94</f>
        <v>0</v>
      </c>
      <c r="AI95" s="1" t="n">
        <f aca="false">AF95*MIN(Slot2_Cost,AH95)</f>
        <v>0</v>
      </c>
      <c r="AJ95" s="1" t="n">
        <f aca="false">AF95*Slot2_SpendLike*MIN(Slot2_Cost-AI95,AA95)</f>
        <v>0</v>
      </c>
      <c r="AK95" s="1" t="n">
        <f aca="false">AI95+AJ95</f>
        <v>0</v>
      </c>
      <c r="AL95" s="1" t="n">
        <f aca="false">AA95-AJ95+AF95*IF(Slot2_SpendLike=1,AH95-AI95,IF(Slot2_PotFree=1,AH95,0))</f>
        <v>1428879.38642732</v>
      </c>
      <c r="AM95" s="1" t="n">
        <f aca="false">AB95+AF95*Slot2_BufPot*AH95</f>
        <v>0</v>
      </c>
      <c r="AN95" s="1" t="n">
        <f aca="false">IF(AND(AF95=1,Slot2_IsMfree=1),IF(AK95&gt;=Slot2_Cost-1,0,MAX(0,AC95-AK95)),AC95)</f>
        <v>0</v>
      </c>
      <c r="AO95" s="1" t="n">
        <f aca="false">AF95*(Slot2_Cost-AK95)</f>
        <v>0</v>
      </c>
      <c r="AP95" s="1" t="n">
        <f aca="false">IF(AND(Slot3_On=1,D95=Slot3_Age),1,0)</f>
        <v>0</v>
      </c>
      <c r="AQ95" s="1" t="n">
        <f aca="false">IF(AND(Slot3_On=1,Slot3_Age&gt;D95),1,0)</f>
        <v>0</v>
      </c>
      <c r="AR95" s="1" t="n">
        <f aca="false">QT94</f>
        <v>0</v>
      </c>
      <c r="AS95" s="1" t="n">
        <f aca="false">AP95*MIN(Slot3_Cost,AR95)</f>
        <v>0</v>
      </c>
      <c r="AT95" s="1" t="n">
        <f aca="false">AP95*Slot3_SpendLike*MIN(Slot3_Cost-AS95,AL95)</f>
        <v>0</v>
      </c>
      <c r="AU95" s="1" t="n">
        <f aca="false">AS95+AT95</f>
        <v>0</v>
      </c>
      <c r="AV95" s="1" t="n">
        <f aca="false">AL95-AT95+AP95*IF(Slot3_SpendLike=1,AR95-AS95,IF(Slot3_PotFree=1,AR95,0))</f>
        <v>1428879.38642732</v>
      </c>
      <c r="AW95" s="1" t="n">
        <f aca="false">AM95+AP95*Slot3_BufPot*AR95</f>
        <v>0</v>
      </c>
      <c r="AX95" s="1" t="n">
        <f aca="false">IF(AND(AP95=1,Slot3_IsMfree=1),IF(AU95&gt;=Slot3_Cost-1,0,MAX(0,AN95-AU95)),AN95)</f>
        <v>0</v>
      </c>
      <c r="AY95" s="1" t="n">
        <f aca="false">AP95*(Slot3_Cost-AU95)</f>
        <v>0</v>
      </c>
      <c r="AZ95" s="1" t="n">
        <f aca="false">IF(AND(Slot4_On=1,D95=Slot4_Age),1,0)</f>
        <v>0</v>
      </c>
      <c r="BA95" s="1" t="n">
        <f aca="false">IF(AND(Slot4_On=1,Slot4_Age&gt;D95),1,0)</f>
        <v>0</v>
      </c>
      <c r="BB95" s="1" t="n">
        <f aca="false">QX94</f>
        <v>0</v>
      </c>
      <c r="BC95" s="1" t="n">
        <f aca="false">AZ95*MIN(Slot4_Cost,BB95)</f>
        <v>0</v>
      </c>
      <c r="BD95" s="1" t="n">
        <f aca="false">AZ95*Slot4_SpendLike*MIN(Slot4_Cost-BC95,AV95)</f>
        <v>0</v>
      </c>
      <c r="BE95" s="1" t="n">
        <f aca="false">BC95+BD95</f>
        <v>0</v>
      </c>
      <c r="BF95" s="1" t="n">
        <f aca="false">AV95-BD95+AZ95*IF(Slot4_SpendLike=1,BB95-BC95,IF(Slot4_PotFree=1,BB95,0))</f>
        <v>1428879.38642732</v>
      </c>
      <c r="BG95" s="1" t="n">
        <f aca="false">AW95+AZ95*Slot4_BufPot*BB95</f>
        <v>0</v>
      </c>
      <c r="BH95" s="1" t="n">
        <f aca="false">IF(AND(AZ95=1,Slot4_IsMfree=1),IF(BE95&gt;=Slot4_Cost-1,0,MAX(0,AX95-BE95)),AX95)</f>
        <v>0</v>
      </c>
      <c r="BI95" s="1" t="n">
        <f aca="false">AZ95*(Slot4_Cost-BE95)</f>
        <v>0</v>
      </c>
      <c r="BJ95" s="1" t="n">
        <f aca="false">IF(AND(Slot5_On=1,D95=Slot5_Age),1,0)</f>
        <v>0</v>
      </c>
      <c r="BK95" s="1" t="n">
        <f aca="false">IF(AND(Slot5_On=1,Slot5_Age&gt;D95),1,0)</f>
        <v>0</v>
      </c>
      <c r="BL95" s="1" t="n">
        <f aca="false">RB94</f>
        <v>0</v>
      </c>
      <c r="BM95" s="1" t="n">
        <f aca="false">BJ95*MIN(Slot5_Cost,BL95)</f>
        <v>0</v>
      </c>
      <c r="BN95" s="1" t="n">
        <f aca="false">BJ95*Slot5_SpendLike*MIN(Slot5_Cost-BM95,BF95)</f>
        <v>0</v>
      </c>
      <c r="BO95" s="1" t="n">
        <f aca="false">BM95+BN95</f>
        <v>0</v>
      </c>
      <c r="BP95" s="1" t="n">
        <f aca="false">BF95-BN95+BJ95*IF(Slot5_SpendLike=1,BL95-BM95,IF(Slot5_PotFree=1,BL95,0))</f>
        <v>1428879.38642732</v>
      </c>
      <c r="BQ95" s="1" t="n">
        <f aca="false">BG95+BJ95*Slot5_BufPot*BL95</f>
        <v>0</v>
      </c>
      <c r="BR95" s="1" t="n">
        <f aca="false">IF(AND(BJ95=1,Slot5_IsMfree=1),IF(BO95&gt;=Slot5_Cost-1,0,MAX(0,BH95-BO95)),BH95)</f>
        <v>0</v>
      </c>
      <c r="BS95" s="1" t="n">
        <f aca="false">BJ95*(Slot5_Cost-BO95)</f>
        <v>0</v>
      </c>
      <c r="BT95" s="1" t="n">
        <f aca="false">IF(AND(Slot6_On=1,D95=Slot6_Age),1,0)</f>
        <v>0</v>
      </c>
      <c r="BU95" s="1" t="n">
        <f aca="false">IF(AND(Slot6_On=1,Slot6_Age&gt;D95),1,0)</f>
        <v>0</v>
      </c>
      <c r="BV95" s="1" t="n">
        <f aca="false">RF94</f>
        <v>0</v>
      </c>
      <c r="BW95" s="1" t="n">
        <f aca="false">BT95*MIN(Slot6_Cost,BV95)</f>
        <v>0</v>
      </c>
      <c r="BX95" s="1" t="n">
        <f aca="false">BT95*Slot6_SpendLike*MIN(Slot6_Cost-BW95,BP95)</f>
        <v>0</v>
      </c>
      <c r="BY95" s="1" t="n">
        <f aca="false">BW95+BX95</f>
        <v>0</v>
      </c>
      <c r="BZ95" s="1" t="n">
        <f aca="false">BP95-BX95+BT95*IF(Slot6_SpendLike=1,BV95-BW95,IF(Slot6_PotFree=1,BV95,0))</f>
        <v>1428879.38642732</v>
      </c>
      <c r="CA95" s="1" t="n">
        <f aca="false">BQ95+BT95*Slot6_BufPot*BV95</f>
        <v>0</v>
      </c>
      <c r="CB95" s="1" t="n">
        <f aca="false">IF(AND(BT95=1,Slot6_IsMfree=1),IF(BY95&gt;=Slot6_Cost-1,0,MAX(0,BR95-BY95)),BR95)</f>
        <v>0</v>
      </c>
      <c r="CC95" s="1" t="n">
        <f aca="false">BT95*(Slot6_Cost-BY95)</f>
        <v>0</v>
      </c>
      <c r="CD95" s="1" t="n">
        <f aca="false">IF(AND(Slot7_On=1,D95=Slot7_Age),1,0)</f>
        <v>0</v>
      </c>
      <c r="CE95" s="1" t="n">
        <f aca="false">IF(AND(Slot7_On=1,Slot7_Age&gt;D95),1,0)</f>
        <v>0</v>
      </c>
      <c r="CF95" s="1" t="n">
        <f aca="false">RJ94</f>
        <v>0</v>
      </c>
      <c r="CG95" s="1" t="n">
        <f aca="false">CD95*MIN(Slot7_Cost,CF95)</f>
        <v>0</v>
      </c>
      <c r="CH95" s="1" t="n">
        <f aca="false">CD95*Slot7_SpendLike*MIN(Slot7_Cost-CG95,BZ95)</f>
        <v>0</v>
      </c>
      <c r="CI95" s="1" t="n">
        <f aca="false">CG95+CH95</f>
        <v>0</v>
      </c>
      <c r="CJ95" s="1" t="n">
        <f aca="false">BZ95-CH95+CD95*IF(Slot7_SpendLike=1,CF95-CG95,IF(Slot7_PotFree=1,CF95,0))</f>
        <v>1428879.38642732</v>
      </c>
      <c r="CK95" s="1" t="n">
        <f aca="false">CA95+CD95*Slot7_BufPot*CF95</f>
        <v>0</v>
      </c>
      <c r="CL95" s="1" t="n">
        <f aca="false">IF(AND(CD95=1,Slot7_IsMfree=1),IF(CI95&gt;=Slot7_Cost-1,0,MAX(0,CB95-CI95)),CB95)</f>
        <v>0</v>
      </c>
      <c r="CM95" s="1" t="n">
        <f aca="false">CD95*(Slot7_Cost-CI95)</f>
        <v>0</v>
      </c>
      <c r="CN95" s="1" t="n">
        <f aca="false">IF(AND(Slot8_On=1,D95=Slot8_Age),1,0)</f>
        <v>0</v>
      </c>
      <c r="CO95" s="1" t="n">
        <f aca="false">IF(AND(Slot8_On=1,Slot8_Age&gt;D95),1,0)</f>
        <v>0</v>
      </c>
      <c r="CP95" s="1" t="n">
        <f aca="false">RN94</f>
        <v>0</v>
      </c>
      <c r="CQ95" s="1" t="n">
        <f aca="false">CN95*MIN(Slot8_Cost,CP95)</f>
        <v>0</v>
      </c>
      <c r="CR95" s="1" t="n">
        <f aca="false">CN95*Slot8_SpendLike*MIN(Slot8_Cost-CQ95,CJ95)</f>
        <v>0</v>
      </c>
      <c r="CS95" s="1" t="n">
        <f aca="false">CQ95+CR95</f>
        <v>0</v>
      </c>
      <c r="CT95" s="1" t="n">
        <f aca="false">CJ95-CR95+CN95*IF(Slot8_SpendLike=1,CP95-CQ95,IF(Slot8_PotFree=1,CP95,0))</f>
        <v>1428879.38642732</v>
      </c>
      <c r="CU95" s="1" t="n">
        <f aca="false">CK95+CN95*Slot8_BufPot*CP95</f>
        <v>0</v>
      </c>
      <c r="CV95" s="1" t="n">
        <f aca="false">IF(AND(CN95=1,Slot8_IsMfree=1),IF(CS95&gt;=Slot8_Cost-1,0,MAX(0,CL95-CS95)),CL95)</f>
        <v>0</v>
      </c>
      <c r="CW95" s="1" t="n">
        <f aca="false">CN95*(Slot8_Cost-CS95)</f>
        <v>0</v>
      </c>
      <c r="CX95" s="1" t="n">
        <f aca="false">IF(AND(Slot9_On=1,D95=Slot9_Age),1,0)</f>
        <v>0</v>
      </c>
      <c r="CY95" s="1" t="n">
        <f aca="false">IF(AND(Slot9_On=1,Slot9_Age&gt;D95),1,0)</f>
        <v>0</v>
      </c>
      <c r="CZ95" s="1" t="n">
        <f aca="false">RR94</f>
        <v>0</v>
      </c>
      <c r="DA95" s="1" t="n">
        <f aca="false">CX95*MIN(Slot9_Cost,CZ95)</f>
        <v>0</v>
      </c>
      <c r="DB95" s="1" t="n">
        <f aca="false">CX95*Slot9_SpendLike*MIN(Slot9_Cost-DA95,CT95)</f>
        <v>0</v>
      </c>
      <c r="DC95" s="1" t="n">
        <f aca="false">DA95+DB95</f>
        <v>0</v>
      </c>
      <c r="DD95" s="1" t="n">
        <f aca="false">CT95-DB95+CX95*IF(Slot9_SpendLike=1,CZ95-DA95,IF(Slot9_PotFree=1,CZ95,0))</f>
        <v>1428879.38642732</v>
      </c>
      <c r="DE95" s="1" t="n">
        <f aca="false">CU95+CX95*Slot9_BufPot*CZ95</f>
        <v>0</v>
      </c>
      <c r="DF95" s="1" t="n">
        <f aca="false">IF(AND(CX95=1,Slot9_IsMfree=1),IF(DC95&gt;=Slot9_Cost-1,0,MAX(0,CV95-DC95)),CV95)</f>
        <v>0</v>
      </c>
      <c r="DG95" s="1" t="n">
        <f aca="false">CX95*(Slot9_Cost-DC95)</f>
        <v>0</v>
      </c>
      <c r="DH95" s="1" t="n">
        <f aca="false">IF(AND(Slot10_On=1,D95=Slot10_Age),1,0)</f>
        <v>0</v>
      </c>
      <c r="DI95" s="1" t="n">
        <f aca="false">IF(AND(Slot10_On=1,Slot10_Age&gt;D95),1,0)</f>
        <v>0</v>
      </c>
      <c r="DJ95" s="1" t="n">
        <f aca="false">RV94</f>
        <v>0</v>
      </c>
      <c r="DK95" s="1" t="n">
        <f aca="false">DH95*MIN(Slot10_Cost,DJ95)</f>
        <v>0</v>
      </c>
      <c r="DL95" s="1" t="n">
        <f aca="false">DH95*Slot10_SpendLike*MIN(Slot10_Cost-DK95,DD95)</f>
        <v>0</v>
      </c>
      <c r="DM95" s="1" t="n">
        <f aca="false">DK95+DL95</f>
        <v>0</v>
      </c>
      <c r="DN95" s="1" t="n">
        <f aca="false">DD95-DL95+DH95*IF(Slot10_SpendLike=1,DJ95-DK95,IF(Slot10_PotFree=1,DJ95,0))</f>
        <v>1428879.38642732</v>
      </c>
      <c r="DO95" s="1" t="n">
        <f aca="false">DE95+DH95*Slot10_BufPot*DJ95</f>
        <v>0</v>
      </c>
      <c r="DP95" s="1" t="n">
        <f aca="false">IF(AND(DH95=1,Slot10_IsMfree=1),IF(DM95&gt;=Slot10_Cost-1,0,MAX(0,DF95-DM95)),DF95)</f>
        <v>0</v>
      </c>
      <c r="DQ95" s="1" t="n">
        <f aca="false">DH95*(Slot10_Cost-DM95)</f>
        <v>0</v>
      </c>
      <c r="DR95" s="1" t="n">
        <f aca="false">IF(AND(Slot11_On=1,D95=Slot11_Age),1,0)</f>
        <v>0</v>
      </c>
      <c r="DS95" s="1" t="n">
        <f aca="false">IF(AND(Slot11_On=1,Slot11_Age&gt;D95),1,0)</f>
        <v>0</v>
      </c>
      <c r="DT95" s="1" t="n">
        <f aca="false">RZ94</f>
        <v>0</v>
      </c>
      <c r="DU95" s="1" t="n">
        <f aca="false">DR95*MIN(Slot11_Cost,DT95)</f>
        <v>0</v>
      </c>
      <c r="DV95" s="1" t="n">
        <f aca="false">DR95*Slot11_SpendLike*MIN(Slot11_Cost-DU95,DN95)</f>
        <v>0</v>
      </c>
      <c r="DW95" s="1" t="n">
        <f aca="false">DU95+DV95</f>
        <v>0</v>
      </c>
      <c r="DX95" s="1" t="n">
        <f aca="false">DN95-DV95+DR95*IF(Slot11_SpendLike=1,DT95-DU95,IF(Slot11_PotFree=1,DT95,0))</f>
        <v>1428879.38642732</v>
      </c>
      <c r="DY95" s="1" t="n">
        <f aca="false">DO95+DR95*Slot11_BufPot*DT95</f>
        <v>0</v>
      </c>
      <c r="DZ95" s="1" t="n">
        <f aca="false">IF(AND(DR95=1,Slot11_IsMfree=1),IF(DW95&gt;=Slot11_Cost-1,0,MAX(0,DP95-DW95)),DP95)</f>
        <v>0</v>
      </c>
      <c r="EA95" s="1" t="n">
        <f aca="false">DR95*(Slot11_Cost-DW95)</f>
        <v>0</v>
      </c>
      <c r="EB95" s="1" t="n">
        <f aca="false">IF(AND(Slot12_On=1,D95=Slot12_Age),1,0)</f>
        <v>0</v>
      </c>
      <c r="EC95" s="1" t="n">
        <f aca="false">IF(AND(Slot12_On=1,Slot12_Age&gt;D95),1,0)</f>
        <v>0</v>
      </c>
      <c r="ED95" s="1" t="n">
        <f aca="false">SD94</f>
        <v>0</v>
      </c>
      <c r="EE95" s="1" t="n">
        <f aca="false">EB95*MIN(Slot12_Cost,ED95)</f>
        <v>0</v>
      </c>
      <c r="EF95" s="1" t="n">
        <f aca="false">EB95*Slot12_SpendLike*MIN(Slot12_Cost-EE95,DX95)</f>
        <v>0</v>
      </c>
      <c r="EG95" s="1" t="n">
        <f aca="false">EE95+EF95</f>
        <v>0</v>
      </c>
      <c r="EH95" s="1" t="n">
        <f aca="false">DX95-EF95+EB95*IF(Slot12_SpendLike=1,ED95-EE95,IF(Slot12_PotFree=1,ED95,0))</f>
        <v>1428879.38642732</v>
      </c>
      <c r="EI95" s="1" t="n">
        <f aca="false">DY95+EB95*Slot12_BufPot*ED95</f>
        <v>0</v>
      </c>
      <c r="EJ95" s="1" t="n">
        <f aca="false">IF(AND(EB95=1,Slot12_IsMfree=1),IF(EG95&gt;=Slot12_Cost-1,0,MAX(0,DZ95-EG95)),DZ95)</f>
        <v>0</v>
      </c>
      <c r="EK95" s="1" t="n">
        <f aca="false">EB95*(Slot12_Cost-EG95)</f>
        <v>0</v>
      </c>
      <c r="EL95" s="1" t="n">
        <f aca="false">IF(AND(Slot13_On=1,D95=Slot13_Age),1,0)</f>
        <v>0</v>
      </c>
      <c r="EM95" s="1" t="n">
        <f aca="false">IF(AND(Slot13_On=1,Slot13_Age&gt;D95),1,0)</f>
        <v>0</v>
      </c>
      <c r="EN95" s="1" t="n">
        <f aca="false">SH94</f>
        <v>0</v>
      </c>
      <c r="EO95" s="1" t="n">
        <f aca="false">EL95*MIN(Slot13_Cost,EN95)</f>
        <v>0</v>
      </c>
      <c r="EP95" s="1" t="n">
        <f aca="false">EL95*Slot13_SpendLike*MIN(Slot13_Cost-EO95,EH95)</f>
        <v>0</v>
      </c>
      <c r="EQ95" s="1" t="n">
        <f aca="false">EO95+EP95</f>
        <v>0</v>
      </c>
      <c r="ER95" s="1" t="n">
        <f aca="false">EH95-EP95+EL95*IF(Slot13_SpendLike=1,EN95-EO95,IF(Slot13_PotFree=1,EN95,0))</f>
        <v>1428879.38642732</v>
      </c>
      <c r="ES95" s="1" t="n">
        <f aca="false">EI95+EL95*Slot13_BufPot*EN95</f>
        <v>0</v>
      </c>
      <c r="ET95" s="1" t="n">
        <f aca="false">IF(AND(EL95=1,Slot13_IsMfree=1),IF(EQ95&gt;=Slot13_Cost-1,0,MAX(0,EJ95-EQ95)),EJ95)</f>
        <v>0</v>
      </c>
      <c r="EU95" s="1" t="n">
        <f aca="false">EL95*(Slot13_Cost-EQ95)</f>
        <v>0</v>
      </c>
      <c r="EV95" s="1" t="n">
        <f aca="false">IF(AND(Slot14_On=1,D95=Slot14_Age),1,0)</f>
        <v>0</v>
      </c>
      <c r="EW95" s="1" t="n">
        <f aca="false">IF(AND(Slot14_On=1,Slot14_Age&gt;D95),1,0)</f>
        <v>0</v>
      </c>
      <c r="EX95" s="1" t="n">
        <f aca="false">SL94</f>
        <v>0</v>
      </c>
      <c r="EY95" s="1" t="n">
        <f aca="false">EV95*MIN(Slot14_Cost,EX95)</f>
        <v>0</v>
      </c>
      <c r="EZ95" s="1" t="n">
        <f aca="false">EV95*Slot14_SpendLike*MIN(Slot14_Cost-EY95,ER95)</f>
        <v>0</v>
      </c>
      <c r="FA95" s="1" t="n">
        <f aca="false">EY95+EZ95</f>
        <v>0</v>
      </c>
      <c r="FB95" s="1" t="n">
        <f aca="false">ER95-EZ95+EV95*IF(Slot14_SpendLike=1,EX95-EY95,IF(Slot14_PotFree=1,EX95,0))</f>
        <v>1428879.38642732</v>
      </c>
      <c r="FC95" s="1" t="n">
        <f aca="false">ES95+EV95*Slot14_BufPot*EX95</f>
        <v>0</v>
      </c>
      <c r="FD95" s="1" t="n">
        <f aca="false">IF(AND(EV95=1,Slot14_IsMfree=1),IF(FA95&gt;=Slot14_Cost-1,0,MAX(0,ET95-FA95)),ET95)</f>
        <v>0</v>
      </c>
      <c r="FE95" s="1" t="n">
        <f aca="false">EV95*(Slot14_Cost-FA95)</f>
        <v>0</v>
      </c>
      <c r="FF95" s="1" t="n">
        <f aca="false">IF(AND(Slot15_On=1,D95=Slot15_Age),1,0)</f>
        <v>0</v>
      </c>
      <c r="FG95" s="1" t="n">
        <f aca="false">IF(AND(Slot15_On=1,Slot15_Age&gt;D95),1,0)</f>
        <v>0</v>
      </c>
      <c r="FH95" s="1" t="n">
        <f aca="false">SP94</f>
        <v>0</v>
      </c>
      <c r="FI95" s="1" t="n">
        <f aca="false">FF95*MIN(Slot15_Cost,FH95)</f>
        <v>0</v>
      </c>
      <c r="FJ95" s="1" t="n">
        <f aca="false">FF95*Slot15_SpendLike*MIN(Slot15_Cost-FI95,FB95)</f>
        <v>0</v>
      </c>
      <c r="FK95" s="1" t="n">
        <f aca="false">FI95+FJ95</f>
        <v>0</v>
      </c>
      <c r="FL95" s="1" t="n">
        <f aca="false">FB95-FJ95+FF95*IF(Slot15_SpendLike=1,FH95-FI95,IF(Slot15_PotFree=1,FH95,0))</f>
        <v>1428879.38642732</v>
      </c>
      <c r="FM95" s="1" t="n">
        <f aca="false">FC95+FF95*Slot15_BufPot*FH95</f>
        <v>0</v>
      </c>
      <c r="FN95" s="1" t="n">
        <f aca="false">IF(AND(FF95=1,Slot15_IsMfree=1),IF(FK95&gt;=Slot15_Cost-1,0,MAX(0,FD95-FK95)),FD95)</f>
        <v>0</v>
      </c>
      <c r="FO95" s="1" t="n">
        <f aca="false">FF95*(Slot15_Cost-FK95)</f>
        <v>0</v>
      </c>
      <c r="FP95" s="1" t="n">
        <f aca="false">IF(AND(Slot16_On=1,D95=Slot16_Age),1,0)</f>
        <v>0</v>
      </c>
      <c r="FQ95" s="1" t="n">
        <f aca="false">IF(AND(Slot16_On=1,Slot16_Age&gt;D95),1,0)</f>
        <v>0</v>
      </c>
      <c r="FR95" s="1" t="n">
        <f aca="false">ST94</f>
        <v>0</v>
      </c>
      <c r="FS95" s="1" t="n">
        <f aca="false">FP95*MIN(Slot16_Cost,FR95)</f>
        <v>0</v>
      </c>
      <c r="FT95" s="1" t="n">
        <f aca="false">FP95*Slot16_SpendLike*MIN(Slot16_Cost-FS95,FL95)</f>
        <v>0</v>
      </c>
      <c r="FU95" s="1" t="n">
        <f aca="false">FS95+FT95</f>
        <v>0</v>
      </c>
      <c r="FV95" s="1" t="n">
        <f aca="false">FL95-FT95+FP95*IF(Slot16_SpendLike=1,FR95-FS95,IF(Slot16_PotFree=1,FR95,0))</f>
        <v>1428879.38642732</v>
      </c>
      <c r="FW95" s="1" t="n">
        <f aca="false">FM95+FP95*Slot16_BufPot*FR95</f>
        <v>0</v>
      </c>
      <c r="FX95" s="1" t="n">
        <f aca="false">IF(AND(FP95=1,Slot16_IsMfree=1),IF(FU95&gt;=Slot16_Cost-1,0,MAX(0,FN95-FU95)),FN95)</f>
        <v>0</v>
      </c>
      <c r="FY95" s="1" t="n">
        <f aca="false">FP95*(Slot16_Cost-FU95)</f>
        <v>0</v>
      </c>
      <c r="FZ95" s="1" t="n">
        <f aca="false">IF(AND(Slot17_On=1,D95=Slot17_Age),1,0)</f>
        <v>0</v>
      </c>
      <c r="GA95" s="1" t="n">
        <f aca="false">IF(AND(Slot17_On=1,Slot17_Age&gt;D95),1,0)</f>
        <v>0</v>
      </c>
      <c r="GB95" s="1" t="n">
        <f aca="false">SX94</f>
        <v>0</v>
      </c>
      <c r="GC95" s="1" t="n">
        <f aca="false">FZ95*MIN(Slot17_Cost,GB95)</f>
        <v>0</v>
      </c>
      <c r="GD95" s="1" t="n">
        <f aca="false">FZ95*Slot17_SpendLike*MIN(Slot17_Cost-GC95,FV95)</f>
        <v>0</v>
      </c>
      <c r="GE95" s="1" t="n">
        <f aca="false">GC95+GD95</f>
        <v>0</v>
      </c>
      <c r="GF95" s="1" t="n">
        <f aca="false">FV95-GD95+FZ95*IF(Slot17_SpendLike=1,GB95-GC95,IF(Slot17_PotFree=1,GB95,0))</f>
        <v>1428879.38642732</v>
      </c>
      <c r="GG95" s="1" t="n">
        <f aca="false">FW95+FZ95*Slot17_BufPot*GB95</f>
        <v>0</v>
      </c>
      <c r="GH95" s="1" t="n">
        <f aca="false">IF(AND(FZ95=1,Slot17_IsMfree=1),IF(GE95&gt;=Slot17_Cost-1,0,MAX(0,FX95-GE95)),FX95)</f>
        <v>0</v>
      </c>
      <c r="GI95" s="1" t="n">
        <f aca="false">FZ95*(Slot17_Cost-GE95)</f>
        <v>0</v>
      </c>
      <c r="GJ95" s="1" t="n">
        <f aca="false">IF(AND(Slot18_On=1,D95=Slot18_Age),1,0)</f>
        <v>0</v>
      </c>
      <c r="GK95" s="1" t="n">
        <f aca="false">IF(AND(Slot18_On=1,Slot18_Age&gt;D95),1,0)</f>
        <v>0</v>
      </c>
      <c r="GL95" s="1" t="n">
        <f aca="false">TB94</f>
        <v>0</v>
      </c>
      <c r="GM95" s="1" t="n">
        <f aca="false">GJ95*MIN(Slot18_Cost,GL95)</f>
        <v>0</v>
      </c>
      <c r="GN95" s="1" t="n">
        <f aca="false">GJ95*Slot18_SpendLike*MIN(Slot18_Cost-GM95,GF95)</f>
        <v>0</v>
      </c>
      <c r="GO95" s="1" t="n">
        <f aca="false">GM95+GN95</f>
        <v>0</v>
      </c>
      <c r="GP95" s="1" t="n">
        <f aca="false">GF95-GN95+GJ95*IF(Slot18_SpendLike=1,GL95-GM95,IF(Slot18_PotFree=1,GL95,0))</f>
        <v>1428879.38642732</v>
      </c>
      <c r="GQ95" s="1" t="n">
        <f aca="false">GG95+GJ95*Slot18_BufPot*GL95</f>
        <v>0</v>
      </c>
      <c r="GR95" s="1" t="n">
        <f aca="false">IF(AND(GJ95=1,Slot18_IsMfree=1),IF(GO95&gt;=Slot18_Cost-1,0,MAX(0,GH95-GO95)),GH95)</f>
        <v>0</v>
      </c>
      <c r="GS95" s="1" t="n">
        <f aca="false">GJ95*(Slot18_Cost-GO95)</f>
        <v>0</v>
      </c>
      <c r="GT95" s="1" t="n">
        <f aca="false">IF(AND(Slot19_On=1,D95=Slot19_Age),1,0)</f>
        <v>0</v>
      </c>
      <c r="GU95" s="1" t="n">
        <f aca="false">IF(AND(Slot19_On=1,Slot19_Age&gt;D95),1,0)</f>
        <v>0</v>
      </c>
      <c r="GV95" s="1" t="n">
        <f aca="false">TF94</f>
        <v>0</v>
      </c>
      <c r="GW95" s="1" t="n">
        <f aca="false">GT95*MIN(Slot19_Cost,GV95)</f>
        <v>0</v>
      </c>
      <c r="GX95" s="1" t="n">
        <f aca="false">GT95*Slot19_SpendLike*MIN(Slot19_Cost-GW95,GP95)</f>
        <v>0</v>
      </c>
      <c r="GY95" s="1" t="n">
        <f aca="false">GW95+GX95</f>
        <v>0</v>
      </c>
      <c r="GZ95" s="1" t="n">
        <f aca="false">GP95-GX95+GT95*IF(Slot19_SpendLike=1,GV95-GW95,IF(Slot19_PotFree=1,GV95,0))</f>
        <v>1428879.38642732</v>
      </c>
      <c r="HA95" s="1" t="n">
        <f aca="false">GQ95+GT95*Slot19_BufPot*GV95</f>
        <v>0</v>
      </c>
      <c r="HB95" s="1" t="n">
        <f aca="false">IF(AND(GT95=1,Slot19_IsMfree=1),IF(GY95&gt;=Slot19_Cost-1,0,MAX(0,GR95-GY95)),GR95)</f>
        <v>0</v>
      </c>
      <c r="HC95" s="1" t="n">
        <f aca="false">GT95*(Slot19_Cost-GY95)</f>
        <v>0</v>
      </c>
      <c r="HD95" s="1" t="n">
        <f aca="false">IF(AND(Slot20_On=1,D95=Slot20_Age),1,0)</f>
        <v>0</v>
      </c>
      <c r="HE95" s="1" t="n">
        <f aca="false">IF(AND(Slot20_On=1,Slot20_Age&gt;D95),1,0)</f>
        <v>0</v>
      </c>
      <c r="HF95" s="1" t="n">
        <f aca="false">TJ94</f>
        <v>0</v>
      </c>
      <c r="HG95" s="1" t="n">
        <f aca="false">HD95*MIN(Slot20_Cost,HF95)</f>
        <v>0</v>
      </c>
      <c r="HH95" s="1" t="n">
        <f aca="false">HD95*Slot20_SpendLike*MIN(Slot20_Cost-HG95,GZ95)</f>
        <v>0</v>
      </c>
      <c r="HI95" s="1" t="n">
        <f aca="false">HG95+HH95</f>
        <v>0</v>
      </c>
      <c r="HJ95" s="1" t="n">
        <f aca="false">GZ95-HH95+HD95*IF(Slot20_SpendLike=1,HF95-HG95,IF(Slot20_PotFree=1,HF95,0))</f>
        <v>1428879.38642732</v>
      </c>
      <c r="HK95" s="1" t="n">
        <f aca="false">HA95+HD95*Slot20_BufPot*HF95</f>
        <v>0</v>
      </c>
      <c r="HL95" s="1" t="n">
        <f aca="false">IF(AND(HD95=1,Slot20_IsMfree=1),IF(HI95&gt;=Slot20_Cost-1,0,MAX(0,HB95-HI95)),HB95)</f>
        <v>0</v>
      </c>
      <c r="HM95" s="1" t="n">
        <f aca="false">HD95*(Slot20_Cost-HI95)</f>
        <v>0</v>
      </c>
      <c r="HN95" s="1" t="n">
        <f aca="false">U95*Slot1_SpendLike*Z95+AF95*Slot2_SpendLike*AK95+AP95*Slot3_SpendLike*AU95+AZ95*Slot4_SpendLike*BE95+BJ95*Slot5_SpendLike*BO95+BT95*Slot6_SpendLike*BY95+CD95*Slot7_SpendLike*CI95+CN95*Slot8_SpendLike*CS95+CX95*Slot9_SpendLike*DC95+DH95*Slot10_SpendLike*DM95+DR95*Slot11_SpendLike*DW95+EB95*Slot12_SpendLike*EG95+EL95*Slot13_SpendLike*EQ95+EV95*Slot14_SpendLike*FA95+FF95*Slot15_SpendLike*FK95+FP95*Slot16_SpendLike*FU95+FZ95*Slot17_SpendLike*GE95+GJ95*Slot18_SpendLike*GO95+GT95*Slot19_SpendLike*GY95+HD95*Slot20_SpendLike*HI95</f>
        <v>0</v>
      </c>
      <c r="HO95" s="1" t="n">
        <f aca="false">AD95+AO95+AY95+BI95+BS95+CC95+CM95+CW95+DG95+DQ95+EA95+EK95+EU95+FE95+FO95+FY95+GI95+GS95+HC95+HM95</f>
        <v>0</v>
      </c>
      <c r="HP95" s="1" t="n">
        <f aca="false">U95*Slot1_Cost+AF95*Slot2_Cost+AP95*Slot3_Cost+AZ95*Slot4_Cost+BJ95*Slot5_Cost+BT95*Slot6_Cost+CD95*Slot7_Cost+CN95*Slot8_Cost+CX95*Slot9_Cost+DH95*Slot10_Cost+DR95*Slot11_Cost+EB95*Slot12_Cost+EL95*Slot13_Cost+EV95*Slot14_Cost+FF95*Slot15_Cost+FP95*Slot16_Cost+FZ95*Slot17_Cost+GJ95*Slot18_Cost+GT95*Slot19_Cost+HD95*Slot20_Cost</f>
        <v>0</v>
      </c>
      <c r="HQ95" s="1" t="n">
        <f aca="false">HL95</f>
        <v>0</v>
      </c>
      <c r="HR95" s="1" t="n">
        <f aca="false">G95-H95-R95</f>
        <v>72641.4299603216</v>
      </c>
      <c r="HS95" s="1" t="n">
        <f aca="false">IF(B95=0,IF(AND(Has_q6=1,In_q6=4),PR_ShareVaries*(MAX(0,HR95)/12),MIN(IF(Has_q6=1,CHOOSE(In_q6+1,PR_SaveB1,PR_SaveB2,PR_SaveB3,PR_SaveB4,0),AS_NoAnswer),AS_SaveShare*(MAX(0,HR95)/12))),HS94)</f>
        <v>0</v>
      </c>
      <c r="HT95" s="1" t="n">
        <f aca="false">IF(HR95&gt;=0,1,0)</f>
        <v>1</v>
      </c>
      <c r="HU95" s="1" t="n">
        <f aca="false">MAX(0,HR95/12/E95)</f>
        <v>1080.90666666667</v>
      </c>
      <c r="HV95" s="1" t="n">
        <f aca="false">IF(AND(Has_q6=1,In_q6=4),PR_ShareVaries*(HU95),MIN(IF(Has_q6=1,CHOOSE(In_q6+1,PR_SaveB1,PR_SaveB2,PR_SaveB3,PR_SaveB4,0),AS_NoAnswer),AS_SaveShare*(HU95)))</f>
        <v>300</v>
      </c>
      <c r="HW95" s="1" t="n">
        <f aca="false">IF(Has_saveM=1,IF(In_saveUp="Yes",1,IF(In_saveUp="No",0,IF(In_saveM&gt;=HS95-0.5,1,0))),0)</f>
        <v>0</v>
      </c>
      <c r="HX95" s="1" t="n">
        <f aca="false">IF(Has_saveM=1,MIN(HU95,IF(HW95=1,MAX(In_saveM,HV95),MIN(In_saveM,HV95))),HV95)</f>
        <v>300</v>
      </c>
      <c r="HY95" s="1" t="n">
        <f aca="false">IF(F95=1,HX95*12*E95,0)</f>
        <v>0</v>
      </c>
      <c r="HZ95" s="1" t="n">
        <f aca="false">MAX(0,HY95+IF(AND(WI_Retire=0,WI_M&lt;0,F95=1),WI_M*12*E95,0))</f>
        <v>0</v>
      </c>
      <c r="IA95" s="1" t="n">
        <f aca="false">Slot1_IsWG*V95+Slot2_IsWG*AG95+Slot3_IsWG*AQ95+Slot4_IsWG*BA95+Slot5_IsWG*BK95+Slot6_IsWG*BU95+Slot7_IsWG*CE95+Slot8_IsWG*CO95+Slot9_IsWG*CY95+Slot10_IsWG*DI95+Slot11_IsWG*DS95+Slot12_IsWG*EC95+Slot13_IsWG*EM95+Slot14_IsWG*EW95+Slot15_IsWG*FG95+Slot16_IsWG*FQ95+Slot17_IsWG*GA95+Slot18_IsWG*GK95+Slot19_IsWG*GU95+Slot20_IsWG*HE95</f>
        <v>0</v>
      </c>
      <c r="IB95" s="1" t="n">
        <f aca="false">IF(AND(WI_Retire=0,WI_M&gt;0,F95=1,IA95&gt;=1),WI_M*12*E95,0)</f>
        <v>0</v>
      </c>
      <c r="IC95" s="1" t="n">
        <f aca="false">IF(HT95=1,MIN(HZ95,HR95),0)</f>
        <v>0</v>
      </c>
      <c r="ID95" s="1" t="n">
        <f aca="false">IF(HT95=1,MIN(IB95,HR95-IC95),0)</f>
        <v>0</v>
      </c>
      <c r="IE95" s="1" t="n">
        <f aca="false">IF(V95=1,IF(ABS((1+AS_Wage)/(1+Slot1_Rate)-1)&lt;0.000000000001,(Slot1_Age-D95)*(1+Slot1_Rate)^(Slot1_Age-D95),(1+Slot1_Rate)^(Slot1_Age-D95)*(1-((1+AS_Wage)/(1+Slot1_Rate))^(Slot1_Age-D95))/(1-(1+AS_Wage)/(1+Slot1_Rate))),1)</f>
        <v>1</v>
      </c>
      <c r="IF95" s="1" t="n">
        <f aca="false">IF(AND(HT95=1,ID95&gt;0,Slot1_IsWG=1,V95=1),MAX(0,(Slot1_Cost-W95*(1+Slot1_Rate)^(Slot1_Age-D95))/IE95),0)</f>
        <v>0</v>
      </c>
      <c r="IG95" s="1" t="n">
        <f aca="false">IF(AND(HT95=1,ID95&gt;0,Slot1_IsWG=1,V95=1),MIN(ID95,IF95),0)</f>
        <v>0</v>
      </c>
      <c r="IH95" s="1" t="n">
        <f aca="false">W95+IG95</f>
        <v>0</v>
      </c>
      <c r="II95" s="1" t="n">
        <f aca="false">IF(V95=1,MAX(0,(Slot1_Cost-IH95*(1+Slot1_Rate)^(Slot1_Age-D95))/IE95),0)</f>
        <v>0</v>
      </c>
      <c r="IJ95" s="1" t="n">
        <f aca="false">IF(V95=1,MAX(0,(Slot1_Cost-W95*(1+Slot1_Rate)^(Slot1_Age-D95))/IE95),0)</f>
        <v>0</v>
      </c>
      <c r="IK95" s="1" t="n">
        <f aca="false">IF(AND(HT95=1,V95=1),MIN(IC95,II95),0)</f>
        <v>0</v>
      </c>
      <c r="IL95" s="1" t="n">
        <f aca="false">IC95-IK95</f>
        <v>0</v>
      </c>
      <c r="IM95" s="1" t="n">
        <f aca="false">IF(AG95=1,IF(ABS((1+AS_Wage)/(1+Slot2_Rate)-1)&lt;0.000000000001,(Slot2_Age-D95)*(1+Slot2_Rate)^(Slot2_Age-D95),(1+Slot2_Rate)^(Slot2_Age-D95)*(1-((1+AS_Wage)/(1+Slot2_Rate))^(Slot2_Age-D95))/(1-(1+AS_Wage)/(1+Slot2_Rate))),1)</f>
        <v>1</v>
      </c>
      <c r="IN95" s="1" t="n">
        <f aca="false">IF(AND(HT95=1,ID95&gt;0,Slot2_IsWG=1,AG95=1),MAX(0,(Slot2_Cost-AH95*(1+Slot2_Rate)^(Slot2_Age-D95))/IM95),0)</f>
        <v>0</v>
      </c>
      <c r="IO95" s="1" t="n">
        <f aca="false">IF(AND(HT95=1,ID95&gt;0,Slot2_IsWG=1,AG95=1),MIN(ID95,IN95),0)</f>
        <v>0</v>
      </c>
      <c r="IP95" s="1" t="n">
        <f aca="false">AH95+IO95</f>
        <v>0</v>
      </c>
      <c r="IQ95" s="1" t="n">
        <f aca="false">IF(AG95=1,MAX(0,(Slot2_Cost-IP95*(1+Slot2_Rate)^(Slot2_Age-D95))/IM95),0)</f>
        <v>0</v>
      </c>
      <c r="IR95" s="1" t="n">
        <f aca="false">IF(AG95=1,MAX(0,(Slot2_Cost-AH95*(1+Slot2_Rate)^(Slot2_Age-D95))/IM95),0)</f>
        <v>0</v>
      </c>
      <c r="IS95" s="1" t="n">
        <f aca="false">IF(AND(HT95=1,AG95=1),MIN(IL95,IQ95),0)</f>
        <v>0</v>
      </c>
      <c r="IT95" s="1" t="n">
        <f aca="false">IL95-IS95</f>
        <v>0</v>
      </c>
      <c r="IU95" s="1" t="n">
        <f aca="false">IF(AQ95=1,IF(ABS((1+AS_Wage)/(1+Slot3_Rate)-1)&lt;0.000000000001,(Slot3_Age-D95)*(1+Slot3_Rate)^(Slot3_Age-D95),(1+Slot3_Rate)^(Slot3_Age-D95)*(1-((1+AS_Wage)/(1+Slot3_Rate))^(Slot3_Age-D95))/(1-(1+AS_Wage)/(1+Slot3_Rate))),1)</f>
        <v>1</v>
      </c>
      <c r="IV95" s="1" t="n">
        <f aca="false">IF(AND(HT95=1,ID95&gt;0,Slot3_IsWG=1,AQ95=1),MAX(0,(Slot3_Cost-AR95*(1+Slot3_Rate)^(Slot3_Age-D95))/IU95),0)</f>
        <v>0</v>
      </c>
      <c r="IW95" s="1" t="n">
        <f aca="false">IF(AND(HT95=1,ID95&gt;0,Slot3_IsWG=1,AQ95=1),MIN(ID95,IV95),0)</f>
        <v>0</v>
      </c>
      <c r="IX95" s="1" t="n">
        <f aca="false">AR95+IW95</f>
        <v>0</v>
      </c>
      <c r="IY95" s="1" t="n">
        <f aca="false">IF(AQ95=1,MAX(0,(Slot3_Cost-IX95*(1+Slot3_Rate)^(Slot3_Age-D95))/IU95),0)</f>
        <v>0</v>
      </c>
      <c r="IZ95" s="1" t="n">
        <f aca="false">IF(AQ95=1,MAX(0,(Slot3_Cost-AR95*(1+Slot3_Rate)^(Slot3_Age-D95))/IU95),0)</f>
        <v>0</v>
      </c>
      <c r="JA95" s="1" t="n">
        <f aca="false">IF(AND(HT95=1,AQ95=1),MIN(IT95,IY95),0)</f>
        <v>0</v>
      </c>
      <c r="JB95" s="1" t="n">
        <f aca="false">IT95-JA95</f>
        <v>0</v>
      </c>
      <c r="JC95" s="1" t="n">
        <f aca="false">IF(BA95=1,IF(ABS((1+AS_Wage)/(1+Slot4_Rate)-1)&lt;0.000000000001,(Slot4_Age-D95)*(1+Slot4_Rate)^(Slot4_Age-D95),(1+Slot4_Rate)^(Slot4_Age-D95)*(1-((1+AS_Wage)/(1+Slot4_Rate))^(Slot4_Age-D95))/(1-(1+AS_Wage)/(1+Slot4_Rate))),1)</f>
        <v>1</v>
      </c>
      <c r="JD95" s="1" t="n">
        <f aca="false">IF(AND(HT95=1,ID95&gt;0,Slot4_IsWG=1,BA95=1),MAX(0,(Slot4_Cost-BB95*(1+Slot4_Rate)^(Slot4_Age-D95))/JC95),0)</f>
        <v>0</v>
      </c>
      <c r="JE95" s="1" t="n">
        <f aca="false">IF(AND(HT95=1,ID95&gt;0,Slot4_IsWG=1,BA95=1),MIN(ID95,JD95),0)</f>
        <v>0</v>
      </c>
      <c r="JF95" s="1" t="n">
        <f aca="false">BB95+JE95</f>
        <v>0</v>
      </c>
      <c r="JG95" s="1" t="n">
        <f aca="false">IF(BA95=1,MAX(0,(Slot4_Cost-JF95*(1+Slot4_Rate)^(Slot4_Age-D95))/JC95),0)</f>
        <v>0</v>
      </c>
      <c r="JH95" s="1" t="n">
        <f aca="false">IF(BA95=1,MAX(0,(Slot4_Cost-BB95*(1+Slot4_Rate)^(Slot4_Age-D95))/JC95),0)</f>
        <v>0</v>
      </c>
      <c r="JI95" s="1" t="n">
        <f aca="false">IF(AND(HT95=1,BA95=1),MIN(JB95,JG95),0)</f>
        <v>0</v>
      </c>
      <c r="JJ95" s="1" t="n">
        <f aca="false">JB95-JI95</f>
        <v>0</v>
      </c>
      <c r="JK95" s="1" t="n">
        <f aca="false">IF(BK95=1,IF(ABS((1+AS_Wage)/(1+Slot5_Rate)-1)&lt;0.000000000001,(Slot5_Age-D95)*(1+Slot5_Rate)^(Slot5_Age-D95),(1+Slot5_Rate)^(Slot5_Age-D95)*(1-((1+AS_Wage)/(1+Slot5_Rate))^(Slot5_Age-D95))/(1-(1+AS_Wage)/(1+Slot5_Rate))),1)</f>
        <v>1</v>
      </c>
      <c r="JL95" s="1" t="n">
        <f aca="false">IF(AND(HT95=1,ID95&gt;0,Slot5_IsWG=1,BK95=1),MAX(0,(Slot5_Cost-BL95*(1+Slot5_Rate)^(Slot5_Age-D95))/JK95),0)</f>
        <v>0</v>
      </c>
      <c r="JM95" s="1" t="n">
        <f aca="false">IF(AND(HT95=1,ID95&gt;0,Slot5_IsWG=1,BK95=1),MIN(ID95,JL95),0)</f>
        <v>0</v>
      </c>
      <c r="JN95" s="1" t="n">
        <f aca="false">BL95+JM95</f>
        <v>0</v>
      </c>
      <c r="JO95" s="1" t="n">
        <f aca="false">IF(BK95=1,MAX(0,(Slot5_Cost-JN95*(1+Slot5_Rate)^(Slot5_Age-D95))/JK95),0)</f>
        <v>0</v>
      </c>
      <c r="JP95" s="1" t="n">
        <f aca="false">IF(BK95=1,MAX(0,(Slot5_Cost-BL95*(1+Slot5_Rate)^(Slot5_Age-D95))/JK95),0)</f>
        <v>0</v>
      </c>
      <c r="JQ95" s="1" t="n">
        <f aca="false">IF(AND(HT95=1,BK95=1),MIN(JJ95,JO95),0)</f>
        <v>0</v>
      </c>
      <c r="JR95" s="1" t="n">
        <f aca="false">JJ95-JQ95</f>
        <v>0</v>
      </c>
      <c r="JS95" s="1" t="n">
        <f aca="false">IF(BU95=1,IF(ABS((1+AS_Wage)/(1+Slot6_Rate)-1)&lt;0.000000000001,(Slot6_Age-D95)*(1+Slot6_Rate)^(Slot6_Age-D95),(1+Slot6_Rate)^(Slot6_Age-D95)*(1-((1+AS_Wage)/(1+Slot6_Rate))^(Slot6_Age-D95))/(1-(1+AS_Wage)/(1+Slot6_Rate))),1)</f>
        <v>1</v>
      </c>
      <c r="JT95" s="1" t="n">
        <f aca="false">IF(AND(HT95=1,ID95&gt;0,Slot6_IsWG=1,BU95=1),MAX(0,(Slot6_Cost-BV95*(1+Slot6_Rate)^(Slot6_Age-D95))/JS95),0)</f>
        <v>0</v>
      </c>
      <c r="JU95" s="1" t="n">
        <f aca="false">IF(AND(HT95=1,ID95&gt;0,Slot6_IsWG=1,BU95=1),MIN(ID95,JT95),0)</f>
        <v>0</v>
      </c>
      <c r="JV95" s="1" t="n">
        <f aca="false">BV95+JU95</f>
        <v>0</v>
      </c>
      <c r="JW95" s="1" t="n">
        <f aca="false">IF(BU95=1,MAX(0,(Slot6_Cost-JV95*(1+Slot6_Rate)^(Slot6_Age-D95))/JS95),0)</f>
        <v>0</v>
      </c>
      <c r="JX95" s="1" t="n">
        <f aca="false">IF(BU95=1,MAX(0,(Slot6_Cost-BV95*(1+Slot6_Rate)^(Slot6_Age-D95))/JS95),0)</f>
        <v>0</v>
      </c>
      <c r="JY95" s="1" t="n">
        <f aca="false">IF(AND(HT95=1,BU95=1),MIN(JR95,JW95),0)</f>
        <v>0</v>
      </c>
      <c r="JZ95" s="1" t="n">
        <f aca="false">JR95-JY95</f>
        <v>0</v>
      </c>
      <c r="KA95" s="1" t="n">
        <f aca="false">IF(CE95=1,IF(ABS((1+AS_Wage)/(1+Slot7_Rate)-1)&lt;0.000000000001,(Slot7_Age-D95)*(1+Slot7_Rate)^(Slot7_Age-D95),(1+Slot7_Rate)^(Slot7_Age-D95)*(1-((1+AS_Wage)/(1+Slot7_Rate))^(Slot7_Age-D95))/(1-(1+AS_Wage)/(1+Slot7_Rate))),1)</f>
        <v>1</v>
      </c>
      <c r="KB95" s="1" t="n">
        <f aca="false">IF(AND(HT95=1,ID95&gt;0,Slot7_IsWG=1,CE95=1),MAX(0,(Slot7_Cost-CF95*(1+Slot7_Rate)^(Slot7_Age-D95))/KA95),0)</f>
        <v>0</v>
      </c>
      <c r="KC95" s="1" t="n">
        <f aca="false">IF(AND(HT95=1,ID95&gt;0,Slot7_IsWG=1,CE95=1),MIN(ID95,KB95),0)</f>
        <v>0</v>
      </c>
      <c r="KD95" s="1" t="n">
        <f aca="false">CF95+KC95</f>
        <v>0</v>
      </c>
      <c r="KE95" s="1" t="n">
        <f aca="false">IF(CE95=1,MAX(0,(Slot7_Cost-KD95*(1+Slot7_Rate)^(Slot7_Age-D95))/KA95),0)</f>
        <v>0</v>
      </c>
      <c r="KF95" s="1" t="n">
        <f aca="false">IF(CE95=1,MAX(0,(Slot7_Cost-CF95*(1+Slot7_Rate)^(Slot7_Age-D95))/KA95),0)</f>
        <v>0</v>
      </c>
      <c r="KG95" s="1" t="n">
        <f aca="false">IF(AND(HT95=1,CE95=1),MIN(JZ95,KE95),0)</f>
        <v>0</v>
      </c>
      <c r="KH95" s="1" t="n">
        <f aca="false">JZ95-KG95</f>
        <v>0</v>
      </c>
      <c r="KI95" s="1" t="n">
        <f aca="false">IF(CO95=1,IF(ABS((1+AS_Wage)/(1+Slot8_Rate)-1)&lt;0.000000000001,(Slot8_Age-D95)*(1+Slot8_Rate)^(Slot8_Age-D95),(1+Slot8_Rate)^(Slot8_Age-D95)*(1-((1+AS_Wage)/(1+Slot8_Rate))^(Slot8_Age-D95))/(1-(1+AS_Wage)/(1+Slot8_Rate))),1)</f>
        <v>1</v>
      </c>
      <c r="KJ95" s="1" t="n">
        <f aca="false">IF(AND(HT95=1,ID95&gt;0,Slot8_IsWG=1,CO95=1),MAX(0,(Slot8_Cost-CP95*(1+Slot8_Rate)^(Slot8_Age-D95))/KI95),0)</f>
        <v>0</v>
      </c>
      <c r="KK95" s="1" t="n">
        <f aca="false">IF(AND(HT95=1,ID95&gt;0,Slot8_IsWG=1,CO95=1),MIN(ID95,KJ95),0)</f>
        <v>0</v>
      </c>
      <c r="KL95" s="1" t="n">
        <f aca="false">CP95+KK95</f>
        <v>0</v>
      </c>
      <c r="KM95" s="1" t="n">
        <f aca="false">IF(CO95=1,MAX(0,(Slot8_Cost-KL95*(1+Slot8_Rate)^(Slot8_Age-D95))/KI95),0)</f>
        <v>0</v>
      </c>
      <c r="KN95" s="1" t="n">
        <f aca="false">IF(CO95=1,MAX(0,(Slot8_Cost-CP95*(1+Slot8_Rate)^(Slot8_Age-D95))/KI95),0)</f>
        <v>0</v>
      </c>
      <c r="KO95" s="1" t="n">
        <f aca="false">IF(AND(HT95=1,CO95=1),MIN(KH95,KM95),0)</f>
        <v>0</v>
      </c>
      <c r="KP95" s="1" t="n">
        <f aca="false">KH95-KO95</f>
        <v>0</v>
      </c>
      <c r="KQ95" s="1" t="n">
        <f aca="false">IF(CY95=1,IF(ABS((1+AS_Wage)/(1+Slot9_Rate)-1)&lt;0.000000000001,(Slot9_Age-D95)*(1+Slot9_Rate)^(Slot9_Age-D95),(1+Slot9_Rate)^(Slot9_Age-D95)*(1-((1+AS_Wage)/(1+Slot9_Rate))^(Slot9_Age-D95))/(1-(1+AS_Wage)/(1+Slot9_Rate))),1)</f>
        <v>1</v>
      </c>
      <c r="KR95" s="1" t="n">
        <f aca="false">IF(AND(HT95=1,ID95&gt;0,Slot9_IsWG=1,CY95=1),MAX(0,(Slot9_Cost-CZ95*(1+Slot9_Rate)^(Slot9_Age-D95))/KQ95),0)</f>
        <v>0</v>
      </c>
      <c r="KS95" s="1" t="n">
        <f aca="false">IF(AND(HT95=1,ID95&gt;0,Slot9_IsWG=1,CY95=1),MIN(ID95,KR95),0)</f>
        <v>0</v>
      </c>
      <c r="KT95" s="1" t="n">
        <f aca="false">CZ95+KS95</f>
        <v>0</v>
      </c>
      <c r="KU95" s="1" t="n">
        <f aca="false">IF(CY95=1,MAX(0,(Slot9_Cost-KT95*(1+Slot9_Rate)^(Slot9_Age-D95))/KQ95),0)</f>
        <v>0</v>
      </c>
      <c r="KV95" s="1" t="n">
        <f aca="false">IF(CY95=1,MAX(0,(Slot9_Cost-CZ95*(1+Slot9_Rate)^(Slot9_Age-D95))/KQ95),0)</f>
        <v>0</v>
      </c>
      <c r="KW95" s="1" t="n">
        <f aca="false">IF(AND(HT95=1,CY95=1),MIN(KP95,KU95),0)</f>
        <v>0</v>
      </c>
      <c r="KX95" s="1" t="n">
        <f aca="false">KP95-KW95</f>
        <v>0</v>
      </c>
      <c r="KY95" s="1" t="n">
        <f aca="false">IF(DI95=1,IF(ABS((1+AS_Wage)/(1+Slot10_Rate)-1)&lt;0.000000000001,(Slot10_Age-D95)*(1+Slot10_Rate)^(Slot10_Age-D95),(1+Slot10_Rate)^(Slot10_Age-D95)*(1-((1+AS_Wage)/(1+Slot10_Rate))^(Slot10_Age-D95))/(1-(1+AS_Wage)/(1+Slot10_Rate))),1)</f>
        <v>1</v>
      </c>
      <c r="KZ95" s="1" t="n">
        <f aca="false">IF(AND(HT95=1,ID95&gt;0,Slot10_IsWG=1,DI95=1),MAX(0,(Slot10_Cost-DJ95*(1+Slot10_Rate)^(Slot10_Age-D95))/KY95),0)</f>
        <v>0</v>
      </c>
      <c r="LA95" s="1" t="n">
        <f aca="false">IF(AND(HT95=1,ID95&gt;0,Slot10_IsWG=1,DI95=1),MIN(ID95,KZ95),0)</f>
        <v>0</v>
      </c>
      <c r="LB95" s="1" t="n">
        <f aca="false">DJ95+LA95</f>
        <v>0</v>
      </c>
      <c r="LC95" s="1" t="n">
        <f aca="false">IF(DI95=1,MAX(0,(Slot10_Cost-LB95*(1+Slot10_Rate)^(Slot10_Age-D95))/KY95),0)</f>
        <v>0</v>
      </c>
      <c r="LD95" s="1" t="n">
        <f aca="false">IF(DI95=1,MAX(0,(Slot10_Cost-DJ95*(1+Slot10_Rate)^(Slot10_Age-D95))/KY95),0)</f>
        <v>0</v>
      </c>
      <c r="LE95" s="1" t="n">
        <f aca="false">IF(AND(HT95=1,DI95=1),MIN(KX95,LC95),0)</f>
        <v>0</v>
      </c>
      <c r="LF95" s="1" t="n">
        <f aca="false">KX95-LE95</f>
        <v>0</v>
      </c>
      <c r="LG95" s="1" t="n">
        <f aca="false">IF(DS95=1,IF(ABS((1+AS_Wage)/(1+Slot11_Rate)-1)&lt;0.000000000001,(Slot11_Age-D95)*(1+Slot11_Rate)^(Slot11_Age-D95),(1+Slot11_Rate)^(Slot11_Age-D95)*(1-((1+AS_Wage)/(1+Slot11_Rate))^(Slot11_Age-D95))/(1-(1+AS_Wage)/(1+Slot11_Rate))),1)</f>
        <v>1</v>
      </c>
      <c r="LH95" s="1" t="n">
        <f aca="false">IF(AND(HT95=1,ID95&gt;0,Slot11_IsWG=1,DS95=1),MAX(0,(Slot11_Cost-DT95*(1+Slot11_Rate)^(Slot11_Age-D95))/LG95),0)</f>
        <v>0</v>
      </c>
      <c r="LI95" s="1" t="n">
        <f aca="false">IF(AND(HT95=1,ID95&gt;0,Slot11_IsWG=1,DS95=1),MIN(ID95,LH95),0)</f>
        <v>0</v>
      </c>
      <c r="LJ95" s="1" t="n">
        <f aca="false">DT95+LI95</f>
        <v>0</v>
      </c>
      <c r="LK95" s="1" t="n">
        <f aca="false">IF(DS95=1,MAX(0,(Slot11_Cost-LJ95*(1+Slot11_Rate)^(Slot11_Age-D95))/LG95),0)</f>
        <v>0</v>
      </c>
      <c r="LL95" s="1" t="n">
        <f aca="false">IF(DS95=1,MAX(0,(Slot11_Cost-DT95*(1+Slot11_Rate)^(Slot11_Age-D95))/LG95),0)</f>
        <v>0</v>
      </c>
      <c r="LM95" s="1" t="n">
        <f aca="false">IF(AND(HT95=1,DS95=1),MIN(LF95,LK95),0)</f>
        <v>0</v>
      </c>
      <c r="LN95" s="1" t="n">
        <f aca="false">LF95-LM95</f>
        <v>0</v>
      </c>
      <c r="LO95" s="1" t="n">
        <f aca="false">IF(EC95=1,IF(ABS((1+AS_Wage)/(1+Slot12_Rate)-1)&lt;0.000000000001,(Slot12_Age-D95)*(1+Slot12_Rate)^(Slot12_Age-D95),(1+Slot12_Rate)^(Slot12_Age-D95)*(1-((1+AS_Wage)/(1+Slot12_Rate))^(Slot12_Age-D95))/(1-(1+AS_Wage)/(1+Slot12_Rate))),1)</f>
        <v>1</v>
      </c>
      <c r="LP95" s="1" t="n">
        <f aca="false">IF(AND(HT95=1,ID95&gt;0,Slot12_IsWG=1,EC95=1),MAX(0,(Slot12_Cost-ED95*(1+Slot12_Rate)^(Slot12_Age-D95))/LO95),0)</f>
        <v>0</v>
      </c>
      <c r="LQ95" s="1" t="n">
        <f aca="false">IF(AND(HT95=1,ID95&gt;0,Slot12_IsWG=1,EC95=1),MIN(ID95,LP95),0)</f>
        <v>0</v>
      </c>
      <c r="LR95" s="1" t="n">
        <f aca="false">ED95+LQ95</f>
        <v>0</v>
      </c>
      <c r="LS95" s="1" t="n">
        <f aca="false">IF(EC95=1,MAX(0,(Slot12_Cost-LR95*(1+Slot12_Rate)^(Slot12_Age-D95))/LO95),0)</f>
        <v>0</v>
      </c>
      <c r="LT95" s="1" t="n">
        <f aca="false">IF(EC95=1,MAX(0,(Slot12_Cost-ED95*(1+Slot12_Rate)^(Slot12_Age-D95))/LO95),0)</f>
        <v>0</v>
      </c>
      <c r="LU95" s="1" t="n">
        <f aca="false">IF(AND(HT95=1,EC95=1),MIN(LN95,LS95),0)</f>
        <v>0</v>
      </c>
      <c r="LV95" s="1" t="n">
        <f aca="false">LN95-LU95</f>
        <v>0</v>
      </c>
      <c r="LW95" s="1" t="n">
        <f aca="false">IF(EM95=1,IF(ABS((1+AS_Wage)/(1+Slot13_Rate)-1)&lt;0.000000000001,(Slot13_Age-D95)*(1+Slot13_Rate)^(Slot13_Age-D95),(1+Slot13_Rate)^(Slot13_Age-D95)*(1-((1+AS_Wage)/(1+Slot13_Rate))^(Slot13_Age-D95))/(1-(1+AS_Wage)/(1+Slot13_Rate))),1)</f>
        <v>1</v>
      </c>
      <c r="LX95" s="1" t="n">
        <f aca="false">IF(AND(HT95=1,ID95&gt;0,Slot13_IsWG=1,EM95=1),MAX(0,(Slot13_Cost-EN95*(1+Slot13_Rate)^(Slot13_Age-D95))/LW95),0)</f>
        <v>0</v>
      </c>
      <c r="LY95" s="1" t="n">
        <f aca="false">IF(AND(HT95=1,ID95&gt;0,Slot13_IsWG=1,EM95=1),MIN(ID95,LX95),0)</f>
        <v>0</v>
      </c>
      <c r="LZ95" s="1" t="n">
        <f aca="false">EN95+LY95</f>
        <v>0</v>
      </c>
      <c r="MA95" s="1" t="n">
        <f aca="false">IF(EM95=1,MAX(0,(Slot13_Cost-LZ95*(1+Slot13_Rate)^(Slot13_Age-D95))/LW95),0)</f>
        <v>0</v>
      </c>
      <c r="MB95" s="1" t="n">
        <f aca="false">IF(EM95=1,MAX(0,(Slot13_Cost-EN95*(1+Slot13_Rate)^(Slot13_Age-D95))/LW95),0)</f>
        <v>0</v>
      </c>
      <c r="MC95" s="1" t="n">
        <f aca="false">IF(AND(HT95=1,EM95=1),MIN(LV95,MA95),0)</f>
        <v>0</v>
      </c>
      <c r="MD95" s="1" t="n">
        <f aca="false">LV95-MC95</f>
        <v>0</v>
      </c>
      <c r="ME95" s="1" t="n">
        <f aca="false">IF(EW95=1,IF(ABS((1+AS_Wage)/(1+Slot14_Rate)-1)&lt;0.000000000001,(Slot14_Age-D95)*(1+Slot14_Rate)^(Slot14_Age-D95),(1+Slot14_Rate)^(Slot14_Age-D95)*(1-((1+AS_Wage)/(1+Slot14_Rate))^(Slot14_Age-D95))/(1-(1+AS_Wage)/(1+Slot14_Rate))),1)</f>
        <v>1</v>
      </c>
      <c r="MF95" s="1" t="n">
        <f aca="false">IF(AND(HT95=1,ID95&gt;0,Slot14_IsWG=1,EW95=1),MAX(0,(Slot14_Cost-EX95*(1+Slot14_Rate)^(Slot14_Age-D95))/ME95),0)</f>
        <v>0</v>
      </c>
      <c r="MG95" s="1" t="n">
        <f aca="false">IF(AND(HT95=1,ID95&gt;0,Slot14_IsWG=1,EW95=1),MIN(ID95,MF95),0)</f>
        <v>0</v>
      </c>
      <c r="MH95" s="1" t="n">
        <f aca="false">EX95+MG95</f>
        <v>0</v>
      </c>
      <c r="MI95" s="1" t="n">
        <f aca="false">IF(EW95=1,MAX(0,(Slot14_Cost-MH95*(1+Slot14_Rate)^(Slot14_Age-D95))/ME95),0)</f>
        <v>0</v>
      </c>
      <c r="MJ95" s="1" t="n">
        <f aca="false">IF(EW95=1,MAX(0,(Slot14_Cost-EX95*(1+Slot14_Rate)^(Slot14_Age-D95))/ME95),0)</f>
        <v>0</v>
      </c>
      <c r="MK95" s="1" t="n">
        <f aca="false">IF(AND(HT95=1,EW95=1),MIN(MD95,MI95),0)</f>
        <v>0</v>
      </c>
      <c r="ML95" s="1" t="n">
        <f aca="false">MD95-MK95</f>
        <v>0</v>
      </c>
      <c r="MM95" s="1" t="n">
        <f aca="false">IF(FG95=1,IF(ABS((1+AS_Wage)/(1+Slot15_Rate)-1)&lt;0.000000000001,(Slot15_Age-D95)*(1+Slot15_Rate)^(Slot15_Age-D95),(1+Slot15_Rate)^(Slot15_Age-D95)*(1-((1+AS_Wage)/(1+Slot15_Rate))^(Slot15_Age-D95))/(1-(1+AS_Wage)/(1+Slot15_Rate))),1)</f>
        <v>1</v>
      </c>
      <c r="MN95" s="1" t="n">
        <f aca="false">IF(AND(HT95=1,ID95&gt;0,Slot15_IsWG=1,FG95=1),MAX(0,(Slot15_Cost-FH95*(1+Slot15_Rate)^(Slot15_Age-D95))/MM95),0)</f>
        <v>0</v>
      </c>
      <c r="MO95" s="1" t="n">
        <f aca="false">IF(AND(HT95=1,ID95&gt;0,Slot15_IsWG=1,FG95=1),MIN(ID95,MN95),0)</f>
        <v>0</v>
      </c>
      <c r="MP95" s="1" t="n">
        <f aca="false">FH95+MO95</f>
        <v>0</v>
      </c>
      <c r="MQ95" s="1" t="n">
        <f aca="false">IF(FG95=1,MAX(0,(Slot15_Cost-MP95*(1+Slot15_Rate)^(Slot15_Age-D95))/MM95),0)</f>
        <v>0</v>
      </c>
      <c r="MR95" s="1" t="n">
        <f aca="false">IF(FG95=1,MAX(0,(Slot15_Cost-FH95*(1+Slot15_Rate)^(Slot15_Age-D95))/MM95),0)</f>
        <v>0</v>
      </c>
      <c r="MS95" s="1" t="n">
        <f aca="false">IF(AND(HT95=1,FG95=1),MIN(ML95,MQ95),0)</f>
        <v>0</v>
      </c>
      <c r="MT95" s="1" t="n">
        <f aca="false">ML95-MS95</f>
        <v>0</v>
      </c>
      <c r="MU95" s="1" t="n">
        <f aca="false">IF(FQ95=1,IF(ABS((1+AS_Wage)/(1+Slot16_Rate)-1)&lt;0.000000000001,(Slot16_Age-D95)*(1+Slot16_Rate)^(Slot16_Age-D95),(1+Slot16_Rate)^(Slot16_Age-D95)*(1-((1+AS_Wage)/(1+Slot16_Rate))^(Slot16_Age-D95))/(1-(1+AS_Wage)/(1+Slot16_Rate))),1)</f>
        <v>1</v>
      </c>
      <c r="MV95" s="1" t="n">
        <f aca="false">IF(AND(HT95=1,ID95&gt;0,Slot16_IsWG=1,FQ95=1),MAX(0,(Slot16_Cost-FR95*(1+Slot16_Rate)^(Slot16_Age-D95))/MU95),0)</f>
        <v>0</v>
      </c>
      <c r="MW95" s="1" t="n">
        <f aca="false">IF(AND(HT95=1,ID95&gt;0,Slot16_IsWG=1,FQ95=1),MIN(ID95,MV95),0)</f>
        <v>0</v>
      </c>
      <c r="MX95" s="1" t="n">
        <f aca="false">FR95+MW95</f>
        <v>0</v>
      </c>
      <c r="MY95" s="1" t="n">
        <f aca="false">IF(FQ95=1,MAX(0,(Slot16_Cost-MX95*(1+Slot16_Rate)^(Slot16_Age-D95))/MU95),0)</f>
        <v>0</v>
      </c>
      <c r="MZ95" s="1" t="n">
        <f aca="false">IF(FQ95=1,MAX(0,(Slot16_Cost-FR95*(1+Slot16_Rate)^(Slot16_Age-D95))/MU95),0)</f>
        <v>0</v>
      </c>
      <c r="NA95" s="1" t="n">
        <f aca="false">IF(AND(HT95=1,FQ95=1),MIN(MT95,MY95),0)</f>
        <v>0</v>
      </c>
      <c r="NB95" s="1" t="n">
        <f aca="false">MT95-NA95</f>
        <v>0</v>
      </c>
      <c r="NC95" s="1" t="n">
        <f aca="false">IF(GA95=1,IF(ABS((1+AS_Wage)/(1+Slot17_Rate)-1)&lt;0.000000000001,(Slot17_Age-D95)*(1+Slot17_Rate)^(Slot17_Age-D95),(1+Slot17_Rate)^(Slot17_Age-D95)*(1-((1+AS_Wage)/(1+Slot17_Rate))^(Slot17_Age-D95))/(1-(1+AS_Wage)/(1+Slot17_Rate))),1)</f>
        <v>1</v>
      </c>
      <c r="ND95" s="1" t="n">
        <f aca="false">IF(AND(HT95=1,ID95&gt;0,Slot17_IsWG=1,GA95=1),MAX(0,(Slot17_Cost-GB95*(1+Slot17_Rate)^(Slot17_Age-D95))/NC95),0)</f>
        <v>0</v>
      </c>
      <c r="NE95" s="1" t="n">
        <f aca="false">IF(AND(HT95=1,ID95&gt;0,Slot17_IsWG=1,GA95=1),MIN(ID95,ND95),0)</f>
        <v>0</v>
      </c>
      <c r="NF95" s="1" t="n">
        <f aca="false">GB95+NE95</f>
        <v>0</v>
      </c>
      <c r="NG95" s="1" t="n">
        <f aca="false">IF(GA95=1,MAX(0,(Slot17_Cost-NF95*(1+Slot17_Rate)^(Slot17_Age-D95))/NC95),0)</f>
        <v>0</v>
      </c>
      <c r="NH95" s="1" t="n">
        <f aca="false">IF(GA95=1,MAX(0,(Slot17_Cost-GB95*(1+Slot17_Rate)^(Slot17_Age-D95))/NC95),0)</f>
        <v>0</v>
      </c>
      <c r="NI95" s="1" t="n">
        <f aca="false">IF(AND(HT95=1,GA95=1),MIN(NB95,NG95),0)</f>
        <v>0</v>
      </c>
      <c r="NJ95" s="1" t="n">
        <f aca="false">NB95-NI95</f>
        <v>0</v>
      </c>
      <c r="NK95" s="1" t="n">
        <f aca="false">IF(GK95=1,IF(ABS((1+AS_Wage)/(1+Slot18_Rate)-1)&lt;0.000000000001,(Slot18_Age-D95)*(1+Slot18_Rate)^(Slot18_Age-D95),(1+Slot18_Rate)^(Slot18_Age-D95)*(1-((1+AS_Wage)/(1+Slot18_Rate))^(Slot18_Age-D95))/(1-(1+AS_Wage)/(1+Slot18_Rate))),1)</f>
        <v>1</v>
      </c>
      <c r="NL95" s="1" t="n">
        <f aca="false">IF(AND(HT95=1,ID95&gt;0,Slot18_IsWG=1,GK95=1),MAX(0,(Slot18_Cost-GL95*(1+Slot18_Rate)^(Slot18_Age-D95))/NK95),0)</f>
        <v>0</v>
      </c>
      <c r="NM95" s="1" t="n">
        <f aca="false">IF(AND(HT95=1,ID95&gt;0,Slot18_IsWG=1,GK95=1),MIN(ID95,NL95),0)</f>
        <v>0</v>
      </c>
      <c r="NN95" s="1" t="n">
        <f aca="false">GL95+NM95</f>
        <v>0</v>
      </c>
      <c r="NO95" s="1" t="n">
        <f aca="false">IF(GK95=1,MAX(0,(Slot18_Cost-NN95*(1+Slot18_Rate)^(Slot18_Age-D95))/NK95),0)</f>
        <v>0</v>
      </c>
      <c r="NP95" s="1" t="n">
        <f aca="false">IF(GK95=1,MAX(0,(Slot18_Cost-GL95*(1+Slot18_Rate)^(Slot18_Age-D95))/NK95),0)</f>
        <v>0</v>
      </c>
      <c r="NQ95" s="1" t="n">
        <f aca="false">IF(AND(HT95=1,GK95=1),MIN(NJ95,NO95),0)</f>
        <v>0</v>
      </c>
      <c r="NR95" s="1" t="n">
        <f aca="false">NJ95-NQ95</f>
        <v>0</v>
      </c>
      <c r="NS95" s="1" t="n">
        <f aca="false">IF(GU95=1,IF(ABS((1+AS_Wage)/(1+Slot19_Rate)-1)&lt;0.000000000001,(Slot19_Age-D95)*(1+Slot19_Rate)^(Slot19_Age-D95),(1+Slot19_Rate)^(Slot19_Age-D95)*(1-((1+AS_Wage)/(1+Slot19_Rate))^(Slot19_Age-D95))/(1-(1+AS_Wage)/(1+Slot19_Rate))),1)</f>
        <v>1</v>
      </c>
      <c r="NT95" s="1" t="n">
        <f aca="false">IF(AND(HT95=1,ID95&gt;0,Slot19_IsWG=1,GU95=1),MAX(0,(Slot19_Cost-GV95*(1+Slot19_Rate)^(Slot19_Age-D95))/NS95),0)</f>
        <v>0</v>
      </c>
      <c r="NU95" s="1" t="n">
        <f aca="false">IF(AND(HT95=1,ID95&gt;0,Slot19_IsWG=1,GU95=1),MIN(ID95,NT95),0)</f>
        <v>0</v>
      </c>
      <c r="NV95" s="1" t="n">
        <f aca="false">GV95+NU95</f>
        <v>0</v>
      </c>
      <c r="NW95" s="1" t="n">
        <f aca="false">IF(GU95=1,MAX(0,(Slot19_Cost-NV95*(1+Slot19_Rate)^(Slot19_Age-D95))/NS95),0)</f>
        <v>0</v>
      </c>
      <c r="NX95" s="1" t="n">
        <f aca="false">IF(GU95=1,MAX(0,(Slot19_Cost-GV95*(1+Slot19_Rate)^(Slot19_Age-D95))/NS95),0)</f>
        <v>0</v>
      </c>
      <c r="NY95" s="1" t="n">
        <f aca="false">IF(AND(HT95=1,GU95=1),MIN(NR95,NW95),0)</f>
        <v>0</v>
      </c>
      <c r="NZ95" s="1" t="n">
        <f aca="false">NR95-NY95</f>
        <v>0</v>
      </c>
      <c r="OA95" s="1" t="n">
        <f aca="false">IF(HE95=1,IF(ABS((1+AS_Wage)/(1+Slot20_Rate)-1)&lt;0.000000000001,(Slot20_Age-D95)*(1+Slot20_Rate)^(Slot20_Age-D95),(1+Slot20_Rate)^(Slot20_Age-D95)*(1-((1+AS_Wage)/(1+Slot20_Rate))^(Slot20_Age-D95))/(1-(1+AS_Wage)/(1+Slot20_Rate))),1)</f>
        <v>1</v>
      </c>
      <c r="OB95" s="1" t="n">
        <f aca="false">IF(AND(HT95=1,ID95&gt;0,Slot20_IsWG=1,HE95=1),MAX(0,(Slot20_Cost-HF95*(1+Slot20_Rate)^(Slot20_Age-D95))/OA95),0)</f>
        <v>0</v>
      </c>
      <c r="OC95" s="1" t="n">
        <f aca="false">IF(AND(HT95=1,ID95&gt;0,Slot20_IsWG=1,HE95=1),MIN(ID95,OB95),0)</f>
        <v>0</v>
      </c>
      <c r="OD95" s="1" t="n">
        <f aca="false">HF95+OC95</f>
        <v>0</v>
      </c>
      <c r="OE95" s="1" t="n">
        <f aca="false">IF(HE95=1,MAX(0,(Slot20_Cost-OD95*(1+Slot20_Rate)^(Slot20_Age-D95))/OA95),0)</f>
        <v>0</v>
      </c>
      <c r="OF95" s="1" t="n">
        <f aca="false">IF(HE95=1,MAX(0,(Slot20_Cost-HF95*(1+Slot20_Rate)^(Slot20_Age-D95))/OA95),0)</f>
        <v>0</v>
      </c>
      <c r="OG95" s="1" t="n">
        <f aca="false">IF(AND(HT95=1,HE95=1),MIN(NZ95,OE95),0)</f>
        <v>0</v>
      </c>
      <c r="OH95" s="1" t="n">
        <f aca="false">NZ95-OG95</f>
        <v>0</v>
      </c>
      <c r="OI95" s="1" t="n">
        <f aca="false">ID95-(IG95+IO95+IW95+JE95+JM95+JU95+KC95+KK95+KS95+LA95+LI95+LQ95+LY95+MG95+MO95+MW95+NE95+NM95+NU95+OC95)</f>
        <v>0</v>
      </c>
      <c r="OJ95" s="1" t="n">
        <f aca="false">IF(HT95=1,HR95-IC95-ID95,0)</f>
        <v>72641.4299603216</v>
      </c>
      <c r="OK95" s="1" t="n">
        <f aca="false">IF(HT95=0,-HR95,0)</f>
        <v>0</v>
      </c>
      <c r="OL95" s="1" t="n">
        <f aca="false">MIN(OK95,HJ95)</f>
        <v>0</v>
      </c>
      <c r="OM95" s="1" t="n">
        <f aca="false">OK95-OL95</f>
        <v>0</v>
      </c>
      <c r="ON95" s="1" t="n">
        <f aca="false">MIN(OM95,HK95)</f>
        <v>0</v>
      </c>
      <c r="OO95" s="1" t="n">
        <f aca="false">OM95-ON95</f>
        <v>0</v>
      </c>
      <c r="OP95" s="1" t="n">
        <f aca="false">IF(AND(HT95=0,HE95=1,OO95&gt;0),MIN(OO95,HF95),0)</f>
        <v>0</v>
      </c>
      <c r="OQ95" s="1" t="n">
        <f aca="false">OO95-OP95</f>
        <v>0</v>
      </c>
      <c r="OR95" s="1" t="n">
        <f aca="false">IF(AND(HT95=0,GU95=1,OQ95&gt;0),MIN(OQ95,GV95),0)</f>
        <v>0</v>
      </c>
      <c r="OS95" s="1" t="n">
        <f aca="false">OQ95-OR95</f>
        <v>0</v>
      </c>
      <c r="OT95" s="1" t="n">
        <f aca="false">IF(AND(HT95=0,GK95=1,OS95&gt;0),MIN(OS95,GL95),0)</f>
        <v>0</v>
      </c>
      <c r="OU95" s="1" t="n">
        <f aca="false">OS95-OT95</f>
        <v>0</v>
      </c>
      <c r="OV95" s="1" t="n">
        <f aca="false">IF(AND(HT95=0,GA95=1,OU95&gt;0),MIN(OU95,GB95),0)</f>
        <v>0</v>
      </c>
      <c r="OW95" s="1" t="n">
        <f aca="false">OU95-OV95</f>
        <v>0</v>
      </c>
      <c r="OX95" s="1" t="n">
        <f aca="false">IF(AND(HT95=0,FQ95=1,OW95&gt;0),MIN(OW95,FR95),0)</f>
        <v>0</v>
      </c>
      <c r="OY95" s="1" t="n">
        <f aca="false">OW95-OX95</f>
        <v>0</v>
      </c>
      <c r="OZ95" s="1" t="n">
        <f aca="false">IF(AND(HT95=0,FG95=1,OY95&gt;0),MIN(OY95,FH95),0)</f>
        <v>0</v>
      </c>
      <c r="PA95" s="1" t="n">
        <f aca="false">OY95-OZ95</f>
        <v>0</v>
      </c>
      <c r="PB95" s="1" t="n">
        <f aca="false">IF(AND(HT95=0,EW95=1,PA95&gt;0),MIN(PA95,EX95),0)</f>
        <v>0</v>
      </c>
      <c r="PC95" s="1" t="n">
        <f aca="false">PA95-PB95</f>
        <v>0</v>
      </c>
      <c r="PD95" s="1" t="n">
        <f aca="false">IF(AND(HT95=0,EM95=1,PC95&gt;0),MIN(PC95,EN95),0)</f>
        <v>0</v>
      </c>
      <c r="PE95" s="1" t="n">
        <f aca="false">PC95-PD95</f>
        <v>0</v>
      </c>
      <c r="PF95" s="1" t="n">
        <f aca="false">IF(AND(HT95=0,EC95=1,PE95&gt;0),MIN(PE95,ED95),0)</f>
        <v>0</v>
      </c>
      <c r="PG95" s="1" t="n">
        <f aca="false">PE95-PF95</f>
        <v>0</v>
      </c>
      <c r="PH95" s="1" t="n">
        <f aca="false">IF(AND(HT95=0,DS95=1,PG95&gt;0),MIN(PG95,DT95),0)</f>
        <v>0</v>
      </c>
      <c r="PI95" s="1" t="n">
        <f aca="false">PG95-PH95</f>
        <v>0</v>
      </c>
      <c r="PJ95" s="1" t="n">
        <f aca="false">IF(AND(HT95=0,DI95=1,PI95&gt;0),MIN(PI95,DJ95),0)</f>
        <v>0</v>
      </c>
      <c r="PK95" s="1" t="n">
        <f aca="false">PI95-PJ95</f>
        <v>0</v>
      </c>
      <c r="PL95" s="1" t="n">
        <f aca="false">IF(AND(HT95=0,CY95=1,PK95&gt;0),MIN(PK95,CZ95),0)</f>
        <v>0</v>
      </c>
      <c r="PM95" s="1" t="n">
        <f aca="false">PK95-PL95</f>
        <v>0</v>
      </c>
      <c r="PN95" s="1" t="n">
        <f aca="false">IF(AND(HT95=0,CO95=1,PM95&gt;0),MIN(PM95,CP95),0)</f>
        <v>0</v>
      </c>
      <c r="PO95" s="1" t="n">
        <f aca="false">PM95-PN95</f>
        <v>0</v>
      </c>
      <c r="PP95" s="1" t="n">
        <f aca="false">IF(AND(HT95=0,CE95=1,PO95&gt;0),MIN(PO95,CF95),0)</f>
        <v>0</v>
      </c>
      <c r="PQ95" s="1" t="n">
        <f aca="false">PO95-PP95</f>
        <v>0</v>
      </c>
      <c r="PR95" s="1" t="n">
        <f aca="false">IF(AND(HT95=0,BU95=1,PQ95&gt;0),MIN(PQ95,BV95),0)</f>
        <v>0</v>
      </c>
      <c r="PS95" s="1" t="n">
        <f aca="false">PQ95-PR95</f>
        <v>0</v>
      </c>
      <c r="PT95" s="1" t="n">
        <f aca="false">IF(AND(HT95=0,BK95=1,PS95&gt;0),MIN(PS95,BL95),0)</f>
        <v>0</v>
      </c>
      <c r="PU95" s="1" t="n">
        <f aca="false">PS95-PT95</f>
        <v>0</v>
      </c>
      <c r="PV95" s="1" t="n">
        <f aca="false">IF(AND(HT95=0,BA95=1,PU95&gt;0),MIN(PU95,BB95),0)</f>
        <v>0</v>
      </c>
      <c r="PW95" s="1" t="n">
        <f aca="false">PU95-PV95</f>
        <v>0</v>
      </c>
      <c r="PX95" s="1" t="n">
        <f aca="false">IF(AND(HT95=0,AQ95=1,PW95&gt;0),MIN(PW95,AR95),0)</f>
        <v>0</v>
      </c>
      <c r="PY95" s="1" t="n">
        <f aca="false">PW95-PX95</f>
        <v>0</v>
      </c>
      <c r="PZ95" s="1" t="n">
        <f aca="false">IF(AND(HT95=0,AG95=1,PY95&gt;0),MIN(PY95,AH95),0)</f>
        <v>0</v>
      </c>
      <c r="QA95" s="1" t="n">
        <f aca="false">PY95-PZ95</f>
        <v>0</v>
      </c>
      <c r="QB95" s="1" t="n">
        <f aca="false">IF(AND(HT95=0,V95=1,QA95&gt;0),MIN(QA95,W95),0)</f>
        <v>0</v>
      </c>
      <c r="QC95" s="1" t="n">
        <f aca="false">QA95-QB95</f>
        <v>0</v>
      </c>
      <c r="QD95" s="1" t="n">
        <f aca="false">IF(HT95=0,QC95,0)</f>
        <v>0</v>
      </c>
      <c r="QE95" s="1" t="n">
        <f aca="false">OL95+ON95+QB95+PZ95+PX95+PV95+PT95+PR95+PP95+PN95+PL95+PJ95+PH95+PF95+PD95+PB95+OZ95+OX95+OV95+OT95+OR95+OP95</f>
        <v>0</v>
      </c>
      <c r="QF95" s="1" t="n">
        <f aca="false">IF(HT95=1,HJ95+OI95+OH95+IF(F95=1,0,OJ95),HJ95-OL95)</f>
        <v>1501520.81638764</v>
      </c>
      <c r="QG95" s="1" t="n">
        <f aca="false">HK95-ON95</f>
        <v>0</v>
      </c>
      <c r="QH95" s="1" t="n">
        <f aca="false">IF(HT95=1,IF(F95=1,IC95+ID95,HR95),0)</f>
        <v>72641.4299603216</v>
      </c>
      <c r="QI95" s="1" t="n">
        <f aca="false">IF(HT95=1,IF(F95=1,HR95-IC95-ID95,0),0)</f>
        <v>0</v>
      </c>
      <c r="QJ95" s="1" t="n">
        <f aca="false">QF95*(1+GR)</f>
        <v>1526145.7577764</v>
      </c>
      <c r="QK95" s="1" t="n">
        <f aca="false">QG95*(1+AS_Cash)</f>
        <v>0</v>
      </c>
      <c r="QL95" s="1" t="n">
        <f aca="false">IF(V95=1,IF(HT95=1,IH95+IK95,W95-QB95)*(1+Slot1_Rate),0)</f>
        <v>0</v>
      </c>
      <c r="QM95" s="1" t="n">
        <f aca="false">IF(AND(HT95=1,V95=1),(IG95+IK95)/E95,0)</f>
        <v>0</v>
      </c>
      <c r="QN95" s="1" t="n">
        <f aca="false">IF(B95=0,IG95+IK95,0)</f>
        <v>0</v>
      </c>
      <c r="QO95" s="1" t="n">
        <f aca="false">IF(B95=0,IF(HT95=1,II95,IJ95),0)</f>
        <v>0</v>
      </c>
      <c r="QP95" s="1" t="n">
        <f aca="false">IF(AG95=1,IF(HT95=1,IP95+IS95,AH95-PZ95)*(1+Slot2_Rate),0)</f>
        <v>0</v>
      </c>
      <c r="QQ95" s="1" t="n">
        <f aca="false">IF(AND(HT95=1,AG95=1),(IO95+IS95)/E95,0)</f>
        <v>0</v>
      </c>
      <c r="QR95" s="1" t="n">
        <f aca="false">IF(B95=0,IO95+IS95,0)</f>
        <v>0</v>
      </c>
      <c r="QS95" s="1" t="n">
        <f aca="false">IF(B95=0,IF(HT95=1,IQ95,IR95),0)</f>
        <v>0</v>
      </c>
      <c r="QT95" s="1" t="n">
        <f aca="false">IF(AQ95=1,IF(HT95=1,IX95+JA95,AR95-PX95)*(1+Slot3_Rate),0)</f>
        <v>0</v>
      </c>
      <c r="QU95" s="1" t="n">
        <f aca="false">IF(AND(HT95=1,AQ95=1),(IW95+JA95)/E95,0)</f>
        <v>0</v>
      </c>
      <c r="QV95" s="1" t="n">
        <f aca="false">IF(B95=0,IW95+JA95,0)</f>
        <v>0</v>
      </c>
      <c r="QW95" s="1" t="n">
        <f aca="false">IF(B95=0,IF(HT95=1,IY95,IZ95),0)</f>
        <v>0</v>
      </c>
      <c r="QX95" s="1" t="n">
        <f aca="false">IF(BA95=1,IF(HT95=1,JF95+JI95,BB95-PV95)*(1+Slot4_Rate),0)</f>
        <v>0</v>
      </c>
      <c r="QY95" s="1" t="n">
        <f aca="false">IF(AND(HT95=1,BA95=1),(JE95+JI95)/E95,0)</f>
        <v>0</v>
      </c>
      <c r="QZ95" s="1" t="n">
        <f aca="false">IF(B95=0,JE95+JI95,0)</f>
        <v>0</v>
      </c>
      <c r="RA95" s="1" t="n">
        <f aca="false">IF(B95=0,IF(HT95=1,JG95,JH95),0)</f>
        <v>0</v>
      </c>
      <c r="RB95" s="1" t="n">
        <f aca="false">IF(BK95=1,IF(HT95=1,JN95+JQ95,BL95-PT95)*(1+Slot5_Rate),0)</f>
        <v>0</v>
      </c>
      <c r="RC95" s="1" t="n">
        <f aca="false">IF(AND(HT95=1,BK95=1),(JM95+JQ95)/E95,0)</f>
        <v>0</v>
      </c>
      <c r="RD95" s="1" t="n">
        <f aca="false">IF(B95=0,JM95+JQ95,0)</f>
        <v>0</v>
      </c>
      <c r="RE95" s="1" t="n">
        <f aca="false">IF(B95=0,IF(HT95=1,JO95,JP95),0)</f>
        <v>0</v>
      </c>
      <c r="RF95" s="1" t="n">
        <f aca="false">IF(BU95=1,IF(HT95=1,JV95+JY95,BV95-PR95)*(1+Slot6_Rate),0)</f>
        <v>0</v>
      </c>
      <c r="RG95" s="1" t="n">
        <f aca="false">IF(AND(HT95=1,BU95=1),(JU95+JY95)/E95,0)</f>
        <v>0</v>
      </c>
      <c r="RH95" s="1" t="n">
        <f aca="false">IF(B95=0,JU95+JY95,0)</f>
        <v>0</v>
      </c>
      <c r="RI95" s="1" t="n">
        <f aca="false">IF(B95=0,IF(HT95=1,JW95,JX95),0)</f>
        <v>0</v>
      </c>
      <c r="RJ95" s="1" t="n">
        <f aca="false">IF(CE95=1,IF(HT95=1,KD95+KG95,CF95-PP95)*(1+Slot7_Rate),0)</f>
        <v>0</v>
      </c>
      <c r="RK95" s="1" t="n">
        <f aca="false">IF(AND(HT95=1,CE95=1),(KC95+KG95)/E95,0)</f>
        <v>0</v>
      </c>
      <c r="RL95" s="1" t="n">
        <f aca="false">IF(B95=0,KC95+KG95,0)</f>
        <v>0</v>
      </c>
      <c r="RM95" s="1" t="n">
        <f aca="false">IF(B95=0,IF(HT95=1,KE95,KF95),0)</f>
        <v>0</v>
      </c>
      <c r="RN95" s="1" t="n">
        <f aca="false">IF(CO95=1,IF(HT95=1,KL95+KO95,CP95-PN95)*(1+Slot8_Rate),0)</f>
        <v>0</v>
      </c>
      <c r="RO95" s="1" t="n">
        <f aca="false">IF(AND(HT95=1,CO95=1),(KK95+KO95)/E95,0)</f>
        <v>0</v>
      </c>
      <c r="RP95" s="1" t="n">
        <f aca="false">IF(B95=0,KK95+KO95,0)</f>
        <v>0</v>
      </c>
      <c r="RQ95" s="1" t="n">
        <f aca="false">IF(B95=0,IF(HT95=1,KM95,KN95),0)</f>
        <v>0</v>
      </c>
      <c r="RR95" s="1" t="n">
        <f aca="false">IF(CY95=1,IF(HT95=1,KT95+KW95,CZ95-PL95)*(1+Slot9_Rate),0)</f>
        <v>0</v>
      </c>
      <c r="RS95" s="1" t="n">
        <f aca="false">IF(AND(HT95=1,CY95=1),(KS95+KW95)/E95,0)</f>
        <v>0</v>
      </c>
      <c r="RT95" s="1" t="n">
        <f aca="false">IF(B95=0,KS95+KW95,0)</f>
        <v>0</v>
      </c>
      <c r="RU95" s="1" t="n">
        <f aca="false">IF(B95=0,IF(HT95=1,KU95,KV95),0)</f>
        <v>0</v>
      </c>
      <c r="RV95" s="1" t="n">
        <f aca="false">IF(DI95=1,IF(HT95=1,LB95+LE95,DJ95-PJ95)*(1+Slot10_Rate),0)</f>
        <v>0</v>
      </c>
      <c r="RW95" s="1" t="n">
        <f aca="false">IF(AND(HT95=1,DI95=1),(LA95+LE95)/E95,0)</f>
        <v>0</v>
      </c>
      <c r="RX95" s="1" t="n">
        <f aca="false">IF(B95=0,LA95+LE95,0)</f>
        <v>0</v>
      </c>
      <c r="RY95" s="1" t="n">
        <f aca="false">IF(B95=0,IF(HT95=1,LC95,LD95),0)</f>
        <v>0</v>
      </c>
      <c r="RZ95" s="1" t="n">
        <f aca="false">IF(DS95=1,IF(HT95=1,LJ95+LM95,DT95-PH95)*(1+Slot11_Rate),0)</f>
        <v>0</v>
      </c>
      <c r="SA95" s="1" t="n">
        <f aca="false">IF(AND(HT95=1,DS95=1),(LI95+LM95)/E95,0)</f>
        <v>0</v>
      </c>
      <c r="SB95" s="1" t="n">
        <f aca="false">IF(B95=0,LI95+LM95,0)</f>
        <v>0</v>
      </c>
      <c r="SC95" s="1" t="n">
        <f aca="false">IF(B95=0,IF(HT95=1,LK95,LL95),0)</f>
        <v>0</v>
      </c>
      <c r="SD95" s="1" t="n">
        <f aca="false">IF(EC95=1,IF(HT95=1,LR95+LU95,ED95-PF95)*(1+Slot12_Rate),0)</f>
        <v>0</v>
      </c>
      <c r="SE95" s="1" t="n">
        <f aca="false">IF(AND(HT95=1,EC95=1),(LQ95+LU95)/E95,0)</f>
        <v>0</v>
      </c>
      <c r="SF95" s="1" t="n">
        <f aca="false">IF(B95=0,LQ95+LU95,0)</f>
        <v>0</v>
      </c>
      <c r="SG95" s="1" t="n">
        <f aca="false">IF(B95=0,IF(HT95=1,LS95,LT95),0)</f>
        <v>0</v>
      </c>
      <c r="SH95" s="1" t="n">
        <f aca="false">IF(EM95=1,IF(HT95=1,LZ95+MC95,EN95-PD95)*(1+Slot13_Rate),0)</f>
        <v>0</v>
      </c>
      <c r="SI95" s="1" t="n">
        <f aca="false">IF(AND(HT95=1,EM95=1),(LY95+MC95)/E95,0)</f>
        <v>0</v>
      </c>
      <c r="SJ95" s="1" t="n">
        <f aca="false">IF(B95=0,LY95+MC95,0)</f>
        <v>0</v>
      </c>
      <c r="SK95" s="1" t="n">
        <f aca="false">IF(B95=0,IF(HT95=1,MA95,MB95),0)</f>
        <v>0</v>
      </c>
      <c r="SL95" s="1" t="n">
        <f aca="false">IF(EW95=1,IF(HT95=1,MH95+MK95,EX95-PB95)*(1+Slot14_Rate),0)</f>
        <v>0</v>
      </c>
      <c r="SM95" s="1" t="n">
        <f aca="false">IF(AND(HT95=1,EW95=1),(MG95+MK95)/E95,0)</f>
        <v>0</v>
      </c>
      <c r="SN95" s="1" t="n">
        <f aca="false">IF(B95=0,MG95+MK95,0)</f>
        <v>0</v>
      </c>
      <c r="SO95" s="1" t="n">
        <f aca="false">IF(B95=0,IF(HT95=1,MI95,MJ95),0)</f>
        <v>0</v>
      </c>
      <c r="SP95" s="1" t="n">
        <f aca="false">IF(FG95=1,IF(HT95=1,MP95+MS95,FH95-OZ95)*(1+Slot15_Rate),0)</f>
        <v>0</v>
      </c>
      <c r="SQ95" s="1" t="n">
        <f aca="false">IF(AND(HT95=1,FG95=1),(MO95+MS95)/E95,0)</f>
        <v>0</v>
      </c>
      <c r="SR95" s="1" t="n">
        <f aca="false">IF(B95=0,MO95+MS95,0)</f>
        <v>0</v>
      </c>
      <c r="SS95" s="1" t="n">
        <f aca="false">IF(B95=0,IF(HT95=1,MQ95,MR95),0)</f>
        <v>0</v>
      </c>
      <c r="ST95" s="1" t="n">
        <f aca="false">IF(FQ95=1,IF(HT95=1,MX95+NA95,FR95-OX95)*(1+Slot16_Rate),0)</f>
        <v>0</v>
      </c>
      <c r="SU95" s="1" t="n">
        <f aca="false">IF(AND(HT95=1,FQ95=1),(MW95+NA95)/E95,0)</f>
        <v>0</v>
      </c>
      <c r="SV95" s="1" t="n">
        <f aca="false">IF(B95=0,MW95+NA95,0)</f>
        <v>0</v>
      </c>
      <c r="SW95" s="1" t="n">
        <f aca="false">IF(B95=0,IF(HT95=1,MY95,MZ95),0)</f>
        <v>0</v>
      </c>
      <c r="SX95" s="1" t="n">
        <f aca="false">IF(GA95=1,IF(HT95=1,NF95+NI95,GB95-OV95)*(1+Slot17_Rate),0)</f>
        <v>0</v>
      </c>
      <c r="SY95" s="1" t="n">
        <f aca="false">IF(AND(HT95=1,GA95=1),(NE95+NI95)/E95,0)</f>
        <v>0</v>
      </c>
      <c r="SZ95" s="1" t="n">
        <f aca="false">IF(B95=0,NE95+NI95,0)</f>
        <v>0</v>
      </c>
      <c r="TA95" s="1" t="n">
        <f aca="false">IF(B95=0,IF(HT95=1,NG95,NH95),0)</f>
        <v>0</v>
      </c>
      <c r="TB95" s="1" t="n">
        <f aca="false">IF(GK95=1,IF(HT95=1,NN95+NQ95,GL95-OT95)*(1+Slot18_Rate),0)</f>
        <v>0</v>
      </c>
      <c r="TC95" s="1" t="n">
        <f aca="false">IF(AND(HT95=1,GK95=1),(NM95+NQ95)/E95,0)</f>
        <v>0</v>
      </c>
      <c r="TD95" s="1" t="n">
        <f aca="false">IF(B95=0,NM95+NQ95,0)</f>
        <v>0</v>
      </c>
      <c r="TE95" s="1" t="n">
        <f aca="false">IF(B95=0,IF(HT95=1,NO95,NP95),0)</f>
        <v>0</v>
      </c>
      <c r="TF95" s="1" t="n">
        <f aca="false">IF(GU95=1,IF(HT95=1,NV95+NY95,GV95-OR95)*(1+Slot19_Rate),0)</f>
        <v>0</v>
      </c>
      <c r="TG95" s="1" t="n">
        <f aca="false">IF(AND(HT95=1,GU95=1),(NU95+NY95)/E95,0)</f>
        <v>0</v>
      </c>
      <c r="TH95" s="1" t="n">
        <f aca="false">IF(B95=0,NU95+NY95,0)</f>
        <v>0</v>
      </c>
      <c r="TI95" s="1" t="n">
        <f aca="false">IF(B95=0,IF(HT95=1,NW95,NX95),0)</f>
        <v>0</v>
      </c>
      <c r="TJ95" s="1" t="n">
        <f aca="false">IF(HE95=1,IF(HT95=1,OD95+OG95,HF95-OP95)*(1+Slot20_Rate),0)</f>
        <v>0</v>
      </c>
      <c r="TK95" s="1" t="n">
        <f aca="false">IF(AND(HT95=1,HE95=1),(OC95+OG95)/E95,0)</f>
        <v>0</v>
      </c>
      <c r="TL95" s="1" t="n">
        <f aca="false">IF(B95=0,OC95+OG95,0)</f>
        <v>0</v>
      </c>
      <c r="TM95" s="1" t="n">
        <f aca="false">IF(B95=0,IF(HT95=1,OE95,OF95),0)</f>
        <v>0</v>
      </c>
      <c r="TN95" s="1" t="n">
        <f aca="false">QJ95+QK95+QL95+QP95+QT95+QX95+RB95+RF95+RJ95+RN95+RR95+RV95+RZ95+SD95+SH95+SL95+SP95+ST95+SX95+TB95+TF95+TJ95</f>
        <v>1526145.7577764</v>
      </c>
      <c r="TO95" s="1" t="n">
        <f aca="false">QD95+HO95</f>
        <v>0</v>
      </c>
      <c r="TP95" s="1" t="n">
        <f aca="false">H95+R95</f>
        <v>0</v>
      </c>
      <c r="TQ95" s="1" t="n">
        <f aca="false">1-F95</f>
        <v>1</v>
      </c>
      <c r="TR95" s="1" t="n">
        <f aca="false">IF(AND(RG_Exists=1,F95=0,C95=1),H95,0)</f>
        <v>0</v>
      </c>
      <c r="TS95" s="1" t="n">
        <f aca="false">IF(AND(RG_Exists=1,F95=0,C95=1),H95-MIN(QD95,H95),0)</f>
        <v>0</v>
      </c>
      <c r="TT95" s="1" t="n">
        <f aca="false">'Plan pay &amp; tax'!AD321</f>
        <v>0</v>
      </c>
      <c r="TU95" s="1" t="n">
        <f aca="false">IF(AND(C95=1,QD95&gt;MAX(PR_Short1,TP95*PR_Short2)),1,0)</f>
        <v>0</v>
      </c>
      <c r="TV95" s="1" t="n">
        <f aca="false">MIN(G95,H95+R95)</f>
        <v>0</v>
      </c>
      <c r="TW95" s="1" t="n">
        <f aca="false">QE95+MAX(0,HP95-HO95)</f>
        <v>0</v>
      </c>
      <c r="TX95" s="1" t="n">
        <f aca="false">QD95+HO95</f>
        <v>0</v>
      </c>
      <c r="TY95" s="1" t="n">
        <f aca="false">IF(AND(C95=1,TX95&gt;PR_MinShort),1,0)</f>
        <v>0</v>
      </c>
      <c r="TZ95" s="1" t="n">
        <f aca="false">IF(AND(C95=1,TY95=0,TW95&gt;PR_MinShort),1,0)</f>
        <v>0</v>
      </c>
      <c r="UA95" s="1" t="n">
        <f aca="false">IF(AND(C95=1,QD95&gt;PR_MinShort),1,0)</f>
        <v>0</v>
      </c>
      <c r="UB95" s="1" t="n">
        <f aca="false">IF(AND(C95=1,QE95&gt;1,UI95=0),1,0)</f>
        <v>0</v>
      </c>
      <c r="UC95" s="1" t="str">
        <f aca="false">IF(C95=0,"",IF(UI95=1,"Gap to plan for: short "&amp;"€"&amp;TEXT(ROUND(TO95,0),"#,##0"),IF(QE95&gt;1,"Using savings","Comfortable")))</f>
        <v>Comfortable</v>
      </c>
      <c r="UD95" s="1" t="n">
        <f aca="false">IF(AND(INT(D95/10)*10=90,B95&gt;0),80,INT(D95/10)*10)</f>
        <v>80</v>
      </c>
      <c r="UE95" s="1" t="n">
        <f aca="false">IF(B95=0,1,IF(UD95&lt;&gt;UD94,UE94+1,UE94))</f>
        <v>9</v>
      </c>
      <c r="UF95" s="1" t="n">
        <f aca="false">IF(AND(C95=1,F95=1,QD95&gt;MAX(PR_Short1,TP95*PR_Short2)),1,0)</f>
        <v>0</v>
      </c>
      <c r="UG95" s="1" t="n">
        <f aca="false">TQ95*TU95</f>
        <v>0</v>
      </c>
      <c r="UH95" s="1" t="n">
        <f aca="false">IF(AND(U95=1,Slot1_PctLow=1),1,0)+IF(AND(AF95=1,Slot2_PctLow=1),1,0)+IF(AND(AP95=1,Slot3_PctLow=1),1,0)+IF(AND(AZ95=1,Slot4_PctLow=1),1,0)+IF(AND(BJ95=1,Slot5_PctLow=1),1,0)+IF(AND(BT95=1,Slot6_PctLow=1),1,0)+IF(AND(CD95=1,Slot7_PctLow=1),1,0)+IF(AND(CN95=1,Slot8_PctLow=1),1,0)+IF(AND(CX95=1,Slot9_PctLow=1),1,0)+IF(AND(DH95=1,Slot10_PctLow=1),1,0)+IF(AND(DR95=1,Slot11_PctLow=1),1,0)+IF(AND(EB95=1,Slot12_PctLow=1),1,0)+IF(AND(EL95=1,Slot13_PctLow=1),1,0)+IF(AND(EV95=1,Slot14_PctLow=1),1,0)+IF(AND(FF95=1,Slot15_PctLow=1),1,0)+IF(AND(FP95=1,Slot16_PctLow=1),1,0)+IF(AND(FZ95=1,Slot17_PctLow=1),1,0)+IF(AND(GJ95=1,Slot18_PctLow=1),1,0)+IF(AND(GT95=1,Slot19_PctLow=1),1,0)+IF(AND(HD95=1,Slot20_PctLow=1),1,0)</f>
        <v>0</v>
      </c>
      <c r="UI95" s="1" t="n">
        <f aca="false">IF(C95=1,IF(OR(TU95=1,UH95&gt;0),1,0),0)</f>
        <v>0</v>
      </c>
    </row>
    <row r="96" customFormat="false" ht="15" hidden="false" customHeight="true" outlineLevel="0" collapsed="false">
      <c r="B96" s="1" t="n">
        <v>88</v>
      </c>
      <c r="C96" s="1" t="n">
        <f aca="false">IF(B96&lt;=F_N,1,0)</f>
        <v>1</v>
      </c>
      <c r="D96" s="1" t="n">
        <f aca="false">'Plan pay &amp; tax'!C322</f>
        <v>88</v>
      </c>
      <c r="E96" s="111" t="n">
        <f aca="false">'Plan pay &amp; tax'!E322</f>
        <v>5.71235402374611</v>
      </c>
      <c r="F96" s="1" t="n">
        <f aca="false">'Plan pay &amp; tax'!G322</f>
        <v>0</v>
      </c>
      <c r="G96" s="1" t="n">
        <f aca="false">'Plan pay &amp; tax'!BT322-'Plan pay &amp; tax'!BS322-'Plan pay &amp; tax'!R322</f>
        <v>74094.258559528</v>
      </c>
      <c r="H96" s="1" t="n">
        <f aca="false">IF(F96=1,F_CostsM*12,IF(RG_Exists=1,RG_Amount,F_CostsM*12*AS_RetireSpend))*E96+F_OneOffY*E96</f>
        <v>0</v>
      </c>
      <c r="I96" s="1" t="n">
        <f aca="false">HQ95</f>
        <v>0</v>
      </c>
      <c r="J96" s="1" t="n">
        <f aca="false">IF(I96&gt;1,'Plan debt months'!AC96,0)</f>
        <v>0</v>
      </c>
      <c r="K96" s="1" t="n">
        <f aca="false">IF(I96&gt;1,'Plan debt months'!AB96,I96)</f>
        <v>0</v>
      </c>
      <c r="L96" s="1" t="n">
        <f aca="false">N95</f>
        <v>0</v>
      </c>
      <c r="M96" s="1" t="n">
        <f aca="false">IF(L96&gt;1,'Plan debt months'!BD96,0)</f>
        <v>0</v>
      </c>
      <c r="N96" s="1" t="n">
        <f aca="false">IF(L96&gt;1,'Plan debt months'!BC96,L96)</f>
        <v>0</v>
      </c>
      <c r="O96" s="1" t="n">
        <f aca="false">Q95</f>
        <v>0</v>
      </c>
      <c r="P96" s="1" t="n">
        <f aca="false">IF(O96&gt;1,'Plan debt months'!CE96,0)</f>
        <v>0</v>
      </c>
      <c r="Q96" s="1" t="n">
        <f aca="false">IF(O96&gt;1,'Plan debt months'!CD96,O96)</f>
        <v>0</v>
      </c>
      <c r="R96" s="1" t="n">
        <f aca="false">J96+M96+P96</f>
        <v>0</v>
      </c>
      <c r="S96" s="1" t="n">
        <f aca="false">QJ95+'Plan pay &amp; tax'!Y322</f>
        <v>1526145.7577764</v>
      </c>
      <c r="T96" s="1" t="n">
        <f aca="false">QJ95</f>
        <v>1526145.7577764</v>
      </c>
      <c r="U96" s="1" t="n">
        <f aca="false">IF(AND(Slot1_On=1,D96=Slot1_Age),1,0)</f>
        <v>0</v>
      </c>
      <c r="V96" s="1" t="n">
        <f aca="false">IF(AND(Slot1_On=1,Slot1_Age&gt;D96),1,0)</f>
        <v>0</v>
      </c>
      <c r="W96" s="1" t="n">
        <f aca="false">QL95</f>
        <v>0</v>
      </c>
      <c r="X96" s="1" t="n">
        <f aca="false">U96*MIN(Slot1_Cost,W96)</f>
        <v>0</v>
      </c>
      <c r="Y96" s="1" t="n">
        <f aca="false">U96*Slot1_SpendLike*MIN(Slot1_Cost-X96,S96)</f>
        <v>0</v>
      </c>
      <c r="Z96" s="1" t="n">
        <f aca="false">X96+Y96</f>
        <v>0</v>
      </c>
      <c r="AA96" s="1" t="n">
        <f aca="false">S96-Y96+U96*IF(Slot1_SpendLike=1,W96-X96,IF(Slot1_PotFree=1,W96,0))</f>
        <v>1526145.7577764</v>
      </c>
      <c r="AB96" s="1" t="n">
        <f aca="false">AE96+U96*Slot1_BufPot*W96</f>
        <v>0</v>
      </c>
      <c r="AC96" s="1" t="n">
        <f aca="false">IF(AND(U96=1,Slot1_IsMfree=1),IF(Z96&gt;=Slot1_Cost-1,0,MAX(0,K96-Z96)),K96)</f>
        <v>0</v>
      </c>
      <c r="AD96" s="1" t="n">
        <f aca="false">U96*(Slot1_Cost-Z96)</f>
        <v>0</v>
      </c>
      <c r="AE96" s="1" t="n">
        <f aca="false">QK95</f>
        <v>0</v>
      </c>
      <c r="AF96" s="1" t="n">
        <f aca="false">IF(AND(Slot2_On=1,D96=Slot2_Age),1,0)</f>
        <v>0</v>
      </c>
      <c r="AG96" s="1" t="n">
        <f aca="false">IF(AND(Slot2_On=1,Slot2_Age&gt;D96),1,0)</f>
        <v>0</v>
      </c>
      <c r="AH96" s="1" t="n">
        <f aca="false">QP95</f>
        <v>0</v>
      </c>
      <c r="AI96" s="1" t="n">
        <f aca="false">AF96*MIN(Slot2_Cost,AH96)</f>
        <v>0</v>
      </c>
      <c r="AJ96" s="1" t="n">
        <f aca="false">AF96*Slot2_SpendLike*MIN(Slot2_Cost-AI96,AA96)</f>
        <v>0</v>
      </c>
      <c r="AK96" s="1" t="n">
        <f aca="false">AI96+AJ96</f>
        <v>0</v>
      </c>
      <c r="AL96" s="1" t="n">
        <f aca="false">AA96-AJ96+AF96*IF(Slot2_SpendLike=1,AH96-AI96,IF(Slot2_PotFree=1,AH96,0))</f>
        <v>1526145.7577764</v>
      </c>
      <c r="AM96" s="1" t="n">
        <f aca="false">AB96+AF96*Slot2_BufPot*AH96</f>
        <v>0</v>
      </c>
      <c r="AN96" s="1" t="n">
        <f aca="false">IF(AND(AF96=1,Slot2_IsMfree=1),IF(AK96&gt;=Slot2_Cost-1,0,MAX(0,AC96-AK96)),AC96)</f>
        <v>0</v>
      </c>
      <c r="AO96" s="1" t="n">
        <f aca="false">AF96*(Slot2_Cost-AK96)</f>
        <v>0</v>
      </c>
      <c r="AP96" s="1" t="n">
        <f aca="false">IF(AND(Slot3_On=1,D96=Slot3_Age),1,0)</f>
        <v>0</v>
      </c>
      <c r="AQ96" s="1" t="n">
        <f aca="false">IF(AND(Slot3_On=1,Slot3_Age&gt;D96),1,0)</f>
        <v>0</v>
      </c>
      <c r="AR96" s="1" t="n">
        <f aca="false">QT95</f>
        <v>0</v>
      </c>
      <c r="AS96" s="1" t="n">
        <f aca="false">AP96*MIN(Slot3_Cost,AR96)</f>
        <v>0</v>
      </c>
      <c r="AT96" s="1" t="n">
        <f aca="false">AP96*Slot3_SpendLike*MIN(Slot3_Cost-AS96,AL96)</f>
        <v>0</v>
      </c>
      <c r="AU96" s="1" t="n">
        <f aca="false">AS96+AT96</f>
        <v>0</v>
      </c>
      <c r="AV96" s="1" t="n">
        <f aca="false">AL96-AT96+AP96*IF(Slot3_SpendLike=1,AR96-AS96,IF(Slot3_PotFree=1,AR96,0))</f>
        <v>1526145.7577764</v>
      </c>
      <c r="AW96" s="1" t="n">
        <f aca="false">AM96+AP96*Slot3_BufPot*AR96</f>
        <v>0</v>
      </c>
      <c r="AX96" s="1" t="n">
        <f aca="false">IF(AND(AP96=1,Slot3_IsMfree=1),IF(AU96&gt;=Slot3_Cost-1,0,MAX(0,AN96-AU96)),AN96)</f>
        <v>0</v>
      </c>
      <c r="AY96" s="1" t="n">
        <f aca="false">AP96*(Slot3_Cost-AU96)</f>
        <v>0</v>
      </c>
      <c r="AZ96" s="1" t="n">
        <f aca="false">IF(AND(Slot4_On=1,D96=Slot4_Age),1,0)</f>
        <v>0</v>
      </c>
      <c r="BA96" s="1" t="n">
        <f aca="false">IF(AND(Slot4_On=1,Slot4_Age&gt;D96),1,0)</f>
        <v>0</v>
      </c>
      <c r="BB96" s="1" t="n">
        <f aca="false">QX95</f>
        <v>0</v>
      </c>
      <c r="BC96" s="1" t="n">
        <f aca="false">AZ96*MIN(Slot4_Cost,BB96)</f>
        <v>0</v>
      </c>
      <c r="BD96" s="1" t="n">
        <f aca="false">AZ96*Slot4_SpendLike*MIN(Slot4_Cost-BC96,AV96)</f>
        <v>0</v>
      </c>
      <c r="BE96" s="1" t="n">
        <f aca="false">BC96+BD96</f>
        <v>0</v>
      </c>
      <c r="BF96" s="1" t="n">
        <f aca="false">AV96-BD96+AZ96*IF(Slot4_SpendLike=1,BB96-BC96,IF(Slot4_PotFree=1,BB96,0))</f>
        <v>1526145.7577764</v>
      </c>
      <c r="BG96" s="1" t="n">
        <f aca="false">AW96+AZ96*Slot4_BufPot*BB96</f>
        <v>0</v>
      </c>
      <c r="BH96" s="1" t="n">
        <f aca="false">IF(AND(AZ96=1,Slot4_IsMfree=1),IF(BE96&gt;=Slot4_Cost-1,0,MAX(0,AX96-BE96)),AX96)</f>
        <v>0</v>
      </c>
      <c r="BI96" s="1" t="n">
        <f aca="false">AZ96*(Slot4_Cost-BE96)</f>
        <v>0</v>
      </c>
      <c r="BJ96" s="1" t="n">
        <f aca="false">IF(AND(Slot5_On=1,D96=Slot5_Age),1,0)</f>
        <v>0</v>
      </c>
      <c r="BK96" s="1" t="n">
        <f aca="false">IF(AND(Slot5_On=1,Slot5_Age&gt;D96),1,0)</f>
        <v>0</v>
      </c>
      <c r="BL96" s="1" t="n">
        <f aca="false">RB95</f>
        <v>0</v>
      </c>
      <c r="BM96" s="1" t="n">
        <f aca="false">BJ96*MIN(Slot5_Cost,BL96)</f>
        <v>0</v>
      </c>
      <c r="BN96" s="1" t="n">
        <f aca="false">BJ96*Slot5_SpendLike*MIN(Slot5_Cost-BM96,BF96)</f>
        <v>0</v>
      </c>
      <c r="BO96" s="1" t="n">
        <f aca="false">BM96+BN96</f>
        <v>0</v>
      </c>
      <c r="BP96" s="1" t="n">
        <f aca="false">BF96-BN96+BJ96*IF(Slot5_SpendLike=1,BL96-BM96,IF(Slot5_PotFree=1,BL96,0))</f>
        <v>1526145.7577764</v>
      </c>
      <c r="BQ96" s="1" t="n">
        <f aca="false">BG96+BJ96*Slot5_BufPot*BL96</f>
        <v>0</v>
      </c>
      <c r="BR96" s="1" t="n">
        <f aca="false">IF(AND(BJ96=1,Slot5_IsMfree=1),IF(BO96&gt;=Slot5_Cost-1,0,MAX(0,BH96-BO96)),BH96)</f>
        <v>0</v>
      </c>
      <c r="BS96" s="1" t="n">
        <f aca="false">BJ96*(Slot5_Cost-BO96)</f>
        <v>0</v>
      </c>
      <c r="BT96" s="1" t="n">
        <f aca="false">IF(AND(Slot6_On=1,D96=Slot6_Age),1,0)</f>
        <v>0</v>
      </c>
      <c r="BU96" s="1" t="n">
        <f aca="false">IF(AND(Slot6_On=1,Slot6_Age&gt;D96),1,0)</f>
        <v>0</v>
      </c>
      <c r="BV96" s="1" t="n">
        <f aca="false">RF95</f>
        <v>0</v>
      </c>
      <c r="BW96" s="1" t="n">
        <f aca="false">BT96*MIN(Slot6_Cost,BV96)</f>
        <v>0</v>
      </c>
      <c r="BX96" s="1" t="n">
        <f aca="false">BT96*Slot6_SpendLike*MIN(Slot6_Cost-BW96,BP96)</f>
        <v>0</v>
      </c>
      <c r="BY96" s="1" t="n">
        <f aca="false">BW96+BX96</f>
        <v>0</v>
      </c>
      <c r="BZ96" s="1" t="n">
        <f aca="false">BP96-BX96+BT96*IF(Slot6_SpendLike=1,BV96-BW96,IF(Slot6_PotFree=1,BV96,0))</f>
        <v>1526145.7577764</v>
      </c>
      <c r="CA96" s="1" t="n">
        <f aca="false">BQ96+BT96*Slot6_BufPot*BV96</f>
        <v>0</v>
      </c>
      <c r="CB96" s="1" t="n">
        <f aca="false">IF(AND(BT96=1,Slot6_IsMfree=1),IF(BY96&gt;=Slot6_Cost-1,0,MAX(0,BR96-BY96)),BR96)</f>
        <v>0</v>
      </c>
      <c r="CC96" s="1" t="n">
        <f aca="false">BT96*(Slot6_Cost-BY96)</f>
        <v>0</v>
      </c>
      <c r="CD96" s="1" t="n">
        <f aca="false">IF(AND(Slot7_On=1,D96=Slot7_Age),1,0)</f>
        <v>0</v>
      </c>
      <c r="CE96" s="1" t="n">
        <f aca="false">IF(AND(Slot7_On=1,Slot7_Age&gt;D96),1,0)</f>
        <v>0</v>
      </c>
      <c r="CF96" s="1" t="n">
        <f aca="false">RJ95</f>
        <v>0</v>
      </c>
      <c r="CG96" s="1" t="n">
        <f aca="false">CD96*MIN(Slot7_Cost,CF96)</f>
        <v>0</v>
      </c>
      <c r="CH96" s="1" t="n">
        <f aca="false">CD96*Slot7_SpendLike*MIN(Slot7_Cost-CG96,BZ96)</f>
        <v>0</v>
      </c>
      <c r="CI96" s="1" t="n">
        <f aca="false">CG96+CH96</f>
        <v>0</v>
      </c>
      <c r="CJ96" s="1" t="n">
        <f aca="false">BZ96-CH96+CD96*IF(Slot7_SpendLike=1,CF96-CG96,IF(Slot7_PotFree=1,CF96,0))</f>
        <v>1526145.7577764</v>
      </c>
      <c r="CK96" s="1" t="n">
        <f aca="false">CA96+CD96*Slot7_BufPot*CF96</f>
        <v>0</v>
      </c>
      <c r="CL96" s="1" t="n">
        <f aca="false">IF(AND(CD96=1,Slot7_IsMfree=1),IF(CI96&gt;=Slot7_Cost-1,0,MAX(0,CB96-CI96)),CB96)</f>
        <v>0</v>
      </c>
      <c r="CM96" s="1" t="n">
        <f aca="false">CD96*(Slot7_Cost-CI96)</f>
        <v>0</v>
      </c>
      <c r="CN96" s="1" t="n">
        <f aca="false">IF(AND(Slot8_On=1,D96=Slot8_Age),1,0)</f>
        <v>0</v>
      </c>
      <c r="CO96" s="1" t="n">
        <f aca="false">IF(AND(Slot8_On=1,Slot8_Age&gt;D96),1,0)</f>
        <v>0</v>
      </c>
      <c r="CP96" s="1" t="n">
        <f aca="false">RN95</f>
        <v>0</v>
      </c>
      <c r="CQ96" s="1" t="n">
        <f aca="false">CN96*MIN(Slot8_Cost,CP96)</f>
        <v>0</v>
      </c>
      <c r="CR96" s="1" t="n">
        <f aca="false">CN96*Slot8_SpendLike*MIN(Slot8_Cost-CQ96,CJ96)</f>
        <v>0</v>
      </c>
      <c r="CS96" s="1" t="n">
        <f aca="false">CQ96+CR96</f>
        <v>0</v>
      </c>
      <c r="CT96" s="1" t="n">
        <f aca="false">CJ96-CR96+CN96*IF(Slot8_SpendLike=1,CP96-CQ96,IF(Slot8_PotFree=1,CP96,0))</f>
        <v>1526145.7577764</v>
      </c>
      <c r="CU96" s="1" t="n">
        <f aca="false">CK96+CN96*Slot8_BufPot*CP96</f>
        <v>0</v>
      </c>
      <c r="CV96" s="1" t="n">
        <f aca="false">IF(AND(CN96=1,Slot8_IsMfree=1),IF(CS96&gt;=Slot8_Cost-1,0,MAX(0,CL96-CS96)),CL96)</f>
        <v>0</v>
      </c>
      <c r="CW96" s="1" t="n">
        <f aca="false">CN96*(Slot8_Cost-CS96)</f>
        <v>0</v>
      </c>
      <c r="CX96" s="1" t="n">
        <f aca="false">IF(AND(Slot9_On=1,D96=Slot9_Age),1,0)</f>
        <v>0</v>
      </c>
      <c r="CY96" s="1" t="n">
        <f aca="false">IF(AND(Slot9_On=1,Slot9_Age&gt;D96),1,0)</f>
        <v>0</v>
      </c>
      <c r="CZ96" s="1" t="n">
        <f aca="false">RR95</f>
        <v>0</v>
      </c>
      <c r="DA96" s="1" t="n">
        <f aca="false">CX96*MIN(Slot9_Cost,CZ96)</f>
        <v>0</v>
      </c>
      <c r="DB96" s="1" t="n">
        <f aca="false">CX96*Slot9_SpendLike*MIN(Slot9_Cost-DA96,CT96)</f>
        <v>0</v>
      </c>
      <c r="DC96" s="1" t="n">
        <f aca="false">DA96+DB96</f>
        <v>0</v>
      </c>
      <c r="DD96" s="1" t="n">
        <f aca="false">CT96-DB96+CX96*IF(Slot9_SpendLike=1,CZ96-DA96,IF(Slot9_PotFree=1,CZ96,0))</f>
        <v>1526145.7577764</v>
      </c>
      <c r="DE96" s="1" t="n">
        <f aca="false">CU96+CX96*Slot9_BufPot*CZ96</f>
        <v>0</v>
      </c>
      <c r="DF96" s="1" t="n">
        <f aca="false">IF(AND(CX96=1,Slot9_IsMfree=1),IF(DC96&gt;=Slot9_Cost-1,0,MAX(0,CV96-DC96)),CV96)</f>
        <v>0</v>
      </c>
      <c r="DG96" s="1" t="n">
        <f aca="false">CX96*(Slot9_Cost-DC96)</f>
        <v>0</v>
      </c>
      <c r="DH96" s="1" t="n">
        <f aca="false">IF(AND(Slot10_On=1,D96=Slot10_Age),1,0)</f>
        <v>0</v>
      </c>
      <c r="DI96" s="1" t="n">
        <f aca="false">IF(AND(Slot10_On=1,Slot10_Age&gt;D96),1,0)</f>
        <v>0</v>
      </c>
      <c r="DJ96" s="1" t="n">
        <f aca="false">RV95</f>
        <v>0</v>
      </c>
      <c r="DK96" s="1" t="n">
        <f aca="false">DH96*MIN(Slot10_Cost,DJ96)</f>
        <v>0</v>
      </c>
      <c r="DL96" s="1" t="n">
        <f aca="false">DH96*Slot10_SpendLike*MIN(Slot10_Cost-DK96,DD96)</f>
        <v>0</v>
      </c>
      <c r="DM96" s="1" t="n">
        <f aca="false">DK96+DL96</f>
        <v>0</v>
      </c>
      <c r="DN96" s="1" t="n">
        <f aca="false">DD96-DL96+DH96*IF(Slot10_SpendLike=1,DJ96-DK96,IF(Slot10_PotFree=1,DJ96,0))</f>
        <v>1526145.7577764</v>
      </c>
      <c r="DO96" s="1" t="n">
        <f aca="false">DE96+DH96*Slot10_BufPot*DJ96</f>
        <v>0</v>
      </c>
      <c r="DP96" s="1" t="n">
        <f aca="false">IF(AND(DH96=1,Slot10_IsMfree=1),IF(DM96&gt;=Slot10_Cost-1,0,MAX(0,DF96-DM96)),DF96)</f>
        <v>0</v>
      </c>
      <c r="DQ96" s="1" t="n">
        <f aca="false">DH96*(Slot10_Cost-DM96)</f>
        <v>0</v>
      </c>
      <c r="DR96" s="1" t="n">
        <f aca="false">IF(AND(Slot11_On=1,D96=Slot11_Age),1,0)</f>
        <v>0</v>
      </c>
      <c r="DS96" s="1" t="n">
        <f aca="false">IF(AND(Slot11_On=1,Slot11_Age&gt;D96),1,0)</f>
        <v>0</v>
      </c>
      <c r="DT96" s="1" t="n">
        <f aca="false">RZ95</f>
        <v>0</v>
      </c>
      <c r="DU96" s="1" t="n">
        <f aca="false">DR96*MIN(Slot11_Cost,DT96)</f>
        <v>0</v>
      </c>
      <c r="DV96" s="1" t="n">
        <f aca="false">DR96*Slot11_SpendLike*MIN(Slot11_Cost-DU96,DN96)</f>
        <v>0</v>
      </c>
      <c r="DW96" s="1" t="n">
        <f aca="false">DU96+DV96</f>
        <v>0</v>
      </c>
      <c r="DX96" s="1" t="n">
        <f aca="false">DN96-DV96+DR96*IF(Slot11_SpendLike=1,DT96-DU96,IF(Slot11_PotFree=1,DT96,0))</f>
        <v>1526145.7577764</v>
      </c>
      <c r="DY96" s="1" t="n">
        <f aca="false">DO96+DR96*Slot11_BufPot*DT96</f>
        <v>0</v>
      </c>
      <c r="DZ96" s="1" t="n">
        <f aca="false">IF(AND(DR96=1,Slot11_IsMfree=1),IF(DW96&gt;=Slot11_Cost-1,0,MAX(0,DP96-DW96)),DP96)</f>
        <v>0</v>
      </c>
      <c r="EA96" s="1" t="n">
        <f aca="false">DR96*(Slot11_Cost-DW96)</f>
        <v>0</v>
      </c>
      <c r="EB96" s="1" t="n">
        <f aca="false">IF(AND(Slot12_On=1,D96=Slot12_Age),1,0)</f>
        <v>0</v>
      </c>
      <c r="EC96" s="1" t="n">
        <f aca="false">IF(AND(Slot12_On=1,Slot12_Age&gt;D96),1,0)</f>
        <v>0</v>
      </c>
      <c r="ED96" s="1" t="n">
        <f aca="false">SD95</f>
        <v>0</v>
      </c>
      <c r="EE96" s="1" t="n">
        <f aca="false">EB96*MIN(Slot12_Cost,ED96)</f>
        <v>0</v>
      </c>
      <c r="EF96" s="1" t="n">
        <f aca="false">EB96*Slot12_SpendLike*MIN(Slot12_Cost-EE96,DX96)</f>
        <v>0</v>
      </c>
      <c r="EG96" s="1" t="n">
        <f aca="false">EE96+EF96</f>
        <v>0</v>
      </c>
      <c r="EH96" s="1" t="n">
        <f aca="false">DX96-EF96+EB96*IF(Slot12_SpendLike=1,ED96-EE96,IF(Slot12_PotFree=1,ED96,0))</f>
        <v>1526145.7577764</v>
      </c>
      <c r="EI96" s="1" t="n">
        <f aca="false">DY96+EB96*Slot12_BufPot*ED96</f>
        <v>0</v>
      </c>
      <c r="EJ96" s="1" t="n">
        <f aca="false">IF(AND(EB96=1,Slot12_IsMfree=1),IF(EG96&gt;=Slot12_Cost-1,0,MAX(0,DZ96-EG96)),DZ96)</f>
        <v>0</v>
      </c>
      <c r="EK96" s="1" t="n">
        <f aca="false">EB96*(Slot12_Cost-EG96)</f>
        <v>0</v>
      </c>
      <c r="EL96" s="1" t="n">
        <f aca="false">IF(AND(Slot13_On=1,D96=Slot13_Age),1,0)</f>
        <v>0</v>
      </c>
      <c r="EM96" s="1" t="n">
        <f aca="false">IF(AND(Slot13_On=1,Slot13_Age&gt;D96),1,0)</f>
        <v>0</v>
      </c>
      <c r="EN96" s="1" t="n">
        <f aca="false">SH95</f>
        <v>0</v>
      </c>
      <c r="EO96" s="1" t="n">
        <f aca="false">EL96*MIN(Slot13_Cost,EN96)</f>
        <v>0</v>
      </c>
      <c r="EP96" s="1" t="n">
        <f aca="false">EL96*Slot13_SpendLike*MIN(Slot13_Cost-EO96,EH96)</f>
        <v>0</v>
      </c>
      <c r="EQ96" s="1" t="n">
        <f aca="false">EO96+EP96</f>
        <v>0</v>
      </c>
      <c r="ER96" s="1" t="n">
        <f aca="false">EH96-EP96+EL96*IF(Slot13_SpendLike=1,EN96-EO96,IF(Slot13_PotFree=1,EN96,0))</f>
        <v>1526145.7577764</v>
      </c>
      <c r="ES96" s="1" t="n">
        <f aca="false">EI96+EL96*Slot13_BufPot*EN96</f>
        <v>0</v>
      </c>
      <c r="ET96" s="1" t="n">
        <f aca="false">IF(AND(EL96=1,Slot13_IsMfree=1),IF(EQ96&gt;=Slot13_Cost-1,0,MAX(0,EJ96-EQ96)),EJ96)</f>
        <v>0</v>
      </c>
      <c r="EU96" s="1" t="n">
        <f aca="false">EL96*(Slot13_Cost-EQ96)</f>
        <v>0</v>
      </c>
      <c r="EV96" s="1" t="n">
        <f aca="false">IF(AND(Slot14_On=1,D96=Slot14_Age),1,0)</f>
        <v>0</v>
      </c>
      <c r="EW96" s="1" t="n">
        <f aca="false">IF(AND(Slot14_On=1,Slot14_Age&gt;D96),1,0)</f>
        <v>0</v>
      </c>
      <c r="EX96" s="1" t="n">
        <f aca="false">SL95</f>
        <v>0</v>
      </c>
      <c r="EY96" s="1" t="n">
        <f aca="false">EV96*MIN(Slot14_Cost,EX96)</f>
        <v>0</v>
      </c>
      <c r="EZ96" s="1" t="n">
        <f aca="false">EV96*Slot14_SpendLike*MIN(Slot14_Cost-EY96,ER96)</f>
        <v>0</v>
      </c>
      <c r="FA96" s="1" t="n">
        <f aca="false">EY96+EZ96</f>
        <v>0</v>
      </c>
      <c r="FB96" s="1" t="n">
        <f aca="false">ER96-EZ96+EV96*IF(Slot14_SpendLike=1,EX96-EY96,IF(Slot14_PotFree=1,EX96,0))</f>
        <v>1526145.7577764</v>
      </c>
      <c r="FC96" s="1" t="n">
        <f aca="false">ES96+EV96*Slot14_BufPot*EX96</f>
        <v>0</v>
      </c>
      <c r="FD96" s="1" t="n">
        <f aca="false">IF(AND(EV96=1,Slot14_IsMfree=1),IF(FA96&gt;=Slot14_Cost-1,0,MAX(0,ET96-FA96)),ET96)</f>
        <v>0</v>
      </c>
      <c r="FE96" s="1" t="n">
        <f aca="false">EV96*(Slot14_Cost-FA96)</f>
        <v>0</v>
      </c>
      <c r="FF96" s="1" t="n">
        <f aca="false">IF(AND(Slot15_On=1,D96=Slot15_Age),1,0)</f>
        <v>0</v>
      </c>
      <c r="FG96" s="1" t="n">
        <f aca="false">IF(AND(Slot15_On=1,Slot15_Age&gt;D96),1,0)</f>
        <v>0</v>
      </c>
      <c r="FH96" s="1" t="n">
        <f aca="false">SP95</f>
        <v>0</v>
      </c>
      <c r="FI96" s="1" t="n">
        <f aca="false">FF96*MIN(Slot15_Cost,FH96)</f>
        <v>0</v>
      </c>
      <c r="FJ96" s="1" t="n">
        <f aca="false">FF96*Slot15_SpendLike*MIN(Slot15_Cost-FI96,FB96)</f>
        <v>0</v>
      </c>
      <c r="FK96" s="1" t="n">
        <f aca="false">FI96+FJ96</f>
        <v>0</v>
      </c>
      <c r="FL96" s="1" t="n">
        <f aca="false">FB96-FJ96+FF96*IF(Slot15_SpendLike=1,FH96-FI96,IF(Slot15_PotFree=1,FH96,0))</f>
        <v>1526145.7577764</v>
      </c>
      <c r="FM96" s="1" t="n">
        <f aca="false">FC96+FF96*Slot15_BufPot*FH96</f>
        <v>0</v>
      </c>
      <c r="FN96" s="1" t="n">
        <f aca="false">IF(AND(FF96=1,Slot15_IsMfree=1),IF(FK96&gt;=Slot15_Cost-1,0,MAX(0,FD96-FK96)),FD96)</f>
        <v>0</v>
      </c>
      <c r="FO96" s="1" t="n">
        <f aca="false">FF96*(Slot15_Cost-FK96)</f>
        <v>0</v>
      </c>
      <c r="FP96" s="1" t="n">
        <f aca="false">IF(AND(Slot16_On=1,D96=Slot16_Age),1,0)</f>
        <v>0</v>
      </c>
      <c r="FQ96" s="1" t="n">
        <f aca="false">IF(AND(Slot16_On=1,Slot16_Age&gt;D96),1,0)</f>
        <v>0</v>
      </c>
      <c r="FR96" s="1" t="n">
        <f aca="false">ST95</f>
        <v>0</v>
      </c>
      <c r="FS96" s="1" t="n">
        <f aca="false">FP96*MIN(Slot16_Cost,FR96)</f>
        <v>0</v>
      </c>
      <c r="FT96" s="1" t="n">
        <f aca="false">FP96*Slot16_SpendLike*MIN(Slot16_Cost-FS96,FL96)</f>
        <v>0</v>
      </c>
      <c r="FU96" s="1" t="n">
        <f aca="false">FS96+FT96</f>
        <v>0</v>
      </c>
      <c r="FV96" s="1" t="n">
        <f aca="false">FL96-FT96+FP96*IF(Slot16_SpendLike=1,FR96-FS96,IF(Slot16_PotFree=1,FR96,0))</f>
        <v>1526145.7577764</v>
      </c>
      <c r="FW96" s="1" t="n">
        <f aca="false">FM96+FP96*Slot16_BufPot*FR96</f>
        <v>0</v>
      </c>
      <c r="FX96" s="1" t="n">
        <f aca="false">IF(AND(FP96=1,Slot16_IsMfree=1),IF(FU96&gt;=Slot16_Cost-1,0,MAX(0,FN96-FU96)),FN96)</f>
        <v>0</v>
      </c>
      <c r="FY96" s="1" t="n">
        <f aca="false">FP96*(Slot16_Cost-FU96)</f>
        <v>0</v>
      </c>
      <c r="FZ96" s="1" t="n">
        <f aca="false">IF(AND(Slot17_On=1,D96=Slot17_Age),1,0)</f>
        <v>0</v>
      </c>
      <c r="GA96" s="1" t="n">
        <f aca="false">IF(AND(Slot17_On=1,Slot17_Age&gt;D96),1,0)</f>
        <v>0</v>
      </c>
      <c r="GB96" s="1" t="n">
        <f aca="false">SX95</f>
        <v>0</v>
      </c>
      <c r="GC96" s="1" t="n">
        <f aca="false">FZ96*MIN(Slot17_Cost,GB96)</f>
        <v>0</v>
      </c>
      <c r="GD96" s="1" t="n">
        <f aca="false">FZ96*Slot17_SpendLike*MIN(Slot17_Cost-GC96,FV96)</f>
        <v>0</v>
      </c>
      <c r="GE96" s="1" t="n">
        <f aca="false">GC96+GD96</f>
        <v>0</v>
      </c>
      <c r="GF96" s="1" t="n">
        <f aca="false">FV96-GD96+FZ96*IF(Slot17_SpendLike=1,GB96-GC96,IF(Slot17_PotFree=1,GB96,0))</f>
        <v>1526145.7577764</v>
      </c>
      <c r="GG96" s="1" t="n">
        <f aca="false">FW96+FZ96*Slot17_BufPot*GB96</f>
        <v>0</v>
      </c>
      <c r="GH96" s="1" t="n">
        <f aca="false">IF(AND(FZ96=1,Slot17_IsMfree=1),IF(GE96&gt;=Slot17_Cost-1,0,MAX(0,FX96-GE96)),FX96)</f>
        <v>0</v>
      </c>
      <c r="GI96" s="1" t="n">
        <f aca="false">FZ96*(Slot17_Cost-GE96)</f>
        <v>0</v>
      </c>
      <c r="GJ96" s="1" t="n">
        <f aca="false">IF(AND(Slot18_On=1,D96=Slot18_Age),1,0)</f>
        <v>0</v>
      </c>
      <c r="GK96" s="1" t="n">
        <f aca="false">IF(AND(Slot18_On=1,Slot18_Age&gt;D96),1,0)</f>
        <v>0</v>
      </c>
      <c r="GL96" s="1" t="n">
        <f aca="false">TB95</f>
        <v>0</v>
      </c>
      <c r="GM96" s="1" t="n">
        <f aca="false">GJ96*MIN(Slot18_Cost,GL96)</f>
        <v>0</v>
      </c>
      <c r="GN96" s="1" t="n">
        <f aca="false">GJ96*Slot18_SpendLike*MIN(Slot18_Cost-GM96,GF96)</f>
        <v>0</v>
      </c>
      <c r="GO96" s="1" t="n">
        <f aca="false">GM96+GN96</f>
        <v>0</v>
      </c>
      <c r="GP96" s="1" t="n">
        <f aca="false">GF96-GN96+GJ96*IF(Slot18_SpendLike=1,GL96-GM96,IF(Slot18_PotFree=1,GL96,0))</f>
        <v>1526145.7577764</v>
      </c>
      <c r="GQ96" s="1" t="n">
        <f aca="false">GG96+GJ96*Slot18_BufPot*GL96</f>
        <v>0</v>
      </c>
      <c r="GR96" s="1" t="n">
        <f aca="false">IF(AND(GJ96=1,Slot18_IsMfree=1),IF(GO96&gt;=Slot18_Cost-1,0,MAX(0,GH96-GO96)),GH96)</f>
        <v>0</v>
      </c>
      <c r="GS96" s="1" t="n">
        <f aca="false">GJ96*(Slot18_Cost-GO96)</f>
        <v>0</v>
      </c>
      <c r="GT96" s="1" t="n">
        <f aca="false">IF(AND(Slot19_On=1,D96=Slot19_Age),1,0)</f>
        <v>0</v>
      </c>
      <c r="GU96" s="1" t="n">
        <f aca="false">IF(AND(Slot19_On=1,Slot19_Age&gt;D96),1,0)</f>
        <v>0</v>
      </c>
      <c r="GV96" s="1" t="n">
        <f aca="false">TF95</f>
        <v>0</v>
      </c>
      <c r="GW96" s="1" t="n">
        <f aca="false">GT96*MIN(Slot19_Cost,GV96)</f>
        <v>0</v>
      </c>
      <c r="GX96" s="1" t="n">
        <f aca="false">GT96*Slot19_SpendLike*MIN(Slot19_Cost-GW96,GP96)</f>
        <v>0</v>
      </c>
      <c r="GY96" s="1" t="n">
        <f aca="false">GW96+GX96</f>
        <v>0</v>
      </c>
      <c r="GZ96" s="1" t="n">
        <f aca="false">GP96-GX96+GT96*IF(Slot19_SpendLike=1,GV96-GW96,IF(Slot19_PotFree=1,GV96,0))</f>
        <v>1526145.7577764</v>
      </c>
      <c r="HA96" s="1" t="n">
        <f aca="false">GQ96+GT96*Slot19_BufPot*GV96</f>
        <v>0</v>
      </c>
      <c r="HB96" s="1" t="n">
        <f aca="false">IF(AND(GT96=1,Slot19_IsMfree=1),IF(GY96&gt;=Slot19_Cost-1,0,MAX(0,GR96-GY96)),GR96)</f>
        <v>0</v>
      </c>
      <c r="HC96" s="1" t="n">
        <f aca="false">GT96*(Slot19_Cost-GY96)</f>
        <v>0</v>
      </c>
      <c r="HD96" s="1" t="n">
        <f aca="false">IF(AND(Slot20_On=1,D96=Slot20_Age),1,0)</f>
        <v>0</v>
      </c>
      <c r="HE96" s="1" t="n">
        <f aca="false">IF(AND(Slot20_On=1,Slot20_Age&gt;D96),1,0)</f>
        <v>0</v>
      </c>
      <c r="HF96" s="1" t="n">
        <f aca="false">TJ95</f>
        <v>0</v>
      </c>
      <c r="HG96" s="1" t="n">
        <f aca="false">HD96*MIN(Slot20_Cost,HF96)</f>
        <v>0</v>
      </c>
      <c r="HH96" s="1" t="n">
        <f aca="false">HD96*Slot20_SpendLike*MIN(Slot20_Cost-HG96,GZ96)</f>
        <v>0</v>
      </c>
      <c r="HI96" s="1" t="n">
        <f aca="false">HG96+HH96</f>
        <v>0</v>
      </c>
      <c r="HJ96" s="1" t="n">
        <f aca="false">GZ96-HH96+HD96*IF(Slot20_SpendLike=1,HF96-HG96,IF(Slot20_PotFree=1,HF96,0))</f>
        <v>1526145.7577764</v>
      </c>
      <c r="HK96" s="1" t="n">
        <f aca="false">HA96+HD96*Slot20_BufPot*HF96</f>
        <v>0</v>
      </c>
      <c r="HL96" s="1" t="n">
        <f aca="false">IF(AND(HD96=1,Slot20_IsMfree=1),IF(HI96&gt;=Slot20_Cost-1,0,MAX(0,HB96-HI96)),HB96)</f>
        <v>0</v>
      </c>
      <c r="HM96" s="1" t="n">
        <f aca="false">HD96*(Slot20_Cost-HI96)</f>
        <v>0</v>
      </c>
      <c r="HN96" s="1" t="n">
        <f aca="false">U96*Slot1_SpendLike*Z96+AF96*Slot2_SpendLike*AK96+AP96*Slot3_SpendLike*AU96+AZ96*Slot4_SpendLike*BE96+BJ96*Slot5_SpendLike*BO96+BT96*Slot6_SpendLike*BY96+CD96*Slot7_SpendLike*CI96+CN96*Slot8_SpendLike*CS96+CX96*Slot9_SpendLike*DC96+DH96*Slot10_SpendLike*DM96+DR96*Slot11_SpendLike*DW96+EB96*Slot12_SpendLike*EG96+EL96*Slot13_SpendLike*EQ96+EV96*Slot14_SpendLike*FA96+FF96*Slot15_SpendLike*FK96+FP96*Slot16_SpendLike*FU96+FZ96*Slot17_SpendLike*GE96+GJ96*Slot18_SpendLike*GO96+GT96*Slot19_SpendLike*GY96+HD96*Slot20_SpendLike*HI96</f>
        <v>0</v>
      </c>
      <c r="HO96" s="1" t="n">
        <f aca="false">AD96+AO96+AY96+BI96+BS96+CC96+CM96+CW96+DG96+DQ96+EA96+EK96+EU96+FE96+FO96+FY96+GI96+GS96+HC96+HM96</f>
        <v>0</v>
      </c>
      <c r="HP96" s="1" t="n">
        <f aca="false">U96*Slot1_Cost+AF96*Slot2_Cost+AP96*Slot3_Cost+AZ96*Slot4_Cost+BJ96*Slot5_Cost+BT96*Slot6_Cost+CD96*Slot7_Cost+CN96*Slot8_Cost+CX96*Slot9_Cost+DH96*Slot10_Cost+DR96*Slot11_Cost+EB96*Slot12_Cost+EL96*Slot13_Cost+EV96*Slot14_Cost+FF96*Slot15_Cost+FP96*Slot16_Cost+FZ96*Slot17_Cost+GJ96*Slot18_Cost+GT96*Slot19_Cost+HD96*Slot20_Cost</f>
        <v>0</v>
      </c>
      <c r="HQ96" s="1" t="n">
        <f aca="false">HL96</f>
        <v>0</v>
      </c>
      <c r="HR96" s="1" t="n">
        <f aca="false">G96-H96-R96</f>
        <v>74094.258559528</v>
      </c>
      <c r="HS96" s="1" t="n">
        <f aca="false">IF(B96=0,IF(AND(Has_q6=1,In_q6=4),PR_ShareVaries*(MAX(0,HR96)/12),MIN(IF(Has_q6=1,CHOOSE(In_q6+1,PR_SaveB1,PR_SaveB2,PR_SaveB3,PR_SaveB4,0),AS_NoAnswer),AS_SaveShare*(MAX(0,HR96)/12))),HS95)</f>
        <v>0</v>
      </c>
      <c r="HT96" s="1" t="n">
        <f aca="false">IF(HR96&gt;=0,1,0)</f>
        <v>1</v>
      </c>
      <c r="HU96" s="1" t="n">
        <f aca="false">MAX(0,HR96/12/E96)</f>
        <v>1080.90666666667</v>
      </c>
      <c r="HV96" s="1" t="n">
        <f aca="false">IF(AND(Has_q6=1,In_q6=4),PR_ShareVaries*(HU96),MIN(IF(Has_q6=1,CHOOSE(In_q6+1,PR_SaveB1,PR_SaveB2,PR_SaveB3,PR_SaveB4,0),AS_NoAnswer),AS_SaveShare*(HU96)))</f>
        <v>300</v>
      </c>
      <c r="HW96" s="1" t="n">
        <f aca="false">IF(Has_saveM=1,IF(In_saveUp="Yes",1,IF(In_saveUp="No",0,IF(In_saveM&gt;=HS96-0.5,1,0))),0)</f>
        <v>0</v>
      </c>
      <c r="HX96" s="1" t="n">
        <f aca="false">IF(Has_saveM=1,MIN(HU96,IF(HW96=1,MAX(In_saveM,HV96),MIN(In_saveM,HV96))),HV96)</f>
        <v>300</v>
      </c>
      <c r="HY96" s="1" t="n">
        <f aca="false">IF(F96=1,HX96*12*E96,0)</f>
        <v>0</v>
      </c>
      <c r="HZ96" s="1" t="n">
        <f aca="false">MAX(0,HY96+IF(AND(WI_Retire=0,WI_M&lt;0,F96=1),WI_M*12*E96,0))</f>
        <v>0</v>
      </c>
      <c r="IA96" s="1" t="n">
        <f aca="false">Slot1_IsWG*V96+Slot2_IsWG*AG96+Slot3_IsWG*AQ96+Slot4_IsWG*BA96+Slot5_IsWG*BK96+Slot6_IsWG*BU96+Slot7_IsWG*CE96+Slot8_IsWG*CO96+Slot9_IsWG*CY96+Slot10_IsWG*DI96+Slot11_IsWG*DS96+Slot12_IsWG*EC96+Slot13_IsWG*EM96+Slot14_IsWG*EW96+Slot15_IsWG*FG96+Slot16_IsWG*FQ96+Slot17_IsWG*GA96+Slot18_IsWG*GK96+Slot19_IsWG*GU96+Slot20_IsWG*HE96</f>
        <v>0</v>
      </c>
      <c r="IB96" s="1" t="n">
        <f aca="false">IF(AND(WI_Retire=0,WI_M&gt;0,F96=1,IA96&gt;=1),WI_M*12*E96,0)</f>
        <v>0</v>
      </c>
      <c r="IC96" s="1" t="n">
        <f aca="false">IF(HT96=1,MIN(HZ96,HR96),0)</f>
        <v>0</v>
      </c>
      <c r="ID96" s="1" t="n">
        <f aca="false">IF(HT96=1,MIN(IB96,HR96-IC96),0)</f>
        <v>0</v>
      </c>
      <c r="IE96" s="1" t="n">
        <f aca="false">IF(V96=1,IF(ABS((1+AS_Wage)/(1+Slot1_Rate)-1)&lt;0.000000000001,(Slot1_Age-D96)*(1+Slot1_Rate)^(Slot1_Age-D96),(1+Slot1_Rate)^(Slot1_Age-D96)*(1-((1+AS_Wage)/(1+Slot1_Rate))^(Slot1_Age-D96))/(1-(1+AS_Wage)/(1+Slot1_Rate))),1)</f>
        <v>1</v>
      </c>
      <c r="IF96" s="1" t="n">
        <f aca="false">IF(AND(HT96=1,ID96&gt;0,Slot1_IsWG=1,V96=1),MAX(0,(Slot1_Cost-W96*(1+Slot1_Rate)^(Slot1_Age-D96))/IE96),0)</f>
        <v>0</v>
      </c>
      <c r="IG96" s="1" t="n">
        <f aca="false">IF(AND(HT96=1,ID96&gt;0,Slot1_IsWG=1,V96=1),MIN(ID96,IF96),0)</f>
        <v>0</v>
      </c>
      <c r="IH96" s="1" t="n">
        <f aca="false">W96+IG96</f>
        <v>0</v>
      </c>
      <c r="II96" s="1" t="n">
        <f aca="false">IF(V96=1,MAX(0,(Slot1_Cost-IH96*(1+Slot1_Rate)^(Slot1_Age-D96))/IE96),0)</f>
        <v>0</v>
      </c>
      <c r="IJ96" s="1" t="n">
        <f aca="false">IF(V96=1,MAX(0,(Slot1_Cost-W96*(1+Slot1_Rate)^(Slot1_Age-D96))/IE96),0)</f>
        <v>0</v>
      </c>
      <c r="IK96" s="1" t="n">
        <f aca="false">IF(AND(HT96=1,V96=1),MIN(IC96,II96),0)</f>
        <v>0</v>
      </c>
      <c r="IL96" s="1" t="n">
        <f aca="false">IC96-IK96</f>
        <v>0</v>
      </c>
      <c r="IM96" s="1" t="n">
        <f aca="false">IF(AG96=1,IF(ABS((1+AS_Wage)/(1+Slot2_Rate)-1)&lt;0.000000000001,(Slot2_Age-D96)*(1+Slot2_Rate)^(Slot2_Age-D96),(1+Slot2_Rate)^(Slot2_Age-D96)*(1-((1+AS_Wage)/(1+Slot2_Rate))^(Slot2_Age-D96))/(1-(1+AS_Wage)/(1+Slot2_Rate))),1)</f>
        <v>1</v>
      </c>
      <c r="IN96" s="1" t="n">
        <f aca="false">IF(AND(HT96=1,ID96&gt;0,Slot2_IsWG=1,AG96=1),MAX(0,(Slot2_Cost-AH96*(1+Slot2_Rate)^(Slot2_Age-D96))/IM96),0)</f>
        <v>0</v>
      </c>
      <c r="IO96" s="1" t="n">
        <f aca="false">IF(AND(HT96=1,ID96&gt;0,Slot2_IsWG=1,AG96=1),MIN(ID96,IN96),0)</f>
        <v>0</v>
      </c>
      <c r="IP96" s="1" t="n">
        <f aca="false">AH96+IO96</f>
        <v>0</v>
      </c>
      <c r="IQ96" s="1" t="n">
        <f aca="false">IF(AG96=1,MAX(0,(Slot2_Cost-IP96*(1+Slot2_Rate)^(Slot2_Age-D96))/IM96),0)</f>
        <v>0</v>
      </c>
      <c r="IR96" s="1" t="n">
        <f aca="false">IF(AG96=1,MAX(0,(Slot2_Cost-AH96*(1+Slot2_Rate)^(Slot2_Age-D96))/IM96),0)</f>
        <v>0</v>
      </c>
      <c r="IS96" s="1" t="n">
        <f aca="false">IF(AND(HT96=1,AG96=1),MIN(IL96,IQ96),0)</f>
        <v>0</v>
      </c>
      <c r="IT96" s="1" t="n">
        <f aca="false">IL96-IS96</f>
        <v>0</v>
      </c>
      <c r="IU96" s="1" t="n">
        <f aca="false">IF(AQ96=1,IF(ABS((1+AS_Wage)/(1+Slot3_Rate)-1)&lt;0.000000000001,(Slot3_Age-D96)*(1+Slot3_Rate)^(Slot3_Age-D96),(1+Slot3_Rate)^(Slot3_Age-D96)*(1-((1+AS_Wage)/(1+Slot3_Rate))^(Slot3_Age-D96))/(1-(1+AS_Wage)/(1+Slot3_Rate))),1)</f>
        <v>1</v>
      </c>
      <c r="IV96" s="1" t="n">
        <f aca="false">IF(AND(HT96=1,ID96&gt;0,Slot3_IsWG=1,AQ96=1),MAX(0,(Slot3_Cost-AR96*(1+Slot3_Rate)^(Slot3_Age-D96))/IU96),0)</f>
        <v>0</v>
      </c>
      <c r="IW96" s="1" t="n">
        <f aca="false">IF(AND(HT96=1,ID96&gt;0,Slot3_IsWG=1,AQ96=1),MIN(ID96,IV96),0)</f>
        <v>0</v>
      </c>
      <c r="IX96" s="1" t="n">
        <f aca="false">AR96+IW96</f>
        <v>0</v>
      </c>
      <c r="IY96" s="1" t="n">
        <f aca="false">IF(AQ96=1,MAX(0,(Slot3_Cost-IX96*(1+Slot3_Rate)^(Slot3_Age-D96))/IU96),0)</f>
        <v>0</v>
      </c>
      <c r="IZ96" s="1" t="n">
        <f aca="false">IF(AQ96=1,MAX(0,(Slot3_Cost-AR96*(1+Slot3_Rate)^(Slot3_Age-D96))/IU96),0)</f>
        <v>0</v>
      </c>
      <c r="JA96" s="1" t="n">
        <f aca="false">IF(AND(HT96=1,AQ96=1),MIN(IT96,IY96),0)</f>
        <v>0</v>
      </c>
      <c r="JB96" s="1" t="n">
        <f aca="false">IT96-JA96</f>
        <v>0</v>
      </c>
      <c r="JC96" s="1" t="n">
        <f aca="false">IF(BA96=1,IF(ABS((1+AS_Wage)/(1+Slot4_Rate)-1)&lt;0.000000000001,(Slot4_Age-D96)*(1+Slot4_Rate)^(Slot4_Age-D96),(1+Slot4_Rate)^(Slot4_Age-D96)*(1-((1+AS_Wage)/(1+Slot4_Rate))^(Slot4_Age-D96))/(1-(1+AS_Wage)/(1+Slot4_Rate))),1)</f>
        <v>1</v>
      </c>
      <c r="JD96" s="1" t="n">
        <f aca="false">IF(AND(HT96=1,ID96&gt;0,Slot4_IsWG=1,BA96=1),MAX(0,(Slot4_Cost-BB96*(1+Slot4_Rate)^(Slot4_Age-D96))/JC96),0)</f>
        <v>0</v>
      </c>
      <c r="JE96" s="1" t="n">
        <f aca="false">IF(AND(HT96=1,ID96&gt;0,Slot4_IsWG=1,BA96=1),MIN(ID96,JD96),0)</f>
        <v>0</v>
      </c>
      <c r="JF96" s="1" t="n">
        <f aca="false">BB96+JE96</f>
        <v>0</v>
      </c>
      <c r="JG96" s="1" t="n">
        <f aca="false">IF(BA96=1,MAX(0,(Slot4_Cost-JF96*(1+Slot4_Rate)^(Slot4_Age-D96))/JC96),0)</f>
        <v>0</v>
      </c>
      <c r="JH96" s="1" t="n">
        <f aca="false">IF(BA96=1,MAX(0,(Slot4_Cost-BB96*(1+Slot4_Rate)^(Slot4_Age-D96))/JC96),0)</f>
        <v>0</v>
      </c>
      <c r="JI96" s="1" t="n">
        <f aca="false">IF(AND(HT96=1,BA96=1),MIN(JB96,JG96),0)</f>
        <v>0</v>
      </c>
      <c r="JJ96" s="1" t="n">
        <f aca="false">JB96-JI96</f>
        <v>0</v>
      </c>
      <c r="JK96" s="1" t="n">
        <f aca="false">IF(BK96=1,IF(ABS((1+AS_Wage)/(1+Slot5_Rate)-1)&lt;0.000000000001,(Slot5_Age-D96)*(1+Slot5_Rate)^(Slot5_Age-D96),(1+Slot5_Rate)^(Slot5_Age-D96)*(1-((1+AS_Wage)/(1+Slot5_Rate))^(Slot5_Age-D96))/(1-(1+AS_Wage)/(1+Slot5_Rate))),1)</f>
        <v>1</v>
      </c>
      <c r="JL96" s="1" t="n">
        <f aca="false">IF(AND(HT96=1,ID96&gt;0,Slot5_IsWG=1,BK96=1),MAX(0,(Slot5_Cost-BL96*(1+Slot5_Rate)^(Slot5_Age-D96))/JK96),0)</f>
        <v>0</v>
      </c>
      <c r="JM96" s="1" t="n">
        <f aca="false">IF(AND(HT96=1,ID96&gt;0,Slot5_IsWG=1,BK96=1),MIN(ID96,JL96),0)</f>
        <v>0</v>
      </c>
      <c r="JN96" s="1" t="n">
        <f aca="false">BL96+JM96</f>
        <v>0</v>
      </c>
      <c r="JO96" s="1" t="n">
        <f aca="false">IF(BK96=1,MAX(0,(Slot5_Cost-JN96*(1+Slot5_Rate)^(Slot5_Age-D96))/JK96),0)</f>
        <v>0</v>
      </c>
      <c r="JP96" s="1" t="n">
        <f aca="false">IF(BK96=1,MAX(0,(Slot5_Cost-BL96*(1+Slot5_Rate)^(Slot5_Age-D96))/JK96),0)</f>
        <v>0</v>
      </c>
      <c r="JQ96" s="1" t="n">
        <f aca="false">IF(AND(HT96=1,BK96=1),MIN(JJ96,JO96),0)</f>
        <v>0</v>
      </c>
      <c r="JR96" s="1" t="n">
        <f aca="false">JJ96-JQ96</f>
        <v>0</v>
      </c>
      <c r="JS96" s="1" t="n">
        <f aca="false">IF(BU96=1,IF(ABS((1+AS_Wage)/(1+Slot6_Rate)-1)&lt;0.000000000001,(Slot6_Age-D96)*(1+Slot6_Rate)^(Slot6_Age-D96),(1+Slot6_Rate)^(Slot6_Age-D96)*(1-((1+AS_Wage)/(1+Slot6_Rate))^(Slot6_Age-D96))/(1-(1+AS_Wage)/(1+Slot6_Rate))),1)</f>
        <v>1</v>
      </c>
      <c r="JT96" s="1" t="n">
        <f aca="false">IF(AND(HT96=1,ID96&gt;0,Slot6_IsWG=1,BU96=1),MAX(0,(Slot6_Cost-BV96*(1+Slot6_Rate)^(Slot6_Age-D96))/JS96),0)</f>
        <v>0</v>
      </c>
      <c r="JU96" s="1" t="n">
        <f aca="false">IF(AND(HT96=1,ID96&gt;0,Slot6_IsWG=1,BU96=1),MIN(ID96,JT96),0)</f>
        <v>0</v>
      </c>
      <c r="JV96" s="1" t="n">
        <f aca="false">BV96+JU96</f>
        <v>0</v>
      </c>
      <c r="JW96" s="1" t="n">
        <f aca="false">IF(BU96=1,MAX(0,(Slot6_Cost-JV96*(1+Slot6_Rate)^(Slot6_Age-D96))/JS96),0)</f>
        <v>0</v>
      </c>
      <c r="JX96" s="1" t="n">
        <f aca="false">IF(BU96=1,MAX(0,(Slot6_Cost-BV96*(1+Slot6_Rate)^(Slot6_Age-D96))/JS96),0)</f>
        <v>0</v>
      </c>
      <c r="JY96" s="1" t="n">
        <f aca="false">IF(AND(HT96=1,BU96=1),MIN(JR96,JW96),0)</f>
        <v>0</v>
      </c>
      <c r="JZ96" s="1" t="n">
        <f aca="false">JR96-JY96</f>
        <v>0</v>
      </c>
      <c r="KA96" s="1" t="n">
        <f aca="false">IF(CE96=1,IF(ABS((1+AS_Wage)/(1+Slot7_Rate)-1)&lt;0.000000000001,(Slot7_Age-D96)*(1+Slot7_Rate)^(Slot7_Age-D96),(1+Slot7_Rate)^(Slot7_Age-D96)*(1-((1+AS_Wage)/(1+Slot7_Rate))^(Slot7_Age-D96))/(1-(1+AS_Wage)/(1+Slot7_Rate))),1)</f>
        <v>1</v>
      </c>
      <c r="KB96" s="1" t="n">
        <f aca="false">IF(AND(HT96=1,ID96&gt;0,Slot7_IsWG=1,CE96=1),MAX(0,(Slot7_Cost-CF96*(1+Slot7_Rate)^(Slot7_Age-D96))/KA96),0)</f>
        <v>0</v>
      </c>
      <c r="KC96" s="1" t="n">
        <f aca="false">IF(AND(HT96=1,ID96&gt;0,Slot7_IsWG=1,CE96=1),MIN(ID96,KB96),0)</f>
        <v>0</v>
      </c>
      <c r="KD96" s="1" t="n">
        <f aca="false">CF96+KC96</f>
        <v>0</v>
      </c>
      <c r="KE96" s="1" t="n">
        <f aca="false">IF(CE96=1,MAX(0,(Slot7_Cost-KD96*(1+Slot7_Rate)^(Slot7_Age-D96))/KA96),0)</f>
        <v>0</v>
      </c>
      <c r="KF96" s="1" t="n">
        <f aca="false">IF(CE96=1,MAX(0,(Slot7_Cost-CF96*(1+Slot7_Rate)^(Slot7_Age-D96))/KA96),0)</f>
        <v>0</v>
      </c>
      <c r="KG96" s="1" t="n">
        <f aca="false">IF(AND(HT96=1,CE96=1),MIN(JZ96,KE96),0)</f>
        <v>0</v>
      </c>
      <c r="KH96" s="1" t="n">
        <f aca="false">JZ96-KG96</f>
        <v>0</v>
      </c>
      <c r="KI96" s="1" t="n">
        <f aca="false">IF(CO96=1,IF(ABS((1+AS_Wage)/(1+Slot8_Rate)-1)&lt;0.000000000001,(Slot8_Age-D96)*(1+Slot8_Rate)^(Slot8_Age-D96),(1+Slot8_Rate)^(Slot8_Age-D96)*(1-((1+AS_Wage)/(1+Slot8_Rate))^(Slot8_Age-D96))/(1-(1+AS_Wage)/(1+Slot8_Rate))),1)</f>
        <v>1</v>
      </c>
      <c r="KJ96" s="1" t="n">
        <f aca="false">IF(AND(HT96=1,ID96&gt;0,Slot8_IsWG=1,CO96=1),MAX(0,(Slot8_Cost-CP96*(1+Slot8_Rate)^(Slot8_Age-D96))/KI96),0)</f>
        <v>0</v>
      </c>
      <c r="KK96" s="1" t="n">
        <f aca="false">IF(AND(HT96=1,ID96&gt;0,Slot8_IsWG=1,CO96=1),MIN(ID96,KJ96),0)</f>
        <v>0</v>
      </c>
      <c r="KL96" s="1" t="n">
        <f aca="false">CP96+KK96</f>
        <v>0</v>
      </c>
      <c r="KM96" s="1" t="n">
        <f aca="false">IF(CO96=1,MAX(0,(Slot8_Cost-KL96*(1+Slot8_Rate)^(Slot8_Age-D96))/KI96),0)</f>
        <v>0</v>
      </c>
      <c r="KN96" s="1" t="n">
        <f aca="false">IF(CO96=1,MAX(0,(Slot8_Cost-CP96*(1+Slot8_Rate)^(Slot8_Age-D96))/KI96),0)</f>
        <v>0</v>
      </c>
      <c r="KO96" s="1" t="n">
        <f aca="false">IF(AND(HT96=1,CO96=1),MIN(KH96,KM96),0)</f>
        <v>0</v>
      </c>
      <c r="KP96" s="1" t="n">
        <f aca="false">KH96-KO96</f>
        <v>0</v>
      </c>
      <c r="KQ96" s="1" t="n">
        <f aca="false">IF(CY96=1,IF(ABS((1+AS_Wage)/(1+Slot9_Rate)-1)&lt;0.000000000001,(Slot9_Age-D96)*(1+Slot9_Rate)^(Slot9_Age-D96),(1+Slot9_Rate)^(Slot9_Age-D96)*(1-((1+AS_Wage)/(1+Slot9_Rate))^(Slot9_Age-D96))/(1-(1+AS_Wage)/(1+Slot9_Rate))),1)</f>
        <v>1</v>
      </c>
      <c r="KR96" s="1" t="n">
        <f aca="false">IF(AND(HT96=1,ID96&gt;0,Slot9_IsWG=1,CY96=1),MAX(0,(Slot9_Cost-CZ96*(1+Slot9_Rate)^(Slot9_Age-D96))/KQ96),0)</f>
        <v>0</v>
      </c>
      <c r="KS96" s="1" t="n">
        <f aca="false">IF(AND(HT96=1,ID96&gt;0,Slot9_IsWG=1,CY96=1),MIN(ID96,KR96),0)</f>
        <v>0</v>
      </c>
      <c r="KT96" s="1" t="n">
        <f aca="false">CZ96+KS96</f>
        <v>0</v>
      </c>
      <c r="KU96" s="1" t="n">
        <f aca="false">IF(CY96=1,MAX(0,(Slot9_Cost-KT96*(1+Slot9_Rate)^(Slot9_Age-D96))/KQ96),0)</f>
        <v>0</v>
      </c>
      <c r="KV96" s="1" t="n">
        <f aca="false">IF(CY96=1,MAX(0,(Slot9_Cost-CZ96*(1+Slot9_Rate)^(Slot9_Age-D96))/KQ96),0)</f>
        <v>0</v>
      </c>
      <c r="KW96" s="1" t="n">
        <f aca="false">IF(AND(HT96=1,CY96=1),MIN(KP96,KU96),0)</f>
        <v>0</v>
      </c>
      <c r="KX96" s="1" t="n">
        <f aca="false">KP96-KW96</f>
        <v>0</v>
      </c>
      <c r="KY96" s="1" t="n">
        <f aca="false">IF(DI96=1,IF(ABS((1+AS_Wage)/(1+Slot10_Rate)-1)&lt;0.000000000001,(Slot10_Age-D96)*(1+Slot10_Rate)^(Slot10_Age-D96),(1+Slot10_Rate)^(Slot10_Age-D96)*(1-((1+AS_Wage)/(1+Slot10_Rate))^(Slot10_Age-D96))/(1-(1+AS_Wage)/(1+Slot10_Rate))),1)</f>
        <v>1</v>
      </c>
      <c r="KZ96" s="1" t="n">
        <f aca="false">IF(AND(HT96=1,ID96&gt;0,Slot10_IsWG=1,DI96=1),MAX(0,(Slot10_Cost-DJ96*(1+Slot10_Rate)^(Slot10_Age-D96))/KY96),0)</f>
        <v>0</v>
      </c>
      <c r="LA96" s="1" t="n">
        <f aca="false">IF(AND(HT96=1,ID96&gt;0,Slot10_IsWG=1,DI96=1),MIN(ID96,KZ96),0)</f>
        <v>0</v>
      </c>
      <c r="LB96" s="1" t="n">
        <f aca="false">DJ96+LA96</f>
        <v>0</v>
      </c>
      <c r="LC96" s="1" t="n">
        <f aca="false">IF(DI96=1,MAX(0,(Slot10_Cost-LB96*(1+Slot10_Rate)^(Slot10_Age-D96))/KY96),0)</f>
        <v>0</v>
      </c>
      <c r="LD96" s="1" t="n">
        <f aca="false">IF(DI96=1,MAX(0,(Slot10_Cost-DJ96*(1+Slot10_Rate)^(Slot10_Age-D96))/KY96),0)</f>
        <v>0</v>
      </c>
      <c r="LE96" s="1" t="n">
        <f aca="false">IF(AND(HT96=1,DI96=1),MIN(KX96,LC96),0)</f>
        <v>0</v>
      </c>
      <c r="LF96" s="1" t="n">
        <f aca="false">KX96-LE96</f>
        <v>0</v>
      </c>
      <c r="LG96" s="1" t="n">
        <f aca="false">IF(DS96=1,IF(ABS((1+AS_Wage)/(1+Slot11_Rate)-1)&lt;0.000000000001,(Slot11_Age-D96)*(1+Slot11_Rate)^(Slot11_Age-D96),(1+Slot11_Rate)^(Slot11_Age-D96)*(1-((1+AS_Wage)/(1+Slot11_Rate))^(Slot11_Age-D96))/(1-(1+AS_Wage)/(1+Slot11_Rate))),1)</f>
        <v>1</v>
      </c>
      <c r="LH96" s="1" t="n">
        <f aca="false">IF(AND(HT96=1,ID96&gt;0,Slot11_IsWG=1,DS96=1),MAX(0,(Slot11_Cost-DT96*(1+Slot11_Rate)^(Slot11_Age-D96))/LG96),0)</f>
        <v>0</v>
      </c>
      <c r="LI96" s="1" t="n">
        <f aca="false">IF(AND(HT96=1,ID96&gt;0,Slot11_IsWG=1,DS96=1),MIN(ID96,LH96),0)</f>
        <v>0</v>
      </c>
      <c r="LJ96" s="1" t="n">
        <f aca="false">DT96+LI96</f>
        <v>0</v>
      </c>
      <c r="LK96" s="1" t="n">
        <f aca="false">IF(DS96=1,MAX(0,(Slot11_Cost-LJ96*(1+Slot11_Rate)^(Slot11_Age-D96))/LG96),0)</f>
        <v>0</v>
      </c>
      <c r="LL96" s="1" t="n">
        <f aca="false">IF(DS96=1,MAX(0,(Slot11_Cost-DT96*(1+Slot11_Rate)^(Slot11_Age-D96))/LG96),0)</f>
        <v>0</v>
      </c>
      <c r="LM96" s="1" t="n">
        <f aca="false">IF(AND(HT96=1,DS96=1),MIN(LF96,LK96),0)</f>
        <v>0</v>
      </c>
      <c r="LN96" s="1" t="n">
        <f aca="false">LF96-LM96</f>
        <v>0</v>
      </c>
      <c r="LO96" s="1" t="n">
        <f aca="false">IF(EC96=1,IF(ABS((1+AS_Wage)/(1+Slot12_Rate)-1)&lt;0.000000000001,(Slot12_Age-D96)*(1+Slot12_Rate)^(Slot12_Age-D96),(1+Slot12_Rate)^(Slot12_Age-D96)*(1-((1+AS_Wage)/(1+Slot12_Rate))^(Slot12_Age-D96))/(1-(1+AS_Wage)/(1+Slot12_Rate))),1)</f>
        <v>1</v>
      </c>
      <c r="LP96" s="1" t="n">
        <f aca="false">IF(AND(HT96=1,ID96&gt;0,Slot12_IsWG=1,EC96=1),MAX(0,(Slot12_Cost-ED96*(1+Slot12_Rate)^(Slot12_Age-D96))/LO96),0)</f>
        <v>0</v>
      </c>
      <c r="LQ96" s="1" t="n">
        <f aca="false">IF(AND(HT96=1,ID96&gt;0,Slot12_IsWG=1,EC96=1),MIN(ID96,LP96),0)</f>
        <v>0</v>
      </c>
      <c r="LR96" s="1" t="n">
        <f aca="false">ED96+LQ96</f>
        <v>0</v>
      </c>
      <c r="LS96" s="1" t="n">
        <f aca="false">IF(EC96=1,MAX(0,(Slot12_Cost-LR96*(1+Slot12_Rate)^(Slot12_Age-D96))/LO96),0)</f>
        <v>0</v>
      </c>
      <c r="LT96" s="1" t="n">
        <f aca="false">IF(EC96=1,MAX(0,(Slot12_Cost-ED96*(1+Slot12_Rate)^(Slot12_Age-D96))/LO96),0)</f>
        <v>0</v>
      </c>
      <c r="LU96" s="1" t="n">
        <f aca="false">IF(AND(HT96=1,EC96=1),MIN(LN96,LS96),0)</f>
        <v>0</v>
      </c>
      <c r="LV96" s="1" t="n">
        <f aca="false">LN96-LU96</f>
        <v>0</v>
      </c>
      <c r="LW96" s="1" t="n">
        <f aca="false">IF(EM96=1,IF(ABS((1+AS_Wage)/(1+Slot13_Rate)-1)&lt;0.000000000001,(Slot13_Age-D96)*(1+Slot13_Rate)^(Slot13_Age-D96),(1+Slot13_Rate)^(Slot13_Age-D96)*(1-((1+AS_Wage)/(1+Slot13_Rate))^(Slot13_Age-D96))/(1-(1+AS_Wage)/(1+Slot13_Rate))),1)</f>
        <v>1</v>
      </c>
      <c r="LX96" s="1" t="n">
        <f aca="false">IF(AND(HT96=1,ID96&gt;0,Slot13_IsWG=1,EM96=1),MAX(0,(Slot13_Cost-EN96*(1+Slot13_Rate)^(Slot13_Age-D96))/LW96),0)</f>
        <v>0</v>
      </c>
      <c r="LY96" s="1" t="n">
        <f aca="false">IF(AND(HT96=1,ID96&gt;0,Slot13_IsWG=1,EM96=1),MIN(ID96,LX96),0)</f>
        <v>0</v>
      </c>
      <c r="LZ96" s="1" t="n">
        <f aca="false">EN96+LY96</f>
        <v>0</v>
      </c>
      <c r="MA96" s="1" t="n">
        <f aca="false">IF(EM96=1,MAX(0,(Slot13_Cost-LZ96*(1+Slot13_Rate)^(Slot13_Age-D96))/LW96),0)</f>
        <v>0</v>
      </c>
      <c r="MB96" s="1" t="n">
        <f aca="false">IF(EM96=1,MAX(0,(Slot13_Cost-EN96*(1+Slot13_Rate)^(Slot13_Age-D96))/LW96),0)</f>
        <v>0</v>
      </c>
      <c r="MC96" s="1" t="n">
        <f aca="false">IF(AND(HT96=1,EM96=1),MIN(LV96,MA96),0)</f>
        <v>0</v>
      </c>
      <c r="MD96" s="1" t="n">
        <f aca="false">LV96-MC96</f>
        <v>0</v>
      </c>
      <c r="ME96" s="1" t="n">
        <f aca="false">IF(EW96=1,IF(ABS((1+AS_Wage)/(1+Slot14_Rate)-1)&lt;0.000000000001,(Slot14_Age-D96)*(1+Slot14_Rate)^(Slot14_Age-D96),(1+Slot14_Rate)^(Slot14_Age-D96)*(1-((1+AS_Wage)/(1+Slot14_Rate))^(Slot14_Age-D96))/(1-(1+AS_Wage)/(1+Slot14_Rate))),1)</f>
        <v>1</v>
      </c>
      <c r="MF96" s="1" t="n">
        <f aca="false">IF(AND(HT96=1,ID96&gt;0,Slot14_IsWG=1,EW96=1),MAX(0,(Slot14_Cost-EX96*(1+Slot14_Rate)^(Slot14_Age-D96))/ME96),0)</f>
        <v>0</v>
      </c>
      <c r="MG96" s="1" t="n">
        <f aca="false">IF(AND(HT96=1,ID96&gt;0,Slot14_IsWG=1,EW96=1),MIN(ID96,MF96),0)</f>
        <v>0</v>
      </c>
      <c r="MH96" s="1" t="n">
        <f aca="false">EX96+MG96</f>
        <v>0</v>
      </c>
      <c r="MI96" s="1" t="n">
        <f aca="false">IF(EW96=1,MAX(0,(Slot14_Cost-MH96*(1+Slot14_Rate)^(Slot14_Age-D96))/ME96),0)</f>
        <v>0</v>
      </c>
      <c r="MJ96" s="1" t="n">
        <f aca="false">IF(EW96=1,MAX(0,(Slot14_Cost-EX96*(1+Slot14_Rate)^(Slot14_Age-D96))/ME96),0)</f>
        <v>0</v>
      </c>
      <c r="MK96" s="1" t="n">
        <f aca="false">IF(AND(HT96=1,EW96=1),MIN(MD96,MI96),0)</f>
        <v>0</v>
      </c>
      <c r="ML96" s="1" t="n">
        <f aca="false">MD96-MK96</f>
        <v>0</v>
      </c>
      <c r="MM96" s="1" t="n">
        <f aca="false">IF(FG96=1,IF(ABS((1+AS_Wage)/(1+Slot15_Rate)-1)&lt;0.000000000001,(Slot15_Age-D96)*(1+Slot15_Rate)^(Slot15_Age-D96),(1+Slot15_Rate)^(Slot15_Age-D96)*(1-((1+AS_Wage)/(1+Slot15_Rate))^(Slot15_Age-D96))/(1-(1+AS_Wage)/(1+Slot15_Rate))),1)</f>
        <v>1</v>
      </c>
      <c r="MN96" s="1" t="n">
        <f aca="false">IF(AND(HT96=1,ID96&gt;0,Slot15_IsWG=1,FG96=1),MAX(0,(Slot15_Cost-FH96*(1+Slot15_Rate)^(Slot15_Age-D96))/MM96),0)</f>
        <v>0</v>
      </c>
      <c r="MO96" s="1" t="n">
        <f aca="false">IF(AND(HT96=1,ID96&gt;0,Slot15_IsWG=1,FG96=1),MIN(ID96,MN96),0)</f>
        <v>0</v>
      </c>
      <c r="MP96" s="1" t="n">
        <f aca="false">FH96+MO96</f>
        <v>0</v>
      </c>
      <c r="MQ96" s="1" t="n">
        <f aca="false">IF(FG96=1,MAX(0,(Slot15_Cost-MP96*(1+Slot15_Rate)^(Slot15_Age-D96))/MM96),0)</f>
        <v>0</v>
      </c>
      <c r="MR96" s="1" t="n">
        <f aca="false">IF(FG96=1,MAX(0,(Slot15_Cost-FH96*(1+Slot15_Rate)^(Slot15_Age-D96))/MM96),0)</f>
        <v>0</v>
      </c>
      <c r="MS96" s="1" t="n">
        <f aca="false">IF(AND(HT96=1,FG96=1),MIN(ML96,MQ96),0)</f>
        <v>0</v>
      </c>
      <c r="MT96" s="1" t="n">
        <f aca="false">ML96-MS96</f>
        <v>0</v>
      </c>
      <c r="MU96" s="1" t="n">
        <f aca="false">IF(FQ96=1,IF(ABS((1+AS_Wage)/(1+Slot16_Rate)-1)&lt;0.000000000001,(Slot16_Age-D96)*(1+Slot16_Rate)^(Slot16_Age-D96),(1+Slot16_Rate)^(Slot16_Age-D96)*(1-((1+AS_Wage)/(1+Slot16_Rate))^(Slot16_Age-D96))/(1-(1+AS_Wage)/(1+Slot16_Rate))),1)</f>
        <v>1</v>
      </c>
      <c r="MV96" s="1" t="n">
        <f aca="false">IF(AND(HT96=1,ID96&gt;0,Slot16_IsWG=1,FQ96=1),MAX(0,(Slot16_Cost-FR96*(1+Slot16_Rate)^(Slot16_Age-D96))/MU96),0)</f>
        <v>0</v>
      </c>
      <c r="MW96" s="1" t="n">
        <f aca="false">IF(AND(HT96=1,ID96&gt;0,Slot16_IsWG=1,FQ96=1),MIN(ID96,MV96),0)</f>
        <v>0</v>
      </c>
      <c r="MX96" s="1" t="n">
        <f aca="false">FR96+MW96</f>
        <v>0</v>
      </c>
      <c r="MY96" s="1" t="n">
        <f aca="false">IF(FQ96=1,MAX(0,(Slot16_Cost-MX96*(1+Slot16_Rate)^(Slot16_Age-D96))/MU96),0)</f>
        <v>0</v>
      </c>
      <c r="MZ96" s="1" t="n">
        <f aca="false">IF(FQ96=1,MAX(0,(Slot16_Cost-FR96*(1+Slot16_Rate)^(Slot16_Age-D96))/MU96),0)</f>
        <v>0</v>
      </c>
      <c r="NA96" s="1" t="n">
        <f aca="false">IF(AND(HT96=1,FQ96=1),MIN(MT96,MY96),0)</f>
        <v>0</v>
      </c>
      <c r="NB96" s="1" t="n">
        <f aca="false">MT96-NA96</f>
        <v>0</v>
      </c>
      <c r="NC96" s="1" t="n">
        <f aca="false">IF(GA96=1,IF(ABS((1+AS_Wage)/(1+Slot17_Rate)-1)&lt;0.000000000001,(Slot17_Age-D96)*(1+Slot17_Rate)^(Slot17_Age-D96),(1+Slot17_Rate)^(Slot17_Age-D96)*(1-((1+AS_Wage)/(1+Slot17_Rate))^(Slot17_Age-D96))/(1-(1+AS_Wage)/(1+Slot17_Rate))),1)</f>
        <v>1</v>
      </c>
      <c r="ND96" s="1" t="n">
        <f aca="false">IF(AND(HT96=1,ID96&gt;0,Slot17_IsWG=1,GA96=1),MAX(0,(Slot17_Cost-GB96*(1+Slot17_Rate)^(Slot17_Age-D96))/NC96),0)</f>
        <v>0</v>
      </c>
      <c r="NE96" s="1" t="n">
        <f aca="false">IF(AND(HT96=1,ID96&gt;0,Slot17_IsWG=1,GA96=1),MIN(ID96,ND96),0)</f>
        <v>0</v>
      </c>
      <c r="NF96" s="1" t="n">
        <f aca="false">GB96+NE96</f>
        <v>0</v>
      </c>
      <c r="NG96" s="1" t="n">
        <f aca="false">IF(GA96=1,MAX(0,(Slot17_Cost-NF96*(1+Slot17_Rate)^(Slot17_Age-D96))/NC96),0)</f>
        <v>0</v>
      </c>
      <c r="NH96" s="1" t="n">
        <f aca="false">IF(GA96=1,MAX(0,(Slot17_Cost-GB96*(1+Slot17_Rate)^(Slot17_Age-D96))/NC96),0)</f>
        <v>0</v>
      </c>
      <c r="NI96" s="1" t="n">
        <f aca="false">IF(AND(HT96=1,GA96=1),MIN(NB96,NG96),0)</f>
        <v>0</v>
      </c>
      <c r="NJ96" s="1" t="n">
        <f aca="false">NB96-NI96</f>
        <v>0</v>
      </c>
      <c r="NK96" s="1" t="n">
        <f aca="false">IF(GK96=1,IF(ABS((1+AS_Wage)/(1+Slot18_Rate)-1)&lt;0.000000000001,(Slot18_Age-D96)*(1+Slot18_Rate)^(Slot18_Age-D96),(1+Slot18_Rate)^(Slot18_Age-D96)*(1-((1+AS_Wage)/(1+Slot18_Rate))^(Slot18_Age-D96))/(1-(1+AS_Wage)/(1+Slot18_Rate))),1)</f>
        <v>1</v>
      </c>
      <c r="NL96" s="1" t="n">
        <f aca="false">IF(AND(HT96=1,ID96&gt;0,Slot18_IsWG=1,GK96=1),MAX(0,(Slot18_Cost-GL96*(1+Slot18_Rate)^(Slot18_Age-D96))/NK96),0)</f>
        <v>0</v>
      </c>
      <c r="NM96" s="1" t="n">
        <f aca="false">IF(AND(HT96=1,ID96&gt;0,Slot18_IsWG=1,GK96=1),MIN(ID96,NL96),0)</f>
        <v>0</v>
      </c>
      <c r="NN96" s="1" t="n">
        <f aca="false">GL96+NM96</f>
        <v>0</v>
      </c>
      <c r="NO96" s="1" t="n">
        <f aca="false">IF(GK96=1,MAX(0,(Slot18_Cost-NN96*(1+Slot18_Rate)^(Slot18_Age-D96))/NK96),0)</f>
        <v>0</v>
      </c>
      <c r="NP96" s="1" t="n">
        <f aca="false">IF(GK96=1,MAX(0,(Slot18_Cost-GL96*(1+Slot18_Rate)^(Slot18_Age-D96))/NK96),0)</f>
        <v>0</v>
      </c>
      <c r="NQ96" s="1" t="n">
        <f aca="false">IF(AND(HT96=1,GK96=1),MIN(NJ96,NO96),0)</f>
        <v>0</v>
      </c>
      <c r="NR96" s="1" t="n">
        <f aca="false">NJ96-NQ96</f>
        <v>0</v>
      </c>
      <c r="NS96" s="1" t="n">
        <f aca="false">IF(GU96=1,IF(ABS((1+AS_Wage)/(1+Slot19_Rate)-1)&lt;0.000000000001,(Slot19_Age-D96)*(1+Slot19_Rate)^(Slot19_Age-D96),(1+Slot19_Rate)^(Slot19_Age-D96)*(1-((1+AS_Wage)/(1+Slot19_Rate))^(Slot19_Age-D96))/(1-(1+AS_Wage)/(1+Slot19_Rate))),1)</f>
        <v>1</v>
      </c>
      <c r="NT96" s="1" t="n">
        <f aca="false">IF(AND(HT96=1,ID96&gt;0,Slot19_IsWG=1,GU96=1),MAX(0,(Slot19_Cost-GV96*(1+Slot19_Rate)^(Slot19_Age-D96))/NS96),0)</f>
        <v>0</v>
      </c>
      <c r="NU96" s="1" t="n">
        <f aca="false">IF(AND(HT96=1,ID96&gt;0,Slot19_IsWG=1,GU96=1),MIN(ID96,NT96),0)</f>
        <v>0</v>
      </c>
      <c r="NV96" s="1" t="n">
        <f aca="false">GV96+NU96</f>
        <v>0</v>
      </c>
      <c r="NW96" s="1" t="n">
        <f aca="false">IF(GU96=1,MAX(0,(Slot19_Cost-NV96*(1+Slot19_Rate)^(Slot19_Age-D96))/NS96),0)</f>
        <v>0</v>
      </c>
      <c r="NX96" s="1" t="n">
        <f aca="false">IF(GU96=1,MAX(0,(Slot19_Cost-GV96*(1+Slot19_Rate)^(Slot19_Age-D96))/NS96),0)</f>
        <v>0</v>
      </c>
      <c r="NY96" s="1" t="n">
        <f aca="false">IF(AND(HT96=1,GU96=1),MIN(NR96,NW96),0)</f>
        <v>0</v>
      </c>
      <c r="NZ96" s="1" t="n">
        <f aca="false">NR96-NY96</f>
        <v>0</v>
      </c>
      <c r="OA96" s="1" t="n">
        <f aca="false">IF(HE96=1,IF(ABS((1+AS_Wage)/(1+Slot20_Rate)-1)&lt;0.000000000001,(Slot20_Age-D96)*(1+Slot20_Rate)^(Slot20_Age-D96),(1+Slot20_Rate)^(Slot20_Age-D96)*(1-((1+AS_Wage)/(1+Slot20_Rate))^(Slot20_Age-D96))/(1-(1+AS_Wage)/(1+Slot20_Rate))),1)</f>
        <v>1</v>
      </c>
      <c r="OB96" s="1" t="n">
        <f aca="false">IF(AND(HT96=1,ID96&gt;0,Slot20_IsWG=1,HE96=1),MAX(0,(Slot20_Cost-HF96*(1+Slot20_Rate)^(Slot20_Age-D96))/OA96),0)</f>
        <v>0</v>
      </c>
      <c r="OC96" s="1" t="n">
        <f aca="false">IF(AND(HT96=1,ID96&gt;0,Slot20_IsWG=1,HE96=1),MIN(ID96,OB96),0)</f>
        <v>0</v>
      </c>
      <c r="OD96" s="1" t="n">
        <f aca="false">HF96+OC96</f>
        <v>0</v>
      </c>
      <c r="OE96" s="1" t="n">
        <f aca="false">IF(HE96=1,MAX(0,(Slot20_Cost-OD96*(1+Slot20_Rate)^(Slot20_Age-D96))/OA96),0)</f>
        <v>0</v>
      </c>
      <c r="OF96" s="1" t="n">
        <f aca="false">IF(HE96=1,MAX(0,(Slot20_Cost-HF96*(1+Slot20_Rate)^(Slot20_Age-D96))/OA96),0)</f>
        <v>0</v>
      </c>
      <c r="OG96" s="1" t="n">
        <f aca="false">IF(AND(HT96=1,HE96=1),MIN(NZ96,OE96),0)</f>
        <v>0</v>
      </c>
      <c r="OH96" s="1" t="n">
        <f aca="false">NZ96-OG96</f>
        <v>0</v>
      </c>
      <c r="OI96" s="1" t="n">
        <f aca="false">ID96-(IG96+IO96+IW96+JE96+JM96+JU96+KC96+KK96+KS96+LA96+LI96+LQ96+LY96+MG96+MO96+MW96+NE96+NM96+NU96+OC96)</f>
        <v>0</v>
      </c>
      <c r="OJ96" s="1" t="n">
        <f aca="false">IF(HT96=1,HR96-IC96-ID96,0)</f>
        <v>74094.258559528</v>
      </c>
      <c r="OK96" s="1" t="n">
        <f aca="false">IF(HT96=0,-HR96,0)</f>
        <v>0</v>
      </c>
      <c r="OL96" s="1" t="n">
        <f aca="false">MIN(OK96,HJ96)</f>
        <v>0</v>
      </c>
      <c r="OM96" s="1" t="n">
        <f aca="false">OK96-OL96</f>
        <v>0</v>
      </c>
      <c r="ON96" s="1" t="n">
        <f aca="false">MIN(OM96,HK96)</f>
        <v>0</v>
      </c>
      <c r="OO96" s="1" t="n">
        <f aca="false">OM96-ON96</f>
        <v>0</v>
      </c>
      <c r="OP96" s="1" t="n">
        <f aca="false">IF(AND(HT96=0,HE96=1,OO96&gt;0),MIN(OO96,HF96),0)</f>
        <v>0</v>
      </c>
      <c r="OQ96" s="1" t="n">
        <f aca="false">OO96-OP96</f>
        <v>0</v>
      </c>
      <c r="OR96" s="1" t="n">
        <f aca="false">IF(AND(HT96=0,GU96=1,OQ96&gt;0),MIN(OQ96,GV96),0)</f>
        <v>0</v>
      </c>
      <c r="OS96" s="1" t="n">
        <f aca="false">OQ96-OR96</f>
        <v>0</v>
      </c>
      <c r="OT96" s="1" t="n">
        <f aca="false">IF(AND(HT96=0,GK96=1,OS96&gt;0),MIN(OS96,GL96),0)</f>
        <v>0</v>
      </c>
      <c r="OU96" s="1" t="n">
        <f aca="false">OS96-OT96</f>
        <v>0</v>
      </c>
      <c r="OV96" s="1" t="n">
        <f aca="false">IF(AND(HT96=0,GA96=1,OU96&gt;0),MIN(OU96,GB96),0)</f>
        <v>0</v>
      </c>
      <c r="OW96" s="1" t="n">
        <f aca="false">OU96-OV96</f>
        <v>0</v>
      </c>
      <c r="OX96" s="1" t="n">
        <f aca="false">IF(AND(HT96=0,FQ96=1,OW96&gt;0),MIN(OW96,FR96),0)</f>
        <v>0</v>
      </c>
      <c r="OY96" s="1" t="n">
        <f aca="false">OW96-OX96</f>
        <v>0</v>
      </c>
      <c r="OZ96" s="1" t="n">
        <f aca="false">IF(AND(HT96=0,FG96=1,OY96&gt;0),MIN(OY96,FH96),0)</f>
        <v>0</v>
      </c>
      <c r="PA96" s="1" t="n">
        <f aca="false">OY96-OZ96</f>
        <v>0</v>
      </c>
      <c r="PB96" s="1" t="n">
        <f aca="false">IF(AND(HT96=0,EW96=1,PA96&gt;0),MIN(PA96,EX96),0)</f>
        <v>0</v>
      </c>
      <c r="PC96" s="1" t="n">
        <f aca="false">PA96-PB96</f>
        <v>0</v>
      </c>
      <c r="PD96" s="1" t="n">
        <f aca="false">IF(AND(HT96=0,EM96=1,PC96&gt;0),MIN(PC96,EN96),0)</f>
        <v>0</v>
      </c>
      <c r="PE96" s="1" t="n">
        <f aca="false">PC96-PD96</f>
        <v>0</v>
      </c>
      <c r="PF96" s="1" t="n">
        <f aca="false">IF(AND(HT96=0,EC96=1,PE96&gt;0),MIN(PE96,ED96),0)</f>
        <v>0</v>
      </c>
      <c r="PG96" s="1" t="n">
        <f aca="false">PE96-PF96</f>
        <v>0</v>
      </c>
      <c r="PH96" s="1" t="n">
        <f aca="false">IF(AND(HT96=0,DS96=1,PG96&gt;0),MIN(PG96,DT96),0)</f>
        <v>0</v>
      </c>
      <c r="PI96" s="1" t="n">
        <f aca="false">PG96-PH96</f>
        <v>0</v>
      </c>
      <c r="PJ96" s="1" t="n">
        <f aca="false">IF(AND(HT96=0,DI96=1,PI96&gt;0),MIN(PI96,DJ96),0)</f>
        <v>0</v>
      </c>
      <c r="PK96" s="1" t="n">
        <f aca="false">PI96-PJ96</f>
        <v>0</v>
      </c>
      <c r="PL96" s="1" t="n">
        <f aca="false">IF(AND(HT96=0,CY96=1,PK96&gt;0),MIN(PK96,CZ96),0)</f>
        <v>0</v>
      </c>
      <c r="PM96" s="1" t="n">
        <f aca="false">PK96-PL96</f>
        <v>0</v>
      </c>
      <c r="PN96" s="1" t="n">
        <f aca="false">IF(AND(HT96=0,CO96=1,PM96&gt;0),MIN(PM96,CP96),0)</f>
        <v>0</v>
      </c>
      <c r="PO96" s="1" t="n">
        <f aca="false">PM96-PN96</f>
        <v>0</v>
      </c>
      <c r="PP96" s="1" t="n">
        <f aca="false">IF(AND(HT96=0,CE96=1,PO96&gt;0),MIN(PO96,CF96),0)</f>
        <v>0</v>
      </c>
      <c r="PQ96" s="1" t="n">
        <f aca="false">PO96-PP96</f>
        <v>0</v>
      </c>
      <c r="PR96" s="1" t="n">
        <f aca="false">IF(AND(HT96=0,BU96=1,PQ96&gt;0),MIN(PQ96,BV96),0)</f>
        <v>0</v>
      </c>
      <c r="PS96" s="1" t="n">
        <f aca="false">PQ96-PR96</f>
        <v>0</v>
      </c>
      <c r="PT96" s="1" t="n">
        <f aca="false">IF(AND(HT96=0,BK96=1,PS96&gt;0),MIN(PS96,BL96),0)</f>
        <v>0</v>
      </c>
      <c r="PU96" s="1" t="n">
        <f aca="false">PS96-PT96</f>
        <v>0</v>
      </c>
      <c r="PV96" s="1" t="n">
        <f aca="false">IF(AND(HT96=0,BA96=1,PU96&gt;0),MIN(PU96,BB96),0)</f>
        <v>0</v>
      </c>
      <c r="PW96" s="1" t="n">
        <f aca="false">PU96-PV96</f>
        <v>0</v>
      </c>
      <c r="PX96" s="1" t="n">
        <f aca="false">IF(AND(HT96=0,AQ96=1,PW96&gt;0),MIN(PW96,AR96),0)</f>
        <v>0</v>
      </c>
      <c r="PY96" s="1" t="n">
        <f aca="false">PW96-PX96</f>
        <v>0</v>
      </c>
      <c r="PZ96" s="1" t="n">
        <f aca="false">IF(AND(HT96=0,AG96=1,PY96&gt;0),MIN(PY96,AH96),0)</f>
        <v>0</v>
      </c>
      <c r="QA96" s="1" t="n">
        <f aca="false">PY96-PZ96</f>
        <v>0</v>
      </c>
      <c r="QB96" s="1" t="n">
        <f aca="false">IF(AND(HT96=0,V96=1,QA96&gt;0),MIN(QA96,W96),0)</f>
        <v>0</v>
      </c>
      <c r="QC96" s="1" t="n">
        <f aca="false">QA96-QB96</f>
        <v>0</v>
      </c>
      <c r="QD96" s="1" t="n">
        <f aca="false">IF(HT96=0,QC96,0)</f>
        <v>0</v>
      </c>
      <c r="QE96" s="1" t="n">
        <f aca="false">OL96+ON96+QB96+PZ96+PX96+PV96+PT96+PR96+PP96+PN96+PL96+PJ96+PH96+PF96+PD96+PB96+OZ96+OX96+OV96+OT96+OR96+OP96</f>
        <v>0</v>
      </c>
      <c r="QF96" s="1" t="n">
        <f aca="false">IF(HT96=1,HJ96+OI96+OH96+IF(F96=1,0,OJ96),HJ96-OL96)</f>
        <v>1600240.01633593</v>
      </c>
      <c r="QG96" s="1" t="n">
        <f aca="false">HK96-ON96</f>
        <v>0</v>
      </c>
      <c r="QH96" s="1" t="n">
        <f aca="false">IF(HT96=1,IF(F96=1,IC96+ID96,HR96),0)</f>
        <v>74094.258559528</v>
      </c>
      <c r="QI96" s="1" t="n">
        <f aca="false">IF(HT96=1,IF(F96=1,HR96-IC96-ID96,0),0)</f>
        <v>0</v>
      </c>
      <c r="QJ96" s="1" t="n">
        <f aca="false">QF96*(1+GR)</f>
        <v>1626483.95260384</v>
      </c>
      <c r="QK96" s="1" t="n">
        <f aca="false">QG96*(1+AS_Cash)</f>
        <v>0</v>
      </c>
      <c r="QL96" s="1" t="n">
        <f aca="false">IF(V96=1,IF(HT96=1,IH96+IK96,W96-QB96)*(1+Slot1_Rate),0)</f>
        <v>0</v>
      </c>
      <c r="QM96" s="1" t="n">
        <f aca="false">IF(AND(HT96=1,V96=1),(IG96+IK96)/E96,0)</f>
        <v>0</v>
      </c>
      <c r="QN96" s="1" t="n">
        <f aca="false">IF(B96=0,IG96+IK96,0)</f>
        <v>0</v>
      </c>
      <c r="QO96" s="1" t="n">
        <f aca="false">IF(B96=0,IF(HT96=1,II96,IJ96),0)</f>
        <v>0</v>
      </c>
      <c r="QP96" s="1" t="n">
        <f aca="false">IF(AG96=1,IF(HT96=1,IP96+IS96,AH96-PZ96)*(1+Slot2_Rate),0)</f>
        <v>0</v>
      </c>
      <c r="QQ96" s="1" t="n">
        <f aca="false">IF(AND(HT96=1,AG96=1),(IO96+IS96)/E96,0)</f>
        <v>0</v>
      </c>
      <c r="QR96" s="1" t="n">
        <f aca="false">IF(B96=0,IO96+IS96,0)</f>
        <v>0</v>
      </c>
      <c r="QS96" s="1" t="n">
        <f aca="false">IF(B96=0,IF(HT96=1,IQ96,IR96),0)</f>
        <v>0</v>
      </c>
      <c r="QT96" s="1" t="n">
        <f aca="false">IF(AQ96=1,IF(HT96=1,IX96+JA96,AR96-PX96)*(1+Slot3_Rate),0)</f>
        <v>0</v>
      </c>
      <c r="QU96" s="1" t="n">
        <f aca="false">IF(AND(HT96=1,AQ96=1),(IW96+JA96)/E96,0)</f>
        <v>0</v>
      </c>
      <c r="QV96" s="1" t="n">
        <f aca="false">IF(B96=0,IW96+JA96,0)</f>
        <v>0</v>
      </c>
      <c r="QW96" s="1" t="n">
        <f aca="false">IF(B96=0,IF(HT96=1,IY96,IZ96),0)</f>
        <v>0</v>
      </c>
      <c r="QX96" s="1" t="n">
        <f aca="false">IF(BA96=1,IF(HT96=1,JF96+JI96,BB96-PV96)*(1+Slot4_Rate),0)</f>
        <v>0</v>
      </c>
      <c r="QY96" s="1" t="n">
        <f aca="false">IF(AND(HT96=1,BA96=1),(JE96+JI96)/E96,0)</f>
        <v>0</v>
      </c>
      <c r="QZ96" s="1" t="n">
        <f aca="false">IF(B96=0,JE96+JI96,0)</f>
        <v>0</v>
      </c>
      <c r="RA96" s="1" t="n">
        <f aca="false">IF(B96=0,IF(HT96=1,JG96,JH96),0)</f>
        <v>0</v>
      </c>
      <c r="RB96" s="1" t="n">
        <f aca="false">IF(BK96=1,IF(HT96=1,JN96+JQ96,BL96-PT96)*(1+Slot5_Rate),0)</f>
        <v>0</v>
      </c>
      <c r="RC96" s="1" t="n">
        <f aca="false">IF(AND(HT96=1,BK96=1),(JM96+JQ96)/E96,0)</f>
        <v>0</v>
      </c>
      <c r="RD96" s="1" t="n">
        <f aca="false">IF(B96=0,JM96+JQ96,0)</f>
        <v>0</v>
      </c>
      <c r="RE96" s="1" t="n">
        <f aca="false">IF(B96=0,IF(HT96=1,JO96,JP96),0)</f>
        <v>0</v>
      </c>
      <c r="RF96" s="1" t="n">
        <f aca="false">IF(BU96=1,IF(HT96=1,JV96+JY96,BV96-PR96)*(1+Slot6_Rate),0)</f>
        <v>0</v>
      </c>
      <c r="RG96" s="1" t="n">
        <f aca="false">IF(AND(HT96=1,BU96=1),(JU96+JY96)/E96,0)</f>
        <v>0</v>
      </c>
      <c r="RH96" s="1" t="n">
        <f aca="false">IF(B96=0,JU96+JY96,0)</f>
        <v>0</v>
      </c>
      <c r="RI96" s="1" t="n">
        <f aca="false">IF(B96=0,IF(HT96=1,JW96,JX96),0)</f>
        <v>0</v>
      </c>
      <c r="RJ96" s="1" t="n">
        <f aca="false">IF(CE96=1,IF(HT96=1,KD96+KG96,CF96-PP96)*(1+Slot7_Rate),0)</f>
        <v>0</v>
      </c>
      <c r="RK96" s="1" t="n">
        <f aca="false">IF(AND(HT96=1,CE96=1),(KC96+KG96)/E96,0)</f>
        <v>0</v>
      </c>
      <c r="RL96" s="1" t="n">
        <f aca="false">IF(B96=0,KC96+KG96,0)</f>
        <v>0</v>
      </c>
      <c r="RM96" s="1" t="n">
        <f aca="false">IF(B96=0,IF(HT96=1,KE96,KF96),0)</f>
        <v>0</v>
      </c>
      <c r="RN96" s="1" t="n">
        <f aca="false">IF(CO96=1,IF(HT96=1,KL96+KO96,CP96-PN96)*(1+Slot8_Rate),0)</f>
        <v>0</v>
      </c>
      <c r="RO96" s="1" t="n">
        <f aca="false">IF(AND(HT96=1,CO96=1),(KK96+KO96)/E96,0)</f>
        <v>0</v>
      </c>
      <c r="RP96" s="1" t="n">
        <f aca="false">IF(B96=0,KK96+KO96,0)</f>
        <v>0</v>
      </c>
      <c r="RQ96" s="1" t="n">
        <f aca="false">IF(B96=0,IF(HT96=1,KM96,KN96),0)</f>
        <v>0</v>
      </c>
      <c r="RR96" s="1" t="n">
        <f aca="false">IF(CY96=1,IF(HT96=1,KT96+KW96,CZ96-PL96)*(1+Slot9_Rate),0)</f>
        <v>0</v>
      </c>
      <c r="RS96" s="1" t="n">
        <f aca="false">IF(AND(HT96=1,CY96=1),(KS96+KW96)/E96,0)</f>
        <v>0</v>
      </c>
      <c r="RT96" s="1" t="n">
        <f aca="false">IF(B96=0,KS96+KW96,0)</f>
        <v>0</v>
      </c>
      <c r="RU96" s="1" t="n">
        <f aca="false">IF(B96=0,IF(HT96=1,KU96,KV96),0)</f>
        <v>0</v>
      </c>
      <c r="RV96" s="1" t="n">
        <f aca="false">IF(DI96=1,IF(HT96=1,LB96+LE96,DJ96-PJ96)*(1+Slot10_Rate),0)</f>
        <v>0</v>
      </c>
      <c r="RW96" s="1" t="n">
        <f aca="false">IF(AND(HT96=1,DI96=1),(LA96+LE96)/E96,0)</f>
        <v>0</v>
      </c>
      <c r="RX96" s="1" t="n">
        <f aca="false">IF(B96=0,LA96+LE96,0)</f>
        <v>0</v>
      </c>
      <c r="RY96" s="1" t="n">
        <f aca="false">IF(B96=0,IF(HT96=1,LC96,LD96),0)</f>
        <v>0</v>
      </c>
      <c r="RZ96" s="1" t="n">
        <f aca="false">IF(DS96=1,IF(HT96=1,LJ96+LM96,DT96-PH96)*(1+Slot11_Rate),0)</f>
        <v>0</v>
      </c>
      <c r="SA96" s="1" t="n">
        <f aca="false">IF(AND(HT96=1,DS96=1),(LI96+LM96)/E96,0)</f>
        <v>0</v>
      </c>
      <c r="SB96" s="1" t="n">
        <f aca="false">IF(B96=0,LI96+LM96,0)</f>
        <v>0</v>
      </c>
      <c r="SC96" s="1" t="n">
        <f aca="false">IF(B96=0,IF(HT96=1,LK96,LL96),0)</f>
        <v>0</v>
      </c>
      <c r="SD96" s="1" t="n">
        <f aca="false">IF(EC96=1,IF(HT96=1,LR96+LU96,ED96-PF96)*(1+Slot12_Rate),0)</f>
        <v>0</v>
      </c>
      <c r="SE96" s="1" t="n">
        <f aca="false">IF(AND(HT96=1,EC96=1),(LQ96+LU96)/E96,0)</f>
        <v>0</v>
      </c>
      <c r="SF96" s="1" t="n">
        <f aca="false">IF(B96=0,LQ96+LU96,0)</f>
        <v>0</v>
      </c>
      <c r="SG96" s="1" t="n">
        <f aca="false">IF(B96=0,IF(HT96=1,LS96,LT96),0)</f>
        <v>0</v>
      </c>
      <c r="SH96" s="1" t="n">
        <f aca="false">IF(EM96=1,IF(HT96=1,LZ96+MC96,EN96-PD96)*(1+Slot13_Rate),0)</f>
        <v>0</v>
      </c>
      <c r="SI96" s="1" t="n">
        <f aca="false">IF(AND(HT96=1,EM96=1),(LY96+MC96)/E96,0)</f>
        <v>0</v>
      </c>
      <c r="SJ96" s="1" t="n">
        <f aca="false">IF(B96=0,LY96+MC96,0)</f>
        <v>0</v>
      </c>
      <c r="SK96" s="1" t="n">
        <f aca="false">IF(B96=0,IF(HT96=1,MA96,MB96),0)</f>
        <v>0</v>
      </c>
      <c r="SL96" s="1" t="n">
        <f aca="false">IF(EW96=1,IF(HT96=1,MH96+MK96,EX96-PB96)*(1+Slot14_Rate),0)</f>
        <v>0</v>
      </c>
      <c r="SM96" s="1" t="n">
        <f aca="false">IF(AND(HT96=1,EW96=1),(MG96+MK96)/E96,0)</f>
        <v>0</v>
      </c>
      <c r="SN96" s="1" t="n">
        <f aca="false">IF(B96=0,MG96+MK96,0)</f>
        <v>0</v>
      </c>
      <c r="SO96" s="1" t="n">
        <f aca="false">IF(B96=0,IF(HT96=1,MI96,MJ96),0)</f>
        <v>0</v>
      </c>
      <c r="SP96" s="1" t="n">
        <f aca="false">IF(FG96=1,IF(HT96=1,MP96+MS96,FH96-OZ96)*(1+Slot15_Rate),0)</f>
        <v>0</v>
      </c>
      <c r="SQ96" s="1" t="n">
        <f aca="false">IF(AND(HT96=1,FG96=1),(MO96+MS96)/E96,0)</f>
        <v>0</v>
      </c>
      <c r="SR96" s="1" t="n">
        <f aca="false">IF(B96=0,MO96+MS96,0)</f>
        <v>0</v>
      </c>
      <c r="SS96" s="1" t="n">
        <f aca="false">IF(B96=0,IF(HT96=1,MQ96,MR96),0)</f>
        <v>0</v>
      </c>
      <c r="ST96" s="1" t="n">
        <f aca="false">IF(FQ96=1,IF(HT96=1,MX96+NA96,FR96-OX96)*(1+Slot16_Rate),0)</f>
        <v>0</v>
      </c>
      <c r="SU96" s="1" t="n">
        <f aca="false">IF(AND(HT96=1,FQ96=1),(MW96+NA96)/E96,0)</f>
        <v>0</v>
      </c>
      <c r="SV96" s="1" t="n">
        <f aca="false">IF(B96=0,MW96+NA96,0)</f>
        <v>0</v>
      </c>
      <c r="SW96" s="1" t="n">
        <f aca="false">IF(B96=0,IF(HT96=1,MY96,MZ96),0)</f>
        <v>0</v>
      </c>
      <c r="SX96" s="1" t="n">
        <f aca="false">IF(GA96=1,IF(HT96=1,NF96+NI96,GB96-OV96)*(1+Slot17_Rate),0)</f>
        <v>0</v>
      </c>
      <c r="SY96" s="1" t="n">
        <f aca="false">IF(AND(HT96=1,GA96=1),(NE96+NI96)/E96,0)</f>
        <v>0</v>
      </c>
      <c r="SZ96" s="1" t="n">
        <f aca="false">IF(B96=0,NE96+NI96,0)</f>
        <v>0</v>
      </c>
      <c r="TA96" s="1" t="n">
        <f aca="false">IF(B96=0,IF(HT96=1,NG96,NH96),0)</f>
        <v>0</v>
      </c>
      <c r="TB96" s="1" t="n">
        <f aca="false">IF(GK96=1,IF(HT96=1,NN96+NQ96,GL96-OT96)*(1+Slot18_Rate),0)</f>
        <v>0</v>
      </c>
      <c r="TC96" s="1" t="n">
        <f aca="false">IF(AND(HT96=1,GK96=1),(NM96+NQ96)/E96,0)</f>
        <v>0</v>
      </c>
      <c r="TD96" s="1" t="n">
        <f aca="false">IF(B96=0,NM96+NQ96,0)</f>
        <v>0</v>
      </c>
      <c r="TE96" s="1" t="n">
        <f aca="false">IF(B96=0,IF(HT96=1,NO96,NP96),0)</f>
        <v>0</v>
      </c>
      <c r="TF96" s="1" t="n">
        <f aca="false">IF(GU96=1,IF(HT96=1,NV96+NY96,GV96-OR96)*(1+Slot19_Rate),0)</f>
        <v>0</v>
      </c>
      <c r="TG96" s="1" t="n">
        <f aca="false">IF(AND(HT96=1,GU96=1),(NU96+NY96)/E96,0)</f>
        <v>0</v>
      </c>
      <c r="TH96" s="1" t="n">
        <f aca="false">IF(B96=0,NU96+NY96,0)</f>
        <v>0</v>
      </c>
      <c r="TI96" s="1" t="n">
        <f aca="false">IF(B96=0,IF(HT96=1,NW96,NX96),0)</f>
        <v>0</v>
      </c>
      <c r="TJ96" s="1" t="n">
        <f aca="false">IF(HE96=1,IF(HT96=1,OD96+OG96,HF96-OP96)*(1+Slot20_Rate),0)</f>
        <v>0</v>
      </c>
      <c r="TK96" s="1" t="n">
        <f aca="false">IF(AND(HT96=1,HE96=1),(OC96+OG96)/E96,0)</f>
        <v>0</v>
      </c>
      <c r="TL96" s="1" t="n">
        <f aca="false">IF(B96=0,OC96+OG96,0)</f>
        <v>0</v>
      </c>
      <c r="TM96" s="1" t="n">
        <f aca="false">IF(B96=0,IF(HT96=1,OE96,OF96),0)</f>
        <v>0</v>
      </c>
      <c r="TN96" s="1" t="n">
        <f aca="false">QJ96+QK96+QL96+QP96+QT96+QX96+RB96+RF96+RJ96+RN96+RR96+RV96+RZ96+SD96+SH96+SL96+SP96+ST96+SX96+TB96+TF96+TJ96</f>
        <v>1626483.95260384</v>
      </c>
      <c r="TO96" s="1" t="n">
        <f aca="false">QD96+HO96</f>
        <v>0</v>
      </c>
      <c r="TP96" s="1" t="n">
        <f aca="false">H96+R96</f>
        <v>0</v>
      </c>
      <c r="TQ96" s="1" t="n">
        <f aca="false">1-F96</f>
        <v>1</v>
      </c>
      <c r="TR96" s="1" t="n">
        <f aca="false">IF(AND(RG_Exists=1,F96=0,C96=1),H96,0)</f>
        <v>0</v>
      </c>
      <c r="TS96" s="1" t="n">
        <f aca="false">IF(AND(RG_Exists=1,F96=0,C96=1),H96-MIN(QD96,H96),0)</f>
        <v>0</v>
      </c>
      <c r="TT96" s="1" t="n">
        <f aca="false">'Plan pay &amp; tax'!AD322</f>
        <v>0</v>
      </c>
      <c r="TU96" s="1" t="n">
        <f aca="false">IF(AND(C96=1,QD96&gt;MAX(PR_Short1,TP96*PR_Short2)),1,0)</f>
        <v>0</v>
      </c>
      <c r="TV96" s="1" t="n">
        <f aca="false">MIN(G96,H96+R96)</f>
        <v>0</v>
      </c>
      <c r="TW96" s="1" t="n">
        <f aca="false">QE96+MAX(0,HP96-HO96)</f>
        <v>0</v>
      </c>
      <c r="TX96" s="1" t="n">
        <f aca="false">QD96+HO96</f>
        <v>0</v>
      </c>
      <c r="TY96" s="1" t="n">
        <f aca="false">IF(AND(C96=1,TX96&gt;PR_MinShort),1,0)</f>
        <v>0</v>
      </c>
      <c r="TZ96" s="1" t="n">
        <f aca="false">IF(AND(C96=1,TY96=0,TW96&gt;PR_MinShort),1,0)</f>
        <v>0</v>
      </c>
      <c r="UA96" s="1" t="n">
        <f aca="false">IF(AND(C96=1,QD96&gt;PR_MinShort),1,0)</f>
        <v>0</v>
      </c>
      <c r="UB96" s="1" t="n">
        <f aca="false">IF(AND(C96=1,QE96&gt;1,UI96=0),1,0)</f>
        <v>0</v>
      </c>
      <c r="UC96" s="1" t="str">
        <f aca="false">IF(C96=0,"",IF(UI96=1,"Gap to plan for: short "&amp;"€"&amp;TEXT(ROUND(TO96,0),"#,##0"),IF(QE96&gt;1,"Using savings","Comfortable")))</f>
        <v>Comfortable</v>
      </c>
      <c r="UD96" s="1" t="n">
        <f aca="false">IF(AND(INT(D96/10)*10=90,B96&gt;0),80,INT(D96/10)*10)</f>
        <v>80</v>
      </c>
      <c r="UE96" s="1" t="n">
        <f aca="false">IF(B96=0,1,IF(UD96&lt;&gt;UD95,UE95+1,UE95))</f>
        <v>9</v>
      </c>
      <c r="UF96" s="1" t="n">
        <f aca="false">IF(AND(C96=1,F96=1,QD96&gt;MAX(PR_Short1,TP96*PR_Short2)),1,0)</f>
        <v>0</v>
      </c>
      <c r="UG96" s="1" t="n">
        <f aca="false">TQ96*TU96</f>
        <v>0</v>
      </c>
      <c r="UH96" s="1" t="n">
        <f aca="false">IF(AND(U96=1,Slot1_PctLow=1),1,0)+IF(AND(AF96=1,Slot2_PctLow=1),1,0)+IF(AND(AP96=1,Slot3_PctLow=1),1,0)+IF(AND(AZ96=1,Slot4_PctLow=1),1,0)+IF(AND(BJ96=1,Slot5_PctLow=1),1,0)+IF(AND(BT96=1,Slot6_PctLow=1),1,0)+IF(AND(CD96=1,Slot7_PctLow=1),1,0)+IF(AND(CN96=1,Slot8_PctLow=1),1,0)+IF(AND(CX96=1,Slot9_PctLow=1),1,0)+IF(AND(DH96=1,Slot10_PctLow=1),1,0)+IF(AND(DR96=1,Slot11_PctLow=1),1,0)+IF(AND(EB96=1,Slot12_PctLow=1),1,0)+IF(AND(EL96=1,Slot13_PctLow=1),1,0)+IF(AND(EV96=1,Slot14_PctLow=1),1,0)+IF(AND(FF96=1,Slot15_PctLow=1),1,0)+IF(AND(FP96=1,Slot16_PctLow=1),1,0)+IF(AND(FZ96=1,Slot17_PctLow=1),1,0)+IF(AND(GJ96=1,Slot18_PctLow=1),1,0)+IF(AND(GT96=1,Slot19_PctLow=1),1,0)+IF(AND(HD96=1,Slot20_PctLow=1),1,0)</f>
        <v>0</v>
      </c>
      <c r="UI96" s="1" t="n">
        <f aca="false">IF(C96=1,IF(OR(TU96=1,UH96&gt;0),1,0),0)</f>
        <v>0</v>
      </c>
    </row>
    <row r="97" customFormat="false" ht="15" hidden="false" customHeight="true" outlineLevel="0" collapsed="false">
      <c r="B97" s="1" t="n">
        <v>89</v>
      </c>
      <c r="C97" s="1" t="n">
        <f aca="false">IF(B97&lt;=F_N,1,0)</f>
        <v>1</v>
      </c>
      <c r="D97" s="1" t="n">
        <f aca="false">'Plan pay &amp; tax'!C323</f>
        <v>89</v>
      </c>
      <c r="E97" s="111" t="n">
        <f aca="false">'Plan pay &amp; tax'!E323</f>
        <v>5.82660110422104</v>
      </c>
      <c r="F97" s="1" t="n">
        <f aca="false">'Plan pay &amp; tax'!G323</f>
        <v>0</v>
      </c>
      <c r="G97" s="1" t="n">
        <f aca="false">'Plan pay &amp; tax'!BT323-'Plan pay &amp; tax'!BS323-'Plan pay &amp; tax'!R323</f>
        <v>75576.1437307186</v>
      </c>
      <c r="H97" s="1" t="n">
        <f aca="false">IF(F97=1,F_CostsM*12,IF(RG_Exists=1,RG_Amount,F_CostsM*12*AS_RetireSpend))*E97+F_OneOffY*E97</f>
        <v>0</v>
      </c>
      <c r="I97" s="1" t="n">
        <f aca="false">HQ96</f>
        <v>0</v>
      </c>
      <c r="J97" s="1" t="n">
        <f aca="false">IF(I97&gt;1,'Plan debt months'!AC97,0)</f>
        <v>0</v>
      </c>
      <c r="K97" s="1" t="n">
        <f aca="false">IF(I97&gt;1,'Plan debt months'!AB97,I97)</f>
        <v>0</v>
      </c>
      <c r="L97" s="1" t="n">
        <f aca="false">N96</f>
        <v>0</v>
      </c>
      <c r="M97" s="1" t="n">
        <f aca="false">IF(L97&gt;1,'Plan debt months'!BD97,0)</f>
        <v>0</v>
      </c>
      <c r="N97" s="1" t="n">
        <f aca="false">IF(L97&gt;1,'Plan debt months'!BC97,L97)</f>
        <v>0</v>
      </c>
      <c r="O97" s="1" t="n">
        <f aca="false">Q96</f>
        <v>0</v>
      </c>
      <c r="P97" s="1" t="n">
        <f aca="false">IF(O97&gt;1,'Plan debt months'!CE97,0)</f>
        <v>0</v>
      </c>
      <c r="Q97" s="1" t="n">
        <f aca="false">IF(O97&gt;1,'Plan debt months'!CD97,O97)</f>
        <v>0</v>
      </c>
      <c r="R97" s="1" t="n">
        <f aca="false">J97+M97+P97</f>
        <v>0</v>
      </c>
      <c r="S97" s="1" t="n">
        <f aca="false">QJ96+'Plan pay &amp; tax'!Y323</f>
        <v>1626483.95260384</v>
      </c>
      <c r="T97" s="1" t="n">
        <f aca="false">QJ96</f>
        <v>1626483.95260384</v>
      </c>
      <c r="U97" s="1" t="n">
        <f aca="false">IF(AND(Slot1_On=1,D97=Slot1_Age),1,0)</f>
        <v>0</v>
      </c>
      <c r="V97" s="1" t="n">
        <f aca="false">IF(AND(Slot1_On=1,Slot1_Age&gt;D97),1,0)</f>
        <v>0</v>
      </c>
      <c r="W97" s="1" t="n">
        <f aca="false">QL96</f>
        <v>0</v>
      </c>
      <c r="X97" s="1" t="n">
        <f aca="false">U97*MIN(Slot1_Cost,W97)</f>
        <v>0</v>
      </c>
      <c r="Y97" s="1" t="n">
        <f aca="false">U97*Slot1_SpendLike*MIN(Slot1_Cost-X97,S97)</f>
        <v>0</v>
      </c>
      <c r="Z97" s="1" t="n">
        <f aca="false">X97+Y97</f>
        <v>0</v>
      </c>
      <c r="AA97" s="1" t="n">
        <f aca="false">S97-Y97+U97*IF(Slot1_SpendLike=1,W97-X97,IF(Slot1_PotFree=1,W97,0))</f>
        <v>1626483.95260384</v>
      </c>
      <c r="AB97" s="1" t="n">
        <f aca="false">AE97+U97*Slot1_BufPot*W97</f>
        <v>0</v>
      </c>
      <c r="AC97" s="1" t="n">
        <f aca="false">IF(AND(U97=1,Slot1_IsMfree=1),IF(Z97&gt;=Slot1_Cost-1,0,MAX(0,K97-Z97)),K97)</f>
        <v>0</v>
      </c>
      <c r="AD97" s="1" t="n">
        <f aca="false">U97*(Slot1_Cost-Z97)</f>
        <v>0</v>
      </c>
      <c r="AE97" s="1" t="n">
        <f aca="false">QK96</f>
        <v>0</v>
      </c>
      <c r="AF97" s="1" t="n">
        <f aca="false">IF(AND(Slot2_On=1,D97=Slot2_Age),1,0)</f>
        <v>0</v>
      </c>
      <c r="AG97" s="1" t="n">
        <f aca="false">IF(AND(Slot2_On=1,Slot2_Age&gt;D97),1,0)</f>
        <v>0</v>
      </c>
      <c r="AH97" s="1" t="n">
        <f aca="false">QP96</f>
        <v>0</v>
      </c>
      <c r="AI97" s="1" t="n">
        <f aca="false">AF97*MIN(Slot2_Cost,AH97)</f>
        <v>0</v>
      </c>
      <c r="AJ97" s="1" t="n">
        <f aca="false">AF97*Slot2_SpendLike*MIN(Slot2_Cost-AI97,AA97)</f>
        <v>0</v>
      </c>
      <c r="AK97" s="1" t="n">
        <f aca="false">AI97+AJ97</f>
        <v>0</v>
      </c>
      <c r="AL97" s="1" t="n">
        <f aca="false">AA97-AJ97+AF97*IF(Slot2_SpendLike=1,AH97-AI97,IF(Slot2_PotFree=1,AH97,0))</f>
        <v>1626483.95260384</v>
      </c>
      <c r="AM97" s="1" t="n">
        <f aca="false">AB97+AF97*Slot2_BufPot*AH97</f>
        <v>0</v>
      </c>
      <c r="AN97" s="1" t="n">
        <f aca="false">IF(AND(AF97=1,Slot2_IsMfree=1),IF(AK97&gt;=Slot2_Cost-1,0,MAX(0,AC97-AK97)),AC97)</f>
        <v>0</v>
      </c>
      <c r="AO97" s="1" t="n">
        <f aca="false">AF97*(Slot2_Cost-AK97)</f>
        <v>0</v>
      </c>
      <c r="AP97" s="1" t="n">
        <f aca="false">IF(AND(Slot3_On=1,D97=Slot3_Age),1,0)</f>
        <v>0</v>
      </c>
      <c r="AQ97" s="1" t="n">
        <f aca="false">IF(AND(Slot3_On=1,Slot3_Age&gt;D97),1,0)</f>
        <v>0</v>
      </c>
      <c r="AR97" s="1" t="n">
        <f aca="false">QT96</f>
        <v>0</v>
      </c>
      <c r="AS97" s="1" t="n">
        <f aca="false">AP97*MIN(Slot3_Cost,AR97)</f>
        <v>0</v>
      </c>
      <c r="AT97" s="1" t="n">
        <f aca="false">AP97*Slot3_SpendLike*MIN(Slot3_Cost-AS97,AL97)</f>
        <v>0</v>
      </c>
      <c r="AU97" s="1" t="n">
        <f aca="false">AS97+AT97</f>
        <v>0</v>
      </c>
      <c r="AV97" s="1" t="n">
        <f aca="false">AL97-AT97+AP97*IF(Slot3_SpendLike=1,AR97-AS97,IF(Slot3_PotFree=1,AR97,0))</f>
        <v>1626483.95260384</v>
      </c>
      <c r="AW97" s="1" t="n">
        <f aca="false">AM97+AP97*Slot3_BufPot*AR97</f>
        <v>0</v>
      </c>
      <c r="AX97" s="1" t="n">
        <f aca="false">IF(AND(AP97=1,Slot3_IsMfree=1),IF(AU97&gt;=Slot3_Cost-1,0,MAX(0,AN97-AU97)),AN97)</f>
        <v>0</v>
      </c>
      <c r="AY97" s="1" t="n">
        <f aca="false">AP97*(Slot3_Cost-AU97)</f>
        <v>0</v>
      </c>
      <c r="AZ97" s="1" t="n">
        <f aca="false">IF(AND(Slot4_On=1,D97=Slot4_Age),1,0)</f>
        <v>0</v>
      </c>
      <c r="BA97" s="1" t="n">
        <f aca="false">IF(AND(Slot4_On=1,Slot4_Age&gt;D97),1,0)</f>
        <v>0</v>
      </c>
      <c r="BB97" s="1" t="n">
        <f aca="false">QX96</f>
        <v>0</v>
      </c>
      <c r="BC97" s="1" t="n">
        <f aca="false">AZ97*MIN(Slot4_Cost,BB97)</f>
        <v>0</v>
      </c>
      <c r="BD97" s="1" t="n">
        <f aca="false">AZ97*Slot4_SpendLike*MIN(Slot4_Cost-BC97,AV97)</f>
        <v>0</v>
      </c>
      <c r="BE97" s="1" t="n">
        <f aca="false">BC97+BD97</f>
        <v>0</v>
      </c>
      <c r="BF97" s="1" t="n">
        <f aca="false">AV97-BD97+AZ97*IF(Slot4_SpendLike=1,BB97-BC97,IF(Slot4_PotFree=1,BB97,0))</f>
        <v>1626483.95260384</v>
      </c>
      <c r="BG97" s="1" t="n">
        <f aca="false">AW97+AZ97*Slot4_BufPot*BB97</f>
        <v>0</v>
      </c>
      <c r="BH97" s="1" t="n">
        <f aca="false">IF(AND(AZ97=1,Slot4_IsMfree=1),IF(BE97&gt;=Slot4_Cost-1,0,MAX(0,AX97-BE97)),AX97)</f>
        <v>0</v>
      </c>
      <c r="BI97" s="1" t="n">
        <f aca="false">AZ97*(Slot4_Cost-BE97)</f>
        <v>0</v>
      </c>
      <c r="BJ97" s="1" t="n">
        <f aca="false">IF(AND(Slot5_On=1,D97=Slot5_Age),1,0)</f>
        <v>0</v>
      </c>
      <c r="BK97" s="1" t="n">
        <f aca="false">IF(AND(Slot5_On=1,Slot5_Age&gt;D97),1,0)</f>
        <v>0</v>
      </c>
      <c r="BL97" s="1" t="n">
        <f aca="false">RB96</f>
        <v>0</v>
      </c>
      <c r="BM97" s="1" t="n">
        <f aca="false">BJ97*MIN(Slot5_Cost,BL97)</f>
        <v>0</v>
      </c>
      <c r="BN97" s="1" t="n">
        <f aca="false">BJ97*Slot5_SpendLike*MIN(Slot5_Cost-BM97,BF97)</f>
        <v>0</v>
      </c>
      <c r="BO97" s="1" t="n">
        <f aca="false">BM97+BN97</f>
        <v>0</v>
      </c>
      <c r="BP97" s="1" t="n">
        <f aca="false">BF97-BN97+BJ97*IF(Slot5_SpendLike=1,BL97-BM97,IF(Slot5_PotFree=1,BL97,0))</f>
        <v>1626483.95260384</v>
      </c>
      <c r="BQ97" s="1" t="n">
        <f aca="false">BG97+BJ97*Slot5_BufPot*BL97</f>
        <v>0</v>
      </c>
      <c r="BR97" s="1" t="n">
        <f aca="false">IF(AND(BJ97=1,Slot5_IsMfree=1),IF(BO97&gt;=Slot5_Cost-1,0,MAX(0,BH97-BO97)),BH97)</f>
        <v>0</v>
      </c>
      <c r="BS97" s="1" t="n">
        <f aca="false">BJ97*(Slot5_Cost-BO97)</f>
        <v>0</v>
      </c>
      <c r="BT97" s="1" t="n">
        <f aca="false">IF(AND(Slot6_On=1,D97=Slot6_Age),1,0)</f>
        <v>0</v>
      </c>
      <c r="BU97" s="1" t="n">
        <f aca="false">IF(AND(Slot6_On=1,Slot6_Age&gt;D97),1,0)</f>
        <v>0</v>
      </c>
      <c r="BV97" s="1" t="n">
        <f aca="false">RF96</f>
        <v>0</v>
      </c>
      <c r="BW97" s="1" t="n">
        <f aca="false">BT97*MIN(Slot6_Cost,BV97)</f>
        <v>0</v>
      </c>
      <c r="BX97" s="1" t="n">
        <f aca="false">BT97*Slot6_SpendLike*MIN(Slot6_Cost-BW97,BP97)</f>
        <v>0</v>
      </c>
      <c r="BY97" s="1" t="n">
        <f aca="false">BW97+BX97</f>
        <v>0</v>
      </c>
      <c r="BZ97" s="1" t="n">
        <f aca="false">BP97-BX97+BT97*IF(Slot6_SpendLike=1,BV97-BW97,IF(Slot6_PotFree=1,BV97,0))</f>
        <v>1626483.95260384</v>
      </c>
      <c r="CA97" s="1" t="n">
        <f aca="false">BQ97+BT97*Slot6_BufPot*BV97</f>
        <v>0</v>
      </c>
      <c r="CB97" s="1" t="n">
        <f aca="false">IF(AND(BT97=1,Slot6_IsMfree=1),IF(BY97&gt;=Slot6_Cost-1,0,MAX(0,BR97-BY97)),BR97)</f>
        <v>0</v>
      </c>
      <c r="CC97" s="1" t="n">
        <f aca="false">BT97*(Slot6_Cost-BY97)</f>
        <v>0</v>
      </c>
      <c r="CD97" s="1" t="n">
        <f aca="false">IF(AND(Slot7_On=1,D97=Slot7_Age),1,0)</f>
        <v>0</v>
      </c>
      <c r="CE97" s="1" t="n">
        <f aca="false">IF(AND(Slot7_On=1,Slot7_Age&gt;D97),1,0)</f>
        <v>0</v>
      </c>
      <c r="CF97" s="1" t="n">
        <f aca="false">RJ96</f>
        <v>0</v>
      </c>
      <c r="CG97" s="1" t="n">
        <f aca="false">CD97*MIN(Slot7_Cost,CF97)</f>
        <v>0</v>
      </c>
      <c r="CH97" s="1" t="n">
        <f aca="false">CD97*Slot7_SpendLike*MIN(Slot7_Cost-CG97,BZ97)</f>
        <v>0</v>
      </c>
      <c r="CI97" s="1" t="n">
        <f aca="false">CG97+CH97</f>
        <v>0</v>
      </c>
      <c r="CJ97" s="1" t="n">
        <f aca="false">BZ97-CH97+CD97*IF(Slot7_SpendLike=1,CF97-CG97,IF(Slot7_PotFree=1,CF97,0))</f>
        <v>1626483.95260384</v>
      </c>
      <c r="CK97" s="1" t="n">
        <f aca="false">CA97+CD97*Slot7_BufPot*CF97</f>
        <v>0</v>
      </c>
      <c r="CL97" s="1" t="n">
        <f aca="false">IF(AND(CD97=1,Slot7_IsMfree=1),IF(CI97&gt;=Slot7_Cost-1,0,MAX(0,CB97-CI97)),CB97)</f>
        <v>0</v>
      </c>
      <c r="CM97" s="1" t="n">
        <f aca="false">CD97*(Slot7_Cost-CI97)</f>
        <v>0</v>
      </c>
      <c r="CN97" s="1" t="n">
        <f aca="false">IF(AND(Slot8_On=1,D97=Slot8_Age),1,0)</f>
        <v>0</v>
      </c>
      <c r="CO97" s="1" t="n">
        <f aca="false">IF(AND(Slot8_On=1,Slot8_Age&gt;D97),1,0)</f>
        <v>0</v>
      </c>
      <c r="CP97" s="1" t="n">
        <f aca="false">RN96</f>
        <v>0</v>
      </c>
      <c r="CQ97" s="1" t="n">
        <f aca="false">CN97*MIN(Slot8_Cost,CP97)</f>
        <v>0</v>
      </c>
      <c r="CR97" s="1" t="n">
        <f aca="false">CN97*Slot8_SpendLike*MIN(Slot8_Cost-CQ97,CJ97)</f>
        <v>0</v>
      </c>
      <c r="CS97" s="1" t="n">
        <f aca="false">CQ97+CR97</f>
        <v>0</v>
      </c>
      <c r="CT97" s="1" t="n">
        <f aca="false">CJ97-CR97+CN97*IF(Slot8_SpendLike=1,CP97-CQ97,IF(Slot8_PotFree=1,CP97,0))</f>
        <v>1626483.95260384</v>
      </c>
      <c r="CU97" s="1" t="n">
        <f aca="false">CK97+CN97*Slot8_BufPot*CP97</f>
        <v>0</v>
      </c>
      <c r="CV97" s="1" t="n">
        <f aca="false">IF(AND(CN97=1,Slot8_IsMfree=1),IF(CS97&gt;=Slot8_Cost-1,0,MAX(0,CL97-CS97)),CL97)</f>
        <v>0</v>
      </c>
      <c r="CW97" s="1" t="n">
        <f aca="false">CN97*(Slot8_Cost-CS97)</f>
        <v>0</v>
      </c>
      <c r="CX97" s="1" t="n">
        <f aca="false">IF(AND(Slot9_On=1,D97=Slot9_Age),1,0)</f>
        <v>0</v>
      </c>
      <c r="CY97" s="1" t="n">
        <f aca="false">IF(AND(Slot9_On=1,Slot9_Age&gt;D97),1,0)</f>
        <v>0</v>
      </c>
      <c r="CZ97" s="1" t="n">
        <f aca="false">RR96</f>
        <v>0</v>
      </c>
      <c r="DA97" s="1" t="n">
        <f aca="false">CX97*MIN(Slot9_Cost,CZ97)</f>
        <v>0</v>
      </c>
      <c r="DB97" s="1" t="n">
        <f aca="false">CX97*Slot9_SpendLike*MIN(Slot9_Cost-DA97,CT97)</f>
        <v>0</v>
      </c>
      <c r="DC97" s="1" t="n">
        <f aca="false">DA97+DB97</f>
        <v>0</v>
      </c>
      <c r="DD97" s="1" t="n">
        <f aca="false">CT97-DB97+CX97*IF(Slot9_SpendLike=1,CZ97-DA97,IF(Slot9_PotFree=1,CZ97,0))</f>
        <v>1626483.95260384</v>
      </c>
      <c r="DE97" s="1" t="n">
        <f aca="false">CU97+CX97*Slot9_BufPot*CZ97</f>
        <v>0</v>
      </c>
      <c r="DF97" s="1" t="n">
        <f aca="false">IF(AND(CX97=1,Slot9_IsMfree=1),IF(DC97&gt;=Slot9_Cost-1,0,MAX(0,CV97-DC97)),CV97)</f>
        <v>0</v>
      </c>
      <c r="DG97" s="1" t="n">
        <f aca="false">CX97*(Slot9_Cost-DC97)</f>
        <v>0</v>
      </c>
      <c r="DH97" s="1" t="n">
        <f aca="false">IF(AND(Slot10_On=1,D97=Slot10_Age),1,0)</f>
        <v>0</v>
      </c>
      <c r="DI97" s="1" t="n">
        <f aca="false">IF(AND(Slot10_On=1,Slot10_Age&gt;D97),1,0)</f>
        <v>0</v>
      </c>
      <c r="DJ97" s="1" t="n">
        <f aca="false">RV96</f>
        <v>0</v>
      </c>
      <c r="DK97" s="1" t="n">
        <f aca="false">DH97*MIN(Slot10_Cost,DJ97)</f>
        <v>0</v>
      </c>
      <c r="DL97" s="1" t="n">
        <f aca="false">DH97*Slot10_SpendLike*MIN(Slot10_Cost-DK97,DD97)</f>
        <v>0</v>
      </c>
      <c r="DM97" s="1" t="n">
        <f aca="false">DK97+DL97</f>
        <v>0</v>
      </c>
      <c r="DN97" s="1" t="n">
        <f aca="false">DD97-DL97+DH97*IF(Slot10_SpendLike=1,DJ97-DK97,IF(Slot10_PotFree=1,DJ97,0))</f>
        <v>1626483.95260384</v>
      </c>
      <c r="DO97" s="1" t="n">
        <f aca="false">DE97+DH97*Slot10_BufPot*DJ97</f>
        <v>0</v>
      </c>
      <c r="DP97" s="1" t="n">
        <f aca="false">IF(AND(DH97=1,Slot10_IsMfree=1),IF(DM97&gt;=Slot10_Cost-1,0,MAX(0,DF97-DM97)),DF97)</f>
        <v>0</v>
      </c>
      <c r="DQ97" s="1" t="n">
        <f aca="false">DH97*(Slot10_Cost-DM97)</f>
        <v>0</v>
      </c>
      <c r="DR97" s="1" t="n">
        <f aca="false">IF(AND(Slot11_On=1,D97=Slot11_Age),1,0)</f>
        <v>0</v>
      </c>
      <c r="DS97" s="1" t="n">
        <f aca="false">IF(AND(Slot11_On=1,Slot11_Age&gt;D97),1,0)</f>
        <v>0</v>
      </c>
      <c r="DT97" s="1" t="n">
        <f aca="false">RZ96</f>
        <v>0</v>
      </c>
      <c r="DU97" s="1" t="n">
        <f aca="false">DR97*MIN(Slot11_Cost,DT97)</f>
        <v>0</v>
      </c>
      <c r="DV97" s="1" t="n">
        <f aca="false">DR97*Slot11_SpendLike*MIN(Slot11_Cost-DU97,DN97)</f>
        <v>0</v>
      </c>
      <c r="DW97" s="1" t="n">
        <f aca="false">DU97+DV97</f>
        <v>0</v>
      </c>
      <c r="DX97" s="1" t="n">
        <f aca="false">DN97-DV97+DR97*IF(Slot11_SpendLike=1,DT97-DU97,IF(Slot11_PotFree=1,DT97,0))</f>
        <v>1626483.95260384</v>
      </c>
      <c r="DY97" s="1" t="n">
        <f aca="false">DO97+DR97*Slot11_BufPot*DT97</f>
        <v>0</v>
      </c>
      <c r="DZ97" s="1" t="n">
        <f aca="false">IF(AND(DR97=1,Slot11_IsMfree=1),IF(DW97&gt;=Slot11_Cost-1,0,MAX(0,DP97-DW97)),DP97)</f>
        <v>0</v>
      </c>
      <c r="EA97" s="1" t="n">
        <f aca="false">DR97*(Slot11_Cost-DW97)</f>
        <v>0</v>
      </c>
      <c r="EB97" s="1" t="n">
        <f aca="false">IF(AND(Slot12_On=1,D97=Slot12_Age),1,0)</f>
        <v>0</v>
      </c>
      <c r="EC97" s="1" t="n">
        <f aca="false">IF(AND(Slot12_On=1,Slot12_Age&gt;D97),1,0)</f>
        <v>0</v>
      </c>
      <c r="ED97" s="1" t="n">
        <f aca="false">SD96</f>
        <v>0</v>
      </c>
      <c r="EE97" s="1" t="n">
        <f aca="false">EB97*MIN(Slot12_Cost,ED97)</f>
        <v>0</v>
      </c>
      <c r="EF97" s="1" t="n">
        <f aca="false">EB97*Slot12_SpendLike*MIN(Slot12_Cost-EE97,DX97)</f>
        <v>0</v>
      </c>
      <c r="EG97" s="1" t="n">
        <f aca="false">EE97+EF97</f>
        <v>0</v>
      </c>
      <c r="EH97" s="1" t="n">
        <f aca="false">DX97-EF97+EB97*IF(Slot12_SpendLike=1,ED97-EE97,IF(Slot12_PotFree=1,ED97,0))</f>
        <v>1626483.95260384</v>
      </c>
      <c r="EI97" s="1" t="n">
        <f aca="false">DY97+EB97*Slot12_BufPot*ED97</f>
        <v>0</v>
      </c>
      <c r="EJ97" s="1" t="n">
        <f aca="false">IF(AND(EB97=1,Slot12_IsMfree=1),IF(EG97&gt;=Slot12_Cost-1,0,MAX(0,DZ97-EG97)),DZ97)</f>
        <v>0</v>
      </c>
      <c r="EK97" s="1" t="n">
        <f aca="false">EB97*(Slot12_Cost-EG97)</f>
        <v>0</v>
      </c>
      <c r="EL97" s="1" t="n">
        <f aca="false">IF(AND(Slot13_On=1,D97=Slot13_Age),1,0)</f>
        <v>0</v>
      </c>
      <c r="EM97" s="1" t="n">
        <f aca="false">IF(AND(Slot13_On=1,Slot13_Age&gt;D97),1,0)</f>
        <v>0</v>
      </c>
      <c r="EN97" s="1" t="n">
        <f aca="false">SH96</f>
        <v>0</v>
      </c>
      <c r="EO97" s="1" t="n">
        <f aca="false">EL97*MIN(Slot13_Cost,EN97)</f>
        <v>0</v>
      </c>
      <c r="EP97" s="1" t="n">
        <f aca="false">EL97*Slot13_SpendLike*MIN(Slot13_Cost-EO97,EH97)</f>
        <v>0</v>
      </c>
      <c r="EQ97" s="1" t="n">
        <f aca="false">EO97+EP97</f>
        <v>0</v>
      </c>
      <c r="ER97" s="1" t="n">
        <f aca="false">EH97-EP97+EL97*IF(Slot13_SpendLike=1,EN97-EO97,IF(Slot13_PotFree=1,EN97,0))</f>
        <v>1626483.95260384</v>
      </c>
      <c r="ES97" s="1" t="n">
        <f aca="false">EI97+EL97*Slot13_BufPot*EN97</f>
        <v>0</v>
      </c>
      <c r="ET97" s="1" t="n">
        <f aca="false">IF(AND(EL97=1,Slot13_IsMfree=1),IF(EQ97&gt;=Slot13_Cost-1,0,MAX(0,EJ97-EQ97)),EJ97)</f>
        <v>0</v>
      </c>
      <c r="EU97" s="1" t="n">
        <f aca="false">EL97*(Slot13_Cost-EQ97)</f>
        <v>0</v>
      </c>
      <c r="EV97" s="1" t="n">
        <f aca="false">IF(AND(Slot14_On=1,D97=Slot14_Age),1,0)</f>
        <v>0</v>
      </c>
      <c r="EW97" s="1" t="n">
        <f aca="false">IF(AND(Slot14_On=1,Slot14_Age&gt;D97),1,0)</f>
        <v>0</v>
      </c>
      <c r="EX97" s="1" t="n">
        <f aca="false">SL96</f>
        <v>0</v>
      </c>
      <c r="EY97" s="1" t="n">
        <f aca="false">EV97*MIN(Slot14_Cost,EX97)</f>
        <v>0</v>
      </c>
      <c r="EZ97" s="1" t="n">
        <f aca="false">EV97*Slot14_SpendLike*MIN(Slot14_Cost-EY97,ER97)</f>
        <v>0</v>
      </c>
      <c r="FA97" s="1" t="n">
        <f aca="false">EY97+EZ97</f>
        <v>0</v>
      </c>
      <c r="FB97" s="1" t="n">
        <f aca="false">ER97-EZ97+EV97*IF(Slot14_SpendLike=1,EX97-EY97,IF(Slot14_PotFree=1,EX97,0))</f>
        <v>1626483.95260384</v>
      </c>
      <c r="FC97" s="1" t="n">
        <f aca="false">ES97+EV97*Slot14_BufPot*EX97</f>
        <v>0</v>
      </c>
      <c r="FD97" s="1" t="n">
        <f aca="false">IF(AND(EV97=1,Slot14_IsMfree=1),IF(FA97&gt;=Slot14_Cost-1,0,MAX(0,ET97-FA97)),ET97)</f>
        <v>0</v>
      </c>
      <c r="FE97" s="1" t="n">
        <f aca="false">EV97*(Slot14_Cost-FA97)</f>
        <v>0</v>
      </c>
      <c r="FF97" s="1" t="n">
        <f aca="false">IF(AND(Slot15_On=1,D97=Slot15_Age),1,0)</f>
        <v>0</v>
      </c>
      <c r="FG97" s="1" t="n">
        <f aca="false">IF(AND(Slot15_On=1,Slot15_Age&gt;D97),1,0)</f>
        <v>0</v>
      </c>
      <c r="FH97" s="1" t="n">
        <f aca="false">SP96</f>
        <v>0</v>
      </c>
      <c r="FI97" s="1" t="n">
        <f aca="false">FF97*MIN(Slot15_Cost,FH97)</f>
        <v>0</v>
      </c>
      <c r="FJ97" s="1" t="n">
        <f aca="false">FF97*Slot15_SpendLike*MIN(Slot15_Cost-FI97,FB97)</f>
        <v>0</v>
      </c>
      <c r="FK97" s="1" t="n">
        <f aca="false">FI97+FJ97</f>
        <v>0</v>
      </c>
      <c r="FL97" s="1" t="n">
        <f aca="false">FB97-FJ97+FF97*IF(Slot15_SpendLike=1,FH97-FI97,IF(Slot15_PotFree=1,FH97,0))</f>
        <v>1626483.95260384</v>
      </c>
      <c r="FM97" s="1" t="n">
        <f aca="false">FC97+FF97*Slot15_BufPot*FH97</f>
        <v>0</v>
      </c>
      <c r="FN97" s="1" t="n">
        <f aca="false">IF(AND(FF97=1,Slot15_IsMfree=1),IF(FK97&gt;=Slot15_Cost-1,0,MAX(0,FD97-FK97)),FD97)</f>
        <v>0</v>
      </c>
      <c r="FO97" s="1" t="n">
        <f aca="false">FF97*(Slot15_Cost-FK97)</f>
        <v>0</v>
      </c>
      <c r="FP97" s="1" t="n">
        <f aca="false">IF(AND(Slot16_On=1,D97=Slot16_Age),1,0)</f>
        <v>0</v>
      </c>
      <c r="FQ97" s="1" t="n">
        <f aca="false">IF(AND(Slot16_On=1,Slot16_Age&gt;D97),1,0)</f>
        <v>0</v>
      </c>
      <c r="FR97" s="1" t="n">
        <f aca="false">ST96</f>
        <v>0</v>
      </c>
      <c r="FS97" s="1" t="n">
        <f aca="false">FP97*MIN(Slot16_Cost,FR97)</f>
        <v>0</v>
      </c>
      <c r="FT97" s="1" t="n">
        <f aca="false">FP97*Slot16_SpendLike*MIN(Slot16_Cost-FS97,FL97)</f>
        <v>0</v>
      </c>
      <c r="FU97" s="1" t="n">
        <f aca="false">FS97+FT97</f>
        <v>0</v>
      </c>
      <c r="FV97" s="1" t="n">
        <f aca="false">FL97-FT97+FP97*IF(Slot16_SpendLike=1,FR97-FS97,IF(Slot16_PotFree=1,FR97,0))</f>
        <v>1626483.95260384</v>
      </c>
      <c r="FW97" s="1" t="n">
        <f aca="false">FM97+FP97*Slot16_BufPot*FR97</f>
        <v>0</v>
      </c>
      <c r="FX97" s="1" t="n">
        <f aca="false">IF(AND(FP97=1,Slot16_IsMfree=1),IF(FU97&gt;=Slot16_Cost-1,0,MAX(0,FN97-FU97)),FN97)</f>
        <v>0</v>
      </c>
      <c r="FY97" s="1" t="n">
        <f aca="false">FP97*(Slot16_Cost-FU97)</f>
        <v>0</v>
      </c>
      <c r="FZ97" s="1" t="n">
        <f aca="false">IF(AND(Slot17_On=1,D97=Slot17_Age),1,0)</f>
        <v>0</v>
      </c>
      <c r="GA97" s="1" t="n">
        <f aca="false">IF(AND(Slot17_On=1,Slot17_Age&gt;D97),1,0)</f>
        <v>0</v>
      </c>
      <c r="GB97" s="1" t="n">
        <f aca="false">SX96</f>
        <v>0</v>
      </c>
      <c r="GC97" s="1" t="n">
        <f aca="false">FZ97*MIN(Slot17_Cost,GB97)</f>
        <v>0</v>
      </c>
      <c r="GD97" s="1" t="n">
        <f aca="false">FZ97*Slot17_SpendLike*MIN(Slot17_Cost-GC97,FV97)</f>
        <v>0</v>
      </c>
      <c r="GE97" s="1" t="n">
        <f aca="false">GC97+GD97</f>
        <v>0</v>
      </c>
      <c r="GF97" s="1" t="n">
        <f aca="false">FV97-GD97+FZ97*IF(Slot17_SpendLike=1,GB97-GC97,IF(Slot17_PotFree=1,GB97,0))</f>
        <v>1626483.95260384</v>
      </c>
      <c r="GG97" s="1" t="n">
        <f aca="false">FW97+FZ97*Slot17_BufPot*GB97</f>
        <v>0</v>
      </c>
      <c r="GH97" s="1" t="n">
        <f aca="false">IF(AND(FZ97=1,Slot17_IsMfree=1),IF(GE97&gt;=Slot17_Cost-1,0,MAX(0,FX97-GE97)),FX97)</f>
        <v>0</v>
      </c>
      <c r="GI97" s="1" t="n">
        <f aca="false">FZ97*(Slot17_Cost-GE97)</f>
        <v>0</v>
      </c>
      <c r="GJ97" s="1" t="n">
        <f aca="false">IF(AND(Slot18_On=1,D97=Slot18_Age),1,0)</f>
        <v>0</v>
      </c>
      <c r="GK97" s="1" t="n">
        <f aca="false">IF(AND(Slot18_On=1,Slot18_Age&gt;D97),1,0)</f>
        <v>0</v>
      </c>
      <c r="GL97" s="1" t="n">
        <f aca="false">TB96</f>
        <v>0</v>
      </c>
      <c r="GM97" s="1" t="n">
        <f aca="false">GJ97*MIN(Slot18_Cost,GL97)</f>
        <v>0</v>
      </c>
      <c r="GN97" s="1" t="n">
        <f aca="false">GJ97*Slot18_SpendLike*MIN(Slot18_Cost-GM97,GF97)</f>
        <v>0</v>
      </c>
      <c r="GO97" s="1" t="n">
        <f aca="false">GM97+GN97</f>
        <v>0</v>
      </c>
      <c r="GP97" s="1" t="n">
        <f aca="false">GF97-GN97+GJ97*IF(Slot18_SpendLike=1,GL97-GM97,IF(Slot18_PotFree=1,GL97,0))</f>
        <v>1626483.95260384</v>
      </c>
      <c r="GQ97" s="1" t="n">
        <f aca="false">GG97+GJ97*Slot18_BufPot*GL97</f>
        <v>0</v>
      </c>
      <c r="GR97" s="1" t="n">
        <f aca="false">IF(AND(GJ97=1,Slot18_IsMfree=1),IF(GO97&gt;=Slot18_Cost-1,0,MAX(0,GH97-GO97)),GH97)</f>
        <v>0</v>
      </c>
      <c r="GS97" s="1" t="n">
        <f aca="false">GJ97*(Slot18_Cost-GO97)</f>
        <v>0</v>
      </c>
      <c r="GT97" s="1" t="n">
        <f aca="false">IF(AND(Slot19_On=1,D97=Slot19_Age),1,0)</f>
        <v>0</v>
      </c>
      <c r="GU97" s="1" t="n">
        <f aca="false">IF(AND(Slot19_On=1,Slot19_Age&gt;D97),1,0)</f>
        <v>0</v>
      </c>
      <c r="GV97" s="1" t="n">
        <f aca="false">TF96</f>
        <v>0</v>
      </c>
      <c r="GW97" s="1" t="n">
        <f aca="false">GT97*MIN(Slot19_Cost,GV97)</f>
        <v>0</v>
      </c>
      <c r="GX97" s="1" t="n">
        <f aca="false">GT97*Slot19_SpendLike*MIN(Slot19_Cost-GW97,GP97)</f>
        <v>0</v>
      </c>
      <c r="GY97" s="1" t="n">
        <f aca="false">GW97+GX97</f>
        <v>0</v>
      </c>
      <c r="GZ97" s="1" t="n">
        <f aca="false">GP97-GX97+GT97*IF(Slot19_SpendLike=1,GV97-GW97,IF(Slot19_PotFree=1,GV97,0))</f>
        <v>1626483.95260384</v>
      </c>
      <c r="HA97" s="1" t="n">
        <f aca="false">GQ97+GT97*Slot19_BufPot*GV97</f>
        <v>0</v>
      </c>
      <c r="HB97" s="1" t="n">
        <f aca="false">IF(AND(GT97=1,Slot19_IsMfree=1),IF(GY97&gt;=Slot19_Cost-1,0,MAX(0,GR97-GY97)),GR97)</f>
        <v>0</v>
      </c>
      <c r="HC97" s="1" t="n">
        <f aca="false">GT97*(Slot19_Cost-GY97)</f>
        <v>0</v>
      </c>
      <c r="HD97" s="1" t="n">
        <f aca="false">IF(AND(Slot20_On=1,D97=Slot20_Age),1,0)</f>
        <v>0</v>
      </c>
      <c r="HE97" s="1" t="n">
        <f aca="false">IF(AND(Slot20_On=1,Slot20_Age&gt;D97),1,0)</f>
        <v>0</v>
      </c>
      <c r="HF97" s="1" t="n">
        <f aca="false">TJ96</f>
        <v>0</v>
      </c>
      <c r="HG97" s="1" t="n">
        <f aca="false">HD97*MIN(Slot20_Cost,HF97)</f>
        <v>0</v>
      </c>
      <c r="HH97" s="1" t="n">
        <f aca="false">HD97*Slot20_SpendLike*MIN(Slot20_Cost-HG97,GZ97)</f>
        <v>0</v>
      </c>
      <c r="HI97" s="1" t="n">
        <f aca="false">HG97+HH97</f>
        <v>0</v>
      </c>
      <c r="HJ97" s="1" t="n">
        <f aca="false">GZ97-HH97+HD97*IF(Slot20_SpendLike=1,HF97-HG97,IF(Slot20_PotFree=1,HF97,0))</f>
        <v>1626483.95260384</v>
      </c>
      <c r="HK97" s="1" t="n">
        <f aca="false">HA97+HD97*Slot20_BufPot*HF97</f>
        <v>0</v>
      </c>
      <c r="HL97" s="1" t="n">
        <f aca="false">IF(AND(HD97=1,Slot20_IsMfree=1),IF(HI97&gt;=Slot20_Cost-1,0,MAX(0,HB97-HI97)),HB97)</f>
        <v>0</v>
      </c>
      <c r="HM97" s="1" t="n">
        <f aca="false">HD97*(Slot20_Cost-HI97)</f>
        <v>0</v>
      </c>
      <c r="HN97" s="1" t="n">
        <f aca="false">U97*Slot1_SpendLike*Z97+AF97*Slot2_SpendLike*AK97+AP97*Slot3_SpendLike*AU97+AZ97*Slot4_SpendLike*BE97+BJ97*Slot5_SpendLike*BO97+BT97*Slot6_SpendLike*BY97+CD97*Slot7_SpendLike*CI97+CN97*Slot8_SpendLike*CS97+CX97*Slot9_SpendLike*DC97+DH97*Slot10_SpendLike*DM97+DR97*Slot11_SpendLike*DW97+EB97*Slot12_SpendLike*EG97+EL97*Slot13_SpendLike*EQ97+EV97*Slot14_SpendLike*FA97+FF97*Slot15_SpendLike*FK97+FP97*Slot16_SpendLike*FU97+FZ97*Slot17_SpendLike*GE97+GJ97*Slot18_SpendLike*GO97+GT97*Slot19_SpendLike*GY97+HD97*Slot20_SpendLike*HI97</f>
        <v>0</v>
      </c>
      <c r="HO97" s="1" t="n">
        <f aca="false">AD97+AO97+AY97+BI97+BS97+CC97+CM97+CW97+DG97+DQ97+EA97+EK97+EU97+FE97+FO97+FY97+GI97+GS97+HC97+HM97</f>
        <v>0</v>
      </c>
      <c r="HP97" s="1" t="n">
        <f aca="false">U97*Slot1_Cost+AF97*Slot2_Cost+AP97*Slot3_Cost+AZ97*Slot4_Cost+BJ97*Slot5_Cost+BT97*Slot6_Cost+CD97*Slot7_Cost+CN97*Slot8_Cost+CX97*Slot9_Cost+DH97*Slot10_Cost+DR97*Slot11_Cost+EB97*Slot12_Cost+EL97*Slot13_Cost+EV97*Slot14_Cost+FF97*Slot15_Cost+FP97*Slot16_Cost+FZ97*Slot17_Cost+GJ97*Slot18_Cost+GT97*Slot19_Cost+HD97*Slot20_Cost</f>
        <v>0</v>
      </c>
      <c r="HQ97" s="1" t="n">
        <f aca="false">HL97</f>
        <v>0</v>
      </c>
      <c r="HR97" s="1" t="n">
        <f aca="false">G97-H97-R97</f>
        <v>75576.1437307186</v>
      </c>
      <c r="HS97" s="1" t="n">
        <f aca="false">IF(B97=0,IF(AND(Has_q6=1,In_q6=4),PR_ShareVaries*(MAX(0,HR97)/12),MIN(IF(Has_q6=1,CHOOSE(In_q6+1,PR_SaveB1,PR_SaveB2,PR_SaveB3,PR_SaveB4,0),AS_NoAnswer),AS_SaveShare*(MAX(0,HR97)/12))),HS96)</f>
        <v>0</v>
      </c>
      <c r="HT97" s="1" t="n">
        <f aca="false">IF(HR97&gt;=0,1,0)</f>
        <v>1</v>
      </c>
      <c r="HU97" s="1" t="n">
        <f aca="false">MAX(0,HR97/12/E97)</f>
        <v>1080.90666666667</v>
      </c>
      <c r="HV97" s="1" t="n">
        <f aca="false">IF(AND(Has_q6=1,In_q6=4),PR_ShareVaries*(HU97),MIN(IF(Has_q6=1,CHOOSE(In_q6+1,PR_SaveB1,PR_SaveB2,PR_SaveB3,PR_SaveB4,0),AS_NoAnswer),AS_SaveShare*(HU97)))</f>
        <v>300</v>
      </c>
      <c r="HW97" s="1" t="n">
        <f aca="false">IF(Has_saveM=1,IF(In_saveUp="Yes",1,IF(In_saveUp="No",0,IF(In_saveM&gt;=HS97-0.5,1,0))),0)</f>
        <v>0</v>
      </c>
      <c r="HX97" s="1" t="n">
        <f aca="false">IF(Has_saveM=1,MIN(HU97,IF(HW97=1,MAX(In_saveM,HV97),MIN(In_saveM,HV97))),HV97)</f>
        <v>300</v>
      </c>
      <c r="HY97" s="1" t="n">
        <f aca="false">IF(F97=1,HX97*12*E97,0)</f>
        <v>0</v>
      </c>
      <c r="HZ97" s="1" t="n">
        <f aca="false">MAX(0,HY97+IF(AND(WI_Retire=0,WI_M&lt;0,F97=1),WI_M*12*E97,0))</f>
        <v>0</v>
      </c>
      <c r="IA97" s="1" t="n">
        <f aca="false">Slot1_IsWG*V97+Slot2_IsWG*AG97+Slot3_IsWG*AQ97+Slot4_IsWG*BA97+Slot5_IsWG*BK97+Slot6_IsWG*BU97+Slot7_IsWG*CE97+Slot8_IsWG*CO97+Slot9_IsWG*CY97+Slot10_IsWG*DI97+Slot11_IsWG*DS97+Slot12_IsWG*EC97+Slot13_IsWG*EM97+Slot14_IsWG*EW97+Slot15_IsWG*FG97+Slot16_IsWG*FQ97+Slot17_IsWG*GA97+Slot18_IsWG*GK97+Slot19_IsWG*GU97+Slot20_IsWG*HE97</f>
        <v>0</v>
      </c>
      <c r="IB97" s="1" t="n">
        <f aca="false">IF(AND(WI_Retire=0,WI_M&gt;0,F97=1,IA97&gt;=1),WI_M*12*E97,0)</f>
        <v>0</v>
      </c>
      <c r="IC97" s="1" t="n">
        <f aca="false">IF(HT97=1,MIN(HZ97,HR97),0)</f>
        <v>0</v>
      </c>
      <c r="ID97" s="1" t="n">
        <f aca="false">IF(HT97=1,MIN(IB97,HR97-IC97),0)</f>
        <v>0</v>
      </c>
      <c r="IE97" s="1" t="n">
        <f aca="false">IF(V97=1,IF(ABS((1+AS_Wage)/(1+Slot1_Rate)-1)&lt;0.000000000001,(Slot1_Age-D97)*(1+Slot1_Rate)^(Slot1_Age-D97),(1+Slot1_Rate)^(Slot1_Age-D97)*(1-((1+AS_Wage)/(1+Slot1_Rate))^(Slot1_Age-D97))/(1-(1+AS_Wage)/(1+Slot1_Rate))),1)</f>
        <v>1</v>
      </c>
      <c r="IF97" s="1" t="n">
        <f aca="false">IF(AND(HT97=1,ID97&gt;0,Slot1_IsWG=1,V97=1),MAX(0,(Slot1_Cost-W97*(1+Slot1_Rate)^(Slot1_Age-D97))/IE97),0)</f>
        <v>0</v>
      </c>
      <c r="IG97" s="1" t="n">
        <f aca="false">IF(AND(HT97=1,ID97&gt;0,Slot1_IsWG=1,V97=1),MIN(ID97,IF97),0)</f>
        <v>0</v>
      </c>
      <c r="IH97" s="1" t="n">
        <f aca="false">W97+IG97</f>
        <v>0</v>
      </c>
      <c r="II97" s="1" t="n">
        <f aca="false">IF(V97=1,MAX(0,(Slot1_Cost-IH97*(1+Slot1_Rate)^(Slot1_Age-D97))/IE97),0)</f>
        <v>0</v>
      </c>
      <c r="IJ97" s="1" t="n">
        <f aca="false">IF(V97=1,MAX(0,(Slot1_Cost-W97*(1+Slot1_Rate)^(Slot1_Age-D97))/IE97),0)</f>
        <v>0</v>
      </c>
      <c r="IK97" s="1" t="n">
        <f aca="false">IF(AND(HT97=1,V97=1),MIN(IC97,II97),0)</f>
        <v>0</v>
      </c>
      <c r="IL97" s="1" t="n">
        <f aca="false">IC97-IK97</f>
        <v>0</v>
      </c>
      <c r="IM97" s="1" t="n">
        <f aca="false">IF(AG97=1,IF(ABS((1+AS_Wage)/(1+Slot2_Rate)-1)&lt;0.000000000001,(Slot2_Age-D97)*(1+Slot2_Rate)^(Slot2_Age-D97),(1+Slot2_Rate)^(Slot2_Age-D97)*(1-((1+AS_Wage)/(1+Slot2_Rate))^(Slot2_Age-D97))/(1-(1+AS_Wage)/(1+Slot2_Rate))),1)</f>
        <v>1</v>
      </c>
      <c r="IN97" s="1" t="n">
        <f aca="false">IF(AND(HT97=1,ID97&gt;0,Slot2_IsWG=1,AG97=1),MAX(0,(Slot2_Cost-AH97*(1+Slot2_Rate)^(Slot2_Age-D97))/IM97),0)</f>
        <v>0</v>
      </c>
      <c r="IO97" s="1" t="n">
        <f aca="false">IF(AND(HT97=1,ID97&gt;0,Slot2_IsWG=1,AG97=1),MIN(ID97,IN97),0)</f>
        <v>0</v>
      </c>
      <c r="IP97" s="1" t="n">
        <f aca="false">AH97+IO97</f>
        <v>0</v>
      </c>
      <c r="IQ97" s="1" t="n">
        <f aca="false">IF(AG97=1,MAX(0,(Slot2_Cost-IP97*(1+Slot2_Rate)^(Slot2_Age-D97))/IM97),0)</f>
        <v>0</v>
      </c>
      <c r="IR97" s="1" t="n">
        <f aca="false">IF(AG97=1,MAX(0,(Slot2_Cost-AH97*(1+Slot2_Rate)^(Slot2_Age-D97))/IM97),0)</f>
        <v>0</v>
      </c>
      <c r="IS97" s="1" t="n">
        <f aca="false">IF(AND(HT97=1,AG97=1),MIN(IL97,IQ97),0)</f>
        <v>0</v>
      </c>
      <c r="IT97" s="1" t="n">
        <f aca="false">IL97-IS97</f>
        <v>0</v>
      </c>
      <c r="IU97" s="1" t="n">
        <f aca="false">IF(AQ97=1,IF(ABS((1+AS_Wage)/(1+Slot3_Rate)-1)&lt;0.000000000001,(Slot3_Age-D97)*(1+Slot3_Rate)^(Slot3_Age-D97),(1+Slot3_Rate)^(Slot3_Age-D97)*(1-((1+AS_Wage)/(1+Slot3_Rate))^(Slot3_Age-D97))/(1-(1+AS_Wage)/(1+Slot3_Rate))),1)</f>
        <v>1</v>
      </c>
      <c r="IV97" s="1" t="n">
        <f aca="false">IF(AND(HT97=1,ID97&gt;0,Slot3_IsWG=1,AQ97=1),MAX(0,(Slot3_Cost-AR97*(1+Slot3_Rate)^(Slot3_Age-D97))/IU97),0)</f>
        <v>0</v>
      </c>
      <c r="IW97" s="1" t="n">
        <f aca="false">IF(AND(HT97=1,ID97&gt;0,Slot3_IsWG=1,AQ97=1),MIN(ID97,IV97),0)</f>
        <v>0</v>
      </c>
      <c r="IX97" s="1" t="n">
        <f aca="false">AR97+IW97</f>
        <v>0</v>
      </c>
      <c r="IY97" s="1" t="n">
        <f aca="false">IF(AQ97=1,MAX(0,(Slot3_Cost-IX97*(1+Slot3_Rate)^(Slot3_Age-D97))/IU97),0)</f>
        <v>0</v>
      </c>
      <c r="IZ97" s="1" t="n">
        <f aca="false">IF(AQ97=1,MAX(0,(Slot3_Cost-AR97*(1+Slot3_Rate)^(Slot3_Age-D97))/IU97),0)</f>
        <v>0</v>
      </c>
      <c r="JA97" s="1" t="n">
        <f aca="false">IF(AND(HT97=1,AQ97=1),MIN(IT97,IY97),0)</f>
        <v>0</v>
      </c>
      <c r="JB97" s="1" t="n">
        <f aca="false">IT97-JA97</f>
        <v>0</v>
      </c>
      <c r="JC97" s="1" t="n">
        <f aca="false">IF(BA97=1,IF(ABS((1+AS_Wage)/(1+Slot4_Rate)-1)&lt;0.000000000001,(Slot4_Age-D97)*(1+Slot4_Rate)^(Slot4_Age-D97),(1+Slot4_Rate)^(Slot4_Age-D97)*(1-((1+AS_Wage)/(1+Slot4_Rate))^(Slot4_Age-D97))/(1-(1+AS_Wage)/(1+Slot4_Rate))),1)</f>
        <v>1</v>
      </c>
      <c r="JD97" s="1" t="n">
        <f aca="false">IF(AND(HT97=1,ID97&gt;0,Slot4_IsWG=1,BA97=1),MAX(0,(Slot4_Cost-BB97*(1+Slot4_Rate)^(Slot4_Age-D97))/JC97),0)</f>
        <v>0</v>
      </c>
      <c r="JE97" s="1" t="n">
        <f aca="false">IF(AND(HT97=1,ID97&gt;0,Slot4_IsWG=1,BA97=1),MIN(ID97,JD97),0)</f>
        <v>0</v>
      </c>
      <c r="JF97" s="1" t="n">
        <f aca="false">BB97+JE97</f>
        <v>0</v>
      </c>
      <c r="JG97" s="1" t="n">
        <f aca="false">IF(BA97=1,MAX(0,(Slot4_Cost-JF97*(1+Slot4_Rate)^(Slot4_Age-D97))/JC97),0)</f>
        <v>0</v>
      </c>
      <c r="JH97" s="1" t="n">
        <f aca="false">IF(BA97=1,MAX(0,(Slot4_Cost-BB97*(1+Slot4_Rate)^(Slot4_Age-D97))/JC97),0)</f>
        <v>0</v>
      </c>
      <c r="JI97" s="1" t="n">
        <f aca="false">IF(AND(HT97=1,BA97=1),MIN(JB97,JG97),0)</f>
        <v>0</v>
      </c>
      <c r="JJ97" s="1" t="n">
        <f aca="false">JB97-JI97</f>
        <v>0</v>
      </c>
      <c r="JK97" s="1" t="n">
        <f aca="false">IF(BK97=1,IF(ABS((1+AS_Wage)/(1+Slot5_Rate)-1)&lt;0.000000000001,(Slot5_Age-D97)*(1+Slot5_Rate)^(Slot5_Age-D97),(1+Slot5_Rate)^(Slot5_Age-D97)*(1-((1+AS_Wage)/(1+Slot5_Rate))^(Slot5_Age-D97))/(1-(1+AS_Wage)/(1+Slot5_Rate))),1)</f>
        <v>1</v>
      </c>
      <c r="JL97" s="1" t="n">
        <f aca="false">IF(AND(HT97=1,ID97&gt;0,Slot5_IsWG=1,BK97=1),MAX(0,(Slot5_Cost-BL97*(1+Slot5_Rate)^(Slot5_Age-D97))/JK97),0)</f>
        <v>0</v>
      </c>
      <c r="JM97" s="1" t="n">
        <f aca="false">IF(AND(HT97=1,ID97&gt;0,Slot5_IsWG=1,BK97=1),MIN(ID97,JL97),0)</f>
        <v>0</v>
      </c>
      <c r="JN97" s="1" t="n">
        <f aca="false">BL97+JM97</f>
        <v>0</v>
      </c>
      <c r="JO97" s="1" t="n">
        <f aca="false">IF(BK97=1,MAX(0,(Slot5_Cost-JN97*(1+Slot5_Rate)^(Slot5_Age-D97))/JK97),0)</f>
        <v>0</v>
      </c>
      <c r="JP97" s="1" t="n">
        <f aca="false">IF(BK97=1,MAX(0,(Slot5_Cost-BL97*(1+Slot5_Rate)^(Slot5_Age-D97))/JK97),0)</f>
        <v>0</v>
      </c>
      <c r="JQ97" s="1" t="n">
        <f aca="false">IF(AND(HT97=1,BK97=1),MIN(JJ97,JO97),0)</f>
        <v>0</v>
      </c>
      <c r="JR97" s="1" t="n">
        <f aca="false">JJ97-JQ97</f>
        <v>0</v>
      </c>
      <c r="JS97" s="1" t="n">
        <f aca="false">IF(BU97=1,IF(ABS((1+AS_Wage)/(1+Slot6_Rate)-1)&lt;0.000000000001,(Slot6_Age-D97)*(1+Slot6_Rate)^(Slot6_Age-D97),(1+Slot6_Rate)^(Slot6_Age-D97)*(1-((1+AS_Wage)/(1+Slot6_Rate))^(Slot6_Age-D97))/(1-(1+AS_Wage)/(1+Slot6_Rate))),1)</f>
        <v>1</v>
      </c>
      <c r="JT97" s="1" t="n">
        <f aca="false">IF(AND(HT97=1,ID97&gt;0,Slot6_IsWG=1,BU97=1),MAX(0,(Slot6_Cost-BV97*(1+Slot6_Rate)^(Slot6_Age-D97))/JS97),0)</f>
        <v>0</v>
      </c>
      <c r="JU97" s="1" t="n">
        <f aca="false">IF(AND(HT97=1,ID97&gt;0,Slot6_IsWG=1,BU97=1),MIN(ID97,JT97),0)</f>
        <v>0</v>
      </c>
      <c r="JV97" s="1" t="n">
        <f aca="false">BV97+JU97</f>
        <v>0</v>
      </c>
      <c r="JW97" s="1" t="n">
        <f aca="false">IF(BU97=1,MAX(0,(Slot6_Cost-JV97*(1+Slot6_Rate)^(Slot6_Age-D97))/JS97),0)</f>
        <v>0</v>
      </c>
      <c r="JX97" s="1" t="n">
        <f aca="false">IF(BU97=1,MAX(0,(Slot6_Cost-BV97*(1+Slot6_Rate)^(Slot6_Age-D97))/JS97),0)</f>
        <v>0</v>
      </c>
      <c r="JY97" s="1" t="n">
        <f aca="false">IF(AND(HT97=1,BU97=1),MIN(JR97,JW97),0)</f>
        <v>0</v>
      </c>
      <c r="JZ97" s="1" t="n">
        <f aca="false">JR97-JY97</f>
        <v>0</v>
      </c>
      <c r="KA97" s="1" t="n">
        <f aca="false">IF(CE97=1,IF(ABS((1+AS_Wage)/(1+Slot7_Rate)-1)&lt;0.000000000001,(Slot7_Age-D97)*(1+Slot7_Rate)^(Slot7_Age-D97),(1+Slot7_Rate)^(Slot7_Age-D97)*(1-((1+AS_Wage)/(1+Slot7_Rate))^(Slot7_Age-D97))/(1-(1+AS_Wage)/(1+Slot7_Rate))),1)</f>
        <v>1</v>
      </c>
      <c r="KB97" s="1" t="n">
        <f aca="false">IF(AND(HT97=1,ID97&gt;0,Slot7_IsWG=1,CE97=1),MAX(0,(Slot7_Cost-CF97*(1+Slot7_Rate)^(Slot7_Age-D97))/KA97),0)</f>
        <v>0</v>
      </c>
      <c r="KC97" s="1" t="n">
        <f aca="false">IF(AND(HT97=1,ID97&gt;0,Slot7_IsWG=1,CE97=1),MIN(ID97,KB97),0)</f>
        <v>0</v>
      </c>
      <c r="KD97" s="1" t="n">
        <f aca="false">CF97+KC97</f>
        <v>0</v>
      </c>
      <c r="KE97" s="1" t="n">
        <f aca="false">IF(CE97=1,MAX(0,(Slot7_Cost-KD97*(1+Slot7_Rate)^(Slot7_Age-D97))/KA97),0)</f>
        <v>0</v>
      </c>
      <c r="KF97" s="1" t="n">
        <f aca="false">IF(CE97=1,MAX(0,(Slot7_Cost-CF97*(1+Slot7_Rate)^(Slot7_Age-D97))/KA97),0)</f>
        <v>0</v>
      </c>
      <c r="KG97" s="1" t="n">
        <f aca="false">IF(AND(HT97=1,CE97=1),MIN(JZ97,KE97),0)</f>
        <v>0</v>
      </c>
      <c r="KH97" s="1" t="n">
        <f aca="false">JZ97-KG97</f>
        <v>0</v>
      </c>
      <c r="KI97" s="1" t="n">
        <f aca="false">IF(CO97=1,IF(ABS((1+AS_Wage)/(1+Slot8_Rate)-1)&lt;0.000000000001,(Slot8_Age-D97)*(1+Slot8_Rate)^(Slot8_Age-D97),(1+Slot8_Rate)^(Slot8_Age-D97)*(1-((1+AS_Wage)/(1+Slot8_Rate))^(Slot8_Age-D97))/(1-(1+AS_Wage)/(1+Slot8_Rate))),1)</f>
        <v>1</v>
      </c>
      <c r="KJ97" s="1" t="n">
        <f aca="false">IF(AND(HT97=1,ID97&gt;0,Slot8_IsWG=1,CO97=1),MAX(0,(Slot8_Cost-CP97*(1+Slot8_Rate)^(Slot8_Age-D97))/KI97),0)</f>
        <v>0</v>
      </c>
      <c r="KK97" s="1" t="n">
        <f aca="false">IF(AND(HT97=1,ID97&gt;0,Slot8_IsWG=1,CO97=1),MIN(ID97,KJ97),0)</f>
        <v>0</v>
      </c>
      <c r="KL97" s="1" t="n">
        <f aca="false">CP97+KK97</f>
        <v>0</v>
      </c>
      <c r="KM97" s="1" t="n">
        <f aca="false">IF(CO97=1,MAX(0,(Slot8_Cost-KL97*(1+Slot8_Rate)^(Slot8_Age-D97))/KI97),0)</f>
        <v>0</v>
      </c>
      <c r="KN97" s="1" t="n">
        <f aca="false">IF(CO97=1,MAX(0,(Slot8_Cost-CP97*(1+Slot8_Rate)^(Slot8_Age-D97))/KI97),0)</f>
        <v>0</v>
      </c>
      <c r="KO97" s="1" t="n">
        <f aca="false">IF(AND(HT97=1,CO97=1),MIN(KH97,KM97),0)</f>
        <v>0</v>
      </c>
      <c r="KP97" s="1" t="n">
        <f aca="false">KH97-KO97</f>
        <v>0</v>
      </c>
      <c r="KQ97" s="1" t="n">
        <f aca="false">IF(CY97=1,IF(ABS((1+AS_Wage)/(1+Slot9_Rate)-1)&lt;0.000000000001,(Slot9_Age-D97)*(1+Slot9_Rate)^(Slot9_Age-D97),(1+Slot9_Rate)^(Slot9_Age-D97)*(1-((1+AS_Wage)/(1+Slot9_Rate))^(Slot9_Age-D97))/(1-(1+AS_Wage)/(1+Slot9_Rate))),1)</f>
        <v>1</v>
      </c>
      <c r="KR97" s="1" t="n">
        <f aca="false">IF(AND(HT97=1,ID97&gt;0,Slot9_IsWG=1,CY97=1),MAX(0,(Slot9_Cost-CZ97*(1+Slot9_Rate)^(Slot9_Age-D97))/KQ97),0)</f>
        <v>0</v>
      </c>
      <c r="KS97" s="1" t="n">
        <f aca="false">IF(AND(HT97=1,ID97&gt;0,Slot9_IsWG=1,CY97=1),MIN(ID97,KR97),0)</f>
        <v>0</v>
      </c>
      <c r="KT97" s="1" t="n">
        <f aca="false">CZ97+KS97</f>
        <v>0</v>
      </c>
      <c r="KU97" s="1" t="n">
        <f aca="false">IF(CY97=1,MAX(0,(Slot9_Cost-KT97*(1+Slot9_Rate)^(Slot9_Age-D97))/KQ97),0)</f>
        <v>0</v>
      </c>
      <c r="KV97" s="1" t="n">
        <f aca="false">IF(CY97=1,MAX(0,(Slot9_Cost-CZ97*(1+Slot9_Rate)^(Slot9_Age-D97))/KQ97),0)</f>
        <v>0</v>
      </c>
      <c r="KW97" s="1" t="n">
        <f aca="false">IF(AND(HT97=1,CY97=1),MIN(KP97,KU97),0)</f>
        <v>0</v>
      </c>
      <c r="KX97" s="1" t="n">
        <f aca="false">KP97-KW97</f>
        <v>0</v>
      </c>
      <c r="KY97" s="1" t="n">
        <f aca="false">IF(DI97=1,IF(ABS((1+AS_Wage)/(1+Slot10_Rate)-1)&lt;0.000000000001,(Slot10_Age-D97)*(1+Slot10_Rate)^(Slot10_Age-D97),(1+Slot10_Rate)^(Slot10_Age-D97)*(1-((1+AS_Wage)/(1+Slot10_Rate))^(Slot10_Age-D97))/(1-(1+AS_Wage)/(1+Slot10_Rate))),1)</f>
        <v>1</v>
      </c>
      <c r="KZ97" s="1" t="n">
        <f aca="false">IF(AND(HT97=1,ID97&gt;0,Slot10_IsWG=1,DI97=1),MAX(0,(Slot10_Cost-DJ97*(1+Slot10_Rate)^(Slot10_Age-D97))/KY97),0)</f>
        <v>0</v>
      </c>
      <c r="LA97" s="1" t="n">
        <f aca="false">IF(AND(HT97=1,ID97&gt;0,Slot10_IsWG=1,DI97=1),MIN(ID97,KZ97),0)</f>
        <v>0</v>
      </c>
      <c r="LB97" s="1" t="n">
        <f aca="false">DJ97+LA97</f>
        <v>0</v>
      </c>
      <c r="LC97" s="1" t="n">
        <f aca="false">IF(DI97=1,MAX(0,(Slot10_Cost-LB97*(1+Slot10_Rate)^(Slot10_Age-D97))/KY97),0)</f>
        <v>0</v>
      </c>
      <c r="LD97" s="1" t="n">
        <f aca="false">IF(DI97=1,MAX(0,(Slot10_Cost-DJ97*(1+Slot10_Rate)^(Slot10_Age-D97))/KY97),0)</f>
        <v>0</v>
      </c>
      <c r="LE97" s="1" t="n">
        <f aca="false">IF(AND(HT97=1,DI97=1),MIN(KX97,LC97),0)</f>
        <v>0</v>
      </c>
      <c r="LF97" s="1" t="n">
        <f aca="false">KX97-LE97</f>
        <v>0</v>
      </c>
      <c r="LG97" s="1" t="n">
        <f aca="false">IF(DS97=1,IF(ABS((1+AS_Wage)/(1+Slot11_Rate)-1)&lt;0.000000000001,(Slot11_Age-D97)*(1+Slot11_Rate)^(Slot11_Age-D97),(1+Slot11_Rate)^(Slot11_Age-D97)*(1-((1+AS_Wage)/(1+Slot11_Rate))^(Slot11_Age-D97))/(1-(1+AS_Wage)/(1+Slot11_Rate))),1)</f>
        <v>1</v>
      </c>
      <c r="LH97" s="1" t="n">
        <f aca="false">IF(AND(HT97=1,ID97&gt;0,Slot11_IsWG=1,DS97=1),MAX(0,(Slot11_Cost-DT97*(1+Slot11_Rate)^(Slot11_Age-D97))/LG97),0)</f>
        <v>0</v>
      </c>
      <c r="LI97" s="1" t="n">
        <f aca="false">IF(AND(HT97=1,ID97&gt;0,Slot11_IsWG=1,DS97=1),MIN(ID97,LH97),0)</f>
        <v>0</v>
      </c>
      <c r="LJ97" s="1" t="n">
        <f aca="false">DT97+LI97</f>
        <v>0</v>
      </c>
      <c r="LK97" s="1" t="n">
        <f aca="false">IF(DS97=1,MAX(0,(Slot11_Cost-LJ97*(1+Slot11_Rate)^(Slot11_Age-D97))/LG97),0)</f>
        <v>0</v>
      </c>
      <c r="LL97" s="1" t="n">
        <f aca="false">IF(DS97=1,MAX(0,(Slot11_Cost-DT97*(1+Slot11_Rate)^(Slot11_Age-D97))/LG97),0)</f>
        <v>0</v>
      </c>
      <c r="LM97" s="1" t="n">
        <f aca="false">IF(AND(HT97=1,DS97=1),MIN(LF97,LK97),0)</f>
        <v>0</v>
      </c>
      <c r="LN97" s="1" t="n">
        <f aca="false">LF97-LM97</f>
        <v>0</v>
      </c>
      <c r="LO97" s="1" t="n">
        <f aca="false">IF(EC97=1,IF(ABS((1+AS_Wage)/(1+Slot12_Rate)-1)&lt;0.000000000001,(Slot12_Age-D97)*(1+Slot12_Rate)^(Slot12_Age-D97),(1+Slot12_Rate)^(Slot12_Age-D97)*(1-((1+AS_Wage)/(1+Slot12_Rate))^(Slot12_Age-D97))/(1-(1+AS_Wage)/(1+Slot12_Rate))),1)</f>
        <v>1</v>
      </c>
      <c r="LP97" s="1" t="n">
        <f aca="false">IF(AND(HT97=1,ID97&gt;0,Slot12_IsWG=1,EC97=1),MAX(0,(Slot12_Cost-ED97*(1+Slot12_Rate)^(Slot12_Age-D97))/LO97),0)</f>
        <v>0</v>
      </c>
      <c r="LQ97" s="1" t="n">
        <f aca="false">IF(AND(HT97=1,ID97&gt;0,Slot12_IsWG=1,EC97=1),MIN(ID97,LP97),0)</f>
        <v>0</v>
      </c>
      <c r="LR97" s="1" t="n">
        <f aca="false">ED97+LQ97</f>
        <v>0</v>
      </c>
      <c r="LS97" s="1" t="n">
        <f aca="false">IF(EC97=1,MAX(0,(Slot12_Cost-LR97*(1+Slot12_Rate)^(Slot12_Age-D97))/LO97),0)</f>
        <v>0</v>
      </c>
      <c r="LT97" s="1" t="n">
        <f aca="false">IF(EC97=1,MAX(0,(Slot12_Cost-ED97*(1+Slot12_Rate)^(Slot12_Age-D97))/LO97),0)</f>
        <v>0</v>
      </c>
      <c r="LU97" s="1" t="n">
        <f aca="false">IF(AND(HT97=1,EC97=1),MIN(LN97,LS97),0)</f>
        <v>0</v>
      </c>
      <c r="LV97" s="1" t="n">
        <f aca="false">LN97-LU97</f>
        <v>0</v>
      </c>
      <c r="LW97" s="1" t="n">
        <f aca="false">IF(EM97=1,IF(ABS((1+AS_Wage)/(1+Slot13_Rate)-1)&lt;0.000000000001,(Slot13_Age-D97)*(1+Slot13_Rate)^(Slot13_Age-D97),(1+Slot13_Rate)^(Slot13_Age-D97)*(1-((1+AS_Wage)/(1+Slot13_Rate))^(Slot13_Age-D97))/(1-(1+AS_Wage)/(1+Slot13_Rate))),1)</f>
        <v>1</v>
      </c>
      <c r="LX97" s="1" t="n">
        <f aca="false">IF(AND(HT97=1,ID97&gt;0,Slot13_IsWG=1,EM97=1),MAX(0,(Slot13_Cost-EN97*(1+Slot13_Rate)^(Slot13_Age-D97))/LW97),0)</f>
        <v>0</v>
      </c>
      <c r="LY97" s="1" t="n">
        <f aca="false">IF(AND(HT97=1,ID97&gt;0,Slot13_IsWG=1,EM97=1),MIN(ID97,LX97),0)</f>
        <v>0</v>
      </c>
      <c r="LZ97" s="1" t="n">
        <f aca="false">EN97+LY97</f>
        <v>0</v>
      </c>
      <c r="MA97" s="1" t="n">
        <f aca="false">IF(EM97=1,MAX(0,(Slot13_Cost-LZ97*(1+Slot13_Rate)^(Slot13_Age-D97))/LW97),0)</f>
        <v>0</v>
      </c>
      <c r="MB97" s="1" t="n">
        <f aca="false">IF(EM97=1,MAX(0,(Slot13_Cost-EN97*(1+Slot13_Rate)^(Slot13_Age-D97))/LW97),0)</f>
        <v>0</v>
      </c>
      <c r="MC97" s="1" t="n">
        <f aca="false">IF(AND(HT97=1,EM97=1),MIN(LV97,MA97),0)</f>
        <v>0</v>
      </c>
      <c r="MD97" s="1" t="n">
        <f aca="false">LV97-MC97</f>
        <v>0</v>
      </c>
      <c r="ME97" s="1" t="n">
        <f aca="false">IF(EW97=1,IF(ABS((1+AS_Wage)/(1+Slot14_Rate)-1)&lt;0.000000000001,(Slot14_Age-D97)*(1+Slot14_Rate)^(Slot14_Age-D97),(1+Slot14_Rate)^(Slot14_Age-D97)*(1-((1+AS_Wage)/(1+Slot14_Rate))^(Slot14_Age-D97))/(1-(1+AS_Wage)/(1+Slot14_Rate))),1)</f>
        <v>1</v>
      </c>
      <c r="MF97" s="1" t="n">
        <f aca="false">IF(AND(HT97=1,ID97&gt;0,Slot14_IsWG=1,EW97=1),MAX(0,(Slot14_Cost-EX97*(1+Slot14_Rate)^(Slot14_Age-D97))/ME97),0)</f>
        <v>0</v>
      </c>
      <c r="MG97" s="1" t="n">
        <f aca="false">IF(AND(HT97=1,ID97&gt;0,Slot14_IsWG=1,EW97=1),MIN(ID97,MF97),0)</f>
        <v>0</v>
      </c>
      <c r="MH97" s="1" t="n">
        <f aca="false">EX97+MG97</f>
        <v>0</v>
      </c>
      <c r="MI97" s="1" t="n">
        <f aca="false">IF(EW97=1,MAX(0,(Slot14_Cost-MH97*(1+Slot14_Rate)^(Slot14_Age-D97))/ME97),0)</f>
        <v>0</v>
      </c>
      <c r="MJ97" s="1" t="n">
        <f aca="false">IF(EW97=1,MAX(0,(Slot14_Cost-EX97*(1+Slot14_Rate)^(Slot14_Age-D97))/ME97),0)</f>
        <v>0</v>
      </c>
      <c r="MK97" s="1" t="n">
        <f aca="false">IF(AND(HT97=1,EW97=1),MIN(MD97,MI97),0)</f>
        <v>0</v>
      </c>
      <c r="ML97" s="1" t="n">
        <f aca="false">MD97-MK97</f>
        <v>0</v>
      </c>
      <c r="MM97" s="1" t="n">
        <f aca="false">IF(FG97=1,IF(ABS((1+AS_Wage)/(1+Slot15_Rate)-1)&lt;0.000000000001,(Slot15_Age-D97)*(1+Slot15_Rate)^(Slot15_Age-D97),(1+Slot15_Rate)^(Slot15_Age-D97)*(1-((1+AS_Wage)/(1+Slot15_Rate))^(Slot15_Age-D97))/(1-(1+AS_Wage)/(1+Slot15_Rate))),1)</f>
        <v>1</v>
      </c>
      <c r="MN97" s="1" t="n">
        <f aca="false">IF(AND(HT97=1,ID97&gt;0,Slot15_IsWG=1,FG97=1),MAX(0,(Slot15_Cost-FH97*(1+Slot15_Rate)^(Slot15_Age-D97))/MM97),0)</f>
        <v>0</v>
      </c>
      <c r="MO97" s="1" t="n">
        <f aca="false">IF(AND(HT97=1,ID97&gt;0,Slot15_IsWG=1,FG97=1),MIN(ID97,MN97),0)</f>
        <v>0</v>
      </c>
      <c r="MP97" s="1" t="n">
        <f aca="false">FH97+MO97</f>
        <v>0</v>
      </c>
      <c r="MQ97" s="1" t="n">
        <f aca="false">IF(FG97=1,MAX(0,(Slot15_Cost-MP97*(1+Slot15_Rate)^(Slot15_Age-D97))/MM97),0)</f>
        <v>0</v>
      </c>
      <c r="MR97" s="1" t="n">
        <f aca="false">IF(FG97=1,MAX(0,(Slot15_Cost-FH97*(1+Slot15_Rate)^(Slot15_Age-D97))/MM97),0)</f>
        <v>0</v>
      </c>
      <c r="MS97" s="1" t="n">
        <f aca="false">IF(AND(HT97=1,FG97=1),MIN(ML97,MQ97),0)</f>
        <v>0</v>
      </c>
      <c r="MT97" s="1" t="n">
        <f aca="false">ML97-MS97</f>
        <v>0</v>
      </c>
      <c r="MU97" s="1" t="n">
        <f aca="false">IF(FQ97=1,IF(ABS((1+AS_Wage)/(1+Slot16_Rate)-1)&lt;0.000000000001,(Slot16_Age-D97)*(1+Slot16_Rate)^(Slot16_Age-D97),(1+Slot16_Rate)^(Slot16_Age-D97)*(1-((1+AS_Wage)/(1+Slot16_Rate))^(Slot16_Age-D97))/(1-(1+AS_Wage)/(1+Slot16_Rate))),1)</f>
        <v>1</v>
      </c>
      <c r="MV97" s="1" t="n">
        <f aca="false">IF(AND(HT97=1,ID97&gt;0,Slot16_IsWG=1,FQ97=1),MAX(0,(Slot16_Cost-FR97*(1+Slot16_Rate)^(Slot16_Age-D97))/MU97),0)</f>
        <v>0</v>
      </c>
      <c r="MW97" s="1" t="n">
        <f aca="false">IF(AND(HT97=1,ID97&gt;0,Slot16_IsWG=1,FQ97=1),MIN(ID97,MV97),0)</f>
        <v>0</v>
      </c>
      <c r="MX97" s="1" t="n">
        <f aca="false">FR97+MW97</f>
        <v>0</v>
      </c>
      <c r="MY97" s="1" t="n">
        <f aca="false">IF(FQ97=1,MAX(0,(Slot16_Cost-MX97*(1+Slot16_Rate)^(Slot16_Age-D97))/MU97),0)</f>
        <v>0</v>
      </c>
      <c r="MZ97" s="1" t="n">
        <f aca="false">IF(FQ97=1,MAX(0,(Slot16_Cost-FR97*(1+Slot16_Rate)^(Slot16_Age-D97))/MU97),0)</f>
        <v>0</v>
      </c>
      <c r="NA97" s="1" t="n">
        <f aca="false">IF(AND(HT97=1,FQ97=1),MIN(MT97,MY97),0)</f>
        <v>0</v>
      </c>
      <c r="NB97" s="1" t="n">
        <f aca="false">MT97-NA97</f>
        <v>0</v>
      </c>
      <c r="NC97" s="1" t="n">
        <f aca="false">IF(GA97=1,IF(ABS((1+AS_Wage)/(1+Slot17_Rate)-1)&lt;0.000000000001,(Slot17_Age-D97)*(1+Slot17_Rate)^(Slot17_Age-D97),(1+Slot17_Rate)^(Slot17_Age-D97)*(1-((1+AS_Wage)/(1+Slot17_Rate))^(Slot17_Age-D97))/(1-(1+AS_Wage)/(1+Slot17_Rate))),1)</f>
        <v>1</v>
      </c>
      <c r="ND97" s="1" t="n">
        <f aca="false">IF(AND(HT97=1,ID97&gt;0,Slot17_IsWG=1,GA97=1),MAX(0,(Slot17_Cost-GB97*(1+Slot17_Rate)^(Slot17_Age-D97))/NC97),0)</f>
        <v>0</v>
      </c>
      <c r="NE97" s="1" t="n">
        <f aca="false">IF(AND(HT97=1,ID97&gt;0,Slot17_IsWG=1,GA97=1),MIN(ID97,ND97),0)</f>
        <v>0</v>
      </c>
      <c r="NF97" s="1" t="n">
        <f aca="false">GB97+NE97</f>
        <v>0</v>
      </c>
      <c r="NG97" s="1" t="n">
        <f aca="false">IF(GA97=1,MAX(0,(Slot17_Cost-NF97*(1+Slot17_Rate)^(Slot17_Age-D97))/NC97),0)</f>
        <v>0</v>
      </c>
      <c r="NH97" s="1" t="n">
        <f aca="false">IF(GA97=1,MAX(0,(Slot17_Cost-GB97*(1+Slot17_Rate)^(Slot17_Age-D97))/NC97),0)</f>
        <v>0</v>
      </c>
      <c r="NI97" s="1" t="n">
        <f aca="false">IF(AND(HT97=1,GA97=1),MIN(NB97,NG97),0)</f>
        <v>0</v>
      </c>
      <c r="NJ97" s="1" t="n">
        <f aca="false">NB97-NI97</f>
        <v>0</v>
      </c>
      <c r="NK97" s="1" t="n">
        <f aca="false">IF(GK97=1,IF(ABS((1+AS_Wage)/(1+Slot18_Rate)-1)&lt;0.000000000001,(Slot18_Age-D97)*(1+Slot18_Rate)^(Slot18_Age-D97),(1+Slot18_Rate)^(Slot18_Age-D97)*(1-((1+AS_Wage)/(1+Slot18_Rate))^(Slot18_Age-D97))/(1-(1+AS_Wage)/(1+Slot18_Rate))),1)</f>
        <v>1</v>
      </c>
      <c r="NL97" s="1" t="n">
        <f aca="false">IF(AND(HT97=1,ID97&gt;0,Slot18_IsWG=1,GK97=1),MAX(0,(Slot18_Cost-GL97*(1+Slot18_Rate)^(Slot18_Age-D97))/NK97),0)</f>
        <v>0</v>
      </c>
      <c r="NM97" s="1" t="n">
        <f aca="false">IF(AND(HT97=1,ID97&gt;0,Slot18_IsWG=1,GK97=1),MIN(ID97,NL97),0)</f>
        <v>0</v>
      </c>
      <c r="NN97" s="1" t="n">
        <f aca="false">GL97+NM97</f>
        <v>0</v>
      </c>
      <c r="NO97" s="1" t="n">
        <f aca="false">IF(GK97=1,MAX(0,(Slot18_Cost-NN97*(1+Slot18_Rate)^(Slot18_Age-D97))/NK97),0)</f>
        <v>0</v>
      </c>
      <c r="NP97" s="1" t="n">
        <f aca="false">IF(GK97=1,MAX(0,(Slot18_Cost-GL97*(1+Slot18_Rate)^(Slot18_Age-D97))/NK97),0)</f>
        <v>0</v>
      </c>
      <c r="NQ97" s="1" t="n">
        <f aca="false">IF(AND(HT97=1,GK97=1),MIN(NJ97,NO97),0)</f>
        <v>0</v>
      </c>
      <c r="NR97" s="1" t="n">
        <f aca="false">NJ97-NQ97</f>
        <v>0</v>
      </c>
      <c r="NS97" s="1" t="n">
        <f aca="false">IF(GU97=1,IF(ABS((1+AS_Wage)/(1+Slot19_Rate)-1)&lt;0.000000000001,(Slot19_Age-D97)*(1+Slot19_Rate)^(Slot19_Age-D97),(1+Slot19_Rate)^(Slot19_Age-D97)*(1-((1+AS_Wage)/(1+Slot19_Rate))^(Slot19_Age-D97))/(1-(1+AS_Wage)/(1+Slot19_Rate))),1)</f>
        <v>1</v>
      </c>
      <c r="NT97" s="1" t="n">
        <f aca="false">IF(AND(HT97=1,ID97&gt;0,Slot19_IsWG=1,GU97=1),MAX(0,(Slot19_Cost-GV97*(1+Slot19_Rate)^(Slot19_Age-D97))/NS97),0)</f>
        <v>0</v>
      </c>
      <c r="NU97" s="1" t="n">
        <f aca="false">IF(AND(HT97=1,ID97&gt;0,Slot19_IsWG=1,GU97=1),MIN(ID97,NT97),0)</f>
        <v>0</v>
      </c>
      <c r="NV97" s="1" t="n">
        <f aca="false">GV97+NU97</f>
        <v>0</v>
      </c>
      <c r="NW97" s="1" t="n">
        <f aca="false">IF(GU97=1,MAX(0,(Slot19_Cost-NV97*(1+Slot19_Rate)^(Slot19_Age-D97))/NS97),0)</f>
        <v>0</v>
      </c>
      <c r="NX97" s="1" t="n">
        <f aca="false">IF(GU97=1,MAX(0,(Slot19_Cost-GV97*(1+Slot19_Rate)^(Slot19_Age-D97))/NS97),0)</f>
        <v>0</v>
      </c>
      <c r="NY97" s="1" t="n">
        <f aca="false">IF(AND(HT97=1,GU97=1),MIN(NR97,NW97),0)</f>
        <v>0</v>
      </c>
      <c r="NZ97" s="1" t="n">
        <f aca="false">NR97-NY97</f>
        <v>0</v>
      </c>
      <c r="OA97" s="1" t="n">
        <f aca="false">IF(HE97=1,IF(ABS((1+AS_Wage)/(1+Slot20_Rate)-1)&lt;0.000000000001,(Slot20_Age-D97)*(1+Slot20_Rate)^(Slot20_Age-D97),(1+Slot20_Rate)^(Slot20_Age-D97)*(1-((1+AS_Wage)/(1+Slot20_Rate))^(Slot20_Age-D97))/(1-(1+AS_Wage)/(1+Slot20_Rate))),1)</f>
        <v>1</v>
      </c>
      <c r="OB97" s="1" t="n">
        <f aca="false">IF(AND(HT97=1,ID97&gt;0,Slot20_IsWG=1,HE97=1),MAX(0,(Slot20_Cost-HF97*(1+Slot20_Rate)^(Slot20_Age-D97))/OA97),0)</f>
        <v>0</v>
      </c>
      <c r="OC97" s="1" t="n">
        <f aca="false">IF(AND(HT97=1,ID97&gt;0,Slot20_IsWG=1,HE97=1),MIN(ID97,OB97),0)</f>
        <v>0</v>
      </c>
      <c r="OD97" s="1" t="n">
        <f aca="false">HF97+OC97</f>
        <v>0</v>
      </c>
      <c r="OE97" s="1" t="n">
        <f aca="false">IF(HE97=1,MAX(0,(Slot20_Cost-OD97*(1+Slot20_Rate)^(Slot20_Age-D97))/OA97),0)</f>
        <v>0</v>
      </c>
      <c r="OF97" s="1" t="n">
        <f aca="false">IF(HE97=1,MAX(0,(Slot20_Cost-HF97*(1+Slot20_Rate)^(Slot20_Age-D97))/OA97),0)</f>
        <v>0</v>
      </c>
      <c r="OG97" s="1" t="n">
        <f aca="false">IF(AND(HT97=1,HE97=1),MIN(NZ97,OE97),0)</f>
        <v>0</v>
      </c>
      <c r="OH97" s="1" t="n">
        <f aca="false">NZ97-OG97</f>
        <v>0</v>
      </c>
      <c r="OI97" s="1" t="n">
        <f aca="false">ID97-(IG97+IO97+IW97+JE97+JM97+JU97+KC97+KK97+KS97+LA97+LI97+LQ97+LY97+MG97+MO97+MW97+NE97+NM97+NU97+OC97)</f>
        <v>0</v>
      </c>
      <c r="OJ97" s="1" t="n">
        <f aca="false">IF(HT97=1,HR97-IC97-ID97,0)</f>
        <v>75576.1437307186</v>
      </c>
      <c r="OK97" s="1" t="n">
        <f aca="false">IF(HT97=0,-HR97,0)</f>
        <v>0</v>
      </c>
      <c r="OL97" s="1" t="n">
        <f aca="false">MIN(OK97,HJ97)</f>
        <v>0</v>
      </c>
      <c r="OM97" s="1" t="n">
        <f aca="false">OK97-OL97</f>
        <v>0</v>
      </c>
      <c r="ON97" s="1" t="n">
        <f aca="false">MIN(OM97,HK97)</f>
        <v>0</v>
      </c>
      <c r="OO97" s="1" t="n">
        <f aca="false">OM97-ON97</f>
        <v>0</v>
      </c>
      <c r="OP97" s="1" t="n">
        <f aca="false">IF(AND(HT97=0,HE97=1,OO97&gt;0),MIN(OO97,HF97),0)</f>
        <v>0</v>
      </c>
      <c r="OQ97" s="1" t="n">
        <f aca="false">OO97-OP97</f>
        <v>0</v>
      </c>
      <c r="OR97" s="1" t="n">
        <f aca="false">IF(AND(HT97=0,GU97=1,OQ97&gt;0),MIN(OQ97,GV97),0)</f>
        <v>0</v>
      </c>
      <c r="OS97" s="1" t="n">
        <f aca="false">OQ97-OR97</f>
        <v>0</v>
      </c>
      <c r="OT97" s="1" t="n">
        <f aca="false">IF(AND(HT97=0,GK97=1,OS97&gt;0),MIN(OS97,GL97),0)</f>
        <v>0</v>
      </c>
      <c r="OU97" s="1" t="n">
        <f aca="false">OS97-OT97</f>
        <v>0</v>
      </c>
      <c r="OV97" s="1" t="n">
        <f aca="false">IF(AND(HT97=0,GA97=1,OU97&gt;0),MIN(OU97,GB97),0)</f>
        <v>0</v>
      </c>
      <c r="OW97" s="1" t="n">
        <f aca="false">OU97-OV97</f>
        <v>0</v>
      </c>
      <c r="OX97" s="1" t="n">
        <f aca="false">IF(AND(HT97=0,FQ97=1,OW97&gt;0),MIN(OW97,FR97),0)</f>
        <v>0</v>
      </c>
      <c r="OY97" s="1" t="n">
        <f aca="false">OW97-OX97</f>
        <v>0</v>
      </c>
      <c r="OZ97" s="1" t="n">
        <f aca="false">IF(AND(HT97=0,FG97=1,OY97&gt;0),MIN(OY97,FH97),0)</f>
        <v>0</v>
      </c>
      <c r="PA97" s="1" t="n">
        <f aca="false">OY97-OZ97</f>
        <v>0</v>
      </c>
      <c r="PB97" s="1" t="n">
        <f aca="false">IF(AND(HT97=0,EW97=1,PA97&gt;0),MIN(PA97,EX97),0)</f>
        <v>0</v>
      </c>
      <c r="PC97" s="1" t="n">
        <f aca="false">PA97-PB97</f>
        <v>0</v>
      </c>
      <c r="PD97" s="1" t="n">
        <f aca="false">IF(AND(HT97=0,EM97=1,PC97&gt;0),MIN(PC97,EN97),0)</f>
        <v>0</v>
      </c>
      <c r="PE97" s="1" t="n">
        <f aca="false">PC97-PD97</f>
        <v>0</v>
      </c>
      <c r="PF97" s="1" t="n">
        <f aca="false">IF(AND(HT97=0,EC97=1,PE97&gt;0),MIN(PE97,ED97),0)</f>
        <v>0</v>
      </c>
      <c r="PG97" s="1" t="n">
        <f aca="false">PE97-PF97</f>
        <v>0</v>
      </c>
      <c r="PH97" s="1" t="n">
        <f aca="false">IF(AND(HT97=0,DS97=1,PG97&gt;0),MIN(PG97,DT97),0)</f>
        <v>0</v>
      </c>
      <c r="PI97" s="1" t="n">
        <f aca="false">PG97-PH97</f>
        <v>0</v>
      </c>
      <c r="PJ97" s="1" t="n">
        <f aca="false">IF(AND(HT97=0,DI97=1,PI97&gt;0),MIN(PI97,DJ97),0)</f>
        <v>0</v>
      </c>
      <c r="PK97" s="1" t="n">
        <f aca="false">PI97-PJ97</f>
        <v>0</v>
      </c>
      <c r="PL97" s="1" t="n">
        <f aca="false">IF(AND(HT97=0,CY97=1,PK97&gt;0),MIN(PK97,CZ97),0)</f>
        <v>0</v>
      </c>
      <c r="PM97" s="1" t="n">
        <f aca="false">PK97-PL97</f>
        <v>0</v>
      </c>
      <c r="PN97" s="1" t="n">
        <f aca="false">IF(AND(HT97=0,CO97=1,PM97&gt;0),MIN(PM97,CP97),0)</f>
        <v>0</v>
      </c>
      <c r="PO97" s="1" t="n">
        <f aca="false">PM97-PN97</f>
        <v>0</v>
      </c>
      <c r="PP97" s="1" t="n">
        <f aca="false">IF(AND(HT97=0,CE97=1,PO97&gt;0),MIN(PO97,CF97),0)</f>
        <v>0</v>
      </c>
      <c r="PQ97" s="1" t="n">
        <f aca="false">PO97-PP97</f>
        <v>0</v>
      </c>
      <c r="PR97" s="1" t="n">
        <f aca="false">IF(AND(HT97=0,BU97=1,PQ97&gt;0),MIN(PQ97,BV97),0)</f>
        <v>0</v>
      </c>
      <c r="PS97" s="1" t="n">
        <f aca="false">PQ97-PR97</f>
        <v>0</v>
      </c>
      <c r="PT97" s="1" t="n">
        <f aca="false">IF(AND(HT97=0,BK97=1,PS97&gt;0),MIN(PS97,BL97),0)</f>
        <v>0</v>
      </c>
      <c r="PU97" s="1" t="n">
        <f aca="false">PS97-PT97</f>
        <v>0</v>
      </c>
      <c r="PV97" s="1" t="n">
        <f aca="false">IF(AND(HT97=0,BA97=1,PU97&gt;0),MIN(PU97,BB97),0)</f>
        <v>0</v>
      </c>
      <c r="PW97" s="1" t="n">
        <f aca="false">PU97-PV97</f>
        <v>0</v>
      </c>
      <c r="PX97" s="1" t="n">
        <f aca="false">IF(AND(HT97=0,AQ97=1,PW97&gt;0),MIN(PW97,AR97),0)</f>
        <v>0</v>
      </c>
      <c r="PY97" s="1" t="n">
        <f aca="false">PW97-PX97</f>
        <v>0</v>
      </c>
      <c r="PZ97" s="1" t="n">
        <f aca="false">IF(AND(HT97=0,AG97=1,PY97&gt;0),MIN(PY97,AH97),0)</f>
        <v>0</v>
      </c>
      <c r="QA97" s="1" t="n">
        <f aca="false">PY97-PZ97</f>
        <v>0</v>
      </c>
      <c r="QB97" s="1" t="n">
        <f aca="false">IF(AND(HT97=0,V97=1,QA97&gt;0),MIN(QA97,W97),0)</f>
        <v>0</v>
      </c>
      <c r="QC97" s="1" t="n">
        <f aca="false">QA97-QB97</f>
        <v>0</v>
      </c>
      <c r="QD97" s="1" t="n">
        <f aca="false">IF(HT97=0,QC97,0)</f>
        <v>0</v>
      </c>
      <c r="QE97" s="1" t="n">
        <f aca="false">OL97+ON97+QB97+PZ97+PX97+PV97+PT97+PR97+PP97+PN97+PL97+PJ97+PH97+PF97+PD97+PB97+OZ97+OX97+OV97+OT97+OR97+OP97</f>
        <v>0</v>
      </c>
      <c r="QF97" s="1" t="n">
        <f aca="false">IF(HT97=1,HJ97+OI97+OH97+IF(F97=1,0,OJ97),HJ97-OL97)</f>
        <v>1702060.09633456</v>
      </c>
      <c r="QG97" s="1" t="n">
        <f aca="false">HK97-ON97</f>
        <v>0</v>
      </c>
      <c r="QH97" s="1" t="n">
        <f aca="false">IF(HT97=1,IF(F97=1,IC97+ID97,HR97),0)</f>
        <v>75576.1437307186</v>
      </c>
      <c r="QI97" s="1" t="n">
        <f aca="false">IF(HT97=1,IF(F97=1,HR97-IC97-ID97,0),0)</f>
        <v>0</v>
      </c>
      <c r="QJ97" s="1" t="n">
        <f aca="false">QF97*(1+GR)</f>
        <v>1729973.88191444</v>
      </c>
      <c r="QK97" s="1" t="n">
        <f aca="false">QG97*(1+AS_Cash)</f>
        <v>0</v>
      </c>
      <c r="QL97" s="1" t="n">
        <f aca="false">IF(V97=1,IF(HT97=1,IH97+IK97,W97-QB97)*(1+Slot1_Rate),0)</f>
        <v>0</v>
      </c>
      <c r="QM97" s="1" t="n">
        <f aca="false">IF(AND(HT97=1,V97=1),(IG97+IK97)/E97,0)</f>
        <v>0</v>
      </c>
      <c r="QN97" s="1" t="n">
        <f aca="false">IF(B97=0,IG97+IK97,0)</f>
        <v>0</v>
      </c>
      <c r="QO97" s="1" t="n">
        <f aca="false">IF(B97=0,IF(HT97=1,II97,IJ97),0)</f>
        <v>0</v>
      </c>
      <c r="QP97" s="1" t="n">
        <f aca="false">IF(AG97=1,IF(HT97=1,IP97+IS97,AH97-PZ97)*(1+Slot2_Rate),0)</f>
        <v>0</v>
      </c>
      <c r="QQ97" s="1" t="n">
        <f aca="false">IF(AND(HT97=1,AG97=1),(IO97+IS97)/E97,0)</f>
        <v>0</v>
      </c>
      <c r="QR97" s="1" t="n">
        <f aca="false">IF(B97=0,IO97+IS97,0)</f>
        <v>0</v>
      </c>
      <c r="QS97" s="1" t="n">
        <f aca="false">IF(B97=0,IF(HT97=1,IQ97,IR97),0)</f>
        <v>0</v>
      </c>
      <c r="QT97" s="1" t="n">
        <f aca="false">IF(AQ97=1,IF(HT97=1,IX97+JA97,AR97-PX97)*(1+Slot3_Rate),0)</f>
        <v>0</v>
      </c>
      <c r="QU97" s="1" t="n">
        <f aca="false">IF(AND(HT97=1,AQ97=1),(IW97+JA97)/E97,0)</f>
        <v>0</v>
      </c>
      <c r="QV97" s="1" t="n">
        <f aca="false">IF(B97=0,IW97+JA97,0)</f>
        <v>0</v>
      </c>
      <c r="QW97" s="1" t="n">
        <f aca="false">IF(B97=0,IF(HT97=1,IY97,IZ97),0)</f>
        <v>0</v>
      </c>
      <c r="QX97" s="1" t="n">
        <f aca="false">IF(BA97=1,IF(HT97=1,JF97+JI97,BB97-PV97)*(1+Slot4_Rate),0)</f>
        <v>0</v>
      </c>
      <c r="QY97" s="1" t="n">
        <f aca="false">IF(AND(HT97=1,BA97=1),(JE97+JI97)/E97,0)</f>
        <v>0</v>
      </c>
      <c r="QZ97" s="1" t="n">
        <f aca="false">IF(B97=0,JE97+JI97,0)</f>
        <v>0</v>
      </c>
      <c r="RA97" s="1" t="n">
        <f aca="false">IF(B97=0,IF(HT97=1,JG97,JH97),0)</f>
        <v>0</v>
      </c>
      <c r="RB97" s="1" t="n">
        <f aca="false">IF(BK97=1,IF(HT97=1,JN97+JQ97,BL97-PT97)*(1+Slot5_Rate),0)</f>
        <v>0</v>
      </c>
      <c r="RC97" s="1" t="n">
        <f aca="false">IF(AND(HT97=1,BK97=1),(JM97+JQ97)/E97,0)</f>
        <v>0</v>
      </c>
      <c r="RD97" s="1" t="n">
        <f aca="false">IF(B97=0,JM97+JQ97,0)</f>
        <v>0</v>
      </c>
      <c r="RE97" s="1" t="n">
        <f aca="false">IF(B97=0,IF(HT97=1,JO97,JP97),0)</f>
        <v>0</v>
      </c>
      <c r="RF97" s="1" t="n">
        <f aca="false">IF(BU97=1,IF(HT97=1,JV97+JY97,BV97-PR97)*(1+Slot6_Rate),0)</f>
        <v>0</v>
      </c>
      <c r="RG97" s="1" t="n">
        <f aca="false">IF(AND(HT97=1,BU97=1),(JU97+JY97)/E97,0)</f>
        <v>0</v>
      </c>
      <c r="RH97" s="1" t="n">
        <f aca="false">IF(B97=0,JU97+JY97,0)</f>
        <v>0</v>
      </c>
      <c r="RI97" s="1" t="n">
        <f aca="false">IF(B97=0,IF(HT97=1,JW97,JX97),0)</f>
        <v>0</v>
      </c>
      <c r="RJ97" s="1" t="n">
        <f aca="false">IF(CE97=1,IF(HT97=1,KD97+KG97,CF97-PP97)*(1+Slot7_Rate),0)</f>
        <v>0</v>
      </c>
      <c r="RK97" s="1" t="n">
        <f aca="false">IF(AND(HT97=1,CE97=1),(KC97+KG97)/E97,0)</f>
        <v>0</v>
      </c>
      <c r="RL97" s="1" t="n">
        <f aca="false">IF(B97=0,KC97+KG97,0)</f>
        <v>0</v>
      </c>
      <c r="RM97" s="1" t="n">
        <f aca="false">IF(B97=0,IF(HT97=1,KE97,KF97),0)</f>
        <v>0</v>
      </c>
      <c r="RN97" s="1" t="n">
        <f aca="false">IF(CO97=1,IF(HT97=1,KL97+KO97,CP97-PN97)*(1+Slot8_Rate),0)</f>
        <v>0</v>
      </c>
      <c r="RO97" s="1" t="n">
        <f aca="false">IF(AND(HT97=1,CO97=1),(KK97+KO97)/E97,0)</f>
        <v>0</v>
      </c>
      <c r="RP97" s="1" t="n">
        <f aca="false">IF(B97=0,KK97+KO97,0)</f>
        <v>0</v>
      </c>
      <c r="RQ97" s="1" t="n">
        <f aca="false">IF(B97=0,IF(HT97=1,KM97,KN97),0)</f>
        <v>0</v>
      </c>
      <c r="RR97" s="1" t="n">
        <f aca="false">IF(CY97=1,IF(HT97=1,KT97+KW97,CZ97-PL97)*(1+Slot9_Rate),0)</f>
        <v>0</v>
      </c>
      <c r="RS97" s="1" t="n">
        <f aca="false">IF(AND(HT97=1,CY97=1),(KS97+KW97)/E97,0)</f>
        <v>0</v>
      </c>
      <c r="RT97" s="1" t="n">
        <f aca="false">IF(B97=0,KS97+KW97,0)</f>
        <v>0</v>
      </c>
      <c r="RU97" s="1" t="n">
        <f aca="false">IF(B97=0,IF(HT97=1,KU97,KV97),0)</f>
        <v>0</v>
      </c>
      <c r="RV97" s="1" t="n">
        <f aca="false">IF(DI97=1,IF(HT97=1,LB97+LE97,DJ97-PJ97)*(1+Slot10_Rate),0)</f>
        <v>0</v>
      </c>
      <c r="RW97" s="1" t="n">
        <f aca="false">IF(AND(HT97=1,DI97=1),(LA97+LE97)/E97,0)</f>
        <v>0</v>
      </c>
      <c r="RX97" s="1" t="n">
        <f aca="false">IF(B97=0,LA97+LE97,0)</f>
        <v>0</v>
      </c>
      <c r="RY97" s="1" t="n">
        <f aca="false">IF(B97=0,IF(HT97=1,LC97,LD97),0)</f>
        <v>0</v>
      </c>
      <c r="RZ97" s="1" t="n">
        <f aca="false">IF(DS97=1,IF(HT97=1,LJ97+LM97,DT97-PH97)*(1+Slot11_Rate),0)</f>
        <v>0</v>
      </c>
      <c r="SA97" s="1" t="n">
        <f aca="false">IF(AND(HT97=1,DS97=1),(LI97+LM97)/E97,0)</f>
        <v>0</v>
      </c>
      <c r="SB97" s="1" t="n">
        <f aca="false">IF(B97=0,LI97+LM97,0)</f>
        <v>0</v>
      </c>
      <c r="SC97" s="1" t="n">
        <f aca="false">IF(B97=0,IF(HT97=1,LK97,LL97),0)</f>
        <v>0</v>
      </c>
      <c r="SD97" s="1" t="n">
        <f aca="false">IF(EC97=1,IF(HT97=1,LR97+LU97,ED97-PF97)*(1+Slot12_Rate),0)</f>
        <v>0</v>
      </c>
      <c r="SE97" s="1" t="n">
        <f aca="false">IF(AND(HT97=1,EC97=1),(LQ97+LU97)/E97,0)</f>
        <v>0</v>
      </c>
      <c r="SF97" s="1" t="n">
        <f aca="false">IF(B97=0,LQ97+LU97,0)</f>
        <v>0</v>
      </c>
      <c r="SG97" s="1" t="n">
        <f aca="false">IF(B97=0,IF(HT97=1,LS97,LT97),0)</f>
        <v>0</v>
      </c>
      <c r="SH97" s="1" t="n">
        <f aca="false">IF(EM97=1,IF(HT97=1,LZ97+MC97,EN97-PD97)*(1+Slot13_Rate),0)</f>
        <v>0</v>
      </c>
      <c r="SI97" s="1" t="n">
        <f aca="false">IF(AND(HT97=1,EM97=1),(LY97+MC97)/E97,0)</f>
        <v>0</v>
      </c>
      <c r="SJ97" s="1" t="n">
        <f aca="false">IF(B97=0,LY97+MC97,0)</f>
        <v>0</v>
      </c>
      <c r="SK97" s="1" t="n">
        <f aca="false">IF(B97=0,IF(HT97=1,MA97,MB97),0)</f>
        <v>0</v>
      </c>
      <c r="SL97" s="1" t="n">
        <f aca="false">IF(EW97=1,IF(HT97=1,MH97+MK97,EX97-PB97)*(1+Slot14_Rate),0)</f>
        <v>0</v>
      </c>
      <c r="SM97" s="1" t="n">
        <f aca="false">IF(AND(HT97=1,EW97=1),(MG97+MK97)/E97,0)</f>
        <v>0</v>
      </c>
      <c r="SN97" s="1" t="n">
        <f aca="false">IF(B97=0,MG97+MK97,0)</f>
        <v>0</v>
      </c>
      <c r="SO97" s="1" t="n">
        <f aca="false">IF(B97=0,IF(HT97=1,MI97,MJ97),0)</f>
        <v>0</v>
      </c>
      <c r="SP97" s="1" t="n">
        <f aca="false">IF(FG97=1,IF(HT97=1,MP97+MS97,FH97-OZ97)*(1+Slot15_Rate),0)</f>
        <v>0</v>
      </c>
      <c r="SQ97" s="1" t="n">
        <f aca="false">IF(AND(HT97=1,FG97=1),(MO97+MS97)/E97,0)</f>
        <v>0</v>
      </c>
      <c r="SR97" s="1" t="n">
        <f aca="false">IF(B97=0,MO97+MS97,0)</f>
        <v>0</v>
      </c>
      <c r="SS97" s="1" t="n">
        <f aca="false">IF(B97=0,IF(HT97=1,MQ97,MR97),0)</f>
        <v>0</v>
      </c>
      <c r="ST97" s="1" t="n">
        <f aca="false">IF(FQ97=1,IF(HT97=1,MX97+NA97,FR97-OX97)*(1+Slot16_Rate),0)</f>
        <v>0</v>
      </c>
      <c r="SU97" s="1" t="n">
        <f aca="false">IF(AND(HT97=1,FQ97=1),(MW97+NA97)/E97,0)</f>
        <v>0</v>
      </c>
      <c r="SV97" s="1" t="n">
        <f aca="false">IF(B97=0,MW97+NA97,0)</f>
        <v>0</v>
      </c>
      <c r="SW97" s="1" t="n">
        <f aca="false">IF(B97=0,IF(HT97=1,MY97,MZ97),0)</f>
        <v>0</v>
      </c>
      <c r="SX97" s="1" t="n">
        <f aca="false">IF(GA97=1,IF(HT97=1,NF97+NI97,GB97-OV97)*(1+Slot17_Rate),0)</f>
        <v>0</v>
      </c>
      <c r="SY97" s="1" t="n">
        <f aca="false">IF(AND(HT97=1,GA97=1),(NE97+NI97)/E97,0)</f>
        <v>0</v>
      </c>
      <c r="SZ97" s="1" t="n">
        <f aca="false">IF(B97=0,NE97+NI97,0)</f>
        <v>0</v>
      </c>
      <c r="TA97" s="1" t="n">
        <f aca="false">IF(B97=0,IF(HT97=1,NG97,NH97),0)</f>
        <v>0</v>
      </c>
      <c r="TB97" s="1" t="n">
        <f aca="false">IF(GK97=1,IF(HT97=1,NN97+NQ97,GL97-OT97)*(1+Slot18_Rate),0)</f>
        <v>0</v>
      </c>
      <c r="TC97" s="1" t="n">
        <f aca="false">IF(AND(HT97=1,GK97=1),(NM97+NQ97)/E97,0)</f>
        <v>0</v>
      </c>
      <c r="TD97" s="1" t="n">
        <f aca="false">IF(B97=0,NM97+NQ97,0)</f>
        <v>0</v>
      </c>
      <c r="TE97" s="1" t="n">
        <f aca="false">IF(B97=0,IF(HT97=1,NO97,NP97),0)</f>
        <v>0</v>
      </c>
      <c r="TF97" s="1" t="n">
        <f aca="false">IF(GU97=1,IF(HT97=1,NV97+NY97,GV97-OR97)*(1+Slot19_Rate),0)</f>
        <v>0</v>
      </c>
      <c r="TG97" s="1" t="n">
        <f aca="false">IF(AND(HT97=1,GU97=1),(NU97+NY97)/E97,0)</f>
        <v>0</v>
      </c>
      <c r="TH97" s="1" t="n">
        <f aca="false">IF(B97=0,NU97+NY97,0)</f>
        <v>0</v>
      </c>
      <c r="TI97" s="1" t="n">
        <f aca="false">IF(B97=0,IF(HT97=1,NW97,NX97),0)</f>
        <v>0</v>
      </c>
      <c r="TJ97" s="1" t="n">
        <f aca="false">IF(HE97=1,IF(HT97=1,OD97+OG97,HF97-OP97)*(1+Slot20_Rate),0)</f>
        <v>0</v>
      </c>
      <c r="TK97" s="1" t="n">
        <f aca="false">IF(AND(HT97=1,HE97=1),(OC97+OG97)/E97,0)</f>
        <v>0</v>
      </c>
      <c r="TL97" s="1" t="n">
        <f aca="false">IF(B97=0,OC97+OG97,0)</f>
        <v>0</v>
      </c>
      <c r="TM97" s="1" t="n">
        <f aca="false">IF(B97=0,IF(HT97=1,OE97,OF97),0)</f>
        <v>0</v>
      </c>
      <c r="TN97" s="1" t="n">
        <f aca="false">QJ97+QK97+QL97+QP97+QT97+QX97+RB97+RF97+RJ97+RN97+RR97+RV97+RZ97+SD97+SH97+SL97+SP97+ST97+SX97+TB97+TF97+TJ97</f>
        <v>1729973.88191444</v>
      </c>
      <c r="TO97" s="1" t="n">
        <f aca="false">QD97+HO97</f>
        <v>0</v>
      </c>
      <c r="TP97" s="1" t="n">
        <f aca="false">H97+R97</f>
        <v>0</v>
      </c>
      <c r="TQ97" s="1" t="n">
        <f aca="false">1-F97</f>
        <v>1</v>
      </c>
      <c r="TR97" s="1" t="n">
        <f aca="false">IF(AND(RG_Exists=1,F97=0,C97=1),H97,0)</f>
        <v>0</v>
      </c>
      <c r="TS97" s="1" t="n">
        <f aca="false">IF(AND(RG_Exists=1,F97=0,C97=1),H97-MIN(QD97,H97),0)</f>
        <v>0</v>
      </c>
      <c r="TT97" s="1" t="n">
        <f aca="false">'Plan pay &amp; tax'!AD323</f>
        <v>0</v>
      </c>
      <c r="TU97" s="1" t="n">
        <f aca="false">IF(AND(C97=1,QD97&gt;MAX(PR_Short1,TP97*PR_Short2)),1,0)</f>
        <v>0</v>
      </c>
      <c r="TV97" s="1" t="n">
        <f aca="false">MIN(G97,H97+R97)</f>
        <v>0</v>
      </c>
      <c r="TW97" s="1" t="n">
        <f aca="false">QE97+MAX(0,HP97-HO97)</f>
        <v>0</v>
      </c>
      <c r="TX97" s="1" t="n">
        <f aca="false">QD97+HO97</f>
        <v>0</v>
      </c>
      <c r="TY97" s="1" t="n">
        <f aca="false">IF(AND(C97=1,TX97&gt;PR_MinShort),1,0)</f>
        <v>0</v>
      </c>
      <c r="TZ97" s="1" t="n">
        <f aca="false">IF(AND(C97=1,TY97=0,TW97&gt;PR_MinShort),1,0)</f>
        <v>0</v>
      </c>
      <c r="UA97" s="1" t="n">
        <f aca="false">IF(AND(C97=1,QD97&gt;PR_MinShort),1,0)</f>
        <v>0</v>
      </c>
      <c r="UB97" s="1" t="n">
        <f aca="false">IF(AND(C97=1,QE97&gt;1,UI97=0),1,0)</f>
        <v>0</v>
      </c>
      <c r="UC97" s="1" t="str">
        <f aca="false">IF(C97=0,"",IF(UI97=1,"Gap to plan for: short "&amp;"€"&amp;TEXT(ROUND(TO97,0),"#,##0"),IF(QE97&gt;1,"Using savings","Comfortable")))</f>
        <v>Comfortable</v>
      </c>
      <c r="UD97" s="1" t="n">
        <f aca="false">IF(AND(INT(D97/10)*10=90,B97&gt;0),80,INT(D97/10)*10)</f>
        <v>80</v>
      </c>
      <c r="UE97" s="1" t="n">
        <f aca="false">IF(B97=0,1,IF(UD97&lt;&gt;UD96,UE96+1,UE96))</f>
        <v>9</v>
      </c>
      <c r="UF97" s="1" t="n">
        <f aca="false">IF(AND(C97=1,F97=1,QD97&gt;MAX(PR_Short1,TP97*PR_Short2)),1,0)</f>
        <v>0</v>
      </c>
      <c r="UG97" s="1" t="n">
        <f aca="false">TQ97*TU97</f>
        <v>0</v>
      </c>
      <c r="UH97" s="1" t="n">
        <f aca="false">IF(AND(U97=1,Slot1_PctLow=1),1,0)+IF(AND(AF97=1,Slot2_PctLow=1),1,0)+IF(AND(AP97=1,Slot3_PctLow=1),1,0)+IF(AND(AZ97=1,Slot4_PctLow=1),1,0)+IF(AND(BJ97=1,Slot5_PctLow=1),1,0)+IF(AND(BT97=1,Slot6_PctLow=1),1,0)+IF(AND(CD97=1,Slot7_PctLow=1),1,0)+IF(AND(CN97=1,Slot8_PctLow=1),1,0)+IF(AND(CX97=1,Slot9_PctLow=1),1,0)+IF(AND(DH97=1,Slot10_PctLow=1),1,0)+IF(AND(DR97=1,Slot11_PctLow=1),1,0)+IF(AND(EB97=1,Slot12_PctLow=1),1,0)+IF(AND(EL97=1,Slot13_PctLow=1),1,0)+IF(AND(EV97=1,Slot14_PctLow=1),1,0)+IF(AND(FF97=1,Slot15_PctLow=1),1,0)+IF(AND(FP97=1,Slot16_PctLow=1),1,0)+IF(AND(FZ97=1,Slot17_PctLow=1),1,0)+IF(AND(GJ97=1,Slot18_PctLow=1),1,0)+IF(AND(GT97=1,Slot19_PctLow=1),1,0)+IF(AND(HD97=1,Slot20_PctLow=1),1,0)</f>
        <v>0</v>
      </c>
      <c r="UI97" s="1" t="n">
        <f aca="false">IF(C97=1,IF(OR(TU97=1,UH97&gt;0),1,0),0)</f>
        <v>0</v>
      </c>
    </row>
  </sheetData>
  <mergeCells count="1">
    <mergeCell ref="B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AB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14"/>
    <col collapsed="false" customWidth="true" hidden="false" outlineLevel="0" max="4" min="4" style="1" width="12"/>
    <col collapsed="false" customWidth="true" hidden="false" outlineLevel="0" max="5" min="5" style="1" width="26"/>
    <col collapsed="false" customWidth="true" hidden="false" outlineLevel="0" max="6" min="6" style="1" width="12"/>
    <col collapsed="false" customWidth="true" hidden="false" outlineLevel="0" max="7" min="7" style="1" width="14"/>
    <col collapsed="false" customWidth="true" hidden="false" outlineLevel="0" max="10" min="8" style="1" width="12"/>
    <col collapsed="false" customWidth="true" hidden="false" outlineLevel="0" max="11" min="11" style="1" width="14"/>
    <col collapsed="false" customWidth="true" hidden="false" outlineLevel="0" max="12" min="12" style="1" width="24"/>
    <col collapsed="false" customWidth="true" hidden="false" outlineLevel="0" max="13" min="13" style="1" width="70"/>
    <col collapsed="false" customWidth="true" hidden="false" outlineLevel="0" max="15" min="14" style="1" width="14"/>
    <col collapsed="false" customWidth="true" hidden="false" outlineLevel="0" max="16" min="16" style="1" width="16"/>
    <col collapsed="false" customWidth="true" hidden="false" outlineLevel="0" max="22" min="17" style="1" width="14"/>
    <col collapsed="false" customWidth="true" hidden="false" outlineLevel="0" max="28" min="23" style="1" width="22"/>
  </cols>
  <sheetData>
    <row r="1" customFormat="false" ht="17.25" hidden="false" customHeight="true" outlineLevel="0" collapsed="false">
      <c r="B1" s="90" t="s">
        <v>2483</v>
      </c>
    </row>
    <row r="2" customFormat="false" ht="48" hidden="false" customHeight="true" outlineLevel="0" collapsed="false">
      <c r="B2" s="91" t="s">
        <v>2484</v>
      </c>
      <c r="C2" s="91"/>
      <c r="D2" s="91"/>
      <c r="E2" s="91"/>
      <c r="F2" s="91"/>
      <c r="G2" s="91"/>
      <c r="H2" s="91"/>
      <c r="I2" s="91"/>
      <c r="J2" s="91"/>
      <c r="K2" s="91"/>
      <c r="L2" s="91"/>
    </row>
    <row r="4" customFormat="false" ht="15" hidden="false" customHeight="true" outlineLevel="0" collapsed="false">
      <c r="B4" s="113" t="s">
        <v>2485</v>
      </c>
    </row>
    <row r="5" customFormat="false" ht="45.75" hidden="false" customHeight="true" outlineLevel="0" collapsed="false">
      <c r="B5" s="100" t="s">
        <v>2486</v>
      </c>
      <c r="C5" s="100" t="s">
        <v>2487</v>
      </c>
      <c r="D5" s="100" t="s">
        <v>2488</v>
      </c>
      <c r="E5" s="100" t="s">
        <v>2489</v>
      </c>
      <c r="F5" s="100" t="s">
        <v>2490</v>
      </c>
      <c r="G5" s="100" t="s">
        <v>2491</v>
      </c>
    </row>
    <row r="6" customFormat="false" ht="15" hidden="false" customHeight="true" outlineLevel="0" collapsed="false">
      <c r="B6" s="1" t="s">
        <v>2492</v>
      </c>
      <c r="C6" s="1" t="s">
        <v>2493</v>
      </c>
      <c r="D6" s="1" t="n">
        <v>40000</v>
      </c>
      <c r="E6" s="1" t="n">
        <v>4</v>
      </c>
      <c r="F6" s="1" t="s">
        <v>2494</v>
      </c>
      <c r="G6" s="1" t="s">
        <v>2495</v>
      </c>
    </row>
    <row r="7" customFormat="false" ht="15" hidden="false" customHeight="true" outlineLevel="0" collapsed="false">
      <c r="B7" s="1" t="s">
        <v>2496</v>
      </c>
      <c r="C7" s="1" t="s">
        <v>2497</v>
      </c>
      <c r="D7" s="1" t="n">
        <v>40000</v>
      </c>
      <c r="E7" s="1" t="n">
        <v>0</v>
      </c>
      <c r="F7" s="1" t="s">
        <v>2496</v>
      </c>
      <c r="G7" s="1" t="s">
        <v>1422</v>
      </c>
    </row>
    <row r="8" customFormat="false" ht="15" hidden="false" customHeight="true" outlineLevel="0" collapsed="false">
      <c r="B8" s="1" t="s">
        <v>2498</v>
      </c>
      <c r="C8" s="1" t="s">
        <v>2499</v>
      </c>
      <c r="D8" s="1" t="n">
        <v>15000</v>
      </c>
      <c r="E8" s="1" t="n">
        <v>3</v>
      </c>
      <c r="F8" s="1" t="s">
        <v>2494</v>
      </c>
      <c r="G8" s="1" t="s">
        <v>2500</v>
      </c>
    </row>
    <row r="9" customFormat="false" ht="15" hidden="false" customHeight="true" outlineLevel="0" collapsed="false">
      <c r="B9" s="1" t="s">
        <v>2501</v>
      </c>
      <c r="C9" s="1" t="s">
        <v>2502</v>
      </c>
      <c r="D9" s="1" t="n">
        <v>30000</v>
      </c>
      <c r="E9" s="1" t="n">
        <v>10</v>
      </c>
      <c r="F9" s="1" t="s">
        <v>2494</v>
      </c>
      <c r="G9" s="1" t="s">
        <v>2503</v>
      </c>
    </row>
    <row r="10" customFormat="false" ht="15" hidden="false" customHeight="true" outlineLevel="0" collapsed="false">
      <c r="B10" s="1" t="s">
        <v>2504</v>
      </c>
      <c r="C10" s="1" t="s">
        <v>2505</v>
      </c>
      <c r="D10" s="1" t="n">
        <v>8000</v>
      </c>
      <c r="E10" s="1" t="n">
        <v>2</v>
      </c>
      <c r="F10" s="1" t="s">
        <v>2494</v>
      </c>
      <c r="G10" s="1" t="s">
        <v>2503</v>
      </c>
    </row>
    <row r="11" customFormat="false" ht="15" hidden="false" customHeight="true" outlineLevel="0" collapsed="false">
      <c r="B11" s="1" t="s">
        <v>2506</v>
      </c>
      <c r="C11" s="1" t="s">
        <v>2507</v>
      </c>
      <c r="D11" s="1" t="n">
        <v>25000</v>
      </c>
      <c r="E11" s="1" t="n">
        <v>5</v>
      </c>
      <c r="F11" s="1" t="s">
        <v>2494</v>
      </c>
      <c r="G11" s="1" t="s">
        <v>2503</v>
      </c>
    </row>
    <row r="12" customFormat="false" ht="15" hidden="false" customHeight="true" outlineLevel="0" collapsed="false">
      <c r="B12" s="1" t="s">
        <v>2508</v>
      </c>
      <c r="C12" s="1" t="s">
        <v>2509</v>
      </c>
      <c r="D12" s="1" t="n">
        <v>150000</v>
      </c>
      <c r="E12" s="1" t="n">
        <v>15</v>
      </c>
      <c r="F12" s="1" t="s">
        <v>2508</v>
      </c>
      <c r="G12" s="1" t="s">
        <v>2495</v>
      </c>
    </row>
    <row r="13" customFormat="false" ht="15" hidden="false" customHeight="true" outlineLevel="0" collapsed="false">
      <c r="B13" s="1" t="s">
        <v>2510</v>
      </c>
      <c r="C13" s="1" t="s">
        <v>2511</v>
      </c>
      <c r="D13" s="1" t="n">
        <v>15000</v>
      </c>
      <c r="E13" s="1" t="n">
        <v>2</v>
      </c>
      <c r="F13" s="1" t="s">
        <v>2512</v>
      </c>
      <c r="G13" s="1" t="s">
        <v>2503</v>
      </c>
    </row>
    <row r="14" customFormat="false" ht="15" hidden="false" customHeight="true" outlineLevel="0" collapsed="false">
      <c r="B14" s="1" t="s">
        <v>2513</v>
      </c>
      <c r="C14" s="1" t="s">
        <v>2514</v>
      </c>
      <c r="D14" s="1" t="n">
        <v>50000</v>
      </c>
      <c r="E14" s="1" t="n">
        <v>10</v>
      </c>
      <c r="F14" s="1" t="s">
        <v>2512</v>
      </c>
      <c r="G14" s="1" t="s">
        <v>2515</v>
      </c>
    </row>
    <row r="15" customFormat="false" ht="15" hidden="false" customHeight="true" outlineLevel="0" collapsed="false">
      <c r="B15" s="1" t="s">
        <v>2516</v>
      </c>
      <c r="C15" s="1" t="s">
        <v>2517</v>
      </c>
      <c r="D15" s="1" t="n">
        <v>20000</v>
      </c>
      <c r="E15" s="1" t="n">
        <v>8</v>
      </c>
      <c r="F15" s="1" t="s">
        <v>2494</v>
      </c>
      <c r="G15" s="1" t="s">
        <v>2503</v>
      </c>
    </row>
    <row r="16" customFormat="false" ht="15" hidden="false" customHeight="true" outlineLevel="0" collapsed="false">
      <c r="B16" s="1" t="s">
        <v>2518</v>
      </c>
      <c r="C16" s="1" t="s">
        <v>2519</v>
      </c>
      <c r="D16" s="1" t="n">
        <v>100000</v>
      </c>
      <c r="E16" s="1" t="n">
        <v>0</v>
      </c>
      <c r="F16" s="1" t="s">
        <v>2518</v>
      </c>
      <c r="G16" s="1" t="s">
        <v>2503</v>
      </c>
    </row>
    <row r="17" customFormat="false" ht="15" hidden="false" customHeight="true" outlineLevel="0" collapsed="false">
      <c r="B17" s="1" t="s">
        <v>2520</v>
      </c>
      <c r="C17" s="1" t="s">
        <v>2521</v>
      </c>
      <c r="D17" s="1" t="n">
        <v>25000</v>
      </c>
      <c r="E17" s="1" t="n">
        <v>3</v>
      </c>
      <c r="F17" s="1" t="s">
        <v>2494</v>
      </c>
      <c r="G17" s="1" t="s">
        <v>2503</v>
      </c>
    </row>
    <row r="18" customFormat="false" ht="15" hidden="false" customHeight="true" outlineLevel="0" collapsed="false">
      <c r="B18" s="1" t="s">
        <v>2522</v>
      </c>
      <c r="C18" s="1" t="s">
        <v>2523</v>
      </c>
      <c r="D18" s="1" t="n">
        <v>30000</v>
      </c>
      <c r="E18" s="1" t="n">
        <v>3</v>
      </c>
      <c r="F18" s="1" t="s">
        <v>2494</v>
      </c>
      <c r="G18" s="1" t="s">
        <v>2503</v>
      </c>
    </row>
    <row r="19" customFormat="false" ht="15" hidden="false" customHeight="true" outlineLevel="0" collapsed="false">
      <c r="B19" s="1" t="s">
        <v>2524</v>
      </c>
      <c r="C19" s="1" t="s">
        <v>2525</v>
      </c>
      <c r="D19" s="1" t="n">
        <v>10000</v>
      </c>
      <c r="E19" s="1" t="n">
        <v>5</v>
      </c>
      <c r="F19" s="1" t="s">
        <v>2494</v>
      </c>
      <c r="G19" s="1" t="s">
        <v>2500</v>
      </c>
    </row>
    <row r="20" customFormat="false" ht="15" hidden="false" customHeight="true" outlineLevel="0" collapsed="false">
      <c r="B20" s="1" t="s">
        <v>2526</v>
      </c>
      <c r="C20" s="1" t="s">
        <v>2527</v>
      </c>
      <c r="D20" s="1" t="n">
        <v>10000</v>
      </c>
      <c r="E20" s="1" t="n">
        <v>4</v>
      </c>
      <c r="F20" s="1" t="s">
        <v>2494</v>
      </c>
      <c r="G20" s="1" t="s">
        <v>2503</v>
      </c>
    </row>
    <row r="22" customFormat="false" ht="15" hidden="false" customHeight="true" outlineLevel="0" collapsed="false">
      <c r="B22" s="113" t="s">
        <v>2528</v>
      </c>
    </row>
    <row r="23" customFormat="false" ht="45.75" hidden="false" customHeight="true" outlineLevel="0" collapsed="false">
      <c r="B23" s="100" t="s">
        <v>289</v>
      </c>
      <c r="C23" s="100" t="s">
        <v>2529</v>
      </c>
      <c r="D23" s="100" t="s">
        <v>2490</v>
      </c>
      <c r="E23" s="100" t="s">
        <v>2530</v>
      </c>
      <c r="F23" s="100" t="s">
        <v>2531</v>
      </c>
      <c r="G23" s="100" t="s">
        <v>2532</v>
      </c>
      <c r="H23" s="100" t="s">
        <v>2533</v>
      </c>
      <c r="I23" s="100" t="s">
        <v>2534</v>
      </c>
      <c r="J23" s="100" t="s">
        <v>2535</v>
      </c>
      <c r="K23" s="100" t="s">
        <v>380</v>
      </c>
      <c r="L23" s="100" t="s">
        <v>1486</v>
      </c>
      <c r="M23" s="100" t="s">
        <v>2536</v>
      </c>
      <c r="N23" s="100" t="s">
        <v>2537</v>
      </c>
      <c r="O23" s="100" t="s">
        <v>2538</v>
      </c>
      <c r="P23" s="100" t="s">
        <v>2539</v>
      </c>
    </row>
    <row r="24" customFormat="false" ht="15" hidden="false" customHeight="true" outlineLevel="0" collapsed="false">
      <c r="B24" s="1" t="s">
        <v>1497</v>
      </c>
      <c r="C24" s="1" t="str">
        <f aca="false">Goal1_key</f>
        <v/>
      </c>
      <c r="D24" s="1" t="str">
        <f aca="false">IFERROR(INDEX(Goal_Kinds,MATCH(C24,Goal_Keys,0)),"")</f>
        <v/>
      </c>
      <c r="E24" s="1" t="str">
        <f aca="false">Goal1_name</f>
        <v/>
      </c>
      <c r="F24" s="1" t="n">
        <f aca="false">Goal1_age</f>
        <v>0</v>
      </c>
      <c r="G24" s="1" t="n">
        <f aca="false">IF(OR(D24="spend",D24="mfree",D24="pot"),1,0)</f>
        <v>0</v>
      </c>
      <c r="H24" s="1" t="str">
        <f aca="false">IF(G24=1,MAX(F_Age+1,MIN(AS_End,F24)),"")</f>
        <v/>
      </c>
      <c r="I24" s="1" t="n">
        <f aca="false">IF(D24="retire",F_R,IF(D24="legacy",AS_End,F24))</f>
        <v>0</v>
      </c>
      <c r="J24" s="1" t="n">
        <f aca="false">IF(AND(C24="safety",Goal1_auto="Yes",Has_costsM=1),ROUND(F_EssM*AS_Months,0),Goal1_amount)</f>
        <v>0</v>
      </c>
      <c r="K24" s="1" t="n">
        <f aca="false">Goal1_saved</f>
        <v>0</v>
      </c>
      <c r="L24" s="1" t="str">
        <f aca="false">Goal1_prio</f>
        <v>Must have</v>
      </c>
      <c r="M24" s="1" t="str">
        <f aca="false">Goal1_rank</f>
        <v/>
      </c>
      <c r="N24" s="1" t="n">
        <f aca="false">IF(Goal_RankSet=1,IF(M24&lt;&gt;"",M24-1,IF(C24="safety",-1,PR_SortBig)),0)</f>
        <v>0</v>
      </c>
      <c r="O24" s="1" t="n">
        <f aca="false">IF(G24=1,(N24+1)*100000000+IF(C24="safety",0,1)*10000000+IF(L24="Nice to have",1,0)*1000000+H24*1000+1,1000000000000000)</f>
        <v>1000000000000000</v>
      </c>
      <c r="P24" s="1" t="str">
        <f aca="false">IF(G24=1,1+SUMPRODUCT(($G$24:$G$45=1)*($O$24:$O$45&lt;O24)),"")</f>
        <v/>
      </c>
    </row>
    <row r="25" customFormat="false" ht="15" hidden="false" customHeight="true" outlineLevel="0" collapsed="false">
      <c r="B25" s="1" t="s">
        <v>1498</v>
      </c>
      <c r="C25" s="1" t="str">
        <f aca="false">Goal2_key</f>
        <v/>
      </c>
      <c r="D25" s="1" t="str">
        <f aca="false">IFERROR(INDEX(Goal_Kinds,MATCH(C25,Goal_Keys,0)),"")</f>
        <v/>
      </c>
      <c r="E25" s="1" t="str">
        <f aca="false">Goal2_name</f>
        <v/>
      </c>
      <c r="F25" s="1" t="n">
        <f aca="false">Goal2_age</f>
        <v>0</v>
      </c>
      <c r="G25" s="1" t="n">
        <f aca="false">IF(OR(D25="spend",D25="mfree",D25="pot"),1,0)</f>
        <v>0</v>
      </c>
      <c r="H25" s="1" t="str">
        <f aca="false">IF(G25=1,MAX(F_Age+1,MIN(AS_End,F25)),"")</f>
        <v/>
      </c>
      <c r="I25" s="1" t="n">
        <f aca="false">IF(D25="retire",F_R,IF(D25="legacy",AS_End,F25))</f>
        <v>0</v>
      </c>
      <c r="J25" s="1" t="n">
        <f aca="false">IF(AND(C25="safety",Goal2_auto="Yes",Has_costsM=1),ROUND(F_EssM*AS_Months,0),Goal2_amount)</f>
        <v>0</v>
      </c>
      <c r="K25" s="1" t="n">
        <f aca="false">Goal2_saved</f>
        <v>0</v>
      </c>
      <c r="L25" s="1" t="str">
        <f aca="false">Goal2_prio</f>
        <v>Must have</v>
      </c>
      <c r="M25" s="1" t="str">
        <f aca="false">Goal2_rank</f>
        <v/>
      </c>
      <c r="N25" s="1" t="n">
        <f aca="false">IF(Goal_RankSet=1,IF(M25&lt;&gt;"",M25-1,IF(C25="safety",-1,PR_SortBig)),0)</f>
        <v>0</v>
      </c>
      <c r="O25" s="1" t="n">
        <f aca="false">IF(G25=1,(N25+1)*100000000+IF(C25="safety",0,1)*10000000+IF(L25="Nice to have",1,0)*1000000+H25*1000+2,1000000000000000)</f>
        <v>1000000000000000</v>
      </c>
      <c r="P25" s="1" t="str">
        <f aca="false">IF(G25=1,1+SUMPRODUCT(($G$24:$G$45=1)*($O$24:$O$45&lt;O25)),"")</f>
        <v/>
      </c>
    </row>
    <row r="26" customFormat="false" ht="15" hidden="false" customHeight="true" outlineLevel="0" collapsed="false">
      <c r="B26" s="1" t="s">
        <v>1499</v>
      </c>
      <c r="C26" s="1" t="str">
        <f aca="false">Goal3_key</f>
        <v/>
      </c>
      <c r="D26" s="1" t="str">
        <f aca="false">IFERROR(INDEX(Goal_Kinds,MATCH(C26,Goal_Keys,0)),"")</f>
        <v/>
      </c>
      <c r="E26" s="1" t="str">
        <f aca="false">Goal3_name</f>
        <v/>
      </c>
      <c r="F26" s="1" t="n">
        <f aca="false">Goal3_age</f>
        <v>0</v>
      </c>
      <c r="G26" s="1" t="n">
        <f aca="false">IF(OR(D26="spend",D26="mfree",D26="pot"),1,0)</f>
        <v>0</v>
      </c>
      <c r="H26" s="1" t="str">
        <f aca="false">IF(G26=1,MAX(F_Age+1,MIN(AS_End,F26)),"")</f>
        <v/>
      </c>
      <c r="I26" s="1" t="n">
        <f aca="false">IF(D26="retire",F_R,IF(D26="legacy",AS_End,F26))</f>
        <v>0</v>
      </c>
      <c r="J26" s="1" t="n">
        <f aca="false">IF(AND(C26="safety",Goal3_auto="Yes",Has_costsM=1),ROUND(F_EssM*AS_Months,0),Goal3_amount)</f>
        <v>0</v>
      </c>
      <c r="K26" s="1" t="n">
        <f aca="false">Goal3_saved</f>
        <v>0</v>
      </c>
      <c r="L26" s="1" t="str">
        <f aca="false">Goal3_prio</f>
        <v>Must have</v>
      </c>
      <c r="M26" s="1" t="str">
        <f aca="false">Goal3_rank</f>
        <v/>
      </c>
      <c r="N26" s="1" t="n">
        <f aca="false">IF(Goal_RankSet=1,IF(M26&lt;&gt;"",M26-1,IF(C26="safety",-1,PR_SortBig)),0)</f>
        <v>0</v>
      </c>
      <c r="O26" s="1" t="n">
        <f aca="false">IF(G26=1,(N26+1)*100000000+IF(C26="safety",0,1)*10000000+IF(L26="Nice to have",1,0)*1000000+H26*1000+3,1000000000000000)</f>
        <v>1000000000000000</v>
      </c>
      <c r="P26" s="1" t="str">
        <f aca="false">IF(G26=1,1+SUMPRODUCT(($G$24:$G$45=1)*($O$24:$O$45&lt;O26)),"")</f>
        <v/>
      </c>
    </row>
    <row r="27" customFormat="false" ht="15" hidden="false" customHeight="true" outlineLevel="0" collapsed="false">
      <c r="B27" s="1" t="s">
        <v>1500</v>
      </c>
      <c r="C27" s="1" t="str">
        <f aca="false">Goal4_key</f>
        <v/>
      </c>
      <c r="D27" s="1" t="str">
        <f aca="false">IFERROR(INDEX(Goal_Kinds,MATCH(C27,Goal_Keys,0)),"")</f>
        <v/>
      </c>
      <c r="E27" s="1" t="str">
        <f aca="false">Goal4_name</f>
        <v/>
      </c>
      <c r="F27" s="1" t="n">
        <f aca="false">Goal4_age</f>
        <v>0</v>
      </c>
      <c r="G27" s="1" t="n">
        <f aca="false">IF(OR(D27="spend",D27="mfree",D27="pot"),1,0)</f>
        <v>0</v>
      </c>
      <c r="H27" s="1" t="str">
        <f aca="false">IF(G27=1,MAX(F_Age+1,MIN(AS_End,F27)),"")</f>
        <v/>
      </c>
      <c r="I27" s="1" t="n">
        <f aca="false">IF(D27="retire",F_R,IF(D27="legacy",AS_End,F27))</f>
        <v>0</v>
      </c>
      <c r="J27" s="1" t="n">
        <f aca="false">IF(AND(C27="safety",Goal4_auto="Yes",Has_costsM=1),ROUND(F_EssM*AS_Months,0),Goal4_amount)</f>
        <v>0</v>
      </c>
      <c r="K27" s="1" t="n">
        <f aca="false">Goal4_saved</f>
        <v>0</v>
      </c>
      <c r="L27" s="1" t="str">
        <f aca="false">Goal4_prio</f>
        <v>Must have</v>
      </c>
      <c r="M27" s="1" t="str">
        <f aca="false">Goal4_rank</f>
        <v/>
      </c>
      <c r="N27" s="1" t="n">
        <f aca="false">IF(Goal_RankSet=1,IF(M27&lt;&gt;"",M27-1,IF(C27="safety",-1,PR_SortBig)),0)</f>
        <v>0</v>
      </c>
      <c r="O27" s="1" t="n">
        <f aca="false">IF(G27=1,(N27+1)*100000000+IF(C27="safety",0,1)*10000000+IF(L27="Nice to have",1,0)*1000000+H27*1000+4,1000000000000000)</f>
        <v>1000000000000000</v>
      </c>
      <c r="P27" s="1" t="str">
        <f aca="false">IF(G27=1,1+SUMPRODUCT(($G$24:$G$45=1)*($O$24:$O$45&lt;O27)),"")</f>
        <v/>
      </c>
    </row>
    <row r="28" customFormat="false" ht="15" hidden="false" customHeight="true" outlineLevel="0" collapsed="false">
      <c r="B28" s="1" t="s">
        <v>1501</v>
      </c>
      <c r="C28" s="1" t="str">
        <f aca="false">Goal5_key</f>
        <v/>
      </c>
      <c r="D28" s="1" t="str">
        <f aca="false">IFERROR(INDEX(Goal_Kinds,MATCH(C28,Goal_Keys,0)),"")</f>
        <v/>
      </c>
      <c r="E28" s="1" t="str">
        <f aca="false">Goal5_name</f>
        <v/>
      </c>
      <c r="F28" s="1" t="n">
        <f aca="false">Goal5_age</f>
        <v>0</v>
      </c>
      <c r="G28" s="1" t="n">
        <f aca="false">IF(OR(D28="spend",D28="mfree",D28="pot"),1,0)</f>
        <v>0</v>
      </c>
      <c r="H28" s="1" t="str">
        <f aca="false">IF(G28=1,MAX(F_Age+1,MIN(AS_End,F28)),"")</f>
        <v/>
      </c>
      <c r="I28" s="1" t="n">
        <f aca="false">IF(D28="retire",F_R,IF(D28="legacy",AS_End,F28))</f>
        <v>0</v>
      </c>
      <c r="J28" s="1" t="n">
        <f aca="false">IF(AND(C28="safety",Goal5_auto="Yes",Has_costsM=1),ROUND(F_EssM*AS_Months,0),Goal5_amount)</f>
        <v>0</v>
      </c>
      <c r="K28" s="1" t="n">
        <f aca="false">Goal5_saved</f>
        <v>0</v>
      </c>
      <c r="L28" s="1" t="str">
        <f aca="false">Goal5_prio</f>
        <v>Must have</v>
      </c>
      <c r="M28" s="1" t="str">
        <f aca="false">Goal5_rank</f>
        <v/>
      </c>
      <c r="N28" s="1" t="n">
        <f aca="false">IF(Goal_RankSet=1,IF(M28&lt;&gt;"",M28-1,IF(C28="safety",-1,PR_SortBig)),0)</f>
        <v>0</v>
      </c>
      <c r="O28" s="1" t="n">
        <f aca="false">IF(G28=1,(N28+1)*100000000+IF(C28="safety",0,1)*10000000+IF(L28="Nice to have",1,0)*1000000+H28*1000+5,1000000000000000)</f>
        <v>1000000000000000</v>
      </c>
      <c r="P28" s="1" t="str">
        <f aca="false">IF(G28=1,1+SUMPRODUCT(($G$24:$G$45=1)*($O$24:$O$45&lt;O28)),"")</f>
        <v/>
      </c>
    </row>
    <row r="29" customFormat="false" ht="15" hidden="false" customHeight="true" outlineLevel="0" collapsed="false">
      <c r="B29" s="1" t="s">
        <v>1502</v>
      </c>
      <c r="C29" s="1" t="str">
        <f aca="false">Goal6_key</f>
        <v/>
      </c>
      <c r="D29" s="1" t="str">
        <f aca="false">IFERROR(INDEX(Goal_Kinds,MATCH(C29,Goal_Keys,0)),"")</f>
        <v/>
      </c>
      <c r="E29" s="1" t="str">
        <f aca="false">Goal6_name</f>
        <v/>
      </c>
      <c r="F29" s="1" t="n">
        <f aca="false">Goal6_age</f>
        <v>0</v>
      </c>
      <c r="G29" s="1" t="n">
        <f aca="false">IF(OR(D29="spend",D29="mfree",D29="pot"),1,0)</f>
        <v>0</v>
      </c>
      <c r="H29" s="1" t="str">
        <f aca="false">IF(G29=1,MAX(F_Age+1,MIN(AS_End,F29)),"")</f>
        <v/>
      </c>
      <c r="I29" s="1" t="n">
        <f aca="false">IF(D29="retire",F_R,IF(D29="legacy",AS_End,F29))</f>
        <v>0</v>
      </c>
      <c r="J29" s="1" t="n">
        <f aca="false">IF(AND(C29="safety",Goal6_auto="Yes",Has_costsM=1),ROUND(F_EssM*AS_Months,0),Goal6_amount)</f>
        <v>0</v>
      </c>
      <c r="K29" s="1" t="n">
        <f aca="false">Goal6_saved</f>
        <v>0</v>
      </c>
      <c r="L29" s="1" t="str">
        <f aca="false">Goal6_prio</f>
        <v>Must have</v>
      </c>
      <c r="M29" s="1" t="str">
        <f aca="false">Goal6_rank</f>
        <v/>
      </c>
      <c r="N29" s="1" t="n">
        <f aca="false">IF(Goal_RankSet=1,IF(M29&lt;&gt;"",M29-1,IF(C29="safety",-1,PR_SortBig)),0)</f>
        <v>0</v>
      </c>
      <c r="O29" s="1" t="n">
        <f aca="false">IF(G29=1,(N29+1)*100000000+IF(C29="safety",0,1)*10000000+IF(L29="Nice to have",1,0)*1000000+H29*1000+6,1000000000000000)</f>
        <v>1000000000000000</v>
      </c>
      <c r="P29" s="1" t="str">
        <f aca="false">IF(G29=1,1+SUMPRODUCT(($G$24:$G$45=1)*($O$24:$O$45&lt;O29)),"")</f>
        <v/>
      </c>
    </row>
    <row r="30" customFormat="false" ht="15" hidden="false" customHeight="true" outlineLevel="0" collapsed="false">
      <c r="B30" s="1" t="s">
        <v>1503</v>
      </c>
      <c r="C30" s="1" t="str">
        <f aca="false">Goal7_key</f>
        <v/>
      </c>
      <c r="D30" s="1" t="str">
        <f aca="false">IFERROR(INDEX(Goal_Kinds,MATCH(C30,Goal_Keys,0)),"")</f>
        <v/>
      </c>
      <c r="E30" s="1" t="str">
        <f aca="false">Goal7_name</f>
        <v/>
      </c>
      <c r="F30" s="1" t="n">
        <f aca="false">Goal7_age</f>
        <v>0</v>
      </c>
      <c r="G30" s="1" t="n">
        <f aca="false">IF(OR(D30="spend",D30="mfree",D30="pot"),1,0)</f>
        <v>0</v>
      </c>
      <c r="H30" s="1" t="str">
        <f aca="false">IF(G30=1,MAX(F_Age+1,MIN(AS_End,F30)),"")</f>
        <v/>
      </c>
      <c r="I30" s="1" t="n">
        <f aca="false">IF(D30="retire",F_R,IF(D30="legacy",AS_End,F30))</f>
        <v>0</v>
      </c>
      <c r="J30" s="1" t="n">
        <f aca="false">IF(AND(C30="safety",Goal7_auto="Yes",Has_costsM=1),ROUND(F_EssM*AS_Months,0),Goal7_amount)</f>
        <v>0</v>
      </c>
      <c r="K30" s="1" t="n">
        <f aca="false">Goal7_saved</f>
        <v>0</v>
      </c>
      <c r="L30" s="1" t="str">
        <f aca="false">Goal7_prio</f>
        <v>Must have</v>
      </c>
      <c r="M30" s="1" t="str">
        <f aca="false">Goal7_rank</f>
        <v/>
      </c>
      <c r="N30" s="1" t="n">
        <f aca="false">IF(Goal_RankSet=1,IF(M30&lt;&gt;"",M30-1,IF(C30="safety",-1,PR_SortBig)),0)</f>
        <v>0</v>
      </c>
      <c r="O30" s="1" t="n">
        <f aca="false">IF(G30=1,(N30+1)*100000000+IF(C30="safety",0,1)*10000000+IF(L30="Nice to have",1,0)*1000000+H30*1000+7,1000000000000000)</f>
        <v>1000000000000000</v>
      </c>
      <c r="P30" s="1" t="str">
        <f aca="false">IF(G30=1,1+SUMPRODUCT(($G$24:$G$45=1)*($O$24:$O$45&lt;O30)),"")</f>
        <v/>
      </c>
    </row>
    <row r="31" customFormat="false" ht="15" hidden="false" customHeight="true" outlineLevel="0" collapsed="false">
      <c r="B31" s="1" t="s">
        <v>1504</v>
      </c>
      <c r="C31" s="1" t="str">
        <f aca="false">Goal8_key</f>
        <v/>
      </c>
      <c r="D31" s="1" t="str">
        <f aca="false">IFERROR(INDEX(Goal_Kinds,MATCH(C31,Goal_Keys,0)),"")</f>
        <v/>
      </c>
      <c r="E31" s="1" t="str">
        <f aca="false">Goal8_name</f>
        <v/>
      </c>
      <c r="F31" s="1" t="n">
        <f aca="false">Goal8_age</f>
        <v>0</v>
      </c>
      <c r="G31" s="1" t="n">
        <f aca="false">IF(OR(D31="spend",D31="mfree",D31="pot"),1,0)</f>
        <v>0</v>
      </c>
      <c r="H31" s="1" t="str">
        <f aca="false">IF(G31=1,MAX(F_Age+1,MIN(AS_End,F31)),"")</f>
        <v/>
      </c>
      <c r="I31" s="1" t="n">
        <f aca="false">IF(D31="retire",F_R,IF(D31="legacy",AS_End,F31))</f>
        <v>0</v>
      </c>
      <c r="J31" s="1" t="n">
        <f aca="false">IF(AND(C31="safety",Goal8_auto="Yes",Has_costsM=1),ROUND(F_EssM*AS_Months,0),Goal8_amount)</f>
        <v>0</v>
      </c>
      <c r="K31" s="1" t="n">
        <f aca="false">Goal8_saved</f>
        <v>0</v>
      </c>
      <c r="L31" s="1" t="str">
        <f aca="false">Goal8_prio</f>
        <v>Must have</v>
      </c>
      <c r="M31" s="1" t="str">
        <f aca="false">Goal8_rank</f>
        <v/>
      </c>
      <c r="N31" s="1" t="n">
        <f aca="false">IF(Goal_RankSet=1,IF(M31&lt;&gt;"",M31-1,IF(C31="safety",-1,PR_SortBig)),0)</f>
        <v>0</v>
      </c>
      <c r="O31" s="1" t="n">
        <f aca="false">IF(G31=1,(N31+1)*100000000+IF(C31="safety",0,1)*10000000+IF(L31="Nice to have",1,0)*1000000+H31*1000+8,1000000000000000)</f>
        <v>1000000000000000</v>
      </c>
      <c r="P31" s="1" t="str">
        <f aca="false">IF(G31=1,1+SUMPRODUCT(($G$24:$G$45=1)*($O$24:$O$45&lt;O31)),"")</f>
        <v/>
      </c>
    </row>
    <row r="32" customFormat="false" ht="15" hidden="false" customHeight="true" outlineLevel="0" collapsed="false">
      <c r="B32" s="1" t="s">
        <v>1505</v>
      </c>
      <c r="C32" s="1" t="str">
        <f aca="false">Goal9_key</f>
        <v/>
      </c>
      <c r="D32" s="1" t="str">
        <f aca="false">IFERROR(INDEX(Goal_Kinds,MATCH(C32,Goal_Keys,0)),"")</f>
        <v/>
      </c>
      <c r="E32" s="1" t="str">
        <f aca="false">Goal9_name</f>
        <v/>
      </c>
      <c r="F32" s="1" t="n">
        <f aca="false">Goal9_age</f>
        <v>0</v>
      </c>
      <c r="G32" s="1" t="n">
        <f aca="false">IF(OR(D32="spend",D32="mfree",D32="pot"),1,0)</f>
        <v>0</v>
      </c>
      <c r="H32" s="1" t="str">
        <f aca="false">IF(G32=1,MAX(F_Age+1,MIN(AS_End,F32)),"")</f>
        <v/>
      </c>
      <c r="I32" s="1" t="n">
        <f aca="false">IF(D32="retire",F_R,IF(D32="legacy",AS_End,F32))</f>
        <v>0</v>
      </c>
      <c r="J32" s="1" t="n">
        <f aca="false">IF(AND(C32="safety",Goal9_auto="Yes",Has_costsM=1),ROUND(F_EssM*AS_Months,0),Goal9_amount)</f>
        <v>0</v>
      </c>
      <c r="K32" s="1" t="n">
        <f aca="false">Goal9_saved</f>
        <v>0</v>
      </c>
      <c r="L32" s="1" t="str">
        <f aca="false">Goal9_prio</f>
        <v>Must have</v>
      </c>
      <c r="M32" s="1" t="str">
        <f aca="false">Goal9_rank</f>
        <v/>
      </c>
      <c r="N32" s="1" t="n">
        <f aca="false">IF(Goal_RankSet=1,IF(M32&lt;&gt;"",M32-1,IF(C32="safety",-1,PR_SortBig)),0)</f>
        <v>0</v>
      </c>
      <c r="O32" s="1" t="n">
        <f aca="false">IF(G32=1,(N32+1)*100000000+IF(C32="safety",0,1)*10000000+IF(L32="Nice to have",1,0)*1000000+H32*1000+9,1000000000000000)</f>
        <v>1000000000000000</v>
      </c>
      <c r="P32" s="1" t="str">
        <f aca="false">IF(G32=1,1+SUMPRODUCT(($G$24:$G$45=1)*($O$24:$O$45&lt;O32)),"")</f>
        <v/>
      </c>
    </row>
    <row r="33" customFormat="false" ht="15" hidden="false" customHeight="true" outlineLevel="0" collapsed="false">
      <c r="B33" s="1" t="s">
        <v>1506</v>
      </c>
      <c r="C33" s="1" t="str">
        <f aca="false">Goal10_key</f>
        <v/>
      </c>
      <c r="D33" s="1" t="str">
        <f aca="false">IFERROR(INDEX(Goal_Kinds,MATCH(C33,Goal_Keys,0)),"")</f>
        <v/>
      </c>
      <c r="E33" s="1" t="str">
        <f aca="false">Goal10_name</f>
        <v/>
      </c>
      <c r="F33" s="1" t="n">
        <f aca="false">Goal10_age</f>
        <v>0</v>
      </c>
      <c r="G33" s="1" t="n">
        <f aca="false">IF(OR(D33="spend",D33="mfree",D33="pot"),1,0)</f>
        <v>0</v>
      </c>
      <c r="H33" s="1" t="str">
        <f aca="false">IF(G33=1,MAX(F_Age+1,MIN(AS_End,F33)),"")</f>
        <v/>
      </c>
      <c r="I33" s="1" t="n">
        <f aca="false">IF(D33="retire",F_R,IF(D33="legacy",AS_End,F33))</f>
        <v>0</v>
      </c>
      <c r="J33" s="1" t="n">
        <f aca="false">IF(AND(C33="safety",Goal10_auto="Yes",Has_costsM=1),ROUND(F_EssM*AS_Months,0),Goal10_amount)</f>
        <v>0</v>
      </c>
      <c r="K33" s="1" t="n">
        <f aca="false">Goal10_saved</f>
        <v>0</v>
      </c>
      <c r="L33" s="1" t="str">
        <f aca="false">Goal10_prio</f>
        <v>Must have</v>
      </c>
      <c r="M33" s="1" t="str">
        <f aca="false">Goal10_rank</f>
        <v/>
      </c>
      <c r="N33" s="1" t="n">
        <f aca="false">IF(Goal_RankSet=1,IF(M33&lt;&gt;"",M33-1,IF(C33="safety",-1,PR_SortBig)),0)</f>
        <v>0</v>
      </c>
      <c r="O33" s="1" t="n">
        <f aca="false">IF(G33=1,(N33+1)*100000000+IF(C33="safety",0,1)*10000000+IF(L33="Nice to have",1,0)*1000000+H33*1000+10,1000000000000000)</f>
        <v>1000000000000000</v>
      </c>
      <c r="P33" s="1" t="str">
        <f aca="false">IF(G33=1,1+SUMPRODUCT(($G$24:$G$45=1)*($O$24:$O$45&lt;O33)),"")</f>
        <v/>
      </c>
    </row>
    <row r="34" customFormat="false" ht="15" hidden="false" customHeight="true" outlineLevel="0" collapsed="false">
      <c r="B34" s="1" t="s">
        <v>1507</v>
      </c>
      <c r="C34" s="1" t="str">
        <f aca="false">Goal11_key</f>
        <v/>
      </c>
      <c r="D34" s="1" t="str">
        <f aca="false">IFERROR(INDEX(Goal_Kinds,MATCH(C34,Goal_Keys,0)),"")</f>
        <v/>
      </c>
      <c r="E34" s="1" t="str">
        <f aca="false">Goal11_name</f>
        <v/>
      </c>
      <c r="F34" s="1" t="n">
        <f aca="false">Goal11_age</f>
        <v>0</v>
      </c>
      <c r="G34" s="1" t="n">
        <f aca="false">IF(OR(D34="spend",D34="mfree",D34="pot"),1,0)</f>
        <v>0</v>
      </c>
      <c r="H34" s="1" t="str">
        <f aca="false">IF(G34=1,MAX(F_Age+1,MIN(AS_End,F34)),"")</f>
        <v/>
      </c>
      <c r="I34" s="1" t="n">
        <f aca="false">IF(D34="retire",F_R,IF(D34="legacy",AS_End,F34))</f>
        <v>0</v>
      </c>
      <c r="J34" s="1" t="n">
        <f aca="false">IF(AND(C34="safety",Goal11_auto="Yes",Has_costsM=1),ROUND(F_EssM*AS_Months,0),Goal11_amount)</f>
        <v>0</v>
      </c>
      <c r="K34" s="1" t="n">
        <f aca="false">Goal11_saved</f>
        <v>0</v>
      </c>
      <c r="L34" s="1" t="str">
        <f aca="false">Goal11_prio</f>
        <v>Must have</v>
      </c>
      <c r="M34" s="1" t="str">
        <f aca="false">Goal11_rank</f>
        <v/>
      </c>
      <c r="N34" s="1" t="n">
        <f aca="false">IF(Goal_RankSet=1,IF(M34&lt;&gt;"",M34-1,IF(C34="safety",-1,PR_SortBig)),0)</f>
        <v>0</v>
      </c>
      <c r="O34" s="1" t="n">
        <f aca="false">IF(G34=1,(N34+1)*100000000+IF(C34="safety",0,1)*10000000+IF(L34="Nice to have",1,0)*1000000+H34*1000+11,1000000000000000)</f>
        <v>1000000000000000</v>
      </c>
      <c r="P34" s="1" t="str">
        <f aca="false">IF(G34=1,1+SUMPRODUCT(($G$24:$G$45=1)*($O$24:$O$45&lt;O34)),"")</f>
        <v/>
      </c>
    </row>
    <row r="35" customFormat="false" ht="15" hidden="false" customHeight="true" outlineLevel="0" collapsed="false">
      <c r="B35" s="1" t="s">
        <v>1508</v>
      </c>
      <c r="C35" s="1" t="str">
        <f aca="false">Goal12_key</f>
        <v/>
      </c>
      <c r="D35" s="1" t="str">
        <f aca="false">IFERROR(INDEX(Goal_Kinds,MATCH(C35,Goal_Keys,0)),"")</f>
        <v/>
      </c>
      <c r="E35" s="1" t="str">
        <f aca="false">Goal12_name</f>
        <v/>
      </c>
      <c r="F35" s="1" t="n">
        <f aca="false">Goal12_age</f>
        <v>0</v>
      </c>
      <c r="G35" s="1" t="n">
        <f aca="false">IF(OR(D35="spend",D35="mfree",D35="pot"),1,0)</f>
        <v>0</v>
      </c>
      <c r="H35" s="1" t="str">
        <f aca="false">IF(G35=1,MAX(F_Age+1,MIN(AS_End,F35)),"")</f>
        <v/>
      </c>
      <c r="I35" s="1" t="n">
        <f aca="false">IF(D35="retire",F_R,IF(D35="legacy",AS_End,F35))</f>
        <v>0</v>
      </c>
      <c r="J35" s="1" t="n">
        <f aca="false">IF(AND(C35="safety",Goal12_auto="Yes",Has_costsM=1),ROUND(F_EssM*AS_Months,0),Goal12_amount)</f>
        <v>0</v>
      </c>
      <c r="K35" s="1" t="n">
        <f aca="false">Goal12_saved</f>
        <v>0</v>
      </c>
      <c r="L35" s="1" t="str">
        <f aca="false">Goal12_prio</f>
        <v>Must have</v>
      </c>
      <c r="M35" s="1" t="str">
        <f aca="false">Goal12_rank</f>
        <v/>
      </c>
      <c r="N35" s="1" t="n">
        <f aca="false">IF(Goal_RankSet=1,IF(M35&lt;&gt;"",M35-1,IF(C35="safety",-1,PR_SortBig)),0)</f>
        <v>0</v>
      </c>
      <c r="O35" s="1" t="n">
        <f aca="false">IF(G35=1,(N35+1)*100000000+IF(C35="safety",0,1)*10000000+IF(L35="Nice to have",1,0)*1000000+H35*1000+12,1000000000000000)</f>
        <v>1000000000000000</v>
      </c>
      <c r="P35" s="1" t="str">
        <f aca="false">IF(G35=1,1+SUMPRODUCT(($G$24:$G$45=1)*($O$24:$O$45&lt;O35)),"")</f>
        <v/>
      </c>
    </row>
    <row r="36" customFormat="false" ht="15" hidden="false" customHeight="true" outlineLevel="0" collapsed="false">
      <c r="B36" s="1" t="s">
        <v>1509</v>
      </c>
      <c r="C36" s="1" t="str">
        <f aca="false">Goal13_key</f>
        <v/>
      </c>
      <c r="D36" s="1" t="str">
        <f aca="false">IFERROR(INDEX(Goal_Kinds,MATCH(C36,Goal_Keys,0)),"")</f>
        <v/>
      </c>
      <c r="E36" s="1" t="str">
        <f aca="false">Goal13_name</f>
        <v/>
      </c>
      <c r="F36" s="1" t="n">
        <f aca="false">Goal13_age</f>
        <v>0</v>
      </c>
      <c r="G36" s="1" t="n">
        <f aca="false">IF(OR(D36="spend",D36="mfree",D36="pot"),1,0)</f>
        <v>0</v>
      </c>
      <c r="H36" s="1" t="str">
        <f aca="false">IF(G36=1,MAX(F_Age+1,MIN(AS_End,F36)),"")</f>
        <v/>
      </c>
      <c r="I36" s="1" t="n">
        <f aca="false">IF(D36="retire",F_R,IF(D36="legacy",AS_End,F36))</f>
        <v>0</v>
      </c>
      <c r="J36" s="1" t="n">
        <f aca="false">IF(AND(C36="safety",Goal13_auto="Yes",Has_costsM=1),ROUND(F_EssM*AS_Months,0),Goal13_amount)</f>
        <v>0</v>
      </c>
      <c r="K36" s="1" t="n">
        <f aca="false">Goal13_saved</f>
        <v>0</v>
      </c>
      <c r="L36" s="1" t="str">
        <f aca="false">Goal13_prio</f>
        <v>Must have</v>
      </c>
      <c r="M36" s="1" t="str">
        <f aca="false">Goal13_rank</f>
        <v/>
      </c>
      <c r="N36" s="1" t="n">
        <f aca="false">IF(Goal_RankSet=1,IF(M36&lt;&gt;"",M36-1,IF(C36="safety",-1,PR_SortBig)),0)</f>
        <v>0</v>
      </c>
      <c r="O36" s="1" t="n">
        <f aca="false">IF(G36=1,(N36+1)*100000000+IF(C36="safety",0,1)*10000000+IF(L36="Nice to have",1,0)*1000000+H36*1000+13,1000000000000000)</f>
        <v>1000000000000000</v>
      </c>
      <c r="P36" s="1" t="str">
        <f aca="false">IF(G36=1,1+SUMPRODUCT(($G$24:$G$45=1)*($O$24:$O$45&lt;O36)),"")</f>
        <v/>
      </c>
    </row>
    <row r="37" customFormat="false" ht="15" hidden="false" customHeight="true" outlineLevel="0" collapsed="false">
      <c r="B37" s="1" t="s">
        <v>1510</v>
      </c>
      <c r="C37" s="1" t="str">
        <f aca="false">Goal14_key</f>
        <v/>
      </c>
      <c r="D37" s="1" t="str">
        <f aca="false">IFERROR(INDEX(Goal_Kinds,MATCH(C37,Goal_Keys,0)),"")</f>
        <v/>
      </c>
      <c r="E37" s="1" t="str">
        <f aca="false">Goal14_name</f>
        <v/>
      </c>
      <c r="F37" s="1" t="n">
        <f aca="false">Goal14_age</f>
        <v>0</v>
      </c>
      <c r="G37" s="1" t="n">
        <f aca="false">IF(OR(D37="spend",D37="mfree",D37="pot"),1,0)</f>
        <v>0</v>
      </c>
      <c r="H37" s="1" t="str">
        <f aca="false">IF(G37=1,MAX(F_Age+1,MIN(AS_End,F37)),"")</f>
        <v/>
      </c>
      <c r="I37" s="1" t="n">
        <f aca="false">IF(D37="retire",F_R,IF(D37="legacy",AS_End,F37))</f>
        <v>0</v>
      </c>
      <c r="J37" s="1" t="n">
        <f aca="false">IF(AND(C37="safety",Goal14_auto="Yes",Has_costsM=1),ROUND(F_EssM*AS_Months,0),Goal14_amount)</f>
        <v>0</v>
      </c>
      <c r="K37" s="1" t="n">
        <f aca="false">Goal14_saved</f>
        <v>0</v>
      </c>
      <c r="L37" s="1" t="str">
        <f aca="false">Goal14_prio</f>
        <v>Must have</v>
      </c>
      <c r="M37" s="1" t="str">
        <f aca="false">Goal14_rank</f>
        <v/>
      </c>
      <c r="N37" s="1" t="n">
        <f aca="false">IF(Goal_RankSet=1,IF(M37&lt;&gt;"",M37-1,IF(C37="safety",-1,PR_SortBig)),0)</f>
        <v>0</v>
      </c>
      <c r="O37" s="1" t="n">
        <f aca="false">IF(G37=1,(N37+1)*100000000+IF(C37="safety",0,1)*10000000+IF(L37="Nice to have",1,0)*1000000+H37*1000+14,1000000000000000)</f>
        <v>1000000000000000</v>
      </c>
      <c r="P37" s="1" t="str">
        <f aca="false">IF(G37=1,1+SUMPRODUCT(($G$24:$G$45=1)*($O$24:$O$45&lt;O37)),"")</f>
        <v/>
      </c>
    </row>
    <row r="38" customFormat="false" ht="15" hidden="false" customHeight="true" outlineLevel="0" collapsed="false">
      <c r="B38" s="1" t="s">
        <v>1511</v>
      </c>
      <c r="C38" s="1" t="str">
        <f aca="false">Goal15_key</f>
        <v/>
      </c>
      <c r="D38" s="1" t="str">
        <f aca="false">IFERROR(INDEX(Goal_Kinds,MATCH(C38,Goal_Keys,0)),"")</f>
        <v/>
      </c>
      <c r="E38" s="1" t="str">
        <f aca="false">Goal15_name</f>
        <v/>
      </c>
      <c r="F38" s="1" t="n">
        <f aca="false">Goal15_age</f>
        <v>0</v>
      </c>
      <c r="G38" s="1" t="n">
        <f aca="false">IF(OR(D38="spend",D38="mfree",D38="pot"),1,0)</f>
        <v>0</v>
      </c>
      <c r="H38" s="1" t="str">
        <f aca="false">IF(G38=1,MAX(F_Age+1,MIN(AS_End,F38)),"")</f>
        <v/>
      </c>
      <c r="I38" s="1" t="n">
        <f aca="false">IF(D38="retire",F_R,IF(D38="legacy",AS_End,F38))</f>
        <v>0</v>
      </c>
      <c r="J38" s="1" t="n">
        <f aca="false">IF(AND(C38="safety",Goal15_auto="Yes",Has_costsM=1),ROUND(F_EssM*AS_Months,0),Goal15_amount)</f>
        <v>0</v>
      </c>
      <c r="K38" s="1" t="n">
        <f aca="false">Goal15_saved</f>
        <v>0</v>
      </c>
      <c r="L38" s="1" t="str">
        <f aca="false">Goal15_prio</f>
        <v>Must have</v>
      </c>
      <c r="M38" s="1" t="str">
        <f aca="false">Goal15_rank</f>
        <v/>
      </c>
      <c r="N38" s="1" t="n">
        <f aca="false">IF(Goal_RankSet=1,IF(M38&lt;&gt;"",M38-1,IF(C38="safety",-1,PR_SortBig)),0)</f>
        <v>0</v>
      </c>
      <c r="O38" s="1" t="n">
        <f aca="false">IF(G38=1,(N38+1)*100000000+IF(C38="safety",0,1)*10000000+IF(L38="Nice to have",1,0)*1000000+H38*1000+15,1000000000000000)</f>
        <v>1000000000000000</v>
      </c>
      <c r="P38" s="1" t="str">
        <f aca="false">IF(G38=1,1+SUMPRODUCT(($G$24:$G$45=1)*($O$24:$O$45&lt;O38)),"")</f>
        <v/>
      </c>
    </row>
    <row r="39" customFormat="false" ht="15" hidden="false" customHeight="true" outlineLevel="0" collapsed="false">
      <c r="B39" s="1" t="s">
        <v>1512</v>
      </c>
      <c r="C39" s="1" t="str">
        <f aca="false">Goal16_key</f>
        <v/>
      </c>
      <c r="D39" s="1" t="str">
        <f aca="false">IFERROR(INDEX(Goal_Kinds,MATCH(C39,Goal_Keys,0)),"")</f>
        <v/>
      </c>
      <c r="E39" s="1" t="str">
        <f aca="false">Goal16_name</f>
        <v/>
      </c>
      <c r="F39" s="1" t="n">
        <f aca="false">Goal16_age</f>
        <v>0</v>
      </c>
      <c r="G39" s="1" t="n">
        <f aca="false">IF(OR(D39="spend",D39="mfree",D39="pot"),1,0)</f>
        <v>0</v>
      </c>
      <c r="H39" s="1" t="str">
        <f aca="false">IF(G39=1,MAX(F_Age+1,MIN(AS_End,F39)),"")</f>
        <v/>
      </c>
      <c r="I39" s="1" t="n">
        <f aca="false">IF(D39="retire",F_R,IF(D39="legacy",AS_End,F39))</f>
        <v>0</v>
      </c>
      <c r="J39" s="1" t="n">
        <f aca="false">IF(AND(C39="safety",Goal16_auto="Yes",Has_costsM=1),ROUND(F_EssM*AS_Months,0),Goal16_amount)</f>
        <v>0</v>
      </c>
      <c r="K39" s="1" t="n">
        <f aca="false">Goal16_saved</f>
        <v>0</v>
      </c>
      <c r="L39" s="1" t="str">
        <f aca="false">Goal16_prio</f>
        <v>Must have</v>
      </c>
      <c r="M39" s="1" t="str">
        <f aca="false">Goal16_rank</f>
        <v/>
      </c>
      <c r="N39" s="1" t="n">
        <f aca="false">IF(Goal_RankSet=1,IF(M39&lt;&gt;"",M39-1,IF(C39="safety",-1,PR_SortBig)),0)</f>
        <v>0</v>
      </c>
      <c r="O39" s="1" t="n">
        <f aca="false">IF(G39=1,(N39+1)*100000000+IF(C39="safety",0,1)*10000000+IF(L39="Nice to have",1,0)*1000000+H39*1000+16,1000000000000000)</f>
        <v>1000000000000000</v>
      </c>
      <c r="P39" s="1" t="str">
        <f aca="false">IF(G39=1,1+SUMPRODUCT(($G$24:$G$45=1)*($O$24:$O$45&lt;O39)),"")</f>
        <v/>
      </c>
    </row>
    <row r="40" customFormat="false" ht="15" hidden="false" customHeight="true" outlineLevel="0" collapsed="false">
      <c r="B40" s="1" t="s">
        <v>1513</v>
      </c>
      <c r="C40" s="1" t="str">
        <f aca="false">Goal17_key</f>
        <v/>
      </c>
      <c r="D40" s="1" t="str">
        <f aca="false">IFERROR(INDEX(Goal_Kinds,MATCH(C40,Goal_Keys,0)),"")</f>
        <v/>
      </c>
      <c r="E40" s="1" t="str">
        <f aca="false">Goal17_name</f>
        <v/>
      </c>
      <c r="F40" s="1" t="n">
        <f aca="false">Goal17_age</f>
        <v>0</v>
      </c>
      <c r="G40" s="1" t="n">
        <f aca="false">IF(OR(D40="spend",D40="mfree",D40="pot"),1,0)</f>
        <v>0</v>
      </c>
      <c r="H40" s="1" t="str">
        <f aca="false">IF(G40=1,MAX(F_Age+1,MIN(AS_End,F40)),"")</f>
        <v/>
      </c>
      <c r="I40" s="1" t="n">
        <f aca="false">IF(D40="retire",F_R,IF(D40="legacy",AS_End,F40))</f>
        <v>0</v>
      </c>
      <c r="J40" s="1" t="n">
        <f aca="false">IF(AND(C40="safety",Goal17_auto="Yes",Has_costsM=1),ROUND(F_EssM*AS_Months,0),Goal17_amount)</f>
        <v>0</v>
      </c>
      <c r="K40" s="1" t="n">
        <f aca="false">Goal17_saved</f>
        <v>0</v>
      </c>
      <c r="L40" s="1" t="str">
        <f aca="false">Goal17_prio</f>
        <v>Must have</v>
      </c>
      <c r="M40" s="1" t="str">
        <f aca="false">Goal17_rank</f>
        <v/>
      </c>
      <c r="N40" s="1" t="n">
        <f aca="false">IF(Goal_RankSet=1,IF(M40&lt;&gt;"",M40-1,IF(C40="safety",-1,PR_SortBig)),0)</f>
        <v>0</v>
      </c>
      <c r="O40" s="1" t="n">
        <f aca="false">IF(G40=1,(N40+1)*100000000+IF(C40="safety",0,1)*10000000+IF(L40="Nice to have",1,0)*1000000+H40*1000+17,1000000000000000)</f>
        <v>1000000000000000</v>
      </c>
      <c r="P40" s="1" t="str">
        <f aca="false">IF(G40=1,1+SUMPRODUCT(($G$24:$G$45=1)*($O$24:$O$45&lt;O40)),"")</f>
        <v/>
      </c>
    </row>
    <row r="41" customFormat="false" ht="15" hidden="false" customHeight="true" outlineLevel="0" collapsed="false">
      <c r="B41" s="1" t="s">
        <v>1514</v>
      </c>
      <c r="C41" s="1" t="str">
        <f aca="false">Goal18_key</f>
        <v/>
      </c>
      <c r="D41" s="1" t="str">
        <f aca="false">IFERROR(INDEX(Goal_Kinds,MATCH(C41,Goal_Keys,0)),"")</f>
        <v/>
      </c>
      <c r="E41" s="1" t="str">
        <f aca="false">Goal18_name</f>
        <v/>
      </c>
      <c r="F41" s="1" t="n">
        <f aca="false">Goal18_age</f>
        <v>0</v>
      </c>
      <c r="G41" s="1" t="n">
        <f aca="false">IF(OR(D41="spend",D41="mfree",D41="pot"),1,0)</f>
        <v>0</v>
      </c>
      <c r="H41" s="1" t="str">
        <f aca="false">IF(G41=1,MAX(F_Age+1,MIN(AS_End,F41)),"")</f>
        <v/>
      </c>
      <c r="I41" s="1" t="n">
        <f aca="false">IF(D41="retire",F_R,IF(D41="legacy",AS_End,F41))</f>
        <v>0</v>
      </c>
      <c r="J41" s="1" t="n">
        <f aca="false">IF(AND(C41="safety",Goal18_auto="Yes",Has_costsM=1),ROUND(F_EssM*AS_Months,0),Goal18_amount)</f>
        <v>0</v>
      </c>
      <c r="K41" s="1" t="n">
        <f aca="false">Goal18_saved</f>
        <v>0</v>
      </c>
      <c r="L41" s="1" t="str">
        <f aca="false">Goal18_prio</f>
        <v>Must have</v>
      </c>
      <c r="M41" s="1" t="str">
        <f aca="false">Goal18_rank</f>
        <v/>
      </c>
      <c r="N41" s="1" t="n">
        <f aca="false">IF(Goal_RankSet=1,IF(M41&lt;&gt;"",M41-1,IF(C41="safety",-1,PR_SortBig)),0)</f>
        <v>0</v>
      </c>
      <c r="O41" s="1" t="n">
        <f aca="false">IF(G41=1,(N41+1)*100000000+IF(C41="safety",0,1)*10000000+IF(L41="Nice to have",1,0)*1000000+H41*1000+18,1000000000000000)</f>
        <v>1000000000000000</v>
      </c>
      <c r="P41" s="1" t="str">
        <f aca="false">IF(G41=1,1+SUMPRODUCT(($G$24:$G$45=1)*($O$24:$O$45&lt;O41)),"")</f>
        <v/>
      </c>
    </row>
    <row r="42" customFormat="false" ht="15" hidden="false" customHeight="true" outlineLevel="0" collapsed="false">
      <c r="B42" s="1" t="s">
        <v>1515</v>
      </c>
      <c r="C42" s="1" t="str">
        <f aca="false">Goal19_key</f>
        <v/>
      </c>
      <c r="D42" s="1" t="str">
        <f aca="false">IFERROR(INDEX(Goal_Kinds,MATCH(C42,Goal_Keys,0)),"")</f>
        <v/>
      </c>
      <c r="E42" s="1" t="str">
        <f aca="false">Goal19_name</f>
        <v/>
      </c>
      <c r="F42" s="1" t="n">
        <f aca="false">Goal19_age</f>
        <v>0</v>
      </c>
      <c r="G42" s="1" t="n">
        <f aca="false">IF(OR(D42="spend",D42="mfree",D42="pot"),1,0)</f>
        <v>0</v>
      </c>
      <c r="H42" s="1" t="str">
        <f aca="false">IF(G42=1,MAX(F_Age+1,MIN(AS_End,F42)),"")</f>
        <v/>
      </c>
      <c r="I42" s="1" t="n">
        <f aca="false">IF(D42="retire",F_R,IF(D42="legacy",AS_End,F42))</f>
        <v>0</v>
      </c>
      <c r="J42" s="1" t="n">
        <f aca="false">IF(AND(C42="safety",Goal19_auto="Yes",Has_costsM=1),ROUND(F_EssM*AS_Months,0),Goal19_amount)</f>
        <v>0</v>
      </c>
      <c r="K42" s="1" t="n">
        <f aca="false">Goal19_saved</f>
        <v>0</v>
      </c>
      <c r="L42" s="1" t="str">
        <f aca="false">Goal19_prio</f>
        <v>Must have</v>
      </c>
      <c r="M42" s="1" t="str">
        <f aca="false">Goal19_rank</f>
        <v/>
      </c>
      <c r="N42" s="1" t="n">
        <f aca="false">IF(Goal_RankSet=1,IF(M42&lt;&gt;"",M42-1,IF(C42="safety",-1,PR_SortBig)),0)</f>
        <v>0</v>
      </c>
      <c r="O42" s="1" t="n">
        <f aca="false">IF(G42=1,(N42+1)*100000000+IF(C42="safety",0,1)*10000000+IF(L42="Nice to have",1,0)*1000000+H42*1000+19,1000000000000000)</f>
        <v>1000000000000000</v>
      </c>
      <c r="P42" s="1" t="str">
        <f aca="false">IF(G42=1,1+SUMPRODUCT(($G$24:$G$45=1)*($O$24:$O$45&lt;O42)),"")</f>
        <v/>
      </c>
    </row>
    <row r="43" customFormat="false" ht="15" hidden="false" customHeight="true" outlineLevel="0" collapsed="false">
      <c r="B43" s="1" t="s">
        <v>1516</v>
      </c>
      <c r="C43" s="1" t="str">
        <f aca="false">Goal20_key</f>
        <v/>
      </c>
      <c r="D43" s="1" t="str">
        <f aca="false">IFERROR(INDEX(Goal_Kinds,MATCH(C43,Goal_Keys,0)),"")</f>
        <v/>
      </c>
      <c r="E43" s="1" t="str">
        <f aca="false">Goal20_name</f>
        <v/>
      </c>
      <c r="F43" s="1" t="n">
        <f aca="false">Goal20_age</f>
        <v>0</v>
      </c>
      <c r="G43" s="1" t="n">
        <f aca="false">IF(OR(D43="spend",D43="mfree",D43="pot"),1,0)</f>
        <v>0</v>
      </c>
      <c r="H43" s="1" t="str">
        <f aca="false">IF(G43=1,MAX(F_Age+1,MIN(AS_End,F43)),"")</f>
        <v/>
      </c>
      <c r="I43" s="1" t="n">
        <f aca="false">IF(D43="retire",F_R,IF(D43="legacy",AS_End,F43))</f>
        <v>0</v>
      </c>
      <c r="J43" s="1" t="n">
        <f aca="false">IF(AND(C43="safety",Goal20_auto="Yes",Has_costsM=1),ROUND(F_EssM*AS_Months,0),Goal20_amount)</f>
        <v>0</v>
      </c>
      <c r="K43" s="1" t="n">
        <f aca="false">Goal20_saved</f>
        <v>0</v>
      </c>
      <c r="L43" s="1" t="str">
        <f aca="false">Goal20_prio</f>
        <v>Must have</v>
      </c>
      <c r="M43" s="1" t="str">
        <f aca="false">Goal20_rank</f>
        <v/>
      </c>
      <c r="N43" s="1" t="n">
        <f aca="false">IF(Goal_RankSet=1,IF(M43&lt;&gt;"",M43-1,IF(C43="safety",-1,PR_SortBig)),0)</f>
        <v>0</v>
      </c>
      <c r="O43" s="1" t="n">
        <f aca="false">IF(G43=1,(N43+1)*100000000+IF(C43="safety",0,1)*10000000+IF(L43="Nice to have",1,0)*1000000+H43*1000+20,1000000000000000)</f>
        <v>1000000000000000</v>
      </c>
      <c r="P43" s="1" t="str">
        <f aca="false">IF(G43=1,1+SUMPRODUCT(($G$24:$G$45=1)*($O$24:$O$45&lt;O43)),"")</f>
        <v/>
      </c>
    </row>
    <row r="44" customFormat="false" ht="15" hidden="false" customHeight="true" outlineLevel="0" collapsed="false">
      <c r="B44" s="1" t="s">
        <v>1517</v>
      </c>
      <c r="C44" s="1" t="str">
        <f aca="false">Goal21_key</f>
        <v/>
      </c>
      <c r="D44" s="1" t="str">
        <f aca="false">IFERROR(INDEX(Goal_Kinds,MATCH(C44,Goal_Keys,0)),"")</f>
        <v/>
      </c>
      <c r="E44" s="1" t="str">
        <f aca="false">Goal21_name</f>
        <v/>
      </c>
      <c r="F44" s="1" t="n">
        <f aca="false">Goal21_age</f>
        <v>0</v>
      </c>
      <c r="G44" s="1" t="n">
        <f aca="false">IF(OR(D44="spend",D44="mfree",D44="pot"),1,0)</f>
        <v>0</v>
      </c>
      <c r="H44" s="1" t="str">
        <f aca="false">IF(G44=1,MAX(F_Age+1,MIN(AS_End,F44)),"")</f>
        <v/>
      </c>
      <c r="I44" s="1" t="n">
        <f aca="false">IF(D44="retire",F_R,IF(D44="legacy",AS_End,F44))</f>
        <v>0</v>
      </c>
      <c r="J44" s="1" t="n">
        <f aca="false">IF(AND(C44="safety",Goal21_auto="Yes",Has_costsM=1),ROUND(F_EssM*AS_Months,0),Goal21_amount)</f>
        <v>0</v>
      </c>
      <c r="K44" s="1" t="n">
        <f aca="false">Goal21_saved</f>
        <v>0</v>
      </c>
      <c r="L44" s="1" t="str">
        <f aca="false">Goal21_prio</f>
        <v>Must have</v>
      </c>
      <c r="M44" s="1" t="str">
        <f aca="false">Goal21_rank</f>
        <v/>
      </c>
      <c r="N44" s="1" t="n">
        <f aca="false">IF(Goal_RankSet=1,IF(M44&lt;&gt;"",M44-1,IF(C44="safety",-1,PR_SortBig)),0)</f>
        <v>0</v>
      </c>
      <c r="O44" s="1" t="n">
        <f aca="false">IF(G44=1,(N44+1)*100000000+IF(C44="safety",0,1)*10000000+IF(L44="Nice to have",1,0)*1000000+H44*1000+21,1000000000000000)</f>
        <v>1000000000000000</v>
      </c>
      <c r="P44" s="1" t="str">
        <f aca="false">IF(G44=1,1+SUMPRODUCT(($G$24:$G$45=1)*($O$24:$O$45&lt;O44)),"")</f>
        <v/>
      </c>
    </row>
    <row r="45" customFormat="false" ht="15" hidden="false" customHeight="true" outlineLevel="0" collapsed="false">
      <c r="B45" s="1" t="s">
        <v>1518</v>
      </c>
      <c r="C45" s="1" t="str">
        <f aca="false">Goal22_key</f>
        <v/>
      </c>
      <c r="D45" s="1" t="str">
        <f aca="false">IFERROR(INDEX(Goal_Kinds,MATCH(C45,Goal_Keys,0)),"")</f>
        <v/>
      </c>
      <c r="E45" s="1" t="str">
        <f aca="false">Goal22_name</f>
        <v/>
      </c>
      <c r="F45" s="1" t="n">
        <f aca="false">Goal22_age</f>
        <v>0</v>
      </c>
      <c r="G45" s="1" t="n">
        <f aca="false">IF(OR(D45="spend",D45="mfree",D45="pot"),1,0)</f>
        <v>0</v>
      </c>
      <c r="H45" s="1" t="str">
        <f aca="false">IF(G45=1,MAX(F_Age+1,MIN(AS_End,F45)),"")</f>
        <v/>
      </c>
      <c r="I45" s="1" t="n">
        <f aca="false">IF(D45="retire",F_R,IF(D45="legacy",AS_End,F45))</f>
        <v>0</v>
      </c>
      <c r="J45" s="1" t="n">
        <f aca="false">IF(AND(C45="safety",Goal22_auto="Yes",Has_costsM=1),ROUND(F_EssM*AS_Months,0),Goal22_amount)</f>
        <v>0</v>
      </c>
      <c r="K45" s="1" t="n">
        <f aca="false">Goal22_saved</f>
        <v>0</v>
      </c>
      <c r="L45" s="1" t="str">
        <f aca="false">Goal22_prio</f>
        <v>Must have</v>
      </c>
      <c r="M45" s="1" t="str">
        <f aca="false">Goal22_rank</f>
        <v/>
      </c>
      <c r="N45" s="1" t="n">
        <f aca="false">IF(Goal_RankSet=1,IF(M45&lt;&gt;"",M45-1,IF(C45="safety",-1,PR_SortBig)),0)</f>
        <v>0</v>
      </c>
      <c r="O45" s="1" t="n">
        <f aca="false">IF(G45=1,(N45+1)*100000000+IF(C45="safety",0,1)*10000000+IF(L45="Nice to have",1,0)*1000000+H45*1000+22,1000000000000000)</f>
        <v>1000000000000000</v>
      </c>
      <c r="P45" s="1" t="str">
        <f aca="false">IF(G45=1,1+SUMPRODUCT(($G$24:$G$45=1)*($O$24:$O$45&lt;O45)),"")</f>
        <v/>
      </c>
    </row>
    <row r="47" customFormat="false" ht="15" hidden="false" customHeight="true" outlineLevel="0" collapsed="false">
      <c r="B47" s="1" t="s">
        <v>2540</v>
      </c>
      <c r="D47" s="103" t="n">
        <f aca="false">IF(COUNT($M$24:$M$45)&gt;0,1,0)</f>
        <v>0</v>
      </c>
      <c r="E47" s="23"/>
    </row>
    <row r="48" customFormat="false" ht="15" hidden="false" customHeight="true" outlineLevel="0" collapsed="false">
      <c r="B48" s="1" t="s">
        <v>2541</v>
      </c>
      <c r="D48" s="103" t="n">
        <f aca="false">IF(COUNTIF(GL_Kind,"retire")&gt;0,1,0)</f>
        <v>0</v>
      </c>
      <c r="E48" s="23"/>
    </row>
    <row r="49" customFormat="false" ht="15" hidden="false" customHeight="true" outlineLevel="0" collapsed="false">
      <c r="B49" s="1" t="s">
        <v>2542</v>
      </c>
      <c r="D49" s="103" t="n">
        <f aca="false">IFERROR(MATCH("retire",GL_Kind,0),0)</f>
        <v>0</v>
      </c>
      <c r="E49" s="23"/>
    </row>
    <row r="50" customFormat="false" ht="15" hidden="false" customHeight="true" outlineLevel="0" collapsed="false">
      <c r="B50" s="1" t="s">
        <v>2543</v>
      </c>
      <c r="D50" s="103" t="n">
        <f aca="false">IF(RG_Row&gt;0,INDEX(GL_Amount,RG_Row),0)</f>
        <v>0</v>
      </c>
      <c r="E50" s="23"/>
    </row>
    <row r="52" customFormat="false" ht="15" hidden="false" customHeight="true" outlineLevel="0" collapsed="false">
      <c r="B52" s="113" t="s">
        <v>2544</v>
      </c>
    </row>
    <row r="53" customFormat="false" ht="45.75" hidden="false" customHeight="true" outlineLevel="0" collapsed="false">
      <c r="B53" s="100" t="s">
        <v>2545</v>
      </c>
      <c r="C53" s="100" t="s">
        <v>2546</v>
      </c>
      <c r="D53" s="100" t="s">
        <v>2547</v>
      </c>
      <c r="E53" s="100" t="s">
        <v>2529</v>
      </c>
      <c r="F53" s="100" t="s">
        <v>2490</v>
      </c>
      <c r="G53" s="100" t="s">
        <v>2548</v>
      </c>
      <c r="H53" s="100" t="s">
        <v>2549</v>
      </c>
      <c r="I53" s="100" t="s">
        <v>380</v>
      </c>
      <c r="J53" s="100" t="s">
        <v>2550</v>
      </c>
      <c r="K53" s="100" t="s">
        <v>2551</v>
      </c>
      <c r="L53" s="100" t="s">
        <v>2552</v>
      </c>
      <c r="M53" s="100" t="s">
        <v>2553</v>
      </c>
      <c r="N53" s="100" t="s">
        <v>2554</v>
      </c>
      <c r="O53" s="100" t="s">
        <v>2555</v>
      </c>
      <c r="P53" s="100" t="s">
        <v>2556</v>
      </c>
      <c r="Q53" s="100" t="s">
        <v>2557</v>
      </c>
      <c r="R53" s="100" t="s">
        <v>2558</v>
      </c>
      <c r="S53" s="100" t="s">
        <v>2559</v>
      </c>
      <c r="T53" s="100" t="s">
        <v>2560</v>
      </c>
      <c r="U53" s="100" t="s">
        <v>2561</v>
      </c>
      <c r="V53" s="100" t="s">
        <v>2562</v>
      </c>
      <c r="W53" s="100" t="s">
        <v>2563</v>
      </c>
      <c r="X53" s="100" t="s">
        <v>2564</v>
      </c>
    </row>
    <row r="54" customFormat="false" ht="15" hidden="false" customHeight="true" outlineLevel="0" collapsed="false">
      <c r="B54" s="1" t="n">
        <v>1</v>
      </c>
      <c r="C54" s="1" t="n">
        <f aca="false">IFERROR(MATCH(1,GL_Pos,0),0)</f>
        <v>0</v>
      </c>
      <c r="D54" s="1" t="n">
        <f aca="false">IF(C54&gt;0,1,0)</f>
        <v>0</v>
      </c>
      <c r="E54" s="1" t="str">
        <f aca="false">IF(D54=1,INDEX(GL_Key,C54),"")</f>
        <v/>
      </c>
      <c r="F54" s="1" t="str">
        <f aca="false">IF(D54=1,INDEX(GL_Kind,C54),"")</f>
        <v/>
      </c>
      <c r="G54" s="1" t="n">
        <f aca="false">IF(D54=1,INDEX(GL_Age,C54),0)</f>
        <v>0</v>
      </c>
      <c r="H54" s="1" t="n">
        <f aca="false">IF(D54=1,INDEX(GL_Amount,C54),0)</f>
        <v>0</v>
      </c>
      <c r="I54" s="1" t="n">
        <f aca="false">IF(D54=1,INDEX(GL_Saved,C54),0)</f>
        <v>0</v>
      </c>
      <c r="J54" s="1" t="n">
        <f aca="false">IF(D54=1,MAX(0,G54-F_Age),0)</f>
        <v>0</v>
      </c>
      <c r="K54" s="114" t="n">
        <f aca="false">IF(J54&gt;=AS_LongYrs,AS_Inv,AS_Cash)</f>
        <v>0.01</v>
      </c>
      <c r="L54" s="1" t="n">
        <f aca="false">IF(D54=1,IF(F54="mfree",IF(F_MortBal&gt;0,INDEX(Plan_mPath,MIN(J54+1,F_N)+1),H54*(1+AS_Infl)^J54),H54*(1+AS_Infl)^J54),0)</f>
        <v>0</v>
      </c>
      <c r="M54" s="1" t="n">
        <f aca="false">IF(OR(F54="spend",F54="mfree"),1,0)</f>
        <v>0</v>
      </c>
      <c r="N54" s="1" t="n">
        <f aca="false">IF(AND(F54="pot",E54&lt;&gt;"safety"),1,0)</f>
        <v>0</v>
      </c>
      <c r="O54" s="1" t="n">
        <f aca="false">IF(AND(F54="pot",E54="safety"),1,0)</f>
        <v>0</v>
      </c>
      <c r="P54" s="1" t="n">
        <f aca="false">IF(F54="mfree",1,0)</f>
        <v>0</v>
      </c>
      <c r="Q54" s="1" t="n">
        <f aca="false">IF(AND(D54=1,In_wiGoal&gt;0,C54=In_wiGoal),1,0)</f>
        <v>0</v>
      </c>
      <c r="R54" s="1" t="n">
        <f aca="false">IF(D54=1,MIN(I54,F_Cash),0)</f>
        <v>0</v>
      </c>
      <c r="S54" s="1" t="n">
        <f aca="false">IF(AND(Q54=1,WI_Retire=0),WI_L,0)</f>
        <v>0</v>
      </c>
      <c r="T54" s="1" t="n">
        <f aca="false">F_Cash-R54</f>
        <v>0</v>
      </c>
      <c r="U54" s="1" t="n">
        <f aca="false">IF(D54=1,MAX(0,L54/(1+K54)^J54-(R54+S54)),0)</f>
        <v>0</v>
      </c>
      <c r="V54" s="1" t="n">
        <f aca="false">MIN(U54,Init_Free0)</f>
        <v>0</v>
      </c>
      <c r="W54" s="1" t="n">
        <f aca="false">Init_Free0-V54</f>
        <v>0</v>
      </c>
      <c r="X54" s="1" t="n">
        <f aca="false">R54+S54+V54</f>
        <v>0</v>
      </c>
    </row>
    <row r="55" customFormat="false" ht="15" hidden="false" customHeight="true" outlineLevel="0" collapsed="false">
      <c r="B55" s="1" t="n">
        <v>2</v>
      </c>
      <c r="C55" s="1" t="n">
        <f aca="false">IFERROR(MATCH(2,GL_Pos,0),0)</f>
        <v>0</v>
      </c>
      <c r="D55" s="1" t="n">
        <f aca="false">IF(C55&gt;0,1,0)</f>
        <v>0</v>
      </c>
      <c r="E55" s="1" t="str">
        <f aca="false">IF(D55=1,INDEX(GL_Key,C55),"")</f>
        <v/>
      </c>
      <c r="F55" s="1" t="str">
        <f aca="false">IF(D55=1,INDEX(GL_Kind,C55),"")</f>
        <v/>
      </c>
      <c r="G55" s="1" t="n">
        <f aca="false">IF(D55=1,INDEX(GL_Age,C55),0)</f>
        <v>0</v>
      </c>
      <c r="H55" s="1" t="n">
        <f aca="false">IF(D55=1,INDEX(GL_Amount,C55),0)</f>
        <v>0</v>
      </c>
      <c r="I55" s="1" t="n">
        <f aca="false">IF(D55=1,INDEX(GL_Saved,C55),0)</f>
        <v>0</v>
      </c>
      <c r="J55" s="1" t="n">
        <f aca="false">IF(D55=1,MAX(0,G55-F_Age),0)</f>
        <v>0</v>
      </c>
      <c r="K55" s="114" t="n">
        <f aca="false">IF(J55&gt;=AS_LongYrs,AS_Inv,AS_Cash)</f>
        <v>0.01</v>
      </c>
      <c r="L55" s="1" t="n">
        <f aca="false">IF(D55=1,IF(F55="mfree",IF(F_MortBal&gt;0,INDEX(Plan_mPath,MIN(J55+1,F_N)+1),H55*(1+AS_Infl)^J55),H55*(1+AS_Infl)^J55),0)</f>
        <v>0</v>
      </c>
      <c r="M55" s="1" t="n">
        <f aca="false">IF(OR(F55="spend",F55="mfree"),1,0)</f>
        <v>0</v>
      </c>
      <c r="N55" s="1" t="n">
        <f aca="false">IF(AND(F55="pot",E55&lt;&gt;"safety"),1,0)</f>
        <v>0</v>
      </c>
      <c r="O55" s="1" t="n">
        <f aca="false">IF(AND(F55="pot",E55="safety"),1,0)</f>
        <v>0</v>
      </c>
      <c r="P55" s="1" t="n">
        <f aca="false">IF(F55="mfree",1,0)</f>
        <v>0</v>
      </c>
      <c r="Q55" s="1" t="n">
        <f aca="false">IF(AND(D55=1,In_wiGoal&gt;0,C55=In_wiGoal),1,0)</f>
        <v>0</v>
      </c>
      <c r="R55" s="1" t="n">
        <f aca="false">IF(D55=1,MIN(I55,T54),0)</f>
        <v>0</v>
      </c>
      <c r="S55" s="1" t="n">
        <f aca="false">IF(AND(Q55=1,WI_Retire=0),WI_L,0)</f>
        <v>0</v>
      </c>
      <c r="T55" s="1" t="n">
        <f aca="false">T54-R55</f>
        <v>0</v>
      </c>
      <c r="U55" s="1" t="n">
        <f aca="false">IF(D55=1,MAX(0,L55/(1+K55)^J55-(R55+S55)),0)</f>
        <v>0</v>
      </c>
      <c r="V55" s="1" t="n">
        <f aca="false">MIN(U55,W54)</f>
        <v>0</v>
      </c>
      <c r="W55" s="1" t="n">
        <f aca="false">W54-V55</f>
        <v>0</v>
      </c>
      <c r="X55" s="1" t="n">
        <f aca="false">R55+S55+V55</f>
        <v>0</v>
      </c>
    </row>
    <row r="56" customFormat="false" ht="15" hidden="false" customHeight="true" outlineLevel="0" collapsed="false">
      <c r="B56" s="1" t="n">
        <v>3</v>
      </c>
      <c r="C56" s="1" t="n">
        <f aca="false">IFERROR(MATCH(3,GL_Pos,0),0)</f>
        <v>0</v>
      </c>
      <c r="D56" s="1" t="n">
        <f aca="false">IF(C56&gt;0,1,0)</f>
        <v>0</v>
      </c>
      <c r="E56" s="1" t="str">
        <f aca="false">IF(D56=1,INDEX(GL_Key,C56),"")</f>
        <v/>
      </c>
      <c r="F56" s="1" t="str">
        <f aca="false">IF(D56=1,INDEX(GL_Kind,C56),"")</f>
        <v/>
      </c>
      <c r="G56" s="1" t="n">
        <f aca="false">IF(D56=1,INDEX(GL_Age,C56),0)</f>
        <v>0</v>
      </c>
      <c r="H56" s="1" t="n">
        <f aca="false">IF(D56=1,INDEX(GL_Amount,C56),0)</f>
        <v>0</v>
      </c>
      <c r="I56" s="1" t="n">
        <f aca="false">IF(D56=1,INDEX(GL_Saved,C56),0)</f>
        <v>0</v>
      </c>
      <c r="J56" s="1" t="n">
        <f aca="false">IF(D56=1,MAX(0,G56-F_Age),0)</f>
        <v>0</v>
      </c>
      <c r="K56" s="114" t="n">
        <f aca="false">IF(J56&gt;=AS_LongYrs,AS_Inv,AS_Cash)</f>
        <v>0.01</v>
      </c>
      <c r="L56" s="1" t="n">
        <f aca="false">IF(D56=1,IF(F56="mfree",IF(F_MortBal&gt;0,INDEX(Plan_mPath,MIN(J56+1,F_N)+1),H56*(1+AS_Infl)^J56),H56*(1+AS_Infl)^J56),0)</f>
        <v>0</v>
      </c>
      <c r="M56" s="1" t="n">
        <f aca="false">IF(OR(F56="spend",F56="mfree"),1,0)</f>
        <v>0</v>
      </c>
      <c r="N56" s="1" t="n">
        <f aca="false">IF(AND(F56="pot",E56&lt;&gt;"safety"),1,0)</f>
        <v>0</v>
      </c>
      <c r="O56" s="1" t="n">
        <f aca="false">IF(AND(F56="pot",E56="safety"),1,0)</f>
        <v>0</v>
      </c>
      <c r="P56" s="1" t="n">
        <f aca="false">IF(F56="mfree",1,0)</f>
        <v>0</v>
      </c>
      <c r="Q56" s="1" t="n">
        <f aca="false">IF(AND(D56=1,In_wiGoal&gt;0,C56=In_wiGoal),1,0)</f>
        <v>0</v>
      </c>
      <c r="R56" s="1" t="n">
        <f aca="false">IF(D56=1,MIN(I56,T55),0)</f>
        <v>0</v>
      </c>
      <c r="S56" s="1" t="n">
        <f aca="false">IF(AND(Q56=1,WI_Retire=0),WI_L,0)</f>
        <v>0</v>
      </c>
      <c r="T56" s="1" t="n">
        <f aca="false">T55-R56</f>
        <v>0</v>
      </c>
      <c r="U56" s="1" t="n">
        <f aca="false">IF(D56=1,MAX(0,L56/(1+K56)^J56-(R56+S56)),0)</f>
        <v>0</v>
      </c>
      <c r="V56" s="1" t="n">
        <f aca="false">MIN(U56,W55)</f>
        <v>0</v>
      </c>
      <c r="W56" s="1" t="n">
        <f aca="false">W55-V56</f>
        <v>0</v>
      </c>
      <c r="X56" s="1" t="n">
        <f aca="false">R56+S56+V56</f>
        <v>0</v>
      </c>
    </row>
    <row r="57" customFormat="false" ht="15" hidden="false" customHeight="true" outlineLevel="0" collapsed="false">
      <c r="B57" s="1" t="n">
        <v>4</v>
      </c>
      <c r="C57" s="1" t="n">
        <f aca="false">IFERROR(MATCH(4,GL_Pos,0),0)</f>
        <v>0</v>
      </c>
      <c r="D57" s="1" t="n">
        <f aca="false">IF(C57&gt;0,1,0)</f>
        <v>0</v>
      </c>
      <c r="E57" s="1" t="str">
        <f aca="false">IF(D57=1,INDEX(GL_Key,C57),"")</f>
        <v/>
      </c>
      <c r="F57" s="1" t="str">
        <f aca="false">IF(D57=1,INDEX(GL_Kind,C57),"")</f>
        <v/>
      </c>
      <c r="G57" s="1" t="n">
        <f aca="false">IF(D57=1,INDEX(GL_Age,C57),0)</f>
        <v>0</v>
      </c>
      <c r="H57" s="1" t="n">
        <f aca="false">IF(D57=1,INDEX(GL_Amount,C57),0)</f>
        <v>0</v>
      </c>
      <c r="I57" s="1" t="n">
        <f aca="false">IF(D57=1,INDEX(GL_Saved,C57),0)</f>
        <v>0</v>
      </c>
      <c r="J57" s="1" t="n">
        <f aca="false">IF(D57=1,MAX(0,G57-F_Age),0)</f>
        <v>0</v>
      </c>
      <c r="K57" s="114" t="n">
        <f aca="false">IF(J57&gt;=AS_LongYrs,AS_Inv,AS_Cash)</f>
        <v>0.01</v>
      </c>
      <c r="L57" s="1" t="n">
        <f aca="false">IF(D57=1,IF(F57="mfree",IF(F_MortBal&gt;0,INDEX(Plan_mPath,MIN(J57+1,F_N)+1),H57*(1+AS_Infl)^J57),H57*(1+AS_Infl)^J57),0)</f>
        <v>0</v>
      </c>
      <c r="M57" s="1" t="n">
        <f aca="false">IF(OR(F57="spend",F57="mfree"),1,0)</f>
        <v>0</v>
      </c>
      <c r="N57" s="1" t="n">
        <f aca="false">IF(AND(F57="pot",E57&lt;&gt;"safety"),1,0)</f>
        <v>0</v>
      </c>
      <c r="O57" s="1" t="n">
        <f aca="false">IF(AND(F57="pot",E57="safety"),1,0)</f>
        <v>0</v>
      </c>
      <c r="P57" s="1" t="n">
        <f aca="false">IF(F57="mfree",1,0)</f>
        <v>0</v>
      </c>
      <c r="Q57" s="1" t="n">
        <f aca="false">IF(AND(D57=1,In_wiGoal&gt;0,C57=In_wiGoal),1,0)</f>
        <v>0</v>
      </c>
      <c r="R57" s="1" t="n">
        <f aca="false">IF(D57=1,MIN(I57,T56),0)</f>
        <v>0</v>
      </c>
      <c r="S57" s="1" t="n">
        <f aca="false">IF(AND(Q57=1,WI_Retire=0),WI_L,0)</f>
        <v>0</v>
      </c>
      <c r="T57" s="1" t="n">
        <f aca="false">T56-R57</f>
        <v>0</v>
      </c>
      <c r="U57" s="1" t="n">
        <f aca="false">IF(D57=1,MAX(0,L57/(1+K57)^J57-(R57+S57)),0)</f>
        <v>0</v>
      </c>
      <c r="V57" s="1" t="n">
        <f aca="false">MIN(U57,W56)</f>
        <v>0</v>
      </c>
      <c r="W57" s="1" t="n">
        <f aca="false">W56-V57</f>
        <v>0</v>
      </c>
      <c r="X57" s="1" t="n">
        <f aca="false">R57+S57+V57</f>
        <v>0</v>
      </c>
    </row>
    <row r="58" customFormat="false" ht="15" hidden="false" customHeight="true" outlineLevel="0" collapsed="false">
      <c r="B58" s="1" t="n">
        <v>5</v>
      </c>
      <c r="C58" s="1" t="n">
        <f aca="false">IFERROR(MATCH(5,GL_Pos,0),0)</f>
        <v>0</v>
      </c>
      <c r="D58" s="1" t="n">
        <f aca="false">IF(C58&gt;0,1,0)</f>
        <v>0</v>
      </c>
      <c r="E58" s="1" t="str">
        <f aca="false">IF(D58=1,INDEX(GL_Key,C58),"")</f>
        <v/>
      </c>
      <c r="F58" s="1" t="str">
        <f aca="false">IF(D58=1,INDEX(GL_Kind,C58),"")</f>
        <v/>
      </c>
      <c r="G58" s="1" t="n">
        <f aca="false">IF(D58=1,INDEX(GL_Age,C58),0)</f>
        <v>0</v>
      </c>
      <c r="H58" s="1" t="n">
        <f aca="false">IF(D58=1,INDEX(GL_Amount,C58),0)</f>
        <v>0</v>
      </c>
      <c r="I58" s="1" t="n">
        <f aca="false">IF(D58=1,INDEX(GL_Saved,C58),0)</f>
        <v>0</v>
      </c>
      <c r="J58" s="1" t="n">
        <f aca="false">IF(D58=1,MAX(0,G58-F_Age),0)</f>
        <v>0</v>
      </c>
      <c r="K58" s="114" t="n">
        <f aca="false">IF(J58&gt;=AS_LongYrs,AS_Inv,AS_Cash)</f>
        <v>0.01</v>
      </c>
      <c r="L58" s="1" t="n">
        <f aca="false">IF(D58=1,IF(F58="mfree",IF(F_MortBal&gt;0,INDEX(Plan_mPath,MIN(J58+1,F_N)+1),H58*(1+AS_Infl)^J58),H58*(1+AS_Infl)^J58),0)</f>
        <v>0</v>
      </c>
      <c r="M58" s="1" t="n">
        <f aca="false">IF(OR(F58="spend",F58="mfree"),1,0)</f>
        <v>0</v>
      </c>
      <c r="N58" s="1" t="n">
        <f aca="false">IF(AND(F58="pot",E58&lt;&gt;"safety"),1,0)</f>
        <v>0</v>
      </c>
      <c r="O58" s="1" t="n">
        <f aca="false">IF(AND(F58="pot",E58="safety"),1,0)</f>
        <v>0</v>
      </c>
      <c r="P58" s="1" t="n">
        <f aca="false">IF(F58="mfree",1,0)</f>
        <v>0</v>
      </c>
      <c r="Q58" s="1" t="n">
        <f aca="false">IF(AND(D58=1,In_wiGoal&gt;0,C58=In_wiGoal),1,0)</f>
        <v>0</v>
      </c>
      <c r="R58" s="1" t="n">
        <f aca="false">IF(D58=1,MIN(I58,T57),0)</f>
        <v>0</v>
      </c>
      <c r="S58" s="1" t="n">
        <f aca="false">IF(AND(Q58=1,WI_Retire=0),WI_L,0)</f>
        <v>0</v>
      </c>
      <c r="T58" s="1" t="n">
        <f aca="false">T57-R58</f>
        <v>0</v>
      </c>
      <c r="U58" s="1" t="n">
        <f aca="false">IF(D58=1,MAX(0,L58/(1+K58)^J58-(R58+S58)),0)</f>
        <v>0</v>
      </c>
      <c r="V58" s="1" t="n">
        <f aca="false">MIN(U58,W57)</f>
        <v>0</v>
      </c>
      <c r="W58" s="1" t="n">
        <f aca="false">W57-V58</f>
        <v>0</v>
      </c>
      <c r="X58" s="1" t="n">
        <f aca="false">R58+S58+V58</f>
        <v>0</v>
      </c>
    </row>
    <row r="59" customFormat="false" ht="15" hidden="false" customHeight="true" outlineLevel="0" collapsed="false">
      <c r="B59" s="1" t="n">
        <v>6</v>
      </c>
      <c r="C59" s="1" t="n">
        <f aca="false">IFERROR(MATCH(6,GL_Pos,0),0)</f>
        <v>0</v>
      </c>
      <c r="D59" s="1" t="n">
        <f aca="false">IF(C59&gt;0,1,0)</f>
        <v>0</v>
      </c>
      <c r="E59" s="1" t="str">
        <f aca="false">IF(D59=1,INDEX(GL_Key,C59),"")</f>
        <v/>
      </c>
      <c r="F59" s="1" t="str">
        <f aca="false">IF(D59=1,INDEX(GL_Kind,C59),"")</f>
        <v/>
      </c>
      <c r="G59" s="1" t="n">
        <f aca="false">IF(D59=1,INDEX(GL_Age,C59),0)</f>
        <v>0</v>
      </c>
      <c r="H59" s="1" t="n">
        <f aca="false">IF(D59=1,INDEX(GL_Amount,C59),0)</f>
        <v>0</v>
      </c>
      <c r="I59" s="1" t="n">
        <f aca="false">IF(D59=1,INDEX(GL_Saved,C59),0)</f>
        <v>0</v>
      </c>
      <c r="J59" s="1" t="n">
        <f aca="false">IF(D59=1,MAX(0,G59-F_Age),0)</f>
        <v>0</v>
      </c>
      <c r="K59" s="114" t="n">
        <f aca="false">IF(J59&gt;=AS_LongYrs,AS_Inv,AS_Cash)</f>
        <v>0.01</v>
      </c>
      <c r="L59" s="1" t="n">
        <f aca="false">IF(D59=1,IF(F59="mfree",IF(F_MortBal&gt;0,INDEX(Plan_mPath,MIN(J59+1,F_N)+1),H59*(1+AS_Infl)^J59),H59*(1+AS_Infl)^J59),0)</f>
        <v>0</v>
      </c>
      <c r="M59" s="1" t="n">
        <f aca="false">IF(OR(F59="spend",F59="mfree"),1,0)</f>
        <v>0</v>
      </c>
      <c r="N59" s="1" t="n">
        <f aca="false">IF(AND(F59="pot",E59&lt;&gt;"safety"),1,0)</f>
        <v>0</v>
      </c>
      <c r="O59" s="1" t="n">
        <f aca="false">IF(AND(F59="pot",E59="safety"),1,0)</f>
        <v>0</v>
      </c>
      <c r="P59" s="1" t="n">
        <f aca="false">IF(F59="mfree",1,0)</f>
        <v>0</v>
      </c>
      <c r="Q59" s="1" t="n">
        <f aca="false">IF(AND(D59=1,In_wiGoal&gt;0,C59=In_wiGoal),1,0)</f>
        <v>0</v>
      </c>
      <c r="R59" s="1" t="n">
        <f aca="false">IF(D59=1,MIN(I59,T58),0)</f>
        <v>0</v>
      </c>
      <c r="S59" s="1" t="n">
        <f aca="false">IF(AND(Q59=1,WI_Retire=0),WI_L,0)</f>
        <v>0</v>
      </c>
      <c r="T59" s="1" t="n">
        <f aca="false">T58-R59</f>
        <v>0</v>
      </c>
      <c r="U59" s="1" t="n">
        <f aca="false">IF(D59=1,MAX(0,L59/(1+K59)^J59-(R59+S59)),0)</f>
        <v>0</v>
      </c>
      <c r="V59" s="1" t="n">
        <f aca="false">MIN(U59,W58)</f>
        <v>0</v>
      </c>
      <c r="W59" s="1" t="n">
        <f aca="false">W58-V59</f>
        <v>0</v>
      </c>
      <c r="X59" s="1" t="n">
        <f aca="false">R59+S59+V59</f>
        <v>0</v>
      </c>
    </row>
    <row r="60" customFormat="false" ht="15" hidden="false" customHeight="true" outlineLevel="0" collapsed="false">
      <c r="B60" s="1" t="n">
        <v>7</v>
      </c>
      <c r="C60" s="1" t="n">
        <f aca="false">IFERROR(MATCH(7,GL_Pos,0),0)</f>
        <v>0</v>
      </c>
      <c r="D60" s="1" t="n">
        <f aca="false">IF(C60&gt;0,1,0)</f>
        <v>0</v>
      </c>
      <c r="E60" s="1" t="str">
        <f aca="false">IF(D60=1,INDEX(GL_Key,C60),"")</f>
        <v/>
      </c>
      <c r="F60" s="1" t="str">
        <f aca="false">IF(D60=1,INDEX(GL_Kind,C60),"")</f>
        <v/>
      </c>
      <c r="G60" s="1" t="n">
        <f aca="false">IF(D60=1,INDEX(GL_Age,C60),0)</f>
        <v>0</v>
      </c>
      <c r="H60" s="1" t="n">
        <f aca="false">IF(D60=1,INDEX(GL_Amount,C60),0)</f>
        <v>0</v>
      </c>
      <c r="I60" s="1" t="n">
        <f aca="false">IF(D60=1,INDEX(GL_Saved,C60),0)</f>
        <v>0</v>
      </c>
      <c r="J60" s="1" t="n">
        <f aca="false">IF(D60=1,MAX(0,G60-F_Age),0)</f>
        <v>0</v>
      </c>
      <c r="K60" s="114" t="n">
        <f aca="false">IF(J60&gt;=AS_LongYrs,AS_Inv,AS_Cash)</f>
        <v>0.01</v>
      </c>
      <c r="L60" s="1" t="n">
        <f aca="false">IF(D60=1,IF(F60="mfree",IF(F_MortBal&gt;0,INDEX(Plan_mPath,MIN(J60+1,F_N)+1),H60*(1+AS_Infl)^J60),H60*(1+AS_Infl)^J60),0)</f>
        <v>0</v>
      </c>
      <c r="M60" s="1" t="n">
        <f aca="false">IF(OR(F60="spend",F60="mfree"),1,0)</f>
        <v>0</v>
      </c>
      <c r="N60" s="1" t="n">
        <f aca="false">IF(AND(F60="pot",E60&lt;&gt;"safety"),1,0)</f>
        <v>0</v>
      </c>
      <c r="O60" s="1" t="n">
        <f aca="false">IF(AND(F60="pot",E60="safety"),1,0)</f>
        <v>0</v>
      </c>
      <c r="P60" s="1" t="n">
        <f aca="false">IF(F60="mfree",1,0)</f>
        <v>0</v>
      </c>
      <c r="Q60" s="1" t="n">
        <f aca="false">IF(AND(D60=1,In_wiGoal&gt;0,C60=In_wiGoal),1,0)</f>
        <v>0</v>
      </c>
      <c r="R60" s="1" t="n">
        <f aca="false">IF(D60=1,MIN(I60,T59),0)</f>
        <v>0</v>
      </c>
      <c r="S60" s="1" t="n">
        <f aca="false">IF(AND(Q60=1,WI_Retire=0),WI_L,0)</f>
        <v>0</v>
      </c>
      <c r="T60" s="1" t="n">
        <f aca="false">T59-R60</f>
        <v>0</v>
      </c>
      <c r="U60" s="1" t="n">
        <f aca="false">IF(D60=1,MAX(0,L60/(1+K60)^J60-(R60+S60)),0)</f>
        <v>0</v>
      </c>
      <c r="V60" s="1" t="n">
        <f aca="false">MIN(U60,W59)</f>
        <v>0</v>
      </c>
      <c r="W60" s="1" t="n">
        <f aca="false">W59-V60</f>
        <v>0</v>
      </c>
      <c r="X60" s="1" t="n">
        <f aca="false">R60+S60+V60</f>
        <v>0</v>
      </c>
    </row>
    <row r="61" customFormat="false" ht="15" hidden="false" customHeight="true" outlineLevel="0" collapsed="false">
      <c r="B61" s="1" t="n">
        <v>8</v>
      </c>
      <c r="C61" s="1" t="n">
        <f aca="false">IFERROR(MATCH(8,GL_Pos,0),0)</f>
        <v>0</v>
      </c>
      <c r="D61" s="1" t="n">
        <f aca="false">IF(C61&gt;0,1,0)</f>
        <v>0</v>
      </c>
      <c r="E61" s="1" t="str">
        <f aca="false">IF(D61=1,INDEX(GL_Key,C61),"")</f>
        <v/>
      </c>
      <c r="F61" s="1" t="str">
        <f aca="false">IF(D61=1,INDEX(GL_Kind,C61),"")</f>
        <v/>
      </c>
      <c r="G61" s="1" t="n">
        <f aca="false">IF(D61=1,INDEX(GL_Age,C61),0)</f>
        <v>0</v>
      </c>
      <c r="H61" s="1" t="n">
        <f aca="false">IF(D61=1,INDEX(GL_Amount,C61),0)</f>
        <v>0</v>
      </c>
      <c r="I61" s="1" t="n">
        <f aca="false">IF(D61=1,INDEX(GL_Saved,C61),0)</f>
        <v>0</v>
      </c>
      <c r="J61" s="1" t="n">
        <f aca="false">IF(D61=1,MAX(0,G61-F_Age),0)</f>
        <v>0</v>
      </c>
      <c r="K61" s="114" t="n">
        <f aca="false">IF(J61&gt;=AS_LongYrs,AS_Inv,AS_Cash)</f>
        <v>0.01</v>
      </c>
      <c r="L61" s="1" t="n">
        <f aca="false">IF(D61=1,IF(F61="mfree",IF(F_MortBal&gt;0,INDEX(Plan_mPath,MIN(J61+1,F_N)+1),H61*(1+AS_Infl)^J61),H61*(1+AS_Infl)^J61),0)</f>
        <v>0</v>
      </c>
      <c r="M61" s="1" t="n">
        <f aca="false">IF(OR(F61="spend",F61="mfree"),1,0)</f>
        <v>0</v>
      </c>
      <c r="N61" s="1" t="n">
        <f aca="false">IF(AND(F61="pot",E61&lt;&gt;"safety"),1,0)</f>
        <v>0</v>
      </c>
      <c r="O61" s="1" t="n">
        <f aca="false">IF(AND(F61="pot",E61="safety"),1,0)</f>
        <v>0</v>
      </c>
      <c r="P61" s="1" t="n">
        <f aca="false">IF(F61="mfree",1,0)</f>
        <v>0</v>
      </c>
      <c r="Q61" s="1" t="n">
        <f aca="false">IF(AND(D61=1,In_wiGoal&gt;0,C61=In_wiGoal),1,0)</f>
        <v>0</v>
      </c>
      <c r="R61" s="1" t="n">
        <f aca="false">IF(D61=1,MIN(I61,T60),0)</f>
        <v>0</v>
      </c>
      <c r="S61" s="1" t="n">
        <f aca="false">IF(AND(Q61=1,WI_Retire=0),WI_L,0)</f>
        <v>0</v>
      </c>
      <c r="T61" s="1" t="n">
        <f aca="false">T60-R61</f>
        <v>0</v>
      </c>
      <c r="U61" s="1" t="n">
        <f aca="false">IF(D61=1,MAX(0,L61/(1+K61)^J61-(R61+S61)),0)</f>
        <v>0</v>
      </c>
      <c r="V61" s="1" t="n">
        <f aca="false">MIN(U61,W60)</f>
        <v>0</v>
      </c>
      <c r="W61" s="1" t="n">
        <f aca="false">W60-V61</f>
        <v>0</v>
      </c>
      <c r="X61" s="1" t="n">
        <f aca="false">R61+S61+V61</f>
        <v>0</v>
      </c>
    </row>
    <row r="62" customFormat="false" ht="15" hidden="false" customHeight="true" outlineLevel="0" collapsed="false">
      <c r="B62" s="1" t="n">
        <v>9</v>
      </c>
      <c r="C62" s="1" t="n">
        <f aca="false">IFERROR(MATCH(9,GL_Pos,0),0)</f>
        <v>0</v>
      </c>
      <c r="D62" s="1" t="n">
        <f aca="false">IF(C62&gt;0,1,0)</f>
        <v>0</v>
      </c>
      <c r="E62" s="1" t="str">
        <f aca="false">IF(D62=1,INDEX(GL_Key,C62),"")</f>
        <v/>
      </c>
      <c r="F62" s="1" t="str">
        <f aca="false">IF(D62=1,INDEX(GL_Kind,C62),"")</f>
        <v/>
      </c>
      <c r="G62" s="1" t="n">
        <f aca="false">IF(D62=1,INDEX(GL_Age,C62),0)</f>
        <v>0</v>
      </c>
      <c r="H62" s="1" t="n">
        <f aca="false">IF(D62=1,INDEX(GL_Amount,C62),0)</f>
        <v>0</v>
      </c>
      <c r="I62" s="1" t="n">
        <f aca="false">IF(D62=1,INDEX(GL_Saved,C62),0)</f>
        <v>0</v>
      </c>
      <c r="J62" s="1" t="n">
        <f aca="false">IF(D62=1,MAX(0,G62-F_Age),0)</f>
        <v>0</v>
      </c>
      <c r="K62" s="114" t="n">
        <f aca="false">IF(J62&gt;=AS_LongYrs,AS_Inv,AS_Cash)</f>
        <v>0.01</v>
      </c>
      <c r="L62" s="1" t="n">
        <f aca="false">IF(D62=1,IF(F62="mfree",IF(F_MortBal&gt;0,INDEX(Plan_mPath,MIN(J62+1,F_N)+1),H62*(1+AS_Infl)^J62),H62*(1+AS_Infl)^J62),0)</f>
        <v>0</v>
      </c>
      <c r="M62" s="1" t="n">
        <f aca="false">IF(OR(F62="spend",F62="mfree"),1,0)</f>
        <v>0</v>
      </c>
      <c r="N62" s="1" t="n">
        <f aca="false">IF(AND(F62="pot",E62&lt;&gt;"safety"),1,0)</f>
        <v>0</v>
      </c>
      <c r="O62" s="1" t="n">
        <f aca="false">IF(AND(F62="pot",E62="safety"),1,0)</f>
        <v>0</v>
      </c>
      <c r="P62" s="1" t="n">
        <f aca="false">IF(F62="mfree",1,0)</f>
        <v>0</v>
      </c>
      <c r="Q62" s="1" t="n">
        <f aca="false">IF(AND(D62=1,In_wiGoal&gt;0,C62=In_wiGoal),1,0)</f>
        <v>0</v>
      </c>
      <c r="R62" s="1" t="n">
        <f aca="false">IF(D62=1,MIN(I62,T61),0)</f>
        <v>0</v>
      </c>
      <c r="S62" s="1" t="n">
        <f aca="false">IF(AND(Q62=1,WI_Retire=0),WI_L,0)</f>
        <v>0</v>
      </c>
      <c r="T62" s="1" t="n">
        <f aca="false">T61-R62</f>
        <v>0</v>
      </c>
      <c r="U62" s="1" t="n">
        <f aca="false">IF(D62=1,MAX(0,L62/(1+K62)^J62-(R62+S62)),0)</f>
        <v>0</v>
      </c>
      <c r="V62" s="1" t="n">
        <f aca="false">MIN(U62,W61)</f>
        <v>0</v>
      </c>
      <c r="W62" s="1" t="n">
        <f aca="false">W61-V62</f>
        <v>0</v>
      </c>
      <c r="X62" s="1" t="n">
        <f aca="false">R62+S62+V62</f>
        <v>0</v>
      </c>
    </row>
    <row r="63" customFormat="false" ht="15" hidden="false" customHeight="true" outlineLevel="0" collapsed="false">
      <c r="B63" s="1" t="n">
        <v>10</v>
      </c>
      <c r="C63" s="1" t="n">
        <f aca="false">IFERROR(MATCH(10,GL_Pos,0),0)</f>
        <v>0</v>
      </c>
      <c r="D63" s="1" t="n">
        <f aca="false">IF(C63&gt;0,1,0)</f>
        <v>0</v>
      </c>
      <c r="E63" s="1" t="str">
        <f aca="false">IF(D63=1,INDEX(GL_Key,C63),"")</f>
        <v/>
      </c>
      <c r="F63" s="1" t="str">
        <f aca="false">IF(D63=1,INDEX(GL_Kind,C63),"")</f>
        <v/>
      </c>
      <c r="G63" s="1" t="n">
        <f aca="false">IF(D63=1,INDEX(GL_Age,C63),0)</f>
        <v>0</v>
      </c>
      <c r="H63" s="1" t="n">
        <f aca="false">IF(D63=1,INDEX(GL_Amount,C63),0)</f>
        <v>0</v>
      </c>
      <c r="I63" s="1" t="n">
        <f aca="false">IF(D63=1,INDEX(GL_Saved,C63),0)</f>
        <v>0</v>
      </c>
      <c r="J63" s="1" t="n">
        <f aca="false">IF(D63=1,MAX(0,G63-F_Age),0)</f>
        <v>0</v>
      </c>
      <c r="K63" s="114" t="n">
        <f aca="false">IF(J63&gt;=AS_LongYrs,AS_Inv,AS_Cash)</f>
        <v>0.01</v>
      </c>
      <c r="L63" s="1" t="n">
        <f aca="false">IF(D63=1,IF(F63="mfree",IF(F_MortBal&gt;0,INDEX(Plan_mPath,MIN(J63+1,F_N)+1),H63*(1+AS_Infl)^J63),H63*(1+AS_Infl)^J63),0)</f>
        <v>0</v>
      </c>
      <c r="M63" s="1" t="n">
        <f aca="false">IF(OR(F63="spend",F63="mfree"),1,0)</f>
        <v>0</v>
      </c>
      <c r="N63" s="1" t="n">
        <f aca="false">IF(AND(F63="pot",E63&lt;&gt;"safety"),1,0)</f>
        <v>0</v>
      </c>
      <c r="O63" s="1" t="n">
        <f aca="false">IF(AND(F63="pot",E63="safety"),1,0)</f>
        <v>0</v>
      </c>
      <c r="P63" s="1" t="n">
        <f aca="false">IF(F63="mfree",1,0)</f>
        <v>0</v>
      </c>
      <c r="Q63" s="1" t="n">
        <f aca="false">IF(AND(D63=1,In_wiGoal&gt;0,C63=In_wiGoal),1,0)</f>
        <v>0</v>
      </c>
      <c r="R63" s="1" t="n">
        <f aca="false">IF(D63=1,MIN(I63,T62),0)</f>
        <v>0</v>
      </c>
      <c r="S63" s="1" t="n">
        <f aca="false">IF(AND(Q63=1,WI_Retire=0),WI_L,0)</f>
        <v>0</v>
      </c>
      <c r="T63" s="1" t="n">
        <f aca="false">T62-R63</f>
        <v>0</v>
      </c>
      <c r="U63" s="1" t="n">
        <f aca="false">IF(D63=1,MAX(0,L63/(1+K63)^J63-(R63+S63)),0)</f>
        <v>0</v>
      </c>
      <c r="V63" s="1" t="n">
        <f aca="false">MIN(U63,W62)</f>
        <v>0</v>
      </c>
      <c r="W63" s="1" t="n">
        <f aca="false">W62-V63</f>
        <v>0</v>
      </c>
      <c r="X63" s="1" t="n">
        <f aca="false">R63+S63+V63</f>
        <v>0</v>
      </c>
    </row>
    <row r="64" customFormat="false" ht="15" hidden="false" customHeight="true" outlineLevel="0" collapsed="false">
      <c r="B64" s="1" t="n">
        <v>11</v>
      </c>
      <c r="C64" s="1" t="n">
        <f aca="false">IFERROR(MATCH(11,GL_Pos,0),0)</f>
        <v>0</v>
      </c>
      <c r="D64" s="1" t="n">
        <f aca="false">IF(C64&gt;0,1,0)</f>
        <v>0</v>
      </c>
      <c r="E64" s="1" t="str">
        <f aca="false">IF(D64=1,INDEX(GL_Key,C64),"")</f>
        <v/>
      </c>
      <c r="F64" s="1" t="str">
        <f aca="false">IF(D64=1,INDEX(GL_Kind,C64),"")</f>
        <v/>
      </c>
      <c r="G64" s="1" t="n">
        <f aca="false">IF(D64=1,INDEX(GL_Age,C64),0)</f>
        <v>0</v>
      </c>
      <c r="H64" s="1" t="n">
        <f aca="false">IF(D64=1,INDEX(GL_Amount,C64),0)</f>
        <v>0</v>
      </c>
      <c r="I64" s="1" t="n">
        <f aca="false">IF(D64=1,INDEX(GL_Saved,C64),0)</f>
        <v>0</v>
      </c>
      <c r="J64" s="1" t="n">
        <f aca="false">IF(D64=1,MAX(0,G64-F_Age),0)</f>
        <v>0</v>
      </c>
      <c r="K64" s="114" t="n">
        <f aca="false">IF(J64&gt;=AS_LongYrs,AS_Inv,AS_Cash)</f>
        <v>0.01</v>
      </c>
      <c r="L64" s="1" t="n">
        <f aca="false">IF(D64=1,IF(F64="mfree",IF(F_MortBal&gt;0,INDEX(Plan_mPath,MIN(J64+1,F_N)+1),H64*(1+AS_Infl)^J64),H64*(1+AS_Infl)^J64),0)</f>
        <v>0</v>
      </c>
      <c r="M64" s="1" t="n">
        <f aca="false">IF(OR(F64="spend",F64="mfree"),1,0)</f>
        <v>0</v>
      </c>
      <c r="N64" s="1" t="n">
        <f aca="false">IF(AND(F64="pot",E64&lt;&gt;"safety"),1,0)</f>
        <v>0</v>
      </c>
      <c r="O64" s="1" t="n">
        <f aca="false">IF(AND(F64="pot",E64="safety"),1,0)</f>
        <v>0</v>
      </c>
      <c r="P64" s="1" t="n">
        <f aca="false">IF(F64="mfree",1,0)</f>
        <v>0</v>
      </c>
      <c r="Q64" s="1" t="n">
        <f aca="false">IF(AND(D64=1,In_wiGoal&gt;0,C64=In_wiGoal),1,0)</f>
        <v>0</v>
      </c>
      <c r="R64" s="1" t="n">
        <f aca="false">IF(D64=1,MIN(I64,T63),0)</f>
        <v>0</v>
      </c>
      <c r="S64" s="1" t="n">
        <f aca="false">IF(AND(Q64=1,WI_Retire=0),WI_L,0)</f>
        <v>0</v>
      </c>
      <c r="T64" s="1" t="n">
        <f aca="false">T63-R64</f>
        <v>0</v>
      </c>
      <c r="U64" s="1" t="n">
        <f aca="false">IF(D64=1,MAX(0,L64/(1+K64)^J64-(R64+S64)),0)</f>
        <v>0</v>
      </c>
      <c r="V64" s="1" t="n">
        <f aca="false">MIN(U64,W63)</f>
        <v>0</v>
      </c>
      <c r="W64" s="1" t="n">
        <f aca="false">W63-V64</f>
        <v>0</v>
      </c>
      <c r="X64" s="1" t="n">
        <f aca="false">R64+S64+V64</f>
        <v>0</v>
      </c>
    </row>
    <row r="65" customFormat="false" ht="15" hidden="false" customHeight="true" outlineLevel="0" collapsed="false">
      <c r="B65" s="1" t="n">
        <v>12</v>
      </c>
      <c r="C65" s="1" t="n">
        <f aca="false">IFERROR(MATCH(12,GL_Pos,0),0)</f>
        <v>0</v>
      </c>
      <c r="D65" s="1" t="n">
        <f aca="false">IF(C65&gt;0,1,0)</f>
        <v>0</v>
      </c>
      <c r="E65" s="1" t="str">
        <f aca="false">IF(D65=1,INDEX(GL_Key,C65),"")</f>
        <v/>
      </c>
      <c r="F65" s="1" t="str">
        <f aca="false">IF(D65=1,INDEX(GL_Kind,C65),"")</f>
        <v/>
      </c>
      <c r="G65" s="1" t="n">
        <f aca="false">IF(D65=1,INDEX(GL_Age,C65),0)</f>
        <v>0</v>
      </c>
      <c r="H65" s="1" t="n">
        <f aca="false">IF(D65=1,INDEX(GL_Amount,C65),0)</f>
        <v>0</v>
      </c>
      <c r="I65" s="1" t="n">
        <f aca="false">IF(D65=1,INDEX(GL_Saved,C65),0)</f>
        <v>0</v>
      </c>
      <c r="J65" s="1" t="n">
        <f aca="false">IF(D65=1,MAX(0,G65-F_Age),0)</f>
        <v>0</v>
      </c>
      <c r="K65" s="114" t="n">
        <f aca="false">IF(J65&gt;=AS_LongYrs,AS_Inv,AS_Cash)</f>
        <v>0.01</v>
      </c>
      <c r="L65" s="1" t="n">
        <f aca="false">IF(D65=1,IF(F65="mfree",IF(F_MortBal&gt;0,INDEX(Plan_mPath,MIN(J65+1,F_N)+1),H65*(1+AS_Infl)^J65),H65*(1+AS_Infl)^J65),0)</f>
        <v>0</v>
      </c>
      <c r="M65" s="1" t="n">
        <f aca="false">IF(OR(F65="spend",F65="mfree"),1,0)</f>
        <v>0</v>
      </c>
      <c r="N65" s="1" t="n">
        <f aca="false">IF(AND(F65="pot",E65&lt;&gt;"safety"),1,0)</f>
        <v>0</v>
      </c>
      <c r="O65" s="1" t="n">
        <f aca="false">IF(AND(F65="pot",E65="safety"),1,0)</f>
        <v>0</v>
      </c>
      <c r="P65" s="1" t="n">
        <f aca="false">IF(F65="mfree",1,0)</f>
        <v>0</v>
      </c>
      <c r="Q65" s="1" t="n">
        <f aca="false">IF(AND(D65=1,In_wiGoal&gt;0,C65=In_wiGoal),1,0)</f>
        <v>0</v>
      </c>
      <c r="R65" s="1" t="n">
        <f aca="false">IF(D65=1,MIN(I65,T64),0)</f>
        <v>0</v>
      </c>
      <c r="S65" s="1" t="n">
        <f aca="false">IF(AND(Q65=1,WI_Retire=0),WI_L,0)</f>
        <v>0</v>
      </c>
      <c r="T65" s="1" t="n">
        <f aca="false">T64-R65</f>
        <v>0</v>
      </c>
      <c r="U65" s="1" t="n">
        <f aca="false">IF(D65=1,MAX(0,L65/(1+K65)^J65-(R65+S65)),0)</f>
        <v>0</v>
      </c>
      <c r="V65" s="1" t="n">
        <f aca="false">MIN(U65,W64)</f>
        <v>0</v>
      </c>
      <c r="W65" s="1" t="n">
        <f aca="false">W64-V65</f>
        <v>0</v>
      </c>
      <c r="X65" s="1" t="n">
        <f aca="false">R65+S65+V65</f>
        <v>0</v>
      </c>
    </row>
    <row r="66" customFormat="false" ht="15" hidden="false" customHeight="true" outlineLevel="0" collapsed="false">
      <c r="B66" s="1" t="n">
        <v>13</v>
      </c>
      <c r="C66" s="1" t="n">
        <f aca="false">IFERROR(MATCH(13,GL_Pos,0),0)</f>
        <v>0</v>
      </c>
      <c r="D66" s="1" t="n">
        <f aca="false">IF(C66&gt;0,1,0)</f>
        <v>0</v>
      </c>
      <c r="E66" s="1" t="str">
        <f aca="false">IF(D66=1,INDEX(GL_Key,C66),"")</f>
        <v/>
      </c>
      <c r="F66" s="1" t="str">
        <f aca="false">IF(D66=1,INDEX(GL_Kind,C66),"")</f>
        <v/>
      </c>
      <c r="G66" s="1" t="n">
        <f aca="false">IF(D66=1,INDEX(GL_Age,C66),0)</f>
        <v>0</v>
      </c>
      <c r="H66" s="1" t="n">
        <f aca="false">IF(D66=1,INDEX(GL_Amount,C66),0)</f>
        <v>0</v>
      </c>
      <c r="I66" s="1" t="n">
        <f aca="false">IF(D66=1,INDEX(GL_Saved,C66),0)</f>
        <v>0</v>
      </c>
      <c r="J66" s="1" t="n">
        <f aca="false">IF(D66=1,MAX(0,G66-F_Age),0)</f>
        <v>0</v>
      </c>
      <c r="K66" s="114" t="n">
        <f aca="false">IF(J66&gt;=AS_LongYrs,AS_Inv,AS_Cash)</f>
        <v>0.01</v>
      </c>
      <c r="L66" s="1" t="n">
        <f aca="false">IF(D66=1,IF(F66="mfree",IF(F_MortBal&gt;0,INDEX(Plan_mPath,MIN(J66+1,F_N)+1),H66*(1+AS_Infl)^J66),H66*(1+AS_Infl)^J66),0)</f>
        <v>0</v>
      </c>
      <c r="M66" s="1" t="n">
        <f aca="false">IF(OR(F66="spend",F66="mfree"),1,0)</f>
        <v>0</v>
      </c>
      <c r="N66" s="1" t="n">
        <f aca="false">IF(AND(F66="pot",E66&lt;&gt;"safety"),1,0)</f>
        <v>0</v>
      </c>
      <c r="O66" s="1" t="n">
        <f aca="false">IF(AND(F66="pot",E66="safety"),1,0)</f>
        <v>0</v>
      </c>
      <c r="P66" s="1" t="n">
        <f aca="false">IF(F66="mfree",1,0)</f>
        <v>0</v>
      </c>
      <c r="Q66" s="1" t="n">
        <f aca="false">IF(AND(D66=1,In_wiGoal&gt;0,C66=In_wiGoal),1,0)</f>
        <v>0</v>
      </c>
      <c r="R66" s="1" t="n">
        <f aca="false">IF(D66=1,MIN(I66,T65),0)</f>
        <v>0</v>
      </c>
      <c r="S66" s="1" t="n">
        <f aca="false">IF(AND(Q66=1,WI_Retire=0),WI_L,0)</f>
        <v>0</v>
      </c>
      <c r="T66" s="1" t="n">
        <f aca="false">T65-R66</f>
        <v>0</v>
      </c>
      <c r="U66" s="1" t="n">
        <f aca="false">IF(D66=1,MAX(0,L66/(1+K66)^J66-(R66+S66)),0)</f>
        <v>0</v>
      </c>
      <c r="V66" s="1" t="n">
        <f aca="false">MIN(U66,W65)</f>
        <v>0</v>
      </c>
      <c r="W66" s="1" t="n">
        <f aca="false">W65-V66</f>
        <v>0</v>
      </c>
      <c r="X66" s="1" t="n">
        <f aca="false">R66+S66+V66</f>
        <v>0</v>
      </c>
    </row>
    <row r="67" customFormat="false" ht="15" hidden="false" customHeight="true" outlineLevel="0" collapsed="false">
      <c r="B67" s="1" t="n">
        <v>14</v>
      </c>
      <c r="C67" s="1" t="n">
        <f aca="false">IFERROR(MATCH(14,GL_Pos,0),0)</f>
        <v>0</v>
      </c>
      <c r="D67" s="1" t="n">
        <f aca="false">IF(C67&gt;0,1,0)</f>
        <v>0</v>
      </c>
      <c r="E67" s="1" t="str">
        <f aca="false">IF(D67=1,INDEX(GL_Key,C67),"")</f>
        <v/>
      </c>
      <c r="F67" s="1" t="str">
        <f aca="false">IF(D67=1,INDEX(GL_Kind,C67),"")</f>
        <v/>
      </c>
      <c r="G67" s="1" t="n">
        <f aca="false">IF(D67=1,INDEX(GL_Age,C67),0)</f>
        <v>0</v>
      </c>
      <c r="H67" s="1" t="n">
        <f aca="false">IF(D67=1,INDEX(GL_Amount,C67),0)</f>
        <v>0</v>
      </c>
      <c r="I67" s="1" t="n">
        <f aca="false">IF(D67=1,INDEX(GL_Saved,C67),0)</f>
        <v>0</v>
      </c>
      <c r="J67" s="1" t="n">
        <f aca="false">IF(D67=1,MAX(0,G67-F_Age),0)</f>
        <v>0</v>
      </c>
      <c r="K67" s="114" t="n">
        <f aca="false">IF(J67&gt;=AS_LongYrs,AS_Inv,AS_Cash)</f>
        <v>0.01</v>
      </c>
      <c r="L67" s="1" t="n">
        <f aca="false">IF(D67=1,IF(F67="mfree",IF(F_MortBal&gt;0,INDEX(Plan_mPath,MIN(J67+1,F_N)+1),H67*(1+AS_Infl)^J67),H67*(1+AS_Infl)^J67),0)</f>
        <v>0</v>
      </c>
      <c r="M67" s="1" t="n">
        <f aca="false">IF(OR(F67="spend",F67="mfree"),1,0)</f>
        <v>0</v>
      </c>
      <c r="N67" s="1" t="n">
        <f aca="false">IF(AND(F67="pot",E67&lt;&gt;"safety"),1,0)</f>
        <v>0</v>
      </c>
      <c r="O67" s="1" t="n">
        <f aca="false">IF(AND(F67="pot",E67="safety"),1,0)</f>
        <v>0</v>
      </c>
      <c r="P67" s="1" t="n">
        <f aca="false">IF(F67="mfree",1,0)</f>
        <v>0</v>
      </c>
      <c r="Q67" s="1" t="n">
        <f aca="false">IF(AND(D67=1,In_wiGoal&gt;0,C67=In_wiGoal),1,0)</f>
        <v>0</v>
      </c>
      <c r="R67" s="1" t="n">
        <f aca="false">IF(D67=1,MIN(I67,T66),0)</f>
        <v>0</v>
      </c>
      <c r="S67" s="1" t="n">
        <f aca="false">IF(AND(Q67=1,WI_Retire=0),WI_L,0)</f>
        <v>0</v>
      </c>
      <c r="T67" s="1" t="n">
        <f aca="false">T66-R67</f>
        <v>0</v>
      </c>
      <c r="U67" s="1" t="n">
        <f aca="false">IF(D67=1,MAX(0,L67/(1+K67)^J67-(R67+S67)),0)</f>
        <v>0</v>
      </c>
      <c r="V67" s="1" t="n">
        <f aca="false">MIN(U67,W66)</f>
        <v>0</v>
      </c>
      <c r="W67" s="1" t="n">
        <f aca="false">W66-V67</f>
        <v>0</v>
      </c>
      <c r="X67" s="1" t="n">
        <f aca="false">R67+S67+V67</f>
        <v>0</v>
      </c>
    </row>
    <row r="68" customFormat="false" ht="15" hidden="false" customHeight="true" outlineLevel="0" collapsed="false">
      <c r="B68" s="1" t="n">
        <v>15</v>
      </c>
      <c r="C68" s="1" t="n">
        <f aca="false">IFERROR(MATCH(15,GL_Pos,0),0)</f>
        <v>0</v>
      </c>
      <c r="D68" s="1" t="n">
        <f aca="false">IF(C68&gt;0,1,0)</f>
        <v>0</v>
      </c>
      <c r="E68" s="1" t="str">
        <f aca="false">IF(D68=1,INDEX(GL_Key,C68),"")</f>
        <v/>
      </c>
      <c r="F68" s="1" t="str">
        <f aca="false">IF(D68=1,INDEX(GL_Kind,C68),"")</f>
        <v/>
      </c>
      <c r="G68" s="1" t="n">
        <f aca="false">IF(D68=1,INDEX(GL_Age,C68),0)</f>
        <v>0</v>
      </c>
      <c r="H68" s="1" t="n">
        <f aca="false">IF(D68=1,INDEX(GL_Amount,C68),0)</f>
        <v>0</v>
      </c>
      <c r="I68" s="1" t="n">
        <f aca="false">IF(D68=1,INDEX(GL_Saved,C68),0)</f>
        <v>0</v>
      </c>
      <c r="J68" s="1" t="n">
        <f aca="false">IF(D68=1,MAX(0,G68-F_Age),0)</f>
        <v>0</v>
      </c>
      <c r="K68" s="114" t="n">
        <f aca="false">IF(J68&gt;=AS_LongYrs,AS_Inv,AS_Cash)</f>
        <v>0.01</v>
      </c>
      <c r="L68" s="1" t="n">
        <f aca="false">IF(D68=1,IF(F68="mfree",IF(F_MortBal&gt;0,INDEX(Plan_mPath,MIN(J68+1,F_N)+1),H68*(1+AS_Infl)^J68),H68*(1+AS_Infl)^J68),0)</f>
        <v>0</v>
      </c>
      <c r="M68" s="1" t="n">
        <f aca="false">IF(OR(F68="spend",F68="mfree"),1,0)</f>
        <v>0</v>
      </c>
      <c r="N68" s="1" t="n">
        <f aca="false">IF(AND(F68="pot",E68&lt;&gt;"safety"),1,0)</f>
        <v>0</v>
      </c>
      <c r="O68" s="1" t="n">
        <f aca="false">IF(AND(F68="pot",E68="safety"),1,0)</f>
        <v>0</v>
      </c>
      <c r="P68" s="1" t="n">
        <f aca="false">IF(F68="mfree",1,0)</f>
        <v>0</v>
      </c>
      <c r="Q68" s="1" t="n">
        <f aca="false">IF(AND(D68=1,In_wiGoal&gt;0,C68=In_wiGoal),1,0)</f>
        <v>0</v>
      </c>
      <c r="R68" s="1" t="n">
        <f aca="false">IF(D68=1,MIN(I68,T67),0)</f>
        <v>0</v>
      </c>
      <c r="S68" s="1" t="n">
        <f aca="false">IF(AND(Q68=1,WI_Retire=0),WI_L,0)</f>
        <v>0</v>
      </c>
      <c r="T68" s="1" t="n">
        <f aca="false">T67-R68</f>
        <v>0</v>
      </c>
      <c r="U68" s="1" t="n">
        <f aca="false">IF(D68=1,MAX(0,L68/(1+K68)^J68-(R68+S68)),0)</f>
        <v>0</v>
      </c>
      <c r="V68" s="1" t="n">
        <f aca="false">MIN(U68,W67)</f>
        <v>0</v>
      </c>
      <c r="W68" s="1" t="n">
        <f aca="false">W67-V68</f>
        <v>0</v>
      </c>
      <c r="X68" s="1" t="n">
        <f aca="false">R68+S68+V68</f>
        <v>0</v>
      </c>
    </row>
    <row r="69" customFormat="false" ht="15" hidden="false" customHeight="true" outlineLevel="0" collapsed="false">
      <c r="B69" s="1" t="n">
        <v>16</v>
      </c>
      <c r="C69" s="1" t="n">
        <f aca="false">IFERROR(MATCH(16,GL_Pos,0),0)</f>
        <v>0</v>
      </c>
      <c r="D69" s="1" t="n">
        <f aca="false">IF(C69&gt;0,1,0)</f>
        <v>0</v>
      </c>
      <c r="E69" s="1" t="str">
        <f aca="false">IF(D69=1,INDEX(GL_Key,C69),"")</f>
        <v/>
      </c>
      <c r="F69" s="1" t="str">
        <f aca="false">IF(D69=1,INDEX(GL_Kind,C69),"")</f>
        <v/>
      </c>
      <c r="G69" s="1" t="n">
        <f aca="false">IF(D69=1,INDEX(GL_Age,C69),0)</f>
        <v>0</v>
      </c>
      <c r="H69" s="1" t="n">
        <f aca="false">IF(D69=1,INDEX(GL_Amount,C69),0)</f>
        <v>0</v>
      </c>
      <c r="I69" s="1" t="n">
        <f aca="false">IF(D69=1,INDEX(GL_Saved,C69),0)</f>
        <v>0</v>
      </c>
      <c r="J69" s="1" t="n">
        <f aca="false">IF(D69=1,MAX(0,G69-F_Age),0)</f>
        <v>0</v>
      </c>
      <c r="K69" s="114" t="n">
        <f aca="false">IF(J69&gt;=AS_LongYrs,AS_Inv,AS_Cash)</f>
        <v>0.01</v>
      </c>
      <c r="L69" s="1" t="n">
        <f aca="false">IF(D69=1,IF(F69="mfree",IF(F_MortBal&gt;0,INDEX(Plan_mPath,MIN(J69+1,F_N)+1),H69*(1+AS_Infl)^J69),H69*(1+AS_Infl)^J69),0)</f>
        <v>0</v>
      </c>
      <c r="M69" s="1" t="n">
        <f aca="false">IF(OR(F69="spend",F69="mfree"),1,0)</f>
        <v>0</v>
      </c>
      <c r="N69" s="1" t="n">
        <f aca="false">IF(AND(F69="pot",E69&lt;&gt;"safety"),1,0)</f>
        <v>0</v>
      </c>
      <c r="O69" s="1" t="n">
        <f aca="false">IF(AND(F69="pot",E69="safety"),1,0)</f>
        <v>0</v>
      </c>
      <c r="P69" s="1" t="n">
        <f aca="false">IF(F69="mfree",1,0)</f>
        <v>0</v>
      </c>
      <c r="Q69" s="1" t="n">
        <f aca="false">IF(AND(D69=1,In_wiGoal&gt;0,C69=In_wiGoal),1,0)</f>
        <v>0</v>
      </c>
      <c r="R69" s="1" t="n">
        <f aca="false">IF(D69=1,MIN(I69,T68),0)</f>
        <v>0</v>
      </c>
      <c r="S69" s="1" t="n">
        <f aca="false">IF(AND(Q69=1,WI_Retire=0),WI_L,0)</f>
        <v>0</v>
      </c>
      <c r="T69" s="1" t="n">
        <f aca="false">T68-R69</f>
        <v>0</v>
      </c>
      <c r="U69" s="1" t="n">
        <f aca="false">IF(D69=1,MAX(0,L69/(1+K69)^J69-(R69+S69)),0)</f>
        <v>0</v>
      </c>
      <c r="V69" s="1" t="n">
        <f aca="false">MIN(U69,W68)</f>
        <v>0</v>
      </c>
      <c r="W69" s="1" t="n">
        <f aca="false">W68-V69</f>
        <v>0</v>
      </c>
      <c r="X69" s="1" t="n">
        <f aca="false">R69+S69+V69</f>
        <v>0</v>
      </c>
    </row>
    <row r="70" customFormat="false" ht="15" hidden="false" customHeight="true" outlineLevel="0" collapsed="false">
      <c r="B70" s="1" t="n">
        <v>17</v>
      </c>
      <c r="C70" s="1" t="n">
        <f aca="false">IFERROR(MATCH(17,GL_Pos,0),0)</f>
        <v>0</v>
      </c>
      <c r="D70" s="1" t="n">
        <f aca="false">IF(C70&gt;0,1,0)</f>
        <v>0</v>
      </c>
      <c r="E70" s="1" t="str">
        <f aca="false">IF(D70=1,INDEX(GL_Key,C70),"")</f>
        <v/>
      </c>
      <c r="F70" s="1" t="str">
        <f aca="false">IF(D70=1,INDEX(GL_Kind,C70),"")</f>
        <v/>
      </c>
      <c r="G70" s="1" t="n">
        <f aca="false">IF(D70=1,INDEX(GL_Age,C70),0)</f>
        <v>0</v>
      </c>
      <c r="H70" s="1" t="n">
        <f aca="false">IF(D70=1,INDEX(GL_Amount,C70),0)</f>
        <v>0</v>
      </c>
      <c r="I70" s="1" t="n">
        <f aca="false">IF(D70=1,INDEX(GL_Saved,C70),0)</f>
        <v>0</v>
      </c>
      <c r="J70" s="1" t="n">
        <f aca="false">IF(D70=1,MAX(0,G70-F_Age),0)</f>
        <v>0</v>
      </c>
      <c r="K70" s="114" t="n">
        <f aca="false">IF(J70&gt;=AS_LongYrs,AS_Inv,AS_Cash)</f>
        <v>0.01</v>
      </c>
      <c r="L70" s="1" t="n">
        <f aca="false">IF(D70=1,IF(F70="mfree",IF(F_MortBal&gt;0,INDEX(Plan_mPath,MIN(J70+1,F_N)+1),H70*(1+AS_Infl)^J70),H70*(1+AS_Infl)^J70),0)</f>
        <v>0</v>
      </c>
      <c r="M70" s="1" t="n">
        <f aca="false">IF(OR(F70="spend",F70="mfree"),1,0)</f>
        <v>0</v>
      </c>
      <c r="N70" s="1" t="n">
        <f aca="false">IF(AND(F70="pot",E70&lt;&gt;"safety"),1,0)</f>
        <v>0</v>
      </c>
      <c r="O70" s="1" t="n">
        <f aca="false">IF(AND(F70="pot",E70="safety"),1,0)</f>
        <v>0</v>
      </c>
      <c r="P70" s="1" t="n">
        <f aca="false">IF(F70="mfree",1,0)</f>
        <v>0</v>
      </c>
      <c r="Q70" s="1" t="n">
        <f aca="false">IF(AND(D70=1,In_wiGoal&gt;0,C70=In_wiGoal),1,0)</f>
        <v>0</v>
      </c>
      <c r="R70" s="1" t="n">
        <f aca="false">IF(D70=1,MIN(I70,T69),0)</f>
        <v>0</v>
      </c>
      <c r="S70" s="1" t="n">
        <f aca="false">IF(AND(Q70=1,WI_Retire=0),WI_L,0)</f>
        <v>0</v>
      </c>
      <c r="T70" s="1" t="n">
        <f aca="false">T69-R70</f>
        <v>0</v>
      </c>
      <c r="U70" s="1" t="n">
        <f aca="false">IF(D70=1,MAX(0,L70/(1+K70)^J70-(R70+S70)),0)</f>
        <v>0</v>
      </c>
      <c r="V70" s="1" t="n">
        <f aca="false">MIN(U70,W69)</f>
        <v>0</v>
      </c>
      <c r="W70" s="1" t="n">
        <f aca="false">W69-V70</f>
        <v>0</v>
      </c>
      <c r="X70" s="1" t="n">
        <f aca="false">R70+S70+V70</f>
        <v>0</v>
      </c>
    </row>
    <row r="71" customFormat="false" ht="15" hidden="false" customHeight="true" outlineLevel="0" collapsed="false">
      <c r="B71" s="1" t="n">
        <v>18</v>
      </c>
      <c r="C71" s="1" t="n">
        <f aca="false">IFERROR(MATCH(18,GL_Pos,0),0)</f>
        <v>0</v>
      </c>
      <c r="D71" s="1" t="n">
        <f aca="false">IF(C71&gt;0,1,0)</f>
        <v>0</v>
      </c>
      <c r="E71" s="1" t="str">
        <f aca="false">IF(D71=1,INDEX(GL_Key,C71),"")</f>
        <v/>
      </c>
      <c r="F71" s="1" t="str">
        <f aca="false">IF(D71=1,INDEX(GL_Kind,C71),"")</f>
        <v/>
      </c>
      <c r="G71" s="1" t="n">
        <f aca="false">IF(D71=1,INDEX(GL_Age,C71),0)</f>
        <v>0</v>
      </c>
      <c r="H71" s="1" t="n">
        <f aca="false">IF(D71=1,INDEX(GL_Amount,C71),0)</f>
        <v>0</v>
      </c>
      <c r="I71" s="1" t="n">
        <f aca="false">IF(D71=1,INDEX(GL_Saved,C71),0)</f>
        <v>0</v>
      </c>
      <c r="J71" s="1" t="n">
        <f aca="false">IF(D71=1,MAX(0,G71-F_Age),0)</f>
        <v>0</v>
      </c>
      <c r="K71" s="114" t="n">
        <f aca="false">IF(J71&gt;=AS_LongYrs,AS_Inv,AS_Cash)</f>
        <v>0.01</v>
      </c>
      <c r="L71" s="1" t="n">
        <f aca="false">IF(D71=1,IF(F71="mfree",IF(F_MortBal&gt;0,INDEX(Plan_mPath,MIN(J71+1,F_N)+1),H71*(1+AS_Infl)^J71),H71*(1+AS_Infl)^J71),0)</f>
        <v>0</v>
      </c>
      <c r="M71" s="1" t="n">
        <f aca="false">IF(OR(F71="spend",F71="mfree"),1,0)</f>
        <v>0</v>
      </c>
      <c r="N71" s="1" t="n">
        <f aca="false">IF(AND(F71="pot",E71&lt;&gt;"safety"),1,0)</f>
        <v>0</v>
      </c>
      <c r="O71" s="1" t="n">
        <f aca="false">IF(AND(F71="pot",E71="safety"),1,0)</f>
        <v>0</v>
      </c>
      <c r="P71" s="1" t="n">
        <f aca="false">IF(F71="mfree",1,0)</f>
        <v>0</v>
      </c>
      <c r="Q71" s="1" t="n">
        <f aca="false">IF(AND(D71=1,In_wiGoal&gt;0,C71=In_wiGoal),1,0)</f>
        <v>0</v>
      </c>
      <c r="R71" s="1" t="n">
        <f aca="false">IF(D71=1,MIN(I71,T70),0)</f>
        <v>0</v>
      </c>
      <c r="S71" s="1" t="n">
        <f aca="false">IF(AND(Q71=1,WI_Retire=0),WI_L,0)</f>
        <v>0</v>
      </c>
      <c r="T71" s="1" t="n">
        <f aca="false">T70-R71</f>
        <v>0</v>
      </c>
      <c r="U71" s="1" t="n">
        <f aca="false">IF(D71=1,MAX(0,L71/(1+K71)^J71-(R71+S71)),0)</f>
        <v>0</v>
      </c>
      <c r="V71" s="1" t="n">
        <f aca="false">MIN(U71,W70)</f>
        <v>0</v>
      </c>
      <c r="W71" s="1" t="n">
        <f aca="false">W70-V71</f>
        <v>0</v>
      </c>
      <c r="X71" s="1" t="n">
        <f aca="false">R71+S71+V71</f>
        <v>0</v>
      </c>
    </row>
    <row r="72" customFormat="false" ht="15" hidden="false" customHeight="true" outlineLevel="0" collapsed="false">
      <c r="B72" s="1" t="n">
        <v>19</v>
      </c>
      <c r="C72" s="1" t="n">
        <f aca="false">IFERROR(MATCH(19,GL_Pos,0),0)</f>
        <v>0</v>
      </c>
      <c r="D72" s="1" t="n">
        <f aca="false">IF(C72&gt;0,1,0)</f>
        <v>0</v>
      </c>
      <c r="E72" s="1" t="str">
        <f aca="false">IF(D72=1,INDEX(GL_Key,C72),"")</f>
        <v/>
      </c>
      <c r="F72" s="1" t="str">
        <f aca="false">IF(D72=1,INDEX(GL_Kind,C72),"")</f>
        <v/>
      </c>
      <c r="G72" s="1" t="n">
        <f aca="false">IF(D72=1,INDEX(GL_Age,C72),0)</f>
        <v>0</v>
      </c>
      <c r="H72" s="1" t="n">
        <f aca="false">IF(D72=1,INDEX(GL_Amount,C72),0)</f>
        <v>0</v>
      </c>
      <c r="I72" s="1" t="n">
        <f aca="false">IF(D72=1,INDEX(GL_Saved,C72),0)</f>
        <v>0</v>
      </c>
      <c r="J72" s="1" t="n">
        <f aca="false">IF(D72=1,MAX(0,G72-F_Age),0)</f>
        <v>0</v>
      </c>
      <c r="K72" s="114" t="n">
        <f aca="false">IF(J72&gt;=AS_LongYrs,AS_Inv,AS_Cash)</f>
        <v>0.01</v>
      </c>
      <c r="L72" s="1" t="n">
        <f aca="false">IF(D72=1,IF(F72="mfree",IF(F_MortBal&gt;0,INDEX(Plan_mPath,MIN(J72+1,F_N)+1),H72*(1+AS_Infl)^J72),H72*(1+AS_Infl)^J72),0)</f>
        <v>0</v>
      </c>
      <c r="M72" s="1" t="n">
        <f aca="false">IF(OR(F72="spend",F72="mfree"),1,0)</f>
        <v>0</v>
      </c>
      <c r="N72" s="1" t="n">
        <f aca="false">IF(AND(F72="pot",E72&lt;&gt;"safety"),1,0)</f>
        <v>0</v>
      </c>
      <c r="O72" s="1" t="n">
        <f aca="false">IF(AND(F72="pot",E72="safety"),1,0)</f>
        <v>0</v>
      </c>
      <c r="P72" s="1" t="n">
        <f aca="false">IF(F72="mfree",1,0)</f>
        <v>0</v>
      </c>
      <c r="Q72" s="1" t="n">
        <f aca="false">IF(AND(D72=1,In_wiGoal&gt;0,C72=In_wiGoal),1,0)</f>
        <v>0</v>
      </c>
      <c r="R72" s="1" t="n">
        <f aca="false">IF(D72=1,MIN(I72,T71),0)</f>
        <v>0</v>
      </c>
      <c r="S72" s="1" t="n">
        <f aca="false">IF(AND(Q72=1,WI_Retire=0),WI_L,0)</f>
        <v>0</v>
      </c>
      <c r="T72" s="1" t="n">
        <f aca="false">T71-R72</f>
        <v>0</v>
      </c>
      <c r="U72" s="1" t="n">
        <f aca="false">IF(D72=1,MAX(0,L72/(1+K72)^J72-(R72+S72)),0)</f>
        <v>0</v>
      </c>
      <c r="V72" s="1" t="n">
        <f aca="false">MIN(U72,W71)</f>
        <v>0</v>
      </c>
      <c r="W72" s="1" t="n">
        <f aca="false">W71-V72</f>
        <v>0</v>
      </c>
      <c r="X72" s="1" t="n">
        <f aca="false">R72+S72+V72</f>
        <v>0</v>
      </c>
    </row>
    <row r="73" customFormat="false" ht="15" hidden="false" customHeight="true" outlineLevel="0" collapsed="false">
      <c r="B73" s="1" t="n">
        <v>20</v>
      </c>
      <c r="C73" s="1" t="n">
        <f aca="false">IFERROR(MATCH(20,GL_Pos,0),0)</f>
        <v>0</v>
      </c>
      <c r="D73" s="1" t="n">
        <f aca="false">IF(C73&gt;0,1,0)</f>
        <v>0</v>
      </c>
      <c r="E73" s="1" t="str">
        <f aca="false">IF(D73=1,INDEX(GL_Key,C73),"")</f>
        <v/>
      </c>
      <c r="F73" s="1" t="str">
        <f aca="false">IF(D73=1,INDEX(GL_Kind,C73),"")</f>
        <v/>
      </c>
      <c r="G73" s="1" t="n">
        <f aca="false">IF(D73=1,INDEX(GL_Age,C73),0)</f>
        <v>0</v>
      </c>
      <c r="H73" s="1" t="n">
        <f aca="false">IF(D73=1,INDEX(GL_Amount,C73),0)</f>
        <v>0</v>
      </c>
      <c r="I73" s="1" t="n">
        <f aca="false">IF(D73=1,INDEX(GL_Saved,C73),0)</f>
        <v>0</v>
      </c>
      <c r="J73" s="1" t="n">
        <f aca="false">IF(D73=1,MAX(0,G73-F_Age),0)</f>
        <v>0</v>
      </c>
      <c r="K73" s="114" t="n">
        <f aca="false">IF(J73&gt;=AS_LongYrs,AS_Inv,AS_Cash)</f>
        <v>0.01</v>
      </c>
      <c r="L73" s="1" t="n">
        <f aca="false">IF(D73=1,IF(F73="mfree",IF(F_MortBal&gt;0,INDEX(Plan_mPath,MIN(J73+1,F_N)+1),H73*(1+AS_Infl)^J73),H73*(1+AS_Infl)^J73),0)</f>
        <v>0</v>
      </c>
      <c r="M73" s="1" t="n">
        <f aca="false">IF(OR(F73="spend",F73="mfree"),1,0)</f>
        <v>0</v>
      </c>
      <c r="N73" s="1" t="n">
        <f aca="false">IF(AND(F73="pot",E73&lt;&gt;"safety"),1,0)</f>
        <v>0</v>
      </c>
      <c r="O73" s="1" t="n">
        <f aca="false">IF(AND(F73="pot",E73="safety"),1,0)</f>
        <v>0</v>
      </c>
      <c r="P73" s="1" t="n">
        <f aca="false">IF(F73="mfree",1,0)</f>
        <v>0</v>
      </c>
      <c r="Q73" s="1" t="n">
        <f aca="false">IF(AND(D73=1,In_wiGoal&gt;0,C73=In_wiGoal),1,0)</f>
        <v>0</v>
      </c>
      <c r="R73" s="1" t="n">
        <f aca="false">IF(D73=1,MIN(I73,T72),0)</f>
        <v>0</v>
      </c>
      <c r="S73" s="1" t="n">
        <f aca="false">IF(AND(Q73=1,WI_Retire=0),WI_L,0)</f>
        <v>0</v>
      </c>
      <c r="T73" s="1" t="n">
        <f aca="false">T72-R73</f>
        <v>0</v>
      </c>
      <c r="U73" s="1" t="n">
        <f aca="false">IF(D73=1,MAX(0,L73/(1+K73)^J73-(R73+S73)),0)</f>
        <v>0</v>
      </c>
      <c r="V73" s="1" t="n">
        <f aca="false">MIN(U73,W72)</f>
        <v>0</v>
      </c>
      <c r="W73" s="1" t="n">
        <f aca="false">W72-V73</f>
        <v>0</v>
      </c>
      <c r="X73" s="1" t="n">
        <f aca="false">R73+S73+V73</f>
        <v>0</v>
      </c>
    </row>
    <row r="75" customFormat="false" ht="15" hidden="false" customHeight="true" outlineLevel="0" collapsed="false">
      <c r="B75" s="1" t="s">
        <v>2565</v>
      </c>
      <c r="D75" s="103" t="n">
        <f aca="false">IF(SUM($O$54:$O$73)&gt;0,1,0)</f>
        <v>0</v>
      </c>
      <c r="E75" s="23"/>
    </row>
    <row r="76" customFormat="false" ht="15" hidden="false" customHeight="true" outlineLevel="0" collapsed="false">
      <c r="B76" s="1" t="s">
        <v>2566</v>
      </c>
      <c r="D76" s="103" t="n">
        <f aca="false">IF(HasSafety=1,0,MIN($T$73,AS_Months*F_EssM))</f>
        <v>0</v>
      </c>
      <c r="E76" s="23"/>
    </row>
    <row r="77" customFormat="false" ht="15" hidden="false" customHeight="true" outlineLevel="0" collapsed="false">
      <c r="B77" s="1" t="s">
        <v>2567</v>
      </c>
      <c r="D77" s="103" t="n">
        <f aca="false">$T$73-Init_Buf0+F_Invest</f>
        <v>0</v>
      </c>
      <c r="E77" s="23"/>
    </row>
    <row r="78" customFormat="false" ht="15" hidden="false" customHeight="true" outlineLevel="0" collapsed="false">
      <c r="B78" s="1" t="s">
        <v>2568</v>
      </c>
      <c r="D78" s="103" t="n">
        <f aca="false">$W$73</f>
        <v>0</v>
      </c>
      <c r="E78" s="23"/>
    </row>
    <row r="79" customFormat="false" ht="15" hidden="false" customHeight="true" outlineLevel="0" collapsed="false">
      <c r="B79" s="1" t="s">
        <v>2569</v>
      </c>
      <c r="D79" s="103" t="n">
        <f aca="false">(1-AS_InvShare)*AS_Cash+AS_InvShare*AS_Inv</f>
        <v>0.0164</v>
      </c>
      <c r="E79" s="23"/>
    </row>
    <row r="80" customFormat="false" ht="15" hidden="false" customHeight="true" outlineLevel="0" collapsed="false">
      <c r="B80" s="1" t="s">
        <v>2570</v>
      </c>
      <c r="D80" s="103" t="n">
        <f aca="false">SUM($G$24:$G$45)</f>
        <v>0</v>
      </c>
      <c r="E80" s="23"/>
    </row>
    <row r="81" customFormat="false" ht="15" hidden="false" customHeight="true" outlineLevel="0" collapsed="false">
      <c r="B81" s="1" t="s">
        <v>2571</v>
      </c>
      <c r="D81" s="103" t="n">
        <f aca="false">IF(Slots_Funded&gt;20,1,0)</f>
        <v>0</v>
      </c>
      <c r="E81" s="23"/>
    </row>
    <row r="82" customFormat="false" ht="15" hidden="false" customHeight="true" outlineLevel="0" collapsed="false">
      <c r="B82" s="1" t="s">
        <v>2572</v>
      </c>
      <c r="D82" s="103" t="n">
        <f aca="false">COUNTIF(GL_Key,"?*")</f>
        <v>0</v>
      </c>
      <c r="E82" s="23"/>
    </row>
    <row r="83" customFormat="false" ht="15" hidden="false" customHeight="true" outlineLevel="0" collapsed="false">
      <c r="B83" s="1" t="s">
        <v>2573</v>
      </c>
      <c r="D83" s="103" t="str">
        <f aca="false">IF(Slots_TooMany=1,"TOO MANY GOALS: the app has no limit, but this workbook funds at most 20 goals from savings ("&amp;Slots_Funded&amp;" are set), so the goal results, savings left and the Results numbers are NOT complete. Remove goals to match the app.",IF(Goal_RowsUsed&gt;=22,"ALL 22 GOAL ROWS ARE USED: the app has no limit. If you have more goals than this, the extra ones are missing here and the results are not complete.",""))</f>
        <v/>
      </c>
      <c r="E83" s="23"/>
    </row>
    <row r="85" customFormat="false" ht="15" hidden="false" customHeight="true" outlineLevel="0" collapsed="false">
      <c r="B85" s="113" t="s">
        <v>2574</v>
      </c>
    </row>
    <row r="86" customFormat="false" ht="45.75" hidden="false" customHeight="true" outlineLevel="0" collapsed="false">
      <c r="B86" s="100" t="s">
        <v>2545</v>
      </c>
      <c r="C86" s="100" t="s">
        <v>2575</v>
      </c>
      <c r="D86" s="100" t="s">
        <v>2576</v>
      </c>
      <c r="E86" s="100" t="s">
        <v>2577</v>
      </c>
      <c r="F86" s="100" t="s">
        <v>2578</v>
      </c>
      <c r="G86" s="100" t="s">
        <v>2579</v>
      </c>
      <c r="H86" s="100" t="s">
        <v>2580</v>
      </c>
      <c r="I86" s="100" t="s">
        <v>2581</v>
      </c>
      <c r="J86" s="100" t="s">
        <v>2582</v>
      </c>
      <c r="K86" s="100" t="s">
        <v>2583</v>
      </c>
      <c r="L86" s="100" t="s">
        <v>2584</v>
      </c>
      <c r="M86" s="100" t="s">
        <v>2585</v>
      </c>
    </row>
    <row r="87" customFormat="false" ht="15" hidden="false" customHeight="true" outlineLevel="0" collapsed="false">
      <c r="B87" s="1" t="n">
        <v>1</v>
      </c>
      <c r="C87" s="1" t="n">
        <f aca="false">IF(Slot1_On=1,INDEX('Plan cashflow'!$Z$8:$Z$97,Slot1_Age-F_Age+1),0)</f>
        <v>0</v>
      </c>
      <c r="D87" s="1" t="n">
        <f aca="false">Slot1_Cost</f>
        <v>0</v>
      </c>
      <c r="E87" s="1" t="str">
        <f aca="false">IF(Slot1_On=1,IF(D87&gt;0,IF(C87&gt;=D87-1,100,MIN(PR_PctCap,MAX(0,INT(C87/D87*100)))),100),"")</f>
        <v/>
      </c>
      <c r="F87" s="1" t="n">
        <f aca="false">IF(AND(Slot1_On=1,E87&lt;PR_Good),1,0)</f>
        <v>0</v>
      </c>
      <c r="G87" s="1" t="n">
        <f aca="false">INDEX('Plan cashflow'!$QO$8:$QO$97,1)</f>
        <v>0</v>
      </c>
      <c r="H87" s="1" t="n">
        <f aca="false">INDEX('Plan cashflow'!$QN$8:$QN$97,1)</f>
        <v>0</v>
      </c>
      <c r="I87" s="1" t="n">
        <f aca="false">SUMIFS('Plan cashflow'!$QM$8:$QM$97,'Plan cashflow'!$C$8:$C$97,1)</f>
        <v>0</v>
      </c>
      <c r="J87" s="1" t="n">
        <f aca="false">SUMIFS('Plan cashflow'!$V$8:$V$97,'Plan cashflow'!$C$8:$C$97,1)</f>
        <v>0</v>
      </c>
      <c r="K87" s="1" t="n">
        <f aca="false">ROUND(G87/12,0)</f>
        <v>0</v>
      </c>
      <c r="L87" s="1" t="n">
        <f aca="false">ROUND(H87/12,0)</f>
        <v>0</v>
      </c>
      <c r="M87" s="1" t="n">
        <f aca="false">IF(J87&gt;0,ROUND(I87/J87/12,0),0)</f>
        <v>0</v>
      </c>
    </row>
    <row r="88" customFormat="false" ht="15" hidden="false" customHeight="true" outlineLevel="0" collapsed="false">
      <c r="B88" s="1" t="n">
        <v>2</v>
      </c>
      <c r="C88" s="1" t="n">
        <f aca="false">IF(Slot2_On=1,INDEX('Plan cashflow'!$AK$8:$AK$97,Slot2_Age-F_Age+1),0)</f>
        <v>0</v>
      </c>
      <c r="D88" s="1" t="n">
        <f aca="false">Slot2_Cost</f>
        <v>0</v>
      </c>
      <c r="E88" s="1" t="str">
        <f aca="false">IF(Slot2_On=1,IF(D88&gt;0,IF(C88&gt;=D88-1,100,MIN(PR_PctCap,MAX(0,INT(C88/D88*100)))),100),"")</f>
        <v/>
      </c>
      <c r="F88" s="1" t="n">
        <f aca="false">IF(AND(Slot2_On=1,E88&lt;PR_Good),1,0)</f>
        <v>0</v>
      </c>
      <c r="G88" s="1" t="n">
        <f aca="false">INDEX('Plan cashflow'!$QS$8:$QS$97,1)</f>
        <v>0</v>
      </c>
      <c r="H88" s="1" t="n">
        <f aca="false">INDEX('Plan cashflow'!$QR$8:$QR$97,1)</f>
        <v>0</v>
      </c>
      <c r="I88" s="1" t="n">
        <f aca="false">SUMIFS('Plan cashflow'!$QQ$8:$QQ$97,'Plan cashflow'!$C$8:$C$97,1)</f>
        <v>0</v>
      </c>
      <c r="J88" s="1" t="n">
        <f aca="false">SUMIFS('Plan cashflow'!$AG$8:$AG$97,'Plan cashflow'!$C$8:$C$97,1)</f>
        <v>0</v>
      </c>
      <c r="K88" s="1" t="n">
        <f aca="false">ROUND(G88/12,0)</f>
        <v>0</v>
      </c>
      <c r="L88" s="1" t="n">
        <f aca="false">ROUND(H88/12,0)</f>
        <v>0</v>
      </c>
      <c r="M88" s="1" t="n">
        <f aca="false">IF(J88&gt;0,ROUND(I88/J88/12,0),0)</f>
        <v>0</v>
      </c>
    </row>
    <row r="89" customFormat="false" ht="15" hidden="false" customHeight="true" outlineLevel="0" collapsed="false">
      <c r="B89" s="1" t="n">
        <v>3</v>
      </c>
      <c r="C89" s="1" t="n">
        <f aca="false">IF(Slot3_On=1,INDEX('Plan cashflow'!$AU$8:$AU$97,Slot3_Age-F_Age+1),0)</f>
        <v>0</v>
      </c>
      <c r="D89" s="1" t="n">
        <f aca="false">Slot3_Cost</f>
        <v>0</v>
      </c>
      <c r="E89" s="1" t="str">
        <f aca="false">IF(Slot3_On=1,IF(D89&gt;0,IF(C89&gt;=D89-1,100,MIN(PR_PctCap,MAX(0,INT(C89/D89*100)))),100),"")</f>
        <v/>
      </c>
      <c r="F89" s="1" t="n">
        <f aca="false">IF(AND(Slot3_On=1,E89&lt;PR_Good),1,0)</f>
        <v>0</v>
      </c>
      <c r="G89" s="1" t="n">
        <f aca="false">INDEX('Plan cashflow'!$QW$8:$QW$97,1)</f>
        <v>0</v>
      </c>
      <c r="H89" s="1" t="n">
        <f aca="false">INDEX('Plan cashflow'!$QV$8:$QV$97,1)</f>
        <v>0</v>
      </c>
      <c r="I89" s="1" t="n">
        <f aca="false">SUMIFS('Plan cashflow'!$QU$8:$QU$97,'Plan cashflow'!$C$8:$C$97,1)</f>
        <v>0</v>
      </c>
      <c r="J89" s="1" t="n">
        <f aca="false">SUMIFS('Plan cashflow'!$AQ$8:$AQ$97,'Plan cashflow'!$C$8:$C$97,1)</f>
        <v>0</v>
      </c>
      <c r="K89" s="1" t="n">
        <f aca="false">ROUND(G89/12,0)</f>
        <v>0</v>
      </c>
      <c r="L89" s="1" t="n">
        <f aca="false">ROUND(H89/12,0)</f>
        <v>0</v>
      </c>
      <c r="M89" s="1" t="n">
        <f aca="false">IF(J89&gt;0,ROUND(I89/J89/12,0),0)</f>
        <v>0</v>
      </c>
    </row>
    <row r="90" customFormat="false" ht="15" hidden="false" customHeight="true" outlineLevel="0" collapsed="false">
      <c r="B90" s="1" t="n">
        <v>4</v>
      </c>
      <c r="C90" s="1" t="n">
        <f aca="false">IF(Slot4_On=1,INDEX('Plan cashflow'!$BE$8:$BE$97,Slot4_Age-F_Age+1),0)</f>
        <v>0</v>
      </c>
      <c r="D90" s="1" t="n">
        <f aca="false">Slot4_Cost</f>
        <v>0</v>
      </c>
      <c r="E90" s="1" t="str">
        <f aca="false">IF(Slot4_On=1,IF(D90&gt;0,IF(C90&gt;=D90-1,100,MIN(PR_PctCap,MAX(0,INT(C90/D90*100)))),100),"")</f>
        <v/>
      </c>
      <c r="F90" s="1" t="n">
        <f aca="false">IF(AND(Slot4_On=1,E90&lt;PR_Good),1,0)</f>
        <v>0</v>
      </c>
      <c r="G90" s="1" t="n">
        <f aca="false">INDEX('Plan cashflow'!$RA$8:$RA$97,1)</f>
        <v>0</v>
      </c>
      <c r="H90" s="1" t="n">
        <f aca="false">INDEX('Plan cashflow'!$QZ$8:$QZ$97,1)</f>
        <v>0</v>
      </c>
      <c r="I90" s="1" t="n">
        <f aca="false">SUMIFS('Plan cashflow'!$QY$8:$QY$97,'Plan cashflow'!$C$8:$C$97,1)</f>
        <v>0</v>
      </c>
      <c r="J90" s="1" t="n">
        <f aca="false">SUMIFS('Plan cashflow'!$BA$8:$BA$97,'Plan cashflow'!$C$8:$C$97,1)</f>
        <v>0</v>
      </c>
      <c r="K90" s="1" t="n">
        <f aca="false">ROUND(G90/12,0)</f>
        <v>0</v>
      </c>
      <c r="L90" s="1" t="n">
        <f aca="false">ROUND(H90/12,0)</f>
        <v>0</v>
      </c>
      <c r="M90" s="1" t="n">
        <f aca="false">IF(J90&gt;0,ROUND(I90/J90/12,0),0)</f>
        <v>0</v>
      </c>
    </row>
    <row r="91" customFormat="false" ht="15" hidden="false" customHeight="true" outlineLevel="0" collapsed="false">
      <c r="B91" s="1" t="n">
        <v>5</v>
      </c>
      <c r="C91" s="1" t="n">
        <f aca="false">IF(Slot5_On=1,INDEX('Plan cashflow'!$BO$8:$BO$97,Slot5_Age-F_Age+1),0)</f>
        <v>0</v>
      </c>
      <c r="D91" s="1" t="n">
        <f aca="false">Slot5_Cost</f>
        <v>0</v>
      </c>
      <c r="E91" s="1" t="str">
        <f aca="false">IF(Slot5_On=1,IF(D91&gt;0,IF(C91&gt;=D91-1,100,MIN(PR_PctCap,MAX(0,INT(C91/D91*100)))),100),"")</f>
        <v/>
      </c>
      <c r="F91" s="1" t="n">
        <f aca="false">IF(AND(Slot5_On=1,E91&lt;PR_Good),1,0)</f>
        <v>0</v>
      </c>
      <c r="G91" s="1" t="n">
        <f aca="false">INDEX('Plan cashflow'!$RE$8:$RE$97,1)</f>
        <v>0</v>
      </c>
      <c r="H91" s="1" t="n">
        <f aca="false">INDEX('Plan cashflow'!$RD$8:$RD$97,1)</f>
        <v>0</v>
      </c>
      <c r="I91" s="1" t="n">
        <f aca="false">SUMIFS('Plan cashflow'!$RC$8:$RC$97,'Plan cashflow'!$C$8:$C$97,1)</f>
        <v>0</v>
      </c>
      <c r="J91" s="1" t="n">
        <f aca="false">SUMIFS('Plan cashflow'!$BK$8:$BK$97,'Plan cashflow'!$C$8:$C$97,1)</f>
        <v>0</v>
      </c>
      <c r="K91" s="1" t="n">
        <f aca="false">ROUND(G91/12,0)</f>
        <v>0</v>
      </c>
      <c r="L91" s="1" t="n">
        <f aca="false">ROUND(H91/12,0)</f>
        <v>0</v>
      </c>
      <c r="M91" s="1" t="n">
        <f aca="false">IF(J91&gt;0,ROUND(I91/J91/12,0),0)</f>
        <v>0</v>
      </c>
    </row>
    <row r="92" customFormat="false" ht="15" hidden="false" customHeight="true" outlineLevel="0" collapsed="false">
      <c r="B92" s="1" t="n">
        <v>6</v>
      </c>
      <c r="C92" s="1" t="n">
        <f aca="false">IF(Slot6_On=1,INDEX('Plan cashflow'!$BY$8:$BY$97,Slot6_Age-F_Age+1),0)</f>
        <v>0</v>
      </c>
      <c r="D92" s="1" t="n">
        <f aca="false">Slot6_Cost</f>
        <v>0</v>
      </c>
      <c r="E92" s="1" t="str">
        <f aca="false">IF(Slot6_On=1,IF(D92&gt;0,IF(C92&gt;=D92-1,100,MIN(PR_PctCap,MAX(0,INT(C92/D92*100)))),100),"")</f>
        <v/>
      </c>
      <c r="F92" s="1" t="n">
        <f aca="false">IF(AND(Slot6_On=1,E92&lt;PR_Good),1,0)</f>
        <v>0</v>
      </c>
      <c r="G92" s="1" t="n">
        <f aca="false">INDEX('Plan cashflow'!$RI$8:$RI$97,1)</f>
        <v>0</v>
      </c>
      <c r="H92" s="1" t="n">
        <f aca="false">INDEX('Plan cashflow'!$RH$8:$RH$97,1)</f>
        <v>0</v>
      </c>
      <c r="I92" s="1" t="n">
        <f aca="false">SUMIFS('Plan cashflow'!$RG$8:$RG$97,'Plan cashflow'!$C$8:$C$97,1)</f>
        <v>0</v>
      </c>
      <c r="J92" s="1" t="n">
        <f aca="false">SUMIFS('Plan cashflow'!$BU$8:$BU$97,'Plan cashflow'!$C$8:$C$97,1)</f>
        <v>0</v>
      </c>
      <c r="K92" s="1" t="n">
        <f aca="false">ROUND(G92/12,0)</f>
        <v>0</v>
      </c>
      <c r="L92" s="1" t="n">
        <f aca="false">ROUND(H92/12,0)</f>
        <v>0</v>
      </c>
      <c r="M92" s="1" t="n">
        <f aca="false">IF(J92&gt;0,ROUND(I92/J92/12,0),0)</f>
        <v>0</v>
      </c>
    </row>
    <row r="93" customFormat="false" ht="15" hidden="false" customHeight="true" outlineLevel="0" collapsed="false">
      <c r="B93" s="1" t="n">
        <v>7</v>
      </c>
      <c r="C93" s="1" t="n">
        <f aca="false">IF(Slot7_On=1,INDEX('Plan cashflow'!$CI$8:$CI$97,Slot7_Age-F_Age+1),0)</f>
        <v>0</v>
      </c>
      <c r="D93" s="1" t="n">
        <f aca="false">Slot7_Cost</f>
        <v>0</v>
      </c>
      <c r="E93" s="1" t="str">
        <f aca="false">IF(Slot7_On=1,IF(D93&gt;0,IF(C93&gt;=D93-1,100,MIN(PR_PctCap,MAX(0,INT(C93/D93*100)))),100),"")</f>
        <v/>
      </c>
      <c r="F93" s="1" t="n">
        <f aca="false">IF(AND(Slot7_On=1,E93&lt;PR_Good),1,0)</f>
        <v>0</v>
      </c>
      <c r="G93" s="1" t="n">
        <f aca="false">INDEX('Plan cashflow'!$RM$8:$RM$97,1)</f>
        <v>0</v>
      </c>
      <c r="H93" s="1" t="n">
        <f aca="false">INDEX('Plan cashflow'!$RL$8:$RL$97,1)</f>
        <v>0</v>
      </c>
      <c r="I93" s="1" t="n">
        <f aca="false">SUMIFS('Plan cashflow'!$RK$8:$RK$97,'Plan cashflow'!$C$8:$C$97,1)</f>
        <v>0</v>
      </c>
      <c r="J93" s="1" t="n">
        <f aca="false">SUMIFS('Plan cashflow'!$CE$8:$CE$97,'Plan cashflow'!$C$8:$C$97,1)</f>
        <v>0</v>
      </c>
      <c r="K93" s="1" t="n">
        <f aca="false">ROUND(G93/12,0)</f>
        <v>0</v>
      </c>
      <c r="L93" s="1" t="n">
        <f aca="false">ROUND(H93/12,0)</f>
        <v>0</v>
      </c>
      <c r="M93" s="1" t="n">
        <f aca="false">IF(J93&gt;0,ROUND(I93/J93/12,0),0)</f>
        <v>0</v>
      </c>
    </row>
    <row r="94" customFormat="false" ht="15" hidden="false" customHeight="true" outlineLevel="0" collapsed="false">
      <c r="B94" s="1" t="n">
        <v>8</v>
      </c>
      <c r="C94" s="1" t="n">
        <f aca="false">IF(Slot8_On=1,INDEX('Plan cashflow'!$CS$8:$CS$97,Slot8_Age-F_Age+1),0)</f>
        <v>0</v>
      </c>
      <c r="D94" s="1" t="n">
        <f aca="false">Slot8_Cost</f>
        <v>0</v>
      </c>
      <c r="E94" s="1" t="str">
        <f aca="false">IF(Slot8_On=1,IF(D94&gt;0,IF(C94&gt;=D94-1,100,MIN(PR_PctCap,MAX(0,INT(C94/D94*100)))),100),"")</f>
        <v/>
      </c>
      <c r="F94" s="1" t="n">
        <f aca="false">IF(AND(Slot8_On=1,E94&lt;PR_Good),1,0)</f>
        <v>0</v>
      </c>
      <c r="G94" s="1" t="n">
        <f aca="false">INDEX('Plan cashflow'!$RQ$8:$RQ$97,1)</f>
        <v>0</v>
      </c>
      <c r="H94" s="1" t="n">
        <f aca="false">INDEX('Plan cashflow'!$RP$8:$RP$97,1)</f>
        <v>0</v>
      </c>
      <c r="I94" s="1" t="n">
        <f aca="false">SUMIFS('Plan cashflow'!$RO$8:$RO$97,'Plan cashflow'!$C$8:$C$97,1)</f>
        <v>0</v>
      </c>
      <c r="J94" s="1" t="n">
        <f aca="false">SUMIFS('Plan cashflow'!$CO$8:$CO$97,'Plan cashflow'!$C$8:$C$97,1)</f>
        <v>0</v>
      </c>
      <c r="K94" s="1" t="n">
        <f aca="false">ROUND(G94/12,0)</f>
        <v>0</v>
      </c>
      <c r="L94" s="1" t="n">
        <f aca="false">ROUND(H94/12,0)</f>
        <v>0</v>
      </c>
      <c r="M94" s="1" t="n">
        <f aca="false">IF(J94&gt;0,ROUND(I94/J94/12,0),0)</f>
        <v>0</v>
      </c>
    </row>
    <row r="95" customFormat="false" ht="15" hidden="false" customHeight="true" outlineLevel="0" collapsed="false">
      <c r="B95" s="1" t="n">
        <v>9</v>
      </c>
      <c r="C95" s="1" t="n">
        <f aca="false">IF(Slot9_On=1,INDEX('Plan cashflow'!$DC$8:$DC$97,Slot9_Age-F_Age+1),0)</f>
        <v>0</v>
      </c>
      <c r="D95" s="1" t="n">
        <f aca="false">Slot9_Cost</f>
        <v>0</v>
      </c>
      <c r="E95" s="1" t="str">
        <f aca="false">IF(Slot9_On=1,IF(D95&gt;0,IF(C95&gt;=D95-1,100,MIN(PR_PctCap,MAX(0,INT(C95/D95*100)))),100),"")</f>
        <v/>
      </c>
      <c r="F95" s="1" t="n">
        <f aca="false">IF(AND(Slot9_On=1,E95&lt;PR_Good),1,0)</f>
        <v>0</v>
      </c>
      <c r="G95" s="1" t="n">
        <f aca="false">INDEX('Plan cashflow'!$RU$8:$RU$97,1)</f>
        <v>0</v>
      </c>
      <c r="H95" s="1" t="n">
        <f aca="false">INDEX('Plan cashflow'!$RT$8:$RT$97,1)</f>
        <v>0</v>
      </c>
      <c r="I95" s="1" t="n">
        <f aca="false">SUMIFS('Plan cashflow'!$RS$8:$RS$97,'Plan cashflow'!$C$8:$C$97,1)</f>
        <v>0</v>
      </c>
      <c r="J95" s="1" t="n">
        <f aca="false">SUMIFS('Plan cashflow'!$CY$8:$CY$97,'Plan cashflow'!$C$8:$C$97,1)</f>
        <v>0</v>
      </c>
      <c r="K95" s="1" t="n">
        <f aca="false">ROUND(G95/12,0)</f>
        <v>0</v>
      </c>
      <c r="L95" s="1" t="n">
        <f aca="false">ROUND(H95/12,0)</f>
        <v>0</v>
      </c>
      <c r="M95" s="1" t="n">
        <f aca="false">IF(J95&gt;0,ROUND(I95/J95/12,0),0)</f>
        <v>0</v>
      </c>
    </row>
    <row r="96" customFormat="false" ht="15" hidden="false" customHeight="true" outlineLevel="0" collapsed="false">
      <c r="B96" s="1" t="n">
        <v>10</v>
      </c>
      <c r="C96" s="1" t="n">
        <f aca="false">IF(Slot10_On=1,INDEX('Plan cashflow'!$DM$8:$DM$97,Slot10_Age-F_Age+1),0)</f>
        <v>0</v>
      </c>
      <c r="D96" s="1" t="n">
        <f aca="false">Slot10_Cost</f>
        <v>0</v>
      </c>
      <c r="E96" s="1" t="str">
        <f aca="false">IF(Slot10_On=1,IF(D96&gt;0,IF(C96&gt;=D96-1,100,MIN(PR_PctCap,MAX(0,INT(C96/D96*100)))),100),"")</f>
        <v/>
      </c>
      <c r="F96" s="1" t="n">
        <f aca="false">IF(AND(Slot10_On=1,E96&lt;PR_Good),1,0)</f>
        <v>0</v>
      </c>
      <c r="G96" s="1" t="n">
        <f aca="false">INDEX('Plan cashflow'!$RY$8:$RY$97,1)</f>
        <v>0</v>
      </c>
      <c r="H96" s="1" t="n">
        <f aca="false">INDEX('Plan cashflow'!$RX$8:$RX$97,1)</f>
        <v>0</v>
      </c>
      <c r="I96" s="1" t="n">
        <f aca="false">SUMIFS('Plan cashflow'!$RW$8:$RW$97,'Plan cashflow'!$C$8:$C$97,1)</f>
        <v>0</v>
      </c>
      <c r="J96" s="1" t="n">
        <f aca="false">SUMIFS('Plan cashflow'!$DI$8:$DI$97,'Plan cashflow'!$C$8:$C$97,1)</f>
        <v>0</v>
      </c>
      <c r="K96" s="1" t="n">
        <f aca="false">ROUND(G96/12,0)</f>
        <v>0</v>
      </c>
      <c r="L96" s="1" t="n">
        <f aca="false">ROUND(H96/12,0)</f>
        <v>0</v>
      </c>
      <c r="M96" s="1" t="n">
        <f aca="false">IF(J96&gt;0,ROUND(I96/J96/12,0),0)</f>
        <v>0</v>
      </c>
    </row>
    <row r="97" customFormat="false" ht="15" hidden="false" customHeight="true" outlineLevel="0" collapsed="false">
      <c r="B97" s="1" t="n">
        <v>11</v>
      </c>
      <c r="C97" s="1" t="n">
        <f aca="false">IF(Slot11_On=1,INDEX('Plan cashflow'!$DW$8:$DW$97,Slot11_Age-F_Age+1),0)</f>
        <v>0</v>
      </c>
      <c r="D97" s="1" t="n">
        <f aca="false">Slot11_Cost</f>
        <v>0</v>
      </c>
      <c r="E97" s="1" t="str">
        <f aca="false">IF(Slot11_On=1,IF(D97&gt;0,IF(C97&gt;=D97-1,100,MIN(PR_PctCap,MAX(0,INT(C97/D97*100)))),100),"")</f>
        <v/>
      </c>
      <c r="F97" s="1" t="n">
        <f aca="false">IF(AND(Slot11_On=1,E97&lt;PR_Good),1,0)</f>
        <v>0</v>
      </c>
      <c r="G97" s="1" t="n">
        <f aca="false">INDEX('Plan cashflow'!$SC$8:$SC$97,1)</f>
        <v>0</v>
      </c>
      <c r="H97" s="1" t="n">
        <f aca="false">INDEX('Plan cashflow'!$SB$8:$SB$97,1)</f>
        <v>0</v>
      </c>
      <c r="I97" s="1" t="n">
        <f aca="false">SUMIFS('Plan cashflow'!$SA$8:$SA$97,'Plan cashflow'!$C$8:$C$97,1)</f>
        <v>0</v>
      </c>
      <c r="J97" s="1" t="n">
        <f aca="false">SUMIFS('Plan cashflow'!$DS$8:$DS$97,'Plan cashflow'!$C$8:$C$97,1)</f>
        <v>0</v>
      </c>
      <c r="K97" s="1" t="n">
        <f aca="false">ROUND(G97/12,0)</f>
        <v>0</v>
      </c>
      <c r="L97" s="1" t="n">
        <f aca="false">ROUND(H97/12,0)</f>
        <v>0</v>
      </c>
      <c r="M97" s="1" t="n">
        <f aca="false">IF(J97&gt;0,ROUND(I97/J97/12,0),0)</f>
        <v>0</v>
      </c>
    </row>
    <row r="98" customFormat="false" ht="15" hidden="false" customHeight="true" outlineLevel="0" collapsed="false">
      <c r="B98" s="1" t="n">
        <v>12</v>
      </c>
      <c r="C98" s="1" t="n">
        <f aca="false">IF(Slot12_On=1,INDEX('Plan cashflow'!$EG$8:$EG$97,Slot12_Age-F_Age+1),0)</f>
        <v>0</v>
      </c>
      <c r="D98" s="1" t="n">
        <f aca="false">Slot12_Cost</f>
        <v>0</v>
      </c>
      <c r="E98" s="1" t="str">
        <f aca="false">IF(Slot12_On=1,IF(D98&gt;0,IF(C98&gt;=D98-1,100,MIN(PR_PctCap,MAX(0,INT(C98/D98*100)))),100),"")</f>
        <v/>
      </c>
      <c r="F98" s="1" t="n">
        <f aca="false">IF(AND(Slot12_On=1,E98&lt;PR_Good),1,0)</f>
        <v>0</v>
      </c>
      <c r="G98" s="1" t="n">
        <f aca="false">INDEX('Plan cashflow'!$SG$8:$SG$97,1)</f>
        <v>0</v>
      </c>
      <c r="H98" s="1" t="n">
        <f aca="false">INDEX('Plan cashflow'!$SF$8:$SF$97,1)</f>
        <v>0</v>
      </c>
      <c r="I98" s="1" t="n">
        <f aca="false">SUMIFS('Plan cashflow'!$SE$8:$SE$97,'Plan cashflow'!$C$8:$C$97,1)</f>
        <v>0</v>
      </c>
      <c r="J98" s="1" t="n">
        <f aca="false">SUMIFS('Plan cashflow'!$EC$8:$EC$97,'Plan cashflow'!$C$8:$C$97,1)</f>
        <v>0</v>
      </c>
      <c r="K98" s="1" t="n">
        <f aca="false">ROUND(G98/12,0)</f>
        <v>0</v>
      </c>
      <c r="L98" s="1" t="n">
        <f aca="false">ROUND(H98/12,0)</f>
        <v>0</v>
      </c>
      <c r="M98" s="1" t="n">
        <f aca="false">IF(J98&gt;0,ROUND(I98/J98/12,0),0)</f>
        <v>0</v>
      </c>
    </row>
    <row r="99" customFormat="false" ht="15" hidden="false" customHeight="true" outlineLevel="0" collapsed="false">
      <c r="B99" s="1" t="n">
        <v>13</v>
      </c>
      <c r="C99" s="1" t="n">
        <f aca="false">IF(Slot13_On=1,INDEX('Plan cashflow'!$EQ$8:$EQ$97,Slot13_Age-F_Age+1),0)</f>
        <v>0</v>
      </c>
      <c r="D99" s="1" t="n">
        <f aca="false">Slot13_Cost</f>
        <v>0</v>
      </c>
      <c r="E99" s="1" t="str">
        <f aca="false">IF(Slot13_On=1,IF(D99&gt;0,IF(C99&gt;=D99-1,100,MIN(PR_PctCap,MAX(0,INT(C99/D99*100)))),100),"")</f>
        <v/>
      </c>
      <c r="F99" s="1" t="n">
        <f aca="false">IF(AND(Slot13_On=1,E99&lt;PR_Good),1,0)</f>
        <v>0</v>
      </c>
      <c r="G99" s="1" t="n">
        <f aca="false">INDEX('Plan cashflow'!$SK$8:$SK$97,1)</f>
        <v>0</v>
      </c>
      <c r="H99" s="1" t="n">
        <f aca="false">INDEX('Plan cashflow'!$SJ$8:$SJ$97,1)</f>
        <v>0</v>
      </c>
      <c r="I99" s="1" t="n">
        <f aca="false">SUMIFS('Plan cashflow'!$SI$8:$SI$97,'Plan cashflow'!$C$8:$C$97,1)</f>
        <v>0</v>
      </c>
      <c r="J99" s="1" t="n">
        <f aca="false">SUMIFS('Plan cashflow'!$EM$8:$EM$97,'Plan cashflow'!$C$8:$C$97,1)</f>
        <v>0</v>
      </c>
      <c r="K99" s="1" t="n">
        <f aca="false">ROUND(G99/12,0)</f>
        <v>0</v>
      </c>
      <c r="L99" s="1" t="n">
        <f aca="false">ROUND(H99/12,0)</f>
        <v>0</v>
      </c>
      <c r="M99" s="1" t="n">
        <f aca="false">IF(J99&gt;0,ROUND(I99/J99/12,0),0)</f>
        <v>0</v>
      </c>
    </row>
    <row r="100" customFormat="false" ht="15" hidden="false" customHeight="true" outlineLevel="0" collapsed="false">
      <c r="B100" s="1" t="n">
        <v>14</v>
      </c>
      <c r="C100" s="1" t="n">
        <f aca="false">IF(Slot14_On=1,INDEX('Plan cashflow'!$FA$8:$FA$97,Slot14_Age-F_Age+1),0)</f>
        <v>0</v>
      </c>
      <c r="D100" s="1" t="n">
        <f aca="false">Slot14_Cost</f>
        <v>0</v>
      </c>
      <c r="E100" s="1" t="str">
        <f aca="false">IF(Slot14_On=1,IF(D100&gt;0,IF(C100&gt;=D100-1,100,MIN(PR_PctCap,MAX(0,INT(C100/D100*100)))),100),"")</f>
        <v/>
      </c>
      <c r="F100" s="1" t="n">
        <f aca="false">IF(AND(Slot14_On=1,E100&lt;PR_Good),1,0)</f>
        <v>0</v>
      </c>
      <c r="G100" s="1" t="n">
        <f aca="false">INDEX('Plan cashflow'!$SO$8:$SO$97,1)</f>
        <v>0</v>
      </c>
      <c r="H100" s="1" t="n">
        <f aca="false">INDEX('Plan cashflow'!$SN$8:$SN$97,1)</f>
        <v>0</v>
      </c>
      <c r="I100" s="1" t="n">
        <f aca="false">SUMIFS('Plan cashflow'!$SM$8:$SM$97,'Plan cashflow'!$C$8:$C$97,1)</f>
        <v>0</v>
      </c>
      <c r="J100" s="1" t="n">
        <f aca="false">SUMIFS('Plan cashflow'!$EW$8:$EW$97,'Plan cashflow'!$C$8:$C$97,1)</f>
        <v>0</v>
      </c>
      <c r="K100" s="1" t="n">
        <f aca="false">ROUND(G100/12,0)</f>
        <v>0</v>
      </c>
      <c r="L100" s="1" t="n">
        <f aca="false">ROUND(H100/12,0)</f>
        <v>0</v>
      </c>
      <c r="M100" s="1" t="n">
        <f aca="false">IF(J100&gt;0,ROUND(I100/J100/12,0),0)</f>
        <v>0</v>
      </c>
    </row>
    <row r="101" customFormat="false" ht="15" hidden="false" customHeight="true" outlineLevel="0" collapsed="false">
      <c r="B101" s="1" t="n">
        <v>15</v>
      </c>
      <c r="C101" s="1" t="n">
        <f aca="false">IF(Slot15_On=1,INDEX('Plan cashflow'!$FK$8:$FK$97,Slot15_Age-F_Age+1),0)</f>
        <v>0</v>
      </c>
      <c r="D101" s="1" t="n">
        <f aca="false">Slot15_Cost</f>
        <v>0</v>
      </c>
      <c r="E101" s="1" t="str">
        <f aca="false">IF(Slot15_On=1,IF(D101&gt;0,IF(C101&gt;=D101-1,100,MIN(PR_PctCap,MAX(0,INT(C101/D101*100)))),100),"")</f>
        <v/>
      </c>
      <c r="F101" s="1" t="n">
        <f aca="false">IF(AND(Slot15_On=1,E101&lt;PR_Good),1,0)</f>
        <v>0</v>
      </c>
      <c r="G101" s="1" t="n">
        <f aca="false">INDEX('Plan cashflow'!$SS$8:$SS$97,1)</f>
        <v>0</v>
      </c>
      <c r="H101" s="1" t="n">
        <f aca="false">INDEX('Plan cashflow'!$SR$8:$SR$97,1)</f>
        <v>0</v>
      </c>
      <c r="I101" s="1" t="n">
        <f aca="false">SUMIFS('Plan cashflow'!$SQ$8:$SQ$97,'Plan cashflow'!$C$8:$C$97,1)</f>
        <v>0</v>
      </c>
      <c r="J101" s="1" t="n">
        <f aca="false">SUMIFS('Plan cashflow'!$FG$8:$FG$97,'Plan cashflow'!$C$8:$C$97,1)</f>
        <v>0</v>
      </c>
      <c r="K101" s="1" t="n">
        <f aca="false">ROUND(G101/12,0)</f>
        <v>0</v>
      </c>
      <c r="L101" s="1" t="n">
        <f aca="false">ROUND(H101/12,0)</f>
        <v>0</v>
      </c>
      <c r="M101" s="1" t="n">
        <f aca="false">IF(J101&gt;0,ROUND(I101/J101/12,0),0)</f>
        <v>0</v>
      </c>
    </row>
    <row r="102" customFormat="false" ht="15" hidden="false" customHeight="true" outlineLevel="0" collapsed="false">
      <c r="B102" s="1" t="n">
        <v>16</v>
      </c>
      <c r="C102" s="1" t="n">
        <f aca="false">IF(Slot16_On=1,INDEX('Plan cashflow'!$FU$8:$FU$97,Slot16_Age-F_Age+1),0)</f>
        <v>0</v>
      </c>
      <c r="D102" s="1" t="n">
        <f aca="false">Slot16_Cost</f>
        <v>0</v>
      </c>
      <c r="E102" s="1" t="str">
        <f aca="false">IF(Slot16_On=1,IF(D102&gt;0,IF(C102&gt;=D102-1,100,MIN(PR_PctCap,MAX(0,INT(C102/D102*100)))),100),"")</f>
        <v/>
      </c>
      <c r="F102" s="1" t="n">
        <f aca="false">IF(AND(Slot16_On=1,E102&lt;PR_Good),1,0)</f>
        <v>0</v>
      </c>
      <c r="G102" s="1" t="n">
        <f aca="false">INDEX('Plan cashflow'!$SW$8:$SW$97,1)</f>
        <v>0</v>
      </c>
      <c r="H102" s="1" t="n">
        <f aca="false">INDEX('Plan cashflow'!$SV$8:$SV$97,1)</f>
        <v>0</v>
      </c>
      <c r="I102" s="1" t="n">
        <f aca="false">SUMIFS('Plan cashflow'!$SU$8:$SU$97,'Plan cashflow'!$C$8:$C$97,1)</f>
        <v>0</v>
      </c>
      <c r="J102" s="1" t="n">
        <f aca="false">SUMIFS('Plan cashflow'!$FQ$8:$FQ$97,'Plan cashflow'!$C$8:$C$97,1)</f>
        <v>0</v>
      </c>
      <c r="K102" s="1" t="n">
        <f aca="false">ROUND(G102/12,0)</f>
        <v>0</v>
      </c>
      <c r="L102" s="1" t="n">
        <f aca="false">ROUND(H102/12,0)</f>
        <v>0</v>
      </c>
      <c r="M102" s="1" t="n">
        <f aca="false">IF(J102&gt;0,ROUND(I102/J102/12,0),0)</f>
        <v>0</v>
      </c>
    </row>
    <row r="103" customFormat="false" ht="15" hidden="false" customHeight="true" outlineLevel="0" collapsed="false">
      <c r="B103" s="1" t="n">
        <v>17</v>
      </c>
      <c r="C103" s="1" t="n">
        <f aca="false">IF(Slot17_On=1,INDEX('Plan cashflow'!$GE$8:$GE$97,Slot17_Age-F_Age+1),0)</f>
        <v>0</v>
      </c>
      <c r="D103" s="1" t="n">
        <f aca="false">Slot17_Cost</f>
        <v>0</v>
      </c>
      <c r="E103" s="1" t="str">
        <f aca="false">IF(Slot17_On=1,IF(D103&gt;0,IF(C103&gt;=D103-1,100,MIN(PR_PctCap,MAX(0,INT(C103/D103*100)))),100),"")</f>
        <v/>
      </c>
      <c r="F103" s="1" t="n">
        <f aca="false">IF(AND(Slot17_On=1,E103&lt;PR_Good),1,0)</f>
        <v>0</v>
      </c>
      <c r="G103" s="1" t="n">
        <f aca="false">INDEX('Plan cashflow'!$TA$8:$TA$97,1)</f>
        <v>0</v>
      </c>
      <c r="H103" s="1" t="n">
        <f aca="false">INDEX('Plan cashflow'!$SZ$8:$SZ$97,1)</f>
        <v>0</v>
      </c>
      <c r="I103" s="1" t="n">
        <f aca="false">SUMIFS('Plan cashflow'!$SY$8:$SY$97,'Plan cashflow'!$C$8:$C$97,1)</f>
        <v>0</v>
      </c>
      <c r="J103" s="1" t="n">
        <f aca="false">SUMIFS('Plan cashflow'!$GA$8:$GA$97,'Plan cashflow'!$C$8:$C$97,1)</f>
        <v>0</v>
      </c>
      <c r="K103" s="1" t="n">
        <f aca="false">ROUND(G103/12,0)</f>
        <v>0</v>
      </c>
      <c r="L103" s="1" t="n">
        <f aca="false">ROUND(H103/12,0)</f>
        <v>0</v>
      </c>
      <c r="M103" s="1" t="n">
        <f aca="false">IF(J103&gt;0,ROUND(I103/J103/12,0),0)</f>
        <v>0</v>
      </c>
    </row>
    <row r="104" customFormat="false" ht="15" hidden="false" customHeight="true" outlineLevel="0" collapsed="false">
      <c r="B104" s="1" t="n">
        <v>18</v>
      </c>
      <c r="C104" s="1" t="n">
        <f aca="false">IF(Slot18_On=1,INDEX('Plan cashflow'!$GO$8:$GO$97,Slot18_Age-F_Age+1),0)</f>
        <v>0</v>
      </c>
      <c r="D104" s="1" t="n">
        <f aca="false">Slot18_Cost</f>
        <v>0</v>
      </c>
      <c r="E104" s="1" t="str">
        <f aca="false">IF(Slot18_On=1,IF(D104&gt;0,IF(C104&gt;=D104-1,100,MIN(PR_PctCap,MAX(0,INT(C104/D104*100)))),100),"")</f>
        <v/>
      </c>
      <c r="F104" s="1" t="n">
        <f aca="false">IF(AND(Slot18_On=1,E104&lt;PR_Good),1,0)</f>
        <v>0</v>
      </c>
      <c r="G104" s="1" t="n">
        <f aca="false">INDEX('Plan cashflow'!$TE$8:$TE$97,1)</f>
        <v>0</v>
      </c>
      <c r="H104" s="1" t="n">
        <f aca="false">INDEX('Plan cashflow'!$TD$8:$TD$97,1)</f>
        <v>0</v>
      </c>
      <c r="I104" s="1" t="n">
        <f aca="false">SUMIFS('Plan cashflow'!$TC$8:$TC$97,'Plan cashflow'!$C$8:$C$97,1)</f>
        <v>0</v>
      </c>
      <c r="J104" s="1" t="n">
        <f aca="false">SUMIFS('Plan cashflow'!$GK$8:$GK$97,'Plan cashflow'!$C$8:$C$97,1)</f>
        <v>0</v>
      </c>
      <c r="K104" s="1" t="n">
        <f aca="false">ROUND(G104/12,0)</f>
        <v>0</v>
      </c>
      <c r="L104" s="1" t="n">
        <f aca="false">ROUND(H104/12,0)</f>
        <v>0</v>
      </c>
      <c r="M104" s="1" t="n">
        <f aca="false">IF(J104&gt;0,ROUND(I104/J104/12,0),0)</f>
        <v>0</v>
      </c>
    </row>
    <row r="105" customFormat="false" ht="15" hidden="false" customHeight="true" outlineLevel="0" collapsed="false">
      <c r="B105" s="1" t="n">
        <v>19</v>
      </c>
      <c r="C105" s="1" t="n">
        <f aca="false">IF(Slot19_On=1,INDEX('Plan cashflow'!$GY$8:$GY$97,Slot19_Age-F_Age+1),0)</f>
        <v>0</v>
      </c>
      <c r="D105" s="1" t="n">
        <f aca="false">Slot19_Cost</f>
        <v>0</v>
      </c>
      <c r="E105" s="1" t="str">
        <f aca="false">IF(Slot19_On=1,IF(D105&gt;0,IF(C105&gt;=D105-1,100,MIN(PR_PctCap,MAX(0,INT(C105/D105*100)))),100),"")</f>
        <v/>
      </c>
      <c r="F105" s="1" t="n">
        <f aca="false">IF(AND(Slot19_On=1,E105&lt;PR_Good),1,0)</f>
        <v>0</v>
      </c>
      <c r="G105" s="1" t="n">
        <f aca="false">INDEX('Plan cashflow'!$TI$8:$TI$97,1)</f>
        <v>0</v>
      </c>
      <c r="H105" s="1" t="n">
        <f aca="false">INDEX('Plan cashflow'!$TH$8:$TH$97,1)</f>
        <v>0</v>
      </c>
      <c r="I105" s="1" t="n">
        <f aca="false">SUMIFS('Plan cashflow'!$TG$8:$TG$97,'Plan cashflow'!$C$8:$C$97,1)</f>
        <v>0</v>
      </c>
      <c r="J105" s="1" t="n">
        <f aca="false">SUMIFS('Plan cashflow'!$GU$8:$GU$97,'Plan cashflow'!$C$8:$C$97,1)</f>
        <v>0</v>
      </c>
      <c r="K105" s="1" t="n">
        <f aca="false">ROUND(G105/12,0)</f>
        <v>0</v>
      </c>
      <c r="L105" s="1" t="n">
        <f aca="false">ROUND(H105/12,0)</f>
        <v>0</v>
      </c>
      <c r="M105" s="1" t="n">
        <f aca="false">IF(J105&gt;0,ROUND(I105/J105/12,0),0)</f>
        <v>0</v>
      </c>
    </row>
    <row r="106" customFormat="false" ht="15" hidden="false" customHeight="true" outlineLevel="0" collapsed="false">
      <c r="B106" s="1" t="n">
        <v>20</v>
      </c>
      <c r="C106" s="1" t="n">
        <f aca="false">IF(Slot20_On=1,INDEX('Plan cashflow'!$HI$8:$HI$97,Slot20_Age-F_Age+1),0)</f>
        <v>0</v>
      </c>
      <c r="D106" s="1" t="n">
        <f aca="false">Slot20_Cost</f>
        <v>0</v>
      </c>
      <c r="E106" s="1" t="str">
        <f aca="false">IF(Slot20_On=1,IF(D106&gt;0,IF(C106&gt;=D106-1,100,MIN(PR_PctCap,MAX(0,INT(C106/D106*100)))),100),"")</f>
        <v/>
      </c>
      <c r="F106" s="1" t="n">
        <f aca="false">IF(AND(Slot20_On=1,E106&lt;PR_Good),1,0)</f>
        <v>0</v>
      </c>
      <c r="G106" s="1" t="n">
        <f aca="false">INDEX('Plan cashflow'!$TM$8:$TM$97,1)</f>
        <v>0</v>
      </c>
      <c r="H106" s="1" t="n">
        <f aca="false">INDEX('Plan cashflow'!$TL$8:$TL$97,1)</f>
        <v>0</v>
      </c>
      <c r="I106" s="1" t="n">
        <f aca="false">SUMIFS('Plan cashflow'!$TK$8:$TK$97,'Plan cashflow'!$C$8:$C$97,1)</f>
        <v>0</v>
      </c>
      <c r="J106" s="1" t="n">
        <f aca="false">SUMIFS('Plan cashflow'!$HE$8:$HE$97,'Plan cashflow'!$C$8:$C$97,1)</f>
        <v>0</v>
      </c>
      <c r="K106" s="1" t="n">
        <f aca="false">ROUND(G106/12,0)</f>
        <v>0</v>
      </c>
      <c r="L106" s="1" t="n">
        <f aca="false">ROUND(H106/12,0)</f>
        <v>0</v>
      </c>
      <c r="M106" s="1" t="n">
        <f aca="false">IF(J106&gt;0,ROUND(I106/J106/12,0),0)</f>
        <v>0</v>
      </c>
    </row>
    <row r="108" customFormat="false" ht="15" hidden="false" customHeight="true" outlineLevel="0" collapsed="false">
      <c r="B108" s="113" t="s">
        <v>2586</v>
      </c>
    </row>
    <row r="109" customFormat="false" ht="90" hidden="false" customHeight="true" outlineLevel="0" collapsed="false">
      <c r="B109" s="100" t="s">
        <v>289</v>
      </c>
      <c r="C109" s="100" t="s">
        <v>2530</v>
      </c>
      <c r="D109" s="100" t="s">
        <v>2490</v>
      </c>
      <c r="E109" s="100" t="s">
        <v>2587</v>
      </c>
      <c r="F109" s="100" t="s">
        <v>2588</v>
      </c>
      <c r="G109" s="100" t="s">
        <v>2577</v>
      </c>
      <c r="H109" s="100" t="s">
        <v>2589</v>
      </c>
      <c r="I109" s="100" t="s">
        <v>2539</v>
      </c>
      <c r="J109" s="100" t="s">
        <v>2590</v>
      </c>
      <c r="K109" s="100" t="s">
        <v>2591</v>
      </c>
      <c r="L109" s="100" t="s">
        <v>2592</v>
      </c>
      <c r="M109" s="100" t="s">
        <v>2593</v>
      </c>
      <c r="N109" s="100" t="s">
        <v>2534</v>
      </c>
      <c r="O109" s="100" t="s">
        <v>2594</v>
      </c>
      <c r="P109" s="100" t="s">
        <v>2595</v>
      </c>
      <c r="Q109" s="100" t="s">
        <v>2529</v>
      </c>
      <c r="R109" s="100" t="s">
        <v>2596</v>
      </c>
      <c r="S109" s="100" t="s">
        <v>2491</v>
      </c>
      <c r="T109" s="100" t="s">
        <v>2597</v>
      </c>
      <c r="U109" s="100" t="s">
        <v>2598</v>
      </c>
      <c r="V109" s="100" t="s">
        <v>2599</v>
      </c>
      <c r="W109" s="100" t="s">
        <v>2600</v>
      </c>
      <c r="X109" s="100" t="s">
        <v>2601</v>
      </c>
      <c r="Y109" s="100" t="s">
        <v>2602</v>
      </c>
      <c r="Z109" s="100" t="s">
        <v>2603</v>
      </c>
      <c r="AA109" s="100" t="s">
        <v>2604</v>
      </c>
      <c r="AB109" s="100" t="s">
        <v>2605</v>
      </c>
    </row>
    <row r="110" customFormat="false" ht="15" hidden="false" customHeight="true" outlineLevel="0" collapsed="false">
      <c r="B110" s="1" t="n">
        <v>1</v>
      </c>
      <c r="C110" s="1" t="str">
        <f aca="false">IF($Q110="","",INDEX(GL_Name,1))</f>
        <v/>
      </c>
      <c r="D110" s="1" t="str">
        <f aca="false">INDEX(GL_Kind,1)</f>
        <v/>
      </c>
      <c r="E110" s="1" t="str">
        <f aca="false">IF($Q110="","",IF(OR($D110="spend",$D110="mfree",$D110="pot"),CHOOSE($I110,Slot1_Cost,Slot2_Cost,Slot3_Cost,Slot4_Cost,Slot5_Cost,Slot6_Cost,Slot7_Cost,Slot8_Cost,Slot9_Cost,Slot10_Cost,Slot11_Cost,Slot12_Cost,Slot13_Cost,Slot14_Cost,Slot15_Cost,Slot16_Cost,Slot17_Cost,Slot18_Cost,Slot19_Cost,Slot20_Cost),IF($D110="retire",SUMIFS('Plan cashflow'!$TR$8:$TR$97,'Plan cashflow'!$C$8:$C$97,1),IF($D110="legacy",INDEX(GL_Amount,1)*(1+AS_Infl)^F_N,0))))</f>
        <v/>
      </c>
      <c r="F110" s="1" t="str">
        <f aca="false">IF($Q110="","",IF(OR($D110="spend",$D110="mfree",$D110="pot"),CHOOSE($I110,Slot1_Paid,Slot2_Paid,Slot3_Paid,Slot4_Paid,Slot5_Paid,Slot6_Paid,Slot7_Paid,Slot8_Paid,Slot9_Paid,Slot10_Paid,Slot11_Paid,Slot12_Paid,Slot13_Paid,Slot14_Paid,Slot15_Paid,Slot16_Paid,Slot17_Paid,Slot18_Paid,Slot19_Paid,Slot20_Paid),IF($D110="retire",SUMIFS('Plan cashflow'!$TS$8:$TS$97,'Plan cashflow'!$C$8:$C$97,1),IF($D110="legacy",MIN(E110,INDEX('Plan cashflow'!$QJ$8:$QJ$97,F_N+1)+INDEX('Plan cashflow'!$QK$8:$QK$97,F_N+1)),0))))</f>
        <v/>
      </c>
      <c r="G110" s="1" t="str">
        <f aca="false">IF($Q110="","",IF($D110="retire",IF(SUM('Plan cashflow'!$UG$8:$UG$97)&gt;0,MIN(IF(E110&gt;0,IF(F110&gt;=E110-1,100,MIN(PR_PctCap,MAX(0,INT(F110/E110*100)))),100),94),IF(E110&gt;0,IF(F110&gt;=E110-1,100,MIN(PR_PctCap,MAX(0,INT(F110/E110*100)))),100)),IF(E110&gt;0,IF(F110&gt;=E110-1,100,MIN(PR_PctCap,MAX(0,INT(F110/E110*100)))),100)))</f>
        <v/>
      </c>
      <c r="H110" s="1" t="str">
        <f aca="false">IF(G110="","",IF(G110&gt;=PR_Good,"good",IF(G110&gt;=PR_Nudge,"nudge","alert")))</f>
        <v/>
      </c>
      <c r="I110" s="1" t="str">
        <f aca="false">IF(OR($D110="spend",$D110="mfree",$D110="pot"),INDEX(GL_Pos,1),"")</f>
        <v/>
      </c>
      <c r="J110" s="1" t="str">
        <f aca="false">IF(OR($D110="spend",$D110="mfree",$D110="pot"),CHOOSE($I110,Slot1_NeedM,Slot2_NeedM,Slot3_NeedM,Slot4_NeedM,Slot5_NeedM,Slot6_NeedM,Slot7_NeedM,Slot8_NeedM,Slot9_NeedM,Slot10_NeedM,Slot11_NeedM,Slot12_NeedM,Slot13_NeedM,Slot14_NeedM,Slot15_NeedM,Slot16_NeedM,Slot17_NeedM,Slot18_NeedM,Slot19_NeedM,Slot20_NeedM),"")</f>
        <v/>
      </c>
      <c r="K110" s="1" t="str">
        <f aca="false">IF(OR($D110="spend",$D110="mfree",$D110="pot"),CHOOSE($I110,Slot1_AvgM,Slot2_AvgM,Slot3_AvgM,Slot4_AvgM,Slot5_AvgM,Slot6_AvgM,Slot7_AvgM,Slot8_AvgM,Slot9_AvgM,Slot10_AvgM,Slot11_AvgM,Slot12_AvgM,Slot13_AvgM,Slot14_AvgM,Slot15_AvgM,Slot16_AvgM,Slot17_AvgM,Slot18_AvgM,Slot19_AvgM,Slot20_AvgM),"")</f>
        <v/>
      </c>
      <c r="L110" s="94"/>
      <c r="M110" s="1" t="str">
        <f aca="false">IF(NOT(OR($D110="spend",$D110="mfree",$D110="pot")),"",IF(AND($D110="mfree",In_home&lt;&gt;"",In_home&lt;&gt;"Own with mortgage"),"No mortgage in Your finances: remove this goal, or add your mortgage",IF(G110&gt;=100,"Fully funded"&amp;IF(K110&gt;0," · on average you'll put "&amp;"€"&amp;TEXT(ROUND(K110,0),"#,##0")&amp;" a month",""),IF(AB110="","Type the extra the what-if search finds in column L to see this line",IF(IF(AB110="none",TRUE(),K110+AB110&gt;Save_SurplusM),"Needs about "&amp;"€"&amp;TEXT(ROUND(IF(AB110="none",MAX(J110,K110+5),K110+AB110),0),"#,##0")&amp;" a month, more than your spare money · on average you'll put "&amp;"€"&amp;TEXT(ROUND(K110,0),"#,##0")&amp;" a month","Needs about "&amp;"€"&amp;TEXT(ROUND(K110+AB110,0),"#,##0")&amp;" a month · on average you'll put "&amp;"€"&amp;TEXT(ROUND(K110,0),"#,##0")&amp;" a month")))))</f>
        <v/>
      </c>
      <c r="N110" s="1" t="str">
        <f aca="false">IF($Q110="","",INDEX(GL_AgeT,1))</f>
        <v/>
      </c>
      <c r="O110" s="1" t="str">
        <f aca="false">IF(AND($Q110&lt;&gt;"",G110&gt;=PR_Good,Findings_Over=0),G110*1000000-N110*1000-1,"")</f>
        <v/>
      </c>
      <c r="P110" s="1" t="str">
        <f aca="false">IF($Q110="","",G110*1000000+N110*1000+1)</f>
        <v/>
      </c>
      <c r="Q110" s="1" t="str">
        <f aca="false">INDEX(GL_Key,1)</f>
        <v/>
      </c>
      <c r="R110" s="1" t="n">
        <f aca="false">IF(G110="",0,G110)</f>
        <v>0</v>
      </c>
      <c r="S110" s="1" t="str">
        <f aca="false">IF($Q110="","",IFERROR(INDEX(Goal_Specs,MATCH($Q110,Goal_Keys,0)),""))</f>
        <v/>
      </c>
      <c r="T110" s="1" t="n">
        <f aca="false">IF($Q110="",9999,G110)</f>
        <v>9999</v>
      </c>
      <c r="U110" s="1" t="str">
        <f aca="false">IF($Q110="","",IF($D110="legacy","at the end of your plan"&amp;IF(Has_a_planEnd=1," ("&amp;AS_End&amp;")",""),IF(INDEX(GL_AgeT,1)&lt;F_Age,"Date has passed",IF($D110="retire",IF(Has_retireAge=1,"at "&amp;INDEX(GL_AgeT,1),"at an age you haven't chosen yet"),"in "&amp;(INDEX(GL_AgeRaw,1)-F_Age)&amp;IF(INDEX(GL_AgeRaw,1)-F_Age=1," year"," years")))))</f>
        <v/>
      </c>
      <c r="V110" s="1" t="str">
        <f aca="false">IF(AND($Q110="safety",F_EssM&gt;0,INDEX(GL_Amount,1)&gt;0),ROUND(INDEX(GL_Amount,1)/F_EssM*10,0)/10,"")</f>
        <v/>
      </c>
      <c r="W110" s="1" t="str">
        <f aca="false">IF($Q110="","",AS_Year0+INDEX(GL_AgeT,1)-F_Age)</f>
        <v/>
      </c>
      <c r="X110" s="1" t="str">
        <f aca="false">IF($Q110="","",IF(AND($D110&lt;&gt;"legacy",INDEX(GL_AgeT,1)&lt;F_Age),"Date has passed",IF($D110="retire","Age ","age ")&amp;INDEX(GL_AgeT,1)&amp;" · "&amp;W110))</f>
        <v/>
      </c>
      <c r="Y110" s="1" t="str">
        <f aca="false">IF($Q110="","",G110*1000+IF($D110="legacy",AS_End,INDEX(GL_AgeT,1)))</f>
        <v/>
      </c>
      <c r="Z110" s="94"/>
      <c r="AA110" s="1" t="str">
        <f aca="false">IF($Q110="","",IF(IF(Z110&lt;&gt;"",Z110,IF(AND(WI_M=0,WI_L=0),G110,""))="","",IF(IF(Z110&lt;&gt;"",Z110,G110)&lt;&gt;G110,C110&amp;" goes from "&amp;IF(Z110&lt;&gt;"",Z110,G110)&amp;"% to "&amp;G110&amp;"%","")))</f>
        <v/>
      </c>
      <c r="AB110" s="1" t="str">
        <f aca="false">IF(ISBLANK(L110),IF(AND(Fill_Example="Yes",TRUE()),255,""),L110)</f>
        <v/>
      </c>
    </row>
    <row r="111" customFormat="false" ht="15" hidden="false" customHeight="true" outlineLevel="0" collapsed="false">
      <c r="B111" s="1" t="n">
        <v>2</v>
      </c>
      <c r="C111" s="1" t="str">
        <f aca="false">IF($Q111="","",INDEX(GL_Name,2))</f>
        <v/>
      </c>
      <c r="D111" s="1" t="str">
        <f aca="false">INDEX(GL_Kind,2)</f>
        <v/>
      </c>
      <c r="E111" s="1" t="str">
        <f aca="false">IF($Q111="","",IF(OR($D111="spend",$D111="mfree",$D111="pot"),CHOOSE($I111,Slot1_Cost,Slot2_Cost,Slot3_Cost,Slot4_Cost,Slot5_Cost,Slot6_Cost,Slot7_Cost,Slot8_Cost,Slot9_Cost,Slot10_Cost,Slot11_Cost,Slot12_Cost,Slot13_Cost,Slot14_Cost,Slot15_Cost,Slot16_Cost,Slot17_Cost,Slot18_Cost,Slot19_Cost,Slot20_Cost),IF($D111="retire",SUMIFS('Plan cashflow'!$TR$8:$TR$97,'Plan cashflow'!$C$8:$C$97,1),IF($D111="legacy",INDEX(GL_Amount,2)*(1+AS_Infl)^F_N,0))))</f>
        <v/>
      </c>
      <c r="F111" s="1" t="str">
        <f aca="false">IF($Q111="","",IF(OR($D111="spend",$D111="mfree",$D111="pot"),CHOOSE($I111,Slot1_Paid,Slot2_Paid,Slot3_Paid,Slot4_Paid,Slot5_Paid,Slot6_Paid,Slot7_Paid,Slot8_Paid,Slot9_Paid,Slot10_Paid,Slot11_Paid,Slot12_Paid,Slot13_Paid,Slot14_Paid,Slot15_Paid,Slot16_Paid,Slot17_Paid,Slot18_Paid,Slot19_Paid,Slot20_Paid),IF($D111="retire",SUMIFS('Plan cashflow'!$TS$8:$TS$97,'Plan cashflow'!$C$8:$C$97,1),IF($D111="legacy",MIN(E111,INDEX('Plan cashflow'!$QJ$8:$QJ$97,F_N+1)+INDEX('Plan cashflow'!$QK$8:$QK$97,F_N+1)),0))))</f>
        <v/>
      </c>
      <c r="G111" s="1" t="str">
        <f aca="false">IF($Q111="","",IF($D111="retire",IF(SUM('Plan cashflow'!$UG$8:$UG$97)&gt;0,MIN(IF(E111&gt;0,IF(F111&gt;=E111-1,100,MIN(PR_PctCap,MAX(0,INT(F111/E111*100)))),100),94),IF(E111&gt;0,IF(F111&gt;=E111-1,100,MIN(PR_PctCap,MAX(0,INT(F111/E111*100)))),100)),IF(E111&gt;0,IF(F111&gt;=E111-1,100,MIN(PR_PctCap,MAX(0,INT(F111/E111*100)))),100)))</f>
        <v/>
      </c>
      <c r="H111" s="1" t="str">
        <f aca="false">IF(G111="","",IF(G111&gt;=PR_Good,"good",IF(G111&gt;=PR_Nudge,"nudge","alert")))</f>
        <v/>
      </c>
      <c r="I111" s="1" t="str">
        <f aca="false">IF(OR($D111="spend",$D111="mfree",$D111="pot"),INDEX(GL_Pos,2),"")</f>
        <v/>
      </c>
      <c r="J111" s="1" t="str">
        <f aca="false">IF(OR($D111="spend",$D111="mfree",$D111="pot"),CHOOSE($I111,Slot1_NeedM,Slot2_NeedM,Slot3_NeedM,Slot4_NeedM,Slot5_NeedM,Slot6_NeedM,Slot7_NeedM,Slot8_NeedM,Slot9_NeedM,Slot10_NeedM,Slot11_NeedM,Slot12_NeedM,Slot13_NeedM,Slot14_NeedM,Slot15_NeedM,Slot16_NeedM,Slot17_NeedM,Slot18_NeedM,Slot19_NeedM,Slot20_NeedM),"")</f>
        <v/>
      </c>
      <c r="K111" s="1" t="str">
        <f aca="false">IF(OR($D111="spend",$D111="mfree",$D111="pot"),CHOOSE($I111,Slot1_AvgM,Slot2_AvgM,Slot3_AvgM,Slot4_AvgM,Slot5_AvgM,Slot6_AvgM,Slot7_AvgM,Slot8_AvgM,Slot9_AvgM,Slot10_AvgM,Slot11_AvgM,Slot12_AvgM,Slot13_AvgM,Slot14_AvgM,Slot15_AvgM,Slot16_AvgM,Slot17_AvgM,Slot18_AvgM,Slot19_AvgM,Slot20_AvgM),"")</f>
        <v/>
      </c>
      <c r="L111" s="94"/>
      <c r="M111" s="1" t="str">
        <f aca="false">IF(NOT(OR($D111="spend",$D111="mfree",$D111="pot")),"",IF(AND($D111="mfree",In_home&lt;&gt;"",In_home&lt;&gt;"Own with mortgage"),"No mortgage in Your finances: remove this goal, or add your mortgage",IF(G111&gt;=100,"Fully funded"&amp;IF(K111&gt;0," · on average you'll put "&amp;"€"&amp;TEXT(ROUND(K111,0),"#,##0")&amp;" a month",""),IF(AB111="","Type the extra the what-if search finds in column L to see this line",IF(IF(AB111="none",TRUE(),K111+AB111&gt;Save_SurplusM),"Needs about "&amp;"€"&amp;TEXT(ROUND(IF(AB111="none",MAX(J111,K111+5),K111+AB111),0),"#,##0")&amp;" a month, more than your spare money · on average you'll put "&amp;"€"&amp;TEXT(ROUND(K111,0),"#,##0")&amp;" a month","Needs about "&amp;"€"&amp;TEXT(ROUND(K111+AB111,0),"#,##0")&amp;" a month · on average you'll put "&amp;"€"&amp;TEXT(ROUND(K111,0),"#,##0")&amp;" a month")))))</f>
        <v/>
      </c>
      <c r="N111" s="1" t="str">
        <f aca="false">IF($Q111="","",INDEX(GL_AgeT,2))</f>
        <v/>
      </c>
      <c r="O111" s="1" t="str">
        <f aca="false">IF(AND($Q111&lt;&gt;"",G111&gt;=PR_Good,Findings_Over=0),G111*1000000-N111*1000-2,"")</f>
        <v/>
      </c>
      <c r="P111" s="1" t="str">
        <f aca="false">IF($Q111="","",G111*1000000+N111*1000+2)</f>
        <v/>
      </c>
      <c r="Q111" s="1" t="str">
        <f aca="false">INDEX(GL_Key,2)</f>
        <v/>
      </c>
      <c r="R111" s="1" t="n">
        <f aca="false">IF(G111="",0,G111)</f>
        <v>0</v>
      </c>
      <c r="S111" s="1" t="str">
        <f aca="false">IF($Q111="","",IFERROR(INDEX(Goal_Specs,MATCH($Q111,Goal_Keys,0)),""))</f>
        <v/>
      </c>
      <c r="T111" s="1" t="n">
        <f aca="false">IF($Q111="",9999,G111)</f>
        <v>9999</v>
      </c>
      <c r="U111" s="1" t="str">
        <f aca="false">IF($Q111="","",IF($D111="legacy","at the end of your plan"&amp;IF(Has_a_planEnd=1," ("&amp;AS_End&amp;")",""),IF(INDEX(GL_AgeT,2)&lt;F_Age,"Date has passed",IF($D111="retire",IF(Has_retireAge=1,"at "&amp;INDEX(GL_AgeT,2),"at an age you haven't chosen yet"),"in "&amp;(INDEX(GL_AgeRaw,2)-F_Age)&amp;IF(INDEX(GL_AgeRaw,2)-F_Age=1," year"," years")))))</f>
        <v/>
      </c>
      <c r="V111" s="1" t="str">
        <f aca="false">IF(AND($Q111="safety",F_EssM&gt;0,INDEX(GL_Amount,2)&gt;0),ROUND(INDEX(GL_Amount,2)/F_EssM*10,0)/10,"")</f>
        <v/>
      </c>
      <c r="W111" s="1" t="str">
        <f aca="false">IF($Q111="","",AS_Year0+INDEX(GL_AgeT,2)-F_Age)</f>
        <v/>
      </c>
      <c r="X111" s="1" t="str">
        <f aca="false">IF($Q111="","",IF(AND($D111&lt;&gt;"legacy",INDEX(GL_AgeT,2)&lt;F_Age),"Date has passed",IF($D111="retire","Age ","age ")&amp;INDEX(GL_AgeT,2)&amp;" · "&amp;W111))</f>
        <v/>
      </c>
      <c r="Y111" s="1" t="str">
        <f aca="false">IF($Q111="","",G111*1000+IF($D111="legacy",AS_End,INDEX(GL_AgeT,2)))</f>
        <v/>
      </c>
      <c r="Z111" s="94"/>
      <c r="AA111" s="1" t="str">
        <f aca="false">IF($Q111="","",IF(IF(Z111&lt;&gt;"",Z111,IF(AND(WI_M=0,WI_L=0),G111,""))="","",IF(IF(Z111&lt;&gt;"",Z111,G111)&lt;&gt;G111,C111&amp;" goes from "&amp;IF(Z111&lt;&gt;"",Z111,G111)&amp;"% to "&amp;G111&amp;"%","")))</f>
        <v/>
      </c>
      <c r="AB111" s="1" t="str">
        <f aca="false">IF(ISBLANK(L111),IF(AND(Fill_Example="Yes",TRUE()),"none",""),L111)</f>
        <v/>
      </c>
    </row>
    <row r="112" customFormat="false" ht="15" hidden="false" customHeight="true" outlineLevel="0" collapsed="false">
      <c r="B112" s="1" t="n">
        <v>3</v>
      </c>
      <c r="C112" s="1" t="str">
        <f aca="false">IF($Q112="","",INDEX(GL_Name,3))</f>
        <v/>
      </c>
      <c r="D112" s="1" t="str">
        <f aca="false">INDEX(GL_Kind,3)</f>
        <v/>
      </c>
      <c r="E112" s="1" t="str">
        <f aca="false">IF($Q112="","",IF(OR($D112="spend",$D112="mfree",$D112="pot"),CHOOSE($I112,Slot1_Cost,Slot2_Cost,Slot3_Cost,Slot4_Cost,Slot5_Cost,Slot6_Cost,Slot7_Cost,Slot8_Cost,Slot9_Cost,Slot10_Cost,Slot11_Cost,Slot12_Cost,Slot13_Cost,Slot14_Cost,Slot15_Cost,Slot16_Cost,Slot17_Cost,Slot18_Cost,Slot19_Cost,Slot20_Cost),IF($D112="retire",SUMIFS('Plan cashflow'!$TR$8:$TR$97,'Plan cashflow'!$C$8:$C$97,1),IF($D112="legacy",INDEX(GL_Amount,3)*(1+AS_Infl)^F_N,0))))</f>
        <v/>
      </c>
      <c r="F112" s="1" t="str">
        <f aca="false">IF($Q112="","",IF(OR($D112="spend",$D112="mfree",$D112="pot"),CHOOSE($I112,Slot1_Paid,Slot2_Paid,Slot3_Paid,Slot4_Paid,Slot5_Paid,Slot6_Paid,Slot7_Paid,Slot8_Paid,Slot9_Paid,Slot10_Paid,Slot11_Paid,Slot12_Paid,Slot13_Paid,Slot14_Paid,Slot15_Paid,Slot16_Paid,Slot17_Paid,Slot18_Paid,Slot19_Paid,Slot20_Paid),IF($D112="retire",SUMIFS('Plan cashflow'!$TS$8:$TS$97,'Plan cashflow'!$C$8:$C$97,1),IF($D112="legacy",MIN(E112,INDEX('Plan cashflow'!$QJ$8:$QJ$97,F_N+1)+INDEX('Plan cashflow'!$QK$8:$QK$97,F_N+1)),0))))</f>
        <v/>
      </c>
      <c r="G112" s="1" t="str">
        <f aca="false">IF($Q112="","",IF($D112="retire",IF(SUM('Plan cashflow'!$UG$8:$UG$97)&gt;0,MIN(IF(E112&gt;0,IF(F112&gt;=E112-1,100,MIN(PR_PctCap,MAX(0,INT(F112/E112*100)))),100),94),IF(E112&gt;0,IF(F112&gt;=E112-1,100,MIN(PR_PctCap,MAX(0,INT(F112/E112*100)))),100)),IF(E112&gt;0,IF(F112&gt;=E112-1,100,MIN(PR_PctCap,MAX(0,INT(F112/E112*100)))),100)))</f>
        <v/>
      </c>
      <c r="H112" s="1" t="str">
        <f aca="false">IF(G112="","",IF(G112&gt;=PR_Good,"good",IF(G112&gt;=PR_Nudge,"nudge","alert")))</f>
        <v/>
      </c>
      <c r="I112" s="1" t="str">
        <f aca="false">IF(OR($D112="spend",$D112="mfree",$D112="pot"),INDEX(GL_Pos,3),"")</f>
        <v/>
      </c>
      <c r="J112" s="1" t="str">
        <f aca="false">IF(OR($D112="spend",$D112="mfree",$D112="pot"),CHOOSE($I112,Slot1_NeedM,Slot2_NeedM,Slot3_NeedM,Slot4_NeedM,Slot5_NeedM,Slot6_NeedM,Slot7_NeedM,Slot8_NeedM,Slot9_NeedM,Slot10_NeedM,Slot11_NeedM,Slot12_NeedM,Slot13_NeedM,Slot14_NeedM,Slot15_NeedM,Slot16_NeedM,Slot17_NeedM,Slot18_NeedM,Slot19_NeedM,Slot20_NeedM),"")</f>
        <v/>
      </c>
      <c r="K112" s="1" t="str">
        <f aca="false">IF(OR($D112="spend",$D112="mfree",$D112="pot"),CHOOSE($I112,Slot1_AvgM,Slot2_AvgM,Slot3_AvgM,Slot4_AvgM,Slot5_AvgM,Slot6_AvgM,Slot7_AvgM,Slot8_AvgM,Slot9_AvgM,Slot10_AvgM,Slot11_AvgM,Slot12_AvgM,Slot13_AvgM,Slot14_AvgM,Slot15_AvgM,Slot16_AvgM,Slot17_AvgM,Slot18_AvgM,Slot19_AvgM,Slot20_AvgM),"")</f>
        <v/>
      </c>
      <c r="L112" s="94"/>
      <c r="M112" s="1" t="str">
        <f aca="false">IF(NOT(OR($D112="spend",$D112="mfree",$D112="pot")),"",IF(AND($D112="mfree",In_home&lt;&gt;"",In_home&lt;&gt;"Own with mortgage"),"No mortgage in Your finances: remove this goal, or add your mortgage",IF(G112&gt;=100,"Fully funded"&amp;IF(K112&gt;0," · on average you'll put "&amp;"€"&amp;TEXT(ROUND(K112,0),"#,##0")&amp;" a month",""),IF(AB112="","Type the extra the what-if search finds in column L to see this line",IF(IF(AB112="none",TRUE(),K112+AB112&gt;Save_SurplusM),"Needs about "&amp;"€"&amp;TEXT(ROUND(IF(AB112="none",MAX(J112,K112+5),K112+AB112),0),"#,##0")&amp;" a month, more than your spare money · on average you'll put "&amp;"€"&amp;TEXT(ROUND(K112,0),"#,##0")&amp;" a month","Needs about "&amp;"€"&amp;TEXT(ROUND(K112+AB112,0),"#,##0")&amp;" a month · on average you'll put "&amp;"€"&amp;TEXT(ROUND(K112,0),"#,##0")&amp;" a month")))))</f>
        <v/>
      </c>
      <c r="N112" s="1" t="str">
        <f aca="false">IF($Q112="","",INDEX(GL_AgeT,3))</f>
        <v/>
      </c>
      <c r="O112" s="1" t="str">
        <f aca="false">IF(AND($Q112&lt;&gt;"",G112&gt;=PR_Good,Findings_Over=0),G112*1000000-N112*1000-3,"")</f>
        <v/>
      </c>
      <c r="P112" s="1" t="str">
        <f aca="false">IF($Q112="","",G112*1000000+N112*1000+3)</f>
        <v/>
      </c>
      <c r="Q112" s="1" t="str">
        <f aca="false">INDEX(GL_Key,3)</f>
        <v/>
      </c>
      <c r="R112" s="1" t="n">
        <f aca="false">IF(G112="",0,G112)</f>
        <v>0</v>
      </c>
      <c r="S112" s="1" t="str">
        <f aca="false">IF($Q112="","",IFERROR(INDEX(Goal_Specs,MATCH($Q112,Goal_Keys,0)),""))</f>
        <v/>
      </c>
      <c r="T112" s="1" t="n">
        <f aca="false">IF($Q112="",9999,G112)</f>
        <v>9999</v>
      </c>
      <c r="U112" s="1" t="str">
        <f aca="false">IF($Q112="","",IF($D112="legacy","at the end of your plan"&amp;IF(Has_a_planEnd=1," ("&amp;AS_End&amp;")",""),IF(INDEX(GL_AgeT,3)&lt;F_Age,"Date has passed",IF($D112="retire",IF(Has_retireAge=1,"at "&amp;INDEX(GL_AgeT,3),"at an age you haven't chosen yet"),"in "&amp;(INDEX(GL_AgeRaw,3)-F_Age)&amp;IF(INDEX(GL_AgeRaw,3)-F_Age=1," year"," years")))))</f>
        <v/>
      </c>
      <c r="V112" s="1" t="str">
        <f aca="false">IF(AND($Q112="safety",F_EssM&gt;0,INDEX(GL_Amount,3)&gt;0),ROUND(INDEX(GL_Amount,3)/F_EssM*10,0)/10,"")</f>
        <v/>
      </c>
      <c r="W112" s="1" t="str">
        <f aca="false">IF($Q112="","",AS_Year0+INDEX(GL_AgeT,3)-F_Age)</f>
        <v/>
      </c>
      <c r="X112" s="1" t="str">
        <f aca="false">IF($Q112="","",IF(AND($D112&lt;&gt;"legacy",INDEX(GL_AgeT,3)&lt;F_Age),"Date has passed",IF($D112="retire","Age ","age ")&amp;INDEX(GL_AgeT,3)&amp;" · "&amp;W112))</f>
        <v/>
      </c>
      <c r="Y112" s="1" t="str">
        <f aca="false">IF($Q112="","",G112*1000+IF($D112="legacy",AS_End,INDEX(GL_AgeT,3)))</f>
        <v/>
      </c>
      <c r="Z112" s="94"/>
      <c r="AA112" s="1" t="str">
        <f aca="false">IF($Q112="","",IF(IF(Z112&lt;&gt;"",Z112,IF(AND(WI_M=0,WI_L=0),G112,""))="","",IF(IF(Z112&lt;&gt;"",Z112,G112)&lt;&gt;G112,C112&amp;" goes from "&amp;IF(Z112&lt;&gt;"",Z112,G112)&amp;"% to "&amp;G112&amp;"%","")))</f>
        <v/>
      </c>
      <c r="AB112" s="1" t="str">
        <f aca="false">IF(ISBLANK(L112),IF(AND(Fill_Example="Yes",FALSE()),"",""),L112)</f>
        <v/>
      </c>
    </row>
    <row r="113" customFormat="false" ht="15" hidden="false" customHeight="true" outlineLevel="0" collapsed="false">
      <c r="B113" s="1" t="n">
        <v>4</v>
      </c>
      <c r="C113" s="1" t="str">
        <f aca="false">IF($Q113="","",INDEX(GL_Name,4))</f>
        <v/>
      </c>
      <c r="D113" s="1" t="str">
        <f aca="false">INDEX(GL_Kind,4)</f>
        <v/>
      </c>
      <c r="E113" s="1" t="str">
        <f aca="false">IF($Q113="","",IF(OR($D113="spend",$D113="mfree",$D113="pot"),CHOOSE($I113,Slot1_Cost,Slot2_Cost,Slot3_Cost,Slot4_Cost,Slot5_Cost,Slot6_Cost,Slot7_Cost,Slot8_Cost,Slot9_Cost,Slot10_Cost,Slot11_Cost,Slot12_Cost,Slot13_Cost,Slot14_Cost,Slot15_Cost,Slot16_Cost,Slot17_Cost,Slot18_Cost,Slot19_Cost,Slot20_Cost),IF($D113="retire",SUMIFS('Plan cashflow'!$TR$8:$TR$97,'Plan cashflow'!$C$8:$C$97,1),IF($D113="legacy",INDEX(GL_Amount,4)*(1+AS_Infl)^F_N,0))))</f>
        <v/>
      </c>
      <c r="F113" s="1" t="str">
        <f aca="false">IF($Q113="","",IF(OR($D113="spend",$D113="mfree",$D113="pot"),CHOOSE($I113,Slot1_Paid,Slot2_Paid,Slot3_Paid,Slot4_Paid,Slot5_Paid,Slot6_Paid,Slot7_Paid,Slot8_Paid,Slot9_Paid,Slot10_Paid,Slot11_Paid,Slot12_Paid,Slot13_Paid,Slot14_Paid,Slot15_Paid,Slot16_Paid,Slot17_Paid,Slot18_Paid,Slot19_Paid,Slot20_Paid),IF($D113="retire",SUMIFS('Plan cashflow'!$TS$8:$TS$97,'Plan cashflow'!$C$8:$C$97,1),IF($D113="legacy",MIN(E113,INDEX('Plan cashflow'!$QJ$8:$QJ$97,F_N+1)+INDEX('Plan cashflow'!$QK$8:$QK$97,F_N+1)),0))))</f>
        <v/>
      </c>
      <c r="G113" s="1" t="str">
        <f aca="false">IF($Q113="","",IF($D113="retire",IF(SUM('Plan cashflow'!$UG$8:$UG$97)&gt;0,MIN(IF(E113&gt;0,IF(F113&gt;=E113-1,100,MIN(PR_PctCap,MAX(0,INT(F113/E113*100)))),100),94),IF(E113&gt;0,IF(F113&gt;=E113-1,100,MIN(PR_PctCap,MAX(0,INT(F113/E113*100)))),100)),IF(E113&gt;0,IF(F113&gt;=E113-1,100,MIN(PR_PctCap,MAX(0,INT(F113/E113*100)))),100)))</f>
        <v/>
      </c>
      <c r="H113" s="1" t="str">
        <f aca="false">IF(G113="","",IF(G113&gt;=PR_Good,"good",IF(G113&gt;=PR_Nudge,"nudge","alert")))</f>
        <v/>
      </c>
      <c r="I113" s="1" t="str">
        <f aca="false">IF(OR($D113="spend",$D113="mfree",$D113="pot"),INDEX(GL_Pos,4),"")</f>
        <v/>
      </c>
      <c r="J113" s="1" t="str">
        <f aca="false">IF(OR($D113="spend",$D113="mfree",$D113="pot"),CHOOSE($I113,Slot1_NeedM,Slot2_NeedM,Slot3_NeedM,Slot4_NeedM,Slot5_NeedM,Slot6_NeedM,Slot7_NeedM,Slot8_NeedM,Slot9_NeedM,Slot10_NeedM,Slot11_NeedM,Slot12_NeedM,Slot13_NeedM,Slot14_NeedM,Slot15_NeedM,Slot16_NeedM,Slot17_NeedM,Slot18_NeedM,Slot19_NeedM,Slot20_NeedM),"")</f>
        <v/>
      </c>
      <c r="K113" s="1" t="str">
        <f aca="false">IF(OR($D113="spend",$D113="mfree",$D113="pot"),CHOOSE($I113,Slot1_AvgM,Slot2_AvgM,Slot3_AvgM,Slot4_AvgM,Slot5_AvgM,Slot6_AvgM,Slot7_AvgM,Slot8_AvgM,Slot9_AvgM,Slot10_AvgM,Slot11_AvgM,Slot12_AvgM,Slot13_AvgM,Slot14_AvgM,Slot15_AvgM,Slot16_AvgM,Slot17_AvgM,Slot18_AvgM,Slot19_AvgM,Slot20_AvgM),"")</f>
        <v/>
      </c>
      <c r="L113" s="94"/>
      <c r="M113" s="1" t="str">
        <f aca="false">IF(NOT(OR($D113="spend",$D113="mfree",$D113="pot")),"",IF(AND($D113="mfree",In_home&lt;&gt;"",In_home&lt;&gt;"Own with mortgage"),"No mortgage in Your finances: remove this goal, or add your mortgage",IF(G113&gt;=100,"Fully funded"&amp;IF(K113&gt;0," · on average you'll put "&amp;"€"&amp;TEXT(ROUND(K113,0),"#,##0")&amp;" a month",""),IF(AB113="","Type the extra the what-if search finds in column L to see this line",IF(IF(AB113="none",TRUE(),K113+AB113&gt;Save_SurplusM),"Needs about "&amp;"€"&amp;TEXT(ROUND(IF(AB113="none",MAX(J113,K113+5),K113+AB113),0),"#,##0")&amp;" a month, more than your spare money · on average you'll put "&amp;"€"&amp;TEXT(ROUND(K113,0),"#,##0")&amp;" a month","Needs about "&amp;"€"&amp;TEXT(ROUND(K113+AB113,0),"#,##0")&amp;" a month · on average you'll put "&amp;"€"&amp;TEXT(ROUND(K113,0),"#,##0")&amp;" a month")))))</f>
        <v/>
      </c>
      <c r="N113" s="1" t="str">
        <f aca="false">IF($Q113="","",INDEX(GL_AgeT,4))</f>
        <v/>
      </c>
      <c r="O113" s="1" t="str">
        <f aca="false">IF(AND($Q113&lt;&gt;"",G113&gt;=PR_Good,Findings_Over=0),G113*1000000-N113*1000-4,"")</f>
        <v/>
      </c>
      <c r="P113" s="1" t="str">
        <f aca="false">IF($Q113="","",G113*1000000+N113*1000+4)</f>
        <v/>
      </c>
      <c r="Q113" s="1" t="str">
        <f aca="false">INDEX(GL_Key,4)</f>
        <v/>
      </c>
      <c r="R113" s="1" t="n">
        <f aca="false">IF(G113="",0,G113)</f>
        <v>0</v>
      </c>
      <c r="S113" s="1" t="str">
        <f aca="false">IF($Q113="","",IFERROR(INDEX(Goal_Specs,MATCH($Q113,Goal_Keys,0)),""))</f>
        <v/>
      </c>
      <c r="T113" s="1" t="n">
        <f aca="false">IF($Q113="",9999,G113)</f>
        <v>9999</v>
      </c>
      <c r="U113" s="1" t="str">
        <f aca="false">IF($Q113="","",IF($D113="legacy","at the end of your plan"&amp;IF(Has_a_planEnd=1," ("&amp;AS_End&amp;")",""),IF(INDEX(GL_AgeT,4)&lt;F_Age,"Date has passed",IF($D113="retire",IF(Has_retireAge=1,"at "&amp;INDEX(GL_AgeT,4),"at an age you haven't chosen yet"),"in "&amp;(INDEX(GL_AgeRaw,4)-F_Age)&amp;IF(INDEX(GL_AgeRaw,4)-F_Age=1," year"," years")))))</f>
        <v/>
      </c>
      <c r="V113" s="1" t="str">
        <f aca="false">IF(AND($Q113="safety",F_EssM&gt;0,INDEX(GL_Amount,4)&gt;0),ROUND(INDEX(GL_Amount,4)/F_EssM*10,0)/10,"")</f>
        <v/>
      </c>
      <c r="W113" s="1" t="str">
        <f aca="false">IF($Q113="","",AS_Year0+INDEX(GL_AgeT,4)-F_Age)</f>
        <v/>
      </c>
      <c r="X113" s="1" t="str">
        <f aca="false">IF($Q113="","",IF(AND($D113&lt;&gt;"legacy",INDEX(GL_AgeT,4)&lt;F_Age),"Date has passed",IF($D113="retire","Age ","age ")&amp;INDEX(GL_AgeT,4)&amp;" · "&amp;W113))</f>
        <v/>
      </c>
      <c r="Y113" s="1" t="str">
        <f aca="false">IF($Q113="","",G113*1000+IF($D113="legacy",AS_End,INDEX(GL_AgeT,4)))</f>
        <v/>
      </c>
      <c r="Z113" s="94"/>
      <c r="AA113" s="1" t="str">
        <f aca="false">IF($Q113="","",IF(IF(Z113&lt;&gt;"",Z113,IF(AND(WI_M=0,WI_L=0),G113,""))="","",IF(IF(Z113&lt;&gt;"",Z113,G113)&lt;&gt;G113,C113&amp;" goes from "&amp;IF(Z113&lt;&gt;"",Z113,G113)&amp;"% to "&amp;G113&amp;"%","")))</f>
        <v/>
      </c>
      <c r="AB113" s="1" t="str">
        <f aca="false">IF(ISBLANK(L113),IF(AND(Fill_Example="Yes",FALSE()),"",""),L113)</f>
        <v/>
      </c>
    </row>
    <row r="114" customFormat="false" ht="15" hidden="false" customHeight="true" outlineLevel="0" collapsed="false">
      <c r="B114" s="1" t="n">
        <v>5</v>
      </c>
      <c r="C114" s="1" t="str">
        <f aca="false">IF($Q114="","",INDEX(GL_Name,5))</f>
        <v/>
      </c>
      <c r="D114" s="1" t="str">
        <f aca="false">INDEX(GL_Kind,5)</f>
        <v/>
      </c>
      <c r="E114" s="1" t="str">
        <f aca="false">IF($Q114="","",IF(OR($D114="spend",$D114="mfree",$D114="pot"),CHOOSE($I114,Slot1_Cost,Slot2_Cost,Slot3_Cost,Slot4_Cost,Slot5_Cost,Slot6_Cost,Slot7_Cost,Slot8_Cost,Slot9_Cost,Slot10_Cost,Slot11_Cost,Slot12_Cost,Slot13_Cost,Slot14_Cost,Slot15_Cost,Slot16_Cost,Slot17_Cost,Slot18_Cost,Slot19_Cost,Slot20_Cost),IF($D114="retire",SUMIFS('Plan cashflow'!$TR$8:$TR$97,'Plan cashflow'!$C$8:$C$97,1),IF($D114="legacy",INDEX(GL_Amount,5)*(1+AS_Infl)^F_N,0))))</f>
        <v/>
      </c>
      <c r="F114" s="1" t="str">
        <f aca="false">IF($Q114="","",IF(OR($D114="spend",$D114="mfree",$D114="pot"),CHOOSE($I114,Slot1_Paid,Slot2_Paid,Slot3_Paid,Slot4_Paid,Slot5_Paid,Slot6_Paid,Slot7_Paid,Slot8_Paid,Slot9_Paid,Slot10_Paid,Slot11_Paid,Slot12_Paid,Slot13_Paid,Slot14_Paid,Slot15_Paid,Slot16_Paid,Slot17_Paid,Slot18_Paid,Slot19_Paid,Slot20_Paid),IF($D114="retire",SUMIFS('Plan cashflow'!$TS$8:$TS$97,'Plan cashflow'!$C$8:$C$97,1),IF($D114="legacy",MIN(E114,INDEX('Plan cashflow'!$QJ$8:$QJ$97,F_N+1)+INDEX('Plan cashflow'!$QK$8:$QK$97,F_N+1)),0))))</f>
        <v/>
      </c>
      <c r="G114" s="1" t="str">
        <f aca="false">IF($Q114="","",IF($D114="retire",IF(SUM('Plan cashflow'!$UG$8:$UG$97)&gt;0,MIN(IF(E114&gt;0,IF(F114&gt;=E114-1,100,MIN(PR_PctCap,MAX(0,INT(F114/E114*100)))),100),94),IF(E114&gt;0,IF(F114&gt;=E114-1,100,MIN(PR_PctCap,MAX(0,INT(F114/E114*100)))),100)),IF(E114&gt;0,IF(F114&gt;=E114-1,100,MIN(PR_PctCap,MAX(0,INT(F114/E114*100)))),100)))</f>
        <v/>
      </c>
      <c r="H114" s="1" t="str">
        <f aca="false">IF(G114="","",IF(G114&gt;=PR_Good,"good",IF(G114&gt;=PR_Nudge,"nudge","alert")))</f>
        <v/>
      </c>
      <c r="I114" s="1" t="str">
        <f aca="false">IF(OR($D114="spend",$D114="mfree",$D114="pot"),INDEX(GL_Pos,5),"")</f>
        <v/>
      </c>
      <c r="J114" s="1" t="str">
        <f aca="false">IF(OR($D114="spend",$D114="mfree",$D114="pot"),CHOOSE($I114,Slot1_NeedM,Slot2_NeedM,Slot3_NeedM,Slot4_NeedM,Slot5_NeedM,Slot6_NeedM,Slot7_NeedM,Slot8_NeedM,Slot9_NeedM,Slot10_NeedM,Slot11_NeedM,Slot12_NeedM,Slot13_NeedM,Slot14_NeedM,Slot15_NeedM,Slot16_NeedM,Slot17_NeedM,Slot18_NeedM,Slot19_NeedM,Slot20_NeedM),"")</f>
        <v/>
      </c>
      <c r="K114" s="1" t="str">
        <f aca="false">IF(OR($D114="spend",$D114="mfree",$D114="pot"),CHOOSE($I114,Slot1_AvgM,Slot2_AvgM,Slot3_AvgM,Slot4_AvgM,Slot5_AvgM,Slot6_AvgM,Slot7_AvgM,Slot8_AvgM,Slot9_AvgM,Slot10_AvgM,Slot11_AvgM,Slot12_AvgM,Slot13_AvgM,Slot14_AvgM,Slot15_AvgM,Slot16_AvgM,Slot17_AvgM,Slot18_AvgM,Slot19_AvgM,Slot20_AvgM),"")</f>
        <v/>
      </c>
      <c r="L114" s="94"/>
      <c r="M114" s="1" t="str">
        <f aca="false">IF(NOT(OR($D114="spend",$D114="mfree",$D114="pot")),"",IF(AND($D114="mfree",In_home&lt;&gt;"",In_home&lt;&gt;"Own with mortgage"),"No mortgage in Your finances: remove this goal, or add your mortgage",IF(G114&gt;=100,"Fully funded"&amp;IF(K114&gt;0," · on average you'll put "&amp;"€"&amp;TEXT(ROUND(K114,0),"#,##0")&amp;" a month",""),IF(AB114="","Type the extra the what-if search finds in column L to see this line",IF(IF(AB114="none",TRUE(),K114+AB114&gt;Save_SurplusM),"Needs about "&amp;"€"&amp;TEXT(ROUND(IF(AB114="none",MAX(J114,K114+5),K114+AB114),0),"#,##0")&amp;" a month, more than your spare money · on average you'll put "&amp;"€"&amp;TEXT(ROUND(K114,0),"#,##0")&amp;" a month","Needs about "&amp;"€"&amp;TEXT(ROUND(K114+AB114,0),"#,##0")&amp;" a month · on average you'll put "&amp;"€"&amp;TEXT(ROUND(K114,0),"#,##0")&amp;" a month")))))</f>
        <v/>
      </c>
      <c r="N114" s="1" t="str">
        <f aca="false">IF($Q114="","",INDEX(GL_AgeT,5))</f>
        <v/>
      </c>
      <c r="O114" s="1" t="str">
        <f aca="false">IF(AND($Q114&lt;&gt;"",G114&gt;=PR_Good,Findings_Over=0),G114*1000000-N114*1000-5,"")</f>
        <v/>
      </c>
      <c r="P114" s="1" t="str">
        <f aca="false">IF($Q114="","",G114*1000000+N114*1000+5)</f>
        <v/>
      </c>
      <c r="Q114" s="1" t="str">
        <f aca="false">INDEX(GL_Key,5)</f>
        <v/>
      </c>
      <c r="R114" s="1" t="n">
        <f aca="false">IF(G114="",0,G114)</f>
        <v>0</v>
      </c>
      <c r="S114" s="1" t="str">
        <f aca="false">IF($Q114="","",IFERROR(INDEX(Goal_Specs,MATCH($Q114,Goal_Keys,0)),""))</f>
        <v/>
      </c>
      <c r="T114" s="1" t="n">
        <f aca="false">IF($Q114="",9999,G114)</f>
        <v>9999</v>
      </c>
      <c r="U114" s="1" t="str">
        <f aca="false">IF($Q114="","",IF($D114="legacy","at the end of your plan"&amp;IF(Has_a_planEnd=1," ("&amp;AS_End&amp;")",""),IF(INDEX(GL_AgeT,5)&lt;F_Age,"Date has passed",IF($D114="retire",IF(Has_retireAge=1,"at "&amp;INDEX(GL_AgeT,5),"at an age you haven't chosen yet"),"in "&amp;(INDEX(GL_AgeRaw,5)-F_Age)&amp;IF(INDEX(GL_AgeRaw,5)-F_Age=1," year"," years")))))</f>
        <v/>
      </c>
      <c r="V114" s="1" t="str">
        <f aca="false">IF(AND($Q114="safety",F_EssM&gt;0,INDEX(GL_Amount,5)&gt;0),ROUND(INDEX(GL_Amount,5)/F_EssM*10,0)/10,"")</f>
        <v/>
      </c>
      <c r="W114" s="1" t="str">
        <f aca="false">IF($Q114="","",AS_Year0+INDEX(GL_AgeT,5)-F_Age)</f>
        <v/>
      </c>
      <c r="X114" s="1" t="str">
        <f aca="false">IF($Q114="","",IF(AND($D114&lt;&gt;"legacy",INDEX(GL_AgeT,5)&lt;F_Age),"Date has passed",IF($D114="retire","Age ","age ")&amp;INDEX(GL_AgeT,5)&amp;" · "&amp;W114))</f>
        <v/>
      </c>
      <c r="Y114" s="1" t="str">
        <f aca="false">IF($Q114="","",G114*1000+IF($D114="legacy",AS_End,INDEX(GL_AgeT,5)))</f>
        <v/>
      </c>
      <c r="Z114" s="94"/>
      <c r="AA114" s="1" t="str">
        <f aca="false">IF($Q114="","",IF(IF(Z114&lt;&gt;"",Z114,IF(AND(WI_M=0,WI_L=0),G114,""))="","",IF(IF(Z114&lt;&gt;"",Z114,G114)&lt;&gt;G114,C114&amp;" goes from "&amp;IF(Z114&lt;&gt;"",Z114,G114)&amp;"% to "&amp;G114&amp;"%","")))</f>
        <v/>
      </c>
      <c r="AB114" s="1" t="str">
        <f aca="false">IF(ISBLANK(L114),IF(AND(Fill_Example="Yes",FALSE()),"",""),L114)</f>
        <v/>
      </c>
    </row>
    <row r="115" customFormat="false" ht="15" hidden="false" customHeight="true" outlineLevel="0" collapsed="false">
      <c r="B115" s="1" t="n">
        <v>6</v>
      </c>
      <c r="C115" s="1" t="str">
        <f aca="false">IF($Q115="","",INDEX(GL_Name,6))</f>
        <v/>
      </c>
      <c r="D115" s="1" t="str">
        <f aca="false">INDEX(GL_Kind,6)</f>
        <v/>
      </c>
      <c r="E115" s="1" t="str">
        <f aca="false">IF($Q115="","",IF(OR($D115="spend",$D115="mfree",$D115="pot"),CHOOSE($I115,Slot1_Cost,Slot2_Cost,Slot3_Cost,Slot4_Cost,Slot5_Cost,Slot6_Cost,Slot7_Cost,Slot8_Cost,Slot9_Cost,Slot10_Cost,Slot11_Cost,Slot12_Cost,Slot13_Cost,Slot14_Cost,Slot15_Cost,Slot16_Cost,Slot17_Cost,Slot18_Cost,Slot19_Cost,Slot20_Cost),IF($D115="retire",SUMIFS('Plan cashflow'!$TR$8:$TR$97,'Plan cashflow'!$C$8:$C$97,1),IF($D115="legacy",INDEX(GL_Amount,6)*(1+AS_Infl)^F_N,0))))</f>
        <v/>
      </c>
      <c r="F115" s="1" t="str">
        <f aca="false">IF($Q115="","",IF(OR($D115="spend",$D115="mfree",$D115="pot"),CHOOSE($I115,Slot1_Paid,Slot2_Paid,Slot3_Paid,Slot4_Paid,Slot5_Paid,Slot6_Paid,Slot7_Paid,Slot8_Paid,Slot9_Paid,Slot10_Paid,Slot11_Paid,Slot12_Paid,Slot13_Paid,Slot14_Paid,Slot15_Paid,Slot16_Paid,Slot17_Paid,Slot18_Paid,Slot19_Paid,Slot20_Paid),IF($D115="retire",SUMIFS('Plan cashflow'!$TS$8:$TS$97,'Plan cashflow'!$C$8:$C$97,1),IF($D115="legacy",MIN(E115,INDEX('Plan cashflow'!$QJ$8:$QJ$97,F_N+1)+INDEX('Plan cashflow'!$QK$8:$QK$97,F_N+1)),0))))</f>
        <v/>
      </c>
      <c r="G115" s="1" t="str">
        <f aca="false">IF($Q115="","",IF($D115="retire",IF(SUM('Plan cashflow'!$UG$8:$UG$97)&gt;0,MIN(IF(E115&gt;0,IF(F115&gt;=E115-1,100,MIN(PR_PctCap,MAX(0,INT(F115/E115*100)))),100),94),IF(E115&gt;0,IF(F115&gt;=E115-1,100,MIN(PR_PctCap,MAX(0,INT(F115/E115*100)))),100)),IF(E115&gt;0,IF(F115&gt;=E115-1,100,MIN(PR_PctCap,MAX(0,INT(F115/E115*100)))),100)))</f>
        <v/>
      </c>
      <c r="H115" s="1" t="str">
        <f aca="false">IF(G115="","",IF(G115&gt;=PR_Good,"good",IF(G115&gt;=PR_Nudge,"nudge","alert")))</f>
        <v/>
      </c>
      <c r="I115" s="1" t="str">
        <f aca="false">IF(OR($D115="spend",$D115="mfree",$D115="pot"),INDEX(GL_Pos,6),"")</f>
        <v/>
      </c>
      <c r="J115" s="1" t="str">
        <f aca="false">IF(OR($D115="spend",$D115="mfree",$D115="pot"),CHOOSE($I115,Slot1_NeedM,Slot2_NeedM,Slot3_NeedM,Slot4_NeedM,Slot5_NeedM,Slot6_NeedM,Slot7_NeedM,Slot8_NeedM,Slot9_NeedM,Slot10_NeedM,Slot11_NeedM,Slot12_NeedM,Slot13_NeedM,Slot14_NeedM,Slot15_NeedM,Slot16_NeedM,Slot17_NeedM,Slot18_NeedM,Slot19_NeedM,Slot20_NeedM),"")</f>
        <v/>
      </c>
      <c r="K115" s="1" t="str">
        <f aca="false">IF(OR($D115="spend",$D115="mfree",$D115="pot"),CHOOSE($I115,Slot1_AvgM,Slot2_AvgM,Slot3_AvgM,Slot4_AvgM,Slot5_AvgM,Slot6_AvgM,Slot7_AvgM,Slot8_AvgM,Slot9_AvgM,Slot10_AvgM,Slot11_AvgM,Slot12_AvgM,Slot13_AvgM,Slot14_AvgM,Slot15_AvgM,Slot16_AvgM,Slot17_AvgM,Slot18_AvgM,Slot19_AvgM,Slot20_AvgM),"")</f>
        <v/>
      </c>
      <c r="L115" s="94"/>
      <c r="M115" s="1" t="str">
        <f aca="false">IF(NOT(OR($D115="spend",$D115="mfree",$D115="pot")),"",IF(AND($D115="mfree",In_home&lt;&gt;"",In_home&lt;&gt;"Own with mortgage"),"No mortgage in Your finances: remove this goal, or add your mortgage",IF(G115&gt;=100,"Fully funded"&amp;IF(K115&gt;0," · on average you'll put "&amp;"€"&amp;TEXT(ROUND(K115,0),"#,##0")&amp;" a month",""),IF(AB115="","Type the extra the what-if search finds in column L to see this line",IF(IF(AB115="none",TRUE(),K115+AB115&gt;Save_SurplusM),"Needs about "&amp;"€"&amp;TEXT(ROUND(IF(AB115="none",MAX(J115,K115+5),K115+AB115),0),"#,##0")&amp;" a month, more than your spare money · on average you'll put "&amp;"€"&amp;TEXT(ROUND(K115,0),"#,##0")&amp;" a month","Needs about "&amp;"€"&amp;TEXT(ROUND(K115+AB115,0),"#,##0")&amp;" a month · on average you'll put "&amp;"€"&amp;TEXT(ROUND(K115,0),"#,##0")&amp;" a month")))))</f>
        <v/>
      </c>
      <c r="N115" s="1" t="str">
        <f aca="false">IF($Q115="","",INDEX(GL_AgeT,6))</f>
        <v/>
      </c>
      <c r="O115" s="1" t="str">
        <f aca="false">IF(AND($Q115&lt;&gt;"",G115&gt;=PR_Good,Findings_Over=0),G115*1000000-N115*1000-6,"")</f>
        <v/>
      </c>
      <c r="P115" s="1" t="str">
        <f aca="false">IF($Q115="","",G115*1000000+N115*1000+6)</f>
        <v/>
      </c>
      <c r="Q115" s="1" t="str">
        <f aca="false">INDEX(GL_Key,6)</f>
        <v/>
      </c>
      <c r="R115" s="1" t="n">
        <f aca="false">IF(G115="",0,G115)</f>
        <v>0</v>
      </c>
      <c r="S115" s="1" t="str">
        <f aca="false">IF($Q115="","",IFERROR(INDEX(Goal_Specs,MATCH($Q115,Goal_Keys,0)),""))</f>
        <v/>
      </c>
      <c r="T115" s="1" t="n">
        <f aca="false">IF($Q115="",9999,G115)</f>
        <v>9999</v>
      </c>
      <c r="U115" s="1" t="str">
        <f aca="false">IF($Q115="","",IF($D115="legacy","at the end of your plan"&amp;IF(Has_a_planEnd=1," ("&amp;AS_End&amp;")",""),IF(INDEX(GL_AgeT,6)&lt;F_Age,"Date has passed",IF($D115="retire",IF(Has_retireAge=1,"at "&amp;INDEX(GL_AgeT,6),"at an age you haven't chosen yet"),"in "&amp;(INDEX(GL_AgeRaw,6)-F_Age)&amp;IF(INDEX(GL_AgeRaw,6)-F_Age=1," year"," years")))))</f>
        <v/>
      </c>
      <c r="V115" s="1" t="str">
        <f aca="false">IF(AND($Q115="safety",F_EssM&gt;0,INDEX(GL_Amount,6)&gt;0),ROUND(INDEX(GL_Amount,6)/F_EssM*10,0)/10,"")</f>
        <v/>
      </c>
      <c r="W115" s="1" t="str">
        <f aca="false">IF($Q115="","",AS_Year0+INDEX(GL_AgeT,6)-F_Age)</f>
        <v/>
      </c>
      <c r="X115" s="1" t="str">
        <f aca="false">IF($Q115="","",IF(AND($D115&lt;&gt;"legacy",INDEX(GL_AgeT,6)&lt;F_Age),"Date has passed",IF($D115="retire","Age ","age ")&amp;INDEX(GL_AgeT,6)&amp;" · "&amp;W115))</f>
        <v/>
      </c>
      <c r="Y115" s="1" t="str">
        <f aca="false">IF($Q115="","",G115*1000+IF($D115="legacy",AS_End,INDEX(GL_AgeT,6)))</f>
        <v/>
      </c>
      <c r="Z115" s="94"/>
      <c r="AA115" s="1" t="str">
        <f aca="false">IF($Q115="","",IF(IF(Z115&lt;&gt;"",Z115,IF(AND(WI_M=0,WI_L=0),G115,""))="","",IF(IF(Z115&lt;&gt;"",Z115,G115)&lt;&gt;G115,C115&amp;" goes from "&amp;IF(Z115&lt;&gt;"",Z115,G115)&amp;"% to "&amp;G115&amp;"%","")))</f>
        <v/>
      </c>
      <c r="AB115" s="1" t="str">
        <f aca="false">IF(ISBLANK(L115),IF(AND(Fill_Example="Yes",FALSE()),"",""),L115)</f>
        <v/>
      </c>
    </row>
    <row r="116" customFormat="false" ht="15" hidden="false" customHeight="true" outlineLevel="0" collapsed="false">
      <c r="B116" s="1" t="n">
        <v>7</v>
      </c>
      <c r="C116" s="1" t="str">
        <f aca="false">IF($Q116="","",INDEX(GL_Name,7))</f>
        <v/>
      </c>
      <c r="D116" s="1" t="str">
        <f aca="false">INDEX(GL_Kind,7)</f>
        <v/>
      </c>
      <c r="E116" s="1" t="str">
        <f aca="false">IF($Q116="","",IF(OR($D116="spend",$D116="mfree",$D116="pot"),CHOOSE($I116,Slot1_Cost,Slot2_Cost,Slot3_Cost,Slot4_Cost,Slot5_Cost,Slot6_Cost,Slot7_Cost,Slot8_Cost,Slot9_Cost,Slot10_Cost,Slot11_Cost,Slot12_Cost,Slot13_Cost,Slot14_Cost,Slot15_Cost,Slot16_Cost,Slot17_Cost,Slot18_Cost,Slot19_Cost,Slot20_Cost),IF($D116="retire",SUMIFS('Plan cashflow'!$TR$8:$TR$97,'Plan cashflow'!$C$8:$C$97,1),IF($D116="legacy",INDEX(GL_Amount,7)*(1+AS_Infl)^F_N,0))))</f>
        <v/>
      </c>
      <c r="F116" s="1" t="str">
        <f aca="false">IF($Q116="","",IF(OR($D116="spend",$D116="mfree",$D116="pot"),CHOOSE($I116,Slot1_Paid,Slot2_Paid,Slot3_Paid,Slot4_Paid,Slot5_Paid,Slot6_Paid,Slot7_Paid,Slot8_Paid,Slot9_Paid,Slot10_Paid,Slot11_Paid,Slot12_Paid,Slot13_Paid,Slot14_Paid,Slot15_Paid,Slot16_Paid,Slot17_Paid,Slot18_Paid,Slot19_Paid,Slot20_Paid),IF($D116="retire",SUMIFS('Plan cashflow'!$TS$8:$TS$97,'Plan cashflow'!$C$8:$C$97,1),IF($D116="legacy",MIN(E116,INDEX('Plan cashflow'!$QJ$8:$QJ$97,F_N+1)+INDEX('Plan cashflow'!$QK$8:$QK$97,F_N+1)),0))))</f>
        <v/>
      </c>
      <c r="G116" s="1" t="str">
        <f aca="false">IF($Q116="","",IF($D116="retire",IF(SUM('Plan cashflow'!$UG$8:$UG$97)&gt;0,MIN(IF(E116&gt;0,IF(F116&gt;=E116-1,100,MIN(PR_PctCap,MAX(0,INT(F116/E116*100)))),100),94),IF(E116&gt;0,IF(F116&gt;=E116-1,100,MIN(PR_PctCap,MAX(0,INT(F116/E116*100)))),100)),IF(E116&gt;0,IF(F116&gt;=E116-1,100,MIN(PR_PctCap,MAX(0,INT(F116/E116*100)))),100)))</f>
        <v/>
      </c>
      <c r="H116" s="1" t="str">
        <f aca="false">IF(G116="","",IF(G116&gt;=PR_Good,"good",IF(G116&gt;=PR_Nudge,"nudge","alert")))</f>
        <v/>
      </c>
      <c r="I116" s="1" t="str">
        <f aca="false">IF(OR($D116="spend",$D116="mfree",$D116="pot"),INDEX(GL_Pos,7),"")</f>
        <v/>
      </c>
      <c r="J116" s="1" t="str">
        <f aca="false">IF(OR($D116="spend",$D116="mfree",$D116="pot"),CHOOSE($I116,Slot1_NeedM,Slot2_NeedM,Slot3_NeedM,Slot4_NeedM,Slot5_NeedM,Slot6_NeedM,Slot7_NeedM,Slot8_NeedM,Slot9_NeedM,Slot10_NeedM,Slot11_NeedM,Slot12_NeedM,Slot13_NeedM,Slot14_NeedM,Slot15_NeedM,Slot16_NeedM,Slot17_NeedM,Slot18_NeedM,Slot19_NeedM,Slot20_NeedM),"")</f>
        <v/>
      </c>
      <c r="K116" s="1" t="str">
        <f aca="false">IF(OR($D116="spend",$D116="mfree",$D116="pot"),CHOOSE($I116,Slot1_AvgM,Slot2_AvgM,Slot3_AvgM,Slot4_AvgM,Slot5_AvgM,Slot6_AvgM,Slot7_AvgM,Slot8_AvgM,Slot9_AvgM,Slot10_AvgM,Slot11_AvgM,Slot12_AvgM,Slot13_AvgM,Slot14_AvgM,Slot15_AvgM,Slot16_AvgM,Slot17_AvgM,Slot18_AvgM,Slot19_AvgM,Slot20_AvgM),"")</f>
        <v/>
      </c>
      <c r="L116" s="94"/>
      <c r="M116" s="1" t="str">
        <f aca="false">IF(NOT(OR($D116="spend",$D116="mfree",$D116="pot")),"",IF(AND($D116="mfree",In_home&lt;&gt;"",In_home&lt;&gt;"Own with mortgage"),"No mortgage in Your finances: remove this goal, or add your mortgage",IF(G116&gt;=100,"Fully funded"&amp;IF(K116&gt;0," · on average you'll put "&amp;"€"&amp;TEXT(ROUND(K116,0),"#,##0")&amp;" a month",""),IF(AB116="","Type the extra the what-if search finds in column L to see this line",IF(IF(AB116="none",TRUE(),K116+AB116&gt;Save_SurplusM),"Needs about "&amp;"€"&amp;TEXT(ROUND(IF(AB116="none",MAX(J116,K116+5),K116+AB116),0),"#,##0")&amp;" a month, more than your spare money · on average you'll put "&amp;"€"&amp;TEXT(ROUND(K116,0),"#,##0")&amp;" a month","Needs about "&amp;"€"&amp;TEXT(ROUND(K116+AB116,0),"#,##0")&amp;" a month · on average you'll put "&amp;"€"&amp;TEXT(ROUND(K116,0),"#,##0")&amp;" a month")))))</f>
        <v/>
      </c>
      <c r="N116" s="1" t="str">
        <f aca="false">IF($Q116="","",INDEX(GL_AgeT,7))</f>
        <v/>
      </c>
      <c r="O116" s="1" t="str">
        <f aca="false">IF(AND($Q116&lt;&gt;"",G116&gt;=PR_Good,Findings_Over=0),G116*1000000-N116*1000-7,"")</f>
        <v/>
      </c>
      <c r="P116" s="1" t="str">
        <f aca="false">IF($Q116="","",G116*1000000+N116*1000+7)</f>
        <v/>
      </c>
      <c r="Q116" s="1" t="str">
        <f aca="false">INDEX(GL_Key,7)</f>
        <v/>
      </c>
      <c r="R116" s="1" t="n">
        <f aca="false">IF(G116="",0,G116)</f>
        <v>0</v>
      </c>
      <c r="S116" s="1" t="str">
        <f aca="false">IF($Q116="","",IFERROR(INDEX(Goal_Specs,MATCH($Q116,Goal_Keys,0)),""))</f>
        <v/>
      </c>
      <c r="T116" s="1" t="n">
        <f aca="false">IF($Q116="",9999,G116)</f>
        <v>9999</v>
      </c>
      <c r="U116" s="1" t="str">
        <f aca="false">IF($Q116="","",IF($D116="legacy","at the end of your plan"&amp;IF(Has_a_planEnd=1," ("&amp;AS_End&amp;")",""),IF(INDEX(GL_AgeT,7)&lt;F_Age,"Date has passed",IF($D116="retire",IF(Has_retireAge=1,"at "&amp;INDEX(GL_AgeT,7),"at an age you haven't chosen yet"),"in "&amp;(INDEX(GL_AgeRaw,7)-F_Age)&amp;IF(INDEX(GL_AgeRaw,7)-F_Age=1," year"," years")))))</f>
        <v/>
      </c>
      <c r="V116" s="1" t="str">
        <f aca="false">IF(AND($Q116="safety",F_EssM&gt;0,INDEX(GL_Amount,7)&gt;0),ROUND(INDEX(GL_Amount,7)/F_EssM*10,0)/10,"")</f>
        <v/>
      </c>
      <c r="W116" s="1" t="str">
        <f aca="false">IF($Q116="","",AS_Year0+INDEX(GL_AgeT,7)-F_Age)</f>
        <v/>
      </c>
      <c r="X116" s="1" t="str">
        <f aca="false">IF($Q116="","",IF(AND($D116&lt;&gt;"legacy",INDEX(GL_AgeT,7)&lt;F_Age),"Date has passed",IF($D116="retire","Age ","age ")&amp;INDEX(GL_AgeT,7)&amp;" · "&amp;W116))</f>
        <v/>
      </c>
      <c r="Y116" s="1" t="str">
        <f aca="false">IF($Q116="","",G116*1000+IF($D116="legacy",AS_End,INDEX(GL_AgeT,7)))</f>
        <v/>
      </c>
      <c r="Z116" s="94"/>
      <c r="AA116" s="1" t="str">
        <f aca="false">IF($Q116="","",IF(IF(Z116&lt;&gt;"",Z116,IF(AND(WI_M=0,WI_L=0),G116,""))="","",IF(IF(Z116&lt;&gt;"",Z116,G116)&lt;&gt;G116,C116&amp;" goes from "&amp;IF(Z116&lt;&gt;"",Z116,G116)&amp;"% to "&amp;G116&amp;"%","")))</f>
        <v/>
      </c>
      <c r="AB116" s="1" t="str">
        <f aca="false">IF(ISBLANK(L116),IF(AND(Fill_Example="Yes",FALSE()),"",""),L116)</f>
        <v/>
      </c>
    </row>
    <row r="117" customFormat="false" ht="15" hidden="false" customHeight="true" outlineLevel="0" collapsed="false">
      <c r="B117" s="1" t="n">
        <v>8</v>
      </c>
      <c r="C117" s="1" t="str">
        <f aca="false">IF($Q117="","",INDEX(GL_Name,8))</f>
        <v/>
      </c>
      <c r="D117" s="1" t="str">
        <f aca="false">INDEX(GL_Kind,8)</f>
        <v/>
      </c>
      <c r="E117" s="1" t="str">
        <f aca="false">IF($Q117="","",IF(OR($D117="spend",$D117="mfree",$D117="pot"),CHOOSE($I117,Slot1_Cost,Slot2_Cost,Slot3_Cost,Slot4_Cost,Slot5_Cost,Slot6_Cost,Slot7_Cost,Slot8_Cost,Slot9_Cost,Slot10_Cost,Slot11_Cost,Slot12_Cost,Slot13_Cost,Slot14_Cost,Slot15_Cost,Slot16_Cost,Slot17_Cost,Slot18_Cost,Slot19_Cost,Slot20_Cost),IF($D117="retire",SUMIFS('Plan cashflow'!$TR$8:$TR$97,'Plan cashflow'!$C$8:$C$97,1),IF($D117="legacy",INDEX(GL_Amount,8)*(1+AS_Infl)^F_N,0))))</f>
        <v/>
      </c>
      <c r="F117" s="1" t="str">
        <f aca="false">IF($Q117="","",IF(OR($D117="spend",$D117="mfree",$D117="pot"),CHOOSE($I117,Slot1_Paid,Slot2_Paid,Slot3_Paid,Slot4_Paid,Slot5_Paid,Slot6_Paid,Slot7_Paid,Slot8_Paid,Slot9_Paid,Slot10_Paid,Slot11_Paid,Slot12_Paid,Slot13_Paid,Slot14_Paid,Slot15_Paid,Slot16_Paid,Slot17_Paid,Slot18_Paid,Slot19_Paid,Slot20_Paid),IF($D117="retire",SUMIFS('Plan cashflow'!$TS$8:$TS$97,'Plan cashflow'!$C$8:$C$97,1),IF($D117="legacy",MIN(E117,INDEX('Plan cashflow'!$QJ$8:$QJ$97,F_N+1)+INDEX('Plan cashflow'!$QK$8:$QK$97,F_N+1)),0))))</f>
        <v/>
      </c>
      <c r="G117" s="1" t="str">
        <f aca="false">IF($Q117="","",IF($D117="retire",IF(SUM('Plan cashflow'!$UG$8:$UG$97)&gt;0,MIN(IF(E117&gt;0,IF(F117&gt;=E117-1,100,MIN(PR_PctCap,MAX(0,INT(F117/E117*100)))),100),94),IF(E117&gt;0,IF(F117&gt;=E117-1,100,MIN(PR_PctCap,MAX(0,INT(F117/E117*100)))),100)),IF(E117&gt;0,IF(F117&gt;=E117-1,100,MIN(PR_PctCap,MAX(0,INT(F117/E117*100)))),100)))</f>
        <v/>
      </c>
      <c r="H117" s="1" t="str">
        <f aca="false">IF(G117="","",IF(G117&gt;=PR_Good,"good",IF(G117&gt;=PR_Nudge,"nudge","alert")))</f>
        <v/>
      </c>
      <c r="I117" s="1" t="str">
        <f aca="false">IF(OR($D117="spend",$D117="mfree",$D117="pot"),INDEX(GL_Pos,8),"")</f>
        <v/>
      </c>
      <c r="J117" s="1" t="str">
        <f aca="false">IF(OR($D117="spend",$D117="mfree",$D117="pot"),CHOOSE($I117,Slot1_NeedM,Slot2_NeedM,Slot3_NeedM,Slot4_NeedM,Slot5_NeedM,Slot6_NeedM,Slot7_NeedM,Slot8_NeedM,Slot9_NeedM,Slot10_NeedM,Slot11_NeedM,Slot12_NeedM,Slot13_NeedM,Slot14_NeedM,Slot15_NeedM,Slot16_NeedM,Slot17_NeedM,Slot18_NeedM,Slot19_NeedM,Slot20_NeedM),"")</f>
        <v/>
      </c>
      <c r="K117" s="1" t="str">
        <f aca="false">IF(OR($D117="spend",$D117="mfree",$D117="pot"),CHOOSE($I117,Slot1_AvgM,Slot2_AvgM,Slot3_AvgM,Slot4_AvgM,Slot5_AvgM,Slot6_AvgM,Slot7_AvgM,Slot8_AvgM,Slot9_AvgM,Slot10_AvgM,Slot11_AvgM,Slot12_AvgM,Slot13_AvgM,Slot14_AvgM,Slot15_AvgM,Slot16_AvgM,Slot17_AvgM,Slot18_AvgM,Slot19_AvgM,Slot20_AvgM),"")</f>
        <v/>
      </c>
      <c r="L117" s="94"/>
      <c r="M117" s="1" t="str">
        <f aca="false">IF(NOT(OR($D117="spend",$D117="mfree",$D117="pot")),"",IF(AND($D117="mfree",In_home&lt;&gt;"",In_home&lt;&gt;"Own with mortgage"),"No mortgage in Your finances: remove this goal, or add your mortgage",IF(G117&gt;=100,"Fully funded"&amp;IF(K117&gt;0," · on average you'll put "&amp;"€"&amp;TEXT(ROUND(K117,0),"#,##0")&amp;" a month",""),IF(AB117="","Type the extra the what-if search finds in column L to see this line",IF(IF(AB117="none",TRUE(),K117+AB117&gt;Save_SurplusM),"Needs about "&amp;"€"&amp;TEXT(ROUND(IF(AB117="none",MAX(J117,K117+5),K117+AB117),0),"#,##0")&amp;" a month, more than your spare money · on average you'll put "&amp;"€"&amp;TEXT(ROUND(K117,0),"#,##0")&amp;" a month","Needs about "&amp;"€"&amp;TEXT(ROUND(K117+AB117,0),"#,##0")&amp;" a month · on average you'll put "&amp;"€"&amp;TEXT(ROUND(K117,0),"#,##0")&amp;" a month")))))</f>
        <v/>
      </c>
      <c r="N117" s="1" t="str">
        <f aca="false">IF($Q117="","",INDEX(GL_AgeT,8))</f>
        <v/>
      </c>
      <c r="O117" s="1" t="str">
        <f aca="false">IF(AND($Q117&lt;&gt;"",G117&gt;=PR_Good,Findings_Over=0),G117*1000000-N117*1000-8,"")</f>
        <v/>
      </c>
      <c r="P117" s="1" t="str">
        <f aca="false">IF($Q117="","",G117*1000000+N117*1000+8)</f>
        <v/>
      </c>
      <c r="Q117" s="1" t="str">
        <f aca="false">INDEX(GL_Key,8)</f>
        <v/>
      </c>
      <c r="R117" s="1" t="n">
        <f aca="false">IF(G117="",0,G117)</f>
        <v>0</v>
      </c>
      <c r="S117" s="1" t="str">
        <f aca="false">IF($Q117="","",IFERROR(INDEX(Goal_Specs,MATCH($Q117,Goal_Keys,0)),""))</f>
        <v/>
      </c>
      <c r="T117" s="1" t="n">
        <f aca="false">IF($Q117="",9999,G117)</f>
        <v>9999</v>
      </c>
      <c r="U117" s="1" t="str">
        <f aca="false">IF($Q117="","",IF($D117="legacy","at the end of your plan"&amp;IF(Has_a_planEnd=1," ("&amp;AS_End&amp;")",""),IF(INDEX(GL_AgeT,8)&lt;F_Age,"Date has passed",IF($D117="retire",IF(Has_retireAge=1,"at "&amp;INDEX(GL_AgeT,8),"at an age you haven't chosen yet"),"in "&amp;(INDEX(GL_AgeRaw,8)-F_Age)&amp;IF(INDEX(GL_AgeRaw,8)-F_Age=1," year"," years")))))</f>
        <v/>
      </c>
      <c r="V117" s="1" t="str">
        <f aca="false">IF(AND($Q117="safety",F_EssM&gt;0,INDEX(GL_Amount,8)&gt;0),ROUND(INDEX(GL_Amount,8)/F_EssM*10,0)/10,"")</f>
        <v/>
      </c>
      <c r="W117" s="1" t="str">
        <f aca="false">IF($Q117="","",AS_Year0+INDEX(GL_AgeT,8)-F_Age)</f>
        <v/>
      </c>
      <c r="X117" s="1" t="str">
        <f aca="false">IF($Q117="","",IF(AND($D117&lt;&gt;"legacy",INDEX(GL_AgeT,8)&lt;F_Age),"Date has passed",IF($D117="retire","Age ","age ")&amp;INDEX(GL_AgeT,8)&amp;" · "&amp;W117))</f>
        <v/>
      </c>
      <c r="Y117" s="1" t="str">
        <f aca="false">IF($Q117="","",G117*1000+IF($D117="legacy",AS_End,INDEX(GL_AgeT,8)))</f>
        <v/>
      </c>
      <c r="Z117" s="94"/>
      <c r="AA117" s="1" t="str">
        <f aca="false">IF($Q117="","",IF(IF(Z117&lt;&gt;"",Z117,IF(AND(WI_M=0,WI_L=0),G117,""))="","",IF(IF(Z117&lt;&gt;"",Z117,G117)&lt;&gt;G117,C117&amp;" goes from "&amp;IF(Z117&lt;&gt;"",Z117,G117)&amp;"% to "&amp;G117&amp;"%","")))</f>
        <v/>
      </c>
      <c r="AB117" s="1" t="str">
        <f aca="false">IF(ISBLANK(L117),IF(AND(Fill_Example="Yes",FALSE()),"",""),L117)</f>
        <v/>
      </c>
    </row>
    <row r="118" customFormat="false" ht="15" hidden="false" customHeight="true" outlineLevel="0" collapsed="false">
      <c r="B118" s="1" t="n">
        <v>9</v>
      </c>
      <c r="C118" s="1" t="str">
        <f aca="false">IF($Q118="","",INDEX(GL_Name,9))</f>
        <v/>
      </c>
      <c r="D118" s="1" t="str">
        <f aca="false">INDEX(GL_Kind,9)</f>
        <v/>
      </c>
      <c r="E118" s="1" t="str">
        <f aca="false">IF($Q118="","",IF(OR($D118="spend",$D118="mfree",$D118="pot"),CHOOSE($I118,Slot1_Cost,Slot2_Cost,Slot3_Cost,Slot4_Cost,Slot5_Cost,Slot6_Cost,Slot7_Cost,Slot8_Cost,Slot9_Cost,Slot10_Cost,Slot11_Cost,Slot12_Cost,Slot13_Cost,Slot14_Cost,Slot15_Cost,Slot16_Cost,Slot17_Cost,Slot18_Cost,Slot19_Cost,Slot20_Cost),IF($D118="retire",SUMIFS('Plan cashflow'!$TR$8:$TR$97,'Plan cashflow'!$C$8:$C$97,1),IF($D118="legacy",INDEX(GL_Amount,9)*(1+AS_Infl)^F_N,0))))</f>
        <v/>
      </c>
      <c r="F118" s="1" t="str">
        <f aca="false">IF($Q118="","",IF(OR($D118="spend",$D118="mfree",$D118="pot"),CHOOSE($I118,Slot1_Paid,Slot2_Paid,Slot3_Paid,Slot4_Paid,Slot5_Paid,Slot6_Paid,Slot7_Paid,Slot8_Paid,Slot9_Paid,Slot10_Paid,Slot11_Paid,Slot12_Paid,Slot13_Paid,Slot14_Paid,Slot15_Paid,Slot16_Paid,Slot17_Paid,Slot18_Paid,Slot19_Paid,Slot20_Paid),IF($D118="retire",SUMIFS('Plan cashflow'!$TS$8:$TS$97,'Plan cashflow'!$C$8:$C$97,1),IF($D118="legacy",MIN(E118,INDEX('Plan cashflow'!$QJ$8:$QJ$97,F_N+1)+INDEX('Plan cashflow'!$QK$8:$QK$97,F_N+1)),0))))</f>
        <v/>
      </c>
      <c r="G118" s="1" t="str">
        <f aca="false">IF($Q118="","",IF($D118="retire",IF(SUM('Plan cashflow'!$UG$8:$UG$97)&gt;0,MIN(IF(E118&gt;0,IF(F118&gt;=E118-1,100,MIN(PR_PctCap,MAX(0,INT(F118/E118*100)))),100),94),IF(E118&gt;0,IF(F118&gt;=E118-1,100,MIN(PR_PctCap,MAX(0,INT(F118/E118*100)))),100)),IF(E118&gt;0,IF(F118&gt;=E118-1,100,MIN(PR_PctCap,MAX(0,INT(F118/E118*100)))),100)))</f>
        <v/>
      </c>
      <c r="H118" s="1" t="str">
        <f aca="false">IF(G118="","",IF(G118&gt;=PR_Good,"good",IF(G118&gt;=PR_Nudge,"nudge","alert")))</f>
        <v/>
      </c>
      <c r="I118" s="1" t="str">
        <f aca="false">IF(OR($D118="spend",$D118="mfree",$D118="pot"),INDEX(GL_Pos,9),"")</f>
        <v/>
      </c>
      <c r="J118" s="1" t="str">
        <f aca="false">IF(OR($D118="spend",$D118="mfree",$D118="pot"),CHOOSE($I118,Slot1_NeedM,Slot2_NeedM,Slot3_NeedM,Slot4_NeedM,Slot5_NeedM,Slot6_NeedM,Slot7_NeedM,Slot8_NeedM,Slot9_NeedM,Slot10_NeedM,Slot11_NeedM,Slot12_NeedM,Slot13_NeedM,Slot14_NeedM,Slot15_NeedM,Slot16_NeedM,Slot17_NeedM,Slot18_NeedM,Slot19_NeedM,Slot20_NeedM),"")</f>
        <v/>
      </c>
      <c r="K118" s="1" t="str">
        <f aca="false">IF(OR($D118="spend",$D118="mfree",$D118="pot"),CHOOSE($I118,Slot1_AvgM,Slot2_AvgM,Slot3_AvgM,Slot4_AvgM,Slot5_AvgM,Slot6_AvgM,Slot7_AvgM,Slot8_AvgM,Slot9_AvgM,Slot10_AvgM,Slot11_AvgM,Slot12_AvgM,Slot13_AvgM,Slot14_AvgM,Slot15_AvgM,Slot16_AvgM,Slot17_AvgM,Slot18_AvgM,Slot19_AvgM,Slot20_AvgM),"")</f>
        <v/>
      </c>
      <c r="L118" s="94"/>
      <c r="M118" s="1" t="str">
        <f aca="false">IF(NOT(OR($D118="spend",$D118="mfree",$D118="pot")),"",IF(AND($D118="mfree",In_home&lt;&gt;"",In_home&lt;&gt;"Own with mortgage"),"No mortgage in Your finances: remove this goal, or add your mortgage",IF(G118&gt;=100,"Fully funded"&amp;IF(K118&gt;0," · on average you'll put "&amp;"€"&amp;TEXT(ROUND(K118,0),"#,##0")&amp;" a month",""),IF(AB118="","Type the extra the what-if search finds in column L to see this line",IF(IF(AB118="none",TRUE(),K118+AB118&gt;Save_SurplusM),"Needs about "&amp;"€"&amp;TEXT(ROUND(IF(AB118="none",MAX(J118,K118+5),K118+AB118),0),"#,##0")&amp;" a month, more than your spare money · on average you'll put "&amp;"€"&amp;TEXT(ROUND(K118,0),"#,##0")&amp;" a month","Needs about "&amp;"€"&amp;TEXT(ROUND(K118+AB118,0),"#,##0")&amp;" a month · on average you'll put "&amp;"€"&amp;TEXT(ROUND(K118,0),"#,##0")&amp;" a month")))))</f>
        <v/>
      </c>
      <c r="N118" s="1" t="str">
        <f aca="false">IF($Q118="","",INDEX(GL_AgeT,9))</f>
        <v/>
      </c>
      <c r="O118" s="1" t="str">
        <f aca="false">IF(AND($Q118&lt;&gt;"",G118&gt;=PR_Good,Findings_Over=0),G118*1000000-N118*1000-9,"")</f>
        <v/>
      </c>
      <c r="P118" s="1" t="str">
        <f aca="false">IF($Q118="","",G118*1000000+N118*1000+9)</f>
        <v/>
      </c>
      <c r="Q118" s="1" t="str">
        <f aca="false">INDEX(GL_Key,9)</f>
        <v/>
      </c>
      <c r="R118" s="1" t="n">
        <f aca="false">IF(G118="",0,G118)</f>
        <v>0</v>
      </c>
      <c r="S118" s="1" t="str">
        <f aca="false">IF($Q118="","",IFERROR(INDEX(Goal_Specs,MATCH($Q118,Goal_Keys,0)),""))</f>
        <v/>
      </c>
      <c r="T118" s="1" t="n">
        <f aca="false">IF($Q118="",9999,G118)</f>
        <v>9999</v>
      </c>
      <c r="U118" s="1" t="str">
        <f aca="false">IF($Q118="","",IF($D118="legacy","at the end of your plan"&amp;IF(Has_a_planEnd=1," ("&amp;AS_End&amp;")",""),IF(INDEX(GL_AgeT,9)&lt;F_Age,"Date has passed",IF($D118="retire",IF(Has_retireAge=1,"at "&amp;INDEX(GL_AgeT,9),"at an age you haven't chosen yet"),"in "&amp;(INDEX(GL_AgeRaw,9)-F_Age)&amp;IF(INDEX(GL_AgeRaw,9)-F_Age=1," year"," years")))))</f>
        <v/>
      </c>
      <c r="V118" s="1" t="str">
        <f aca="false">IF(AND($Q118="safety",F_EssM&gt;0,INDEX(GL_Amount,9)&gt;0),ROUND(INDEX(GL_Amount,9)/F_EssM*10,0)/10,"")</f>
        <v/>
      </c>
      <c r="W118" s="1" t="str">
        <f aca="false">IF($Q118="","",AS_Year0+INDEX(GL_AgeT,9)-F_Age)</f>
        <v/>
      </c>
      <c r="X118" s="1" t="str">
        <f aca="false">IF($Q118="","",IF(AND($D118&lt;&gt;"legacy",INDEX(GL_AgeT,9)&lt;F_Age),"Date has passed",IF($D118="retire","Age ","age ")&amp;INDEX(GL_AgeT,9)&amp;" · "&amp;W118))</f>
        <v/>
      </c>
      <c r="Y118" s="1" t="str">
        <f aca="false">IF($Q118="","",G118*1000+IF($D118="legacy",AS_End,INDEX(GL_AgeT,9)))</f>
        <v/>
      </c>
      <c r="Z118" s="94"/>
      <c r="AA118" s="1" t="str">
        <f aca="false">IF($Q118="","",IF(IF(Z118&lt;&gt;"",Z118,IF(AND(WI_M=0,WI_L=0),G118,""))="","",IF(IF(Z118&lt;&gt;"",Z118,G118)&lt;&gt;G118,C118&amp;" goes from "&amp;IF(Z118&lt;&gt;"",Z118,G118)&amp;"% to "&amp;G118&amp;"%","")))</f>
        <v/>
      </c>
      <c r="AB118" s="1" t="str">
        <f aca="false">IF(ISBLANK(L118),IF(AND(Fill_Example="Yes",FALSE()),"",""),L118)</f>
        <v/>
      </c>
    </row>
    <row r="119" customFormat="false" ht="15" hidden="false" customHeight="true" outlineLevel="0" collapsed="false">
      <c r="B119" s="1" t="n">
        <v>10</v>
      </c>
      <c r="C119" s="1" t="str">
        <f aca="false">IF($Q119="","",INDEX(GL_Name,10))</f>
        <v/>
      </c>
      <c r="D119" s="1" t="str">
        <f aca="false">INDEX(GL_Kind,10)</f>
        <v/>
      </c>
      <c r="E119" s="1" t="str">
        <f aca="false">IF($Q119="","",IF(OR($D119="spend",$D119="mfree",$D119="pot"),CHOOSE($I119,Slot1_Cost,Slot2_Cost,Slot3_Cost,Slot4_Cost,Slot5_Cost,Slot6_Cost,Slot7_Cost,Slot8_Cost,Slot9_Cost,Slot10_Cost,Slot11_Cost,Slot12_Cost,Slot13_Cost,Slot14_Cost,Slot15_Cost,Slot16_Cost,Slot17_Cost,Slot18_Cost,Slot19_Cost,Slot20_Cost),IF($D119="retire",SUMIFS('Plan cashflow'!$TR$8:$TR$97,'Plan cashflow'!$C$8:$C$97,1),IF($D119="legacy",INDEX(GL_Amount,10)*(1+AS_Infl)^F_N,0))))</f>
        <v/>
      </c>
      <c r="F119" s="1" t="str">
        <f aca="false">IF($Q119="","",IF(OR($D119="spend",$D119="mfree",$D119="pot"),CHOOSE($I119,Slot1_Paid,Slot2_Paid,Slot3_Paid,Slot4_Paid,Slot5_Paid,Slot6_Paid,Slot7_Paid,Slot8_Paid,Slot9_Paid,Slot10_Paid,Slot11_Paid,Slot12_Paid,Slot13_Paid,Slot14_Paid,Slot15_Paid,Slot16_Paid,Slot17_Paid,Slot18_Paid,Slot19_Paid,Slot20_Paid),IF($D119="retire",SUMIFS('Plan cashflow'!$TS$8:$TS$97,'Plan cashflow'!$C$8:$C$97,1),IF($D119="legacy",MIN(E119,INDEX('Plan cashflow'!$QJ$8:$QJ$97,F_N+1)+INDEX('Plan cashflow'!$QK$8:$QK$97,F_N+1)),0))))</f>
        <v/>
      </c>
      <c r="G119" s="1" t="str">
        <f aca="false">IF($Q119="","",IF($D119="retire",IF(SUM('Plan cashflow'!$UG$8:$UG$97)&gt;0,MIN(IF(E119&gt;0,IF(F119&gt;=E119-1,100,MIN(PR_PctCap,MAX(0,INT(F119/E119*100)))),100),94),IF(E119&gt;0,IF(F119&gt;=E119-1,100,MIN(PR_PctCap,MAX(0,INT(F119/E119*100)))),100)),IF(E119&gt;0,IF(F119&gt;=E119-1,100,MIN(PR_PctCap,MAX(0,INT(F119/E119*100)))),100)))</f>
        <v/>
      </c>
      <c r="H119" s="1" t="str">
        <f aca="false">IF(G119="","",IF(G119&gt;=PR_Good,"good",IF(G119&gt;=PR_Nudge,"nudge","alert")))</f>
        <v/>
      </c>
      <c r="I119" s="1" t="str">
        <f aca="false">IF(OR($D119="spend",$D119="mfree",$D119="pot"),INDEX(GL_Pos,10),"")</f>
        <v/>
      </c>
      <c r="J119" s="1" t="str">
        <f aca="false">IF(OR($D119="spend",$D119="mfree",$D119="pot"),CHOOSE($I119,Slot1_NeedM,Slot2_NeedM,Slot3_NeedM,Slot4_NeedM,Slot5_NeedM,Slot6_NeedM,Slot7_NeedM,Slot8_NeedM,Slot9_NeedM,Slot10_NeedM,Slot11_NeedM,Slot12_NeedM,Slot13_NeedM,Slot14_NeedM,Slot15_NeedM,Slot16_NeedM,Slot17_NeedM,Slot18_NeedM,Slot19_NeedM,Slot20_NeedM),"")</f>
        <v/>
      </c>
      <c r="K119" s="1" t="str">
        <f aca="false">IF(OR($D119="spend",$D119="mfree",$D119="pot"),CHOOSE($I119,Slot1_AvgM,Slot2_AvgM,Slot3_AvgM,Slot4_AvgM,Slot5_AvgM,Slot6_AvgM,Slot7_AvgM,Slot8_AvgM,Slot9_AvgM,Slot10_AvgM,Slot11_AvgM,Slot12_AvgM,Slot13_AvgM,Slot14_AvgM,Slot15_AvgM,Slot16_AvgM,Slot17_AvgM,Slot18_AvgM,Slot19_AvgM,Slot20_AvgM),"")</f>
        <v/>
      </c>
      <c r="L119" s="94"/>
      <c r="M119" s="1" t="str">
        <f aca="false">IF(NOT(OR($D119="spend",$D119="mfree",$D119="pot")),"",IF(AND($D119="mfree",In_home&lt;&gt;"",In_home&lt;&gt;"Own with mortgage"),"No mortgage in Your finances: remove this goal, or add your mortgage",IF(G119&gt;=100,"Fully funded"&amp;IF(K119&gt;0," · on average you'll put "&amp;"€"&amp;TEXT(ROUND(K119,0),"#,##0")&amp;" a month",""),IF(AB119="","Type the extra the what-if search finds in column L to see this line",IF(IF(AB119="none",TRUE(),K119+AB119&gt;Save_SurplusM),"Needs about "&amp;"€"&amp;TEXT(ROUND(IF(AB119="none",MAX(J119,K119+5),K119+AB119),0),"#,##0")&amp;" a month, more than your spare money · on average you'll put "&amp;"€"&amp;TEXT(ROUND(K119,0),"#,##0")&amp;" a month","Needs about "&amp;"€"&amp;TEXT(ROUND(K119+AB119,0),"#,##0")&amp;" a month · on average you'll put "&amp;"€"&amp;TEXT(ROUND(K119,0),"#,##0")&amp;" a month")))))</f>
        <v/>
      </c>
      <c r="N119" s="1" t="str">
        <f aca="false">IF($Q119="","",INDEX(GL_AgeT,10))</f>
        <v/>
      </c>
      <c r="O119" s="1" t="str">
        <f aca="false">IF(AND($Q119&lt;&gt;"",G119&gt;=PR_Good,Findings_Over=0),G119*1000000-N119*1000-10,"")</f>
        <v/>
      </c>
      <c r="P119" s="1" t="str">
        <f aca="false">IF($Q119="","",G119*1000000+N119*1000+10)</f>
        <v/>
      </c>
      <c r="Q119" s="1" t="str">
        <f aca="false">INDEX(GL_Key,10)</f>
        <v/>
      </c>
      <c r="R119" s="1" t="n">
        <f aca="false">IF(G119="",0,G119)</f>
        <v>0</v>
      </c>
      <c r="S119" s="1" t="str">
        <f aca="false">IF($Q119="","",IFERROR(INDEX(Goal_Specs,MATCH($Q119,Goal_Keys,0)),""))</f>
        <v/>
      </c>
      <c r="T119" s="1" t="n">
        <f aca="false">IF($Q119="",9999,G119)</f>
        <v>9999</v>
      </c>
      <c r="U119" s="1" t="str">
        <f aca="false">IF($Q119="","",IF($D119="legacy","at the end of your plan"&amp;IF(Has_a_planEnd=1," ("&amp;AS_End&amp;")",""),IF(INDEX(GL_AgeT,10)&lt;F_Age,"Date has passed",IF($D119="retire",IF(Has_retireAge=1,"at "&amp;INDEX(GL_AgeT,10),"at an age you haven't chosen yet"),"in "&amp;(INDEX(GL_AgeRaw,10)-F_Age)&amp;IF(INDEX(GL_AgeRaw,10)-F_Age=1," year"," years")))))</f>
        <v/>
      </c>
      <c r="V119" s="1" t="str">
        <f aca="false">IF(AND($Q119="safety",F_EssM&gt;0,INDEX(GL_Amount,10)&gt;0),ROUND(INDEX(GL_Amount,10)/F_EssM*10,0)/10,"")</f>
        <v/>
      </c>
      <c r="W119" s="1" t="str">
        <f aca="false">IF($Q119="","",AS_Year0+INDEX(GL_AgeT,10)-F_Age)</f>
        <v/>
      </c>
      <c r="X119" s="1" t="str">
        <f aca="false">IF($Q119="","",IF(AND($D119&lt;&gt;"legacy",INDEX(GL_AgeT,10)&lt;F_Age),"Date has passed",IF($D119="retire","Age ","age ")&amp;INDEX(GL_AgeT,10)&amp;" · "&amp;W119))</f>
        <v/>
      </c>
      <c r="Y119" s="1" t="str">
        <f aca="false">IF($Q119="","",G119*1000+IF($D119="legacy",AS_End,INDEX(GL_AgeT,10)))</f>
        <v/>
      </c>
      <c r="Z119" s="94"/>
      <c r="AA119" s="1" t="str">
        <f aca="false">IF($Q119="","",IF(IF(Z119&lt;&gt;"",Z119,IF(AND(WI_M=0,WI_L=0),G119,""))="","",IF(IF(Z119&lt;&gt;"",Z119,G119)&lt;&gt;G119,C119&amp;" goes from "&amp;IF(Z119&lt;&gt;"",Z119,G119)&amp;"% to "&amp;G119&amp;"%","")))</f>
        <v/>
      </c>
      <c r="AB119" s="1" t="str">
        <f aca="false">IF(ISBLANK(L119),IF(AND(Fill_Example="Yes",FALSE()),"",""),L119)</f>
        <v/>
      </c>
    </row>
    <row r="120" customFormat="false" ht="15" hidden="false" customHeight="true" outlineLevel="0" collapsed="false">
      <c r="B120" s="1" t="n">
        <v>11</v>
      </c>
      <c r="C120" s="1" t="str">
        <f aca="false">IF($Q120="","",INDEX(GL_Name,11))</f>
        <v/>
      </c>
      <c r="D120" s="1" t="str">
        <f aca="false">INDEX(GL_Kind,11)</f>
        <v/>
      </c>
      <c r="E120" s="1" t="str">
        <f aca="false">IF($Q120="","",IF(OR($D120="spend",$D120="mfree",$D120="pot"),CHOOSE($I120,Slot1_Cost,Slot2_Cost,Slot3_Cost,Slot4_Cost,Slot5_Cost,Slot6_Cost,Slot7_Cost,Slot8_Cost,Slot9_Cost,Slot10_Cost,Slot11_Cost,Slot12_Cost,Slot13_Cost,Slot14_Cost,Slot15_Cost,Slot16_Cost,Slot17_Cost,Slot18_Cost,Slot19_Cost,Slot20_Cost),IF($D120="retire",SUMIFS('Plan cashflow'!$TR$8:$TR$97,'Plan cashflow'!$C$8:$C$97,1),IF($D120="legacy",INDEX(GL_Amount,11)*(1+AS_Infl)^F_N,0))))</f>
        <v/>
      </c>
      <c r="F120" s="1" t="str">
        <f aca="false">IF($Q120="","",IF(OR($D120="spend",$D120="mfree",$D120="pot"),CHOOSE($I120,Slot1_Paid,Slot2_Paid,Slot3_Paid,Slot4_Paid,Slot5_Paid,Slot6_Paid,Slot7_Paid,Slot8_Paid,Slot9_Paid,Slot10_Paid,Slot11_Paid,Slot12_Paid,Slot13_Paid,Slot14_Paid,Slot15_Paid,Slot16_Paid,Slot17_Paid,Slot18_Paid,Slot19_Paid,Slot20_Paid),IF($D120="retire",SUMIFS('Plan cashflow'!$TS$8:$TS$97,'Plan cashflow'!$C$8:$C$97,1),IF($D120="legacy",MIN(E120,INDEX('Plan cashflow'!$QJ$8:$QJ$97,F_N+1)+INDEX('Plan cashflow'!$QK$8:$QK$97,F_N+1)),0))))</f>
        <v/>
      </c>
      <c r="G120" s="1" t="str">
        <f aca="false">IF($Q120="","",IF($D120="retire",IF(SUM('Plan cashflow'!$UG$8:$UG$97)&gt;0,MIN(IF(E120&gt;0,IF(F120&gt;=E120-1,100,MIN(PR_PctCap,MAX(0,INT(F120/E120*100)))),100),94),IF(E120&gt;0,IF(F120&gt;=E120-1,100,MIN(PR_PctCap,MAX(0,INT(F120/E120*100)))),100)),IF(E120&gt;0,IF(F120&gt;=E120-1,100,MIN(PR_PctCap,MAX(0,INT(F120/E120*100)))),100)))</f>
        <v/>
      </c>
      <c r="H120" s="1" t="str">
        <f aca="false">IF(G120="","",IF(G120&gt;=PR_Good,"good",IF(G120&gt;=PR_Nudge,"nudge","alert")))</f>
        <v/>
      </c>
      <c r="I120" s="1" t="str">
        <f aca="false">IF(OR($D120="spend",$D120="mfree",$D120="pot"),INDEX(GL_Pos,11),"")</f>
        <v/>
      </c>
      <c r="J120" s="1" t="str">
        <f aca="false">IF(OR($D120="spend",$D120="mfree",$D120="pot"),CHOOSE($I120,Slot1_NeedM,Slot2_NeedM,Slot3_NeedM,Slot4_NeedM,Slot5_NeedM,Slot6_NeedM,Slot7_NeedM,Slot8_NeedM,Slot9_NeedM,Slot10_NeedM,Slot11_NeedM,Slot12_NeedM,Slot13_NeedM,Slot14_NeedM,Slot15_NeedM,Slot16_NeedM,Slot17_NeedM,Slot18_NeedM,Slot19_NeedM,Slot20_NeedM),"")</f>
        <v/>
      </c>
      <c r="K120" s="1" t="str">
        <f aca="false">IF(OR($D120="spend",$D120="mfree",$D120="pot"),CHOOSE($I120,Slot1_AvgM,Slot2_AvgM,Slot3_AvgM,Slot4_AvgM,Slot5_AvgM,Slot6_AvgM,Slot7_AvgM,Slot8_AvgM,Slot9_AvgM,Slot10_AvgM,Slot11_AvgM,Slot12_AvgM,Slot13_AvgM,Slot14_AvgM,Slot15_AvgM,Slot16_AvgM,Slot17_AvgM,Slot18_AvgM,Slot19_AvgM,Slot20_AvgM),"")</f>
        <v/>
      </c>
      <c r="L120" s="94"/>
      <c r="M120" s="1" t="str">
        <f aca="false">IF(NOT(OR($D120="spend",$D120="mfree",$D120="pot")),"",IF(AND($D120="mfree",In_home&lt;&gt;"",In_home&lt;&gt;"Own with mortgage"),"No mortgage in Your finances: remove this goal, or add your mortgage",IF(G120&gt;=100,"Fully funded"&amp;IF(K120&gt;0," · on average you'll put "&amp;"€"&amp;TEXT(ROUND(K120,0),"#,##0")&amp;" a month",""),IF(AB120="","Type the extra the what-if search finds in column L to see this line",IF(IF(AB120="none",TRUE(),K120+AB120&gt;Save_SurplusM),"Needs about "&amp;"€"&amp;TEXT(ROUND(IF(AB120="none",MAX(J120,K120+5),K120+AB120),0),"#,##0")&amp;" a month, more than your spare money · on average you'll put "&amp;"€"&amp;TEXT(ROUND(K120,0),"#,##0")&amp;" a month","Needs about "&amp;"€"&amp;TEXT(ROUND(K120+AB120,0),"#,##0")&amp;" a month · on average you'll put "&amp;"€"&amp;TEXT(ROUND(K120,0),"#,##0")&amp;" a month")))))</f>
        <v/>
      </c>
      <c r="N120" s="1" t="str">
        <f aca="false">IF($Q120="","",INDEX(GL_AgeT,11))</f>
        <v/>
      </c>
      <c r="O120" s="1" t="str">
        <f aca="false">IF(AND($Q120&lt;&gt;"",G120&gt;=PR_Good,Findings_Over=0),G120*1000000-N120*1000-11,"")</f>
        <v/>
      </c>
      <c r="P120" s="1" t="str">
        <f aca="false">IF($Q120="","",G120*1000000+N120*1000+11)</f>
        <v/>
      </c>
      <c r="Q120" s="1" t="str">
        <f aca="false">INDEX(GL_Key,11)</f>
        <v/>
      </c>
      <c r="R120" s="1" t="n">
        <f aca="false">IF(G120="",0,G120)</f>
        <v>0</v>
      </c>
      <c r="S120" s="1" t="str">
        <f aca="false">IF($Q120="","",IFERROR(INDEX(Goal_Specs,MATCH($Q120,Goal_Keys,0)),""))</f>
        <v/>
      </c>
      <c r="T120" s="1" t="n">
        <f aca="false">IF($Q120="",9999,G120)</f>
        <v>9999</v>
      </c>
      <c r="U120" s="1" t="str">
        <f aca="false">IF($Q120="","",IF($D120="legacy","at the end of your plan"&amp;IF(Has_a_planEnd=1," ("&amp;AS_End&amp;")",""),IF(INDEX(GL_AgeT,11)&lt;F_Age,"Date has passed",IF($D120="retire",IF(Has_retireAge=1,"at "&amp;INDEX(GL_AgeT,11),"at an age you haven't chosen yet"),"in "&amp;(INDEX(GL_AgeRaw,11)-F_Age)&amp;IF(INDEX(GL_AgeRaw,11)-F_Age=1," year"," years")))))</f>
        <v/>
      </c>
      <c r="V120" s="1" t="str">
        <f aca="false">IF(AND($Q120="safety",F_EssM&gt;0,INDEX(GL_Amount,11)&gt;0),ROUND(INDEX(GL_Amount,11)/F_EssM*10,0)/10,"")</f>
        <v/>
      </c>
      <c r="W120" s="1" t="str">
        <f aca="false">IF($Q120="","",AS_Year0+INDEX(GL_AgeT,11)-F_Age)</f>
        <v/>
      </c>
      <c r="X120" s="1" t="str">
        <f aca="false">IF($Q120="","",IF(AND($D120&lt;&gt;"legacy",INDEX(GL_AgeT,11)&lt;F_Age),"Date has passed",IF($D120="retire","Age ","age ")&amp;INDEX(GL_AgeT,11)&amp;" · "&amp;W120))</f>
        <v/>
      </c>
      <c r="Y120" s="1" t="str">
        <f aca="false">IF($Q120="","",G120*1000+IF($D120="legacy",AS_End,INDEX(GL_AgeT,11)))</f>
        <v/>
      </c>
      <c r="Z120" s="94"/>
      <c r="AA120" s="1" t="str">
        <f aca="false">IF($Q120="","",IF(IF(Z120&lt;&gt;"",Z120,IF(AND(WI_M=0,WI_L=0),G120,""))="","",IF(IF(Z120&lt;&gt;"",Z120,G120)&lt;&gt;G120,C120&amp;" goes from "&amp;IF(Z120&lt;&gt;"",Z120,G120)&amp;"% to "&amp;G120&amp;"%","")))</f>
        <v/>
      </c>
      <c r="AB120" s="1" t="str">
        <f aca="false">IF(ISBLANK(L120),IF(AND(Fill_Example="Yes",FALSE()),"",""),L120)</f>
        <v/>
      </c>
    </row>
    <row r="121" customFormat="false" ht="15" hidden="false" customHeight="true" outlineLevel="0" collapsed="false">
      <c r="B121" s="1" t="n">
        <v>12</v>
      </c>
      <c r="C121" s="1" t="str">
        <f aca="false">IF($Q121="","",INDEX(GL_Name,12))</f>
        <v/>
      </c>
      <c r="D121" s="1" t="str">
        <f aca="false">INDEX(GL_Kind,12)</f>
        <v/>
      </c>
      <c r="E121" s="1" t="str">
        <f aca="false">IF($Q121="","",IF(OR($D121="spend",$D121="mfree",$D121="pot"),CHOOSE($I121,Slot1_Cost,Slot2_Cost,Slot3_Cost,Slot4_Cost,Slot5_Cost,Slot6_Cost,Slot7_Cost,Slot8_Cost,Slot9_Cost,Slot10_Cost,Slot11_Cost,Slot12_Cost,Slot13_Cost,Slot14_Cost,Slot15_Cost,Slot16_Cost,Slot17_Cost,Slot18_Cost,Slot19_Cost,Slot20_Cost),IF($D121="retire",SUMIFS('Plan cashflow'!$TR$8:$TR$97,'Plan cashflow'!$C$8:$C$97,1),IF($D121="legacy",INDEX(GL_Amount,12)*(1+AS_Infl)^F_N,0))))</f>
        <v/>
      </c>
      <c r="F121" s="1" t="str">
        <f aca="false">IF($Q121="","",IF(OR($D121="spend",$D121="mfree",$D121="pot"),CHOOSE($I121,Slot1_Paid,Slot2_Paid,Slot3_Paid,Slot4_Paid,Slot5_Paid,Slot6_Paid,Slot7_Paid,Slot8_Paid,Slot9_Paid,Slot10_Paid,Slot11_Paid,Slot12_Paid,Slot13_Paid,Slot14_Paid,Slot15_Paid,Slot16_Paid,Slot17_Paid,Slot18_Paid,Slot19_Paid,Slot20_Paid),IF($D121="retire",SUMIFS('Plan cashflow'!$TS$8:$TS$97,'Plan cashflow'!$C$8:$C$97,1),IF($D121="legacy",MIN(E121,INDEX('Plan cashflow'!$QJ$8:$QJ$97,F_N+1)+INDEX('Plan cashflow'!$QK$8:$QK$97,F_N+1)),0))))</f>
        <v/>
      </c>
      <c r="G121" s="1" t="str">
        <f aca="false">IF($Q121="","",IF($D121="retire",IF(SUM('Plan cashflow'!$UG$8:$UG$97)&gt;0,MIN(IF(E121&gt;0,IF(F121&gt;=E121-1,100,MIN(PR_PctCap,MAX(0,INT(F121/E121*100)))),100),94),IF(E121&gt;0,IF(F121&gt;=E121-1,100,MIN(PR_PctCap,MAX(0,INT(F121/E121*100)))),100)),IF(E121&gt;0,IF(F121&gt;=E121-1,100,MIN(PR_PctCap,MAX(0,INT(F121/E121*100)))),100)))</f>
        <v/>
      </c>
      <c r="H121" s="1" t="str">
        <f aca="false">IF(G121="","",IF(G121&gt;=PR_Good,"good",IF(G121&gt;=PR_Nudge,"nudge","alert")))</f>
        <v/>
      </c>
      <c r="I121" s="1" t="str">
        <f aca="false">IF(OR($D121="spend",$D121="mfree",$D121="pot"),INDEX(GL_Pos,12),"")</f>
        <v/>
      </c>
      <c r="J121" s="1" t="str">
        <f aca="false">IF(OR($D121="spend",$D121="mfree",$D121="pot"),CHOOSE($I121,Slot1_NeedM,Slot2_NeedM,Slot3_NeedM,Slot4_NeedM,Slot5_NeedM,Slot6_NeedM,Slot7_NeedM,Slot8_NeedM,Slot9_NeedM,Slot10_NeedM,Slot11_NeedM,Slot12_NeedM,Slot13_NeedM,Slot14_NeedM,Slot15_NeedM,Slot16_NeedM,Slot17_NeedM,Slot18_NeedM,Slot19_NeedM,Slot20_NeedM),"")</f>
        <v/>
      </c>
      <c r="K121" s="1" t="str">
        <f aca="false">IF(OR($D121="spend",$D121="mfree",$D121="pot"),CHOOSE($I121,Slot1_AvgM,Slot2_AvgM,Slot3_AvgM,Slot4_AvgM,Slot5_AvgM,Slot6_AvgM,Slot7_AvgM,Slot8_AvgM,Slot9_AvgM,Slot10_AvgM,Slot11_AvgM,Slot12_AvgM,Slot13_AvgM,Slot14_AvgM,Slot15_AvgM,Slot16_AvgM,Slot17_AvgM,Slot18_AvgM,Slot19_AvgM,Slot20_AvgM),"")</f>
        <v/>
      </c>
      <c r="L121" s="94"/>
      <c r="M121" s="1" t="str">
        <f aca="false">IF(NOT(OR($D121="spend",$D121="mfree",$D121="pot")),"",IF(AND($D121="mfree",In_home&lt;&gt;"",In_home&lt;&gt;"Own with mortgage"),"No mortgage in Your finances: remove this goal, or add your mortgage",IF(G121&gt;=100,"Fully funded"&amp;IF(K121&gt;0," · on average you'll put "&amp;"€"&amp;TEXT(ROUND(K121,0),"#,##0")&amp;" a month",""),IF(AB121="","Type the extra the what-if search finds in column L to see this line",IF(IF(AB121="none",TRUE(),K121+AB121&gt;Save_SurplusM),"Needs about "&amp;"€"&amp;TEXT(ROUND(IF(AB121="none",MAX(J121,K121+5),K121+AB121),0),"#,##0")&amp;" a month, more than your spare money · on average you'll put "&amp;"€"&amp;TEXT(ROUND(K121,0),"#,##0")&amp;" a month","Needs about "&amp;"€"&amp;TEXT(ROUND(K121+AB121,0),"#,##0")&amp;" a month · on average you'll put "&amp;"€"&amp;TEXT(ROUND(K121,0),"#,##0")&amp;" a month")))))</f>
        <v/>
      </c>
      <c r="N121" s="1" t="str">
        <f aca="false">IF($Q121="","",INDEX(GL_AgeT,12))</f>
        <v/>
      </c>
      <c r="O121" s="1" t="str">
        <f aca="false">IF(AND($Q121&lt;&gt;"",G121&gt;=PR_Good,Findings_Over=0),G121*1000000-N121*1000-12,"")</f>
        <v/>
      </c>
      <c r="P121" s="1" t="str">
        <f aca="false">IF($Q121="","",G121*1000000+N121*1000+12)</f>
        <v/>
      </c>
      <c r="Q121" s="1" t="str">
        <f aca="false">INDEX(GL_Key,12)</f>
        <v/>
      </c>
      <c r="R121" s="1" t="n">
        <f aca="false">IF(G121="",0,G121)</f>
        <v>0</v>
      </c>
      <c r="S121" s="1" t="str">
        <f aca="false">IF($Q121="","",IFERROR(INDEX(Goal_Specs,MATCH($Q121,Goal_Keys,0)),""))</f>
        <v/>
      </c>
      <c r="T121" s="1" t="n">
        <f aca="false">IF($Q121="",9999,G121)</f>
        <v>9999</v>
      </c>
      <c r="U121" s="1" t="str">
        <f aca="false">IF($Q121="","",IF($D121="legacy","at the end of your plan"&amp;IF(Has_a_planEnd=1," ("&amp;AS_End&amp;")",""),IF(INDEX(GL_AgeT,12)&lt;F_Age,"Date has passed",IF($D121="retire",IF(Has_retireAge=1,"at "&amp;INDEX(GL_AgeT,12),"at an age you haven't chosen yet"),"in "&amp;(INDEX(GL_AgeRaw,12)-F_Age)&amp;IF(INDEX(GL_AgeRaw,12)-F_Age=1," year"," years")))))</f>
        <v/>
      </c>
      <c r="V121" s="1" t="str">
        <f aca="false">IF(AND($Q121="safety",F_EssM&gt;0,INDEX(GL_Amount,12)&gt;0),ROUND(INDEX(GL_Amount,12)/F_EssM*10,0)/10,"")</f>
        <v/>
      </c>
      <c r="W121" s="1" t="str">
        <f aca="false">IF($Q121="","",AS_Year0+INDEX(GL_AgeT,12)-F_Age)</f>
        <v/>
      </c>
      <c r="X121" s="1" t="str">
        <f aca="false">IF($Q121="","",IF(AND($D121&lt;&gt;"legacy",INDEX(GL_AgeT,12)&lt;F_Age),"Date has passed",IF($D121="retire","Age ","age ")&amp;INDEX(GL_AgeT,12)&amp;" · "&amp;W121))</f>
        <v/>
      </c>
      <c r="Y121" s="1" t="str">
        <f aca="false">IF($Q121="","",G121*1000+IF($D121="legacy",AS_End,INDEX(GL_AgeT,12)))</f>
        <v/>
      </c>
      <c r="Z121" s="94"/>
      <c r="AA121" s="1" t="str">
        <f aca="false">IF($Q121="","",IF(IF(Z121&lt;&gt;"",Z121,IF(AND(WI_M=0,WI_L=0),G121,""))="","",IF(IF(Z121&lt;&gt;"",Z121,G121)&lt;&gt;G121,C121&amp;" goes from "&amp;IF(Z121&lt;&gt;"",Z121,G121)&amp;"% to "&amp;G121&amp;"%","")))</f>
        <v/>
      </c>
      <c r="AB121" s="1" t="str">
        <f aca="false">IF(ISBLANK(L121),IF(AND(Fill_Example="Yes",FALSE()),"",""),L121)</f>
        <v/>
      </c>
    </row>
    <row r="122" customFormat="false" ht="15" hidden="false" customHeight="true" outlineLevel="0" collapsed="false">
      <c r="B122" s="1" t="n">
        <v>13</v>
      </c>
      <c r="C122" s="1" t="str">
        <f aca="false">IF($Q122="","",INDEX(GL_Name,13))</f>
        <v/>
      </c>
      <c r="D122" s="1" t="str">
        <f aca="false">INDEX(GL_Kind,13)</f>
        <v/>
      </c>
      <c r="E122" s="1" t="str">
        <f aca="false">IF($Q122="","",IF(OR($D122="spend",$D122="mfree",$D122="pot"),CHOOSE($I122,Slot1_Cost,Slot2_Cost,Slot3_Cost,Slot4_Cost,Slot5_Cost,Slot6_Cost,Slot7_Cost,Slot8_Cost,Slot9_Cost,Slot10_Cost,Slot11_Cost,Slot12_Cost,Slot13_Cost,Slot14_Cost,Slot15_Cost,Slot16_Cost,Slot17_Cost,Slot18_Cost,Slot19_Cost,Slot20_Cost),IF($D122="retire",SUMIFS('Plan cashflow'!$TR$8:$TR$97,'Plan cashflow'!$C$8:$C$97,1),IF($D122="legacy",INDEX(GL_Amount,13)*(1+AS_Infl)^F_N,0))))</f>
        <v/>
      </c>
      <c r="F122" s="1" t="str">
        <f aca="false">IF($Q122="","",IF(OR($D122="spend",$D122="mfree",$D122="pot"),CHOOSE($I122,Slot1_Paid,Slot2_Paid,Slot3_Paid,Slot4_Paid,Slot5_Paid,Slot6_Paid,Slot7_Paid,Slot8_Paid,Slot9_Paid,Slot10_Paid,Slot11_Paid,Slot12_Paid,Slot13_Paid,Slot14_Paid,Slot15_Paid,Slot16_Paid,Slot17_Paid,Slot18_Paid,Slot19_Paid,Slot20_Paid),IF($D122="retire",SUMIFS('Plan cashflow'!$TS$8:$TS$97,'Plan cashflow'!$C$8:$C$97,1),IF($D122="legacy",MIN(E122,INDEX('Plan cashflow'!$QJ$8:$QJ$97,F_N+1)+INDEX('Plan cashflow'!$QK$8:$QK$97,F_N+1)),0))))</f>
        <v/>
      </c>
      <c r="G122" s="1" t="str">
        <f aca="false">IF($Q122="","",IF($D122="retire",IF(SUM('Plan cashflow'!$UG$8:$UG$97)&gt;0,MIN(IF(E122&gt;0,IF(F122&gt;=E122-1,100,MIN(PR_PctCap,MAX(0,INT(F122/E122*100)))),100),94),IF(E122&gt;0,IF(F122&gt;=E122-1,100,MIN(PR_PctCap,MAX(0,INT(F122/E122*100)))),100)),IF(E122&gt;0,IF(F122&gt;=E122-1,100,MIN(PR_PctCap,MAX(0,INT(F122/E122*100)))),100)))</f>
        <v/>
      </c>
      <c r="H122" s="1" t="str">
        <f aca="false">IF(G122="","",IF(G122&gt;=PR_Good,"good",IF(G122&gt;=PR_Nudge,"nudge","alert")))</f>
        <v/>
      </c>
      <c r="I122" s="1" t="str">
        <f aca="false">IF(OR($D122="spend",$D122="mfree",$D122="pot"),INDEX(GL_Pos,13),"")</f>
        <v/>
      </c>
      <c r="J122" s="1" t="str">
        <f aca="false">IF(OR($D122="spend",$D122="mfree",$D122="pot"),CHOOSE($I122,Slot1_NeedM,Slot2_NeedM,Slot3_NeedM,Slot4_NeedM,Slot5_NeedM,Slot6_NeedM,Slot7_NeedM,Slot8_NeedM,Slot9_NeedM,Slot10_NeedM,Slot11_NeedM,Slot12_NeedM,Slot13_NeedM,Slot14_NeedM,Slot15_NeedM,Slot16_NeedM,Slot17_NeedM,Slot18_NeedM,Slot19_NeedM,Slot20_NeedM),"")</f>
        <v/>
      </c>
      <c r="K122" s="1" t="str">
        <f aca="false">IF(OR($D122="spend",$D122="mfree",$D122="pot"),CHOOSE($I122,Slot1_AvgM,Slot2_AvgM,Slot3_AvgM,Slot4_AvgM,Slot5_AvgM,Slot6_AvgM,Slot7_AvgM,Slot8_AvgM,Slot9_AvgM,Slot10_AvgM,Slot11_AvgM,Slot12_AvgM,Slot13_AvgM,Slot14_AvgM,Slot15_AvgM,Slot16_AvgM,Slot17_AvgM,Slot18_AvgM,Slot19_AvgM,Slot20_AvgM),"")</f>
        <v/>
      </c>
      <c r="L122" s="94"/>
      <c r="M122" s="1" t="str">
        <f aca="false">IF(NOT(OR($D122="spend",$D122="mfree",$D122="pot")),"",IF(AND($D122="mfree",In_home&lt;&gt;"",In_home&lt;&gt;"Own with mortgage"),"No mortgage in Your finances: remove this goal, or add your mortgage",IF(G122&gt;=100,"Fully funded"&amp;IF(K122&gt;0," · on average you'll put "&amp;"€"&amp;TEXT(ROUND(K122,0),"#,##0")&amp;" a month",""),IF(AB122="","Type the extra the what-if search finds in column L to see this line",IF(IF(AB122="none",TRUE(),K122+AB122&gt;Save_SurplusM),"Needs about "&amp;"€"&amp;TEXT(ROUND(IF(AB122="none",MAX(J122,K122+5),K122+AB122),0),"#,##0")&amp;" a month, more than your spare money · on average you'll put "&amp;"€"&amp;TEXT(ROUND(K122,0),"#,##0")&amp;" a month","Needs about "&amp;"€"&amp;TEXT(ROUND(K122+AB122,0),"#,##0")&amp;" a month · on average you'll put "&amp;"€"&amp;TEXT(ROUND(K122,0),"#,##0")&amp;" a month")))))</f>
        <v/>
      </c>
      <c r="N122" s="1" t="str">
        <f aca="false">IF($Q122="","",INDEX(GL_AgeT,13))</f>
        <v/>
      </c>
      <c r="O122" s="1" t="str">
        <f aca="false">IF(AND($Q122&lt;&gt;"",G122&gt;=PR_Good,Findings_Over=0),G122*1000000-N122*1000-13,"")</f>
        <v/>
      </c>
      <c r="P122" s="1" t="str">
        <f aca="false">IF($Q122="","",G122*1000000+N122*1000+13)</f>
        <v/>
      </c>
      <c r="Q122" s="1" t="str">
        <f aca="false">INDEX(GL_Key,13)</f>
        <v/>
      </c>
      <c r="R122" s="1" t="n">
        <f aca="false">IF(G122="",0,G122)</f>
        <v>0</v>
      </c>
      <c r="S122" s="1" t="str">
        <f aca="false">IF($Q122="","",IFERROR(INDEX(Goal_Specs,MATCH($Q122,Goal_Keys,0)),""))</f>
        <v/>
      </c>
      <c r="T122" s="1" t="n">
        <f aca="false">IF($Q122="",9999,G122)</f>
        <v>9999</v>
      </c>
      <c r="U122" s="1" t="str">
        <f aca="false">IF($Q122="","",IF($D122="legacy","at the end of your plan"&amp;IF(Has_a_planEnd=1," ("&amp;AS_End&amp;")",""),IF(INDEX(GL_AgeT,13)&lt;F_Age,"Date has passed",IF($D122="retire",IF(Has_retireAge=1,"at "&amp;INDEX(GL_AgeT,13),"at an age you haven't chosen yet"),"in "&amp;(INDEX(GL_AgeRaw,13)-F_Age)&amp;IF(INDEX(GL_AgeRaw,13)-F_Age=1," year"," years")))))</f>
        <v/>
      </c>
      <c r="V122" s="1" t="str">
        <f aca="false">IF(AND($Q122="safety",F_EssM&gt;0,INDEX(GL_Amount,13)&gt;0),ROUND(INDEX(GL_Amount,13)/F_EssM*10,0)/10,"")</f>
        <v/>
      </c>
      <c r="W122" s="1" t="str">
        <f aca="false">IF($Q122="","",AS_Year0+INDEX(GL_AgeT,13)-F_Age)</f>
        <v/>
      </c>
      <c r="X122" s="1" t="str">
        <f aca="false">IF($Q122="","",IF(AND($D122&lt;&gt;"legacy",INDEX(GL_AgeT,13)&lt;F_Age),"Date has passed",IF($D122="retire","Age ","age ")&amp;INDEX(GL_AgeT,13)&amp;" · "&amp;W122))</f>
        <v/>
      </c>
      <c r="Y122" s="1" t="str">
        <f aca="false">IF($Q122="","",G122*1000+IF($D122="legacy",AS_End,INDEX(GL_AgeT,13)))</f>
        <v/>
      </c>
      <c r="Z122" s="94"/>
      <c r="AA122" s="1" t="str">
        <f aca="false">IF($Q122="","",IF(IF(Z122&lt;&gt;"",Z122,IF(AND(WI_M=0,WI_L=0),G122,""))="","",IF(IF(Z122&lt;&gt;"",Z122,G122)&lt;&gt;G122,C122&amp;" goes from "&amp;IF(Z122&lt;&gt;"",Z122,G122)&amp;"% to "&amp;G122&amp;"%","")))</f>
        <v/>
      </c>
      <c r="AB122" s="1" t="str">
        <f aca="false">IF(ISBLANK(L122),IF(AND(Fill_Example="Yes",FALSE()),"",""),L122)</f>
        <v/>
      </c>
    </row>
    <row r="123" customFormat="false" ht="15" hidden="false" customHeight="true" outlineLevel="0" collapsed="false">
      <c r="B123" s="1" t="n">
        <v>14</v>
      </c>
      <c r="C123" s="1" t="str">
        <f aca="false">IF($Q123="","",INDEX(GL_Name,14))</f>
        <v/>
      </c>
      <c r="D123" s="1" t="str">
        <f aca="false">INDEX(GL_Kind,14)</f>
        <v/>
      </c>
      <c r="E123" s="1" t="str">
        <f aca="false">IF($Q123="","",IF(OR($D123="spend",$D123="mfree",$D123="pot"),CHOOSE($I123,Slot1_Cost,Slot2_Cost,Slot3_Cost,Slot4_Cost,Slot5_Cost,Slot6_Cost,Slot7_Cost,Slot8_Cost,Slot9_Cost,Slot10_Cost,Slot11_Cost,Slot12_Cost,Slot13_Cost,Slot14_Cost,Slot15_Cost,Slot16_Cost,Slot17_Cost,Slot18_Cost,Slot19_Cost,Slot20_Cost),IF($D123="retire",SUMIFS('Plan cashflow'!$TR$8:$TR$97,'Plan cashflow'!$C$8:$C$97,1),IF($D123="legacy",INDEX(GL_Amount,14)*(1+AS_Infl)^F_N,0))))</f>
        <v/>
      </c>
      <c r="F123" s="1" t="str">
        <f aca="false">IF($Q123="","",IF(OR($D123="spend",$D123="mfree",$D123="pot"),CHOOSE($I123,Slot1_Paid,Slot2_Paid,Slot3_Paid,Slot4_Paid,Slot5_Paid,Slot6_Paid,Slot7_Paid,Slot8_Paid,Slot9_Paid,Slot10_Paid,Slot11_Paid,Slot12_Paid,Slot13_Paid,Slot14_Paid,Slot15_Paid,Slot16_Paid,Slot17_Paid,Slot18_Paid,Slot19_Paid,Slot20_Paid),IF($D123="retire",SUMIFS('Plan cashflow'!$TS$8:$TS$97,'Plan cashflow'!$C$8:$C$97,1),IF($D123="legacy",MIN(E123,INDEX('Plan cashflow'!$QJ$8:$QJ$97,F_N+1)+INDEX('Plan cashflow'!$QK$8:$QK$97,F_N+1)),0))))</f>
        <v/>
      </c>
      <c r="G123" s="1" t="str">
        <f aca="false">IF($Q123="","",IF($D123="retire",IF(SUM('Plan cashflow'!$UG$8:$UG$97)&gt;0,MIN(IF(E123&gt;0,IF(F123&gt;=E123-1,100,MIN(PR_PctCap,MAX(0,INT(F123/E123*100)))),100),94),IF(E123&gt;0,IF(F123&gt;=E123-1,100,MIN(PR_PctCap,MAX(0,INT(F123/E123*100)))),100)),IF(E123&gt;0,IF(F123&gt;=E123-1,100,MIN(PR_PctCap,MAX(0,INT(F123/E123*100)))),100)))</f>
        <v/>
      </c>
      <c r="H123" s="1" t="str">
        <f aca="false">IF(G123="","",IF(G123&gt;=PR_Good,"good",IF(G123&gt;=PR_Nudge,"nudge","alert")))</f>
        <v/>
      </c>
      <c r="I123" s="1" t="str">
        <f aca="false">IF(OR($D123="spend",$D123="mfree",$D123="pot"),INDEX(GL_Pos,14),"")</f>
        <v/>
      </c>
      <c r="J123" s="1" t="str">
        <f aca="false">IF(OR($D123="spend",$D123="mfree",$D123="pot"),CHOOSE($I123,Slot1_NeedM,Slot2_NeedM,Slot3_NeedM,Slot4_NeedM,Slot5_NeedM,Slot6_NeedM,Slot7_NeedM,Slot8_NeedM,Slot9_NeedM,Slot10_NeedM,Slot11_NeedM,Slot12_NeedM,Slot13_NeedM,Slot14_NeedM,Slot15_NeedM,Slot16_NeedM,Slot17_NeedM,Slot18_NeedM,Slot19_NeedM,Slot20_NeedM),"")</f>
        <v/>
      </c>
      <c r="K123" s="1" t="str">
        <f aca="false">IF(OR($D123="spend",$D123="mfree",$D123="pot"),CHOOSE($I123,Slot1_AvgM,Slot2_AvgM,Slot3_AvgM,Slot4_AvgM,Slot5_AvgM,Slot6_AvgM,Slot7_AvgM,Slot8_AvgM,Slot9_AvgM,Slot10_AvgM,Slot11_AvgM,Slot12_AvgM,Slot13_AvgM,Slot14_AvgM,Slot15_AvgM,Slot16_AvgM,Slot17_AvgM,Slot18_AvgM,Slot19_AvgM,Slot20_AvgM),"")</f>
        <v/>
      </c>
      <c r="L123" s="94"/>
      <c r="M123" s="1" t="str">
        <f aca="false">IF(NOT(OR($D123="spend",$D123="mfree",$D123="pot")),"",IF(AND($D123="mfree",In_home&lt;&gt;"",In_home&lt;&gt;"Own with mortgage"),"No mortgage in Your finances: remove this goal, or add your mortgage",IF(G123&gt;=100,"Fully funded"&amp;IF(K123&gt;0," · on average you'll put "&amp;"€"&amp;TEXT(ROUND(K123,0),"#,##0")&amp;" a month",""),IF(AB123="","Type the extra the what-if search finds in column L to see this line",IF(IF(AB123="none",TRUE(),K123+AB123&gt;Save_SurplusM),"Needs about "&amp;"€"&amp;TEXT(ROUND(IF(AB123="none",MAX(J123,K123+5),K123+AB123),0),"#,##0")&amp;" a month, more than your spare money · on average you'll put "&amp;"€"&amp;TEXT(ROUND(K123,0),"#,##0")&amp;" a month","Needs about "&amp;"€"&amp;TEXT(ROUND(K123+AB123,0),"#,##0")&amp;" a month · on average you'll put "&amp;"€"&amp;TEXT(ROUND(K123,0),"#,##0")&amp;" a month")))))</f>
        <v/>
      </c>
      <c r="N123" s="1" t="str">
        <f aca="false">IF($Q123="","",INDEX(GL_AgeT,14))</f>
        <v/>
      </c>
      <c r="O123" s="1" t="str">
        <f aca="false">IF(AND($Q123&lt;&gt;"",G123&gt;=PR_Good,Findings_Over=0),G123*1000000-N123*1000-14,"")</f>
        <v/>
      </c>
      <c r="P123" s="1" t="str">
        <f aca="false">IF($Q123="","",G123*1000000+N123*1000+14)</f>
        <v/>
      </c>
      <c r="Q123" s="1" t="str">
        <f aca="false">INDEX(GL_Key,14)</f>
        <v/>
      </c>
      <c r="R123" s="1" t="n">
        <f aca="false">IF(G123="",0,G123)</f>
        <v>0</v>
      </c>
      <c r="S123" s="1" t="str">
        <f aca="false">IF($Q123="","",IFERROR(INDEX(Goal_Specs,MATCH($Q123,Goal_Keys,0)),""))</f>
        <v/>
      </c>
      <c r="T123" s="1" t="n">
        <f aca="false">IF($Q123="",9999,G123)</f>
        <v>9999</v>
      </c>
      <c r="U123" s="1" t="str">
        <f aca="false">IF($Q123="","",IF($D123="legacy","at the end of your plan"&amp;IF(Has_a_planEnd=1," ("&amp;AS_End&amp;")",""),IF(INDEX(GL_AgeT,14)&lt;F_Age,"Date has passed",IF($D123="retire",IF(Has_retireAge=1,"at "&amp;INDEX(GL_AgeT,14),"at an age you haven't chosen yet"),"in "&amp;(INDEX(GL_AgeRaw,14)-F_Age)&amp;IF(INDEX(GL_AgeRaw,14)-F_Age=1," year"," years")))))</f>
        <v/>
      </c>
      <c r="V123" s="1" t="str">
        <f aca="false">IF(AND($Q123="safety",F_EssM&gt;0,INDEX(GL_Amount,14)&gt;0),ROUND(INDEX(GL_Amount,14)/F_EssM*10,0)/10,"")</f>
        <v/>
      </c>
      <c r="W123" s="1" t="str">
        <f aca="false">IF($Q123="","",AS_Year0+INDEX(GL_AgeT,14)-F_Age)</f>
        <v/>
      </c>
      <c r="X123" s="1" t="str">
        <f aca="false">IF($Q123="","",IF(AND($D123&lt;&gt;"legacy",INDEX(GL_AgeT,14)&lt;F_Age),"Date has passed",IF($D123="retire","Age ","age ")&amp;INDEX(GL_AgeT,14)&amp;" · "&amp;W123))</f>
        <v/>
      </c>
      <c r="Y123" s="1" t="str">
        <f aca="false">IF($Q123="","",G123*1000+IF($D123="legacy",AS_End,INDEX(GL_AgeT,14)))</f>
        <v/>
      </c>
      <c r="Z123" s="94"/>
      <c r="AA123" s="1" t="str">
        <f aca="false">IF($Q123="","",IF(IF(Z123&lt;&gt;"",Z123,IF(AND(WI_M=0,WI_L=0),G123,""))="","",IF(IF(Z123&lt;&gt;"",Z123,G123)&lt;&gt;G123,C123&amp;" goes from "&amp;IF(Z123&lt;&gt;"",Z123,G123)&amp;"% to "&amp;G123&amp;"%","")))</f>
        <v/>
      </c>
      <c r="AB123" s="1" t="str">
        <f aca="false">IF(ISBLANK(L123),IF(AND(Fill_Example="Yes",FALSE()),"",""),L123)</f>
        <v/>
      </c>
    </row>
    <row r="124" customFormat="false" ht="15" hidden="false" customHeight="true" outlineLevel="0" collapsed="false">
      <c r="B124" s="1" t="n">
        <v>15</v>
      </c>
      <c r="C124" s="1" t="str">
        <f aca="false">IF($Q124="","",INDEX(GL_Name,15))</f>
        <v/>
      </c>
      <c r="D124" s="1" t="str">
        <f aca="false">INDEX(GL_Kind,15)</f>
        <v/>
      </c>
      <c r="E124" s="1" t="str">
        <f aca="false">IF($Q124="","",IF(OR($D124="spend",$D124="mfree",$D124="pot"),CHOOSE($I124,Slot1_Cost,Slot2_Cost,Slot3_Cost,Slot4_Cost,Slot5_Cost,Slot6_Cost,Slot7_Cost,Slot8_Cost,Slot9_Cost,Slot10_Cost,Slot11_Cost,Slot12_Cost,Slot13_Cost,Slot14_Cost,Slot15_Cost,Slot16_Cost,Slot17_Cost,Slot18_Cost,Slot19_Cost,Slot20_Cost),IF($D124="retire",SUMIFS('Plan cashflow'!$TR$8:$TR$97,'Plan cashflow'!$C$8:$C$97,1),IF($D124="legacy",INDEX(GL_Amount,15)*(1+AS_Infl)^F_N,0))))</f>
        <v/>
      </c>
      <c r="F124" s="1" t="str">
        <f aca="false">IF($Q124="","",IF(OR($D124="spend",$D124="mfree",$D124="pot"),CHOOSE($I124,Slot1_Paid,Slot2_Paid,Slot3_Paid,Slot4_Paid,Slot5_Paid,Slot6_Paid,Slot7_Paid,Slot8_Paid,Slot9_Paid,Slot10_Paid,Slot11_Paid,Slot12_Paid,Slot13_Paid,Slot14_Paid,Slot15_Paid,Slot16_Paid,Slot17_Paid,Slot18_Paid,Slot19_Paid,Slot20_Paid),IF($D124="retire",SUMIFS('Plan cashflow'!$TS$8:$TS$97,'Plan cashflow'!$C$8:$C$97,1),IF($D124="legacy",MIN(E124,INDEX('Plan cashflow'!$QJ$8:$QJ$97,F_N+1)+INDEX('Plan cashflow'!$QK$8:$QK$97,F_N+1)),0))))</f>
        <v/>
      </c>
      <c r="G124" s="1" t="str">
        <f aca="false">IF($Q124="","",IF($D124="retire",IF(SUM('Plan cashflow'!$UG$8:$UG$97)&gt;0,MIN(IF(E124&gt;0,IF(F124&gt;=E124-1,100,MIN(PR_PctCap,MAX(0,INT(F124/E124*100)))),100),94),IF(E124&gt;0,IF(F124&gt;=E124-1,100,MIN(PR_PctCap,MAX(0,INT(F124/E124*100)))),100)),IF(E124&gt;0,IF(F124&gt;=E124-1,100,MIN(PR_PctCap,MAX(0,INT(F124/E124*100)))),100)))</f>
        <v/>
      </c>
      <c r="H124" s="1" t="str">
        <f aca="false">IF(G124="","",IF(G124&gt;=PR_Good,"good",IF(G124&gt;=PR_Nudge,"nudge","alert")))</f>
        <v/>
      </c>
      <c r="I124" s="1" t="str">
        <f aca="false">IF(OR($D124="spend",$D124="mfree",$D124="pot"),INDEX(GL_Pos,15),"")</f>
        <v/>
      </c>
      <c r="J124" s="1" t="str">
        <f aca="false">IF(OR($D124="spend",$D124="mfree",$D124="pot"),CHOOSE($I124,Slot1_NeedM,Slot2_NeedM,Slot3_NeedM,Slot4_NeedM,Slot5_NeedM,Slot6_NeedM,Slot7_NeedM,Slot8_NeedM,Slot9_NeedM,Slot10_NeedM,Slot11_NeedM,Slot12_NeedM,Slot13_NeedM,Slot14_NeedM,Slot15_NeedM,Slot16_NeedM,Slot17_NeedM,Slot18_NeedM,Slot19_NeedM,Slot20_NeedM),"")</f>
        <v/>
      </c>
      <c r="K124" s="1" t="str">
        <f aca="false">IF(OR($D124="spend",$D124="mfree",$D124="pot"),CHOOSE($I124,Slot1_AvgM,Slot2_AvgM,Slot3_AvgM,Slot4_AvgM,Slot5_AvgM,Slot6_AvgM,Slot7_AvgM,Slot8_AvgM,Slot9_AvgM,Slot10_AvgM,Slot11_AvgM,Slot12_AvgM,Slot13_AvgM,Slot14_AvgM,Slot15_AvgM,Slot16_AvgM,Slot17_AvgM,Slot18_AvgM,Slot19_AvgM,Slot20_AvgM),"")</f>
        <v/>
      </c>
      <c r="L124" s="94"/>
      <c r="M124" s="1" t="str">
        <f aca="false">IF(NOT(OR($D124="spend",$D124="mfree",$D124="pot")),"",IF(AND($D124="mfree",In_home&lt;&gt;"",In_home&lt;&gt;"Own with mortgage"),"No mortgage in Your finances: remove this goal, or add your mortgage",IF(G124&gt;=100,"Fully funded"&amp;IF(K124&gt;0," · on average you'll put "&amp;"€"&amp;TEXT(ROUND(K124,0),"#,##0")&amp;" a month",""),IF(AB124="","Type the extra the what-if search finds in column L to see this line",IF(IF(AB124="none",TRUE(),K124+AB124&gt;Save_SurplusM),"Needs about "&amp;"€"&amp;TEXT(ROUND(IF(AB124="none",MAX(J124,K124+5),K124+AB124),0),"#,##0")&amp;" a month, more than your spare money · on average you'll put "&amp;"€"&amp;TEXT(ROUND(K124,0),"#,##0")&amp;" a month","Needs about "&amp;"€"&amp;TEXT(ROUND(K124+AB124,0),"#,##0")&amp;" a month · on average you'll put "&amp;"€"&amp;TEXT(ROUND(K124,0),"#,##0")&amp;" a month")))))</f>
        <v/>
      </c>
      <c r="N124" s="1" t="str">
        <f aca="false">IF($Q124="","",INDEX(GL_AgeT,15))</f>
        <v/>
      </c>
      <c r="O124" s="1" t="str">
        <f aca="false">IF(AND($Q124&lt;&gt;"",G124&gt;=PR_Good,Findings_Over=0),G124*1000000-N124*1000-15,"")</f>
        <v/>
      </c>
      <c r="P124" s="1" t="str">
        <f aca="false">IF($Q124="","",G124*1000000+N124*1000+15)</f>
        <v/>
      </c>
      <c r="Q124" s="1" t="str">
        <f aca="false">INDEX(GL_Key,15)</f>
        <v/>
      </c>
      <c r="R124" s="1" t="n">
        <f aca="false">IF(G124="",0,G124)</f>
        <v>0</v>
      </c>
      <c r="S124" s="1" t="str">
        <f aca="false">IF($Q124="","",IFERROR(INDEX(Goal_Specs,MATCH($Q124,Goal_Keys,0)),""))</f>
        <v/>
      </c>
      <c r="T124" s="1" t="n">
        <f aca="false">IF($Q124="",9999,G124)</f>
        <v>9999</v>
      </c>
      <c r="U124" s="1" t="str">
        <f aca="false">IF($Q124="","",IF($D124="legacy","at the end of your plan"&amp;IF(Has_a_planEnd=1," ("&amp;AS_End&amp;")",""),IF(INDEX(GL_AgeT,15)&lt;F_Age,"Date has passed",IF($D124="retire",IF(Has_retireAge=1,"at "&amp;INDEX(GL_AgeT,15),"at an age you haven't chosen yet"),"in "&amp;(INDEX(GL_AgeRaw,15)-F_Age)&amp;IF(INDEX(GL_AgeRaw,15)-F_Age=1," year"," years")))))</f>
        <v/>
      </c>
      <c r="V124" s="1" t="str">
        <f aca="false">IF(AND($Q124="safety",F_EssM&gt;0,INDEX(GL_Amount,15)&gt;0),ROUND(INDEX(GL_Amount,15)/F_EssM*10,0)/10,"")</f>
        <v/>
      </c>
      <c r="W124" s="1" t="str">
        <f aca="false">IF($Q124="","",AS_Year0+INDEX(GL_AgeT,15)-F_Age)</f>
        <v/>
      </c>
      <c r="X124" s="1" t="str">
        <f aca="false">IF($Q124="","",IF(AND($D124&lt;&gt;"legacy",INDEX(GL_AgeT,15)&lt;F_Age),"Date has passed",IF($D124="retire","Age ","age ")&amp;INDEX(GL_AgeT,15)&amp;" · "&amp;W124))</f>
        <v/>
      </c>
      <c r="Y124" s="1" t="str">
        <f aca="false">IF($Q124="","",G124*1000+IF($D124="legacy",AS_End,INDEX(GL_AgeT,15)))</f>
        <v/>
      </c>
      <c r="Z124" s="94"/>
      <c r="AA124" s="1" t="str">
        <f aca="false">IF($Q124="","",IF(IF(Z124&lt;&gt;"",Z124,IF(AND(WI_M=0,WI_L=0),G124,""))="","",IF(IF(Z124&lt;&gt;"",Z124,G124)&lt;&gt;G124,C124&amp;" goes from "&amp;IF(Z124&lt;&gt;"",Z124,G124)&amp;"% to "&amp;G124&amp;"%","")))</f>
        <v/>
      </c>
      <c r="AB124" s="1" t="str">
        <f aca="false">IF(ISBLANK(L124),IF(AND(Fill_Example="Yes",FALSE()),"",""),L124)</f>
        <v/>
      </c>
    </row>
    <row r="125" customFormat="false" ht="15" hidden="false" customHeight="true" outlineLevel="0" collapsed="false">
      <c r="B125" s="1" t="n">
        <v>16</v>
      </c>
      <c r="C125" s="1" t="str">
        <f aca="false">IF($Q125="","",INDEX(GL_Name,16))</f>
        <v/>
      </c>
      <c r="D125" s="1" t="str">
        <f aca="false">INDEX(GL_Kind,16)</f>
        <v/>
      </c>
      <c r="E125" s="1" t="str">
        <f aca="false">IF($Q125="","",IF(OR($D125="spend",$D125="mfree",$D125="pot"),CHOOSE($I125,Slot1_Cost,Slot2_Cost,Slot3_Cost,Slot4_Cost,Slot5_Cost,Slot6_Cost,Slot7_Cost,Slot8_Cost,Slot9_Cost,Slot10_Cost,Slot11_Cost,Slot12_Cost,Slot13_Cost,Slot14_Cost,Slot15_Cost,Slot16_Cost,Slot17_Cost,Slot18_Cost,Slot19_Cost,Slot20_Cost),IF($D125="retire",SUMIFS('Plan cashflow'!$TR$8:$TR$97,'Plan cashflow'!$C$8:$C$97,1),IF($D125="legacy",INDEX(GL_Amount,16)*(1+AS_Infl)^F_N,0))))</f>
        <v/>
      </c>
      <c r="F125" s="1" t="str">
        <f aca="false">IF($Q125="","",IF(OR($D125="spend",$D125="mfree",$D125="pot"),CHOOSE($I125,Slot1_Paid,Slot2_Paid,Slot3_Paid,Slot4_Paid,Slot5_Paid,Slot6_Paid,Slot7_Paid,Slot8_Paid,Slot9_Paid,Slot10_Paid,Slot11_Paid,Slot12_Paid,Slot13_Paid,Slot14_Paid,Slot15_Paid,Slot16_Paid,Slot17_Paid,Slot18_Paid,Slot19_Paid,Slot20_Paid),IF($D125="retire",SUMIFS('Plan cashflow'!$TS$8:$TS$97,'Plan cashflow'!$C$8:$C$97,1),IF($D125="legacy",MIN(E125,INDEX('Plan cashflow'!$QJ$8:$QJ$97,F_N+1)+INDEX('Plan cashflow'!$QK$8:$QK$97,F_N+1)),0))))</f>
        <v/>
      </c>
      <c r="G125" s="1" t="str">
        <f aca="false">IF($Q125="","",IF($D125="retire",IF(SUM('Plan cashflow'!$UG$8:$UG$97)&gt;0,MIN(IF(E125&gt;0,IF(F125&gt;=E125-1,100,MIN(PR_PctCap,MAX(0,INT(F125/E125*100)))),100),94),IF(E125&gt;0,IF(F125&gt;=E125-1,100,MIN(PR_PctCap,MAX(0,INT(F125/E125*100)))),100)),IF(E125&gt;0,IF(F125&gt;=E125-1,100,MIN(PR_PctCap,MAX(0,INT(F125/E125*100)))),100)))</f>
        <v/>
      </c>
      <c r="H125" s="1" t="str">
        <f aca="false">IF(G125="","",IF(G125&gt;=PR_Good,"good",IF(G125&gt;=PR_Nudge,"nudge","alert")))</f>
        <v/>
      </c>
      <c r="I125" s="1" t="str">
        <f aca="false">IF(OR($D125="spend",$D125="mfree",$D125="pot"),INDEX(GL_Pos,16),"")</f>
        <v/>
      </c>
      <c r="J125" s="1" t="str">
        <f aca="false">IF(OR($D125="spend",$D125="mfree",$D125="pot"),CHOOSE($I125,Slot1_NeedM,Slot2_NeedM,Slot3_NeedM,Slot4_NeedM,Slot5_NeedM,Slot6_NeedM,Slot7_NeedM,Slot8_NeedM,Slot9_NeedM,Slot10_NeedM,Slot11_NeedM,Slot12_NeedM,Slot13_NeedM,Slot14_NeedM,Slot15_NeedM,Slot16_NeedM,Slot17_NeedM,Slot18_NeedM,Slot19_NeedM,Slot20_NeedM),"")</f>
        <v/>
      </c>
      <c r="K125" s="1" t="str">
        <f aca="false">IF(OR($D125="spend",$D125="mfree",$D125="pot"),CHOOSE($I125,Slot1_AvgM,Slot2_AvgM,Slot3_AvgM,Slot4_AvgM,Slot5_AvgM,Slot6_AvgM,Slot7_AvgM,Slot8_AvgM,Slot9_AvgM,Slot10_AvgM,Slot11_AvgM,Slot12_AvgM,Slot13_AvgM,Slot14_AvgM,Slot15_AvgM,Slot16_AvgM,Slot17_AvgM,Slot18_AvgM,Slot19_AvgM,Slot20_AvgM),"")</f>
        <v/>
      </c>
      <c r="L125" s="94"/>
      <c r="M125" s="1" t="str">
        <f aca="false">IF(NOT(OR($D125="spend",$D125="mfree",$D125="pot")),"",IF(AND($D125="mfree",In_home&lt;&gt;"",In_home&lt;&gt;"Own with mortgage"),"No mortgage in Your finances: remove this goal, or add your mortgage",IF(G125&gt;=100,"Fully funded"&amp;IF(K125&gt;0," · on average you'll put "&amp;"€"&amp;TEXT(ROUND(K125,0),"#,##0")&amp;" a month",""),IF(AB125="","Type the extra the what-if search finds in column L to see this line",IF(IF(AB125="none",TRUE(),K125+AB125&gt;Save_SurplusM),"Needs about "&amp;"€"&amp;TEXT(ROUND(IF(AB125="none",MAX(J125,K125+5),K125+AB125),0),"#,##0")&amp;" a month, more than your spare money · on average you'll put "&amp;"€"&amp;TEXT(ROUND(K125,0),"#,##0")&amp;" a month","Needs about "&amp;"€"&amp;TEXT(ROUND(K125+AB125,0),"#,##0")&amp;" a month · on average you'll put "&amp;"€"&amp;TEXT(ROUND(K125,0),"#,##0")&amp;" a month")))))</f>
        <v/>
      </c>
      <c r="N125" s="1" t="str">
        <f aca="false">IF($Q125="","",INDEX(GL_AgeT,16))</f>
        <v/>
      </c>
      <c r="O125" s="1" t="str">
        <f aca="false">IF(AND($Q125&lt;&gt;"",G125&gt;=PR_Good,Findings_Over=0),G125*1000000-N125*1000-16,"")</f>
        <v/>
      </c>
      <c r="P125" s="1" t="str">
        <f aca="false">IF($Q125="","",G125*1000000+N125*1000+16)</f>
        <v/>
      </c>
      <c r="Q125" s="1" t="str">
        <f aca="false">INDEX(GL_Key,16)</f>
        <v/>
      </c>
      <c r="R125" s="1" t="n">
        <f aca="false">IF(G125="",0,G125)</f>
        <v>0</v>
      </c>
      <c r="S125" s="1" t="str">
        <f aca="false">IF($Q125="","",IFERROR(INDEX(Goal_Specs,MATCH($Q125,Goal_Keys,0)),""))</f>
        <v/>
      </c>
      <c r="T125" s="1" t="n">
        <f aca="false">IF($Q125="",9999,G125)</f>
        <v>9999</v>
      </c>
      <c r="U125" s="1" t="str">
        <f aca="false">IF($Q125="","",IF($D125="legacy","at the end of your plan"&amp;IF(Has_a_planEnd=1," ("&amp;AS_End&amp;")",""),IF(INDEX(GL_AgeT,16)&lt;F_Age,"Date has passed",IF($D125="retire",IF(Has_retireAge=1,"at "&amp;INDEX(GL_AgeT,16),"at an age you haven't chosen yet"),"in "&amp;(INDEX(GL_AgeRaw,16)-F_Age)&amp;IF(INDEX(GL_AgeRaw,16)-F_Age=1," year"," years")))))</f>
        <v/>
      </c>
      <c r="V125" s="1" t="str">
        <f aca="false">IF(AND($Q125="safety",F_EssM&gt;0,INDEX(GL_Amount,16)&gt;0),ROUND(INDEX(GL_Amount,16)/F_EssM*10,0)/10,"")</f>
        <v/>
      </c>
      <c r="W125" s="1" t="str">
        <f aca="false">IF($Q125="","",AS_Year0+INDEX(GL_AgeT,16)-F_Age)</f>
        <v/>
      </c>
      <c r="X125" s="1" t="str">
        <f aca="false">IF($Q125="","",IF(AND($D125&lt;&gt;"legacy",INDEX(GL_AgeT,16)&lt;F_Age),"Date has passed",IF($D125="retire","Age ","age ")&amp;INDEX(GL_AgeT,16)&amp;" · "&amp;W125))</f>
        <v/>
      </c>
      <c r="Y125" s="1" t="str">
        <f aca="false">IF($Q125="","",G125*1000+IF($D125="legacy",AS_End,INDEX(GL_AgeT,16)))</f>
        <v/>
      </c>
      <c r="Z125" s="94"/>
      <c r="AA125" s="1" t="str">
        <f aca="false">IF($Q125="","",IF(IF(Z125&lt;&gt;"",Z125,IF(AND(WI_M=0,WI_L=0),G125,""))="","",IF(IF(Z125&lt;&gt;"",Z125,G125)&lt;&gt;G125,C125&amp;" goes from "&amp;IF(Z125&lt;&gt;"",Z125,G125)&amp;"% to "&amp;G125&amp;"%","")))</f>
        <v/>
      </c>
      <c r="AB125" s="1" t="str">
        <f aca="false">IF(ISBLANK(L125),IF(AND(Fill_Example="Yes",FALSE()),"",""),L125)</f>
        <v/>
      </c>
    </row>
    <row r="126" customFormat="false" ht="15" hidden="false" customHeight="true" outlineLevel="0" collapsed="false">
      <c r="B126" s="1" t="n">
        <v>17</v>
      </c>
      <c r="C126" s="1" t="str">
        <f aca="false">IF($Q126="","",INDEX(GL_Name,17))</f>
        <v/>
      </c>
      <c r="D126" s="1" t="str">
        <f aca="false">INDEX(GL_Kind,17)</f>
        <v/>
      </c>
      <c r="E126" s="1" t="str">
        <f aca="false">IF($Q126="","",IF(OR($D126="spend",$D126="mfree",$D126="pot"),CHOOSE($I126,Slot1_Cost,Slot2_Cost,Slot3_Cost,Slot4_Cost,Slot5_Cost,Slot6_Cost,Slot7_Cost,Slot8_Cost,Slot9_Cost,Slot10_Cost,Slot11_Cost,Slot12_Cost,Slot13_Cost,Slot14_Cost,Slot15_Cost,Slot16_Cost,Slot17_Cost,Slot18_Cost,Slot19_Cost,Slot20_Cost),IF($D126="retire",SUMIFS('Plan cashflow'!$TR$8:$TR$97,'Plan cashflow'!$C$8:$C$97,1),IF($D126="legacy",INDEX(GL_Amount,17)*(1+AS_Infl)^F_N,0))))</f>
        <v/>
      </c>
      <c r="F126" s="1" t="str">
        <f aca="false">IF($Q126="","",IF(OR($D126="spend",$D126="mfree",$D126="pot"),CHOOSE($I126,Slot1_Paid,Slot2_Paid,Slot3_Paid,Slot4_Paid,Slot5_Paid,Slot6_Paid,Slot7_Paid,Slot8_Paid,Slot9_Paid,Slot10_Paid,Slot11_Paid,Slot12_Paid,Slot13_Paid,Slot14_Paid,Slot15_Paid,Slot16_Paid,Slot17_Paid,Slot18_Paid,Slot19_Paid,Slot20_Paid),IF($D126="retire",SUMIFS('Plan cashflow'!$TS$8:$TS$97,'Plan cashflow'!$C$8:$C$97,1),IF($D126="legacy",MIN(E126,INDEX('Plan cashflow'!$QJ$8:$QJ$97,F_N+1)+INDEX('Plan cashflow'!$QK$8:$QK$97,F_N+1)),0))))</f>
        <v/>
      </c>
      <c r="G126" s="1" t="str">
        <f aca="false">IF($Q126="","",IF($D126="retire",IF(SUM('Plan cashflow'!$UG$8:$UG$97)&gt;0,MIN(IF(E126&gt;0,IF(F126&gt;=E126-1,100,MIN(PR_PctCap,MAX(0,INT(F126/E126*100)))),100),94),IF(E126&gt;0,IF(F126&gt;=E126-1,100,MIN(PR_PctCap,MAX(0,INT(F126/E126*100)))),100)),IF(E126&gt;0,IF(F126&gt;=E126-1,100,MIN(PR_PctCap,MAX(0,INT(F126/E126*100)))),100)))</f>
        <v/>
      </c>
      <c r="H126" s="1" t="str">
        <f aca="false">IF(G126="","",IF(G126&gt;=PR_Good,"good",IF(G126&gt;=PR_Nudge,"nudge","alert")))</f>
        <v/>
      </c>
      <c r="I126" s="1" t="str">
        <f aca="false">IF(OR($D126="spend",$D126="mfree",$D126="pot"),INDEX(GL_Pos,17),"")</f>
        <v/>
      </c>
      <c r="J126" s="1" t="str">
        <f aca="false">IF(OR($D126="spend",$D126="mfree",$D126="pot"),CHOOSE($I126,Slot1_NeedM,Slot2_NeedM,Slot3_NeedM,Slot4_NeedM,Slot5_NeedM,Slot6_NeedM,Slot7_NeedM,Slot8_NeedM,Slot9_NeedM,Slot10_NeedM,Slot11_NeedM,Slot12_NeedM,Slot13_NeedM,Slot14_NeedM,Slot15_NeedM,Slot16_NeedM,Slot17_NeedM,Slot18_NeedM,Slot19_NeedM,Slot20_NeedM),"")</f>
        <v/>
      </c>
      <c r="K126" s="1" t="str">
        <f aca="false">IF(OR($D126="spend",$D126="mfree",$D126="pot"),CHOOSE($I126,Slot1_AvgM,Slot2_AvgM,Slot3_AvgM,Slot4_AvgM,Slot5_AvgM,Slot6_AvgM,Slot7_AvgM,Slot8_AvgM,Slot9_AvgM,Slot10_AvgM,Slot11_AvgM,Slot12_AvgM,Slot13_AvgM,Slot14_AvgM,Slot15_AvgM,Slot16_AvgM,Slot17_AvgM,Slot18_AvgM,Slot19_AvgM,Slot20_AvgM),"")</f>
        <v/>
      </c>
      <c r="L126" s="94"/>
      <c r="M126" s="1" t="str">
        <f aca="false">IF(NOT(OR($D126="spend",$D126="mfree",$D126="pot")),"",IF(AND($D126="mfree",In_home&lt;&gt;"",In_home&lt;&gt;"Own with mortgage"),"No mortgage in Your finances: remove this goal, or add your mortgage",IF(G126&gt;=100,"Fully funded"&amp;IF(K126&gt;0," · on average you'll put "&amp;"€"&amp;TEXT(ROUND(K126,0),"#,##0")&amp;" a month",""),IF(AB126="","Type the extra the what-if search finds in column L to see this line",IF(IF(AB126="none",TRUE(),K126+AB126&gt;Save_SurplusM),"Needs about "&amp;"€"&amp;TEXT(ROUND(IF(AB126="none",MAX(J126,K126+5),K126+AB126),0),"#,##0")&amp;" a month, more than your spare money · on average you'll put "&amp;"€"&amp;TEXT(ROUND(K126,0),"#,##0")&amp;" a month","Needs about "&amp;"€"&amp;TEXT(ROUND(K126+AB126,0),"#,##0")&amp;" a month · on average you'll put "&amp;"€"&amp;TEXT(ROUND(K126,0),"#,##0")&amp;" a month")))))</f>
        <v/>
      </c>
      <c r="N126" s="1" t="str">
        <f aca="false">IF($Q126="","",INDEX(GL_AgeT,17))</f>
        <v/>
      </c>
      <c r="O126" s="1" t="str">
        <f aca="false">IF(AND($Q126&lt;&gt;"",G126&gt;=PR_Good,Findings_Over=0),G126*1000000-N126*1000-17,"")</f>
        <v/>
      </c>
      <c r="P126" s="1" t="str">
        <f aca="false">IF($Q126="","",G126*1000000+N126*1000+17)</f>
        <v/>
      </c>
      <c r="Q126" s="1" t="str">
        <f aca="false">INDEX(GL_Key,17)</f>
        <v/>
      </c>
      <c r="R126" s="1" t="n">
        <f aca="false">IF(G126="",0,G126)</f>
        <v>0</v>
      </c>
      <c r="S126" s="1" t="str">
        <f aca="false">IF($Q126="","",IFERROR(INDEX(Goal_Specs,MATCH($Q126,Goal_Keys,0)),""))</f>
        <v/>
      </c>
      <c r="T126" s="1" t="n">
        <f aca="false">IF($Q126="",9999,G126)</f>
        <v>9999</v>
      </c>
      <c r="U126" s="1" t="str">
        <f aca="false">IF($Q126="","",IF($D126="legacy","at the end of your plan"&amp;IF(Has_a_planEnd=1," ("&amp;AS_End&amp;")",""),IF(INDEX(GL_AgeT,17)&lt;F_Age,"Date has passed",IF($D126="retire",IF(Has_retireAge=1,"at "&amp;INDEX(GL_AgeT,17),"at an age you haven't chosen yet"),"in "&amp;(INDEX(GL_AgeRaw,17)-F_Age)&amp;IF(INDEX(GL_AgeRaw,17)-F_Age=1," year"," years")))))</f>
        <v/>
      </c>
      <c r="V126" s="1" t="str">
        <f aca="false">IF(AND($Q126="safety",F_EssM&gt;0,INDEX(GL_Amount,17)&gt;0),ROUND(INDEX(GL_Amount,17)/F_EssM*10,0)/10,"")</f>
        <v/>
      </c>
      <c r="W126" s="1" t="str">
        <f aca="false">IF($Q126="","",AS_Year0+INDEX(GL_AgeT,17)-F_Age)</f>
        <v/>
      </c>
      <c r="X126" s="1" t="str">
        <f aca="false">IF($Q126="","",IF(AND($D126&lt;&gt;"legacy",INDEX(GL_AgeT,17)&lt;F_Age),"Date has passed",IF($D126="retire","Age ","age ")&amp;INDEX(GL_AgeT,17)&amp;" · "&amp;W126))</f>
        <v/>
      </c>
      <c r="Y126" s="1" t="str">
        <f aca="false">IF($Q126="","",G126*1000+IF($D126="legacy",AS_End,INDEX(GL_AgeT,17)))</f>
        <v/>
      </c>
      <c r="Z126" s="94"/>
      <c r="AA126" s="1" t="str">
        <f aca="false">IF($Q126="","",IF(IF(Z126&lt;&gt;"",Z126,IF(AND(WI_M=0,WI_L=0),G126,""))="","",IF(IF(Z126&lt;&gt;"",Z126,G126)&lt;&gt;G126,C126&amp;" goes from "&amp;IF(Z126&lt;&gt;"",Z126,G126)&amp;"% to "&amp;G126&amp;"%","")))</f>
        <v/>
      </c>
      <c r="AB126" s="1" t="str">
        <f aca="false">IF(ISBLANK(L126),IF(AND(Fill_Example="Yes",FALSE()),"",""),L126)</f>
        <v/>
      </c>
    </row>
    <row r="127" customFormat="false" ht="15" hidden="false" customHeight="true" outlineLevel="0" collapsed="false">
      <c r="B127" s="1" t="n">
        <v>18</v>
      </c>
      <c r="C127" s="1" t="str">
        <f aca="false">IF($Q127="","",INDEX(GL_Name,18))</f>
        <v/>
      </c>
      <c r="D127" s="1" t="str">
        <f aca="false">INDEX(GL_Kind,18)</f>
        <v/>
      </c>
      <c r="E127" s="1" t="str">
        <f aca="false">IF($Q127="","",IF(OR($D127="spend",$D127="mfree",$D127="pot"),CHOOSE($I127,Slot1_Cost,Slot2_Cost,Slot3_Cost,Slot4_Cost,Slot5_Cost,Slot6_Cost,Slot7_Cost,Slot8_Cost,Slot9_Cost,Slot10_Cost,Slot11_Cost,Slot12_Cost,Slot13_Cost,Slot14_Cost,Slot15_Cost,Slot16_Cost,Slot17_Cost,Slot18_Cost,Slot19_Cost,Slot20_Cost),IF($D127="retire",SUMIFS('Plan cashflow'!$TR$8:$TR$97,'Plan cashflow'!$C$8:$C$97,1),IF($D127="legacy",INDEX(GL_Amount,18)*(1+AS_Infl)^F_N,0))))</f>
        <v/>
      </c>
      <c r="F127" s="1" t="str">
        <f aca="false">IF($Q127="","",IF(OR($D127="spend",$D127="mfree",$D127="pot"),CHOOSE($I127,Slot1_Paid,Slot2_Paid,Slot3_Paid,Slot4_Paid,Slot5_Paid,Slot6_Paid,Slot7_Paid,Slot8_Paid,Slot9_Paid,Slot10_Paid,Slot11_Paid,Slot12_Paid,Slot13_Paid,Slot14_Paid,Slot15_Paid,Slot16_Paid,Slot17_Paid,Slot18_Paid,Slot19_Paid,Slot20_Paid),IF($D127="retire",SUMIFS('Plan cashflow'!$TS$8:$TS$97,'Plan cashflow'!$C$8:$C$97,1),IF($D127="legacy",MIN(E127,INDEX('Plan cashflow'!$QJ$8:$QJ$97,F_N+1)+INDEX('Plan cashflow'!$QK$8:$QK$97,F_N+1)),0))))</f>
        <v/>
      </c>
      <c r="G127" s="1" t="str">
        <f aca="false">IF($Q127="","",IF($D127="retire",IF(SUM('Plan cashflow'!$UG$8:$UG$97)&gt;0,MIN(IF(E127&gt;0,IF(F127&gt;=E127-1,100,MIN(PR_PctCap,MAX(0,INT(F127/E127*100)))),100),94),IF(E127&gt;0,IF(F127&gt;=E127-1,100,MIN(PR_PctCap,MAX(0,INT(F127/E127*100)))),100)),IF(E127&gt;0,IF(F127&gt;=E127-1,100,MIN(PR_PctCap,MAX(0,INT(F127/E127*100)))),100)))</f>
        <v/>
      </c>
      <c r="H127" s="1" t="str">
        <f aca="false">IF(G127="","",IF(G127&gt;=PR_Good,"good",IF(G127&gt;=PR_Nudge,"nudge","alert")))</f>
        <v/>
      </c>
      <c r="I127" s="1" t="str">
        <f aca="false">IF(OR($D127="spend",$D127="mfree",$D127="pot"),INDEX(GL_Pos,18),"")</f>
        <v/>
      </c>
      <c r="J127" s="1" t="str">
        <f aca="false">IF(OR($D127="spend",$D127="mfree",$D127="pot"),CHOOSE($I127,Slot1_NeedM,Slot2_NeedM,Slot3_NeedM,Slot4_NeedM,Slot5_NeedM,Slot6_NeedM,Slot7_NeedM,Slot8_NeedM,Slot9_NeedM,Slot10_NeedM,Slot11_NeedM,Slot12_NeedM,Slot13_NeedM,Slot14_NeedM,Slot15_NeedM,Slot16_NeedM,Slot17_NeedM,Slot18_NeedM,Slot19_NeedM,Slot20_NeedM),"")</f>
        <v/>
      </c>
      <c r="K127" s="1" t="str">
        <f aca="false">IF(OR($D127="spend",$D127="mfree",$D127="pot"),CHOOSE($I127,Slot1_AvgM,Slot2_AvgM,Slot3_AvgM,Slot4_AvgM,Slot5_AvgM,Slot6_AvgM,Slot7_AvgM,Slot8_AvgM,Slot9_AvgM,Slot10_AvgM,Slot11_AvgM,Slot12_AvgM,Slot13_AvgM,Slot14_AvgM,Slot15_AvgM,Slot16_AvgM,Slot17_AvgM,Slot18_AvgM,Slot19_AvgM,Slot20_AvgM),"")</f>
        <v/>
      </c>
      <c r="L127" s="94"/>
      <c r="M127" s="1" t="str">
        <f aca="false">IF(NOT(OR($D127="spend",$D127="mfree",$D127="pot")),"",IF(AND($D127="mfree",In_home&lt;&gt;"",In_home&lt;&gt;"Own with mortgage"),"No mortgage in Your finances: remove this goal, or add your mortgage",IF(G127&gt;=100,"Fully funded"&amp;IF(K127&gt;0," · on average you'll put "&amp;"€"&amp;TEXT(ROUND(K127,0),"#,##0")&amp;" a month",""),IF(AB127="","Type the extra the what-if search finds in column L to see this line",IF(IF(AB127="none",TRUE(),K127+AB127&gt;Save_SurplusM),"Needs about "&amp;"€"&amp;TEXT(ROUND(IF(AB127="none",MAX(J127,K127+5),K127+AB127),0),"#,##0")&amp;" a month, more than your spare money · on average you'll put "&amp;"€"&amp;TEXT(ROUND(K127,0),"#,##0")&amp;" a month","Needs about "&amp;"€"&amp;TEXT(ROUND(K127+AB127,0),"#,##0")&amp;" a month · on average you'll put "&amp;"€"&amp;TEXT(ROUND(K127,0),"#,##0")&amp;" a month")))))</f>
        <v/>
      </c>
      <c r="N127" s="1" t="str">
        <f aca="false">IF($Q127="","",INDEX(GL_AgeT,18))</f>
        <v/>
      </c>
      <c r="O127" s="1" t="str">
        <f aca="false">IF(AND($Q127&lt;&gt;"",G127&gt;=PR_Good,Findings_Over=0),G127*1000000-N127*1000-18,"")</f>
        <v/>
      </c>
      <c r="P127" s="1" t="str">
        <f aca="false">IF($Q127="","",G127*1000000+N127*1000+18)</f>
        <v/>
      </c>
      <c r="Q127" s="1" t="str">
        <f aca="false">INDEX(GL_Key,18)</f>
        <v/>
      </c>
      <c r="R127" s="1" t="n">
        <f aca="false">IF(G127="",0,G127)</f>
        <v>0</v>
      </c>
      <c r="S127" s="1" t="str">
        <f aca="false">IF($Q127="","",IFERROR(INDEX(Goal_Specs,MATCH($Q127,Goal_Keys,0)),""))</f>
        <v/>
      </c>
      <c r="T127" s="1" t="n">
        <f aca="false">IF($Q127="",9999,G127)</f>
        <v>9999</v>
      </c>
      <c r="U127" s="1" t="str">
        <f aca="false">IF($Q127="","",IF($D127="legacy","at the end of your plan"&amp;IF(Has_a_planEnd=1," ("&amp;AS_End&amp;")",""),IF(INDEX(GL_AgeT,18)&lt;F_Age,"Date has passed",IF($D127="retire",IF(Has_retireAge=1,"at "&amp;INDEX(GL_AgeT,18),"at an age you haven't chosen yet"),"in "&amp;(INDEX(GL_AgeRaw,18)-F_Age)&amp;IF(INDEX(GL_AgeRaw,18)-F_Age=1," year"," years")))))</f>
        <v/>
      </c>
      <c r="V127" s="1" t="str">
        <f aca="false">IF(AND($Q127="safety",F_EssM&gt;0,INDEX(GL_Amount,18)&gt;0),ROUND(INDEX(GL_Amount,18)/F_EssM*10,0)/10,"")</f>
        <v/>
      </c>
      <c r="W127" s="1" t="str">
        <f aca="false">IF($Q127="","",AS_Year0+INDEX(GL_AgeT,18)-F_Age)</f>
        <v/>
      </c>
      <c r="X127" s="1" t="str">
        <f aca="false">IF($Q127="","",IF(AND($D127&lt;&gt;"legacy",INDEX(GL_AgeT,18)&lt;F_Age),"Date has passed",IF($D127="retire","Age ","age ")&amp;INDEX(GL_AgeT,18)&amp;" · "&amp;W127))</f>
        <v/>
      </c>
      <c r="Y127" s="1" t="str">
        <f aca="false">IF($Q127="","",G127*1000+IF($D127="legacy",AS_End,INDEX(GL_AgeT,18)))</f>
        <v/>
      </c>
      <c r="Z127" s="94"/>
      <c r="AA127" s="1" t="str">
        <f aca="false">IF($Q127="","",IF(IF(Z127&lt;&gt;"",Z127,IF(AND(WI_M=0,WI_L=0),G127,""))="","",IF(IF(Z127&lt;&gt;"",Z127,G127)&lt;&gt;G127,C127&amp;" goes from "&amp;IF(Z127&lt;&gt;"",Z127,G127)&amp;"% to "&amp;G127&amp;"%","")))</f>
        <v/>
      </c>
      <c r="AB127" s="1" t="str">
        <f aca="false">IF(ISBLANK(L127),IF(AND(Fill_Example="Yes",FALSE()),"",""),L127)</f>
        <v/>
      </c>
    </row>
    <row r="128" customFormat="false" ht="15" hidden="false" customHeight="true" outlineLevel="0" collapsed="false">
      <c r="B128" s="1" t="n">
        <v>19</v>
      </c>
      <c r="C128" s="1" t="str">
        <f aca="false">IF($Q128="","",INDEX(GL_Name,19))</f>
        <v/>
      </c>
      <c r="D128" s="1" t="str">
        <f aca="false">INDEX(GL_Kind,19)</f>
        <v/>
      </c>
      <c r="E128" s="1" t="str">
        <f aca="false">IF($Q128="","",IF(OR($D128="spend",$D128="mfree",$D128="pot"),CHOOSE($I128,Slot1_Cost,Slot2_Cost,Slot3_Cost,Slot4_Cost,Slot5_Cost,Slot6_Cost,Slot7_Cost,Slot8_Cost,Slot9_Cost,Slot10_Cost,Slot11_Cost,Slot12_Cost,Slot13_Cost,Slot14_Cost,Slot15_Cost,Slot16_Cost,Slot17_Cost,Slot18_Cost,Slot19_Cost,Slot20_Cost),IF($D128="retire",SUMIFS('Plan cashflow'!$TR$8:$TR$97,'Plan cashflow'!$C$8:$C$97,1),IF($D128="legacy",INDEX(GL_Amount,19)*(1+AS_Infl)^F_N,0))))</f>
        <v/>
      </c>
      <c r="F128" s="1" t="str">
        <f aca="false">IF($Q128="","",IF(OR($D128="spend",$D128="mfree",$D128="pot"),CHOOSE($I128,Slot1_Paid,Slot2_Paid,Slot3_Paid,Slot4_Paid,Slot5_Paid,Slot6_Paid,Slot7_Paid,Slot8_Paid,Slot9_Paid,Slot10_Paid,Slot11_Paid,Slot12_Paid,Slot13_Paid,Slot14_Paid,Slot15_Paid,Slot16_Paid,Slot17_Paid,Slot18_Paid,Slot19_Paid,Slot20_Paid),IF($D128="retire",SUMIFS('Plan cashflow'!$TS$8:$TS$97,'Plan cashflow'!$C$8:$C$97,1),IF($D128="legacy",MIN(E128,INDEX('Plan cashflow'!$QJ$8:$QJ$97,F_N+1)+INDEX('Plan cashflow'!$QK$8:$QK$97,F_N+1)),0))))</f>
        <v/>
      </c>
      <c r="G128" s="1" t="str">
        <f aca="false">IF($Q128="","",IF($D128="retire",IF(SUM('Plan cashflow'!$UG$8:$UG$97)&gt;0,MIN(IF(E128&gt;0,IF(F128&gt;=E128-1,100,MIN(PR_PctCap,MAX(0,INT(F128/E128*100)))),100),94),IF(E128&gt;0,IF(F128&gt;=E128-1,100,MIN(PR_PctCap,MAX(0,INT(F128/E128*100)))),100)),IF(E128&gt;0,IF(F128&gt;=E128-1,100,MIN(PR_PctCap,MAX(0,INT(F128/E128*100)))),100)))</f>
        <v/>
      </c>
      <c r="H128" s="1" t="str">
        <f aca="false">IF(G128="","",IF(G128&gt;=PR_Good,"good",IF(G128&gt;=PR_Nudge,"nudge","alert")))</f>
        <v/>
      </c>
      <c r="I128" s="1" t="str">
        <f aca="false">IF(OR($D128="spend",$D128="mfree",$D128="pot"),INDEX(GL_Pos,19),"")</f>
        <v/>
      </c>
      <c r="J128" s="1" t="str">
        <f aca="false">IF(OR($D128="spend",$D128="mfree",$D128="pot"),CHOOSE($I128,Slot1_NeedM,Slot2_NeedM,Slot3_NeedM,Slot4_NeedM,Slot5_NeedM,Slot6_NeedM,Slot7_NeedM,Slot8_NeedM,Slot9_NeedM,Slot10_NeedM,Slot11_NeedM,Slot12_NeedM,Slot13_NeedM,Slot14_NeedM,Slot15_NeedM,Slot16_NeedM,Slot17_NeedM,Slot18_NeedM,Slot19_NeedM,Slot20_NeedM),"")</f>
        <v/>
      </c>
      <c r="K128" s="1" t="str">
        <f aca="false">IF(OR($D128="spend",$D128="mfree",$D128="pot"),CHOOSE($I128,Slot1_AvgM,Slot2_AvgM,Slot3_AvgM,Slot4_AvgM,Slot5_AvgM,Slot6_AvgM,Slot7_AvgM,Slot8_AvgM,Slot9_AvgM,Slot10_AvgM,Slot11_AvgM,Slot12_AvgM,Slot13_AvgM,Slot14_AvgM,Slot15_AvgM,Slot16_AvgM,Slot17_AvgM,Slot18_AvgM,Slot19_AvgM,Slot20_AvgM),"")</f>
        <v/>
      </c>
      <c r="L128" s="94"/>
      <c r="M128" s="1" t="str">
        <f aca="false">IF(NOT(OR($D128="spend",$D128="mfree",$D128="pot")),"",IF(AND($D128="mfree",In_home&lt;&gt;"",In_home&lt;&gt;"Own with mortgage"),"No mortgage in Your finances: remove this goal, or add your mortgage",IF(G128&gt;=100,"Fully funded"&amp;IF(K128&gt;0," · on average you'll put "&amp;"€"&amp;TEXT(ROUND(K128,0),"#,##0")&amp;" a month",""),IF(AB128="","Type the extra the what-if search finds in column L to see this line",IF(IF(AB128="none",TRUE(),K128+AB128&gt;Save_SurplusM),"Needs about "&amp;"€"&amp;TEXT(ROUND(IF(AB128="none",MAX(J128,K128+5),K128+AB128),0),"#,##0")&amp;" a month, more than your spare money · on average you'll put "&amp;"€"&amp;TEXT(ROUND(K128,0),"#,##0")&amp;" a month","Needs about "&amp;"€"&amp;TEXT(ROUND(K128+AB128,0),"#,##0")&amp;" a month · on average you'll put "&amp;"€"&amp;TEXT(ROUND(K128,0),"#,##0")&amp;" a month")))))</f>
        <v/>
      </c>
      <c r="N128" s="1" t="str">
        <f aca="false">IF($Q128="","",INDEX(GL_AgeT,19))</f>
        <v/>
      </c>
      <c r="O128" s="1" t="str">
        <f aca="false">IF(AND($Q128&lt;&gt;"",G128&gt;=PR_Good,Findings_Over=0),G128*1000000-N128*1000-19,"")</f>
        <v/>
      </c>
      <c r="P128" s="1" t="str">
        <f aca="false">IF($Q128="","",G128*1000000+N128*1000+19)</f>
        <v/>
      </c>
      <c r="Q128" s="1" t="str">
        <f aca="false">INDEX(GL_Key,19)</f>
        <v/>
      </c>
      <c r="R128" s="1" t="n">
        <f aca="false">IF(G128="",0,G128)</f>
        <v>0</v>
      </c>
      <c r="S128" s="1" t="str">
        <f aca="false">IF($Q128="","",IFERROR(INDEX(Goal_Specs,MATCH($Q128,Goal_Keys,0)),""))</f>
        <v/>
      </c>
      <c r="T128" s="1" t="n">
        <f aca="false">IF($Q128="",9999,G128)</f>
        <v>9999</v>
      </c>
      <c r="U128" s="1" t="str">
        <f aca="false">IF($Q128="","",IF($D128="legacy","at the end of your plan"&amp;IF(Has_a_planEnd=1," ("&amp;AS_End&amp;")",""),IF(INDEX(GL_AgeT,19)&lt;F_Age,"Date has passed",IF($D128="retire",IF(Has_retireAge=1,"at "&amp;INDEX(GL_AgeT,19),"at an age you haven't chosen yet"),"in "&amp;(INDEX(GL_AgeRaw,19)-F_Age)&amp;IF(INDEX(GL_AgeRaw,19)-F_Age=1," year"," years")))))</f>
        <v/>
      </c>
      <c r="V128" s="1" t="str">
        <f aca="false">IF(AND($Q128="safety",F_EssM&gt;0,INDEX(GL_Amount,19)&gt;0),ROUND(INDEX(GL_Amount,19)/F_EssM*10,0)/10,"")</f>
        <v/>
      </c>
      <c r="W128" s="1" t="str">
        <f aca="false">IF($Q128="","",AS_Year0+INDEX(GL_AgeT,19)-F_Age)</f>
        <v/>
      </c>
      <c r="X128" s="1" t="str">
        <f aca="false">IF($Q128="","",IF(AND($D128&lt;&gt;"legacy",INDEX(GL_AgeT,19)&lt;F_Age),"Date has passed",IF($D128="retire","Age ","age ")&amp;INDEX(GL_AgeT,19)&amp;" · "&amp;W128))</f>
        <v/>
      </c>
      <c r="Y128" s="1" t="str">
        <f aca="false">IF($Q128="","",G128*1000+IF($D128="legacy",AS_End,INDEX(GL_AgeT,19)))</f>
        <v/>
      </c>
      <c r="Z128" s="94"/>
      <c r="AA128" s="1" t="str">
        <f aca="false">IF($Q128="","",IF(IF(Z128&lt;&gt;"",Z128,IF(AND(WI_M=0,WI_L=0),G128,""))="","",IF(IF(Z128&lt;&gt;"",Z128,G128)&lt;&gt;G128,C128&amp;" goes from "&amp;IF(Z128&lt;&gt;"",Z128,G128)&amp;"% to "&amp;G128&amp;"%","")))</f>
        <v/>
      </c>
      <c r="AB128" s="1" t="str">
        <f aca="false">IF(ISBLANK(L128),IF(AND(Fill_Example="Yes",FALSE()),"",""),L128)</f>
        <v/>
      </c>
    </row>
    <row r="129" customFormat="false" ht="15" hidden="false" customHeight="true" outlineLevel="0" collapsed="false">
      <c r="B129" s="1" t="n">
        <v>20</v>
      </c>
      <c r="C129" s="1" t="str">
        <f aca="false">IF($Q129="","",INDEX(GL_Name,20))</f>
        <v/>
      </c>
      <c r="D129" s="1" t="str">
        <f aca="false">INDEX(GL_Kind,20)</f>
        <v/>
      </c>
      <c r="E129" s="1" t="str">
        <f aca="false">IF($Q129="","",IF(OR($D129="spend",$D129="mfree",$D129="pot"),CHOOSE($I129,Slot1_Cost,Slot2_Cost,Slot3_Cost,Slot4_Cost,Slot5_Cost,Slot6_Cost,Slot7_Cost,Slot8_Cost,Slot9_Cost,Slot10_Cost,Slot11_Cost,Slot12_Cost,Slot13_Cost,Slot14_Cost,Slot15_Cost,Slot16_Cost,Slot17_Cost,Slot18_Cost,Slot19_Cost,Slot20_Cost),IF($D129="retire",SUMIFS('Plan cashflow'!$TR$8:$TR$97,'Plan cashflow'!$C$8:$C$97,1),IF($D129="legacy",INDEX(GL_Amount,20)*(1+AS_Infl)^F_N,0))))</f>
        <v/>
      </c>
      <c r="F129" s="1" t="str">
        <f aca="false">IF($Q129="","",IF(OR($D129="spend",$D129="mfree",$D129="pot"),CHOOSE($I129,Slot1_Paid,Slot2_Paid,Slot3_Paid,Slot4_Paid,Slot5_Paid,Slot6_Paid,Slot7_Paid,Slot8_Paid,Slot9_Paid,Slot10_Paid,Slot11_Paid,Slot12_Paid,Slot13_Paid,Slot14_Paid,Slot15_Paid,Slot16_Paid,Slot17_Paid,Slot18_Paid,Slot19_Paid,Slot20_Paid),IF($D129="retire",SUMIFS('Plan cashflow'!$TS$8:$TS$97,'Plan cashflow'!$C$8:$C$97,1),IF($D129="legacy",MIN(E129,INDEX('Plan cashflow'!$QJ$8:$QJ$97,F_N+1)+INDEX('Plan cashflow'!$QK$8:$QK$97,F_N+1)),0))))</f>
        <v/>
      </c>
      <c r="G129" s="1" t="str">
        <f aca="false">IF($Q129="","",IF($D129="retire",IF(SUM('Plan cashflow'!$UG$8:$UG$97)&gt;0,MIN(IF(E129&gt;0,IF(F129&gt;=E129-1,100,MIN(PR_PctCap,MAX(0,INT(F129/E129*100)))),100),94),IF(E129&gt;0,IF(F129&gt;=E129-1,100,MIN(PR_PctCap,MAX(0,INT(F129/E129*100)))),100)),IF(E129&gt;0,IF(F129&gt;=E129-1,100,MIN(PR_PctCap,MAX(0,INT(F129/E129*100)))),100)))</f>
        <v/>
      </c>
      <c r="H129" s="1" t="str">
        <f aca="false">IF(G129="","",IF(G129&gt;=PR_Good,"good",IF(G129&gt;=PR_Nudge,"nudge","alert")))</f>
        <v/>
      </c>
      <c r="I129" s="1" t="str">
        <f aca="false">IF(OR($D129="spend",$D129="mfree",$D129="pot"),INDEX(GL_Pos,20),"")</f>
        <v/>
      </c>
      <c r="J129" s="1" t="str">
        <f aca="false">IF(OR($D129="spend",$D129="mfree",$D129="pot"),CHOOSE($I129,Slot1_NeedM,Slot2_NeedM,Slot3_NeedM,Slot4_NeedM,Slot5_NeedM,Slot6_NeedM,Slot7_NeedM,Slot8_NeedM,Slot9_NeedM,Slot10_NeedM,Slot11_NeedM,Slot12_NeedM,Slot13_NeedM,Slot14_NeedM,Slot15_NeedM,Slot16_NeedM,Slot17_NeedM,Slot18_NeedM,Slot19_NeedM,Slot20_NeedM),"")</f>
        <v/>
      </c>
      <c r="K129" s="1" t="str">
        <f aca="false">IF(OR($D129="spend",$D129="mfree",$D129="pot"),CHOOSE($I129,Slot1_AvgM,Slot2_AvgM,Slot3_AvgM,Slot4_AvgM,Slot5_AvgM,Slot6_AvgM,Slot7_AvgM,Slot8_AvgM,Slot9_AvgM,Slot10_AvgM,Slot11_AvgM,Slot12_AvgM,Slot13_AvgM,Slot14_AvgM,Slot15_AvgM,Slot16_AvgM,Slot17_AvgM,Slot18_AvgM,Slot19_AvgM,Slot20_AvgM),"")</f>
        <v/>
      </c>
      <c r="L129" s="94"/>
      <c r="M129" s="1" t="str">
        <f aca="false">IF(NOT(OR($D129="spend",$D129="mfree",$D129="pot")),"",IF(AND($D129="mfree",In_home&lt;&gt;"",In_home&lt;&gt;"Own with mortgage"),"No mortgage in Your finances: remove this goal, or add your mortgage",IF(G129&gt;=100,"Fully funded"&amp;IF(K129&gt;0," · on average you'll put "&amp;"€"&amp;TEXT(ROUND(K129,0),"#,##0")&amp;" a month",""),IF(AB129="","Type the extra the what-if search finds in column L to see this line",IF(IF(AB129="none",TRUE(),K129+AB129&gt;Save_SurplusM),"Needs about "&amp;"€"&amp;TEXT(ROUND(IF(AB129="none",MAX(J129,K129+5),K129+AB129),0),"#,##0")&amp;" a month, more than your spare money · on average you'll put "&amp;"€"&amp;TEXT(ROUND(K129,0),"#,##0")&amp;" a month","Needs about "&amp;"€"&amp;TEXT(ROUND(K129+AB129,0),"#,##0")&amp;" a month · on average you'll put "&amp;"€"&amp;TEXT(ROUND(K129,0),"#,##0")&amp;" a month")))))</f>
        <v/>
      </c>
      <c r="N129" s="1" t="str">
        <f aca="false">IF($Q129="","",INDEX(GL_AgeT,20))</f>
        <v/>
      </c>
      <c r="O129" s="1" t="str">
        <f aca="false">IF(AND($Q129&lt;&gt;"",G129&gt;=PR_Good,Findings_Over=0),G129*1000000-N129*1000-20,"")</f>
        <v/>
      </c>
      <c r="P129" s="1" t="str">
        <f aca="false">IF($Q129="","",G129*1000000+N129*1000+20)</f>
        <v/>
      </c>
      <c r="Q129" s="1" t="str">
        <f aca="false">INDEX(GL_Key,20)</f>
        <v/>
      </c>
      <c r="R129" s="1" t="n">
        <f aca="false">IF(G129="",0,G129)</f>
        <v>0</v>
      </c>
      <c r="S129" s="1" t="str">
        <f aca="false">IF($Q129="","",IFERROR(INDEX(Goal_Specs,MATCH($Q129,Goal_Keys,0)),""))</f>
        <v/>
      </c>
      <c r="T129" s="1" t="n">
        <f aca="false">IF($Q129="",9999,G129)</f>
        <v>9999</v>
      </c>
      <c r="U129" s="1" t="str">
        <f aca="false">IF($Q129="","",IF($D129="legacy","at the end of your plan"&amp;IF(Has_a_planEnd=1," ("&amp;AS_End&amp;")",""),IF(INDEX(GL_AgeT,20)&lt;F_Age,"Date has passed",IF($D129="retire",IF(Has_retireAge=1,"at "&amp;INDEX(GL_AgeT,20),"at an age you haven't chosen yet"),"in "&amp;(INDEX(GL_AgeRaw,20)-F_Age)&amp;IF(INDEX(GL_AgeRaw,20)-F_Age=1," year"," years")))))</f>
        <v/>
      </c>
      <c r="V129" s="1" t="str">
        <f aca="false">IF(AND($Q129="safety",F_EssM&gt;0,INDEX(GL_Amount,20)&gt;0),ROUND(INDEX(GL_Amount,20)/F_EssM*10,0)/10,"")</f>
        <v/>
      </c>
      <c r="W129" s="1" t="str">
        <f aca="false">IF($Q129="","",AS_Year0+INDEX(GL_AgeT,20)-F_Age)</f>
        <v/>
      </c>
      <c r="X129" s="1" t="str">
        <f aca="false">IF($Q129="","",IF(AND($D129&lt;&gt;"legacy",INDEX(GL_AgeT,20)&lt;F_Age),"Date has passed",IF($D129="retire","Age ","age ")&amp;INDEX(GL_AgeT,20)&amp;" · "&amp;W129))</f>
        <v/>
      </c>
      <c r="Y129" s="1" t="str">
        <f aca="false">IF($Q129="","",G129*1000+IF($D129="legacy",AS_End,INDEX(GL_AgeT,20)))</f>
        <v/>
      </c>
      <c r="Z129" s="94"/>
      <c r="AA129" s="1" t="str">
        <f aca="false">IF($Q129="","",IF(IF(Z129&lt;&gt;"",Z129,IF(AND(WI_M=0,WI_L=0),G129,""))="","",IF(IF(Z129&lt;&gt;"",Z129,G129)&lt;&gt;G129,C129&amp;" goes from "&amp;IF(Z129&lt;&gt;"",Z129,G129)&amp;"% to "&amp;G129&amp;"%","")))</f>
        <v/>
      </c>
      <c r="AB129" s="1" t="str">
        <f aca="false">IF(ISBLANK(L129),IF(AND(Fill_Example="Yes",FALSE()),"",""),L129)</f>
        <v/>
      </c>
    </row>
    <row r="130" customFormat="false" ht="15" hidden="false" customHeight="true" outlineLevel="0" collapsed="false">
      <c r="B130" s="1" t="n">
        <v>21</v>
      </c>
      <c r="C130" s="1" t="str">
        <f aca="false">IF($Q130="","",INDEX(GL_Name,21))</f>
        <v/>
      </c>
      <c r="D130" s="1" t="str">
        <f aca="false">INDEX(GL_Kind,21)</f>
        <v/>
      </c>
      <c r="E130" s="1" t="str">
        <f aca="false">IF($Q130="","",IF(OR($D130="spend",$D130="mfree",$D130="pot"),CHOOSE($I130,Slot1_Cost,Slot2_Cost,Slot3_Cost,Slot4_Cost,Slot5_Cost,Slot6_Cost,Slot7_Cost,Slot8_Cost,Slot9_Cost,Slot10_Cost,Slot11_Cost,Slot12_Cost,Slot13_Cost,Slot14_Cost,Slot15_Cost,Slot16_Cost,Slot17_Cost,Slot18_Cost,Slot19_Cost,Slot20_Cost),IF($D130="retire",SUMIFS('Plan cashflow'!$TR$8:$TR$97,'Plan cashflow'!$C$8:$C$97,1),IF($D130="legacy",INDEX(GL_Amount,21)*(1+AS_Infl)^F_N,0))))</f>
        <v/>
      </c>
      <c r="F130" s="1" t="str">
        <f aca="false">IF($Q130="","",IF(OR($D130="spend",$D130="mfree",$D130="pot"),CHOOSE($I130,Slot1_Paid,Slot2_Paid,Slot3_Paid,Slot4_Paid,Slot5_Paid,Slot6_Paid,Slot7_Paid,Slot8_Paid,Slot9_Paid,Slot10_Paid,Slot11_Paid,Slot12_Paid,Slot13_Paid,Slot14_Paid,Slot15_Paid,Slot16_Paid,Slot17_Paid,Slot18_Paid,Slot19_Paid,Slot20_Paid),IF($D130="retire",SUMIFS('Plan cashflow'!$TS$8:$TS$97,'Plan cashflow'!$C$8:$C$97,1),IF($D130="legacy",MIN(E130,INDEX('Plan cashflow'!$QJ$8:$QJ$97,F_N+1)+INDEX('Plan cashflow'!$QK$8:$QK$97,F_N+1)),0))))</f>
        <v/>
      </c>
      <c r="G130" s="1" t="str">
        <f aca="false">IF($Q130="","",IF($D130="retire",IF(SUM('Plan cashflow'!$UG$8:$UG$97)&gt;0,MIN(IF(E130&gt;0,IF(F130&gt;=E130-1,100,MIN(PR_PctCap,MAX(0,INT(F130/E130*100)))),100),94),IF(E130&gt;0,IF(F130&gt;=E130-1,100,MIN(PR_PctCap,MAX(0,INT(F130/E130*100)))),100)),IF(E130&gt;0,IF(F130&gt;=E130-1,100,MIN(PR_PctCap,MAX(0,INT(F130/E130*100)))),100)))</f>
        <v/>
      </c>
      <c r="H130" s="1" t="str">
        <f aca="false">IF(G130="","",IF(G130&gt;=PR_Good,"good",IF(G130&gt;=PR_Nudge,"nudge","alert")))</f>
        <v/>
      </c>
      <c r="I130" s="1" t="str">
        <f aca="false">IF(OR($D130="spend",$D130="mfree",$D130="pot"),INDEX(GL_Pos,21),"")</f>
        <v/>
      </c>
      <c r="J130" s="1" t="str">
        <f aca="false">IF(OR($D130="spend",$D130="mfree",$D130="pot"),CHOOSE($I130,Slot1_NeedM,Slot2_NeedM,Slot3_NeedM,Slot4_NeedM,Slot5_NeedM,Slot6_NeedM,Slot7_NeedM,Slot8_NeedM,Slot9_NeedM,Slot10_NeedM,Slot11_NeedM,Slot12_NeedM,Slot13_NeedM,Slot14_NeedM,Slot15_NeedM,Slot16_NeedM,Slot17_NeedM,Slot18_NeedM,Slot19_NeedM,Slot20_NeedM),"")</f>
        <v/>
      </c>
      <c r="K130" s="1" t="str">
        <f aca="false">IF(OR($D130="spend",$D130="mfree",$D130="pot"),CHOOSE($I130,Slot1_AvgM,Slot2_AvgM,Slot3_AvgM,Slot4_AvgM,Slot5_AvgM,Slot6_AvgM,Slot7_AvgM,Slot8_AvgM,Slot9_AvgM,Slot10_AvgM,Slot11_AvgM,Slot12_AvgM,Slot13_AvgM,Slot14_AvgM,Slot15_AvgM,Slot16_AvgM,Slot17_AvgM,Slot18_AvgM,Slot19_AvgM,Slot20_AvgM),"")</f>
        <v/>
      </c>
      <c r="L130" s="94"/>
      <c r="M130" s="1" t="str">
        <f aca="false">IF(NOT(OR($D130="spend",$D130="mfree",$D130="pot")),"",IF(AND($D130="mfree",In_home&lt;&gt;"",In_home&lt;&gt;"Own with mortgage"),"No mortgage in Your finances: remove this goal, or add your mortgage",IF(G130&gt;=100,"Fully funded"&amp;IF(K130&gt;0," · on average you'll put "&amp;"€"&amp;TEXT(ROUND(K130,0),"#,##0")&amp;" a month",""),IF(AB130="","Type the extra the what-if search finds in column L to see this line",IF(IF(AB130="none",TRUE(),K130+AB130&gt;Save_SurplusM),"Needs about "&amp;"€"&amp;TEXT(ROUND(IF(AB130="none",MAX(J130,K130+5),K130+AB130),0),"#,##0")&amp;" a month, more than your spare money · on average you'll put "&amp;"€"&amp;TEXT(ROUND(K130,0),"#,##0")&amp;" a month","Needs about "&amp;"€"&amp;TEXT(ROUND(K130+AB130,0),"#,##0")&amp;" a month · on average you'll put "&amp;"€"&amp;TEXT(ROUND(K130,0),"#,##0")&amp;" a month")))))</f>
        <v/>
      </c>
      <c r="N130" s="1" t="str">
        <f aca="false">IF($Q130="","",INDEX(GL_AgeT,21))</f>
        <v/>
      </c>
      <c r="O130" s="1" t="str">
        <f aca="false">IF(AND($Q130&lt;&gt;"",G130&gt;=PR_Good,Findings_Over=0),G130*1000000-N130*1000-21,"")</f>
        <v/>
      </c>
      <c r="P130" s="1" t="str">
        <f aca="false">IF($Q130="","",G130*1000000+N130*1000+21)</f>
        <v/>
      </c>
      <c r="Q130" s="1" t="str">
        <f aca="false">INDEX(GL_Key,21)</f>
        <v/>
      </c>
      <c r="R130" s="1" t="n">
        <f aca="false">IF(G130="",0,G130)</f>
        <v>0</v>
      </c>
      <c r="S130" s="1" t="str">
        <f aca="false">IF($Q130="","",IFERROR(INDEX(Goal_Specs,MATCH($Q130,Goal_Keys,0)),""))</f>
        <v/>
      </c>
      <c r="T130" s="1" t="n">
        <f aca="false">IF($Q130="",9999,G130)</f>
        <v>9999</v>
      </c>
      <c r="U130" s="1" t="str">
        <f aca="false">IF($Q130="","",IF($D130="legacy","at the end of your plan"&amp;IF(Has_a_planEnd=1," ("&amp;AS_End&amp;")",""),IF(INDEX(GL_AgeT,21)&lt;F_Age,"Date has passed",IF($D130="retire",IF(Has_retireAge=1,"at "&amp;INDEX(GL_AgeT,21),"at an age you haven't chosen yet"),"in "&amp;(INDEX(GL_AgeRaw,21)-F_Age)&amp;IF(INDEX(GL_AgeRaw,21)-F_Age=1," year"," years")))))</f>
        <v/>
      </c>
      <c r="V130" s="1" t="str">
        <f aca="false">IF(AND($Q130="safety",F_EssM&gt;0,INDEX(GL_Amount,21)&gt;0),ROUND(INDEX(GL_Amount,21)/F_EssM*10,0)/10,"")</f>
        <v/>
      </c>
      <c r="W130" s="1" t="str">
        <f aca="false">IF($Q130="","",AS_Year0+INDEX(GL_AgeT,21)-F_Age)</f>
        <v/>
      </c>
      <c r="X130" s="1" t="str">
        <f aca="false">IF($Q130="","",IF(AND($D130&lt;&gt;"legacy",INDEX(GL_AgeT,21)&lt;F_Age),"Date has passed",IF($D130="retire","Age ","age ")&amp;INDEX(GL_AgeT,21)&amp;" · "&amp;W130))</f>
        <v/>
      </c>
      <c r="Y130" s="1" t="str">
        <f aca="false">IF($Q130="","",G130*1000+IF($D130="legacy",AS_End,INDEX(GL_AgeT,21)))</f>
        <v/>
      </c>
      <c r="Z130" s="94"/>
      <c r="AA130" s="1" t="str">
        <f aca="false">IF($Q130="","",IF(IF(Z130&lt;&gt;"",Z130,IF(AND(WI_M=0,WI_L=0),G130,""))="","",IF(IF(Z130&lt;&gt;"",Z130,G130)&lt;&gt;G130,C130&amp;" goes from "&amp;IF(Z130&lt;&gt;"",Z130,G130)&amp;"% to "&amp;G130&amp;"%","")))</f>
        <v/>
      </c>
      <c r="AB130" s="1" t="str">
        <f aca="false">IF(ISBLANK(L130),IF(AND(Fill_Example="Yes",FALSE()),"",""),L130)</f>
        <v/>
      </c>
    </row>
    <row r="131" customFormat="false" ht="15" hidden="false" customHeight="true" outlineLevel="0" collapsed="false">
      <c r="B131" s="1" t="n">
        <v>22</v>
      </c>
      <c r="C131" s="1" t="str">
        <f aca="false">IF($Q131="","",INDEX(GL_Name,22))</f>
        <v/>
      </c>
      <c r="D131" s="1" t="str">
        <f aca="false">INDEX(GL_Kind,22)</f>
        <v/>
      </c>
      <c r="E131" s="1" t="str">
        <f aca="false">IF($Q131="","",IF(OR($D131="spend",$D131="mfree",$D131="pot"),CHOOSE($I131,Slot1_Cost,Slot2_Cost,Slot3_Cost,Slot4_Cost,Slot5_Cost,Slot6_Cost,Slot7_Cost,Slot8_Cost,Slot9_Cost,Slot10_Cost,Slot11_Cost,Slot12_Cost,Slot13_Cost,Slot14_Cost,Slot15_Cost,Slot16_Cost,Slot17_Cost,Slot18_Cost,Slot19_Cost,Slot20_Cost),IF($D131="retire",SUMIFS('Plan cashflow'!$TR$8:$TR$97,'Plan cashflow'!$C$8:$C$97,1),IF($D131="legacy",INDEX(GL_Amount,22)*(1+AS_Infl)^F_N,0))))</f>
        <v/>
      </c>
      <c r="F131" s="1" t="str">
        <f aca="false">IF($Q131="","",IF(OR($D131="spend",$D131="mfree",$D131="pot"),CHOOSE($I131,Slot1_Paid,Slot2_Paid,Slot3_Paid,Slot4_Paid,Slot5_Paid,Slot6_Paid,Slot7_Paid,Slot8_Paid,Slot9_Paid,Slot10_Paid,Slot11_Paid,Slot12_Paid,Slot13_Paid,Slot14_Paid,Slot15_Paid,Slot16_Paid,Slot17_Paid,Slot18_Paid,Slot19_Paid,Slot20_Paid),IF($D131="retire",SUMIFS('Plan cashflow'!$TS$8:$TS$97,'Plan cashflow'!$C$8:$C$97,1),IF($D131="legacy",MIN(E131,INDEX('Plan cashflow'!$QJ$8:$QJ$97,F_N+1)+INDEX('Plan cashflow'!$QK$8:$QK$97,F_N+1)),0))))</f>
        <v/>
      </c>
      <c r="G131" s="1" t="str">
        <f aca="false">IF($Q131="","",IF($D131="retire",IF(SUM('Plan cashflow'!$UG$8:$UG$97)&gt;0,MIN(IF(E131&gt;0,IF(F131&gt;=E131-1,100,MIN(PR_PctCap,MAX(0,INT(F131/E131*100)))),100),94),IF(E131&gt;0,IF(F131&gt;=E131-1,100,MIN(PR_PctCap,MAX(0,INT(F131/E131*100)))),100)),IF(E131&gt;0,IF(F131&gt;=E131-1,100,MIN(PR_PctCap,MAX(0,INT(F131/E131*100)))),100)))</f>
        <v/>
      </c>
      <c r="H131" s="1" t="str">
        <f aca="false">IF(G131="","",IF(G131&gt;=PR_Good,"good",IF(G131&gt;=PR_Nudge,"nudge","alert")))</f>
        <v/>
      </c>
      <c r="I131" s="1" t="str">
        <f aca="false">IF(OR($D131="spend",$D131="mfree",$D131="pot"),INDEX(GL_Pos,22),"")</f>
        <v/>
      </c>
      <c r="J131" s="1" t="str">
        <f aca="false">IF(OR($D131="spend",$D131="mfree",$D131="pot"),CHOOSE($I131,Slot1_NeedM,Slot2_NeedM,Slot3_NeedM,Slot4_NeedM,Slot5_NeedM,Slot6_NeedM,Slot7_NeedM,Slot8_NeedM,Slot9_NeedM,Slot10_NeedM,Slot11_NeedM,Slot12_NeedM,Slot13_NeedM,Slot14_NeedM,Slot15_NeedM,Slot16_NeedM,Slot17_NeedM,Slot18_NeedM,Slot19_NeedM,Slot20_NeedM),"")</f>
        <v/>
      </c>
      <c r="K131" s="1" t="str">
        <f aca="false">IF(OR($D131="spend",$D131="mfree",$D131="pot"),CHOOSE($I131,Slot1_AvgM,Slot2_AvgM,Slot3_AvgM,Slot4_AvgM,Slot5_AvgM,Slot6_AvgM,Slot7_AvgM,Slot8_AvgM,Slot9_AvgM,Slot10_AvgM,Slot11_AvgM,Slot12_AvgM,Slot13_AvgM,Slot14_AvgM,Slot15_AvgM,Slot16_AvgM,Slot17_AvgM,Slot18_AvgM,Slot19_AvgM,Slot20_AvgM),"")</f>
        <v/>
      </c>
      <c r="L131" s="94"/>
      <c r="M131" s="1" t="str">
        <f aca="false">IF(NOT(OR($D131="spend",$D131="mfree",$D131="pot")),"",IF(AND($D131="mfree",In_home&lt;&gt;"",In_home&lt;&gt;"Own with mortgage"),"No mortgage in Your finances: remove this goal, or add your mortgage",IF(G131&gt;=100,"Fully funded"&amp;IF(K131&gt;0," · on average you'll put "&amp;"€"&amp;TEXT(ROUND(K131,0),"#,##0")&amp;" a month",""),IF(AB131="","Type the extra the what-if search finds in column L to see this line",IF(IF(AB131="none",TRUE(),K131+AB131&gt;Save_SurplusM),"Needs about "&amp;"€"&amp;TEXT(ROUND(IF(AB131="none",MAX(J131,K131+5),K131+AB131),0),"#,##0")&amp;" a month, more than your spare money · on average you'll put "&amp;"€"&amp;TEXT(ROUND(K131,0),"#,##0")&amp;" a month","Needs about "&amp;"€"&amp;TEXT(ROUND(K131+AB131,0),"#,##0")&amp;" a month · on average you'll put "&amp;"€"&amp;TEXT(ROUND(K131,0),"#,##0")&amp;" a month")))))</f>
        <v/>
      </c>
      <c r="N131" s="1" t="str">
        <f aca="false">IF($Q131="","",INDEX(GL_AgeT,22))</f>
        <v/>
      </c>
      <c r="O131" s="1" t="str">
        <f aca="false">IF(AND($Q131&lt;&gt;"",G131&gt;=PR_Good,Findings_Over=0),G131*1000000-N131*1000-22,"")</f>
        <v/>
      </c>
      <c r="P131" s="1" t="str">
        <f aca="false">IF($Q131="","",G131*1000000+N131*1000+22)</f>
        <v/>
      </c>
      <c r="Q131" s="1" t="str">
        <f aca="false">INDEX(GL_Key,22)</f>
        <v/>
      </c>
      <c r="R131" s="1" t="n">
        <f aca="false">IF(G131="",0,G131)</f>
        <v>0</v>
      </c>
      <c r="S131" s="1" t="str">
        <f aca="false">IF($Q131="","",IFERROR(INDEX(Goal_Specs,MATCH($Q131,Goal_Keys,0)),""))</f>
        <v/>
      </c>
      <c r="T131" s="1" t="n">
        <f aca="false">IF($Q131="",9999,G131)</f>
        <v>9999</v>
      </c>
      <c r="U131" s="1" t="str">
        <f aca="false">IF($Q131="","",IF($D131="legacy","at the end of your plan"&amp;IF(Has_a_planEnd=1," ("&amp;AS_End&amp;")",""),IF(INDEX(GL_AgeT,22)&lt;F_Age,"Date has passed",IF($D131="retire",IF(Has_retireAge=1,"at "&amp;INDEX(GL_AgeT,22),"at an age you haven't chosen yet"),"in "&amp;(INDEX(GL_AgeRaw,22)-F_Age)&amp;IF(INDEX(GL_AgeRaw,22)-F_Age=1," year"," years")))))</f>
        <v/>
      </c>
      <c r="V131" s="1" t="str">
        <f aca="false">IF(AND($Q131="safety",F_EssM&gt;0,INDEX(GL_Amount,22)&gt;0),ROUND(INDEX(GL_Amount,22)/F_EssM*10,0)/10,"")</f>
        <v/>
      </c>
      <c r="W131" s="1" t="str">
        <f aca="false">IF($Q131="","",AS_Year0+INDEX(GL_AgeT,22)-F_Age)</f>
        <v/>
      </c>
      <c r="X131" s="1" t="str">
        <f aca="false">IF($Q131="","",IF(AND($D131&lt;&gt;"legacy",INDEX(GL_AgeT,22)&lt;F_Age),"Date has passed",IF($D131="retire","Age ","age ")&amp;INDEX(GL_AgeT,22)&amp;" · "&amp;W131))</f>
        <v/>
      </c>
      <c r="Y131" s="1" t="str">
        <f aca="false">IF($Q131="","",G131*1000+IF($D131="legacy",AS_End,INDEX(GL_AgeT,22)))</f>
        <v/>
      </c>
      <c r="Z131" s="94"/>
      <c r="AA131" s="1" t="str">
        <f aca="false">IF($Q131="","",IF(IF(Z131&lt;&gt;"",Z131,IF(AND(WI_M=0,WI_L=0),G131,""))="","",IF(IF(Z131&lt;&gt;"",Z131,G131)&lt;&gt;G131,C131&amp;" goes from "&amp;IF(Z131&lt;&gt;"",Z131,G131)&amp;"% to "&amp;G131&amp;"%","")))</f>
        <v/>
      </c>
      <c r="AB131" s="1" t="str">
        <f aca="false">IF(ISBLANK(L131),IF(AND(Fill_Example="Yes",FALSE()),"",""),L131)</f>
        <v/>
      </c>
    </row>
  </sheetData>
  <mergeCells count="1">
    <mergeCell ref="B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Q2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62"/>
    <col collapsed="false" customWidth="true" hidden="false" outlineLevel="0" max="3" min="3" style="1" width="34"/>
    <col collapsed="false" customWidth="true" hidden="false" outlineLevel="0" max="7" min="4" style="1" width="14"/>
    <col collapsed="false" customWidth="true" hidden="false" outlineLevel="0" max="8" min="8" style="1" width="30"/>
    <col collapsed="false" customWidth="true" hidden="false" outlineLevel="0" max="11" min="11" style="1" width="60"/>
  </cols>
  <sheetData>
    <row r="1" customFormat="false" ht="17.25" hidden="false" customHeight="true" outlineLevel="0" collapsed="false">
      <c r="B1" s="90" t="s">
        <v>2606</v>
      </c>
    </row>
    <row r="2" customFormat="false" ht="48" hidden="false" customHeight="true" outlineLevel="0" collapsed="false">
      <c r="B2" s="91" t="s">
        <v>2607</v>
      </c>
      <c r="C2" s="91"/>
      <c r="D2" s="91"/>
      <c r="E2" s="91"/>
      <c r="F2" s="91"/>
      <c r="G2" s="91"/>
      <c r="H2" s="91"/>
    </row>
    <row r="3" customFormat="false" ht="30" hidden="false" customHeight="true" outlineLevel="0" collapsed="false">
      <c r="B3" s="92" t="str">
        <f aca="false">Warn_Goals</f>
        <v/>
      </c>
      <c r="C3" s="92"/>
      <c r="D3" s="92"/>
      <c r="E3" s="92"/>
      <c r="F3" s="92"/>
      <c r="G3" s="92"/>
      <c r="H3" s="92"/>
    </row>
    <row r="4" customFormat="false" ht="15" hidden="false" customHeight="true" outlineLevel="0" collapsed="false">
      <c r="B4" s="93" t="s">
        <v>2608</v>
      </c>
      <c r="C4" s="93" t="s">
        <v>1521</v>
      </c>
    </row>
    <row r="5" customFormat="false" ht="15" hidden="false" customHeight="true" outlineLevel="0" collapsed="false">
      <c r="B5" s="1" t="s">
        <v>2609</v>
      </c>
      <c r="C5" s="103" t="n">
        <f aca="false">ROUND(IF(F_Age&lt;F_R,('Plan cashflow'!$QH$8+'Plan cashflow'!$QI$8)/12,0),0)</f>
        <v>0</v>
      </c>
    </row>
    <row r="6" customFormat="false" ht="15" hidden="false" customHeight="true" outlineLevel="0" collapsed="false">
      <c r="B6" s="1" t="s">
        <v>2610</v>
      </c>
      <c r="C6" s="103" t="n">
        <f aca="false">ROUND('Plan cashflow'!$QH$8/12,0)</f>
        <v>0</v>
      </c>
    </row>
    <row r="7" customFormat="false" ht="15" hidden="false" customHeight="true" outlineLevel="0" collapsed="false">
      <c r="B7" s="1" t="s">
        <v>2611</v>
      </c>
      <c r="C7" s="103" t="n">
        <f aca="false">'Plan cashflow'!$HS$8</f>
        <v>0</v>
      </c>
    </row>
    <row r="8" customFormat="false" ht="15" hidden="false" customHeight="true" outlineLevel="0" collapsed="false">
      <c r="B8" s="1" t="s">
        <v>2612</v>
      </c>
      <c r="C8" s="103" t="n">
        <f aca="false">SUM('Plan cashflow'!$UI$8:$UI$97)</f>
        <v>0</v>
      </c>
    </row>
    <row r="9" customFormat="false" ht="15" hidden="false" customHeight="true" outlineLevel="0" collapsed="false">
      <c r="B9" s="1" t="s">
        <v>2613</v>
      </c>
      <c r="C9" s="103" t="n">
        <f aca="false">SUM('Plan cashflow'!$TU$8:$TU$97)</f>
        <v>0</v>
      </c>
    </row>
    <row r="11" customFormat="false" ht="15" hidden="false" customHeight="true" outlineLevel="0" collapsed="false">
      <c r="B11" s="93" t="s">
        <v>2614</v>
      </c>
      <c r="C11" s="93" t="s">
        <v>1521</v>
      </c>
    </row>
    <row r="12" customFormat="false" ht="15" hidden="false" customHeight="true" outlineLevel="0" collapsed="false">
      <c r="B12" s="113" t="s">
        <v>127</v>
      </c>
      <c r="C12" s="113" t="s">
        <v>2615</v>
      </c>
      <c r="D12" s="113" t="s">
        <v>2486</v>
      </c>
      <c r="E12" s="113" t="s">
        <v>2616</v>
      </c>
      <c r="F12" s="113" t="s">
        <v>2617</v>
      </c>
      <c r="G12" s="113" t="s">
        <v>2618</v>
      </c>
    </row>
    <row r="13" customFormat="false" ht="15" hidden="false" customHeight="true" outlineLevel="0" collapsed="false">
      <c r="B13" s="1" t="s">
        <v>2619</v>
      </c>
      <c r="C13" s="103" t="n">
        <f aca="false">IF(Has_age=0,1,0)</f>
        <v>1</v>
      </c>
      <c r="D13" s="1" t="s">
        <v>715</v>
      </c>
      <c r="E13" s="1" t="s">
        <v>2620</v>
      </c>
      <c r="F13" s="1" t="str">
        <f aca="false">""&amp;IF(C13=1,IF(""="","",",")&amp;D13,"")</f>
        <v>age</v>
      </c>
      <c r="G13" s="1" t="str">
        <f aca="false">""&amp;IF(C13=1,IF(""="","",", ")&amp;E13,"")</f>
        <v>Your date of birth</v>
      </c>
    </row>
    <row r="14" customFormat="false" ht="15" hidden="false" customHeight="true" outlineLevel="0" collapsed="false">
      <c r="B14" s="1" t="s">
        <v>2621</v>
      </c>
      <c r="C14" s="103" t="n">
        <f aca="false">IF(AND(F_Partner=1,NOT(ISBLANK('Plan inputs'!C31)),Has_pAge=0),1,0)</f>
        <v>0</v>
      </c>
      <c r="D14" s="1" t="s">
        <v>2622</v>
      </c>
      <c r="E14" s="1" t="s">
        <v>2623</v>
      </c>
      <c r="F14" s="1" t="str">
        <f aca="false">F13&amp;IF(C14=1,IF(F13="","",",")&amp;D14,"")</f>
        <v>age</v>
      </c>
      <c r="G14" s="1" t="str">
        <f aca="false">G13&amp;IF(C14=1,IF(G13="","",", ")&amp;E14,"")</f>
        <v>Your date of birth</v>
      </c>
    </row>
    <row r="15" customFormat="false" ht="15" hidden="false" customHeight="true" outlineLevel="0" collapsed="false">
      <c r="B15" s="1" t="s">
        <v>2624</v>
      </c>
      <c r="C15" s="103" t="n">
        <f aca="false">IF(Has_retireAge=0,1,0)</f>
        <v>1</v>
      </c>
      <c r="D15" s="1" t="s">
        <v>2625</v>
      </c>
      <c r="E15" s="1" t="s">
        <v>784</v>
      </c>
      <c r="F15" s="1" t="str">
        <f aca="false">F14&amp;IF(C15=1,IF(F14="","",",")&amp;D15,"")</f>
        <v>age,retireAge</v>
      </c>
      <c r="G15" s="1" t="str">
        <f aca="false">G14&amp;IF(C15=1,IF(G14="","",", ")&amp;E15,"")</f>
        <v>Your date of birth, Retirement age</v>
      </c>
    </row>
    <row r="16" customFormat="false" ht="15" hidden="false" customHeight="true" outlineLevel="0" collapsed="false">
      <c r="B16" s="1" t="s">
        <v>2626</v>
      </c>
      <c r="C16" s="103" t="n">
        <f aca="false">IF(Has_a_planEnd=0,1,0)</f>
        <v>1</v>
      </c>
      <c r="D16" s="1" t="s">
        <v>2627</v>
      </c>
      <c r="E16" s="1" t="s">
        <v>1779</v>
      </c>
      <c r="F16" s="1" t="str">
        <f aca="false">F15&amp;IF(C16=1,IF(F15="","",",")&amp;D16,"")</f>
        <v>age,retireAge,planEnd</v>
      </c>
      <c r="G16" s="1" t="str">
        <f aca="false">G15&amp;IF(C16=1,IF(G15="","",", ")&amp;E16,"")</f>
        <v>Your date of birth, Retirement age, Plan until age</v>
      </c>
    </row>
    <row r="17" customFormat="false" ht="15" hidden="false" customHeight="true" outlineLevel="0" collapsed="false">
      <c r="B17" s="1" t="s">
        <v>2628</v>
      </c>
      <c r="C17" s="103" t="n">
        <f aca="false">IF(Has_infl=0,1,0)</f>
        <v>1</v>
      </c>
      <c r="D17" s="1" t="s">
        <v>2629</v>
      </c>
      <c r="E17" s="1" t="s">
        <v>2630</v>
      </c>
      <c r="F17" s="1" t="str">
        <f aca="false">F16&amp;IF(C17=1,IF(F16="","",",")&amp;D17,"")</f>
        <v>age,retireAge,planEnd,infl</v>
      </c>
      <c r="G17" s="1" t="str">
        <f aca="false">G16&amp;IF(C17=1,IF(G16="","",", ")&amp;E17,"")</f>
        <v>Your date of birth, Retirement age, Plan until age, Inflation</v>
      </c>
    </row>
    <row r="18" customFormat="false" ht="15" hidden="false" customHeight="true" outlineLevel="0" collapsed="false">
      <c r="B18" s="1" t="s">
        <v>2631</v>
      </c>
      <c r="C18" s="103" t="n">
        <f aca="false">IF(AND(F_Partner=1,In_pIncome&gt;0,Has_pRet=0),1,0)</f>
        <v>0</v>
      </c>
      <c r="D18" s="1" t="s">
        <v>2632</v>
      </c>
      <c r="E18" s="1" t="s">
        <v>2633</v>
      </c>
      <c r="F18" s="1" t="str">
        <f aca="false">F17&amp;IF(C18=1,IF(F17="","",",")&amp;D18,"")</f>
        <v>age,retireAge,planEnd,infl</v>
      </c>
      <c r="G18" s="1" t="str">
        <f aca="false">G17&amp;IF(C18=1,IF(G17="","",", ")&amp;E18,"")</f>
        <v>Your date of birth, Retirement age, Plan until age, Inflation</v>
      </c>
    </row>
    <row r="19" customFormat="false" ht="15" hidden="false" customHeight="true" outlineLevel="0" collapsed="false">
      <c r="B19" s="1" t="s">
        <v>2634</v>
      </c>
      <c r="C19" s="103" t="n">
        <f aca="false">SUM($C$13:$C$18)</f>
        <v>4</v>
      </c>
    </row>
    <row r="20" customFormat="false" ht="15" hidden="false" customHeight="true" outlineLevel="0" collapsed="false">
      <c r="B20" s="1" t="s">
        <v>2635</v>
      </c>
      <c r="C20" s="103" t="str">
        <f aca="false">F18</f>
        <v>age,retireAge,planEnd,infl</v>
      </c>
    </row>
    <row r="21" customFormat="false" ht="15" hidden="false" customHeight="true" outlineLevel="0" collapsed="false">
      <c r="B21" s="1" t="s">
        <v>2636</v>
      </c>
      <c r="C21" s="103" t="str">
        <f aca="false">G18</f>
        <v>Your date of birth, Retirement age, Plan until age, Inflation</v>
      </c>
    </row>
    <row r="22" customFormat="false" ht="15" hidden="false" customHeight="true" outlineLevel="0" collapsed="false">
      <c r="B22" s="1" t="s">
        <v>2637</v>
      </c>
      <c r="C22" s="103" t="str">
        <f aca="false">IF(Gate_Count=0,"","To see your results we need "&amp;Gate_Count&amp;IF(Gate_Count=1," thing"," things"))</f>
        <v>To see your results we need 4 things</v>
      </c>
    </row>
    <row r="23" customFormat="false" ht="15" hidden="false" customHeight="true" outlineLevel="0" collapsed="false">
      <c r="B23" s="1" t="s">
        <v>2638</v>
      </c>
      <c r="C23" s="103" t="str">
        <f aca="false">IF(Gate_Count=0,"",IFERROR(INDEX($B$13:$B$18,MATCH(1,$C$13:$C$18,0)),""))</f>
        <v>date of birth (age 18 to 80 today)</v>
      </c>
    </row>
    <row r="24" customFormat="false" ht="15" hidden="false" customHeight="true" outlineLevel="0" collapsed="false">
      <c r="B24" s="1" t="s">
        <v>2639</v>
      </c>
      <c r="C24" s="103" t="str">
        <f aca="false">IF(Gate_Count=0,"","Choose your "&amp;Gate_FirstLabel&amp;" to see this")</f>
        <v>Choose your date of birth (age 18 to 80 today) to see this</v>
      </c>
    </row>
    <row r="25" customFormat="false" ht="15" hidden="false" customHeight="true" outlineLevel="0" collapsed="false">
      <c r="B25" s="1" t="s">
        <v>2640</v>
      </c>
      <c r="C25" s="103" t="n">
        <f aca="false">IF(Gate_Count=0,1,0)</f>
        <v>0</v>
      </c>
    </row>
    <row r="26" customFormat="false" ht="15" hidden="false" customHeight="true" outlineLevel="0" collapsed="false">
      <c r="B26" s="1" t="s">
        <v>2641</v>
      </c>
      <c r="C26" s="103" t="n">
        <f aca="false">3+IF(AND(F_Partner=1,In_pIncome&gt;0),1,0)</f>
        <v>3</v>
      </c>
    </row>
    <row r="27" customFormat="false" ht="15" hidden="false" customHeight="true" outlineLevel="0" collapsed="false">
      <c r="B27" s="1" t="s">
        <v>2642</v>
      </c>
      <c r="C27" s="103" t="str">
        <f aca="false">IF(Req_Got=Req_Count,"All "&amp;Req_Count&amp;" chosen","Choose "&amp;Req_Count&amp;" things")</f>
        <v>Choose 3 things</v>
      </c>
    </row>
    <row r="28" customFormat="false" ht="15" hidden="false" customHeight="true" outlineLevel="0" collapsed="false">
      <c r="B28" s="1" t="s">
        <v>2643</v>
      </c>
      <c r="C28" s="103" t="n">
        <f aca="false">Req_Count-(C17+C15+C16+C18)</f>
        <v>0</v>
      </c>
    </row>
    <row r="30" customFormat="false" ht="15" hidden="false" customHeight="true" outlineLevel="0" collapsed="false">
      <c r="B30" s="93" t="s">
        <v>2644</v>
      </c>
      <c r="C30" s="93" t="s">
        <v>1521</v>
      </c>
    </row>
    <row r="31" customFormat="false" ht="15" hidden="false" customHeight="true" outlineLevel="0" collapsed="false">
      <c r="B31" s="1" t="s">
        <v>2645</v>
      </c>
      <c r="C31" s="103" t="n">
        <f aca="false">IF(SUM('Plan cashflow'!$UF$8:$UF$97)&gt;0,1,0)</f>
        <v>0</v>
      </c>
    </row>
    <row r="32" customFormat="false" ht="15" hidden="false" customHeight="true" outlineLevel="0" collapsed="false">
      <c r="B32" s="1" t="s">
        <v>2646</v>
      </c>
      <c r="C32" s="103" t="str">
        <f aca="false">IF(COUNT(GR_Best)&gt;0,MAX(GR_Best),"")</f>
        <v/>
      </c>
    </row>
    <row r="33" customFormat="false" ht="15" hidden="false" customHeight="true" outlineLevel="0" collapsed="false">
      <c r="B33" s="1" t="s">
        <v>2647</v>
      </c>
      <c r="C33" s="103" t="n">
        <f aca="false">IF(Find_BestScore="",0,MATCH(Find_BestScore,GR_Best,0))</f>
        <v>0</v>
      </c>
    </row>
    <row r="34" customFormat="false" ht="15" hidden="false" customHeight="true" outlineLevel="0" collapsed="false">
      <c r="B34" s="1" t="s">
        <v>2648</v>
      </c>
      <c r="C34" s="103" t="n">
        <f aca="false">IF(COUNT(GR_Worst)&gt;0,MATCH(MIN(GR_Worst),GR_Worst,0),0)</f>
        <v>0</v>
      </c>
    </row>
    <row r="35" customFormat="false" ht="15" hidden="false" customHeight="true" outlineLevel="0" collapsed="false">
      <c r="B35" s="1" t="s">
        <v>2649</v>
      </c>
      <c r="C35" s="103" t="str">
        <f aca="false">IF(Find_WorstIdx&gt;0,INDEX(GR_Pct,Find_WorstIdx),"")</f>
        <v/>
      </c>
    </row>
    <row r="36" customFormat="false" ht="15" hidden="false" customHeight="true" outlineLevel="0" collapsed="false">
      <c r="B36" s="1" t="s">
        <v>2650</v>
      </c>
      <c r="C36" s="103" t="str">
        <f aca="false">IF(Find_WorstIdx&gt;0,INDEX(GR_Name,Find_WorstIdx),"")</f>
        <v/>
      </c>
    </row>
    <row r="37" customFormat="false" ht="15" hidden="false" customHeight="true" outlineLevel="0" collapsed="false">
      <c r="B37" s="1" t="s">
        <v>2651</v>
      </c>
      <c r="C37" s="94"/>
    </row>
    <row r="38" customFormat="false" ht="15" hidden="false" customHeight="true" outlineLevel="0" collapsed="false">
      <c r="B38" s="1" t="s">
        <v>2652</v>
      </c>
      <c r="C38" s="103" t="str">
        <f aca="false">IF(ISBLANK(Find_ExtraFor),IF(Fill_Example="Yes","none",""),Find_ExtraFor)</f>
        <v/>
      </c>
    </row>
    <row r="39" customFormat="false" ht="15" hidden="false" customHeight="true" outlineLevel="0" collapsed="false">
      <c r="B39" s="1" t="s">
        <v>2653</v>
      </c>
      <c r="C39" s="103" t="str">
        <f aca="false">IF(Find_BestIdx&gt;0,IF(INDEX(GR_Kind,Find_BestIdx)="retire","Your pension and savings cover retiring at "&amp;INDEX(GR_AgeT,Find_BestIdx),INDEX(GR_Name,Find_BestIdx)&amp;" is "&amp;INDEX(GR_Pct,Find_BestIdx)&amp;"% covered"),IF(Findings_Over=1,"No strength to point to yet: your spending is more than comes in","Nothing is fully covered yet, so closing the gap comes first"))</f>
        <v>Nothing is fully covered yet, so closing the gap comes first</v>
      </c>
    </row>
    <row r="40" customFormat="false" ht="15" hidden="false" customHeight="true" outlineLevel="0" collapsed="false">
      <c r="B40" s="1" t="s">
        <v>2654</v>
      </c>
      <c r="C40" s="103" t="str">
        <f aca="false">IF(Find_WorstIdx=0,"",IF(Find_WorstPct&gt;=PR_Good,"No big gaps right now",Find_WorstName&amp;" is "&amp;Find_WorstPct&amp;"% covered"))</f>
        <v/>
      </c>
    </row>
    <row r="41" customFormat="false" ht="15" hidden="false" customHeight="true" outlineLevel="0" collapsed="false">
      <c r="B41" s="1" t="s">
        <v>2655</v>
      </c>
      <c r="C41" s="103" t="str">
        <f aca="false">IF(Find_WorstIdx=0,"",IF(Find_WorstPct&gt;=PR_Good,IF(OR(In_life&lt;&gt;"Yes",In_ip&lt;&gt;"Yes"),"Worth a look: would your plan cope with illness or death? An adviser can check your cover with you","A yearly review keeps it on track"),IF(ISNUMBER(Find_ExtraUsed),"Saving about "&amp;"€"&amp;TEXT(ROUND(Find_ExtraUsed,0),"#,##0")&amp;" more a month could close this gap, on our assumptions",IF(Find_ExtraUsed="","Type the extra the what-if search finds in Find_ExtraFor to see this line","Moving "&amp;LOWER(Find_WorstName)&amp;" later, or changing the amount, would make the biggest difference"))))</f>
        <v/>
      </c>
    </row>
    <row r="43" customFormat="false" ht="15" hidden="false" customHeight="true" outlineLevel="0" collapsed="false">
      <c r="B43" s="93" t="s">
        <v>2656</v>
      </c>
      <c r="C43" s="93" t="s">
        <v>1521</v>
      </c>
    </row>
    <row r="44" customFormat="false" ht="15" hidden="false" customHeight="true" outlineLevel="0" collapsed="false">
      <c r="B44" s="1" t="s">
        <v>2657</v>
      </c>
      <c r="C44" s="103" t="n">
        <f aca="false">F_R-F_Age</f>
        <v>66</v>
      </c>
    </row>
    <row r="45" customFormat="false" ht="15" hidden="false" customHeight="true" outlineLevel="0" collapsed="false">
      <c r="B45" s="1" t="s">
        <v>2658</v>
      </c>
      <c r="C45" s="103" t="n">
        <f aca="false">IF(AND(Ret_Year&gt;=0,Ret_Year&lt;=F_N),INDEX('Plan pay &amp; tax'!$S$234:$S$323,Ret_Year+1),"")</f>
        <v>0</v>
      </c>
    </row>
    <row r="46" customFormat="false" ht="15" hidden="false" customHeight="true" outlineLevel="0" collapsed="false">
      <c r="B46" s="1" t="s">
        <v>2659</v>
      </c>
      <c r="C46" s="103" t="n">
        <f aca="false">IF(AND(Ret_Year&gt;=0,Ret_Year&lt;=F_N),INDEX('Plan cashflow'!$G$8:$G$97,Ret_Year+1)/INDEX('Plan cashflow'!$E$8:$E$97,Ret_Year+1)/12,"")</f>
        <v>1037.57333333333</v>
      </c>
    </row>
    <row r="47" customFormat="false" ht="15" hidden="false" customHeight="true" outlineLevel="0" collapsed="false">
      <c r="B47" s="1" t="s">
        <v>2660</v>
      </c>
      <c r="C47" s="103" t="n">
        <f aca="false">IF(AND(Ret_Year&gt;=0,Ret_Year&lt;=F_N),INDEX('Plan pay &amp; tax'!$Y$234:$Y$323,F_V-F_Age+1),0)</f>
        <v>0</v>
      </c>
    </row>
    <row r="49" customFormat="false" ht="15" hidden="false" customHeight="true" outlineLevel="0" collapsed="false">
      <c r="B49" s="93" t="s">
        <v>2661</v>
      </c>
      <c r="C49" s="93" t="s">
        <v>1521</v>
      </c>
    </row>
    <row r="50" customFormat="false" ht="15" hidden="false" customHeight="true" outlineLevel="0" collapsed="false">
      <c r="B50" s="1" t="s">
        <v>2662</v>
      </c>
      <c r="C50" s="103" t="str">
        <f aca="false">IF(OR(AND(Has_income=0,In_work&lt;&gt;"Not working"),Has_costsM=0),"na",IF(ROUND(('Plan cashflow'!$G$8-'Plan cashflow'!$TP$8)/12,0)&lt;0,"bad",IF(ROUND(('Plan cashflow'!$G$8-'Plan cashflow'!$TP$8)/12,0)&lt;0.05*MAX(1,'Plan cashflow'!$G$8/12),"mid","ok")))</f>
        <v>na</v>
      </c>
    </row>
    <row r="51" customFormat="false" ht="15" hidden="false" customHeight="true" outlineLevel="0" collapsed="false">
      <c r="B51" s="1" t="s">
        <v>2663</v>
      </c>
      <c r="C51" s="103" t="str">
        <f aca="false">IF(Fnd1_St="na","Add your income and spending to check this",IF(ROUND(('Plan cashflow'!$G$8-'Plan cashflow'!$TP$8)/12,0)&lt;0,"Spending about "&amp;"€"&amp;TEXT(ROUND(-ROUND(('Plan cashflow'!$G$8-'Plan cashflow'!$TP$8)/12,0),0),"#,##0")&amp;" a month more than comes in","About "&amp;"€"&amp;TEXT(ROUND(ROUND(('Plan cashflow'!$G$8-'Plan cashflow'!$TP$8)/12,0),0),"#,##0")&amp;" a month spare"))</f>
        <v>Add your income and spending to check this</v>
      </c>
    </row>
    <row r="52" customFormat="false" ht="15" hidden="false" customHeight="true" outlineLevel="0" collapsed="false">
      <c r="B52" s="1" t="s">
        <v>2664</v>
      </c>
      <c r="C52" s="103" t="str">
        <f aca="false">IF(AND(Has_cash=1,Has_costsM=1,F_EssM&gt;0),IF(F_Cash/F_EssM&gt;=AS_Months,"ok",IF(F_Cash/F_EssM&gt;=3,"mid","bad")),"na")</f>
        <v>na</v>
      </c>
    </row>
    <row r="53" customFormat="false" ht="15" hidden="false" customHeight="true" outlineLevel="0" collapsed="false">
      <c r="B53" s="1" t="s">
        <v>2665</v>
      </c>
      <c r="C53" s="103" t="str">
        <f aca="false">IF(Fnd2_St="na","Add your assets to check this",IF(Fnd2_St="ok",INT(F_Cash/F_EssM*10)/10&amp;" months of essential spending · target of "&amp;AS_Months&amp;" met",INT(F_Cash/F_EssM*10)/10&amp;" of "&amp;AS_Months&amp;" months of essential spending"))</f>
        <v>Add your assets to check this</v>
      </c>
    </row>
    <row r="54" customFormat="false" ht="15" hidden="false" customHeight="true" outlineLevel="0" collapsed="false">
      <c r="B54" s="1" t="s">
        <v>2666</v>
      </c>
      <c r="C54" s="103" t="n">
        <f aca="false">IF(OR(F_CardPayM&lt;=F_CardBal*D_iC,F_CardPayM&lt;=0),1E+099,CEILING(ROUND(IF(D_iC&lt;&gt;0,-LN(1-F_CardBal*D_iC/F_CardPayM)/LN(1+D_iC),F_CardBal/F_CardPayM)*1000000,0)/1000000,1))</f>
        <v>1E+099</v>
      </c>
    </row>
    <row r="55" customFormat="false" ht="15" hidden="false" customHeight="true" outlineLevel="0" collapsed="false">
      <c r="B55" s="1" t="s">
        <v>2667</v>
      </c>
      <c r="C55" s="103" t="n">
        <f aca="false">IF(OR(F_LoanPayM&lt;=F_LoanBal*D_iL,F_LoanPayM&lt;=0),1E+099,CEILING(ROUND(IF(D_iL&lt;&gt;0,-LN(1-F_LoanBal*D_iL/F_LoanPayM)/LN(1+D_iL),F_LoanBal/F_LoanPayM)*1000000,0)/1000000,1))</f>
        <v>1E+099</v>
      </c>
    </row>
    <row r="56" customFormat="false" ht="15" hidden="false" customHeight="true" outlineLevel="0" collapsed="false">
      <c r="B56" s="1" t="s">
        <v>2668</v>
      </c>
      <c r="C56" s="103" t="n">
        <f aca="false">IF(OR(Has_cardBal=1,Has_loanBal=1,Has_debt=1),1,0)</f>
        <v>0</v>
      </c>
    </row>
    <row r="57" customFormat="false" ht="15" hidden="false" customHeight="true" outlineLevel="0" collapsed="false">
      <c r="B57" s="1" t="s">
        <v>2669</v>
      </c>
      <c r="C57" s="103" t="str">
        <f aca="false">IF(AND(L3_Debt=1,F_CardBal&gt;1),IF(L3_CardM&lt;=12,"mid","bad"),"")</f>
        <v/>
      </c>
    </row>
    <row r="58" customFormat="false" ht="15" hidden="false" customHeight="true" outlineLevel="0" collapsed="false">
      <c r="B58" s="1" t="s">
        <v>2670</v>
      </c>
      <c r="C58" s="103" t="str">
        <f aca="false">IF(L3_CardSt="","","Credit card "&amp;"€"&amp;TEXT(ROUND(F_CardBal,0),"#,##0")&amp;IF(L3_CardSt="mid"," clears in about "&amp;MAX(1,L3_CardM)&amp;" months",IF(L3_CardM&gt;=1E+099," with no repayment set"," takes about "&amp;L3_CardM&amp;" months to clear"))&amp;IF(F_CardPayEst=1," (repayment worked out from your figures, because "&amp;IF(In_cardPayM&gt;0,"the repayment given doesn't cover the interest",IF(Has_cardPayM=1,"a €0 repayment wouldn't clear it","no repayment was given"))&amp;")",""))</f>
        <v/>
      </c>
    </row>
    <row r="59" customFormat="false" ht="15" hidden="false" customHeight="true" outlineLevel="0" collapsed="false">
      <c r="B59" s="1" t="s">
        <v>2671</v>
      </c>
      <c r="C59" s="103" t="str">
        <f aca="false">IF(AND(L3_Debt=1,F_LoanBal&gt;1),IF(L3_LoanM&lt;=24,"mid","bad"),"")</f>
        <v/>
      </c>
    </row>
    <row r="60" customFormat="false" ht="15" hidden="false" customHeight="true" outlineLevel="0" collapsed="false">
      <c r="B60" s="1" t="s">
        <v>2672</v>
      </c>
      <c r="C60" s="103" t="str">
        <f aca="false">IF(L3_LoanSt="","","Loans of "&amp;"€"&amp;TEXT(ROUND(F_LoanBal,0),"#,##0")&amp;IF(L3_LoanSt="mid"," clear in about "&amp;MAX(1,L3_LoanM)&amp;" months",IF(L3_LoanM&gt;=1E+099," with no repayment set"," take about "&amp;CEILING(L3_LoanM/12,1)&amp;" years to clear"))&amp;IF(F_LoanPayEst=1," (repayment worked out from your figures, because "&amp;IF(In_loanPayM&gt;0,"the repayment given doesn't cover the interest",IF(Has_loanPayM=1,"a €0 repayment wouldn't clear it","no repayment was given"))&amp;")",""))</f>
        <v/>
      </c>
    </row>
    <row r="61" customFormat="false" ht="15" hidden="false" customHeight="true" outlineLevel="0" collapsed="false">
      <c r="B61" s="1" t="s">
        <v>2673</v>
      </c>
      <c r="C61" s="103" t="str">
        <f aca="false">IF(AND(L3_Debt=1,F_Debt&lt;=1),"ok","")</f>
        <v/>
      </c>
    </row>
    <row r="62" customFormat="false" ht="15" hidden="false" customHeight="true" outlineLevel="0" collapsed="false">
      <c r="B62" s="1" t="s">
        <v>2674</v>
      </c>
      <c r="C62" s="103" t="str">
        <f aca="false">IF(L3_NoDebtSt="","","No costly debt")</f>
        <v/>
      </c>
    </row>
    <row r="63" customFormat="false" ht="15" hidden="false" customHeight="true" outlineLevel="0" collapsed="false">
      <c r="B63" s="1" t="s">
        <v>2675</v>
      </c>
      <c r="C63" s="103" t="n">
        <f aca="false">IF(In_workCover="Yes",Cover_Work_Total,0)</f>
        <v>0</v>
      </c>
    </row>
    <row r="64" customFormat="false" ht="15" hidden="false" customHeight="true" outlineLevel="0" collapsed="false">
      <c r="B64" s="1" t="s">
        <v>2676</v>
      </c>
      <c r="C64" s="103" t="n">
        <f aca="false">IF(In_life="Yes",Cover_Life_Total,0)</f>
        <v>0</v>
      </c>
    </row>
    <row r="65" customFormat="false" ht="15" hidden="false" customHeight="true" outlineLevel="0" collapsed="false">
      <c r="B65" s="1" t="s">
        <v>2677</v>
      </c>
      <c r="C65" s="103" t="n">
        <f aca="false">IF(OR(F_Partner=1,In_deps&gt;0),1,0)</f>
        <v>0</v>
      </c>
    </row>
    <row r="66" customFormat="false" ht="15" hidden="false" customHeight="true" outlineLevel="0" collapsed="false">
      <c r="B66" s="1" t="s">
        <v>2678</v>
      </c>
      <c r="C66" s="103" t="str">
        <f aca="false">IF(L3_NeedLife=0,"",IF(Has_life=0,"na",IF(OR(In_life="Yes",L3_CoverWork&gt;0),"ok",IF(In_life="No","bad","mid"))))</f>
        <v/>
      </c>
    </row>
    <row r="67" customFormat="false" ht="15" hidden="false" customHeight="true" outlineLevel="0" collapsed="false">
      <c r="B67" s="1" t="s">
        <v>2679</v>
      </c>
      <c r="C67" s="103" t="str">
        <f aca="false">IF(L3_LifeSt="","",IF(L3_LifeSt="na","Add your protection to check life cover",IF(L3_LifeSt="ok",IF(In_life="Yes","Life cover in place"&amp;IF(L3_CoverLife&gt;0," ("&amp;"€"&amp;TEXT(ROUND(L3_CoverLife,0),"#,##0")&amp;" covered)","")&amp;IF(L3_CoverWork&gt;0,", plus "&amp;"€"&amp;TEXT(ROUND(L3_CoverWork,0),"#,##0")&amp;" through work",""),"Cover through work in place ("&amp;"€"&amp;TEXT(ROUND(L3_CoverWork,0),"#,##0")&amp;")"),IF(In_life="No","No life cover, and ","Not sure about life cover, and ")&amp;IF(In_deps&gt;0,"people rely on you","you plan with a partner"))))</f>
        <v/>
      </c>
    </row>
    <row r="68" customFormat="false" ht="15" hidden="false" customHeight="true" outlineLevel="0" collapsed="false">
      <c r="B68" s="1" t="s">
        <v>2680</v>
      </c>
      <c r="C68" s="103" t="str">
        <f aca="false">IF(AND(In_work&lt;&gt;"",In_work&lt;&gt;"Not working"),IF(Has_ip=0,"na",IF(In_ip="Yes","ok","mid")),"")</f>
        <v/>
      </c>
    </row>
    <row r="69" customFormat="false" ht="15" hidden="false" customHeight="true" outlineLevel="0" collapsed="false">
      <c r="B69" s="1" t="s">
        <v>2681</v>
      </c>
      <c r="C69" s="103" t="str">
        <f aca="false">IF(L3_IpSt="","",IF(L3_IpSt="na","Add your protection to check income protection",IF(L3_IpSt="ok","Income protection in place"&amp;IF(AND(In_ip="Yes",IP_Listed_Total&gt;0)," ("&amp;"€"&amp;TEXT(ROUND(IP_Listed_Total,0),"#,##0")&amp;" a month)",""),"No income protection if you couldn't work")))</f>
        <v/>
      </c>
    </row>
    <row r="70" customFormat="false" ht="15" hidden="false" customHeight="true" outlineLevel="0" collapsed="false">
      <c r="B70" s="1" t="s">
        <v>2682</v>
      </c>
      <c r="C70" s="103" t="n">
        <f aca="false">MIN(IF(L3_CardSt="",9,IF(L3_CardSt="bad",0,IF(L3_CardSt="mid",1,IF(L3_CardSt="na",2,3)))),IF(L3_LoanSt="",9,IF(L3_LoanSt="bad",0,IF(L3_LoanSt="mid",1,IF(L3_LoanSt="na",2,3)))),IF(L3_NoDebtSt="",9,IF(L3_NoDebtSt="bad",0,IF(L3_NoDebtSt="mid",1,IF(L3_NoDebtSt="na",2,3)))),IF(L3_LifeSt="",9,IF(L3_LifeSt="bad",0,IF(L3_LifeSt="mid",1,IF(L3_LifeSt="na",2,3)))),IF(L3_IpSt="",9,IF(L3_IpSt="bad",0,IF(L3_IpSt="mid",1,IF(L3_IpSt="na",2,3)))))</f>
        <v>9</v>
      </c>
    </row>
    <row r="71" customFormat="false" ht="15" hidden="false" customHeight="true" outlineLevel="0" collapsed="false">
      <c r="B71" s="1" t="s">
        <v>2683</v>
      </c>
      <c r="C71" s="103" t="str">
        <f aca="false">IF(L3_Rank=9,"na",IF(IF(L3_CardSt="",9,IF(L3_CardSt="bad",0,IF(L3_CardSt="mid",1,IF(L3_CardSt="na",2,3))))=L3_Rank,L3_CardSt,IF(IF(L3_LoanSt="",9,IF(L3_LoanSt="bad",0,IF(L3_LoanSt="mid",1,IF(L3_LoanSt="na",2,3))))=L3_Rank,L3_LoanSt,IF(IF(L3_NoDebtSt="",9,IF(L3_NoDebtSt="bad",0,IF(L3_NoDebtSt="mid",1,IF(L3_NoDebtSt="na",2,3))))=L3_Rank,L3_NoDebtSt,IF(IF(L3_LifeSt="",9,IF(L3_LifeSt="bad",0,IF(L3_LifeSt="mid",1,IF(L3_LifeSt="na",2,3))))=L3_Rank,L3_LifeSt,L3_IpSt)))))</f>
        <v>na</v>
      </c>
    </row>
    <row r="72" customFormat="false" ht="15" hidden="false" customHeight="true" outlineLevel="0" collapsed="false">
      <c r="B72" s="1" t="s">
        <v>2684</v>
      </c>
      <c r="C72" s="103" t="str">
        <f aca="false">IF(L3_Rank=9,"Add your loans and protection to check this",IF(IF(L3_CardSt="",9,IF(L3_CardSt="bad",0,IF(L3_CardSt="mid",1,IF(L3_CardSt="na",2,3))))=L3_Rank,L3_CardS,IF(IF(L3_LoanSt="",9,IF(L3_LoanSt="bad",0,IF(L3_LoanSt="mid",1,IF(L3_LoanSt="na",2,3))))=L3_Rank,L3_LoanS,IF(IF(L3_NoDebtSt="",9,IF(L3_NoDebtSt="bad",0,IF(L3_NoDebtSt="mid",1,IF(L3_NoDebtSt="na",2,3))))=L3_Rank,L3_NoDebtS,IF(IF(L3_LifeSt="",9,IF(L3_LifeSt="bad",0,IF(L3_LifeSt="mid",1,IF(L3_LifeSt="na",2,3))))=L3_Rank,L3_LifeS,L3_IpS)))))</f>
        <v>Add your loans and protection to check this</v>
      </c>
    </row>
    <row r="73" customFormat="false" ht="15" hidden="false" customHeight="true" outlineLevel="0" collapsed="false">
      <c r="B73" s="1" t="s">
        <v>2685</v>
      </c>
      <c r="C73" s="103" t="n">
        <f aca="false">SUMPRODUCT((GR_Key&lt;&gt;"")*(GR_Kind&lt;&gt;"legacy"))</f>
        <v>0</v>
      </c>
    </row>
    <row r="74" customFormat="false" ht="15" hidden="false" customHeight="true" outlineLevel="0" collapsed="false">
      <c r="B74" s="1" t="s">
        <v>2686</v>
      </c>
      <c r="C74" s="103" t="n">
        <f aca="false">SUMPRODUCT((GR_Key&lt;&gt;"")*(GR_Kind&lt;&gt;"legacy")*(GR_PctN&gt;=PR_Good))</f>
        <v>0</v>
      </c>
    </row>
    <row r="75" customFormat="false" ht="15" hidden="false" customHeight="true" outlineLevel="0" collapsed="false">
      <c r="B75" s="1" t="s">
        <v>2687</v>
      </c>
      <c r="C75" s="103" t="n">
        <f aca="false">SUMPRODUCT((GR_Key&lt;&gt;"")*(GR_Kind&lt;&gt;"legacy")*(GR_PctN&lt;PR_LowPct))</f>
        <v>0</v>
      </c>
    </row>
    <row r="76" customFormat="false" ht="15" hidden="false" customHeight="true" outlineLevel="0" collapsed="false">
      <c r="B76" s="1" t="s">
        <v>2688</v>
      </c>
      <c r="C76" s="103" t="n">
        <f aca="false">IF(OR(F_PenM&gt;0,IF(RG_Exists=1,INDEX(GR_PctN,RG_Row)&gt;=PR_Good,FALSE())),1,0)</f>
        <v>0</v>
      </c>
    </row>
    <row r="77" customFormat="false" ht="15" hidden="false" customHeight="true" outlineLevel="0" collapsed="false">
      <c r="B77" s="1" t="s">
        <v>2689</v>
      </c>
      <c r="C77" s="103" t="str">
        <f aca="false">IF(L4_N=0,"na",IF(L4_Low&gt;L4_N/2,"bad",IF(AND(L4_On=L4_N,L4_PenOn=1),"ok","mid")))</f>
        <v>na</v>
      </c>
    </row>
    <row r="78" customFormat="false" ht="15" hidden="false" customHeight="true" outlineLevel="0" collapsed="false">
      <c r="B78" s="1" t="s">
        <v>2690</v>
      </c>
      <c r="C78" s="103" t="str">
        <f aca="false">IF(L4_N&gt;0,L4_On&amp;" of "&amp;L4_N&amp;" goals on track"&amp;IF(L4_PenOn=1," · pension saving under way"," · no pension saving yet"),"Add goals to check this")</f>
        <v>Add goals to check this</v>
      </c>
    </row>
    <row r="79" customFormat="false" ht="15" hidden="false" customHeight="true" outlineLevel="0" collapsed="false">
      <c r="B79" s="1" t="s">
        <v>2691</v>
      </c>
      <c r="C79" s="103" t="n">
        <f aca="false">SUMPRODUCT((GR_Key&lt;&gt;"")*((GR_Key="wealth")+(GR_Kind="legacy")&gt;0))</f>
        <v>0</v>
      </c>
    </row>
    <row r="80" customFormat="false" ht="15" hidden="false" customHeight="true" outlineLevel="0" collapsed="false">
      <c r="B80" s="1" t="s">
        <v>2692</v>
      </c>
      <c r="C80" s="103" t="n">
        <f aca="false">IFERROR(MATCH(1,INDEX((GR_Key&lt;&gt;"")*((GR_Key="wealth")+(GR_Kind="legacy")&gt;0)*(GR_PctN&gt;=PR_Good),0),0),0)</f>
        <v>0</v>
      </c>
    </row>
    <row r="81" customFormat="false" ht="15" hidden="false" customHeight="true" outlineLevel="0" collapsed="false">
      <c r="B81" s="1" t="s">
        <v>2693</v>
      </c>
      <c r="C81" s="103" t="n">
        <f aca="false">IFERROR(MATCH(1,INDEX((GR_Key&lt;&gt;"")*((GR_Key="wealth")+(GR_Kind="legacy")&gt;0),0),0),0)</f>
        <v>0</v>
      </c>
    </row>
    <row r="82" customFormat="false" ht="15" hidden="false" customHeight="true" outlineLevel="0" collapsed="false">
      <c r="B82" s="1" t="s">
        <v>2694</v>
      </c>
      <c r="C82" s="103" t="n">
        <f aca="false">IF(AND(Has_invest=1,F_Invest&gt;0),1,0)</f>
        <v>0</v>
      </c>
    </row>
    <row r="83" customFormat="false" ht="15" hidden="false" customHeight="true" outlineLevel="0" collapsed="false">
      <c r="B83" s="1" t="s">
        <v>2695</v>
      </c>
      <c r="C83" s="103" t="str">
        <f aca="false">IF(OR(L5_Inv=1,L5_OnIdx&gt;0),"ok",IF(L5_N&gt;0,"mid","na"))</f>
        <v>na</v>
      </c>
    </row>
    <row r="84" customFormat="false" ht="15" hidden="false" customHeight="true" outlineLevel="0" collapsed="false">
      <c r="B84" s="1" t="s">
        <v>2696</v>
      </c>
      <c r="C84" s="103" t="str">
        <f aca="false">IF(L5_Inv=1,"Investing "&amp;"€"&amp;TEXT(ROUND(F_Invest,0),"#,##0")&amp;IF(L5_OnIdx&gt;0," · "&amp;LOWER(INDEX(GR_Name,L5_OnIdx))&amp;" on track",""),IF(L5_OnIdx&gt;0,INDEX(GR_Name,L5_OnIdx)&amp;" on track",IF(L5_N&gt;0,INDEX(GR_Name,L5_FirstIdx)&amp;" not on track yet","Not started yet")))</f>
        <v>Not started yet</v>
      </c>
    </row>
    <row r="85" customFormat="false" ht="15" hidden="false" customHeight="true" outlineLevel="0" collapsed="false">
      <c r="B85" s="1" t="s">
        <v>2697</v>
      </c>
      <c r="C85" s="103" t="str">
        <f aca="false">IF(AND(Fnd2_St="ok",OR(Fnd1_St="bad",Fnd1_St="mid")),"held",Fnd2_St)</f>
        <v>na</v>
      </c>
    </row>
    <row r="86" customFormat="false" ht="15" hidden="false" customHeight="true" outlineLevel="0" collapsed="false">
      <c r="B86" s="1" t="s">
        <v>2698</v>
      </c>
      <c r="C86" s="103" t="str">
        <f aca="false">IF(AND(Fnd3_St="ok",OR(Fnd1_St="bad",Fnd1_St="mid",Fnd2_St="bad",Fnd2_St="mid")),"held",Fnd3_St)</f>
        <v>na</v>
      </c>
    </row>
    <row r="87" customFormat="false" ht="15" hidden="false" customHeight="true" outlineLevel="0" collapsed="false">
      <c r="B87" s="1" t="s">
        <v>2699</v>
      </c>
      <c r="C87" s="103" t="str">
        <f aca="false">IF(AND(Fnd4_St="ok",OR(Fnd1_St="bad",Fnd1_St="mid",Fnd2_St="bad",Fnd2_St="mid",Fnd3_St="bad",Fnd3_St="mid")),"held",Fnd4_St)</f>
        <v>na</v>
      </c>
    </row>
    <row r="88" customFormat="false" ht="15" hidden="false" customHeight="true" outlineLevel="0" collapsed="false">
      <c r="B88" s="1" t="s">
        <v>2700</v>
      </c>
      <c r="C88" s="103" t="str">
        <f aca="false">IF(AND(Fnd5_St="ok",OR(Fnd1_St="bad",Fnd1_St="mid",Fnd2_St="bad",Fnd2_St="mid",Fnd3_St="bad",Fnd3_St="mid",Fnd4_St="bad",Fnd4_St="mid")),"held",Fnd5_St)</f>
        <v>na</v>
      </c>
    </row>
    <row r="89" customFormat="false" ht="15" hidden="false" customHeight="true" outlineLevel="0" collapsed="false">
      <c r="B89" s="1" t="s">
        <v>2701</v>
      </c>
      <c r="C89" s="103" t="str">
        <f aca="false">Fnd1_St</f>
        <v>na</v>
      </c>
    </row>
    <row r="91" customFormat="false" ht="15" hidden="false" customHeight="true" outlineLevel="0" collapsed="false">
      <c r="B91" s="93" t="s">
        <v>2702</v>
      </c>
      <c r="C91" s="93" t="s">
        <v>1521</v>
      </c>
    </row>
    <row r="92" customFormat="false" ht="15" hidden="false" customHeight="true" outlineLevel="0" collapsed="false">
      <c r="B92" s="1" t="s">
        <v>2703</v>
      </c>
      <c r="C92" s="103" t="n">
        <f aca="false">IF(Fnd1_Fin&lt;&gt;"ok",1,IF(Fnd2_Fin&lt;&gt;"ok",2,IF(Fnd3_Fin&lt;&gt;"ok",3,IF(Fnd4_Fin&lt;&gt;"ok",4,IF(Fnd5_Fin&lt;&gt;"ok",5,0)))))</f>
        <v>1</v>
      </c>
    </row>
    <row r="93" customFormat="false" ht="15" hidden="false" customHeight="true" outlineLevel="0" collapsed="false">
      <c r="B93" s="1" t="s">
        <v>2704</v>
      </c>
      <c r="C93" s="103" t="str">
        <f aca="false">IF(L3_Rank=9,"",IF(AND(L3_CardSt&lt;&gt;"",IF(L3_CardSt="",9,IF(L3_CardSt="bad",0,IF(L3_CardSt="mid",1,IF(L3_CardSt="na",2,3))))=L3_Rank),"debtpay",IF(AND(L3_LoanSt&lt;&gt;"",IF(L3_LoanSt="",9,IF(L3_LoanSt="bad",0,IF(L3_LoanSt="mid",1,IF(L3_LoanSt="na",2,3))))=L3_Rank),"debtpay","")))</f>
        <v/>
      </c>
    </row>
    <row r="94" customFormat="false" ht="15" hidden="false" customHeight="true" outlineLevel="0" collapsed="false">
      <c r="B94" s="1" t="s">
        <v>2705</v>
      </c>
      <c r="C94" s="103" t="str">
        <f aca="false">IF(Fnd_NextN=0,"",CHOOSE(Fnd_NextN,IF(Fnd1_Fin="bad","Spend less than you earn first","Give yourself more room each month"),"Build your emergency fund first",IF(AND(Fnd3_Fin&lt;&gt;"na",L3_Kind="debtpay"),"Clear your costly debt first","Check your protection first"),"Get your goals on track","Start growing your wealth when you're ready"))</f>
        <v>Give yourself more room each month</v>
      </c>
    </row>
    <row r="95" customFormat="false" ht="15" hidden="false" customHeight="true" outlineLevel="0" collapsed="false">
      <c r="B95" s="1" t="s">
        <v>2706</v>
      </c>
      <c r="C95" s="103" t="str">
        <f aca="false">IF(Fnd_NextN=0,"",IF(AND(Fnd_NextN=2,Fnd2_St&lt;&gt;"na"),"You're "&amp;INT(F_Cash/F_EssM*10)/10&amp;" of "&amp;AS_Months&amp;" months there.",CHOOSE(Fnd_NextN,IF(Fnd1_Fin="held",Fnd1_S&amp;" · strengthen your foundations first",Fnd1_S)&amp;".",IF(Fnd2_Fin="held",Fnd2_S&amp;" · strengthen your foundations first",Fnd2_S)&amp;".",IF(Fnd3_Fin="held",Fnd3_S&amp;" · strengthen your foundations first",Fnd3_S)&amp;".",IF(Fnd4_Fin="held",Fnd4_S&amp;" · strengthen your foundations first",Fnd4_S)&amp;".",IF(Fnd5_Fin="held",Fnd5_S&amp;" · strengthen your foundations first",Fnd5_S)&amp;".")))</f>
        <v>Add your income and spending to check this.</v>
      </c>
    </row>
    <row r="96" customFormat="false" ht="15" hidden="false" customHeight="true" outlineLevel="0" collapsed="false">
      <c r="B96" s="1" t="s">
        <v>2707</v>
      </c>
      <c r="C96" s="103" t="n">
        <f aca="false">SUMPRODUCT((GR_Key&lt;&gt;"")*(GR_PctN&lt;PR_Good))</f>
        <v>0</v>
      </c>
    </row>
    <row r="97" customFormat="false" ht="15" hidden="false" customHeight="true" outlineLevel="0" collapsed="false">
      <c r="B97" s="1" t="s">
        <v>2708</v>
      </c>
      <c r="C97" s="103" t="str">
        <f aca="false">IF(AND(INDEX(GR_Key,1)&lt;&gt;"",INDEX(GR_PctN,1)&lt;PR_Good),INDEX(GR_Name,1)&amp;"|","")&amp;IF(AND(INDEX(GR_Key,2)&lt;&gt;"",INDEX(GR_PctN,2)&lt;PR_Good),INDEX(GR_Name,2)&amp;"|","")&amp;IF(AND(INDEX(GR_Key,3)&lt;&gt;"",INDEX(GR_PctN,3)&lt;PR_Good),INDEX(GR_Name,3)&amp;"|","")&amp;IF(AND(INDEX(GR_Key,4)&lt;&gt;"",INDEX(GR_PctN,4)&lt;PR_Good),INDEX(GR_Name,4)&amp;"|","")&amp;IF(AND(INDEX(GR_Key,5)&lt;&gt;"",INDEX(GR_PctN,5)&lt;PR_Good),INDEX(GR_Name,5)&amp;"|","")&amp;IF(AND(INDEX(GR_Key,6)&lt;&gt;"",INDEX(GR_PctN,6)&lt;PR_Good),INDEX(GR_Name,6)&amp;"|","")&amp;IF(AND(INDEX(GR_Key,7)&lt;&gt;"",INDEX(GR_PctN,7)&lt;PR_Good),INDEX(GR_Name,7)&amp;"|","")&amp;IF(AND(INDEX(GR_Key,8)&lt;&gt;"",INDEX(GR_PctN,8)&lt;PR_Good),INDEX(GR_Name,8)&amp;"|","")&amp;IF(AND(INDEX(GR_Key,9)&lt;&gt;"",INDEX(GR_PctN,9)&lt;PR_Good),INDEX(GR_Name,9)&amp;"|","")&amp;IF(AND(INDEX(GR_Key,10)&lt;&gt;"",INDEX(GR_PctN,10)&lt;PR_Good),INDEX(GR_Name,10)&amp;"|","")&amp;IF(AND(INDEX(GR_Key,11)&lt;&gt;"",INDEX(GR_PctN,11)&lt;PR_Good),INDEX(GR_Name,11)&amp;"|","")&amp;IF(AND(INDEX(GR_Key,12)&lt;&gt;"",INDEX(GR_PctN,12)&lt;PR_Good),INDEX(GR_Name,12)&amp;"|","")&amp;IF(AND(INDEX(GR_Key,13)&lt;&gt;"",INDEX(GR_PctN,13)&lt;PR_Good),INDEX(GR_Name,13)&amp;"|","")&amp;IF(AND(INDEX(GR_Key,14)&lt;&gt;"",INDEX(GR_PctN,14)&lt;PR_Good),INDEX(GR_Name,14)&amp;"|","")&amp;IF(AND(INDEX(GR_Key,15)&lt;&gt;"",INDEX(GR_PctN,15)&lt;PR_Good),INDEX(GR_Name,15)&amp;"|","")&amp;IF(AND(INDEX(GR_Key,16)&lt;&gt;"",INDEX(GR_PctN,16)&lt;PR_Good),INDEX(GR_Name,16)&amp;"|","")&amp;IF(AND(INDEX(GR_Key,17)&lt;&gt;"",INDEX(GR_PctN,17)&lt;PR_Good),INDEX(GR_Name,17)&amp;"|","")&amp;IF(AND(INDEX(GR_Key,18)&lt;&gt;"",INDEX(GR_PctN,18)&lt;PR_Good),INDEX(GR_Name,18)&amp;"|","")&amp;IF(AND(INDEX(GR_Key,19)&lt;&gt;"",INDEX(GR_PctN,19)&lt;PR_Good),INDEX(GR_Name,19)&amp;"|","")&amp;IF(AND(INDEX(GR_Key,20)&lt;&gt;"",INDEX(GR_PctN,20)&lt;PR_Good),INDEX(GR_Name,20)&amp;"|","")&amp;IF(AND(INDEX(GR_Key,21)&lt;&gt;"",INDEX(GR_PctN,21)&lt;PR_Good),INDEX(GR_Name,21)&amp;"|","")&amp;IF(AND(INDEX(GR_Key,22)&lt;&gt;"",INDEX(GR_PctN,22)&lt;PR_Good),INDEX(GR_Name,22)&amp;"|","")</f>
        <v/>
      </c>
    </row>
    <row r="99" customFormat="false" ht="15" hidden="false" customHeight="true" outlineLevel="0" collapsed="false">
      <c r="B99" s="93" t="s">
        <v>2709</v>
      </c>
      <c r="C99" s="93" t="s">
        <v>1521</v>
      </c>
    </row>
    <row r="100" customFormat="false" ht="61.5" hidden="false" customHeight="true" outlineLevel="0" collapsed="false">
      <c r="B100" s="100" t="s">
        <v>2710</v>
      </c>
      <c r="C100" s="100" t="s">
        <v>2711</v>
      </c>
      <c r="D100" s="100" t="s">
        <v>2712</v>
      </c>
      <c r="E100" s="100" t="s">
        <v>2713</v>
      </c>
      <c r="F100" s="100" t="s">
        <v>2714</v>
      </c>
      <c r="G100" s="100" t="s">
        <v>2715</v>
      </c>
      <c r="H100" s="100" t="s">
        <v>2716</v>
      </c>
      <c r="I100" s="100" t="s">
        <v>2717</v>
      </c>
      <c r="J100" s="100" t="s">
        <v>2718</v>
      </c>
      <c r="K100" s="100" t="s">
        <v>2719</v>
      </c>
      <c r="L100" s="100" t="s">
        <v>2720</v>
      </c>
      <c r="M100" s="100" t="s">
        <v>2721</v>
      </c>
      <c r="N100" s="100" t="s">
        <v>2722</v>
      </c>
      <c r="O100" s="100" t="s">
        <v>2723</v>
      </c>
      <c r="P100" s="100" t="s">
        <v>2724</v>
      </c>
      <c r="Q100" s="100" t="s">
        <v>2486</v>
      </c>
    </row>
    <row r="101" customFormat="false" ht="15" hidden="false" customHeight="true" outlineLevel="0" collapsed="false">
      <c r="B101" s="1" t="s">
        <v>2725</v>
      </c>
      <c r="C101" s="1" t="n">
        <f aca="false">IF(1,1,0)</f>
        <v>1</v>
      </c>
      <c r="D101" s="1" t="n">
        <v>0</v>
      </c>
      <c r="E101" s="1" t="n">
        <f aca="false">IF(1,1,0)</f>
        <v>1</v>
      </c>
      <c r="F101" s="1" t="n">
        <v>1</v>
      </c>
      <c r="G101" s="1" t="n">
        <f aca="false">IF(ISNUMBER(SEARCH(","&amp;"name"&amp;",",","&amp;SUBSTITUTE(In_lookKeys," ","")&amp;",")),1,0)</f>
        <v>0</v>
      </c>
      <c r="H101" s="1" t="n">
        <f aca="false">IF(ISNUMBER(SEARCH(","&amp;"name"&amp;",",","&amp;SUBSTITUTE(In_ackKeys," ","")&amp;",")),1,0)</f>
        <v>0</v>
      </c>
      <c r="I101" s="1" t="n">
        <f aca="false">C101*(1-D101)</f>
        <v>1</v>
      </c>
      <c r="J101" s="1" t="n">
        <f aca="false">I101*E101</f>
        <v>1</v>
      </c>
      <c r="K101" s="1" t="n">
        <f aca="false">C101*G101*(1-H101)</f>
        <v>0</v>
      </c>
      <c r="L101" s="1" t="n">
        <f aca="false">C101*E101*(1-F101)</f>
        <v>0</v>
      </c>
      <c r="M101" s="1" t="n">
        <f aca="false">C101*MAX(E101,G101)</f>
        <v>1</v>
      </c>
      <c r="N101" s="1" t="n">
        <v>1</v>
      </c>
      <c r="O101" s="1" t="n">
        <f aca="false">C101*IF(G101=1,1,IF(AND(D101=0,E101=0),1,0))</f>
        <v>0</v>
      </c>
      <c r="P101" s="1" t="n">
        <f aca="false">C101*E101*(1-G101)</f>
        <v>1</v>
      </c>
      <c r="Q101" s="1" t="s">
        <v>2726</v>
      </c>
    </row>
    <row r="102" customFormat="false" ht="15" hidden="false" customHeight="true" outlineLevel="0" collapsed="false">
      <c r="B102" s="1" t="s">
        <v>2620</v>
      </c>
      <c r="C102" s="1" t="n">
        <f aca="false">IF(Has_age=0,1,0)</f>
        <v>1</v>
      </c>
      <c r="D102" s="1" t="n">
        <v>0</v>
      </c>
      <c r="E102" s="1" t="n">
        <f aca="false">IF(Has_age,1,0)</f>
        <v>0</v>
      </c>
      <c r="F102" s="1" t="n">
        <v>1</v>
      </c>
      <c r="G102" s="1" t="n">
        <f aca="false">IF(ISNUMBER(SEARCH(","&amp;"age"&amp;",",","&amp;SUBSTITUTE(In_lookKeys," ","")&amp;",")),1,0)</f>
        <v>0</v>
      </c>
      <c r="H102" s="1" t="n">
        <f aca="false">IF(ISNUMBER(SEARCH(","&amp;"age"&amp;",",","&amp;SUBSTITUTE(In_ackKeys," ","")&amp;",")),1,0)</f>
        <v>0</v>
      </c>
      <c r="I102" s="1" t="n">
        <f aca="false">C102*(1-D102)</f>
        <v>1</v>
      </c>
      <c r="J102" s="1" t="n">
        <f aca="false">I102*E102</f>
        <v>0</v>
      </c>
      <c r="K102" s="1" t="n">
        <f aca="false">C102*G102*(1-H102)</f>
        <v>0</v>
      </c>
      <c r="L102" s="1" t="n">
        <f aca="false">C102*E102*(1-F102)</f>
        <v>0</v>
      </c>
      <c r="M102" s="1" t="n">
        <f aca="false">C102*MAX(E102,G102)</f>
        <v>0</v>
      </c>
      <c r="N102" s="1" t="n">
        <v>1</v>
      </c>
      <c r="O102" s="1" t="n">
        <f aca="false">C102*IF(G102=1,1,IF(AND(D102=0,E102=0),1,0))</f>
        <v>1</v>
      </c>
      <c r="P102" s="1" t="n">
        <f aca="false">C102*E102*(1-G102)</f>
        <v>0</v>
      </c>
      <c r="Q102" s="1" t="s">
        <v>715</v>
      </c>
    </row>
    <row r="103" customFormat="false" ht="15" hidden="false" customHeight="true" outlineLevel="0" collapsed="false">
      <c r="B103" s="1" t="s">
        <v>784</v>
      </c>
      <c r="C103" s="1" t="n">
        <f aca="false">IF(1,1,0)</f>
        <v>1</v>
      </c>
      <c r="D103" s="1" t="n">
        <v>0</v>
      </c>
      <c r="E103" s="1" t="n">
        <f aca="false">IF(Has_retireAge,1,0)</f>
        <v>0</v>
      </c>
      <c r="F103" s="1" t="n">
        <v>0</v>
      </c>
      <c r="G103" s="1" t="n">
        <f aca="false">IF(ISNUMBER(SEARCH(","&amp;"retireAge"&amp;",",","&amp;SUBSTITUTE(In_lookKeys," ","")&amp;",")),1,0)</f>
        <v>0</v>
      </c>
      <c r="H103" s="1" t="n">
        <f aca="false">IF(ISNUMBER(SEARCH(","&amp;"retireAge"&amp;",",","&amp;SUBSTITUTE(In_ackKeys," ","")&amp;",")),1,0)</f>
        <v>0</v>
      </c>
      <c r="I103" s="1" t="n">
        <f aca="false">C103*(1-D103)</f>
        <v>1</v>
      </c>
      <c r="J103" s="1" t="n">
        <f aca="false">I103*E103</f>
        <v>0</v>
      </c>
      <c r="K103" s="1" t="n">
        <f aca="false">C103*G103*(1-H103)</f>
        <v>0</v>
      </c>
      <c r="L103" s="1" t="n">
        <f aca="false">C103*E103*(1-F103)</f>
        <v>0</v>
      </c>
      <c r="M103" s="1" t="n">
        <f aca="false">C103*MAX(E103,G103)</f>
        <v>0</v>
      </c>
      <c r="N103" s="1" t="n">
        <v>1</v>
      </c>
      <c r="O103" s="1" t="n">
        <f aca="false">0</f>
        <v>0</v>
      </c>
      <c r="P103" s="1" t="n">
        <f aca="false">0</f>
        <v>0</v>
      </c>
      <c r="Q103" s="1" t="s">
        <v>2625</v>
      </c>
    </row>
    <row r="104" customFormat="false" ht="15" hidden="false" customHeight="true" outlineLevel="0" collapsed="false">
      <c r="B104" s="1" t="s">
        <v>2623</v>
      </c>
      <c r="C104" s="1" t="n">
        <f aca="false">IF(AND(F_Partner=1,In_pIncome&gt;0),1,0)</f>
        <v>0</v>
      </c>
      <c r="D104" s="1" t="n">
        <v>0</v>
      </c>
      <c r="E104" s="1" t="n">
        <f aca="false">IF(Has_pAge,1,0)</f>
        <v>0</v>
      </c>
      <c r="F104" s="1" t="n">
        <v>0</v>
      </c>
      <c r="G104" s="1" t="n">
        <f aca="false">IF(ISNUMBER(SEARCH(","&amp;"pAge"&amp;",",","&amp;SUBSTITUTE(In_lookKeys," ","")&amp;",")),1,0)</f>
        <v>0</v>
      </c>
      <c r="H104" s="1" t="n">
        <f aca="false">IF(ISNUMBER(SEARCH(","&amp;"pAge"&amp;",",","&amp;SUBSTITUTE(In_ackKeys," ","")&amp;",")),1,0)</f>
        <v>0</v>
      </c>
      <c r="I104" s="1" t="n">
        <f aca="false">C104*(1-D104)</f>
        <v>0</v>
      </c>
      <c r="J104" s="1" t="n">
        <f aca="false">I104*E104</f>
        <v>0</v>
      </c>
      <c r="K104" s="1" t="n">
        <f aca="false">C104*G104*(1-H104)</f>
        <v>0</v>
      </c>
      <c r="L104" s="1" t="n">
        <f aca="false">C104*E104*(1-F104)</f>
        <v>0</v>
      </c>
      <c r="M104" s="1" t="n">
        <f aca="false">C104*MAX(E104,G104)</f>
        <v>0</v>
      </c>
      <c r="N104" s="1" t="n">
        <v>1</v>
      </c>
      <c r="O104" s="1" t="n">
        <f aca="false">C104*IF(G104=1,1,IF(AND(D104=0,E104=0),1,0))</f>
        <v>0</v>
      </c>
      <c r="P104" s="1" t="n">
        <f aca="false">C104*E104*(1-G104)</f>
        <v>0</v>
      </c>
      <c r="Q104" s="1" t="s">
        <v>2622</v>
      </c>
    </row>
    <row r="105" customFormat="false" ht="15" hidden="false" customHeight="true" outlineLevel="0" collapsed="false">
      <c r="B105" s="1" t="s">
        <v>2727</v>
      </c>
      <c r="C105" s="1" t="n">
        <f aca="false">IF(1,1,0)</f>
        <v>1</v>
      </c>
      <c r="D105" s="1" t="n">
        <v>0</v>
      </c>
      <c r="E105" s="1" t="n">
        <f aca="false">IF(Has_work,1,0)</f>
        <v>0</v>
      </c>
      <c r="F105" s="1" t="n">
        <v>0</v>
      </c>
      <c r="G105" s="1" t="n">
        <f aca="false">IF(ISNUMBER(SEARCH(","&amp;"work"&amp;",",","&amp;SUBSTITUTE(In_lookKeys," ","")&amp;",")),1,0)</f>
        <v>0</v>
      </c>
      <c r="H105" s="1" t="n">
        <f aca="false">IF(ISNUMBER(SEARCH(","&amp;"work"&amp;",",","&amp;SUBSTITUTE(In_ackKeys," ","")&amp;",")),1,0)</f>
        <v>0</v>
      </c>
      <c r="I105" s="1" t="n">
        <f aca="false">C105*(1-D105)</f>
        <v>1</v>
      </c>
      <c r="J105" s="1" t="n">
        <f aca="false">I105*E105</f>
        <v>0</v>
      </c>
      <c r="K105" s="1" t="n">
        <f aca="false">C105*G105*(1-H105)</f>
        <v>0</v>
      </c>
      <c r="L105" s="1" t="n">
        <f aca="false">C105*E105*(1-F105)</f>
        <v>0</v>
      </c>
      <c r="M105" s="1" t="n">
        <f aca="false">C105*MAX(E105,G105)</f>
        <v>0</v>
      </c>
      <c r="N105" s="1" t="n">
        <v>2</v>
      </c>
      <c r="O105" s="1" t="n">
        <f aca="false">C105*IF(G105=1,1,IF(AND(D105=0,E105=0),1,0))</f>
        <v>1</v>
      </c>
      <c r="P105" s="1" t="n">
        <f aca="false">C105*E105*(1-G105)</f>
        <v>0</v>
      </c>
      <c r="Q105" s="1" t="s">
        <v>2728</v>
      </c>
    </row>
    <row r="106" customFormat="false" ht="15" hidden="false" customHeight="true" outlineLevel="0" collapsed="false">
      <c r="B106" s="1" t="s">
        <v>226</v>
      </c>
      <c r="C106" s="1" t="n">
        <f aca="false">IF(1,1,0)</f>
        <v>1</v>
      </c>
      <c r="D106" s="1" t="n">
        <v>0</v>
      </c>
      <c r="E106" s="1" t="n">
        <f aca="false">IF(Has_income,1,0)</f>
        <v>0</v>
      </c>
      <c r="F106" s="1" t="n">
        <v>0</v>
      </c>
      <c r="G106" s="1" t="n">
        <f aca="false">IF(ISNUMBER(SEARCH(","&amp;"income"&amp;",",","&amp;SUBSTITUTE(In_lookKeys," ","")&amp;",")),1,0)</f>
        <v>0</v>
      </c>
      <c r="H106" s="1" t="n">
        <f aca="false">IF(ISNUMBER(SEARCH(","&amp;"income"&amp;",",","&amp;SUBSTITUTE(In_ackKeys," ","")&amp;",")),1,0)</f>
        <v>0</v>
      </c>
      <c r="I106" s="1" t="n">
        <f aca="false">C106*(1-D106)</f>
        <v>1</v>
      </c>
      <c r="J106" s="1" t="n">
        <f aca="false">I106*E106</f>
        <v>0</v>
      </c>
      <c r="K106" s="1" t="n">
        <f aca="false">C106*G106*(1-H106)</f>
        <v>0</v>
      </c>
      <c r="L106" s="1" t="n">
        <f aca="false">C106*E106*(1-F106)</f>
        <v>0</v>
      </c>
      <c r="M106" s="1" t="n">
        <f aca="false">C106*MAX(E106,G106)</f>
        <v>0</v>
      </c>
      <c r="N106" s="1" t="n">
        <v>2</v>
      </c>
      <c r="O106" s="1" t="n">
        <f aca="false">C106*IF(G106=1,1,IF(AND(D106=0,E106=0),1,0))</f>
        <v>1</v>
      </c>
      <c r="P106" s="1" t="n">
        <f aca="false">C106*E106*(1-G106)</f>
        <v>0</v>
      </c>
      <c r="Q106" s="1" t="s">
        <v>2729</v>
      </c>
    </row>
    <row r="107" customFormat="false" ht="15" hidden="false" customHeight="true" outlineLevel="0" collapsed="false">
      <c r="B107" s="1" t="s">
        <v>229</v>
      </c>
      <c r="C107" s="1" t="n">
        <f aca="false">IF(F_Partner=1,1,0)</f>
        <v>0</v>
      </c>
      <c r="D107" s="1" t="n">
        <v>0</v>
      </c>
      <c r="E107" s="1" t="n">
        <f aca="false">IF(Has_pIncome,1,0)</f>
        <v>0</v>
      </c>
      <c r="F107" s="1" t="n">
        <v>0</v>
      </c>
      <c r="G107" s="1" t="n">
        <f aca="false">IF(ISNUMBER(SEARCH(","&amp;"pIncome"&amp;",",","&amp;SUBSTITUTE(In_lookKeys," ","")&amp;",")),1,0)</f>
        <v>0</v>
      </c>
      <c r="H107" s="1" t="n">
        <f aca="false">IF(ISNUMBER(SEARCH(","&amp;"pIncome"&amp;",",","&amp;SUBSTITUTE(In_ackKeys," ","")&amp;",")),1,0)</f>
        <v>0</v>
      </c>
      <c r="I107" s="1" t="n">
        <f aca="false">C107*(1-D107)</f>
        <v>0</v>
      </c>
      <c r="J107" s="1" t="n">
        <f aca="false">I107*E107</f>
        <v>0</v>
      </c>
      <c r="K107" s="1" t="n">
        <f aca="false">C107*G107*(1-H107)</f>
        <v>0</v>
      </c>
      <c r="L107" s="1" t="n">
        <f aca="false">C107*E107*(1-F107)</f>
        <v>0</v>
      </c>
      <c r="M107" s="1" t="n">
        <f aca="false">C107*MAX(E107,G107)</f>
        <v>0</v>
      </c>
      <c r="N107" s="1" t="n">
        <v>2</v>
      </c>
      <c r="O107" s="1" t="n">
        <f aca="false">C107*IF(G107=1,1,IF(AND(D107=0,E107=0),1,0))</f>
        <v>0</v>
      </c>
      <c r="P107" s="1" t="n">
        <f aca="false">C107*E107*(1-G107)</f>
        <v>0</v>
      </c>
      <c r="Q107" s="1" t="s">
        <v>2730</v>
      </c>
    </row>
    <row r="108" customFormat="false" ht="15" hidden="false" customHeight="true" outlineLevel="0" collapsed="false">
      <c r="B108" s="1" t="s">
        <v>1807</v>
      </c>
      <c r="C108" s="1" t="n">
        <f aca="false">IF(1,1,0)</f>
        <v>1</v>
      </c>
      <c r="D108" s="1" t="n">
        <v>1</v>
      </c>
      <c r="E108" s="1" t="n">
        <f aca="false">IF(Has_otherM,1,0)</f>
        <v>0</v>
      </c>
      <c r="F108" s="1" t="n">
        <v>0</v>
      </c>
      <c r="G108" s="1" t="n">
        <f aca="false">IF(ISNUMBER(SEARCH(","&amp;"otherM"&amp;",",","&amp;SUBSTITUTE(In_lookKeys," ","")&amp;",")),1,0)</f>
        <v>0</v>
      </c>
      <c r="H108" s="1" t="n">
        <f aca="false">IF(ISNUMBER(SEARCH(","&amp;"otherM"&amp;",",","&amp;SUBSTITUTE(In_ackKeys," ","")&amp;",")),1,0)</f>
        <v>0</v>
      </c>
      <c r="I108" s="1" t="n">
        <f aca="false">C108*(1-D108)</f>
        <v>0</v>
      </c>
      <c r="J108" s="1" t="n">
        <f aca="false">I108*E108</f>
        <v>0</v>
      </c>
      <c r="K108" s="1" t="n">
        <f aca="false">C108*G108*(1-H108)</f>
        <v>0</v>
      </c>
      <c r="L108" s="1" t="n">
        <f aca="false">C108*E108*(1-F108)</f>
        <v>0</v>
      </c>
      <c r="M108" s="1" t="n">
        <f aca="false">C108*MAX(E108,G108)</f>
        <v>0</v>
      </c>
      <c r="N108" s="1" t="n">
        <v>2</v>
      </c>
      <c r="O108" s="1" t="n">
        <f aca="false">C108*IF(G108=1,1,IF(AND(D108=0,E108=0),1,0))</f>
        <v>0</v>
      </c>
      <c r="P108" s="1" t="n">
        <f aca="false">C108*E108*(1-G108)</f>
        <v>0</v>
      </c>
      <c r="Q108" s="1" t="s">
        <v>2731</v>
      </c>
    </row>
    <row r="109" customFormat="false" ht="15" hidden="false" customHeight="true" outlineLevel="0" collapsed="false">
      <c r="B109" s="1" t="s">
        <v>2732</v>
      </c>
      <c r="C109" s="1" t="n">
        <f aca="false">IF(1,1,0)</f>
        <v>1</v>
      </c>
      <c r="D109" s="1" t="n">
        <v>0</v>
      </c>
      <c r="E109" s="1" t="n">
        <f aca="false">IF(Has_costsM,1,0)</f>
        <v>0</v>
      </c>
      <c r="F109" s="1" t="n">
        <v>0</v>
      </c>
      <c r="G109" s="1" t="n">
        <f aca="false">IF(ISNUMBER(SEARCH(","&amp;"costsM"&amp;",",","&amp;SUBSTITUTE(In_lookKeys," ","")&amp;",")),1,0)</f>
        <v>0</v>
      </c>
      <c r="H109" s="1" t="n">
        <f aca="false">IF(ISNUMBER(SEARCH(","&amp;"costsM"&amp;",",","&amp;SUBSTITUTE(In_ackKeys," ","")&amp;",")),1,0)</f>
        <v>0</v>
      </c>
      <c r="I109" s="1" t="n">
        <f aca="false">C109*(1-D109)</f>
        <v>1</v>
      </c>
      <c r="J109" s="1" t="n">
        <f aca="false">I109*E109</f>
        <v>0</v>
      </c>
      <c r="K109" s="1" t="n">
        <f aca="false">C109*G109*(1-H109)</f>
        <v>0</v>
      </c>
      <c r="L109" s="1" t="n">
        <f aca="false">C109*E109*(1-F109)</f>
        <v>0</v>
      </c>
      <c r="M109" s="1" t="n">
        <f aca="false">C109*MAX(E109,G109)</f>
        <v>0</v>
      </c>
      <c r="N109" s="1" t="n">
        <v>2</v>
      </c>
      <c r="O109" s="1" t="n">
        <f aca="false">C109*IF(G109=1,1,IF(AND(D109=0,E109=0),1,0))</f>
        <v>1</v>
      </c>
      <c r="P109" s="1" t="n">
        <f aca="false">C109*E109*(1-G109)</f>
        <v>0</v>
      </c>
      <c r="Q109" s="1" t="s">
        <v>2733</v>
      </c>
    </row>
    <row r="110" customFormat="false" ht="15" hidden="false" customHeight="true" outlineLevel="0" collapsed="false">
      <c r="B110" s="1" t="s">
        <v>1334</v>
      </c>
      <c r="C110" s="1" t="n">
        <f aca="false">IF(1,1,0)</f>
        <v>1</v>
      </c>
      <c r="D110" s="1" t="n">
        <v>1</v>
      </c>
      <c r="E110" s="1" t="n">
        <f aca="false">IF(Has_oneOffY,1,0)</f>
        <v>0</v>
      </c>
      <c r="F110" s="1" t="n">
        <v>0</v>
      </c>
      <c r="G110" s="1" t="n">
        <f aca="false">IF(ISNUMBER(SEARCH(","&amp;"oneOffY"&amp;",",","&amp;SUBSTITUTE(In_lookKeys," ","")&amp;",")),1,0)</f>
        <v>0</v>
      </c>
      <c r="H110" s="1" t="n">
        <f aca="false">IF(ISNUMBER(SEARCH(","&amp;"oneOffY"&amp;",",","&amp;SUBSTITUTE(In_ackKeys," ","")&amp;",")),1,0)</f>
        <v>0</v>
      </c>
      <c r="I110" s="1" t="n">
        <f aca="false">C110*(1-D110)</f>
        <v>0</v>
      </c>
      <c r="J110" s="1" t="n">
        <f aca="false">I110*E110</f>
        <v>0</v>
      </c>
      <c r="K110" s="1" t="n">
        <f aca="false">C110*G110*(1-H110)</f>
        <v>0</v>
      </c>
      <c r="L110" s="1" t="n">
        <f aca="false">C110*E110*(1-F110)</f>
        <v>0</v>
      </c>
      <c r="M110" s="1" t="n">
        <f aca="false">C110*MAX(E110,G110)</f>
        <v>0</v>
      </c>
      <c r="N110" s="1" t="n">
        <v>2</v>
      </c>
      <c r="O110" s="1" t="n">
        <f aca="false">C110*IF(G110=1,1,IF(AND(D110=0,E110=0),1,0))</f>
        <v>0</v>
      </c>
      <c r="P110" s="1" t="n">
        <f aca="false">C110*E110*(1-G110)</f>
        <v>0</v>
      </c>
      <c r="Q110" s="1" t="s">
        <v>2734</v>
      </c>
    </row>
    <row r="111" customFormat="false" ht="15" hidden="false" customHeight="true" outlineLevel="0" collapsed="false">
      <c r="B111" s="1" t="s">
        <v>2735</v>
      </c>
      <c r="C111" s="1" t="n">
        <f aca="false">IF(1,1,0)</f>
        <v>1</v>
      </c>
      <c r="D111" s="1" t="n">
        <v>0</v>
      </c>
      <c r="E111" s="1" t="n">
        <f aca="false">IF(Has_home,1,0)</f>
        <v>0</v>
      </c>
      <c r="F111" s="1" t="n">
        <v>0</v>
      </c>
      <c r="G111" s="1" t="n">
        <f aca="false">IF(ISNUMBER(SEARCH(","&amp;"home"&amp;",",","&amp;SUBSTITUTE(In_lookKeys," ","")&amp;",")),1,0)</f>
        <v>0</v>
      </c>
      <c r="H111" s="1" t="n">
        <f aca="false">IF(ISNUMBER(SEARCH(","&amp;"home"&amp;",",","&amp;SUBSTITUTE(In_ackKeys," ","")&amp;",")),1,0)</f>
        <v>0</v>
      </c>
      <c r="I111" s="1" t="n">
        <f aca="false">C111*(1-D111)</f>
        <v>1</v>
      </c>
      <c r="J111" s="1" t="n">
        <f aca="false">I111*E111</f>
        <v>0</v>
      </c>
      <c r="K111" s="1" t="n">
        <f aca="false">C111*G111*(1-H111)</f>
        <v>0</v>
      </c>
      <c r="L111" s="1" t="n">
        <f aca="false">C111*E111*(1-F111)</f>
        <v>0</v>
      </c>
      <c r="M111" s="1" t="n">
        <f aca="false">C111*MAX(E111,G111)</f>
        <v>0</v>
      </c>
      <c r="N111" s="1" t="n">
        <v>3</v>
      </c>
      <c r="O111" s="1" t="n">
        <f aca="false">C111*IF(G111=1,1,IF(AND(D111=0,E111=0),1,0))</f>
        <v>1</v>
      </c>
      <c r="P111" s="1" t="n">
        <f aca="false">C111*E111*(1-G111)</f>
        <v>0</v>
      </c>
      <c r="Q111" s="1" t="s">
        <v>2492</v>
      </c>
    </row>
    <row r="112" customFormat="false" ht="15" hidden="false" customHeight="true" outlineLevel="0" collapsed="false">
      <c r="B112" s="1" t="s">
        <v>527</v>
      </c>
      <c r="C112" s="1" t="n">
        <f aca="false">IF(LEFT(In_home,3)="Own",1,0)</f>
        <v>0</v>
      </c>
      <c r="D112" s="1" t="n">
        <v>0</v>
      </c>
      <c r="E112" s="1" t="n">
        <f aca="false">IF(Has_homeValue,1,0)</f>
        <v>0</v>
      </c>
      <c r="F112" s="1" t="n">
        <v>0</v>
      </c>
      <c r="G112" s="1" t="n">
        <f aca="false">IF(ISNUMBER(SEARCH(","&amp;"homeValue"&amp;",",","&amp;SUBSTITUTE(In_lookKeys," ","")&amp;",")),1,0)</f>
        <v>0</v>
      </c>
      <c r="H112" s="1" t="n">
        <f aca="false">IF(ISNUMBER(SEARCH(","&amp;"homeValue"&amp;",",","&amp;SUBSTITUTE(In_ackKeys," ","")&amp;",")),1,0)</f>
        <v>0</v>
      </c>
      <c r="I112" s="1" t="n">
        <f aca="false">C112*(1-D112)</f>
        <v>0</v>
      </c>
      <c r="J112" s="1" t="n">
        <f aca="false">I112*E112</f>
        <v>0</v>
      </c>
      <c r="K112" s="1" t="n">
        <f aca="false">C112*G112*(1-H112)</f>
        <v>0</v>
      </c>
      <c r="L112" s="1" t="n">
        <f aca="false">C112*E112*(1-F112)</f>
        <v>0</v>
      </c>
      <c r="M112" s="1" t="n">
        <f aca="false">C112*MAX(E112,G112)</f>
        <v>0</v>
      </c>
      <c r="N112" s="1" t="n">
        <v>3</v>
      </c>
      <c r="O112" s="1" t="n">
        <f aca="false">C112*IF(G112=1,1,IF(AND(D112=0,E112=0),1,0))</f>
        <v>0</v>
      </c>
      <c r="P112" s="1" t="n">
        <f aca="false">C112*E112*(1-G112)</f>
        <v>0</v>
      </c>
      <c r="Q112" s="1" t="s">
        <v>2736</v>
      </c>
    </row>
    <row r="113" customFormat="false" ht="15" hidden="false" customHeight="true" outlineLevel="0" collapsed="false">
      <c r="B113" s="1" t="s">
        <v>1344</v>
      </c>
      <c r="C113" s="1" t="n">
        <f aca="false">IF(1,1,0)</f>
        <v>1</v>
      </c>
      <c r="D113" s="1" t="n">
        <v>0</v>
      </c>
      <c r="E113" s="1" t="n">
        <f aca="false">IF(Has_cash,1,0)</f>
        <v>0</v>
      </c>
      <c r="F113" s="1" t="n">
        <v>0</v>
      </c>
      <c r="G113" s="1" t="n">
        <f aca="false">IF(ISNUMBER(SEARCH(","&amp;"cash"&amp;",",","&amp;SUBSTITUTE(In_lookKeys," ","")&amp;",")),1,0)</f>
        <v>0</v>
      </c>
      <c r="H113" s="1" t="n">
        <f aca="false">IF(ISNUMBER(SEARCH(","&amp;"cash"&amp;",",","&amp;SUBSTITUTE(In_ackKeys," ","")&amp;",")),1,0)</f>
        <v>0</v>
      </c>
      <c r="I113" s="1" t="n">
        <f aca="false">C113*(1-D113)</f>
        <v>1</v>
      </c>
      <c r="J113" s="1" t="n">
        <f aca="false">I113*E113</f>
        <v>0</v>
      </c>
      <c r="K113" s="1" t="n">
        <f aca="false">C113*G113*(1-H113)</f>
        <v>0</v>
      </c>
      <c r="L113" s="1" t="n">
        <f aca="false">C113*E113*(1-F113)</f>
        <v>0</v>
      </c>
      <c r="M113" s="1" t="n">
        <f aca="false">C113*MAX(E113,G113)</f>
        <v>0</v>
      </c>
      <c r="N113" s="1" t="n">
        <v>3</v>
      </c>
      <c r="O113" s="1" t="n">
        <f aca="false">C113*IF(G113=1,1,IF(AND(D113=0,E113=0),1,0))</f>
        <v>1</v>
      </c>
      <c r="P113" s="1" t="n">
        <f aca="false">C113*E113*(1-G113)</f>
        <v>0</v>
      </c>
      <c r="Q113" s="1" t="s">
        <v>2737</v>
      </c>
    </row>
    <row r="114" customFormat="false" ht="15" hidden="false" customHeight="true" outlineLevel="0" collapsed="false">
      <c r="B114" s="1" t="s">
        <v>56</v>
      </c>
      <c r="C114" s="1" t="n">
        <f aca="false">IF(1,1,0)</f>
        <v>1</v>
      </c>
      <c r="D114" s="1" t="n">
        <v>0</v>
      </c>
      <c r="E114" s="1" t="n">
        <f aca="false">IF(Has_invest,1,0)</f>
        <v>0</v>
      </c>
      <c r="F114" s="1" t="n">
        <v>0</v>
      </c>
      <c r="G114" s="1" t="n">
        <f aca="false">IF(ISNUMBER(SEARCH(","&amp;"invest"&amp;",",","&amp;SUBSTITUTE(In_lookKeys," ","")&amp;",")),1,0)</f>
        <v>0</v>
      </c>
      <c r="H114" s="1" t="n">
        <f aca="false">IF(ISNUMBER(SEARCH(","&amp;"invest"&amp;",",","&amp;SUBSTITUTE(In_ackKeys," ","")&amp;",")),1,0)</f>
        <v>0</v>
      </c>
      <c r="I114" s="1" t="n">
        <f aca="false">C114*(1-D114)</f>
        <v>1</v>
      </c>
      <c r="J114" s="1" t="n">
        <f aca="false">I114*E114</f>
        <v>0</v>
      </c>
      <c r="K114" s="1" t="n">
        <f aca="false">C114*G114*(1-H114)</f>
        <v>0</v>
      </c>
      <c r="L114" s="1" t="n">
        <f aca="false">C114*E114*(1-F114)</f>
        <v>0</v>
      </c>
      <c r="M114" s="1" t="n">
        <f aca="false">C114*MAX(E114,G114)</f>
        <v>0</v>
      </c>
      <c r="N114" s="1" t="n">
        <v>3</v>
      </c>
      <c r="O114" s="1" t="n">
        <f aca="false">C114*IF(G114=1,1,IF(AND(D114=0,E114=0),1,0))</f>
        <v>1</v>
      </c>
      <c r="P114" s="1" t="n">
        <f aca="false">C114*E114*(1-G114)</f>
        <v>0</v>
      </c>
      <c r="Q114" s="1" t="s">
        <v>2738</v>
      </c>
    </row>
    <row r="115" customFormat="false" ht="15" hidden="false" customHeight="true" outlineLevel="0" collapsed="false">
      <c r="B115" s="1" t="s">
        <v>2739</v>
      </c>
      <c r="C115" s="1" t="n">
        <f aca="false">IF(1,1,0)</f>
        <v>1</v>
      </c>
      <c r="D115" s="1" t="n">
        <v>1</v>
      </c>
      <c r="E115" s="1" t="n">
        <f aca="false">IF(Has_propValue,1,0)</f>
        <v>0</v>
      </c>
      <c r="F115" s="1" t="n">
        <v>0</v>
      </c>
      <c r="G115" s="1" t="n">
        <f aca="false">IF(ISNUMBER(SEARCH(","&amp;"propValue"&amp;",",","&amp;SUBSTITUTE(In_lookKeys," ","")&amp;",")),1,0)</f>
        <v>0</v>
      </c>
      <c r="H115" s="1" t="n">
        <f aca="false">IF(ISNUMBER(SEARCH(","&amp;"propValue"&amp;",",","&amp;SUBSTITUTE(In_ackKeys," ","")&amp;",")),1,0)</f>
        <v>0</v>
      </c>
      <c r="I115" s="1" t="n">
        <f aca="false">C115*(1-D115)</f>
        <v>0</v>
      </c>
      <c r="J115" s="1" t="n">
        <f aca="false">I115*E115</f>
        <v>0</v>
      </c>
      <c r="K115" s="1" t="n">
        <f aca="false">C115*G115*(1-H115)</f>
        <v>0</v>
      </c>
      <c r="L115" s="1" t="n">
        <f aca="false">C115*E115*(1-F115)</f>
        <v>0</v>
      </c>
      <c r="M115" s="1" t="n">
        <f aca="false">C115*MAX(E115,G115)</f>
        <v>0</v>
      </c>
      <c r="N115" s="1" t="n">
        <v>3</v>
      </c>
      <c r="O115" s="1" t="n">
        <f aca="false">C115*IF(G115=1,1,IF(AND(D115=0,E115=0),1,0))</f>
        <v>0</v>
      </c>
      <c r="P115" s="1" t="n">
        <f aca="false">C115*E115*(1-G115)</f>
        <v>0</v>
      </c>
      <c r="Q115" s="1" t="s">
        <v>2740</v>
      </c>
    </row>
    <row r="116" customFormat="false" ht="15" hidden="false" customHeight="true" outlineLevel="0" collapsed="false">
      <c r="B116" s="1" t="s">
        <v>2741</v>
      </c>
      <c r="C116" s="1" t="n">
        <f aca="false">IF(1,1,0)</f>
        <v>1</v>
      </c>
      <c r="D116" s="1" t="n">
        <v>1</v>
      </c>
      <c r="E116" s="1" t="n">
        <f aca="false">IF(Has_rentM,1,0)</f>
        <v>0</v>
      </c>
      <c r="F116" s="1" t="n">
        <v>0</v>
      </c>
      <c r="G116" s="1" t="n">
        <f aca="false">IF(ISNUMBER(SEARCH(","&amp;"rentM"&amp;",",","&amp;SUBSTITUTE(In_lookKeys," ","")&amp;",")),1,0)</f>
        <v>0</v>
      </c>
      <c r="H116" s="1" t="n">
        <f aca="false">IF(ISNUMBER(SEARCH(","&amp;"rentM"&amp;",",","&amp;SUBSTITUTE(In_ackKeys," ","")&amp;",")),1,0)</f>
        <v>0</v>
      </c>
      <c r="I116" s="1" t="n">
        <f aca="false">C116*(1-D116)</f>
        <v>0</v>
      </c>
      <c r="J116" s="1" t="n">
        <f aca="false">I116*E116</f>
        <v>0</v>
      </c>
      <c r="K116" s="1" t="n">
        <f aca="false">C116*G116*(1-H116)</f>
        <v>0</v>
      </c>
      <c r="L116" s="1" t="n">
        <f aca="false">C116*E116*(1-F116)</f>
        <v>0</v>
      </c>
      <c r="M116" s="1" t="n">
        <f aca="false">C116*MAX(E116,G116)</f>
        <v>0</v>
      </c>
      <c r="N116" s="1" t="n">
        <v>3</v>
      </c>
      <c r="O116" s="1" t="n">
        <f aca="false">C116*IF(G116=1,1,IF(AND(D116=0,E116=0),1,0))</f>
        <v>0</v>
      </c>
      <c r="P116" s="1" t="n">
        <f aca="false">C116*E116*(1-G116)</f>
        <v>0</v>
      </c>
      <c r="Q116" s="1" t="s">
        <v>2742</v>
      </c>
    </row>
    <row r="117" customFormat="false" ht="15" hidden="false" customHeight="true" outlineLevel="0" collapsed="false">
      <c r="B117" s="1" t="s">
        <v>2743</v>
      </c>
      <c r="C117" s="1" t="n">
        <f aca="false">IF(1,1,0)</f>
        <v>1</v>
      </c>
      <c r="D117" s="1" t="n">
        <v>1</v>
      </c>
      <c r="E117" s="1" t="n">
        <f aca="false">IF(0,1,0)</f>
        <v>0</v>
      </c>
      <c r="F117" s="1" t="n">
        <v>0</v>
      </c>
      <c r="G117" s="1" t="n">
        <f aca="false">IF(ISNUMBER(SEARCH(","&amp;"mortYN"&amp;",",","&amp;SUBSTITUTE(In_lookKeys," ","")&amp;",")),1,0)</f>
        <v>0</v>
      </c>
      <c r="H117" s="1" t="n">
        <f aca="false">IF(ISNUMBER(SEARCH(","&amp;"mortYN"&amp;",",","&amp;SUBSTITUTE(In_ackKeys," ","")&amp;",")),1,0)</f>
        <v>0</v>
      </c>
      <c r="I117" s="1" t="n">
        <f aca="false">C117*(1-D117)</f>
        <v>0</v>
      </c>
      <c r="J117" s="1" t="n">
        <f aca="false">I117*E117</f>
        <v>0</v>
      </c>
      <c r="K117" s="1" t="n">
        <f aca="false">C117*G117*(1-H117)</f>
        <v>0</v>
      </c>
      <c r="L117" s="1" t="n">
        <f aca="false">C117*E117*(1-F117)</f>
        <v>0</v>
      </c>
      <c r="M117" s="1" t="n">
        <f aca="false">C117*MAX(E117,G117)</f>
        <v>0</v>
      </c>
      <c r="N117" s="1" t="n">
        <v>4</v>
      </c>
      <c r="O117" s="1" t="n">
        <f aca="false">C117*IF(G117=1,1,IF(AND(D117=0,E117=0),1,0))</f>
        <v>0</v>
      </c>
      <c r="P117" s="1" t="n">
        <f aca="false">C117*E117*(1-G117)</f>
        <v>0</v>
      </c>
      <c r="Q117" s="1" t="s">
        <v>2744</v>
      </c>
    </row>
    <row r="118" customFormat="false" ht="15" hidden="false" customHeight="true" outlineLevel="0" collapsed="false">
      <c r="B118" s="1" t="s">
        <v>1347</v>
      </c>
      <c r="C118" s="1" t="n">
        <f aca="false">IF(In_home="Own with mortgage",1,0)</f>
        <v>0</v>
      </c>
      <c r="D118" s="1" t="n">
        <v>0</v>
      </c>
      <c r="E118" s="1" t="n">
        <f aca="false">IF(Has_mortBal,1,0)</f>
        <v>0</v>
      </c>
      <c r="F118" s="1" t="n">
        <v>0</v>
      </c>
      <c r="G118" s="1" t="n">
        <f aca="false">IF(ISNUMBER(SEARCH(","&amp;"mortBal"&amp;",",","&amp;SUBSTITUTE(In_lookKeys," ","")&amp;",")),1,0)</f>
        <v>0</v>
      </c>
      <c r="H118" s="1" t="n">
        <f aca="false">IF(ISNUMBER(SEARCH(","&amp;"mortBal"&amp;",",","&amp;SUBSTITUTE(In_ackKeys," ","")&amp;",")),1,0)</f>
        <v>0</v>
      </c>
      <c r="I118" s="1" t="n">
        <f aca="false">C118*(1-D118)</f>
        <v>0</v>
      </c>
      <c r="J118" s="1" t="n">
        <f aca="false">I118*E118</f>
        <v>0</v>
      </c>
      <c r="K118" s="1" t="n">
        <f aca="false">C118*G118*(1-H118)</f>
        <v>0</v>
      </c>
      <c r="L118" s="1" t="n">
        <f aca="false">C118*E118*(1-F118)</f>
        <v>0</v>
      </c>
      <c r="M118" s="1" t="n">
        <f aca="false">C118*MAX(E118,G118)</f>
        <v>0</v>
      </c>
      <c r="N118" s="1" t="n">
        <v>4</v>
      </c>
      <c r="O118" s="1" t="n">
        <f aca="false">C118*IF(G118=1,1,IF(AND(D118=0,E118=0),1,0))</f>
        <v>0</v>
      </c>
      <c r="P118" s="1" t="n">
        <f aca="false">C118*E118*(1-G118)</f>
        <v>0</v>
      </c>
      <c r="Q118" s="1" t="s">
        <v>2745</v>
      </c>
    </row>
    <row r="119" customFormat="false" ht="15" hidden="false" customHeight="true" outlineLevel="0" collapsed="false">
      <c r="B119" s="1" t="s">
        <v>319</v>
      </c>
      <c r="C119" s="1" t="n">
        <f aca="false">IF(In_home="Own with mortgage",1,0)</f>
        <v>0</v>
      </c>
      <c r="D119" s="1" t="n">
        <v>0</v>
      </c>
      <c r="E119" s="1" t="n">
        <f aca="false">IF(Has_mortPayM,1,0)</f>
        <v>0</v>
      </c>
      <c r="F119" s="1" t="n">
        <v>0</v>
      </c>
      <c r="G119" s="1" t="n">
        <f aca="false">IF(OR(ISNUMBER(SEARCH(","&amp;"mortPayM"&amp;",",","&amp;SUBSTITUTE(In_lookKeys," ","")&amp;",")),F_MortPayLow=1),1,0)</f>
        <v>0</v>
      </c>
      <c r="H119" s="1" t="n">
        <f aca="false">IF(ISNUMBER(SEARCH(","&amp;"mortPayM"&amp;",",","&amp;SUBSTITUTE(In_ackKeys," ","")&amp;",")),1,0)</f>
        <v>0</v>
      </c>
      <c r="I119" s="1" t="n">
        <f aca="false">C119*(1-D119)</f>
        <v>0</v>
      </c>
      <c r="J119" s="1" t="n">
        <f aca="false">I119*E119</f>
        <v>0</v>
      </c>
      <c r="K119" s="1" t="n">
        <f aca="false">C119*G119*(1-H119)</f>
        <v>0</v>
      </c>
      <c r="L119" s="1" t="n">
        <f aca="false">C119*E119*(1-F119)</f>
        <v>0</v>
      </c>
      <c r="M119" s="1" t="n">
        <f aca="false">C119*MAX(E119,G119)</f>
        <v>0</v>
      </c>
      <c r="N119" s="1" t="n">
        <v>4</v>
      </c>
      <c r="O119" s="1" t="n">
        <f aca="false">C119*IF(G119=1,1,IF(AND(D119=0,E119=0),1,0))</f>
        <v>0</v>
      </c>
      <c r="P119" s="1" t="n">
        <f aca="false">C119*E119*(1-G119)</f>
        <v>0</v>
      </c>
      <c r="Q119" s="1" t="s">
        <v>2746</v>
      </c>
    </row>
    <row r="120" customFormat="false" ht="15" hidden="false" customHeight="true" outlineLevel="0" collapsed="false">
      <c r="B120" s="1" t="s">
        <v>416</v>
      </c>
      <c r="C120" s="1" t="n">
        <f aca="false">IF(In_home="Own with mortgage",1,0)</f>
        <v>0</v>
      </c>
      <c r="D120" s="1" t="n">
        <v>0</v>
      </c>
      <c r="E120" s="1" t="n">
        <f aca="false">IF(Has_mortYears,1,0)</f>
        <v>0</v>
      </c>
      <c r="F120" s="1" t="n">
        <v>0</v>
      </c>
      <c r="G120" s="1" t="n">
        <f aca="false">IF(ISNUMBER(SEARCH(","&amp;"mortYears"&amp;",",","&amp;SUBSTITUTE(In_lookKeys," ","")&amp;",")),1,0)</f>
        <v>0</v>
      </c>
      <c r="H120" s="1" t="n">
        <f aca="false">IF(ISNUMBER(SEARCH(","&amp;"mortYears"&amp;",",","&amp;SUBSTITUTE(In_ackKeys," ","")&amp;",")),1,0)</f>
        <v>0</v>
      </c>
      <c r="I120" s="1" t="n">
        <f aca="false">C120*(1-D120)</f>
        <v>0</v>
      </c>
      <c r="J120" s="1" t="n">
        <f aca="false">I120*E120</f>
        <v>0</v>
      </c>
      <c r="K120" s="1" t="n">
        <f aca="false">C120*G120*(1-H120)</f>
        <v>0</v>
      </c>
      <c r="L120" s="1" t="n">
        <f aca="false">C120*E120*(1-F120)</f>
        <v>0</v>
      </c>
      <c r="M120" s="1" t="n">
        <f aca="false">C120*MAX(E120,G120)</f>
        <v>0</v>
      </c>
      <c r="N120" s="1" t="n">
        <v>4</v>
      </c>
      <c r="O120" s="1" t="n">
        <f aca="false">C120*IF(G120=1,1,IF(AND(D120=0,E120=0),1,0))</f>
        <v>0</v>
      </c>
      <c r="P120" s="1" t="n">
        <f aca="false">C120*E120*(1-G120)</f>
        <v>0</v>
      </c>
      <c r="Q120" s="1" t="s">
        <v>2747</v>
      </c>
    </row>
    <row r="121" customFormat="false" ht="15" hidden="false" customHeight="true" outlineLevel="0" collapsed="false">
      <c r="B121" s="1" t="s">
        <v>315</v>
      </c>
      <c r="C121" s="1" t="n">
        <f aca="false">IF(In_home="Own with mortgage",1,0)</f>
        <v>0</v>
      </c>
      <c r="D121" s="1" t="n">
        <v>0</v>
      </c>
      <c r="E121" s="1" t="n">
        <f aca="false">IF(OR(In_mortRate&gt;0,Has_a_mortRate=1),1,0)</f>
        <v>0</v>
      </c>
      <c r="F121" s="1" t="n">
        <v>0</v>
      </c>
      <c r="G121" s="1" t="n">
        <f aca="false">IF(ISNUMBER(SEARCH(","&amp;"mortRate"&amp;",",","&amp;SUBSTITUTE(In_lookKeys," ","")&amp;",")),1,0)</f>
        <v>0</v>
      </c>
      <c r="H121" s="1" t="n">
        <f aca="false">IF(ISNUMBER(SEARCH(","&amp;"mortRate"&amp;",",","&amp;SUBSTITUTE(In_ackKeys," ","")&amp;",")),1,0)</f>
        <v>0</v>
      </c>
      <c r="I121" s="1" t="n">
        <f aca="false">C121*(1-D121)</f>
        <v>0</v>
      </c>
      <c r="J121" s="1" t="n">
        <f aca="false">I121*E121</f>
        <v>0</v>
      </c>
      <c r="K121" s="1" t="n">
        <f aca="false">C121*G121*(1-H121)</f>
        <v>0</v>
      </c>
      <c r="L121" s="1" t="n">
        <f aca="false">C121*E121*(1-F121)</f>
        <v>0</v>
      </c>
      <c r="M121" s="1" t="n">
        <f aca="false">C121*MAX(E121,G121)</f>
        <v>0</v>
      </c>
      <c r="N121" s="1" t="n">
        <v>4</v>
      </c>
      <c r="O121" s="1" t="n">
        <f aca="false">C121*IF(G121=1,1,IF(AND(D121=0,E121=0),1,0))</f>
        <v>0</v>
      </c>
      <c r="P121" s="1" t="n">
        <f aca="false">C121*E121*(1-G121)</f>
        <v>0</v>
      </c>
      <c r="Q121" s="1" t="s">
        <v>2748</v>
      </c>
    </row>
    <row r="122" customFormat="false" ht="15" hidden="false" customHeight="true" outlineLevel="0" collapsed="false">
      <c r="B122" s="1" t="s">
        <v>2749</v>
      </c>
      <c r="C122" s="1" t="n">
        <f aca="false">IF(1,1,0)</f>
        <v>1</v>
      </c>
      <c r="D122" s="1" t="n">
        <v>0</v>
      </c>
      <c r="E122" s="1" t="n">
        <f aca="false">IF(Has_cardBal,1,0)</f>
        <v>0</v>
      </c>
      <c r="F122" s="1" t="n">
        <v>0</v>
      </c>
      <c r="G122" s="1" t="n">
        <f aca="false">IF(ISNUMBER(SEARCH(","&amp;"cardBal"&amp;",",","&amp;SUBSTITUTE(In_lookKeys," ","")&amp;",")),1,0)</f>
        <v>0</v>
      </c>
      <c r="H122" s="1" t="n">
        <f aca="false">IF(ISNUMBER(SEARCH(","&amp;"cardBal"&amp;",",","&amp;SUBSTITUTE(In_ackKeys," ","")&amp;",")),1,0)</f>
        <v>0</v>
      </c>
      <c r="I122" s="1" t="n">
        <f aca="false">C122*(1-D122)</f>
        <v>1</v>
      </c>
      <c r="J122" s="1" t="n">
        <f aca="false">I122*E122</f>
        <v>0</v>
      </c>
      <c r="K122" s="1" t="n">
        <f aca="false">C122*G122*(1-H122)</f>
        <v>0</v>
      </c>
      <c r="L122" s="1" t="n">
        <f aca="false">C122*E122*(1-F122)</f>
        <v>0</v>
      </c>
      <c r="M122" s="1" t="n">
        <f aca="false">C122*MAX(E122,G122)</f>
        <v>0</v>
      </c>
      <c r="N122" s="1" t="n">
        <v>4</v>
      </c>
      <c r="O122" s="1" t="n">
        <f aca="false">C122*IF(G122=1,1,IF(AND(D122=0,E122=0),1,0))</f>
        <v>1</v>
      </c>
      <c r="P122" s="1" t="n">
        <f aca="false">C122*E122*(1-G122)</f>
        <v>0</v>
      </c>
      <c r="Q122" s="1" t="s">
        <v>2750</v>
      </c>
    </row>
    <row r="123" customFormat="false" ht="15" hidden="false" customHeight="true" outlineLevel="0" collapsed="false">
      <c r="B123" s="1" t="s">
        <v>1357</v>
      </c>
      <c r="C123" s="1" t="n">
        <f aca="false">IF(1,1,0)</f>
        <v>1</v>
      </c>
      <c r="D123" s="1" t="n">
        <v>0</v>
      </c>
      <c r="E123" s="1" t="n">
        <f aca="false">IF(Has_cardPayM,1,0)</f>
        <v>0</v>
      </c>
      <c r="F123" s="1" t="n">
        <v>0</v>
      </c>
      <c r="G123" s="1" t="n">
        <f aca="false">IF(OR(ISNUMBER(SEARCH(","&amp;"cardPayM"&amp;",",","&amp;SUBSTITUTE(In_lookKeys," ","")&amp;",")),AND(In_cardBal&gt;0,In_cardPayM&gt;0,IF(In_cardRate&gt;0,In_cardRate,IF(Has_a_cardRate=1,In_a_cardRate,0))&gt;0,In_cardPayM&lt;In_cardBal*(IF(In_cardRate&gt;0,In_cardRate,IF(Has_a_cardRate=1,In_a_cardRate,0))/12+0.01))),1,0)</f>
        <v>0</v>
      </c>
      <c r="H123" s="1" t="n">
        <f aca="false">IF(ISNUMBER(SEARCH(","&amp;"cardPayM"&amp;",",","&amp;SUBSTITUTE(In_ackKeys," ","")&amp;",")),1,0)</f>
        <v>0</v>
      </c>
      <c r="I123" s="1" t="n">
        <f aca="false">C123*(1-D123)</f>
        <v>1</v>
      </c>
      <c r="J123" s="1" t="n">
        <f aca="false">I123*E123</f>
        <v>0</v>
      </c>
      <c r="K123" s="1" t="n">
        <f aca="false">C123*G123*(1-H123)</f>
        <v>0</v>
      </c>
      <c r="L123" s="1" t="n">
        <f aca="false">C123*E123*(1-F123)</f>
        <v>0</v>
      </c>
      <c r="M123" s="1" t="n">
        <f aca="false">C123*MAX(E123,G123)</f>
        <v>0</v>
      </c>
      <c r="N123" s="1" t="n">
        <v>4</v>
      </c>
      <c r="O123" s="1" t="n">
        <f aca="false">C123*IF(G123=1,1,IF(AND(D123=0,E123=0),1,0))</f>
        <v>1</v>
      </c>
      <c r="P123" s="1" t="n">
        <f aca="false">C123*E123*(1-G123)</f>
        <v>0</v>
      </c>
      <c r="Q123" s="1" t="s">
        <v>2751</v>
      </c>
    </row>
    <row r="124" customFormat="false" ht="15" hidden="false" customHeight="true" outlineLevel="0" collapsed="false">
      <c r="B124" s="1" t="s">
        <v>2752</v>
      </c>
      <c r="C124" s="1" t="n">
        <f aca="false">IF(In_cardBal&gt;0,1,0)</f>
        <v>0</v>
      </c>
      <c r="D124" s="1" t="n">
        <v>0</v>
      </c>
      <c r="E124" s="1" t="n">
        <f aca="false">IF(OR(In_cardRate&gt;0,Has_a_cardRate=1),1,0)</f>
        <v>0</v>
      </c>
      <c r="F124" s="1" t="n">
        <v>0</v>
      </c>
      <c r="G124" s="1" t="n">
        <f aca="false">IF(ISNUMBER(SEARCH(","&amp;"cardRate"&amp;",",","&amp;SUBSTITUTE(In_lookKeys," ","")&amp;",")),1,0)</f>
        <v>0</v>
      </c>
      <c r="H124" s="1" t="n">
        <f aca="false">IF(ISNUMBER(SEARCH(","&amp;"cardRate"&amp;",",","&amp;SUBSTITUTE(In_ackKeys," ","")&amp;",")),1,0)</f>
        <v>0</v>
      </c>
      <c r="I124" s="1" t="n">
        <f aca="false">C124*(1-D124)</f>
        <v>0</v>
      </c>
      <c r="J124" s="1" t="n">
        <f aca="false">I124*E124</f>
        <v>0</v>
      </c>
      <c r="K124" s="1" t="n">
        <f aca="false">C124*G124*(1-H124)</f>
        <v>0</v>
      </c>
      <c r="L124" s="1" t="n">
        <f aca="false">C124*E124*(1-F124)</f>
        <v>0</v>
      </c>
      <c r="M124" s="1" t="n">
        <f aca="false">C124*MAX(E124,G124)</f>
        <v>0</v>
      </c>
      <c r="N124" s="1" t="n">
        <v>4</v>
      </c>
      <c r="O124" s="1" t="n">
        <f aca="false">C124*IF(G124=1,1,IF(AND(D124=0,E124=0),1,0))</f>
        <v>0</v>
      </c>
      <c r="P124" s="1" t="n">
        <f aca="false">C124*E124*(1-G124)</f>
        <v>0</v>
      </c>
      <c r="Q124" s="1" t="s">
        <v>2753</v>
      </c>
    </row>
    <row r="125" customFormat="false" ht="15" hidden="false" customHeight="true" outlineLevel="0" collapsed="false">
      <c r="B125" s="1" t="s">
        <v>1361</v>
      </c>
      <c r="C125" s="1" t="n">
        <f aca="false">IF(1,1,0)</f>
        <v>1</v>
      </c>
      <c r="D125" s="1" t="n">
        <v>0</v>
      </c>
      <c r="E125" s="1" t="n">
        <f aca="false">IF(Has_loanBal,1,0)</f>
        <v>0</v>
      </c>
      <c r="F125" s="1" t="n">
        <v>0</v>
      </c>
      <c r="G125" s="1" t="n">
        <f aca="false">IF(ISNUMBER(SEARCH(","&amp;"loanBal"&amp;",",","&amp;SUBSTITUTE(In_lookKeys," ","")&amp;",")),1,0)</f>
        <v>0</v>
      </c>
      <c r="H125" s="1" t="n">
        <f aca="false">IF(ISNUMBER(SEARCH(","&amp;"loanBal"&amp;",",","&amp;SUBSTITUTE(In_ackKeys," ","")&amp;",")),1,0)</f>
        <v>0</v>
      </c>
      <c r="I125" s="1" t="n">
        <f aca="false">C125*(1-D125)</f>
        <v>1</v>
      </c>
      <c r="J125" s="1" t="n">
        <f aca="false">I125*E125</f>
        <v>0</v>
      </c>
      <c r="K125" s="1" t="n">
        <f aca="false">C125*G125*(1-H125)</f>
        <v>0</v>
      </c>
      <c r="L125" s="1" t="n">
        <f aca="false">C125*E125*(1-F125)</f>
        <v>0</v>
      </c>
      <c r="M125" s="1" t="n">
        <f aca="false">C125*MAX(E125,G125)</f>
        <v>0</v>
      </c>
      <c r="N125" s="1" t="n">
        <v>4</v>
      </c>
      <c r="O125" s="1" t="n">
        <f aca="false">C125*IF(G125=1,1,IF(AND(D125=0,E125=0),1,0))</f>
        <v>1</v>
      </c>
      <c r="P125" s="1" t="n">
        <f aca="false">C125*E125*(1-G125)</f>
        <v>0</v>
      </c>
      <c r="Q125" s="1" t="s">
        <v>2754</v>
      </c>
    </row>
    <row r="126" customFormat="false" ht="15" hidden="false" customHeight="true" outlineLevel="0" collapsed="false">
      <c r="B126" s="1" t="s">
        <v>1363</v>
      </c>
      <c r="C126" s="1" t="n">
        <f aca="false">IF(1,1,0)</f>
        <v>1</v>
      </c>
      <c r="D126" s="1" t="n">
        <v>0</v>
      </c>
      <c r="E126" s="1" t="n">
        <f aca="false">IF(Has_loanPayM,1,0)</f>
        <v>0</v>
      </c>
      <c r="F126" s="1" t="n">
        <v>0</v>
      </c>
      <c r="G126" s="1" t="n">
        <f aca="false">IF(OR(ISNUMBER(SEARCH(","&amp;"loanPayM"&amp;",",","&amp;SUBSTITUTE(In_lookKeys," ","")&amp;",")),AND(In_loanBal&gt;0,In_loanPayM&gt;0,IF(In_loanRate&gt;0,In_loanRate,IF(Has_a_loanRate=1,In_a_loanRate,0))&gt;0,In_loanPayM&lt;In_loanBal*(IF(In_loanRate&gt;0,In_loanRate,IF(Has_a_loanRate=1,In_a_loanRate,0))/12+0.01))),1,0)</f>
        <v>0</v>
      </c>
      <c r="H126" s="1" t="n">
        <f aca="false">IF(ISNUMBER(SEARCH(","&amp;"loanPayM"&amp;",",","&amp;SUBSTITUTE(In_ackKeys," ","")&amp;",")),1,0)</f>
        <v>0</v>
      </c>
      <c r="I126" s="1" t="n">
        <f aca="false">C126*(1-D126)</f>
        <v>1</v>
      </c>
      <c r="J126" s="1" t="n">
        <f aca="false">I126*E126</f>
        <v>0</v>
      </c>
      <c r="K126" s="1" t="n">
        <f aca="false">C126*G126*(1-H126)</f>
        <v>0</v>
      </c>
      <c r="L126" s="1" t="n">
        <f aca="false">C126*E126*(1-F126)</f>
        <v>0</v>
      </c>
      <c r="M126" s="1" t="n">
        <f aca="false">C126*MAX(E126,G126)</f>
        <v>0</v>
      </c>
      <c r="N126" s="1" t="n">
        <v>4</v>
      </c>
      <c r="O126" s="1" t="n">
        <f aca="false">C126*IF(G126=1,1,IF(AND(D126=0,E126=0),1,0))</f>
        <v>1</v>
      </c>
      <c r="P126" s="1" t="n">
        <f aca="false">C126*E126*(1-G126)</f>
        <v>0</v>
      </c>
      <c r="Q126" s="1" t="s">
        <v>2755</v>
      </c>
    </row>
    <row r="127" customFormat="false" ht="15" hidden="false" customHeight="true" outlineLevel="0" collapsed="false">
      <c r="B127" s="1" t="s">
        <v>2756</v>
      </c>
      <c r="C127" s="1" t="n">
        <f aca="false">IF(In_loanBal+In_debt&gt;0,1,0)</f>
        <v>0</v>
      </c>
      <c r="D127" s="1" t="n">
        <v>0</v>
      </c>
      <c r="E127" s="1" t="n">
        <f aca="false">IF(OR(In_loanRate&gt;0,Has_a_loanRate=1),1,0)</f>
        <v>0</v>
      </c>
      <c r="F127" s="1" t="n">
        <v>0</v>
      </c>
      <c r="G127" s="1" t="n">
        <f aca="false">IF(ISNUMBER(SEARCH(","&amp;"loanRate"&amp;",",","&amp;SUBSTITUTE(In_lookKeys," ","")&amp;",")),1,0)</f>
        <v>0</v>
      </c>
      <c r="H127" s="1" t="n">
        <f aca="false">IF(ISNUMBER(SEARCH(","&amp;"loanRate"&amp;",",","&amp;SUBSTITUTE(In_ackKeys," ","")&amp;",")),1,0)</f>
        <v>0</v>
      </c>
      <c r="I127" s="1" t="n">
        <f aca="false">C127*(1-D127)</f>
        <v>0</v>
      </c>
      <c r="J127" s="1" t="n">
        <f aca="false">I127*E127</f>
        <v>0</v>
      </c>
      <c r="K127" s="1" t="n">
        <f aca="false">C127*G127*(1-H127)</f>
        <v>0</v>
      </c>
      <c r="L127" s="1" t="n">
        <f aca="false">C127*E127*(1-F127)</f>
        <v>0</v>
      </c>
      <c r="M127" s="1" t="n">
        <f aca="false">C127*MAX(E127,G127)</f>
        <v>0</v>
      </c>
      <c r="N127" s="1" t="n">
        <v>4</v>
      </c>
      <c r="O127" s="1" t="n">
        <f aca="false">C127*IF(G127=1,1,IF(AND(D127=0,E127=0),1,0))</f>
        <v>0</v>
      </c>
      <c r="P127" s="1" t="n">
        <f aca="false">C127*E127*(1-G127)</f>
        <v>0</v>
      </c>
      <c r="Q127" s="1" t="s">
        <v>2757</v>
      </c>
    </row>
    <row r="128" customFormat="false" ht="15" hidden="false" customHeight="true" outlineLevel="0" collapsed="false">
      <c r="B128" s="1" t="s">
        <v>2758</v>
      </c>
      <c r="C128" s="1" t="n">
        <f aca="false">IF(Mort2_Bal&gt;0,1,0)</f>
        <v>0</v>
      </c>
      <c r="D128" s="1" t="n">
        <v>0</v>
      </c>
      <c r="E128" s="1" t="n">
        <f aca="false">IF(Mort2_NeedsTerm=0,1,0)</f>
        <v>1</v>
      </c>
      <c r="F128" s="1" t="n">
        <v>0</v>
      </c>
      <c r="G128" s="1" t="n">
        <f aca="false">IF(ISNUMBER(SEARCH(","&amp;"mort2"&amp;",",","&amp;SUBSTITUTE(In_lookKeys," ","")&amp;",")),1,0)</f>
        <v>0</v>
      </c>
      <c r="H128" s="1" t="n">
        <f aca="false">IF(ISNUMBER(SEARCH(","&amp;"mort2"&amp;",",","&amp;SUBSTITUTE(In_ackKeys," ","")&amp;",")),1,0)</f>
        <v>0</v>
      </c>
      <c r="I128" s="1" t="n">
        <f aca="false">C128*(1-D128)</f>
        <v>0</v>
      </c>
      <c r="J128" s="1" t="n">
        <f aca="false">I128*E128</f>
        <v>0</v>
      </c>
      <c r="K128" s="1" t="n">
        <f aca="false">C128*G128*(1-H128)</f>
        <v>0</v>
      </c>
      <c r="L128" s="1" t="n">
        <f aca="false">C128*E128*(1-F128)</f>
        <v>0</v>
      </c>
      <c r="M128" s="1" t="n">
        <f aca="false">C128*MAX(E128,G128)</f>
        <v>0</v>
      </c>
      <c r="N128" s="1" t="n">
        <v>4</v>
      </c>
      <c r="O128" s="1" t="n">
        <f aca="false">C128*IF(G128=1,1,IF(AND(D128=0,E128=0),1,0))</f>
        <v>0</v>
      </c>
      <c r="P128" s="1" t="n">
        <f aca="false">C128*E128*(1-G128)</f>
        <v>0</v>
      </c>
      <c r="Q128" s="1" t="s">
        <v>2759</v>
      </c>
    </row>
    <row r="129" customFormat="false" ht="15" hidden="false" customHeight="true" outlineLevel="0" collapsed="false">
      <c r="B129" s="1" t="s">
        <v>2760</v>
      </c>
      <c r="C129" s="1" t="n">
        <f aca="false">IF(1,1,0)</f>
        <v>1</v>
      </c>
      <c r="D129" s="1" t="n">
        <v>0</v>
      </c>
      <c r="E129" s="1" t="n">
        <f aca="false">IF(Has_life,1,0)</f>
        <v>0</v>
      </c>
      <c r="F129" s="1" t="n">
        <v>0</v>
      </c>
      <c r="G129" s="1" t="n">
        <f aca="false">IF(ISNUMBER(SEARCH(","&amp;"life"&amp;",",","&amp;SUBSTITUTE(In_lookKeys," ","")&amp;",")),1,0)</f>
        <v>0</v>
      </c>
      <c r="H129" s="1" t="n">
        <f aca="false">IF(ISNUMBER(SEARCH(","&amp;"life"&amp;",",","&amp;SUBSTITUTE(In_ackKeys," ","")&amp;",")),1,0)</f>
        <v>0</v>
      </c>
      <c r="I129" s="1" t="n">
        <f aca="false">C129*(1-D129)</f>
        <v>1</v>
      </c>
      <c r="J129" s="1" t="n">
        <f aca="false">I129*E129</f>
        <v>0</v>
      </c>
      <c r="K129" s="1" t="n">
        <f aca="false">C129*G129*(1-H129)</f>
        <v>0</v>
      </c>
      <c r="L129" s="1" t="n">
        <f aca="false">C129*E129*(1-F129)</f>
        <v>0</v>
      </c>
      <c r="M129" s="1" t="n">
        <f aca="false">C129*MAX(E129,G129)</f>
        <v>0</v>
      </c>
      <c r="N129" s="1" t="n">
        <v>5</v>
      </c>
      <c r="O129" s="1" t="n">
        <f aca="false">C129*IF(G129=1,1,IF(AND(D129=0,E129=0),1,0))</f>
        <v>1</v>
      </c>
      <c r="P129" s="1" t="n">
        <f aca="false">C129*E129*(1-G129)</f>
        <v>0</v>
      </c>
      <c r="Q129" s="1" t="s">
        <v>2761</v>
      </c>
    </row>
    <row r="130" customFormat="false" ht="15" hidden="false" customHeight="true" outlineLevel="0" collapsed="false">
      <c r="B130" s="1" t="s">
        <v>2762</v>
      </c>
      <c r="C130" s="1" t="n">
        <f aca="false">IF(1,1,0)</f>
        <v>1</v>
      </c>
      <c r="D130" s="1" t="n">
        <v>0</v>
      </c>
      <c r="E130" s="1" t="n">
        <f aca="false">IF(Has_ip,1,0)</f>
        <v>0</v>
      </c>
      <c r="F130" s="1" t="n">
        <v>0</v>
      </c>
      <c r="G130" s="1" t="n">
        <f aca="false">IF(ISNUMBER(SEARCH(","&amp;"ip"&amp;",",","&amp;SUBSTITUTE(In_lookKeys," ","")&amp;",")),1,0)</f>
        <v>0</v>
      </c>
      <c r="H130" s="1" t="n">
        <f aca="false">IF(ISNUMBER(SEARCH(","&amp;"ip"&amp;",",","&amp;SUBSTITUTE(In_ackKeys," ","")&amp;",")),1,0)</f>
        <v>0</v>
      </c>
      <c r="I130" s="1" t="n">
        <f aca="false">C130*(1-D130)</f>
        <v>1</v>
      </c>
      <c r="J130" s="1" t="n">
        <f aca="false">I130*E130</f>
        <v>0</v>
      </c>
      <c r="K130" s="1" t="n">
        <f aca="false">C130*G130*(1-H130)</f>
        <v>0</v>
      </c>
      <c r="L130" s="1" t="n">
        <f aca="false">C130*E130*(1-F130)</f>
        <v>0</v>
      </c>
      <c r="M130" s="1" t="n">
        <f aca="false">C130*MAX(E130,G130)</f>
        <v>0</v>
      </c>
      <c r="N130" s="1" t="n">
        <v>5</v>
      </c>
      <c r="O130" s="1" t="n">
        <f aca="false">C130*IF(G130=1,1,IF(AND(D130=0,E130=0),1,0))</f>
        <v>1</v>
      </c>
      <c r="P130" s="1" t="n">
        <f aca="false">C130*E130*(1-G130)</f>
        <v>0</v>
      </c>
      <c r="Q130" s="1" t="s">
        <v>2763</v>
      </c>
    </row>
    <row r="131" customFormat="false" ht="15" hidden="false" customHeight="true" outlineLevel="0" collapsed="false">
      <c r="B131" s="1" t="s">
        <v>2764</v>
      </c>
      <c r="C131" s="1" t="n">
        <f aca="false">IF(1,1,0)</f>
        <v>1</v>
      </c>
      <c r="D131" s="1" t="n">
        <v>0</v>
      </c>
      <c r="E131" s="1" t="n">
        <f aca="false">IF(Has_ci,1,0)</f>
        <v>0</v>
      </c>
      <c r="F131" s="1" t="n">
        <v>0</v>
      </c>
      <c r="G131" s="1" t="n">
        <f aca="false">IF(ISNUMBER(SEARCH(","&amp;"ci"&amp;",",","&amp;SUBSTITUTE(In_lookKeys," ","")&amp;",")),1,0)</f>
        <v>0</v>
      </c>
      <c r="H131" s="1" t="n">
        <f aca="false">IF(ISNUMBER(SEARCH(","&amp;"ci"&amp;",",","&amp;SUBSTITUTE(In_ackKeys," ","")&amp;",")),1,0)</f>
        <v>0</v>
      </c>
      <c r="I131" s="1" t="n">
        <f aca="false">C131*(1-D131)</f>
        <v>1</v>
      </c>
      <c r="J131" s="1" t="n">
        <f aca="false">I131*E131</f>
        <v>0</v>
      </c>
      <c r="K131" s="1" t="n">
        <f aca="false">C131*G131*(1-H131)</f>
        <v>0</v>
      </c>
      <c r="L131" s="1" t="n">
        <f aca="false">C131*E131*(1-F131)</f>
        <v>0</v>
      </c>
      <c r="M131" s="1" t="n">
        <f aca="false">C131*MAX(E131,G131)</f>
        <v>0</v>
      </c>
      <c r="N131" s="1" t="n">
        <v>5</v>
      </c>
      <c r="O131" s="1" t="n">
        <f aca="false">C131*IF(G131=1,1,IF(AND(D131=0,E131=0),1,0))</f>
        <v>1</v>
      </c>
      <c r="P131" s="1" t="n">
        <f aca="false">C131*E131*(1-G131)</f>
        <v>0</v>
      </c>
      <c r="Q131" s="1" t="s">
        <v>2765</v>
      </c>
    </row>
    <row r="132" customFormat="false" ht="15" hidden="false" customHeight="true" outlineLevel="0" collapsed="false">
      <c r="B132" s="1" t="s">
        <v>2766</v>
      </c>
      <c r="C132" s="1" t="n">
        <f aca="false">IF(1,1,0)</f>
        <v>1</v>
      </c>
      <c r="D132" s="1" t="n">
        <v>0</v>
      </c>
      <c r="E132" s="1" t="n">
        <f aca="false">IF(Has_workCover,1,0)</f>
        <v>0</v>
      </c>
      <c r="F132" s="1" t="n">
        <v>0</v>
      </c>
      <c r="G132" s="1" t="n">
        <f aca="false">IF(ISNUMBER(SEARCH(","&amp;"workCover"&amp;",",","&amp;SUBSTITUTE(In_lookKeys," ","")&amp;",")),1,0)</f>
        <v>0</v>
      </c>
      <c r="H132" s="1" t="n">
        <f aca="false">IF(ISNUMBER(SEARCH(","&amp;"workCover"&amp;",",","&amp;SUBSTITUTE(In_ackKeys," ","")&amp;",")),1,0)</f>
        <v>0</v>
      </c>
      <c r="I132" s="1" t="n">
        <f aca="false">C132*(1-D132)</f>
        <v>1</v>
      </c>
      <c r="J132" s="1" t="n">
        <f aca="false">I132*E132</f>
        <v>0</v>
      </c>
      <c r="K132" s="1" t="n">
        <f aca="false">C132*G132*(1-H132)</f>
        <v>0</v>
      </c>
      <c r="L132" s="1" t="n">
        <f aca="false">C132*E132*(1-F132)</f>
        <v>0</v>
      </c>
      <c r="M132" s="1" t="n">
        <f aca="false">C132*MAX(E132,G132)</f>
        <v>0</v>
      </c>
      <c r="N132" s="1" t="n">
        <v>5</v>
      </c>
      <c r="O132" s="1" t="n">
        <f aca="false">C132*IF(G132=1,1,IF(AND(D132=0,E132=0),1,0))</f>
        <v>1</v>
      </c>
      <c r="P132" s="1" t="n">
        <f aca="false">C132*E132*(1-G132)</f>
        <v>0</v>
      </c>
      <c r="Q132" s="1" t="s">
        <v>2767</v>
      </c>
    </row>
    <row r="133" customFormat="false" ht="15" hidden="false" customHeight="true" outlineLevel="0" collapsed="false">
      <c r="B133" s="1" t="s">
        <v>2768</v>
      </c>
      <c r="C133" s="1" t="n">
        <f aca="false">IF(1,1,0)</f>
        <v>1</v>
      </c>
      <c r="D133" s="1" t="n">
        <v>0</v>
      </c>
      <c r="E133" s="1" t="n">
        <f aca="false">IF(Has_health,1,0)</f>
        <v>0</v>
      </c>
      <c r="F133" s="1" t="n">
        <v>0</v>
      </c>
      <c r="G133" s="1" t="n">
        <f aca="false">IF(ISNUMBER(SEARCH(","&amp;"health"&amp;",",","&amp;SUBSTITUTE(In_lookKeys," ","")&amp;",")),1,0)</f>
        <v>0</v>
      </c>
      <c r="H133" s="1" t="n">
        <f aca="false">IF(ISNUMBER(SEARCH(","&amp;"health"&amp;",",","&amp;SUBSTITUTE(In_ackKeys," ","")&amp;",")),1,0)</f>
        <v>0</v>
      </c>
      <c r="I133" s="1" t="n">
        <f aca="false">C133*(1-D133)</f>
        <v>1</v>
      </c>
      <c r="J133" s="1" t="n">
        <f aca="false">I133*E133</f>
        <v>0</v>
      </c>
      <c r="K133" s="1" t="n">
        <f aca="false">C133*G133*(1-H133)</f>
        <v>0</v>
      </c>
      <c r="L133" s="1" t="n">
        <f aca="false">C133*E133*(1-F133)</f>
        <v>0</v>
      </c>
      <c r="M133" s="1" t="n">
        <f aca="false">C133*MAX(E133,G133)</f>
        <v>0</v>
      </c>
      <c r="N133" s="1" t="n">
        <v>5</v>
      </c>
      <c r="O133" s="1" t="n">
        <f aca="false">C133*IF(G133=1,1,IF(AND(D133=0,E133=0),1,0))</f>
        <v>1</v>
      </c>
      <c r="P133" s="1" t="n">
        <f aca="false">C133*E133*(1-G133)</f>
        <v>0</v>
      </c>
      <c r="Q133" s="1" t="s">
        <v>2524</v>
      </c>
    </row>
    <row r="134" customFormat="false" ht="15" hidden="false" customHeight="true" outlineLevel="0" collapsed="false">
      <c r="B134" s="1" t="s">
        <v>724</v>
      </c>
      <c r="C134" s="1" t="n">
        <f aca="false">IF(1,1,0)</f>
        <v>1</v>
      </c>
      <c r="D134" s="1" t="n">
        <v>0</v>
      </c>
      <c r="E134" s="1" t="n">
        <f aca="false">IF(Has_pension,1,0)</f>
        <v>0</v>
      </c>
      <c r="F134" s="1" t="n">
        <v>0</v>
      </c>
      <c r="G134" s="1" t="n">
        <f aca="false">IF(ISNUMBER(SEARCH(","&amp;"pension"&amp;",",","&amp;SUBSTITUTE(In_lookKeys," ","")&amp;",")),1,0)</f>
        <v>0</v>
      </c>
      <c r="H134" s="1" t="n">
        <f aca="false">IF(ISNUMBER(SEARCH(","&amp;"pension"&amp;",",","&amp;SUBSTITUTE(In_ackKeys," ","")&amp;",")),1,0)</f>
        <v>0</v>
      </c>
      <c r="I134" s="1" t="n">
        <f aca="false">C134*(1-D134)</f>
        <v>1</v>
      </c>
      <c r="J134" s="1" t="n">
        <f aca="false">I134*E134</f>
        <v>0</v>
      </c>
      <c r="K134" s="1" t="n">
        <f aca="false">C134*G134*(1-H134)</f>
        <v>0</v>
      </c>
      <c r="L134" s="1" t="n">
        <f aca="false">C134*E134*(1-F134)</f>
        <v>0</v>
      </c>
      <c r="M134" s="1" t="n">
        <f aca="false">C134*MAX(E134,G134)</f>
        <v>0</v>
      </c>
      <c r="N134" s="1" t="n">
        <v>6</v>
      </c>
      <c r="O134" s="1" t="n">
        <f aca="false">C134*IF(G134=1,1,IF(AND(D134=0,E134=0),1,0))</f>
        <v>1</v>
      </c>
      <c r="P134" s="1" t="n">
        <f aca="false">C134*E134*(1-G134)</f>
        <v>0</v>
      </c>
      <c r="Q134" s="1" t="s">
        <v>1422</v>
      </c>
    </row>
    <row r="135" customFormat="false" ht="15" hidden="false" customHeight="true" outlineLevel="0" collapsed="false">
      <c r="B135" s="1" t="s">
        <v>2769</v>
      </c>
      <c r="C135" s="1" t="n">
        <f aca="false">IF(1,1,0)</f>
        <v>1</v>
      </c>
      <c r="D135" s="1" t="n">
        <v>0</v>
      </c>
      <c r="E135" s="1" t="n">
        <f aca="false">IF(Has_pensionM,1,0)</f>
        <v>0</v>
      </c>
      <c r="F135" s="1" t="n">
        <v>0</v>
      </c>
      <c r="G135" s="1" t="n">
        <f aca="false">IF(ISNUMBER(SEARCH(","&amp;"pensionM"&amp;",",","&amp;SUBSTITUTE(In_lookKeys," ","")&amp;",")),1,0)</f>
        <v>0</v>
      </c>
      <c r="H135" s="1" t="n">
        <f aca="false">IF(ISNUMBER(SEARCH(","&amp;"pensionM"&amp;",",","&amp;SUBSTITUTE(In_ackKeys," ","")&amp;",")),1,0)</f>
        <v>0</v>
      </c>
      <c r="I135" s="1" t="n">
        <f aca="false">C135*(1-D135)</f>
        <v>1</v>
      </c>
      <c r="J135" s="1" t="n">
        <f aca="false">I135*E135</f>
        <v>0</v>
      </c>
      <c r="K135" s="1" t="n">
        <f aca="false">C135*G135*(1-H135)</f>
        <v>0</v>
      </c>
      <c r="L135" s="1" t="n">
        <f aca="false">C135*E135*(1-F135)</f>
        <v>0</v>
      </c>
      <c r="M135" s="1" t="n">
        <f aca="false">C135*MAX(E135,G135)</f>
        <v>0</v>
      </c>
      <c r="N135" s="1" t="n">
        <v>6</v>
      </c>
      <c r="O135" s="1" t="n">
        <f aca="false">C135*IF(G135=1,1,IF(AND(D135=0,E135=0),1,0))</f>
        <v>1</v>
      </c>
      <c r="P135" s="1" t="n">
        <f aca="false">C135*E135*(1-G135)</f>
        <v>0</v>
      </c>
      <c r="Q135" s="1" t="s">
        <v>2770</v>
      </c>
    </row>
    <row r="136" customFormat="false" ht="15" hidden="false" customHeight="true" outlineLevel="0" collapsed="false">
      <c r="B136" s="1" t="s">
        <v>1842</v>
      </c>
      <c r="C136" s="1" t="n">
        <f aca="false">IF(AND(In_pensionM&gt;0,In_work&lt;&gt;"Not working"),1,0)</f>
        <v>0</v>
      </c>
      <c r="D136" s="1" t="n">
        <v>1</v>
      </c>
      <c r="E136" s="1" t="n">
        <f aca="false">IF(Has_pensionOwnM,1,0)</f>
        <v>0</v>
      </c>
      <c r="F136" s="1" t="n">
        <v>0</v>
      </c>
      <c r="G136" s="1" t="n">
        <f aca="false">IF(ISNUMBER(SEARCH(","&amp;"pensionOwnM"&amp;",",","&amp;SUBSTITUTE(In_lookKeys," ","")&amp;",")),1,0)</f>
        <v>0</v>
      </c>
      <c r="H136" s="1" t="n">
        <f aca="false">IF(ISNUMBER(SEARCH(","&amp;"pensionOwnM"&amp;",",","&amp;SUBSTITUTE(In_ackKeys," ","")&amp;",")),1,0)</f>
        <v>0</v>
      </c>
      <c r="I136" s="1" t="n">
        <f aca="false">C136*(1-D136)</f>
        <v>0</v>
      </c>
      <c r="J136" s="1" t="n">
        <f aca="false">I136*E136</f>
        <v>0</v>
      </c>
      <c r="K136" s="1" t="n">
        <f aca="false">C136*G136*(1-H136)</f>
        <v>0</v>
      </c>
      <c r="L136" s="1" t="n">
        <f aca="false">C136*E136*(1-F136)</f>
        <v>0</v>
      </c>
      <c r="M136" s="1" t="n">
        <f aca="false">C136*MAX(E136,G136)</f>
        <v>0</v>
      </c>
      <c r="N136" s="1" t="n">
        <v>6</v>
      </c>
      <c r="O136" s="1" t="n">
        <f aca="false">C136*IF(G136=1,1,IF(AND(D136=0,E136=0),1,0))</f>
        <v>0</v>
      </c>
      <c r="P136" s="1" t="n">
        <f aca="false">C136*E136*(1-G136)</f>
        <v>0</v>
      </c>
      <c r="Q136" s="1" t="s">
        <v>2771</v>
      </c>
    </row>
    <row r="137" customFormat="false" ht="15" hidden="false" customHeight="true" outlineLevel="0" collapsed="false">
      <c r="B137" s="1" t="s">
        <v>2772</v>
      </c>
      <c r="C137" s="1" t="n">
        <f aca="false">IF(AND(In_work="Employed",In_age&gt;=PR_AEageMin,In_age&lt;=PR_AEageMax,In_income&gt;PR_AEearnMin,NOT(In_pensionM&gt;0)),1,0)</f>
        <v>0</v>
      </c>
      <c r="D137" s="1" t="n">
        <v>1</v>
      </c>
      <c r="E137" s="1" t="n">
        <f aca="false">IF(Has_ae,1,0)</f>
        <v>0</v>
      </c>
      <c r="F137" s="1" t="n">
        <v>0</v>
      </c>
      <c r="G137" s="1" t="n">
        <f aca="false">IF(ISNUMBER(SEARCH(","&amp;"ae"&amp;",",","&amp;SUBSTITUTE(In_lookKeys," ","")&amp;",")),1,0)</f>
        <v>0</v>
      </c>
      <c r="H137" s="1" t="n">
        <f aca="false">IF(ISNUMBER(SEARCH(","&amp;"ae"&amp;",",","&amp;SUBSTITUTE(In_ackKeys," ","")&amp;",")),1,0)</f>
        <v>0</v>
      </c>
      <c r="I137" s="1" t="n">
        <f aca="false">C137*(1-D137)</f>
        <v>0</v>
      </c>
      <c r="J137" s="1" t="n">
        <f aca="false">I137*E137</f>
        <v>0</v>
      </c>
      <c r="K137" s="1" t="n">
        <f aca="false">C137*G137*(1-H137)</f>
        <v>0</v>
      </c>
      <c r="L137" s="1" t="n">
        <f aca="false">C137*E137*(1-F137)</f>
        <v>0</v>
      </c>
      <c r="M137" s="1" t="n">
        <f aca="false">C137*MAX(E137,G137)</f>
        <v>0</v>
      </c>
      <c r="N137" s="1" t="n">
        <v>6</v>
      </c>
      <c r="O137" s="1" t="n">
        <f aca="false">C137*IF(G137=1,1,IF(AND(D137=0,E137=0),1,0))</f>
        <v>0</v>
      </c>
      <c r="P137" s="1" t="n">
        <f aca="false">C137*E137*(1-G137)</f>
        <v>0</v>
      </c>
      <c r="Q137" s="1" t="s">
        <v>2773</v>
      </c>
    </row>
    <row r="138" customFormat="false" ht="15" hidden="false" customHeight="true" outlineLevel="0" collapsed="false">
      <c r="B138" s="1" t="s">
        <v>2774</v>
      </c>
      <c r="C138" s="1" t="n">
        <f aca="false">IF(1,1,0)</f>
        <v>1</v>
      </c>
      <c r="D138" s="1" t="n">
        <v>0</v>
      </c>
      <c r="E138" s="1" t="n">
        <f aca="false">IF(Has_sp,1,0)</f>
        <v>0</v>
      </c>
      <c r="F138" s="1" t="n">
        <v>0</v>
      </c>
      <c r="G138" s="1" t="n">
        <f aca="false">IF(ISNUMBER(SEARCH(","&amp;"sp"&amp;",",","&amp;SUBSTITUTE(In_lookKeys," ","")&amp;",")),1,0)</f>
        <v>0</v>
      </c>
      <c r="H138" s="1" t="n">
        <f aca="false">IF(ISNUMBER(SEARCH(","&amp;"sp"&amp;",",","&amp;SUBSTITUTE(In_ackKeys," ","")&amp;",")),1,0)</f>
        <v>0</v>
      </c>
      <c r="I138" s="1" t="n">
        <f aca="false">C138*(1-D138)</f>
        <v>1</v>
      </c>
      <c r="J138" s="1" t="n">
        <f aca="false">I138*E138</f>
        <v>0</v>
      </c>
      <c r="K138" s="1" t="n">
        <f aca="false">C138*G138*(1-H138)</f>
        <v>0</v>
      </c>
      <c r="L138" s="1" t="n">
        <f aca="false">C138*E138*(1-F138)</f>
        <v>0</v>
      </c>
      <c r="M138" s="1" t="n">
        <f aca="false">C138*MAX(E138,G138)</f>
        <v>0</v>
      </c>
      <c r="N138" s="1" t="n">
        <v>6</v>
      </c>
      <c r="O138" s="1" t="n">
        <f aca="false">C138*IF(G138=1,1,IF(AND(D138=0,E138=0),1,0))</f>
        <v>1</v>
      </c>
      <c r="P138" s="1" t="n">
        <f aca="false">C138*E138*(1-G138)</f>
        <v>0</v>
      </c>
      <c r="Q138" s="1" t="s">
        <v>2775</v>
      </c>
    </row>
    <row r="139" customFormat="false" ht="15" hidden="false" customHeight="true" outlineLevel="0" collapsed="false">
      <c r="B139" s="1" t="s">
        <v>1893</v>
      </c>
      <c r="C139" s="1" t="n">
        <f aca="false">IF(F_Partner=1,1,0)</f>
        <v>0</v>
      </c>
      <c r="D139" s="1" t="n">
        <v>1</v>
      </c>
      <c r="E139" s="1" t="n">
        <f aca="false">IF(Has_pSp,1,0)</f>
        <v>0</v>
      </c>
      <c r="F139" s="1" t="n">
        <v>0</v>
      </c>
      <c r="G139" s="1" t="n">
        <f aca="false">IF(ISNUMBER(SEARCH(","&amp;"pSp"&amp;",",","&amp;SUBSTITUTE(In_lookKeys," ","")&amp;",")),1,0)</f>
        <v>0</v>
      </c>
      <c r="H139" s="1" t="n">
        <f aca="false">IF(ISNUMBER(SEARCH(","&amp;"pSp"&amp;",",","&amp;SUBSTITUTE(In_ackKeys," ","")&amp;",")),1,0)</f>
        <v>0</v>
      </c>
      <c r="I139" s="1" t="n">
        <f aca="false">C139*(1-D139)</f>
        <v>0</v>
      </c>
      <c r="J139" s="1" t="n">
        <f aca="false">I139*E139</f>
        <v>0</v>
      </c>
      <c r="K139" s="1" t="n">
        <f aca="false">C139*G139*(1-H139)</f>
        <v>0</v>
      </c>
      <c r="L139" s="1" t="n">
        <f aca="false">C139*E139*(1-F139)</f>
        <v>0</v>
      </c>
      <c r="M139" s="1" t="n">
        <f aca="false">C139*MAX(E139,G139)</f>
        <v>0</v>
      </c>
      <c r="N139" s="1" t="n">
        <v>6</v>
      </c>
      <c r="O139" s="1" t="n">
        <f aca="false">C139*IF(G139=1,1,IF(AND(D139=0,E139=0),1,0))</f>
        <v>0</v>
      </c>
      <c r="P139" s="1" t="n">
        <f aca="false">C139*E139*(1-G139)</f>
        <v>0</v>
      </c>
      <c r="Q139" s="1" t="s">
        <v>2776</v>
      </c>
    </row>
    <row r="140" customFormat="false" ht="15" hidden="false" customHeight="true" outlineLevel="0" collapsed="false">
      <c r="B140" s="1" t="s">
        <v>2777</v>
      </c>
      <c r="C140" s="103" t="n">
        <f aca="false">SUM($O$101:$O$139)</f>
        <v>19</v>
      </c>
    </row>
    <row r="141" customFormat="false" ht="15" hidden="false" customHeight="true" outlineLevel="0" collapsed="false">
      <c r="B141" s="1" t="s">
        <v>2778</v>
      </c>
      <c r="C141" s="103" t="n">
        <f aca="false">SUMPRODUCT($K$101:$K$139*($Q$101:$Q$139&lt;&gt;"retireAge"))</f>
        <v>0</v>
      </c>
    </row>
    <row r="142" customFormat="false" ht="15" hidden="false" customHeight="true" outlineLevel="0" collapsed="false">
      <c r="B142" s="1" t="s">
        <v>2779</v>
      </c>
      <c r="C142" s="103" t="n">
        <f aca="false">SUM($P$101:$P$139)</f>
        <v>1</v>
      </c>
    </row>
    <row r="143" customFormat="false" ht="15" hidden="false" customHeight="true" outlineLevel="0" collapsed="false">
      <c r="B143" s="1" t="s">
        <v>2780</v>
      </c>
      <c r="C143" s="103" t="str">
        <f aca="false">IF(SUMIFS($K$101:$K$139,$N$101:$N$139,1)&gt;0,"look",IF(OR(SUMIFS($J$101:$J$139,$N$101:$N$139,1)=SUMIFS($I$101:$I$139,$N$101:$N$139,1),In_saved1="Yes"),"done",IF(SUMIFS($L$101:$L$139,$N$101:$N$139,1)&gt;0,"part","none")))</f>
        <v>none</v>
      </c>
    </row>
    <row r="144" customFormat="false" ht="15" hidden="false" customHeight="true" outlineLevel="0" collapsed="false">
      <c r="B144" s="1" t="s">
        <v>2781</v>
      </c>
      <c r="C144" s="103" t="str">
        <f aca="false">IF(SUMIFS($K$101:$K$139,$N$101:$N$139,2)&gt;0,"look",IF(OR(SUMIFS($J$101:$J$139,$N$101:$N$139,2)=SUMIFS($I$101:$I$139,$N$101:$N$139,2),In_saved2="Yes"),"done",IF(SUMIFS($L$101:$L$139,$N$101:$N$139,2)&gt;0,"part","none")))</f>
        <v>none</v>
      </c>
    </row>
    <row r="145" customFormat="false" ht="15" hidden="false" customHeight="true" outlineLevel="0" collapsed="false">
      <c r="B145" s="1" t="s">
        <v>2782</v>
      </c>
      <c r="C145" s="103" t="str">
        <f aca="false">IF(SUMIFS($K$101:$K$139,$N$101:$N$139,3)&gt;0,"look",IF(OR(SUMIFS($J$101:$J$139,$N$101:$N$139,3)=SUMIFS($I$101:$I$139,$N$101:$N$139,3),In_saved3="Yes"),"done",IF(SUMIFS($L$101:$L$139,$N$101:$N$139,3)&gt;0,"part","none")))</f>
        <v>none</v>
      </c>
    </row>
    <row r="146" customFormat="false" ht="15" hidden="false" customHeight="true" outlineLevel="0" collapsed="false">
      <c r="B146" s="1" t="s">
        <v>2783</v>
      </c>
      <c r="C146" s="103" t="str">
        <f aca="false">IF(SUMIFS($K$101:$K$139,$N$101:$N$139,4)&gt;0,"look",IF(OR(SUMIFS($J$101:$J$139,$N$101:$N$139,4)=SUMIFS($I$101:$I$139,$N$101:$N$139,4),In_saved4="Yes"),"done",IF(SUMIFS($L$101:$L$139,$N$101:$N$139,4)&gt;0,"part","none")))</f>
        <v>none</v>
      </c>
    </row>
    <row r="147" customFormat="false" ht="15" hidden="false" customHeight="true" outlineLevel="0" collapsed="false">
      <c r="B147" s="1" t="s">
        <v>2784</v>
      </c>
      <c r="C147" s="103" t="str">
        <f aca="false">IF(SUMIFS($K$101:$K$139,$N$101:$N$139,5)&gt;0,"look",IF(OR(SUMIFS($J$101:$J$139,$N$101:$N$139,5)=SUMIFS($I$101:$I$139,$N$101:$N$139,5),In_saved5="Yes"),"done",IF(SUMIFS($L$101:$L$139,$N$101:$N$139,5)&gt;0,"part","none")))</f>
        <v>none</v>
      </c>
    </row>
    <row r="148" customFormat="false" ht="15" hidden="false" customHeight="true" outlineLevel="0" collapsed="false">
      <c r="B148" s="1" t="s">
        <v>2785</v>
      </c>
      <c r="C148" s="103" t="str">
        <f aca="false">IF(SUMIFS($K$101:$K$139,$N$101:$N$139,6)&gt;0,"look",IF(OR(SUMIFS($J$101:$J$139,$N$101:$N$139,6)=SUMIFS($I$101:$I$139,$N$101:$N$139,6),In_saved6="Yes"),"done",IF(SUMIFS($L$101:$L$139,$N$101:$N$139,6)&gt;0,"part","none")))</f>
        <v>none</v>
      </c>
    </row>
    <row r="149" customFormat="false" ht="15" hidden="false" customHeight="true" outlineLevel="0" collapsed="false">
      <c r="B149" s="1" t="s">
        <v>2786</v>
      </c>
      <c r="C149" s="103" t="n">
        <f aca="false">IF(Fin1_St="done",1,0)+IF(Fin2_St="done",1,0)+IF(Fin3_St="done",1,0)+IF(Fin4_St="done",1,0)+IF(Fin5_St="done",1,0)+IF(Fin6_St="done",1,0)</f>
        <v>0</v>
      </c>
    </row>
    <row r="150" customFormat="false" ht="15" hidden="false" customHeight="true" outlineLevel="0" collapsed="false">
      <c r="B150" s="1" t="s">
        <v>2787</v>
      </c>
      <c r="C150" s="103" t="n">
        <f aca="false">IF(AND(OR(Fin1_St="done",Fin1_St="look"),OR(Fin2_St="done",Fin2_St="look"),OR(Fin3_St="done",Fin3_St="look",Fin6_St="done",Fin6_St="look")),1,0)</f>
        <v>0</v>
      </c>
    </row>
    <row r="151" customFormat="false" ht="15" hidden="false" customHeight="true" outlineLevel="0" collapsed="false">
      <c r="B151" s="1" t="s">
        <v>2788</v>
      </c>
      <c r="C151" s="103" t="n">
        <f aca="false">SUM($I$101:$I$139)-SUM($J$101:$J$139)</f>
        <v>20</v>
      </c>
    </row>
    <row r="152" customFormat="false" ht="15" hidden="false" customHeight="true" outlineLevel="0" collapsed="false">
      <c r="B152" s="1" t="s">
        <v>2789</v>
      </c>
      <c r="C152" s="103" t="n">
        <f aca="false">IF(AND(SUMIFS($C$101:$C$139,$N$101:$N$139,1)&gt;0,SUMIFS($M$101:$M$139,$N$101:$N$139,1)=0),1,0)+IF(AND(SUMIFS($C$101:$C$139,$N$101:$N$139,2)&gt;0,SUMIFS($M$101:$M$139,$N$101:$N$139,2)=0),1,0)+IF(AND(SUMIFS($C$101:$C$139,$N$101:$N$139,3)&gt;0,SUMIFS($M$101:$M$139,$N$101:$N$139,3)=0),1,0)+IF(AND(SUMIFS($C$101:$C$139,$N$101:$N$139,4)&gt;0,SUMIFS($M$101:$M$139,$N$101:$N$139,4)=0),1,0)+IF(AND(SUMIFS($C$101:$C$139,$N$101:$N$139,5)&gt;0,SUMIFS($M$101:$M$139,$N$101:$N$139,5)=0),1,0)+IF(AND(SUMIFS($C$101:$C$139,$N$101:$N$139,6)&gt;0,SUMIFS($M$101:$M$139,$N$101:$N$139,6)=0),1,0)</f>
        <v>5</v>
      </c>
    </row>
    <row r="153" customFormat="false" ht="15" hidden="false" customHeight="true" outlineLevel="0" collapsed="false">
      <c r="B153" s="1" t="s">
        <v>2790</v>
      </c>
      <c r="C153" s="103" t="n">
        <f aca="false">IF(OR(Fin_Skipped&gt;0,Fin_Quality&gt;2),1,0)</f>
        <v>1</v>
      </c>
    </row>
    <row r="154" customFormat="false" ht="15" hidden="false" customHeight="true" outlineLevel="0" collapsed="false">
      <c r="B154" s="1" t="s">
        <v>2791</v>
      </c>
      <c r="C154" s="103" t="n">
        <f aca="false">IF(AND(Home_Rough=1,Missing_Count=0),1,0)</f>
        <v>0</v>
      </c>
    </row>
    <row r="156" customFormat="false" ht="15" hidden="false" customHeight="true" outlineLevel="0" collapsed="false">
      <c r="B156" s="93" t="s">
        <v>2792</v>
      </c>
      <c r="C156" s="93" t="s">
        <v>1521</v>
      </c>
    </row>
    <row r="157" customFormat="false" ht="15" hidden="false" customHeight="true" outlineLevel="0" collapsed="false">
      <c r="B157" s="1" t="s">
        <v>2793</v>
      </c>
      <c r="C157" s="103" t="n">
        <f aca="false">F_Age+1</f>
        <v>1</v>
      </c>
    </row>
    <row r="158" customFormat="false" ht="15" hidden="false" customHeight="true" outlineLevel="0" collapsed="false">
      <c r="B158" s="1" t="s">
        <v>2794</v>
      </c>
      <c r="C158" s="103" t="n">
        <f aca="false">MAX(Retire_Min,AS_End-1)</f>
        <v>89</v>
      </c>
    </row>
    <row r="159" customFormat="false" ht="15" hidden="false" customHeight="true" outlineLevel="0" collapsed="false">
      <c r="B159" s="1" t="s">
        <v>2795</v>
      </c>
      <c r="C159" s="103" t="str">
        <f aca="false">"You can usually draw a pension from "&amp;Pension_Earliest_Age&amp;" (some occupational schemes from "&amp;Scheme_Earliest_Age&amp;"); State Pension is paid from "&amp;State_Pension_Age&amp;"."</f>
        <v>You can usually draw a pension from 60 (some occupational schemes from 50); State Pension is paid from 66.</v>
      </c>
    </row>
    <row r="160" customFormat="false" ht="15" hidden="false" customHeight="true" outlineLevel="0" collapsed="false">
      <c r="B160" s="1" t="s">
        <v>2796</v>
      </c>
      <c r="C160" s="103" t="str">
        <f aca="false">Retire_Help&amp;" Choose the age you want to plan for, any age from "&amp;Retire_Min&amp;" to "&amp;Retire_Max&amp;"."</f>
        <v>You can usually draw a pension from 60 (some occupational schemes from 50); State Pension is paid from 66. Choose the age you want to plan for, any age from 1 to 89.</v>
      </c>
    </row>
    <row r="161" customFormat="false" ht="15" hidden="false" customHeight="true" outlineLevel="0" collapsed="false">
      <c r="B161" s="1" t="s">
        <v>2797</v>
      </c>
      <c r="C161" s="103" t="str">
        <f aca="false">IF(Has_retireAge=0,"",IF(F_R&lt;Scheme_Earliest_Age,"Retiring before "&amp;Scheme_Earliest_Age&amp;" is possible. "&amp;"Pensions can usually be drawn from "&amp;Pension_Earliest_Age&amp;" (some schemes from "&amp;Scheme_Earliest_Age&amp;") and the State Pension from "&amp;State_Pension_Age&amp;", so until then your plan uses savings and other income. Your results will show any gap honestly.",IF(OR(F_R&lt;AS_AccessAge,F_R&lt;Pension_Earliest_Age),"Pensions can usually be drawn from "&amp;Pension_Earliest_Age&amp;" (some schemes from "&amp;Scheme_Earliest_Age&amp;") and the State Pension from "&amp;State_Pension_Age&amp;", so until then your plan uses savings and other income. Your results will show any gap honestly.","")))</f>
        <v/>
      </c>
    </row>
    <row r="162" customFormat="false" ht="15" hidden="false" customHeight="true" outlineLevel="0" collapsed="false">
      <c r="B162" s="1" t="s">
        <v>2798</v>
      </c>
      <c r="C162" s="103" t="str">
        <f aca="false">IF(OR(F_Partner=0,Has_pRet=0),"",IF(In_pRet&lt;Scheme_Earliest_Age,"Their pay stops at this age. Until their State Pension at "&amp;State_Pension_Age&amp;" your plan uses savings and other income, and the results will show any gap honestly.",IF(In_pRet&lt;Pension_Earliest_Age,"Their pay stops at this age. Their own pension is not modelled, so until their State Pension at "&amp;State_Pension_Age&amp;" your plan relies on savings and other income. Your results will show any gap honestly.","")))</f>
        <v/>
      </c>
    </row>
    <row r="163" customFormat="false" ht="15" hidden="false" customHeight="true" outlineLevel="0" collapsed="false">
      <c r="B163" s="1" t="s">
        <v>2799</v>
      </c>
      <c r="C163" s="103" t="str">
        <f aca="true">IF(Has_age=1,DATEDIF(IF(ISNUMBER('Plan inputs'!C6),'Plan inputs'!C6,'Plan inputs'!F6),TODAY(),"Y"),"")</f>
        <v/>
      </c>
    </row>
    <row r="164" customFormat="false" ht="15" hidden="false" customHeight="true" outlineLevel="0" collapsed="false">
      <c r="B164" s="1" t="s">
        <v>2800</v>
      </c>
      <c r="C164" s="107" t="str">
        <f aca="true">IF(Has_age=1,DATE(YEAR(TODAY())+IF(DATE(YEAR(TODAY()),MONTH(IF(ISNUMBER('Plan inputs'!C6),'Plan inputs'!C6,'Plan inputs'!F6)),DAY(IF(ISNUMBER('Plan inputs'!C6),'Plan inputs'!C6,'Plan inputs'!F6)))&lt;=TODAY(),1,0),MONTH(IF(ISNUMBER('Plan inputs'!C6),'Plan inputs'!C6,'Plan inputs'!F6)),DAY(IF(ISNUMBER('Plan inputs'!C6),'Plan inputs'!C6,'Plan inputs'!F6))),"")</f>
        <v/>
      </c>
    </row>
    <row r="165" customFormat="false" ht="15" hidden="false" customHeight="true" outlineLevel="0" collapsed="false">
      <c r="B165" s="1" t="s">
        <v>2801</v>
      </c>
      <c r="C165" s="103" t="str">
        <f aca="false">IF(Has_age=0,"","Thanks"&amp;IF(LEN(In_name)&gt;0,", "&amp;In_name,"")&amp;". You're "&amp;DOB_AgeToday&amp;" today and turn "&amp;(DOB_AgeToday+1)&amp;" on "&amp;TEXT(DOB_NextBirthday,"d mmmm yyyy")&amp;".")</f>
        <v/>
      </c>
    </row>
    <row r="166" customFormat="false" ht="15" hidden="false" customHeight="true" outlineLevel="0" collapsed="false">
      <c r="B166" s="1" t="s">
        <v>2802</v>
      </c>
      <c r="C166" s="103" t="str">
        <f aca="true">IF(AND(F_Partner=1,Has_pAge=1),DATEDIF(IF(ISNUMBER('Plan inputs'!C31),'Plan inputs'!C31,'Plan inputs'!F31),TODAY(),"Y"),"")</f>
        <v/>
      </c>
    </row>
    <row r="167" customFormat="false" ht="15" hidden="false" customHeight="true" outlineLevel="0" collapsed="false">
      <c r="B167" s="1" t="s">
        <v>2803</v>
      </c>
      <c r="C167" s="103" t="str">
        <f aca="true">IF(PDOB_AgeToday="","","Thanks. They're "&amp;PDOB_AgeToday&amp;" today and turn "&amp;(PDOB_AgeToday+1)&amp;" on "&amp;TEXT(DATE(YEAR(TODAY())+IF(DATE(YEAR(TODAY()),MONTH(IF(ISNUMBER('Plan inputs'!C31),'Plan inputs'!C31,'Plan inputs'!F31)),DAY(IF(ISNUMBER('Plan inputs'!C31),'Plan inputs'!C31,'Plan inputs'!F31)))&lt;=TODAY(),1,0),MONTH(IF(ISNUMBER('Plan inputs'!C31),'Plan inputs'!C31,'Plan inputs'!F31)),DAY(IF(ISNUMBER('Plan inputs'!C31),'Plan inputs'!C31,'Plan inputs'!F31))),"d mmmm yyyy")&amp;".")</f>
        <v/>
      </c>
    </row>
    <row r="168" customFormat="false" ht="15" hidden="false" customHeight="true" outlineLevel="0" collapsed="false">
      <c r="B168" s="1" t="s">
        <v>2804</v>
      </c>
      <c r="C168" s="103" t="str">
        <f aca="false">IF(AND(O120=1,G120=0),"Assumed: add yours · we use "&amp;PR_FbMortYears&amp;" years","")</f>
        <v/>
      </c>
    </row>
    <row r="169" customFormat="false" ht="15" hidden="false" customHeight="true" outlineLevel="0" collapsed="false">
      <c r="B169" s="1" t="s">
        <v>2805</v>
      </c>
      <c r="C169" s="103" t="str">
        <f aca="false">IF(AND(O128=1,G128=0),"Assumed: add yours · we use "&amp;PR_FbMortYears&amp;" years","")</f>
        <v/>
      </c>
    </row>
    <row r="170" customFormat="false" ht="15" hidden="false" customHeight="true" outlineLevel="0" collapsed="false">
      <c r="B170" s="1" t="s">
        <v>2806</v>
      </c>
      <c r="C170" s="103" t="str">
        <f aca="false">IF(AND(O104=1,G104=0),"Assumed: add yours · we use your age","")</f>
        <v/>
      </c>
    </row>
    <row r="171" customFormat="false" ht="15" hidden="false" customHeight="true" outlineLevel="0" collapsed="false">
      <c r="B171" s="1" t="s">
        <v>2807</v>
      </c>
      <c r="C171" s="103" t="str">
        <f aca="false">IF(AND(O105=1,G105=0),"Assumed: add yours · we use Employed","")</f>
        <v>Assumed: add yours · we use Employed</v>
      </c>
    </row>
    <row r="172" customFormat="false" ht="15" hidden="false" customHeight="true" outlineLevel="0" collapsed="false">
      <c r="B172" s="1" t="s">
        <v>2808</v>
      </c>
      <c r="C172" s="103" t="str">
        <f aca="false">IF(AND(O121=1,G121=0),"Assumed: add yours · we use the Central Bank average rate","")</f>
        <v/>
      </c>
    </row>
    <row r="173" customFormat="false" ht="15" hidden="false" customHeight="true" outlineLevel="0" collapsed="false">
      <c r="B173" s="1" t="s">
        <v>2809</v>
      </c>
      <c r="C173" s="103" t="str">
        <f aca="false">IF(AND(O127=1,G127=0),"Assumed: add yours · we use the Central Bank average rate","")</f>
        <v/>
      </c>
    </row>
    <row r="174" customFormat="false" ht="15" hidden="false" customHeight="true" outlineLevel="0" collapsed="false">
      <c r="B174" s="1" t="s">
        <v>2810</v>
      </c>
      <c r="C174" s="103" t="str">
        <f aca="false">IF(AND(O124=1,G124=0),"Assumed: add yours · we use a planning rate of "&amp;ROUND(AS_CardRate*100,2)&amp;"%","")</f>
        <v/>
      </c>
    </row>
    <row r="176" customFormat="false" ht="15" hidden="false" customHeight="true" outlineLevel="0" collapsed="false">
      <c r="B176" s="93" t="s">
        <v>2811</v>
      </c>
      <c r="C176" s="93" t="s">
        <v>1521</v>
      </c>
    </row>
    <row r="177" customFormat="false" ht="15" hidden="false" customHeight="true" outlineLevel="0" collapsed="false">
      <c r="B177" s="1" t="s">
        <v>2812</v>
      </c>
      <c r="C177" s="103" t="n">
        <f aca="false">SUMPRODUCT((GR_Key&lt;&gt;"")*1)</f>
        <v>0</v>
      </c>
    </row>
    <row r="178" customFormat="false" ht="15" hidden="false" customHeight="true" outlineLevel="0" collapsed="false">
      <c r="B178" s="1" t="s">
        <v>2813</v>
      </c>
      <c r="C178" s="103" t="n">
        <f aca="false">IF(Home_N&gt;0,ROUND(SUM(GR_PctN)/Home_N,0),0)</f>
        <v>0</v>
      </c>
    </row>
    <row r="179" customFormat="false" ht="15" hidden="false" customHeight="true" outlineLevel="0" collapsed="false">
      <c r="B179" s="1" t="s">
        <v>2814</v>
      </c>
      <c r="C179" s="103" t="n">
        <f aca="false">SUMPRODUCT((GR_Key&lt;&gt;"")*(GR_PctN&gt;=PR_Good))</f>
        <v>0</v>
      </c>
    </row>
    <row r="180" customFormat="false" ht="15" hidden="false" customHeight="true" outlineLevel="0" collapsed="false">
      <c r="B180" s="1" t="s">
        <v>2815</v>
      </c>
      <c r="C180" s="103" t="str">
        <f aca="false">IF(Home_Avg&gt;=PR_Good,"good",IF(Home_Avg&gt;=PR_Nudge,"nudge","alert"))</f>
        <v>alert</v>
      </c>
    </row>
    <row r="181" customFormat="false" ht="15" hidden="false" customHeight="true" outlineLevel="0" collapsed="false">
      <c r="B181" s="1" t="s">
        <v>2816</v>
      </c>
      <c r="C181" s="103" t="str">
        <f aca="false">IF(SUMPRODUCT((GR_Spec="mortgage")*1)&gt;0,"borrow,deposit,","")&amp;IF(SUMPRODUCT((GR_Spec="pension")*1)&gt;0,"retirement,contrib,","")&amp;"goalplanner,emergency,surplus,lifecover,compound"</f>
        <v>goalplanner,emergency,surplus,lifecover,compound</v>
      </c>
    </row>
    <row r="182" customFormat="false" ht="15" hidden="false" customHeight="true" outlineLevel="0" collapsed="false">
      <c r="B182" s="1" t="s">
        <v>2817</v>
      </c>
      <c r="C182" s="103" t="str">
        <f aca="false">IF(LEN(Tools_All)-LEN(SUBSTITUTE(Tools_All,",",""))&gt;=6,LEFT(Tools_All,FIND("|",SUBSTITUTE(Tools_All,",","|",6))-1),Tools_All)</f>
        <v>goalplanner,emergency,surplus,lifecover,compound</v>
      </c>
    </row>
    <row r="183" customFormat="false" ht="15" hidden="false" customHeight="true" outlineLevel="0" collapsed="false">
      <c r="B183" s="1" t="s">
        <v>2818</v>
      </c>
      <c r="C183" s="103" t="n">
        <f aca="false">IF(Home_N&gt;0,MATCH(MIN(GR_PctB),GR_PctB,0),0)</f>
        <v>0</v>
      </c>
    </row>
    <row r="184" customFormat="false" ht="15" hidden="false" customHeight="true" outlineLevel="0" collapsed="false">
      <c r="B184" s="1" t="s">
        <v>2819</v>
      </c>
      <c r="C184" s="103" t="str">
        <f aca="false">IF(Expert_Idx=0,"planner",INDEX(GR_Spec,Expert_Idx))</f>
        <v>planner</v>
      </c>
    </row>
    <row r="185" customFormat="false" ht="15" hidden="false" customHeight="true" outlineLevel="0" collapsed="false">
      <c r="B185" s="1" t="s">
        <v>2820</v>
      </c>
      <c r="C185" s="103" t="str">
        <f aca="false">IF(Expert_Key="mortgage","Mortgage expert",IF(Expert_Key="pension","Pension &amp; retirement expert",IF(Expert_Key="protection","Protection expert",IF(Expert_Key="investment","Investment expert","Financial planner"))))</f>
        <v>Financial planner</v>
      </c>
    </row>
    <row r="186" customFormat="false" ht="15" hidden="false" customHeight="true" outlineLevel="0" collapsed="false">
      <c r="B186" s="1" t="s">
        <v>2821</v>
      </c>
      <c r="C186" s="103" t="n">
        <f aca="false">ROUND(IF('Plan cashflow'!$HT$8=1,IF('Plan cashflow'!$F$8=1,MIN(MAX(0,'Plan cashflow'!$HY$8),'Plan cashflow'!$HR$8),'Plan cashflow'!$HR$8),0)/12,0)</f>
        <v>0</v>
      </c>
    </row>
    <row r="187" customFormat="false" ht="15" hidden="false" customHeight="true" outlineLevel="0" collapsed="false">
      <c r="B187" s="1" t="s">
        <v>2822</v>
      </c>
      <c r="C187" s="103" t="n">
        <f aca="false">INT(AS_SaveShare*Save_SurplusM/25)*25</f>
        <v>0</v>
      </c>
    </row>
    <row r="188" customFormat="false" ht="15" hidden="false" customHeight="true" outlineLevel="0" collapsed="false">
      <c r="B188" s="1" t="s">
        <v>2823</v>
      </c>
      <c r="C188" s="103" t="n">
        <f aca="false">IF(AND(Nudge_X&gt;=Save_SaveM_Base+PR_NudgeStep,Nudge_X&gt;=IF(Has_saveM=1,In_saveM,Save_SaveM_Base)+PR_NudgeStep),1,0)</f>
        <v>0</v>
      </c>
    </row>
    <row r="189" customFormat="false" ht="15" hidden="false" customHeight="true" outlineLevel="0" collapsed="false">
      <c r="B189" s="1" t="s">
        <v>2824</v>
      </c>
      <c r="C189" s="103" t="n">
        <f aca="false">MAX(0,Save_SaveM_Base+WI_M)</f>
        <v>0</v>
      </c>
    </row>
    <row r="190" customFormat="false" ht="15" hidden="false" customHeight="true" outlineLevel="0" collapsed="false">
      <c r="B190" s="1" t="s">
        <v>2825</v>
      </c>
      <c r="C190" s="103" t="n">
        <f aca="false">IF(AND(WI_M&lt;&gt;0,Wi_Total&gt;MAX(0,Save_SurplusM)+PR_MinShort),1,0)</f>
        <v>0</v>
      </c>
    </row>
    <row r="192" customFormat="false" ht="15" hidden="false" customHeight="true" outlineLevel="0" collapsed="false">
      <c r="B192" s="93" t="s">
        <v>2826</v>
      </c>
      <c r="C192" s="93" t="s">
        <v>1521</v>
      </c>
    </row>
    <row r="193" customFormat="false" ht="15" hidden="false" customHeight="true" outlineLevel="0" collapsed="false">
      <c r="B193" s="1" t="s">
        <v>2827</v>
      </c>
      <c r="C193" s="103" t="n">
        <f aca="false">SUM('Plan cashflow'!$TY$8:$TY$97)</f>
        <v>0</v>
      </c>
    </row>
    <row r="194" customFormat="false" ht="15" hidden="false" customHeight="true" outlineLevel="0" collapsed="false">
      <c r="B194" s="1" t="s">
        <v>2828</v>
      </c>
      <c r="C194" s="103" t="n">
        <f aca="false">SUM('Plan cashflow'!$TZ$8:$TZ$97)</f>
        <v>0</v>
      </c>
    </row>
    <row r="195" customFormat="false" ht="15" hidden="false" customHeight="true" outlineLevel="0" collapsed="false">
      <c r="B195" s="1" t="s">
        <v>2829</v>
      </c>
      <c r="C195" s="103" t="n">
        <f aca="false">IFERROR(MATCH(1,'Plan cashflow'!$TY$8:$TY$97,0),0)</f>
        <v>0</v>
      </c>
    </row>
    <row r="196" customFormat="false" ht="15" hidden="false" customHeight="true" outlineLevel="0" collapsed="false">
      <c r="B196" s="1" t="s">
        <v>2830</v>
      </c>
      <c r="C196" s="103" t="str">
        <f aca="false">IF(Chart_FirstShortIdx&gt;0,F_Age+Chart_FirstShortIdx-1,"")</f>
        <v/>
      </c>
    </row>
    <row r="197" customFormat="false" ht="15" hidden="false" customHeight="true" outlineLevel="0" collapsed="false">
      <c r="B197" s="1" t="s">
        <v>2831</v>
      </c>
      <c r="C197" s="103" t="str">
        <f aca="false">IF(Chart_FirstShortIdx&gt;0,INDEX('Plan cashflow'!$TX$8:$TX$97,Chart_FirstShortIdx),"")</f>
        <v/>
      </c>
    </row>
    <row r="198" customFormat="false" ht="15" hidden="false" customHeight="true" outlineLevel="0" collapsed="false">
      <c r="B198" s="1" t="s">
        <v>2832</v>
      </c>
      <c r="C198" s="103" t="n">
        <f aca="false">SUMPRODUCT('Plan cashflow'!$TY$8:$TY$97*'Plan cashflow'!$TX$8:$TX$97)</f>
        <v>0</v>
      </c>
    </row>
    <row r="199" customFormat="false" ht="15" hidden="false" customHeight="true" outlineLevel="0" collapsed="false">
      <c r="B199" s="1" t="s">
        <v>2833</v>
      </c>
      <c r="C199" s="103" t="n">
        <f aca="false">SUM('Plan cashflow'!$UA$8:$UA$97)</f>
        <v>0</v>
      </c>
    </row>
    <row r="200" customFormat="false" ht="15" hidden="false" customHeight="true" outlineLevel="0" collapsed="false">
      <c r="B200" s="1" t="s">
        <v>2834</v>
      </c>
      <c r="C200" s="103" t="str">
        <f aca="false">IFERROR(F_Age+MATCH(1,'Plan cashflow'!$UA$8:$UA$97,0)-1,"")</f>
        <v/>
      </c>
    </row>
    <row r="201" customFormat="false" ht="15" hidden="false" customHeight="true" outlineLevel="0" collapsed="false">
      <c r="B201" s="1" t="s">
        <v>2835</v>
      </c>
      <c r="C201" s="103" t="str">
        <f aca="false">IFERROR(F_Age+MATCH(1,'Plan cashflow'!$UI$8:$UI$97,0)-1,"")</f>
        <v/>
      </c>
    </row>
    <row r="202" customFormat="false" ht="15" hidden="false" customHeight="true" outlineLevel="0" collapsed="false">
      <c r="B202" s="1" t="s">
        <v>2836</v>
      </c>
      <c r="C202" s="103" t="n">
        <f aca="false">SUM('Plan cashflow'!$UI$8:$UI$97)</f>
        <v>0</v>
      </c>
    </row>
    <row r="203" customFormat="false" ht="15" hidden="false" customHeight="true" outlineLevel="0" collapsed="false">
      <c r="B203" s="113" t="s">
        <v>2837</v>
      </c>
      <c r="C203" s="113" t="s">
        <v>2838</v>
      </c>
      <c r="D203" s="113" t="s">
        <v>2839</v>
      </c>
      <c r="E203" s="113" t="s">
        <v>2840</v>
      </c>
      <c r="F203" s="113" t="s">
        <v>606</v>
      </c>
      <c r="G203" s="113" t="s">
        <v>2841</v>
      </c>
      <c r="H203" s="113" t="s">
        <v>2842</v>
      </c>
      <c r="I203" s="113" t="s">
        <v>2843</v>
      </c>
      <c r="J203" s="113" t="s">
        <v>2844</v>
      </c>
      <c r="K203" s="113" t="s">
        <v>2845</v>
      </c>
    </row>
    <row r="204" customFormat="false" ht="15" hidden="false" customHeight="true" outlineLevel="0" collapsed="false">
      <c r="B204" s="1" t="n">
        <v>1</v>
      </c>
      <c r="C204" s="1" t="n">
        <f aca="false">IF(COUNTIFS('Plan cashflow'!$UE$8:$UE$97,1,'Plan cashflow'!$C$8:$C$97,1)=0,"",INDEX('Plan cashflow'!$UD$8:$UD$97,MATCH(1,'Plan cashflow'!$UE$8:$UE$97,0)))</f>
        <v>0</v>
      </c>
      <c r="D204" s="1" t="n">
        <f aca="false">IF(COUNTIFS('Plan cashflow'!$UE$8:$UE$97,1,'Plan cashflow'!$C$8:$C$97,1)=0,"",F_Age+MATCH(1,'Plan cashflow'!$UE$8:$UE$97,0)-1)</f>
        <v>0</v>
      </c>
      <c r="E204" s="1" t="n">
        <f aca="false">IF(COUNTIFS('Plan cashflow'!$UE$8:$UE$97,1,'Plan cashflow'!$C$8:$C$97,1)=0,"",D204+COUNTIFS('Plan cashflow'!$UE$8:$UE$97,1,'Plan cashflow'!$C$8:$C$97,1)-1)</f>
        <v>9</v>
      </c>
      <c r="F204" s="1" t="n">
        <f aca="false">COUNTIFS('Plan cashflow'!$UE$8:$UE$97,1,'Plan cashflow'!$C$8:$C$97,1)</f>
        <v>10</v>
      </c>
      <c r="G204" s="1" t="n">
        <f aca="false">COUNTIFS('Plan cashflow'!$UE$8:$UE$97,1,'Plan cashflow'!$UI$8:$UI$97,1)</f>
        <v>0</v>
      </c>
      <c r="H204" s="1" t="n">
        <f aca="false">COUNTIFS('Plan cashflow'!$UE$8:$UE$97,1,'Plan cashflow'!$UB$8:$UB$97,1)</f>
        <v>0</v>
      </c>
      <c r="I204" s="1" t="n">
        <f aca="false">IF(G204&gt;0,SUMIFS('Plan cashflow'!$TO$8:$TO$97,'Plan cashflow'!$UE$8:$UE$97,1,'Plan cashflow'!$UI$8:$UI$97,1)/G204,0)</f>
        <v>0</v>
      </c>
      <c r="J204" s="1" t="str">
        <f aca="false">IF(F204=0,"",IF(G204&gt;0,"storm",IF(H204&gt;F204/3,"showers",IF(H204&gt;0,"partly","sun"))))</f>
        <v>sun</v>
      </c>
      <c r="K204" s="1" t="str">
        <f aca="false">IF(F204=0,"",IF(G204&gt;0,"Short by about "&amp;"€"&amp;TEXT(ROUND(I204,0),"#,##0")&amp;" a year in "&amp;G204&amp;" of these years.",IF(COUNTIFS('Plan cashflow'!$UE$8:$UE$97,1,'Plan cashflow'!$C$8:$C$97,1,'Plan pay &amp; tax'!$G$234:$G$323,0)=F204,"Living on your pensions and savings, and they hold up.",IF(H204&gt;0,"Some years dip into savings. That's what they're for.","Income comfortably covers life."))))</f>
        <v>Income comfortably covers life.</v>
      </c>
    </row>
    <row r="205" customFormat="false" ht="15" hidden="false" customHeight="true" outlineLevel="0" collapsed="false">
      <c r="B205" s="1" t="n">
        <v>2</v>
      </c>
      <c r="C205" s="1" t="n">
        <f aca="false">IF(COUNTIFS('Plan cashflow'!$UE$8:$UE$97,2,'Plan cashflow'!$C$8:$C$97,1)=0,"",INDEX('Plan cashflow'!$UD$8:$UD$97,MATCH(2,'Plan cashflow'!$UE$8:$UE$97,0)))</f>
        <v>10</v>
      </c>
      <c r="D205" s="1" t="n">
        <f aca="false">IF(COUNTIFS('Plan cashflow'!$UE$8:$UE$97,2,'Plan cashflow'!$C$8:$C$97,1)=0,"",F_Age+MATCH(2,'Plan cashflow'!$UE$8:$UE$97,0)-1)</f>
        <v>10</v>
      </c>
      <c r="E205" s="1" t="n">
        <f aca="false">IF(COUNTIFS('Plan cashflow'!$UE$8:$UE$97,2,'Plan cashflow'!$C$8:$C$97,1)=0,"",D205+COUNTIFS('Plan cashflow'!$UE$8:$UE$97,2,'Plan cashflow'!$C$8:$C$97,1)-1)</f>
        <v>19</v>
      </c>
      <c r="F205" s="1" t="n">
        <f aca="false">COUNTIFS('Plan cashflow'!$UE$8:$UE$97,2,'Plan cashflow'!$C$8:$C$97,1)</f>
        <v>10</v>
      </c>
      <c r="G205" s="1" t="n">
        <f aca="false">COUNTIFS('Plan cashflow'!$UE$8:$UE$97,2,'Plan cashflow'!$UI$8:$UI$97,1)</f>
        <v>0</v>
      </c>
      <c r="H205" s="1" t="n">
        <f aca="false">COUNTIFS('Plan cashflow'!$UE$8:$UE$97,2,'Plan cashflow'!$UB$8:$UB$97,1)</f>
        <v>0</v>
      </c>
      <c r="I205" s="1" t="n">
        <f aca="false">IF(G205&gt;0,SUMIFS('Plan cashflow'!$TO$8:$TO$97,'Plan cashflow'!$UE$8:$UE$97,2,'Plan cashflow'!$UI$8:$UI$97,1)/G205,0)</f>
        <v>0</v>
      </c>
      <c r="J205" s="1" t="str">
        <f aca="false">IF(F205=0,"",IF(G205&gt;0,"storm",IF(H205&gt;F205/3,"showers",IF(H205&gt;0,"partly","sun"))))</f>
        <v>sun</v>
      </c>
      <c r="K205" s="1" t="str">
        <f aca="false">IF(F205=0,"",IF(G205&gt;0,"Short by about "&amp;"€"&amp;TEXT(ROUND(I205,0),"#,##0")&amp;" a year in "&amp;G205&amp;" of these years.",IF(COUNTIFS('Plan cashflow'!$UE$8:$UE$97,2,'Plan cashflow'!$C$8:$C$97,1,'Plan pay &amp; tax'!$G$234:$G$323,0)=F205,"Living on your pensions and savings, and they hold up.",IF(H205&gt;0,"Some years dip into savings. That's what they're for.","Income comfortably covers life."))))</f>
        <v>Income comfortably covers life.</v>
      </c>
    </row>
    <row r="206" customFormat="false" ht="15" hidden="false" customHeight="true" outlineLevel="0" collapsed="false">
      <c r="B206" s="1" t="n">
        <v>3</v>
      </c>
      <c r="C206" s="1" t="n">
        <f aca="false">IF(COUNTIFS('Plan cashflow'!$UE$8:$UE$97,3,'Plan cashflow'!$C$8:$C$97,1)=0,"",INDEX('Plan cashflow'!$UD$8:$UD$97,MATCH(3,'Plan cashflow'!$UE$8:$UE$97,0)))</f>
        <v>20</v>
      </c>
      <c r="D206" s="1" t="n">
        <f aca="false">IF(COUNTIFS('Plan cashflow'!$UE$8:$UE$97,3,'Plan cashflow'!$C$8:$C$97,1)=0,"",F_Age+MATCH(3,'Plan cashflow'!$UE$8:$UE$97,0)-1)</f>
        <v>20</v>
      </c>
      <c r="E206" s="1" t="n">
        <f aca="false">IF(COUNTIFS('Plan cashflow'!$UE$8:$UE$97,3,'Plan cashflow'!$C$8:$C$97,1)=0,"",D206+COUNTIFS('Plan cashflow'!$UE$8:$UE$97,3,'Plan cashflow'!$C$8:$C$97,1)-1)</f>
        <v>29</v>
      </c>
      <c r="F206" s="1" t="n">
        <f aca="false">COUNTIFS('Plan cashflow'!$UE$8:$UE$97,3,'Plan cashflow'!$C$8:$C$97,1)</f>
        <v>10</v>
      </c>
      <c r="G206" s="1" t="n">
        <f aca="false">COUNTIFS('Plan cashflow'!$UE$8:$UE$97,3,'Plan cashflow'!$UI$8:$UI$97,1)</f>
        <v>0</v>
      </c>
      <c r="H206" s="1" t="n">
        <f aca="false">COUNTIFS('Plan cashflow'!$UE$8:$UE$97,3,'Plan cashflow'!$UB$8:$UB$97,1)</f>
        <v>0</v>
      </c>
      <c r="I206" s="1" t="n">
        <f aca="false">IF(G206&gt;0,SUMIFS('Plan cashflow'!$TO$8:$TO$97,'Plan cashflow'!$UE$8:$UE$97,3,'Plan cashflow'!$UI$8:$UI$97,1)/G206,0)</f>
        <v>0</v>
      </c>
      <c r="J206" s="1" t="str">
        <f aca="false">IF(F206=0,"",IF(G206&gt;0,"storm",IF(H206&gt;F206/3,"showers",IF(H206&gt;0,"partly","sun"))))</f>
        <v>sun</v>
      </c>
      <c r="K206" s="1" t="str">
        <f aca="false">IF(F206=0,"",IF(G206&gt;0,"Short by about "&amp;"€"&amp;TEXT(ROUND(I206,0),"#,##0")&amp;" a year in "&amp;G206&amp;" of these years.",IF(COUNTIFS('Plan cashflow'!$UE$8:$UE$97,3,'Plan cashflow'!$C$8:$C$97,1,'Plan pay &amp; tax'!$G$234:$G$323,0)=F206,"Living on your pensions and savings, and they hold up.",IF(H206&gt;0,"Some years dip into savings. That's what they're for.","Income comfortably covers life."))))</f>
        <v>Income comfortably covers life.</v>
      </c>
    </row>
    <row r="207" customFormat="false" ht="15" hidden="false" customHeight="true" outlineLevel="0" collapsed="false">
      <c r="B207" s="1" t="n">
        <v>4</v>
      </c>
      <c r="C207" s="1" t="n">
        <f aca="false">IF(COUNTIFS('Plan cashflow'!$UE$8:$UE$97,4,'Plan cashflow'!$C$8:$C$97,1)=0,"",INDEX('Plan cashflow'!$UD$8:$UD$97,MATCH(4,'Plan cashflow'!$UE$8:$UE$97,0)))</f>
        <v>30</v>
      </c>
      <c r="D207" s="1" t="n">
        <f aca="false">IF(COUNTIFS('Plan cashflow'!$UE$8:$UE$97,4,'Plan cashflow'!$C$8:$C$97,1)=0,"",F_Age+MATCH(4,'Plan cashflow'!$UE$8:$UE$97,0)-1)</f>
        <v>30</v>
      </c>
      <c r="E207" s="1" t="n">
        <f aca="false">IF(COUNTIFS('Plan cashflow'!$UE$8:$UE$97,4,'Plan cashflow'!$C$8:$C$97,1)=0,"",D207+COUNTIFS('Plan cashflow'!$UE$8:$UE$97,4,'Plan cashflow'!$C$8:$C$97,1)-1)</f>
        <v>39</v>
      </c>
      <c r="F207" s="1" t="n">
        <f aca="false">COUNTIFS('Plan cashflow'!$UE$8:$UE$97,4,'Plan cashflow'!$C$8:$C$97,1)</f>
        <v>10</v>
      </c>
      <c r="G207" s="1" t="n">
        <f aca="false">COUNTIFS('Plan cashflow'!$UE$8:$UE$97,4,'Plan cashflow'!$UI$8:$UI$97,1)</f>
        <v>0</v>
      </c>
      <c r="H207" s="1" t="n">
        <f aca="false">COUNTIFS('Plan cashflow'!$UE$8:$UE$97,4,'Plan cashflow'!$UB$8:$UB$97,1)</f>
        <v>0</v>
      </c>
      <c r="I207" s="1" t="n">
        <f aca="false">IF(G207&gt;0,SUMIFS('Plan cashflow'!$TO$8:$TO$97,'Plan cashflow'!$UE$8:$UE$97,4,'Plan cashflow'!$UI$8:$UI$97,1)/G207,0)</f>
        <v>0</v>
      </c>
      <c r="J207" s="1" t="str">
        <f aca="false">IF(F207=0,"",IF(G207&gt;0,"storm",IF(H207&gt;F207/3,"showers",IF(H207&gt;0,"partly","sun"))))</f>
        <v>sun</v>
      </c>
      <c r="K207" s="1" t="str">
        <f aca="false">IF(F207=0,"",IF(G207&gt;0,"Short by about "&amp;"€"&amp;TEXT(ROUND(I207,0),"#,##0")&amp;" a year in "&amp;G207&amp;" of these years.",IF(COUNTIFS('Plan cashflow'!$UE$8:$UE$97,4,'Plan cashflow'!$C$8:$C$97,1,'Plan pay &amp; tax'!$G$234:$G$323,0)=F207,"Living on your pensions and savings, and they hold up.",IF(H207&gt;0,"Some years dip into savings. That's what they're for.","Income comfortably covers life."))))</f>
        <v>Income comfortably covers life.</v>
      </c>
    </row>
    <row r="208" customFormat="false" ht="15" hidden="false" customHeight="true" outlineLevel="0" collapsed="false">
      <c r="B208" s="1" t="n">
        <v>5</v>
      </c>
      <c r="C208" s="1" t="n">
        <f aca="false">IF(COUNTIFS('Plan cashflow'!$UE$8:$UE$97,5,'Plan cashflow'!$C$8:$C$97,1)=0,"",INDEX('Plan cashflow'!$UD$8:$UD$97,MATCH(5,'Plan cashflow'!$UE$8:$UE$97,0)))</f>
        <v>40</v>
      </c>
      <c r="D208" s="1" t="n">
        <f aca="false">IF(COUNTIFS('Plan cashflow'!$UE$8:$UE$97,5,'Plan cashflow'!$C$8:$C$97,1)=0,"",F_Age+MATCH(5,'Plan cashflow'!$UE$8:$UE$97,0)-1)</f>
        <v>40</v>
      </c>
      <c r="E208" s="1" t="n">
        <f aca="false">IF(COUNTIFS('Plan cashflow'!$UE$8:$UE$97,5,'Plan cashflow'!$C$8:$C$97,1)=0,"",D208+COUNTIFS('Plan cashflow'!$UE$8:$UE$97,5,'Plan cashflow'!$C$8:$C$97,1)-1)</f>
        <v>49</v>
      </c>
      <c r="F208" s="1" t="n">
        <f aca="false">COUNTIFS('Plan cashflow'!$UE$8:$UE$97,5,'Plan cashflow'!$C$8:$C$97,1)</f>
        <v>10</v>
      </c>
      <c r="G208" s="1" t="n">
        <f aca="false">COUNTIFS('Plan cashflow'!$UE$8:$UE$97,5,'Plan cashflow'!$UI$8:$UI$97,1)</f>
        <v>0</v>
      </c>
      <c r="H208" s="1" t="n">
        <f aca="false">COUNTIFS('Plan cashflow'!$UE$8:$UE$97,5,'Plan cashflow'!$UB$8:$UB$97,1)</f>
        <v>0</v>
      </c>
      <c r="I208" s="1" t="n">
        <f aca="false">IF(G208&gt;0,SUMIFS('Plan cashflow'!$TO$8:$TO$97,'Plan cashflow'!$UE$8:$UE$97,5,'Plan cashflow'!$UI$8:$UI$97,1)/G208,0)</f>
        <v>0</v>
      </c>
      <c r="J208" s="1" t="str">
        <f aca="false">IF(F208=0,"",IF(G208&gt;0,"storm",IF(H208&gt;F208/3,"showers",IF(H208&gt;0,"partly","sun"))))</f>
        <v>sun</v>
      </c>
      <c r="K208" s="1" t="str">
        <f aca="false">IF(F208=0,"",IF(G208&gt;0,"Short by about "&amp;"€"&amp;TEXT(ROUND(I208,0),"#,##0")&amp;" a year in "&amp;G208&amp;" of these years.",IF(COUNTIFS('Plan cashflow'!$UE$8:$UE$97,5,'Plan cashflow'!$C$8:$C$97,1,'Plan pay &amp; tax'!$G$234:$G$323,0)=F208,"Living on your pensions and savings, and they hold up.",IF(H208&gt;0,"Some years dip into savings. That's what they're for.","Income comfortably covers life."))))</f>
        <v>Income comfortably covers life.</v>
      </c>
    </row>
    <row r="209" customFormat="false" ht="15" hidden="false" customHeight="true" outlineLevel="0" collapsed="false">
      <c r="B209" s="1" t="n">
        <v>6</v>
      </c>
      <c r="C209" s="1" t="n">
        <f aca="false">IF(COUNTIFS('Plan cashflow'!$UE$8:$UE$97,6,'Plan cashflow'!$C$8:$C$97,1)=0,"",INDEX('Plan cashflow'!$UD$8:$UD$97,MATCH(6,'Plan cashflow'!$UE$8:$UE$97,0)))</f>
        <v>50</v>
      </c>
      <c r="D209" s="1" t="n">
        <f aca="false">IF(COUNTIFS('Plan cashflow'!$UE$8:$UE$97,6,'Plan cashflow'!$C$8:$C$97,1)=0,"",F_Age+MATCH(6,'Plan cashflow'!$UE$8:$UE$97,0)-1)</f>
        <v>50</v>
      </c>
      <c r="E209" s="1" t="n">
        <f aca="false">IF(COUNTIFS('Plan cashflow'!$UE$8:$UE$97,6,'Plan cashflow'!$C$8:$C$97,1)=0,"",D209+COUNTIFS('Plan cashflow'!$UE$8:$UE$97,6,'Plan cashflow'!$C$8:$C$97,1)-1)</f>
        <v>59</v>
      </c>
      <c r="F209" s="1" t="n">
        <f aca="false">COUNTIFS('Plan cashflow'!$UE$8:$UE$97,6,'Plan cashflow'!$C$8:$C$97,1)</f>
        <v>10</v>
      </c>
      <c r="G209" s="1" t="n">
        <f aca="false">COUNTIFS('Plan cashflow'!$UE$8:$UE$97,6,'Plan cashflow'!$UI$8:$UI$97,1)</f>
        <v>0</v>
      </c>
      <c r="H209" s="1" t="n">
        <f aca="false">COUNTIFS('Plan cashflow'!$UE$8:$UE$97,6,'Plan cashflow'!$UB$8:$UB$97,1)</f>
        <v>0</v>
      </c>
      <c r="I209" s="1" t="n">
        <f aca="false">IF(G209&gt;0,SUMIFS('Plan cashflow'!$TO$8:$TO$97,'Plan cashflow'!$UE$8:$UE$97,6,'Plan cashflow'!$UI$8:$UI$97,1)/G209,0)</f>
        <v>0</v>
      </c>
      <c r="J209" s="1" t="str">
        <f aca="false">IF(F209=0,"",IF(G209&gt;0,"storm",IF(H209&gt;F209/3,"showers",IF(H209&gt;0,"partly","sun"))))</f>
        <v>sun</v>
      </c>
      <c r="K209" s="1" t="str">
        <f aca="false">IF(F209=0,"",IF(G209&gt;0,"Short by about "&amp;"€"&amp;TEXT(ROUND(I209,0),"#,##0")&amp;" a year in "&amp;G209&amp;" of these years.",IF(COUNTIFS('Plan cashflow'!$UE$8:$UE$97,6,'Plan cashflow'!$C$8:$C$97,1,'Plan pay &amp; tax'!$G$234:$G$323,0)=F209,"Living on your pensions and savings, and they hold up.",IF(H209&gt;0,"Some years dip into savings. That's what they're for.","Income comfortably covers life."))))</f>
        <v>Income comfortably covers life.</v>
      </c>
    </row>
    <row r="210" customFormat="false" ht="15" hidden="false" customHeight="true" outlineLevel="0" collapsed="false">
      <c r="B210" s="1" t="n">
        <v>7</v>
      </c>
      <c r="C210" s="1" t="n">
        <f aca="false">IF(COUNTIFS('Plan cashflow'!$UE$8:$UE$97,7,'Plan cashflow'!$C$8:$C$97,1)=0,"",INDEX('Plan cashflow'!$UD$8:$UD$97,MATCH(7,'Plan cashflow'!$UE$8:$UE$97,0)))</f>
        <v>60</v>
      </c>
      <c r="D210" s="1" t="n">
        <f aca="false">IF(COUNTIFS('Plan cashflow'!$UE$8:$UE$97,7,'Plan cashflow'!$C$8:$C$97,1)=0,"",F_Age+MATCH(7,'Plan cashflow'!$UE$8:$UE$97,0)-1)</f>
        <v>60</v>
      </c>
      <c r="E210" s="1" t="n">
        <f aca="false">IF(COUNTIFS('Plan cashflow'!$UE$8:$UE$97,7,'Plan cashflow'!$C$8:$C$97,1)=0,"",D210+COUNTIFS('Plan cashflow'!$UE$8:$UE$97,7,'Plan cashflow'!$C$8:$C$97,1)-1)</f>
        <v>69</v>
      </c>
      <c r="F210" s="1" t="n">
        <f aca="false">COUNTIFS('Plan cashflow'!$UE$8:$UE$97,7,'Plan cashflow'!$C$8:$C$97,1)</f>
        <v>10</v>
      </c>
      <c r="G210" s="1" t="n">
        <f aca="false">COUNTIFS('Plan cashflow'!$UE$8:$UE$97,7,'Plan cashflow'!$UI$8:$UI$97,1)</f>
        <v>0</v>
      </c>
      <c r="H210" s="1" t="n">
        <f aca="false">COUNTIFS('Plan cashflow'!$UE$8:$UE$97,7,'Plan cashflow'!$UB$8:$UB$97,1)</f>
        <v>0</v>
      </c>
      <c r="I210" s="1" t="n">
        <f aca="false">IF(G210&gt;0,SUMIFS('Plan cashflow'!$TO$8:$TO$97,'Plan cashflow'!$UE$8:$UE$97,7,'Plan cashflow'!$UI$8:$UI$97,1)/G210,0)</f>
        <v>0</v>
      </c>
      <c r="J210" s="1" t="str">
        <f aca="false">IF(F210=0,"",IF(G210&gt;0,"storm",IF(H210&gt;F210/3,"showers",IF(H210&gt;0,"partly","sun"))))</f>
        <v>sun</v>
      </c>
      <c r="K210" s="1" t="str">
        <f aca="false">IF(F210=0,"",IF(G210&gt;0,"Short by about "&amp;"€"&amp;TEXT(ROUND(I210,0),"#,##0")&amp;" a year in "&amp;G210&amp;" of these years.",IF(COUNTIFS('Plan cashflow'!$UE$8:$UE$97,7,'Plan cashflow'!$C$8:$C$97,1,'Plan pay &amp; tax'!$G$234:$G$323,0)=F210,"Living on your pensions and savings, and they hold up.",IF(H210&gt;0,"Some years dip into savings. That's what they're for.","Income comfortably covers life."))))</f>
        <v>Income comfortably covers life.</v>
      </c>
    </row>
    <row r="211" customFormat="false" ht="15" hidden="false" customHeight="true" outlineLevel="0" collapsed="false">
      <c r="B211" s="1" t="n">
        <v>8</v>
      </c>
      <c r="C211" s="1" t="n">
        <f aca="false">IF(COUNTIFS('Plan cashflow'!$UE$8:$UE$97,8,'Plan cashflow'!$C$8:$C$97,1)=0,"",INDEX('Plan cashflow'!$UD$8:$UD$97,MATCH(8,'Plan cashflow'!$UE$8:$UE$97,0)))</f>
        <v>70</v>
      </c>
      <c r="D211" s="1" t="n">
        <f aca="false">IF(COUNTIFS('Plan cashflow'!$UE$8:$UE$97,8,'Plan cashflow'!$C$8:$C$97,1)=0,"",F_Age+MATCH(8,'Plan cashflow'!$UE$8:$UE$97,0)-1)</f>
        <v>70</v>
      </c>
      <c r="E211" s="1" t="n">
        <f aca="false">IF(COUNTIFS('Plan cashflow'!$UE$8:$UE$97,8,'Plan cashflow'!$C$8:$C$97,1)=0,"",D211+COUNTIFS('Plan cashflow'!$UE$8:$UE$97,8,'Plan cashflow'!$C$8:$C$97,1)-1)</f>
        <v>79</v>
      </c>
      <c r="F211" s="1" t="n">
        <f aca="false">COUNTIFS('Plan cashflow'!$UE$8:$UE$97,8,'Plan cashflow'!$C$8:$C$97,1)</f>
        <v>10</v>
      </c>
      <c r="G211" s="1" t="n">
        <f aca="false">COUNTIFS('Plan cashflow'!$UE$8:$UE$97,8,'Plan cashflow'!$UI$8:$UI$97,1)</f>
        <v>0</v>
      </c>
      <c r="H211" s="1" t="n">
        <f aca="false">COUNTIFS('Plan cashflow'!$UE$8:$UE$97,8,'Plan cashflow'!$UB$8:$UB$97,1)</f>
        <v>0</v>
      </c>
      <c r="I211" s="1" t="n">
        <f aca="false">IF(G211&gt;0,SUMIFS('Plan cashflow'!$TO$8:$TO$97,'Plan cashflow'!$UE$8:$UE$97,8,'Plan cashflow'!$UI$8:$UI$97,1)/G211,0)</f>
        <v>0</v>
      </c>
      <c r="J211" s="1" t="str">
        <f aca="false">IF(F211=0,"",IF(G211&gt;0,"storm",IF(H211&gt;F211/3,"showers",IF(H211&gt;0,"partly","sun"))))</f>
        <v>sun</v>
      </c>
      <c r="K211" s="1" t="str">
        <f aca="false">IF(F211=0,"",IF(G211&gt;0,"Short by about "&amp;"€"&amp;TEXT(ROUND(I211,0),"#,##0")&amp;" a year in "&amp;G211&amp;" of these years.",IF(COUNTIFS('Plan cashflow'!$UE$8:$UE$97,8,'Plan cashflow'!$C$8:$C$97,1,'Plan pay &amp; tax'!$G$234:$G$323,0)=F211,"Living on your pensions and savings, and they hold up.",IF(H211&gt;0,"Some years dip into savings. That's what they're for.","Income comfortably covers life."))))</f>
        <v>Living on your pensions and savings, and they hold up.</v>
      </c>
    </row>
    <row r="212" customFormat="false" ht="15" hidden="false" customHeight="true" outlineLevel="0" collapsed="false">
      <c r="B212" s="1" t="n">
        <v>9</v>
      </c>
      <c r="C212" s="1" t="n">
        <f aca="false">IF(COUNTIFS('Plan cashflow'!$UE$8:$UE$97,9,'Plan cashflow'!$C$8:$C$97,1)=0,"",INDEX('Plan cashflow'!$UD$8:$UD$97,MATCH(9,'Plan cashflow'!$UE$8:$UE$97,0)))</f>
        <v>80</v>
      </c>
      <c r="D212" s="1" t="n">
        <f aca="false">IF(COUNTIFS('Plan cashflow'!$UE$8:$UE$97,9,'Plan cashflow'!$C$8:$C$97,1)=0,"",F_Age+MATCH(9,'Plan cashflow'!$UE$8:$UE$97,0)-1)</f>
        <v>80</v>
      </c>
      <c r="E212" s="1" t="n">
        <f aca="false">IF(COUNTIFS('Plan cashflow'!$UE$8:$UE$97,9,'Plan cashflow'!$C$8:$C$97,1)=0,"",D212+COUNTIFS('Plan cashflow'!$UE$8:$UE$97,9,'Plan cashflow'!$C$8:$C$97,1)-1)</f>
        <v>89</v>
      </c>
      <c r="F212" s="1" t="n">
        <f aca="false">COUNTIFS('Plan cashflow'!$UE$8:$UE$97,9,'Plan cashflow'!$C$8:$C$97,1)</f>
        <v>10</v>
      </c>
      <c r="G212" s="1" t="n">
        <f aca="false">COUNTIFS('Plan cashflow'!$UE$8:$UE$97,9,'Plan cashflow'!$UI$8:$UI$97,1)</f>
        <v>0</v>
      </c>
      <c r="H212" s="1" t="n">
        <f aca="false">COUNTIFS('Plan cashflow'!$UE$8:$UE$97,9,'Plan cashflow'!$UB$8:$UB$97,1)</f>
        <v>0</v>
      </c>
      <c r="I212" s="1" t="n">
        <f aca="false">IF(G212&gt;0,SUMIFS('Plan cashflow'!$TO$8:$TO$97,'Plan cashflow'!$UE$8:$UE$97,9,'Plan cashflow'!$UI$8:$UI$97,1)/G212,0)</f>
        <v>0</v>
      </c>
      <c r="J212" s="1" t="str">
        <f aca="false">IF(F212=0,"",IF(G212&gt;0,"storm",IF(H212&gt;F212/3,"showers",IF(H212&gt;0,"partly","sun"))))</f>
        <v>sun</v>
      </c>
      <c r="K212" s="1" t="str">
        <f aca="false">IF(F212=0,"",IF(G212&gt;0,"Short by about "&amp;"€"&amp;TEXT(ROUND(I212,0),"#,##0")&amp;" a year in "&amp;G212&amp;" of these years.",IF(COUNTIFS('Plan cashflow'!$UE$8:$UE$97,9,'Plan cashflow'!$C$8:$C$97,1,'Plan pay &amp; tax'!$G$234:$G$323,0)=F212,"Living on your pensions and savings, and they hold up.",IF(H212&gt;0,"Some years dip into savings. That's what they're for.","Income comfortably covers life."))))</f>
        <v>Living on your pensions and savings, and they hold up.</v>
      </c>
    </row>
    <row r="213" customFormat="false" ht="15" hidden="false" customHeight="true" outlineLevel="0" collapsed="false">
      <c r="B213" s="1" t="n">
        <v>10</v>
      </c>
      <c r="C213" s="1" t="str">
        <f aca="false">IF(COUNTIFS('Plan cashflow'!$UE$8:$UE$97,10,'Plan cashflow'!$C$8:$C$97,1)=0,"",INDEX('Plan cashflow'!$UD$8:$UD$97,MATCH(10,'Plan cashflow'!$UE$8:$UE$97,0)))</f>
        <v/>
      </c>
      <c r="D213" s="1" t="str">
        <f aca="false">IF(COUNTIFS('Plan cashflow'!$UE$8:$UE$97,10,'Plan cashflow'!$C$8:$C$97,1)=0,"",F_Age+MATCH(10,'Plan cashflow'!$UE$8:$UE$97,0)-1)</f>
        <v/>
      </c>
      <c r="E213" s="1" t="str">
        <f aca="false">IF(COUNTIFS('Plan cashflow'!$UE$8:$UE$97,10,'Plan cashflow'!$C$8:$C$97,1)=0,"",D213+COUNTIFS('Plan cashflow'!$UE$8:$UE$97,10,'Plan cashflow'!$C$8:$C$97,1)-1)</f>
        <v/>
      </c>
      <c r="F213" s="1" t="n">
        <f aca="false">COUNTIFS('Plan cashflow'!$UE$8:$UE$97,10,'Plan cashflow'!$C$8:$C$97,1)</f>
        <v>0</v>
      </c>
      <c r="G213" s="1" t="n">
        <f aca="false">COUNTIFS('Plan cashflow'!$UE$8:$UE$97,10,'Plan cashflow'!$UI$8:$UI$97,1)</f>
        <v>0</v>
      </c>
      <c r="H213" s="1" t="n">
        <f aca="false">COUNTIFS('Plan cashflow'!$UE$8:$UE$97,10,'Plan cashflow'!$UB$8:$UB$97,1)</f>
        <v>0</v>
      </c>
      <c r="I213" s="1" t="n">
        <f aca="false">IF(G213&gt;0,SUMIFS('Plan cashflow'!$TO$8:$TO$97,'Plan cashflow'!$UE$8:$UE$97,10,'Plan cashflow'!$UI$8:$UI$97,1)/G213,0)</f>
        <v>0</v>
      </c>
      <c r="J213" s="1" t="str">
        <f aca="false">IF(F213=0,"",IF(G213&gt;0,"storm",IF(H213&gt;F213/3,"showers",IF(H213&gt;0,"partly","sun"))))</f>
        <v/>
      </c>
      <c r="K213" s="1" t="str">
        <f aca="false">IF(F213=0,"",IF(G213&gt;0,"Short by about "&amp;"€"&amp;TEXT(ROUND(I213,0),"#,##0")&amp;" a year in "&amp;G213&amp;" of these years.",IF(COUNTIFS('Plan cashflow'!$UE$8:$UE$97,10,'Plan cashflow'!$C$8:$C$97,1,'Plan pay &amp; tax'!$G$234:$G$323,0)=F213,"Living on your pensions and savings, and they hold up.",IF(H213&gt;0,"Some years dip into savings. That's what they're for.","Income comfortably covers life."))))</f>
        <v/>
      </c>
    </row>
    <row r="215" customFormat="false" ht="15" hidden="false" customHeight="true" outlineLevel="0" collapsed="false">
      <c r="B215" s="93" t="s">
        <v>2846</v>
      </c>
      <c r="C215" s="93" t="s">
        <v>1521</v>
      </c>
    </row>
    <row r="216" customFormat="false" ht="15" hidden="false" customHeight="true" outlineLevel="0" collapsed="false">
      <c r="B216" s="1" t="s">
        <v>2847</v>
      </c>
      <c r="C216" s="103" t="n">
        <f aca="false">IF(COUNT(GR_NextKey)&gt;0,MATCH(MIN(GR_NextKey),GR_NextKey,0),0)</f>
        <v>0</v>
      </c>
    </row>
    <row r="217" customFormat="false" ht="15" hidden="false" customHeight="true" outlineLevel="0" collapsed="false">
      <c r="B217" s="1" t="s">
        <v>2848</v>
      </c>
      <c r="C217" s="103" t="str">
        <f aca="false">IF(Next_WIdx&gt;0,INDEX(GR_PctN,Next_WIdx),"")</f>
        <v/>
      </c>
    </row>
    <row r="218" customFormat="false" ht="15" hidden="false" customHeight="true" outlineLevel="0" collapsed="false">
      <c r="B218" s="1" t="s">
        <v>2849</v>
      </c>
      <c r="C218" s="103" t="str">
        <f aca="false">IF(Next_WIdx&gt;0,INDEX(GR_Name,Next_WIdx),"")</f>
        <v/>
      </c>
    </row>
    <row r="219" customFormat="false" ht="15" hidden="false" customHeight="true" outlineLevel="0" collapsed="false">
      <c r="B219" s="1" t="s">
        <v>2850</v>
      </c>
      <c r="C219" s="103" t="n">
        <f aca="false">IF(OR(Prof_UmCount&lt;13,In_rechecked&lt;&gt;"Yes"),1,0)</f>
        <v>1</v>
      </c>
    </row>
    <row r="220" customFormat="false" ht="15" hidden="false" customHeight="true" outlineLevel="0" collapsed="false">
      <c r="B220" s="1" t="s">
        <v>2851</v>
      </c>
      <c r="C220" s="103" t="n">
        <f aca="false">IF(Look_Count&gt;0,1,IF(AND(Fnd_NextN&gt;0,Fnd_NextN&lt;=4),2,IF(AND(In_booked="Yes",Prof_NeedsProfile=1),3,IF(AND(Next_WIdx&gt;0,N(Next_WPct)&lt;PR_Good,In_prefSet&lt;&gt;"Yes"),4,IF(Prof_UmCount&lt;13,5,IF(In_booked&lt;&gt;"Yes",6,7))))))</f>
        <v>2</v>
      </c>
    </row>
    <row r="221" customFormat="false" ht="15" hidden="false" customHeight="true" outlineLevel="0" collapsed="false">
      <c r="B221" s="1" t="s">
        <v>2705</v>
      </c>
      <c r="C221" s="103" t="str">
        <f aca="false">CHOOSE(Next_N,IF(Look_Count=1,"One detail needs a look",Look_Count&amp;" details need a look"),Fnd_NextT,"Check your profile before your adviser meeting","Try a what-if for "&amp;LOWER(Next_WName),"Finish your profile","Talk it through with an adviser","You're all set")</f>
        <v>Give yourself more room each month</v>
      </c>
    </row>
    <row r="222" customFormat="false" ht="15" hidden="false" customHeight="true" outlineLevel="0" collapsed="false">
      <c r="B222" s="1" t="s">
        <v>2706</v>
      </c>
      <c r="C222" s="103" t="str">
        <f aca="false">CHOOSE(Next_N,"So your plan stays accurate. It takes a minute.",Fnd_NextD,In_slot&amp;". About 2 minutes.",Next_WName&amp;" is "&amp;Next_WPct&amp;"% covered. See what a small change would do.","6 quick questions on risk, capacity and how you invest.","Free, no obligation.","Your meeting: "&amp;In_slot&amp;".")</f>
        <v>Add your income and spending to check this.</v>
      </c>
    </row>
    <row r="223" customFormat="false" ht="15" hidden="false" customHeight="true" outlineLevel="0" collapsed="false">
      <c r="B223" s="1" t="s">
        <v>2852</v>
      </c>
      <c r="C223" s="103" t="str">
        <f aca="false">CHOOSE(Next_N,"Check it","See why","Check my profile","Try it","Start","Book a meeting","See my meeting")</f>
        <v>See why</v>
      </c>
    </row>
    <row r="225" customFormat="false" ht="15" hidden="false" customHeight="true" outlineLevel="0" collapsed="false">
      <c r="B225" s="93" t="s">
        <v>2853</v>
      </c>
      <c r="C225" s="93" t="s">
        <v>1521</v>
      </c>
    </row>
    <row r="226" customFormat="false" ht="15" hidden="false" customHeight="true" outlineLevel="0" collapsed="false">
      <c r="B226" s="1" t="s">
        <v>2854</v>
      </c>
      <c r="C226" s="103" t="str">
        <f aca="false">IF(AND(WI_M=0,WI_L=0),"Move the sliders to see what changes.",IF(COUNTIF(GR_WiTxt,"?*")=0,"No change to your goals. Everything that could be covered already is.",_xlfn.TEXTJOIN(CHAR(10),TRUE(),GR_WiTxt)))</f>
        <v>Move the sliders to see what changes.</v>
      </c>
    </row>
    <row r="228" customFormat="false" ht="15" hidden="false" customHeight="true" outlineLevel="0" collapsed="false">
      <c r="B228" s="93" t="s">
        <v>2855</v>
      </c>
      <c r="C228" s="93" t="s">
        <v>1521</v>
      </c>
    </row>
    <row r="229" customFormat="false" ht="15" hidden="false" customHeight="true" outlineLevel="0" collapsed="false">
      <c r="B229" s="1" t="s">
        <v>2856</v>
      </c>
      <c r="C229" s="103" t="n">
        <f aca="false">IFERROR(MATCH(1,INDEX((GR_Spec="mortgage")*(GR_Kind&lt;&gt;"retire")*(GR_Key&lt;&gt;""),0),0),0)</f>
        <v>0</v>
      </c>
    </row>
    <row r="230" customFormat="false" ht="15" hidden="false" customHeight="true" outlineLevel="0" collapsed="false">
      <c r="B230" s="1" t="s">
        <v>2857</v>
      </c>
      <c r="C230" s="103" t="str">
        <f aca="false">IF(Vid_mortgage_Idx&gt;0,INDEX(GR_PctN,Vid_mortgage_Idx),"")</f>
        <v/>
      </c>
    </row>
    <row r="231" customFormat="false" ht="15" hidden="false" customHeight="true" outlineLevel="0" collapsed="false">
      <c r="B231" s="1" t="s">
        <v>2858</v>
      </c>
      <c r="C231" s="103" t="n">
        <f aca="false">IF(IFERROR(MATCH(1,INDEX((GR_Spec="pension")*(GR_Kind&lt;&gt;"retire")*(GR_Key&lt;&gt;""),0),0),0)&gt;0,IFERROR(MATCH(1,INDEX((GR_Spec="pension")*(GR_Kind&lt;&gt;"retire")*(GR_Key&lt;&gt;""),0),0),0),IF(RG_Exists=1,RG_Row,0))</f>
        <v>0</v>
      </c>
    </row>
    <row r="232" customFormat="false" ht="15" hidden="false" customHeight="true" outlineLevel="0" collapsed="false">
      <c r="B232" s="1" t="s">
        <v>2859</v>
      </c>
      <c r="C232" s="103" t="str">
        <f aca="false">IF(Vid_pension_Idx&gt;0,INDEX(GR_PctN,Vid_pension_Idx),"")</f>
        <v/>
      </c>
    </row>
    <row r="233" customFormat="false" ht="15" hidden="false" customHeight="true" outlineLevel="0" collapsed="false">
      <c r="B233" s="1" t="s">
        <v>2860</v>
      </c>
      <c r="C233" s="103" t="n">
        <f aca="false">IFERROR(MATCH(1,INDEX((GR_Spec="protection")*(GR_Kind&lt;&gt;"retire")*(GR_Key&lt;&gt;""),0),0),0)</f>
        <v>0</v>
      </c>
    </row>
    <row r="234" customFormat="false" ht="15" hidden="false" customHeight="true" outlineLevel="0" collapsed="false">
      <c r="B234" s="1" t="s">
        <v>2861</v>
      </c>
      <c r="C234" s="103" t="str">
        <f aca="false">IF(Vid_protection_Idx&gt;0,INDEX(GR_PctN,Vid_protection_Idx),"")</f>
        <v/>
      </c>
    </row>
    <row r="235" customFormat="false" ht="15" hidden="false" customHeight="true" outlineLevel="0" collapsed="false">
      <c r="B235" s="1" t="s">
        <v>2862</v>
      </c>
      <c r="C235" s="103" t="n">
        <f aca="false">IFERROR(MATCH(1,INDEX((GR_Spec="investment")*(GR_Kind&lt;&gt;"retire")*(GR_Key&lt;&gt;""),0),0),0)</f>
        <v>0</v>
      </c>
    </row>
    <row r="236" customFormat="false" ht="15" hidden="false" customHeight="true" outlineLevel="0" collapsed="false">
      <c r="B236" s="1" t="s">
        <v>2863</v>
      </c>
      <c r="C236" s="103" t="str">
        <f aca="false">IF(Vid_investment_Idx&gt;0,INDEX(GR_PctN,Vid_investment_Idx),"")</f>
        <v/>
      </c>
    </row>
    <row r="237" customFormat="false" ht="15" hidden="false" customHeight="true" outlineLevel="0" collapsed="false">
      <c r="B237" s="1" t="s">
        <v>2864</v>
      </c>
      <c r="C237" s="103" t="n">
        <f aca="false">IFERROR(MATCH(1,INDEX((GR_Spec="planner")*(GR_Kind&lt;&gt;"retire")*(GR_Key&lt;&gt;""),0),0),0)</f>
        <v>0</v>
      </c>
    </row>
    <row r="238" customFormat="false" ht="15" hidden="false" customHeight="true" outlineLevel="0" collapsed="false">
      <c r="B238" s="1" t="s">
        <v>2865</v>
      </c>
      <c r="C238" s="103" t="str">
        <f aca="false">IF(Vid_planner_Idx&gt;0,INDEX(GR_PctN,Vid_planner_Idx),"")</f>
        <v/>
      </c>
    </row>
    <row r="239" customFormat="false" ht="15" hidden="false" customHeight="true" outlineLevel="0" collapsed="false">
      <c r="B239" s="1" t="s">
        <v>2866</v>
      </c>
      <c r="C239" s="103" t="n">
        <f aca="false">COUNTIF(README!$E$32:$E$59,"Home &amp; Mortgage")</f>
        <v>7</v>
      </c>
    </row>
    <row r="240" customFormat="false" ht="15" hidden="false" customHeight="true" outlineLevel="0" collapsed="false">
      <c r="B240" s="1" t="s">
        <v>2867</v>
      </c>
      <c r="C240" s="103" t="n">
        <f aca="false">COUNTIF(README!$E$32:$E$59,"Savings &amp; Goals")</f>
        <v>3</v>
      </c>
    </row>
    <row r="241" customFormat="false" ht="15" hidden="false" customHeight="true" outlineLevel="0" collapsed="false">
      <c r="B241" s="1" t="s">
        <v>2868</v>
      </c>
      <c r="C241" s="103" t="n">
        <f aca="false">COUNTIF(README!$E$32:$E$59,"Pensions &amp; Retirement")</f>
        <v>5</v>
      </c>
    </row>
    <row r="242" customFormat="false" ht="15" hidden="false" customHeight="true" outlineLevel="0" collapsed="false">
      <c r="B242" s="1" t="s">
        <v>2869</v>
      </c>
      <c r="C242" s="103" t="n">
        <f aca="false">COUNTIF(README!$E$32:$E$59,"Investments")</f>
        <v>5</v>
      </c>
    </row>
    <row r="243" customFormat="false" ht="15" hidden="false" customHeight="true" outlineLevel="0" collapsed="false">
      <c r="B243" s="1" t="s">
        <v>2870</v>
      </c>
      <c r="C243" s="103" t="n">
        <f aca="false">COUNTIF(README!$E$32:$E$59,"Protection")</f>
        <v>3</v>
      </c>
    </row>
    <row r="244" customFormat="false" ht="15" hidden="false" customHeight="true" outlineLevel="0" collapsed="false">
      <c r="B244" s="1" t="s">
        <v>2871</v>
      </c>
      <c r="C244" s="103" t="n">
        <f aca="false">COUNTIF(README!$E$32:$E$59,"Everyday Money")</f>
        <v>5</v>
      </c>
    </row>
  </sheetData>
  <mergeCells count="2">
    <mergeCell ref="B2:H2"/>
    <mergeCell ref="B3:H3"/>
  </mergeCells>
  <conditionalFormatting sqref="B3:H3">
    <cfRule type="expression" priority="2" aboveAverage="0" equalAverage="0" bottom="0" percent="0" rank="0" text="" dxfId="0">
      <formula>LEN($B$3)&gt;0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K1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8"/>
    <col collapsed="false" customWidth="true" hidden="false" outlineLevel="0" max="3" min="3" style="1" width="22"/>
    <col collapsed="false" customWidth="true" hidden="false" outlineLevel="0" max="8" min="4" style="1" width="10"/>
    <col collapsed="false" customWidth="true" hidden="false" outlineLevel="0" max="9" min="9" style="1" width="40"/>
    <col collapsed="false" customWidth="true" hidden="false" outlineLevel="0" max="12" min="10" style="1" width="10"/>
  </cols>
  <sheetData>
    <row r="1" customFormat="false" ht="17.25" hidden="false" customHeight="true" outlineLevel="0" collapsed="false">
      <c r="B1" s="90" t="s">
        <v>2872</v>
      </c>
    </row>
    <row r="2" customFormat="false" ht="51.75" hidden="false" customHeight="true" outlineLevel="0" collapsed="false">
      <c r="B2" s="91" t="s">
        <v>2873</v>
      </c>
      <c r="C2" s="91"/>
      <c r="D2" s="91"/>
      <c r="E2" s="91"/>
      <c r="F2" s="91"/>
      <c r="G2" s="91"/>
      <c r="H2" s="91"/>
    </row>
    <row r="4" customFormat="false" ht="15" hidden="false" customHeight="true" outlineLevel="0" collapsed="false">
      <c r="B4" s="93" t="s">
        <v>2874</v>
      </c>
      <c r="C4" s="93" t="s">
        <v>2875</v>
      </c>
    </row>
    <row r="5" customFormat="false" ht="15" hidden="false" customHeight="true" outlineLevel="0" collapsed="false">
      <c r="B5" s="1" t="s">
        <v>2876</v>
      </c>
      <c r="C5" s="94"/>
      <c r="D5" s="95" t="n">
        <f aca="false">IF(ISBLANK(C5),0,IF(IF(ISNUMBER(C5),AND(C5&gt;=1,C5&lt;=4,C5=INT(C5)),FALSE()),C5,0))</f>
        <v>0</v>
      </c>
    </row>
    <row r="6" customFormat="false" ht="15" hidden="false" customHeight="true" outlineLevel="0" collapsed="false">
      <c r="B6" s="1" t="s">
        <v>2877</v>
      </c>
      <c r="C6" s="94"/>
      <c r="D6" s="95" t="n">
        <f aca="false">IF(ISBLANK(C6),0,IF(IF(ISNUMBER(C6),AND(C6&gt;=1,C6&lt;=4,C6=INT(C6)),FALSE()),C6,0))</f>
        <v>0</v>
      </c>
    </row>
    <row r="7" customFormat="false" ht="15" hidden="false" customHeight="true" outlineLevel="0" collapsed="false">
      <c r="B7" s="1" t="s">
        <v>2878</v>
      </c>
      <c r="C7" s="115" t="s">
        <v>2879</v>
      </c>
      <c r="D7" s="95" t="n">
        <f aca="false">IF(Has_q6=1,In_q6+1,0)</f>
        <v>0</v>
      </c>
    </row>
    <row r="8" customFormat="false" ht="15" hidden="false" customHeight="true" outlineLevel="0" collapsed="false">
      <c r="B8" s="1" t="s">
        <v>2880</v>
      </c>
      <c r="C8" s="94"/>
      <c r="D8" s="95" t="n">
        <f aca="false">IF(ISBLANK(C8),0,IF(IF(ISNUMBER(C8),AND(C8&gt;=1,C8&lt;=4,C8=INT(C8)),FALSE()),C8,0))</f>
        <v>0</v>
      </c>
    </row>
    <row r="9" customFormat="false" ht="15" hidden="false" customHeight="true" outlineLevel="0" collapsed="false">
      <c r="B9" s="1" t="s">
        <v>2881</v>
      </c>
      <c r="C9" s="94"/>
      <c r="D9" s="95" t="n">
        <f aca="false">IF(ISBLANK(C9),0,IF(IF(ISNUMBER(C9),AND(C9&gt;=1,C9&lt;=4,C9=INT(C9)),FALSE()),C9,0))</f>
        <v>0</v>
      </c>
    </row>
    <row r="10" customFormat="false" ht="15" hidden="false" customHeight="true" outlineLevel="0" collapsed="false">
      <c r="B10" s="1" t="s">
        <v>2882</v>
      </c>
      <c r="C10" s="94"/>
      <c r="D10" s="95" t="n">
        <f aca="false">IF(ISBLANK(C10),0,IF(IF(ISNUMBER(C10),AND(C10&gt;=1,C10&lt;=4,C10=INT(C10)),FALSE()),C10,0))</f>
        <v>0</v>
      </c>
    </row>
    <row r="11" customFormat="false" ht="15" hidden="false" customHeight="true" outlineLevel="0" collapsed="false">
      <c r="B11" s="1" t="s">
        <v>2883</v>
      </c>
      <c r="C11" s="94"/>
      <c r="D11" s="95" t="n">
        <f aca="false">IF(ISBLANK(C11),0,IF(IF(ISNUMBER(C11),AND(C11&gt;=1,C11&lt;=4,C11=INT(C11)),FALSE()),C11,0))</f>
        <v>0</v>
      </c>
    </row>
    <row r="12" customFormat="false" ht="15" hidden="false" customHeight="true" outlineLevel="0" collapsed="false">
      <c r="B12" s="1" t="s">
        <v>2884</v>
      </c>
      <c r="C12" s="94"/>
      <c r="D12" s="95" t="n">
        <f aca="false">IF(ISBLANK(C12),0,IF(IF(ISNUMBER(C12),AND(C12&gt;=1,C12&lt;=4,C12=INT(C12)),FALSE()),C12,0))</f>
        <v>0</v>
      </c>
    </row>
    <row r="13" customFormat="false" ht="15" hidden="false" customHeight="true" outlineLevel="0" collapsed="false">
      <c r="B13" s="1" t="s">
        <v>2885</v>
      </c>
      <c r="C13" s="94"/>
      <c r="D13" s="95" t="n">
        <f aca="false">IF(ISBLANK(C13),0,IF(IF(ISNUMBER(C13),AND(C13&gt;=1,C13&lt;=4,C13=INT(C13)),FALSE()),C13,0))</f>
        <v>0</v>
      </c>
    </row>
    <row r="14" customFormat="false" ht="15" hidden="false" customHeight="true" outlineLevel="0" collapsed="false">
      <c r="B14" s="1" t="s">
        <v>2886</v>
      </c>
      <c r="C14" s="94"/>
      <c r="D14" s="95" t="n">
        <f aca="false">IF(ISBLANK(C14),0,IF(IF(ISNUMBER(C14),AND(C14&gt;=1,C14&lt;=4,C14=INT(C14)),FALSE()),C14,0))</f>
        <v>0</v>
      </c>
    </row>
    <row r="15" customFormat="false" ht="15" hidden="false" customHeight="true" outlineLevel="0" collapsed="false">
      <c r="B15" s="1" t="s">
        <v>2887</v>
      </c>
      <c r="C15" s="94"/>
      <c r="D15" s="95" t="n">
        <f aca="false">IF(ISBLANK(C15),0,IF(IF(ISNUMBER(C15),AND(C15&gt;=1,C15&lt;=4,C15=INT(C15)),FALSE()),C15,0))</f>
        <v>0</v>
      </c>
    </row>
    <row r="16" customFormat="false" ht="15" hidden="false" customHeight="true" outlineLevel="0" collapsed="false">
      <c r="B16" s="1" t="s">
        <v>2888</v>
      </c>
      <c r="C16" s="94"/>
      <c r="D16" s="95" t="n">
        <f aca="false">IF(ISBLANK(C16),0,IF(IF(ISNUMBER(C16),AND(C16&gt;=1,C16&lt;=4,C16=INT(C16)),FALSE()),C16,0))</f>
        <v>0</v>
      </c>
    </row>
    <row r="17" customFormat="false" ht="15" hidden="false" customHeight="true" outlineLevel="0" collapsed="false">
      <c r="B17" s="1" t="s">
        <v>2889</v>
      </c>
      <c r="C17" s="94"/>
      <c r="D17" s="95" t="n">
        <f aca="false">IF(ISBLANK(C17),0,IF(IF(ISNUMBER(C17),AND(C17&gt;=1,C17&lt;=4,C17=INT(C17)),FALSE()),C17,0))</f>
        <v>0</v>
      </c>
    </row>
    <row r="18" customFormat="false" ht="15" hidden="false" customHeight="true" outlineLevel="0" collapsed="false">
      <c r="B18" s="1" t="s">
        <v>2890</v>
      </c>
      <c r="C18" s="94"/>
      <c r="D18" s="95" t="n">
        <f aca="false">IF(ISBLANK(C18),0,IF(IF(ISNUMBER(C18),AND(C18&gt;=0,C18&lt;=7,C18=INT(C18)),FALSE()),C18,0))</f>
        <v>0</v>
      </c>
    </row>
    <row r="19" customFormat="false" ht="15" hidden="false" customHeight="true" outlineLevel="0" collapsed="false">
      <c r="B19" s="1" t="s">
        <v>2891</v>
      </c>
      <c r="C19" s="94"/>
      <c r="D19" s="95" t="n">
        <f aca="false">IF(C19="Yes",1,0)</f>
        <v>0</v>
      </c>
    </row>
    <row r="20" customFormat="false" ht="15" hidden="false" customHeight="true" outlineLevel="0" collapsed="false">
      <c r="B20" s="1" t="s">
        <v>2892</v>
      </c>
      <c r="C20" s="94"/>
      <c r="D20" s="95" t="n">
        <f aca="false">IF(C20="Yes",1,0)</f>
        <v>0</v>
      </c>
    </row>
    <row r="22" customFormat="false" ht="15" hidden="false" customHeight="true" outlineLevel="0" collapsed="false">
      <c r="B22" s="93" t="s">
        <v>2893</v>
      </c>
      <c r="C22" s="93" t="s">
        <v>2894</v>
      </c>
      <c r="D22" s="93" t="s">
        <v>2895</v>
      </c>
      <c r="E22" s="93" t="s">
        <v>2896</v>
      </c>
      <c r="F22" s="93" t="s">
        <v>2897</v>
      </c>
      <c r="G22" s="93" t="s">
        <v>2898</v>
      </c>
      <c r="H22" s="93" t="s">
        <v>2899</v>
      </c>
      <c r="I22" s="116"/>
      <c r="J22" s="116"/>
      <c r="K22" s="116"/>
    </row>
    <row r="23" customFormat="false" ht="15" hidden="false" customHeight="true" outlineLevel="0" collapsed="false">
      <c r="B23" s="1" t="s">
        <v>2900</v>
      </c>
      <c r="D23" s="1" t="n">
        <v>2</v>
      </c>
      <c r="E23" s="1" t="n">
        <v>0</v>
      </c>
      <c r="F23" s="1" t="n">
        <v>0</v>
      </c>
      <c r="G23" s="1" t="n">
        <v>0</v>
      </c>
      <c r="H23" s="1" t="s">
        <v>2901</v>
      </c>
    </row>
    <row r="24" customFormat="false" ht="15" hidden="false" customHeight="true" outlineLevel="0" collapsed="false">
      <c r="B24" s="1" t="s">
        <v>2902</v>
      </c>
      <c r="D24" s="1" t="n">
        <v>0</v>
      </c>
      <c r="E24" s="1" t="n">
        <v>2</v>
      </c>
      <c r="F24" s="1" t="n">
        <v>0</v>
      </c>
      <c r="G24" s="1" t="n">
        <v>0</v>
      </c>
      <c r="H24" s="1" t="s">
        <v>2903</v>
      </c>
    </row>
    <row r="25" customFormat="false" ht="15" hidden="false" customHeight="true" outlineLevel="0" collapsed="false">
      <c r="B25" s="1" t="s">
        <v>2904</v>
      </c>
      <c r="D25" s="1" t="n">
        <v>0</v>
      </c>
      <c r="E25" s="1" t="n">
        <v>0</v>
      </c>
      <c r="F25" s="1" t="n">
        <v>2</v>
      </c>
      <c r="G25" s="1" t="n">
        <v>0</v>
      </c>
      <c r="H25" s="1" t="s">
        <v>2905</v>
      </c>
    </row>
    <row r="26" customFormat="false" ht="15" hidden="false" customHeight="true" outlineLevel="0" collapsed="false">
      <c r="B26" s="1" t="s">
        <v>2906</v>
      </c>
      <c r="D26" s="1" t="n">
        <v>0</v>
      </c>
      <c r="E26" s="1" t="n">
        <v>0</v>
      </c>
      <c r="F26" s="1" t="n">
        <v>0</v>
      </c>
      <c r="G26" s="1" t="n">
        <v>2</v>
      </c>
      <c r="H26" s="1" t="s">
        <v>2907</v>
      </c>
    </row>
    <row r="27" customFormat="false" ht="15" hidden="false" customHeight="true" outlineLevel="0" collapsed="false">
      <c r="B27" s="1" t="s">
        <v>2908</v>
      </c>
      <c r="D27" s="1" t="n">
        <v>0</v>
      </c>
      <c r="E27" s="1" t="n">
        <v>0</v>
      </c>
      <c r="F27" s="1" t="n">
        <v>1</v>
      </c>
      <c r="G27" s="1" t="n">
        <v>0</v>
      </c>
      <c r="H27" s="1" t="s">
        <v>2909</v>
      </c>
    </row>
    <row r="28" customFormat="false" ht="15" hidden="false" customHeight="true" outlineLevel="0" collapsed="false">
      <c r="B28" s="1" t="s">
        <v>2910</v>
      </c>
      <c r="D28" s="1" t="n">
        <v>1</v>
      </c>
      <c r="E28" s="1" t="n">
        <v>0</v>
      </c>
      <c r="F28" s="1" t="n">
        <v>0</v>
      </c>
      <c r="G28" s="1" t="n">
        <v>0</v>
      </c>
      <c r="H28" s="1" t="s">
        <v>2911</v>
      </c>
    </row>
    <row r="29" customFormat="false" ht="15" hidden="false" customHeight="true" outlineLevel="0" collapsed="false">
      <c r="B29" s="1" t="s">
        <v>2912</v>
      </c>
      <c r="D29" s="1" t="n">
        <v>0</v>
      </c>
      <c r="E29" s="1" t="n">
        <v>1</v>
      </c>
      <c r="F29" s="1" t="n">
        <v>0</v>
      </c>
      <c r="G29" s="1" t="n">
        <v>0</v>
      </c>
      <c r="H29" s="1" t="s">
        <v>2913</v>
      </c>
    </row>
    <row r="30" customFormat="false" ht="15" hidden="false" customHeight="true" outlineLevel="0" collapsed="false">
      <c r="B30" s="1" t="s">
        <v>2914</v>
      </c>
      <c r="D30" s="1" t="n">
        <v>0</v>
      </c>
      <c r="E30" s="1" t="n">
        <v>0.5</v>
      </c>
      <c r="F30" s="1" t="n">
        <v>0</v>
      </c>
      <c r="G30" s="1" t="n">
        <v>0.5</v>
      </c>
      <c r="H30" s="1" t="s">
        <v>2915</v>
      </c>
    </row>
    <row r="31" customFormat="false" ht="15" hidden="false" customHeight="true" outlineLevel="0" collapsed="false">
      <c r="B31" s="1" t="s">
        <v>2916</v>
      </c>
      <c r="C31" s="1" t="n">
        <v>1</v>
      </c>
      <c r="D31" s="1" t="n">
        <v>0</v>
      </c>
      <c r="E31" s="1" t="n">
        <v>0</v>
      </c>
      <c r="F31" s="1" t="n">
        <v>0</v>
      </c>
      <c r="G31" s="1" t="n">
        <v>0</v>
      </c>
      <c r="H31" s="1" t="s">
        <v>2917</v>
      </c>
    </row>
    <row r="32" customFormat="false" ht="15" hidden="false" customHeight="true" outlineLevel="0" collapsed="false">
      <c r="B32" s="1" t="s">
        <v>2918</v>
      </c>
      <c r="C32" s="1" t="n">
        <v>2</v>
      </c>
      <c r="D32" s="1" t="n">
        <v>0</v>
      </c>
      <c r="E32" s="1" t="n">
        <v>0</v>
      </c>
      <c r="F32" s="1" t="n">
        <v>0</v>
      </c>
      <c r="G32" s="1" t="n">
        <v>0</v>
      </c>
      <c r="H32" s="1" t="s">
        <v>2919</v>
      </c>
    </row>
    <row r="33" customFormat="false" ht="15" hidden="false" customHeight="true" outlineLevel="0" collapsed="false">
      <c r="B33" s="1" t="s">
        <v>2920</v>
      </c>
      <c r="C33" s="1" t="n">
        <v>3</v>
      </c>
      <c r="D33" s="1" t="n">
        <v>0</v>
      </c>
      <c r="E33" s="1" t="n">
        <v>0</v>
      </c>
      <c r="F33" s="1" t="n">
        <v>0</v>
      </c>
      <c r="G33" s="1" t="n">
        <v>0</v>
      </c>
      <c r="H33" s="1" t="s">
        <v>2921</v>
      </c>
    </row>
    <row r="34" customFormat="false" ht="15" hidden="false" customHeight="true" outlineLevel="0" collapsed="false">
      <c r="B34" s="1" t="s">
        <v>2922</v>
      </c>
      <c r="C34" s="1" t="n">
        <v>4</v>
      </c>
      <c r="D34" s="1" t="n">
        <v>0</v>
      </c>
      <c r="E34" s="1" t="n">
        <v>0</v>
      </c>
      <c r="F34" s="1" t="n">
        <v>0</v>
      </c>
      <c r="G34" s="1" t="n">
        <v>0</v>
      </c>
      <c r="H34" s="1" t="s">
        <v>2923</v>
      </c>
    </row>
    <row r="35" customFormat="false" ht="15" hidden="false" customHeight="true" outlineLevel="0" collapsed="false">
      <c r="B35" s="1" t="s">
        <v>2924</v>
      </c>
      <c r="C35" s="1" t="n">
        <v>2</v>
      </c>
      <c r="D35" s="1" t="n">
        <v>0</v>
      </c>
      <c r="E35" s="1" t="n">
        <v>0</v>
      </c>
      <c r="F35" s="1" t="n">
        <v>0</v>
      </c>
      <c r="G35" s="1" t="n">
        <v>0</v>
      </c>
      <c r="H35" s="1" t="s">
        <v>2925</v>
      </c>
    </row>
    <row r="36" customFormat="false" ht="15" hidden="false" customHeight="true" outlineLevel="0" collapsed="false">
      <c r="B36" s="1" t="s">
        <v>2926</v>
      </c>
      <c r="C36" s="1" t="n">
        <v>4</v>
      </c>
      <c r="D36" s="1" t="n">
        <v>0.5</v>
      </c>
      <c r="E36" s="1" t="n">
        <v>0</v>
      </c>
      <c r="F36" s="1" t="n">
        <v>0</v>
      </c>
      <c r="G36" s="1" t="n">
        <v>0</v>
      </c>
      <c r="H36" s="1" t="s">
        <v>2511</v>
      </c>
    </row>
    <row r="37" customFormat="false" ht="15" hidden="false" customHeight="true" outlineLevel="0" collapsed="false">
      <c r="B37" s="1" t="s">
        <v>2927</v>
      </c>
      <c r="C37" s="1" t="n">
        <v>2</v>
      </c>
      <c r="D37" s="1" t="n">
        <v>0</v>
      </c>
      <c r="E37" s="1" t="n">
        <v>0</v>
      </c>
      <c r="F37" s="1" t="n">
        <v>0</v>
      </c>
      <c r="G37" s="1" t="n">
        <v>0</v>
      </c>
      <c r="H37" s="1" t="s">
        <v>2928</v>
      </c>
    </row>
    <row r="38" customFormat="false" ht="15" hidden="false" customHeight="true" outlineLevel="0" collapsed="false">
      <c r="B38" s="1" t="s">
        <v>2929</v>
      </c>
      <c r="C38" s="1" t="n">
        <v>1</v>
      </c>
      <c r="D38" s="1" t="n">
        <v>0</v>
      </c>
      <c r="E38" s="1" t="n">
        <v>0</v>
      </c>
      <c r="F38" s="1" t="n">
        <v>0</v>
      </c>
      <c r="G38" s="1" t="n">
        <v>0</v>
      </c>
      <c r="H38" s="1" t="s">
        <v>2930</v>
      </c>
    </row>
    <row r="39" customFormat="false" ht="15" hidden="false" customHeight="true" outlineLevel="0" collapsed="false">
      <c r="B39" s="1" t="s">
        <v>2931</v>
      </c>
      <c r="C39" s="1" t="n">
        <v>1</v>
      </c>
      <c r="D39" s="1" t="n">
        <v>0</v>
      </c>
      <c r="E39" s="1" t="n">
        <v>0</v>
      </c>
      <c r="F39" s="1" t="n">
        <v>0</v>
      </c>
      <c r="G39" s="1" t="n">
        <v>0.5</v>
      </c>
      <c r="H39" s="1" t="s">
        <v>2932</v>
      </c>
    </row>
    <row r="40" customFormat="false" ht="15" hidden="false" customHeight="true" outlineLevel="0" collapsed="false">
      <c r="B40" s="1" t="s">
        <v>2933</v>
      </c>
      <c r="C40" s="1" t="n">
        <v>1</v>
      </c>
      <c r="D40" s="1" t="n">
        <v>0</v>
      </c>
      <c r="E40" s="1" t="n">
        <v>0.5</v>
      </c>
      <c r="F40" s="1" t="n">
        <v>0</v>
      </c>
      <c r="G40" s="1" t="n">
        <v>0.5</v>
      </c>
      <c r="H40" s="1" t="s">
        <v>2934</v>
      </c>
    </row>
    <row r="41" customFormat="false" ht="15" hidden="false" customHeight="true" outlineLevel="0" collapsed="false">
      <c r="B41" s="1" t="s">
        <v>2935</v>
      </c>
      <c r="C41" s="1" t="n">
        <v>2</v>
      </c>
      <c r="D41" s="1" t="n">
        <v>0.5</v>
      </c>
      <c r="E41" s="1" t="n">
        <v>0.5</v>
      </c>
      <c r="F41" s="1" t="n">
        <v>0</v>
      </c>
      <c r="G41" s="1" t="n">
        <v>0</v>
      </c>
      <c r="H41" s="1" t="s">
        <v>2936</v>
      </c>
    </row>
    <row r="42" customFormat="false" ht="15" hidden="false" customHeight="true" outlineLevel="0" collapsed="false">
      <c r="B42" s="1" t="s">
        <v>2937</v>
      </c>
      <c r="C42" s="1" t="n">
        <v>3</v>
      </c>
      <c r="D42" s="1" t="n">
        <v>0.5</v>
      </c>
      <c r="E42" s="1" t="n">
        <v>0</v>
      </c>
      <c r="F42" s="1" t="n">
        <v>0.5</v>
      </c>
      <c r="G42" s="1" t="n">
        <v>0</v>
      </c>
      <c r="H42" s="1" t="s">
        <v>2938</v>
      </c>
    </row>
    <row r="43" customFormat="false" ht="15" hidden="false" customHeight="true" outlineLevel="0" collapsed="false">
      <c r="B43" s="1" t="s">
        <v>2939</v>
      </c>
      <c r="C43" s="1" t="n">
        <v>4</v>
      </c>
      <c r="D43" s="1" t="n">
        <v>0</v>
      </c>
      <c r="E43" s="1" t="n">
        <v>0</v>
      </c>
      <c r="F43" s="1" t="n">
        <v>1</v>
      </c>
      <c r="G43" s="1" t="n">
        <v>0</v>
      </c>
      <c r="H43" s="1" t="s">
        <v>2940</v>
      </c>
    </row>
    <row r="44" customFormat="false" ht="15" hidden="false" customHeight="true" outlineLevel="0" collapsed="false">
      <c r="B44" s="1" t="s">
        <v>2941</v>
      </c>
      <c r="C44" s="1" t="n">
        <v>1</v>
      </c>
      <c r="D44" s="1" t="n">
        <v>0</v>
      </c>
      <c r="E44" s="1" t="n">
        <v>1</v>
      </c>
      <c r="F44" s="1" t="n">
        <v>0</v>
      </c>
      <c r="G44" s="1" t="n">
        <v>0</v>
      </c>
      <c r="H44" s="1" t="s">
        <v>2942</v>
      </c>
    </row>
    <row r="45" customFormat="false" ht="15" hidden="false" customHeight="true" outlineLevel="0" collapsed="false">
      <c r="B45" s="1" t="s">
        <v>2943</v>
      </c>
      <c r="C45" s="1" t="n">
        <v>2</v>
      </c>
      <c r="D45" s="1" t="n">
        <v>0</v>
      </c>
      <c r="E45" s="1" t="n">
        <v>0.5</v>
      </c>
      <c r="F45" s="1" t="n">
        <v>0</v>
      </c>
      <c r="G45" s="1" t="n">
        <v>0</v>
      </c>
      <c r="H45" s="1" t="s">
        <v>2944</v>
      </c>
    </row>
    <row r="46" customFormat="false" ht="15" hidden="false" customHeight="true" outlineLevel="0" collapsed="false">
      <c r="B46" s="1" t="s">
        <v>2945</v>
      </c>
      <c r="C46" s="1" t="n">
        <v>3</v>
      </c>
      <c r="D46" s="1" t="n">
        <v>0.5</v>
      </c>
      <c r="E46" s="1" t="n">
        <v>0</v>
      </c>
      <c r="F46" s="1" t="n">
        <v>0</v>
      </c>
      <c r="G46" s="1" t="n">
        <v>0.5</v>
      </c>
      <c r="H46" s="1" t="s">
        <v>2946</v>
      </c>
    </row>
    <row r="47" customFormat="false" ht="15" hidden="false" customHeight="true" outlineLevel="0" collapsed="false">
      <c r="B47" s="1" t="s">
        <v>2947</v>
      </c>
      <c r="C47" s="1" t="n">
        <v>4</v>
      </c>
      <c r="D47" s="1" t="n">
        <v>0</v>
      </c>
      <c r="E47" s="1" t="n">
        <v>0</v>
      </c>
      <c r="F47" s="1" t="n">
        <v>1</v>
      </c>
      <c r="G47" s="1" t="n">
        <v>0</v>
      </c>
      <c r="H47" s="1" t="s">
        <v>2948</v>
      </c>
    </row>
    <row r="48" customFormat="false" ht="15" hidden="false" customHeight="true" outlineLevel="0" collapsed="false">
      <c r="B48" s="1" t="s">
        <v>2949</v>
      </c>
      <c r="C48" s="1" t="n">
        <v>1</v>
      </c>
      <c r="D48" s="1" t="n">
        <v>0</v>
      </c>
      <c r="E48" s="1" t="n">
        <v>1</v>
      </c>
      <c r="F48" s="1" t="n">
        <v>0</v>
      </c>
      <c r="G48" s="1" t="n">
        <v>0</v>
      </c>
      <c r="H48" s="1" t="s">
        <v>2950</v>
      </c>
    </row>
    <row r="49" customFormat="false" ht="15" hidden="false" customHeight="true" outlineLevel="0" collapsed="false">
      <c r="B49" s="1" t="s">
        <v>2951</v>
      </c>
      <c r="C49" s="1" t="n">
        <v>2</v>
      </c>
      <c r="D49" s="1" t="n">
        <v>0</v>
      </c>
      <c r="E49" s="1" t="n">
        <v>0</v>
      </c>
      <c r="F49" s="1" t="n">
        <v>0.5</v>
      </c>
      <c r="G49" s="1" t="n">
        <v>0</v>
      </c>
      <c r="H49" s="1" t="s">
        <v>2952</v>
      </c>
    </row>
    <row r="50" customFormat="false" ht="15" hidden="false" customHeight="true" outlineLevel="0" collapsed="false">
      <c r="B50" s="1" t="s">
        <v>2953</v>
      </c>
      <c r="C50" s="1" t="n">
        <v>4</v>
      </c>
      <c r="D50" s="1" t="n">
        <v>1</v>
      </c>
      <c r="E50" s="1" t="n">
        <v>0</v>
      </c>
      <c r="F50" s="1" t="n">
        <v>0</v>
      </c>
      <c r="G50" s="1" t="n">
        <v>0</v>
      </c>
      <c r="H50" s="1" t="s">
        <v>2954</v>
      </c>
    </row>
    <row r="51" customFormat="false" ht="15" hidden="false" customHeight="true" outlineLevel="0" collapsed="false">
      <c r="B51" s="1" t="s">
        <v>2955</v>
      </c>
      <c r="C51" s="1" t="n">
        <v>1</v>
      </c>
      <c r="D51" s="1" t="n">
        <v>0</v>
      </c>
      <c r="E51" s="1" t="n">
        <v>0</v>
      </c>
      <c r="F51" s="1" t="n">
        <v>0</v>
      </c>
      <c r="G51" s="1" t="n">
        <v>1</v>
      </c>
      <c r="H51" s="1" t="s">
        <v>2956</v>
      </c>
    </row>
    <row r="52" customFormat="false" ht="15" hidden="false" customHeight="true" outlineLevel="0" collapsed="false">
      <c r="B52" s="1" t="s">
        <v>2957</v>
      </c>
      <c r="C52" s="1" t="n">
        <v>1</v>
      </c>
      <c r="D52" s="1" t="n">
        <v>0</v>
      </c>
      <c r="E52" s="1" t="n">
        <v>0</v>
      </c>
      <c r="F52" s="1" t="n">
        <v>0</v>
      </c>
      <c r="G52" s="1" t="n">
        <v>0</v>
      </c>
    </row>
    <row r="53" customFormat="false" ht="15" hidden="false" customHeight="true" outlineLevel="0" collapsed="false">
      <c r="B53" s="1" t="s">
        <v>2958</v>
      </c>
      <c r="C53" s="1" t="n">
        <v>2</v>
      </c>
      <c r="D53" s="1" t="n">
        <v>0</v>
      </c>
      <c r="E53" s="1" t="n">
        <v>0</v>
      </c>
      <c r="F53" s="1" t="n">
        <v>0</v>
      </c>
      <c r="G53" s="1" t="n">
        <v>0</v>
      </c>
    </row>
    <row r="54" customFormat="false" ht="15" hidden="false" customHeight="true" outlineLevel="0" collapsed="false">
      <c r="B54" s="1" t="s">
        <v>2959</v>
      </c>
      <c r="C54" s="1" t="n">
        <v>3</v>
      </c>
      <c r="D54" s="1" t="n">
        <v>0</v>
      </c>
      <c r="E54" s="1" t="n">
        <v>0</v>
      </c>
      <c r="F54" s="1" t="n">
        <v>0</v>
      </c>
      <c r="G54" s="1" t="n">
        <v>0</v>
      </c>
    </row>
    <row r="55" customFormat="false" ht="15" hidden="false" customHeight="true" outlineLevel="0" collapsed="false">
      <c r="B55" s="1" t="s">
        <v>2960</v>
      </c>
      <c r="C55" s="1" t="n">
        <v>4</v>
      </c>
      <c r="D55" s="1" t="n">
        <v>0</v>
      </c>
      <c r="E55" s="1" t="n">
        <v>0</v>
      </c>
      <c r="F55" s="1" t="n">
        <v>0</v>
      </c>
      <c r="G55" s="1" t="n">
        <v>0</v>
      </c>
    </row>
    <row r="56" customFormat="false" ht="15" hidden="false" customHeight="true" outlineLevel="0" collapsed="false">
      <c r="B56" s="1" t="s">
        <v>2961</v>
      </c>
      <c r="C56" s="1" t="n">
        <v>1</v>
      </c>
      <c r="D56" s="1" t="n">
        <v>0</v>
      </c>
      <c r="E56" s="1" t="n">
        <v>0</v>
      </c>
      <c r="F56" s="1" t="n">
        <v>0</v>
      </c>
      <c r="G56" s="1" t="n">
        <v>0</v>
      </c>
    </row>
    <row r="57" customFormat="false" ht="15" hidden="false" customHeight="true" outlineLevel="0" collapsed="false">
      <c r="B57" s="1" t="s">
        <v>2962</v>
      </c>
      <c r="C57" s="1" t="n">
        <v>2</v>
      </c>
      <c r="D57" s="1" t="n">
        <v>0</v>
      </c>
      <c r="E57" s="1" t="n">
        <v>0</v>
      </c>
      <c r="F57" s="1" t="n">
        <v>0</v>
      </c>
      <c r="G57" s="1" t="n">
        <v>0</v>
      </c>
    </row>
    <row r="58" customFormat="false" ht="15" hidden="false" customHeight="true" outlineLevel="0" collapsed="false">
      <c r="B58" s="1" t="s">
        <v>2963</v>
      </c>
      <c r="C58" s="1" t="n">
        <v>3</v>
      </c>
      <c r="D58" s="1" t="n">
        <v>0</v>
      </c>
      <c r="E58" s="1" t="n">
        <v>0</v>
      </c>
      <c r="F58" s="1" t="n">
        <v>0</v>
      </c>
      <c r="G58" s="1" t="n">
        <v>0</v>
      </c>
    </row>
    <row r="59" customFormat="false" ht="15" hidden="false" customHeight="true" outlineLevel="0" collapsed="false">
      <c r="B59" s="1" t="s">
        <v>2964</v>
      </c>
      <c r="C59" s="1" t="n">
        <v>4</v>
      </c>
      <c r="D59" s="1" t="n">
        <v>0</v>
      </c>
      <c r="E59" s="1" t="n">
        <v>0</v>
      </c>
      <c r="F59" s="1" t="n">
        <v>0</v>
      </c>
      <c r="G59" s="1" t="n">
        <v>0</v>
      </c>
    </row>
    <row r="60" customFormat="false" ht="15" hidden="false" customHeight="true" outlineLevel="0" collapsed="false">
      <c r="B60" s="1" t="s">
        <v>2965</v>
      </c>
      <c r="C60" s="1" t="n">
        <v>1</v>
      </c>
      <c r="D60" s="1" t="n">
        <v>0</v>
      </c>
      <c r="E60" s="1" t="n">
        <v>0</v>
      </c>
      <c r="F60" s="1" t="n">
        <v>0</v>
      </c>
      <c r="G60" s="1" t="n">
        <v>0</v>
      </c>
    </row>
    <row r="61" customFormat="false" ht="15" hidden="false" customHeight="true" outlineLevel="0" collapsed="false">
      <c r="B61" s="1" t="s">
        <v>2966</v>
      </c>
      <c r="C61" s="1" t="n">
        <v>2</v>
      </c>
      <c r="D61" s="1" t="n">
        <v>0</v>
      </c>
      <c r="E61" s="1" t="n">
        <v>0</v>
      </c>
      <c r="F61" s="1" t="n">
        <v>0</v>
      </c>
      <c r="G61" s="1" t="n">
        <v>0</v>
      </c>
    </row>
    <row r="62" customFormat="false" ht="15" hidden="false" customHeight="true" outlineLevel="0" collapsed="false">
      <c r="B62" s="1" t="s">
        <v>2967</v>
      </c>
      <c r="C62" s="1" t="n">
        <v>3</v>
      </c>
      <c r="D62" s="1" t="n">
        <v>0</v>
      </c>
      <c r="E62" s="1" t="n">
        <v>0</v>
      </c>
      <c r="F62" s="1" t="n">
        <v>0</v>
      </c>
      <c r="G62" s="1" t="n">
        <v>0</v>
      </c>
    </row>
    <row r="63" customFormat="false" ht="15" hidden="false" customHeight="true" outlineLevel="0" collapsed="false">
      <c r="B63" s="1" t="s">
        <v>2968</v>
      </c>
      <c r="C63" s="1" t="n">
        <v>4</v>
      </c>
      <c r="D63" s="1" t="n">
        <v>0</v>
      </c>
      <c r="E63" s="1" t="n">
        <v>0</v>
      </c>
      <c r="F63" s="1" t="n">
        <v>0</v>
      </c>
      <c r="G63" s="1" t="n">
        <v>0</v>
      </c>
    </row>
    <row r="64" customFormat="false" ht="15" hidden="false" customHeight="true" outlineLevel="0" collapsed="false">
      <c r="B64" s="1" t="s">
        <v>2969</v>
      </c>
      <c r="C64" s="1" t="n">
        <v>1</v>
      </c>
      <c r="D64" s="1" t="n">
        <v>0</v>
      </c>
      <c r="E64" s="1" t="n">
        <v>0</v>
      </c>
      <c r="F64" s="1" t="n">
        <v>0</v>
      </c>
      <c r="G64" s="1" t="n">
        <v>0</v>
      </c>
    </row>
    <row r="65" customFormat="false" ht="15" hidden="false" customHeight="true" outlineLevel="0" collapsed="false">
      <c r="B65" s="1" t="s">
        <v>2970</v>
      </c>
      <c r="C65" s="1" t="n">
        <v>2</v>
      </c>
      <c r="D65" s="1" t="n">
        <v>0</v>
      </c>
      <c r="E65" s="1" t="n">
        <v>0</v>
      </c>
      <c r="F65" s="1" t="n">
        <v>0</v>
      </c>
      <c r="G65" s="1" t="n">
        <v>0</v>
      </c>
    </row>
    <row r="66" customFormat="false" ht="15" hidden="false" customHeight="true" outlineLevel="0" collapsed="false">
      <c r="B66" s="1" t="s">
        <v>2971</v>
      </c>
      <c r="C66" s="1" t="n">
        <v>3</v>
      </c>
      <c r="D66" s="1" t="n">
        <v>0</v>
      </c>
      <c r="E66" s="1" t="n">
        <v>0</v>
      </c>
      <c r="F66" s="1" t="n">
        <v>0</v>
      </c>
      <c r="G66" s="1" t="n">
        <v>0</v>
      </c>
    </row>
    <row r="67" customFormat="false" ht="15" hidden="false" customHeight="true" outlineLevel="0" collapsed="false">
      <c r="B67" s="1" t="s">
        <v>2972</v>
      </c>
      <c r="C67" s="1" t="n">
        <v>4</v>
      </c>
      <c r="D67" s="1" t="n">
        <v>0</v>
      </c>
      <c r="E67" s="1" t="n">
        <v>0</v>
      </c>
      <c r="F67" s="1" t="n">
        <v>0</v>
      </c>
      <c r="G67" s="1" t="n">
        <v>0</v>
      </c>
    </row>
    <row r="68" customFormat="false" ht="15" hidden="false" customHeight="true" outlineLevel="0" collapsed="false">
      <c r="B68" s="1" t="s">
        <v>2973</v>
      </c>
      <c r="D68" s="1" t="n">
        <v>0.5</v>
      </c>
      <c r="E68" s="1" t="n">
        <v>0</v>
      </c>
      <c r="F68" s="1" t="n">
        <v>0.5</v>
      </c>
      <c r="G68" s="1" t="n">
        <v>0</v>
      </c>
    </row>
    <row r="69" customFormat="false" ht="15" hidden="false" customHeight="true" outlineLevel="0" collapsed="false">
      <c r="B69" s="1" t="s">
        <v>2974</v>
      </c>
      <c r="D69" s="1" t="n">
        <v>0.5</v>
      </c>
      <c r="E69" s="1" t="n">
        <v>0.5</v>
      </c>
      <c r="F69" s="1" t="n">
        <v>0</v>
      </c>
      <c r="G69" s="1" t="n">
        <v>0</v>
      </c>
    </row>
    <row r="70" customFormat="false" ht="15" hidden="false" customHeight="true" outlineLevel="0" collapsed="false">
      <c r="B70" s="1" t="s">
        <v>2975</v>
      </c>
      <c r="D70" s="1" t="n">
        <v>0</v>
      </c>
      <c r="E70" s="1" t="n">
        <v>1</v>
      </c>
      <c r="F70" s="1" t="n">
        <v>0</v>
      </c>
      <c r="G70" s="1" t="n">
        <v>0</v>
      </c>
    </row>
    <row r="71" customFormat="false" ht="15" hidden="false" customHeight="true" outlineLevel="0" collapsed="false">
      <c r="B71" s="1" t="s">
        <v>2976</v>
      </c>
      <c r="D71" s="1" t="n">
        <v>0</v>
      </c>
      <c r="E71" s="1" t="n">
        <v>0</v>
      </c>
      <c r="F71" s="1" t="n">
        <v>0</v>
      </c>
      <c r="G71" s="1" t="n">
        <v>1</v>
      </c>
      <c r="H71" s="1" t="s">
        <v>2977</v>
      </c>
    </row>
    <row r="72" customFormat="false" ht="15" hidden="false" customHeight="true" outlineLevel="0" collapsed="false">
      <c r="B72" s="1" t="s">
        <v>2978</v>
      </c>
      <c r="C72" s="1" t="n">
        <v>1</v>
      </c>
      <c r="D72" s="1" t="n">
        <v>0</v>
      </c>
      <c r="E72" s="1" t="n">
        <v>0</v>
      </c>
      <c r="F72" s="1" t="n">
        <v>0</v>
      </c>
      <c r="G72" s="1" t="n">
        <v>0</v>
      </c>
    </row>
    <row r="73" customFormat="false" ht="15" hidden="false" customHeight="true" outlineLevel="0" collapsed="false">
      <c r="B73" s="1" t="s">
        <v>2979</v>
      </c>
      <c r="C73" s="1" t="n">
        <v>2</v>
      </c>
      <c r="D73" s="1" t="n">
        <v>0</v>
      </c>
      <c r="E73" s="1" t="n">
        <v>0</v>
      </c>
      <c r="F73" s="1" t="n">
        <v>0</v>
      </c>
      <c r="G73" s="1" t="n">
        <v>0</v>
      </c>
    </row>
    <row r="74" customFormat="false" ht="15" hidden="false" customHeight="true" outlineLevel="0" collapsed="false">
      <c r="B74" s="1" t="s">
        <v>2980</v>
      </c>
      <c r="C74" s="1" t="n">
        <v>3</v>
      </c>
      <c r="D74" s="1" t="n">
        <v>0</v>
      </c>
      <c r="E74" s="1" t="n">
        <v>0</v>
      </c>
      <c r="F74" s="1" t="n">
        <v>0</v>
      </c>
      <c r="G74" s="1" t="n">
        <v>0</v>
      </c>
    </row>
    <row r="75" customFormat="false" ht="15" hidden="false" customHeight="true" outlineLevel="0" collapsed="false">
      <c r="B75" s="1" t="s">
        <v>2981</v>
      </c>
      <c r="C75" s="1" t="n">
        <v>4</v>
      </c>
      <c r="D75" s="1" t="n">
        <v>0</v>
      </c>
      <c r="E75" s="1" t="n">
        <v>0</v>
      </c>
      <c r="F75" s="1" t="n">
        <v>0</v>
      </c>
      <c r="G75" s="1" t="n">
        <v>0</v>
      </c>
      <c r="H75" s="1" t="s">
        <v>2982</v>
      </c>
    </row>
    <row r="77" customFormat="false" ht="15" hidden="false" customHeight="true" outlineLevel="0" collapsed="false">
      <c r="B77" s="93" t="s">
        <v>247</v>
      </c>
      <c r="C77" s="93" t="s">
        <v>1521</v>
      </c>
    </row>
    <row r="78" customFormat="false" ht="15" hidden="false" customHeight="true" outlineLevel="0" collapsed="false">
      <c r="B78" s="1" t="s">
        <v>2983</v>
      </c>
      <c r="C78" s="103" t="n">
        <f aca="false">(PA_2&gt;0)+(PA_4&gt;0)+(PA_7&gt;0)+(PA_8&gt;0)+(PA_9&gt;0)+(PA_12&gt;0)</f>
        <v>0</v>
      </c>
    </row>
    <row r="79" customFormat="false" ht="15" hidden="false" customHeight="true" outlineLevel="0" collapsed="false">
      <c r="B79" s="1" t="s">
        <v>2984</v>
      </c>
      <c r="C79" s="103" t="n">
        <f aca="false">(PA_2&gt;0)+(PA_4&gt;0)+(PA_6&gt;0)+(PA_7&gt;0)+(PA_8&gt;0)+(PA_9&gt;0)+(PA_12&gt;0)+(PA_u4&gt;0)+(PA_u9&gt;0)+(PA_u10&gt;0)+(PA_u11&gt;0)+(PA_u12&gt;0)+(PA_u14&gt;0)</f>
        <v>0</v>
      </c>
    </row>
    <row r="80" customFormat="false" ht="15" hidden="false" customHeight="true" outlineLevel="0" collapsed="false">
      <c r="B80" s="1" t="s">
        <v>2985</v>
      </c>
      <c r="C80" s="103" t="n">
        <f aca="false">(PA_8&gt;0)+(PA_9&gt;0)+(PA_u9&gt;0)</f>
        <v>0</v>
      </c>
    </row>
    <row r="81" customFormat="false" ht="15" hidden="false" customHeight="true" outlineLevel="0" collapsed="false">
      <c r="B81" s="1" t="s">
        <v>2986</v>
      </c>
      <c r="C81" s="103" t="n">
        <f aca="false">(PA_6&gt;0)+(PA_7&gt;0)+(PA_u10&gt;0)+(PA_u12&gt;0)+(PA_u14&gt;0)</f>
        <v>0</v>
      </c>
    </row>
    <row r="82" customFormat="false" ht="15" hidden="false" customHeight="true" outlineLevel="0" collapsed="false">
      <c r="B82" s="1" t="s">
        <v>2987</v>
      </c>
      <c r="C82" s="103" t="n">
        <f aca="false">(PA_2&gt;0)+(PA_12&gt;0)+(PA_4&gt;0)+(PA_u4&gt;0)+(PA_u11&gt;0)</f>
        <v>0</v>
      </c>
    </row>
    <row r="83" customFormat="false" ht="15" hidden="false" customHeight="true" outlineLevel="0" collapsed="false">
      <c r="B83" s="1" t="s">
        <v>2988</v>
      </c>
      <c r="C83" s="103" t="n">
        <f aca="false">7-((PA_6&gt;0)+(PA_u9&gt;0)+(PA_u10&gt;0)+(PA_u12&gt;0)+(PA_u14&gt;0)+(PA_u4&gt;0)+(PA_u11&gt;0))</f>
        <v>7</v>
      </c>
    </row>
    <row r="84" customFormat="false" ht="15" hidden="false" customHeight="true" outlineLevel="0" collapsed="false">
      <c r="B84" s="1" t="s">
        <v>2989</v>
      </c>
      <c r="C84" s="103" t="str">
        <f aca="false">IF(Prof_UmLeft=7,"7 quick questions · your first "&amp;Prof_DiscCount&amp;" answers are filled in",IF(Prof_UmLeft&gt;0,Prof_UmLeft&amp;" of 7 left · your first "&amp;Prof_DiscCount&amp;" answers are filled in","All 7 answered · your first "&amp;Prof_DiscCount&amp;" answers are filled in"))</f>
        <v>7 quick questions · your first 0 answers are filled in</v>
      </c>
    </row>
    <row r="85" customFormat="false" ht="15" hidden="false" customHeight="true" outlineLevel="0" collapsed="false">
      <c r="B85" s="1" t="s">
        <v>2990</v>
      </c>
      <c r="C85" s="103" t="n">
        <f aca="false">IF(Prof_DiscCount&gt;=4,1,0)</f>
        <v>0</v>
      </c>
    </row>
    <row r="86" customFormat="false" ht="15" hidden="false" customHeight="true" outlineLevel="0" collapsed="false">
      <c r="B86" s="1" t="s">
        <v>2991</v>
      </c>
      <c r="C86" s="103" t="n">
        <f aca="false">IF(PA_2&gt;0,SUMIFS('Plan profile'!$D$23:$D$75,Prof_Key,"2|"&amp;PA_2),0)+IF(PA_4&gt;0,SUMIFS('Plan profile'!$D$23:$D$75,Prof_Key,"4|"&amp;PA_4),0)+IF(PA_7&gt;0,SUMIFS('Plan profile'!$D$23:$D$75,Prof_Key,"7|"&amp;PA_7),0)+IF(PA_8&gt;0,SUMIFS('Plan profile'!$D$23:$D$75,Prof_Key,"8|"&amp;PA_8),0)+IF(PA_9&gt;0,SUMIFS('Plan profile'!$D$23:$D$75,Prof_Key,"9|"&amp;PA_9),0)+IF(PA_12&gt;0,SUMIFS('Plan profile'!$D$23:$D$75,Prof_Key,"12|"&amp;PA_12),0)+IF(PA_u4&gt;0,SUMIFS('Plan profile'!$D$23:$D$75,Prof_Key,"u4|"&amp;PA_u4),0)</f>
        <v>0</v>
      </c>
    </row>
    <row r="87" customFormat="false" ht="15" hidden="false" customHeight="true" outlineLevel="0" collapsed="false">
      <c r="B87" s="1" t="s">
        <v>2992</v>
      </c>
      <c r="C87" s="103" t="n">
        <f aca="false">IF(PA_2&gt;0,SUMIFS('Plan profile'!$E$23:$E$75,Prof_Key,"2|"&amp;PA_2),0)+IF(PA_4&gt;0,SUMIFS('Plan profile'!$E$23:$E$75,Prof_Key,"4|"&amp;PA_4),0)+IF(PA_7&gt;0,SUMIFS('Plan profile'!$E$23:$E$75,Prof_Key,"7|"&amp;PA_7),0)+IF(PA_8&gt;0,SUMIFS('Plan profile'!$E$23:$E$75,Prof_Key,"8|"&amp;PA_8),0)+IF(PA_9&gt;0,SUMIFS('Plan profile'!$E$23:$E$75,Prof_Key,"9|"&amp;PA_9),0)+IF(PA_12&gt;0,SUMIFS('Plan profile'!$E$23:$E$75,Prof_Key,"12|"&amp;PA_12),0)+IF(PA_u4&gt;0,SUMIFS('Plan profile'!$E$23:$E$75,Prof_Key,"u4|"&amp;PA_u4),0)</f>
        <v>0</v>
      </c>
    </row>
    <row r="88" customFormat="false" ht="15" hidden="false" customHeight="true" outlineLevel="0" collapsed="false">
      <c r="B88" s="1" t="s">
        <v>2993</v>
      </c>
      <c r="C88" s="103" t="n">
        <f aca="false">IF(PA_2&gt;0,SUMIFS('Plan profile'!$F$23:$F$75,Prof_Key,"2|"&amp;PA_2),0)+IF(PA_4&gt;0,SUMIFS('Plan profile'!$F$23:$F$75,Prof_Key,"4|"&amp;PA_4),0)+IF(PA_7&gt;0,SUMIFS('Plan profile'!$F$23:$F$75,Prof_Key,"7|"&amp;PA_7),0)+IF(PA_8&gt;0,SUMIFS('Plan profile'!$F$23:$F$75,Prof_Key,"8|"&amp;PA_8),0)+IF(PA_9&gt;0,SUMIFS('Plan profile'!$F$23:$F$75,Prof_Key,"9|"&amp;PA_9),0)+IF(PA_12&gt;0,SUMIFS('Plan profile'!$F$23:$F$75,Prof_Key,"12|"&amp;PA_12),0)+IF(PA_u4&gt;0,SUMIFS('Plan profile'!$F$23:$F$75,Prof_Key,"u4|"&amp;PA_u4),0)</f>
        <v>0</v>
      </c>
    </row>
    <row r="89" customFormat="false" ht="15" hidden="false" customHeight="true" outlineLevel="0" collapsed="false">
      <c r="B89" s="1" t="s">
        <v>2994</v>
      </c>
      <c r="C89" s="103" t="n">
        <f aca="false">IF(PA_2&gt;0,SUMIFS('Plan profile'!$G$23:$G$75,Prof_Key,"2|"&amp;PA_2),0)+IF(PA_4&gt;0,SUMIFS('Plan profile'!$G$23:$G$75,Prof_Key,"4|"&amp;PA_4),0)+IF(PA_7&gt;0,SUMIFS('Plan profile'!$G$23:$G$75,Prof_Key,"7|"&amp;PA_7),0)+IF(PA_8&gt;0,SUMIFS('Plan profile'!$G$23:$G$75,Prof_Key,"8|"&amp;PA_8),0)+IF(PA_9&gt;0,SUMIFS('Plan profile'!$G$23:$G$75,Prof_Key,"9|"&amp;PA_9),0)+IF(PA_12&gt;0,SUMIFS('Plan profile'!$G$23:$G$75,Prof_Key,"12|"&amp;PA_12),0)+IF(PA_u4&gt;0,SUMIFS('Plan profile'!$G$23:$G$75,Prof_Key,"u4|"&amp;PA_u4),0)</f>
        <v>0</v>
      </c>
    </row>
    <row r="90" customFormat="false" ht="15" hidden="false" customHeight="true" outlineLevel="0" collapsed="false">
      <c r="B90" s="1" t="s">
        <v>2995</v>
      </c>
      <c r="C90" s="103" t="n">
        <f aca="false">MAX(Prof_SA,Prof_SB,Prof_SE,Prof_SC)</f>
        <v>0</v>
      </c>
    </row>
    <row r="91" customFormat="false" ht="15" hidden="false" customHeight="true" outlineLevel="0" collapsed="false">
      <c r="B91" s="1" t="s">
        <v>2996</v>
      </c>
      <c r="C91" s="103" t="n">
        <f aca="false">IF(Prof_SA=Prof_Top,1,0)</f>
        <v>1</v>
      </c>
    </row>
    <row r="92" customFormat="false" ht="15" hidden="false" customHeight="true" outlineLevel="0" collapsed="false">
      <c r="B92" s="1" t="s">
        <v>2997</v>
      </c>
      <c r="C92" s="103" t="n">
        <f aca="false">IF(Prof_SB=Prof_Top,1,0)</f>
        <v>1</v>
      </c>
    </row>
    <row r="93" customFormat="false" ht="15" hidden="false" customHeight="true" outlineLevel="0" collapsed="false">
      <c r="B93" s="1" t="s">
        <v>2998</v>
      </c>
      <c r="C93" s="103" t="n">
        <f aca="false">IF(Prof_SE=Prof_Top,1,0)</f>
        <v>1</v>
      </c>
    </row>
    <row r="94" customFormat="false" ht="15" hidden="false" customHeight="true" outlineLevel="0" collapsed="false">
      <c r="B94" s="1" t="s">
        <v>2999</v>
      </c>
      <c r="C94" s="103" t="n">
        <f aca="false">IF(Prof_SC=Prof_Top,1,0)</f>
        <v>1</v>
      </c>
    </row>
    <row r="95" customFormat="false" ht="15" hidden="false" customHeight="true" outlineLevel="0" collapsed="false">
      <c r="B95" s="1" t="s">
        <v>3000</v>
      </c>
      <c r="C95" s="103" t="n">
        <f aca="false">Prof_TA+Prof_TB+Prof_TE+Prof_TC</f>
        <v>4</v>
      </c>
    </row>
    <row r="96" customFormat="false" ht="15" hidden="false" customHeight="true" outlineLevel="0" collapsed="false">
      <c r="B96" s="1" t="s">
        <v>3001</v>
      </c>
      <c r="C96" s="103" t="str">
        <f aca="false">IF(PA_2&gt;0,CHOOSE(PA_2,IF(Prof_TA=1,"A",""),IF(Prof_TB=1,"B",""),IF(Prof_TE=1,"E",""),IF(Prof_TC=1,"C","")),"")</f>
        <v/>
      </c>
    </row>
    <row r="97" customFormat="false" ht="15" hidden="false" customHeight="true" outlineLevel="0" collapsed="false">
      <c r="B97" s="1" t="s">
        <v>3002</v>
      </c>
      <c r="C97" s="103" t="n">
        <f aca="false">IF(PA_4&gt;0,CHOOSE(PA_4,Prof_TE,Prof_TA,Prof_TB,Prof_TB+Prof_TC),0)</f>
        <v>0</v>
      </c>
    </row>
    <row r="98" customFormat="false" ht="15" hidden="false" customHeight="true" outlineLevel="0" collapsed="false">
      <c r="B98" s="1" t="s">
        <v>3003</v>
      </c>
      <c r="C98" s="103" t="str">
        <f aca="false">IF(Prof_Q4N=1,CHOOSE(PA_4,"E","A","B",IF(Prof_TB=1,"B","C")),"")</f>
        <v/>
      </c>
    </row>
    <row r="99" customFormat="false" ht="15" hidden="false" customHeight="true" outlineLevel="0" collapsed="false">
      <c r="B99" s="1" t="s">
        <v>3004</v>
      </c>
      <c r="C99" s="103" t="str">
        <f aca="false">IF(Prof_TB=1,"B",IF(Prof_TA=1,"A",IF(Prof_TC=1,"C","E")))</f>
        <v>B</v>
      </c>
    </row>
    <row r="100" customFormat="false" ht="15" hidden="false" customHeight="true" outlineLevel="0" collapsed="false">
      <c r="B100" s="1" t="s">
        <v>3005</v>
      </c>
      <c r="C100" s="103" t="str">
        <f aca="false">IF(Prof_DiscCount&lt;4,"",IF(Prof_TiedN=1,IF(Prof_TA=1,"A",IF(Prof_TB=1,"B",IF(Prof_TE=1,"E","C"))),IF(Prof_L2&lt;&gt;"",Prof_L2,IF(Prof_Q4L&lt;&gt;"",Prof_Q4L,Prof_First))))</f>
        <v/>
      </c>
    </row>
    <row r="101" customFormat="false" ht="15" hidden="false" customHeight="true" outlineLevel="0" collapsed="false">
      <c r="B101" s="1" t="s">
        <v>3006</v>
      </c>
      <c r="C101" s="103" t="str">
        <f aca="false">IF(Prof_TypeKey="","",IF(Prof_TypeKey="A","Achiever",IF(Prof_TypeKey="B","Balancer",IF(Prof_TypeKey="E","Explorer","Contented"))))</f>
        <v/>
      </c>
    </row>
    <row r="102" customFormat="false" ht="15" hidden="false" customHeight="true" outlineLevel="0" collapsed="false">
      <c r="B102" s="1" t="s">
        <v>3007</v>
      </c>
      <c r="C102" s="103" t="n">
        <f aca="false">IF(PA_6&gt;0,SUMIFS('Plan profile'!$C$23:$C$75,Prof_Key,"6|"&amp;PA_6),-1)</f>
        <v>-1</v>
      </c>
    </row>
    <row r="103" customFormat="false" ht="15" hidden="false" customHeight="true" outlineLevel="0" collapsed="false">
      <c r="B103" s="1" t="s">
        <v>3008</v>
      </c>
      <c r="C103" s="103" t="n">
        <f aca="false">IF(PA_7&gt;0,SUMIFS('Plan profile'!$C$23:$C$75,Prof_Key,"7|"&amp;PA_7),-1)</f>
        <v>-1</v>
      </c>
    </row>
    <row r="104" customFormat="false" ht="15" hidden="false" customHeight="true" outlineLevel="0" collapsed="false">
      <c r="B104" s="1" t="s">
        <v>3009</v>
      </c>
      <c r="C104" s="103" t="n">
        <f aca="false">IF(PA_8&gt;0,SUMIFS('Plan profile'!$C$23:$C$75,Prof_Key,"8|"&amp;PA_8),-1)</f>
        <v>-1</v>
      </c>
    </row>
    <row r="105" customFormat="false" ht="15" hidden="false" customHeight="true" outlineLevel="0" collapsed="false">
      <c r="B105" s="1" t="s">
        <v>3010</v>
      </c>
      <c r="C105" s="103" t="n">
        <f aca="false">IF(PA_9&gt;0,SUMIFS('Plan profile'!$C$23:$C$75,Prof_Key,"9|"&amp;PA_9),-1)</f>
        <v>-1</v>
      </c>
    </row>
    <row r="106" customFormat="false" ht="15" hidden="false" customHeight="true" outlineLevel="0" collapsed="false">
      <c r="B106" s="1" t="s">
        <v>3011</v>
      </c>
      <c r="C106" s="103" t="n">
        <f aca="false">IF(Prof_UmCount=13,1,0)</f>
        <v>0</v>
      </c>
    </row>
    <row r="107" customFormat="false" ht="15" hidden="false" customHeight="true" outlineLevel="0" collapsed="false">
      <c r="B107" s="1" t="s">
        <v>3012</v>
      </c>
      <c r="C107" s="103" t="n">
        <f aca="false">IF(COUNTIFS(GL_Kind,"pot",GL_AgeRaw,"&gt;"&amp;(F_Age+2))=0,9999,_xlfn.MINIFS(GL_AgeRaw,GL_Kind,"pot",GL_AgeRaw,"&gt;"&amp;(F_Age+2)))</f>
        <v>9999</v>
      </c>
    </row>
    <row r="108" customFormat="false" ht="15" hidden="false" customHeight="true" outlineLevel="0" collapsed="false">
      <c r="B108" s="1" t="s">
        <v>3013</v>
      </c>
      <c r="C108" s="103" t="n">
        <f aca="false">MIN(IF(COUNTIFS(GL_Kind,"spend",GL_AgeRaw,"&gt;"&amp;(F_Age+2),GL_Saved,"&lt;=0")=0,9999,_xlfn.MINIFS(GL_AgeRaw,GL_Kind,"spend",GL_AgeRaw,"&gt;"&amp;(F_Age+2),GL_Saved,"&lt;=0")),IF(COUNTIFS(GL_Kind,"mfree",GL_AgeRaw,"&gt;"&amp;(F_Age+2),GL_Saved,"&lt;=0")=0,9999,_xlfn.MINIFS(GL_AgeRaw,GL_Kind,"mfree",GL_AgeRaw,"&gt;"&amp;(F_Age+2),GL_Saved,"&lt;=0")),IF(COUNTIFS(GL_Kind,"pot",GL_AgeRaw,"&gt;"&amp;(F_Age+2),GL_Saved,"&lt;=0")=0,9999,_xlfn.MINIFS(GL_AgeRaw,GL_Kind,"pot",GL_AgeRaw,"&gt;"&amp;(F_Age+2),GL_Saved,"&lt;=0")),IF(COUNTIFS(GL_Kind,"legacy",GL_AgeRaw,"&gt;"&amp;(F_Age+2),GL_Saved,"&lt;=0")=0,9999,_xlfn.MINIFS(GL_AgeRaw,GL_Kind,"legacy",GL_AgeRaw,"&gt;"&amp;(F_Age+2),GL_Saved,"&lt;=0")))</f>
        <v>9999</v>
      </c>
    </row>
    <row r="109" customFormat="false" ht="15" hidden="false" customHeight="true" outlineLevel="0" collapsed="false">
      <c r="B109" s="1" t="s">
        <v>3014</v>
      </c>
      <c r="C109" s="103" t="n">
        <f aca="false">IF(IF(Prof_PotAge&lt;9999,Prof_PotAge-F_Age,IF(Prof_OtherAge&lt;9999,Prof_OtherAge-F_Age,F_R-F_Age+10))&lt;=2,0,IF(IF(Prof_PotAge&lt;9999,Prof_PotAge-F_Age,IF(Prof_OtherAge&lt;9999,Prof_OtherAge-F_Age,F_R-F_Age+10))&lt;=5,1,IF(IF(Prof_PotAge&lt;9999,Prof_PotAge-F_Age,IF(Prof_OtherAge&lt;9999,Prof_OtherAge-F_Age,F_R-F_Age+10))&lt;=10,2,3)))</f>
        <v>3</v>
      </c>
    </row>
    <row r="110" customFormat="false" ht="15" hidden="false" customHeight="true" outlineLevel="0" collapsed="false">
      <c r="B110" s="1" t="s">
        <v>3015</v>
      </c>
      <c r="C110" s="103" t="n">
        <f aca="false">IF(PA_u9&gt;0,PA_u9-1,Prof_SuggestU9)</f>
        <v>3</v>
      </c>
    </row>
    <row r="111" customFormat="false" ht="15" hidden="false" customHeight="true" outlineLevel="0" collapsed="false">
      <c r="B111" s="1" t="s">
        <v>3016</v>
      </c>
      <c r="C111" s="103" t="str">
        <f aca="false">IF(OR(Prof_q8&lt;0,Prof_q9&lt;0),"",MIN(Prof_q8+IF(AND(Prof_q9=4,Prof_q8&gt;=3),1,0),IF(Prof_q9=1,2,IF(Prof_q9=2,3,5))))</f>
        <v/>
      </c>
    </row>
    <row r="112" customFormat="false" ht="15" hidden="false" customHeight="true" outlineLevel="0" collapsed="false">
      <c r="B112" s="1" t="s">
        <v>3017</v>
      </c>
      <c r="C112" s="103" t="str">
        <f aca="false">IF(Prof_T="","",MIN(IF(Prof_q7=2,3,5),IF(Prof_q7=1,2,5),IF(Prof_Full=1,IF(PA_u10=1,2,IF(PA_u10=2,3,IF(PA_u10=3,4,5))),5),IF(Prof_Full=1,IF(PA_u12=1,2,IF(PA_u12=2,4,5)),5),IF(Prof_Full=1,IF(PA_u14=1,2,IF(PA_u14=2,3,5)),5),IF(AND(Has_cash=1,Has_costsM=1,F_CostsM&gt;0,F_Cash&lt;3*F_CostsM),3,5)))</f>
        <v/>
      </c>
    </row>
    <row r="113" customFormat="false" ht="15" hidden="false" customHeight="true" outlineLevel="0" collapsed="false">
      <c r="B113" s="1" t="s">
        <v>3018</v>
      </c>
      <c r="C113" s="103" t="str">
        <f aca="false">IF(Prof_T="","",CHOOSE(Prof_Wait+1,1,2,4,5))</f>
        <v/>
      </c>
    </row>
    <row r="114" customFormat="false" ht="15" hidden="false" customHeight="true" outlineLevel="0" collapsed="false">
      <c r="B114" s="1" t="s">
        <v>3019</v>
      </c>
      <c r="C114" s="103" t="str">
        <f aca="false">IF(Prof_T="","",IF(OR(Prof_Full=0,PA_u11=0),3,MIN(CHOOSE(PA_u11,3,4,5,IF(PA_chipShares=1,5,4)),IF(AND(PA_u11&gt;=3,PA_chipsN&gt;0,PA_chipsSafe=1),4,9))))</f>
        <v/>
      </c>
    </row>
    <row r="115" customFormat="false" ht="15" hidden="false" customHeight="true" outlineLevel="0" collapsed="false">
      <c r="B115" s="1" t="s">
        <v>3020</v>
      </c>
      <c r="C115" s="103" t="str">
        <f aca="false">IF(Prof_T="","",MIN(Prof_T,Prof_C,Prof_H,Prof_KE))</f>
        <v/>
      </c>
    </row>
    <row r="116" customFormat="false" ht="15" hidden="false" customHeight="true" outlineLevel="0" collapsed="false">
      <c r="B116" s="1" t="s">
        <v>3021</v>
      </c>
      <c r="C116" s="103" t="str">
        <f aca="false">IF(Prof_Level="","",CHOOSE(Prof_Level,"Cautious","Cautious–balanced","Balanced","Balanced–growth","Growth"))</f>
        <v/>
      </c>
    </row>
    <row r="117" customFormat="false" ht="15" hidden="false" customHeight="true" outlineLevel="0" collapsed="false">
      <c r="B117" s="1" t="s">
        <v>3022</v>
      </c>
      <c r="C117" s="103" t="str">
        <f aca="false">IF(Prof_Level="","",IF(Prof_Level=Prof_T,"want",IF(Prof_Level=Prof_C,"can",IF(Prof_Level=Prof_H,"time","experience"))))</f>
        <v/>
      </c>
    </row>
    <row r="118" customFormat="false" ht="15" hidden="false" customHeight="true" outlineLevel="0" collapsed="false">
      <c r="B118" s="1" t="s">
        <v>3023</v>
      </c>
      <c r="C118" s="103" t="str">
        <f aca="false">IF(Prof_q8&lt;=0,"",CHOOSE(Prof_q8,"Steady","Mostly steady","Balanced","Adventurous"))</f>
        <v/>
      </c>
    </row>
    <row r="119" customFormat="false" ht="15" hidden="false" customHeight="true" outlineLevel="0" collapsed="false">
      <c r="B119" s="1" t="s">
        <v>3024</v>
      </c>
      <c r="C119" s="103" t="str">
        <f aca="false">IF(Prof_q7&lt;0,"",IF(Prof_q7=4,"Strong","Thin"))</f>
        <v/>
      </c>
    </row>
    <row r="120" customFormat="false" ht="15" hidden="false" customHeight="true" outlineLevel="0" collapsed="false">
      <c r="B120" s="1" t="s">
        <v>3025</v>
      </c>
      <c r="C120" s="103" t="n">
        <f aca="false">IF(Prof_Full=1,0,1)</f>
        <v>1</v>
      </c>
    </row>
    <row r="121" customFormat="false" ht="15" hidden="false" customHeight="true" outlineLevel="0" collapsed="false">
      <c r="B121" s="1" t="s">
        <v>3026</v>
      </c>
      <c r="C121" s="103" t="n">
        <f aca="false">IF(Prof_q8&gt;=3,1,0)</f>
        <v>0</v>
      </c>
    </row>
    <row r="122" customFormat="false" ht="15" hidden="false" customHeight="true" outlineLevel="0" collapsed="false">
      <c r="B122" s="1" t="s">
        <v>3027</v>
      </c>
      <c r="C122" s="103" t="n">
        <f aca="false">IF(AND(Prof_q8&gt;=1,Prof_q8&lt;=2),1,0)</f>
        <v>0</v>
      </c>
    </row>
    <row r="123" customFormat="false" ht="15" hidden="false" customHeight="true" outlineLevel="0" collapsed="false">
      <c r="B123" s="1" t="s">
        <v>3028</v>
      </c>
      <c r="C123" s="103" t="n">
        <f aca="false">IF(Prof_q9&gt;=3,1,0)</f>
        <v>0</v>
      </c>
    </row>
    <row r="124" customFormat="false" ht="15" hidden="false" customHeight="true" outlineLevel="0" collapsed="false">
      <c r="B124" s="1" t="s">
        <v>3029</v>
      </c>
      <c r="C124" s="103" t="n">
        <f aca="false">IF(AND(Prof_q9&gt;=1,Prof_q9&lt;=2),1,0)</f>
        <v>0</v>
      </c>
    </row>
    <row r="125" customFormat="false" ht="15" hidden="false" customHeight="true" outlineLevel="0" collapsed="false">
      <c r="B125" s="1" t="s">
        <v>3030</v>
      </c>
      <c r="C125" s="103" t="n">
        <f aca="false">IF(OR(AND(Prof_q7&gt;=0,Prof_q7&lt;=2),AND(Prof_Full=1,PA_u14&gt;0,PA_u14&lt;=2)),1,0)</f>
        <v>0</v>
      </c>
    </row>
    <row r="126" customFormat="false" ht="15" hidden="false" customHeight="true" outlineLevel="0" collapsed="false">
      <c r="B126" s="1" t="s">
        <v>3031</v>
      </c>
      <c r="C126" s="103" t="n">
        <f aca="false">IF(AND(Prof_Full=1,Prof_H&lt;&gt;"",Prof_H&lt;=2),1,0)</f>
        <v>0</v>
      </c>
    </row>
    <row r="127" customFormat="false" ht="15" hidden="false" customHeight="true" outlineLevel="0" collapsed="false">
      <c r="B127" s="1" t="s">
        <v>3032</v>
      </c>
      <c r="C127" s="103" t="n">
        <f aca="false">IF(AND(Prof_Full=1,Prof_C&lt;&gt;"",Prof_C&lt;=2),1,0)</f>
        <v>0</v>
      </c>
    </row>
    <row r="128" customFormat="false" ht="15" hidden="false" customHeight="true" outlineLevel="0" collapsed="false">
      <c r="B128" s="1" t="s">
        <v>3033</v>
      </c>
      <c r="C128" s="103" t="n">
        <f aca="false">IF(OR(Prof_Thin=1,Prof_LossLo=1,Prof_ShortT=1),1,0)</f>
        <v>0</v>
      </c>
    </row>
    <row r="129" customFormat="false" ht="15" hidden="false" customHeight="true" outlineLevel="0" collapsed="false">
      <c r="B129" s="1" t="s">
        <v>3034</v>
      </c>
      <c r="C129" s="103" t="n">
        <f aca="false">IF(Prof_Level="",0,IF(Prof_Full=1,IF(AND(Prof_C&gt;=4,Prof_H&gt;=4),1,0),IF(AND(Prof_q7=4,Prof_q6&gt;=3),1,0)))</f>
        <v>0</v>
      </c>
    </row>
    <row r="130" customFormat="false" ht="15" hidden="false" customHeight="true" outlineLevel="0" collapsed="false">
      <c r="B130" s="1" t="s">
        <v>3035</v>
      </c>
      <c r="C130" s="103" t="str">
        <f aca="false">IF(Prof_Level="","",IF(AND(Prof_WantLo=1,Prof_CompLo=1,Prof_CapLo=1),"K16",IF(AND(Prof_WantHi=1,Prof_CapLo=1),IF(Prof_Thin=1,"K14c",IF(Prof_LossLo=1,"K14l","K14t")),IF(AND(Prof_WantHi=1,Prof_CompLo=1),"K13",IF(AND(Prof_WantLo=1,Prof_CapHi=1),"K15",IF(AND(Prof_Full=1,Prof_WantHi=1,Prof_CompHi=1,Prof_CapHi=1,PA_u11&gt;=2,PA_u11&lt;&gt;4),"K17","OK"))))))</f>
        <v/>
      </c>
    </row>
    <row r="131" customFormat="false" ht="15" hidden="false" customHeight="true" outlineLevel="0" collapsed="false">
      <c r="B131" s="1" t="s">
        <v>3036</v>
      </c>
      <c r="C131" s="103" t="str">
        <f aca="false">IF(Prof_DiscEnough=0,"Risk profile: not enough answers yet","Risk profile"&amp;IF(AND(Prof_Provisional=1,Prof_Label&lt;&gt;"")," (first read)","")&amp;": "&amp;IF(Prof_Label="","Not answered yet",Prof_Label)&amp;" · "&amp;IF(Prof_Full=1,"from your profile in Me","Finish in Me to confirm"))</f>
        <v>Risk profile: not enough answers yet</v>
      </c>
    </row>
    <row r="132" customFormat="false" ht="15" hidden="false" customHeight="true" outlineLevel="0" collapsed="false">
      <c r="B132" s="1" t="s">
        <v>3037</v>
      </c>
      <c r="C132" s="103" t="str">
        <f aca="false">MID(IF(IF(PA_2&gt;0,INDEX('Plan profile'!$H$23:$H$75,MATCH("2|"&amp;PA_2,Prof_Key,0)),"")="","","|"&amp;IF(PA_2&gt;0,INDEX('Plan profile'!$H$23:$H$75,MATCH("2|"&amp;PA_2,Prof_Key,0)),""))&amp;IF(IF(PA_12&gt;0,INDEX('Plan profile'!$H$23:$H$75,MATCH("12|"&amp;PA_12,Prof_Key,0)),"")="","","|"&amp;IF(PA_12&gt;0,INDEX('Plan profile'!$H$23:$H$75,MATCH("12|"&amp;PA_12,Prof_Key,0)),"")),2,500)</f>
        <v/>
      </c>
    </row>
    <row r="133" customFormat="false" ht="15" hidden="false" customHeight="true" outlineLevel="0" collapsed="false">
      <c r="B133" s="1" t="s">
        <v>3038</v>
      </c>
      <c r="C133" s="103" t="str">
        <f aca="false">MID(IF(IF(PA_4&gt;0,INDEX('Plan profile'!$H$23:$H$75,MATCH("4|"&amp;PA_4,Prof_Key,0)),"")="","","|"&amp;IF(PA_4&gt;0,INDEX('Plan profile'!$H$23:$H$75,MATCH("4|"&amp;PA_4,Prof_Key,0)),""))&amp;IF(IF(PA_9&gt;0,INDEX('Plan profile'!$H$23:$H$75,MATCH("9|"&amp;PA_9,Prof_Key,0)),"")="","","|"&amp;IF(PA_9&gt;0,INDEX('Plan profile'!$H$23:$H$75,MATCH("9|"&amp;PA_9,Prof_Key,0)),""))&amp;IF(IF(PA_u4=4,"Procrastination · Status quo bias","")="","","|"&amp;IF(PA_u4=4,"Procrastination · Status quo bias",""))&amp;IF(IF(PA_u11=4,"Overconfidence bias","")="","","|"&amp;IF(PA_u11=4,"Overconfidence bias","")),2,500)</f>
        <v/>
      </c>
    </row>
    <row r="134" customFormat="false" ht="15" hidden="false" customHeight="true" outlineLevel="0" collapsed="false">
      <c r="B134" s="1" t="s">
        <v>3039</v>
      </c>
      <c r="C134" s="103" t="str">
        <f aca="false">MID(IF(IF(PA_8&gt;0,INDEX('Plan profile'!$H$23:$H$75,MATCH("8|"&amp;PA_8,Prof_Key,0)),"")="","","|"&amp;IF(PA_8&gt;0,INDEX('Plan profile'!$H$23:$H$75,MATCH("8|"&amp;PA_8,Prof_Key,0)),"")),2,500)</f>
        <v/>
      </c>
    </row>
    <row r="135" customFormat="false" ht="15" hidden="false" customHeight="true" outlineLevel="0" collapsed="false">
      <c r="B135" s="1" t="s">
        <v>3040</v>
      </c>
      <c r="C135" s="103" t="str">
        <f aca="false">MID(IF(IF(PA_7&gt;0,INDEX('Plan profile'!$H$23:$H$75,MATCH("7|"&amp;PA_7,Prof_Key,0)),"")="","","|"&amp;IF(PA_7&gt;0,INDEX('Plan profile'!$H$23:$H$75,MATCH("7|"&amp;PA_7,Prof_Key,0)),""))&amp;IF(IF(PA_6&gt;0,INDEX('Plan profile'!$H$23:$H$75,MATCH("6|"&amp;PA_6,Prof_Key,0)),"")="","","|"&amp;IF(PA_6&gt;0,INDEX('Plan profile'!$H$23:$H$75,MATCH("6|"&amp;PA_6,Prof_Key,0)),"")),2,500)</f>
        <v/>
      </c>
    </row>
  </sheetData>
  <mergeCells count="1">
    <mergeCell ref="B2:H2"/>
  </mergeCells>
  <dataValidations count="4">
    <dataValidation allowBlank="true" error="Option picked: allowed 1 to 4 (whole numbers)" errorStyle="stop" errorTitle="Outside the allowed range" operator="between" showDropDown="false" showErrorMessage="true" showInputMessage="false" sqref="C5:C6 C8:C17" type="whole">
      <formula1>1</formula1>
      <formula2>4</formula2>
    </dataValidation>
    <dataValidation allowBlank="true" error="How many chips: allowed 0 to 7 (whole numbers)" errorStyle="stop" errorTitle="Outside the allowed range" operator="between" showDropDown="false" showErrorMessage="true" showInputMessage="false" sqref="C18" type="whole">
      <formula1>0</formula1>
      <formula2>7</formula2>
    </dataValidation>
    <dataValidation allowBlank="true" error="Choose one of: Yes,No" errorStyle="stop" errorTitle="Not in the list" operator="between" showDropDown="false" showErrorMessage="true" showInputMessage="false" sqref="C19" type="list">
      <formula1>"Yes,No"</formula1>
      <formula2>0</formula2>
    </dataValidation>
    <dataValidation allowBlank="true" error="Choose one of: Yes,No" errorStyle="stop" errorTitle="Not in the list" operator="between" showDropDown="false" showErrorMessage="true" showInputMessage="false" sqref="C2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A1:DG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2" min="2" style="1" width="6"/>
    <col collapsed="false" customWidth="true" hidden="false" outlineLevel="0" max="3" min="3" style="1" width="12"/>
    <col collapsed="false" customWidth="true" hidden="false" outlineLevel="0" max="27" min="4" style="1" width="10"/>
    <col collapsed="false" customWidth="true" hidden="false" outlineLevel="0" max="30" min="28" style="1" width="12"/>
    <col collapsed="false" customWidth="true" hidden="false" outlineLevel="0" max="54" min="31" style="1" width="10"/>
    <col collapsed="false" customWidth="true" hidden="false" outlineLevel="0" max="57" min="55" style="1" width="12"/>
    <col collapsed="false" customWidth="true" hidden="false" outlineLevel="0" max="81" min="58" style="1" width="10"/>
    <col collapsed="false" customWidth="true" hidden="false" outlineLevel="0" max="84" min="82" style="1" width="12"/>
    <col collapsed="false" customWidth="true" hidden="false" outlineLevel="0" max="108" min="85" style="1" width="10"/>
    <col collapsed="false" customWidth="true" hidden="false" outlineLevel="0" max="111" min="109" style="1" width="12"/>
  </cols>
  <sheetData>
    <row r="1" customFormat="false" ht="17.25" hidden="false" customHeight="true" outlineLevel="0" collapsed="false">
      <c r="B1" s="90" t="s">
        <v>3041</v>
      </c>
    </row>
    <row r="2" customFormat="false" ht="39.75" hidden="false" customHeight="true" outlineLevel="0" collapsed="false">
      <c r="B2" s="91" t="s">
        <v>3042</v>
      </c>
      <c r="C2" s="91"/>
      <c r="D2" s="91"/>
      <c r="E2" s="91"/>
      <c r="F2" s="91"/>
      <c r="G2" s="91"/>
      <c r="H2" s="91"/>
      <c r="I2" s="91"/>
      <c r="J2" s="91"/>
      <c r="K2" s="91"/>
      <c r="L2" s="91"/>
    </row>
    <row r="6" customFormat="false" ht="81.75" hidden="false" customHeight="true" outlineLevel="0" collapsed="false">
      <c r="A6" s="93" t="s">
        <v>1861</v>
      </c>
      <c r="B6" s="100" t="s">
        <v>1862</v>
      </c>
      <c r="C6" s="100" t="s">
        <v>3043</v>
      </c>
      <c r="D6" s="100" t="s">
        <v>3044</v>
      </c>
      <c r="E6" s="100" t="s">
        <v>3045</v>
      </c>
      <c r="F6" s="100" t="s">
        <v>3046</v>
      </c>
      <c r="G6" s="100" t="s">
        <v>3047</v>
      </c>
      <c r="H6" s="100" t="s">
        <v>3048</v>
      </c>
      <c r="I6" s="100" t="s">
        <v>3049</v>
      </c>
      <c r="J6" s="100" t="s">
        <v>3050</v>
      </c>
      <c r="K6" s="100" t="s">
        <v>3051</v>
      </c>
      <c r="L6" s="100" t="s">
        <v>3052</v>
      </c>
      <c r="M6" s="100" t="s">
        <v>3053</v>
      </c>
      <c r="N6" s="100" t="s">
        <v>3054</v>
      </c>
      <c r="O6" s="100" t="s">
        <v>3055</v>
      </c>
      <c r="P6" s="100" t="s">
        <v>3056</v>
      </c>
      <c r="Q6" s="100" t="s">
        <v>3057</v>
      </c>
      <c r="R6" s="100" t="s">
        <v>3058</v>
      </c>
      <c r="S6" s="100" t="s">
        <v>3059</v>
      </c>
      <c r="T6" s="100" t="s">
        <v>3060</v>
      </c>
      <c r="U6" s="100" t="s">
        <v>3061</v>
      </c>
      <c r="V6" s="100" t="s">
        <v>3062</v>
      </c>
      <c r="W6" s="100" t="s">
        <v>3063</v>
      </c>
      <c r="X6" s="100" t="s">
        <v>3064</v>
      </c>
      <c r="Y6" s="100" t="s">
        <v>3065</v>
      </c>
      <c r="Z6" s="100" t="s">
        <v>3066</v>
      </c>
      <c r="AA6" s="100" t="s">
        <v>3067</v>
      </c>
      <c r="AB6" s="100" t="s">
        <v>3068</v>
      </c>
      <c r="AC6" s="100" t="s">
        <v>3069</v>
      </c>
      <c r="AD6" s="100" t="s">
        <v>3070</v>
      </c>
      <c r="AE6" s="100" t="s">
        <v>3071</v>
      </c>
      <c r="AF6" s="100" t="s">
        <v>3072</v>
      </c>
      <c r="AG6" s="100" t="s">
        <v>3073</v>
      </c>
      <c r="AH6" s="100" t="s">
        <v>3074</v>
      </c>
      <c r="AI6" s="100" t="s">
        <v>3075</v>
      </c>
      <c r="AJ6" s="100" t="s">
        <v>3076</v>
      </c>
      <c r="AK6" s="100" t="s">
        <v>3077</v>
      </c>
      <c r="AL6" s="100" t="s">
        <v>3078</v>
      </c>
      <c r="AM6" s="100" t="s">
        <v>3079</v>
      </c>
      <c r="AN6" s="100" t="s">
        <v>3080</v>
      </c>
      <c r="AO6" s="100" t="s">
        <v>3081</v>
      </c>
      <c r="AP6" s="100" t="s">
        <v>3082</v>
      </c>
      <c r="AQ6" s="100" t="s">
        <v>3083</v>
      </c>
      <c r="AR6" s="100" t="s">
        <v>3084</v>
      </c>
      <c r="AS6" s="100" t="s">
        <v>3085</v>
      </c>
      <c r="AT6" s="100" t="s">
        <v>3086</v>
      </c>
      <c r="AU6" s="100" t="s">
        <v>3087</v>
      </c>
      <c r="AV6" s="100" t="s">
        <v>3088</v>
      </c>
      <c r="AW6" s="100" t="s">
        <v>3089</v>
      </c>
      <c r="AX6" s="100" t="s">
        <v>3090</v>
      </c>
      <c r="AY6" s="100" t="s">
        <v>3091</v>
      </c>
      <c r="AZ6" s="100" t="s">
        <v>3092</v>
      </c>
      <c r="BA6" s="100" t="s">
        <v>3093</v>
      </c>
      <c r="BB6" s="100" t="s">
        <v>3094</v>
      </c>
      <c r="BC6" s="100" t="s">
        <v>3095</v>
      </c>
      <c r="BD6" s="100" t="s">
        <v>3096</v>
      </c>
      <c r="BE6" s="100" t="s">
        <v>3097</v>
      </c>
      <c r="BF6" s="100" t="s">
        <v>3098</v>
      </c>
      <c r="BG6" s="100" t="s">
        <v>3099</v>
      </c>
      <c r="BH6" s="100" t="s">
        <v>3100</v>
      </c>
      <c r="BI6" s="100" t="s">
        <v>3101</v>
      </c>
      <c r="BJ6" s="100" t="s">
        <v>3102</v>
      </c>
      <c r="BK6" s="100" t="s">
        <v>3103</v>
      </c>
      <c r="BL6" s="100" t="s">
        <v>3104</v>
      </c>
      <c r="BM6" s="100" t="s">
        <v>3105</v>
      </c>
      <c r="BN6" s="100" t="s">
        <v>3106</v>
      </c>
      <c r="BO6" s="100" t="s">
        <v>3107</v>
      </c>
      <c r="BP6" s="100" t="s">
        <v>3108</v>
      </c>
      <c r="BQ6" s="100" t="s">
        <v>3109</v>
      </c>
      <c r="BR6" s="100" t="s">
        <v>3110</v>
      </c>
      <c r="BS6" s="100" t="s">
        <v>3111</v>
      </c>
      <c r="BT6" s="100" t="s">
        <v>3112</v>
      </c>
      <c r="BU6" s="100" t="s">
        <v>3113</v>
      </c>
      <c r="BV6" s="100" t="s">
        <v>3114</v>
      </c>
      <c r="BW6" s="100" t="s">
        <v>3115</v>
      </c>
      <c r="BX6" s="100" t="s">
        <v>3116</v>
      </c>
      <c r="BY6" s="100" t="s">
        <v>3117</v>
      </c>
      <c r="BZ6" s="100" t="s">
        <v>3118</v>
      </c>
      <c r="CA6" s="100" t="s">
        <v>3119</v>
      </c>
      <c r="CB6" s="100" t="s">
        <v>3120</v>
      </c>
      <c r="CC6" s="100" t="s">
        <v>3121</v>
      </c>
      <c r="CD6" s="100" t="s">
        <v>3122</v>
      </c>
      <c r="CE6" s="100" t="s">
        <v>3123</v>
      </c>
      <c r="CF6" s="100" t="s">
        <v>3124</v>
      </c>
      <c r="CG6" s="100" t="s">
        <v>3125</v>
      </c>
      <c r="CH6" s="100" t="s">
        <v>3126</v>
      </c>
      <c r="CI6" s="100" t="s">
        <v>3127</v>
      </c>
      <c r="CJ6" s="100" t="s">
        <v>3128</v>
      </c>
      <c r="CK6" s="100" t="s">
        <v>3129</v>
      </c>
      <c r="CL6" s="100" t="s">
        <v>3130</v>
      </c>
      <c r="CM6" s="100" t="s">
        <v>3131</v>
      </c>
      <c r="CN6" s="100" t="s">
        <v>3132</v>
      </c>
      <c r="CO6" s="100" t="s">
        <v>3133</v>
      </c>
      <c r="CP6" s="100" t="s">
        <v>3134</v>
      </c>
      <c r="CQ6" s="100" t="s">
        <v>3135</v>
      </c>
      <c r="CR6" s="100" t="s">
        <v>3136</v>
      </c>
      <c r="CS6" s="100" t="s">
        <v>3137</v>
      </c>
      <c r="CT6" s="100" t="s">
        <v>3138</v>
      </c>
      <c r="CU6" s="100" t="s">
        <v>3139</v>
      </c>
      <c r="CV6" s="100" t="s">
        <v>3140</v>
      </c>
      <c r="CW6" s="100" t="s">
        <v>3141</v>
      </c>
      <c r="CX6" s="100" t="s">
        <v>3142</v>
      </c>
      <c r="CY6" s="100" t="s">
        <v>3143</v>
      </c>
      <c r="CZ6" s="100" t="s">
        <v>3144</v>
      </c>
      <c r="DA6" s="100" t="s">
        <v>3145</v>
      </c>
      <c r="DB6" s="100" t="s">
        <v>3146</v>
      </c>
      <c r="DC6" s="100" t="s">
        <v>3147</v>
      </c>
      <c r="DD6" s="100" t="s">
        <v>3148</v>
      </c>
      <c r="DE6" s="100" t="s">
        <v>3149</v>
      </c>
      <c r="DF6" s="100" t="s">
        <v>3150</v>
      </c>
      <c r="DG6" s="100" t="s">
        <v>3151</v>
      </c>
    </row>
    <row r="7" customFormat="false" ht="15" hidden="false" customHeight="true" outlineLevel="0" collapsed="false">
      <c r="A7" s="1" t="s">
        <v>1931</v>
      </c>
      <c r="CF7" s="110" t="n">
        <f aca="false">F_MortBal</f>
        <v>0</v>
      </c>
      <c r="DE7" s="110" t="n">
        <f aca="false">F_MortBal</f>
        <v>0</v>
      </c>
    </row>
    <row r="8" customFormat="false" ht="15" hidden="false" customHeight="true" outlineLevel="0" collapsed="false">
      <c r="B8" s="1" t="n">
        <v>0</v>
      </c>
      <c r="C8" s="1" t="n">
        <f aca="false">'Plan cashflow'!I8</f>
        <v>0</v>
      </c>
      <c r="D8" s="1" t="n">
        <f aca="false">IF(C8&gt;PR_BalDone,C8+C8*(F_MR/12)-MIN(F_MortPayM,C8+C8*(F_MR/12)),C8)</f>
        <v>0</v>
      </c>
      <c r="E8" s="1" t="n">
        <f aca="false">IF(D8&gt;PR_BalDone,D8+D8*(F_MR/12)-MIN(F_MortPayM,D8+D8*(F_MR/12)),D8)</f>
        <v>0</v>
      </c>
      <c r="F8" s="1" t="n">
        <f aca="false">IF(E8&gt;PR_BalDone,E8+E8*(F_MR/12)-MIN(F_MortPayM,E8+E8*(F_MR/12)),E8)</f>
        <v>0</v>
      </c>
      <c r="G8" s="1" t="n">
        <f aca="false">IF(F8&gt;PR_BalDone,F8+F8*(F_MR/12)-MIN(F_MortPayM,F8+F8*(F_MR/12)),F8)</f>
        <v>0</v>
      </c>
      <c r="H8" s="1" t="n">
        <f aca="false">IF(G8&gt;PR_BalDone,G8+G8*(F_MR/12)-MIN(F_MortPayM,G8+G8*(F_MR/12)),G8)</f>
        <v>0</v>
      </c>
      <c r="I8" s="1" t="n">
        <f aca="false">IF(H8&gt;PR_BalDone,H8+H8*(F_MR/12)-MIN(F_MortPayM,H8+H8*(F_MR/12)),H8)</f>
        <v>0</v>
      </c>
      <c r="J8" s="1" t="n">
        <f aca="false">IF(I8&gt;PR_BalDone,I8+I8*(F_MR/12)-MIN(F_MortPayM,I8+I8*(F_MR/12)),I8)</f>
        <v>0</v>
      </c>
      <c r="K8" s="1" t="n">
        <f aca="false">IF(J8&gt;PR_BalDone,J8+J8*(F_MR/12)-MIN(F_MortPayM,J8+J8*(F_MR/12)),J8)</f>
        <v>0</v>
      </c>
      <c r="L8" s="1" t="n">
        <f aca="false">IF(K8&gt;PR_BalDone,K8+K8*(F_MR/12)-MIN(F_MortPayM,K8+K8*(F_MR/12)),K8)</f>
        <v>0</v>
      </c>
      <c r="M8" s="1" t="n">
        <f aca="false">IF(L8&gt;PR_BalDone,L8+L8*(F_MR/12)-MIN(F_MortPayM,L8+L8*(F_MR/12)),L8)</f>
        <v>0</v>
      </c>
      <c r="N8" s="1" t="n">
        <f aca="false">IF(M8&gt;PR_BalDone,M8+M8*(F_MR/12)-MIN(F_MortPayM,M8+M8*(F_MR/12)),M8)</f>
        <v>0</v>
      </c>
      <c r="O8" s="1" t="n">
        <f aca="false">IF(N8&gt;PR_BalDone,N8+N8*(F_MR/12)-MIN(F_MortPayM,N8+N8*(F_MR/12)),N8)</f>
        <v>0</v>
      </c>
      <c r="P8" s="1" t="n">
        <f aca="false">IF(C8&gt;PR_BalDone,MIN(F_MortPayM,C8+C8*(F_MR/12)),0)</f>
        <v>0</v>
      </c>
      <c r="Q8" s="1" t="n">
        <f aca="false">IF(D8&gt;PR_BalDone,MIN(F_MortPayM,D8+D8*(F_MR/12)),0)</f>
        <v>0</v>
      </c>
      <c r="R8" s="1" t="n">
        <f aca="false">IF(E8&gt;PR_BalDone,MIN(F_MortPayM,E8+E8*(F_MR/12)),0)</f>
        <v>0</v>
      </c>
      <c r="S8" s="1" t="n">
        <f aca="false">IF(F8&gt;PR_BalDone,MIN(F_MortPayM,F8+F8*(F_MR/12)),0)</f>
        <v>0</v>
      </c>
      <c r="T8" s="1" t="n">
        <f aca="false">IF(G8&gt;PR_BalDone,MIN(F_MortPayM,G8+G8*(F_MR/12)),0)</f>
        <v>0</v>
      </c>
      <c r="U8" s="1" t="n">
        <f aca="false">IF(H8&gt;PR_BalDone,MIN(F_MortPayM,H8+H8*(F_MR/12)),0)</f>
        <v>0</v>
      </c>
      <c r="V8" s="1" t="n">
        <f aca="false">IF(I8&gt;PR_BalDone,MIN(F_MortPayM,I8+I8*(F_MR/12)),0)</f>
        <v>0</v>
      </c>
      <c r="W8" s="1" t="n">
        <f aca="false">IF(J8&gt;PR_BalDone,MIN(F_MortPayM,J8+J8*(F_MR/12)),0)</f>
        <v>0</v>
      </c>
      <c r="X8" s="1" t="n">
        <f aca="false">IF(K8&gt;PR_BalDone,MIN(F_MortPayM,K8+K8*(F_MR/12)),0)</f>
        <v>0</v>
      </c>
      <c r="Y8" s="1" t="n">
        <f aca="false">IF(L8&gt;PR_BalDone,MIN(F_MortPayM,L8+L8*(F_MR/12)),0)</f>
        <v>0</v>
      </c>
      <c r="Z8" s="1" t="n">
        <f aca="false">IF(M8&gt;PR_BalDone,MIN(F_MortPayM,M8+M8*(F_MR/12)),0)</f>
        <v>0</v>
      </c>
      <c r="AA8" s="1" t="n">
        <f aca="false">IF(N8&gt;PR_BalDone,MIN(F_MortPayM,N8+N8*(F_MR/12)),0)</f>
        <v>0</v>
      </c>
      <c r="AB8" s="1" t="n">
        <f aca="false">MAX(0,O8)</f>
        <v>0</v>
      </c>
      <c r="AC8" s="1" t="n">
        <f aca="false">SUM(P8:AA8)</f>
        <v>0</v>
      </c>
      <c r="AD8" s="1" t="n">
        <f aca="false">'Plan cashflow'!L8</f>
        <v>0</v>
      </c>
      <c r="AE8" s="1" t="n">
        <f aca="false">IF(AD8&gt;PR_BalDone,AD8+AD8*(D_iC)-MIN(F_CardPayM,AD8+AD8*(D_iC)),AD8)</f>
        <v>0</v>
      </c>
      <c r="AF8" s="1" t="n">
        <f aca="false">IF(AE8&gt;PR_BalDone,AE8+AE8*(D_iC)-MIN(F_CardPayM,AE8+AE8*(D_iC)),AE8)</f>
        <v>0</v>
      </c>
      <c r="AG8" s="1" t="n">
        <f aca="false">IF(AF8&gt;PR_BalDone,AF8+AF8*(D_iC)-MIN(F_CardPayM,AF8+AF8*(D_iC)),AF8)</f>
        <v>0</v>
      </c>
      <c r="AH8" s="1" t="n">
        <f aca="false">IF(AG8&gt;PR_BalDone,AG8+AG8*(D_iC)-MIN(F_CardPayM,AG8+AG8*(D_iC)),AG8)</f>
        <v>0</v>
      </c>
      <c r="AI8" s="1" t="n">
        <f aca="false">IF(AH8&gt;PR_BalDone,AH8+AH8*(D_iC)-MIN(F_CardPayM,AH8+AH8*(D_iC)),AH8)</f>
        <v>0</v>
      </c>
      <c r="AJ8" s="1" t="n">
        <f aca="false">IF(AI8&gt;PR_BalDone,AI8+AI8*(D_iC)-MIN(F_CardPayM,AI8+AI8*(D_iC)),AI8)</f>
        <v>0</v>
      </c>
      <c r="AK8" s="1" t="n">
        <f aca="false">IF(AJ8&gt;PR_BalDone,AJ8+AJ8*(D_iC)-MIN(F_CardPayM,AJ8+AJ8*(D_iC)),AJ8)</f>
        <v>0</v>
      </c>
      <c r="AL8" s="1" t="n">
        <f aca="false">IF(AK8&gt;PR_BalDone,AK8+AK8*(D_iC)-MIN(F_CardPayM,AK8+AK8*(D_iC)),AK8)</f>
        <v>0</v>
      </c>
      <c r="AM8" s="1" t="n">
        <f aca="false">IF(AL8&gt;PR_BalDone,AL8+AL8*(D_iC)-MIN(F_CardPayM,AL8+AL8*(D_iC)),AL8)</f>
        <v>0</v>
      </c>
      <c r="AN8" s="1" t="n">
        <f aca="false">IF(AM8&gt;PR_BalDone,AM8+AM8*(D_iC)-MIN(F_CardPayM,AM8+AM8*(D_iC)),AM8)</f>
        <v>0</v>
      </c>
      <c r="AO8" s="1" t="n">
        <f aca="false">IF(AN8&gt;PR_BalDone,AN8+AN8*(D_iC)-MIN(F_CardPayM,AN8+AN8*(D_iC)),AN8)</f>
        <v>0</v>
      </c>
      <c r="AP8" s="1" t="n">
        <f aca="false">IF(AO8&gt;PR_BalDone,AO8+AO8*(D_iC)-MIN(F_CardPayM,AO8+AO8*(D_iC)),AO8)</f>
        <v>0</v>
      </c>
      <c r="AQ8" s="1" t="n">
        <f aca="false">IF(AD8&gt;PR_BalDone,MIN(F_CardPayM,AD8+AD8*(D_iC)),0)</f>
        <v>0</v>
      </c>
      <c r="AR8" s="1" t="n">
        <f aca="false">IF(AE8&gt;PR_BalDone,MIN(F_CardPayM,AE8+AE8*(D_iC)),0)</f>
        <v>0</v>
      </c>
      <c r="AS8" s="1" t="n">
        <f aca="false">IF(AF8&gt;PR_BalDone,MIN(F_CardPayM,AF8+AF8*(D_iC)),0)</f>
        <v>0</v>
      </c>
      <c r="AT8" s="1" t="n">
        <f aca="false">IF(AG8&gt;PR_BalDone,MIN(F_CardPayM,AG8+AG8*(D_iC)),0)</f>
        <v>0</v>
      </c>
      <c r="AU8" s="1" t="n">
        <f aca="false">IF(AH8&gt;PR_BalDone,MIN(F_CardPayM,AH8+AH8*(D_iC)),0)</f>
        <v>0</v>
      </c>
      <c r="AV8" s="1" t="n">
        <f aca="false">IF(AI8&gt;PR_BalDone,MIN(F_CardPayM,AI8+AI8*(D_iC)),0)</f>
        <v>0</v>
      </c>
      <c r="AW8" s="1" t="n">
        <f aca="false">IF(AJ8&gt;PR_BalDone,MIN(F_CardPayM,AJ8+AJ8*(D_iC)),0)</f>
        <v>0</v>
      </c>
      <c r="AX8" s="1" t="n">
        <f aca="false">IF(AK8&gt;PR_BalDone,MIN(F_CardPayM,AK8+AK8*(D_iC)),0)</f>
        <v>0</v>
      </c>
      <c r="AY8" s="1" t="n">
        <f aca="false">IF(AL8&gt;PR_BalDone,MIN(F_CardPayM,AL8+AL8*(D_iC)),0)</f>
        <v>0</v>
      </c>
      <c r="AZ8" s="1" t="n">
        <f aca="false">IF(AM8&gt;PR_BalDone,MIN(F_CardPayM,AM8+AM8*(D_iC)),0)</f>
        <v>0</v>
      </c>
      <c r="BA8" s="1" t="n">
        <f aca="false">IF(AN8&gt;PR_BalDone,MIN(F_CardPayM,AN8+AN8*(D_iC)),0)</f>
        <v>0</v>
      </c>
      <c r="BB8" s="1" t="n">
        <f aca="false">IF(AO8&gt;PR_BalDone,MIN(F_CardPayM,AO8+AO8*(D_iC)),0)</f>
        <v>0</v>
      </c>
      <c r="BC8" s="1" t="n">
        <f aca="false">MAX(0,AP8)</f>
        <v>0</v>
      </c>
      <c r="BD8" s="1" t="n">
        <f aca="false">SUM(AQ8:BB8)</f>
        <v>0</v>
      </c>
      <c r="BE8" s="1" t="n">
        <f aca="false">'Plan cashflow'!O8</f>
        <v>0</v>
      </c>
      <c r="BF8" s="1" t="n">
        <f aca="false">IF(BE8&gt;PR_BalDone,BE8+BE8*(D_iL)-MIN(F_LoanPayM,BE8+BE8*(D_iL)),BE8)</f>
        <v>0</v>
      </c>
      <c r="BG8" s="1" t="n">
        <f aca="false">IF(BF8&gt;PR_BalDone,BF8+BF8*(D_iL)-MIN(F_LoanPayM,BF8+BF8*(D_iL)),BF8)</f>
        <v>0</v>
      </c>
      <c r="BH8" s="1" t="n">
        <f aca="false">IF(BG8&gt;PR_BalDone,BG8+BG8*(D_iL)-MIN(F_LoanPayM,BG8+BG8*(D_iL)),BG8)</f>
        <v>0</v>
      </c>
      <c r="BI8" s="1" t="n">
        <f aca="false">IF(BH8&gt;PR_BalDone,BH8+BH8*(D_iL)-MIN(F_LoanPayM,BH8+BH8*(D_iL)),BH8)</f>
        <v>0</v>
      </c>
      <c r="BJ8" s="1" t="n">
        <f aca="false">IF(BI8&gt;PR_BalDone,BI8+BI8*(D_iL)-MIN(F_LoanPayM,BI8+BI8*(D_iL)),BI8)</f>
        <v>0</v>
      </c>
      <c r="BK8" s="1" t="n">
        <f aca="false">IF(BJ8&gt;PR_BalDone,BJ8+BJ8*(D_iL)-MIN(F_LoanPayM,BJ8+BJ8*(D_iL)),BJ8)</f>
        <v>0</v>
      </c>
      <c r="BL8" s="1" t="n">
        <f aca="false">IF(BK8&gt;PR_BalDone,BK8+BK8*(D_iL)-MIN(F_LoanPayM,BK8+BK8*(D_iL)),BK8)</f>
        <v>0</v>
      </c>
      <c r="BM8" s="1" t="n">
        <f aca="false">IF(BL8&gt;PR_BalDone,BL8+BL8*(D_iL)-MIN(F_LoanPayM,BL8+BL8*(D_iL)),BL8)</f>
        <v>0</v>
      </c>
      <c r="BN8" s="1" t="n">
        <f aca="false">IF(BM8&gt;PR_BalDone,BM8+BM8*(D_iL)-MIN(F_LoanPayM,BM8+BM8*(D_iL)),BM8)</f>
        <v>0</v>
      </c>
      <c r="BO8" s="1" t="n">
        <f aca="false">IF(BN8&gt;PR_BalDone,BN8+BN8*(D_iL)-MIN(F_LoanPayM,BN8+BN8*(D_iL)),BN8)</f>
        <v>0</v>
      </c>
      <c r="BP8" s="1" t="n">
        <f aca="false">IF(BO8&gt;PR_BalDone,BO8+BO8*(D_iL)-MIN(F_LoanPayM,BO8+BO8*(D_iL)),BO8)</f>
        <v>0</v>
      </c>
      <c r="BQ8" s="1" t="n">
        <f aca="false">IF(BP8&gt;PR_BalDone,BP8+BP8*(D_iL)-MIN(F_LoanPayM,BP8+BP8*(D_iL)),BP8)</f>
        <v>0</v>
      </c>
      <c r="BR8" s="1" t="n">
        <f aca="false">IF(BE8&gt;PR_BalDone,MIN(F_LoanPayM,BE8+BE8*(D_iL)),0)</f>
        <v>0</v>
      </c>
      <c r="BS8" s="1" t="n">
        <f aca="false">IF(BF8&gt;PR_BalDone,MIN(F_LoanPayM,BF8+BF8*(D_iL)),0)</f>
        <v>0</v>
      </c>
      <c r="BT8" s="1" t="n">
        <f aca="false">IF(BG8&gt;PR_BalDone,MIN(F_LoanPayM,BG8+BG8*(D_iL)),0)</f>
        <v>0</v>
      </c>
      <c r="BU8" s="1" t="n">
        <f aca="false">IF(BH8&gt;PR_BalDone,MIN(F_LoanPayM,BH8+BH8*(D_iL)),0)</f>
        <v>0</v>
      </c>
      <c r="BV8" s="1" t="n">
        <f aca="false">IF(BI8&gt;PR_BalDone,MIN(F_LoanPayM,BI8+BI8*(D_iL)),0)</f>
        <v>0</v>
      </c>
      <c r="BW8" s="1" t="n">
        <f aca="false">IF(BJ8&gt;PR_BalDone,MIN(F_LoanPayM,BJ8+BJ8*(D_iL)),0)</f>
        <v>0</v>
      </c>
      <c r="BX8" s="1" t="n">
        <f aca="false">IF(BK8&gt;PR_BalDone,MIN(F_LoanPayM,BK8+BK8*(D_iL)),0)</f>
        <v>0</v>
      </c>
      <c r="BY8" s="1" t="n">
        <f aca="false">IF(BL8&gt;PR_BalDone,MIN(F_LoanPayM,BL8+BL8*(D_iL)),0)</f>
        <v>0</v>
      </c>
      <c r="BZ8" s="1" t="n">
        <f aca="false">IF(BM8&gt;PR_BalDone,MIN(F_LoanPayM,BM8+BM8*(D_iL)),0)</f>
        <v>0</v>
      </c>
      <c r="CA8" s="1" t="n">
        <f aca="false">IF(BN8&gt;PR_BalDone,MIN(F_LoanPayM,BN8+BN8*(D_iL)),0)</f>
        <v>0</v>
      </c>
      <c r="CB8" s="1" t="n">
        <f aca="false">IF(BO8&gt;PR_BalDone,MIN(F_LoanPayM,BO8+BO8*(D_iL)),0)</f>
        <v>0</v>
      </c>
      <c r="CC8" s="1" t="n">
        <f aca="false">IF(BP8&gt;PR_BalDone,MIN(F_LoanPayM,BP8+BP8*(D_iL)),0)</f>
        <v>0</v>
      </c>
      <c r="CD8" s="1" t="n">
        <f aca="false">MAX(0,BQ8)</f>
        <v>0</v>
      </c>
      <c r="CE8" s="1" t="n">
        <f aca="false">SUM(BR8:CC8)</f>
        <v>0</v>
      </c>
      <c r="CF8" s="1" t="n">
        <f aca="false">IF(CF7&gt;1,DE7,CF7)</f>
        <v>0</v>
      </c>
      <c r="CG8" s="1" t="n">
        <f aca="false">IF(CF8&gt;PR_BalDone,CF8+CF8*(F_MR/12)-MIN(F_MortPayM,CF8+CF8*(F_MR/12)),CF8)</f>
        <v>0</v>
      </c>
      <c r="CH8" s="1" t="n">
        <f aca="false">IF(CG8&gt;PR_BalDone,CG8+CG8*(F_MR/12)-MIN(F_MortPayM,CG8+CG8*(F_MR/12)),CG8)</f>
        <v>0</v>
      </c>
      <c r="CI8" s="1" t="n">
        <f aca="false">IF(CH8&gt;PR_BalDone,CH8+CH8*(F_MR/12)-MIN(F_MortPayM,CH8+CH8*(F_MR/12)),CH8)</f>
        <v>0</v>
      </c>
      <c r="CJ8" s="1" t="n">
        <f aca="false">IF(CI8&gt;PR_BalDone,CI8+CI8*(F_MR/12)-MIN(F_MortPayM,CI8+CI8*(F_MR/12)),CI8)</f>
        <v>0</v>
      </c>
      <c r="CK8" s="1" t="n">
        <f aca="false">IF(CJ8&gt;PR_BalDone,CJ8+CJ8*(F_MR/12)-MIN(F_MortPayM,CJ8+CJ8*(F_MR/12)),CJ8)</f>
        <v>0</v>
      </c>
      <c r="CL8" s="1" t="n">
        <f aca="false">IF(CK8&gt;PR_BalDone,CK8+CK8*(F_MR/12)-MIN(F_MortPayM,CK8+CK8*(F_MR/12)),CK8)</f>
        <v>0</v>
      </c>
      <c r="CM8" s="1" t="n">
        <f aca="false">IF(CL8&gt;PR_BalDone,CL8+CL8*(F_MR/12)-MIN(F_MortPayM,CL8+CL8*(F_MR/12)),CL8)</f>
        <v>0</v>
      </c>
      <c r="CN8" s="1" t="n">
        <f aca="false">IF(CM8&gt;PR_BalDone,CM8+CM8*(F_MR/12)-MIN(F_MortPayM,CM8+CM8*(F_MR/12)),CM8)</f>
        <v>0</v>
      </c>
      <c r="CO8" s="1" t="n">
        <f aca="false">IF(CN8&gt;PR_BalDone,CN8+CN8*(F_MR/12)-MIN(F_MortPayM,CN8+CN8*(F_MR/12)),CN8)</f>
        <v>0</v>
      </c>
      <c r="CP8" s="1" t="n">
        <f aca="false">IF(CO8&gt;PR_BalDone,CO8+CO8*(F_MR/12)-MIN(F_MortPayM,CO8+CO8*(F_MR/12)),CO8)</f>
        <v>0</v>
      </c>
      <c r="CQ8" s="1" t="n">
        <f aca="false">IF(CP8&gt;PR_BalDone,CP8+CP8*(F_MR/12)-MIN(F_MortPayM,CP8+CP8*(F_MR/12)),CP8)</f>
        <v>0</v>
      </c>
      <c r="CR8" s="1" t="n">
        <f aca="false">IF(CQ8&gt;PR_BalDone,CQ8+CQ8*(F_MR/12)-MIN(F_MortPayM,CQ8+CQ8*(F_MR/12)),CQ8)</f>
        <v>0</v>
      </c>
      <c r="CS8" s="1" t="n">
        <f aca="false">IF(CF8&gt;PR_BalDone,MIN(F_MortPayM,CF8+CF8*(F_MR/12)),0)</f>
        <v>0</v>
      </c>
      <c r="CT8" s="1" t="n">
        <f aca="false">IF(CG8&gt;PR_BalDone,MIN(F_MortPayM,CG8+CG8*(F_MR/12)),0)</f>
        <v>0</v>
      </c>
      <c r="CU8" s="1" t="n">
        <f aca="false">IF(CH8&gt;PR_BalDone,MIN(F_MortPayM,CH8+CH8*(F_MR/12)),0)</f>
        <v>0</v>
      </c>
      <c r="CV8" s="1" t="n">
        <f aca="false">IF(CI8&gt;PR_BalDone,MIN(F_MortPayM,CI8+CI8*(F_MR/12)),0)</f>
        <v>0</v>
      </c>
      <c r="CW8" s="1" t="n">
        <f aca="false">IF(CJ8&gt;PR_BalDone,MIN(F_MortPayM,CJ8+CJ8*(F_MR/12)),0)</f>
        <v>0</v>
      </c>
      <c r="CX8" s="1" t="n">
        <f aca="false">IF(CK8&gt;PR_BalDone,MIN(F_MortPayM,CK8+CK8*(F_MR/12)),0)</f>
        <v>0</v>
      </c>
      <c r="CY8" s="1" t="n">
        <f aca="false">IF(CL8&gt;PR_BalDone,MIN(F_MortPayM,CL8+CL8*(F_MR/12)),0)</f>
        <v>0</v>
      </c>
      <c r="CZ8" s="1" t="n">
        <f aca="false">IF(CM8&gt;PR_BalDone,MIN(F_MortPayM,CM8+CM8*(F_MR/12)),0)</f>
        <v>0</v>
      </c>
      <c r="DA8" s="1" t="n">
        <f aca="false">IF(CN8&gt;PR_BalDone,MIN(F_MortPayM,CN8+CN8*(F_MR/12)),0)</f>
        <v>0</v>
      </c>
      <c r="DB8" s="1" t="n">
        <f aca="false">IF(CO8&gt;PR_BalDone,MIN(F_MortPayM,CO8+CO8*(F_MR/12)),0)</f>
        <v>0</v>
      </c>
      <c r="DC8" s="1" t="n">
        <f aca="false">IF(CP8&gt;PR_BalDone,MIN(F_MortPayM,CP8+CP8*(F_MR/12)),0)</f>
        <v>0</v>
      </c>
      <c r="DD8" s="1" t="n">
        <f aca="false">IF(CQ8&gt;PR_BalDone,MIN(F_MortPayM,CQ8+CQ8*(F_MR/12)),0)</f>
        <v>0</v>
      </c>
      <c r="DE8" s="1" t="n">
        <f aca="false">MAX(0,CR8)</f>
        <v>0</v>
      </c>
      <c r="DF8" s="1" t="n">
        <f aca="false">SUM(CS8:DD8)</f>
        <v>0</v>
      </c>
      <c r="DG8" s="1" t="n">
        <f aca="false">MAX(0,CF8)</f>
        <v>0</v>
      </c>
    </row>
    <row r="9" customFormat="false" ht="15" hidden="false" customHeight="true" outlineLevel="0" collapsed="false">
      <c r="B9" s="1" t="n">
        <v>1</v>
      </c>
      <c r="C9" s="1" t="n">
        <f aca="false">'Plan cashflow'!I9</f>
        <v>0</v>
      </c>
      <c r="D9" s="1" t="n">
        <f aca="false">IF(C9&gt;PR_BalDone,C9+C9*(F_MR/12)-MIN(F_MortPayM,C9+C9*(F_MR/12)),C9)</f>
        <v>0</v>
      </c>
      <c r="E9" s="1" t="n">
        <f aca="false">IF(D9&gt;PR_BalDone,D9+D9*(F_MR/12)-MIN(F_MortPayM,D9+D9*(F_MR/12)),D9)</f>
        <v>0</v>
      </c>
      <c r="F9" s="1" t="n">
        <f aca="false">IF(E9&gt;PR_BalDone,E9+E9*(F_MR/12)-MIN(F_MortPayM,E9+E9*(F_MR/12)),E9)</f>
        <v>0</v>
      </c>
      <c r="G9" s="1" t="n">
        <f aca="false">IF(F9&gt;PR_BalDone,F9+F9*(F_MR/12)-MIN(F_MortPayM,F9+F9*(F_MR/12)),F9)</f>
        <v>0</v>
      </c>
      <c r="H9" s="1" t="n">
        <f aca="false">IF(G9&gt;PR_BalDone,G9+G9*(F_MR/12)-MIN(F_MortPayM,G9+G9*(F_MR/12)),G9)</f>
        <v>0</v>
      </c>
      <c r="I9" s="1" t="n">
        <f aca="false">IF(H9&gt;PR_BalDone,H9+H9*(F_MR/12)-MIN(F_MortPayM,H9+H9*(F_MR/12)),H9)</f>
        <v>0</v>
      </c>
      <c r="J9" s="1" t="n">
        <f aca="false">IF(I9&gt;PR_BalDone,I9+I9*(F_MR/12)-MIN(F_MortPayM,I9+I9*(F_MR/12)),I9)</f>
        <v>0</v>
      </c>
      <c r="K9" s="1" t="n">
        <f aca="false">IF(J9&gt;PR_BalDone,J9+J9*(F_MR/12)-MIN(F_MortPayM,J9+J9*(F_MR/12)),J9)</f>
        <v>0</v>
      </c>
      <c r="L9" s="1" t="n">
        <f aca="false">IF(K9&gt;PR_BalDone,K9+K9*(F_MR/12)-MIN(F_MortPayM,K9+K9*(F_MR/12)),K9)</f>
        <v>0</v>
      </c>
      <c r="M9" s="1" t="n">
        <f aca="false">IF(L9&gt;PR_BalDone,L9+L9*(F_MR/12)-MIN(F_MortPayM,L9+L9*(F_MR/12)),L9)</f>
        <v>0</v>
      </c>
      <c r="N9" s="1" t="n">
        <f aca="false">IF(M9&gt;PR_BalDone,M9+M9*(F_MR/12)-MIN(F_MortPayM,M9+M9*(F_MR/12)),M9)</f>
        <v>0</v>
      </c>
      <c r="O9" s="1" t="n">
        <f aca="false">IF(N9&gt;PR_BalDone,N9+N9*(F_MR/12)-MIN(F_MortPayM,N9+N9*(F_MR/12)),N9)</f>
        <v>0</v>
      </c>
      <c r="P9" s="1" t="n">
        <f aca="false">IF(C9&gt;PR_BalDone,MIN(F_MortPayM,C9+C9*(F_MR/12)),0)</f>
        <v>0</v>
      </c>
      <c r="Q9" s="1" t="n">
        <f aca="false">IF(D9&gt;PR_BalDone,MIN(F_MortPayM,D9+D9*(F_MR/12)),0)</f>
        <v>0</v>
      </c>
      <c r="R9" s="1" t="n">
        <f aca="false">IF(E9&gt;PR_BalDone,MIN(F_MortPayM,E9+E9*(F_MR/12)),0)</f>
        <v>0</v>
      </c>
      <c r="S9" s="1" t="n">
        <f aca="false">IF(F9&gt;PR_BalDone,MIN(F_MortPayM,F9+F9*(F_MR/12)),0)</f>
        <v>0</v>
      </c>
      <c r="T9" s="1" t="n">
        <f aca="false">IF(G9&gt;PR_BalDone,MIN(F_MortPayM,G9+G9*(F_MR/12)),0)</f>
        <v>0</v>
      </c>
      <c r="U9" s="1" t="n">
        <f aca="false">IF(H9&gt;PR_BalDone,MIN(F_MortPayM,H9+H9*(F_MR/12)),0)</f>
        <v>0</v>
      </c>
      <c r="V9" s="1" t="n">
        <f aca="false">IF(I9&gt;PR_BalDone,MIN(F_MortPayM,I9+I9*(F_MR/12)),0)</f>
        <v>0</v>
      </c>
      <c r="W9" s="1" t="n">
        <f aca="false">IF(J9&gt;PR_BalDone,MIN(F_MortPayM,J9+J9*(F_MR/12)),0)</f>
        <v>0</v>
      </c>
      <c r="X9" s="1" t="n">
        <f aca="false">IF(K9&gt;PR_BalDone,MIN(F_MortPayM,K9+K9*(F_MR/12)),0)</f>
        <v>0</v>
      </c>
      <c r="Y9" s="1" t="n">
        <f aca="false">IF(L9&gt;PR_BalDone,MIN(F_MortPayM,L9+L9*(F_MR/12)),0)</f>
        <v>0</v>
      </c>
      <c r="Z9" s="1" t="n">
        <f aca="false">IF(M9&gt;PR_BalDone,MIN(F_MortPayM,M9+M9*(F_MR/12)),0)</f>
        <v>0</v>
      </c>
      <c r="AA9" s="1" t="n">
        <f aca="false">IF(N9&gt;PR_BalDone,MIN(F_MortPayM,N9+N9*(F_MR/12)),0)</f>
        <v>0</v>
      </c>
      <c r="AB9" s="1" t="n">
        <f aca="false">MAX(0,O9)</f>
        <v>0</v>
      </c>
      <c r="AC9" s="1" t="n">
        <f aca="false">SUM(P9:AA9)</f>
        <v>0</v>
      </c>
      <c r="AD9" s="1" t="n">
        <f aca="false">'Plan cashflow'!L9</f>
        <v>0</v>
      </c>
      <c r="AE9" s="1" t="n">
        <f aca="false">IF(AD9&gt;PR_BalDone,AD9+AD9*(D_iC)-MIN(F_CardPayM,AD9+AD9*(D_iC)),AD9)</f>
        <v>0</v>
      </c>
      <c r="AF9" s="1" t="n">
        <f aca="false">IF(AE9&gt;PR_BalDone,AE9+AE9*(D_iC)-MIN(F_CardPayM,AE9+AE9*(D_iC)),AE9)</f>
        <v>0</v>
      </c>
      <c r="AG9" s="1" t="n">
        <f aca="false">IF(AF9&gt;PR_BalDone,AF9+AF9*(D_iC)-MIN(F_CardPayM,AF9+AF9*(D_iC)),AF9)</f>
        <v>0</v>
      </c>
      <c r="AH9" s="1" t="n">
        <f aca="false">IF(AG9&gt;PR_BalDone,AG9+AG9*(D_iC)-MIN(F_CardPayM,AG9+AG9*(D_iC)),AG9)</f>
        <v>0</v>
      </c>
      <c r="AI9" s="1" t="n">
        <f aca="false">IF(AH9&gt;PR_BalDone,AH9+AH9*(D_iC)-MIN(F_CardPayM,AH9+AH9*(D_iC)),AH9)</f>
        <v>0</v>
      </c>
      <c r="AJ9" s="1" t="n">
        <f aca="false">IF(AI9&gt;PR_BalDone,AI9+AI9*(D_iC)-MIN(F_CardPayM,AI9+AI9*(D_iC)),AI9)</f>
        <v>0</v>
      </c>
      <c r="AK9" s="1" t="n">
        <f aca="false">IF(AJ9&gt;PR_BalDone,AJ9+AJ9*(D_iC)-MIN(F_CardPayM,AJ9+AJ9*(D_iC)),AJ9)</f>
        <v>0</v>
      </c>
      <c r="AL9" s="1" t="n">
        <f aca="false">IF(AK9&gt;PR_BalDone,AK9+AK9*(D_iC)-MIN(F_CardPayM,AK9+AK9*(D_iC)),AK9)</f>
        <v>0</v>
      </c>
      <c r="AM9" s="1" t="n">
        <f aca="false">IF(AL9&gt;PR_BalDone,AL9+AL9*(D_iC)-MIN(F_CardPayM,AL9+AL9*(D_iC)),AL9)</f>
        <v>0</v>
      </c>
      <c r="AN9" s="1" t="n">
        <f aca="false">IF(AM9&gt;PR_BalDone,AM9+AM9*(D_iC)-MIN(F_CardPayM,AM9+AM9*(D_iC)),AM9)</f>
        <v>0</v>
      </c>
      <c r="AO9" s="1" t="n">
        <f aca="false">IF(AN9&gt;PR_BalDone,AN9+AN9*(D_iC)-MIN(F_CardPayM,AN9+AN9*(D_iC)),AN9)</f>
        <v>0</v>
      </c>
      <c r="AP9" s="1" t="n">
        <f aca="false">IF(AO9&gt;PR_BalDone,AO9+AO9*(D_iC)-MIN(F_CardPayM,AO9+AO9*(D_iC)),AO9)</f>
        <v>0</v>
      </c>
      <c r="AQ9" s="1" t="n">
        <f aca="false">IF(AD9&gt;PR_BalDone,MIN(F_CardPayM,AD9+AD9*(D_iC)),0)</f>
        <v>0</v>
      </c>
      <c r="AR9" s="1" t="n">
        <f aca="false">IF(AE9&gt;PR_BalDone,MIN(F_CardPayM,AE9+AE9*(D_iC)),0)</f>
        <v>0</v>
      </c>
      <c r="AS9" s="1" t="n">
        <f aca="false">IF(AF9&gt;PR_BalDone,MIN(F_CardPayM,AF9+AF9*(D_iC)),0)</f>
        <v>0</v>
      </c>
      <c r="AT9" s="1" t="n">
        <f aca="false">IF(AG9&gt;PR_BalDone,MIN(F_CardPayM,AG9+AG9*(D_iC)),0)</f>
        <v>0</v>
      </c>
      <c r="AU9" s="1" t="n">
        <f aca="false">IF(AH9&gt;PR_BalDone,MIN(F_CardPayM,AH9+AH9*(D_iC)),0)</f>
        <v>0</v>
      </c>
      <c r="AV9" s="1" t="n">
        <f aca="false">IF(AI9&gt;PR_BalDone,MIN(F_CardPayM,AI9+AI9*(D_iC)),0)</f>
        <v>0</v>
      </c>
      <c r="AW9" s="1" t="n">
        <f aca="false">IF(AJ9&gt;PR_BalDone,MIN(F_CardPayM,AJ9+AJ9*(D_iC)),0)</f>
        <v>0</v>
      </c>
      <c r="AX9" s="1" t="n">
        <f aca="false">IF(AK9&gt;PR_BalDone,MIN(F_CardPayM,AK9+AK9*(D_iC)),0)</f>
        <v>0</v>
      </c>
      <c r="AY9" s="1" t="n">
        <f aca="false">IF(AL9&gt;PR_BalDone,MIN(F_CardPayM,AL9+AL9*(D_iC)),0)</f>
        <v>0</v>
      </c>
      <c r="AZ9" s="1" t="n">
        <f aca="false">IF(AM9&gt;PR_BalDone,MIN(F_CardPayM,AM9+AM9*(D_iC)),0)</f>
        <v>0</v>
      </c>
      <c r="BA9" s="1" t="n">
        <f aca="false">IF(AN9&gt;PR_BalDone,MIN(F_CardPayM,AN9+AN9*(D_iC)),0)</f>
        <v>0</v>
      </c>
      <c r="BB9" s="1" t="n">
        <f aca="false">IF(AO9&gt;PR_BalDone,MIN(F_CardPayM,AO9+AO9*(D_iC)),0)</f>
        <v>0</v>
      </c>
      <c r="BC9" s="1" t="n">
        <f aca="false">MAX(0,AP9)</f>
        <v>0</v>
      </c>
      <c r="BD9" s="1" t="n">
        <f aca="false">SUM(AQ9:BB9)</f>
        <v>0</v>
      </c>
      <c r="BE9" s="1" t="n">
        <f aca="false">'Plan cashflow'!O9</f>
        <v>0</v>
      </c>
      <c r="BF9" s="1" t="n">
        <f aca="false">IF(BE9&gt;PR_BalDone,BE9+BE9*(D_iL)-MIN(F_LoanPayM,BE9+BE9*(D_iL)),BE9)</f>
        <v>0</v>
      </c>
      <c r="BG9" s="1" t="n">
        <f aca="false">IF(BF9&gt;PR_BalDone,BF9+BF9*(D_iL)-MIN(F_LoanPayM,BF9+BF9*(D_iL)),BF9)</f>
        <v>0</v>
      </c>
      <c r="BH9" s="1" t="n">
        <f aca="false">IF(BG9&gt;PR_BalDone,BG9+BG9*(D_iL)-MIN(F_LoanPayM,BG9+BG9*(D_iL)),BG9)</f>
        <v>0</v>
      </c>
      <c r="BI9" s="1" t="n">
        <f aca="false">IF(BH9&gt;PR_BalDone,BH9+BH9*(D_iL)-MIN(F_LoanPayM,BH9+BH9*(D_iL)),BH9)</f>
        <v>0</v>
      </c>
      <c r="BJ9" s="1" t="n">
        <f aca="false">IF(BI9&gt;PR_BalDone,BI9+BI9*(D_iL)-MIN(F_LoanPayM,BI9+BI9*(D_iL)),BI9)</f>
        <v>0</v>
      </c>
      <c r="BK9" s="1" t="n">
        <f aca="false">IF(BJ9&gt;PR_BalDone,BJ9+BJ9*(D_iL)-MIN(F_LoanPayM,BJ9+BJ9*(D_iL)),BJ9)</f>
        <v>0</v>
      </c>
      <c r="BL9" s="1" t="n">
        <f aca="false">IF(BK9&gt;PR_BalDone,BK9+BK9*(D_iL)-MIN(F_LoanPayM,BK9+BK9*(D_iL)),BK9)</f>
        <v>0</v>
      </c>
      <c r="BM9" s="1" t="n">
        <f aca="false">IF(BL9&gt;PR_BalDone,BL9+BL9*(D_iL)-MIN(F_LoanPayM,BL9+BL9*(D_iL)),BL9)</f>
        <v>0</v>
      </c>
      <c r="BN9" s="1" t="n">
        <f aca="false">IF(BM9&gt;PR_BalDone,BM9+BM9*(D_iL)-MIN(F_LoanPayM,BM9+BM9*(D_iL)),BM9)</f>
        <v>0</v>
      </c>
      <c r="BO9" s="1" t="n">
        <f aca="false">IF(BN9&gt;PR_BalDone,BN9+BN9*(D_iL)-MIN(F_LoanPayM,BN9+BN9*(D_iL)),BN9)</f>
        <v>0</v>
      </c>
      <c r="BP9" s="1" t="n">
        <f aca="false">IF(BO9&gt;PR_BalDone,BO9+BO9*(D_iL)-MIN(F_LoanPayM,BO9+BO9*(D_iL)),BO9)</f>
        <v>0</v>
      </c>
      <c r="BQ9" s="1" t="n">
        <f aca="false">IF(BP9&gt;PR_BalDone,BP9+BP9*(D_iL)-MIN(F_LoanPayM,BP9+BP9*(D_iL)),BP9)</f>
        <v>0</v>
      </c>
      <c r="BR9" s="1" t="n">
        <f aca="false">IF(BE9&gt;PR_BalDone,MIN(F_LoanPayM,BE9+BE9*(D_iL)),0)</f>
        <v>0</v>
      </c>
      <c r="BS9" s="1" t="n">
        <f aca="false">IF(BF9&gt;PR_BalDone,MIN(F_LoanPayM,BF9+BF9*(D_iL)),0)</f>
        <v>0</v>
      </c>
      <c r="BT9" s="1" t="n">
        <f aca="false">IF(BG9&gt;PR_BalDone,MIN(F_LoanPayM,BG9+BG9*(D_iL)),0)</f>
        <v>0</v>
      </c>
      <c r="BU9" s="1" t="n">
        <f aca="false">IF(BH9&gt;PR_BalDone,MIN(F_LoanPayM,BH9+BH9*(D_iL)),0)</f>
        <v>0</v>
      </c>
      <c r="BV9" s="1" t="n">
        <f aca="false">IF(BI9&gt;PR_BalDone,MIN(F_LoanPayM,BI9+BI9*(D_iL)),0)</f>
        <v>0</v>
      </c>
      <c r="BW9" s="1" t="n">
        <f aca="false">IF(BJ9&gt;PR_BalDone,MIN(F_LoanPayM,BJ9+BJ9*(D_iL)),0)</f>
        <v>0</v>
      </c>
      <c r="BX9" s="1" t="n">
        <f aca="false">IF(BK9&gt;PR_BalDone,MIN(F_LoanPayM,BK9+BK9*(D_iL)),0)</f>
        <v>0</v>
      </c>
      <c r="BY9" s="1" t="n">
        <f aca="false">IF(BL9&gt;PR_BalDone,MIN(F_LoanPayM,BL9+BL9*(D_iL)),0)</f>
        <v>0</v>
      </c>
      <c r="BZ9" s="1" t="n">
        <f aca="false">IF(BM9&gt;PR_BalDone,MIN(F_LoanPayM,BM9+BM9*(D_iL)),0)</f>
        <v>0</v>
      </c>
      <c r="CA9" s="1" t="n">
        <f aca="false">IF(BN9&gt;PR_BalDone,MIN(F_LoanPayM,BN9+BN9*(D_iL)),0)</f>
        <v>0</v>
      </c>
      <c r="CB9" s="1" t="n">
        <f aca="false">IF(BO9&gt;PR_BalDone,MIN(F_LoanPayM,BO9+BO9*(D_iL)),0)</f>
        <v>0</v>
      </c>
      <c r="CC9" s="1" t="n">
        <f aca="false">IF(BP9&gt;PR_BalDone,MIN(F_LoanPayM,BP9+BP9*(D_iL)),0)</f>
        <v>0</v>
      </c>
      <c r="CD9" s="1" t="n">
        <f aca="false">MAX(0,BQ9)</f>
        <v>0</v>
      </c>
      <c r="CE9" s="1" t="n">
        <f aca="false">SUM(BR9:CC9)</f>
        <v>0</v>
      </c>
      <c r="CF9" s="1" t="n">
        <f aca="false">IF(CF8&gt;1,DE8,CF8)</f>
        <v>0</v>
      </c>
      <c r="CG9" s="1" t="n">
        <f aca="false">IF(CF9&gt;PR_BalDone,CF9+CF9*(F_MR/12)-MIN(F_MortPayM,CF9+CF9*(F_MR/12)),CF9)</f>
        <v>0</v>
      </c>
      <c r="CH9" s="1" t="n">
        <f aca="false">IF(CG9&gt;PR_BalDone,CG9+CG9*(F_MR/12)-MIN(F_MortPayM,CG9+CG9*(F_MR/12)),CG9)</f>
        <v>0</v>
      </c>
      <c r="CI9" s="1" t="n">
        <f aca="false">IF(CH9&gt;PR_BalDone,CH9+CH9*(F_MR/12)-MIN(F_MortPayM,CH9+CH9*(F_MR/12)),CH9)</f>
        <v>0</v>
      </c>
      <c r="CJ9" s="1" t="n">
        <f aca="false">IF(CI9&gt;PR_BalDone,CI9+CI9*(F_MR/12)-MIN(F_MortPayM,CI9+CI9*(F_MR/12)),CI9)</f>
        <v>0</v>
      </c>
      <c r="CK9" s="1" t="n">
        <f aca="false">IF(CJ9&gt;PR_BalDone,CJ9+CJ9*(F_MR/12)-MIN(F_MortPayM,CJ9+CJ9*(F_MR/12)),CJ9)</f>
        <v>0</v>
      </c>
      <c r="CL9" s="1" t="n">
        <f aca="false">IF(CK9&gt;PR_BalDone,CK9+CK9*(F_MR/12)-MIN(F_MortPayM,CK9+CK9*(F_MR/12)),CK9)</f>
        <v>0</v>
      </c>
      <c r="CM9" s="1" t="n">
        <f aca="false">IF(CL9&gt;PR_BalDone,CL9+CL9*(F_MR/12)-MIN(F_MortPayM,CL9+CL9*(F_MR/12)),CL9)</f>
        <v>0</v>
      </c>
      <c r="CN9" s="1" t="n">
        <f aca="false">IF(CM9&gt;PR_BalDone,CM9+CM9*(F_MR/12)-MIN(F_MortPayM,CM9+CM9*(F_MR/12)),CM9)</f>
        <v>0</v>
      </c>
      <c r="CO9" s="1" t="n">
        <f aca="false">IF(CN9&gt;PR_BalDone,CN9+CN9*(F_MR/12)-MIN(F_MortPayM,CN9+CN9*(F_MR/12)),CN9)</f>
        <v>0</v>
      </c>
      <c r="CP9" s="1" t="n">
        <f aca="false">IF(CO9&gt;PR_BalDone,CO9+CO9*(F_MR/12)-MIN(F_MortPayM,CO9+CO9*(F_MR/12)),CO9)</f>
        <v>0</v>
      </c>
      <c r="CQ9" s="1" t="n">
        <f aca="false">IF(CP9&gt;PR_BalDone,CP9+CP9*(F_MR/12)-MIN(F_MortPayM,CP9+CP9*(F_MR/12)),CP9)</f>
        <v>0</v>
      </c>
      <c r="CR9" s="1" t="n">
        <f aca="false">IF(CQ9&gt;PR_BalDone,CQ9+CQ9*(F_MR/12)-MIN(F_MortPayM,CQ9+CQ9*(F_MR/12)),CQ9)</f>
        <v>0</v>
      </c>
      <c r="CS9" s="1" t="n">
        <f aca="false">IF(CF9&gt;PR_BalDone,MIN(F_MortPayM,CF9+CF9*(F_MR/12)),0)</f>
        <v>0</v>
      </c>
      <c r="CT9" s="1" t="n">
        <f aca="false">IF(CG9&gt;PR_BalDone,MIN(F_MortPayM,CG9+CG9*(F_MR/12)),0)</f>
        <v>0</v>
      </c>
      <c r="CU9" s="1" t="n">
        <f aca="false">IF(CH9&gt;PR_BalDone,MIN(F_MortPayM,CH9+CH9*(F_MR/12)),0)</f>
        <v>0</v>
      </c>
      <c r="CV9" s="1" t="n">
        <f aca="false">IF(CI9&gt;PR_BalDone,MIN(F_MortPayM,CI9+CI9*(F_MR/12)),0)</f>
        <v>0</v>
      </c>
      <c r="CW9" s="1" t="n">
        <f aca="false">IF(CJ9&gt;PR_BalDone,MIN(F_MortPayM,CJ9+CJ9*(F_MR/12)),0)</f>
        <v>0</v>
      </c>
      <c r="CX9" s="1" t="n">
        <f aca="false">IF(CK9&gt;PR_BalDone,MIN(F_MortPayM,CK9+CK9*(F_MR/12)),0)</f>
        <v>0</v>
      </c>
      <c r="CY9" s="1" t="n">
        <f aca="false">IF(CL9&gt;PR_BalDone,MIN(F_MortPayM,CL9+CL9*(F_MR/12)),0)</f>
        <v>0</v>
      </c>
      <c r="CZ9" s="1" t="n">
        <f aca="false">IF(CM9&gt;PR_BalDone,MIN(F_MortPayM,CM9+CM9*(F_MR/12)),0)</f>
        <v>0</v>
      </c>
      <c r="DA9" s="1" t="n">
        <f aca="false">IF(CN9&gt;PR_BalDone,MIN(F_MortPayM,CN9+CN9*(F_MR/12)),0)</f>
        <v>0</v>
      </c>
      <c r="DB9" s="1" t="n">
        <f aca="false">IF(CO9&gt;PR_BalDone,MIN(F_MortPayM,CO9+CO9*(F_MR/12)),0)</f>
        <v>0</v>
      </c>
      <c r="DC9" s="1" t="n">
        <f aca="false">IF(CP9&gt;PR_BalDone,MIN(F_MortPayM,CP9+CP9*(F_MR/12)),0)</f>
        <v>0</v>
      </c>
      <c r="DD9" s="1" t="n">
        <f aca="false">IF(CQ9&gt;PR_BalDone,MIN(F_MortPayM,CQ9+CQ9*(F_MR/12)),0)</f>
        <v>0</v>
      </c>
      <c r="DE9" s="1" t="n">
        <f aca="false">MAX(0,CR9)</f>
        <v>0</v>
      </c>
      <c r="DF9" s="1" t="n">
        <f aca="false">SUM(CS9:DD9)</f>
        <v>0</v>
      </c>
      <c r="DG9" s="1" t="n">
        <f aca="false">MAX(0,CF9)</f>
        <v>0</v>
      </c>
    </row>
    <row r="10" customFormat="false" ht="15" hidden="false" customHeight="true" outlineLevel="0" collapsed="false">
      <c r="B10" s="1" t="n">
        <v>2</v>
      </c>
      <c r="C10" s="1" t="n">
        <f aca="false">'Plan cashflow'!I10</f>
        <v>0</v>
      </c>
      <c r="D10" s="1" t="n">
        <f aca="false">IF(C10&gt;PR_BalDone,C10+C10*(F_MR/12)-MIN(F_MortPayM,C10+C10*(F_MR/12)),C10)</f>
        <v>0</v>
      </c>
      <c r="E10" s="1" t="n">
        <f aca="false">IF(D10&gt;PR_BalDone,D10+D10*(F_MR/12)-MIN(F_MortPayM,D10+D10*(F_MR/12)),D10)</f>
        <v>0</v>
      </c>
      <c r="F10" s="1" t="n">
        <f aca="false">IF(E10&gt;PR_BalDone,E10+E10*(F_MR/12)-MIN(F_MortPayM,E10+E10*(F_MR/12)),E10)</f>
        <v>0</v>
      </c>
      <c r="G10" s="1" t="n">
        <f aca="false">IF(F10&gt;PR_BalDone,F10+F10*(F_MR/12)-MIN(F_MortPayM,F10+F10*(F_MR/12)),F10)</f>
        <v>0</v>
      </c>
      <c r="H10" s="1" t="n">
        <f aca="false">IF(G10&gt;PR_BalDone,G10+G10*(F_MR/12)-MIN(F_MortPayM,G10+G10*(F_MR/12)),G10)</f>
        <v>0</v>
      </c>
      <c r="I10" s="1" t="n">
        <f aca="false">IF(H10&gt;PR_BalDone,H10+H10*(F_MR/12)-MIN(F_MortPayM,H10+H10*(F_MR/12)),H10)</f>
        <v>0</v>
      </c>
      <c r="J10" s="1" t="n">
        <f aca="false">IF(I10&gt;PR_BalDone,I10+I10*(F_MR/12)-MIN(F_MortPayM,I10+I10*(F_MR/12)),I10)</f>
        <v>0</v>
      </c>
      <c r="K10" s="1" t="n">
        <f aca="false">IF(J10&gt;PR_BalDone,J10+J10*(F_MR/12)-MIN(F_MortPayM,J10+J10*(F_MR/12)),J10)</f>
        <v>0</v>
      </c>
      <c r="L10" s="1" t="n">
        <f aca="false">IF(K10&gt;PR_BalDone,K10+K10*(F_MR/12)-MIN(F_MortPayM,K10+K10*(F_MR/12)),K10)</f>
        <v>0</v>
      </c>
      <c r="M10" s="1" t="n">
        <f aca="false">IF(L10&gt;PR_BalDone,L10+L10*(F_MR/12)-MIN(F_MortPayM,L10+L10*(F_MR/12)),L10)</f>
        <v>0</v>
      </c>
      <c r="N10" s="1" t="n">
        <f aca="false">IF(M10&gt;PR_BalDone,M10+M10*(F_MR/12)-MIN(F_MortPayM,M10+M10*(F_MR/12)),M10)</f>
        <v>0</v>
      </c>
      <c r="O10" s="1" t="n">
        <f aca="false">IF(N10&gt;PR_BalDone,N10+N10*(F_MR/12)-MIN(F_MortPayM,N10+N10*(F_MR/12)),N10)</f>
        <v>0</v>
      </c>
      <c r="P10" s="1" t="n">
        <f aca="false">IF(C10&gt;PR_BalDone,MIN(F_MortPayM,C10+C10*(F_MR/12)),0)</f>
        <v>0</v>
      </c>
      <c r="Q10" s="1" t="n">
        <f aca="false">IF(D10&gt;PR_BalDone,MIN(F_MortPayM,D10+D10*(F_MR/12)),0)</f>
        <v>0</v>
      </c>
      <c r="R10" s="1" t="n">
        <f aca="false">IF(E10&gt;PR_BalDone,MIN(F_MortPayM,E10+E10*(F_MR/12)),0)</f>
        <v>0</v>
      </c>
      <c r="S10" s="1" t="n">
        <f aca="false">IF(F10&gt;PR_BalDone,MIN(F_MortPayM,F10+F10*(F_MR/12)),0)</f>
        <v>0</v>
      </c>
      <c r="T10" s="1" t="n">
        <f aca="false">IF(G10&gt;PR_BalDone,MIN(F_MortPayM,G10+G10*(F_MR/12)),0)</f>
        <v>0</v>
      </c>
      <c r="U10" s="1" t="n">
        <f aca="false">IF(H10&gt;PR_BalDone,MIN(F_MortPayM,H10+H10*(F_MR/12)),0)</f>
        <v>0</v>
      </c>
      <c r="V10" s="1" t="n">
        <f aca="false">IF(I10&gt;PR_BalDone,MIN(F_MortPayM,I10+I10*(F_MR/12)),0)</f>
        <v>0</v>
      </c>
      <c r="W10" s="1" t="n">
        <f aca="false">IF(J10&gt;PR_BalDone,MIN(F_MortPayM,J10+J10*(F_MR/12)),0)</f>
        <v>0</v>
      </c>
      <c r="X10" s="1" t="n">
        <f aca="false">IF(K10&gt;PR_BalDone,MIN(F_MortPayM,K10+K10*(F_MR/12)),0)</f>
        <v>0</v>
      </c>
      <c r="Y10" s="1" t="n">
        <f aca="false">IF(L10&gt;PR_BalDone,MIN(F_MortPayM,L10+L10*(F_MR/12)),0)</f>
        <v>0</v>
      </c>
      <c r="Z10" s="1" t="n">
        <f aca="false">IF(M10&gt;PR_BalDone,MIN(F_MortPayM,M10+M10*(F_MR/12)),0)</f>
        <v>0</v>
      </c>
      <c r="AA10" s="1" t="n">
        <f aca="false">IF(N10&gt;PR_BalDone,MIN(F_MortPayM,N10+N10*(F_MR/12)),0)</f>
        <v>0</v>
      </c>
      <c r="AB10" s="1" t="n">
        <f aca="false">MAX(0,O10)</f>
        <v>0</v>
      </c>
      <c r="AC10" s="1" t="n">
        <f aca="false">SUM(P10:AA10)</f>
        <v>0</v>
      </c>
      <c r="AD10" s="1" t="n">
        <f aca="false">'Plan cashflow'!L10</f>
        <v>0</v>
      </c>
      <c r="AE10" s="1" t="n">
        <f aca="false">IF(AD10&gt;PR_BalDone,AD10+AD10*(D_iC)-MIN(F_CardPayM,AD10+AD10*(D_iC)),AD10)</f>
        <v>0</v>
      </c>
      <c r="AF10" s="1" t="n">
        <f aca="false">IF(AE10&gt;PR_BalDone,AE10+AE10*(D_iC)-MIN(F_CardPayM,AE10+AE10*(D_iC)),AE10)</f>
        <v>0</v>
      </c>
      <c r="AG10" s="1" t="n">
        <f aca="false">IF(AF10&gt;PR_BalDone,AF10+AF10*(D_iC)-MIN(F_CardPayM,AF10+AF10*(D_iC)),AF10)</f>
        <v>0</v>
      </c>
      <c r="AH10" s="1" t="n">
        <f aca="false">IF(AG10&gt;PR_BalDone,AG10+AG10*(D_iC)-MIN(F_CardPayM,AG10+AG10*(D_iC)),AG10)</f>
        <v>0</v>
      </c>
      <c r="AI10" s="1" t="n">
        <f aca="false">IF(AH10&gt;PR_BalDone,AH10+AH10*(D_iC)-MIN(F_CardPayM,AH10+AH10*(D_iC)),AH10)</f>
        <v>0</v>
      </c>
      <c r="AJ10" s="1" t="n">
        <f aca="false">IF(AI10&gt;PR_BalDone,AI10+AI10*(D_iC)-MIN(F_CardPayM,AI10+AI10*(D_iC)),AI10)</f>
        <v>0</v>
      </c>
      <c r="AK10" s="1" t="n">
        <f aca="false">IF(AJ10&gt;PR_BalDone,AJ10+AJ10*(D_iC)-MIN(F_CardPayM,AJ10+AJ10*(D_iC)),AJ10)</f>
        <v>0</v>
      </c>
      <c r="AL10" s="1" t="n">
        <f aca="false">IF(AK10&gt;PR_BalDone,AK10+AK10*(D_iC)-MIN(F_CardPayM,AK10+AK10*(D_iC)),AK10)</f>
        <v>0</v>
      </c>
      <c r="AM10" s="1" t="n">
        <f aca="false">IF(AL10&gt;PR_BalDone,AL10+AL10*(D_iC)-MIN(F_CardPayM,AL10+AL10*(D_iC)),AL10)</f>
        <v>0</v>
      </c>
      <c r="AN10" s="1" t="n">
        <f aca="false">IF(AM10&gt;PR_BalDone,AM10+AM10*(D_iC)-MIN(F_CardPayM,AM10+AM10*(D_iC)),AM10)</f>
        <v>0</v>
      </c>
      <c r="AO10" s="1" t="n">
        <f aca="false">IF(AN10&gt;PR_BalDone,AN10+AN10*(D_iC)-MIN(F_CardPayM,AN10+AN10*(D_iC)),AN10)</f>
        <v>0</v>
      </c>
      <c r="AP10" s="1" t="n">
        <f aca="false">IF(AO10&gt;PR_BalDone,AO10+AO10*(D_iC)-MIN(F_CardPayM,AO10+AO10*(D_iC)),AO10)</f>
        <v>0</v>
      </c>
      <c r="AQ10" s="1" t="n">
        <f aca="false">IF(AD10&gt;PR_BalDone,MIN(F_CardPayM,AD10+AD10*(D_iC)),0)</f>
        <v>0</v>
      </c>
      <c r="AR10" s="1" t="n">
        <f aca="false">IF(AE10&gt;PR_BalDone,MIN(F_CardPayM,AE10+AE10*(D_iC)),0)</f>
        <v>0</v>
      </c>
      <c r="AS10" s="1" t="n">
        <f aca="false">IF(AF10&gt;PR_BalDone,MIN(F_CardPayM,AF10+AF10*(D_iC)),0)</f>
        <v>0</v>
      </c>
      <c r="AT10" s="1" t="n">
        <f aca="false">IF(AG10&gt;PR_BalDone,MIN(F_CardPayM,AG10+AG10*(D_iC)),0)</f>
        <v>0</v>
      </c>
      <c r="AU10" s="1" t="n">
        <f aca="false">IF(AH10&gt;PR_BalDone,MIN(F_CardPayM,AH10+AH10*(D_iC)),0)</f>
        <v>0</v>
      </c>
      <c r="AV10" s="1" t="n">
        <f aca="false">IF(AI10&gt;PR_BalDone,MIN(F_CardPayM,AI10+AI10*(D_iC)),0)</f>
        <v>0</v>
      </c>
      <c r="AW10" s="1" t="n">
        <f aca="false">IF(AJ10&gt;PR_BalDone,MIN(F_CardPayM,AJ10+AJ10*(D_iC)),0)</f>
        <v>0</v>
      </c>
      <c r="AX10" s="1" t="n">
        <f aca="false">IF(AK10&gt;PR_BalDone,MIN(F_CardPayM,AK10+AK10*(D_iC)),0)</f>
        <v>0</v>
      </c>
      <c r="AY10" s="1" t="n">
        <f aca="false">IF(AL10&gt;PR_BalDone,MIN(F_CardPayM,AL10+AL10*(D_iC)),0)</f>
        <v>0</v>
      </c>
      <c r="AZ10" s="1" t="n">
        <f aca="false">IF(AM10&gt;PR_BalDone,MIN(F_CardPayM,AM10+AM10*(D_iC)),0)</f>
        <v>0</v>
      </c>
      <c r="BA10" s="1" t="n">
        <f aca="false">IF(AN10&gt;PR_BalDone,MIN(F_CardPayM,AN10+AN10*(D_iC)),0)</f>
        <v>0</v>
      </c>
      <c r="BB10" s="1" t="n">
        <f aca="false">IF(AO10&gt;PR_BalDone,MIN(F_CardPayM,AO10+AO10*(D_iC)),0)</f>
        <v>0</v>
      </c>
      <c r="BC10" s="1" t="n">
        <f aca="false">MAX(0,AP10)</f>
        <v>0</v>
      </c>
      <c r="BD10" s="1" t="n">
        <f aca="false">SUM(AQ10:BB10)</f>
        <v>0</v>
      </c>
      <c r="BE10" s="1" t="n">
        <f aca="false">'Plan cashflow'!O10</f>
        <v>0</v>
      </c>
      <c r="BF10" s="1" t="n">
        <f aca="false">IF(BE10&gt;PR_BalDone,BE10+BE10*(D_iL)-MIN(F_LoanPayM,BE10+BE10*(D_iL)),BE10)</f>
        <v>0</v>
      </c>
      <c r="BG10" s="1" t="n">
        <f aca="false">IF(BF10&gt;PR_BalDone,BF10+BF10*(D_iL)-MIN(F_LoanPayM,BF10+BF10*(D_iL)),BF10)</f>
        <v>0</v>
      </c>
      <c r="BH10" s="1" t="n">
        <f aca="false">IF(BG10&gt;PR_BalDone,BG10+BG10*(D_iL)-MIN(F_LoanPayM,BG10+BG10*(D_iL)),BG10)</f>
        <v>0</v>
      </c>
      <c r="BI10" s="1" t="n">
        <f aca="false">IF(BH10&gt;PR_BalDone,BH10+BH10*(D_iL)-MIN(F_LoanPayM,BH10+BH10*(D_iL)),BH10)</f>
        <v>0</v>
      </c>
      <c r="BJ10" s="1" t="n">
        <f aca="false">IF(BI10&gt;PR_BalDone,BI10+BI10*(D_iL)-MIN(F_LoanPayM,BI10+BI10*(D_iL)),BI10)</f>
        <v>0</v>
      </c>
      <c r="BK10" s="1" t="n">
        <f aca="false">IF(BJ10&gt;PR_BalDone,BJ10+BJ10*(D_iL)-MIN(F_LoanPayM,BJ10+BJ10*(D_iL)),BJ10)</f>
        <v>0</v>
      </c>
      <c r="BL10" s="1" t="n">
        <f aca="false">IF(BK10&gt;PR_BalDone,BK10+BK10*(D_iL)-MIN(F_LoanPayM,BK10+BK10*(D_iL)),BK10)</f>
        <v>0</v>
      </c>
      <c r="BM10" s="1" t="n">
        <f aca="false">IF(BL10&gt;PR_BalDone,BL10+BL10*(D_iL)-MIN(F_LoanPayM,BL10+BL10*(D_iL)),BL10)</f>
        <v>0</v>
      </c>
      <c r="BN10" s="1" t="n">
        <f aca="false">IF(BM10&gt;PR_BalDone,BM10+BM10*(D_iL)-MIN(F_LoanPayM,BM10+BM10*(D_iL)),BM10)</f>
        <v>0</v>
      </c>
      <c r="BO10" s="1" t="n">
        <f aca="false">IF(BN10&gt;PR_BalDone,BN10+BN10*(D_iL)-MIN(F_LoanPayM,BN10+BN10*(D_iL)),BN10)</f>
        <v>0</v>
      </c>
      <c r="BP10" s="1" t="n">
        <f aca="false">IF(BO10&gt;PR_BalDone,BO10+BO10*(D_iL)-MIN(F_LoanPayM,BO10+BO10*(D_iL)),BO10)</f>
        <v>0</v>
      </c>
      <c r="BQ10" s="1" t="n">
        <f aca="false">IF(BP10&gt;PR_BalDone,BP10+BP10*(D_iL)-MIN(F_LoanPayM,BP10+BP10*(D_iL)),BP10)</f>
        <v>0</v>
      </c>
      <c r="BR10" s="1" t="n">
        <f aca="false">IF(BE10&gt;PR_BalDone,MIN(F_LoanPayM,BE10+BE10*(D_iL)),0)</f>
        <v>0</v>
      </c>
      <c r="BS10" s="1" t="n">
        <f aca="false">IF(BF10&gt;PR_BalDone,MIN(F_LoanPayM,BF10+BF10*(D_iL)),0)</f>
        <v>0</v>
      </c>
      <c r="BT10" s="1" t="n">
        <f aca="false">IF(BG10&gt;PR_BalDone,MIN(F_LoanPayM,BG10+BG10*(D_iL)),0)</f>
        <v>0</v>
      </c>
      <c r="BU10" s="1" t="n">
        <f aca="false">IF(BH10&gt;PR_BalDone,MIN(F_LoanPayM,BH10+BH10*(D_iL)),0)</f>
        <v>0</v>
      </c>
      <c r="BV10" s="1" t="n">
        <f aca="false">IF(BI10&gt;PR_BalDone,MIN(F_LoanPayM,BI10+BI10*(D_iL)),0)</f>
        <v>0</v>
      </c>
      <c r="BW10" s="1" t="n">
        <f aca="false">IF(BJ10&gt;PR_BalDone,MIN(F_LoanPayM,BJ10+BJ10*(D_iL)),0)</f>
        <v>0</v>
      </c>
      <c r="BX10" s="1" t="n">
        <f aca="false">IF(BK10&gt;PR_BalDone,MIN(F_LoanPayM,BK10+BK10*(D_iL)),0)</f>
        <v>0</v>
      </c>
      <c r="BY10" s="1" t="n">
        <f aca="false">IF(BL10&gt;PR_BalDone,MIN(F_LoanPayM,BL10+BL10*(D_iL)),0)</f>
        <v>0</v>
      </c>
      <c r="BZ10" s="1" t="n">
        <f aca="false">IF(BM10&gt;PR_BalDone,MIN(F_LoanPayM,BM10+BM10*(D_iL)),0)</f>
        <v>0</v>
      </c>
      <c r="CA10" s="1" t="n">
        <f aca="false">IF(BN10&gt;PR_BalDone,MIN(F_LoanPayM,BN10+BN10*(D_iL)),0)</f>
        <v>0</v>
      </c>
      <c r="CB10" s="1" t="n">
        <f aca="false">IF(BO10&gt;PR_BalDone,MIN(F_LoanPayM,BO10+BO10*(D_iL)),0)</f>
        <v>0</v>
      </c>
      <c r="CC10" s="1" t="n">
        <f aca="false">IF(BP10&gt;PR_BalDone,MIN(F_LoanPayM,BP10+BP10*(D_iL)),0)</f>
        <v>0</v>
      </c>
      <c r="CD10" s="1" t="n">
        <f aca="false">MAX(0,BQ10)</f>
        <v>0</v>
      </c>
      <c r="CE10" s="1" t="n">
        <f aca="false">SUM(BR10:CC10)</f>
        <v>0</v>
      </c>
      <c r="CF10" s="1" t="n">
        <f aca="false">IF(CF9&gt;1,DE9,CF9)</f>
        <v>0</v>
      </c>
      <c r="CG10" s="1" t="n">
        <f aca="false">IF(CF10&gt;PR_BalDone,CF10+CF10*(F_MR/12)-MIN(F_MortPayM,CF10+CF10*(F_MR/12)),CF10)</f>
        <v>0</v>
      </c>
      <c r="CH10" s="1" t="n">
        <f aca="false">IF(CG10&gt;PR_BalDone,CG10+CG10*(F_MR/12)-MIN(F_MortPayM,CG10+CG10*(F_MR/12)),CG10)</f>
        <v>0</v>
      </c>
      <c r="CI10" s="1" t="n">
        <f aca="false">IF(CH10&gt;PR_BalDone,CH10+CH10*(F_MR/12)-MIN(F_MortPayM,CH10+CH10*(F_MR/12)),CH10)</f>
        <v>0</v>
      </c>
      <c r="CJ10" s="1" t="n">
        <f aca="false">IF(CI10&gt;PR_BalDone,CI10+CI10*(F_MR/12)-MIN(F_MortPayM,CI10+CI10*(F_MR/12)),CI10)</f>
        <v>0</v>
      </c>
      <c r="CK10" s="1" t="n">
        <f aca="false">IF(CJ10&gt;PR_BalDone,CJ10+CJ10*(F_MR/12)-MIN(F_MortPayM,CJ10+CJ10*(F_MR/12)),CJ10)</f>
        <v>0</v>
      </c>
      <c r="CL10" s="1" t="n">
        <f aca="false">IF(CK10&gt;PR_BalDone,CK10+CK10*(F_MR/12)-MIN(F_MortPayM,CK10+CK10*(F_MR/12)),CK10)</f>
        <v>0</v>
      </c>
      <c r="CM10" s="1" t="n">
        <f aca="false">IF(CL10&gt;PR_BalDone,CL10+CL10*(F_MR/12)-MIN(F_MortPayM,CL10+CL10*(F_MR/12)),CL10)</f>
        <v>0</v>
      </c>
      <c r="CN10" s="1" t="n">
        <f aca="false">IF(CM10&gt;PR_BalDone,CM10+CM10*(F_MR/12)-MIN(F_MortPayM,CM10+CM10*(F_MR/12)),CM10)</f>
        <v>0</v>
      </c>
      <c r="CO10" s="1" t="n">
        <f aca="false">IF(CN10&gt;PR_BalDone,CN10+CN10*(F_MR/12)-MIN(F_MortPayM,CN10+CN10*(F_MR/12)),CN10)</f>
        <v>0</v>
      </c>
      <c r="CP10" s="1" t="n">
        <f aca="false">IF(CO10&gt;PR_BalDone,CO10+CO10*(F_MR/12)-MIN(F_MortPayM,CO10+CO10*(F_MR/12)),CO10)</f>
        <v>0</v>
      </c>
      <c r="CQ10" s="1" t="n">
        <f aca="false">IF(CP10&gt;PR_BalDone,CP10+CP10*(F_MR/12)-MIN(F_MortPayM,CP10+CP10*(F_MR/12)),CP10)</f>
        <v>0</v>
      </c>
      <c r="CR10" s="1" t="n">
        <f aca="false">IF(CQ10&gt;PR_BalDone,CQ10+CQ10*(F_MR/12)-MIN(F_MortPayM,CQ10+CQ10*(F_MR/12)),CQ10)</f>
        <v>0</v>
      </c>
      <c r="CS10" s="1" t="n">
        <f aca="false">IF(CF10&gt;PR_BalDone,MIN(F_MortPayM,CF10+CF10*(F_MR/12)),0)</f>
        <v>0</v>
      </c>
      <c r="CT10" s="1" t="n">
        <f aca="false">IF(CG10&gt;PR_BalDone,MIN(F_MortPayM,CG10+CG10*(F_MR/12)),0)</f>
        <v>0</v>
      </c>
      <c r="CU10" s="1" t="n">
        <f aca="false">IF(CH10&gt;PR_BalDone,MIN(F_MortPayM,CH10+CH10*(F_MR/12)),0)</f>
        <v>0</v>
      </c>
      <c r="CV10" s="1" t="n">
        <f aca="false">IF(CI10&gt;PR_BalDone,MIN(F_MortPayM,CI10+CI10*(F_MR/12)),0)</f>
        <v>0</v>
      </c>
      <c r="CW10" s="1" t="n">
        <f aca="false">IF(CJ10&gt;PR_BalDone,MIN(F_MortPayM,CJ10+CJ10*(F_MR/12)),0)</f>
        <v>0</v>
      </c>
      <c r="CX10" s="1" t="n">
        <f aca="false">IF(CK10&gt;PR_BalDone,MIN(F_MortPayM,CK10+CK10*(F_MR/12)),0)</f>
        <v>0</v>
      </c>
      <c r="CY10" s="1" t="n">
        <f aca="false">IF(CL10&gt;PR_BalDone,MIN(F_MortPayM,CL10+CL10*(F_MR/12)),0)</f>
        <v>0</v>
      </c>
      <c r="CZ10" s="1" t="n">
        <f aca="false">IF(CM10&gt;PR_BalDone,MIN(F_MortPayM,CM10+CM10*(F_MR/12)),0)</f>
        <v>0</v>
      </c>
      <c r="DA10" s="1" t="n">
        <f aca="false">IF(CN10&gt;PR_BalDone,MIN(F_MortPayM,CN10+CN10*(F_MR/12)),0)</f>
        <v>0</v>
      </c>
      <c r="DB10" s="1" t="n">
        <f aca="false">IF(CO10&gt;PR_BalDone,MIN(F_MortPayM,CO10+CO10*(F_MR/12)),0)</f>
        <v>0</v>
      </c>
      <c r="DC10" s="1" t="n">
        <f aca="false">IF(CP10&gt;PR_BalDone,MIN(F_MortPayM,CP10+CP10*(F_MR/12)),0)</f>
        <v>0</v>
      </c>
      <c r="DD10" s="1" t="n">
        <f aca="false">IF(CQ10&gt;PR_BalDone,MIN(F_MortPayM,CQ10+CQ10*(F_MR/12)),0)</f>
        <v>0</v>
      </c>
      <c r="DE10" s="1" t="n">
        <f aca="false">MAX(0,CR10)</f>
        <v>0</v>
      </c>
      <c r="DF10" s="1" t="n">
        <f aca="false">SUM(CS10:DD10)</f>
        <v>0</v>
      </c>
      <c r="DG10" s="1" t="n">
        <f aca="false">MAX(0,CF10)</f>
        <v>0</v>
      </c>
    </row>
    <row r="11" customFormat="false" ht="15" hidden="false" customHeight="true" outlineLevel="0" collapsed="false">
      <c r="B11" s="1" t="n">
        <v>3</v>
      </c>
      <c r="C11" s="1" t="n">
        <f aca="false">'Plan cashflow'!I11</f>
        <v>0</v>
      </c>
      <c r="D11" s="1" t="n">
        <f aca="false">IF(C11&gt;PR_BalDone,C11+C11*(F_MR/12)-MIN(F_MortPayM,C11+C11*(F_MR/12)),C11)</f>
        <v>0</v>
      </c>
      <c r="E11" s="1" t="n">
        <f aca="false">IF(D11&gt;PR_BalDone,D11+D11*(F_MR/12)-MIN(F_MortPayM,D11+D11*(F_MR/12)),D11)</f>
        <v>0</v>
      </c>
      <c r="F11" s="1" t="n">
        <f aca="false">IF(E11&gt;PR_BalDone,E11+E11*(F_MR/12)-MIN(F_MortPayM,E11+E11*(F_MR/12)),E11)</f>
        <v>0</v>
      </c>
      <c r="G11" s="1" t="n">
        <f aca="false">IF(F11&gt;PR_BalDone,F11+F11*(F_MR/12)-MIN(F_MortPayM,F11+F11*(F_MR/12)),F11)</f>
        <v>0</v>
      </c>
      <c r="H11" s="1" t="n">
        <f aca="false">IF(G11&gt;PR_BalDone,G11+G11*(F_MR/12)-MIN(F_MortPayM,G11+G11*(F_MR/12)),G11)</f>
        <v>0</v>
      </c>
      <c r="I11" s="1" t="n">
        <f aca="false">IF(H11&gt;PR_BalDone,H11+H11*(F_MR/12)-MIN(F_MortPayM,H11+H11*(F_MR/12)),H11)</f>
        <v>0</v>
      </c>
      <c r="J11" s="1" t="n">
        <f aca="false">IF(I11&gt;PR_BalDone,I11+I11*(F_MR/12)-MIN(F_MortPayM,I11+I11*(F_MR/12)),I11)</f>
        <v>0</v>
      </c>
      <c r="K11" s="1" t="n">
        <f aca="false">IF(J11&gt;PR_BalDone,J11+J11*(F_MR/12)-MIN(F_MortPayM,J11+J11*(F_MR/12)),J11)</f>
        <v>0</v>
      </c>
      <c r="L11" s="1" t="n">
        <f aca="false">IF(K11&gt;PR_BalDone,K11+K11*(F_MR/12)-MIN(F_MortPayM,K11+K11*(F_MR/12)),K11)</f>
        <v>0</v>
      </c>
      <c r="M11" s="1" t="n">
        <f aca="false">IF(L11&gt;PR_BalDone,L11+L11*(F_MR/12)-MIN(F_MortPayM,L11+L11*(F_MR/12)),L11)</f>
        <v>0</v>
      </c>
      <c r="N11" s="1" t="n">
        <f aca="false">IF(M11&gt;PR_BalDone,M11+M11*(F_MR/12)-MIN(F_MortPayM,M11+M11*(F_MR/12)),M11)</f>
        <v>0</v>
      </c>
      <c r="O11" s="1" t="n">
        <f aca="false">IF(N11&gt;PR_BalDone,N11+N11*(F_MR/12)-MIN(F_MortPayM,N11+N11*(F_MR/12)),N11)</f>
        <v>0</v>
      </c>
      <c r="P11" s="1" t="n">
        <f aca="false">IF(C11&gt;PR_BalDone,MIN(F_MortPayM,C11+C11*(F_MR/12)),0)</f>
        <v>0</v>
      </c>
      <c r="Q11" s="1" t="n">
        <f aca="false">IF(D11&gt;PR_BalDone,MIN(F_MortPayM,D11+D11*(F_MR/12)),0)</f>
        <v>0</v>
      </c>
      <c r="R11" s="1" t="n">
        <f aca="false">IF(E11&gt;PR_BalDone,MIN(F_MortPayM,E11+E11*(F_MR/12)),0)</f>
        <v>0</v>
      </c>
      <c r="S11" s="1" t="n">
        <f aca="false">IF(F11&gt;PR_BalDone,MIN(F_MortPayM,F11+F11*(F_MR/12)),0)</f>
        <v>0</v>
      </c>
      <c r="T11" s="1" t="n">
        <f aca="false">IF(G11&gt;PR_BalDone,MIN(F_MortPayM,G11+G11*(F_MR/12)),0)</f>
        <v>0</v>
      </c>
      <c r="U11" s="1" t="n">
        <f aca="false">IF(H11&gt;PR_BalDone,MIN(F_MortPayM,H11+H11*(F_MR/12)),0)</f>
        <v>0</v>
      </c>
      <c r="V11" s="1" t="n">
        <f aca="false">IF(I11&gt;PR_BalDone,MIN(F_MortPayM,I11+I11*(F_MR/12)),0)</f>
        <v>0</v>
      </c>
      <c r="W11" s="1" t="n">
        <f aca="false">IF(J11&gt;PR_BalDone,MIN(F_MortPayM,J11+J11*(F_MR/12)),0)</f>
        <v>0</v>
      </c>
      <c r="X11" s="1" t="n">
        <f aca="false">IF(K11&gt;PR_BalDone,MIN(F_MortPayM,K11+K11*(F_MR/12)),0)</f>
        <v>0</v>
      </c>
      <c r="Y11" s="1" t="n">
        <f aca="false">IF(L11&gt;PR_BalDone,MIN(F_MortPayM,L11+L11*(F_MR/12)),0)</f>
        <v>0</v>
      </c>
      <c r="Z11" s="1" t="n">
        <f aca="false">IF(M11&gt;PR_BalDone,MIN(F_MortPayM,M11+M11*(F_MR/12)),0)</f>
        <v>0</v>
      </c>
      <c r="AA11" s="1" t="n">
        <f aca="false">IF(N11&gt;PR_BalDone,MIN(F_MortPayM,N11+N11*(F_MR/12)),0)</f>
        <v>0</v>
      </c>
      <c r="AB11" s="1" t="n">
        <f aca="false">MAX(0,O11)</f>
        <v>0</v>
      </c>
      <c r="AC11" s="1" t="n">
        <f aca="false">SUM(P11:AA11)</f>
        <v>0</v>
      </c>
      <c r="AD11" s="1" t="n">
        <f aca="false">'Plan cashflow'!L11</f>
        <v>0</v>
      </c>
      <c r="AE11" s="1" t="n">
        <f aca="false">IF(AD11&gt;PR_BalDone,AD11+AD11*(D_iC)-MIN(F_CardPayM,AD11+AD11*(D_iC)),AD11)</f>
        <v>0</v>
      </c>
      <c r="AF11" s="1" t="n">
        <f aca="false">IF(AE11&gt;PR_BalDone,AE11+AE11*(D_iC)-MIN(F_CardPayM,AE11+AE11*(D_iC)),AE11)</f>
        <v>0</v>
      </c>
      <c r="AG11" s="1" t="n">
        <f aca="false">IF(AF11&gt;PR_BalDone,AF11+AF11*(D_iC)-MIN(F_CardPayM,AF11+AF11*(D_iC)),AF11)</f>
        <v>0</v>
      </c>
      <c r="AH11" s="1" t="n">
        <f aca="false">IF(AG11&gt;PR_BalDone,AG11+AG11*(D_iC)-MIN(F_CardPayM,AG11+AG11*(D_iC)),AG11)</f>
        <v>0</v>
      </c>
      <c r="AI11" s="1" t="n">
        <f aca="false">IF(AH11&gt;PR_BalDone,AH11+AH11*(D_iC)-MIN(F_CardPayM,AH11+AH11*(D_iC)),AH11)</f>
        <v>0</v>
      </c>
      <c r="AJ11" s="1" t="n">
        <f aca="false">IF(AI11&gt;PR_BalDone,AI11+AI11*(D_iC)-MIN(F_CardPayM,AI11+AI11*(D_iC)),AI11)</f>
        <v>0</v>
      </c>
      <c r="AK11" s="1" t="n">
        <f aca="false">IF(AJ11&gt;PR_BalDone,AJ11+AJ11*(D_iC)-MIN(F_CardPayM,AJ11+AJ11*(D_iC)),AJ11)</f>
        <v>0</v>
      </c>
      <c r="AL11" s="1" t="n">
        <f aca="false">IF(AK11&gt;PR_BalDone,AK11+AK11*(D_iC)-MIN(F_CardPayM,AK11+AK11*(D_iC)),AK11)</f>
        <v>0</v>
      </c>
      <c r="AM11" s="1" t="n">
        <f aca="false">IF(AL11&gt;PR_BalDone,AL11+AL11*(D_iC)-MIN(F_CardPayM,AL11+AL11*(D_iC)),AL11)</f>
        <v>0</v>
      </c>
      <c r="AN11" s="1" t="n">
        <f aca="false">IF(AM11&gt;PR_BalDone,AM11+AM11*(D_iC)-MIN(F_CardPayM,AM11+AM11*(D_iC)),AM11)</f>
        <v>0</v>
      </c>
      <c r="AO11" s="1" t="n">
        <f aca="false">IF(AN11&gt;PR_BalDone,AN11+AN11*(D_iC)-MIN(F_CardPayM,AN11+AN11*(D_iC)),AN11)</f>
        <v>0</v>
      </c>
      <c r="AP11" s="1" t="n">
        <f aca="false">IF(AO11&gt;PR_BalDone,AO11+AO11*(D_iC)-MIN(F_CardPayM,AO11+AO11*(D_iC)),AO11)</f>
        <v>0</v>
      </c>
      <c r="AQ11" s="1" t="n">
        <f aca="false">IF(AD11&gt;PR_BalDone,MIN(F_CardPayM,AD11+AD11*(D_iC)),0)</f>
        <v>0</v>
      </c>
      <c r="AR11" s="1" t="n">
        <f aca="false">IF(AE11&gt;PR_BalDone,MIN(F_CardPayM,AE11+AE11*(D_iC)),0)</f>
        <v>0</v>
      </c>
      <c r="AS11" s="1" t="n">
        <f aca="false">IF(AF11&gt;PR_BalDone,MIN(F_CardPayM,AF11+AF11*(D_iC)),0)</f>
        <v>0</v>
      </c>
      <c r="AT11" s="1" t="n">
        <f aca="false">IF(AG11&gt;PR_BalDone,MIN(F_CardPayM,AG11+AG11*(D_iC)),0)</f>
        <v>0</v>
      </c>
      <c r="AU11" s="1" t="n">
        <f aca="false">IF(AH11&gt;PR_BalDone,MIN(F_CardPayM,AH11+AH11*(D_iC)),0)</f>
        <v>0</v>
      </c>
      <c r="AV11" s="1" t="n">
        <f aca="false">IF(AI11&gt;PR_BalDone,MIN(F_CardPayM,AI11+AI11*(D_iC)),0)</f>
        <v>0</v>
      </c>
      <c r="AW11" s="1" t="n">
        <f aca="false">IF(AJ11&gt;PR_BalDone,MIN(F_CardPayM,AJ11+AJ11*(D_iC)),0)</f>
        <v>0</v>
      </c>
      <c r="AX11" s="1" t="n">
        <f aca="false">IF(AK11&gt;PR_BalDone,MIN(F_CardPayM,AK11+AK11*(D_iC)),0)</f>
        <v>0</v>
      </c>
      <c r="AY11" s="1" t="n">
        <f aca="false">IF(AL11&gt;PR_BalDone,MIN(F_CardPayM,AL11+AL11*(D_iC)),0)</f>
        <v>0</v>
      </c>
      <c r="AZ11" s="1" t="n">
        <f aca="false">IF(AM11&gt;PR_BalDone,MIN(F_CardPayM,AM11+AM11*(D_iC)),0)</f>
        <v>0</v>
      </c>
      <c r="BA11" s="1" t="n">
        <f aca="false">IF(AN11&gt;PR_BalDone,MIN(F_CardPayM,AN11+AN11*(D_iC)),0)</f>
        <v>0</v>
      </c>
      <c r="BB11" s="1" t="n">
        <f aca="false">IF(AO11&gt;PR_BalDone,MIN(F_CardPayM,AO11+AO11*(D_iC)),0)</f>
        <v>0</v>
      </c>
      <c r="BC11" s="1" t="n">
        <f aca="false">MAX(0,AP11)</f>
        <v>0</v>
      </c>
      <c r="BD11" s="1" t="n">
        <f aca="false">SUM(AQ11:BB11)</f>
        <v>0</v>
      </c>
      <c r="BE11" s="1" t="n">
        <f aca="false">'Plan cashflow'!O11</f>
        <v>0</v>
      </c>
      <c r="BF11" s="1" t="n">
        <f aca="false">IF(BE11&gt;PR_BalDone,BE11+BE11*(D_iL)-MIN(F_LoanPayM,BE11+BE11*(D_iL)),BE11)</f>
        <v>0</v>
      </c>
      <c r="BG11" s="1" t="n">
        <f aca="false">IF(BF11&gt;PR_BalDone,BF11+BF11*(D_iL)-MIN(F_LoanPayM,BF11+BF11*(D_iL)),BF11)</f>
        <v>0</v>
      </c>
      <c r="BH11" s="1" t="n">
        <f aca="false">IF(BG11&gt;PR_BalDone,BG11+BG11*(D_iL)-MIN(F_LoanPayM,BG11+BG11*(D_iL)),BG11)</f>
        <v>0</v>
      </c>
      <c r="BI11" s="1" t="n">
        <f aca="false">IF(BH11&gt;PR_BalDone,BH11+BH11*(D_iL)-MIN(F_LoanPayM,BH11+BH11*(D_iL)),BH11)</f>
        <v>0</v>
      </c>
      <c r="BJ11" s="1" t="n">
        <f aca="false">IF(BI11&gt;PR_BalDone,BI11+BI11*(D_iL)-MIN(F_LoanPayM,BI11+BI11*(D_iL)),BI11)</f>
        <v>0</v>
      </c>
      <c r="BK11" s="1" t="n">
        <f aca="false">IF(BJ11&gt;PR_BalDone,BJ11+BJ11*(D_iL)-MIN(F_LoanPayM,BJ11+BJ11*(D_iL)),BJ11)</f>
        <v>0</v>
      </c>
      <c r="BL11" s="1" t="n">
        <f aca="false">IF(BK11&gt;PR_BalDone,BK11+BK11*(D_iL)-MIN(F_LoanPayM,BK11+BK11*(D_iL)),BK11)</f>
        <v>0</v>
      </c>
      <c r="BM11" s="1" t="n">
        <f aca="false">IF(BL11&gt;PR_BalDone,BL11+BL11*(D_iL)-MIN(F_LoanPayM,BL11+BL11*(D_iL)),BL11)</f>
        <v>0</v>
      </c>
      <c r="BN11" s="1" t="n">
        <f aca="false">IF(BM11&gt;PR_BalDone,BM11+BM11*(D_iL)-MIN(F_LoanPayM,BM11+BM11*(D_iL)),BM11)</f>
        <v>0</v>
      </c>
      <c r="BO11" s="1" t="n">
        <f aca="false">IF(BN11&gt;PR_BalDone,BN11+BN11*(D_iL)-MIN(F_LoanPayM,BN11+BN11*(D_iL)),BN11)</f>
        <v>0</v>
      </c>
      <c r="BP11" s="1" t="n">
        <f aca="false">IF(BO11&gt;PR_BalDone,BO11+BO11*(D_iL)-MIN(F_LoanPayM,BO11+BO11*(D_iL)),BO11)</f>
        <v>0</v>
      </c>
      <c r="BQ11" s="1" t="n">
        <f aca="false">IF(BP11&gt;PR_BalDone,BP11+BP11*(D_iL)-MIN(F_LoanPayM,BP11+BP11*(D_iL)),BP11)</f>
        <v>0</v>
      </c>
      <c r="BR11" s="1" t="n">
        <f aca="false">IF(BE11&gt;PR_BalDone,MIN(F_LoanPayM,BE11+BE11*(D_iL)),0)</f>
        <v>0</v>
      </c>
      <c r="BS11" s="1" t="n">
        <f aca="false">IF(BF11&gt;PR_BalDone,MIN(F_LoanPayM,BF11+BF11*(D_iL)),0)</f>
        <v>0</v>
      </c>
      <c r="BT11" s="1" t="n">
        <f aca="false">IF(BG11&gt;PR_BalDone,MIN(F_LoanPayM,BG11+BG11*(D_iL)),0)</f>
        <v>0</v>
      </c>
      <c r="BU11" s="1" t="n">
        <f aca="false">IF(BH11&gt;PR_BalDone,MIN(F_LoanPayM,BH11+BH11*(D_iL)),0)</f>
        <v>0</v>
      </c>
      <c r="BV11" s="1" t="n">
        <f aca="false">IF(BI11&gt;PR_BalDone,MIN(F_LoanPayM,BI11+BI11*(D_iL)),0)</f>
        <v>0</v>
      </c>
      <c r="BW11" s="1" t="n">
        <f aca="false">IF(BJ11&gt;PR_BalDone,MIN(F_LoanPayM,BJ11+BJ11*(D_iL)),0)</f>
        <v>0</v>
      </c>
      <c r="BX11" s="1" t="n">
        <f aca="false">IF(BK11&gt;PR_BalDone,MIN(F_LoanPayM,BK11+BK11*(D_iL)),0)</f>
        <v>0</v>
      </c>
      <c r="BY11" s="1" t="n">
        <f aca="false">IF(BL11&gt;PR_BalDone,MIN(F_LoanPayM,BL11+BL11*(D_iL)),0)</f>
        <v>0</v>
      </c>
      <c r="BZ11" s="1" t="n">
        <f aca="false">IF(BM11&gt;PR_BalDone,MIN(F_LoanPayM,BM11+BM11*(D_iL)),0)</f>
        <v>0</v>
      </c>
      <c r="CA11" s="1" t="n">
        <f aca="false">IF(BN11&gt;PR_BalDone,MIN(F_LoanPayM,BN11+BN11*(D_iL)),0)</f>
        <v>0</v>
      </c>
      <c r="CB11" s="1" t="n">
        <f aca="false">IF(BO11&gt;PR_BalDone,MIN(F_LoanPayM,BO11+BO11*(D_iL)),0)</f>
        <v>0</v>
      </c>
      <c r="CC11" s="1" t="n">
        <f aca="false">IF(BP11&gt;PR_BalDone,MIN(F_LoanPayM,BP11+BP11*(D_iL)),0)</f>
        <v>0</v>
      </c>
      <c r="CD11" s="1" t="n">
        <f aca="false">MAX(0,BQ11)</f>
        <v>0</v>
      </c>
      <c r="CE11" s="1" t="n">
        <f aca="false">SUM(BR11:CC11)</f>
        <v>0</v>
      </c>
      <c r="CF11" s="1" t="n">
        <f aca="false">IF(CF10&gt;1,DE10,CF10)</f>
        <v>0</v>
      </c>
      <c r="CG11" s="1" t="n">
        <f aca="false">IF(CF11&gt;PR_BalDone,CF11+CF11*(F_MR/12)-MIN(F_MortPayM,CF11+CF11*(F_MR/12)),CF11)</f>
        <v>0</v>
      </c>
      <c r="CH11" s="1" t="n">
        <f aca="false">IF(CG11&gt;PR_BalDone,CG11+CG11*(F_MR/12)-MIN(F_MortPayM,CG11+CG11*(F_MR/12)),CG11)</f>
        <v>0</v>
      </c>
      <c r="CI11" s="1" t="n">
        <f aca="false">IF(CH11&gt;PR_BalDone,CH11+CH11*(F_MR/12)-MIN(F_MortPayM,CH11+CH11*(F_MR/12)),CH11)</f>
        <v>0</v>
      </c>
      <c r="CJ11" s="1" t="n">
        <f aca="false">IF(CI11&gt;PR_BalDone,CI11+CI11*(F_MR/12)-MIN(F_MortPayM,CI11+CI11*(F_MR/12)),CI11)</f>
        <v>0</v>
      </c>
      <c r="CK11" s="1" t="n">
        <f aca="false">IF(CJ11&gt;PR_BalDone,CJ11+CJ11*(F_MR/12)-MIN(F_MortPayM,CJ11+CJ11*(F_MR/12)),CJ11)</f>
        <v>0</v>
      </c>
      <c r="CL11" s="1" t="n">
        <f aca="false">IF(CK11&gt;PR_BalDone,CK11+CK11*(F_MR/12)-MIN(F_MortPayM,CK11+CK11*(F_MR/12)),CK11)</f>
        <v>0</v>
      </c>
      <c r="CM11" s="1" t="n">
        <f aca="false">IF(CL11&gt;PR_BalDone,CL11+CL11*(F_MR/12)-MIN(F_MortPayM,CL11+CL11*(F_MR/12)),CL11)</f>
        <v>0</v>
      </c>
      <c r="CN11" s="1" t="n">
        <f aca="false">IF(CM11&gt;PR_BalDone,CM11+CM11*(F_MR/12)-MIN(F_MortPayM,CM11+CM11*(F_MR/12)),CM11)</f>
        <v>0</v>
      </c>
      <c r="CO11" s="1" t="n">
        <f aca="false">IF(CN11&gt;PR_BalDone,CN11+CN11*(F_MR/12)-MIN(F_MortPayM,CN11+CN11*(F_MR/12)),CN11)</f>
        <v>0</v>
      </c>
      <c r="CP11" s="1" t="n">
        <f aca="false">IF(CO11&gt;PR_BalDone,CO11+CO11*(F_MR/12)-MIN(F_MortPayM,CO11+CO11*(F_MR/12)),CO11)</f>
        <v>0</v>
      </c>
      <c r="CQ11" s="1" t="n">
        <f aca="false">IF(CP11&gt;PR_BalDone,CP11+CP11*(F_MR/12)-MIN(F_MortPayM,CP11+CP11*(F_MR/12)),CP11)</f>
        <v>0</v>
      </c>
      <c r="CR11" s="1" t="n">
        <f aca="false">IF(CQ11&gt;PR_BalDone,CQ11+CQ11*(F_MR/12)-MIN(F_MortPayM,CQ11+CQ11*(F_MR/12)),CQ11)</f>
        <v>0</v>
      </c>
      <c r="CS11" s="1" t="n">
        <f aca="false">IF(CF11&gt;PR_BalDone,MIN(F_MortPayM,CF11+CF11*(F_MR/12)),0)</f>
        <v>0</v>
      </c>
      <c r="CT11" s="1" t="n">
        <f aca="false">IF(CG11&gt;PR_BalDone,MIN(F_MortPayM,CG11+CG11*(F_MR/12)),0)</f>
        <v>0</v>
      </c>
      <c r="CU11" s="1" t="n">
        <f aca="false">IF(CH11&gt;PR_BalDone,MIN(F_MortPayM,CH11+CH11*(F_MR/12)),0)</f>
        <v>0</v>
      </c>
      <c r="CV11" s="1" t="n">
        <f aca="false">IF(CI11&gt;PR_BalDone,MIN(F_MortPayM,CI11+CI11*(F_MR/12)),0)</f>
        <v>0</v>
      </c>
      <c r="CW11" s="1" t="n">
        <f aca="false">IF(CJ11&gt;PR_BalDone,MIN(F_MortPayM,CJ11+CJ11*(F_MR/12)),0)</f>
        <v>0</v>
      </c>
      <c r="CX11" s="1" t="n">
        <f aca="false">IF(CK11&gt;PR_BalDone,MIN(F_MortPayM,CK11+CK11*(F_MR/12)),0)</f>
        <v>0</v>
      </c>
      <c r="CY11" s="1" t="n">
        <f aca="false">IF(CL11&gt;PR_BalDone,MIN(F_MortPayM,CL11+CL11*(F_MR/12)),0)</f>
        <v>0</v>
      </c>
      <c r="CZ11" s="1" t="n">
        <f aca="false">IF(CM11&gt;PR_BalDone,MIN(F_MortPayM,CM11+CM11*(F_MR/12)),0)</f>
        <v>0</v>
      </c>
      <c r="DA11" s="1" t="n">
        <f aca="false">IF(CN11&gt;PR_BalDone,MIN(F_MortPayM,CN11+CN11*(F_MR/12)),0)</f>
        <v>0</v>
      </c>
      <c r="DB11" s="1" t="n">
        <f aca="false">IF(CO11&gt;PR_BalDone,MIN(F_MortPayM,CO11+CO11*(F_MR/12)),0)</f>
        <v>0</v>
      </c>
      <c r="DC11" s="1" t="n">
        <f aca="false">IF(CP11&gt;PR_BalDone,MIN(F_MortPayM,CP11+CP11*(F_MR/12)),0)</f>
        <v>0</v>
      </c>
      <c r="DD11" s="1" t="n">
        <f aca="false">IF(CQ11&gt;PR_BalDone,MIN(F_MortPayM,CQ11+CQ11*(F_MR/12)),0)</f>
        <v>0</v>
      </c>
      <c r="DE11" s="1" t="n">
        <f aca="false">MAX(0,CR11)</f>
        <v>0</v>
      </c>
      <c r="DF11" s="1" t="n">
        <f aca="false">SUM(CS11:DD11)</f>
        <v>0</v>
      </c>
      <c r="DG11" s="1" t="n">
        <f aca="false">MAX(0,CF11)</f>
        <v>0</v>
      </c>
    </row>
    <row r="12" customFormat="false" ht="15" hidden="false" customHeight="true" outlineLevel="0" collapsed="false">
      <c r="B12" s="1" t="n">
        <v>4</v>
      </c>
      <c r="C12" s="1" t="n">
        <f aca="false">'Plan cashflow'!I12</f>
        <v>0</v>
      </c>
      <c r="D12" s="1" t="n">
        <f aca="false">IF(C12&gt;PR_BalDone,C12+C12*(F_MR/12)-MIN(F_MortPayM,C12+C12*(F_MR/12)),C12)</f>
        <v>0</v>
      </c>
      <c r="E12" s="1" t="n">
        <f aca="false">IF(D12&gt;PR_BalDone,D12+D12*(F_MR/12)-MIN(F_MortPayM,D12+D12*(F_MR/12)),D12)</f>
        <v>0</v>
      </c>
      <c r="F12" s="1" t="n">
        <f aca="false">IF(E12&gt;PR_BalDone,E12+E12*(F_MR/12)-MIN(F_MortPayM,E12+E12*(F_MR/12)),E12)</f>
        <v>0</v>
      </c>
      <c r="G12" s="1" t="n">
        <f aca="false">IF(F12&gt;PR_BalDone,F12+F12*(F_MR/12)-MIN(F_MortPayM,F12+F12*(F_MR/12)),F12)</f>
        <v>0</v>
      </c>
      <c r="H12" s="1" t="n">
        <f aca="false">IF(G12&gt;PR_BalDone,G12+G12*(F_MR/12)-MIN(F_MortPayM,G12+G12*(F_MR/12)),G12)</f>
        <v>0</v>
      </c>
      <c r="I12" s="1" t="n">
        <f aca="false">IF(H12&gt;PR_BalDone,H12+H12*(F_MR/12)-MIN(F_MortPayM,H12+H12*(F_MR/12)),H12)</f>
        <v>0</v>
      </c>
      <c r="J12" s="1" t="n">
        <f aca="false">IF(I12&gt;PR_BalDone,I12+I12*(F_MR/12)-MIN(F_MortPayM,I12+I12*(F_MR/12)),I12)</f>
        <v>0</v>
      </c>
      <c r="K12" s="1" t="n">
        <f aca="false">IF(J12&gt;PR_BalDone,J12+J12*(F_MR/12)-MIN(F_MortPayM,J12+J12*(F_MR/12)),J12)</f>
        <v>0</v>
      </c>
      <c r="L12" s="1" t="n">
        <f aca="false">IF(K12&gt;PR_BalDone,K12+K12*(F_MR/12)-MIN(F_MortPayM,K12+K12*(F_MR/12)),K12)</f>
        <v>0</v>
      </c>
      <c r="M12" s="1" t="n">
        <f aca="false">IF(L12&gt;PR_BalDone,L12+L12*(F_MR/12)-MIN(F_MortPayM,L12+L12*(F_MR/12)),L12)</f>
        <v>0</v>
      </c>
      <c r="N12" s="1" t="n">
        <f aca="false">IF(M12&gt;PR_BalDone,M12+M12*(F_MR/12)-MIN(F_MortPayM,M12+M12*(F_MR/12)),M12)</f>
        <v>0</v>
      </c>
      <c r="O12" s="1" t="n">
        <f aca="false">IF(N12&gt;PR_BalDone,N12+N12*(F_MR/12)-MIN(F_MortPayM,N12+N12*(F_MR/12)),N12)</f>
        <v>0</v>
      </c>
      <c r="P12" s="1" t="n">
        <f aca="false">IF(C12&gt;PR_BalDone,MIN(F_MortPayM,C12+C12*(F_MR/12)),0)</f>
        <v>0</v>
      </c>
      <c r="Q12" s="1" t="n">
        <f aca="false">IF(D12&gt;PR_BalDone,MIN(F_MortPayM,D12+D12*(F_MR/12)),0)</f>
        <v>0</v>
      </c>
      <c r="R12" s="1" t="n">
        <f aca="false">IF(E12&gt;PR_BalDone,MIN(F_MortPayM,E12+E12*(F_MR/12)),0)</f>
        <v>0</v>
      </c>
      <c r="S12" s="1" t="n">
        <f aca="false">IF(F12&gt;PR_BalDone,MIN(F_MortPayM,F12+F12*(F_MR/12)),0)</f>
        <v>0</v>
      </c>
      <c r="T12" s="1" t="n">
        <f aca="false">IF(G12&gt;PR_BalDone,MIN(F_MortPayM,G12+G12*(F_MR/12)),0)</f>
        <v>0</v>
      </c>
      <c r="U12" s="1" t="n">
        <f aca="false">IF(H12&gt;PR_BalDone,MIN(F_MortPayM,H12+H12*(F_MR/12)),0)</f>
        <v>0</v>
      </c>
      <c r="V12" s="1" t="n">
        <f aca="false">IF(I12&gt;PR_BalDone,MIN(F_MortPayM,I12+I12*(F_MR/12)),0)</f>
        <v>0</v>
      </c>
      <c r="W12" s="1" t="n">
        <f aca="false">IF(J12&gt;PR_BalDone,MIN(F_MortPayM,J12+J12*(F_MR/12)),0)</f>
        <v>0</v>
      </c>
      <c r="X12" s="1" t="n">
        <f aca="false">IF(K12&gt;PR_BalDone,MIN(F_MortPayM,K12+K12*(F_MR/12)),0)</f>
        <v>0</v>
      </c>
      <c r="Y12" s="1" t="n">
        <f aca="false">IF(L12&gt;PR_BalDone,MIN(F_MortPayM,L12+L12*(F_MR/12)),0)</f>
        <v>0</v>
      </c>
      <c r="Z12" s="1" t="n">
        <f aca="false">IF(M12&gt;PR_BalDone,MIN(F_MortPayM,M12+M12*(F_MR/12)),0)</f>
        <v>0</v>
      </c>
      <c r="AA12" s="1" t="n">
        <f aca="false">IF(N12&gt;PR_BalDone,MIN(F_MortPayM,N12+N12*(F_MR/12)),0)</f>
        <v>0</v>
      </c>
      <c r="AB12" s="1" t="n">
        <f aca="false">MAX(0,O12)</f>
        <v>0</v>
      </c>
      <c r="AC12" s="1" t="n">
        <f aca="false">SUM(P12:AA12)</f>
        <v>0</v>
      </c>
      <c r="AD12" s="1" t="n">
        <f aca="false">'Plan cashflow'!L12</f>
        <v>0</v>
      </c>
      <c r="AE12" s="1" t="n">
        <f aca="false">IF(AD12&gt;PR_BalDone,AD12+AD12*(D_iC)-MIN(F_CardPayM,AD12+AD12*(D_iC)),AD12)</f>
        <v>0</v>
      </c>
      <c r="AF12" s="1" t="n">
        <f aca="false">IF(AE12&gt;PR_BalDone,AE12+AE12*(D_iC)-MIN(F_CardPayM,AE12+AE12*(D_iC)),AE12)</f>
        <v>0</v>
      </c>
      <c r="AG12" s="1" t="n">
        <f aca="false">IF(AF12&gt;PR_BalDone,AF12+AF12*(D_iC)-MIN(F_CardPayM,AF12+AF12*(D_iC)),AF12)</f>
        <v>0</v>
      </c>
      <c r="AH12" s="1" t="n">
        <f aca="false">IF(AG12&gt;PR_BalDone,AG12+AG12*(D_iC)-MIN(F_CardPayM,AG12+AG12*(D_iC)),AG12)</f>
        <v>0</v>
      </c>
      <c r="AI12" s="1" t="n">
        <f aca="false">IF(AH12&gt;PR_BalDone,AH12+AH12*(D_iC)-MIN(F_CardPayM,AH12+AH12*(D_iC)),AH12)</f>
        <v>0</v>
      </c>
      <c r="AJ12" s="1" t="n">
        <f aca="false">IF(AI12&gt;PR_BalDone,AI12+AI12*(D_iC)-MIN(F_CardPayM,AI12+AI12*(D_iC)),AI12)</f>
        <v>0</v>
      </c>
      <c r="AK12" s="1" t="n">
        <f aca="false">IF(AJ12&gt;PR_BalDone,AJ12+AJ12*(D_iC)-MIN(F_CardPayM,AJ12+AJ12*(D_iC)),AJ12)</f>
        <v>0</v>
      </c>
      <c r="AL12" s="1" t="n">
        <f aca="false">IF(AK12&gt;PR_BalDone,AK12+AK12*(D_iC)-MIN(F_CardPayM,AK12+AK12*(D_iC)),AK12)</f>
        <v>0</v>
      </c>
      <c r="AM12" s="1" t="n">
        <f aca="false">IF(AL12&gt;PR_BalDone,AL12+AL12*(D_iC)-MIN(F_CardPayM,AL12+AL12*(D_iC)),AL12)</f>
        <v>0</v>
      </c>
      <c r="AN12" s="1" t="n">
        <f aca="false">IF(AM12&gt;PR_BalDone,AM12+AM12*(D_iC)-MIN(F_CardPayM,AM12+AM12*(D_iC)),AM12)</f>
        <v>0</v>
      </c>
      <c r="AO12" s="1" t="n">
        <f aca="false">IF(AN12&gt;PR_BalDone,AN12+AN12*(D_iC)-MIN(F_CardPayM,AN12+AN12*(D_iC)),AN12)</f>
        <v>0</v>
      </c>
      <c r="AP12" s="1" t="n">
        <f aca="false">IF(AO12&gt;PR_BalDone,AO12+AO12*(D_iC)-MIN(F_CardPayM,AO12+AO12*(D_iC)),AO12)</f>
        <v>0</v>
      </c>
      <c r="AQ12" s="1" t="n">
        <f aca="false">IF(AD12&gt;PR_BalDone,MIN(F_CardPayM,AD12+AD12*(D_iC)),0)</f>
        <v>0</v>
      </c>
      <c r="AR12" s="1" t="n">
        <f aca="false">IF(AE12&gt;PR_BalDone,MIN(F_CardPayM,AE12+AE12*(D_iC)),0)</f>
        <v>0</v>
      </c>
      <c r="AS12" s="1" t="n">
        <f aca="false">IF(AF12&gt;PR_BalDone,MIN(F_CardPayM,AF12+AF12*(D_iC)),0)</f>
        <v>0</v>
      </c>
      <c r="AT12" s="1" t="n">
        <f aca="false">IF(AG12&gt;PR_BalDone,MIN(F_CardPayM,AG12+AG12*(D_iC)),0)</f>
        <v>0</v>
      </c>
      <c r="AU12" s="1" t="n">
        <f aca="false">IF(AH12&gt;PR_BalDone,MIN(F_CardPayM,AH12+AH12*(D_iC)),0)</f>
        <v>0</v>
      </c>
      <c r="AV12" s="1" t="n">
        <f aca="false">IF(AI12&gt;PR_BalDone,MIN(F_CardPayM,AI12+AI12*(D_iC)),0)</f>
        <v>0</v>
      </c>
      <c r="AW12" s="1" t="n">
        <f aca="false">IF(AJ12&gt;PR_BalDone,MIN(F_CardPayM,AJ12+AJ12*(D_iC)),0)</f>
        <v>0</v>
      </c>
      <c r="AX12" s="1" t="n">
        <f aca="false">IF(AK12&gt;PR_BalDone,MIN(F_CardPayM,AK12+AK12*(D_iC)),0)</f>
        <v>0</v>
      </c>
      <c r="AY12" s="1" t="n">
        <f aca="false">IF(AL12&gt;PR_BalDone,MIN(F_CardPayM,AL12+AL12*(D_iC)),0)</f>
        <v>0</v>
      </c>
      <c r="AZ12" s="1" t="n">
        <f aca="false">IF(AM12&gt;PR_BalDone,MIN(F_CardPayM,AM12+AM12*(D_iC)),0)</f>
        <v>0</v>
      </c>
      <c r="BA12" s="1" t="n">
        <f aca="false">IF(AN12&gt;PR_BalDone,MIN(F_CardPayM,AN12+AN12*(D_iC)),0)</f>
        <v>0</v>
      </c>
      <c r="BB12" s="1" t="n">
        <f aca="false">IF(AO12&gt;PR_BalDone,MIN(F_CardPayM,AO12+AO12*(D_iC)),0)</f>
        <v>0</v>
      </c>
      <c r="BC12" s="1" t="n">
        <f aca="false">MAX(0,AP12)</f>
        <v>0</v>
      </c>
      <c r="BD12" s="1" t="n">
        <f aca="false">SUM(AQ12:BB12)</f>
        <v>0</v>
      </c>
      <c r="BE12" s="1" t="n">
        <f aca="false">'Plan cashflow'!O12</f>
        <v>0</v>
      </c>
      <c r="BF12" s="1" t="n">
        <f aca="false">IF(BE12&gt;PR_BalDone,BE12+BE12*(D_iL)-MIN(F_LoanPayM,BE12+BE12*(D_iL)),BE12)</f>
        <v>0</v>
      </c>
      <c r="BG12" s="1" t="n">
        <f aca="false">IF(BF12&gt;PR_BalDone,BF12+BF12*(D_iL)-MIN(F_LoanPayM,BF12+BF12*(D_iL)),BF12)</f>
        <v>0</v>
      </c>
      <c r="BH12" s="1" t="n">
        <f aca="false">IF(BG12&gt;PR_BalDone,BG12+BG12*(D_iL)-MIN(F_LoanPayM,BG12+BG12*(D_iL)),BG12)</f>
        <v>0</v>
      </c>
      <c r="BI12" s="1" t="n">
        <f aca="false">IF(BH12&gt;PR_BalDone,BH12+BH12*(D_iL)-MIN(F_LoanPayM,BH12+BH12*(D_iL)),BH12)</f>
        <v>0</v>
      </c>
      <c r="BJ12" s="1" t="n">
        <f aca="false">IF(BI12&gt;PR_BalDone,BI12+BI12*(D_iL)-MIN(F_LoanPayM,BI12+BI12*(D_iL)),BI12)</f>
        <v>0</v>
      </c>
      <c r="BK12" s="1" t="n">
        <f aca="false">IF(BJ12&gt;PR_BalDone,BJ12+BJ12*(D_iL)-MIN(F_LoanPayM,BJ12+BJ12*(D_iL)),BJ12)</f>
        <v>0</v>
      </c>
      <c r="BL12" s="1" t="n">
        <f aca="false">IF(BK12&gt;PR_BalDone,BK12+BK12*(D_iL)-MIN(F_LoanPayM,BK12+BK12*(D_iL)),BK12)</f>
        <v>0</v>
      </c>
      <c r="BM12" s="1" t="n">
        <f aca="false">IF(BL12&gt;PR_BalDone,BL12+BL12*(D_iL)-MIN(F_LoanPayM,BL12+BL12*(D_iL)),BL12)</f>
        <v>0</v>
      </c>
      <c r="BN12" s="1" t="n">
        <f aca="false">IF(BM12&gt;PR_BalDone,BM12+BM12*(D_iL)-MIN(F_LoanPayM,BM12+BM12*(D_iL)),BM12)</f>
        <v>0</v>
      </c>
      <c r="BO12" s="1" t="n">
        <f aca="false">IF(BN12&gt;PR_BalDone,BN12+BN12*(D_iL)-MIN(F_LoanPayM,BN12+BN12*(D_iL)),BN12)</f>
        <v>0</v>
      </c>
      <c r="BP12" s="1" t="n">
        <f aca="false">IF(BO12&gt;PR_BalDone,BO12+BO12*(D_iL)-MIN(F_LoanPayM,BO12+BO12*(D_iL)),BO12)</f>
        <v>0</v>
      </c>
      <c r="BQ12" s="1" t="n">
        <f aca="false">IF(BP12&gt;PR_BalDone,BP12+BP12*(D_iL)-MIN(F_LoanPayM,BP12+BP12*(D_iL)),BP12)</f>
        <v>0</v>
      </c>
      <c r="BR12" s="1" t="n">
        <f aca="false">IF(BE12&gt;PR_BalDone,MIN(F_LoanPayM,BE12+BE12*(D_iL)),0)</f>
        <v>0</v>
      </c>
      <c r="BS12" s="1" t="n">
        <f aca="false">IF(BF12&gt;PR_BalDone,MIN(F_LoanPayM,BF12+BF12*(D_iL)),0)</f>
        <v>0</v>
      </c>
      <c r="BT12" s="1" t="n">
        <f aca="false">IF(BG12&gt;PR_BalDone,MIN(F_LoanPayM,BG12+BG12*(D_iL)),0)</f>
        <v>0</v>
      </c>
      <c r="BU12" s="1" t="n">
        <f aca="false">IF(BH12&gt;PR_BalDone,MIN(F_LoanPayM,BH12+BH12*(D_iL)),0)</f>
        <v>0</v>
      </c>
      <c r="BV12" s="1" t="n">
        <f aca="false">IF(BI12&gt;PR_BalDone,MIN(F_LoanPayM,BI12+BI12*(D_iL)),0)</f>
        <v>0</v>
      </c>
      <c r="BW12" s="1" t="n">
        <f aca="false">IF(BJ12&gt;PR_BalDone,MIN(F_LoanPayM,BJ12+BJ12*(D_iL)),0)</f>
        <v>0</v>
      </c>
      <c r="BX12" s="1" t="n">
        <f aca="false">IF(BK12&gt;PR_BalDone,MIN(F_LoanPayM,BK12+BK12*(D_iL)),0)</f>
        <v>0</v>
      </c>
      <c r="BY12" s="1" t="n">
        <f aca="false">IF(BL12&gt;PR_BalDone,MIN(F_LoanPayM,BL12+BL12*(D_iL)),0)</f>
        <v>0</v>
      </c>
      <c r="BZ12" s="1" t="n">
        <f aca="false">IF(BM12&gt;PR_BalDone,MIN(F_LoanPayM,BM12+BM12*(D_iL)),0)</f>
        <v>0</v>
      </c>
      <c r="CA12" s="1" t="n">
        <f aca="false">IF(BN12&gt;PR_BalDone,MIN(F_LoanPayM,BN12+BN12*(D_iL)),0)</f>
        <v>0</v>
      </c>
      <c r="CB12" s="1" t="n">
        <f aca="false">IF(BO12&gt;PR_BalDone,MIN(F_LoanPayM,BO12+BO12*(D_iL)),0)</f>
        <v>0</v>
      </c>
      <c r="CC12" s="1" t="n">
        <f aca="false">IF(BP12&gt;PR_BalDone,MIN(F_LoanPayM,BP12+BP12*(D_iL)),0)</f>
        <v>0</v>
      </c>
      <c r="CD12" s="1" t="n">
        <f aca="false">MAX(0,BQ12)</f>
        <v>0</v>
      </c>
      <c r="CE12" s="1" t="n">
        <f aca="false">SUM(BR12:CC12)</f>
        <v>0</v>
      </c>
      <c r="CF12" s="1" t="n">
        <f aca="false">IF(CF11&gt;1,DE11,CF11)</f>
        <v>0</v>
      </c>
      <c r="CG12" s="1" t="n">
        <f aca="false">IF(CF12&gt;PR_BalDone,CF12+CF12*(F_MR/12)-MIN(F_MortPayM,CF12+CF12*(F_MR/12)),CF12)</f>
        <v>0</v>
      </c>
      <c r="CH12" s="1" t="n">
        <f aca="false">IF(CG12&gt;PR_BalDone,CG12+CG12*(F_MR/12)-MIN(F_MortPayM,CG12+CG12*(F_MR/12)),CG12)</f>
        <v>0</v>
      </c>
      <c r="CI12" s="1" t="n">
        <f aca="false">IF(CH12&gt;PR_BalDone,CH12+CH12*(F_MR/12)-MIN(F_MortPayM,CH12+CH12*(F_MR/12)),CH12)</f>
        <v>0</v>
      </c>
      <c r="CJ12" s="1" t="n">
        <f aca="false">IF(CI12&gt;PR_BalDone,CI12+CI12*(F_MR/12)-MIN(F_MortPayM,CI12+CI12*(F_MR/12)),CI12)</f>
        <v>0</v>
      </c>
      <c r="CK12" s="1" t="n">
        <f aca="false">IF(CJ12&gt;PR_BalDone,CJ12+CJ12*(F_MR/12)-MIN(F_MortPayM,CJ12+CJ12*(F_MR/12)),CJ12)</f>
        <v>0</v>
      </c>
      <c r="CL12" s="1" t="n">
        <f aca="false">IF(CK12&gt;PR_BalDone,CK12+CK12*(F_MR/12)-MIN(F_MortPayM,CK12+CK12*(F_MR/12)),CK12)</f>
        <v>0</v>
      </c>
      <c r="CM12" s="1" t="n">
        <f aca="false">IF(CL12&gt;PR_BalDone,CL12+CL12*(F_MR/12)-MIN(F_MortPayM,CL12+CL12*(F_MR/12)),CL12)</f>
        <v>0</v>
      </c>
      <c r="CN12" s="1" t="n">
        <f aca="false">IF(CM12&gt;PR_BalDone,CM12+CM12*(F_MR/12)-MIN(F_MortPayM,CM12+CM12*(F_MR/12)),CM12)</f>
        <v>0</v>
      </c>
      <c r="CO12" s="1" t="n">
        <f aca="false">IF(CN12&gt;PR_BalDone,CN12+CN12*(F_MR/12)-MIN(F_MortPayM,CN12+CN12*(F_MR/12)),CN12)</f>
        <v>0</v>
      </c>
      <c r="CP12" s="1" t="n">
        <f aca="false">IF(CO12&gt;PR_BalDone,CO12+CO12*(F_MR/12)-MIN(F_MortPayM,CO12+CO12*(F_MR/12)),CO12)</f>
        <v>0</v>
      </c>
      <c r="CQ12" s="1" t="n">
        <f aca="false">IF(CP12&gt;PR_BalDone,CP12+CP12*(F_MR/12)-MIN(F_MortPayM,CP12+CP12*(F_MR/12)),CP12)</f>
        <v>0</v>
      </c>
      <c r="CR12" s="1" t="n">
        <f aca="false">IF(CQ12&gt;PR_BalDone,CQ12+CQ12*(F_MR/12)-MIN(F_MortPayM,CQ12+CQ12*(F_MR/12)),CQ12)</f>
        <v>0</v>
      </c>
      <c r="CS12" s="1" t="n">
        <f aca="false">IF(CF12&gt;PR_BalDone,MIN(F_MortPayM,CF12+CF12*(F_MR/12)),0)</f>
        <v>0</v>
      </c>
      <c r="CT12" s="1" t="n">
        <f aca="false">IF(CG12&gt;PR_BalDone,MIN(F_MortPayM,CG12+CG12*(F_MR/12)),0)</f>
        <v>0</v>
      </c>
      <c r="CU12" s="1" t="n">
        <f aca="false">IF(CH12&gt;PR_BalDone,MIN(F_MortPayM,CH12+CH12*(F_MR/12)),0)</f>
        <v>0</v>
      </c>
      <c r="CV12" s="1" t="n">
        <f aca="false">IF(CI12&gt;PR_BalDone,MIN(F_MortPayM,CI12+CI12*(F_MR/12)),0)</f>
        <v>0</v>
      </c>
      <c r="CW12" s="1" t="n">
        <f aca="false">IF(CJ12&gt;PR_BalDone,MIN(F_MortPayM,CJ12+CJ12*(F_MR/12)),0)</f>
        <v>0</v>
      </c>
      <c r="CX12" s="1" t="n">
        <f aca="false">IF(CK12&gt;PR_BalDone,MIN(F_MortPayM,CK12+CK12*(F_MR/12)),0)</f>
        <v>0</v>
      </c>
      <c r="CY12" s="1" t="n">
        <f aca="false">IF(CL12&gt;PR_BalDone,MIN(F_MortPayM,CL12+CL12*(F_MR/12)),0)</f>
        <v>0</v>
      </c>
      <c r="CZ12" s="1" t="n">
        <f aca="false">IF(CM12&gt;PR_BalDone,MIN(F_MortPayM,CM12+CM12*(F_MR/12)),0)</f>
        <v>0</v>
      </c>
      <c r="DA12" s="1" t="n">
        <f aca="false">IF(CN12&gt;PR_BalDone,MIN(F_MortPayM,CN12+CN12*(F_MR/12)),0)</f>
        <v>0</v>
      </c>
      <c r="DB12" s="1" t="n">
        <f aca="false">IF(CO12&gt;PR_BalDone,MIN(F_MortPayM,CO12+CO12*(F_MR/12)),0)</f>
        <v>0</v>
      </c>
      <c r="DC12" s="1" t="n">
        <f aca="false">IF(CP12&gt;PR_BalDone,MIN(F_MortPayM,CP12+CP12*(F_MR/12)),0)</f>
        <v>0</v>
      </c>
      <c r="DD12" s="1" t="n">
        <f aca="false">IF(CQ12&gt;PR_BalDone,MIN(F_MortPayM,CQ12+CQ12*(F_MR/12)),0)</f>
        <v>0</v>
      </c>
      <c r="DE12" s="1" t="n">
        <f aca="false">MAX(0,CR12)</f>
        <v>0</v>
      </c>
      <c r="DF12" s="1" t="n">
        <f aca="false">SUM(CS12:DD12)</f>
        <v>0</v>
      </c>
      <c r="DG12" s="1" t="n">
        <f aca="false">MAX(0,CF12)</f>
        <v>0</v>
      </c>
    </row>
    <row r="13" customFormat="false" ht="15" hidden="false" customHeight="true" outlineLevel="0" collapsed="false">
      <c r="B13" s="1" t="n">
        <v>5</v>
      </c>
      <c r="C13" s="1" t="n">
        <f aca="false">'Plan cashflow'!I13</f>
        <v>0</v>
      </c>
      <c r="D13" s="1" t="n">
        <f aca="false">IF(C13&gt;PR_BalDone,C13+C13*(F_MR/12)-MIN(F_MortPayM,C13+C13*(F_MR/12)),C13)</f>
        <v>0</v>
      </c>
      <c r="E13" s="1" t="n">
        <f aca="false">IF(D13&gt;PR_BalDone,D13+D13*(F_MR/12)-MIN(F_MortPayM,D13+D13*(F_MR/12)),D13)</f>
        <v>0</v>
      </c>
      <c r="F13" s="1" t="n">
        <f aca="false">IF(E13&gt;PR_BalDone,E13+E13*(F_MR/12)-MIN(F_MortPayM,E13+E13*(F_MR/12)),E13)</f>
        <v>0</v>
      </c>
      <c r="G13" s="1" t="n">
        <f aca="false">IF(F13&gt;PR_BalDone,F13+F13*(F_MR/12)-MIN(F_MortPayM,F13+F13*(F_MR/12)),F13)</f>
        <v>0</v>
      </c>
      <c r="H13" s="1" t="n">
        <f aca="false">IF(G13&gt;PR_BalDone,G13+G13*(F_MR/12)-MIN(F_MortPayM,G13+G13*(F_MR/12)),G13)</f>
        <v>0</v>
      </c>
      <c r="I13" s="1" t="n">
        <f aca="false">IF(H13&gt;PR_BalDone,H13+H13*(F_MR/12)-MIN(F_MortPayM,H13+H13*(F_MR/12)),H13)</f>
        <v>0</v>
      </c>
      <c r="J13" s="1" t="n">
        <f aca="false">IF(I13&gt;PR_BalDone,I13+I13*(F_MR/12)-MIN(F_MortPayM,I13+I13*(F_MR/12)),I13)</f>
        <v>0</v>
      </c>
      <c r="K13" s="1" t="n">
        <f aca="false">IF(J13&gt;PR_BalDone,J13+J13*(F_MR/12)-MIN(F_MortPayM,J13+J13*(F_MR/12)),J13)</f>
        <v>0</v>
      </c>
      <c r="L13" s="1" t="n">
        <f aca="false">IF(K13&gt;PR_BalDone,K13+K13*(F_MR/12)-MIN(F_MortPayM,K13+K13*(F_MR/12)),K13)</f>
        <v>0</v>
      </c>
      <c r="M13" s="1" t="n">
        <f aca="false">IF(L13&gt;PR_BalDone,L13+L13*(F_MR/12)-MIN(F_MortPayM,L13+L13*(F_MR/12)),L13)</f>
        <v>0</v>
      </c>
      <c r="N13" s="1" t="n">
        <f aca="false">IF(M13&gt;PR_BalDone,M13+M13*(F_MR/12)-MIN(F_MortPayM,M13+M13*(F_MR/12)),M13)</f>
        <v>0</v>
      </c>
      <c r="O13" s="1" t="n">
        <f aca="false">IF(N13&gt;PR_BalDone,N13+N13*(F_MR/12)-MIN(F_MortPayM,N13+N13*(F_MR/12)),N13)</f>
        <v>0</v>
      </c>
      <c r="P13" s="1" t="n">
        <f aca="false">IF(C13&gt;PR_BalDone,MIN(F_MortPayM,C13+C13*(F_MR/12)),0)</f>
        <v>0</v>
      </c>
      <c r="Q13" s="1" t="n">
        <f aca="false">IF(D13&gt;PR_BalDone,MIN(F_MortPayM,D13+D13*(F_MR/12)),0)</f>
        <v>0</v>
      </c>
      <c r="R13" s="1" t="n">
        <f aca="false">IF(E13&gt;PR_BalDone,MIN(F_MortPayM,E13+E13*(F_MR/12)),0)</f>
        <v>0</v>
      </c>
      <c r="S13" s="1" t="n">
        <f aca="false">IF(F13&gt;PR_BalDone,MIN(F_MortPayM,F13+F13*(F_MR/12)),0)</f>
        <v>0</v>
      </c>
      <c r="T13" s="1" t="n">
        <f aca="false">IF(G13&gt;PR_BalDone,MIN(F_MortPayM,G13+G13*(F_MR/12)),0)</f>
        <v>0</v>
      </c>
      <c r="U13" s="1" t="n">
        <f aca="false">IF(H13&gt;PR_BalDone,MIN(F_MortPayM,H13+H13*(F_MR/12)),0)</f>
        <v>0</v>
      </c>
      <c r="V13" s="1" t="n">
        <f aca="false">IF(I13&gt;PR_BalDone,MIN(F_MortPayM,I13+I13*(F_MR/12)),0)</f>
        <v>0</v>
      </c>
      <c r="W13" s="1" t="n">
        <f aca="false">IF(J13&gt;PR_BalDone,MIN(F_MortPayM,J13+J13*(F_MR/12)),0)</f>
        <v>0</v>
      </c>
      <c r="X13" s="1" t="n">
        <f aca="false">IF(K13&gt;PR_BalDone,MIN(F_MortPayM,K13+K13*(F_MR/12)),0)</f>
        <v>0</v>
      </c>
      <c r="Y13" s="1" t="n">
        <f aca="false">IF(L13&gt;PR_BalDone,MIN(F_MortPayM,L13+L13*(F_MR/12)),0)</f>
        <v>0</v>
      </c>
      <c r="Z13" s="1" t="n">
        <f aca="false">IF(M13&gt;PR_BalDone,MIN(F_MortPayM,M13+M13*(F_MR/12)),0)</f>
        <v>0</v>
      </c>
      <c r="AA13" s="1" t="n">
        <f aca="false">IF(N13&gt;PR_BalDone,MIN(F_MortPayM,N13+N13*(F_MR/12)),0)</f>
        <v>0</v>
      </c>
      <c r="AB13" s="1" t="n">
        <f aca="false">MAX(0,O13)</f>
        <v>0</v>
      </c>
      <c r="AC13" s="1" t="n">
        <f aca="false">SUM(P13:AA13)</f>
        <v>0</v>
      </c>
      <c r="AD13" s="1" t="n">
        <f aca="false">'Plan cashflow'!L13</f>
        <v>0</v>
      </c>
      <c r="AE13" s="1" t="n">
        <f aca="false">IF(AD13&gt;PR_BalDone,AD13+AD13*(D_iC)-MIN(F_CardPayM,AD13+AD13*(D_iC)),AD13)</f>
        <v>0</v>
      </c>
      <c r="AF13" s="1" t="n">
        <f aca="false">IF(AE13&gt;PR_BalDone,AE13+AE13*(D_iC)-MIN(F_CardPayM,AE13+AE13*(D_iC)),AE13)</f>
        <v>0</v>
      </c>
      <c r="AG13" s="1" t="n">
        <f aca="false">IF(AF13&gt;PR_BalDone,AF13+AF13*(D_iC)-MIN(F_CardPayM,AF13+AF13*(D_iC)),AF13)</f>
        <v>0</v>
      </c>
      <c r="AH13" s="1" t="n">
        <f aca="false">IF(AG13&gt;PR_BalDone,AG13+AG13*(D_iC)-MIN(F_CardPayM,AG13+AG13*(D_iC)),AG13)</f>
        <v>0</v>
      </c>
      <c r="AI13" s="1" t="n">
        <f aca="false">IF(AH13&gt;PR_BalDone,AH13+AH13*(D_iC)-MIN(F_CardPayM,AH13+AH13*(D_iC)),AH13)</f>
        <v>0</v>
      </c>
      <c r="AJ13" s="1" t="n">
        <f aca="false">IF(AI13&gt;PR_BalDone,AI13+AI13*(D_iC)-MIN(F_CardPayM,AI13+AI13*(D_iC)),AI13)</f>
        <v>0</v>
      </c>
      <c r="AK13" s="1" t="n">
        <f aca="false">IF(AJ13&gt;PR_BalDone,AJ13+AJ13*(D_iC)-MIN(F_CardPayM,AJ13+AJ13*(D_iC)),AJ13)</f>
        <v>0</v>
      </c>
      <c r="AL13" s="1" t="n">
        <f aca="false">IF(AK13&gt;PR_BalDone,AK13+AK13*(D_iC)-MIN(F_CardPayM,AK13+AK13*(D_iC)),AK13)</f>
        <v>0</v>
      </c>
      <c r="AM13" s="1" t="n">
        <f aca="false">IF(AL13&gt;PR_BalDone,AL13+AL13*(D_iC)-MIN(F_CardPayM,AL13+AL13*(D_iC)),AL13)</f>
        <v>0</v>
      </c>
      <c r="AN13" s="1" t="n">
        <f aca="false">IF(AM13&gt;PR_BalDone,AM13+AM13*(D_iC)-MIN(F_CardPayM,AM13+AM13*(D_iC)),AM13)</f>
        <v>0</v>
      </c>
      <c r="AO13" s="1" t="n">
        <f aca="false">IF(AN13&gt;PR_BalDone,AN13+AN13*(D_iC)-MIN(F_CardPayM,AN13+AN13*(D_iC)),AN13)</f>
        <v>0</v>
      </c>
      <c r="AP13" s="1" t="n">
        <f aca="false">IF(AO13&gt;PR_BalDone,AO13+AO13*(D_iC)-MIN(F_CardPayM,AO13+AO13*(D_iC)),AO13)</f>
        <v>0</v>
      </c>
      <c r="AQ13" s="1" t="n">
        <f aca="false">IF(AD13&gt;PR_BalDone,MIN(F_CardPayM,AD13+AD13*(D_iC)),0)</f>
        <v>0</v>
      </c>
      <c r="AR13" s="1" t="n">
        <f aca="false">IF(AE13&gt;PR_BalDone,MIN(F_CardPayM,AE13+AE13*(D_iC)),0)</f>
        <v>0</v>
      </c>
      <c r="AS13" s="1" t="n">
        <f aca="false">IF(AF13&gt;PR_BalDone,MIN(F_CardPayM,AF13+AF13*(D_iC)),0)</f>
        <v>0</v>
      </c>
      <c r="AT13" s="1" t="n">
        <f aca="false">IF(AG13&gt;PR_BalDone,MIN(F_CardPayM,AG13+AG13*(D_iC)),0)</f>
        <v>0</v>
      </c>
      <c r="AU13" s="1" t="n">
        <f aca="false">IF(AH13&gt;PR_BalDone,MIN(F_CardPayM,AH13+AH13*(D_iC)),0)</f>
        <v>0</v>
      </c>
      <c r="AV13" s="1" t="n">
        <f aca="false">IF(AI13&gt;PR_BalDone,MIN(F_CardPayM,AI13+AI13*(D_iC)),0)</f>
        <v>0</v>
      </c>
      <c r="AW13" s="1" t="n">
        <f aca="false">IF(AJ13&gt;PR_BalDone,MIN(F_CardPayM,AJ13+AJ13*(D_iC)),0)</f>
        <v>0</v>
      </c>
      <c r="AX13" s="1" t="n">
        <f aca="false">IF(AK13&gt;PR_BalDone,MIN(F_CardPayM,AK13+AK13*(D_iC)),0)</f>
        <v>0</v>
      </c>
      <c r="AY13" s="1" t="n">
        <f aca="false">IF(AL13&gt;PR_BalDone,MIN(F_CardPayM,AL13+AL13*(D_iC)),0)</f>
        <v>0</v>
      </c>
      <c r="AZ13" s="1" t="n">
        <f aca="false">IF(AM13&gt;PR_BalDone,MIN(F_CardPayM,AM13+AM13*(D_iC)),0)</f>
        <v>0</v>
      </c>
      <c r="BA13" s="1" t="n">
        <f aca="false">IF(AN13&gt;PR_BalDone,MIN(F_CardPayM,AN13+AN13*(D_iC)),0)</f>
        <v>0</v>
      </c>
      <c r="BB13" s="1" t="n">
        <f aca="false">IF(AO13&gt;PR_BalDone,MIN(F_CardPayM,AO13+AO13*(D_iC)),0)</f>
        <v>0</v>
      </c>
      <c r="BC13" s="1" t="n">
        <f aca="false">MAX(0,AP13)</f>
        <v>0</v>
      </c>
      <c r="BD13" s="1" t="n">
        <f aca="false">SUM(AQ13:BB13)</f>
        <v>0</v>
      </c>
      <c r="BE13" s="1" t="n">
        <f aca="false">'Plan cashflow'!O13</f>
        <v>0</v>
      </c>
      <c r="BF13" s="1" t="n">
        <f aca="false">IF(BE13&gt;PR_BalDone,BE13+BE13*(D_iL)-MIN(F_LoanPayM,BE13+BE13*(D_iL)),BE13)</f>
        <v>0</v>
      </c>
      <c r="BG13" s="1" t="n">
        <f aca="false">IF(BF13&gt;PR_BalDone,BF13+BF13*(D_iL)-MIN(F_LoanPayM,BF13+BF13*(D_iL)),BF13)</f>
        <v>0</v>
      </c>
      <c r="BH13" s="1" t="n">
        <f aca="false">IF(BG13&gt;PR_BalDone,BG13+BG13*(D_iL)-MIN(F_LoanPayM,BG13+BG13*(D_iL)),BG13)</f>
        <v>0</v>
      </c>
      <c r="BI13" s="1" t="n">
        <f aca="false">IF(BH13&gt;PR_BalDone,BH13+BH13*(D_iL)-MIN(F_LoanPayM,BH13+BH13*(D_iL)),BH13)</f>
        <v>0</v>
      </c>
      <c r="BJ13" s="1" t="n">
        <f aca="false">IF(BI13&gt;PR_BalDone,BI13+BI13*(D_iL)-MIN(F_LoanPayM,BI13+BI13*(D_iL)),BI13)</f>
        <v>0</v>
      </c>
      <c r="BK13" s="1" t="n">
        <f aca="false">IF(BJ13&gt;PR_BalDone,BJ13+BJ13*(D_iL)-MIN(F_LoanPayM,BJ13+BJ13*(D_iL)),BJ13)</f>
        <v>0</v>
      </c>
      <c r="BL13" s="1" t="n">
        <f aca="false">IF(BK13&gt;PR_BalDone,BK13+BK13*(D_iL)-MIN(F_LoanPayM,BK13+BK13*(D_iL)),BK13)</f>
        <v>0</v>
      </c>
      <c r="BM13" s="1" t="n">
        <f aca="false">IF(BL13&gt;PR_BalDone,BL13+BL13*(D_iL)-MIN(F_LoanPayM,BL13+BL13*(D_iL)),BL13)</f>
        <v>0</v>
      </c>
      <c r="BN13" s="1" t="n">
        <f aca="false">IF(BM13&gt;PR_BalDone,BM13+BM13*(D_iL)-MIN(F_LoanPayM,BM13+BM13*(D_iL)),BM13)</f>
        <v>0</v>
      </c>
      <c r="BO13" s="1" t="n">
        <f aca="false">IF(BN13&gt;PR_BalDone,BN13+BN13*(D_iL)-MIN(F_LoanPayM,BN13+BN13*(D_iL)),BN13)</f>
        <v>0</v>
      </c>
      <c r="BP13" s="1" t="n">
        <f aca="false">IF(BO13&gt;PR_BalDone,BO13+BO13*(D_iL)-MIN(F_LoanPayM,BO13+BO13*(D_iL)),BO13)</f>
        <v>0</v>
      </c>
      <c r="BQ13" s="1" t="n">
        <f aca="false">IF(BP13&gt;PR_BalDone,BP13+BP13*(D_iL)-MIN(F_LoanPayM,BP13+BP13*(D_iL)),BP13)</f>
        <v>0</v>
      </c>
      <c r="BR13" s="1" t="n">
        <f aca="false">IF(BE13&gt;PR_BalDone,MIN(F_LoanPayM,BE13+BE13*(D_iL)),0)</f>
        <v>0</v>
      </c>
      <c r="BS13" s="1" t="n">
        <f aca="false">IF(BF13&gt;PR_BalDone,MIN(F_LoanPayM,BF13+BF13*(D_iL)),0)</f>
        <v>0</v>
      </c>
      <c r="BT13" s="1" t="n">
        <f aca="false">IF(BG13&gt;PR_BalDone,MIN(F_LoanPayM,BG13+BG13*(D_iL)),0)</f>
        <v>0</v>
      </c>
      <c r="BU13" s="1" t="n">
        <f aca="false">IF(BH13&gt;PR_BalDone,MIN(F_LoanPayM,BH13+BH13*(D_iL)),0)</f>
        <v>0</v>
      </c>
      <c r="BV13" s="1" t="n">
        <f aca="false">IF(BI13&gt;PR_BalDone,MIN(F_LoanPayM,BI13+BI13*(D_iL)),0)</f>
        <v>0</v>
      </c>
      <c r="BW13" s="1" t="n">
        <f aca="false">IF(BJ13&gt;PR_BalDone,MIN(F_LoanPayM,BJ13+BJ13*(D_iL)),0)</f>
        <v>0</v>
      </c>
      <c r="BX13" s="1" t="n">
        <f aca="false">IF(BK13&gt;PR_BalDone,MIN(F_LoanPayM,BK13+BK13*(D_iL)),0)</f>
        <v>0</v>
      </c>
      <c r="BY13" s="1" t="n">
        <f aca="false">IF(BL13&gt;PR_BalDone,MIN(F_LoanPayM,BL13+BL13*(D_iL)),0)</f>
        <v>0</v>
      </c>
      <c r="BZ13" s="1" t="n">
        <f aca="false">IF(BM13&gt;PR_BalDone,MIN(F_LoanPayM,BM13+BM13*(D_iL)),0)</f>
        <v>0</v>
      </c>
      <c r="CA13" s="1" t="n">
        <f aca="false">IF(BN13&gt;PR_BalDone,MIN(F_LoanPayM,BN13+BN13*(D_iL)),0)</f>
        <v>0</v>
      </c>
      <c r="CB13" s="1" t="n">
        <f aca="false">IF(BO13&gt;PR_BalDone,MIN(F_LoanPayM,BO13+BO13*(D_iL)),0)</f>
        <v>0</v>
      </c>
      <c r="CC13" s="1" t="n">
        <f aca="false">IF(BP13&gt;PR_BalDone,MIN(F_LoanPayM,BP13+BP13*(D_iL)),0)</f>
        <v>0</v>
      </c>
      <c r="CD13" s="1" t="n">
        <f aca="false">MAX(0,BQ13)</f>
        <v>0</v>
      </c>
      <c r="CE13" s="1" t="n">
        <f aca="false">SUM(BR13:CC13)</f>
        <v>0</v>
      </c>
      <c r="CF13" s="1" t="n">
        <f aca="false">IF(CF12&gt;1,DE12,CF12)</f>
        <v>0</v>
      </c>
      <c r="CG13" s="1" t="n">
        <f aca="false">IF(CF13&gt;PR_BalDone,CF13+CF13*(F_MR/12)-MIN(F_MortPayM,CF13+CF13*(F_MR/12)),CF13)</f>
        <v>0</v>
      </c>
      <c r="CH13" s="1" t="n">
        <f aca="false">IF(CG13&gt;PR_BalDone,CG13+CG13*(F_MR/12)-MIN(F_MortPayM,CG13+CG13*(F_MR/12)),CG13)</f>
        <v>0</v>
      </c>
      <c r="CI13" s="1" t="n">
        <f aca="false">IF(CH13&gt;PR_BalDone,CH13+CH13*(F_MR/12)-MIN(F_MortPayM,CH13+CH13*(F_MR/12)),CH13)</f>
        <v>0</v>
      </c>
      <c r="CJ13" s="1" t="n">
        <f aca="false">IF(CI13&gt;PR_BalDone,CI13+CI13*(F_MR/12)-MIN(F_MortPayM,CI13+CI13*(F_MR/12)),CI13)</f>
        <v>0</v>
      </c>
      <c r="CK13" s="1" t="n">
        <f aca="false">IF(CJ13&gt;PR_BalDone,CJ13+CJ13*(F_MR/12)-MIN(F_MortPayM,CJ13+CJ13*(F_MR/12)),CJ13)</f>
        <v>0</v>
      </c>
      <c r="CL13" s="1" t="n">
        <f aca="false">IF(CK13&gt;PR_BalDone,CK13+CK13*(F_MR/12)-MIN(F_MortPayM,CK13+CK13*(F_MR/12)),CK13)</f>
        <v>0</v>
      </c>
      <c r="CM13" s="1" t="n">
        <f aca="false">IF(CL13&gt;PR_BalDone,CL13+CL13*(F_MR/12)-MIN(F_MortPayM,CL13+CL13*(F_MR/12)),CL13)</f>
        <v>0</v>
      </c>
      <c r="CN13" s="1" t="n">
        <f aca="false">IF(CM13&gt;PR_BalDone,CM13+CM13*(F_MR/12)-MIN(F_MortPayM,CM13+CM13*(F_MR/12)),CM13)</f>
        <v>0</v>
      </c>
      <c r="CO13" s="1" t="n">
        <f aca="false">IF(CN13&gt;PR_BalDone,CN13+CN13*(F_MR/12)-MIN(F_MortPayM,CN13+CN13*(F_MR/12)),CN13)</f>
        <v>0</v>
      </c>
      <c r="CP13" s="1" t="n">
        <f aca="false">IF(CO13&gt;PR_BalDone,CO13+CO13*(F_MR/12)-MIN(F_MortPayM,CO13+CO13*(F_MR/12)),CO13)</f>
        <v>0</v>
      </c>
      <c r="CQ13" s="1" t="n">
        <f aca="false">IF(CP13&gt;PR_BalDone,CP13+CP13*(F_MR/12)-MIN(F_MortPayM,CP13+CP13*(F_MR/12)),CP13)</f>
        <v>0</v>
      </c>
      <c r="CR13" s="1" t="n">
        <f aca="false">IF(CQ13&gt;PR_BalDone,CQ13+CQ13*(F_MR/12)-MIN(F_MortPayM,CQ13+CQ13*(F_MR/12)),CQ13)</f>
        <v>0</v>
      </c>
      <c r="CS13" s="1" t="n">
        <f aca="false">IF(CF13&gt;PR_BalDone,MIN(F_MortPayM,CF13+CF13*(F_MR/12)),0)</f>
        <v>0</v>
      </c>
      <c r="CT13" s="1" t="n">
        <f aca="false">IF(CG13&gt;PR_BalDone,MIN(F_MortPayM,CG13+CG13*(F_MR/12)),0)</f>
        <v>0</v>
      </c>
      <c r="CU13" s="1" t="n">
        <f aca="false">IF(CH13&gt;PR_BalDone,MIN(F_MortPayM,CH13+CH13*(F_MR/12)),0)</f>
        <v>0</v>
      </c>
      <c r="CV13" s="1" t="n">
        <f aca="false">IF(CI13&gt;PR_BalDone,MIN(F_MortPayM,CI13+CI13*(F_MR/12)),0)</f>
        <v>0</v>
      </c>
      <c r="CW13" s="1" t="n">
        <f aca="false">IF(CJ13&gt;PR_BalDone,MIN(F_MortPayM,CJ13+CJ13*(F_MR/12)),0)</f>
        <v>0</v>
      </c>
      <c r="CX13" s="1" t="n">
        <f aca="false">IF(CK13&gt;PR_BalDone,MIN(F_MortPayM,CK13+CK13*(F_MR/12)),0)</f>
        <v>0</v>
      </c>
      <c r="CY13" s="1" t="n">
        <f aca="false">IF(CL13&gt;PR_BalDone,MIN(F_MortPayM,CL13+CL13*(F_MR/12)),0)</f>
        <v>0</v>
      </c>
      <c r="CZ13" s="1" t="n">
        <f aca="false">IF(CM13&gt;PR_BalDone,MIN(F_MortPayM,CM13+CM13*(F_MR/12)),0)</f>
        <v>0</v>
      </c>
      <c r="DA13" s="1" t="n">
        <f aca="false">IF(CN13&gt;PR_BalDone,MIN(F_MortPayM,CN13+CN13*(F_MR/12)),0)</f>
        <v>0</v>
      </c>
      <c r="DB13" s="1" t="n">
        <f aca="false">IF(CO13&gt;PR_BalDone,MIN(F_MortPayM,CO13+CO13*(F_MR/12)),0)</f>
        <v>0</v>
      </c>
      <c r="DC13" s="1" t="n">
        <f aca="false">IF(CP13&gt;PR_BalDone,MIN(F_MortPayM,CP13+CP13*(F_MR/12)),0)</f>
        <v>0</v>
      </c>
      <c r="DD13" s="1" t="n">
        <f aca="false">IF(CQ13&gt;PR_BalDone,MIN(F_MortPayM,CQ13+CQ13*(F_MR/12)),0)</f>
        <v>0</v>
      </c>
      <c r="DE13" s="1" t="n">
        <f aca="false">MAX(0,CR13)</f>
        <v>0</v>
      </c>
      <c r="DF13" s="1" t="n">
        <f aca="false">SUM(CS13:DD13)</f>
        <v>0</v>
      </c>
      <c r="DG13" s="1" t="n">
        <f aca="false">MAX(0,CF13)</f>
        <v>0</v>
      </c>
    </row>
    <row r="14" customFormat="false" ht="15" hidden="false" customHeight="true" outlineLevel="0" collapsed="false">
      <c r="B14" s="1" t="n">
        <v>6</v>
      </c>
      <c r="C14" s="1" t="n">
        <f aca="false">'Plan cashflow'!I14</f>
        <v>0</v>
      </c>
      <c r="D14" s="1" t="n">
        <f aca="false">IF(C14&gt;PR_BalDone,C14+C14*(F_MR/12)-MIN(F_MortPayM,C14+C14*(F_MR/12)),C14)</f>
        <v>0</v>
      </c>
      <c r="E14" s="1" t="n">
        <f aca="false">IF(D14&gt;PR_BalDone,D14+D14*(F_MR/12)-MIN(F_MortPayM,D14+D14*(F_MR/12)),D14)</f>
        <v>0</v>
      </c>
      <c r="F14" s="1" t="n">
        <f aca="false">IF(E14&gt;PR_BalDone,E14+E14*(F_MR/12)-MIN(F_MortPayM,E14+E14*(F_MR/12)),E14)</f>
        <v>0</v>
      </c>
      <c r="G14" s="1" t="n">
        <f aca="false">IF(F14&gt;PR_BalDone,F14+F14*(F_MR/12)-MIN(F_MortPayM,F14+F14*(F_MR/12)),F14)</f>
        <v>0</v>
      </c>
      <c r="H14" s="1" t="n">
        <f aca="false">IF(G14&gt;PR_BalDone,G14+G14*(F_MR/12)-MIN(F_MortPayM,G14+G14*(F_MR/12)),G14)</f>
        <v>0</v>
      </c>
      <c r="I14" s="1" t="n">
        <f aca="false">IF(H14&gt;PR_BalDone,H14+H14*(F_MR/12)-MIN(F_MortPayM,H14+H14*(F_MR/12)),H14)</f>
        <v>0</v>
      </c>
      <c r="J14" s="1" t="n">
        <f aca="false">IF(I14&gt;PR_BalDone,I14+I14*(F_MR/12)-MIN(F_MortPayM,I14+I14*(F_MR/12)),I14)</f>
        <v>0</v>
      </c>
      <c r="K14" s="1" t="n">
        <f aca="false">IF(J14&gt;PR_BalDone,J14+J14*(F_MR/12)-MIN(F_MortPayM,J14+J14*(F_MR/12)),J14)</f>
        <v>0</v>
      </c>
      <c r="L14" s="1" t="n">
        <f aca="false">IF(K14&gt;PR_BalDone,K14+K14*(F_MR/12)-MIN(F_MortPayM,K14+K14*(F_MR/12)),K14)</f>
        <v>0</v>
      </c>
      <c r="M14" s="1" t="n">
        <f aca="false">IF(L14&gt;PR_BalDone,L14+L14*(F_MR/12)-MIN(F_MortPayM,L14+L14*(F_MR/12)),L14)</f>
        <v>0</v>
      </c>
      <c r="N14" s="1" t="n">
        <f aca="false">IF(M14&gt;PR_BalDone,M14+M14*(F_MR/12)-MIN(F_MortPayM,M14+M14*(F_MR/12)),M14)</f>
        <v>0</v>
      </c>
      <c r="O14" s="1" t="n">
        <f aca="false">IF(N14&gt;PR_BalDone,N14+N14*(F_MR/12)-MIN(F_MortPayM,N14+N14*(F_MR/12)),N14)</f>
        <v>0</v>
      </c>
      <c r="P14" s="1" t="n">
        <f aca="false">IF(C14&gt;PR_BalDone,MIN(F_MortPayM,C14+C14*(F_MR/12)),0)</f>
        <v>0</v>
      </c>
      <c r="Q14" s="1" t="n">
        <f aca="false">IF(D14&gt;PR_BalDone,MIN(F_MortPayM,D14+D14*(F_MR/12)),0)</f>
        <v>0</v>
      </c>
      <c r="R14" s="1" t="n">
        <f aca="false">IF(E14&gt;PR_BalDone,MIN(F_MortPayM,E14+E14*(F_MR/12)),0)</f>
        <v>0</v>
      </c>
      <c r="S14" s="1" t="n">
        <f aca="false">IF(F14&gt;PR_BalDone,MIN(F_MortPayM,F14+F14*(F_MR/12)),0)</f>
        <v>0</v>
      </c>
      <c r="T14" s="1" t="n">
        <f aca="false">IF(G14&gt;PR_BalDone,MIN(F_MortPayM,G14+G14*(F_MR/12)),0)</f>
        <v>0</v>
      </c>
      <c r="U14" s="1" t="n">
        <f aca="false">IF(H14&gt;PR_BalDone,MIN(F_MortPayM,H14+H14*(F_MR/12)),0)</f>
        <v>0</v>
      </c>
      <c r="V14" s="1" t="n">
        <f aca="false">IF(I14&gt;PR_BalDone,MIN(F_MortPayM,I14+I14*(F_MR/12)),0)</f>
        <v>0</v>
      </c>
      <c r="W14" s="1" t="n">
        <f aca="false">IF(J14&gt;PR_BalDone,MIN(F_MortPayM,J14+J14*(F_MR/12)),0)</f>
        <v>0</v>
      </c>
      <c r="X14" s="1" t="n">
        <f aca="false">IF(K14&gt;PR_BalDone,MIN(F_MortPayM,K14+K14*(F_MR/12)),0)</f>
        <v>0</v>
      </c>
      <c r="Y14" s="1" t="n">
        <f aca="false">IF(L14&gt;PR_BalDone,MIN(F_MortPayM,L14+L14*(F_MR/12)),0)</f>
        <v>0</v>
      </c>
      <c r="Z14" s="1" t="n">
        <f aca="false">IF(M14&gt;PR_BalDone,MIN(F_MortPayM,M14+M14*(F_MR/12)),0)</f>
        <v>0</v>
      </c>
      <c r="AA14" s="1" t="n">
        <f aca="false">IF(N14&gt;PR_BalDone,MIN(F_MortPayM,N14+N14*(F_MR/12)),0)</f>
        <v>0</v>
      </c>
      <c r="AB14" s="1" t="n">
        <f aca="false">MAX(0,O14)</f>
        <v>0</v>
      </c>
      <c r="AC14" s="1" t="n">
        <f aca="false">SUM(P14:AA14)</f>
        <v>0</v>
      </c>
      <c r="AD14" s="1" t="n">
        <f aca="false">'Plan cashflow'!L14</f>
        <v>0</v>
      </c>
      <c r="AE14" s="1" t="n">
        <f aca="false">IF(AD14&gt;PR_BalDone,AD14+AD14*(D_iC)-MIN(F_CardPayM,AD14+AD14*(D_iC)),AD14)</f>
        <v>0</v>
      </c>
      <c r="AF14" s="1" t="n">
        <f aca="false">IF(AE14&gt;PR_BalDone,AE14+AE14*(D_iC)-MIN(F_CardPayM,AE14+AE14*(D_iC)),AE14)</f>
        <v>0</v>
      </c>
      <c r="AG14" s="1" t="n">
        <f aca="false">IF(AF14&gt;PR_BalDone,AF14+AF14*(D_iC)-MIN(F_CardPayM,AF14+AF14*(D_iC)),AF14)</f>
        <v>0</v>
      </c>
      <c r="AH14" s="1" t="n">
        <f aca="false">IF(AG14&gt;PR_BalDone,AG14+AG14*(D_iC)-MIN(F_CardPayM,AG14+AG14*(D_iC)),AG14)</f>
        <v>0</v>
      </c>
      <c r="AI14" s="1" t="n">
        <f aca="false">IF(AH14&gt;PR_BalDone,AH14+AH14*(D_iC)-MIN(F_CardPayM,AH14+AH14*(D_iC)),AH14)</f>
        <v>0</v>
      </c>
      <c r="AJ14" s="1" t="n">
        <f aca="false">IF(AI14&gt;PR_BalDone,AI14+AI14*(D_iC)-MIN(F_CardPayM,AI14+AI14*(D_iC)),AI14)</f>
        <v>0</v>
      </c>
      <c r="AK14" s="1" t="n">
        <f aca="false">IF(AJ14&gt;PR_BalDone,AJ14+AJ14*(D_iC)-MIN(F_CardPayM,AJ14+AJ14*(D_iC)),AJ14)</f>
        <v>0</v>
      </c>
      <c r="AL14" s="1" t="n">
        <f aca="false">IF(AK14&gt;PR_BalDone,AK14+AK14*(D_iC)-MIN(F_CardPayM,AK14+AK14*(D_iC)),AK14)</f>
        <v>0</v>
      </c>
      <c r="AM14" s="1" t="n">
        <f aca="false">IF(AL14&gt;PR_BalDone,AL14+AL14*(D_iC)-MIN(F_CardPayM,AL14+AL14*(D_iC)),AL14)</f>
        <v>0</v>
      </c>
      <c r="AN14" s="1" t="n">
        <f aca="false">IF(AM14&gt;PR_BalDone,AM14+AM14*(D_iC)-MIN(F_CardPayM,AM14+AM14*(D_iC)),AM14)</f>
        <v>0</v>
      </c>
      <c r="AO14" s="1" t="n">
        <f aca="false">IF(AN14&gt;PR_BalDone,AN14+AN14*(D_iC)-MIN(F_CardPayM,AN14+AN14*(D_iC)),AN14)</f>
        <v>0</v>
      </c>
      <c r="AP14" s="1" t="n">
        <f aca="false">IF(AO14&gt;PR_BalDone,AO14+AO14*(D_iC)-MIN(F_CardPayM,AO14+AO14*(D_iC)),AO14)</f>
        <v>0</v>
      </c>
      <c r="AQ14" s="1" t="n">
        <f aca="false">IF(AD14&gt;PR_BalDone,MIN(F_CardPayM,AD14+AD14*(D_iC)),0)</f>
        <v>0</v>
      </c>
      <c r="AR14" s="1" t="n">
        <f aca="false">IF(AE14&gt;PR_BalDone,MIN(F_CardPayM,AE14+AE14*(D_iC)),0)</f>
        <v>0</v>
      </c>
      <c r="AS14" s="1" t="n">
        <f aca="false">IF(AF14&gt;PR_BalDone,MIN(F_CardPayM,AF14+AF14*(D_iC)),0)</f>
        <v>0</v>
      </c>
      <c r="AT14" s="1" t="n">
        <f aca="false">IF(AG14&gt;PR_BalDone,MIN(F_CardPayM,AG14+AG14*(D_iC)),0)</f>
        <v>0</v>
      </c>
      <c r="AU14" s="1" t="n">
        <f aca="false">IF(AH14&gt;PR_BalDone,MIN(F_CardPayM,AH14+AH14*(D_iC)),0)</f>
        <v>0</v>
      </c>
      <c r="AV14" s="1" t="n">
        <f aca="false">IF(AI14&gt;PR_BalDone,MIN(F_CardPayM,AI14+AI14*(D_iC)),0)</f>
        <v>0</v>
      </c>
      <c r="AW14" s="1" t="n">
        <f aca="false">IF(AJ14&gt;PR_BalDone,MIN(F_CardPayM,AJ14+AJ14*(D_iC)),0)</f>
        <v>0</v>
      </c>
      <c r="AX14" s="1" t="n">
        <f aca="false">IF(AK14&gt;PR_BalDone,MIN(F_CardPayM,AK14+AK14*(D_iC)),0)</f>
        <v>0</v>
      </c>
      <c r="AY14" s="1" t="n">
        <f aca="false">IF(AL14&gt;PR_BalDone,MIN(F_CardPayM,AL14+AL14*(D_iC)),0)</f>
        <v>0</v>
      </c>
      <c r="AZ14" s="1" t="n">
        <f aca="false">IF(AM14&gt;PR_BalDone,MIN(F_CardPayM,AM14+AM14*(D_iC)),0)</f>
        <v>0</v>
      </c>
      <c r="BA14" s="1" t="n">
        <f aca="false">IF(AN14&gt;PR_BalDone,MIN(F_CardPayM,AN14+AN14*(D_iC)),0)</f>
        <v>0</v>
      </c>
      <c r="BB14" s="1" t="n">
        <f aca="false">IF(AO14&gt;PR_BalDone,MIN(F_CardPayM,AO14+AO14*(D_iC)),0)</f>
        <v>0</v>
      </c>
      <c r="BC14" s="1" t="n">
        <f aca="false">MAX(0,AP14)</f>
        <v>0</v>
      </c>
      <c r="BD14" s="1" t="n">
        <f aca="false">SUM(AQ14:BB14)</f>
        <v>0</v>
      </c>
      <c r="BE14" s="1" t="n">
        <f aca="false">'Plan cashflow'!O14</f>
        <v>0</v>
      </c>
      <c r="BF14" s="1" t="n">
        <f aca="false">IF(BE14&gt;PR_BalDone,BE14+BE14*(D_iL)-MIN(F_LoanPayM,BE14+BE14*(D_iL)),BE14)</f>
        <v>0</v>
      </c>
      <c r="BG14" s="1" t="n">
        <f aca="false">IF(BF14&gt;PR_BalDone,BF14+BF14*(D_iL)-MIN(F_LoanPayM,BF14+BF14*(D_iL)),BF14)</f>
        <v>0</v>
      </c>
      <c r="BH14" s="1" t="n">
        <f aca="false">IF(BG14&gt;PR_BalDone,BG14+BG14*(D_iL)-MIN(F_LoanPayM,BG14+BG14*(D_iL)),BG14)</f>
        <v>0</v>
      </c>
      <c r="BI14" s="1" t="n">
        <f aca="false">IF(BH14&gt;PR_BalDone,BH14+BH14*(D_iL)-MIN(F_LoanPayM,BH14+BH14*(D_iL)),BH14)</f>
        <v>0</v>
      </c>
      <c r="BJ14" s="1" t="n">
        <f aca="false">IF(BI14&gt;PR_BalDone,BI14+BI14*(D_iL)-MIN(F_LoanPayM,BI14+BI14*(D_iL)),BI14)</f>
        <v>0</v>
      </c>
      <c r="BK14" s="1" t="n">
        <f aca="false">IF(BJ14&gt;PR_BalDone,BJ14+BJ14*(D_iL)-MIN(F_LoanPayM,BJ14+BJ14*(D_iL)),BJ14)</f>
        <v>0</v>
      </c>
      <c r="BL14" s="1" t="n">
        <f aca="false">IF(BK14&gt;PR_BalDone,BK14+BK14*(D_iL)-MIN(F_LoanPayM,BK14+BK14*(D_iL)),BK14)</f>
        <v>0</v>
      </c>
      <c r="BM14" s="1" t="n">
        <f aca="false">IF(BL14&gt;PR_BalDone,BL14+BL14*(D_iL)-MIN(F_LoanPayM,BL14+BL14*(D_iL)),BL14)</f>
        <v>0</v>
      </c>
      <c r="BN14" s="1" t="n">
        <f aca="false">IF(BM14&gt;PR_BalDone,BM14+BM14*(D_iL)-MIN(F_LoanPayM,BM14+BM14*(D_iL)),BM14)</f>
        <v>0</v>
      </c>
      <c r="BO14" s="1" t="n">
        <f aca="false">IF(BN14&gt;PR_BalDone,BN14+BN14*(D_iL)-MIN(F_LoanPayM,BN14+BN14*(D_iL)),BN14)</f>
        <v>0</v>
      </c>
      <c r="BP14" s="1" t="n">
        <f aca="false">IF(BO14&gt;PR_BalDone,BO14+BO14*(D_iL)-MIN(F_LoanPayM,BO14+BO14*(D_iL)),BO14)</f>
        <v>0</v>
      </c>
      <c r="BQ14" s="1" t="n">
        <f aca="false">IF(BP14&gt;PR_BalDone,BP14+BP14*(D_iL)-MIN(F_LoanPayM,BP14+BP14*(D_iL)),BP14)</f>
        <v>0</v>
      </c>
      <c r="BR14" s="1" t="n">
        <f aca="false">IF(BE14&gt;PR_BalDone,MIN(F_LoanPayM,BE14+BE14*(D_iL)),0)</f>
        <v>0</v>
      </c>
      <c r="BS14" s="1" t="n">
        <f aca="false">IF(BF14&gt;PR_BalDone,MIN(F_LoanPayM,BF14+BF14*(D_iL)),0)</f>
        <v>0</v>
      </c>
      <c r="BT14" s="1" t="n">
        <f aca="false">IF(BG14&gt;PR_BalDone,MIN(F_LoanPayM,BG14+BG14*(D_iL)),0)</f>
        <v>0</v>
      </c>
      <c r="BU14" s="1" t="n">
        <f aca="false">IF(BH14&gt;PR_BalDone,MIN(F_LoanPayM,BH14+BH14*(D_iL)),0)</f>
        <v>0</v>
      </c>
      <c r="BV14" s="1" t="n">
        <f aca="false">IF(BI14&gt;PR_BalDone,MIN(F_LoanPayM,BI14+BI14*(D_iL)),0)</f>
        <v>0</v>
      </c>
      <c r="BW14" s="1" t="n">
        <f aca="false">IF(BJ14&gt;PR_BalDone,MIN(F_LoanPayM,BJ14+BJ14*(D_iL)),0)</f>
        <v>0</v>
      </c>
      <c r="BX14" s="1" t="n">
        <f aca="false">IF(BK14&gt;PR_BalDone,MIN(F_LoanPayM,BK14+BK14*(D_iL)),0)</f>
        <v>0</v>
      </c>
      <c r="BY14" s="1" t="n">
        <f aca="false">IF(BL14&gt;PR_BalDone,MIN(F_LoanPayM,BL14+BL14*(D_iL)),0)</f>
        <v>0</v>
      </c>
      <c r="BZ14" s="1" t="n">
        <f aca="false">IF(BM14&gt;PR_BalDone,MIN(F_LoanPayM,BM14+BM14*(D_iL)),0)</f>
        <v>0</v>
      </c>
      <c r="CA14" s="1" t="n">
        <f aca="false">IF(BN14&gt;PR_BalDone,MIN(F_LoanPayM,BN14+BN14*(D_iL)),0)</f>
        <v>0</v>
      </c>
      <c r="CB14" s="1" t="n">
        <f aca="false">IF(BO14&gt;PR_BalDone,MIN(F_LoanPayM,BO14+BO14*(D_iL)),0)</f>
        <v>0</v>
      </c>
      <c r="CC14" s="1" t="n">
        <f aca="false">IF(BP14&gt;PR_BalDone,MIN(F_LoanPayM,BP14+BP14*(D_iL)),0)</f>
        <v>0</v>
      </c>
      <c r="CD14" s="1" t="n">
        <f aca="false">MAX(0,BQ14)</f>
        <v>0</v>
      </c>
      <c r="CE14" s="1" t="n">
        <f aca="false">SUM(BR14:CC14)</f>
        <v>0</v>
      </c>
      <c r="CF14" s="1" t="n">
        <f aca="false">IF(CF13&gt;1,DE13,CF13)</f>
        <v>0</v>
      </c>
      <c r="CG14" s="1" t="n">
        <f aca="false">IF(CF14&gt;PR_BalDone,CF14+CF14*(F_MR/12)-MIN(F_MortPayM,CF14+CF14*(F_MR/12)),CF14)</f>
        <v>0</v>
      </c>
      <c r="CH14" s="1" t="n">
        <f aca="false">IF(CG14&gt;PR_BalDone,CG14+CG14*(F_MR/12)-MIN(F_MortPayM,CG14+CG14*(F_MR/12)),CG14)</f>
        <v>0</v>
      </c>
      <c r="CI14" s="1" t="n">
        <f aca="false">IF(CH14&gt;PR_BalDone,CH14+CH14*(F_MR/12)-MIN(F_MortPayM,CH14+CH14*(F_MR/12)),CH14)</f>
        <v>0</v>
      </c>
      <c r="CJ14" s="1" t="n">
        <f aca="false">IF(CI14&gt;PR_BalDone,CI14+CI14*(F_MR/12)-MIN(F_MortPayM,CI14+CI14*(F_MR/12)),CI14)</f>
        <v>0</v>
      </c>
      <c r="CK14" s="1" t="n">
        <f aca="false">IF(CJ14&gt;PR_BalDone,CJ14+CJ14*(F_MR/12)-MIN(F_MortPayM,CJ14+CJ14*(F_MR/12)),CJ14)</f>
        <v>0</v>
      </c>
      <c r="CL14" s="1" t="n">
        <f aca="false">IF(CK14&gt;PR_BalDone,CK14+CK14*(F_MR/12)-MIN(F_MortPayM,CK14+CK14*(F_MR/12)),CK14)</f>
        <v>0</v>
      </c>
      <c r="CM14" s="1" t="n">
        <f aca="false">IF(CL14&gt;PR_BalDone,CL14+CL14*(F_MR/12)-MIN(F_MortPayM,CL14+CL14*(F_MR/12)),CL14)</f>
        <v>0</v>
      </c>
      <c r="CN14" s="1" t="n">
        <f aca="false">IF(CM14&gt;PR_BalDone,CM14+CM14*(F_MR/12)-MIN(F_MortPayM,CM14+CM14*(F_MR/12)),CM14)</f>
        <v>0</v>
      </c>
      <c r="CO14" s="1" t="n">
        <f aca="false">IF(CN14&gt;PR_BalDone,CN14+CN14*(F_MR/12)-MIN(F_MortPayM,CN14+CN14*(F_MR/12)),CN14)</f>
        <v>0</v>
      </c>
      <c r="CP14" s="1" t="n">
        <f aca="false">IF(CO14&gt;PR_BalDone,CO14+CO14*(F_MR/12)-MIN(F_MortPayM,CO14+CO14*(F_MR/12)),CO14)</f>
        <v>0</v>
      </c>
      <c r="CQ14" s="1" t="n">
        <f aca="false">IF(CP14&gt;PR_BalDone,CP14+CP14*(F_MR/12)-MIN(F_MortPayM,CP14+CP14*(F_MR/12)),CP14)</f>
        <v>0</v>
      </c>
      <c r="CR14" s="1" t="n">
        <f aca="false">IF(CQ14&gt;PR_BalDone,CQ14+CQ14*(F_MR/12)-MIN(F_MortPayM,CQ14+CQ14*(F_MR/12)),CQ14)</f>
        <v>0</v>
      </c>
      <c r="CS14" s="1" t="n">
        <f aca="false">IF(CF14&gt;PR_BalDone,MIN(F_MortPayM,CF14+CF14*(F_MR/12)),0)</f>
        <v>0</v>
      </c>
      <c r="CT14" s="1" t="n">
        <f aca="false">IF(CG14&gt;PR_BalDone,MIN(F_MortPayM,CG14+CG14*(F_MR/12)),0)</f>
        <v>0</v>
      </c>
      <c r="CU14" s="1" t="n">
        <f aca="false">IF(CH14&gt;PR_BalDone,MIN(F_MortPayM,CH14+CH14*(F_MR/12)),0)</f>
        <v>0</v>
      </c>
      <c r="CV14" s="1" t="n">
        <f aca="false">IF(CI14&gt;PR_BalDone,MIN(F_MortPayM,CI14+CI14*(F_MR/12)),0)</f>
        <v>0</v>
      </c>
      <c r="CW14" s="1" t="n">
        <f aca="false">IF(CJ14&gt;PR_BalDone,MIN(F_MortPayM,CJ14+CJ14*(F_MR/12)),0)</f>
        <v>0</v>
      </c>
      <c r="CX14" s="1" t="n">
        <f aca="false">IF(CK14&gt;PR_BalDone,MIN(F_MortPayM,CK14+CK14*(F_MR/12)),0)</f>
        <v>0</v>
      </c>
      <c r="CY14" s="1" t="n">
        <f aca="false">IF(CL14&gt;PR_BalDone,MIN(F_MortPayM,CL14+CL14*(F_MR/12)),0)</f>
        <v>0</v>
      </c>
      <c r="CZ14" s="1" t="n">
        <f aca="false">IF(CM14&gt;PR_BalDone,MIN(F_MortPayM,CM14+CM14*(F_MR/12)),0)</f>
        <v>0</v>
      </c>
      <c r="DA14" s="1" t="n">
        <f aca="false">IF(CN14&gt;PR_BalDone,MIN(F_MortPayM,CN14+CN14*(F_MR/12)),0)</f>
        <v>0</v>
      </c>
      <c r="DB14" s="1" t="n">
        <f aca="false">IF(CO14&gt;PR_BalDone,MIN(F_MortPayM,CO14+CO14*(F_MR/12)),0)</f>
        <v>0</v>
      </c>
      <c r="DC14" s="1" t="n">
        <f aca="false">IF(CP14&gt;PR_BalDone,MIN(F_MortPayM,CP14+CP14*(F_MR/12)),0)</f>
        <v>0</v>
      </c>
      <c r="DD14" s="1" t="n">
        <f aca="false">IF(CQ14&gt;PR_BalDone,MIN(F_MortPayM,CQ14+CQ14*(F_MR/12)),0)</f>
        <v>0</v>
      </c>
      <c r="DE14" s="1" t="n">
        <f aca="false">MAX(0,CR14)</f>
        <v>0</v>
      </c>
      <c r="DF14" s="1" t="n">
        <f aca="false">SUM(CS14:DD14)</f>
        <v>0</v>
      </c>
      <c r="DG14" s="1" t="n">
        <f aca="false">MAX(0,CF14)</f>
        <v>0</v>
      </c>
    </row>
    <row r="15" customFormat="false" ht="15" hidden="false" customHeight="true" outlineLevel="0" collapsed="false">
      <c r="B15" s="1" t="n">
        <v>7</v>
      </c>
      <c r="C15" s="1" t="n">
        <f aca="false">'Plan cashflow'!I15</f>
        <v>0</v>
      </c>
      <c r="D15" s="1" t="n">
        <f aca="false">IF(C15&gt;PR_BalDone,C15+C15*(F_MR/12)-MIN(F_MortPayM,C15+C15*(F_MR/12)),C15)</f>
        <v>0</v>
      </c>
      <c r="E15" s="1" t="n">
        <f aca="false">IF(D15&gt;PR_BalDone,D15+D15*(F_MR/12)-MIN(F_MortPayM,D15+D15*(F_MR/12)),D15)</f>
        <v>0</v>
      </c>
      <c r="F15" s="1" t="n">
        <f aca="false">IF(E15&gt;PR_BalDone,E15+E15*(F_MR/12)-MIN(F_MortPayM,E15+E15*(F_MR/12)),E15)</f>
        <v>0</v>
      </c>
      <c r="G15" s="1" t="n">
        <f aca="false">IF(F15&gt;PR_BalDone,F15+F15*(F_MR/12)-MIN(F_MortPayM,F15+F15*(F_MR/12)),F15)</f>
        <v>0</v>
      </c>
      <c r="H15" s="1" t="n">
        <f aca="false">IF(G15&gt;PR_BalDone,G15+G15*(F_MR/12)-MIN(F_MortPayM,G15+G15*(F_MR/12)),G15)</f>
        <v>0</v>
      </c>
      <c r="I15" s="1" t="n">
        <f aca="false">IF(H15&gt;PR_BalDone,H15+H15*(F_MR/12)-MIN(F_MortPayM,H15+H15*(F_MR/12)),H15)</f>
        <v>0</v>
      </c>
      <c r="J15" s="1" t="n">
        <f aca="false">IF(I15&gt;PR_BalDone,I15+I15*(F_MR/12)-MIN(F_MortPayM,I15+I15*(F_MR/12)),I15)</f>
        <v>0</v>
      </c>
      <c r="K15" s="1" t="n">
        <f aca="false">IF(J15&gt;PR_BalDone,J15+J15*(F_MR/12)-MIN(F_MortPayM,J15+J15*(F_MR/12)),J15)</f>
        <v>0</v>
      </c>
      <c r="L15" s="1" t="n">
        <f aca="false">IF(K15&gt;PR_BalDone,K15+K15*(F_MR/12)-MIN(F_MortPayM,K15+K15*(F_MR/12)),K15)</f>
        <v>0</v>
      </c>
      <c r="M15" s="1" t="n">
        <f aca="false">IF(L15&gt;PR_BalDone,L15+L15*(F_MR/12)-MIN(F_MortPayM,L15+L15*(F_MR/12)),L15)</f>
        <v>0</v>
      </c>
      <c r="N15" s="1" t="n">
        <f aca="false">IF(M15&gt;PR_BalDone,M15+M15*(F_MR/12)-MIN(F_MortPayM,M15+M15*(F_MR/12)),M15)</f>
        <v>0</v>
      </c>
      <c r="O15" s="1" t="n">
        <f aca="false">IF(N15&gt;PR_BalDone,N15+N15*(F_MR/12)-MIN(F_MortPayM,N15+N15*(F_MR/12)),N15)</f>
        <v>0</v>
      </c>
      <c r="P15" s="1" t="n">
        <f aca="false">IF(C15&gt;PR_BalDone,MIN(F_MortPayM,C15+C15*(F_MR/12)),0)</f>
        <v>0</v>
      </c>
      <c r="Q15" s="1" t="n">
        <f aca="false">IF(D15&gt;PR_BalDone,MIN(F_MortPayM,D15+D15*(F_MR/12)),0)</f>
        <v>0</v>
      </c>
      <c r="R15" s="1" t="n">
        <f aca="false">IF(E15&gt;PR_BalDone,MIN(F_MortPayM,E15+E15*(F_MR/12)),0)</f>
        <v>0</v>
      </c>
      <c r="S15" s="1" t="n">
        <f aca="false">IF(F15&gt;PR_BalDone,MIN(F_MortPayM,F15+F15*(F_MR/12)),0)</f>
        <v>0</v>
      </c>
      <c r="T15" s="1" t="n">
        <f aca="false">IF(G15&gt;PR_BalDone,MIN(F_MortPayM,G15+G15*(F_MR/12)),0)</f>
        <v>0</v>
      </c>
      <c r="U15" s="1" t="n">
        <f aca="false">IF(H15&gt;PR_BalDone,MIN(F_MortPayM,H15+H15*(F_MR/12)),0)</f>
        <v>0</v>
      </c>
      <c r="V15" s="1" t="n">
        <f aca="false">IF(I15&gt;PR_BalDone,MIN(F_MortPayM,I15+I15*(F_MR/12)),0)</f>
        <v>0</v>
      </c>
      <c r="W15" s="1" t="n">
        <f aca="false">IF(J15&gt;PR_BalDone,MIN(F_MortPayM,J15+J15*(F_MR/12)),0)</f>
        <v>0</v>
      </c>
      <c r="X15" s="1" t="n">
        <f aca="false">IF(K15&gt;PR_BalDone,MIN(F_MortPayM,K15+K15*(F_MR/12)),0)</f>
        <v>0</v>
      </c>
      <c r="Y15" s="1" t="n">
        <f aca="false">IF(L15&gt;PR_BalDone,MIN(F_MortPayM,L15+L15*(F_MR/12)),0)</f>
        <v>0</v>
      </c>
      <c r="Z15" s="1" t="n">
        <f aca="false">IF(M15&gt;PR_BalDone,MIN(F_MortPayM,M15+M15*(F_MR/12)),0)</f>
        <v>0</v>
      </c>
      <c r="AA15" s="1" t="n">
        <f aca="false">IF(N15&gt;PR_BalDone,MIN(F_MortPayM,N15+N15*(F_MR/12)),0)</f>
        <v>0</v>
      </c>
      <c r="AB15" s="1" t="n">
        <f aca="false">MAX(0,O15)</f>
        <v>0</v>
      </c>
      <c r="AC15" s="1" t="n">
        <f aca="false">SUM(P15:AA15)</f>
        <v>0</v>
      </c>
      <c r="AD15" s="1" t="n">
        <f aca="false">'Plan cashflow'!L15</f>
        <v>0</v>
      </c>
      <c r="AE15" s="1" t="n">
        <f aca="false">IF(AD15&gt;PR_BalDone,AD15+AD15*(D_iC)-MIN(F_CardPayM,AD15+AD15*(D_iC)),AD15)</f>
        <v>0</v>
      </c>
      <c r="AF15" s="1" t="n">
        <f aca="false">IF(AE15&gt;PR_BalDone,AE15+AE15*(D_iC)-MIN(F_CardPayM,AE15+AE15*(D_iC)),AE15)</f>
        <v>0</v>
      </c>
      <c r="AG15" s="1" t="n">
        <f aca="false">IF(AF15&gt;PR_BalDone,AF15+AF15*(D_iC)-MIN(F_CardPayM,AF15+AF15*(D_iC)),AF15)</f>
        <v>0</v>
      </c>
      <c r="AH15" s="1" t="n">
        <f aca="false">IF(AG15&gt;PR_BalDone,AG15+AG15*(D_iC)-MIN(F_CardPayM,AG15+AG15*(D_iC)),AG15)</f>
        <v>0</v>
      </c>
      <c r="AI15" s="1" t="n">
        <f aca="false">IF(AH15&gt;PR_BalDone,AH15+AH15*(D_iC)-MIN(F_CardPayM,AH15+AH15*(D_iC)),AH15)</f>
        <v>0</v>
      </c>
      <c r="AJ15" s="1" t="n">
        <f aca="false">IF(AI15&gt;PR_BalDone,AI15+AI15*(D_iC)-MIN(F_CardPayM,AI15+AI15*(D_iC)),AI15)</f>
        <v>0</v>
      </c>
      <c r="AK15" s="1" t="n">
        <f aca="false">IF(AJ15&gt;PR_BalDone,AJ15+AJ15*(D_iC)-MIN(F_CardPayM,AJ15+AJ15*(D_iC)),AJ15)</f>
        <v>0</v>
      </c>
      <c r="AL15" s="1" t="n">
        <f aca="false">IF(AK15&gt;PR_BalDone,AK15+AK15*(D_iC)-MIN(F_CardPayM,AK15+AK15*(D_iC)),AK15)</f>
        <v>0</v>
      </c>
      <c r="AM15" s="1" t="n">
        <f aca="false">IF(AL15&gt;PR_BalDone,AL15+AL15*(D_iC)-MIN(F_CardPayM,AL15+AL15*(D_iC)),AL15)</f>
        <v>0</v>
      </c>
      <c r="AN15" s="1" t="n">
        <f aca="false">IF(AM15&gt;PR_BalDone,AM15+AM15*(D_iC)-MIN(F_CardPayM,AM15+AM15*(D_iC)),AM15)</f>
        <v>0</v>
      </c>
      <c r="AO15" s="1" t="n">
        <f aca="false">IF(AN15&gt;PR_BalDone,AN15+AN15*(D_iC)-MIN(F_CardPayM,AN15+AN15*(D_iC)),AN15)</f>
        <v>0</v>
      </c>
      <c r="AP15" s="1" t="n">
        <f aca="false">IF(AO15&gt;PR_BalDone,AO15+AO15*(D_iC)-MIN(F_CardPayM,AO15+AO15*(D_iC)),AO15)</f>
        <v>0</v>
      </c>
      <c r="AQ15" s="1" t="n">
        <f aca="false">IF(AD15&gt;PR_BalDone,MIN(F_CardPayM,AD15+AD15*(D_iC)),0)</f>
        <v>0</v>
      </c>
      <c r="AR15" s="1" t="n">
        <f aca="false">IF(AE15&gt;PR_BalDone,MIN(F_CardPayM,AE15+AE15*(D_iC)),0)</f>
        <v>0</v>
      </c>
      <c r="AS15" s="1" t="n">
        <f aca="false">IF(AF15&gt;PR_BalDone,MIN(F_CardPayM,AF15+AF15*(D_iC)),0)</f>
        <v>0</v>
      </c>
      <c r="AT15" s="1" t="n">
        <f aca="false">IF(AG15&gt;PR_BalDone,MIN(F_CardPayM,AG15+AG15*(D_iC)),0)</f>
        <v>0</v>
      </c>
      <c r="AU15" s="1" t="n">
        <f aca="false">IF(AH15&gt;PR_BalDone,MIN(F_CardPayM,AH15+AH15*(D_iC)),0)</f>
        <v>0</v>
      </c>
      <c r="AV15" s="1" t="n">
        <f aca="false">IF(AI15&gt;PR_BalDone,MIN(F_CardPayM,AI15+AI15*(D_iC)),0)</f>
        <v>0</v>
      </c>
      <c r="AW15" s="1" t="n">
        <f aca="false">IF(AJ15&gt;PR_BalDone,MIN(F_CardPayM,AJ15+AJ15*(D_iC)),0)</f>
        <v>0</v>
      </c>
      <c r="AX15" s="1" t="n">
        <f aca="false">IF(AK15&gt;PR_BalDone,MIN(F_CardPayM,AK15+AK15*(D_iC)),0)</f>
        <v>0</v>
      </c>
      <c r="AY15" s="1" t="n">
        <f aca="false">IF(AL15&gt;PR_BalDone,MIN(F_CardPayM,AL15+AL15*(D_iC)),0)</f>
        <v>0</v>
      </c>
      <c r="AZ15" s="1" t="n">
        <f aca="false">IF(AM15&gt;PR_BalDone,MIN(F_CardPayM,AM15+AM15*(D_iC)),0)</f>
        <v>0</v>
      </c>
      <c r="BA15" s="1" t="n">
        <f aca="false">IF(AN15&gt;PR_BalDone,MIN(F_CardPayM,AN15+AN15*(D_iC)),0)</f>
        <v>0</v>
      </c>
      <c r="BB15" s="1" t="n">
        <f aca="false">IF(AO15&gt;PR_BalDone,MIN(F_CardPayM,AO15+AO15*(D_iC)),0)</f>
        <v>0</v>
      </c>
      <c r="BC15" s="1" t="n">
        <f aca="false">MAX(0,AP15)</f>
        <v>0</v>
      </c>
      <c r="BD15" s="1" t="n">
        <f aca="false">SUM(AQ15:BB15)</f>
        <v>0</v>
      </c>
      <c r="BE15" s="1" t="n">
        <f aca="false">'Plan cashflow'!O15</f>
        <v>0</v>
      </c>
      <c r="BF15" s="1" t="n">
        <f aca="false">IF(BE15&gt;PR_BalDone,BE15+BE15*(D_iL)-MIN(F_LoanPayM,BE15+BE15*(D_iL)),BE15)</f>
        <v>0</v>
      </c>
      <c r="BG15" s="1" t="n">
        <f aca="false">IF(BF15&gt;PR_BalDone,BF15+BF15*(D_iL)-MIN(F_LoanPayM,BF15+BF15*(D_iL)),BF15)</f>
        <v>0</v>
      </c>
      <c r="BH15" s="1" t="n">
        <f aca="false">IF(BG15&gt;PR_BalDone,BG15+BG15*(D_iL)-MIN(F_LoanPayM,BG15+BG15*(D_iL)),BG15)</f>
        <v>0</v>
      </c>
      <c r="BI15" s="1" t="n">
        <f aca="false">IF(BH15&gt;PR_BalDone,BH15+BH15*(D_iL)-MIN(F_LoanPayM,BH15+BH15*(D_iL)),BH15)</f>
        <v>0</v>
      </c>
      <c r="BJ15" s="1" t="n">
        <f aca="false">IF(BI15&gt;PR_BalDone,BI15+BI15*(D_iL)-MIN(F_LoanPayM,BI15+BI15*(D_iL)),BI15)</f>
        <v>0</v>
      </c>
      <c r="BK15" s="1" t="n">
        <f aca="false">IF(BJ15&gt;PR_BalDone,BJ15+BJ15*(D_iL)-MIN(F_LoanPayM,BJ15+BJ15*(D_iL)),BJ15)</f>
        <v>0</v>
      </c>
      <c r="BL15" s="1" t="n">
        <f aca="false">IF(BK15&gt;PR_BalDone,BK15+BK15*(D_iL)-MIN(F_LoanPayM,BK15+BK15*(D_iL)),BK15)</f>
        <v>0</v>
      </c>
      <c r="BM15" s="1" t="n">
        <f aca="false">IF(BL15&gt;PR_BalDone,BL15+BL15*(D_iL)-MIN(F_LoanPayM,BL15+BL15*(D_iL)),BL15)</f>
        <v>0</v>
      </c>
      <c r="BN15" s="1" t="n">
        <f aca="false">IF(BM15&gt;PR_BalDone,BM15+BM15*(D_iL)-MIN(F_LoanPayM,BM15+BM15*(D_iL)),BM15)</f>
        <v>0</v>
      </c>
      <c r="BO15" s="1" t="n">
        <f aca="false">IF(BN15&gt;PR_BalDone,BN15+BN15*(D_iL)-MIN(F_LoanPayM,BN15+BN15*(D_iL)),BN15)</f>
        <v>0</v>
      </c>
      <c r="BP15" s="1" t="n">
        <f aca="false">IF(BO15&gt;PR_BalDone,BO15+BO15*(D_iL)-MIN(F_LoanPayM,BO15+BO15*(D_iL)),BO15)</f>
        <v>0</v>
      </c>
      <c r="BQ15" s="1" t="n">
        <f aca="false">IF(BP15&gt;PR_BalDone,BP15+BP15*(D_iL)-MIN(F_LoanPayM,BP15+BP15*(D_iL)),BP15)</f>
        <v>0</v>
      </c>
      <c r="BR15" s="1" t="n">
        <f aca="false">IF(BE15&gt;PR_BalDone,MIN(F_LoanPayM,BE15+BE15*(D_iL)),0)</f>
        <v>0</v>
      </c>
      <c r="BS15" s="1" t="n">
        <f aca="false">IF(BF15&gt;PR_BalDone,MIN(F_LoanPayM,BF15+BF15*(D_iL)),0)</f>
        <v>0</v>
      </c>
      <c r="BT15" s="1" t="n">
        <f aca="false">IF(BG15&gt;PR_BalDone,MIN(F_LoanPayM,BG15+BG15*(D_iL)),0)</f>
        <v>0</v>
      </c>
      <c r="BU15" s="1" t="n">
        <f aca="false">IF(BH15&gt;PR_BalDone,MIN(F_LoanPayM,BH15+BH15*(D_iL)),0)</f>
        <v>0</v>
      </c>
      <c r="BV15" s="1" t="n">
        <f aca="false">IF(BI15&gt;PR_BalDone,MIN(F_LoanPayM,BI15+BI15*(D_iL)),0)</f>
        <v>0</v>
      </c>
      <c r="BW15" s="1" t="n">
        <f aca="false">IF(BJ15&gt;PR_BalDone,MIN(F_LoanPayM,BJ15+BJ15*(D_iL)),0)</f>
        <v>0</v>
      </c>
      <c r="BX15" s="1" t="n">
        <f aca="false">IF(BK15&gt;PR_BalDone,MIN(F_LoanPayM,BK15+BK15*(D_iL)),0)</f>
        <v>0</v>
      </c>
      <c r="BY15" s="1" t="n">
        <f aca="false">IF(BL15&gt;PR_BalDone,MIN(F_LoanPayM,BL15+BL15*(D_iL)),0)</f>
        <v>0</v>
      </c>
      <c r="BZ15" s="1" t="n">
        <f aca="false">IF(BM15&gt;PR_BalDone,MIN(F_LoanPayM,BM15+BM15*(D_iL)),0)</f>
        <v>0</v>
      </c>
      <c r="CA15" s="1" t="n">
        <f aca="false">IF(BN15&gt;PR_BalDone,MIN(F_LoanPayM,BN15+BN15*(D_iL)),0)</f>
        <v>0</v>
      </c>
      <c r="CB15" s="1" t="n">
        <f aca="false">IF(BO15&gt;PR_BalDone,MIN(F_LoanPayM,BO15+BO15*(D_iL)),0)</f>
        <v>0</v>
      </c>
      <c r="CC15" s="1" t="n">
        <f aca="false">IF(BP15&gt;PR_BalDone,MIN(F_LoanPayM,BP15+BP15*(D_iL)),0)</f>
        <v>0</v>
      </c>
      <c r="CD15" s="1" t="n">
        <f aca="false">MAX(0,BQ15)</f>
        <v>0</v>
      </c>
      <c r="CE15" s="1" t="n">
        <f aca="false">SUM(BR15:CC15)</f>
        <v>0</v>
      </c>
      <c r="CF15" s="1" t="n">
        <f aca="false">IF(CF14&gt;1,DE14,CF14)</f>
        <v>0</v>
      </c>
      <c r="CG15" s="1" t="n">
        <f aca="false">IF(CF15&gt;PR_BalDone,CF15+CF15*(F_MR/12)-MIN(F_MortPayM,CF15+CF15*(F_MR/12)),CF15)</f>
        <v>0</v>
      </c>
      <c r="CH15" s="1" t="n">
        <f aca="false">IF(CG15&gt;PR_BalDone,CG15+CG15*(F_MR/12)-MIN(F_MortPayM,CG15+CG15*(F_MR/12)),CG15)</f>
        <v>0</v>
      </c>
      <c r="CI15" s="1" t="n">
        <f aca="false">IF(CH15&gt;PR_BalDone,CH15+CH15*(F_MR/12)-MIN(F_MortPayM,CH15+CH15*(F_MR/12)),CH15)</f>
        <v>0</v>
      </c>
      <c r="CJ15" s="1" t="n">
        <f aca="false">IF(CI15&gt;PR_BalDone,CI15+CI15*(F_MR/12)-MIN(F_MortPayM,CI15+CI15*(F_MR/12)),CI15)</f>
        <v>0</v>
      </c>
      <c r="CK15" s="1" t="n">
        <f aca="false">IF(CJ15&gt;PR_BalDone,CJ15+CJ15*(F_MR/12)-MIN(F_MortPayM,CJ15+CJ15*(F_MR/12)),CJ15)</f>
        <v>0</v>
      </c>
      <c r="CL15" s="1" t="n">
        <f aca="false">IF(CK15&gt;PR_BalDone,CK15+CK15*(F_MR/12)-MIN(F_MortPayM,CK15+CK15*(F_MR/12)),CK15)</f>
        <v>0</v>
      </c>
      <c r="CM15" s="1" t="n">
        <f aca="false">IF(CL15&gt;PR_BalDone,CL15+CL15*(F_MR/12)-MIN(F_MortPayM,CL15+CL15*(F_MR/12)),CL15)</f>
        <v>0</v>
      </c>
      <c r="CN15" s="1" t="n">
        <f aca="false">IF(CM15&gt;PR_BalDone,CM15+CM15*(F_MR/12)-MIN(F_MortPayM,CM15+CM15*(F_MR/12)),CM15)</f>
        <v>0</v>
      </c>
      <c r="CO15" s="1" t="n">
        <f aca="false">IF(CN15&gt;PR_BalDone,CN15+CN15*(F_MR/12)-MIN(F_MortPayM,CN15+CN15*(F_MR/12)),CN15)</f>
        <v>0</v>
      </c>
      <c r="CP15" s="1" t="n">
        <f aca="false">IF(CO15&gt;PR_BalDone,CO15+CO15*(F_MR/12)-MIN(F_MortPayM,CO15+CO15*(F_MR/12)),CO15)</f>
        <v>0</v>
      </c>
      <c r="CQ15" s="1" t="n">
        <f aca="false">IF(CP15&gt;PR_BalDone,CP15+CP15*(F_MR/12)-MIN(F_MortPayM,CP15+CP15*(F_MR/12)),CP15)</f>
        <v>0</v>
      </c>
      <c r="CR15" s="1" t="n">
        <f aca="false">IF(CQ15&gt;PR_BalDone,CQ15+CQ15*(F_MR/12)-MIN(F_MortPayM,CQ15+CQ15*(F_MR/12)),CQ15)</f>
        <v>0</v>
      </c>
      <c r="CS15" s="1" t="n">
        <f aca="false">IF(CF15&gt;PR_BalDone,MIN(F_MortPayM,CF15+CF15*(F_MR/12)),0)</f>
        <v>0</v>
      </c>
      <c r="CT15" s="1" t="n">
        <f aca="false">IF(CG15&gt;PR_BalDone,MIN(F_MortPayM,CG15+CG15*(F_MR/12)),0)</f>
        <v>0</v>
      </c>
      <c r="CU15" s="1" t="n">
        <f aca="false">IF(CH15&gt;PR_BalDone,MIN(F_MortPayM,CH15+CH15*(F_MR/12)),0)</f>
        <v>0</v>
      </c>
      <c r="CV15" s="1" t="n">
        <f aca="false">IF(CI15&gt;PR_BalDone,MIN(F_MortPayM,CI15+CI15*(F_MR/12)),0)</f>
        <v>0</v>
      </c>
      <c r="CW15" s="1" t="n">
        <f aca="false">IF(CJ15&gt;PR_BalDone,MIN(F_MortPayM,CJ15+CJ15*(F_MR/12)),0)</f>
        <v>0</v>
      </c>
      <c r="CX15" s="1" t="n">
        <f aca="false">IF(CK15&gt;PR_BalDone,MIN(F_MortPayM,CK15+CK15*(F_MR/12)),0)</f>
        <v>0</v>
      </c>
      <c r="CY15" s="1" t="n">
        <f aca="false">IF(CL15&gt;PR_BalDone,MIN(F_MortPayM,CL15+CL15*(F_MR/12)),0)</f>
        <v>0</v>
      </c>
      <c r="CZ15" s="1" t="n">
        <f aca="false">IF(CM15&gt;PR_BalDone,MIN(F_MortPayM,CM15+CM15*(F_MR/12)),0)</f>
        <v>0</v>
      </c>
      <c r="DA15" s="1" t="n">
        <f aca="false">IF(CN15&gt;PR_BalDone,MIN(F_MortPayM,CN15+CN15*(F_MR/12)),0)</f>
        <v>0</v>
      </c>
      <c r="DB15" s="1" t="n">
        <f aca="false">IF(CO15&gt;PR_BalDone,MIN(F_MortPayM,CO15+CO15*(F_MR/12)),0)</f>
        <v>0</v>
      </c>
      <c r="DC15" s="1" t="n">
        <f aca="false">IF(CP15&gt;PR_BalDone,MIN(F_MortPayM,CP15+CP15*(F_MR/12)),0)</f>
        <v>0</v>
      </c>
      <c r="DD15" s="1" t="n">
        <f aca="false">IF(CQ15&gt;PR_BalDone,MIN(F_MortPayM,CQ15+CQ15*(F_MR/12)),0)</f>
        <v>0</v>
      </c>
      <c r="DE15" s="1" t="n">
        <f aca="false">MAX(0,CR15)</f>
        <v>0</v>
      </c>
      <c r="DF15" s="1" t="n">
        <f aca="false">SUM(CS15:DD15)</f>
        <v>0</v>
      </c>
      <c r="DG15" s="1" t="n">
        <f aca="false">MAX(0,CF15)</f>
        <v>0</v>
      </c>
    </row>
    <row r="16" customFormat="false" ht="15" hidden="false" customHeight="true" outlineLevel="0" collapsed="false">
      <c r="B16" s="1" t="n">
        <v>8</v>
      </c>
      <c r="C16" s="1" t="n">
        <f aca="false">'Plan cashflow'!I16</f>
        <v>0</v>
      </c>
      <c r="D16" s="1" t="n">
        <f aca="false">IF(C16&gt;PR_BalDone,C16+C16*(F_MR/12)-MIN(F_MortPayM,C16+C16*(F_MR/12)),C16)</f>
        <v>0</v>
      </c>
      <c r="E16" s="1" t="n">
        <f aca="false">IF(D16&gt;PR_BalDone,D16+D16*(F_MR/12)-MIN(F_MortPayM,D16+D16*(F_MR/12)),D16)</f>
        <v>0</v>
      </c>
      <c r="F16" s="1" t="n">
        <f aca="false">IF(E16&gt;PR_BalDone,E16+E16*(F_MR/12)-MIN(F_MortPayM,E16+E16*(F_MR/12)),E16)</f>
        <v>0</v>
      </c>
      <c r="G16" s="1" t="n">
        <f aca="false">IF(F16&gt;PR_BalDone,F16+F16*(F_MR/12)-MIN(F_MortPayM,F16+F16*(F_MR/12)),F16)</f>
        <v>0</v>
      </c>
      <c r="H16" s="1" t="n">
        <f aca="false">IF(G16&gt;PR_BalDone,G16+G16*(F_MR/12)-MIN(F_MortPayM,G16+G16*(F_MR/12)),G16)</f>
        <v>0</v>
      </c>
      <c r="I16" s="1" t="n">
        <f aca="false">IF(H16&gt;PR_BalDone,H16+H16*(F_MR/12)-MIN(F_MortPayM,H16+H16*(F_MR/12)),H16)</f>
        <v>0</v>
      </c>
      <c r="J16" s="1" t="n">
        <f aca="false">IF(I16&gt;PR_BalDone,I16+I16*(F_MR/12)-MIN(F_MortPayM,I16+I16*(F_MR/12)),I16)</f>
        <v>0</v>
      </c>
      <c r="K16" s="1" t="n">
        <f aca="false">IF(J16&gt;PR_BalDone,J16+J16*(F_MR/12)-MIN(F_MortPayM,J16+J16*(F_MR/12)),J16)</f>
        <v>0</v>
      </c>
      <c r="L16" s="1" t="n">
        <f aca="false">IF(K16&gt;PR_BalDone,K16+K16*(F_MR/12)-MIN(F_MortPayM,K16+K16*(F_MR/12)),K16)</f>
        <v>0</v>
      </c>
      <c r="M16" s="1" t="n">
        <f aca="false">IF(L16&gt;PR_BalDone,L16+L16*(F_MR/12)-MIN(F_MortPayM,L16+L16*(F_MR/12)),L16)</f>
        <v>0</v>
      </c>
      <c r="N16" s="1" t="n">
        <f aca="false">IF(M16&gt;PR_BalDone,M16+M16*(F_MR/12)-MIN(F_MortPayM,M16+M16*(F_MR/12)),M16)</f>
        <v>0</v>
      </c>
      <c r="O16" s="1" t="n">
        <f aca="false">IF(N16&gt;PR_BalDone,N16+N16*(F_MR/12)-MIN(F_MortPayM,N16+N16*(F_MR/12)),N16)</f>
        <v>0</v>
      </c>
      <c r="P16" s="1" t="n">
        <f aca="false">IF(C16&gt;PR_BalDone,MIN(F_MortPayM,C16+C16*(F_MR/12)),0)</f>
        <v>0</v>
      </c>
      <c r="Q16" s="1" t="n">
        <f aca="false">IF(D16&gt;PR_BalDone,MIN(F_MortPayM,D16+D16*(F_MR/12)),0)</f>
        <v>0</v>
      </c>
      <c r="R16" s="1" t="n">
        <f aca="false">IF(E16&gt;PR_BalDone,MIN(F_MortPayM,E16+E16*(F_MR/12)),0)</f>
        <v>0</v>
      </c>
      <c r="S16" s="1" t="n">
        <f aca="false">IF(F16&gt;PR_BalDone,MIN(F_MortPayM,F16+F16*(F_MR/12)),0)</f>
        <v>0</v>
      </c>
      <c r="T16" s="1" t="n">
        <f aca="false">IF(G16&gt;PR_BalDone,MIN(F_MortPayM,G16+G16*(F_MR/12)),0)</f>
        <v>0</v>
      </c>
      <c r="U16" s="1" t="n">
        <f aca="false">IF(H16&gt;PR_BalDone,MIN(F_MortPayM,H16+H16*(F_MR/12)),0)</f>
        <v>0</v>
      </c>
      <c r="V16" s="1" t="n">
        <f aca="false">IF(I16&gt;PR_BalDone,MIN(F_MortPayM,I16+I16*(F_MR/12)),0)</f>
        <v>0</v>
      </c>
      <c r="W16" s="1" t="n">
        <f aca="false">IF(J16&gt;PR_BalDone,MIN(F_MortPayM,J16+J16*(F_MR/12)),0)</f>
        <v>0</v>
      </c>
      <c r="X16" s="1" t="n">
        <f aca="false">IF(K16&gt;PR_BalDone,MIN(F_MortPayM,K16+K16*(F_MR/12)),0)</f>
        <v>0</v>
      </c>
      <c r="Y16" s="1" t="n">
        <f aca="false">IF(L16&gt;PR_BalDone,MIN(F_MortPayM,L16+L16*(F_MR/12)),0)</f>
        <v>0</v>
      </c>
      <c r="Z16" s="1" t="n">
        <f aca="false">IF(M16&gt;PR_BalDone,MIN(F_MortPayM,M16+M16*(F_MR/12)),0)</f>
        <v>0</v>
      </c>
      <c r="AA16" s="1" t="n">
        <f aca="false">IF(N16&gt;PR_BalDone,MIN(F_MortPayM,N16+N16*(F_MR/12)),0)</f>
        <v>0</v>
      </c>
      <c r="AB16" s="1" t="n">
        <f aca="false">MAX(0,O16)</f>
        <v>0</v>
      </c>
      <c r="AC16" s="1" t="n">
        <f aca="false">SUM(P16:AA16)</f>
        <v>0</v>
      </c>
      <c r="AD16" s="1" t="n">
        <f aca="false">'Plan cashflow'!L16</f>
        <v>0</v>
      </c>
      <c r="AE16" s="1" t="n">
        <f aca="false">IF(AD16&gt;PR_BalDone,AD16+AD16*(D_iC)-MIN(F_CardPayM,AD16+AD16*(D_iC)),AD16)</f>
        <v>0</v>
      </c>
      <c r="AF16" s="1" t="n">
        <f aca="false">IF(AE16&gt;PR_BalDone,AE16+AE16*(D_iC)-MIN(F_CardPayM,AE16+AE16*(D_iC)),AE16)</f>
        <v>0</v>
      </c>
      <c r="AG16" s="1" t="n">
        <f aca="false">IF(AF16&gt;PR_BalDone,AF16+AF16*(D_iC)-MIN(F_CardPayM,AF16+AF16*(D_iC)),AF16)</f>
        <v>0</v>
      </c>
      <c r="AH16" s="1" t="n">
        <f aca="false">IF(AG16&gt;PR_BalDone,AG16+AG16*(D_iC)-MIN(F_CardPayM,AG16+AG16*(D_iC)),AG16)</f>
        <v>0</v>
      </c>
      <c r="AI16" s="1" t="n">
        <f aca="false">IF(AH16&gt;PR_BalDone,AH16+AH16*(D_iC)-MIN(F_CardPayM,AH16+AH16*(D_iC)),AH16)</f>
        <v>0</v>
      </c>
      <c r="AJ16" s="1" t="n">
        <f aca="false">IF(AI16&gt;PR_BalDone,AI16+AI16*(D_iC)-MIN(F_CardPayM,AI16+AI16*(D_iC)),AI16)</f>
        <v>0</v>
      </c>
      <c r="AK16" s="1" t="n">
        <f aca="false">IF(AJ16&gt;PR_BalDone,AJ16+AJ16*(D_iC)-MIN(F_CardPayM,AJ16+AJ16*(D_iC)),AJ16)</f>
        <v>0</v>
      </c>
      <c r="AL16" s="1" t="n">
        <f aca="false">IF(AK16&gt;PR_BalDone,AK16+AK16*(D_iC)-MIN(F_CardPayM,AK16+AK16*(D_iC)),AK16)</f>
        <v>0</v>
      </c>
      <c r="AM16" s="1" t="n">
        <f aca="false">IF(AL16&gt;PR_BalDone,AL16+AL16*(D_iC)-MIN(F_CardPayM,AL16+AL16*(D_iC)),AL16)</f>
        <v>0</v>
      </c>
      <c r="AN16" s="1" t="n">
        <f aca="false">IF(AM16&gt;PR_BalDone,AM16+AM16*(D_iC)-MIN(F_CardPayM,AM16+AM16*(D_iC)),AM16)</f>
        <v>0</v>
      </c>
      <c r="AO16" s="1" t="n">
        <f aca="false">IF(AN16&gt;PR_BalDone,AN16+AN16*(D_iC)-MIN(F_CardPayM,AN16+AN16*(D_iC)),AN16)</f>
        <v>0</v>
      </c>
      <c r="AP16" s="1" t="n">
        <f aca="false">IF(AO16&gt;PR_BalDone,AO16+AO16*(D_iC)-MIN(F_CardPayM,AO16+AO16*(D_iC)),AO16)</f>
        <v>0</v>
      </c>
      <c r="AQ16" s="1" t="n">
        <f aca="false">IF(AD16&gt;PR_BalDone,MIN(F_CardPayM,AD16+AD16*(D_iC)),0)</f>
        <v>0</v>
      </c>
      <c r="AR16" s="1" t="n">
        <f aca="false">IF(AE16&gt;PR_BalDone,MIN(F_CardPayM,AE16+AE16*(D_iC)),0)</f>
        <v>0</v>
      </c>
      <c r="AS16" s="1" t="n">
        <f aca="false">IF(AF16&gt;PR_BalDone,MIN(F_CardPayM,AF16+AF16*(D_iC)),0)</f>
        <v>0</v>
      </c>
      <c r="AT16" s="1" t="n">
        <f aca="false">IF(AG16&gt;PR_BalDone,MIN(F_CardPayM,AG16+AG16*(D_iC)),0)</f>
        <v>0</v>
      </c>
      <c r="AU16" s="1" t="n">
        <f aca="false">IF(AH16&gt;PR_BalDone,MIN(F_CardPayM,AH16+AH16*(D_iC)),0)</f>
        <v>0</v>
      </c>
      <c r="AV16" s="1" t="n">
        <f aca="false">IF(AI16&gt;PR_BalDone,MIN(F_CardPayM,AI16+AI16*(D_iC)),0)</f>
        <v>0</v>
      </c>
      <c r="AW16" s="1" t="n">
        <f aca="false">IF(AJ16&gt;PR_BalDone,MIN(F_CardPayM,AJ16+AJ16*(D_iC)),0)</f>
        <v>0</v>
      </c>
      <c r="AX16" s="1" t="n">
        <f aca="false">IF(AK16&gt;PR_BalDone,MIN(F_CardPayM,AK16+AK16*(D_iC)),0)</f>
        <v>0</v>
      </c>
      <c r="AY16" s="1" t="n">
        <f aca="false">IF(AL16&gt;PR_BalDone,MIN(F_CardPayM,AL16+AL16*(D_iC)),0)</f>
        <v>0</v>
      </c>
      <c r="AZ16" s="1" t="n">
        <f aca="false">IF(AM16&gt;PR_BalDone,MIN(F_CardPayM,AM16+AM16*(D_iC)),0)</f>
        <v>0</v>
      </c>
      <c r="BA16" s="1" t="n">
        <f aca="false">IF(AN16&gt;PR_BalDone,MIN(F_CardPayM,AN16+AN16*(D_iC)),0)</f>
        <v>0</v>
      </c>
      <c r="BB16" s="1" t="n">
        <f aca="false">IF(AO16&gt;PR_BalDone,MIN(F_CardPayM,AO16+AO16*(D_iC)),0)</f>
        <v>0</v>
      </c>
      <c r="BC16" s="1" t="n">
        <f aca="false">MAX(0,AP16)</f>
        <v>0</v>
      </c>
      <c r="BD16" s="1" t="n">
        <f aca="false">SUM(AQ16:BB16)</f>
        <v>0</v>
      </c>
      <c r="BE16" s="1" t="n">
        <f aca="false">'Plan cashflow'!O16</f>
        <v>0</v>
      </c>
      <c r="BF16" s="1" t="n">
        <f aca="false">IF(BE16&gt;PR_BalDone,BE16+BE16*(D_iL)-MIN(F_LoanPayM,BE16+BE16*(D_iL)),BE16)</f>
        <v>0</v>
      </c>
      <c r="BG16" s="1" t="n">
        <f aca="false">IF(BF16&gt;PR_BalDone,BF16+BF16*(D_iL)-MIN(F_LoanPayM,BF16+BF16*(D_iL)),BF16)</f>
        <v>0</v>
      </c>
      <c r="BH16" s="1" t="n">
        <f aca="false">IF(BG16&gt;PR_BalDone,BG16+BG16*(D_iL)-MIN(F_LoanPayM,BG16+BG16*(D_iL)),BG16)</f>
        <v>0</v>
      </c>
      <c r="BI16" s="1" t="n">
        <f aca="false">IF(BH16&gt;PR_BalDone,BH16+BH16*(D_iL)-MIN(F_LoanPayM,BH16+BH16*(D_iL)),BH16)</f>
        <v>0</v>
      </c>
      <c r="BJ16" s="1" t="n">
        <f aca="false">IF(BI16&gt;PR_BalDone,BI16+BI16*(D_iL)-MIN(F_LoanPayM,BI16+BI16*(D_iL)),BI16)</f>
        <v>0</v>
      </c>
      <c r="BK16" s="1" t="n">
        <f aca="false">IF(BJ16&gt;PR_BalDone,BJ16+BJ16*(D_iL)-MIN(F_LoanPayM,BJ16+BJ16*(D_iL)),BJ16)</f>
        <v>0</v>
      </c>
      <c r="BL16" s="1" t="n">
        <f aca="false">IF(BK16&gt;PR_BalDone,BK16+BK16*(D_iL)-MIN(F_LoanPayM,BK16+BK16*(D_iL)),BK16)</f>
        <v>0</v>
      </c>
      <c r="BM16" s="1" t="n">
        <f aca="false">IF(BL16&gt;PR_BalDone,BL16+BL16*(D_iL)-MIN(F_LoanPayM,BL16+BL16*(D_iL)),BL16)</f>
        <v>0</v>
      </c>
      <c r="BN16" s="1" t="n">
        <f aca="false">IF(BM16&gt;PR_BalDone,BM16+BM16*(D_iL)-MIN(F_LoanPayM,BM16+BM16*(D_iL)),BM16)</f>
        <v>0</v>
      </c>
      <c r="BO16" s="1" t="n">
        <f aca="false">IF(BN16&gt;PR_BalDone,BN16+BN16*(D_iL)-MIN(F_LoanPayM,BN16+BN16*(D_iL)),BN16)</f>
        <v>0</v>
      </c>
      <c r="BP16" s="1" t="n">
        <f aca="false">IF(BO16&gt;PR_BalDone,BO16+BO16*(D_iL)-MIN(F_LoanPayM,BO16+BO16*(D_iL)),BO16)</f>
        <v>0</v>
      </c>
      <c r="BQ16" s="1" t="n">
        <f aca="false">IF(BP16&gt;PR_BalDone,BP16+BP16*(D_iL)-MIN(F_LoanPayM,BP16+BP16*(D_iL)),BP16)</f>
        <v>0</v>
      </c>
      <c r="BR16" s="1" t="n">
        <f aca="false">IF(BE16&gt;PR_BalDone,MIN(F_LoanPayM,BE16+BE16*(D_iL)),0)</f>
        <v>0</v>
      </c>
      <c r="BS16" s="1" t="n">
        <f aca="false">IF(BF16&gt;PR_BalDone,MIN(F_LoanPayM,BF16+BF16*(D_iL)),0)</f>
        <v>0</v>
      </c>
      <c r="BT16" s="1" t="n">
        <f aca="false">IF(BG16&gt;PR_BalDone,MIN(F_LoanPayM,BG16+BG16*(D_iL)),0)</f>
        <v>0</v>
      </c>
      <c r="BU16" s="1" t="n">
        <f aca="false">IF(BH16&gt;PR_BalDone,MIN(F_LoanPayM,BH16+BH16*(D_iL)),0)</f>
        <v>0</v>
      </c>
      <c r="BV16" s="1" t="n">
        <f aca="false">IF(BI16&gt;PR_BalDone,MIN(F_LoanPayM,BI16+BI16*(D_iL)),0)</f>
        <v>0</v>
      </c>
      <c r="BW16" s="1" t="n">
        <f aca="false">IF(BJ16&gt;PR_BalDone,MIN(F_LoanPayM,BJ16+BJ16*(D_iL)),0)</f>
        <v>0</v>
      </c>
      <c r="BX16" s="1" t="n">
        <f aca="false">IF(BK16&gt;PR_BalDone,MIN(F_LoanPayM,BK16+BK16*(D_iL)),0)</f>
        <v>0</v>
      </c>
      <c r="BY16" s="1" t="n">
        <f aca="false">IF(BL16&gt;PR_BalDone,MIN(F_LoanPayM,BL16+BL16*(D_iL)),0)</f>
        <v>0</v>
      </c>
      <c r="BZ16" s="1" t="n">
        <f aca="false">IF(BM16&gt;PR_BalDone,MIN(F_LoanPayM,BM16+BM16*(D_iL)),0)</f>
        <v>0</v>
      </c>
      <c r="CA16" s="1" t="n">
        <f aca="false">IF(BN16&gt;PR_BalDone,MIN(F_LoanPayM,BN16+BN16*(D_iL)),0)</f>
        <v>0</v>
      </c>
      <c r="CB16" s="1" t="n">
        <f aca="false">IF(BO16&gt;PR_BalDone,MIN(F_LoanPayM,BO16+BO16*(D_iL)),0)</f>
        <v>0</v>
      </c>
      <c r="CC16" s="1" t="n">
        <f aca="false">IF(BP16&gt;PR_BalDone,MIN(F_LoanPayM,BP16+BP16*(D_iL)),0)</f>
        <v>0</v>
      </c>
      <c r="CD16" s="1" t="n">
        <f aca="false">MAX(0,BQ16)</f>
        <v>0</v>
      </c>
      <c r="CE16" s="1" t="n">
        <f aca="false">SUM(BR16:CC16)</f>
        <v>0</v>
      </c>
      <c r="CF16" s="1" t="n">
        <f aca="false">IF(CF15&gt;1,DE15,CF15)</f>
        <v>0</v>
      </c>
      <c r="CG16" s="1" t="n">
        <f aca="false">IF(CF16&gt;PR_BalDone,CF16+CF16*(F_MR/12)-MIN(F_MortPayM,CF16+CF16*(F_MR/12)),CF16)</f>
        <v>0</v>
      </c>
      <c r="CH16" s="1" t="n">
        <f aca="false">IF(CG16&gt;PR_BalDone,CG16+CG16*(F_MR/12)-MIN(F_MortPayM,CG16+CG16*(F_MR/12)),CG16)</f>
        <v>0</v>
      </c>
      <c r="CI16" s="1" t="n">
        <f aca="false">IF(CH16&gt;PR_BalDone,CH16+CH16*(F_MR/12)-MIN(F_MortPayM,CH16+CH16*(F_MR/12)),CH16)</f>
        <v>0</v>
      </c>
      <c r="CJ16" s="1" t="n">
        <f aca="false">IF(CI16&gt;PR_BalDone,CI16+CI16*(F_MR/12)-MIN(F_MortPayM,CI16+CI16*(F_MR/12)),CI16)</f>
        <v>0</v>
      </c>
      <c r="CK16" s="1" t="n">
        <f aca="false">IF(CJ16&gt;PR_BalDone,CJ16+CJ16*(F_MR/12)-MIN(F_MortPayM,CJ16+CJ16*(F_MR/12)),CJ16)</f>
        <v>0</v>
      </c>
      <c r="CL16" s="1" t="n">
        <f aca="false">IF(CK16&gt;PR_BalDone,CK16+CK16*(F_MR/12)-MIN(F_MortPayM,CK16+CK16*(F_MR/12)),CK16)</f>
        <v>0</v>
      </c>
      <c r="CM16" s="1" t="n">
        <f aca="false">IF(CL16&gt;PR_BalDone,CL16+CL16*(F_MR/12)-MIN(F_MortPayM,CL16+CL16*(F_MR/12)),CL16)</f>
        <v>0</v>
      </c>
      <c r="CN16" s="1" t="n">
        <f aca="false">IF(CM16&gt;PR_BalDone,CM16+CM16*(F_MR/12)-MIN(F_MortPayM,CM16+CM16*(F_MR/12)),CM16)</f>
        <v>0</v>
      </c>
      <c r="CO16" s="1" t="n">
        <f aca="false">IF(CN16&gt;PR_BalDone,CN16+CN16*(F_MR/12)-MIN(F_MortPayM,CN16+CN16*(F_MR/12)),CN16)</f>
        <v>0</v>
      </c>
      <c r="CP16" s="1" t="n">
        <f aca="false">IF(CO16&gt;PR_BalDone,CO16+CO16*(F_MR/12)-MIN(F_MortPayM,CO16+CO16*(F_MR/12)),CO16)</f>
        <v>0</v>
      </c>
      <c r="CQ16" s="1" t="n">
        <f aca="false">IF(CP16&gt;PR_BalDone,CP16+CP16*(F_MR/12)-MIN(F_MortPayM,CP16+CP16*(F_MR/12)),CP16)</f>
        <v>0</v>
      </c>
      <c r="CR16" s="1" t="n">
        <f aca="false">IF(CQ16&gt;PR_BalDone,CQ16+CQ16*(F_MR/12)-MIN(F_MortPayM,CQ16+CQ16*(F_MR/12)),CQ16)</f>
        <v>0</v>
      </c>
      <c r="CS16" s="1" t="n">
        <f aca="false">IF(CF16&gt;PR_BalDone,MIN(F_MortPayM,CF16+CF16*(F_MR/12)),0)</f>
        <v>0</v>
      </c>
      <c r="CT16" s="1" t="n">
        <f aca="false">IF(CG16&gt;PR_BalDone,MIN(F_MortPayM,CG16+CG16*(F_MR/12)),0)</f>
        <v>0</v>
      </c>
      <c r="CU16" s="1" t="n">
        <f aca="false">IF(CH16&gt;PR_BalDone,MIN(F_MortPayM,CH16+CH16*(F_MR/12)),0)</f>
        <v>0</v>
      </c>
      <c r="CV16" s="1" t="n">
        <f aca="false">IF(CI16&gt;PR_BalDone,MIN(F_MortPayM,CI16+CI16*(F_MR/12)),0)</f>
        <v>0</v>
      </c>
      <c r="CW16" s="1" t="n">
        <f aca="false">IF(CJ16&gt;PR_BalDone,MIN(F_MortPayM,CJ16+CJ16*(F_MR/12)),0)</f>
        <v>0</v>
      </c>
      <c r="CX16" s="1" t="n">
        <f aca="false">IF(CK16&gt;PR_BalDone,MIN(F_MortPayM,CK16+CK16*(F_MR/12)),0)</f>
        <v>0</v>
      </c>
      <c r="CY16" s="1" t="n">
        <f aca="false">IF(CL16&gt;PR_BalDone,MIN(F_MortPayM,CL16+CL16*(F_MR/12)),0)</f>
        <v>0</v>
      </c>
      <c r="CZ16" s="1" t="n">
        <f aca="false">IF(CM16&gt;PR_BalDone,MIN(F_MortPayM,CM16+CM16*(F_MR/12)),0)</f>
        <v>0</v>
      </c>
      <c r="DA16" s="1" t="n">
        <f aca="false">IF(CN16&gt;PR_BalDone,MIN(F_MortPayM,CN16+CN16*(F_MR/12)),0)</f>
        <v>0</v>
      </c>
      <c r="DB16" s="1" t="n">
        <f aca="false">IF(CO16&gt;PR_BalDone,MIN(F_MortPayM,CO16+CO16*(F_MR/12)),0)</f>
        <v>0</v>
      </c>
      <c r="DC16" s="1" t="n">
        <f aca="false">IF(CP16&gt;PR_BalDone,MIN(F_MortPayM,CP16+CP16*(F_MR/12)),0)</f>
        <v>0</v>
      </c>
      <c r="DD16" s="1" t="n">
        <f aca="false">IF(CQ16&gt;PR_BalDone,MIN(F_MortPayM,CQ16+CQ16*(F_MR/12)),0)</f>
        <v>0</v>
      </c>
      <c r="DE16" s="1" t="n">
        <f aca="false">MAX(0,CR16)</f>
        <v>0</v>
      </c>
      <c r="DF16" s="1" t="n">
        <f aca="false">SUM(CS16:DD16)</f>
        <v>0</v>
      </c>
      <c r="DG16" s="1" t="n">
        <f aca="false">MAX(0,CF16)</f>
        <v>0</v>
      </c>
    </row>
    <row r="17" customFormat="false" ht="15" hidden="false" customHeight="true" outlineLevel="0" collapsed="false">
      <c r="B17" s="1" t="n">
        <v>9</v>
      </c>
      <c r="C17" s="1" t="n">
        <f aca="false">'Plan cashflow'!I17</f>
        <v>0</v>
      </c>
      <c r="D17" s="1" t="n">
        <f aca="false">IF(C17&gt;PR_BalDone,C17+C17*(F_MR/12)-MIN(F_MortPayM,C17+C17*(F_MR/12)),C17)</f>
        <v>0</v>
      </c>
      <c r="E17" s="1" t="n">
        <f aca="false">IF(D17&gt;PR_BalDone,D17+D17*(F_MR/12)-MIN(F_MortPayM,D17+D17*(F_MR/12)),D17)</f>
        <v>0</v>
      </c>
      <c r="F17" s="1" t="n">
        <f aca="false">IF(E17&gt;PR_BalDone,E17+E17*(F_MR/12)-MIN(F_MortPayM,E17+E17*(F_MR/12)),E17)</f>
        <v>0</v>
      </c>
      <c r="G17" s="1" t="n">
        <f aca="false">IF(F17&gt;PR_BalDone,F17+F17*(F_MR/12)-MIN(F_MortPayM,F17+F17*(F_MR/12)),F17)</f>
        <v>0</v>
      </c>
      <c r="H17" s="1" t="n">
        <f aca="false">IF(G17&gt;PR_BalDone,G17+G17*(F_MR/12)-MIN(F_MortPayM,G17+G17*(F_MR/12)),G17)</f>
        <v>0</v>
      </c>
      <c r="I17" s="1" t="n">
        <f aca="false">IF(H17&gt;PR_BalDone,H17+H17*(F_MR/12)-MIN(F_MortPayM,H17+H17*(F_MR/12)),H17)</f>
        <v>0</v>
      </c>
      <c r="J17" s="1" t="n">
        <f aca="false">IF(I17&gt;PR_BalDone,I17+I17*(F_MR/12)-MIN(F_MortPayM,I17+I17*(F_MR/12)),I17)</f>
        <v>0</v>
      </c>
      <c r="K17" s="1" t="n">
        <f aca="false">IF(J17&gt;PR_BalDone,J17+J17*(F_MR/12)-MIN(F_MortPayM,J17+J17*(F_MR/12)),J17)</f>
        <v>0</v>
      </c>
      <c r="L17" s="1" t="n">
        <f aca="false">IF(K17&gt;PR_BalDone,K17+K17*(F_MR/12)-MIN(F_MortPayM,K17+K17*(F_MR/12)),K17)</f>
        <v>0</v>
      </c>
      <c r="M17" s="1" t="n">
        <f aca="false">IF(L17&gt;PR_BalDone,L17+L17*(F_MR/12)-MIN(F_MortPayM,L17+L17*(F_MR/12)),L17)</f>
        <v>0</v>
      </c>
      <c r="N17" s="1" t="n">
        <f aca="false">IF(M17&gt;PR_BalDone,M17+M17*(F_MR/12)-MIN(F_MortPayM,M17+M17*(F_MR/12)),M17)</f>
        <v>0</v>
      </c>
      <c r="O17" s="1" t="n">
        <f aca="false">IF(N17&gt;PR_BalDone,N17+N17*(F_MR/12)-MIN(F_MortPayM,N17+N17*(F_MR/12)),N17)</f>
        <v>0</v>
      </c>
      <c r="P17" s="1" t="n">
        <f aca="false">IF(C17&gt;PR_BalDone,MIN(F_MortPayM,C17+C17*(F_MR/12)),0)</f>
        <v>0</v>
      </c>
      <c r="Q17" s="1" t="n">
        <f aca="false">IF(D17&gt;PR_BalDone,MIN(F_MortPayM,D17+D17*(F_MR/12)),0)</f>
        <v>0</v>
      </c>
      <c r="R17" s="1" t="n">
        <f aca="false">IF(E17&gt;PR_BalDone,MIN(F_MortPayM,E17+E17*(F_MR/12)),0)</f>
        <v>0</v>
      </c>
      <c r="S17" s="1" t="n">
        <f aca="false">IF(F17&gt;PR_BalDone,MIN(F_MortPayM,F17+F17*(F_MR/12)),0)</f>
        <v>0</v>
      </c>
      <c r="T17" s="1" t="n">
        <f aca="false">IF(G17&gt;PR_BalDone,MIN(F_MortPayM,G17+G17*(F_MR/12)),0)</f>
        <v>0</v>
      </c>
      <c r="U17" s="1" t="n">
        <f aca="false">IF(H17&gt;PR_BalDone,MIN(F_MortPayM,H17+H17*(F_MR/12)),0)</f>
        <v>0</v>
      </c>
      <c r="V17" s="1" t="n">
        <f aca="false">IF(I17&gt;PR_BalDone,MIN(F_MortPayM,I17+I17*(F_MR/12)),0)</f>
        <v>0</v>
      </c>
      <c r="W17" s="1" t="n">
        <f aca="false">IF(J17&gt;PR_BalDone,MIN(F_MortPayM,J17+J17*(F_MR/12)),0)</f>
        <v>0</v>
      </c>
      <c r="X17" s="1" t="n">
        <f aca="false">IF(K17&gt;PR_BalDone,MIN(F_MortPayM,K17+K17*(F_MR/12)),0)</f>
        <v>0</v>
      </c>
      <c r="Y17" s="1" t="n">
        <f aca="false">IF(L17&gt;PR_BalDone,MIN(F_MortPayM,L17+L17*(F_MR/12)),0)</f>
        <v>0</v>
      </c>
      <c r="Z17" s="1" t="n">
        <f aca="false">IF(M17&gt;PR_BalDone,MIN(F_MortPayM,M17+M17*(F_MR/12)),0)</f>
        <v>0</v>
      </c>
      <c r="AA17" s="1" t="n">
        <f aca="false">IF(N17&gt;PR_BalDone,MIN(F_MortPayM,N17+N17*(F_MR/12)),0)</f>
        <v>0</v>
      </c>
      <c r="AB17" s="1" t="n">
        <f aca="false">MAX(0,O17)</f>
        <v>0</v>
      </c>
      <c r="AC17" s="1" t="n">
        <f aca="false">SUM(P17:AA17)</f>
        <v>0</v>
      </c>
      <c r="AD17" s="1" t="n">
        <f aca="false">'Plan cashflow'!L17</f>
        <v>0</v>
      </c>
      <c r="AE17" s="1" t="n">
        <f aca="false">IF(AD17&gt;PR_BalDone,AD17+AD17*(D_iC)-MIN(F_CardPayM,AD17+AD17*(D_iC)),AD17)</f>
        <v>0</v>
      </c>
      <c r="AF17" s="1" t="n">
        <f aca="false">IF(AE17&gt;PR_BalDone,AE17+AE17*(D_iC)-MIN(F_CardPayM,AE17+AE17*(D_iC)),AE17)</f>
        <v>0</v>
      </c>
      <c r="AG17" s="1" t="n">
        <f aca="false">IF(AF17&gt;PR_BalDone,AF17+AF17*(D_iC)-MIN(F_CardPayM,AF17+AF17*(D_iC)),AF17)</f>
        <v>0</v>
      </c>
      <c r="AH17" s="1" t="n">
        <f aca="false">IF(AG17&gt;PR_BalDone,AG17+AG17*(D_iC)-MIN(F_CardPayM,AG17+AG17*(D_iC)),AG17)</f>
        <v>0</v>
      </c>
      <c r="AI17" s="1" t="n">
        <f aca="false">IF(AH17&gt;PR_BalDone,AH17+AH17*(D_iC)-MIN(F_CardPayM,AH17+AH17*(D_iC)),AH17)</f>
        <v>0</v>
      </c>
      <c r="AJ17" s="1" t="n">
        <f aca="false">IF(AI17&gt;PR_BalDone,AI17+AI17*(D_iC)-MIN(F_CardPayM,AI17+AI17*(D_iC)),AI17)</f>
        <v>0</v>
      </c>
      <c r="AK17" s="1" t="n">
        <f aca="false">IF(AJ17&gt;PR_BalDone,AJ17+AJ17*(D_iC)-MIN(F_CardPayM,AJ17+AJ17*(D_iC)),AJ17)</f>
        <v>0</v>
      </c>
      <c r="AL17" s="1" t="n">
        <f aca="false">IF(AK17&gt;PR_BalDone,AK17+AK17*(D_iC)-MIN(F_CardPayM,AK17+AK17*(D_iC)),AK17)</f>
        <v>0</v>
      </c>
      <c r="AM17" s="1" t="n">
        <f aca="false">IF(AL17&gt;PR_BalDone,AL17+AL17*(D_iC)-MIN(F_CardPayM,AL17+AL17*(D_iC)),AL17)</f>
        <v>0</v>
      </c>
      <c r="AN17" s="1" t="n">
        <f aca="false">IF(AM17&gt;PR_BalDone,AM17+AM17*(D_iC)-MIN(F_CardPayM,AM17+AM17*(D_iC)),AM17)</f>
        <v>0</v>
      </c>
      <c r="AO17" s="1" t="n">
        <f aca="false">IF(AN17&gt;PR_BalDone,AN17+AN17*(D_iC)-MIN(F_CardPayM,AN17+AN17*(D_iC)),AN17)</f>
        <v>0</v>
      </c>
      <c r="AP17" s="1" t="n">
        <f aca="false">IF(AO17&gt;PR_BalDone,AO17+AO17*(D_iC)-MIN(F_CardPayM,AO17+AO17*(D_iC)),AO17)</f>
        <v>0</v>
      </c>
      <c r="AQ17" s="1" t="n">
        <f aca="false">IF(AD17&gt;PR_BalDone,MIN(F_CardPayM,AD17+AD17*(D_iC)),0)</f>
        <v>0</v>
      </c>
      <c r="AR17" s="1" t="n">
        <f aca="false">IF(AE17&gt;PR_BalDone,MIN(F_CardPayM,AE17+AE17*(D_iC)),0)</f>
        <v>0</v>
      </c>
      <c r="AS17" s="1" t="n">
        <f aca="false">IF(AF17&gt;PR_BalDone,MIN(F_CardPayM,AF17+AF17*(D_iC)),0)</f>
        <v>0</v>
      </c>
      <c r="AT17" s="1" t="n">
        <f aca="false">IF(AG17&gt;PR_BalDone,MIN(F_CardPayM,AG17+AG17*(D_iC)),0)</f>
        <v>0</v>
      </c>
      <c r="AU17" s="1" t="n">
        <f aca="false">IF(AH17&gt;PR_BalDone,MIN(F_CardPayM,AH17+AH17*(D_iC)),0)</f>
        <v>0</v>
      </c>
      <c r="AV17" s="1" t="n">
        <f aca="false">IF(AI17&gt;PR_BalDone,MIN(F_CardPayM,AI17+AI17*(D_iC)),0)</f>
        <v>0</v>
      </c>
      <c r="AW17" s="1" t="n">
        <f aca="false">IF(AJ17&gt;PR_BalDone,MIN(F_CardPayM,AJ17+AJ17*(D_iC)),0)</f>
        <v>0</v>
      </c>
      <c r="AX17" s="1" t="n">
        <f aca="false">IF(AK17&gt;PR_BalDone,MIN(F_CardPayM,AK17+AK17*(D_iC)),0)</f>
        <v>0</v>
      </c>
      <c r="AY17" s="1" t="n">
        <f aca="false">IF(AL17&gt;PR_BalDone,MIN(F_CardPayM,AL17+AL17*(D_iC)),0)</f>
        <v>0</v>
      </c>
      <c r="AZ17" s="1" t="n">
        <f aca="false">IF(AM17&gt;PR_BalDone,MIN(F_CardPayM,AM17+AM17*(D_iC)),0)</f>
        <v>0</v>
      </c>
      <c r="BA17" s="1" t="n">
        <f aca="false">IF(AN17&gt;PR_BalDone,MIN(F_CardPayM,AN17+AN17*(D_iC)),0)</f>
        <v>0</v>
      </c>
      <c r="BB17" s="1" t="n">
        <f aca="false">IF(AO17&gt;PR_BalDone,MIN(F_CardPayM,AO17+AO17*(D_iC)),0)</f>
        <v>0</v>
      </c>
      <c r="BC17" s="1" t="n">
        <f aca="false">MAX(0,AP17)</f>
        <v>0</v>
      </c>
      <c r="BD17" s="1" t="n">
        <f aca="false">SUM(AQ17:BB17)</f>
        <v>0</v>
      </c>
      <c r="BE17" s="1" t="n">
        <f aca="false">'Plan cashflow'!O17</f>
        <v>0</v>
      </c>
      <c r="BF17" s="1" t="n">
        <f aca="false">IF(BE17&gt;PR_BalDone,BE17+BE17*(D_iL)-MIN(F_LoanPayM,BE17+BE17*(D_iL)),BE17)</f>
        <v>0</v>
      </c>
      <c r="BG17" s="1" t="n">
        <f aca="false">IF(BF17&gt;PR_BalDone,BF17+BF17*(D_iL)-MIN(F_LoanPayM,BF17+BF17*(D_iL)),BF17)</f>
        <v>0</v>
      </c>
      <c r="BH17" s="1" t="n">
        <f aca="false">IF(BG17&gt;PR_BalDone,BG17+BG17*(D_iL)-MIN(F_LoanPayM,BG17+BG17*(D_iL)),BG17)</f>
        <v>0</v>
      </c>
      <c r="BI17" s="1" t="n">
        <f aca="false">IF(BH17&gt;PR_BalDone,BH17+BH17*(D_iL)-MIN(F_LoanPayM,BH17+BH17*(D_iL)),BH17)</f>
        <v>0</v>
      </c>
      <c r="BJ17" s="1" t="n">
        <f aca="false">IF(BI17&gt;PR_BalDone,BI17+BI17*(D_iL)-MIN(F_LoanPayM,BI17+BI17*(D_iL)),BI17)</f>
        <v>0</v>
      </c>
      <c r="BK17" s="1" t="n">
        <f aca="false">IF(BJ17&gt;PR_BalDone,BJ17+BJ17*(D_iL)-MIN(F_LoanPayM,BJ17+BJ17*(D_iL)),BJ17)</f>
        <v>0</v>
      </c>
      <c r="BL17" s="1" t="n">
        <f aca="false">IF(BK17&gt;PR_BalDone,BK17+BK17*(D_iL)-MIN(F_LoanPayM,BK17+BK17*(D_iL)),BK17)</f>
        <v>0</v>
      </c>
      <c r="BM17" s="1" t="n">
        <f aca="false">IF(BL17&gt;PR_BalDone,BL17+BL17*(D_iL)-MIN(F_LoanPayM,BL17+BL17*(D_iL)),BL17)</f>
        <v>0</v>
      </c>
      <c r="BN17" s="1" t="n">
        <f aca="false">IF(BM17&gt;PR_BalDone,BM17+BM17*(D_iL)-MIN(F_LoanPayM,BM17+BM17*(D_iL)),BM17)</f>
        <v>0</v>
      </c>
      <c r="BO17" s="1" t="n">
        <f aca="false">IF(BN17&gt;PR_BalDone,BN17+BN17*(D_iL)-MIN(F_LoanPayM,BN17+BN17*(D_iL)),BN17)</f>
        <v>0</v>
      </c>
      <c r="BP17" s="1" t="n">
        <f aca="false">IF(BO17&gt;PR_BalDone,BO17+BO17*(D_iL)-MIN(F_LoanPayM,BO17+BO17*(D_iL)),BO17)</f>
        <v>0</v>
      </c>
      <c r="BQ17" s="1" t="n">
        <f aca="false">IF(BP17&gt;PR_BalDone,BP17+BP17*(D_iL)-MIN(F_LoanPayM,BP17+BP17*(D_iL)),BP17)</f>
        <v>0</v>
      </c>
      <c r="BR17" s="1" t="n">
        <f aca="false">IF(BE17&gt;PR_BalDone,MIN(F_LoanPayM,BE17+BE17*(D_iL)),0)</f>
        <v>0</v>
      </c>
      <c r="BS17" s="1" t="n">
        <f aca="false">IF(BF17&gt;PR_BalDone,MIN(F_LoanPayM,BF17+BF17*(D_iL)),0)</f>
        <v>0</v>
      </c>
      <c r="BT17" s="1" t="n">
        <f aca="false">IF(BG17&gt;PR_BalDone,MIN(F_LoanPayM,BG17+BG17*(D_iL)),0)</f>
        <v>0</v>
      </c>
      <c r="BU17" s="1" t="n">
        <f aca="false">IF(BH17&gt;PR_BalDone,MIN(F_LoanPayM,BH17+BH17*(D_iL)),0)</f>
        <v>0</v>
      </c>
      <c r="BV17" s="1" t="n">
        <f aca="false">IF(BI17&gt;PR_BalDone,MIN(F_LoanPayM,BI17+BI17*(D_iL)),0)</f>
        <v>0</v>
      </c>
      <c r="BW17" s="1" t="n">
        <f aca="false">IF(BJ17&gt;PR_BalDone,MIN(F_LoanPayM,BJ17+BJ17*(D_iL)),0)</f>
        <v>0</v>
      </c>
      <c r="BX17" s="1" t="n">
        <f aca="false">IF(BK17&gt;PR_BalDone,MIN(F_LoanPayM,BK17+BK17*(D_iL)),0)</f>
        <v>0</v>
      </c>
      <c r="BY17" s="1" t="n">
        <f aca="false">IF(BL17&gt;PR_BalDone,MIN(F_LoanPayM,BL17+BL17*(D_iL)),0)</f>
        <v>0</v>
      </c>
      <c r="BZ17" s="1" t="n">
        <f aca="false">IF(BM17&gt;PR_BalDone,MIN(F_LoanPayM,BM17+BM17*(D_iL)),0)</f>
        <v>0</v>
      </c>
      <c r="CA17" s="1" t="n">
        <f aca="false">IF(BN17&gt;PR_BalDone,MIN(F_LoanPayM,BN17+BN17*(D_iL)),0)</f>
        <v>0</v>
      </c>
      <c r="CB17" s="1" t="n">
        <f aca="false">IF(BO17&gt;PR_BalDone,MIN(F_LoanPayM,BO17+BO17*(D_iL)),0)</f>
        <v>0</v>
      </c>
      <c r="CC17" s="1" t="n">
        <f aca="false">IF(BP17&gt;PR_BalDone,MIN(F_LoanPayM,BP17+BP17*(D_iL)),0)</f>
        <v>0</v>
      </c>
      <c r="CD17" s="1" t="n">
        <f aca="false">MAX(0,BQ17)</f>
        <v>0</v>
      </c>
      <c r="CE17" s="1" t="n">
        <f aca="false">SUM(BR17:CC17)</f>
        <v>0</v>
      </c>
      <c r="CF17" s="1" t="n">
        <f aca="false">IF(CF16&gt;1,DE16,CF16)</f>
        <v>0</v>
      </c>
      <c r="CG17" s="1" t="n">
        <f aca="false">IF(CF17&gt;PR_BalDone,CF17+CF17*(F_MR/12)-MIN(F_MortPayM,CF17+CF17*(F_MR/12)),CF17)</f>
        <v>0</v>
      </c>
      <c r="CH17" s="1" t="n">
        <f aca="false">IF(CG17&gt;PR_BalDone,CG17+CG17*(F_MR/12)-MIN(F_MortPayM,CG17+CG17*(F_MR/12)),CG17)</f>
        <v>0</v>
      </c>
      <c r="CI17" s="1" t="n">
        <f aca="false">IF(CH17&gt;PR_BalDone,CH17+CH17*(F_MR/12)-MIN(F_MortPayM,CH17+CH17*(F_MR/12)),CH17)</f>
        <v>0</v>
      </c>
      <c r="CJ17" s="1" t="n">
        <f aca="false">IF(CI17&gt;PR_BalDone,CI17+CI17*(F_MR/12)-MIN(F_MortPayM,CI17+CI17*(F_MR/12)),CI17)</f>
        <v>0</v>
      </c>
      <c r="CK17" s="1" t="n">
        <f aca="false">IF(CJ17&gt;PR_BalDone,CJ17+CJ17*(F_MR/12)-MIN(F_MortPayM,CJ17+CJ17*(F_MR/12)),CJ17)</f>
        <v>0</v>
      </c>
      <c r="CL17" s="1" t="n">
        <f aca="false">IF(CK17&gt;PR_BalDone,CK17+CK17*(F_MR/12)-MIN(F_MortPayM,CK17+CK17*(F_MR/12)),CK17)</f>
        <v>0</v>
      </c>
      <c r="CM17" s="1" t="n">
        <f aca="false">IF(CL17&gt;PR_BalDone,CL17+CL17*(F_MR/12)-MIN(F_MortPayM,CL17+CL17*(F_MR/12)),CL17)</f>
        <v>0</v>
      </c>
      <c r="CN17" s="1" t="n">
        <f aca="false">IF(CM17&gt;PR_BalDone,CM17+CM17*(F_MR/12)-MIN(F_MortPayM,CM17+CM17*(F_MR/12)),CM17)</f>
        <v>0</v>
      </c>
      <c r="CO17" s="1" t="n">
        <f aca="false">IF(CN17&gt;PR_BalDone,CN17+CN17*(F_MR/12)-MIN(F_MortPayM,CN17+CN17*(F_MR/12)),CN17)</f>
        <v>0</v>
      </c>
      <c r="CP17" s="1" t="n">
        <f aca="false">IF(CO17&gt;PR_BalDone,CO17+CO17*(F_MR/12)-MIN(F_MortPayM,CO17+CO17*(F_MR/12)),CO17)</f>
        <v>0</v>
      </c>
      <c r="CQ17" s="1" t="n">
        <f aca="false">IF(CP17&gt;PR_BalDone,CP17+CP17*(F_MR/12)-MIN(F_MortPayM,CP17+CP17*(F_MR/12)),CP17)</f>
        <v>0</v>
      </c>
      <c r="CR17" s="1" t="n">
        <f aca="false">IF(CQ17&gt;PR_BalDone,CQ17+CQ17*(F_MR/12)-MIN(F_MortPayM,CQ17+CQ17*(F_MR/12)),CQ17)</f>
        <v>0</v>
      </c>
      <c r="CS17" s="1" t="n">
        <f aca="false">IF(CF17&gt;PR_BalDone,MIN(F_MortPayM,CF17+CF17*(F_MR/12)),0)</f>
        <v>0</v>
      </c>
      <c r="CT17" s="1" t="n">
        <f aca="false">IF(CG17&gt;PR_BalDone,MIN(F_MortPayM,CG17+CG17*(F_MR/12)),0)</f>
        <v>0</v>
      </c>
      <c r="CU17" s="1" t="n">
        <f aca="false">IF(CH17&gt;PR_BalDone,MIN(F_MortPayM,CH17+CH17*(F_MR/12)),0)</f>
        <v>0</v>
      </c>
      <c r="CV17" s="1" t="n">
        <f aca="false">IF(CI17&gt;PR_BalDone,MIN(F_MortPayM,CI17+CI17*(F_MR/12)),0)</f>
        <v>0</v>
      </c>
      <c r="CW17" s="1" t="n">
        <f aca="false">IF(CJ17&gt;PR_BalDone,MIN(F_MortPayM,CJ17+CJ17*(F_MR/12)),0)</f>
        <v>0</v>
      </c>
      <c r="CX17" s="1" t="n">
        <f aca="false">IF(CK17&gt;PR_BalDone,MIN(F_MortPayM,CK17+CK17*(F_MR/12)),0)</f>
        <v>0</v>
      </c>
      <c r="CY17" s="1" t="n">
        <f aca="false">IF(CL17&gt;PR_BalDone,MIN(F_MortPayM,CL17+CL17*(F_MR/12)),0)</f>
        <v>0</v>
      </c>
      <c r="CZ17" s="1" t="n">
        <f aca="false">IF(CM17&gt;PR_BalDone,MIN(F_MortPayM,CM17+CM17*(F_MR/12)),0)</f>
        <v>0</v>
      </c>
      <c r="DA17" s="1" t="n">
        <f aca="false">IF(CN17&gt;PR_BalDone,MIN(F_MortPayM,CN17+CN17*(F_MR/12)),0)</f>
        <v>0</v>
      </c>
      <c r="DB17" s="1" t="n">
        <f aca="false">IF(CO17&gt;PR_BalDone,MIN(F_MortPayM,CO17+CO17*(F_MR/12)),0)</f>
        <v>0</v>
      </c>
      <c r="DC17" s="1" t="n">
        <f aca="false">IF(CP17&gt;PR_BalDone,MIN(F_MortPayM,CP17+CP17*(F_MR/12)),0)</f>
        <v>0</v>
      </c>
      <c r="DD17" s="1" t="n">
        <f aca="false">IF(CQ17&gt;PR_BalDone,MIN(F_MortPayM,CQ17+CQ17*(F_MR/12)),0)</f>
        <v>0</v>
      </c>
      <c r="DE17" s="1" t="n">
        <f aca="false">MAX(0,CR17)</f>
        <v>0</v>
      </c>
      <c r="DF17" s="1" t="n">
        <f aca="false">SUM(CS17:DD17)</f>
        <v>0</v>
      </c>
      <c r="DG17" s="1" t="n">
        <f aca="false">MAX(0,CF17)</f>
        <v>0</v>
      </c>
    </row>
    <row r="18" customFormat="false" ht="15" hidden="false" customHeight="true" outlineLevel="0" collapsed="false">
      <c r="B18" s="1" t="n">
        <v>10</v>
      </c>
      <c r="C18" s="1" t="n">
        <f aca="false">'Plan cashflow'!I18</f>
        <v>0</v>
      </c>
      <c r="D18" s="1" t="n">
        <f aca="false">IF(C18&gt;PR_BalDone,C18+C18*(F_MR/12)-MIN(F_MortPayM,C18+C18*(F_MR/12)),C18)</f>
        <v>0</v>
      </c>
      <c r="E18" s="1" t="n">
        <f aca="false">IF(D18&gt;PR_BalDone,D18+D18*(F_MR/12)-MIN(F_MortPayM,D18+D18*(F_MR/12)),D18)</f>
        <v>0</v>
      </c>
      <c r="F18" s="1" t="n">
        <f aca="false">IF(E18&gt;PR_BalDone,E18+E18*(F_MR/12)-MIN(F_MortPayM,E18+E18*(F_MR/12)),E18)</f>
        <v>0</v>
      </c>
      <c r="G18" s="1" t="n">
        <f aca="false">IF(F18&gt;PR_BalDone,F18+F18*(F_MR/12)-MIN(F_MortPayM,F18+F18*(F_MR/12)),F18)</f>
        <v>0</v>
      </c>
      <c r="H18" s="1" t="n">
        <f aca="false">IF(G18&gt;PR_BalDone,G18+G18*(F_MR/12)-MIN(F_MortPayM,G18+G18*(F_MR/12)),G18)</f>
        <v>0</v>
      </c>
      <c r="I18" s="1" t="n">
        <f aca="false">IF(H18&gt;PR_BalDone,H18+H18*(F_MR/12)-MIN(F_MortPayM,H18+H18*(F_MR/12)),H18)</f>
        <v>0</v>
      </c>
      <c r="J18" s="1" t="n">
        <f aca="false">IF(I18&gt;PR_BalDone,I18+I18*(F_MR/12)-MIN(F_MortPayM,I18+I18*(F_MR/12)),I18)</f>
        <v>0</v>
      </c>
      <c r="K18" s="1" t="n">
        <f aca="false">IF(J18&gt;PR_BalDone,J18+J18*(F_MR/12)-MIN(F_MortPayM,J18+J18*(F_MR/12)),J18)</f>
        <v>0</v>
      </c>
      <c r="L18" s="1" t="n">
        <f aca="false">IF(K18&gt;PR_BalDone,K18+K18*(F_MR/12)-MIN(F_MortPayM,K18+K18*(F_MR/12)),K18)</f>
        <v>0</v>
      </c>
      <c r="M18" s="1" t="n">
        <f aca="false">IF(L18&gt;PR_BalDone,L18+L18*(F_MR/12)-MIN(F_MortPayM,L18+L18*(F_MR/12)),L18)</f>
        <v>0</v>
      </c>
      <c r="N18" s="1" t="n">
        <f aca="false">IF(M18&gt;PR_BalDone,M18+M18*(F_MR/12)-MIN(F_MortPayM,M18+M18*(F_MR/12)),M18)</f>
        <v>0</v>
      </c>
      <c r="O18" s="1" t="n">
        <f aca="false">IF(N18&gt;PR_BalDone,N18+N18*(F_MR/12)-MIN(F_MortPayM,N18+N18*(F_MR/12)),N18)</f>
        <v>0</v>
      </c>
      <c r="P18" s="1" t="n">
        <f aca="false">IF(C18&gt;PR_BalDone,MIN(F_MortPayM,C18+C18*(F_MR/12)),0)</f>
        <v>0</v>
      </c>
      <c r="Q18" s="1" t="n">
        <f aca="false">IF(D18&gt;PR_BalDone,MIN(F_MortPayM,D18+D18*(F_MR/12)),0)</f>
        <v>0</v>
      </c>
      <c r="R18" s="1" t="n">
        <f aca="false">IF(E18&gt;PR_BalDone,MIN(F_MortPayM,E18+E18*(F_MR/12)),0)</f>
        <v>0</v>
      </c>
      <c r="S18" s="1" t="n">
        <f aca="false">IF(F18&gt;PR_BalDone,MIN(F_MortPayM,F18+F18*(F_MR/12)),0)</f>
        <v>0</v>
      </c>
      <c r="T18" s="1" t="n">
        <f aca="false">IF(G18&gt;PR_BalDone,MIN(F_MortPayM,G18+G18*(F_MR/12)),0)</f>
        <v>0</v>
      </c>
      <c r="U18" s="1" t="n">
        <f aca="false">IF(H18&gt;PR_BalDone,MIN(F_MortPayM,H18+H18*(F_MR/12)),0)</f>
        <v>0</v>
      </c>
      <c r="V18" s="1" t="n">
        <f aca="false">IF(I18&gt;PR_BalDone,MIN(F_MortPayM,I18+I18*(F_MR/12)),0)</f>
        <v>0</v>
      </c>
      <c r="W18" s="1" t="n">
        <f aca="false">IF(J18&gt;PR_BalDone,MIN(F_MortPayM,J18+J18*(F_MR/12)),0)</f>
        <v>0</v>
      </c>
      <c r="X18" s="1" t="n">
        <f aca="false">IF(K18&gt;PR_BalDone,MIN(F_MortPayM,K18+K18*(F_MR/12)),0)</f>
        <v>0</v>
      </c>
      <c r="Y18" s="1" t="n">
        <f aca="false">IF(L18&gt;PR_BalDone,MIN(F_MortPayM,L18+L18*(F_MR/12)),0)</f>
        <v>0</v>
      </c>
      <c r="Z18" s="1" t="n">
        <f aca="false">IF(M18&gt;PR_BalDone,MIN(F_MortPayM,M18+M18*(F_MR/12)),0)</f>
        <v>0</v>
      </c>
      <c r="AA18" s="1" t="n">
        <f aca="false">IF(N18&gt;PR_BalDone,MIN(F_MortPayM,N18+N18*(F_MR/12)),0)</f>
        <v>0</v>
      </c>
      <c r="AB18" s="1" t="n">
        <f aca="false">MAX(0,O18)</f>
        <v>0</v>
      </c>
      <c r="AC18" s="1" t="n">
        <f aca="false">SUM(P18:AA18)</f>
        <v>0</v>
      </c>
      <c r="AD18" s="1" t="n">
        <f aca="false">'Plan cashflow'!L18</f>
        <v>0</v>
      </c>
      <c r="AE18" s="1" t="n">
        <f aca="false">IF(AD18&gt;PR_BalDone,AD18+AD18*(D_iC)-MIN(F_CardPayM,AD18+AD18*(D_iC)),AD18)</f>
        <v>0</v>
      </c>
      <c r="AF18" s="1" t="n">
        <f aca="false">IF(AE18&gt;PR_BalDone,AE18+AE18*(D_iC)-MIN(F_CardPayM,AE18+AE18*(D_iC)),AE18)</f>
        <v>0</v>
      </c>
      <c r="AG18" s="1" t="n">
        <f aca="false">IF(AF18&gt;PR_BalDone,AF18+AF18*(D_iC)-MIN(F_CardPayM,AF18+AF18*(D_iC)),AF18)</f>
        <v>0</v>
      </c>
      <c r="AH18" s="1" t="n">
        <f aca="false">IF(AG18&gt;PR_BalDone,AG18+AG18*(D_iC)-MIN(F_CardPayM,AG18+AG18*(D_iC)),AG18)</f>
        <v>0</v>
      </c>
      <c r="AI18" s="1" t="n">
        <f aca="false">IF(AH18&gt;PR_BalDone,AH18+AH18*(D_iC)-MIN(F_CardPayM,AH18+AH18*(D_iC)),AH18)</f>
        <v>0</v>
      </c>
      <c r="AJ18" s="1" t="n">
        <f aca="false">IF(AI18&gt;PR_BalDone,AI18+AI18*(D_iC)-MIN(F_CardPayM,AI18+AI18*(D_iC)),AI18)</f>
        <v>0</v>
      </c>
      <c r="AK18" s="1" t="n">
        <f aca="false">IF(AJ18&gt;PR_BalDone,AJ18+AJ18*(D_iC)-MIN(F_CardPayM,AJ18+AJ18*(D_iC)),AJ18)</f>
        <v>0</v>
      </c>
      <c r="AL18" s="1" t="n">
        <f aca="false">IF(AK18&gt;PR_BalDone,AK18+AK18*(D_iC)-MIN(F_CardPayM,AK18+AK18*(D_iC)),AK18)</f>
        <v>0</v>
      </c>
      <c r="AM18" s="1" t="n">
        <f aca="false">IF(AL18&gt;PR_BalDone,AL18+AL18*(D_iC)-MIN(F_CardPayM,AL18+AL18*(D_iC)),AL18)</f>
        <v>0</v>
      </c>
      <c r="AN18" s="1" t="n">
        <f aca="false">IF(AM18&gt;PR_BalDone,AM18+AM18*(D_iC)-MIN(F_CardPayM,AM18+AM18*(D_iC)),AM18)</f>
        <v>0</v>
      </c>
      <c r="AO18" s="1" t="n">
        <f aca="false">IF(AN18&gt;PR_BalDone,AN18+AN18*(D_iC)-MIN(F_CardPayM,AN18+AN18*(D_iC)),AN18)</f>
        <v>0</v>
      </c>
      <c r="AP18" s="1" t="n">
        <f aca="false">IF(AO18&gt;PR_BalDone,AO18+AO18*(D_iC)-MIN(F_CardPayM,AO18+AO18*(D_iC)),AO18)</f>
        <v>0</v>
      </c>
      <c r="AQ18" s="1" t="n">
        <f aca="false">IF(AD18&gt;PR_BalDone,MIN(F_CardPayM,AD18+AD18*(D_iC)),0)</f>
        <v>0</v>
      </c>
      <c r="AR18" s="1" t="n">
        <f aca="false">IF(AE18&gt;PR_BalDone,MIN(F_CardPayM,AE18+AE18*(D_iC)),0)</f>
        <v>0</v>
      </c>
      <c r="AS18" s="1" t="n">
        <f aca="false">IF(AF18&gt;PR_BalDone,MIN(F_CardPayM,AF18+AF18*(D_iC)),0)</f>
        <v>0</v>
      </c>
      <c r="AT18" s="1" t="n">
        <f aca="false">IF(AG18&gt;PR_BalDone,MIN(F_CardPayM,AG18+AG18*(D_iC)),0)</f>
        <v>0</v>
      </c>
      <c r="AU18" s="1" t="n">
        <f aca="false">IF(AH18&gt;PR_BalDone,MIN(F_CardPayM,AH18+AH18*(D_iC)),0)</f>
        <v>0</v>
      </c>
      <c r="AV18" s="1" t="n">
        <f aca="false">IF(AI18&gt;PR_BalDone,MIN(F_CardPayM,AI18+AI18*(D_iC)),0)</f>
        <v>0</v>
      </c>
      <c r="AW18" s="1" t="n">
        <f aca="false">IF(AJ18&gt;PR_BalDone,MIN(F_CardPayM,AJ18+AJ18*(D_iC)),0)</f>
        <v>0</v>
      </c>
      <c r="AX18" s="1" t="n">
        <f aca="false">IF(AK18&gt;PR_BalDone,MIN(F_CardPayM,AK18+AK18*(D_iC)),0)</f>
        <v>0</v>
      </c>
      <c r="AY18" s="1" t="n">
        <f aca="false">IF(AL18&gt;PR_BalDone,MIN(F_CardPayM,AL18+AL18*(D_iC)),0)</f>
        <v>0</v>
      </c>
      <c r="AZ18" s="1" t="n">
        <f aca="false">IF(AM18&gt;PR_BalDone,MIN(F_CardPayM,AM18+AM18*(D_iC)),0)</f>
        <v>0</v>
      </c>
      <c r="BA18" s="1" t="n">
        <f aca="false">IF(AN18&gt;PR_BalDone,MIN(F_CardPayM,AN18+AN18*(D_iC)),0)</f>
        <v>0</v>
      </c>
      <c r="BB18" s="1" t="n">
        <f aca="false">IF(AO18&gt;PR_BalDone,MIN(F_CardPayM,AO18+AO18*(D_iC)),0)</f>
        <v>0</v>
      </c>
      <c r="BC18" s="1" t="n">
        <f aca="false">MAX(0,AP18)</f>
        <v>0</v>
      </c>
      <c r="BD18" s="1" t="n">
        <f aca="false">SUM(AQ18:BB18)</f>
        <v>0</v>
      </c>
      <c r="BE18" s="1" t="n">
        <f aca="false">'Plan cashflow'!O18</f>
        <v>0</v>
      </c>
      <c r="BF18" s="1" t="n">
        <f aca="false">IF(BE18&gt;PR_BalDone,BE18+BE18*(D_iL)-MIN(F_LoanPayM,BE18+BE18*(D_iL)),BE18)</f>
        <v>0</v>
      </c>
      <c r="BG18" s="1" t="n">
        <f aca="false">IF(BF18&gt;PR_BalDone,BF18+BF18*(D_iL)-MIN(F_LoanPayM,BF18+BF18*(D_iL)),BF18)</f>
        <v>0</v>
      </c>
      <c r="BH18" s="1" t="n">
        <f aca="false">IF(BG18&gt;PR_BalDone,BG18+BG18*(D_iL)-MIN(F_LoanPayM,BG18+BG18*(D_iL)),BG18)</f>
        <v>0</v>
      </c>
      <c r="BI18" s="1" t="n">
        <f aca="false">IF(BH18&gt;PR_BalDone,BH18+BH18*(D_iL)-MIN(F_LoanPayM,BH18+BH18*(D_iL)),BH18)</f>
        <v>0</v>
      </c>
      <c r="BJ18" s="1" t="n">
        <f aca="false">IF(BI18&gt;PR_BalDone,BI18+BI18*(D_iL)-MIN(F_LoanPayM,BI18+BI18*(D_iL)),BI18)</f>
        <v>0</v>
      </c>
      <c r="BK18" s="1" t="n">
        <f aca="false">IF(BJ18&gt;PR_BalDone,BJ18+BJ18*(D_iL)-MIN(F_LoanPayM,BJ18+BJ18*(D_iL)),BJ18)</f>
        <v>0</v>
      </c>
      <c r="BL18" s="1" t="n">
        <f aca="false">IF(BK18&gt;PR_BalDone,BK18+BK18*(D_iL)-MIN(F_LoanPayM,BK18+BK18*(D_iL)),BK18)</f>
        <v>0</v>
      </c>
      <c r="BM18" s="1" t="n">
        <f aca="false">IF(BL18&gt;PR_BalDone,BL18+BL18*(D_iL)-MIN(F_LoanPayM,BL18+BL18*(D_iL)),BL18)</f>
        <v>0</v>
      </c>
      <c r="BN18" s="1" t="n">
        <f aca="false">IF(BM18&gt;PR_BalDone,BM18+BM18*(D_iL)-MIN(F_LoanPayM,BM18+BM18*(D_iL)),BM18)</f>
        <v>0</v>
      </c>
      <c r="BO18" s="1" t="n">
        <f aca="false">IF(BN18&gt;PR_BalDone,BN18+BN18*(D_iL)-MIN(F_LoanPayM,BN18+BN18*(D_iL)),BN18)</f>
        <v>0</v>
      </c>
      <c r="BP18" s="1" t="n">
        <f aca="false">IF(BO18&gt;PR_BalDone,BO18+BO18*(D_iL)-MIN(F_LoanPayM,BO18+BO18*(D_iL)),BO18)</f>
        <v>0</v>
      </c>
      <c r="BQ18" s="1" t="n">
        <f aca="false">IF(BP18&gt;PR_BalDone,BP18+BP18*(D_iL)-MIN(F_LoanPayM,BP18+BP18*(D_iL)),BP18)</f>
        <v>0</v>
      </c>
      <c r="BR18" s="1" t="n">
        <f aca="false">IF(BE18&gt;PR_BalDone,MIN(F_LoanPayM,BE18+BE18*(D_iL)),0)</f>
        <v>0</v>
      </c>
      <c r="BS18" s="1" t="n">
        <f aca="false">IF(BF18&gt;PR_BalDone,MIN(F_LoanPayM,BF18+BF18*(D_iL)),0)</f>
        <v>0</v>
      </c>
      <c r="BT18" s="1" t="n">
        <f aca="false">IF(BG18&gt;PR_BalDone,MIN(F_LoanPayM,BG18+BG18*(D_iL)),0)</f>
        <v>0</v>
      </c>
      <c r="BU18" s="1" t="n">
        <f aca="false">IF(BH18&gt;PR_BalDone,MIN(F_LoanPayM,BH18+BH18*(D_iL)),0)</f>
        <v>0</v>
      </c>
      <c r="BV18" s="1" t="n">
        <f aca="false">IF(BI18&gt;PR_BalDone,MIN(F_LoanPayM,BI18+BI18*(D_iL)),0)</f>
        <v>0</v>
      </c>
      <c r="BW18" s="1" t="n">
        <f aca="false">IF(BJ18&gt;PR_BalDone,MIN(F_LoanPayM,BJ18+BJ18*(D_iL)),0)</f>
        <v>0</v>
      </c>
      <c r="BX18" s="1" t="n">
        <f aca="false">IF(BK18&gt;PR_BalDone,MIN(F_LoanPayM,BK18+BK18*(D_iL)),0)</f>
        <v>0</v>
      </c>
      <c r="BY18" s="1" t="n">
        <f aca="false">IF(BL18&gt;PR_BalDone,MIN(F_LoanPayM,BL18+BL18*(D_iL)),0)</f>
        <v>0</v>
      </c>
      <c r="BZ18" s="1" t="n">
        <f aca="false">IF(BM18&gt;PR_BalDone,MIN(F_LoanPayM,BM18+BM18*(D_iL)),0)</f>
        <v>0</v>
      </c>
      <c r="CA18" s="1" t="n">
        <f aca="false">IF(BN18&gt;PR_BalDone,MIN(F_LoanPayM,BN18+BN18*(D_iL)),0)</f>
        <v>0</v>
      </c>
      <c r="CB18" s="1" t="n">
        <f aca="false">IF(BO18&gt;PR_BalDone,MIN(F_LoanPayM,BO18+BO18*(D_iL)),0)</f>
        <v>0</v>
      </c>
      <c r="CC18" s="1" t="n">
        <f aca="false">IF(BP18&gt;PR_BalDone,MIN(F_LoanPayM,BP18+BP18*(D_iL)),0)</f>
        <v>0</v>
      </c>
      <c r="CD18" s="1" t="n">
        <f aca="false">MAX(0,BQ18)</f>
        <v>0</v>
      </c>
      <c r="CE18" s="1" t="n">
        <f aca="false">SUM(BR18:CC18)</f>
        <v>0</v>
      </c>
      <c r="CF18" s="1" t="n">
        <f aca="false">IF(CF17&gt;1,DE17,CF17)</f>
        <v>0</v>
      </c>
      <c r="CG18" s="1" t="n">
        <f aca="false">IF(CF18&gt;PR_BalDone,CF18+CF18*(F_MR/12)-MIN(F_MortPayM,CF18+CF18*(F_MR/12)),CF18)</f>
        <v>0</v>
      </c>
      <c r="CH18" s="1" t="n">
        <f aca="false">IF(CG18&gt;PR_BalDone,CG18+CG18*(F_MR/12)-MIN(F_MortPayM,CG18+CG18*(F_MR/12)),CG18)</f>
        <v>0</v>
      </c>
      <c r="CI18" s="1" t="n">
        <f aca="false">IF(CH18&gt;PR_BalDone,CH18+CH18*(F_MR/12)-MIN(F_MortPayM,CH18+CH18*(F_MR/12)),CH18)</f>
        <v>0</v>
      </c>
      <c r="CJ18" s="1" t="n">
        <f aca="false">IF(CI18&gt;PR_BalDone,CI18+CI18*(F_MR/12)-MIN(F_MortPayM,CI18+CI18*(F_MR/12)),CI18)</f>
        <v>0</v>
      </c>
      <c r="CK18" s="1" t="n">
        <f aca="false">IF(CJ18&gt;PR_BalDone,CJ18+CJ18*(F_MR/12)-MIN(F_MortPayM,CJ18+CJ18*(F_MR/12)),CJ18)</f>
        <v>0</v>
      </c>
      <c r="CL18" s="1" t="n">
        <f aca="false">IF(CK18&gt;PR_BalDone,CK18+CK18*(F_MR/12)-MIN(F_MortPayM,CK18+CK18*(F_MR/12)),CK18)</f>
        <v>0</v>
      </c>
      <c r="CM18" s="1" t="n">
        <f aca="false">IF(CL18&gt;PR_BalDone,CL18+CL18*(F_MR/12)-MIN(F_MortPayM,CL18+CL18*(F_MR/12)),CL18)</f>
        <v>0</v>
      </c>
      <c r="CN18" s="1" t="n">
        <f aca="false">IF(CM18&gt;PR_BalDone,CM18+CM18*(F_MR/12)-MIN(F_MortPayM,CM18+CM18*(F_MR/12)),CM18)</f>
        <v>0</v>
      </c>
      <c r="CO18" s="1" t="n">
        <f aca="false">IF(CN18&gt;PR_BalDone,CN18+CN18*(F_MR/12)-MIN(F_MortPayM,CN18+CN18*(F_MR/12)),CN18)</f>
        <v>0</v>
      </c>
      <c r="CP18" s="1" t="n">
        <f aca="false">IF(CO18&gt;PR_BalDone,CO18+CO18*(F_MR/12)-MIN(F_MortPayM,CO18+CO18*(F_MR/12)),CO18)</f>
        <v>0</v>
      </c>
      <c r="CQ18" s="1" t="n">
        <f aca="false">IF(CP18&gt;PR_BalDone,CP18+CP18*(F_MR/12)-MIN(F_MortPayM,CP18+CP18*(F_MR/12)),CP18)</f>
        <v>0</v>
      </c>
      <c r="CR18" s="1" t="n">
        <f aca="false">IF(CQ18&gt;PR_BalDone,CQ18+CQ18*(F_MR/12)-MIN(F_MortPayM,CQ18+CQ18*(F_MR/12)),CQ18)</f>
        <v>0</v>
      </c>
      <c r="CS18" s="1" t="n">
        <f aca="false">IF(CF18&gt;PR_BalDone,MIN(F_MortPayM,CF18+CF18*(F_MR/12)),0)</f>
        <v>0</v>
      </c>
      <c r="CT18" s="1" t="n">
        <f aca="false">IF(CG18&gt;PR_BalDone,MIN(F_MortPayM,CG18+CG18*(F_MR/12)),0)</f>
        <v>0</v>
      </c>
      <c r="CU18" s="1" t="n">
        <f aca="false">IF(CH18&gt;PR_BalDone,MIN(F_MortPayM,CH18+CH18*(F_MR/12)),0)</f>
        <v>0</v>
      </c>
      <c r="CV18" s="1" t="n">
        <f aca="false">IF(CI18&gt;PR_BalDone,MIN(F_MortPayM,CI18+CI18*(F_MR/12)),0)</f>
        <v>0</v>
      </c>
      <c r="CW18" s="1" t="n">
        <f aca="false">IF(CJ18&gt;PR_BalDone,MIN(F_MortPayM,CJ18+CJ18*(F_MR/12)),0)</f>
        <v>0</v>
      </c>
      <c r="CX18" s="1" t="n">
        <f aca="false">IF(CK18&gt;PR_BalDone,MIN(F_MortPayM,CK18+CK18*(F_MR/12)),0)</f>
        <v>0</v>
      </c>
      <c r="CY18" s="1" t="n">
        <f aca="false">IF(CL18&gt;PR_BalDone,MIN(F_MortPayM,CL18+CL18*(F_MR/12)),0)</f>
        <v>0</v>
      </c>
      <c r="CZ18" s="1" t="n">
        <f aca="false">IF(CM18&gt;PR_BalDone,MIN(F_MortPayM,CM18+CM18*(F_MR/12)),0)</f>
        <v>0</v>
      </c>
      <c r="DA18" s="1" t="n">
        <f aca="false">IF(CN18&gt;PR_BalDone,MIN(F_MortPayM,CN18+CN18*(F_MR/12)),0)</f>
        <v>0</v>
      </c>
      <c r="DB18" s="1" t="n">
        <f aca="false">IF(CO18&gt;PR_BalDone,MIN(F_MortPayM,CO18+CO18*(F_MR/12)),0)</f>
        <v>0</v>
      </c>
      <c r="DC18" s="1" t="n">
        <f aca="false">IF(CP18&gt;PR_BalDone,MIN(F_MortPayM,CP18+CP18*(F_MR/12)),0)</f>
        <v>0</v>
      </c>
      <c r="DD18" s="1" t="n">
        <f aca="false">IF(CQ18&gt;PR_BalDone,MIN(F_MortPayM,CQ18+CQ18*(F_MR/12)),0)</f>
        <v>0</v>
      </c>
      <c r="DE18" s="1" t="n">
        <f aca="false">MAX(0,CR18)</f>
        <v>0</v>
      </c>
      <c r="DF18" s="1" t="n">
        <f aca="false">SUM(CS18:DD18)</f>
        <v>0</v>
      </c>
      <c r="DG18" s="1" t="n">
        <f aca="false">MAX(0,CF18)</f>
        <v>0</v>
      </c>
    </row>
    <row r="19" customFormat="false" ht="15" hidden="false" customHeight="true" outlineLevel="0" collapsed="false">
      <c r="B19" s="1" t="n">
        <v>11</v>
      </c>
      <c r="C19" s="1" t="n">
        <f aca="false">'Plan cashflow'!I19</f>
        <v>0</v>
      </c>
      <c r="D19" s="1" t="n">
        <f aca="false">IF(C19&gt;PR_BalDone,C19+C19*(F_MR/12)-MIN(F_MortPayM,C19+C19*(F_MR/12)),C19)</f>
        <v>0</v>
      </c>
      <c r="E19" s="1" t="n">
        <f aca="false">IF(D19&gt;PR_BalDone,D19+D19*(F_MR/12)-MIN(F_MortPayM,D19+D19*(F_MR/12)),D19)</f>
        <v>0</v>
      </c>
      <c r="F19" s="1" t="n">
        <f aca="false">IF(E19&gt;PR_BalDone,E19+E19*(F_MR/12)-MIN(F_MortPayM,E19+E19*(F_MR/12)),E19)</f>
        <v>0</v>
      </c>
      <c r="G19" s="1" t="n">
        <f aca="false">IF(F19&gt;PR_BalDone,F19+F19*(F_MR/12)-MIN(F_MortPayM,F19+F19*(F_MR/12)),F19)</f>
        <v>0</v>
      </c>
      <c r="H19" s="1" t="n">
        <f aca="false">IF(G19&gt;PR_BalDone,G19+G19*(F_MR/12)-MIN(F_MortPayM,G19+G19*(F_MR/12)),G19)</f>
        <v>0</v>
      </c>
      <c r="I19" s="1" t="n">
        <f aca="false">IF(H19&gt;PR_BalDone,H19+H19*(F_MR/12)-MIN(F_MortPayM,H19+H19*(F_MR/12)),H19)</f>
        <v>0</v>
      </c>
      <c r="J19" s="1" t="n">
        <f aca="false">IF(I19&gt;PR_BalDone,I19+I19*(F_MR/12)-MIN(F_MortPayM,I19+I19*(F_MR/12)),I19)</f>
        <v>0</v>
      </c>
      <c r="K19" s="1" t="n">
        <f aca="false">IF(J19&gt;PR_BalDone,J19+J19*(F_MR/12)-MIN(F_MortPayM,J19+J19*(F_MR/12)),J19)</f>
        <v>0</v>
      </c>
      <c r="L19" s="1" t="n">
        <f aca="false">IF(K19&gt;PR_BalDone,K19+K19*(F_MR/12)-MIN(F_MortPayM,K19+K19*(F_MR/12)),K19)</f>
        <v>0</v>
      </c>
      <c r="M19" s="1" t="n">
        <f aca="false">IF(L19&gt;PR_BalDone,L19+L19*(F_MR/12)-MIN(F_MortPayM,L19+L19*(F_MR/12)),L19)</f>
        <v>0</v>
      </c>
      <c r="N19" s="1" t="n">
        <f aca="false">IF(M19&gt;PR_BalDone,M19+M19*(F_MR/12)-MIN(F_MortPayM,M19+M19*(F_MR/12)),M19)</f>
        <v>0</v>
      </c>
      <c r="O19" s="1" t="n">
        <f aca="false">IF(N19&gt;PR_BalDone,N19+N19*(F_MR/12)-MIN(F_MortPayM,N19+N19*(F_MR/12)),N19)</f>
        <v>0</v>
      </c>
      <c r="P19" s="1" t="n">
        <f aca="false">IF(C19&gt;PR_BalDone,MIN(F_MortPayM,C19+C19*(F_MR/12)),0)</f>
        <v>0</v>
      </c>
      <c r="Q19" s="1" t="n">
        <f aca="false">IF(D19&gt;PR_BalDone,MIN(F_MortPayM,D19+D19*(F_MR/12)),0)</f>
        <v>0</v>
      </c>
      <c r="R19" s="1" t="n">
        <f aca="false">IF(E19&gt;PR_BalDone,MIN(F_MortPayM,E19+E19*(F_MR/12)),0)</f>
        <v>0</v>
      </c>
      <c r="S19" s="1" t="n">
        <f aca="false">IF(F19&gt;PR_BalDone,MIN(F_MortPayM,F19+F19*(F_MR/12)),0)</f>
        <v>0</v>
      </c>
      <c r="T19" s="1" t="n">
        <f aca="false">IF(G19&gt;PR_BalDone,MIN(F_MortPayM,G19+G19*(F_MR/12)),0)</f>
        <v>0</v>
      </c>
      <c r="U19" s="1" t="n">
        <f aca="false">IF(H19&gt;PR_BalDone,MIN(F_MortPayM,H19+H19*(F_MR/12)),0)</f>
        <v>0</v>
      </c>
      <c r="V19" s="1" t="n">
        <f aca="false">IF(I19&gt;PR_BalDone,MIN(F_MortPayM,I19+I19*(F_MR/12)),0)</f>
        <v>0</v>
      </c>
      <c r="W19" s="1" t="n">
        <f aca="false">IF(J19&gt;PR_BalDone,MIN(F_MortPayM,J19+J19*(F_MR/12)),0)</f>
        <v>0</v>
      </c>
      <c r="X19" s="1" t="n">
        <f aca="false">IF(K19&gt;PR_BalDone,MIN(F_MortPayM,K19+K19*(F_MR/12)),0)</f>
        <v>0</v>
      </c>
      <c r="Y19" s="1" t="n">
        <f aca="false">IF(L19&gt;PR_BalDone,MIN(F_MortPayM,L19+L19*(F_MR/12)),0)</f>
        <v>0</v>
      </c>
      <c r="Z19" s="1" t="n">
        <f aca="false">IF(M19&gt;PR_BalDone,MIN(F_MortPayM,M19+M19*(F_MR/12)),0)</f>
        <v>0</v>
      </c>
      <c r="AA19" s="1" t="n">
        <f aca="false">IF(N19&gt;PR_BalDone,MIN(F_MortPayM,N19+N19*(F_MR/12)),0)</f>
        <v>0</v>
      </c>
      <c r="AB19" s="1" t="n">
        <f aca="false">MAX(0,O19)</f>
        <v>0</v>
      </c>
      <c r="AC19" s="1" t="n">
        <f aca="false">SUM(P19:AA19)</f>
        <v>0</v>
      </c>
      <c r="AD19" s="1" t="n">
        <f aca="false">'Plan cashflow'!L19</f>
        <v>0</v>
      </c>
      <c r="AE19" s="1" t="n">
        <f aca="false">IF(AD19&gt;PR_BalDone,AD19+AD19*(D_iC)-MIN(F_CardPayM,AD19+AD19*(D_iC)),AD19)</f>
        <v>0</v>
      </c>
      <c r="AF19" s="1" t="n">
        <f aca="false">IF(AE19&gt;PR_BalDone,AE19+AE19*(D_iC)-MIN(F_CardPayM,AE19+AE19*(D_iC)),AE19)</f>
        <v>0</v>
      </c>
      <c r="AG19" s="1" t="n">
        <f aca="false">IF(AF19&gt;PR_BalDone,AF19+AF19*(D_iC)-MIN(F_CardPayM,AF19+AF19*(D_iC)),AF19)</f>
        <v>0</v>
      </c>
      <c r="AH19" s="1" t="n">
        <f aca="false">IF(AG19&gt;PR_BalDone,AG19+AG19*(D_iC)-MIN(F_CardPayM,AG19+AG19*(D_iC)),AG19)</f>
        <v>0</v>
      </c>
      <c r="AI19" s="1" t="n">
        <f aca="false">IF(AH19&gt;PR_BalDone,AH19+AH19*(D_iC)-MIN(F_CardPayM,AH19+AH19*(D_iC)),AH19)</f>
        <v>0</v>
      </c>
      <c r="AJ19" s="1" t="n">
        <f aca="false">IF(AI19&gt;PR_BalDone,AI19+AI19*(D_iC)-MIN(F_CardPayM,AI19+AI19*(D_iC)),AI19)</f>
        <v>0</v>
      </c>
      <c r="AK19" s="1" t="n">
        <f aca="false">IF(AJ19&gt;PR_BalDone,AJ19+AJ19*(D_iC)-MIN(F_CardPayM,AJ19+AJ19*(D_iC)),AJ19)</f>
        <v>0</v>
      </c>
      <c r="AL19" s="1" t="n">
        <f aca="false">IF(AK19&gt;PR_BalDone,AK19+AK19*(D_iC)-MIN(F_CardPayM,AK19+AK19*(D_iC)),AK19)</f>
        <v>0</v>
      </c>
      <c r="AM19" s="1" t="n">
        <f aca="false">IF(AL19&gt;PR_BalDone,AL19+AL19*(D_iC)-MIN(F_CardPayM,AL19+AL19*(D_iC)),AL19)</f>
        <v>0</v>
      </c>
      <c r="AN19" s="1" t="n">
        <f aca="false">IF(AM19&gt;PR_BalDone,AM19+AM19*(D_iC)-MIN(F_CardPayM,AM19+AM19*(D_iC)),AM19)</f>
        <v>0</v>
      </c>
      <c r="AO19" s="1" t="n">
        <f aca="false">IF(AN19&gt;PR_BalDone,AN19+AN19*(D_iC)-MIN(F_CardPayM,AN19+AN19*(D_iC)),AN19)</f>
        <v>0</v>
      </c>
      <c r="AP19" s="1" t="n">
        <f aca="false">IF(AO19&gt;PR_BalDone,AO19+AO19*(D_iC)-MIN(F_CardPayM,AO19+AO19*(D_iC)),AO19)</f>
        <v>0</v>
      </c>
      <c r="AQ19" s="1" t="n">
        <f aca="false">IF(AD19&gt;PR_BalDone,MIN(F_CardPayM,AD19+AD19*(D_iC)),0)</f>
        <v>0</v>
      </c>
      <c r="AR19" s="1" t="n">
        <f aca="false">IF(AE19&gt;PR_BalDone,MIN(F_CardPayM,AE19+AE19*(D_iC)),0)</f>
        <v>0</v>
      </c>
      <c r="AS19" s="1" t="n">
        <f aca="false">IF(AF19&gt;PR_BalDone,MIN(F_CardPayM,AF19+AF19*(D_iC)),0)</f>
        <v>0</v>
      </c>
      <c r="AT19" s="1" t="n">
        <f aca="false">IF(AG19&gt;PR_BalDone,MIN(F_CardPayM,AG19+AG19*(D_iC)),0)</f>
        <v>0</v>
      </c>
      <c r="AU19" s="1" t="n">
        <f aca="false">IF(AH19&gt;PR_BalDone,MIN(F_CardPayM,AH19+AH19*(D_iC)),0)</f>
        <v>0</v>
      </c>
      <c r="AV19" s="1" t="n">
        <f aca="false">IF(AI19&gt;PR_BalDone,MIN(F_CardPayM,AI19+AI19*(D_iC)),0)</f>
        <v>0</v>
      </c>
      <c r="AW19" s="1" t="n">
        <f aca="false">IF(AJ19&gt;PR_BalDone,MIN(F_CardPayM,AJ19+AJ19*(D_iC)),0)</f>
        <v>0</v>
      </c>
      <c r="AX19" s="1" t="n">
        <f aca="false">IF(AK19&gt;PR_BalDone,MIN(F_CardPayM,AK19+AK19*(D_iC)),0)</f>
        <v>0</v>
      </c>
      <c r="AY19" s="1" t="n">
        <f aca="false">IF(AL19&gt;PR_BalDone,MIN(F_CardPayM,AL19+AL19*(D_iC)),0)</f>
        <v>0</v>
      </c>
      <c r="AZ19" s="1" t="n">
        <f aca="false">IF(AM19&gt;PR_BalDone,MIN(F_CardPayM,AM19+AM19*(D_iC)),0)</f>
        <v>0</v>
      </c>
      <c r="BA19" s="1" t="n">
        <f aca="false">IF(AN19&gt;PR_BalDone,MIN(F_CardPayM,AN19+AN19*(D_iC)),0)</f>
        <v>0</v>
      </c>
      <c r="BB19" s="1" t="n">
        <f aca="false">IF(AO19&gt;PR_BalDone,MIN(F_CardPayM,AO19+AO19*(D_iC)),0)</f>
        <v>0</v>
      </c>
      <c r="BC19" s="1" t="n">
        <f aca="false">MAX(0,AP19)</f>
        <v>0</v>
      </c>
      <c r="BD19" s="1" t="n">
        <f aca="false">SUM(AQ19:BB19)</f>
        <v>0</v>
      </c>
      <c r="BE19" s="1" t="n">
        <f aca="false">'Plan cashflow'!O19</f>
        <v>0</v>
      </c>
      <c r="BF19" s="1" t="n">
        <f aca="false">IF(BE19&gt;PR_BalDone,BE19+BE19*(D_iL)-MIN(F_LoanPayM,BE19+BE19*(D_iL)),BE19)</f>
        <v>0</v>
      </c>
      <c r="BG19" s="1" t="n">
        <f aca="false">IF(BF19&gt;PR_BalDone,BF19+BF19*(D_iL)-MIN(F_LoanPayM,BF19+BF19*(D_iL)),BF19)</f>
        <v>0</v>
      </c>
      <c r="BH19" s="1" t="n">
        <f aca="false">IF(BG19&gt;PR_BalDone,BG19+BG19*(D_iL)-MIN(F_LoanPayM,BG19+BG19*(D_iL)),BG19)</f>
        <v>0</v>
      </c>
      <c r="BI19" s="1" t="n">
        <f aca="false">IF(BH19&gt;PR_BalDone,BH19+BH19*(D_iL)-MIN(F_LoanPayM,BH19+BH19*(D_iL)),BH19)</f>
        <v>0</v>
      </c>
      <c r="BJ19" s="1" t="n">
        <f aca="false">IF(BI19&gt;PR_BalDone,BI19+BI19*(D_iL)-MIN(F_LoanPayM,BI19+BI19*(D_iL)),BI19)</f>
        <v>0</v>
      </c>
      <c r="BK19" s="1" t="n">
        <f aca="false">IF(BJ19&gt;PR_BalDone,BJ19+BJ19*(D_iL)-MIN(F_LoanPayM,BJ19+BJ19*(D_iL)),BJ19)</f>
        <v>0</v>
      </c>
      <c r="BL19" s="1" t="n">
        <f aca="false">IF(BK19&gt;PR_BalDone,BK19+BK19*(D_iL)-MIN(F_LoanPayM,BK19+BK19*(D_iL)),BK19)</f>
        <v>0</v>
      </c>
      <c r="BM19" s="1" t="n">
        <f aca="false">IF(BL19&gt;PR_BalDone,BL19+BL19*(D_iL)-MIN(F_LoanPayM,BL19+BL19*(D_iL)),BL19)</f>
        <v>0</v>
      </c>
      <c r="BN19" s="1" t="n">
        <f aca="false">IF(BM19&gt;PR_BalDone,BM19+BM19*(D_iL)-MIN(F_LoanPayM,BM19+BM19*(D_iL)),BM19)</f>
        <v>0</v>
      </c>
      <c r="BO19" s="1" t="n">
        <f aca="false">IF(BN19&gt;PR_BalDone,BN19+BN19*(D_iL)-MIN(F_LoanPayM,BN19+BN19*(D_iL)),BN19)</f>
        <v>0</v>
      </c>
      <c r="BP19" s="1" t="n">
        <f aca="false">IF(BO19&gt;PR_BalDone,BO19+BO19*(D_iL)-MIN(F_LoanPayM,BO19+BO19*(D_iL)),BO19)</f>
        <v>0</v>
      </c>
      <c r="BQ19" s="1" t="n">
        <f aca="false">IF(BP19&gt;PR_BalDone,BP19+BP19*(D_iL)-MIN(F_LoanPayM,BP19+BP19*(D_iL)),BP19)</f>
        <v>0</v>
      </c>
      <c r="BR19" s="1" t="n">
        <f aca="false">IF(BE19&gt;PR_BalDone,MIN(F_LoanPayM,BE19+BE19*(D_iL)),0)</f>
        <v>0</v>
      </c>
      <c r="BS19" s="1" t="n">
        <f aca="false">IF(BF19&gt;PR_BalDone,MIN(F_LoanPayM,BF19+BF19*(D_iL)),0)</f>
        <v>0</v>
      </c>
      <c r="BT19" s="1" t="n">
        <f aca="false">IF(BG19&gt;PR_BalDone,MIN(F_LoanPayM,BG19+BG19*(D_iL)),0)</f>
        <v>0</v>
      </c>
      <c r="BU19" s="1" t="n">
        <f aca="false">IF(BH19&gt;PR_BalDone,MIN(F_LoanPayM,BH19+BH19*(D_iL)),0)</f>
        <v>0</v>
      </c>
      <c r="BV19" s="1" t="n">
        <f aca="false">IF(BI19&gt;PR_BalDone,MIN(F_LoanPayM,BI19+BI19*(D_iL)),0)</f>
        <v>0</v>
      </c>
      <c r="BW19" s="1" t="n">
        <f aca="false">IF(BJ19&gt;PR_BalDone,MIN(F_LoanPayM,BJ19+BJ19*(D_iL)),0)</f>
        <v>0</v>
      </c>
      <c r="BX19" s="1" t="n">
        <f aca="false">IF(BK19&gt;PR_BalDone,MIN(F_LoanPayM,BK19+BK19*(D_iL)),0)</f>
        <v>0</v>
      </c>
      <c r="BY19" s="1" t="n">
        <f aca="false">IF(BL19&gt;PR_BalDone,MIN(F_LoanPayM,BL19+BL19*(D_iL)),0)</f>
        <v>0</v>
      </c>
      <c r="BZ19" s="1" t="n">
        <f aca="false">IF(BM19&gt;PR_BalDone,MIN(F_LoanPayM,BM19+BM19*(D_iL)),0)</f>
        <v>0</v>
      </c>
      <c r="CA19" s="1" t="n">
        <f aca="false">IF(BN19&gt;PR_BalDone,MIN(F_LoanPayM,BN19+BN19*(D_iL)),0)</f>
        <v>0</v>
      </c>
      <c r="CB19" s="1" t="n">
        <f aca="false">IF(BO19&gt;PR_BalDone,MIN(F_LoanPayM,BO19+BO19*(D_iL)),0)</f>
        <v>0</v>
      </c>
      <c r="CC19" s="1" t="n">
        <f aca="false">IF(BP19&gt;PR_BalDone,MIN(F_LoanPayM,BP19+BP19*(D_iL)),0)</f>
        <v>0</v>
      </c>
      <c r="CD19" s="1" t="n">
        <f aca="false">MAX(0,BQ19)</f>
        <v>0</v>
      </c>
      <c r="CE19" s="1" t="n">
        <f aca="false">SUM(BR19:CC19)</f>
        <v>0</v>
      </c>
      <c r="CF19" s="1" t="n">
        <f aca="false">IF(CF18&gt;1,DE18,CF18)</f>
        <v>0</v>
      </c>
      <c r="CG19" s="1" t="n">
        <f aca="false">IF(CF19&gt;PR_BalDone,CF19+CF19*(F_MR/12)-MIN(F_MortPayM,CF19+CF19*(F_MR/12)),CF19)</f>
        <v>0</v>
      </c>
      <c r="CH19" s="1" t="n">
        <f aca="false">IF(CG19&gt;PR_BalDone,CG19+CG19*(F_MR/12)-MIN(F_MortPayM,CG19+CG19*(F_MR/12)),CG19)</f>
        <v>0</v>
      </c>
      <c r="CI19" s="1" t="n">
        <f aca="false">IF(CH19&gt;PR_BalDone,CH19+CH19*(F_MR/12)-MIN(F_MortPayM,CH19+CH19*(F_MR/12)),CH19)</f>
        <v>0</v>
      </c>
      <c r="CJ19" s="1" t="n">
        <f aca="false">IF(CI19&gt;PR_BalDone,CI19+CI19*(F_MR/12)-MIN(F_MortPayM,CI19+CI19*(F_MR/12)),CI19)</f>
        <v>0</v>
      </c>
      <c r="CK19" s="1" t="n">
        <f aca="false">IF(CJ19&gt;PR_BalDone,CJ19+CJ19*(F_MR/12)-MIN(F_MortPayM,CJ19+CJ19*(F_MR/12)),CJ19)</f>
        <v>0</v>
      </c>
      <c r="CL19" s="1" t="n">
        <f aca="false">IF(CK19&gt;PR_BalDone,CK19+CK19*(F_MR/12)-MIN(F_MortPayM,CK19+CK19*(F_MR/12)),CK19)</f>
        <v>0</v>
      </c>
      <c r="CM19" s="1" t="n">
        <f aca="false">IF(CL19&gt;PR_BalDone,CL19+CL19*(F_MR/12)-MIN(F_MortPayM,CL19+CL19*(F_MR/12)),CL19)</f>
        <v>0</v>
      </c>
      <c r="CN19" s="1" t="n">
        <f aca="false">IF(CM19&gt;PR_BalDone,CM19+CM19*(F_MR/12)-MIN(F_MortPayM,CM19+CM19*(F_MR/12)),CM19)</f>
        <v>0</v>
      </c>
      <c r="CO19" s="1" t="n">
        <f aca="false">IF(CN19&gt;PR_BalDone,CN19+CN19*(F_MR/12)-MIN(F_MortPayM,CN19+CN19*(F_MR/12)),CN19)</f>
        <v>0</v>
      </c>
      <c r="CP19" s="1" t="n">
        <f aca="false">IF(CO19&gt;PR_BalDone,CO19+CO19*(F_MR/12)-MIN(F_MortPayM,CO19+CO19*(F_MR/12)),CO19)</f>
        <v>0</v>
      </c>
      <c r="CQ19" s="1" t="n">
        <f aca="false">IF(CP19&gt;PR_BalDone,CP19+CP19*(F_MR/12)-MIN(F_MortPayM,CP19+CP19*(F_MR/12)),CP19)</f>
        <v>0</v>
      </c>
      <c r="CR19" s="1" t="n">
        <f aca="false">IF(CQ19&gt;PR_BalDone,CQ19+CQ19*(F_MR/12)-MIN(F_MortPayM,CQ19+CQ19*(F_MR/12)),CQ19)</f>
        <v>0</v>
      </c>
      <c r="CS19" s="1" t="n">
        <f aca="false">IF(CF19&gt;PR_BalDone,MIN(F_MortPayM,CF19+CF19*(F_MR/12)),0)</f>
        <v>0</v>
      </c>
      <c r="CT19" s="1" t="n">
        <f aca="false">IF(CG19&gt;PR_BalDone,MIN(F_MortPayM,CG19+CG19*(F_MR/12)),0)</f>
        <v>0</v>
      </c>
      <c r="CU19" s="1" t="n">
        <f aca="false">IF(CH19&gt;PR_BalDone,MIN(F_MortPayM,CH19+CH19*(F_MR/12)),0)</f>
        <v>0</v>
      </c>
      <c r="CV19" s="1" t="n">
        <f aca="false">IF(CI19&gt;PR_BalDone,MIN(F_MortPayM,CI19+CI19*(F_MR/12)),0)</f>
        <v>0</v>
      </c>
      <c r="CW19" s="1" t="n">
        <f aca="false">IF(CJ19&gt;PR_BalDone,MIN(F_MortPayM,CJ19+CJ19*(F_MR/12)),0)</f>
        <v>0</v>
      </c>
      <c r="CX19" s="1" t="n">
        <f aca="false">IF(CK19&gt;PR_BalDone,MIN(F_MortPayM,CK19+CK19*(F_MR/12)),0)</f>
        <v>0</v>
      </c>
      <c r="CY19" s="1" t="n">
        <f aca="false">IF(CL19&gt;PR_BalDone,MIN(F_MortPayM,CL19+CL19*(F_MR/12)),0)</f>
        <v>0</v>
      </c>
      <c r="CZ19" s="1" t="n">
        <f aca="false">IF(CM19&gt;PR_BalDone,MIN(F_MortPayM,CM19+CM19*(F_MR/12)),0)</f>
        <v>0</v>
      </c>
      <c r="DA19" s="1" t="n">
        <f aca="false">IF(CN19&gt;PR_BalDone,MIN(F_MortPayM,CN19+CN19*(F_MR/12)),0)</f>
        <v>0</v>
      </c>
      <c r="DB19" s="1" t="n">
        <f aca="false">IF(CO19&gt;PR_BalDone,MIN(F_MortPayM,CO19+CO19*(F_MR/12)),0)</f>
        <v>0</v>
      </c>
      <c r="DC19" s="1" t="n">
        <f aca="false">IF(CP19&gt;PR_BalDone,MIN(F_MortPayM,CP19+CP19*(F_MR/12)),0)</f>
        <v>0</v>
      </c>
      <c r="DD19" s="1" t="n">
        <f aca="false">IF(CQ19&gt;PR_BalDone,MIN(F_MortPayM,CQ19+CQ19*(F_MR/12)),0)</f>
        <v>0</v>
      </c>
      <c r="DE19" s="1" t="n">
        <f aca="false">MAX(0,CR19)</f>
        <v>0</v>
      </c>
      <c r="DF19" s="1" t="n">
        <f aca="false">SUM(CS19:DD19)</f>
        <v>0</v>
      </c>
      <c r="DG19" s="1" t="n">
        <f aca="false">MAX(0,CF19)</f>
        <v>0</v>
      </c>
    </row>
    <row r="20" customFormat="false" ht="15" hidden="false" customHeight="true" outlineLevel="0" collapsed="false">
      <c r="B20" s="1" t="n">
        <v>12</v>
      </c>
      <c r="C20" s="1" t="n">
        <f aca="false">'Plan cashflow'!I20</f>
        <v>0</v>
      </c>
      <c r="D20" s="1" t="n">
        <f aca="false">IF(C20&gt;PR_BalDone,C20+C20*(F_MR/12)-MIN(F_MortPayM,C20+C20*(F_MR/12)),C20)</f>
        <v>0</v>
      </c>
      <c r="E20" s="1" t="n">
        <f aca="false">IF(D20&gt;PR_BalDone,D20+D20*(F_MR/12)-MIN(F_MortPayM,D20+D20*(F_MR/12)),D20)</f>
        <v>0</v>
      </c>
      <c r="F20" s="1" t="n">
        <f aca="false">IF(E20&gt;PR_BalDone,E20+E20*(F_MR/12)-MIN(F_MortPayM,E20+E20*(F_MR/12)),E20)</f>
        <v>0</v>
      </c>
      <c r="G20" s="1" t="n">
        <f aca="false">IF(F20&gt;PR_BalDone,F20+F20*(F_MR/12)-MIN(F_MortPayM,F20+F20*(F_MR/12)),F20)</f>
        <v>0</v>
      </c>
      <c r="H20" s="1" t="n">
        <f aca="false">IF(G20&gt;PR_BalDone,G20+G20*(F_MR/12)-MIN(F_MortPayM,G20+G20*(F_MR/12)),G20)</f>
        <v>0</v>
      </c>
      <c r="I20" s="1" t="n">
        <f aca="false">IF(H20&gt;PR_BalDone,H20+H20*(F_MR/12)-MIN(F_MortPayM,H20+H20*(F_MR/12)),H20)</f>
        <v>0</v>
      </c>
      <c r="J20" s="1" t="n">
        <f aca="false">IF(I20&gt;PR_BalDone,I20+I20*(F_MR/12)-MIN(F_MortPayM,I20+I20*(F_MR/12)),I20)</f>
        <v>0</v>
      </c>
      <c r="K20" s="1" t="n">
        <f aca="false">IF(J20&gt;PR_BalDone,J20+J20*(F_MR/12)-MIN(F_MortPayM,J20+J20*(F_MR/12)),J20)</f>
        <v>0</v>
      </c>
      <c r="L20" s="1" t="n">
        <f aca="false">IF(K20&gt;PR_BalDone,K20+K20*(F_MR/12)-MIN(F_MortPayM,K20+K20*(F_MR/12)),K20)</f>
        <v>0</v>
      </c>
      <c r="M20" s="1" t="n">
        <f aca="false">IF(L20&gt;PR_BalDone,L20+L20*(F_MR/12)-MIN(F_MortPayM,L20+L20*(F_MR/12)),L20)</f>
        <v>0</v>
      </c>
      <c r="N20" s="1" t="n">
        <f aca="false">IF(M20&gt;PR_BalDone,M20+M20*(F_MR/12)-MIN(F_MortPayM,M20+M20*(F_MR/12)),M20)</f>
        <v>0</v>
      </c>
      <c r="O20" s="1" t="n">
        <f aca="false">IF(N20&gt;PR_BalDone,N20+N20*(F_MR/12)-MIN(F_MortPayM,N20+N20*(F_MR/12)),N20)</f>
        <v>0</v>
      </c>
      <c r="P20" s="1" t="n">
        <f aca="false">IF(C20&gt;PR_BalDone,MIN(F_MortPayM,C20+C20*(F_MR/12)),0)</f>
        <v>0</v>
      </c>
      <c r="Q20" s="1" t="n">
        <f aca="false">IF(D20&gt;PR_BalDone,MIN(F_MortPayM,D20+D20*(F_MR/12)),0)</f>
        <v>0</v>
      </c>
      <c r="R20" s="1" t="n">
        <f aca="false">IF(E20&gt;PR_BalDone,MIN(F_MortPayM,E20+E20*(F_MR/12)),0)</f>
        <v>0</v>
      </c>
      <c r="S20" s="1" t="n">
        <f aca="false">IF(F20&gt;PR_BalDone,MIN(F_MortPayM,F20+F20*(F_MR/12)),0)</f>
        <v>0</v>
      </c>
      <c r="T20" s="1" t="n">
        <f aca="false">IF(G20&gt;PR_BalDone,MIN(F_MortPayM,G20+G20*(F_MR/12)),0)</f>
        <v>0</v>
      </c>
      <c r="U20" s="1" t="n">
        <f aca="false">IF(H20&gt;PR_BalDone,MIN(F_MortPayM,H20+H20*(F_MR/12)),0)</f>
        <v>0</v>
      </c>
      <c r="V20" s="1" t="n">
        <f aca="false">IF(I20&gt;PR_BalDone,MIN(F_MortPayM,I20+I20*(F_MR/12)),0)</f>
        <v>0</v>
      </c>
      <c r="W20" s="1" t="n">
        <f aca="false">IF(J20&gt;PR_BalDone,MIN(F_MortPayM,J20+J20*(F_MR/12)),0)</f>
        <v>0</v>
      </c>
      <c r="X20" s="1" t="n">
        <f aca="false">IF(K20&gt;PR_BalDone,MIN(F_MortPayM,K20+K20*(F_MR/12)),0)</f>
        <v>0</v>
      </c>
      <c r="Y20" s="1" t="n">
        <f aca="false">IF(L20&gt;PR_BalDone,MIN(F_MortPayM,L20+L20*(F_MR/12)),0)</f>
        <v>0</v>
      </c>
      <c r="Z20" s="1" t="n">
        <f aca="false">IF(M20&gt;PR_BalDone,MIN(F_MortPayM,M20+M20*(F_MR/12)),0)</f>
        <v>0</v>
      </c>
      <c r="AA20" s="1" t="n">
        <f aca="false">IF(N20&gt;PR_BalDone,MIN(F_MortPayM,N20+N20*(F_MR/12)),0)</f>
        <v>0</v>
      </c>
      <c r="AB20" s="1" t="n">
        <f aca="false">MAX(0,O20)</f>
        <v>0</v>
      </c>
      <c r="AC20" s="1" t="n">
        <f aca="false">SUM(P20:AA20)</f>
        <v>0</v>
      </c>
      <c r="AD20" s="1" t="n">
        <f aca="false">'Plan cashflow'!L20</f>
        <v>0</v>
      </c>
      <c r="AE20" s="1" t="n">
        <f aca="false">IF(AD20&gt;PR_BalDone,AD20+AD20*(D_iC)-MIN(F_CardPayM,AD20+AD20*(D_iC)),AD20)</f>
        <v>0</v>
      </c>
      <c r="AF20" s="1" t="n">
        <f aca="false">IF(AE20&gt;PR_BalDone,AE20+AE20*(D_iC)-MIN(F_CardPayM,AE20+AE20*(D_iC)),AE20)</f>
        <v>0</v>
      </c>
      <c r="AG20" s="1" t="n">
        <f aca="false">IF(AF20&gt;PR_BalDone,AF20+AF20*(D_iC)-MIN(F_CardPayM,AF20+AF20*(D_iC)),AF20)</f>
        <v>0</v>
      </c>
      <c r="AH20" s="1" t="n">
        <f aca="false">IF(AG20&gt;PR_BalDone,AG20+AG20*(D_iC)-MIN(F_CardPayM,AG20+AG20*(D_iC)),AG20)</f>
        <v>0</v>
      </c>
      <c r="AI20" s="1" t="n">
        <f aca="false">IF(AH20&gt;PR_BalDone,AH20+AH20*(D_iC)-MIN(F_CardPayM,AH20+AH20*(D_iC)),AH20)</f>
        <v>0</v>
      </c>
      <c r="AJ20" s="1" t="n">
        <f aca="false">IF(AI20&gt;PR_BalDone,AI20+AI20*(D_iC)-MIN(F_CardPayM,AI20+AI20*(D_iC)),AI20)</f>
        <v>0</v>
      </c>
      <c r="AK20" s="1" t="n">
        <f aca="false">IF(AJ20&gt;PR_BalDone,AJ20+AJ20*(D_iC)-MIN(F_CardPayM,AJ20+AJ20*(D_iC)),AJ20)</f>
        <v>0</v>
      </c>
      <c r="AL20" s="1" t="n">
        <f aca="false">IF(AK20&gt;PR_BalDone,AK20+AK20*(D_iC)-MIN(F_CardPayM,AK20+AK20*(D_iC)),AK20)</f>
        <v>0</v>
      </c>
      <c r="AM20" s="1" t="n">
        <f aca="false">IF(AL20&gt;PR_BalDone,AL20+AL20*(D_iC)-MIN(F_CardPayM,AL20+AL20*(D_iC)),AL20)</f>
        <v>0</v>
      </c>
      <c r="AN20" s="1" t="n">
        <f aca="false">IF(AM20&gt;PR_BalDone,AM20+AM20*(D_iC)-MIN(F_CardPayM,AM20+AM20*(D_iC)),AM20)</f>
        <v>0</v>
      </c>
      <c r="AO20" s="1" t="n">
        <f aca="false">IF(AN20&gt;PR_BalDone,AN20+AN20*(D_iC)-MIN(F_CardPayM,AN20+AN20*(D_iC)),AN20)</f>
        <v>0</v>
      </c>
      <c r="AP20" s="1" t="n">
        <f aca="false">IF(AO20&gt;PR_BalDone,AO20+AO20*(D_iC)-MIN(F_CardPayM,AO20+AO20*(D_iC)),AO20)</f>
        <v>0</v>
      </c>
      <c r="AQ20" s="1" t="n">
        <f aca="false">IF(AD20&gt;PR_BalDone,MIN(F_CardPayM,AD20+AD20*(D_iC)),0)</f>
        <v>0</v>
      </c>
      <c r="AR20" s="1" t="n">
        <f aca="false">IF(AE20&gt;PR_BalDone,MIN(F_CardPayM,AE20+AE20*(D_iC)),0)</f>
        <v>0</v>
      </c>
      <c r="AS20" s="1" t="n">
        <f aca="false">IF(AF20&gt;PR_BalDone,MIN(F_CardPayM,AF20+AF20*(D_iC)),0)</f>
        <v>0</v>
      </c>
      <c r="AT20" s="1" t="n">
        <f aca="false">IF(AG20&gt;PR_BalDone,MIN(F_CardPayM,AG20+AG20*(D_iC)),0)</f>
        <v>0</v>
      </c>
      <c r="AU20" s="1" t="n">
        <f aca="false">IF(AH20&gt;PR_BalDone,MIN(F_CardPayM,AH20+AH20*(D_iC)),0)</f>
        <v>0</v>
      </c>
      <c r="AV20" s="1" t="n">
        <f aca="false">IF(AI20&gt;PR_BalDone,MIN(F_CardPayM,AI20+AI20*(D_iC)),0)</f>
        <v>0</v>
      </c>
      <c r="AW20" s="1" t="n">
        <f aca="false">IF(AJ20&gt;PR_BalDone,MIN(F_CardPayM,AJ20+AJ20*(D_iC)),0)</f>
        <v>0</v>
      </c>
      <c r="AX20" s="1" t="n">
        <f aca="false">IF(AK20&gt;PR_BalDone,MIN(F_CardPayM,AK20+AK20*(D_iC)),0)</f>
        <v>0</v>
      </c>
      <c r="AY20" s="1" t="n">
        <f aca="false">IF(AL20&gt;PR_BalDone,MIN(F_CardPayM,AL20+AL20*(D_iC)),0)</f>
        <v>0</v>
      </c>
      <c r="AZ20" s="1" t="n">
        <f aca="false">IF(AM20&gt;PR_BalDone,MIN(F_CardPayM,AM20+AM20*(D_iC)),0)</f>
        <v>0</v>
      </c>
      <c r="BA20" s="1" t="n">
        <f aca="false">IF(AN20&gt;PR_BalDone,MIN(F_CardPayM,AN20+AN20*(D_iC)),0)</f>
        <v>0</v>
      </c>
      <c r="BB20" s="1" t="n">
        <f aca="false">IF(AO20&gt;PR_BalDone,MIN(F_CardPayM,AO20+AO20*(D_iC)),0)</f>
        <v>0</v>
      </c>
      <c r="BC20" s="1" t="n">
        <f aca="false">MAX(0,AP20)</f>
        <v>0</v>
      </c>
      <c r="BD20" s="1" t="n">
        <f aca="false">SUM(AQ20:BB20)</f>
        <v>0</v>
      </c>
      <c r="BE20" s="1" t="n">
        <f aca="false">'Plan cashflow'!O20</f>
        <v>0</v>
      </c>
      <c r="BF20" s="1" t="n">
        <f aca="false">IF(BE20&gt;PR_BalDone,BE20+BE20*(D_iL)-MIN(F_LoanPayM,BE20+BE20*(D_iL)),BE20)</f>
        <v>0</v>
      </c>
      <c r="BG20" s="1" t="n">
        <f aca="false">IF(BF20&gt;PR_BalDone,BF20+BF20*(D_iL)-MIN(F_LoanPayM,BF20+BF20*(D_iL)),BF20)</f>
        <v>0</v>
      </c>
      <c r="BH20" s="1" t="n">
        <f aca="false">IF(BG20&gt;PR_BalDone,BG20+BG20*(D_iL)-MIN(F_LoanPayM,BG20+BG20*(D_iL)),BG20)</f>
        <v>0</v>
      </c>
      <c r="BI20" s="1" t="n">
        <f aca="false">IF(BH20&gt;PR_BalDone,BH20+BH20*(D_iL)-MIN(F_LoanPayM,BH20+BH20*(D_iL)),BH20)</f>
        <v>0</v>
      </c>
      <c r="BJ20" s="1" t="n">
        <f aca="false">IF(BI20&gt;PR_BalDone,BI20+BI20*(D_iL)-MIN(F_LoanPayM,BI20+BI20*(D_iL)),BI20)</f>
        <v>0</v>
      </c>
      <c r="BK20" s="1" t="n">
        <f aca="false">IF(BJ20&gt;PR_BalDone,BJ20+BJ20*(D_iL)-MIN(F_LoanPayM,BJ20+BJ20*(D_iL)),BJ20)</f>
        <v>0</v>
      </c>
      <c r="BL20" s="1" t="n">
        <f aca="false">IF(BK20&gt;PR_BalDone,BK20+BK20*(D_iL)-MIN(F_LoanPayM,BK20+BK20*(D_iL)),BK20)</f>
        <v>0</v>
      </c>
      <c r="BM20" s="1" t="n">
        <f aca="false">IF(BL20&gt;PR_BalDone,BL20+BL20*(D_iL)-MIN(F_LoanPayM,BL20+BL20*(D_iL)),BL20)</f>
        <v>0</v>
      </c>
      <c r="BN20" s="1" t="n">
        <f aca="false">IF(BM20&gt;PR_BalDone,BM20+BM20*(D_iL)-MIN(F_LoanPayM,BM20+BM20*(D_iL)),BM20)</f>
        <v>0</v>
      </c>
      <c r="BO20" s="1" t="n">
        <f aca="false">IF(BN20&gt;PR_BalDone,BN20+BN20*(D_iL)-MIN(F_LoanPayM,BN20+BN20*(D_iL)),BN20)</f>
        <v>0</v>
      </c>
      <c r="BP20" s="1" t="n">
        <f aca="false">IF(BO20&gt;PR_BalDone,BO20+BO20*(D_iL)-MIN(F_LoanPayM,BO20+BO20*(D_iL)),BO20)</f>
        <v>0</v>
      </c>
      <c r="BQ20" s="1" t="n">
        <f aca="false">IF(BP20&gt;PR_BalDone,BP20+BP20*(D_iL)-MIN(F_LoanPayM,BP20+BP20*(D_iL)),BP20)</f>
        <v>0</v>
      </c>
      <c r="BR20" s="1" t="n">
        <f aca="false">IF(BE20&gt;PR_BalDone,MIN(F_LoanPayM,BE20+BE20*(D_iL)),0)</f>
        <v>0</v>
      </c>
      <c r="BS20" s="1" t="n">
        <f aca="false">IF(BF20&gt;PR_BalDone,MIN(F_LoanPayM,BF20+BF20*(D_iL)),0)</f>
        <v>0</v>
      </c>
      <c r="BT20" s="1" t="n">
        <f aca="false">IF(BG20&gt;PR_BalDone,MIN(F_LoanPayM,BG20+BG20*(D_iL)),0)</f>
        <v>0</v>
      </c>
      <c r="BU20" s="1" t="n">
        <f aca="false">IF(BH20&gt;PR_BalDone,MIN(F_LoanPayM,BH20+BH20*(D_iL)),0)</f>
        <v>0</v>
      </c>
      <c r="BV20" s="1" t="n">
        <f aca="false">IF(BI20&gt;PR_BalDone,MIN(F_LoanPayM,BI20+BI20*(D_iL)),0)</f>
        <v>0</v>
      </c>
      <c r="BW20" s="1" t="n">
        <f aca="false">IF(BJ20&gt;PR_BalDone,MIN(F_LoanPayM,BJ20+BJ20*(D_iL)),0)</f>
        <v>0</v>
      </c>
      <c r="BX20" s="1" t="n">
        <f aca="false">IF(BK20&gt;PR_BalDone,MIN(F_LoanPayM,BK20+BK20*(D_iL)),0)</f>
        <v>0</v>
      </c>
      <c r="BY20" s="1" t="n">
        <f aca="false">IF(BL20&gt;PR_BalDone,MIN(F_LoanPayM,BL20+BL20*(D_iL)),0)</f>
        <v>0</v>
      </c>
      <c r="BZ20" s="1" t="n">
        <f aca="false">IF(BM20&gt;PR_BalDone,MIN(F_LoanPayM,BM20+BM20*(D_iL)),0)</f>
        <v>0</v>
      </c>
      <c r="CA20" s="1" t="n">
        <f aca="false">IF(BN20&gt;PR_BalDone,MIN(F_LoanPayM,BN20+BN20*(D_iL)),0)</f>
        <v>0</v>
      </c>
      <c r="CB20" s="1" t="n">
        <f aca="false">IF(BO20&gt;PR_BalDone,MIN(F_LoanPayM,BO20+BO20*(D_iL)),0)</f>
        <v>0</v>
      </c>
      <c r="CC20" s="1" t="n">
        <f aca="false">IF(BP20&gt;PR_BalDone,MIN(F_LoanPayM,BP20+BP20*(D_iL)),0)</f>
        <v>0</v>
      </c>
      <c r="CD20" s="1" t="n">
        <f aca="false">MAX(0,BQ20)</f>
        <v>0</v>
      </c>
      <c r="CE20" s="1" t="n">
        <f aca="false">SUM(BR20:CC20)</f>
        <v>0</v>
      </c>
      <c r="CF20" s="1" t="n">
        <f aca="false">IF(CF19&gt;1,DE19,CF19)</f>
        <v>0</v>
      </c>
      <c r="CG20" s="1" t="n">
        <f aca="false">IF(CF20&gt;PR_BalDone,CF20+CF20*(F_MR/12)-MIN(F_MortPayM,CF20+CF20*(F_MR/12)),CF20)</f>
        <v>0</v>
      </c>
      <c r="CH20" s="1" t="n">
        <f aca="false">IF(CG20&gt;PR_BalDone,CG20+CG20*(F_MR/12)-MIN(F_MortPayM,CG20+CG20*(F_MR/12)),CG20)</f>
        <v>0</v>
      </c>
      <c r="CI20" s="1" t="n">
        <f aca="false">IF(CH20&gt;PR_BalDone,CH20+CH20*(F_MR/12)-MIN(F_MortPayM,CH20+CH20*(F_MR/12)),CH20)</f>
        <v>0</v>
      </c>
      <c r="CJ20" s="1" t="n">
        <f aca="false">IF(CI20&gt;PR_BalDone,CI20+CI20*(F_MR/12)-MIN(F_MortPayM,CI20+CI20*(F_MR/12)),CI20)</f>
        <v>0</v>
      </c>
      <c r="CK20" s="1" t="n">
        <f aca="false">IF(CJ20&gt;PR_BalDone,CJ20+CJ20*(F_MR/12)-MIN(F_MortPayM,CJ20+CJ20*(F_MR/12)),CJ20)</f>
        <v>0</v>
      </c>
      <c r="CL20" s="1" t="n">
        <f aca="false">IF(CK20&gt;PR_BalDone,CK20+CK20*(F_MR/12)-MIN(F_MortPayM,CK20+CK20*(F_MR/12)),CK20)</f>
        <v>0</v>
      </c>
      <c r="CM20" s="1" t="n">
        <f aca="false">IF(CL20&gt;PR_BalDone,CL20+CL20*(F_MR/12)-MIN(F_MortPayM,CL20+CL20*(F_MR/12)),CL20)</f>
        <v>0</v>
      </c>
      <c r="CN20" s="1" t="n">
        <f aca="false">IF(CM20&gt;PR_BalDone,CM20+CM20*(F_MR/12)-MIN(F_MortPayM,CM20+CM20*(F_MR/12)),CM20)</f>
        <v>0</v>
      </c>
      <c r="CO20" s="1" t="n">
        <f aca="false">IF(CN20&gt;PR_BalDone,CN20+CN20*(F_MR/12)-MIN(F_MortPayM,CN20+CN20*(F_MR/12)),CN20)</f>
        <v>0</v>
      </c>
      <c r="CP20" s="1" t="n">
        <f aca="false">IF(CO20&gt;PR_BalDone,CO20+CO20*(F_MR/12)-MIN(F_MortPayM,CO20+CO20*(F_MR/12)),CO20)</f>
        <v>0</v>
      </c>
      <c r="CQ20" s="1" t="n">
        <f aca="false">IF(CP20&gt;PR_BalDone,CP20+CP20*(F_MR/12)-MIN(F_MortPayM,CP20+CP20*(F_MR/12)),CP20)</f>
        <v>0</v>
      </c>
      <c r="CR20" s="1" t="n">
        <f aca="false">IF(CQ20&gt;PR_BalDone,CQ20+CQ20*(F_MR/12)-MIN(F_MortPayM,CQ20+CQ20*(F_MR/12)),CQ20)</f>
        <v>0</v>
      </c>
      <c r="CS20" s="1" t="n">
        <f aca="false">IF(CF20&gt;PR_BalDone,MIN(F_MortPayM,CF20+CF20*(F_MR/12)),0)</f>
        <v>0</v>
      </c>
      <c r="CT20" s="1" t="n">
        <f aca="false">IF(CG20&gt;PR_BalDone,MIN(F_MortPayM,CG20+CG20*(F_MR/12)),0)</f>
        <v>0</v>
      </c>
      <c r="CU20" s="1" t="n">
        <f aca="false">IF(CH20&gt;PR_BalDone,MIN(F_MortPayM,CH20+CH20*(F_MR/12)),0)</f>
        <v>0</v>
      </c>
      <c r="CV20" s="1" t="n">
        <f aca="false">IF(CI20&gt;PR_BalDone,MIN(F_MortPayM,CI20+CI20*(F_MR/12)),0)</f>
        <v>0</v>
      </c>
      <c r="CW20" s="1" t="n">
        <f aca="false">IF(CJ20&gt;PR_BalDone,MIN(F_MortPayM,CJ20+CJ20*(F_MR/12)),0)</f>
        <v>0</v>
      </c>
      <c r="CX20" s="1" t="n">
        <f aca="false">IF(CK20&gt;PR_BalDone,MIN(F_MortPayM,CK20+CK20*(F_MR/12)),0)</f>
        <v>0</v>
      </c>
      <c r="CY20" s="1" t="n">
        <f aca="false">IF(CL20&gt;PR_BalDone,MIN(F_MortPayM,CL20+CL20*(F_MR/12)),0)</f>
        <v>0</v>
      </c>
      <c r="CZ20" s="1" t="n">
        <f aca="false">IF(CM20&gt;PR_BalDone,MIN(F_MortPayM,CM20+CM20*(F_MR/12)),0)</f>
        <v>0</v>
      </c>
      <c r="DA20" s="1" t="n">
        <f aca="false">IF(CN20&gt;PR_BalDone,MIN(F_MortPayM,CN20+CN20*(F_MR/12)),0)</f>
        <v>0</v>
      </c>
      <c r="DB20" s="1" t="n">
        <f aca="false">IF(CO20&gt;PR_BalDone,MIN(F_MortPayM,CO20+CO20*(F_MR/12)),0)</f>
        <v>0</v>
      </c>
      <c r="DC20" s="1" t="n">
        <f aca="false">IF(CP20&gt;PR_BalDone,MIN(F_MortPayM,CP20+CP20*(F_MR/12)),0)</f>
        <v>0</v>
      </c>
      <c r="DD20" s="1" t="n">
        <f aca="false">IF(CQ20&gt;PR_BalDone,MIN(F_MortPayM,CQ20+CQ20*(F_MR/12)),0)</f>
        <v>0</v>
      </c>
      <c r="DE20" s="1" t="n">
        <f aca="false">MAX(0,CR20)</f>
        <v>0</v>
      </c>
      <c r="DF20" s="1" t="n">
        <f aca="false">SUM(CS20:DD20)</f>
        <v>0</v>
      </c>
      <c r="DG20" s="1" t="n">
        <f aca="false">MAX(0,CF20)</f>
        <v>0</v>
      </c>
    </row>
    <row r="21" customFormat="false" ht="15" hidden="false" customHeight="true" outlineLevel="0" collapsed="false">
      <c r="B21" s="1" t="n">
        <v>13</v>
      </c>
      <c r="C21" s="1" t="n">
        <f aca="false">'Plan cashflow'!I21</f>
        <v>0</v>
      </c>
      <c r="D21" s="1" t="n">
        <f aca="false">IF(C21&gt;PR_BalDone,C21+C21*(F_MR/12)-MIN(F_MortPayM,C21+C21*(F_MR/12)),C21)</f>
        <v>0</v>
      </c>
      <c r="E21" s="1" t="n">
        <f aca="false">IF(D21&gt;PR_BalDone,D21+D21*(F_MR/12)-MIN(F_MortPayM,D21+D21*(F_MR/12)),D21)</f>
        <v>0</v>
      </c>
      <c r="F21" s="1" t="n">
        <f aca="false">IF(E21&gt;PR_BalDone,E21+E21*(F_MR/12)-MIN(F_MortPayM,E21+E21*(F_MR/12)),E21)</f>
        <v>0</v>
      </c>
      <c r="G21" s="1" t="n">
        <f aca="false">IF(F21&gt;PR_BalDone,F21+F21*(F_MR/12)-MIN(F_MortPayM,F21+F21*(F_MR/12)),F21)</f>
        <v>0</v>
      </c>
      <c r="H21" s="1" t="n">
        <f aca="false">IF(G21&gt;PR_BalDone,G21+G21*(F_MR/12)-MIN(F_MortPayM,G21+G21*(F_MR/12)),G21)</f>
        <v>0</v>
      </c>
      <c r="I21" s="1" t="n">
        <f aca="false">IF(H21&gt;PR_BalDone,H21+H21*(F_MR/12)-MIN(F_MortPayM,H21+H21*(F_MR/12)),H21)</f>
        <v>0</v>
      </c>
      <c r="J21" s="1" t="n">
        <f aca="false">IF(I21&gt;PR_BalDone,I21+I21*(F_MR/12)-MIN(F_MortPayM,I21+I21*(F_MR/12)),I21)</f>
        <v>0</v>
      </c>
      <c r="K21" s="1" t="n">
        <f aca="false">IF(J21&gt;PR_BalDone,J21+J21*(F_MR/12)-MIN(F_MortPayM,J21+J21*(F_MR/12)),J21)</f>
        <v>0</v>
      </c>
      <c r="L21" s="1" t="n">
        <f aca="false">IF(K21&gt;PR_BalDone,K21+K21*(F_MR/12)-MIN(F_MortPayM,K21+K21*(F_MR/12)),K21)</f>
        <v>0</v>
      </c>
      <c r="M21" s="1" t="n">
        <f aca="false">IF(L21&gt;PR_BalDone,L21+L21*(F_MR/12)-MIN(F_MortPayM,L21+L21*(F_MR/12)),L21)</f>
        <v>0</v>
      </c>
      <c r="N21" s="1" t="n">
        <f aca="false">IF(M21&gt;PR_BalDone,M21+M21*(F_MR/12)-MIN(F_MortPayM,M21+M21*(F_MR/12)),M21)</f>
        <v>0</v>
      </c>
      <c r="O21" s="1" t="n">
        <f aca="false">IF(N21&gt;PR_BalDone,N21+N21*(F_MR/12)-MIN(F_MortPayM,N21+N21*(F_MR/12)),N21)</f>
        <v>0</v>
      </c>
      <c r="P21" s="1" t="n">
        <f aca="false">IF(C21&gt;PR_BalDone,MIN(F_MortPayM,C21+C21*(F_MR/12)),0)</f>
        <v>0</v>
      </c>
      <c r="Q21" s="1" t="n">
        <f aca="false">IF(D21&gt;PR_BalDone,MIN(F_MortPayM,D21+D21*(F_MR/12)),0)</f>
        <v>0</v>
      </c>
      <c r="R21" s="1" t="n">
        <f aca="false">IF(E21&gt;PR_BalDone,MIN(F_MortPayM,E21+E21*(F_MR/12)),0)</f>
        <v>0</v>
      </c>
      <c r="S21" s="1" t="n">
        <f aca="false">IF(F21&gt;PR_BalDone,MIN(F_MortPayM,F21+F21*(F_MR/12)),0)</f>
        <v>0</v>
      </c>
      <c r="T21" s="1" t="n">
        <f aca="false">IF(G21&gt;PR_BalDone,MIN(F_MortPayM,G21+G21*(F_MR/12)),0)</f>
        <v>0</v>
      </c>
      <c r="U21" s="1" t="n">
        <f aca="false">IF(H21&gt;PR_BalDone,MIN(F_MortPayM,H21+H21*(F_MR/12)),0)</f>
        <v>0</v>
      </c>
      <c r="V21" s="1" t="n">
        <f aca="false">IF(I21&gt;PR_BalDone,MIN(F_MortPayM,I21+I21*(F_MR/12)),0)</f>
        <v>0</v>
      </c>
      <c r="W21" s="1" t="n">
        <f aca="false">IF(J21&gt;PR_BalDone,MIN(F_MortPayM,J21+J21*(F_MR/12)),0)</f>
        <v>0</v>
      </c>
      <c r="X21" s="1" t="n">
        <f aca="false">IF(K21&gt;PR_BalDone,MIN(F_MortPayM,K21+K21*(F_MR/12)),0)</f>
        <v>0</v>
      </c>
      <c r="Y21" s="1" t="n">
        <f aca="false">IF(L21&gt;PR_BalDone,MIN(F_MortPayM,L21+L21*(F_MR/12)),0)</f>
        <v>0</v>
      </c>
      <c r="Z21" s="1" t="n">
        <f aca="false">IF(M21&gt;PR_BalDone,MIN(F_MortPayM,M21+M21*(F_MR/12)),0)</f>
        <v>0</v>
      </c>
      <c r="AA21" s="1" t="n">
        <f aca="false">IF(N21&gt;PR_BalDone,MIN(F_MortPayM,N21+N21*(F_MR/12)),0)</f>
        <v>0</v>
      </c>
      <c r="AB21" s="1" t="n">
        <f aca="false">MAX(0,O21)</f>
        <v>0</v>
      </c>
      <c r="AC21" s="1" t="n">
        <f aca="false">SUM(P21:AA21)</f>
        <v>0</v>
      </c>
      <c r="AD21" s="1" t="n">
        <f aca="false">'Plan cashflow'!L21</f>
        <v>0</v>
      </c>
      <c r="AE21" s="1" t="n">
        <f aca="false">IF(AD21&gt;PR_BalDone,AD21+AD21*(D_iC)-MIN(F_CardPayM,AD21+AD21*(D_iC)),AD21)</f>
        <v>0</v>
      </c>
      <c r="AF21" s="1" t="n">
        <f aca="false">IF(AE21&gt;PR_BalDone,AE21+AE21*(D_iC)-MIN(F_CardPayM,AE21+AE21*(D_iC)),AE21)</f>
        <v>0</v>
      </c>
      <c r="AG21" s="1" t="n">
        <f aca="false">IF(AF21&gt;PR_BalDone,AF21+AF21*(D_iC)-MIN(F_CardPayM,AF21+AF21*(D_iC)),AF21)</f>
        <v>0</v>
      </c>
      <c r="AH21" s="1" t="n">
        <f aca="false">IF(AG21&gt;PR_BalDone,AG21+AG21*(D_iC)-MIN(F_CardPayM,AG21+AG21*(D_iC)),AG21)</f>
        <v>0</v>
      </c>
      <c r="AI21" s="1" t="n">
        <f aca="false">IF(AH21&gt;PR_BalDone,AH21+AH21*(D_iC)-MIN(F_CardPayM,AH21+AH21*(D_iC)),AH21)</f>
        <v>0</v>
      </c>
      <c r="AJ21" s="1" t="n">
        <f aca="false">IF(AI21&gt;PR_BalDone,AI21+AI21*(D_iC)-MIN(F_CardPayM,AI21+AI21*(D_iC)),AI21)</f>
        <v>0</v>
      </c>
      <c r="AK21" s="1" t="n">
        <f aca="false">IF(AJ21&gt;PR_BalDone,AJ21+AJ21*(D_iC)-MIN(F_CardPayM,AJ21+AJ21*(D_iC)),AJ21)</f>
        <v>0</v>
      </c>
      <c r="AL21" s="1" t="n">
        <f aca="false">IF(AK21&gt;PR_BalDone,AK21+AK21*(D_iC)-MIN(F_CardPayM,AK21+AK21*(D_iC)),AK21)</f>
        <v>0</v>
      </c>
      <c r="AM21" s="1" t="n">
        <f aca="false">IF(AL21&gt;PR_BalDone,AL21+AL21*(D_iC)-MIN(F_CardPayM,AL21+AL21*(D_iC)),AL21)</f>
        <v>0</v>
      </c>
      <c r="AN21" s="1" t="n">
        <f aca="false">IF(AM21&gt;PR_BalDone,AM21+AM21*(D_iC)-MIN(F_CardPayM,AM21+AM21*(D_iC)),AM21)</f>
        <v>0</v>
      </c>
      <c r="AO21" s="1" t="n">
        <f aca="false">IF(AN21&gt;PR_BalDone,AN21+AN21*(D_iC)-MIN(F_CardPayM,AN21+AN21*(D_iC)),AN21)</f>
        <v>0</v>
      </c>
      <c r="AP21" s="1" t="n">
        <f aca="false">IF(AO21&gt;PR_BalDone,AO21+AO21*(D_iC)-MIN(F_CardPayM,AO21+AO21*(D_iC)),AO21)</f>
        <v>0</v>
      </c>
      <c r="AQ21" s="1" t="n">
        <f aca="false">IF(AD21&gt;PR_BalDone,MIN(F_CardPayM,AD21+AD21*(D_iC)),0)</f>
        <v>0</v>
      </c>
      <c r="AR21" s="1" t="n">
        <f aca="false">IF(AE21&gt;PR_BalDone,MIN(F_CardPayM,AE21+AE21*(D_iC)),0)</f>
        <v>0</v>
      </c>
      <c r="AS21" s="1" t="n">
        <f aca="false">IF(AF21&gt;PR_BalDone,MIN(F_CardPayM,AF21+AF21*(D_iC)),0)</f>
        <v>0</v>
      </c>
      <c r="AT21" s="1" t="n">
        <f aca="false">IF(AG21&gt;PR_BalDone,MIN(F_CardPayM,AG21+AG21*(D_iC)),0)</f>
        <v>0</v>
      </c>
      <c r="AU21" s="1" t="n">
        <f aca="false">IF(AH21&gt;PR_BalDone,MIN(F_CardPayM,AH21+AH21*(D_iC)),0)</f>
        <v>0</v>
      </c>
      <c r="AV21" s="1" t="n">
        <f aca="false">IF(AI21&gt;PR_BalDone,MIN(F_CardPayM,AI21+AI21*(D_iC)),0)</f>
        <v>0</v>
      </c>
      <c r="AW21" s="1" t="n">
        <f aca="false">IF(AJ21&gt;PR_BalDone,MIN(F_CardPayM,AJ21+AJ21*(D_iC)),0)</f>
        <v>0</v>
      </c>
      <c r="AX21" s="1" t="n">
        <f aca="false">IF(AK21&gt;PR_BalDone,MIN(F_CardPayM,AK21+AK21*(D_iC)),0)</f>
        <v>0</v>
      </c>
      <c r="AY21" s="1" t="n">
        <f aca="false">IF(AL21&gt;PR_BalDone,MIN(F_CardPayM,AL21+AL21*(D_iC)),0)</f>
        <v>0</v>
      </c>
      <c r="AZ21" s="1" t="n">
        <f aca="false">IF(AM21&gt;PR_BalDone,MIN(F_CardPayM,AM21+AM21*(D_iC)),0)</f>
        <v>0</v>
      </c>
      <c r="BA21" s="1" t="n">
        <f aca="false">IF(AN21&gt;PR_BalDone,MIN(F_CardPayM,AN21+AN21*(D_iC)),0)</f>
        <v>0</v>
      </c>
      <c r="BB21" s="1" t="n">
        <f aca="false">IF(AO21&gt;PR_BalDone,MIN(F_CardPayM,AO21+AO21*(D_iC)),0)</f>
        <v>0</v>
      </c>
      <c r="BC21" s="1" t="n">
        <f aca="false">MAX(0,AP21)</f>
        <v>0</v>
      </c>
      <c r="BD21" s="1" t="n">
        <f aca="false">SUM(AQ21:BB21)</f>
        <v>0</v>
      </c>
      <c r="BE21" s="1" t="n">
        <f aca="false">'Plan cashflow'!O21</f>
        <v>0</v>
      </c>
      <c r="BF21" s="1" t="n">
        <f aca="false">IF(BE21&gt;PR_BalDone,BE21+BE21*(D_iL)-MIN(F_LoanPayM,BE21+BE21*(D_iL)),BE21)</f>
        <v>0</v>
      </c>
      <c r="BG21" s="1" t="n">
        <f aca="false">IF(BF21&gt;PR_BalDone,BF21+BF21*(D_iL)-MIN(F_LoanPayM,BF21+BF21*(D_iL)),BF21)</f>
        <v>0</v>
      </c>
      <c r="BH21" s="1" t="n">
        <f aca="false">IF(BG21&gt;PR_BalDone,BG21+BG21*(D_iL)-MIN(F_LoanPayM,BG21+BG21*(D_iL)),BG21)</f>
        <v>0</v>
      </c>
      <c r="BI21" s="1" t="n">
        <f aca="false">IF(BH21&gt;PR_BalDone,BH21+BH21*(D_iL)-MIN(F_LoanPayM,BH21+BH21*(D_iL)),BH21)</f>
        <v>0</v>
      </c>
      <c r="BJ21" s="1" t="n">
        <f aca="false">IF(BI21&gt;PR_BalDone,BI21+BI21*(D_iL)-MIN(F_LoanPayM,BI21+BI21*(D_iL)),BI21)</f>
        <v>0</v>
      </c>
      <c r="BK21" s="1" t="n">
        <f aca="false">IF(BJ21&gt;PR_BalDone,BJ21+BJ21*(D_iL)-MIN(F_LoanPayM,BJ21+BJ21*(D_iL)),BJ21)</f>
        <v>0</v>
      </c>
      <c r="BL21" s="1" t="n">
        <f aca="false">IF(BK21&gt;PR_BalDone,BK21+BK21*(D_iL)-MIN(F_LoanPayM,BK21+BK21*(D_iL)),BK21)</f>
        <v>0</v>
      </c>
      <c r="BM21" s="1" t="n">
        <f aca="false">IF(BL21&gt;PR_BalDone,BL21+BL21*(D_iL)-MIN(F_LoanPayM,BL21+BL21*(D_iL)),BL21)</f>
        <v>0</v>
      </c>
      <c r="BN21" s="1" t="n">
        <f aca="false">IF(BM21&gt;PR_BalDone,BM21+BM21*(D_iL)-MIN(F_LoanPayM,BM21+BM21*(D_iL)),BM21)</f>
        <v>0</v>
      </c>
      <c r="BO21" s="1" t="n">
        <f aca="false">IF(BN21&gt;PR_BalDone,BN21+BN21*(D_iL)-MIN(F_LoanPayM,BN21+BN21*(D_iL)),BN21)</f>
        <v>0</v>
      </c>
      <c r="BP21" s="1" t="n">
        <f aca="false">IF(BO21&gt;PR_BalDone,BO21+BO21*(D_iL)-MIN(F_LoanPayM,BO21+BO21*(D_iL)),BO21)</f>
        <v>0</v>
      </c>
      <c r="BQ21" s="1" t="n">
        <f aca="false">IF(BP21&gt;PR_BalDone,BP21+BP21*(D_iL)-MIN(F_LoanPayM,BP21+BP21*(D_iL)),BP21)</f>
        <v>0</v>
      </c>
      <c r="BR21" s="1" t="n">
        <f aca="false">IF(BE21&gt;PR_BalDone,MIN(F_LoanPayM,BE21+BE21*(D_iL)),0)</f>
        <v>0</v>
      </c>
      <c r="BS21" s="1" t="n">
        <f aca="false">IF(BF21&gt;PR_BalDone,MIN(F_LoanPayM,BF21+BF21*(D_iL)),0)</f>
        <v>0</v>
      </c>
      <c r="BT21" s="1" t="n">
        <f aca="false">IF(BG21&gt;PR_BalDone,MIN(F_LoanPayM,BG21+BG21*(D_iL)),0)</f>
        <v>0</v>
      </c>
      <c r="BU21" s="1" t="n">
        <f aca="false">IF(BH21&gt;PR_BalDone,MIN(F_LoanPayM,BH21+BH21*(D_iL)),0)</f>
        <v>0</v>
      </c>
      <c r="BV21" s="1" t="n">
        <f aca="false">IF(BI21&gt;PR_BalDone,MIN(F_LoanPayM,BI21+BI21*(D_iL)),0)</f>
        <v>0</v>
      </c>
      <c r="BW21" s="1" t="n">
        <f aca="false">IF(BJ21&gt;PR_BalDone,MIN(F_LoanPayM,BJ21+BJ21*(D_iL)),0)</f>
        <v>0</v>
      </c>
      <c r="BX21" s="1" t="n">
        <f aca="false">IF(BK21&gt;PR_BalDone,MIN(F_LoanPayM,BK21+BK21*(D_iL)),0)</f>
        <v>0</v>
      </c>
      <c r="BY21" s="1" t="n">
        <f aca="false">IF(BL21&gt;PR_BalDone,MIN(F_LoanPayM,BL21+BL21*(D_iL)),0)</f>
        <v>0</v>
      </c>
      <c r="BZ21" s="1" t="n">
        <f aca="false">IF(BM21&gt;PR_BalDone,MIN(F_LoanPayM,BM21+BM21*(D_iL)),0)</f>
        <v>0</v>
      </c>
      <c r="CA21" s="1" t="n">
        <f aca="false">IF(BN21&gt;PR_BalDone,MIN(F_LoanPayM,BN21+BN21*(D_iL)),0)</f>
        <v>0</v>
      </c>
      <c r="CB21" s="1" t="n">
        <f aca="false">IF(BO21&gt;PR_BalDone,MIN(F_LoanPayM,BO21+BO21*(D_iL)),0)</f>
        <v>0</v>
      </c>
      <c r="CC21" s="1" t="n">
        <f aca="false">IF(BP21&gt;PR_BalDone,MIN(F_LoanPayM,BP21+BP21*(D_iL)),0)</f>
        <v>0</v>
      </c>
      <c r="CD21" s="1" t="n">
        <f aca="false">MAX(0,BQ21)</f>
        <v>0</v>
      </c>
      <c r="CE21" s="1" t="n">
        <f aca="false">SUM(BR21:CC21)</f>
        <v>0</v>
      </c>
      <c r="CF21" s="1" t="n">
        <f aca="false">IF(CF20&gt;1,DE20,CF20)</f>
        <v>0</v>
      </c>
      <c r="CG21" s="1" t="n">
        <f aca="false">IF(CF21&gt;PR_BalDone,CF21+CF21*(F_MR/12)-MIN(F_MortPayM,CF21+CF21*(F_MR/12)),CF21)</f>
        <v>0</v>
      </c>
      <c r="CH21" s="1" t="n">
        <f aca="false">IF(CG21&gt;PR_BalDone,CG21+CG21*(F_MR/12)-MIN(F_MortPayM,CG21+CG21*(F_MR/12)),CG21)</f>
        <v>0</v>
      </c>
      <c r="CI21" s="1" t="n">
        <f aca="false">IF(CH21&gt;PR_BalDone,CH21+CH21*(F_MR/12)-MIN(F_MortPayM,CH21+CH21*(F_MR/12)),CH21)</f>
        <v>0</v>
      </c>
      <c r="CJ21" s="1" t="n">
        <f aca="false">IF(CI21&gt;PR_BalDone,CI21+CI21*(F_MR/12)-MIN(F_MortPayM,CI21+CI21*(F_MR/12)),CI21)</f>
        <v>0</v>
      </c>
      <c r="CK21" s="1" t="n">
        <f aca="false">IF(CJ21&gt;PR_BalDone,CJ21+CJ21*(F_MR/12)-MIN(F_MortPayM,CJ21+CJ21*(F_MR/12)),CJ21)</f>
        <v>0</v>
      </c>
      <c r="CL21" s="1" t="n">
        <f aca="false">IF(CK21&gt;PR_BalDone,CK21+CK21*(F_MR/12)-MIN(F_MortPayM,CK21+CK21*(F_MR/12)),CK21)</f>
        <v>0</v>
      </c>
      <c r="CM21" s="1" t="n">
        <f aca="false">IF(CL21&gt;PR_BalDone,CL21+CL21*(F_MR/12)-MIN(F_MortPayM,CL21+CL21*(F_MR/12)),CL21)</f>
        <v>0</v>
      </c>
      <c r="CN21" s="1" t="n">
        <f aca="false">IF(CM21&gt;PR_BalDone,CM21+CM21*(F_MR/12)-MIN(F_MortPayM,CM21+CM21*(F_MR/12)),CM21)</f>
        <v>0</v>
      </c>
      <c r="CO21" s="1" t="n">
        <f aca="false">IF(CN21&gt;PR_BalDone,CN21+CN21*(F_MR/12)-MIN(F_MortPayM,CN21+CN21*(F_MR/12)),CN21)</f>
        <v>0</v>
      </c>
      <c r="CP21" s="1" t="n">
        <f aca="false">IF(CO21&gt;PR_BalDone,CO21+CO21*(F_MR/12)-MIN(F_MortPayM,CO21+CO21*(F_MR/12)),CO21)</f>
        <v>0</v>
      </c>
      <c r="CQ21" s="1" t="n">
        <f aca="false">IF(CP21&gt;PR_BalDone,CP21+CP21*(F_MR/12)-MIN(F_MortPayM,CP21+CP21*(F_MR/12)),CP21)</f>
        <v>0</v>
      </c>
      <c r="CR21" s="1" t="n">
        <f aca="false">IF(CQ21&gt;PR_BalDone,CQ21+CQ21*(F_MR/12)-MIN(F_MortPayM,CQ21+CQ21*(F_MR/12)),CQ21)</f>
        <v>0</v>
      </c>
      <c r="CS21" s="1" t="n">
        <f aca="false">IF(CF21&gt;PR_BalDone,MIN(F_MortPayM,CF21+CF21*(F_MR/12)),0)</f>
        <v>0</v>
      </c>
      <c r="CT21" s="1" t="n">
        <f aca="false">IF(CG21&gt;PR_BalDone,MIN(F_MortPayM,CG21+CG21*(F_MR/12)),0)</f>
        <v>0</v>
      </c>
      <c r="CU21" s="1" t="n">
        <f aca="false">IF(CH21&gt;PR_BalDone,MIN(F_MortPayM,CH21+CH21*(F_MR/12)),0)</f>
        <v>0</v>
      </c>
      <c r="CV21" s="1" t="n">
        <f aca="false">IF(CI21&gt;PR_BalDone,MIN(F_MortPayM,CI21+CI21*(F_MR/12)),0)</f>
        <v>0</v>
      </c>
      <c r="CW21" s="1" t="n">
        <f aca="false">IF(CJ21&gt;PR_BalDone,MIN(F_MortPayM,CJ21+CJ21*(F_MR/12)),0)</f>
        <v>0</v>
      </c>
      <c r="CX21" s="1" t="n">
        <f aca="false">IF(CK21&gt;PR_BalDone,MIN(F_MortPayM,CK21+CK21*(F_MR/12)),0)</f>
        <v>0</v>
      </c>
      <c r="CY21" s="1" t="n">
        <f aca="false">IF(CL21&gt;PR_BalDone,MIN(F_MortPayM,CL21+CL21*(F_MR/12)),0)</f>
        <v>0</v>
      </c>
      <c r="CZ21" s="1" t="n">
        <f aca="false">IF(CM21&gt;PR_BalDone,MIN(F_MortPayM,CM21+CM21*(F_MR/12)),0)</f>
        <v>0</v>
      </c>
      <c r="DA21" s="1" t="n">
        <f aca="false">IF(CN21&gt;PR_BalDone,MIN(F_MortPayM,CN21+CN21*(F_MR/12)),0)</f>
        <v>0</v>
      </c>
      <c r="DB21" s="1" t="n">
        <f aca="false">IF(CO21&gt;PR_BalDone,MIN(F_MortPayM,CO21+CO21*(F_MR/12)),0)</f>
        <v>0</v>
      </c>
      <c r="DC21" s="1" t="n">
        <f aca="false">IF(CP21&gt;PR_BalDone,MIN(F_MortPayM,CP21+CP21*(F_MR/12)),0)</f>
        <v>0</v>
      </c>
      <c r="DD21" s="1" t="n">
        <f aca="false">IF(CQ21&gt;PR_BalDone,MIN(F_MortPayM,CQ21+CQ21*(F_MR/12)),0)</f>
        <v>0</v>
      </c>
      <c r="DE21" s="1" t="n">
        <f aca="false">MAX(0,CR21)</f>
        <v>0</v>
      </c>
      <c r="DF21" s="1" t="n">
        <f aca="false">SUM(CS21:DD21)</f>
        <v>0</v>
      </c>
      <c r="DG21" s="1" t="n">
        <f aca="false">MAX(0,CF21)</f>
        <v>0</v>
      </c>
    </row>
    <row r="22" customFormat="false" ht="15" hidden="false" customHeight="true" outlineLevel="0" collapsed="false">
      <c r="B22" s="1" t="n">
        <v>14</v>
      </c>
      <c r="C22" s="1" t="n">
        <f aca="false">'Plan cashflow'!I22</f>
        <v>0</v>
      </c>
      <c r="D22" s="1" t="n">
        <f aca="false">IF(C22&gt;PR_BalDone,C22+C22*(F_MR/12)-MIN(F_MortPayM,C22+C22*(F_MR/12)),C22)</f>
        <v>0</v>
      </c>
      <c r="E22" s="1" t="n">
        <f aca="false">IF(D22&gt;PR_BalDone,D22+D22*(F_MR/12)-MIN(F_MortPayM,D22+D22*(F_MR/12)),D22)</f>
        <v>0</v>
      </c>
      <c r="F22" s="1" t="n">
        <f aca="false">IF(E22&gt;PR_BalDone,E22+E22*(F_MR/12)-MIN(F_MortPayM,E22+E22*(F_MR/12)),E22)</f>
        <v>0</v>
      </c>
      <c r="G22" s="1" t="n">
        <f aca="false">IF(F22&gt;PR_BalDone,F22+F22*(F_MR/12)-MIN(F_MortPayM,F22+F22*(F_MR/12)),F22)</f>
        <v>0</v>
      </c>
      <c r="H22" s="1" t="n">
        <f aca="false">IF(G22&gt;PR_BalDone,G22+G22*(F_MR/12)-MIN(F_MortPayM,G22+G22*(F_MR/12)),G22)</f>
        <v>0</v>
      </c>
      <c r="I22" s="1" t="n">
        <f aca="false">IF(H22&gt;PR_BalDone,H22+H22*(F_MR/12)-MIN(F_MortPayM,H22+H22*(F_MR/12)),H22)</f>
        <v>0</v>
      </c>
      <c r="J22" s="1" t="n">
        <f aca="false">IF(I22&gt;PR_BalDone,I22+I22*(F_MR/12)-MIN(F_MortPayM,I22+I22*(F_MR/12)),I22)</f>
        <v>0</v>
      </c>
      <c r="K22" s="1" t="n">
        <f aca="false">IF(J22&gt;PR_BalDone,J22+J22*(F_MR/12)-MIN(F_MortPayM,J22+J22*(F_MR/12)),J22)</f>
        <v>0</v>
      </c>
      <c r="L22" s="1" t="n">
        <f aca="false">IF(K22&gt;PR_BalDone,K22+K22*(F_MR/12)-MIN(F_MortPayM,K22+K22*(F_MR/12)),K22)</f>
        <v>0</v>
      </c>
      <c r="M22" s="1" t="n">
        <f aca="false">IF(L22&gt;PR_BalDone,L22+L22*(F_MR/12)-MIN(F_MortPayM,L22+L22*(F_MR/12)),L22)</f>
        <v>0</v>
      </c>
      <c r="N22" s="1" t="n">
        <f aca="false">IF(M22&gt;PR_BalDone,M22+M22*(F_MR/12)-MIN(F_MortPayM,M22+M22*(F_MR/12)),M22)</f>
        <v>0</v>
      </c>
      <c r="O22" s="1" t="n">
        <f aca="false">IF(N22&gt;PR_BalDone,N22+N22*(F_MR/12)-MIN(F_MortPayM,N22+N22*(F_MR/12)),N22)</f>
        <v>0</v>
      </c>
      <c r="P22" s="1" t="n">
        <f aca="false">IF(C22&gt;PR_BalDone,MIN(F_MortPayM,C22+C22*(F_MR/12)),0)</f>
        <v>0</v>
      </c>
      <c r="Q22" s="1" t="n">
        <f aca="false">IF(D22&gt;PR_BalDone,MIN(F_MortPayM,D22+D22*(F_MR/12)),0)</f>
        <v>0</v>
      </c>
      <c r="R22" s="1" t="n">
        <f aca="false">IF(E22&gt;PR_BalDone,MIN(F_MortPayM,E22+E22*(F_MR/12)),0)</f>
        <v>0</v>
      </c>
      <c r="S22" s="1" t="n">
        <f aca="false">IF(F22&gt;PR_BalDone,MIN(F_MortPayM,F22+F22*(F_MR/12)),0)</f>
        <v>0</v>
      </c>
      <c r="T22" s="1" t="n">
        <f aca="false">IF(G22&gt;PR_BalDone,MIN(F_MortPayM,G22+G22*(F_MR/12)),0)</f>
        <v>0</v>
      </c>
      <c r="U22" s="1" t="n">
        <f aca="false">IF(H22&gt;PR_BalDone,MIN(F_MortPayM,H22+H22*(F_MR/12)),0)</f>
        <v>0</v>
      </c>
      <c r="V22" s="1" t="n">
        <f aca="false">IF(I22&gt;PR_BalDone,MIN(F_MortPayM,I22+I22*(F_MR/12)),0)</f>
        <v>0</v>
      </c>
      <c r="W22" s="1" t="n">
        <f aca="false">IF(J22&gt;PR_BalDone,MIN(F_MortPayM,J22+J22*(F_MR/12)),0)</f>
        <v>0</v>
      </c>
      <c r="X22" s="1" t="n">
        <f aca="false">IF(K22&gt;PR_BalDone,MIN(F_MortPayM,K22+K22*(F_MR/12)),0)</f>
        <v>0</v>
      </c>
      <c r="Y22" s="1" t="n">
        <f aca="false">IF(L22&gt;PR_BalDone,MIN(F_MortPayM,L22+L22*(F_MR/12)),0)</f>
        <v>0</v>
      </c>
      <c r="Z22" s="1" t="n">
        <f aca="false">IF(M22&gt;PR_BalDone,MIN(F_MortPayM,M22+M22*(F_MR/12)),0)</f>
        <v>0</v>
      </c>
      <c r="AA22" s="1" t="n">
        <f aca="false">IF(N22&gt;PR_BalDone,MIN(F_MortPayM,N22+N22*(F_MR/12)),0)</f>
        <v>0</v>
      </c>
      <c r="AB22" s="1" t="n">
        <f aca="false">MAX(0,O22)</f>
        <v>0</v>
      </c>
      <c r="AC22" s="1" t="n">
        <f aca="false">SUM(P22:AA22)</f>
        <v>0</v>
      </c>
      <c r="AD22" s="1" t="n">
        <f aca="false">'Plan cashflow'!L22</f>
        <v>0</v>
      </c>
      <c r="AE22" s="1" t="n">
        <f aca="false">IF(AD22&gt;PR_BalDone,AD22+AD22*(D_iC)-MIN(F_CardPayM,AD22+AD22*(D_iC)),AD22)</f>
        <v>0</v>
      </c>
      <c r="AF22" s="1" t="n">
        <f aca="false">IF(AE22&gt;PR_BalDone,AE22+AE22*(D_iC)-MIN(F_CardPayM,AE22+AE22*(D_iC)),AE22)</f>
        <v>0</v>
      </c>
      <c r="AG22" s="1" t="n">
        <f aca="false">IF(AF22&gt;PR_BalDone,AF22+AF22*(D_iC)-MIN(F_CardPayM,AF22+AF22*(D_iC)),AF22)</f>
        <v>0</v>
      </c>
      <c r="AH22" s="1" t="n">
        <f aca="false">IF(AG22&gt;PR_BalDone,AG22+AG22*(D_iC)-MIN(F_CardPayM,AG22+AG22*(D_iC)),AG22)</f>
        <v>0</v>
      </c>
      <c r="AI22" s="1" t="n">
        <f aca="false">IF(AH22&gt;PR_BalDone,AH22+AH22*(D_iC)-MIN(F_CardPayM,AH22+AH22*(D_iC)),AH22)</f>
        <v>0</v>
      </c>
      <c r="AJ22" s="1" t="n">
        <f aca="false">IF(AI22&gt;PR_BalDone,AI22+AI22*(D_iC)-MIN(F_CardPayM,AI22+AI22*(D_iC)),AI22)</f>
        <v>0</v>
      </c>
      <c r="AK22" s="1" t="n">
        <f aca="false">IF(AJ22&gt;PR_BalDone,AJ22+AJ22*(D_iC)-MIN(F_CardPayM,AJ22+AJ22*(D_iC)),AJ22)</f>
        <v>0</v>
      </c>
      <c r="AL22" s="1" t="n">
        <f aca="false">IF(AK22&gt;PR_BalDone,AK22+AK22*(D_iC)-MIN(F_CardPayM,AK22+AK22*(D_iC)),AK22)</f>
        <v>0</v>
      </c>
      <c r="AM22" s="1" t="n">
        <f aca="false">IF(AL22&gt;PR_BalDone,AL22+AL22*(D_iC)-MIN(F_CardPayM,AL22+AL22*(D_iC)),AL22)</f>
        <v>0</v>
      </c>
      <c r="AN22" s="1" t="n">
        <f aca="false">IF(AM22&gt;PR_BalDone,AM22+AM22*(D_iC)-MIN(F_CardPayM,AM22+AM22*(D_iC)),AM22)</f>
        <v>0</v>
      </c>
      <c r="AO22" s="1" t="n">
        <f aca="false">IF(AN22&gt;PR_BalDone,AN22+AN22*(D_iC)-MIN(F_CardPayM,AN22+AN22*(D_iC)),AN22)</f>
        <v>0</v>
      </c>
      <c r="AP22" s="1" t="n">
        <f aca="false">IF(AO22&gt;PR_BalDone,AO22+AO22*(D_iC)-MIN(F_CardPayM,AO22+AO22*(D_iC)),AO22)</f>
        <v>0</v>
      </c>
      <c r="AQ22" s="1" t="n">
        <f aca="false">IF(AD22&gt;PR_BalDone,MIN(F_CardPayM,AD22+AD22*(D_iC)),0)</f>
        <v>0</v>
      </c>
      <c r="AR22" s="1" t="n">
        <f aca="false">IF(AE22&gt;PR_BalDone,MIN(F_CardPayM,AE22+AE22*(D_iC)),0)</f>
        <v>0</v>
      </c>
      <c r="AS22" s="1" t="n">
        <f aca="false">IF(AF22&gt;PR_BalDone,MIN(F_CardPayM,AF22+AF22*(D_iC)),0)</f>
        <v>0</v>
      </c>
      <c r="AT22" s="1" t="n">
        <f aca="false">IF(AG22&gt;PR_BalDone,MIN(F_CardPayM,AG22+AG22*(D_iC)),0)</f>
        <v>0</v>
      </c>
      <c r="AU22" s="1" t="n">
        <f aca="false">IF(AH22&gt;PR_BalDone,MIN(F_CardPayM,AH22+AH22*(D_iC)),0)</f>
        <v>0</v>
      </c>
      <c r="AV22" s="1" t="n">
        <f aca="false">IF(AI22&gt;PR_BalDone,MIN(F_CardPayM,AI22+AI22*(D_iC)),0)</f>
        <v>0</v>
      </c>
      <c r="AW22" s="1" t="n">
        <f aca="false">IF(AJ22&gt;PR_BalDone,MIN(F_CardPayM,AJ22+AJ22*(D_iC)),0)</f>
        <v>0</v>
      </c>
      <c r="AX22" s="1" t="n">
        <f aca="false">IF(AK22&gt;PR_BalDone,MIN(F_CardPayM,AK22+AK22*(D_iC)),0)</f>
        <v>0</v>
      </c>
      <c r="AY22" s="1" t="n">
        <f aca="false">IF(AL22&gt;PR_BalDone,MIN(F_CardPayM,AL22+AL22*(D_iC)),0)</f>
        <v>0</v>
      </c>
      <c r="AZ22" s="1" t="n">
        <f aca="false">IF(AM22&gt;PR_BalDone,MIN(F_CardPayM,AM22+AM22*(D_iC)),0)</f>
        <v>0</v>
      </c>
      <c r="BA22" s="1" t="n">
        <f aca="false">IF(AN22&gt;PR_BalDone,MIN(F_CardPayM,AN22+AN22*(D_iC)),0)</f>
        <v>0</v>
      </c>
      <c r="BB22" s="1" t="n">
        <f aca="false">IF(AO22&gt;PR_BalDone,MIN(F_CardPayM,AO22+AO22*(D_iC)),0)</f>
        <v>0</v>
      </c>
      <c r="BC22" s="1" t="n">
        <f aca="false">MAX(0,AP22)</f>
        <v>0</v>
      </c>
      <c r="BD22" s="1" t="n">
        <f aca="false">SUM(AQ22:BB22)</f>
        <v>0</v>
      </c>
      <c r="BE22" s="1" t="n">
        <f aca="false">'Plan cashflow'!O22</f>
        <v>0</v>
      </c>
      <c r="BF22" s="1" t="n">
        <f aca="false">IF(BE22&gt;PR_BalDone,BE22+BE22*(D_iL)-MIN(F_LoanPayM,BE22+BE22*(D_iL)),BE22)</f>
        <v>0</v>
      </c>
      <c r="BG22" s="1" t="n">
        <f aca="false">IF(BF22&gt;PR_BalDone,BF22+BF22*(D_iL)-MIN(F_LoanPayM,BF22+BF22*(D_iL)),BF22)</f>
        <v>0</v>
      </c>
      <c r="BH22" s="1" t="n">
        <f aca="false">IF(BG22&gt;PR_BalDone,BG22+BG22*(D_iL)-MIN(F_LoanPayM,BG22+BG22*(D_iL)),BG22)</f>
        <v>0</v>
      </c>
      <c r="BI22" s="1" t="n">
        <f aca="false">IF(BH22&gt;PR_BalDone,BH22+BH22*(D_iL)-MIN(F_LoanPayM,BH22+BH22*(D_iL)),BH22)</f>
        <v>0</v>
      </c>
      <c r="BJ22" s="1" t="n">
        <f aca="false">IF(BI22&gt;PR_BalDone,BI22+BI22*(D_iL)-MIN(F_LoanPayM,BI22+BI22*(D_iL)),BI22)</f>
        <v>0</v>
      </c>
      <c r="BK22" s="1" t="n">
        <f aca="false">IF(BJ22&gt;PR_BalDone,BJ22+BJ22*(D_iL)-MIN(F_LoanPayM,BJ22+BJ22*(D_iL)),BJ22)</f>
        <v>0</v>
      </c>
      <c r="BL22" s="1" t="n">
        <f aca="false">IF(BK22&gt;PR_BalDone,BK22+BK22*(D_iL)-MIN(F_LoanPayM,BK22+BK22*(D_iL)),BK22)</f>
        <v>0</v>
      </c>
      <c r="BM22" s="1" t="n">
        <f aca="false">IF(BL22&gt;PR_BalDone,BL22+BL22*(D_iL)-MIN(F_LoanPayM,BL22+BL22*(D_iL)),BL22)</f>
        <v>0</v>
      </c>
      <c r="BN22" s="1" t="n">
        <f aca="false">IF(BM22&gt;PR_BalDone,BM22+BM22*(D_iL)-MIN(F_LoanPayM,BM22+BM22*(D_iL)),BM22)</f>
        <v>0</v>
      </c>
      <c r="BO22" s="1" t="n">
        <f aca="false">IF(BN22&gt;PR_BalDone,BN22+BN22*(D_iL)-MIN(F_LoanPayM,BN22+BN22*(D_iL)),BN22)</f>
        <v>0</v>
      </c>
      <c r="BP22" s="1" t="n">
        <f aca="false">IF(BO22&gt;PR_BalDone,BO22+BO22*(D_iL)-MIN(F_LoanPayM,BO22+BO22*(D_iL)),BO22)</f>
        <v>0</v>
      </c>
      <c r="BQ22" s="1" t="n">
        <f aca="false">IF(BP22&gt;PR_BalDone,BP22+BP22*(D_iL)-MIN(F_LoanPayM,BP22+BP22*(D_iL)),BP22)</f>
        <v>0</v>
      </c>
      <c r="BR22" s="1" t="n">
        <f aca="false">IF(BE22&gt;PR_BalDone,MIN(F_LoanPayM,BE22+BE22*(D_iL)),0)</f>
        <v>0</v>
      </c>
      <c r="BS22" s="1" t="n">
        <f aca="false">IF(BF22&gt;PR_BalDone,MIN(F_LoanPayM,BF22+BF22*(D_iL)),0)</f>
        <v>0</v>
      </c>
      <c r="BT22" s="1" t="n">
        <f aca="false">IF(BG22&gt;PR_BalDone,MIN(F_LoanPayM,BG22+BG22*(D_iL)),0)</f>
        <v>0</v>
      </c>
      <c r="BU22" s="1" t="n">
        <f aca="false">IF(BH22&gt;PR_BalDone,MIN(F_LoanPayM,BH22+BH22*(D_iL)),0)</f>
        <v>0</v>
      </c>
      <c r="BV22" s="1" t="n">
        <f aca="false">IF(BI22&gt;PR_BalDone,MIN(F_LoanPayM,BI22+BI22*(D_iL)),0)</f>
        <v>0</v>
      </c>
      <c r="BW22" s="1" t="n">
        <f aca="false">IF(BJ22&gt;PR_BalDone,MIN(F_LoanPayM,BJ22+BJ22*(D_iL)),0)</f>
        <v>0</v>
      </c>
      <c r="BX22" s="1" t="n">
        <f aca="false">IF(BK22&gt;PR_BalDone,MIN(F_LoanPayM,BK22+BK22*(D_iL)),0)</f>
        <v>0</v>
      </c>
      <c r="BY22" s="1" t="n">
        <f aca="false">IF(BL22&gt;PR_BalDone,MIN(F_LoanPayM,BL22+BL22*(D_iL)),0)</f>
        <v>0</v>
      </c>
      <c r="BZ22" s="1" t="n">
        <f aca="false">IF(BM22&gt;PR_BalDone,MIN(F_LoanPayM,BM22+BM22*(D_iL)),0)</f>
        <v>0</v>
      </c>
      <c r="CA22" s="1" t="n">
        <f aca="false">IF(BN22&gt;PR_BalDone,MIN(F_LoanPayM,BN22+BN22*(D_iL)),0)</f>
        <v>0</v>
      </c>
      <c r="CB22" s="1" t="n">
        <f aca="false">IF(BO22&gt;PR_BalDone,MIN(F_LoanPayM,BO22+BO22*(D_iL)),0)</f>
        <v>0</v>
      </c>
      <c r="CC22" s="1" t="n">
        <f aca="false">IF(BP22&gt;PR_BalDone,MIN(F_LoanPayM,BP22+BP22*(D_iL)),0)</f>
        <v>0</v>
      </c>
      <c r="CD22" s="1" t="n">
        <f aca="false">MAX(0,BQ22)</f>
        <v>0</v>
      </c>
      <c r="CE22" s="1" t="n">
        <f aca="false">SUM(BR22:CC22)</f>
        <v>0</v>
      </c>
      <c r="CF22" s="1" t="n">
        <f aca="false">IF(CF21&gt;1,DE21,CF21)</f>
        <v>0</v>
      </c>
      <c r="CG22" s="1" t="n">
        <f aca="false">IF(CF22&gt;PR_BalDone,CF22+CF22*(F_MR/12)-MIN(F_MortPayM,CF22+CF22*(F_MR/12)),CF22)</f>
        <v>0</v>
      </c>
      <c r="CH22" s="1" t="n">
        <f aca="false">IF(CG22&gt;PR_BalDone,CG22+CG22*(F_MR/12)-MIN(F_MortPayM,CG22+CG22*(F_MR/12)),CG22)</f>
        <v>0</v>
      </c>
      <c r="CI22" s="1" t="n">
        <f aca="false">IF(CH22&gt;PR_BalDone,CH22+CH22*(F_MR/12)-MIN(F_MortPayM,CH22+CH22*(F_MR/12)),CH22)</f>
        <v>0</v>
      </c>
      <c r="CJ22" s="1" t="n">
        <f aca="false">IF(CI22&gt;PR_BalDone,CI22+CI22*(F_MR/12)-MIN(F_MortPayM,CI22+CI22*(F_MR/12)),CI22)</f>
        <v>0</v>
      </c>
      <c r="CK22" s="1" t="n">
        <f aca="false">IF(CJ22&gt;PR_BalDone,CJ22+CJ22*(F_MR/12)-MIN(F_MortPayM,CJ22+CJ22*(F_MR/12)),CJ22)</f>
        <v>0</v>
      </c>
      <c r="CL22" s="1" t="n">
        <f aca="false">IF(CK22&gt;PR_BalDone,CK22+CK22*(F_MR/12)-MIN(F_MortPayM,CK22+CK22*(F_MR/12)),CK22)</f>
        <v>0</v>
      </c>
      <c r="CM22" s="1" t="n">
        <f aca="false">IF(CL22&gt;PR_BalDone,CL22+CL22*(F_MR/12)-MIN(F_MortPayM,CL22+CL22*(F_MR/12)),CL22)</f>
        <v>0</v>
      </c>
      <c r="CN22" s="1" t="n">
        <f aca="false">IF(CM22&gt;PR_BalDone,CM22+CM22*(F_MR/12)-MIN(F_MortPayM,CM22+CM22*(F_MR/12)),CM22)</f>
        <v>0</v>
      </c>
      <c r="CO22" s="1" t="n">
        <f aca="false">IF(CN22&gt;PR_BalDone,CN22+CN22*(F_MR/12)-MIN(F_MortPayM,CN22+CN22*(F_MR/12)),CN22)</f>
        <v>0</v>
      </c>
      <c r="CP22" s="1" t="n">
        <f aca="false">IF(CO22&gt;PR_BalDone,CO22+CO22*(F_MR/12)-MIN(F_MortPayM,CO22+CO22*(F_MR/12)),CO22)</f>
        <v>0</v>
      </c>
      <c r="CQ22" s="1" t="n">
        <f aca="false">IF(CP22&gt;PR_BalDone,CP22+CP22*(F_MR/12)-MIN(F_MortPayM,CP22+CP22*(F_MR/12)),CP22)</f>
        <v>0</v>
      </c>
      <c r="CR22" s="1" t="n">
        <f aca="false">IF(CQ22&gt;PR_BalDone,CQ22+CQ22*(F_MR/12)-MIN(F_MortPayM,CQ22+CQ22*(F_MR/12)),CQ22)</f>
        <v>0</v>
      </c>
      <c r="CS22" s="1" t="n">
        <f aca="false">IF(CF22&gt;PR_BalDone,MIN(F_MortPayM,CF22+CF22*(F_MR/12)),0)</f>
        <v>0</v>
      </c>
      <c r="CT22" s="1" t="n">
        <f aca="false">IF(CG22&gt;PR_BalDone,MIN(F_MortPayM,CG22+CG22*(F_MR/12)),0)</f>
        <v>0</v>
      </c>
      <c r="CU22" s="1" t="n">
        <f aca="false">IF(CH22&gt;PR_BalDone,MIN(F_MortPayM,CH22+CH22*(F_MR/12)),0)</f>
        <v>0</v>
      </c>
      <c r="CV22" s="1" t="n">
        <f aca="false">IF(CI22&gt;PR_BalDone,MIN(F_MortPayM,CI22+CI22*(F_MR/12)),0)</f>
        <v>0</v>
      </c>
      <c r="CW22" s="1" t="n">
        <f aca="false">IF(CJ22&gt;PR_BalDone,MIN(F_MortPayM,CJ22+CJ22*(F_MR/12)),0)</f>
        <v>0</v>
      </c>
      <c r="CX22" s="1" t="n">
        <f aca="false">IF(CK22&gt;PR_BalDone,MIN(F_MortPayM,CK22+CK22*(F_MR/12)),0)</f>
        <v>0</v>
      </c>
      <c r="CY22" s="1" t="n">
        <f aca="false">IF(CL22&gt;PR_BalDone,MIN(F_MortPayM,CL22+CL22*(F_MR/12)),0)</f>
        <v>0</v>
      </c>
      <c r="CZ22" s="1" t="n">
        <f aca="false">IF(CM22&gt;PR_BalDone,MIN(F_MortPayM,CM22+CM22*(F_MR/12)),0)</f>
        <v>0</v>
      </c>
      <c r="DA22" s="1" t="n">
        <f aca="false">IF(CN22&gt;PR_BalDone,MIN(F_MortPayM,CN22+CN22*(F_MR/12)),0)</f>
        <v>0</v>
      </c>
      <c r="DB22" s="1" t="n">
        <f aca="false">IF(CO22&gt;PR_BalDone,MIN(F_MortPayM,CO22+CO22*(F_MR/12)),0)</f>
        <v>0</v>
      </c>
      <c r="DC22" s="1" t="n">
        <f aca="false">IF(CP22&gt;PR_BalDone,MIN(F_MortPayM,CP22+CP22*(F_MR/12)),0)</f>
        <v>0</v>
      </c>
      <c r="DD22" s="1" t="n">
        <f aca="false">IF(CQ22&gt;PR_BalDone,MIN(F_MortPayM,CQ22+CQ22*(F_MR/12)),0)</f>
        <v>0</v>
      </c>
      <c r="DE22" s="1" t="n">
        <f aca="false">MAX(0,CR22)</f>
        <v>0</v>
      </c>
      <c r="DF22" s="1" t="n">
        <f aca="false">SUM(CS22:DD22)</f>
        <v>0</v>
      </c>
      <c r="DG22" s="1" t="n">
        <f aca="false">MAX(0,CF22)</f>
        <v>0</v>
      </c>
    </row>
    <row r="23" customFormat="false" ht="15" hidden="false" customHeight="true" outlineLevel="0" collapsed="false">
      <c r="B23" s="1" t="n">
        <v>15</v>
      </c>
      <c r="C23" s="1" t="n">
        <f aca="false">'Plan cashflow'!I23</f>
        <v>0</v>
      </c>
      <c r="D23" s="1" t="n">
        <f aca="false">IF(C23&gt;PR_BalDone,C23+C23*(F_MR/12)-MIN(F_MortPayM,C23+C23*(F_MR/12)),C23)</f>
        <v>0</v>
      </c>
      <c r="E23" s="1" t="n">
        <f aca="false">IF(D23&gt;PR_BalDone,D23+D23*(F_MR/12)-MIN(F_MortPayM,D23+D23*(F_MR/12)),D23)</f>
        <v>0</v>
      </c>
      <c r="F23" s="1" t="n">
        <f aca="false">IF(E23&gt;PR_BalDone,E23+E23*(F_MR/12)-MIN(F_MortPayM,E23+E23*(F_MR/12)),E23)</f>
        <v>0</v>
      </c>
      <c r="G23" s="1" t="n">
        <f aca="false">IF(F23&gt;PR_BalDone,F23+F23*(F_MR/12)-MIN(F_MortPayM,F23+F23*(F_MR/12)),F23)</f>
        <v>0</v>
      </c>
      <c r="H23" s="1" t="n">
        <f aca="false">IF(G23&gt;PR_BalDone,G23+G23*(F_MR/12)-MIN(F_MortPayM,G23+G23*(F_MR/12)),G23)</f>
        <v>0</v>
      </c>
      <c r="I23" s="1" t="n">
        <f aca="false">IF(H23&gt;PR_BalDone,H23+H23*(F_MR/12)-MIN(F_MortPayM,H23+H23*(F_MR/12)),H23)</f>
        <v>0</v>
      </c>
      <c r="J23" s="1" t="n">
        <f aca="false">IF(I23&gt;PR_BalDone,I23+I23*(F_MR/12)-MIN(F_MortPayM,I23+I23*(F_MR/12)),I23)</f>
        <v>0</v>
      </c>
      <c r="K23" s="1" t="n">
        <f aca="false">IF(J23&gt;PR_BalDone,J23+J23*(F_MR/12)-MIN(F_MortPayM,J23+J23*(F_MR/12)),J23)</f>
        <v>0</v>
      </c>
      <c r="L23" s="1" t="n">
        <f aca="false">IF(K23&gt;PR_BalDone,K23+K23*(F_MR/12)-MIN(F_MortPayM,K23+K23*(F_MR/12)),K23)</f>
        <v>0</v>
      </c>
      <c r="M23" s="1" t="n">
        <f aca="false">IF(L23&gt;PR_BalDone,L23+L23*(F_MR/12)-MIN(F_MortPayM,L23+L23*(F_MR/12)),L23)</f>
        <v>0</v>
      </c>
      <c r="N23" s="1" t="n">
        <f aca="false">IF(M23&gt;PR_BalDone,M23+M23*(F_MR/12)-MIN(F_MortPayM,M23+M23*(F_MR/12)),M23)</f>
        <v>0</v>
      </c>
      <c r="O23" s="1" t="n">
        <f aca="false">IF(N23&gt;PR_BalDone,N23+N23*(F_MR/12)-MIN(F_MortPayM,N23+N23*(F_MR/12)),N23)</f>
        <v>0</v>
      </c>
      <c r="P23" s="1" t="n">
        <f aca="false">IF(C23&gt;PR_BalDone,MIN(F_MortPayM,C23+C23*(F_MR/12)),0)</f>
        <v>0</v>
      </c>
      <c r="Q23" s="1" t="n">
        <f aca="false">IF(D23&gt;PR_BalDone,MIN(F_MortPayM,D23+D23*(F_MR/12)),0)</f>
        <v>0</v>
      </c>
      <c r="R23" s="1" t="n">
        <f aca="false">IF(E23&gt;PR_BalDone,MIN(F_MortPayM,E23+E23*(F_MR/12)),0)</f>
        <v>0</v>
      </c>
      <c r="S23" s="1" t="n">
        <f aca="false">IF(F23&gt;PR_BalDone,MIN(F_MortPayM,F23+F23*(F_MR/12)),0)</f>
        <v>0</v>
      </c>
      <c r="T23" s="1" t="n">
        <f aca="false">IF(G23&gt;PR_BalDone,MIN(F_MortPayM,G23+G23*(F_MR/12)),0)</f>
        <v>0</v>
      </c>
      <c r="U23" s="1" t="n">
        <f aca="false">IF(H23&gt;PR_BalDone,MIN(F_MortPayM,H23+H23*(F_MR/12)),0)</f>
        <v>0</v>
      </c>
      <c r="V23" s="1" t="n">
        <f aca="false">IF(I23&gt;PR_BalDone,MIN(F_MortPayM,I23+I23*(F_MR/12)),0)</f>
        <v>0</v>
      </c>
      <c r="W23" s="1" t="n">
        <f aca="false">IF(J23&gt;PR_BalDone,MIN(F_MortPayM,J23+J23*(F_MR/12)),0)</f>
        <v>0</v>
      </c>
      <c r="X23" s="1" t="n">
        <f aca="false">IF(K23&gt;PR_BalDone,MIN(F_MortPayM,K23+K23*(F_MR/12)),0)</f>
        <v>0</v>
      </c>
      <c r="Y23" s="1" t="n">
        <f aca="false">IF(L23&gt;PR_BalDone,MIN(F_MortPayM,L23+L23*(F_MR/12)),0)</f>
        <v>0</v>
      </c>
      <c r="Z23" s="1" t="n">
        <f aca="false">IF(M23&gt;PR_BalDone,MIN(F_MortPayM,M23+M23*(F_MR/12)),0)</f>
        <v>0</v>
      </c>
      <c r="AA23" s="1" t="n">
        <f aca="false">IF(N23&gt;PR_BalDone,MIN(F_MortPayM,N23+N23*(F_MR/12)),0)</f>
        <v>0</v>
      </c>
      <c r="AB23" s="1" t="n">
        <f aca="false">MAX(0,O23)</f>
        <v>0</v>
      </c>
      <c r="AC23" s="1" t="n">
        <f aca="false">SUM(P23:AA23)</f>
        <v>0</v>
      </c>
      <c r="AD23" s="1" t="n">
        <f aca="false">'Plan cashflow'!L23</f>
        <v>0</v>
      </c>
      <c r="AE23" s="1" t="n">
        <f aca="false">IF(AD23&gt;PR_BalDone,AD23+AD23*(D_iC)-MIN(F_CardPayM,AD23+AD23*(D_iC)),AD23)</f>
        <v>0</v>
      </c>
      <c r="AF23" s="1" t="n">
        <f aca="false">IF(AE23&gt;PR_BalDone,AE23+AE23*(D_iC)-MIN(F_CardPayM,AE23+AE23*(D_iC)),AE23)</f>
        <v>0</v>
      </c>
      <c r="AG23" s="1" t="n">
        <f aca="false">IF(AF23&gt;PR_BalDone,AF23+AF23*(D_iC)-MIN(F_CardPayM,AF23+AF23*(D_iC)),AF23)</f>
        <v>0</v>
      </c>
      <c r="AH23" s="1" t="n">
        <f aca="false">IF(AG23&gt;PR_BalDone,AG23+AG23*(D_iC)-MIN(F_CardPayM,AG23+AG23*(D_iC)),AG23)</f>
        <v>0</v>
      </c>
      <c r="AI23" s="1" t="n">
        <f aca="false">IF(AH23&gt;PR_BalDone,AH23+AH23*(D_iC)-MIN(F_CardPayM,AH23+AH23*(D_iC)),AH23)</f>
        <v>0</v>
      </c>
      <c r="AJ23" s="1" t="n">
        <f aca="false">IF(AI23&gt;PR_BalDone,AI23+AI23*(D_iC)-MIN(F_CardPayM,AI23+AI23*(D_iC)),AI23)</f>
        <v>0</v>
      </c>
      <c r="AK23" s="1" t="n">
        <f aca="false">IF(AJ23&gt;PR_BalDone,AJ23+AJ23*(D_iC)-MIN(F_CardPayM,AJ23+AJ23*(D_iC)),AJ23)</f>
        <v>0</v>
      </c>
      <c r="AL23" s="1" t="n">
        <f aca="false">IF(AK23&gt;PR_BalDone,AK23+AK23*(D_iC)-MIN(F_CardPayM,AK23+AK23*(D_iC)),AK23)</f>
        <v>0</v>
      </c>
      <c r="AM23" s="1" t="n">
        <f aca="false">IF(AL23&gt;PR_BalDone,AL23+AL23*(D_iC)-MIN(F_CardPayM,AL23+AL23*(D_iC)),AL23)</f>
        <v>0</v>
      </c>
      <c r="AN23" s="1" t="n">
        <f aca="false">IF(AM23&gt;PR_BalDone,AM23+AM23*(D_iC)-MIN(F_CardPayM,AM23+AM23*(D_iC)),AM23)</f>
        <v>0</v>
      </c>
      <c r="AO23" s="1" t="n">
        <f aca="false">IF(AN23&gt;PR_BalDone,AN23+AN23*(D_iC)-MIN(F_CardPayM,AN23+AN23*(D_iC)),AN23)</f>
        <v>0</v>
      </c>
      <c r="AP23" s="1" t="n">
        <f aca="false">IF(AO23&gt;PR_BalDone,AO23+AO23*(D_iC)-MIN(F_CardPayM,AO23+AO23*(D_iC)),AO23)</f>
        <v>0</v>
      </c>
      <c r="AQ23" s="1" t="n">
        <f aca="false">IF(AD23&gt;PR_BalDone,MIN(F_CardPayM,AD23+AD23*(D_iC)),0)</f>
        <v>0</v>
      </c>
      <c r="AR23" s="1" t="n">
        <f aca="false">IF(AE23&gt;PR_BalDone,MIN(F_CardPayM,AE23+AE23*(D_iC)),0)</f>
        <v>0</v>
      </c>
      <c r="AS23" s="1" t="n">
        <f aca="false">IF(AF23&gt;PR_BalDone,MIN(F_CardPayM,AF23+AF23*(D_iC)),0)</f>
        <v>0</v>
      </c>
      <c r="AT23" s="1" t="n">
        <f aca="false">IF(AG23&gt;PR_BalDone,MIN(F_CardPayM,AG23+AG23*(D_iC)),0)</f>
        <v>0</v>
      </c>
      <c r="AU23" s="1" t="n">
        <f aca="false">IF(AH23&gt;PR_BalDone,MIN(F_CardPayM,AH23+AH23*(D_iC)),0)</f>
        <v>0</v>
      </c>
      <c r="AV23" s="1" t="n">
        <f aca="false">IF(AI23&gt;PR_BalDone,MIN(F_CardPayM,AI23+AI23*(D_iC)),0)</f>
        <v>0</v>
      </c>
      <c r="AW23" s="1" t="n">
        <f aca="false">IF(AJ23&gt;PR_BalDone,MIN(F_CardPayM,AJ23+AJ23*(D_iC)),0)</f>
        <v>0</v>
      </c>
      <c r="AX23" s="1" t="n">
        <f aca="false">IF(AK23&gt;PR_BalDone,MIN(F_CardPayM,AK23+AK23*(D_iC)),0)</f>
        <v>0</v>
      </c>
      <c r="AY23" s="1" t="n">
        <f aca="false">IF(AL23&gt;PR_BalDone,MIN(F_CardPayM,AL23+AL23*(D_iC)),0)</f>
        <v>0</v>
      </c>
      <c r="AZ23" s="1" t="n">
        <f aca="false">IF(AM23&gt;PR_BalDone,MIN(F_CardPayM,AM23+AM23*(D_iC)),0)</f>
        <v>0</v>
      </c>
      <c r="BA23" s="1" t="n">
        <f aca="false">IF(AN23&gt;PR_BalDone,MIN(F_CardPayM,AN23+AN23*(D_iC)),0)</f>
        <v>0</v>
      </c>
      <c r="BB23" s="1" t="n">
        <f aca="false">IF(AO23&gt;PR_BalDone,MIN(F_CardPayM,AO23+AO23*(D_iC)),0)</f>
        <v>0</v>
      </c>
      <c r="BC23" s="1" t="n">
        <f aca="false">MAX(0,AP23)</f>
        <v>0</v>
      </c>
      <c r="BD23" s="1" t="n">
        <f aca="false">SUM(AQ23:BB23)</f>
        <v>0</v>
      </c>
      <c r="BE23" s="1" t="n">
        <f aca="false">'Plan cashflow'!O23</f>
        <v>0</v>
      </c>
      <c r="BF23" s="1" t="n">
        <f aca="false">IF(BE23&gt;PR_BalDone,BE23+BE23*(D_iL)-MIN(F_LoanPayM,BE23+BE23*(D_iL)),BE23)</f>
        <v>0</v>
      </c>
      <c r="BG23" s="1" t="n">
        <f aca="false">IF(BF23&gt;PR_BalDone,BF23+BF23*(D_iL)-MIN(F_LoanPayM,BF23+BF23*(D_iL)),BF23)</f>
        <v>0</v>
      </c>
      <c r="BH23" s="1" t="n">
        <f aca="false">IF(BG23&gt;PR_BalDone,BG23+BG23*(D_iL)-MIN(F_LoanPayM,BG23+BG23*(D_iL)),BG23)</f>
        <v>0</v>
      </c>
      <c r="BI23" s="1" t="n">
        <f aca="false">IF(BH23&gt;PR_BalDone,BH23+BH23*(D_iL)-MIN(F_LoanPayM,BH23+BH23*(D_iL)),BH23)</f>
        <v>0</v>
      </c>
      <c r="BJ23" s="1" t="n">
        <f aca="false">IF(BI23&gt;PR_BalDone,BI23+BI23*(D_iL)-MIN(F_LoanPayM,BI23+BI23*(D_iL)),BI23)</f>
        <v>0</v>
      </c>
      <c r="BK23" s="1" t="n">
        <f aca="false">IF(BJ23&gt;PR_BalDone,BJ23+BJ23*(D_iL)-MIN(F_LoanPayM,BJ23+BJ23*(D_iL)),BJ23)</f>
        <v>0</v>
      </c>
      <c r="BL23" s="1" t="n">
        <f aca="false">IF(BK23&gt;PR_BalDone,BK23+BK23*(D_iL)-MIN(F_LoanPayM,BK23+BK23*(D_iL)),BK23)</f>
        <v>0</v>
      </c>
      <c r="BM23" s="1" t="n">
        <f aca="false">IF(BL23&gt;PR_BalDone,BL23+BL23*(D_iL)-MIN(F_LoanPayM,BL23+BL23*(D_iL)),BL23)</f>
        <v>0</v>
      </c>
      <c r="BN23" s="1" t="n">
        <f aca="false">IF(BM23&gt;PR_BalDone,BM23+BM23*(D_iL)-MIN(F_LoanPayM,BM23+BM23*(D_iL)),BM23)</f>
        <v>0</v>
      </c>
      <c r="BO23" s="1" t="n">
        <f aca="false">IF(BN23&gt;PR_BalDone,BN23+BN23*(D_iL)-MIN(F_LoanPayM,BN23+BN23*(D_iL)),BN23)</f>
        <v>0</v>
      </c>
      <c r="BP23" s="1" t="n">
        <f aca="false">IF(BO23&gt;PR_BalDone,BO23+BO23*(D_iL)-MIN(F_LoanPayM,BO23+BO23*(D_iL)),BO23)</f>
        <v>0</v>
      </c>
      <c r="BQ23" s="1" t="n">
        <f aca="false">IF(BP23&gt;PR_BalDone,BP23+BP23*(D_iL)-MIN(F_LoanPayM,BP23+BP23*(D_iL)),BP23)</f>
        <v>0</v>
      </c>
      <c r="BR23" s="1" t="n">
        <f aca="false">IF(BE23&gt;PR_BalDone,MIN(F_LoanPayM,BE23+BE23*(D_iL)),0)</f>
        <v>0</v>
      </c>
      <c r="BS23" s="1" t="n">
        <f aca="false">IF(BF23&gt;PR_BalDone,MIN(F_LoanPayM,BF23+BF23*(D_iL)),0)</f>
        <v>0</v>
      </c>
      <c r="BT23" s="1" t="n">
        <f aca="false">IF(BG23&gt;PR_BalDone,MIN(F_LoanPayM,BG23+BG23*(D_iL)),0)</f>
        <v>0</v>
      </c>
      <c r="BU23" s="1" t="n">
        <f aca="false">IF(BH23&gt;PR_BalDone,MIN(F_LoanPayM,BH23+BH23*(D_iL)),0)</f>
        <v>0</v>
      </c>
      <c r="BV23" s="1" t="n">
        <f aca="false">IF(BI23&gt;PR_BalDone,MIN(F_LoanPayM,BI23+BI23*(D_iL)),0)</f>
        <v>0</v>
      </c>
      <c r="BW23" s="1" t="n">
        <f aca="false">IF(BJ23&gt;PR_BalDone,MIN(F_LoanPayM,BJ23+BJ23*(D_iL)),0)</f>
        <v>0</v>
      </c>
      <c r="BX23" s="1" t="n">
        <f aca="false">IF(BK23&gt;PR_BalDone,MIN(F_LoanPayM,BK23+BK23*(D_iL)),0)</f>
        <v>0</v>
      </c>
      <c r="BY23" s="1" t="n">
        <f aca="false">IF(BL23&gt;PR_BalDone,MIN(F_LoanPayM,BL23+BL23*(D_iL)),0)</f>
        <v>0</v>
      </c>
      <c r="BZ23" s="1" t="n">
        <f aca="false">IF(BM23&gt;PR_BalDone,MIN(F_LoanPayM,BM23+BM23*(D_iL)),0)</f>
        <v>0</v>
      </c>
      <c r="CA23" s="1" t="n">
        <f aca="false">IF(BN23&gt;PR_BalDone,MIN(F_LoanPayM,BN23+BN23*(D_iL)),0)</f>
        <v>0</v>
      </c>
      <c r="CB23" s="1" t="n">
        <f aca="false">IF(BO23&gt;PR_BalDone,MIN(F_LoanPayM,BO23+BO23*(D_iL)),0)</f>
        <v>0</v>
      </c>
      <c r="CC23" s="1" t="n">
        <f aca="false">IF(BP23&gt;PR_BalDone,MIN(F_LoanPayM,BP23+BP23*(D_iL)),0)</f>
        <v>0</v>
      </c>
      <c r="CD23" s="1" t="n">
        <f aca="false">MAX(0,BQ23)</f>
        <v>0</v>
      </c>
      <c r="CE23" s="1" t="n">
        <f aca="false">SUM(BR23:CC23)</f>
        <v>0</v>
      </c>
      <c r="CF23" s="1" t="n">
        <f aca="false">IF(CF22&gt;1,DE22,CF22)</f>
        <v>0</v>
      </c>
      <c r="CG23" s="1" t="n">
        <f aca="false">IF(CF23&gt;PR_BalDone,CF23+CF23*(F_MR/12)-MIN(F_MortPayM,CF23+CF23*(F_MR/12)),CF23)</f>
        <v>0</v>
      </c>
      <c r="CH23" s="1" t="n">
        <f aca="false">IF(CG23&gt;PR_BalDone,CG23+CG23*(F_MR/12)-MIN(F_MortPayM,CG23+CG23*(F_MR/12)),CG23)</f>
        <v>0</v>
      </c>
      <c r="CI23" s="1" t="n">
        <f aca="false">IF(CH23&gt;PR_BalDone,CH23+CH23*(F_MR/12)-MIN(F_MortPayM,CH23+CH23*(F_MR/12)),CH23)</f>
        <v>0</v>
      </c>
      <c r="CJ23" s="1" t="n">
        <f aca="false">IF(CI23&gt;PR_BalDone,CI23+CI23*(F_MR/12)-MIN(F_MortPayM,CI23+CI23*(F_MR/12)),CI23)</f>
        <v>0</v>
      </c>
      <c r="CK23" s="1" t="n">
        <f aca="false">IF(CJ23&gt;PR_BalDone,CJ23+CJ23*(F_MR/12)-MIN(F_MortPayM,CJ23+CJ23*(F_MR/12)),CJ23)</f>
        <v>0</v>
      </c>
      <c r="CL23" s="1" t="n">
        <f aca="false">IF(CK23&gt;PR_BalDone,CK23+CK23*(F_MR/12)-MIN(F_MortPayM,CK23+CK23*(F_MR/12)),CK23)</f>
        <v>0</v>
      </c>
      <c r="CM23" s="1" t="n">
        <f aca="false">IF(CL23&gt;PR_BalDone,CL23+CL23*(F_MR/12)-MIN(F_MortPayM,CL23+CL23*(F_MR/12)),CL23)</f>
        <v>0</v>
      </c>
      <c r="CN23" s="1" t="n">
        <f aca="false">IF(CM23&gt;PR_BalDone,CM23+CM23*(F_MR/12)-MIN(F_MortPayM,CM23+CM23*(F_MR/12)),CM23)</f>
        <v>0</v>
      </c>
      <c r="CO23" s="1" t="n">
        <f aca="false">IF(CN23&gt;PR_BalDone,CN23+CN23*(F_MR/12)-MIN(F_MortPayM,CN23+CN23*(F_MR/12)),CN23)</f>
        <v>0</v>
      </c>
      <c r="CP23" s="1" t="n">
        <f aca="false">IF(CO23&gt;PR_BalDone,CO23+CO23*(F_MR/12)-MIN(F_MortPayM,CO23+CO23*(F_MR/12)),CO23)</f>
        <v>0</v>
      </c>
      <c r="CQ23" s="1" t="n">
        <f aca="false">IF(CP23&gt;PR_BalDone,CP23+CP23*(F_MR/12)-MIN(F_MortPayM,CP23+CP23*(F_MR/12)),CP23)</f>
        <v>0</v>
      </c>
      <c r="CR23" s="1" t="n">
        <f aca="false">IF(CQ23&gt;PR_BalDone,CQ23+CQ23*(F_MR/12)-MIN(F_MortPayM,CQ23+CQ23*(F_MR/12)),CQ23)</f>
        <v>0</v>
      </c>
      <c r="CS23" s="1" t="n">
        <f aca="false">IF(CF23&gt;PR_BalDone,MIN(F_MortPayM,CF23+CF23*(F_MR/12)),0)</f>
        <v>0</v>
      </c>
      <c r="CT23" s="1" t="n">
        <f aca="false">IF(CG23&gt;PR_BalDone,MIN(F_MortPayM,CG23+CG23*(F_MR/12)),0)</f>
        <v>0</v>
      </c>
      <c r="CU23" s="1" t="n">
        <f aca="false">IF(CH23&gt;PR_BalDone,MIN(F_MortPayM,CH23+CH23*(F_MR/12)),0)</f>
        <v>0</v>
      </c>
      <c r="CV23" s="1" t="n">
        <f aca="false">IF(CI23&gt;PR_BalDone,MIN(F_MortPayM,CI23+CI23*(F_MR/12)),0)</f>
        <v>0</v>
      </c>
      <c r="CW23" s="1" t="n">
        <f aca="false">IF(CJ23&gt;PR_BalDone,MIN(F_MortPayM,CJ23+CJ23*(F_MR/12)),0)</f>
        <v>0</v>
      </c>
      <c r="CX23" s="1" t="n">
        <f aca="false">IF(CK23&gt;PR_BalDone,MIN(F_MortPayM,CK23+CK23*(F_MR/12)),0)</f>
        <v>0</v>
      </c>
      <c r="CY23" s="1" t="n">
        <f aca="false">IF(CL23&gt;PR_BalDone,MIN(F_MortPayM,CL23+CL23*(F_MR/12)),0)</f>
        <v>0</v>
      </c>
      <c r="CZ23" s="1" t="n">
        <f aca="false">IF(CM23&gt;PR_BalDone,MIN(F_MortPayM,CM23+CM23*(F_MR/12)),0)</f>
        <v>0</v>
      </c>
      <c r="DA23" s="1" t="n">
        <f aca="false">IF(CN23&gt;PR_BalDone,MIN(F_MortPayM,CN23+CN23*(F_MR/12)),0)</f>
        <v>0</v>
      </c>
      <c r="DB23" s="1" t="n">
        <f aca="false">IF(CO23&gt;PR_BalDone,MIN(F_MortPayM,CO23+CO23*(F_MR/12)),0)</f>
        <v>0</v>
      </c>
      <c r="DC23" s="1" t="n">
        <f aca="false">IF(CP23&gt;PR_BalDone,MIN(F_MortPayM,CP23+CP23*(F_MR/12)),0)</f>
        <v>0</v>
      </c>
      <c r="DD23" s="1" t="n">
        <f aca="false">IF(CQ23&gt;PR_BalDone,MIN(F_MortPayM,CQ23+CQ23*(F_MR/12)),0)</f>
        <v>0</v>
      </c>
      <c r="DE23" s="1" t="n">
        <f aca="false">MAX(0,CR23)</f>
        <v>0</v>
      </c>
      <c r="DF23" s="1" t="n">
        <f aca="false">SUM(CS23:DD23)</f>
        <v>0</v>
      </c>
      <c r="DG23" s="1" t="n">
        <f aca="false">MAX(0,CF23)</f>
        <v>0</v>
      </c>
    </row>
    <row r="24" customFormat="false" ht="15" hidden="false" customHeight="true" outlineLevel="0" collapsed="false">
      <c r="B24" s="1" t="n">
        <v>16</v>
      </c>
      <c r="C24" s="1" t="n">
        <f aca="false">'Plan cashflow'!I24</f>
        <v>0</v>
      </c>
      <c r="D24" s="1" t="n">
        <f aca="false">IF(C24&gt;PR_BalDone,C24+C24*(F_MR/12)-MIN(F_MortPayM,C24+C24*(F_MR/12)),C24)</f>
        <v>0</v>
      </c>
      <c r="E24" s="1" t="n">
        <f aca="false">IF(D24&gt;PR_BalDone,D24+D24*(F_MR/12)-MIN(F_MortPayM,D24+D24*(F_MR/12)),D24)</f>
        <v>0</v>
      </c>
      <c r="F24" s="1" t="n">
        <f aca="false">IF(E24&gt;PR_BalDone,E24+E24*(F_MR/12)-MIN(F_MortPayM,E24+E24*(F_MR/12)),E24)</f>
        <v>0</v>
      </c>
      <c r="G24" s="1" t="n">
        <f aca="false">IF(F24&gt;PR_BalDone,F24+F24*(F_MR/12)-MIN(F_MortPayM,F24+F24*(F_MR/12)),F24)</f>
        <v>0</v>
      </c>
      <c r="H24" s="1" t="n">
        <f aca="false">IF(G24&gt;PR_BalDone,G24+G24*(F_MR/12)-MIN(F_MortPayM,G24+G24*(F_MR/12)),G24)</f>
        <v>0</v>
      </c>
      <c r="I24" s="1" t="n">
        <f aca="false">IF(H24&gt;PR_BalDone,H24+H24*(F_MR/12)-MIN(F_MortPayM,H24+H24*(F_MR/12)),H24)</f>
        <v>0</v>
      </c>
      <c r="J24" s="1" t="n">
        <f aca="false">IF(I24&gt;PR_BalDone,I24+I24*(F_MR/12)-MIN(F_MortPayM,I24+I24*(F_MR/12)),I24)</f>
        <v>0</v>
      </c>
      <c r="K24" s="1" t="n">
        <f aca="false">IF(J24&gt;PR_BalDone,J24+J24*(F_MR/12)-MIN(F_MortPayM,J24+J24*(F_MR/12)),J24)</f>
        <v>0</v>
      </c>
      <c r="L24" s="1" t="n">
        <f aca="false">IF(K24&gt;PR_BalDone,K24+K24*(F_MR/12)-MIN(F_MortPayM,K24+K24*(F_MR/12)),K24)</f>
        <v>0</v>
      </c>
      <c r="M24" s="1" t="n">
        <f aca="false">IF(L24&gt;PR_BalDone,L24+L24*(F_MR/12)-MIN(F_MortPayM,L24+L24*(F_MR/12)),L24)</f>
        <v>0</v>
      </c>
      <c r="N24" s="1" t="n">
        <f aca="false">IF(M24&gt;PR_BalDone,M24+M24*(F_MR/12)-MIN(F_MortPayM,M24+M24*(F_MR/12)),M24)</f>
        <v>0</v>
      </c>
      <c r="O24" s="1" t="n">
        <f aca="false">IF(N24&gt;PR_BalDone,N24+N24*(F_MR/12)-MIN(F_MortPayM,N24+N24*(F_MR/12)),N24)</f>
        <v>0</v>
      </c>
      <c r="P24" s="1" t="n">
        <f aca="false">IF(C24&gt;PR_BalDone,MIN(F_MortPayM,C24+C24*(F_MR/12)),0)</f>
        <v>0</v>
      </c>
      <c r="Q24" s="1" t="n">
        <f aca="false">IF(D24&gt;PR_BalDone,MIN(F_MortPayM,D24+D24*(F_MR/12)),0)</f>
        <v>0</v>
      </c>
      <c r="R24" s="1" t="n">
        <f aca="false">IF(E24&gt;PR_BalDone,MIN(F_MortPayM,E24+E24*(F_MR/12)),0)</f>
        <v>0</v>
      </c>
      <c r="S24" s="1" t="n">
        <f aca="false">IF(F24&gt;PR_BalDone,MIN(F_MortPayM,F24+F24*(F_MR/12)),0)</f>
        <v>0</v>
      </c>
      <c r="T24" s="1" t="n">
        <f aca="false">IF(G24&gt;PR_BalDone,MIN(F_MortPayM,G24+G24*(F_MR/12)),0)</f>
        <v>0</v>
      </c>
      <c r="U24" s="1" t="n">
        <f aca="false">IF(H24&gt;PR_BalDone,MIN(F_MortPayM,H24+H24*(F_MR/12)),0)</f>
        <v>0</v>
      </c>
      <c r="V24" s="1" t="n">
        <f aca="false">IF(I24&gt;PR_BalDone,MIN(F_MortPayM,I24+I24*(F_MR/12)),0)</f>
        <v>0</v>
      </c>
      <c r="W24" s="1" t="n">
        <f aca="false">IF(J24&gt;PR_BalDone,MIN(F_MortPayM,J24+J24*(F_MR/12)),0)</f>
        <v>0</v>
      </c>
      <c r="X24" s="1" t="n">
        <f aca="false">IF(K24&gt;PR_BalDone,MIN(F_MortPayM,K24+K24*(F_MR/12)),0)</f>
        <v>0</v>
      </c>
      <c r="Y24" s="1" t="n">
        <f aca="false">IF(L24&gt;PR_BalDone,MIN(F_MortPayM,L24+L24*(F_MR/12)),0)</f>
        <v>0</v>
      </c>
      <c r="Z24" s="1" t="n">
        <f aca="false">IF(M24&gt;PR_BalDone,MIN(F_MortPayM,M24+M24*(F_MR/12)),0)</f>
        <v>0</v>
      </c>
      <c r="AA24" s="1" t="n">
        <f aca="false">IF(N24&gt;PR_BalDone,MIN(F_MortPayM,N24+N24*(F_MR/12)),0)</f>
        <v>0</v>
      </c>
      <c r="AB24" s="1" t="n">
        <f aca="false">MAX(0,O24)</f>
        <v>0</v>
      </c>
      <c r="AC24" s="1" t="n">
        <f aca="false">SUM(P24:AA24)</f>
        <v>0</v>
      </c>
      <c r="AD24" s="1" t="n">
        <f aca="false">'Plan cashflow'!L24</f>
        <v>0</v>
      </c>
      <c r="AE24" s="1" t="n">
        <f aca="false">IF(AD24&gt;PR_BalDone,AD24+AD24*(D_iC)-MIN(F_CardPayM,AD24+AD24*(D_iC)),AD24)</f>
        <v>0</v>
      </c>
      <c r="AF24" s="1" t="n">
        <f aca="false">IF(AE24&gt;PR_BalDone,AE24+AE24*(D_iC)-MIN(F_CardPayM,AE24+AE24*(D_iC)),AE24)</f>
        <v>0</v>
      </c>
      <c r="AG24" s="1" t="n">
        <f aca="false">IF(AF24&gt;PR_BalDone,AF24+AF24*(D_iC)-MIN(F_CardPayM,AF24+AF24*(D_iC)),AF24)</f>
        <v>0</v>
      </c>
      <c r="AH24" s="1" t="n">
        <f aca="false">IF(AG24&gt;PR_BalDone,AG24+AG24*(D_iC)-MIN(F_CardPayM,AG24+AG24*(D_iC)),AG24)</f>
        <v>0</v>
      </c>
      <c r="AI24" s="1" t="n">
        <f aca="false">IF(AH24&gt;PR_BalDone,AH24+AH24*(D_iC)-MIN(F_CardPayM,AH24+AH24*(D_iC)),AH24)</f>
        <v>0</v>
      </c>
      <c r="AJ24" s="1" t="n">
        <f aca="false">IF(AI24&gt;PR_BalDone,AI24+AI24*(D_iC)-MIN(F_CardPayM,AI24+AI24*(D_iC)),AI24)</f>
        <v>0</v>
      </c>
      <c r="AK24" s="1" t="n">
        <f aca="false">IF(AJ24&gt;PR_BalDone,AJ24+AJ24*(D_iC)-MIN(F_CardPayM,AJ24+AJ24*(D_iC)),AJ24)</f>
        <v>0</v>
      </c>
      <c r="AL24" s="1" t="n">
        <f aca="false">IF(AK24&gt;PR_BalDone,AK24+AK24*(D_iC)-MIN(F_CardPayM,AK24+AK24*(D_iC)),AK24)</f>
        <v>0</v>
      </c>
      <c r="AM24" s="1" t="n">
        <f aca="false">IF(AL24&gt;PR_BalDone,AL24+AL24*(D_iC)-MIN(F_CardPayM,AL24+AL24*(D_iC)),AL24)</f>
        <v>0</v>
      </c>
      <c r="AN24" s="1" t="n">
        <f aca="false">IF(AM24&gt;PR_BalDone,AM24+AM24*(D_iC)-MIN(F_CardPayM,AM24+AM24*(D_iC)),AM24)</f>
        <v>0</v>
      </c>
      <c r="AO24" s="1" t="n">
        <f aca="false">IF(AN24&gt;PR_BalDone,AN24+AN24*(D_iC)-MIN(F_CardPayM,AN24+AN24*(D_iC)),AN24)</f>
        <v>0</v>
      </c>
      <c r="AP24" s="1" t="n">
        <f aca="false">IF(AO24&gt;PR_BalDone,AO24+AO24*(D_iC)-MIN(F_CardPayM,AO24+AO24*(D_iC)),AO24)</f>
        <v>0</v>
      </c>
      <c r="AQ24" s="1" t="n">
        <f aca="false">IF(AD24&gt;PR_BalDone,MIN(F_CardPayM,AD24+AD24*(D_iC)),0)</f>
        <v>0</v>
      </c>
      <c r="AR24" s="1" t="n">
        <f aca="false">IF(AE24&gt;PR_BalDone,MIN(F_CardPayM,AE24+AE24*(D_iC)),0)</f>
        <v>0</v>
      </c>
      <c r="AS24" s="1" t="n">
        <f aca="false">IF(AF24&gt;PR_BalDone,MIN(F_CardPayM,AF24+AF24*(D_iC)),0)</f>
        <v>0</v>
      </c>
      <c r="AT24" s="1" t="n">
        <f aca="false">IF(AG24&gt;PR_BalDone,MIN(F_CardPayM,AG24+AG24*(D_iC)),0)</f>
        <v>0</v>
      </c>
      <c r="AU24" s="1" t="n">
        <f aca="false">IF(AH24&gt;PR_BalDone,MIN(F_CardPayM,AH24+AH24*(D_iC)),0)</f>
        <v>0</v>
      </c>
      <c r="AV24" s="1" t="n">
        <f aca="false">IF(AI24&gt;PR_BalDone,MIN(F_CardPayM,AI24+AI24*(D_iC)),0)</f>
        <v>0</v>
      </c>
      <c r="AW24" s="1" t="n">
        <f aca="false">IF(AJ24&gt;PR_BalDone,MIN(F_CardPayM,AJ24+AJ24*(D_iC)),0)</f>
        <v>0</v>
      </c>
      <c r="AX24" s="1" t="n">
        <f aca="false">IF(AK24&gt;PR_BalDone,MIN(F_CardPayM,AK24+AK24*(D_iC)),0)</f>
        <v>0</v>
      </c>
      <c r="AY24" s="1" t="n">
        <f aca="false">IF(AL24&gt;PR_BalDone,MIN(F_CardPayM,AL24+AL24*(D_iC)),0)</f>
        <v>0</v>
      </c>
      <c r="AZ24" s="1" t="n">
        <f aca="false">IF(AM24&gt;PR_BalDone,MIN(F_CardPayM,AM24+AM24*(D_iC)),0)</f>
        <v>0</v>
      </c>
      <c r="BA24" s="1" t="n">
        <f aca="false">IF(AN24&gt;PR_BalDone,MIN(F_CardPayM,AN24+AN24*(D_iC)),0)</f>
        <v>0</v>
      </c>
      <c r="BB24" s="1" t="n">
        <f aca="false">IF(AO24&gt;PR_BalDone,MIN(F_CardPayM,AO24+AO24*(D_iC)),0)</f>
        <v>0</v>
      </c>
      <c r="BC24" s="1" t="n">
        <f aca="false">MAX(0,AP24)</f>
        <v>0</v>
      </c>
      <c r="BD24" s="1" t="n">
        <f aca="false">SUM(AQ24:BB24)</f>
        <v>0</v>
      </c>
      <c r="BE24" s="1" t="n">
        <f aca="false">'Plan cashflow'!O24</f>
        <v>0</v>
      </c>
      <c r="BF24" s="1" t="n">
        <f aca="false">IF(BE24&gt;PR_BalDone,BE24+BE24*(D_iL)-MIN(F_LoanPayM,BE24+BE24*(D_iL)),BE24)</f>
        <v>0</v>
      </c>
      <c r="BG24" s="1" t="n">
        <f aca="false">IF(BF24&gt;PR_BalDone,BF24+BF24*(D_iL)-MIN(F_LoanPayM,BF24+BF24*(D_iL)),BF24)</f>
        <v>0</v>
      </c>
      <c r="BH24" s="1" t="n">
        <f aca="false">IF(BG24&gt;PR_BalDone,BG24+BG24*(D_iL)-MIN(F_LoanPayM,BG24+BG24*(D_iL)),BG24)</f>
        <v>0</v>
      </c>
      <c r="BI24" s="1" t="n">
        <f aca="false">IF(BH24&gt;PR_BalDone,BH24+BH24*(D_iL)-MIN(F_LoanPayM,BH24+BH24*(D_iL)),BH24)</f>
        <v>0</v>
      </c>
      <c r="BJ24" s="1" t="n">
        <f aca="false">IF(BI24&gt;PR_BalDone,BI24+BI24*(D_iL)-MIN(F_LoanPayM,BI24+BI24*(D_iL)),BI24)</f>
        <v>0</v>
      </c>
      <c r="BK24" s="1" t="n">
        <f aca="false">IF(BJ24&gt;PR_BalDone,BJ24+BJ24*(D_iL)-MIN(F_LoanPayM,BJ24+BJ24*(D_iL)),BJ24)</f>
        <v>0</v>
      </c>
      <c r="BL24" s="1" t="n">
        <f aca="false">IF(BK24&gt;PR_BalDone,BK24+BK24*(D_iL)-MIN(F_LoanPayM,BK24+BK24*(D_iL)),BK24)</f>
        <v>0</v>
      </c>
      <c r="BM24" s="1" t="n">
        <f aca="false">IF(BL24&gt;PR_BalDone,BL24+BL24*(D_iL)-MIN(F_LoanPayM,BL24+BL24*(D_iL)),BL24)</f>
        <v>0</v>
      </c>
      <c r="BN24" s="1" t="n">
        <f aca="false">IF(BM24&gt;PR_BalDone,BM24+BM24*(D_iL)-MIN(F_LoanPayM,BM24+BM24*(D_iL)),BM24)</f>
        <v>0</v>
      </c>
      <c r="BO24" s="1" t="n">
        <f aca="false">IF(BN24&gt;PR_BalDone,BN24+BN24*(D_iL)-MIN(F_LoanPayM,BN24+BN24*(D_iL)),BN24)</f>
        <v>0</v>
      </c>
      <c r="BP24" s="1" t="n">
        <f aca="false">IF(BO24&gt;PR_BalDone,BO24+BO24*(D_iL)-MIN(F_LoanPayM,BO24+BO24*(D_iL)),BO24)</f>
        <v>0</v>
      </c>
      <c r="BQ24" s="1" t="n">
        <f aca="false">IF(BP24&gt;PR_BalDone,BP24+BP24*(D_iL)-MIN(F_LoanPayM,BP24+BP24*(D_iL)),BP24)</f>
        <v>0</v>
      </c>
      <c r="BR24" s="1" t="n">
        <f aca="false">IF(BE24&gt;PR_BalDone,MIN(F_LoanPayM,BE24+BE24*(D_iL)),0)</f>
        <v>0</v>
      </c>
      <c r="BS24" s="1" t="n">
        <f aca="false">IF(BF24&gt;PR_BalDone,MIN(F_LoanPayM,BF24+BF24*(D_iL)),0)</f>
        <v>0</v>
      </c>
      <c r="BT24" s="1" t="n">
        <f aca="false">IF(BG24&gt;PR_BalDone,MIN(F_LoanPayM,BG24+BG24*(D_iL)),0)</f>
        <v>0</v>
      </c>
      <c r="BU24" s="1" t="n">
        <f aca="false">IF(BH24&gt;PR_BalDone,MIN(F_LoanPayM,BH24+BH24*(D_iL)),0)</f>
        <v>0</v>
      </c>
      <c r="BV24" s="1" t="n">
        <f aca="false">IF(BI24&gt;PR_BalDone,MIN(F_LoanPayM,BI24+BI24*(D_iL)),0)</f>
        <v>0</v>
      </c>
      <c r="BW24" s="1" t="n">
        <f aca="false">IF(BJ24&gt;PR_BalDone,MIN(F_LoanPayM,BJ24+BJ24*(D_iL)),0)</f>
        <v>0</v>
      </c>
      <c r="BX24" s="1" t="n">
        <f aca="false">IF(BK24&gt;PR_BalDone,MIN(F_LoanPayM,BK24+BK24*(D_iL)),0)</f>
        <v>0</v>
      </c>
      <c r="BY24" s="1" t="n">
        <f aca="false">IF(BL24&gt;PR_BalDone,MIN(F_LoanPayM,BL24+BL24*(D_iL)),0)</f>
        <v>0</v>
      </c>
      <c r="BZ24" s="1" t="n">
        <f aca="false">IF(BM24&gt;PR_BalDone,MIN(F_LoanPayM,BM24+BM24*(D_iL)),0)</f>
        <v>0</v>
      </c>
      <c r="CA24" s="1" t="n">
        <f aca="false">IF(BN24&gt;PR_BalDone,MIN(F_LoanPayM,BN24+BN24*(D_iL)),0)</f>
        <v>0</v>
      </c>
      <c r="CB24" s="1" t="n">
        <f aca="false">IF(BO24&gt;PR_BalDone,MIN(F_LoanPayM,BO24+BO24*(D_iL)),0)</f>
        <v>0</v>
      </c>
      <c r="CC24" s="1" t="n">
        <f aca="false">IF(BP24&gt;PR_BalDone,MIN(F_LoanPayM,BP24+BP24*(D_iL)),0)</f>
        <v>0</v>
      </c>
      <c r="CD24" s="1" t="n">
        <f aca="false">MAX(0,BQ24)</f>
        <v>0</v>
      </c>
      <c r="CE24" s="1" t="n">
        <f aca="false">SUM(BR24:CC24)</f>
        <v>0</v>
      </c>
      <c r="CF24" s="1" t="n">
        <f aca="false">IF(CF23&gt;1,DE23,CF23)</f>
        <v>0</v>
      </c>
      <c r="CG24" s="1" t="n">
        <f aca="false">IF(CF24&gt;PR_BalDone,CF24+CF24*(F_MR/12)-MIN(F_MortPayM,CF24+CF24*(F_MR/12)),CF24)</f>
        <v>0</v>
      </c>
      <c r="CH24" s="1" t="n">
        <f aca="false">IF(CG24&gt;PR_BalDone,CG24+CG24*(F_MR/12)-MIN(F_MortPayM,CG24+CG24*(F_MR/12)),CG24)</f>
        <v>0</v>
      </c>
      <c r="CI24" s="1" t="n">
        <f aca="false">IF(CH24&gt;PR_BalDone,CH24+CH24*(F_MR/12)-MIN(F_MortPayM,CH24+CH24*(F_MR/12)),CH24)</f>
        <v>0</v>
      </c>
      <c r="CJ24" s="1" t="n">
        <f aca="false">IF(CI24&gt;PR_BalDone,CI24+CI24*(F_MR/12)-MIN(F_MortPayM,CI24+CI24*(F_MR/12)),CI24)</f>
        <v>0</v>
      </c>
      <c r="CK24" s="1" t="n">
        <f aca="false">IF(CJ24&gt;PR_BalDone,CJ24+CJ24*(F_MR/12)-MIN(F_MortPayM,CJ24+CJ24*(F_MR/12)),CJ24)</f>
        <v>0</v>
      </c>
      <c r="CL24" s="1" t="n">
        <f aca="false">IF(CK24&gt;PR_BalDone,CK24+CK24*(F_MR/12)-MIN(F_MortPayM,CK24+CK24*(F_MR/12)),CK24)</f>
        <v>0</v>
      </c>
      <c r="CM24" s="1" t="n">
        <f aca="false">IF(CL24&gt;PR_BalDone,CL24+CL24*(F_MR/12)-MIN(F_MortPayM,CL24+CL24*(F_MR/12)),CL24)</f>
        <v>0</v>
      </c>
      <c r="CN24" s="1" t="n">
        <f aca="false">IF(CM24&gt;PR_BalDone,CM24+CM24*(F_MR/12)-MIN(F_MortPayM,CM24+CM24*(F_MR/12)),CM24)</f>
        <v>0</v>
      </c>
      <c r="CO24" s="1" t="n">
        <f aca="false">IF(CN24&gt;PR_BalDone,CN24+CN24*(F_MR/12)-MIN(F_MortPayM,CN24+CN24*(F_MR/12)),CN24)</f>
        <v>0</v>
      </c>
      <c r="CP24" s="1" t="n">
        <f aca="false">IF(CO24&gt;PR_BalDone,CO24+CO24*(F_MR/12)-MIN(F_MortPayM,CO24+CO24*(F_MR/12)),CO24)</f>
        <v>0</v>
      </c>
      <c r="CQ24" s="1" t="n">
        <f aca="false">IF(CP24&gt;PR_BalDone,CP24+CP24*(F_MR/12)-MIN(F_MortPayM,CP24+CP24*(F_MR/12)),CP24)</f>
        <v>0</v>
      </c>
      <c r="CR24" s="1" t="n">
        <f aca="false">IF(CQ24&gt;PR_BalDone,CQ24+CQ24*(F_MR/12)-MIN(F_MortPayM,CQ24+CQ24*(F_MR/12)),CQ24)</f>
        <v>0</v>
      </c>
      <c r="CS24" s="1" t="n">
        <f aca="false">IF(CF24&gt;PR_BalDone,MIN(F_MortPayM,CF24+CF24*(F_MR/12)),0)</f>
        <v>0</v>
      </c>
      <c r="CT24" s="1" t="n">
        <f aca="false">IF(CG24&gt;PR_BalDone,MIN(F_MortPayM,CG24+CG24*(F_MR/12)),0)</f>
        <v>0</v>
      </c>
      <c r="CU24" s="1" t="n">
        <f aca="false">IF(CH24&gt;PR_BalDone,MIN(F_MortPayM,CH24+CH24*(F_MR/12)),0)</f>
        <v>0</v>
      </c>
      <c r="CV24" s="1" t="n">
        <f aca="false">IF(CI24&gt;PR_BalDone,MIN(F_MortPayM,CI24+CI24*(F_MR/12)),0)</f>
        <v>0</v>
      </c>
      <c r="CW24" s="1" t="n">
        <f aca="false">IF(CJ24&gt;PR_BalDone,MIN(F_MortPayM,CJ24+CJ24*(F_MR/12)),0)</f>
        <v>0</v>
      </c>
      <c r="CX24" s="1" t="n">
        <f aca="false">IF(CK24&gt;PR_BalDone,MIN(F_MortPayM,CK24+CK24*(F_MR/12)),0)</f>
        <v>0</v>
      </c>
      <c r="CY24" s="1" t="n">
        <f aca="false">IF(CL24&gt;PR_BalDone,MIN(F_MortPayM,CL24+CL24*(F_MR/12)),0)</f>
        <v>0</v>
      </c>
      <c r="CZ24" s="1" t="n">
        <f aca="false">IF(CM24&gt;PR_BalDone,MIN(F_MortPayM,CM24+CM24*(F_MR/12)),0)</f>
        <v>0</v>
      </c>
      <c r="DA24" s="1" t="n">
        <f aca="false">IF(CN24&gt;PR_BalDone,MIN(F_MortPayM,CN24+CN24*(F_MR/12)),0)</f>
        <v>0</v>
      </c>
      <c r="DB24" s="1" t="n">
        <f aca="false">IF(CO24&gt;PR_BalDone,MIN(F_MortPayM,CO24+CO24*(F_MR/12)),0)</f>
        <v>0</v>
      </c>
      <c r="DC24" s="1" t="n">
        <f aca="false">IF(CP24&gt;PR_BalDone,MIN(F_MortPayM,CP24+CP24*(F_MR/12)),0)</f>
        <v>0</v>
      </c>
      <c r="DD24" s="1" t="n">
        <f aca="false">IF(CQ24&gt;PR_BalDone,MIN(F_MortPayM,CQ24+CQ24*(F_MR/12)),0)</f>
        <v>0</v>
      </c>
      <c r="DE24" s="1" t="n">
        <f aca="false">MAX(0,CR24)</f>
        <v>0</v>
      </c>
      <c r="DF24" s="1" t="n">
        <f aca="false">SUM(CS24:DD24)</f>
        <v>0</v>
      </c>
      <c r="DG24" s="1" t="n">
        <f aca="false">MAX(0,CF24)</f>
        <v>0</v>
      </c>
    </row>
    <row r="25" customFormat="false" ht="15" hidden="false" customHeight="true" outlineLevel="0" collapsed="false">
      <c r="B25" s="1" t="n">
        <v>17</v>
      </c>
      <c r="C25" s="1" t="n">
        <f aca="false">'Plan cashflow'!I25</f>
        <v>0</v>
      </c>
      <c r="D25" s="1" t="n">
        <f aca="false">IF(C25&gt;PR_BalDone,C25+C25*(F_MR/12)-MIN(F_MortPayM,C25+C25*(F_MR/12)),C25)</f>
        <v>0</v>
      </c>
      <c r="E25" s="1" t="n">
        <f aca="false">IF(D25&gt;PR_BalDone,D25+D25*(F_MR/12)-MIN(F_MortPayM,D25+D25*(F_MR/12)),D25)</f>
        <v>0</v>
      </c>
      <c r="F25" s="1" t="n">
        <f aca="false">IF(E25&gt;PR_BalDone,E25+E25*(F_MR/12)-MIN(F_MortPayM,E25+E25*(F_MR/12)),E25)</f>
        <v>0</v>
      </c>
      <c r="G25" s="1" t="n">
        <f aca="false">IF(F25&gt;PR_BalDone,F25+F25*(F_MR/12)-MIN(F_MortPayM,F25+F25*(F_MR/12)),F25)</f>
        <v>0</v>
      </c>
      <c r="H25" s="1" t="n">
        <f aca="false">IF(G25&gt;PR_BalDone,G25+G25*(F_MR/12)-MIN(F_MortPayM,G25+G25*(F_MR/12)),G25)</f>
        <v>0</v>
      </c>
      <c r="I25" s="1" t="n">
        <f aca="false">IF(H25&gt;PR_BalDone,H25+H25*(F_MR/12)-MIN(F_MortPayM,H25+H25*(F_MR/12)),H25)</f>
        <v>0</v>
      </c>
      <c r="J25" s="1" t="n">
        <f aca="false">IF(I25&gt;PR_BalDone,I25+I25*(F_MR/12)-MIN(F_MortPayM,I25+I25*(F_MR/12)),I25)</f>
        <v>0</v>
      </c>
      <c r="K25" s="1" t="n">
        <f aca="false">IF(J25&gt;PR_BalDone,J25+J25*(F_MR/12)-MIN(F_MortPayM,J25+J25*(F_MR/12)),J25)</f>
        <v>0</v>
      </c>
      <c r="L25" s="1" t="n">
        <f aca="false">IF(K25&gt;PR_BalDone,K25+K25*(F_MR/12)-MIN(F_MortPayM,K25+K25*(F_MR/12)),K25)</f>
        <v>0</v>
      </c>
      <c r="M25" s="1" t="n">
        <f aca="false">IF(L25&gt;PR_BalDone,L25+L25*(F_MR/12)-MIN(F_MortPayM,L25+L25*(F_MR/12)),L25)</f>
        <v>0</v>
      </c>
      <c r="N25" s="1" t="n">
        <f aca="false">IF(M25&gt;PR_BalDone,M25+M25*(F_MR/12)-MIN(F_MortPayM,M25+M25*(F_MR/12)),M25)</f>
        <v>0</v>
      </c>
      <c r="O25" s="1" t="n">
        <f aca="false">IF(N25&gt;PR_BalDone,N25+N25*(F_MR/12)-MIN(F_MortPayM,N25+N25*(F_MR/12)),N25)</f>
        <v>0</v>
      </c>
      <c r="P25" s="1" t="n">
        <f aca="false">IF(C25&gt;PR_BalDone,MIN(F_MortPayM,C25+C25*(F_MR/12)),0)</f>
        <v>0</v>
      </c>
      <c r="Q25" s="1" t="n">
        <f aca="false">IF(D25&gt;PR_BalDone,MIN(F_MortPayM,D25+D25*(F_MR/12)),0)</f>
        <v>0</v>
      </c>
      <c r="R25" s="1" t="n">
        <f aca="false">IF(E25&gt;PR_BalDone,MIN(F_MortPayM,E25+E25*(F_MR/12)),0)</f>
        <v>0</v>
      </c>
      <c r="S25" s="1" t="n">
        <f aca="false">IF(F25&gt;PR_BalDone,MIN(F_MortPayM,F25+F25*(F_MR/12)),0)</f>
        <v>0</v>
      </c>
      <c r="T25" s="1" t="n">
        <f aca="false">IF(G25&gt;PR_BalDone,MIN(F_MortPayM,G25+G25*(F_MR/12)),0)</f>
        <v>0</v>
      </c>
      <c r="U25" s="1" t="n">
        <f aca="false">IF(H25&gt;PR_BalDone,MIN(F_MortPayM,H25+H25*(F_MR/12)),0)</f>
        <v>0</v>
      </c>
      <c r="V25" s="1" t="n">
        <f aca="false">IF(I25&gt;PR_BalDone,MIN(F_MortPayM,I25+I25*(F_MR/12)),0)</f>
        <v>0</v>
      </c>
      <c r="W25" s="1" t="n">
        <f aca="false">IF(J25&gt;PR_BalDone,MIN(F_MortPayM,J25+J25*(F_MR/12)),0)</f>
        <v>0</v>
      </c>
      <c r="X25" s="1" t="n">
        <f aca="false">IF(K25&gt;PR_BalDone,MIN(F_MortPayM,K25+K25*(F_MR/12)),0)</f>
        <v>0</v>
      </c>
      <c r="Y25" s="1" t="n">
        <f aca="false">IF(L25&gt;PR_BalDone,MIN(F_MortPayM,L25+L25*(F_MR/12)),0)</f>
        <v>0</v>
      </c>
      <c r="Z25" s="1" t="n">
        <f aca="false">IF(M25&gt;PR_BalDone,MIN(F_MortPayM,M25+M25*(F_MR/12)),0)</f>
        <v>0</v>
      </c>
      <c r="AA25" s="1" t="n">
        <f aca="false">IF(N25&gt;PR_BalDone,MIN(F_MortPayM,N25+N25*(F_MR/12)),0)</f>
        <v>0</v>
      </c>
      <c r="AB25" s="1" t="n">
        <f aca="false">MAX(0,O25)</f>
        <v>0</v>
      </c>
      <c r="AC25" s="1" t="n">
        <f aca="false">SUM(P25:AA25)</f>
        <v>0</v>
      </c>
      <c r="AD25" s="1" t="n">
        <f aca="false">'Plan cashflow'!L25</f>
        <v>0</v>
      </c>
      <c r="AE25" s="1" t="n">
        <f aca="false">IF(AD25&gt;PR_BalDone,AD25+AD25*(D_iC)-MIN(F_CardPayM,AD25+AD25*(D_iC)),AD25)</f>
        <v>0</v>
      </c>
      <c r="AF25" s="1" t="n">
        <f aca="false">IF(AE25&gt;PR_BalDone,AE25+AE25*(D_iC)-MIN(F_CardPayM,AE25+AE25*(D_iC)),AE25)</f>
        <v>0</v>
      </c>
      <c r="AG25" s="1" t="n">
        <f aca="false">IF(AF25&gt;PR_BalDone,AF25+AF25*(D_iC)-MIN(F_CardPayM,AF25+AF25*(D_iC)),AF25)</f>
        <v>0</v>
      </c>
      <c r="AH25" s="1" t="n">
        <f aca="false">IF(AG25&gt;PR_BalDone,AG25+AG25*(D_iC)-MIN(F_CardPayM,AG25+AG25*(D_iC)),AG25)</f>
        <v>0</v>
      </c>
      <c r="AI25" s="1" t="n">
        <f aca="false">IF(AH25&gt;PR_BalDone,AH25+AH25*(D_iC)-MIN(F_CardPayM,AH25+AH25*(D_iC)),AH25)</f>
        <v>0</v>
      </c>
      <c r="AJ25" s="1" t="n">
        <f aca="false">IF(AI25&gt;PR_BalDone,AI25+AI25*(D_iC)-MIN(F_CardPayM,AI25+AI25*(D_iC)),AI25)</f>
        <v>0</v>
      </c>
      <c r="AK25" s="1" t="n">
        <f aca="false">IF(AJ25&gt;PR_BalDone,AJ25+AJ25*(D_iC)-MIN(F_CardPayM,AJ25+AJ25*(D_iC)),AJ25)</f>
        <v>0</v>
      </c>
      <c r="AL25" s="1" t="n">
        <f aca="false">IF(AK25&gt;PR_BalDone,AK25+AK25*(D_iC)-MIN(F_CardPayM,AK25+AK25*(D_iC)),AK25)</f>
        <v>0</v>
      </c>
      <c r="AM25" s="1" t="n">
        <f aca="false">IF(AL25&gt;PR_BalDone,AL25+AL25*(D_iC)-MIN(F_CardPayM,AL25+AL25*(D_iC)),AL25)</f>
        <v>0</v>
      </c>
      <c r="AN25" s="1" t="n">
        <f aca="false">IF(AM25&gt;PR_BalDone,AM25+AM25*(D_iC)-MIN(F_CardPayM,AM25+AM25*(D_iC)),AM25)</f>
        <v>0</v>
      </c>
      <c r="AO25" s="1" t="n">
        <f aca="false">IF(AN25&gt;PR_BalDone,AN25+AN25*(D_iC)-MIN(F_CardPayM,AN25+AN25*(D_iC)),AN25)</f>
        <v>0</v>
      </c>
      <c r="AP25" s="1" t="n">
        <f aca="false">IF(AO25&gt;PR_BalDone,AO25+AO25*(D_iC)-MIN(F_CardPayM,AO25+AO25*(D_iC)),AO25)</f>
        <v>0</v>
      </c>
      <c r="AQ25" s="1" t="n">
        <f aca="false">IF(AD25&gt;PR_BalDone,MIN(F_CardPayM,AD25+AD25*(D_iC)),0)</f>
        <v>0</v>
      </c>
      <c r="AR25" s="1" t="n">
        <f aca="false">IF(AE25&gt;PR_BalDone,MIN(F_CardPayM,AE25+AE25*(D_iC)),0)</f>
        <v>0</v>
      </c>
      <c r="AS25" s="1" t="n">
        <f aca="false">IF(AF25&gt;PR_BalDone,MIN(F_CardPayM,AF25+AF25*(D_iC)),0)</f>
        <v>0</v>
      </c>
      <c r="AT25" s="1" t="n">
        <f aca="false">IF(AG25&gt;PR_BalDone,MIN(F_CardPayM,AG25+AG25*(D_iC)),0)</f>
        <v>0</v>
      </c>
      <c r="AU25" s="1" t="n">
        <f aca="false">IF(AH25&gt;PR_BalDone,MIN(F_CardPayM,AH25+AH25*(D_iC)),0)</f>
        <v>0</v>
      </c>
      <c r="AV25" s="1" t="n">
        <f aca="false">IF(AI25&gt;PR_BalDone,MIN(F_CardPayM,AI25+AI25*(D_iC)),0)</f>
        <v>0</v>
      </c>
      <c r="AW25" s="1" t="n">
        <f aca="false">IF(AJ25&gt;PR_BalDone,MIN(F_CardPayM,AJ25+AJ25*(D_iC)),0)</f>
        <v>0</v>
      </c>
      <c r="AX25" s="1" t="n">
        <f aca="false">IF(AK25&gt;PR_BalDone,MIN(F_CardPayM,AK25+AK25*(D_iC)),0)</f>
        <v>0</v>
      </c>
      <c r="AY25" s="1" t="n">
        <f aca="false">IF(AL25&gt;PR_BalDone,MIN(F_CardPayM,AL25+AL25*(D_iC)),0)</f>
        <v>0</v>
      </c>
      <c r="AZ25" s="1" t="n">
        <f aca="false">IF(AM25&gt;PR_BalDone,MIN(F_CardPayM,AM25+AM25*(D_iC)),0)</f>
        <v>0</v>
      </c>
      <c r="BA25" s="1" t="n">
        <f aca="false">IF(AN25&gt;PR_BalDone,MIN(F_CardPayM,AN25+AN25*(D_iC)),0)</f>
        <v>0</v>
      </c>
      <c r="BB25" s="1" t="n">
        <f aca="false">IF(AO25&gt;PR_BalDone,MIN(F_CardPayM,AO25+AO25*(D_iC)),0)</f>
        <v>0</v>
      </c>
      <c r="BC25" s="1" t="n">
        <f aca="false">MAX(0,AP25)</f>
        <v>0</v>
      </c>
      <c r="BD25" s="1" t="n">
        <f aca="false">SUM(AQ25:BB25)</f>
        <v>0</v>
      </c>
      <c r="BE25" s="1" t="n">
        <f aca="false">'Plan cashflow'!O25</f>
        <v>0</v>
      </c>
      <c r="BF25" s="1" t="n">
        <f aca="false">IF(BE25&gt;PR_BalDone,BE25+BE25*(D_iL)-MIN(F_LoanPayM,BE25+BE25*(D_iL)),BE25)</f>
        <v>0</v>
      </c>
      <c r="BG25" s="1" t="n">
        <f aca="false">IF(BF25&gt;PR_BalDone,BF25+BF25*(D_iL)-MIN(F_LoanPayM,BF25+BF25*(D_iL)),BF25)</f>
        <v>0</v>
      </c>
      <c r="BH25" s="1" t="n">
        <f aca="false">IF(BG25&gt;PR_BalDone,BG25+BG25*(D_iL)-MIN(F_LoanPayM,BG25+BG25*(D_iL)),BG25)</f>
        <v>0</v>
      </c>
      <c r="BI25" s="1" t="n">
        <f aca="false">IF(BH25&gt;PR_BalDone,BH25+BH25*(D_iL)-MIN(F_LoanPayM,BH25+BH25*(D_iL)),BH25)</f>
        <v>0</v>
      </c>
      <c r="BJ25" s="1" t="n">
        <f aca="false">IF(BI25&gt;PR_BalDone,BI25+BI25*(D_iL)-MIN(F_LoanPayM,BI25+BI25*(D_iL)),BI25)</f>
        <v>0</v>
      </c>
      <c r="BK25" s="1" t="n">
        <f aca="false">IF(BJ25&gt;PR_BalDone,BJ25+BJ25*(D_iL)-MIN(F_LoanPayM,BJ25+BJ25*(D_iL)),BJ25)</f>
        <v>0</v>
      </c>
      <c r="BL25" s="1" t="n">
        <f aca="false">IF(BK25&gt;PR_BalDone,BK25+BK25*(D_iL)-MIN(F_LoanPayM,BK25+BK25*(D_iL)),BK25)</f>
        <v>0</v>
      </c>
      <c r="BM25" s="1" t="n">
        <f aca="false">IF(BL25&gt;PR_BalDone,BL25+BL25*(D_iL)-MIN(F_LoanPayM,BL25+BL25*(D_iL)),BL25)</f>
        <v>0</v>
      </c>
      <c r="BN25" s="1" t="n">
        <f aca="false">IF(BM25&gt;PR_BalDone,BM25+BM25*(D_iL)-MIN(F_LoanPayM,BM25+BM25*(D_iL)),BM25)</f>
        <v>0</v>
      </c>
      <c r="BO25" s="1" t="n">
        <f aca="false">IF(BN25&gt;PR_BalDone,BN25+BN25*(D_iL)-MIN(F_LoanPayM,BN25+BN25*(D_iL)),BN25)</f>
        <v>0</v>
      </c>
      <c r="BP25" s="1" t="n">
        <f aca="false">IF(BO25&gt;PR_BalDone,BO25+BO25*(D_iL)-MIN(F_LoanPayM,BO25+BO25*(D_iL)),BO25)</f>
        <v>0</v>
      </c>
      <c r="BQ25" s="1" t="n">
        <f aca="false">IF(BP25&gt;PR_BalDone,BP25+BP25*(D_iL)-MIN(F_LoanPayM,BP25+BP25*(D_iL)),BP25)</f>
        <v>0</v>
      </c>
      <c r="BR25" s="1" t="n">
        <f aca="false">IF(BE25&gt;PR_BalDone,MIN(F_LoanPayM,BE25+BE25*(D_iL)),0)</f>
        <v>0</v>
      </c>
      <c r="BS25" s="1" t="n">
        <f aca="false">IF(BF25&gt;PR_BalDone,MIN(F_LoanPayM,BF25+BF25*(D_iL)),0)</f>
        <v>0</v>
      </c>
      <c r="BT25" s="1" t="n">
        <f aca="false">IF(BG25&gt;PR_BalDone,MIN(F_LoanPayM,BG25+BG25*(D_iL)),0)</f>
        <v>0</v>
      </c>
      <c r="BU25" s="1" t="n">
        <f aca="false">IF(BH25&gt;PR_BalDone,MIN(F_LoanPayM,BH25+BH25*(D_iL)),0)</f>
        <v>0</v>
      </c>
      <c r="BV25" s="1" t="n">
        <f aca="false">IF(BI25&gt;PR_BalDone,MIN(F_LoanPayM,BI25+BI25*(D_iL)),0)</f>
        <v>0</v>
      </c>
      <c r="BW25" s="1" t="n">
        <f aca="false">IF(BJ25&gt;PR_BalDone,MIN(F_LoanPayM,BJ25+BJ25*(D_iL)),0)</f>
        <v>0</v>
      </c>
      <c r="BX25" s="1" t="n">
        <f aca="false">IF(BK25&gt;PR_BalDone,MIN(F_LoanPayM,BK25+BK25*(D_iL)),0)</f>
        <v>0</v>
      </c>
      <c r="BY25" s="1" t="n">
        <f aca="false">IF(BL25&gt;PR_BalDone,MIN(F_LoanPayM,BL25+BL25*(D_iL)),0)</f>
        <v>0</v>
      </c>
      <c r="BZ25" s="1" t="n">
        <f aca="false">IF(BM25&gt;PR_BalDone,MIN(F_LoanPayM,BM25+BM25*(D_iL)),0)</f>
        <v>0</v>
      </c>
      <c r="CA25" s="1" t="n">
        <f aca="false">IF(BN25&gt;PR_BalDone,MIN(F_LoanPayM,BN25+BN25*(D_iL)),0)</f>
        <v>0</v>
      </c>
      <c r="CB25" s="1" t="n">
        <f aca="false">IF(BO25&gt;PR_BalDone,MIN(F_LoanPayM,BO25+BO25*(D_iL)),0)</f>
        <v>0</v>
      </c>
      <c r="CC25" s="1" t="n">
        <f aca="false">IF(BP25&gt;PR_BalDone,MIN(F_LoanPayM,BP25+BP25*(D_iL)),0)</f>
        <v>0</v>
      </c>
      <c r="CD25" s="1" t="n">
        <f aca="false">MAX(0,BQ25)</f>
        <v>0</v>
      </c>
      <c r="CE25" s="1" t="n">
        <f aca="false">SUM(BR25:CC25)</f>
        <v>0</v>
      </c>
      <c r="CF25" s="1" t="n">
        <f aca="false">IF(CF24&gt;1,DE24,CF24)</f>
        <v>0</v>
      </c>
      <c r="CG25" s="1" t="n">
        <f aca="false">IF(CF25&gt;PR_BalDone,CF25+CF25*(F_MR/12)-MIN(F_MortPayM,CF25+CF25*(F_MR/12)),CF25)</f>
        <v>0</v>
      </c>
      <c r="CH25" s="1" t="n">
        <f aca="false">IF(CG25&gt;PR_BalDone,CG25+CG25*(F_MR/12)-MIN(F_MortPayM,CG25+CG25*(F_MR/12)),CG25)</f>
        <v>0</v>
      </c>
      <c r="CI25" s="1" t="n">
        <f aca="false">IF(CH25&gt;PR_BalDone,CH25+CH25*(F_MR/12)-MIN(F_MortPayM,CH25+CH25*(F_MR/12)),CH25)</f>
        <v>0</v>
      </c>
      <c r="CJ25" s="1" t="n">
        <f aca="false">IF(CI25&gt;PR_BalDone,CI25+CI25*(F_MR/12)-MIN(F_MortPayM,CI25+CI25*(F_MR/12)),CI25)</f>
        <v>0</v>
      </c>
      <c r="CK25" s="1" t="n">
        <f aca="false">IF(CJ25&gt;PR_BalDone,CJ25+CJ25*(F_MR/12)-MIN(F_MortPayM,CJ25+CJ25*(F_MR/12)),CJ25)</f>
        <v>0</v>
      </c>
      <c r="CL25" s="1" t="n">
        <f aca="false">IF(CK25&gt;PR_BalDone,CK25+CK25*(F_MR/12)-MIN(F_MortPayM,CK25+CK25*(F_MR/12)),CK25)</f>
        <v>0</v>
      </c>
      <c r="CM25" s="1" t="n">
        <f aca="false">IF(CL25&gt;PR_BalDone,CL25+CL25*(F_MR/12)-MIN(F_MortPayM,CL25+CL25*(F_MR/12)),CL25)</f>
        <v>0</v>
      </c>
      <c r="CN25" s="1" t="n">
        <f aca="false">IF(CM25&gt;PR_BalDone,CM25+CM25*(F_MR/12)-MIN(F_MortPayM,CM25+CM25*(F_MR/12)),CM25)</f>
        <v>0</v>
      </c>
      <c r="CO25" s="1" t="n">
        <f aca="false">IF(CN25&gt;PR_BalDone,CN25+CN25*(F_MR/12)-MIN(F_MortPayM,CN25+CN25*(F_MR/12)),CN25)</f>
        <v>0</v>
      </c>
      <c r="CP25" s="1" t="n">
        <f aca="false">IF(CO25&gt;PR_BalDone,CO25+CO25*(F_MR/12)-MIN(F_MortPayM,CO25+CO25*(F_MR/12)),CO25)</f>
        <v>0</v>
      </c>
      <c r="CQ25" s="1" t="n">
        <f aca="false">IF(CP25&gt;PR_BalDone,CP25+CP25*(F_MR/12)-MIN(F_MortPayM,CP25+CP25*(F_MR/12)),CP25)</f>
        <v>0</v>
      </c>
      <c r="CR25" s="1" t="n">
        <f aca="false">IF(CQ25&gt;PR_BalDone,CQ25+CQ25*(F_MR/12)-MIN(F_MortPayM,CQ25+CQ25*(F_MR/12)),CQ25)</f>
        <v>0</v>
      </c>
      <c r="CS25" s="1" t="n">
        <f aca="false">IF(CF25&gt;PR_BalDone,MIN(F_MortPayM,CF25+CF25*(F_MR/12)),0)</f>
        <v>0</v>
      </c>
      <c r="CT25" s="1" t="n">
        <f aca="false">IF(CG25&gt;PR_BalDone,MIN(F_MortPayM,CG25+CG25*(F_MR/12)),0)</f>
        <v>0</v>
      </c>
      <c r="CU25" s="1" t="n">
        <f aca="false">IF(CH25&gt;PR_BalDone,MIN(F_MortPayM,CH25+CH25*(F_MR/12)),0)</f>
        <v>0</v>
      </c>
      <c r="CV25" s="1" t="n">
        <f aca="false">IF(CI25&gt;PR_BalDone,MIN(F_MortPayM,CI25+CI25*(F_MR/12)),0)</f>
        <v>0</v>
      </c>
      <c r="CW25" s="1" t="n">
        <f aca="false">IF(CJ25&gt;PR_BalDone,MIN(F_MortPayM,CJ25+CJ25*(F_MR/12)),0)</f>
        <v>0</v>
      </c>
      <c r="CX25" s="1" t="n">
        <f aca="false">IF(CK25&gt;PR_BalDone,MIN(F_MortPayM,CK25+CK25*(F_MR/12)),0)</f>
        <v>0</v>
      </c>
      <c r="CY25" s="1" t="n">
        <f aca="false">IF(CL25&gt;PR_BalDone,MIN(F_MortPayM,CL25+CL25*(F_MR/12)),0)</f>
        <v>0</v>
      </c>
      <c r="CZ25" s="1" t="n">
        <f aca="false">IF(CM25&gt;PR_BalDone,MIN(F_MortPayM,CM25+CM25*(F_MR/12)),0)</f>
        <v>0</v>
      </c>
      <c r="DA25" s="1" t="n">
        <f aca="false">IF(CN25&gt;PR_BalDone,MIN(F_MortPayM,CN25+CN25*(F_MR/12)),0)</f>
        <v>0</v>
      </c>
      <c r="DB25" s="1" t="n">
        <f aca="false">IF(CO25&gt;PR_BalDone,MIN(F_MortPayM,CO25+CO25*(F_MR/12)),0)</f>
        <v>0</v>
      </c>
      <c r="DC25" s="1" t="n">
        <f aca="false">IF(CP25&gt;PR_BalDone,MIN(F_MortPayM,CP25+CP25*(F_MR/12)),0)</f>
        <v>0</v>
      </c>
      <c r="DD25" s="1" t="n">
        <f aca="false">IF(CQ25&gt;PR_BalDone,MIN(F_MortPayM,CQ25+CQ25*(F_MR/12)),0)</f>
        <v>0</v>
      </c>
      <c r="DE25" s="1" t="n">
        <f aca="false">MAX(0,CR25)</f>
        <v>0</v>
      </c>
      <c r="DF25" s="1" t="n">
        <f aca="false">SUM(CS25:DD25)</f>
        <v>0</v>
      </c>
      <c r="DG25" s="1" t="n">
        <f aca="false">MAX(0,CF25)</f>
        <v>0</v>
      </c>
    </row>
    <row r="26" customFormat="false" ht="15" hidden="false" customHeight="true" outlineLevel="0" collapsed="false">
      <c r="B26" s="1" t="n">
        <v>18</v>
      </c>
      <c r="C26" s="1" t="n">
        <f aca="false">'Plan cashflow'!I26</f>
        <v>0</v>
      </c>
      <c r="D26" s="1" t="n">
        <f aca="false">IF(C26&gt;PR_BalDone,C26+C26*(F_MR/12)-MIN(F_MortPayM,C26+C26*(F_MR/12)),C26)</f>
        <v>0</v>
      </c>
      <c r="E26" s="1" t="n">
        <f aca="false">IF(D26&gt;PR_BalDone,D26+D26*(F_MR/12)-MIN(F_MortPayM,D26+D26*(F_MR/12)),D26)</f>
        <v>0</v>
      </c>
      <c r="F26" s="1" t="n">
        <f aca="false">IF(E26&gt;PR_BalDone,E26+E26*(F_MR/12)-MIN(F_MortPayM,E26+E26*(F_MR/12)),E26)</f>
        <v>0</v>
      </c>
      <c r="G26" s="1" t="n">
        <f aca="false">IF(F26&gt;PR_BalDone,F26+F26*(F_MR/12)-MIN(F_MortPayM,F26+F26*(F_MR/12)),F26)</f>
        <v>0</v>
      </c>
      <c r="H26" s="1" t="n">
        <f aca="false">IF(G26&gt;PR_BalDone,G26+G26*(F_MR/12)-MIN(F_MortPayM,G26+G26*(F_MR/12)),G26)</f>
        <v>0</v>
      </c>
      <c r="I26" s="1" t="n">
        <f aca="false">IF(H26&gt;PR_BalDone,H26+H26*(F_MR/12)-MIN(F_MortPayM,H26+H26*(F_MR/12)),H26)</f>
        <v>0</v>
      </c>
      <c r="J26" s="1" t="n">
        <f aca="false">IF(I26&gt;PR_BalDone,I26+I26*(F_MR/12)-MIN(F_MortPayM,I26+I26*(F_MR/12)),I26)</f>
        <v>0</v>
      </c>
      <c r="K26" s="1" t="n">
        <f aca="false">IF(J26&gt;PR_BalDone,J26+J26*(F_MR/12)-MIN(F_MortPayM,J26+J26*(F_MR/12)),J26)</f>
        <v>0</v>
      </c>
      <c r="L26" s="1" t="n">
        <f aca="false">IF(K26&gt;PR_BalDone,K26+K26*(F_MR/12)-MIN(F_MortPayM,K26+K26*(F_MR/12)),K26)</f>
        <v>0</v>
      </c>
      <c r="M26" s="1" t="n">
        <f aca="false">IF(L26&gt;PR_BalDone,L26+L26*(F_MR/12)-MIN(F_MortPayM,L26+L26*(F_MR/12)),L26)</f>
        <v>0</v>
      </c>
      <c r="N26" s="1" t="n">
        <f aca="false">IF(M26&gt;PR_BalDone,M26+M26*(F_MR/12)-MIN(F_MortPayM,M26+M26*(F_MR/12)),M26)</f>
        <v>0</v>
      </c>
      <c r="O26" s="1" t="n">
        <f aca="false">IF(N26&gt;PR_BalDone,N26+N26*(F_MR/12)-MIN(F_MortPayM,N26+N26*(F_MR/12)),N26)</f>
        <v>0</v>
      </c>
      <c r="P26" s="1" t="n">
        <f aca="false">IF(C26&gt;PR_BalDone,MIN(F_MortPayM,C26+C26*(F_MR/12)),0)</f>
        <v>0</v>
      </c>
      <c r="Q26" s="1" t="n">
        <f aca="false">IF(D26&gt;PR_BalDone,MIN(F_MortPayM,D26+D26*(F_MR/12)),0)</f>
        <v>0</v>
      </c>
      <c r="R26" s="1" t="n">
        <f aca="false">IF(E26&gt;PR_BalDone,MIN(F_MortPayM,E26+E26*(F_MR/12)),0)</f>
        <v>0</v>
      </c>
      <c r="S26" s="1" t="n">
        <f aca="false">IF(F26&gt;PR_BalDone,MIN(F_MortPayM,F26+F26*(F_MR/12)),0)</f>
        <v>0</v>
      </c>
      <c r="T26" s="1" t="n">
        <f aca="false">IF(G26&gt;PR_BalDone,MIN(F_MortPayM,G26+G26*(F_MR/12)),0)</f>
        <v>0</v>
      </c>
      <c r="U26" s="1" t="n">
        <f aca="false">IF(H26&gt;PR_BalDone,MIN(F_MortPayM,H26+H26*(F_MR/12)),0)</f>
        <v>0</v>
      </c>
      <c r="V26" s="1" t="n">
        <f aca="false">IF(I26&gt;PR_BalDone,MIN(F_MortPayM,I26+I26*(F_MR/12)),0)</f>
        <v>0</v>
      </c>
      <c r="W26" s="1" t="n">
        <f aca="false">IF(J26&gt;PR_BalDone,MIN(F_MortPayM,J26+J26*(F_MR/12)),0)</f>
        <v>0</v>
      </c>
      <c r="X26" s="1" t="n">
        <f aca="false">IF(K26&gt;PR_BalDone,MIN(F_MortPayM,K26+K26*(F_MR/12)),0)</f>
        <v>0</v>
      </c>
      <c r="Y26" s="1" t="n">
        <f aca="false">IF(L26&gt;PR_BalDone,MIN(F_MortPayM,L26+L26*(F_MR/12)),0)</f>
        <v>0</v>
      </c>
      <c r="Z26" s="1" t="n">
        <f aca="false">IF(M26&gt;PR_BalDone,MIN(F_MortPayM,M26+M26*(F_MR/12)),0)</f>
        <v>0</v>
      </c>
      <c r="AA26" s="1" t="n">
        <f aca="false">IF(N26&gt;PR_BalDone,MIN(F_MortPayM,N26+N26*(F_MR/12)),0)</f>
        <v>0</v>
      </c>
      <c r="AB26" s="1" t="n">
        <f aca="false">MAX(0,O26)</f>
        <v>0</v>
      </c>
      <c r="AC26" s="1" t="n">
        <f aca="false">SUM(P26:AA26)</f>
        <v>0</v>
      </c>
      <c r="AD26" s="1" t="n">
        <f aca="false">'Plan cashflow'!L26</f>
        <v>0</v>
      </c>
      <c r="AE26" s="1" t="n">
        <f aca="false">IF(AD26&gt;PR_BalDone,AD26+AD26*(D_iC)-MIN(F_CardPayM,AD26+AD26*(D_iC)),AD26)</f>
        <v>0</v>
      </c>
      <c r="AF26" s="1" t="n">
        <f aca="false">IF(AE26&gt;PR_BalDone,AE26+AE26*(D_iC)-MIN(F_CardPayM,AE26+AE26*(D_iC)),AE26)</f>
        <v>0</v>
      </c>
      <c r="AG26" s="1" t="n">
        <f aca="false">IF(AF26&gt;PR_BalDone,AF26+AF26*(D_iC)-MIN(F_CardPayM,AF26+AF26*(D_iC)),AF26)</f>
        <v>0</v>
      </c>
      <c r="AH26" s="1" t="n">
        <f aca="false">IF(AG26&gt;PR_BalDone,AG26+AG26*(D_iC)-MIN(F_CardPayM,AG26+AG26*(D_iC)),AG26)</f>
        <v>0</v>
      </c>
      <c r="AI26" s="1" t="n">
        <f aca="false">IF(AH26&gt;PR_BalDone,AH26+AH26*(D_iC)-MIN(F_CardPayM,AH26+AH26*(D_iC)),AH26)</f>
        <v>0</v>
      </c>
      <c r="AJ26" s="1" t="n">
        <f aca="false">IF(AI26&gt;PR_BalDone,AI26+AI26*(D_iC)-MIN(F_CardPayM,AI26+AI26*(D_iC)),AI26)</f>
        <v>0</v>
      </c>
      <c r="AK26" s="1" t="n">
        <f aca="false">IF(AJ26&gt;PR_BalDone,AJ26+AJ26*(D_iC)-MIN(F_CardPayM,AJ26+AJ26*(D_iC)),AJ26)</f>
        <v>0</v>
      </c>
      <c r="AL26" s="1" t="n">
        <f aca="false">IF(AK26&gt;PR_BalDone,AK26+AK26*(D_iC)-MIN(F_CardPayM,AK26+AK26*(D_iC)),AK26)</f>
        <v>0</v>
      </c>
      <c r="AM26" s="1" t="n">
        <f aca="false">IF(AL26&gt;PR_BalDone,AL26+AL26*(D_iC)-MIN(F_CardPayM,AL26+AL26*(D_iC)),AL26)</f>
        <v>0</v>
      </c>
      <c r="AN26" s="1" t="n">
        <f aca="false">IF(AM26&gt;PR_BalDone,AM26+AM26*(D_iC)-MIN(F_CardPayM,AM26+AM26*(D_iC)),AM26)</f>
        <v>0</v>
      </c>
      <c r="AO26" s="1" t="n">
        <f aca="false">IF(AN26&gt;PR_BalDone,AN26+AN26*(D_iC)-MIN(F_CardPayM,AN26+AN26*(D_iC)),AN26)</f>
        <v>0</v>
      </c>
      <c r="AP26" s="1" t="n">
        <f aca="false">IF(AO26&gt;PR_BalDone,AO26+AO26*(D_iC)-MIN(F_CardPayM,AO26+AO26*(D_iC)),AO26)</f>
        <v>0</v>
      </c>
      <c r="AQ26" s="1" t="n">
        <f aca="false">IF(AD26&gt;PR_BalDone,MIN(F_CardPayM,AD26+AD26*(D_iC)),0)</f>
        <v>0</v>
      </c>
      <c r="AR26" s="1" t="n">
        <f aca="false">IF(AE26&gt;PR_BalDone,MIN(F_CardPayM,AE26+AE26*(D_iC)),0)</f>
        <v>0</v>
      </c>
      <c r="AS26" s="1" t="n">
        <f aca="false">IF(AF26&gt;PR_BalDone,MIN(F_CardPayM,AF26+AF26*(D_iC)),0)</f>
        <v>0</v>
      </c>
      <c r="AT26" s="1" t="n">
        <f aca="false">IF(AG26&gt;PR_BalDone,MIN(F_CardPayM,AG26+AG26*(D_iC)),0)</f>
        <v>0</v>
      </c>
      <c r="AU26" s="1" t="n">
        <f aca="false">IF(AH26&gt;PR_BalDone,MIN(F_CardPayM,AH26+AH26*(D_iC)),0)</f>
        <v>0</v>
      </c>
      <c r="AV26" s="1" t="n">
        <f aca="false">IF(AI26&gt;PR_BalDone,MIN(F_CardPayM,AI26+AI26*(D_iC)),0)</f>
        <v>0</v>
      </c>
      <c r="AW26" s="1" t="n">
        <f aca="false">IF(AJ26&gt;PR_BalDone,MIN(F_CardPayM,AJ26+AJ26*(D_iC)),0)</f>
        <v>0</v>
      </c>
      <c r="AX26" s="1" t="n">
        <f aca="false">IF(AK26&gt;PR_BalDone,MIN(F_CardPayM,AK26+AK26*(D_iC)),0)</f>
        <v>0</v>
      </c>
      <c r="AY26" s="1" t="n">
        <f aca="false">IF(AL26&gt;PR_BalDone,MIN(F_CardPayM,AL26+AL26*(D_iC)),0)</f>
        <v>0</v>
      </c>
      <c r="AZ26" s="1" t="n">
        <f aca="false">IF(AM26&gt;PR_BalDone,MIN(F_CardPayM,AM26+AM26*(D_iC)),0)</f>
        <v>0</v>
      </c>
      <c r="BA26" s="1" t="n">
        <f aca="false">IF(AN26&gt;PR_BalDone,MIN(F_CardPayM,AN26+AN26*(D_iC)),0)</f>
        <v>0</v>
      </c>
      <c r="BB26" s="1" t="n">
        <f aca="false">IF(AO26&gt;PR_BalDone,MIN(F_CardPayM,AO26+AO26*(D_iC)),0)</f>
        <v>0</v>
      </c>
      <c r="BC26" s="1" t="n">
        <f aca="false">MAX(0,AP26)</f>
        <v>0</v>
      </c>
      <c r="BD26" s="1" t="n">
        <f aca="false">SUM(AQ26:BB26)</f>
        <v>0</v>
      </c>
      <c r="BE26" s="1" t="n">
        <f aca="false">'Plan cashflow'!O26</f>
        <v>0</v>
      </c>
      <c r="BF26" s="1" t="n">
        <f aca="false">IF(BE26&gt;PR_BalDone,BE26+BE26*(D_iL)-MIN(F_LoanPayM,BE26+BE26*(D_iL)),BE26)</f>
        <v>0</v>
      </c>
      <c r="BG26" s="1" t="n">
        <f aca="false">IF(BF26&gt;PR_BalDone,BF26+BF26*(D_iL)-MIN(F_LoanPayM,BF26+BF26*(D_iL)),BF26)</f>
        <v>0</v>
      </c>
      <c r="BH26" s="1" t="n">
        <f aca="false">IF(BG26&gt;PR_BalDone,BG26+BG26*(D_iL)-MIN(F_LoanPayM,BG26+BG26*(D_iL)),BG26)</f>
        <v>0</v>
      </c>
      <c r="BI26" s="1" t="n">
        <f aca="false">IF(BH26&gt;PR_BalDone,BH26+BH26*(D_iL)-MIN(F_LoanPayM,BH26+BH26*(D_iL)),BH26)</f>
        <v>0</v>
      </c>
      <c r="BJ26" s="1" t="n">
        <f aca="false">IF(BI26&gt;PR_BalDone,BI26+BI26*(D_iL)-MIN(F_LoanPayM,BI26+BI26*(D_iL)),BI26)</f>
        <v>0</v>
      </c>
      <c r="BK26" s="1" t="n">
        <f aca="false">IF(BJ26&gt;PR_BalDone,BJ26+BJ26*(D_iL)-MIN(F_LoanPayM,BJ26+BJ26*(D_iL)),BJ26)</f>
        <v>0</v>
      </c>
      <c r="BL26" s="1" t="n">
        <f aca="false">IF(BK26&gt;PR_BalDone,BK26+BK26*(D_iL)-MIN(F_LoanPayM,BK26+BK26*(D_iL)),BK26)</f>
        <v>0</v>
      </c>
      <c r="BM26" s="1" t="n">
        <f aca="false">IF(BL26&gt;PR_BalDone,BL26+BL26*(D_iL)-MIN(F_LoanPayM,BL26+BL26*(D_iL)),BL26)</f>
        <v>0</v>
      </c>
      <c r="BN26" s="1" t="n">
        <f aca="false">IF(BM26&gt;PR_BalDone,BM26+BM26*(D_iL)-MIN(F_LoanPayM,BM26+BM26*(D_iL)),BM26)</f>
        <v>0</v>
      </c>
      <c r="BO26" s="1" t="n">
        <f aca="false">IF(BN26&gt;PR_BalDone,BN26+BN26*(D_iL)-MIN(F_LoanPayM,BN26+BN26*(D_iL)),BN26)</f>
        <v>0</v>
      </c>
      <c r="BP26" s="1" t="n">
        <f aca="false">IF(BO26&gt;PR_BalDone,BO26+BO26*(D_iL)-MIN(F_LoanPayM,BO26+BO26*(D_iL)),BO26)</f>
        <v>0</v>
      </c>
      <c r="BQ26" s="1" t="n">
        <f aca="false">IF(BP26&gt;PR_BalDone,BP26+BP26*(D_iL)-MIN(F_LoanPayM,BP26+BP26*(D_iL)),BP26)</f>
        <v>0</v>
      </c>
      <c r="BR26" s="1" t="n">
        <f aca="false">IF(BE26&gt;PR_BalDone,MIN(F_LoanPayM,BE26+BE26*(D_iL)),0)</f>
        <v>0</v>
      </c>
      <c r="BS26" s="1" t="n">
        <f aca="false">IF(BF26&gt;PR_BalDone,MIN(F_LoanPayM,BF26+BF26*(D_iL)),0)</f>
        <v>0</v>
      </c>
      <c r="BT26" s="1" t="n">
        <f aca="false">IF(BG26&gt;PR_BalDone,MIN(F_LoanPayM,BG26+BG26*(D_iL)),0)</f>
        <v>0</v>
      </c>
      <c r="BU26" s="1" t="n">
        <f aca="false">IF(BH26&gt;PR_BalDone,MIN(F_LoanPayM,BH26+BH26*(D_iL)),0)</f>
        <v>0</v>
      </c>
      <c r="BV26" s="1" t="n">
        <f aca="false">IF(BI26&gt;PR_BalDone,MIN(F_LoanPayM,BI26+BI26*(D_iL)),0)</f>
        <v>0</v>
      </c>
      <c r="BW26" s="1" t="n">
        <f aca="false">IF(BJ26&gt;PR_BalDone,MIN(F_LoanPayM,BJ26+BJ26*(D_iL)),0)</f>
        <v>0</v>
      </c>
      <c r="BX26" s="1" t="n">
        <f aca="false">IF(BK26&gt;PR_BalDone,MIN(F_LoanPayM,BK26+BK26*(D_iL)),0)</f>
        <v>0</v>
      </c>
      <c r="BY26" s="1" t="n">
        <f aca="false">IF(BL26&gt;PR_BalDone,MIN(F_LoanPayM,BL26+BL26*(D_iL)),0)</f>
        <v>0</v>
      </c>
      <c r="BZ26" s="1" t="n">
        <f aca="false">IF(BM26&gt;PR_BalDone,MIN(F_LoanPayM,BM26+BM26*(D_iL)),0)</f>
        <v>0</v>
      </c>
      <c r="CA26" s="1" t="n">
        <f aca="false">IF(BN26&gt;PR_BalDone,MIN(F_LoanPayM,BN26+BN26*(D_iL)),0)</f>
        <v>0</v>
      </c>
      <c r="CB26" s="1" t="n">
        <f aca="false">IF(BO26&gt;PR_BalDone,MIN(F_LoanPayM,BO26+BO26*(D_iL)),0)</f>
        <v>0</v>
      </c>
      <c r="CC26" s="1" t="n">
        <f aca="false">IF(BP26&gt;PR_BalDone,MIN(F_LoanPayM,BP26+BP26*(D_iL)),0)</f>
        <v>0</v>
      </c>
      <c r="CD26" s="1" t="n">
        <f aca="false">MAX(0,BQ26)</f>
        <v>0</v>
      </c>
      <c r="CE26" s="1" t="n">
        <f aca="false">SUM(BR26:CC26)</f>
        <v>0</v>
      </c>
      <c r="CF26" s="1" t="n">
        <f aca="false">IF(CF25&gt;1,DE25,CF25)</f>
        <v>0</v>
      </c>
      <c r="CG26" s="1" t="n">
        <f aca="false">IF(CF26&gt;PR_BalDone,CF26+CF26*(F_MR/12)-MIN(F_MortPayM,CF26+CF26*(F_MR/12)),CF26)</f>
        <v>0</v>
      </c>
      <c r="CH26" s="1" t="n">
        <f aca="false">IF(CG26&gt;PR_BalDone,CG26+CG26*(F_MR/12)-MIN(F_MortPayM,CG26+CG26*(F_MR/12)),CG26)</f>
        <v>0</v>
      </c>
      <c r="CI26" s="1" t="n">
        <f aca="false">IF(CH26&gt;PR_BalDone,CH26+CH26*(F_MR/12)-MIN(F_MortPayM,CH26+CH26*(F_MR/12)),CH26)</f>
        <v>0</v>
      </c>
      <c r="CJ26" s="1" t="n">
        <f aca="false">IF(CI26&gt;PR_BalDone,CI26+CI26*(F_MR/12)-MIN(F_MortPayM,CI26+CI26*(F_MR/12)),CI26)</f>
        <v>0</v>
      </c>
      <c r="CK26" s="1" t="n">
        <f aca="false">IF(CJ26&gt;PR_BalDone,CJ26+CJ26*(F_MR/12)-MIN(F_MortPayM,CJ26+CJ26*(F_MR/12)),CJ26)</f>
        <v>0</v>
      </c>
      <c r="CL26" s="1" t="n">
        <f aca="false">IF(CK26&gt;PR_BalDone,CK26+CK26*(F_MR/12)-MIN(F_MortPayM,CK26+CK26*(F_MR/12)),CK26)</f>
        <v>0</v>
      </c>
      <c r="CM26" s="1" t="n">
        <f aca="false">IF(CL26&gt;PR_BalDone,CL26+CL26*(F_MR/12)-MIN(F_MortPayM,CL26+CL26*(F_MR/12)),CL26)</f>
        <v>0</v>
      </c>
      <c r="CN26" s="1" t="n">
        <f aca="false">IF(CM26&gt;PR_BalDone,CM26+CM26*(F_MR/12)-MIN(F_MortPayM,CM26+CM26*(F_MR/12)),CM26)</f>
        <v>0</v>
      </c>
      <c r="CO26" s="1" t="n">
        <f aca="false">IF(CN26&gt;PR_BalDone,CN26+CN26*(F_MR/12)-MIN(F_MortPayM,CN26+CN26*(F_MR/12)),CN26)</f>
        <v>0</v>
      </c>
      <c r="CP26" s="1" t="n">
        <f aca="false">IF(CO26&gt;PR_BalDone,CO26+CO26*(F_MR/12)-MIN(F_MortPayM,CO26+CO26*(F_MR/12)),CO26)</f>
        <v>0</v>
      </c>
      <c r="CQ26" s="1" t="n">
        <f aca="false">IF(CP26&gt;PR_BalDone,CP26+CP26*(F_MR/12)-MIN(F_MortPayM,CP26+CP26*(F_MR/12)),CP26)</f>
        <v>0</v>
      </c>
      <c r="CR26" s="1" t="n">
        <f aca="false">IF(CQ26&gt;PR_BalDone,CQ26+CQ26*(F_MR/12)-MIN(F_MortPayM,CQ26+CQ26*(F_MR/12)),CQ26)</f>
        <v>0</v>
      </c>
      <c r="CS26" s="1" t="n">
        <f aca="false">IF(CF26&gt;PR_BalDone,MIN(F_MortPayM,CF26+CF26*(F_MR/12)),0)</f>
        <v>0</v>
      </c>
      <c r="CT26" s="1" t="n">
        <f aca="false">IF(CG26&gt;PR_BalDone,MIN(F_MortPayM,CG26+CG26*(F_MR/12)),0)</f>
        <v>0</v>
      </c>
      <c r="CU26" s="1" t="n">
        <f aca="false">IF(CH26&gt;PR_BalDone,MIN(F_MortPayM,CH26+CH26*(F_MR/12)),0)</f>
        <v>0</v>
      </c>
      <c r="CV26" s="1" t="n">
        <f aca="false">IF(CI26&gt;PR_BalDone,MIN(F_MortPayM,CI26+CI26*(F_MR/12)),0)</f>
        <v>0</v>
      </c>
      <c r="CW26" s="1" t="n">
        <f aca="false">IF(CJ26&gt;PR_BalDone,MIN(F_MortPayM,CJ26+CJ26*(F_MR/12)),0)</f>
        <v>0</v>
      </c>
      <c r="CX26" s="1" t="n">
        <f aca="false">IF(CK26&gt;PR_BalDone,MIN(F_MortPayM,CK26+CK26*(F_MR/12)),0)</f>
        <v>0</v>
      </c>
      <c r="CY26" s="1" t="n">
        <f aca="false">IF(CL26&gt;PR_BalDone,MIN(F_MortPayM,CL26+CL26*(F_MR/12)),0)</f>
        <v>0</v>
      </c>
      <c r="CZ26" s="1" t="n">
        <f aca="false">IF(CM26&gt;PR_BalDone,MIN(F_MortPayM,CM26+CM26*(F_MR/12)),0)</f>
        <v>0</v>
      </c>
      <c r="DA26" s="1" t="n">
        <f aca="false">IF(CN26&gt;PR_BalDone,MIN(F_MortPayM,CN26+CN26*(F_MR/12)),0)</f>
        <v>0</v>
      </c>
      <c r="DB26" s="1" t="n">
        <f aca="false">IF(CO26&gt;PR_BalDone,MIN(F_MortPayM,CO26+CO26*(F_MR/12)),0)</f>
        <v>0</v>
      </c>
      <c r="DC26" s="1" t="n">
        <f aca="false">IF(CP26&gt;PR_BalDone,MIN(F_MortPayM,CP26+CP26*(F_MR/12)),0)</f>
        <v>0</v>
      </c>
      <c r="DD26" s="1" t="n">
        <f aca="false">IF(CQ26&gt;PR_BalDone,MIN(F_MortPayM,CQ26+CQ26*(F_MR/12)),0)</f>
        <v>0</v>
      </c>
      <c r="DE26" s="1" t="n">
        <f aca="false">MAX(0,CR26)</f>
        <v>0</v>
      </c>
      <c r="DF26" s="1" t="n">
        <f aca="false">SUM(CS26:DD26)</f>
        <v>0</v>
      </c>
      <c r="DG26" s="1" t="n">
        <f aca="false">MAX(0,CF26)</f>
        <v>0</v>
      </c>
    </row>
    <row r="27" customFormat="false" ht="15" hidden="false" customHeight="true" outlineLevel="0" collapsed="false">
      <c r="B27" s="1" t="n">
        <v>19</v>
      </c>
      <c r="C27" s="1" t="n">
        <f aca="false">'Plan cashflow'!I27</f>
        <v>0</v>
      </c>
      <c r="D27" s="1" t="n">
        <f aca="false">IF(C27&gt;PR_BalDone,C27+C27*(F_MR/12)-MIN(F_MortPayM,C27+C27*(F_MR/12)),C27)</f>
        <v>0</v>
      </c>
      <c r="E27" s="1" t="n">
        <f aca="false">IF(D27&gt;PR_BalDone,D27+D27*(F_MR/12)-MIN(F_MortPayM,D27+D27*(F_MR/12)),D27)</f>
        <v>0</v>
      </c>
      <c r="F27" s="1" t="n">
        <f aca="false">IF(E27&gt;PR_BalDone,E27+E27*(F_MR/12)-MIN(F_MortPayM,E27+E27*(F_MR/12)),E27)</f>
        <v>0</v>
      </c>
      <c r="G27" s="1" t="n">
        <f aca="false">IF(F27&gt;PR_BalDone,F27+F27*(F_MR/12)-MIN(F_MortPayM,F27+F27*(F_MR/12)),F27)</f>
        <v>0</v>
      </c>
      <c r="H27" s="1" t="n">
        <f aca="false">IF(G27&gt;PR_BalDone,G27+G27*(F_MR/12)-MIN(F_MortPayM,G27+G27*(F_MR/12)),G27)</f>
        <v>0</v>
      </c>
      <c r="I27" s="1" t="n">
        <f aca="false">IF(H27&gt;PR_BalDone,H27+H27*(F_MR/12)-MIN(F_MortPayM,H27+H27*(F_MR/12)),H27)</f>
        <v>0</v>
      </c>
      <c r="J27" s="1" t="n">
        <f aca="false">IF(I27&gt;PR_BalDone,I27+I27*(F_MR/12)-MIN(F_MortPayM,I27+I27*(F_MR/12)),I27)</f>
        <v>0</v>
      </c>
      <c r="K27" s="1" t="n">
        <f aca="false">IF(J27&gt;PR_BalDone,J27+J27*(F_MR/12)-MIN(F_MortPayM,J27+J27*(F_MR/12)),J27)</f>
        <v>0</v>
      </c>
      <c r="L27" s="1" t="n">
        <f aca="false">IF(K27&gt;PR_BalDone,K27+K27*(F_MR/12)-MIN(F_MortPayM,K27+K27*(F_MR/12)),K27)</f>
        <v>0</v>
      </c>
      <c r="M27" s="1" t="n">
        <f aca="false">IF(L27&gt;PR_BalDone,L27+L27*(F_MR/12)-MIN(F_MortPayM,L27+L27*(F_MR/12)),L27)</f>
        <v>0</v>
      </c>
      <c r="N27" s="1" t="n">
        <f aca="false">IF(M27&gt;PR_BalDone,M27+M27*(F_MR/12)-MIN(F_MortPayM,M27+M27*(F_MR/12)),M27)</f>
        <v>0</v>
      </c>
      <c r="O27" s="1" t="n">
        <f aca="false">IF(N27&gt;PR_BalDone,N27+N27*(F_MR/12)-MIN(F_MortPayM,N27+N27*(F_MR/12)),N27)</f>
        <v>0</v>
      </c>
      <c r="P27" s="1" t="n">
        <f aca="false">IF(C27&gt;PR_BalDone,MIN(F_MortPayM,C27+C27*(F_MR/12)),0)</f>
        <v>0</v>
      </c>
      <c r="Q27" s="1" t="n">
        <f aca="false">IF(D27&gt;PR_BalDone,MIN(F_MortPayM,D27+D27*(F_MR/12)),0)</f>
        <v>0</v>
      </c>
      <c r="R27" s="1" t="n">
        <f aca="false">IF(E27&gt;PR_BalDone,MIN(F_MortPayM,E27+E27*(F_MR/12)),0)</f>
        <v>0</v>
      </c>
      <c r="S27" s="1" t="n">
        <f aca="false">IF(F27&gt;PR_BalDone,MIN(F_MortPayM,F27+F27*(F_MR/12)),0)</f>
        <v>0</v>
      </c>
      <c r="T27" s="1" t="n">
        <f aca="false">IF(G27&gt;PR_BalDone,MIN(F_MortPayM,G27+G27*(F_MR/12)),0)</f>
        <v>0</v>
      </c>
      <c r="U27" s="1" t="n">
        <f aca="false">IF(H27&gt;PR_BalDone,MIN(F_MortPayM,H27+H27*(F_MR/12)),0)</f>
        <v>0</v>
      </c>
      <c r="V27" s="1" t="n">
        <f aca="false">IF(I27&gt;PR_BalDone,MIN(F_MortPayM,I27+I27*(F_MR/12)),0)</f>
        <v>0</v>
      </c>
      <c r="W27" s="1" t="n">
        <f aca="false">IF(J27&gt;PR_BalDone,MIN(F_MortPayM,J27+J27*(F_MR/12)),0)</f>
        <v>0</v>
      </c>
      <c r="X27" s="1" t="n">
        <f aca="false">IF(K27&gt;PR_BalDone,MIN(F_MortPayM,K27+K27*(F_MR/12)),0)</f>
        <v>0</v>
      </c>
      <c r="Y27" s="1" t="n">
        <f aca="false">IF(L27&gt;PR_BalDone,MIN(F_MortPayM,L27+L27*(F_MR/12)),0)</f>
        <v>0</v>
      </c>
      <c r="Z27" s="1" t="n">
        <f aca="false">IF(M27&gt;PR_BalDone,MIN(F_MortPayM,M27+M27*(F_MR/12)),0)</f>
        <v>0</v>
      </c>
      <c r="AA27" s="1" t="n">
        <f aca="false">IF(N27&gt;PR_BalDone,MIN(F_MortPayM,N27+N27*(F_MR/12)),0)</f>
        <v>0</v>
      </c>
      <c r="AB27" s="1" t="n">
        <f aca="false">MAX(0,O27)</f>
        <v>0</v>
      </c>
      <c r="AC27" s="1" t="n">
        <f aca="false">SUM(P27:AA27)</f>
        <v>0</v>
      </c>
      <c r="AD27" s="1" t="n">
        <f aca="false">'Plan cashflow'!L27</f>
        <v>0</v>
      </c>
      <c r="AE27" s="1" t="n">
        <f aca="false">IF(AD27&gt;PR_BalDone,AD27+AD27*(D_iC)-MIN(F_CardPayM,AD27+AD27*(D_iC)),AD27)</f>
        <v>0</v>
      </c>
      <c r="AF27" s="1" t="n">
        <f aca="false">IF(AE27&gt;PR_BalDone,AE27+AE27*(D_iC)-MIN(F_CardPayM,AE27+AE27*(D_iC)),AE27)</f>
        <v>0</v>
      </c>
      <c r="AG27" s="1" t="n">
        <f aca="false">IF(AF27&gt;PR_BalDone,AF27+AF27*(D_iC)-MIN(F_CardPayM,AF27+AF27*(D_iC)),AF27)</f>
        <v>0</v>
      </c>
      <c r="AH27" s="1" t="n">
        <f aca="false">IF(AG27&gt;PR_BalDone,AG27+AG27*(D_iC)-MIN(F_CardPayM,AG27+AG27*(D_iC)),AG27)</f>
        <v>0</v>
      </c>
      <c r="AI27" s="1" t="n">
        <f aca="false">IF(AH27&gt;PR_BalDone,AH27+AH27*(D_iC)-MIN(F_CardPayM,AH27+AH27*(D_iC)),AH27)</f>
        <v>0</v>
      </c>
      <c r="AJ27" s="1" t="n">
        <f aca="false">IF(AI27&gt;PR_BalDone,AI27+AI27*(D_iC)-MIN(F_CardPayM,AI27+AI27*(D_iC)),AI27)</f>
        <v>0</v>
      </c>
      <c r="AK27" s="1" t="n">
        <f aca="false">IF(AJ27&gt;PR_BalDone,AJ27+AJ27*(D_iC)-MIN(F_CardPayM,AJ27+AJ27*(D_iC)),AJ27)</f>
        <v>0</v>
      </c>
      <c r="AL27" s="1" t="n">
        <f aca="false">IF(AK27&gt;PR_BalDone,AK27+AK27*(D_iC)-MIN(F_CardPayM,AK27+AK27*(D_iC)),AK27)</f>
        <v>0</v>
      </c>
      <c r="AM27" s="1" t="n">
        <f aca="false">IF(AL27&gt;PR_BalDone,AL27+AL27*(D_iC)-MIN(F_CardPayM,AL27+AL27*(D_iC)),AL27)</f>
        <v>0</v>
      </c>
      <c r="AN27" s="1" t="n">
        <f aca="false">IF(AM27&gt;PR_BalDone,AM27+AM27*(D_iC)-MIN(F_CardPayM,AM27+AM27*(D_iC)),AM27)</f>
        <v>0</v>
      </c>
      <c r="AO27" s="1" t="n">
        <f aca="false">IF(AN27&gt;PR_BalDone,AN27+AN27*(D_iC)-MIN(F_CardPayM,AN27+AN27*(D_iC)),AN27)</f>
        <v>0</v>
      </c>
      <c r="AP27" s="1" t="n">
        <f aca="false">IF(AO27&gt;PR_BalDone,AO27+AO27*(D_iC)-MIN(F_CardPayM,AO27+AO27*(D_iC)),AO27)</f>
        <v>0</v>
      </c>
      <c r="AQ27" s="1" t="n">
        <f aca="false">IF(AD27&gt;PR_BalDone,MIN(F_CardPayM,AD27+AD27*(D_iC)),0)</f>
        <v>0</v>
      </c>
      <c r="AR27" s="1" t="n">
        <f aca="false">IF(AE27&gt;PR_BalDone,MIN(F_CardPayM,AE27+AE27*(D_iC)),0)</f>
        <v>0</v>
      </c>
      <c r="AS27" s="1" t="n">
        <f aca="false">IF(AF27&gt;PR_BalDone,MIN(F_CardPayM,AF27+AF27*(D_iC)),0)</f>
        <v>0</v>
      </c>
      <c r="AT27" s="1" t="n">
        <f aca="false">IF(AG27&gt;PR_BalDone,MIN(F_CardPayM,AG27+AG27*(D_iC)),0)</f>
        <v>0</v>
      </c>
      <c r="AU27" s="1" t="n">
        <f aca="false">IF(AH27&gt;PR_BalDone,MIN(F_CardPayM,AH27+AH27*(D_iC)),0)</f>
        <v>0</v>
      </c>
      <c r="AV27" s="1" t="n">
        <f aca="false">IF(AI27&gt;PR_BalDone,MIN(F_CardPayM,AI27+AI27*(D_iC)),0)</f>
        <v>0</v>
      </c>
      <c r="AW27" s="1" t="n">
        <f aca="false">IF(AJ27&gt;PR_BalDone,MIN(F_CardPayM,AJ27+AJ27*(D_iC)),0)</f>
        <v>0</v>
      </c>
      <c r="AX27" s="1" t="n">
        <f aca="false">IF(AK27&gt;PR_BalDone,MIN(F_CardPayM,AK27+AK27*(D_iC)),0)</f>
        <v>0</v>
      </c>
      <c r="AY27" s="1" t="n">
        <f aca="false">IF(AL27&gt;PR_BalDone,MIN(F_CardPayM,AL27+AL27*(D_iC)),0)</f>
        <v>0</v>
      </c>
      <c r="AZ27" s="1" t="n">
        <f aca="false">IF(AM27&gt;PR_BalDone,MIN(F_CardPayM,AM27+AM27*(D_iC)),0)</f>
        <v>0</v>
      </c>
      <c r="BA27" s="1" t="n">
        <f aca="false">IF(AN27&gt;PR_BalDone,MIN(F_CardPayM,AN27+AN27*(D_iC)),0)</f>
        <v>0</v>
      </c>
      <c r="BB27" s="1" t="n">
        <f aca="false">IF(AO27&gt;PR_BalDone,MIN(F_CardPayM,AO27+AO27*(D_iC)),0)</f>
        <v>0</v>
      </c>
      <c r="BC27" s="1" t="n">
        <f aca="false">MAX(0,AP27)</f>
        <v>0</v>
      </c>
      <c r="BD27" s="1" t="n">
        <f aca="false">SUM(AQ27:BB27)</f>
        <v>0</v>
      </c>
      <c r="BE27" s="1" t="n">
        <f aca="false">'Plan cashflow'!O27</f>
        <v>0</v>
      </c>
      <c r="BF27" s="1" t="n">
        <f aca="false">IF(BE27&gt;PR_BalDone,BE27+BE27*(D_iL)-MIN(F_LoanPayM,BE27+BE27*(D_iL)),BE27)</f>
        <v>0</v>
      </c>
      <c r="BG27" s="1" t="n">
        <f aca="false">IF(BF27&gt;PR_BalDone,BF27+BF27*(D_iL)-MIN(F_LoanPayM,BF27+BF27*(D_iL)),BF27)</f>
        <v>0</v>
      </c>
      <c r="BH27" s="1" t="n">
        <f aca="false">IF(BG27&gt;PR_BalDone,BG27+BG27*(D_iL)-MIN(F_LoanPayM,BG27+BG27*(D_iL)),BG27)</f>
        <v>0</v>
      </c>
      <c r="BI27" s="1" t="n">
        <f aca="false">IF(BH27&gt;PR_BalDone,BH27+BH27*(D_iL)-MIN(F_LoanPayM,BH27+BH27*(D_iL)),BH27)</f>
        <v>0</v>
      </c>
      <c r="BJ27" s="1" t="n">
        <f aca="false">IF(BI27&gt;PR_BalDone,BI27+BI27*(D_iL)-MIN(F_LoanPayM,BI27+BI27*(D_iL)),BI27)</f>
        <v>0</v>
      </c>
      <c r="BK27" s="1" t="n">
        <f aca="false">IF(BJ27&gt;PR_BalDone,BJ27+BJ27*(D_iL)-MIN(F_LoanPayM,BJ27+BJ27*(D_iL)),BJ27)</f>
        <v>0</v>
      </c>
      <c r="BL27" s="1" t="n">
        <f aca="false">IF(BK27&gt;PR_BalDone,BK27+BK27*(D_iL)-MIN(F_LoanPayM,BK27+BK27*(D_iL)),BK27)</f>
        <v>0</v>
      </c>
      <c r="BM27" s="1" t="n">
        <f aca="false">IF(BL27&gt;PR_BalDone,BL27+BL27*(D_iL)-MIN(F_LoanPayM,BL27+BL27*(D_iL)),BL27)</f>
        <v>0</v>
      </c>
      <c r="BN27" s="1" t="n">
        <f aca="false">IF(BM27&gt;PR_BalDone,BM27+BM27*(D_iL)-MIN(F_LoanPayM,BM27+BM27*(D_iL)),BM27)</f>
        <v>0</v>
      </c>
      <c r="BO27" s="1" t="n">
        <f aca="false">IF(BN27&gt;PR_BalDone,BN27+BN27*(D_iL)-MIN(F_LoanPayM,BN27+BN27*(D_iL)),BN27)</f>
        <v>0</v>
      </c>
      <c r="BP27" s="1" t="n">
        <f aca="false">IF(BO27&gt;PR_BalDone,BO27+BO27*(D_iL)-MIN(F_LoanPayM,BO27+BO27*(D_iL)),BO27)</f>
        <v>0</v>
      </c>
      <c r="BQ27" s="1" t="n">
        <f aca="false">IF(BP27&gt;PR_BalDone,BP27+BP27*(D_iL)-MIN(F_LoanPayM,BP27+BP27*(D_iL)),BP27)</f>
        <v>0</v>
      </c>
      <c r="BR27" s="1" t="n">
        <f aca="false">IF(BE27&gt;PR_BalDone,MIN(F_LoanPayM,BE27+BE27*(D_iL)),0)</f>
        <v>0</v>
      </c>
      <c r="BS27" s="1" t="n">
        <f aca="false">IF(BF27&gt;PR_BalDone,MIN(F_LoanPayM,BF27+BF27*(D_iL)),0)</f>
        <v>0</v>
      </c>
      <c r="BT27" s="1" t="n">
        <f aca="false">IF(BG27&gt;PR_BalDone,MIN(F_LoanPayM,BG27+BG27*(D_iL)),0)</f>
        <v>0</v>
      </c>
      <c r="BU27" s="1" t="n">
        <f aca="false">IF(BH27&gt;PR_BalDone,MIN(F_LoanPayM,BH27+BH27*(D_iL)),0)</f>
        <v>0</v>
      </c>
      <c r="BV27" s="1" t="n">
        <f aca="false">IF(BI27&gt;PR_BalDone,MIN(F_LoanPayM,BI27+BI27*(D_iL)),0)</f>
        <v>0</v>
      </c>
      <c r="BW27" s="1" t="n">
        <f aca="false">IF(BJ27&gt;PR_BalDone,MIN(F_LoanPayM,BJ27+BJ27*(D_iL)),0)</f>
        <v>0</v>
      </c>
      <c r="BX27" s="1" t="n">
        <f aca="false">IF(BK27&gt;PR_BalDone,MIN(F_LoanPayM,BK27+BK27*(D_iL)),0)</f>
        <v>0</v>
      </c>
      <c r="BY27" s="1" t="n">
        <f aca="false">IF(BL27&gt;PR_BalDone,MIN(F_LoanPayM,BL27+BL27*(D_iL)),0)</f>
        <v>0</v>
      </c>
      <c r="BZ27" s="1" t="n">
        <f aca="false">IF(BM27&gt;PR_BalDone,MIN(F_LoanPayM,BM27+BM27*(D_iL)),0)</f>
        <v>0</v>
      </c>
      <c r="CA27" s="1" t="n">
        <f aca="false">IF(BN27&gt;PR_BalDone,MIN(F_LoanPayM,BN27+BN27*(D_iL)),0)</f>
        <v>0</v>
      </c>
      <c r="CB27" s="1" t="n">
        <f aca="false">IF(BO27&gt;PR_BalDone,MIN(F_LoanPayM,BO27+BO27*(D_iL)),0)</f>
        <v>0</v>
      </c>
      <c r="CC27" s="1" t="n">
        <f aca="false">IF(BP27&gt;PR_BalDone,MIN(F_LoanPayM,BP27+BP27*(D_iL)),0)</f>
        <v>0</v>
      </c>
      <c r="CD27" s="1" t="n">
        <f aca="false">MAX(0,BQ27)</f>
        <v>0</v>
      </c>
      <c r="CE27" s="1" t="n">
        <f aca="false">SUM(BR27:CC27)</f>
        <v>0</v>
      </c>
      <c r="CF27" s="1" t="n">
        <f aca="false">IF(CF26&gt;1,DE26,CF26)</f>
        <v>0</v>
      </c>
      <c r="CG27" s="1" t="n">
        <f aca="false">IF(CF27&gt;PR_BalDone,CF27+CF27*(F_MR/12)-MIN(F_MortPayM,CF27+CF27*(F_MR/12)),CF27)</f>
        <v>0</v>
      </c>
      <c r="CH27" s="1" t="n">
        <f aca="false">IF(CG27&gt;PR_BalDone,CG27+CG27*(F_MR/12)-MIN(F_MortPayM,CG27+CG27*(F_MR/12)),CG27)</f>
        <v>0</v>
      </c>
      <c r="CI27" s="1" t="n">
        <f aca="false">IF(CH27&gt;PR_BalDone,CH27+CH27*(F_MR/12)-MIN(F_MortPayM,CH27+CH27*(F_MR/12)),CH27)</f>
        <v>0</v>
      </c>
      <c r="CJ27" s="1" t="n">
        <f aca="false">IF(CI27&gt;PR_BalDone,CI27+CI27*(F_MR/12)-MIN(F_MortPayM,CI27+CI27*(F_MR/12)),CI27)</f>
        <v>0</v>
      </c>
      <c r="CK27" s="1" t="n">
        <f aca="false">IF(CJ27&gt;PR_BalDone,CJ27+CJ27*(F_MR/12)-MIN(F_MortPayM,CJ27+CJ27*(F_MR/12)),CJ27)</f>
        <v>0</v>
      </c>
      <c r="CL27" s="1" t="n">
        <f aca="false">IF(CK27&gt;PR_BalDone,CK27+CK27*(F_MR/12)-MIN(F_MortPayM,CK27+CK27*(F_MR/12)),CK27)</f>
        <v>0</v>
      </c>
      <c r="CM27" s="1" t="n">
        <f aca="false">IF(CL27&gt;PR_BalDone,CL27+CL27*(F_MR/12)-MIN(F_MortPayM,CL27+CL27*(F_MR/12)),CL27)</f>
        <v>0</v>
      </c>
      <c r="CN27" s="1" t="n">
        <f aca="false">IF(CM27&gt;PR_BalDone,CM27+CM27*(F_MR/12)-MIN(F_MortPayM,CM27+CM27*(F_MR/12)),CM27)</f>
        <v>0</v>
      </c>
      <c r="CO27" s="1" t="n">
        <f aca="false">IF(CN27&gt;PR_BalDone,CN27+CN27*(F_MR/12)-MIN(F_MortPayM,CN27+CN27*(F_MR/12)),CN27)</f>
        <v>0</v>
      </c>
      <c r="CP27" s="1" t="n">
        <f aca="false">IF(CO27&gt;PR_BalDone,CO27+CO27*(F_MR/12)-MIN(F_MortPayM,CO27+CO27*(F_MR/12)),CO27)</f>
        <v>0</v>
      </c>
      <c r="CQ27" s="1" t="n">
        <f aca="false">IF(CP27&gt;PR_BalDone,CP27+CP27*(F_MR/12)-MIN(F_MortPayM,CP27+CP27*(F_MR/12)),CP27)</f>
        <v>0</v>
      </c>
      <c r="CR27" s="1" t="n">
        <f aca="false">IF(CQ27&gt;PR_BalDone,CQ27+CQ27*(F_MR/12)-MIN(F_MortPayM,CQ27+CQ27*(F_MR/12)),CQ27)</f>
        <v>0</v>
      </c>
      <c r="CS27" s="1" t="n">
        <f aca="false">IF(CF27&gt;PR_BalDone,MIN(F_MortPayM,CF27+CF27*(F_MR/12)),0)</f>
        <v>0</v>
      </c>
      <c r="CT27" s="1" t="n">
        <f aca="false">IF(CG27&gt;PR_BalDone,MIN(F_MortPayM,CG27+CG27*(F_MR/12)),0)</f>
        <v>0</v>
      </c>
      <c r="CU27" s="1" t="n">
        <f aca="false">IF(CH27&gt;PR_BalDone,MIN(F_MortPayM,CH27+CH27*(F_MR/12)),0)</f>
        <v>0</v>
      </c>
      <c r="CV27" s="1" t="n">
        <f aca="false">IF(CI27&gt;PR_BalDone,MIN(F_MortPayM,CI27+CI27*(F_MR/12)),0)</f>
        <v>0</v>
      </c>
      <c r="CW27" s="1" t="n">
        <f aca="false">IF(CJ27&gt;PR_BalDone,MIN(F_MortPayM,CJ27+CJ27*(F_MR/12)),0)</f>
        <v>0</v>
      </c>
      <c r="CX27" s="1" t="n">
        <f aca="false">IF(CK27&gt;PR_BalDone,MIN(F_MortPayM,CK27+CK27*(F_MR/12)),0)</f>
        <v>0</v>
      </c>
      <c r="CY27" s="1" t="n">
        <f aca="false">IF(CL27&gt;PR_BalDone,MIN(F_MortPayM,CL27+CL27*(F_MR/12)),0)</f>
        <v>0</v>
      </c>
      <c r="CZ27" s="1" t="n">
        <f aca="false">IF(CM27&gt;PR_BalDone,MIN(F_MortPayM,CM27+CM27*(F_MR/12)),0)</f>
        <v>0</v>
      </c>
      <c r="DA27" s="1" t="n">
        <f aca="false">IF(CN27&gt;PR_BalDone,MIN(F_MortPayM,CN27+CN27*(F_MR/12)),0)</f>
        <v>0</v>
      </c>
      <c r="DB27" s="1" t="n">
        <f aca="false">IF(CO27&gt;PR_BalDone,MIN(F_MortPayM,CO27+CO27*(F_MR/12)),0)</f>
        <v>0</v>
      </c>
      <c r="DC27" s="1" t="n">
        <f aca="false">IF(CP27&gt;PR_BalDone,MIN(F_MortPayM,CP27+CP27*(F_MR/12)),0)</f>
        <v>0</v>
      </c>
      <c r="DD27" s="1" t="n">
        <f aca="false">IF(CQ27&gt;PR_BalDone,MIN(F_MortPayM,CQ27+CQ27*(F_MR/12)),0)</f>
        <v>0</v>
      </c>
      <c r="DE27" s="1" t="n">
        <f aca="false">MAX(0,CR27)</f>
        <v>0</v>
      </c>
      <c r="DF27" s="1" t="n">
        <f aca="false">SUM(CS27:DD27)</f>
        <v>0</v>
      </c>
      <c r="DG27" s="1" t="n">
        <f aca="false">MAX(0,CF27)</f>
        <v>0</v>
      </c>
    </row>
    <row r="28" customFormat="false" ht="15" hidden="false" customHeight="true" outlineLevel="0" collapsed="false">
      <c r="B28" s="1" t="n">
        <v>20</v>
      </c>
      <c r="C28" s="1" t="n">
        <f aca="false">'Plan cashflow'!I28</f>
        <v>0</v>
      </c>
      <c r="D28" s="1" t="n">
        <f aca="false">IF(C28&gt;PR_BalDone,C28+C28*(F_MR/12)-MIN(F_MortPayM,C28+C28*(F_MR/12)),C28)</f>
        <v>0</v>
      </c>
      <c r="E28" s="1" t="n">
        <f aca="false">IF(D28&gt;PR_BalDone,D28+D28*(F_MR/12)-MIN(F_MortPayM,D28+D28*(F_MR/12)),D28)</f>
        <v>0</v>
      </c>
      <c r="F28" s="1" t="n">
        <f aca="false">IF(E28&gt;PR_BalDone,E28+E28*(F_MR/12)-MIN(F_MortPayM,E28+E28*(F_MR/12)),E28)</f>
        <v>0</v>
      </c>
      <c r="G28" s="1" t="n">
        <f aca="false">IF(F28&gt;PR_BalDone,F28+F28*(F_MR/12)-MIN(F_MortPayM,F28+F28*(F_MR/12)),F28)</f>
        <v>0</v>
      </c>
      <c r="H28" s="1" t="n">
        <f aca="false">IF(G28&gt;PR_BalDone,G28+G28*(F_MR/12)-MIN(F_MortPayM,G28+G28*(F_MR/12)),G28)</f>
        <v>0</v>
      </c>
      <c r="I28" s="1" t="n">
        <f aca="false">IF(H28&gt;PR_BalDone,H28+H28*(F_MR/12)-MIN(F_MortPayM,H28+H28*(F_MR/12)),H28)</f>
        <v>0</v>
      </c>
      <c r="J28" s="1" t="n">
        <f aca="false">IF(I28&gt;PR_BalDone,I28+I28*(F_MR/12)-MIN(F_MortPayM,I28+I28*(F_MR/12)),I28)</f>
        <v>0</v>
      </c>
      <c r="K28" s="1" t="n">
        <f aca="false">IF(J28&gt;PR_BalDone,J28+J28*(F_MR/12)-MIN(F_MortPayM,J28+J28*(F_MR/12)),J28)</f>
        <v>0</v>
      </c>
      <c r="L28" s="1" t="n">
        <f aca="false">IF(K28&gt;PR_BalDone,K28+K28*(F_MR/12)-MIN(F_MortPayM,K28+K28*(F_MR/12)),K28)</f>
        <v>0</v>
      </c>
      <c r="M28" s="1" t="n">
        <f aca="false">IF(L28&gt;PR_BalDone,L28+L28*(F_MR/12)-MIN(F_MortPayM,L28+L28*(F_MR/12)),L28)</f>
        <v>0</v>
      </c>
      <c r="N28" s="1" t="n">
        <f aca="false">IF(M28&gt;PR_BalDone,M28+M28*(F_MR/12)-MIN(F_MortPayM,M28+M28*(F_MR/12)),M28)</f>
        <v>0</v>
      </c>
      <c r="O28" s="1" t="n">
        <f aca="false">IF(N28&gt;PR_BalDone,N28+N28*(F_MR/12)-MIN(F_MortPayM,N28+N28*(F_MR/12)),N28)</f>
        <v>0</v>
      </c>
      <c r="P28" s="1" t="n">
        <f aca="false">IF(C28&gt;PR_BalDone,MIN(F_MortPayM,C28+C28*(F_MR/12)),0)</f>
        <v>0</v>
      </c>
      <c r="Q28" s="1" t="n">
        <f aca="false">IF(D28&gt;PR_BalDone,MIN(F_MortPayM,D28+D28*(F_MR/12)),0)</f>
        <v>0</v>
      </c>
      <c r="R28" s="1" t="n">
        <f aca="false">IF(E28&gt;PR_BalDone,MIN(F_MortPayM,E28+E28*(F_MR/12)),0)</f>
        <v>0</v>
      </c>
      <c r="S28" s="1" t="n">
        <f aca="false">IF(F28&gt;PR_BalDone,MIN(F_MortPayM,F28+F28*(F_MR/12)),0)</f>
        <v>0</v>
      </c>
      <c r="T28" s="1" t="n">
        <f aca="false">IF(G28&gt;PR_BalDone,MIN(F_MortPayM,G28+G28*(F_MR/12)),0)</f>
        <v>0</v>
      </c>
      <c r="U28" s="1" t="n">
        <f aca="false">IF(H28&gt;PR_BalDone,MIN(F_MortPayM,H28+H28*(F_MR/12)),0)</f>
        <v>0</v>
      </c>
      <c r="V28" s="1" t="n">
        <f aca="false">IF(I28&gt;PR_BalDone,MIN(F_MortPayM,I28+I28*(F_MR/12)),0)</f>
        <v>0</v>
      </c>
      <c r="W28" s="1" t="n">
        <f aca="false">IF(J28&gt;PR_BalDone,MIN(F_MortPayM,J28+J28*(F_MR/12)),0)</f>
        <v>0</v>
      </c>
      <c r="X28" s="1" t="n">
        <f aca="false">IF(K28&gt;PR_BalDone,MIN(F_MortPayM,K28+K28*(F_MR/12)),0)</f>
        <v>0</v>
      </c>
      <c r="Y28" s="1" t="n">
        <f aca="false">IF(L28&gt;PR_BalDone,MIN(F_MortPayM,L28+L28*(F_MR/12)),0)</f>
        <v>0</v>
      </c>
      <c r="Z28" s="1" t="n">
        <f aca="false">IF(M28&gt;PR_BalDone,MIN(F_MortPayM,M28+M28*(F_MR/12)),0)</f>
        <v>0</v>
      </c>
      <c r="AA28" s="1" t="n">
        <f aca="false">IF(N28&gt;PR_BalDone,MIN(F_MortPayM,N28+N28*(F_MR/12)),0)</f>
        <v>0</v>
      </c>
      <c r="AB28" s="1" t="n">
        <f aca="false">MAX(0,O28)</f>
        <v>0</v>
      </c>
      <c r="AC28" s="1" t="n">
        <f aca="false">SUM(P28:AA28)</f>
        <v>0</v>
      </c>
      <c r="AD28" s="1" t="n">
        <f aca="false">'Plan cashflow'!L28</f>
        <v>0</v>
      </c>
      <c r="AE28" s="1" t="n">
        <f aca="false">IF(AD28&gt;PR_BalDone,AD28+AD28*(D_iC)-MIN(F_CardPayM,AD28+AD28*(D_iC)),AD28)</f>
        <v>0</v>
      </c>
      <c r="AF28" s="1" t="n">
        <f aca="false">IF(AE28&gt;PR_BalDone,AE28+AE28*(D_iC)-MIN(F_CardPayM,AE28+AE28*(D_iC)),AE28)</f>
        <v>0</v>
      </c>
      <c r="AG28" s="1" t="n">
        <f aca="false">IF(AF28&gt;PR_BalDone,AF28+AF28*(D_iC)-MIN(F_CardPayM,AF28+AF28*(D_iC)),AF28)</f>
        <v>0</v>
      </c>
      <c r="AH28" s="1" t="n">
        <f aca="false">IF(AG28&gt;PR_BalDone,AG28+AG28*(D_iC)-MIN(F_CardPayM,AG28+AG28*(D_iC)),AG28)</f>
        <v>0</v>
      </c>
      <c r="AI28" s="1" t="n">
        <f aca="false">IF(AH28&gt;PR_BalDone,AH28+AH28*(D_iC)-MIN(F_CardPayM,AH28+AH28*(D_iC)),AH28)</f>
        <v>0</v>
      </c>
      <c r="AJ28" s="1" t="n">
        <f aca="false">IF(AI28&gt;PR_BalDone,AI28+AI28*(D_iC)-MIN(F_CardPayM,AI28+AI28*(D_iC)),AI28)</f>
        <v>0</v>
      </c>
      <c r="AK28" s="1" t="n">
        <f aca="false">IF(AJ28&gt;PR_BalDone,AJ28+AJ28*(D_iC)-MIN(F_CardPayM,AJ28+AJ28*(D_iC)),AJ28)</f>
        <v>0</v>
      </c>
      <c r="AL28" s="1" t="n">
        <f aca="false">IF(AK28&gt;PR_BalDone,AK28+AK28*(D_iC)-MIN(F_CardPayM,AK28+AK28*(D_iC)),AK28)</f>
        <v>0</v>
      </c>
      <c r="AM28" s="1" t="n">
        <f aca="false">IF(AL28&gt;PR_BalDone,AL28+AL28*(D_iC)-MIN(F_CardPayM,AL28+AL28*(D_iC)),AL28)</f>
        <v>0</v>
      </c>
      <c r="AN28" s="1" t="n">
        <f aca="false">IF(AM28&gt;PR_BalDone,AM28+AM28*(D_iC)-MIN(F_CardPayM,AM28+AM28*(D_iC)),AM28)</f>
        <v>0</v>
      </c>
      <c r="AO28" s="1" t="n">
        <f aca="false">IF(AN28&gt;PR_BalDone,AN28+AN28*(D_iC)-MIN(F_CardPayM,AN28+AN28*(D_iC)),AN28)</f>
        <v>0</v>
      </c>
      <c r="AP28" s="1" t="n">
        <f aca="false">IF(AO28&gt;PR_BalDone,AO28+AO28*(D_iC)-MIN(F_CardPayM,AO28+AO28*(D_iC)),AO28)</f>
        <v>0</v>
      </c>
      <c r="AQ28" s="1" t="n">
        <f aca="false">IF(AD28&gt;PR_BalDone,MIN(F_CardPayM,AD28+AD28*(D_iC)),0)</f>
        <v>0</v>
      </c>
      <c r="AR28" s="1" t="n">
        <f aca="false">IF(AE28&gt;PR_BalDone,MIN(F_CardPayM,AE28+AE28*(D_iC)),0)</f>
        <v>0</v>
      </c>
      <c r="AS28" s="1" t="n">
        <f aca="false">IF(AF28&gt;PR_BalDone,MIN(F_CardPayM,AF28+AF28*(D_iC)),0)</f>
        <v>0</v>
      </c>
      <c r="AT28" s="1" t="n">
        <f aca="false">IF(AG28&gt;PR_BalDone,MIN(F_CardPayM,AG28+AG28*(D_iC)),0)</f>
        <v>0</v>
      </c>
      <c r="AU28" s="1" t="n">
        <f aca="false">IF(AH28&gt;PR_BalDone,MIN(F_CardPayM,AH28+AH28*(D_iC)),0)</f>
        <v>0</v>
      </c>
      <c r="AV28" s="1" t="n">
        <f aca="false">IF(AI28&gt;PR_BalDone,MIN(F_CardPayM,AI28+AI28*(D_iC)),0)</f>
        <v>0</v>
      </c>
      <c r="AW28" s="1" t="n">
        <f aca="false">IF(AJ28&gt;PR_BalDone,MIN(F_CardPayM,AJ28+AJ28*(D_iC)),0)</f>
        <v>0</v>
      </c>
      <c r="AX28" s="1" t="n">
        <f aca="false">IF(AK28&gt;PR_BalDone,MIN(F_CardPayM,AK28+AK28*(D_iC)),0)</f>
        <v>0</v>
      </c>
      <c r="AY28" s="1" t="n">
        <f aca="false">IF(AL28&gt;PR_BalDone,MIN(F_CardPayM,AL28+AL28*(D_iC)),0)</f>
        <v>0</v>
      </c>
      <c r="AZ28" s="1" t="n">
        <f aca="false">IF(AM28&gt;PR_BalDone,MIN(F_CardPayM,AM28+AM28*(D_iC)),0)</f>
        <v>0</v>
      </c>
      <c r="BA28" s="1" t="n">
        <f aca="false">IF(AN28&gt;PR_BalDone,MIN(F_CardPayM,AN28+AN28*(D_iC)),0)</f>
        <v>0</v>
      </c>
      <c r="BB28" s="1" t="n">
        <f aca="false">IF(AO28&gt;PR_BalDone,MIN(F_CardPayM,AO28+AO28*(D_iC)),0)</f>
        <v>0</v>
      </c>
      <c r="BC28" s="1" t="n">
        <f aca="false">MAX(0,AP28)</f>
        <v>0</v>
      </c>
      <c r="BD28" s="1" t="n">
        <f aca="false">SUM(AQ28:BB28)</f>
        <v>0</v>
      </c>
      <c r="BE28" s="1" t="n">
        <f aca="false">'Plan cashflow'!O28</f>
        <v>0</v>
      </c>
      <c r="BF28" s="1" t="n">
        <f aca="false">IF(BE28&gt;PR_BalDone,BE28+BE28*(D_iL)-MIN(F_LoanPayM,BE28+BE28*(D_iL)),BE28)</f>
        <v>0</v>
      </c>
      <c r="BG28" s="1" t="n">
        <f aca="false">IF(BF28&gt;PR_BalDone,BF28+BF28*(D_iL)-MIN(F_LoanPayM,BF28+BF28*(D_iL)),BF28)</f>
        <v>0</v>
      </c>
      <c r="BH28" s="1" t="n">
        <f aca="false">IF(BG28&gt;PR_BalDone,BG28+BG28*(D_iL)-MIN(F_LoanPayM,BG28+BG28*(D_iL)),BG28)</f>
        <v>0</v>
      </c>
      <c r="BI28" s="1" t="n">
        <f aca="false">IF(BH28&gt;PR_BalDone,BH28+BH28*(D_iL)-MIN(F_LoanPayM,BH28+BH28*(D_iL)),BH28)</f>
        <v>0</v>
      </c>
      <c r="BJ28" s="1" t="n">
        <f aca="false">IF(BI28&gt;PR_BalDone,BI28+BI28*(D_iL)-MIN(F_LoanPayM,BI28+BI28*(D_iL)),BI28)</f>
        <v>0</v>
      </c>
      <c r="BK28" s="1" t="n">
        <f aca="false">IF(BJ28&gt;PR_BalDone,BJ28+BJ28*(D_iL)-MIN(F_LoanPayM,BJ28+BJ28*(D_iL)),BJ28)</f>
        <v>0</v>
      </c>
      <c r="BL28" s="1" t="n">
        <f aca="false">IF(BK28&gt;PR_BalDone,BK28+BK28*(D_iL)-MIN(F_LoanPayM,BK28+BK28*(D_iL)),BK28)</f>
        <v>0</v>
      </c>
      <c r="BM28" s="1" t="n">
        <f aca="false">IF(BL28&gt;PR_BalDone,BL28+BL28*(D_iL)-MIN(F_LoanPayM,BL28+BL28*(D_iL)),BL28)</f>
        <v>0</v>
      </c>
      <c r="BN28" s="1" t="n">
        <f aca="false">IF(BM28&gt;PR_BalDone,BM28+BM28*(D_iL)-MIN(F_LoanPayM,BM28+BM28*(D_iL)),BM28)</f>
        <v>0</v>
      </c>
      <c r="BO28" s="1" t="n">
        <f aca="false">IF(BN28&gt;PR_BalDone,BN28+BN28*(D_iL)-MIN(F_LoanPayM,BN28+BN28*(D_iL)),BN28)</f>
        <v>0</v>
      </c>
      <c r="BP28" s="1" t="n">
        <f aca="false">IF(BO28&gt;PR_BalDone,BO28+BO28*(D_iL)-MIN(F_LoanPayM,BO28+BO28*(D_iL)),BO28)</f>
        <v>0</v>
      </c>
      <c r="BQ28" s="1" t="n">
        <f aca="false">IF(BP28&gt;PR_BalDone,BP28+BP28*(D_iL)-MIN(F_LoanPayM,BP28+BP28*(D_iL)),BP28)</f>
        <v>0</v>
      </c>
      <c r="BR28" s="1" t="n">
        <f aca="false">IF(BE28&gt;PR_BalDone,MIN(F_LoanPayM,BE28+BE28*(D_iL)),0)</f>
        <v>0</v>
      </c>
      <c r="BS28" s="1" t="n">
        <f aca="false">IF(BF28&gt;PR_BalDone,MIN(F_LoanPayM,BF28+BF28*(D_iL)),0)</f>
        <v>0</v>
      </c>
      <c r="BT28" s="1" t="n">
        <f aca="false">IF(BG28&gt;PR_BalDone,MIN(F_LoanPayM,BG28+BG28*(D_iL)),0)</f>
        <v>0</v>
      </c>
      <c r="BU28" s="1" t="n">
        <f aca="false">IF(BH28&gt;PR_BalDone,MIN(F_LoanPayM,BH28+BH28*(D_iL)),0)</f>
        <v>0</v>
      </c>
      <c r="BV28" s="1" t="n">
        <f aca="false">IF(BI28&gt;PR_BalDone,MIN(F_LoanPayM,BI28+BI28*(D_iL)),0)</f>
        <v>0</v>
      </c>
      <c r="BW28" s="1" t="n">
        <f aca="false">IF(BJ28&gt;PR_BalDone,MIN(F_LoanPayM,BJ28+BJ28*(D_iL)),0)</f>
        <v>0</v>
      </c>
      <c r="BX28" s="1" t="n">
        <f aca="false">IF(BK28&gt;PR_BalDone,MIN(F_LoanPayM,BK28+BK28*(D_iL)),0)</f>
        <v>0</v>
      </c>
      <c r="BY28" s="1" t="n">
        <f aca="false">IF(BL28&gt;PR_BalDone,MIN(F_LoanPayM,BL28+BL28*(D_iL)),0)</f>
        <v>0</v>
      </c>
      <c r="BZ28" s="1" t="n">
        <f aca="false">IF(BM28&gt;PR_BalDone,MIN(F_LoanPayM,BM28+BM28*(D_iL)),0)</f>
        <v>0</v>
      </c>
      <c r="CA28" s="1" t="n">
        <f aca="false">IF(BN28&gt;PR_BalDone,MIN(F_LoanPayM,BN28+BN28*(D_iL)),0)</f>
        <v>0</v>
      </c>
      <c r="CB28" s="1" t="n">
        <f aca="false">IF(BO28&gt;PR_BalDone,MIN(F_LoanPayM,BO28+BO28*(D_iL)),0)</f>
        <v>0</v>
      </c>
      <c r="CC28" s="1" t="n">
        <f aca="false">IF(BP28&gt;PR_BalDone,MIN(F_LoanPayM,BP28+BP28*(D_iL)),0)</f>
        <v>0</v>
      </c>
      <c r="CD28" s="1" t="n">
        <f aca="false">MAX(0,BQ28)</f>
        <v>0</v>
      </c>
      <c r="CE28" s="1" t="n">
        <f aca="false">SUM(BR28:CC28)</f>
        <v>0</v>
      </c>
      <c r="CF28" s="1" t="n">
        <f aca="false">IF(CF27&gt;1,DE27,CF27)</f>
        <v>0</v>
      </c>
      <c r="CG28" s="1" t="n">
        <f aca="false">IF(CF28&gt;PR_BalDone,CF28+CF28*(F_MR/12)-MIN(F_MortPayM,CF28+CF28*(F_MR/12)),CF28)</f>
        <v>0</v>
      </c>
      <c r="CH28" s="1" t="n">
        <f aca="false">IF(CG28&gt;PR_BalDone,CG28+CG28*(F_MR/12)-MIN(F_MortPayM,CG28+CG28*(F_MR/12)),CG28)</f>
        <v>0</v>
      </c>
      <c r="CI28" s="1" t="n">
        <f aca="false">IF(CH28&gt;PR_BalDone,CH28+CH28*(F_MR/12)-MIN(F_MortPayM,CH28+CH28*(F_MR/12)),CH28)</f>
        <v>0</v>
      </c>
      <c r="CJ28" s="1" t="n">
        <f aca="false">IF(CI28&gt;PR_BalDone,CI28+CI28*(F_MR/12)-MIN(F_MortPayM,CI28+CI28*(F_MR/12)),CI28)</f>
        <v>0</v>
      </c>
      <c r="CK28" s="1" t="n">
        <f aca="false">IF(CJ28&gt;PR_BalDone,CJ28+CJ28*(F_MR/12)-MIN(F_MortPayM,CJ28+CJ28*(F_MR/12)),CJ28)</f>
        <v>0</v>
      </c>
      <c r="CL28" s="1" t="n">
        <f aca="false">IF(CK28&gt;PR_BalDone,CK28+CK28*(F_MR/12)-MIN(F_MortPayM,CK28+CK28*(F_MR/12)),CK28)</f>
        <v>0</v>
      </c>
      <c r="CM28" s="1" t="n">
        <f aca="false">IF(CL28&gt;PR_BalDone,CL28+CL28*(F_MR/12)-MIN(F_MortPayM,CL28+CL28*(F_MR/12)),CL28)</f>
        <v>0</v>
      </c>
      <c r="CN28" s="1" t="n">
        <f aca="false">IF(CM28&gt;PR_BalDone,CM28+CM28*(F_MR/12)-MIN(F_MortPayM,CM28+CM28*(F_MR/12)),CM28)</f>
        <v>0</v>
      </c>
      <c r="CO28" s="1" t="n">
        <f aca="false">IF(CN28&gt;PR_BalDone,CN28+CN28*(F_MR/12)-MIN(F_MortPayM,CN28+CN28*(F_MR/12)),CN28)</f>
        <v>0</v>
      </c>
      <c r="CP28" s="1" t="n">
        <f aca="false">IF(CO28&gt;PR_BalDone,CO28+CO28*(F_MR/12)-MIN(F_MortPayM,CO28+CO28*(F_MR/12)),CO28)</f>
        <v>0</v>
      </c>
      <c r="CQ28" s="1" t="n">
        <f aca="false">IF(CP28&gt;PR_BalDone,CP28+CP28*(F_MR/12)-MIN(F_MortPayM,CP28+CP28*(F_MR/12)),CP28)</f>
        <v>0</v>
      </c>
      <c r="CR28" s="1" t="n">
        <f aca="false">IF(CQ28&gt;PR_BalDone,CQ28+CQ28*(F_MR/12)-MIN(F_MortPayM,CQ28+CQ28*(F_MR/12)),CQ28)</f>
        <v>0</v>
      </c>
      <c r="CS28" s="1" t="n">
        <f aca="false">IF(CF28&gt;PR_BalDone,MIN(F_MortPayM,CF28+CF28*(F_MR/12)),0)</f>
        <v>0</v>
      </c>
      <c r="CT28" s="1" t="n">
        <f aca="false">IF(CG28&gt;PR_BalDone,MIN(F_MortPayM,CG28+CG28*(F_MR/12)),0)</f>
        <v>0</v>
      </c>
      <c r="CU28" s="1" t="n">
        <f aca="false">IF(CH28&gt;PR_BalDone,MIN(F_MortPayM,CH28+CH28*(F_MR/12)),0)</f>
        <v>0</v>
      </c>
      <c r="CV28" s="1" t="n">
        <f aca="false">IF(CI28&gt;PR_BalDone,MIN(F_MortPayM,CI28+CI28*(F_MR/12)),0)</f>
        <v>0</v>
      </c>
      <c r="CW28" s="1" t="n">
        <f aca="false">IF(CJ28&gt;PR_BalDone,MIN(F_MortPayM,CJ28+CJ28*(F_MR/12)),0)</f>
        <v>0</v>
      </c>
      <c r="CX28" s="1" t="n">
        <f aca="false">IF(CK28&gt;PR_BalDone,MIN(F_MortPayM,CK28+CK28*(F_MR/12)),0)</f>
        <v>0</v>
      </c>
      <c r="CY28" s="1" t="n">
        <f aca="false">IF(CL28&gt;PR_BalDone,MIN(F_MortPayM,CL28+CL28*(F_MR/12)),0)</f>
        <v>0</v>
      </c>
      <c r="CZ28" s="1" t="n">
        <f aca="false">IF(CM28&gt;PR_BalDone,MIN(F_MortPayM,CM28+CM28*(F_MR/12)),0)</f>
        <v>0</v>
      </c>
      <c r="DA28" s="1" t="n">
        <f aca="false">IF(CN28&gt;PR_BalDone,MIN(F_MortPayM,CN28+CN28*(F_MR/12)),0)</f>
        <v>0</v>
      </c>
      <c r="DB28" s="1" t="n">
        <f aca="false">IF(CO28&gt;PR_BalDone,MIN(F_MortPayM,CO28+CO28*(F_MR/12)),0)</f>
        <v>0</v>
      </c>
      <c r="DC28" s="1" t="n">
        <f aca="false">IF(CP28&gt;PR_BalDone,MIN(F_MortPayM,CP28+CP28*(F_MR/12)),0)</f>
        <v>0</v>
      </c>
      <c r="DD28" s="1" t="n">
        <f aca="false">IF(CQ28&gt;PR_BalDone,MIN(F_MortPayM,CQ28+CQ28*(F_MR/12)),0)</f>
        <v>0</v>
      </c>
      <c r="DE28" s="1" t="n">
        <f aca="false">MAX(0,CR28)</f>
        <v>0</v>
      </c>
      <c r="DF28" s="1" t="n">
        <f aca="false">SUM(CS28:DD28)</f>
        <v>0</v>
      </c>
      <c r="DG28" s="1" t="n">
        <f aca="false">MAX(0,CF28)</f>
        <v>0</v>
      </c>
    </row>
    <row r="29" customFormat="false" ht="15" hidden="false" customHeight="true" outlineLevel="0" collapsed="false">
      <c r="B29" s="1" t="n">
        <v>21</v>
      </c>
      <c r="C29" s="1" t="n">
        <f aca="false">'Plan cashflow'!I29</f>
        <v>0</v>
      </c>
      <c r="D29" s="1" t="n">
        <f aca="false">IF(C29&gt;PR_BalDone,C29+C29*(F_MR/12)-MIN(F_MortPayM,C29+C29*(F_MR/12)),C29)</f>
        <v>0</v>
      </c>
      <c r="E29" s="1" t="n">
        <f aca="false">IF(D29&gt;PR_BalDone,D29+D29*(F_MR/12)-MIN(F_MortPayM,D29+D29*(F_MR/12)),D29)</f>
        <v>0</v>
      </c>
      <c r="F29" s="1" t="n">
        <f aca="false">IF(E29&gt;PR_BalDone,E29+E29*(F_MR/12)-MIN(F_MortPayM,E29+E29*(F_MR/12)),E29)</f>
        <v>0</v>
      </c>
      <c r="G29" s="1" t="n">
        <f aca="false">IF(F29&gt;PR_BalDone,F29+F29*(F_MR/12)-MIN(F_MortPayM,F29+F29*(F_MR/12)),F29)</f>
        <v>0</v>
      </c>
      <c r="H29" s="1" t="n">
        <f aca="false">IF(G29&gt;PR_BalDone,G29+G29*(F_MR/12)-MIN(F_MortPayM,G29+G29*(F_MR/12)),G29)</f>
        <v>0</v>
      </c>
      <c r="I29" s="1" t="n">
        <f aca="false">IF(H29&gt;PR_BalDone,H29+H29*(F_MR/12)-MIN(F_MortPayM,H29+H29*(F_MR/12)),H29)</f>
        <v>0</v>
      </c>
      <c r="J29" s="1" t="n">
        <f aca="false">IF(I29&gt;PR_BalDone,I29+I29*(F_MR/12)-MIN(F_MortPayM,I29+I29*(F_MR/12)),I29)</f>
        <v>0</v>
      </c>
      <c r="K29" s="1" t="n">
        <f aca="false">IF(J29&gt;PR_BalDone,J29+J29*(F_MR/12)-MIN(F_MortPayM,J29+J29*(F_MR/12)),J29)</f>
        <v>0</v>
      </c>
      <c r="L29" s="1" t="n">
        <f aca="false">IF(K29&gt;PR_BalDone,K29+K29*(F_MR/12)-MIN(F_MortPayM,K29+K29*(F_MR/12)),K29)</f>
        <v>0</v>
      </c>
      <c r="M29" s="1" t="n">
        <f aca="false">IF(L29&gt;PR_BalDone,L29+L29*(F_MR/12)-MIN(F_MortPayM,L29+L29*(F_MR/12)),L29)</f>
        <v>0</v>
      </c>
      <c r="N29" s="1" t="n">
        <f aca="false">IF(M29&gt;PR_BalDone,M29+M29*(F_MR/12)-MIN(F_MortPayM,M29+M29*(F_MR/12)),M29)</f>
        <v>0</v>
      </c>
      <c r="O29" s="1" t="n">
        <f aca="false">IF(N29&gt;PR_BalDone,N29+N29*(F_MR/12)-MIN(F_MortPayM,N29+N29*(F_MR/12)),N29)</f>
        <v>0</v>
      </c>
      <c r="P29" s="1" t="n">
        <f aca="false">IF(C29&gt;PR_BalDone,MIN(F_MortPayM,C29+C29*(F_MR/12)),0)</f>
        <v>0</v>
      </c>
      <c r="Q29" s="1" t="n">
        <f aca="false">IF(D29&gt;PR_BalDone,MIN(F_MortPayM,D29+D29*(F_MR/12)),0)</f>
        <v>0</v>
      </c>
      <c r="R29" s="1" t="n">
        <f aca="false">IF(E29&gt;PR_BalDone,MIN(F_MortPayM,E29+E29*(F_MR/12)),0)</f>
        <v>0</v>
      </c>
      <c r="S29" s="1" t="n">
        <f aca="false">IF(F29&gt;PR_BalDone,MIN(F_MortPayM,F29+F29*(F_MR/12)),0)</f>
        <v>0</v>
      </c>
      <c r="T29" s="1" t="n">
        <f aca="false">IF(G29&gt;PR_BalDone,MIN(F_MortPayM,G29+G29*(F_MR/12)),0)</f>
        <v>0</v>
      </c>
      <c r="U29" s="1" t="n">
        <f aca="false">IF(H29&gt;PR_BalDone,MIN(F_MortPayM,H29+H29*(F_MR/12)),0)</f>
        <v>0</v>
      </c>
      <c r="V29" s="1" t="n">
        <f aca="false">IF(I29&gt;PR_BalDone,MIN(F_MortPayM,I29+I29*(F_MR/12)),0)</f>
        <v>0</v>
      </c>
      <c r="W29" s="1" t="n">
        <f aca="false">IF(J29&gt;PR_BalDone,MIN(F_MortPayM,J29+J29*(F_MR/12)),0)</f>
        <v>0</v>
      </c>
      <c r="X29" s="1" t="n">
        <f aca="false">IF(K29&gt;PR_BalDone,MIN(F_MortPayM,K29+K29*(F_MR/12)),0)</f>
        <v>0</v>
      </c>
      <c r="Y29" s="1" t="n">
        <f aca="false">IF(L29&gt;PR_BalDone,MIN(F_MortPayM,L29+L29*(F_MR/12)),0)</f>
        <v>0</v>
      </c>
      <c r="Z29" s="1" t="n">
        <f aca="false">IF(M29&gt;PR_BalDone,MIN(F_MortPayM,M29+M29*(F_MR/12)),0)</f>
        <v>0</v>
      </c>
      <c r="AA29" s="1" t="n">
        <f aca="false">IF(N29&gt;PR_BalDone,MIN(F_MortPayM,N29+N29*(F_MR/12)),0)</f>
        <v>0</v>
      </c>
      <c r="AB29" s="1" t="n">
        <f aca="false">MAX(0,O29)</f>
        <v>0</v>
      </c>
      <c r="AC29" s="1" t="n">
        <f aca="false">SUM(P29:AA29)</f>
        <v>0</v>
      </c>
      <c r="AD29" s="1" t="n">
        <f aca="false">'Plan cashflow'!L29</f>
        <v>0</v>
      </c>
      <c r="AE29" s="1" t="n">
        <f aca="false">IF(AD29&gt;PR_BalDone,AD29+AD29*(D_iC)-MIN(F_CardPayM,AD29+AD29*(D_iC)),AD29)</f>
        <v>0</v>
      </c>
      <c r="AF29" s="1" t="n">
        <f aca="false">IF(AE29&gt;PR_BalDone,AE29+AE29*(D_iC)-MIN(F_CardPayM,AE29+AE29*(D_iC)),AE29)</f>
        <v>0</v>
      </c>
      <c r="AG29" s="1" t="n">
        <f aca="false">IF(AF29&gt;PR_BalDone,AF29+AF29*(D_iC)-MIN(F_CardPayM,AF29+AF29*(D_iC)),AF29)</f>
        <v>0</v>
      </c>
      <c r="AH29" s="1" t="n">
        <f aca="false">IF(AG29&gt;PR_BalDone,AG29+AG29*(D_iC)-MIN(F_CardPayM,AG29+AG29*(D_iC)),AG29)</f>
        <v>0</v>
      </c>
      <c r="AI29" s="1" t="n">
        <f aca="false">IF(AH29&gt;PR_BalDone,AH29+AH29*(D_iC)-MIN(F_CardPayM,AH29+AH29*(D_iC)),AH29)</f>
        <v>0</v>
      </c>
      <c r="AJ29" s="1" t="n">
        <f aca="false">IF(AI29&gt;PR_BalDone,AI29+AI29*(D_iC)-MIN(F_CardPayM,AI29+AI29*(D_iC)),AI29)</f>
        <v>0</v>
      </c>
      <c r="AK29" s="1" t="n">
        <f aca="false">IF(AJ29&gt;PR_BalDone,AJ29+AJ29*(D_iC)-MIN(F_CardPayM,AJ29+AJ29*(D_iC)),AJ29)</f>
        <v>0</v>
      </c>
      <c r="AL29" s="1" t="n">
        <f aca="false">IF(AK29&gt;PR_BalDone,AK29+AK29*(D_iC)-MIN(F_CardPayM,AK29+AK29*(D_iC)),AK29)</f>
        <v>0</v>
      </c>
      <c r="AM29" s="1" t="n">
        <f aca="false">IF(AL29&gt;PR_BalDone,AL29+AL29*(D_iC)-MIN(F_CardPayM,AL29+AL29*(D_iC)),AL29)</f>
        <v>0</v>
      </c>
      <c r="AN29" s="1" t="n">
        <f aca="false">IF(AM29&gt;PR_BalDone,AM29+AM29*(D_iC)-MIN(F_CardPayM,AM29+AM29*(D_iC)),AM29)</f>
        <v>0</v>
      </c>
      <c r="AO29" s="1" t="n">
        <f aca="false">IF(AN29&gt;PR_BalDone,AN29+AN29*(D_iC)-MIN(F_CardPayM,AN29+AN29*(D_iC)),AN29)</f>
        <v>0</v>
      </c>
      <c r="AP29" s="1" t="n">
        <f aca="false">IF(AO29&gt;PR_BalDone,AO29+AO29*(D_iC)-MIN(F_CardPayM,AO29+AO29*(D_iC)),AO29)</f>
        <v>0</v>
      </c>
      <c r="AQ29" s="1" t="n">
        <f aca="false">IF(AD29&gt;PR_BalDone,MIN(F_CardPayM,AD29+AD29*(D_iC)),0)</f>
        <v>0</v>
      </c>
      <c r="AR29" s="1" t="n">
        <f aca="false">IF(AE29&gt;PR_BalDone,MIN(F_CardPayM,AE29+AE29*(D_iC)),0)</f>
        <v>0</v>
      </c>
      <c r="AS29" s="1" t="n">
        <f aca="false">IF(AF29&gt;PR_BalDone,MIN(F_CardPayM,AF29+AF29*(D_iC)),0)</f>
        <v>0</v>
      </c>
      <c r="AT29" s="1" t="n">
        <f aca="false">IF(AG29&gt;PR_BalDone,MIN(F_CardPayM,AG29+AG29*(D_iC)),0)</f>
        <v>0</v>
      </c>
      <c r="AU29" s="1" t="n">
        <f aca="false">IF(AH29&gt;PR_BalDone,MIN(F_CardPayM,AH29+AH29*(D_iC)),0)</f>
        <v>0</v>
      </c>
      <c r="AV29" s="1" t="n">
        <f aca="false">IF(AI29&gt;PR_BalDone,MIN(F_CardPayM,AI29+AI29*(D_iC)),0)</f>
        <v>0</v>
      </c>
      <c r="AW29" s="1" t="n">
        <f aca="false">IF(AJ29&gt;PR_BalDone,MIN(F_CardPayM,AJ29+AJ29*(D_iC)),0)</f>
        <v>0</v>
      </c>
      <c r="AX29" s="1" t="n">
        <f aca="false">IF(AK29&gt;PR_BalDone,MIN(F_CardPayM,AK29+AK29*(D_iC)),0)</f>
        <v>0</v>
      </c>
      <c r="AY29" s="1" t="n">
        <f aca="false">IF(AL29&gt;PR_BalDone,MIN(F_CardPayM,AL29+AL29*(D_iC)),0)</f>
        <v>0</v>
      </c>
      <c r="AZ29" s="1" t="n">
        <f aca="false">IF(AM29&gt;PR_BalDone,MIN(F_CardPayM,AM29+AM29*(D_iC)),0)</f>
        <v>0</v>
      </c>
      <c r="BA29" s="1" t="n">
        <f aca="false">IF(AN29&gt;PR_BalDone,MIN(F_CardPayM,AN29+AN29*(D_iC)),0)</f>
        <v>0</v>
      </c>
      <c r="BB29" s="1" t="n">
        <f aca="false">IF(AO29&gt;PR_BalDone,MIN(F_CardPayM,AO29+AO29*(D_iC)),0)</f>
        <v>0</v>
      </c>
      <c r="BC29" s="1" t="n">
        <f aca="false">MAX(0,AP29)</f>
        <v>0</v>
      </c>
      <c r="BD29" s="1" t="n">
        <f aca="false">SUM(AQ29:BB29)</f>
        <v>0</v>
      </c>
      <c r="BE29" s="1" t="n">
        <f aca="false">'Plan cashflow'!O29</f>
        <v>0</v>
      </c>
      <c r="BF29" s="1" t="n">
        <f aca="false">IF(BE29&gt;PR_BalDone,BE29+BE29*(D_iL)-MIN(F_LoanPayM,BE29+BE29*(D_iL)),BE29)</f>
        <v>0</v>
      </c>
      <c r="BG29" s="1" t="n">
        <f aca="false">IF(BF29&gt;PR_BalDone,BF29+BF29*(D_iL)-MIN(F_LoanPayM,BF29+BF29*(D_iL)),BF29)</f>
        <v>0</v>
      </c>
      <c r="BH29" s="1" t="n">
        <f aca="false">IF(BG29&gt;PR_BalDone,BG29+BG29*(D_iL)-MIN(F_LoanPayM,BG29+BG29*(D_iL)),BG29)</f>
        <v>0</v>
      </c>
      <c r="BI29" s="1" t="n">
        <f aca="false">IF(BH29&gt;PR_BalDone,BH29+BH29*(D_iL)-MIN(F_LoanPayM,BH29+BH29*(D_iL)),BH29)</f>
        <v>0</v>
      </c>
      <c r="BJ29" s="1" t="n">
        <f aca="false">IF(BI29&gt;PR_BalDone,BI29+BI29*(D_iL)-MIN(F_LoanPayM,BI29+BI29*(D_iL)),BI29)</f>
        <v>0</v>
      </c>
      <c r="BK29" s="1" t="n">
        <f aca="false">IF(BJ29&gt;PR_BalDone,BJ29+BJ29*(D_iL)-MIN(F_LoanPayM,BJ29+BJ29*(D_iL)),BJ29)</f>
        <v>0</v>
      </c>
      <c r="BL29" s="1" t="n">
        <f aca="false">IF(BK29&gt;PR_BalDone,BK29+BK29*(D_iL)-MIN(F_LoanPayM,BK29+BK29*(D_iL)),BK29)</f>
        <v>0</v>
      </c>
      <c r="BM29" s="1" t="n">
        <f aca="false">IF(BL29&gt;PR_BalDone,BL29+BL29*(D_iL)-MIN(F_LoanPayM,BL29+BL29*(D_iL)),BL29)</f>
        <v>0</v>
      </c>
      <c r="BN29" s="1" t="n">
        <f aca="false">IF(BM29&gt;PR_BalDone,BM29+BM29*(D_iL)-MIN(F_LoanPayM,BM29+BM29*(D_iL)),BM29)</f>
        <v>0</v>
      </c>
      <c r="BO29" s="1" t="n">
        <f aca="false">IF(BN29&gt;PR_BalDone,BN29+BN29*(D_iL)-MIN(F_LoanPayM,BN29+BN29*(D_iL)),BN29)</f>
        <v>0</v>
      </c>
      <c r="BP29" s="1" t="n">
        <f aca="false">IF(BO29&gt;PR_BalDone,BO29+BO29*(D_iL)-MIN(F_LoanPayM,BO29+BO29*(D_iL)),BO29)</f>
        <v>0</v>
      </c>
      <c r="BQ29" s="1" t="n">
        <f aca="false">IF(BP29&gt;PR_BalDone,BP29+BP29*(D_iL)-MIN(F_LoanPayM,BP29+BP29*(D_iL)),BP29)</f>
        <v>0</v>
      </c>
      <c r="BR29" s="1" t="n">
        <f aca="false">IF(BE29&gt;PR_BalDone,MIN(F_LoanPayM,BE29+BE29*(D_iL)),0)</f>
        <v>0</v>
      </c>
      <c r="BS29" s="1" t="n">
        <f aca="false">IF(BF29&gt;PR_BalDone,MIN(F_LoanPayM,BF29+BF29*(D_iL)),0)</f>
        <v>0</v>
      </c>
      <c r="BT29" s="1" t="n">
        <f aca="false">IF(BG29&gt;PR_BalDone,MIN(F_LoanPayM,BG29+BG29*(D_iL)),0)</f>
        <v>0</v>
      </c>
      <c r="BU29" s="1" t="n">
        <f aca="false">IF(BH29&gt;PR_BalDone,MIN(F_LoanPayM,BH29+BH29*(D_iL)),0)</f>
        <v>0</v>
      </c>
      <c r="BV29" s="1" t="n">
        <f aca="false">IF(BI29&gt;PR_BalDone,MIN(F_LoanPayM,BI29+BI29*(D_iL)),0)</f>
        <v>0</v>
      </c>
      <c r="BW29" s="1" t="n">
        <f aca="false">IF(BJ29&gt;PR_BalDone,MIN(F_LoanPayM,BJ29+BJ29*(D_iL)),0)</f>
        <v>0</v>
      </c>
      <c r="BX29" s="1" t="n">
        <f aca="false">IF(BK29&gt;PR_BalDone,MIN(F_LoanPayM,BK29+BK29*(D_iL)),0)</f>
        <v>0</v>
      </c>
      <c r="BY29" s="1" t="n">
        <f aca="false">IF(BL29&gt;PR_BalDone,MIN(F_LoanPayM,BL29+BL29*(D_iL)),0)</f>
        <v>0</v>
      </c>
      <c r="BZ29" s="1" t="n">
        <f aca="false">IF(BM29&gt;PR_BalDone,MIN(F_LoanPayM,BM29+BM29*(D_iL)),0)</f>
        <v>0</v>
      </c>
      <c r="CA29" s="1" t="n">
        <f aca="false">IF(BN29&gt;PR_BalDone,MIN(F_LoanPayM,BN29+BN29*(D_iL)),0)</f>
        <v>0</v>
      </c>
      <c r="CB29" s="1" t="n">
        <f aca="false">IF(BO29&gt;PR_BalDone,MIN(F_LoanPayM,BO29+BO29*(D_iL)),0)</f>
        <v>0</v>
      </c>
      <c r="CC29" s="1" t="n">
        <f aca="false">IF(BP29&gt;PR_BalDone,MIN(F_LoanPayM,BP29+BP29*(D_iL)),0)</f>
        <v>0</v>
      </c>
      <c r="CD29" s="1" t="n">
        <f aca="false">MAX(0,BQ29)</f>
        <v>0</v>
      </c>
      <c r="CE29" s="1" t="n">
        <f aca="false">SUM(BR29:CC29)</f>
        <v>0</v>
      </c>
      <c r="CF29" s="1" t="n">
        <f aca="false">IF(CF28&gt;1,DE28,CF28)</f>
        <v>0</v>
      </c>
      <c r="CG29" s="1" t="n">
        <f aca="false">IF(CF29&gt;PR_BalDone,CF29+CF29*(F_MR/12)-MIN(F_MortPayM,CF29+CF29*(F_MR/12)),CF29)</f>
        <v>0</v>
      </c>
      <c r="CH29" s="1" t="n">
        <f aca="false">IF(CG29&gt;PR_BalDone,CG29+CG29*(F_MR/12)-MIN(F_MortPayM,CG29+CG29*(F_MR/12)),CG29)</f>
        <v>0</v>
      </c>
      <c r="CI29" s="1" t="n">
        <f aca="false">IF(CH29&gt;PR_BalDone,CH29+CH29*(F_MR/12)-MIN(F_MortPayM,CH29+CH29*(F_MR/12)),CH29)</f>
        <v>0</v>
      </c>
      <c r="CJ29" s="1" t="n">
        <f aca="false">IF(CI29&gt;PR_BalDone,CI29+CI29*(F_MR/12)-MIN(F_MortPayM,CI29+CI29*(F_MR/12)),CI29)</f>
        <v>0</v>
      </c>
      <c r="CK29" s="1" t="n">
        <f aca="false">IF(CJ29&gt;PR_BalDone,CJ29+CJ29*(F_MR/12)-MIN(F_MortPayM,CJ29+CJ29*(F_MR/12)),CJ29)</f>
        <v>0</v>
      </c>
      <c r="CL29" s="1" t="n">
        <f aca="false">IF(CK29&gt;PR_BalDone,CK29+CK29*(F_MR/12)-MIN(F_MortPayM,CK29+CK29*(F_MR/12)),CK29)</f>
        <v>0</v>
      </c>
      <c r="CM29" s="1" t="n">
        <f aca="false">IF(CL29&gt;PR_BalDone,CL29+CL29*(F_MR/12)-MIN(F_MortPayM,CL29+CL29*(F_MR/12)),CL29)</f>
        <v>0</v>
      </c>
      <c r="CN29" s="1" t="n">
        <f aca="false">IF(CM29&gt;PR_BalDone,CM29+CM29*(F_MR/12)-MIN(F_MortPayM,CM29+CM29*(F_MR/12)),CM29)</f>
        <v>0</v>
      </c>
      <c r="CO29" s="1" t="n">
        <f aca="false">IF(CN29&gt;PR_BalDone,CN29+CN29*(F_MR/12)-MIN(F_MortPayM,CN29+CN29*(F_MR/12)),CN29)</f>
        <v>0</v>
      </c>
      <c r="CP29" s="1" t="n">
        <f aca="false">IF(CO29&gt;PR_BalDone,CO29+CO29*(F_MR/12)-MIN(F_MortPayM,CO29+CO29*(F_MR/12)),CO29)</f>
        <v>0</v>
      </c>
      <c r="CQ29" s="1" t="n">
        <f aca="false">IF(CP29&gt;PR_BalDone,CP29+CP29*(F_MR/12)-MIN(F_MortPayM,CP29+CP29*(F_MR/12)),CP29)</f>
        <v>0</v>
      </c>
      <c r="CR29" s="1" t="n">
        <f aca="false">IF(CQ29&gt;PR_BalDone,CQ29+CQ29*(F_MR/12)-MIN(F_MortPayM,CQ29+CQ29*(F_MR/12)),CQ29)</f>
        <v>0</v>
      </c>
      <c r="CS29" s="1" t="n">
        <f aca="false">IF(CF29&gt;PR_BalDone,MIN(F_MortPayM,CF29+CF29*(F_MR/12)),0)</f>
        <v>0</v>
      </c>
      <c r="CT29" s="1" t="n">
        <f aca="false">IF(CG29&gt;PR_BalDone,MIN(F_MortPayM,CG29+CG29*(F_MR/12)),0)</f>
        <v>0</v>
      </c>
      <c r="CU29" s="1" t="n">
        <f aca="false">IF(CH29&gt;PR_BalDone,MIN(F_MortPayM,CH29+CH29*(F_MR/12)),0)</f>
        <v>0</v>
      </c>
      <c r="CV29" s="1" t="n">
        <f aca="false">IF(CI29&gt;PR_BalDone,MIN(F_MortPayM,CI29+CI29*(F_MR/12)),0)</f>
        <v>0</v>
      </c>
      <c r="CW29" s="1" t="n">
        <f aca="false">IF(CJ29&gt;PR_BalDone,MIN(F_MortPayM,CJ29+CJ29*(F_MR/12)),0)</f>
        <v>0</v>
      </c>
      <c r="CX29" s="1" t="n">
        <f aca="false">IF(CK29&gt;PR_BalDone,MIN(F_MortPayM,CK29+CK29*(F_MR/12)),0)</f>
        <v>0</v>
      </c>
      <c r="CY29" s="1" t="n">
        <f aca="false">IF(CL29&gt;PR_BalDone,MIN(F_MortPayM,CL29+CL29*(F_MR/12)),0)</f>
        <v>0</v>
      </c>
      <c r="CZ29" s="1" t="n">
        <f aca="false">IF(CM29&gt;PR_BalDone,MIN(F_MortPayM,CM29+CM29*(F_MR/12)),0)</f>
        <v>0</v>
      </c>
      <c r="DA29" s="1" t="n">
        <f aca="false">IF(CN29&gt;PR_BalDone,MIN(F_MortPayM,CN29+CN29*(F_MR/12)),0)</f>
        <v>0</v>
      </c>
      <c r="DB29" s="1" t="n">
        <f aca="false">IF(CO29&gt;PR_BalDone,MIN(F_MortPayM,CO29+CO29*(F_MR/12)),0)</f>
        <v>0</v>
      </c>
      <c r="DC29" s="1" t="n">
        <f aca="false">IF(CP29&gt;PR_BalDone,MIN(F_MortPayM,CP29+CP29*(F_MR/12)),0)</f>
        <v>0</v>
      </c>
      <c r="DD29" s="1" t="n">
        <f aca="false">IF(CQ29&gt;PR_BalDone,MIN(F_MortPayM,CQ29+CQ29*(F_MR/12)),0)</f>
        <v>0</v>
      </c>
      <c r="DE29" s="1" t="n">
        <f aca="false">MAX(0,CR29)</f>
        <v>0</v>
      </c>
      <c r="DF29" s="1" t="n">
        <f aca="false">SUM(CS29:DD29)</f>
        <v>0</v>
      </c>
      <c r="DG29" s="1" t="n">
        <f aca="false">MAX(0,CF29)</f>
        <v>0</v>
      </c>
    </row>
    <row r="30" customFormat="false" ht="15" hidden="false" customHeight="true" outlineLevel="0" collapsed="false">
      <c r="B30" s="1" t="n">
        <v>22</v>
      </c>
      <c r="C30" s="1" t="n">
        <f aca="false">'Plan cashflow'!I30</f>
        <v>0</v>
      </c>
      <c r="D30" s="1" t="n">
        <f aca="false">IF(C30&gt;PR_BalDone,C30+C30*(F_MR/12)-MIN(F_MortPayM,C30+C30*(F_MR/12)),C30)</f>
        <v>0</v>
      </c>
      <c r="E30" s="1" t="n">
        <f aca="false">IF(D30&gt;PR_BalDone,D30+D30*(F_MR/12)-MIN(F_MortPayM,D30+D30*(F_MR/12)),D30)</f>
        <v>0</v>
      </c>
      <c r="F30" s="1" t="n">
        <f aca="false">IF(E30&gt;PR_BalDone,E30+E30*(F_MR/12)-MIN(F_MortPayM,E30+E30*(F_MR/12)),E30)</f>
        <v>0</v>
      </c>
      <c r="G30" s="1" t="n">
        <f aca="false">IF(F30&gt;PR_BalDone,F30+F30*(F_MR/12)-MIN(F_MortPayM,F30+F30*(F_MR/12)),F30)</f>
        <v>0</v>
      </c>
      <c r="H30" s="1" t="n">
        <f aca="false">IF(G30&gt;PR_BalDone,G30+G30*(F_MR/12)-MIN(F_MortPayM,G30+G30*(F_MR/12)),G30)</f>
        <v>0</v>
      </c>
      <c r="I30" s="1" t="n">
        <f aca="false">IF(H30&gt;PR_BalDone,H30+H30*(F_MR/12)-MIN(F_MortPayM,H30+H30*(F_MR/12)),H30)</f>
        <v>0</v>
      </c>
      <c r="J30" s="1" t="n">
        <f aca="false">IF(I30&gt;PR_BalDone,I30+I30*(F_MR/12)-MIN(F_MortPayM,I30+I30*(F_MR/12)),I30)</f>
        <v>0</v>
      </c>
      <c r="K30" s="1" t="n">
        <f aca="false">IF(J30&gt;PR_BalDone,J30+J30*(F_MR/12)-MIN(F_MortPayM,J30+J30*(F_MR/12)),J30)</f>
        <v>0</v>
      </c>
      <c r="L30" s="1" t="n">
        <f aca="false">IF(K30&gt;PR_BalDone,K30+K30*(F_MR/12)-MIN(F_MortPayM,K30+K30*(F_MR/12)),K30)</f>
        <v>0</v>
      </c>
      <c r="M30" s="1" t="n">
        <f aca="false">IF(L30&gt;PR_BalDone,L30+L30*(F_MR/12)-MIN(F_MortPayM,L30+L30*(F_MR/12)),L30)</f>
        <v>0</v>
      </c>
      <c r="N30" s="1" t="n">
        <f aca="false">IF(M30&gt;PR_BalDone,M30+M30*(F_MR/12)-MIN(F_MortPayM,M30+M30*(F_MR/12)),M30)</f>
        <v>0</v>
      </c>
      <c r="O30" s="1" t="n">
        <f aca="false">IF(N30&gt;PR_BalDone,N30+N30*(F_MR/12)-MIN(F_MortPayM,N30+N30*(F_MR/12)),N30)</f>
        <v>0</v>
      </c>
      <c r="P30" s="1" t="n">
        <f aca="false">IF(C30&gt;PR_BalDone,MIN(F_MortPayM,C30+C30*(F_MR/12)),0)</f>
        <v>0</v>
      </c>
      <c r="Q30" s="1" t="n">
        <f aca="false">IF(D30&gt;PR_BalDone,MIN(F_MortPayM,D30+D30*(F_MR/12)),0)</f>
        <v>0</v>
      </c>
      <c r="R30" s="1" t="n">
        <f aca="false">IF(E30&gt;PR_BalDone,MIN(F_MortPayM,E30+E30*(F_MR/12)),0)</f>
        <v>0</v>
      </c>
      <c r="S30" s="1" t="n">
        <f aca="false">IF(F30&gt;PR_BalDone,MIN(F_MortPayM,F30+F30*(F_MR/12)),0)</f>
        <v>0</v>
      </c>
      <c r="T30" s="1" t="n">
        <f aca="false">IF(G30&gt;PR_BalDone,MIN(F_MortPayM,G30+G30*(F_MR/12)),0)</f>
        <v>0</v>
      </c>
      <c r="U30" s="1" t="n">
        <f aca="false">IF(H30&gt;PR_BalDone,MIN(F_MortPayM,H30+H30*(F_MR/12)),0)</f>
        <v>0</v>
      </c>
      <c r="V30" s="1" t="n">
        <f aca="false">IF(I30&gt;PR_BalDone,MIN(F_MortPayM,I30+I30*(F_MR/12)),0)</f>
        <v>0</v>
      </c>
      <c r="W30" s="1" t="n">
        <f aca="false">IF(J30&gt;PR_BalDone,MIN(F_MortPayM,J30+J30*(F_MR/12)),0)</f>
        <v>0</v>
      </c>
      <c r="X30" s="1" t="n">
        <f aca="false">IF(K30&gt;PR_BalDone,MIN(F_MortPayM,K30+K30*(F_MR/12)),0)</f>
        <v>0</v>
      </c>
      <c r="Y30" s="1" t="n">
        <f aca="false">IF(L30&gt;PR_BalDone,MIN(F_MortPayM,L30+L30*(F_MR/12)),0)</f>
        <v>0</v>
      </c>
      <c r="Z30" s="1" t="n">
        <f aca="false">IF(M30&gt;PR_BalDone,MIN(F_MortPayM,M30+M30*(F_MR/12)),0)</f>
        <v>0</v>
      </c>
      <c r="AA30" s="1" t="n">
        <f aca="false">IF(N30&gt;PR_BalDone,MIN(F_MortPayM,N30+N30*(F_MR/12)),0)</f>
        <v>0</v>
      </c>
      <c r="AB30" s="1" t="n">
        <f aca="false">MAX(0,O30)</f>
        <v>0</v>
      </c>
      <c r="AC30" s="1" t="n">
        <f aca="false">SUM(P30:AA30)</f>
        <v>0</v>
      </c>
      <c r="AD30" s="1" t="n">
        <f aca="false">'Plan cashflow'!L30</f>
        <v>0</v>
      </c>
      <c r="AE30" s="1" t="n">
        <f aca="false">IF(AD30&gt;PR_BalDone,AD30+AD30*(D_iC)-MIN(F_CardPayM,AD30+AD30*(D_iC)),AD30)</f>
        <v>0</v>
      </c>
      <c r="AF30" s="1" t="n">
        <f aca="false">IF(AE30&gt;PR_BalDone,AE30+AE30*(D_iC)-MIN(F_CardPayM,AE30+AE30*(D_iC)),AE30)</f>
        <v>0</v>
      </c>
      <c r="AG30" s="1" t="n">
        <f aca="false">IF(AF30&gt;PR_BalDone,AF30+AF30*(D_iC)-MIN(F_CardPayM,AF30+AF30*(D_iC)),AF30)</f>
        <v>0</v>
      </c>
      <c r="AH30" s="1" t="n">
        <f aca="false">IF(AG30&gt;PR_BalDone,AG30+AG30*(D_iC)-MIN(F_CardPayM,AG30+AG30*(D_iC)),AG30)</f>
        <v>0</v>
      </c>
      <c r="AI30" s="1" t="n">
        <f aca="false">IF(AH30&gt;PR_BalDone,AH30+AH30*(D_iC)-MIN(F_CardPayM,AH30+AH30*(D_iC)),AH30)</f>
        <v>0</v>
      </c>
      <c r="AJ30" s="1" t="n">
        <f aca="false">IF(AI30&gt;PR_BalDone,AI30+AI30*(D_iC)-MIN(F_CardPayM,AI30+AI30*(D_iC)),AI30)</f>
        <v>0</v>
      </c>
      <c r="AK30" s="1" t="n">
        <f aca="false">IF(AJ30&gt;PR_BalDone,AJ30+AJ30*(D_iC)-MIN(F_CardPayM,AJ30+AJ30*(D_iC)),AJ30)</f>
        <v>0</v>
      </c>
      <c r="AL30" s="1" t="n">
        <f aca="false">IF(AK30&gt;PR_BalDone,AK30+AK30*(D_iC)-MIN(F_CardPayM,AK30+AK30*(D_iC)),AK30)</f>
        <v>0</v>
      </c>
      <c r="AM30" s="1" t="n">
        <f aca="false">IF(AL30&gt;PR_BalDone,AL30+AL30*(D_iC)-MIN(F_CardPayM,AL30+AL30*(D_iC)),AL30)</f>
        <v>0</v>
      </c>
      <c r="AN30" s="1" t="n">
        <f aca="false">IF(AM30&gt;PR_BalDone,AM30+AM30*(D_iC)-MIN(F_CardPayM,AM30+AM30*(D_iC)),AM30)</f>
        <v>0</v>
      </c>
      <c r="AO30" s="1" t="n">
        <f aca="false">IF(AN30&gt;PR_BalDone,AN30+AN30*(D_iC)-MIN(F_CardPayM,AN30+AN30*(D_iC)),AN30)</f>
        <v>0</v>
      </c>
      <c r="AP30" s="1" t="n">
        <f aca="false">IF(AO30&gt;PR_BalDone,AO30+AO30*(D_iC)-MIN(F_CardPayM,AO30+AO30*(D_iC)),AO30)</f>
        <v>0</v>
      </c>
      <c r="AQ30" s="1" t="n">
        <f aca="false">IF(AD30&gt;PR_BalDone,MIN(F_CardPayM,AD30+AD30*(D_iC)),0)</f>
        <v>0</v>
      </c>
      <c r="AR30" s="1" t="n">
        <f aca="false">IF(AE30&gt;PR_BalDone,MIN(F_CardPayM,AE30+AE30*(D_iC)),0)</f>
        <v>0</v>
      </c>
      <c r="AS30" s="1" t="n">
        <f aca="false">IF(AF30&gt;PR_BalDone,MIN(F_CardPayM,AF30+AF30*(D_iC)),0)</f>
        <v>0</v>
      </c>
      <c r="AT30" s="1" t="n">
        <f aca="false">IF(AG30&gt;PR_BalDone,MIN(F_CardPayM,AG30+AG30*(D_iC)),0)</f>
        <v>0</v>
      </c>
      <c r="AU30" s="1" t="n">
        <f aca="false">IF(AH30&gt;PR_BalDone,MIN(F_CardPayM,AH30+AH30*(D_iC)),0)</f>
        <v>0</v>
      </c>
      <c r="AV30" s="1" t="n">
        <f aca="false">IF(AI30&gt;PR_BalDone,MIN(F_CardPayM,AI30+AI30*(D_iC)),0)</f>
        <v>0</v>
      </c>
      <c r="AW30" s="1" t="n">
        <f aca="false">IF(AJ30&gt;PR_BalDone,MIN(F_CardPayM,AJ30+AJ30*(D_iC)),0)</f>
        <v>0</v>
      </c>
      <c r="AX30" s="1" t="n">
        <f aca="false">IF(AK30&gt;PR_BalDone,MIN(F_CardPayM,AK30+AK30*(D_iC)),0)</f>
        <v>0</v>
      </c>
      <c r="AY30" s="1" t="n">
        <f aca="false">IF(AL30&gt;PR_BalDone,MIN(F_CardPayM,AL30+AL30*(D_iC)),0)</f>
        <v>0</v>
      </c>
      <c r="AZ30" s="1" t="n">
        <f aca="false">IF(AM30&gt;PR_BalDone,MIN(F_CardPayM,AM30+AM30*(D_iC)),0)</f>
        <v>0</v>
      </c>
      <c r="BA30" s="1" t="n">
        <f aca="false">IF(AN30&gt;PR_BalDone,MIN(F_CardPayM,AN30+AN30*(D_iC)),0)</f>
        <v>0</v>
      </c>
      <c r="BB30" s="1" t="n">
        <f aca="false">IF(AO30&gt;PR_BalDone,MIN(F_CardPayM,AO30+AO30*(D_iC)),0)</f>
        <v>0</v>
      </c>
      <c r="BC30" s="1" t="n">
        <f aca="false">MAX(0,AP30)</f>
        <v>0</v>
      </c>
      <c r="BD30" s="1" t="n">
        <f aca="false">SUM(AQ30:BB30)</f>
        <v>0</v>
      </c>
      <c r="BE30" s="1" t="n">
        <f aca="false">'Plan cashflow'!O30</f>
        <v>0</v>
      </c>
      <c r="BF30" s="1" t="n">
        <f aca="false">IF(BE30&gt;PR_BalDone,BE30+BE30*(D_iL)-MIN(F_LoanPayM,BE30+BE30*(D_iL)),BE30)</f>
        <v>0</v>
      </c>
      <c r="BG30" s="1" t="n">
        <f aca="false">IF(BF30&gt;PR_BalDone,BF30+BF30*(D_iL)-MIN(F_LoanPayM,BF30+BF30*(D_iL)),BF30)</f>
        <v>0</v>
      </c>
      <c r="BH30" s="1" t="n">
        <f aca="false">IF(BG30&gt;PR_BalDone,BG30+BG30*(D_iL)-MIN(F_LoanPayM,BG30+BG30*(D_iL)),BG30)</f>
        <v>0</v>
      </c>
      <c r="BI30" s="1" t="n">
        <f aca="false">IF(BH30&gt;PR_BalDone,BH30+BH30*(D_iL)-MIN(F_LoanPayM,BH30+BH30*(D_iL)),BH30)</f>
        <v>0</v>
      </c>
      <c r="BJ30" s="1" t="n">
        <f aca="false">IF(BI30&gt;PR_BalDone,BI30+BI30*(D_iL)-MIN(F_LoanPayM,BI30+BI30*(D_iL)),BI30)</f>
        <v>0</v>
      </c>
      <c r="BK30" s="1" t="n">
        <f aca="false">IF(BJ30&gt;PR_BalDone,BJ30+BJ30*(D_iL)-MIN(F_LoanPayM,BJ30+BJ30*(D_iL)),BJ30)</f>
        <v>0</v>
      </c>
      <c r="BL30" s="1" t="n">
        <f aca="false">IF(BK30&gt;PR_BalDone,BK30+BK30*(D_iL)-MIN(F_LoanPayM,BK30+BK30*(D_iL)),BK30)</f>
        <v>0</v>
      </c>
      <c r="BM30" s="1" t="n">
        <f aca="false">IF(BL30&gt;PR_BalDone,BL30+BL30*(D_iL)-MIN(F_LoanPayM,BL30+BL30*(D_iL)),BL30)</f>
        <v>0</v>
      </c>
      <c r="BN30" s="1" t="n">
        <f aca="false">IF(BM30&gt;PR_BalDone,BM30+BM30*(D_iL)-MIN(F_LoanPayM,BM30+BM30*(D_iL)),BM30)</f>
        <v>0</v>
      </c>
      <c r="BO30" s="1" t="n">
        <f aca="false">IF(BN30&gt;PR_BalDone,BN30+BN30*(D_iL)-MIN(F_LoanPayM,BN30+BN30*(D_iL)),BN30)</f>
        <v>0</v>
      </c>
      <c r="BP30" s="1" t="n">
        <f aca="false">IF(BO30&gt;PR_BalDone,BO30+BO30*(D_iL)-MIN(F_LoanPayM,BO30+BO30*(D_iL)),BO30)</f>
        <v>0</v>
      </c>
      <c r="BQ30" s="1" t="n">
        <f aca="false">IF(BP30&gt;PR_BalDone,BP30+BP30*(D_iL)-MIN(F_LoanPayM,BP30+BP30*(D_iL)),BP30)</f>
        <v>0</v>
      </c>
      <c r="BR30" s="1" t="n">
        <f aca="false">IF(BE30&gt;PR_BalDone,MIN(F_LoanPayM,BE30+BE30*(D_iL)),0)</f>
        <v>0</v>
      </c>
      <c r="BS30" s="1" t="n">
        <f aca="false">IF(BF30&gt;PR_BalDone,MIN(F_LoanPayM,BF30+BF30*(D_iL)),0)</f>
        <v>0</v>
      </c>
      <c r="BT30" s="1" t="n">
        <f aca="false">IF(BG30&gt;PR_BalDone,MIN(F_LoanPayM,BG30+BG30*(D_iL)),0)</f>
        <v>0</v>
      </c>
      <c r="BU30" s="1" t="n">
        <f aca="false">IF(BH30&gt;PR_BalDone,MIN(F_LoanPayM,BH30+BH30*(D_iL)),0)</f>
        <v>0</v>
      </c>
      <c r="BV30" s="1" t="n">
        <f aca="false">IF(BI30&gt;PR_BalDone,MIN(F_LoanPayM,BI30+BI30*(D_iL)),0)</f>
        <v>0</v>
      </c>
      <c r="BW30" s="1" t="n">
        <f aca="false">IF(BJ30&gt;PR_BalDone,MIN(F_LoanPayM,BJ30+BJ30*(D_iL)),0)</f>
        <v>0</v>
      </c>
      <c r="BX30" s="1" t="n">
        <f aca="false">IF(BK30&gt;PR_BalDone,MIN(F_LoanPayM,BK30+BK30*(D_iL)),0)</f>
        <v>0</v>
      </c>
      <c r="BY30" s="1" t="n">
        <f aca="false">IF(BL30&gt;PR_BalDone,MIN(F_LoanPayM,BL30+BL30*(D_iL)),0)</f>
        <v>0</v>
      </c>
      <c r="BZ30" s="1" t="n">
        <f aca="false">IF(BM30&gt;PR_BalDone,MIN(F_LoanPayM,BM30+BM30*(D_iL)),0)</f>
        <v>0</v>
      </c>
      <c r="CA30" s="1" t="n">
        <f aca="false">IF(BN30&gt;PR_BalDone,MIN(F_LoanPayM,BN30+BN30*(D_iL)),0)</f>
        <v>0</v>
      </c>
      <c r="CB30" s="1" t="n">
        <f aca="false">IF(BO30&gt;PR_BalDone,MIN(F_LoanPayM,BO30+BO30*(D_iL)),0)</f>
        <v>0</v>
      </c>
      <c r="CC30" s="1" t="n">
        <f aca="false">IF(BP30&gt;PR_BalDone,MIN(F_LoanPayM,BP30+BP30*(D_iL)),0)</f>
        <v>0</v>
      </c>
      <c r="CD30" s="1" t="n">
        <f aca="false">MAX(0,BQ30)</f>
        <v>0</v>
      </c>
      <c r="CE30" s="1" t="n">
        <f aca="false">SUM(BR30:CC30)</f>
        <v>0</v>
      </c>
      <c r="CF30" s="1" t="n">
        <f aca="false">IF(CF29&gt;1,DE29,CF29)</f>
        <v>0</v>
      </c>
      <c r="CG30" s="1" t="n">
        <f aca="false">IF(CF30&gt;PR_BalDone,CF30+CF30*(F_MR/12)-MIN(F_MortPayM,CF30+CF30*(F_MR/12)),CF30)</f>
        <v>0</v>
      </c>
      <c r="CH30" s="1" t="n">
        <f aca="false">IF(CG30&gt;PR_BalDone,CG30+CG30*(F_MR/12)-MIN(F_MortPayM,CG30+CG30*(F_MR/12)),CG30)</f>
        <v>0</v>
      </c>
      <c r="CI30" s="1" t="n">
        <f aca="false">IF(CH30&gt;PR_BalDone,CH30+CH30*(F_MR/12)-MIN(F_MortPayM,CH30+CH30*(F_MR/12)),CH30)</f>
        <v>0</v>
      </c>
      <c r="CJ30" s="1" t="n">
        <f aca="false">IF(CI30&gt;PR_BalDone,CI30+CI30*(F_MR/12)-MIN(F_MortPayM,CI30+CI30*(F_MR/12)),CI30)</f>
        <v>0</v>
      </c>
      <c r="CK30" s="1" t="n">
        <f aca="false">IF(CJ30&gt;PR_BalDone,CJ30+CJ30*(F_MR/12)-MIN(F_MortPayM,CJ30+CJ30*(F_MR/12)),CJ30)</f>
        <v>0</v>
      </c>
      <c r="CL30" s="1" t="n">
        <f aca="false">IF(CK30&gt;PR_BalDone,CK30+CK30*(F_MR/12)-MIN(F_MortPayM,CK30+CK30*(F_MR/12)),CK30)</f>
        <v>0</v>
      </c>
      <c r="CM30" s="1" t="n">
        <f aca="false">IF(CL30&gt;PR_BalDone,CL30+CL30*(F_MR/12)-MIN(F_MortPayM,CL30+CL30*(F_MR/12)),CL30)</f>
        <v>0</v>
      </c>
      <c r="CN30" s="1" t="n">
        <f aca="false">IF(CM30&gt;PR_BalDone,CM30+CM30*(F_MR/12)-MIN(F_MortPayM,CM30+CM30*(F_MR/12)),CM30)</f>
        <v>0</v>
      </c>
      <c r="CO30" s="1" t="n">
        <f aca="false">IF(CN30&gt;PR_BalDone,CN30+CN30*(F_MR/12)-MIN(F_MortPayM,CN30+CN30*(F_MR/12)),CN30)</f>
        <v>0</v>
      </c>
      <c r="CP30" s="1" t="n">
        <f aca="false">IF(CO30&gt;PR_BalDone,CO30+CO30*(F_MR/12)-MIN(F_MortPayM,CO30+CO30*(F_MR/12)),CO30)</f>
        <v>0</v>
      </c>
      <c r="CQ30" s="1" t="n">
        <f aca="false">IF(CP30&gt;PR_BalDone,CP30+CP30*(F_MR/12)-MIN(F_MortPayM,CP30+CP30*(F_MR/12)),CP30)</f>
        <v>0</v>
      </c>
      <c r="CR30" s="1" t="n">
        <f aca="false">IF(CQ30&gt;PR_BalDone,CQ30+CQ30*(F_MR/12)-MIN(F_MortPayM,CQ30+CQ30*(F_MR/12)),CQ30)</f>
        <v>0</v>
      </c>
      <c r="CS30" s="1" t="n">
        <f aca="false">IF(CF30&gt;PR_BalDone,MIN(F_MortPayM,CF30+CF30*(F_MR/12)),0)</f>
        <v>0</v>
      </c>
      <c r="CT30" s="1" t="n">
        <f aca="false">IF(CG30&gt;PR_BalDone,MIN(F_MortPayM,CG30+CG30*(F_MR/12)),0)</f>
        <v>0</v>
      </c>
      <c r="CU30" s="1" t="n">
        <f aca="false">IF(CH30&gt;PR_BalDone,MIN(F_MortPayM,CH30+CH30*(F_MR/12)),0)</f>
        <v>0</v>
      </c>
      <c r="CV30" s="1" t="n">
        <f aca="false">IF(CI30&gt;PR_BalDone,MIN(F_MortPayM,CI30+CI30*(F_MR/12)),0)</f>
        <v>0</v>
      </c>
      <c r="CW30" s="1" t="n">
        <f aca="false">IF(CJ30&gt;PR_BalDone,MIN(F_MortPayM,CJ30+CJ30*(F_MR/12)),0)</f>
        <v>0</v>
      </c>
      <c r="CX30" s="1" t="n">
        <f aca="false">IF(CK30&gt;PR_BalDone,MIN(F_MortPayM,CK30+CK30*(F_MR/12)),0)</f>
        <v>0</v>
      </c>
      <c r="CY30" s="1" t="n">
        <f aca="false">IF(CL30&gt;PR_BalDone,MIN(F_MortPayM,CL30+CL30*(F_MR/12)),0)</f>
        <v>0</v>
      </c>
      <c r="CZ30" s="1" t="n">
        <f aca="false">IF(CM30&gt;PR_BalDone,MIN(F_MortPayM,CM30+CM30*(F_MR/12)),0)</f>
        <v>0</v>
      </c>
      <c r="DA30" s="1" t="n">
        <f aca="false">IF(CN30&gt;PR_BalDone,MIN(F_MortPayM,CN30+CN30*(F_MR/12)),0)</f>
        <v>0</v>
      </c>
      <c r="DB30" s="1" t="n">
        <f aca="false">IF(CO30&gt;PR_BalDone,MIN(F_MortPayM,CO30+CO30*(F_MR/12)),0)</f>
        <v>0</v>
      </c>
      <c r="DC30" s="1" t="n">
        <f aca="false">IF(CP30&gt;PR_BalDone,MIN(F_MortPayM,CP30+CP30*(F_MR/12)),0)</f>
        <v>0</v>
      </c>
      <c r="DD30" s="1" t="n">
        <f aca="false">IF(CQ30&gt;PR_BalDone,MIN(F_MortPayM,CQ30+CQ30*(F_MR/12)),0)</f>
        <v>0</v>
      </c>
      <c r="DE30" s="1" t="n">
        <f aca="false">MAX(0,CR30)</f>
        <v>0</v>
      </c>
      <c r="DF30" s="1" t="n">
        <f aca="false">SUM(CS30:DD30)</f>
        <v>0</v>
      </c>
      <c r="DG30" s="1" t="n">
        <f aca="false">MAX(0,CF30)</f>
        <v>0</v>
      </c>
    </row>
    <row r="31" customFormat="false" ht="15" hidden="false" customHeight="true" outlineLevel="0" collapsed="false">
      <c r="B31" s="1" t="n">
        <v>23</v>
      </c>
      <c r="C31" s="1" t="n">
        <f aca="false">'Plan cashflow'!I31</f>
        <v>0</v>
      </c>
      <c r="D31" s="1" t="n">
        <f aca="false">IF(C31&gt;PR_BalDone,C31+C31*(F_MR/12)-MIN(F_MortPayM,C31+C31*(F_MR/12)),C31)</f>
        <v>0</v>
      </c>
      <c r="E31" s="1" t="n">
        <f aca="false">IF(D31&gt;PR_BalDone,D31+D31*(F_MR/12)-MIN(F_MortPayM,D31+D31*(F_MR/12)),D31)</f>
        <v>0</v>
      </c>
      <c r="F31" s="1" t="n">
        <f aca="false">IF(E31&gt;PR_BalDone,E31+E31*(F_MR/12)-MIN(F_MortPayM,E31+E31*(F_MR/12)),E31)</f>
        <v>0</v>
      </c>
      <c r="G31" s="1" t="n">
        <f aca="false">IF(F31&gt;PR_BalDone,F31+F31*(F_MR/12)-MIN(F_MortPayM,F31+F31*(F_MR/12)),F31)</f>
        <v>0</v>
      </c>
      <c r="H31" s="1" t="n">
        <f aca="false">IF(G31&gt;PR_BalDone,G31+G31*(F_MR/12)-MIN(F_MortPayM,G31+G31*(F_MR/12)),G31)</f>
        <v>0</v>
      </c>
      <c r="I31" s="1" t="n">
        <f aca="false">IF(H31&gt;PR_BalDone,H31+H31*(F_MR/12)-MIN(F_MortPayM,H31+H31*(F_MR/12)),H31)</f>
        <v>0</v>
      </c>
      <c r="J31" s="1" t="n">
        <f aca="false">IF(I31&gt;PR_BalDone,I31+I31*(F_MR/12)-MIN(F_MortPayM,I31+I31*(F_MR/12)),I31)</f>
        <v>0</v>
      </c>
      <c r="K31" s="1" t="n">
        <f aca="false">IF(J31&gt;PR_BalDone,J31+J31*(F_MR/12)-MIN(F_MortPayM,J31+J31*(F_MR/12)),J31)</f>
        <v>0</v>
      </c>
      <c r="L31" s="1" t="n">
        <f aca="false">IF(K31&gt;PR_BalDone,K31+K31*(F_MR/12)-MIN(F_MortPayM,K31+K31*(F_MR/12)),K31)</f>
        <v>0</v>
      </c>
      <c r="M31" s="1" t="n">
        <f aca="false">IF(L31&gt;PR_BalDone,L31+L31*(F_MR/12)-MIN(F_MortPayM,L31+L31*(F_MR/12)),L31)</f>
        <v>0</v>
      </c>
      <c r="N31" s="1" t="n">
        <f aca="false">IF(M31&gt;PR_BalDone,M31+M31*(F_MR/12)-MIN(F_MortPayM,M31+M31*(F_MR/12)),M31)</f>
        <v>0</v>
      </c>
      <c r="O31" s="1" t="n">
        <f aca="false">IF(N31&gt;PR_BalDone,N31+N31*(F_MR/12)-MIN(F_MortPayM,N31+N31*(F_MR/12)),N31)</f>
        <v>0</v>
      </c>
      <c r="P31" s="1" t="n">
        <f aca="false">IF(C31&gt;PR_BalDone,MIN(F_MortPayM,C31+C31*(F_MR/12)),0)</f>
        <v>0</v>
      </c>
      <c r="Q31" s="1" t="n">
        <f aca="false">IF(D31&gt;PR_BalDone,MIN(F_MortPayM,D31+D31*(F_MR/12)),0)</f>
        <v>0</v>
      </c>
      <c r="R31" s="1" t="n">
        <f aca="false">IF(E31&gt;PR_BalDone,MIN(F_MortPayM,E31+E31*(F_MR/12)),0)</f>
        <v>0</v>
      </c>
      <c r="S31" s="1" t="n">
        <f aca="false">IF(F31&gt;PR_BalDone,MIN(F_MortPayM,F31+F31*(F_MR/12)),0)</f>
        <v>0</v>
      </c>
      <c r="T31" s="1" t="n">
        <f aca="false">IF(G31&gt;PR_BalDone,MIN(F_MortPayM,G31+G31*(F_MR/12)),0)</f>
        <v>0</v>
      </c>
      <c r="U31" s="1" t="n">
        <f aca="false">IF(H31&gt;PR_BalDone,MIN(F_MortPayM,H31+H31*(F_MR/12)),0)</f>
        <v>0</v>
      </c>
      <c r="V31" s="1" t="n">
        <f aca="false">IF(I31&gt;PR_BalDone,MIN(F_MortPayM,I31+I31*(F_MR/12)),0)</f>
        <v>0</v>
      </c>
      <c r="W31" s="1" t="n">
        <f aca="false">IF(J31&gt;PR_BalDone,MIN(F_MortPayM,J31+J31*(F_MR/12)),0)</f>
        <v>0</v>
      </c>
      <c r="X31" s="1" t="n">
        <f aca="false">IF(K31&gt;PR_BalDone,MIN(F_MortPayM,K31+K31*(F_MR/12)),0)</f>
        <v>0</v>
      </c>
      <c r="Y31" s="1" t="n">
        <f aca="false">IF(L31&gt;PR_BalDone,MIN(F_MortPayM,L31+L31*(F_MR/12)),0)</f>
        <v>0</v>
      </c>
      <c r="Z31" s="1" t="n">
        <f aca="false">IF(M31&gt;PR_BalDone,MIN(F_MortPayM,M31+M31*(F_MR/12)),0)</f>
        <v>0</v>
      </c>
      <c r="AA31" s="1" t="n">
        <f aca="false">IF(N31&gt;PR_BalDone,MIN(F_MortPayM,N31+N31*(F_MR/12)),0)</f>
        <v>0</v>
      </c>
      <c r="AB31" s="1" t="n">
        <f aca="false">MAX(0,O31)</f>
        <v>0</v>
      </c>
      <c r="AC31" s="1" t="n">
        <f aca="false">SUM(P31:AA31)</f>
        <v>0</v>
      </c>
      <c r="AD31" s="1" t="n">
        <f aca="false">'Plan cashflow'!L31</f>
        <v>0</v>
      </c>
      <c r="AE31" s="1" t="n">
        <f aca="false">IF(AD31&gt;PR_BalDone,AD31+AD31*(D_iC)-MIN(F_CardPayM,AD31+AD31*(D_iC)),AD31)</f>
        <v>0</v>
      </c>
      <c r="AF31" s="1" t="n">
        <f aca="false">IF(AE31&gt;PR_BalDone,AE31+AE31*(D_iC)-MIN(F_CardPayM,AE31+AE31*(D_iC)),AE31)</f>
        <v>0</v>
      </c>
      <c r="AG31" s="1" t="n">
        <f aca="false">IF(AF31&gt;PR_BalDone,AF31+AF31*(D_iC)-MIN(F_CardPayM,AF31+AF31*(D_iC)),AF31)</f>
        <v>0</v>
      </c>
      <c r="AH31" s="1" t="n">
        <f aca="false">IF(AG31&gt;PR_BalDone,AG31+AG31*(D_iC)-MIN(F_CardPayM,AG31+AG31*(D_iC)),AG31)</f>
        <v>0</v>
      </c>
      <c r="AI31" s="1" t="n">
        <f aca="false">IF(AH31&gt;PR_BalDone,AH31+AH31*(D_iC)-MIN(F_CardPayM,AH31+AH31*(D_iC)),AH31)</f>
        <v>0</v>
      </c>
      <c r="AJ31" s="1" t="n">
        <f aca="false">IF(AI31&gt;PR_BalDone,AI31+AI31*(D_iC)-MIN(F_CardPayM,AI31+AI31*(D_iC)),AI31)</f>
        <v>0</v>
      </c>
      <c r="AK31" s="1" t="n">
        <f aca="false">IF(AJ31&gt;PR_BalDone,AJ31+AJ31*(D_iC)-MIN(F_CardPayM,AJ31+AJ31*(D_iC)),AJ31)</f>
        <v>0</v>
      </c>
      <c r="AL31" s="1" t="n">
        <f aca="false">IF(AK31&gt;PR_BalDone,AK31+AK31*(D_iC)-MIN(F_CardPayM,AK31+AK31*(D_iC)),AK31)</f>
        <v>0</v>
      </c>
      <c r="AM31" s="1" t="n">
        <f aca="false">IF(AL31&gt;PR_BalDone,AL31+AL31*(D_iC)-MIN(F_CardPayM,AL31+AL31*(D_iC)),AL31)</f>
        <v>0</v>
      </c>
      <c r="AN31" s="1" t="n">
        <f aca="false">IF(AM31&gt;PR_BalDone,AM31+AM31*(D_iC)-MIN(F_CardPayM,AM31+AM31*(D_iC)),AM31)</f>
        <v>0</v>
      </c>
      <c r="AO31" s="1" t="n">
        <f aca="false">IF(AN31&gt;PR_BalDone,AN31+AN31*(D_iC)-MIN(F_CardPayM,AN31+AN31*(D_iC)),AN31)</f>
        <v>0</v>
      </c>
      <c r="AP31" s="1" t="n">
        <f aca="false">IF(AO31&gt;PR_BalDone,AO31+AO31*(D_iC)-MIN(F_CardPayM,AO31+AO31*(D_iC)),AO31)</f>
        <v>0</v>
      </c>
      <c r="AQ31" s="1" t="n">
        <f aca="false">IF(AD31&gt;PR_BalDone,MIN(F_CardPayM,AD31+AD31*(D_iC)),0)</f>
        <v>0</v>
      </c>
      <c r="AR31" s="1" t="n">
        <f aca="false">IF(AE31&gt;PR_BalDone,MIN(F_CardPayM,AE31+AE31*(D_iC)),0)</f>
        <v>0</v>
      </c>
      <c r="AS31" s="1" t="n">
        <f aca="false">IF(AF31&gt;PR_BalDone,MIN(F_CardPayM,AF31+AF31*(D_iC)),0)</f>
        <v>0</v>
      </c>
      <c r="AT31" s="1" t="n">
        <f aca="false">IF(AG31&gt;PR_BalDone,MIN(F_CardPayM,AG31+AG31*(D_iC)),0)</f>
        <v>0</v>
      </c>
      <c r="AU31" s="1" t="n">
        <f aca="false">IF(AH31&gt;PR_BalDone,MIN(F_CardPayM,AH31+AH31*(D_iC)),0)</f>
        <v>0</v>
      </c>
      <c r="AV31" s="1" t="n">
        <f aca="false">IF(AI31&gt;PR_BalDone,MIN(F_CardPayM,AI31+AI31*(D_iC)),0)</f>
        <v>0</v>
      </c>
      <c r="AW31" s="1" t="n">
        <f aca="false">IF(AJ31&gt;PR_BalDone,MIN(F_CardPayM,AJ31+AJ31*(D_iC)),0)</f>
        <v>0</v>
      </c>
      <c r="AX31" s="1" t="n">
        <f aca="false">IF(AK31&gt;PR_BalDone,MIN(F_CardPayM,AK31+AK31*(D_iC)),0)</f>
        <v>0</v>
      </c>
      <c r="AY31" s="1" t="n">
        <f aca="false">IF(AL31&gt;PR_BalDone,MIN(F_CardPayM,AL31+AL31*(D_iC)),0)</f>
        <v>0</v>
      </c>
      <c r="AZ31" s="1" t="n">
        <f aca="false">IF(AM31&gt;PR_BalDone,MIN(F_CardPayM,AM31+AM31*(D_iC)),0)</f>
        <v>0</v>
      </c>
      <c r="BA31" s="1" t="n">
        <f aca="false">IF(AN31&gt;PR_BalDone,MIN(F_CardPayM,AN31+AN31*(D_iC)),0)</f>
        <v>0</v>
      </c>
      <c r="BB31" s="1" t="n">
        <f aca="false">IF(AO31&gt;PR_BalDone,MIN(F_CardPayM,AO31+AO31*(D_iC)),0)</f>
        <v>0</v>
      </c>
      <c r="BC31" s="1" t="n">
        <f aca="false">MAX(0,AP31)</f>
        <v>0</v>
      </c>
      <c r="BD31" s="1" t="n">
        <f aca="false">SUM(AQ31:BB31)</f>
        <v>0</v>
      </c>
      <c r="BE31" s="1" t="n">
        <f aca="false">'Plan cashflow'!O31</f>
        <v>0</v>
      </c>
      <c r="BF31" s="1" t="n">
        <f aca="false">IF(BE31&gt;PR_BalDone,BE31+BE31*(D_iL)-MIN(F_LoanPayM,BE31+BE31*(D_iL)),BE31)</f>
        <v>0</v>
      </c>
      <c r="BG31" s="1" t="n">
        <f aca="false">IF(BF31&gt;PR_BalDone,BF31+BF31*(D_iL)-MIN(F_LoanPayM,BF31+BF31*(D_iL)),BF31)</f>
        <v>0</v>
      </c>
      <c r="BH31" s="1" t="n">
        <f aca="false">IF(BG31&gt;PR_BalDone,BG31+BG31*(D_iL)-MIN(F_LoanPayM,BG31+BG31*(D_iL)),BG31)</f>
        <v>0</v>
      </c>
      <c r="BI31" s="1" t="n">
        <f aca="false">IF(BH31&gt;PR_BalDone,BH31+BH31*(D_iL)-MIN(F_LoanPayM,BH31+BH31*(D_iL)),BH31)</f>
        <v>0</v>
      </c>
      <c r="BJ31" s="1" t="n">
        <f aca="false">IF(BI31&gt;PR_BalDone,BI31+BI31*(D_iL)-MIN(F_LoanPayM,BI31+BI31*(D_iL)),BI31)</f>
        <v>0</v>
      </c>
      <c r="BK31" s="1" t="n">
        <f aca="false">IF(BJ31&gt;PR_BalDone,BJ31+BJ31*(D_iL)-MIN(F_LoanPayM,BJ31+BJ31*(D_iL)),BJ31)</f>
        <v>0</v>
      </c>
      <c r="BL31" s="1" t="n">
        <f aca="false">IF(BK31&gt;PR_BalDone,BK31+BK31*(D_iL)-MIN(F_LoanPayM,BK31+BK31*(D_iL)),BK31)</f>
        <v>0</v>
      </c>
      <c r="BM31" s="1" t="n">
        <f aca="false">IF(BL31&gt;PR_BalDone,BL31+BL31*(D_iL)-MIN(F_LoanPayM,BL31+BL31*(D_iL)),BL31)</f>
        <v>0</v>
      </c>
      <c r="BN31" s="1" t="n">
        <f aca="false">IF(BM31&gt;PR_BalDone,BM31+BM31*(D_iL)-MIN(F_LoanPayM,BM31+BM31*(D_iL)),BM31)</f>
        <v>0</v>
      </c>
      <c r="BO31" s="1" t="n">
        <f aca="false">IF(BN31&gt;PR_BalDone,BN31+BN31*(D_iL)-MIN(F_LoanPayM,BN31+BN31*(D_iL)),BN31)</f>
        <v>0</v>
      </c>
      <c r="BP31" s="1" t="n">
        <f aca="false">IF(BO31&gt;PR_BalDone,BO31+BO31*(D_iL)-MIN(F_LoanPayM,BO31+BO31*(D_iL)),BO31)</f>
        <v>0</v>
      </c>
      <c r="BQ31" s="1" t="n">
        <f aca="false">IF(BP31&gt;PR_BalDone,BP31+BP31*(D_iL)-MIN(F_LoanPayM,BP31+BP31*(D_iL)),BP31)</f>
        <v>0</v>
      </c>
      <c r="BR31" s="1" t="n">
        <f aca="false">IF(BE31&gt;PR_BalDone,MIN(F_LoanPayM,BE31+BE31*(D_iL)),0)</f>
        <v>0</v>
      </c>
      <c r="BS31" s="1" t="n">
        <f aca="false">IF(BF31&gt;PR_BalDone,MIN(F_LoanPayM,BF31+BF31*(D_iL)),0)</f>
        <v>0</v>
      </c>
      <c r="BT31" s="1" t="n">
        <f aca="false">IF(BG31&gt;PR_BalDone,MIN(F_LoanPayM,BG31+BG31*(D_iL)),0)</f>
        <v>0</v>
      </c>
      <c r="BU31" s="1" t="n">
        <f aca="false">IF(BH31&gt;PR_BalDone,MIN(F_LoanPayM,BH31+BH31*(D_iL)),0)</f>
        <v>0</v>
      </c>
      <c r="BV31" s="1" t="n">
        <f aca="false">IF(BI31&gt;PR_BalDone,MIN(F_LoanPayM,BI31+BI31*(D_iL)),0)</f>
        <v>0</v>
      </c>
      <c r="BW31" s="1" t="n">
        <f aca="false">IF(BJ31&gt;PR_BalDone,MIN(F_LoanPayM,BJ31+BJ31*(D_iL)),0)</f>
        <v>0</v>
      </c>
      <c r="BX31" s="1" t="n">
        <f aca="false">IF(BK31&gt;PR_BalDone,MIN(F_LoanPayM,BK31+BK31*(D_iL)),0)</f>
        <v>0</v>
      </c>
      <c r="BY31" s="1" t="n">
        <f aca="false">IF(BL31&gt;PR_BalDone,MIN(F_LoanPayM,BL31+BL31*(D_iL)),0)</f>
        <v>0</v>
      </c>
      <c r="BZ31" s="1" t="n">
        <f aca="false">IF(BM31&gt;PR_BalDone,MIN(F_LoanPayM,BM31+BM31*(D_iL)),0)</f>
        <v>0</v>
      </c>
      <c r="CA31" s="1" t="n">
        <f aca="false">IF(BN31&gt;PR_BalDone,MIN(F_LoanPayM,BN31+BN31*(D_iL)),0)</f>
        <v>0</v>
      </c>
      <c r="CB31" s="1" t="n">
        <f aca="false">IF(BO31&gt;PR_BalDone,MIN(F_LoanPayM,BO31+BO31*(D_iL)),0)</f>
        <v>0</v>
      </c>
      <c r="CC31" s="1" t="n">
        <f aca="false">IF(BP31&gt;PR_BalDone,MIN(F_LoanPayM,BP31+BP31*(D_iL)),0)</f>
        <v>0</v>
      </c>
      <c r="CD31" s="1" t="n">
        <f aca="false">MAX(0,BQ31)</f>
        <v>0</v>
      </c>
      <c r="CE31" s="1" t="n">
        <f aca="false">SUM(BR31:CC31)</f>
        <v>0</v>
      </c>
      <c r="CF31" s="1" t="n">
        <f aca="false">IF(CF30&gt;1,DE30,CF30)</f>
        <v>0</v>
      </c>
      <c r="CG31" s="1" t="n">
        <f aca="false">IF(CF31&gt;PR_BalDone,CF31+CF31*(F_MR/12)-MIN(F_MortPayM,CF31+CF31*(F_MR/12)),CF31)</f>
        <v>0</v>
      </c>
      <c r="CH31" s="1" t="n">
        <f aca="false">IF(CG31&gt;PR_BalDone,CG31+CG31*(F_MR/12)-MIN(F_MortPayM,CG31+CG31*(F_MR/12)),CG31)</f>
        <v>0</v>
      </c>
      <c r="CI31" s="1" t="n">
        <f aca="false">IF(CH31&gt;PR_BalDone,CH31+CH31*(F_MR/12)-MIN(F_MortPayM,CH31+CH31*(F_MR/12)),CH31)</f>
        <v>0</v>
      </c>
      <c r="CJ31" s="1" t="n">
        <f aca="false">IF(CI31&gt;PR_BalDone,CI31+CI31*(F_MR/12)-MIN(F_MortPayM,CI31+CI31*(F_MR/12)),CI31)</f>
        <v>0</v>
      </c>
      <c r="CK31" s="1" t="n">
        <f aca="false">IF(CJ31&gt;PR_BalDone,CJ31+CJ31*(F_MR/12)-MIN(F_MortPayM,CJ31+CJ31*(F_MR/12)),CJ31)</f>
        <v>0</v>
      </c>
      <c r="CL31" s="1" t="n">
        <f aca="false">IF(CK31&gt;PR_BalDone,CK31+CK31*(F_MR/12)-MIN(F_MortPayM,CK31+CK31*(F_MR/12)),CK31)</f>
        <v>0</v>
      </c>
      <c r="CM31" s="1" t="n">
        <f aca="false">IF(CL31&gt;PR_BalDone,CL31+CL31*(F_MR/12)-MIN(F_MortPayM,CL31+CL31*(F_MR/12)),CL31)</f>
        <v>0</v>
      </c>
      <c r="CN31" s="1" t="n">
        <f aca="false">IF(CM31&gt;PR_BalDone,CM31+CM31*(F_MR/12)-MIN(F_MortPayM,CM31+CM31*(F_MR/12)),CM31)</f>
        <v>0</v>
      </c>
      <c r="CO31" s="1" t="n">
        <f aca="false">IF(CN31&gt;PR_BalDone,CN31+CN31*(F_MR/12)-MIN(F_MortPayM,CN31+CN31*(F_MR/12)),CN31)</f>
        <v>0</v>
      </c>
      <c r="CP31" s="1" t="n">
        <f aca="false">IF(CO31&gt;PR_BalDone,CO31+CO31*(F_MR/12)-MIN(F_MortPayM,CO31+CO31*(F_MR/12)),CO31)</f>
        <v>0</v>
      </c>
      <c r="CQ31" s="1" t="n">
        <f aca="false">IF(CP31&gt;PR_BalDone,CP31+CP31*(F_MR/12)-MIN(F_MortPayM,CP31+CP31*(F_MR/12)),CP31)</f>
        <v>0</v>
      </c>
      <c r="CR31" s="1" t="n">
        <f aca="false">IF(CQ31&gt;PR_BalDone,CQ31+CQ31*(F_MR/12)-MIN(F_MortPayM,CQ31+CQ31*(F_MR/12)),CQ31)</f>
        <v>0</v>
      </c>
      <c r="CS31" s="1" t="n">
        <f aca="false">IF(CF31&gt;PR_BalDone,MIN(F_MortPayM,CF31+CF31*(F_MR/12)),0)</f>
        <v>0</v>
      </c>
      <c r="CT31" s="1" t="n">
        <f aca="false">IF(CG31&gt;PR_BalDone,MIN(F_MortPayM,CG31+CG31*(F_MR/12)),0)</f>
        <v>0</v>
      </c>
      <c r="CU31" s="1" t="n">
        <f aca="false">IF(CH31&gt;PR_BalDone,MIN(F_MortPayM,CH31+CH31*(F_MR/12)),0)</f>
        <v>0</v>
      </c>
      <c r="CV31" s="1" t="n">
        <f aca="false">IF(CI31&gt;PR_BalDone,MIN(F_MortPayM,CI31+CI31*(F_MR/12)),0)</f>
        <v>0</v>
      </c>
      <c r="CW31" s="1" t="n">
        <f aca="false">IF(CJ31&gt;PR_BalDone,MIN(F_MortPayM,CJ31+CJ31*(F_MR/12)),0)</f>
        <v>0</v>
      </c>
      <c r="CX31" s="1" t="n">
        <f aca="false">IF(CK31&gt;PR_BalDone,MIN(F_MortPayM,CK31+CK31*(F_MR/12)),0)</f>
        <v>0</v>
      </c>
      <c r="CY31" s="1" t="n">
        <f aca="false">IF(CL31&gt;PR_BalDone,MIN(F_MortPayM,CL31+CL31*(F_MR/12)),0)</f>
        <v>0</v>
      </c>
      <c r="CZ31" s="1" t="n">
        <f aca="false">IF(CM31&gt;PR_BalDone,MIN(F_MortPayM,CM31+CM31*(F_MR/12)),0)</f>
        <v>0</v>
      </c>
      <c r="DA31" s="1" t="n">
        <f aca="false">IF(CN31&gt;PR_BalDone,MIN(F_MortPayM,CN31+CN31*(F_MR/12)),0)</f>
        <v>0</v>
      </c>
      <c r="DB31" s="1" t="n">
        <f aca="false">IF(CO31&gt;PR_BalDone,MIN(F_MortPayM,CO31+CO31*(F_MR/12)),0)</f>
        <v>0</v>
      </c>
      <c r="DC31" s="1" t="n">
        <f aca="false">IF(CP31&gt;PR_BalDone,MIN(F_MortPayM,CP31+CP31*(F_MR/12)),0)</f>
        <v>0</v>
      </c>
      <c r="DD31" s="1" t="n">
        <f aca="false">IF(CQ31&gt;PR_BalDone,MIN(F_MortPayM,CQ31+CQ31*(F_MR/12)),0)</f>
        <v>0</v>
      </c>
      <c r="DE31" s="1" t="n">
        <f aca="false">MAX(0,CR31)</f>
        <v>0</v>
      </c>
      <c r="DF31" s="1" t="n">
        <f aca="false">SUM(CS31:DD31)</f>
        <v>0</v>
      </c>
      <c r="DG31" s="1" t="n">
        <f aca="false">MAX(0,CF31)</f>
        <v>0</v>
      </c>
    </row>
    <row r="32" customFormat="false" ht="15" hidden="false" customHeight="true" outlineLevel="0" collapsed="false">
      <c r="B32" s="1" t="n">
        <v>24</v>
      </c>
      <c r="C32" s="1" t="n">
        <f aca="false">'Plan cashflow'!I32</f>
        <v>0</v>
      </c>
      <c r="D32" s="1" t="n">
        <f aca="false">IF(C32&gt;PR_BalDone,C32+C32*(F_MR/12)-MIN(F_MortPayM,C32+C32*(F_MR/12)),C32)</f>
        <v>0</v>
      </c>
      <c r="E32" s="1" t="n">
        <f aca="false">IF(D32&gt;PR_BalDone,D32+D32*(F_MR/12)-MIN(F_MortPayM,D32+D32*(F_MR/12)),D32)</f>
        <v>0</v>
      </c>
      <c r="F32" s="1" t="n">
        <f aca="false">IF(E32&gt;PR_BalDone,E32+E32*(F_MR/12)-MIN(F_MortPayM,E32+E32*(F_MR/12)),E32)</f>
        <v>0</v>
      </c>
      <c r="G32" s="1" t="n">
        <f aca="false">IF(F32&gt;PR_BalDone,F32+F32*(F_MR/12)-MIN(F_MortPayM,F32+F32*(F_MR/12)),F32)</f>
        <v>0</v>
      </c>
      <c r="H32" s="1" t="n">
        <f aca="false">IF(G32&gt;PR_BalDone,G32+G32*(F_MR/12)-MIN(F_MortPayM,G32+G32*(F_MR/12)),G32)</f>
        <v>0</v>
      </c>
      <c r="I32" s="1" t="n">
        <f aca="false">IF(H32&gt;PR_BalDone,H32+H32*(F_MR/12)-MIN(F_MortPayM,H32+H32*(F_MR/12)),H32)</f>
        <v>0</v>
      </c>
      <c r="J32" s="1" t="n">
        <f aca="false">IF(I32&gt;PR_BalDone,I32+I32*(F_MR/12)-MIN(F_MortPayM,I32+I32*(F_MR/12)),I32)</f>
        <v>0</v>
      </c>
      <c r="K32" s="1" t="n">
        <f aca="false">IF(J32&gt;PR_BalDone,J32+J32*(F_MR/12)-MIN(F_MortPayM,J32+J32*(F_MR/12)),J32)</f>
        <v>0</v>
      </c>
      <c r="L32" s="1" t="n">
        <f aca="false">IF(K32&gt;PR_BalDone,K32+K32*(F_MR/12)-MIN(F_MortPayM,K32+K32*(F_MR/12)),K32)</f>
        <v>0</v>
      </c>
      <c r="M32" s="1" t="n">
        <f aca="false">IF(L32&gt;PR_BalDone,L32+L32*(F_MR/12)-MIN(F_MortPayM,L32+L32*(F_MR/12)),L32)</f>
        <v>0</v>
      </c>
      <c r="N32" s="1" t="n">
        <f aca="false">IF(M32&gt;PR_BalDone,M32+M32*(F_MR/12)-MIN(F_MortPayM,M32+M32*(F_MR/12)),M32)</f>
        <v>0</v>
      </c>
      <c r="O32" s="1" t="n">
        <f aca="false">IF(N32&gt;PR_BalDone,N32+N32*(F_MR/12)-MIN(F_MortPayM,N32+N32*(F_MR/12)),N32)</f>
        <v>0</v>
      </c>
      <c r="P32" s="1" t="n">
        <f aca="false">IF(C32&gt;PR_BalDone,MIN(F_MortPayM,C32+C32*(F_MR/12)),0)</f>
        <v>0</v>
      </c>
      <c r="Q32" s="1" t="n">
        <f aca="false">IF(D32&gt;PR_BalDone,MIN(F_MortPayM,D32+D32*(F_MR/12)),0)</f>
        <v>0</v>
      </c>
      <c r="R32" s="1" t="n">
        <f aca="false">IF(E32&gt;PR_BalDone,MIN(F_MortPayM,E32+E32*(F_MR/12)),0)</f>
        <v>0</v>
      </c>
      <c r="S32" s="1" t="n">
        <f aca="false">IF(F32&gt;PR_BalDone,MIN(F_MortPayM,F32+F32*(F_MR/12)),0)</f>
        <v>0</v>
      </c>
      <c r="T32" s="1" t="n">
        <f aca="false">IF(G32&gt;PR_BalDone,MIN(F_MortPayM,G32+G32*(F_MR/12)),0)</f>
        <v>0</v>
      </c>
      <c r="U32" s="1" t="n">
        <f aca="false">IF(H32&gt;PR_BalDone,MIN(F_MortPayM,H32+H32*(F_MR/12)),0)</f>
        <v>0</v>
      </c>
      <c r="V32" s="1" t="n">
        <f aca="false">IF(I32&gt;PR_BalDone,MIN(F_MortPayM,I32+I32*(F_MR/12)),0)</f>
        <v>0</v>
      </c>
      <c r="W32" s="1" t="n">
        <f aca="false">IF(J32&gt;PR_BalDone,MIN(F_MortPayM,J32+J32*(F_MR/12)),0)</f>
        <v>0</v>
      </c>
      <c r="X32" s="1" t="n">
        <f aca="false">IF(K32&gt;PR_BalDone,MIN(F_MortPayM,K32+K32*(F_MR/12)),0)</f>
        <v>0</v>
      </c>
      <c r="Y32" s="1" t="n">
        <f aca="false">IF(L32&gt;PR_BalDone,MIN(F_MortPayM,L32+L32*(F_MR/12)),0)</f>
        <v>0</v>
      </c>
      <c r="Z32" s="1" t="n">
        <f aca="false">IF(M32&gt;PR_BalDone,MIN(F_MortPayM,M32+M32*(F_MR/12)),0)</f>
        <v>0</v>
      </c>
      <c r="AA32" s="1" t="n">
        <f aca="false">IF(N32&gt;PR_BalDone,MIN(F_MortPayM,N32+N32*(F_MR/12)),0)</f>
        <v>0</v>
      </c>
      <c r="AB32" s="1" t="n">
        <f aca="false">MAX(0,O32)</f>
        <v>0</v>
      </c>
      <c r="AC32" s="1" t="n">
        <f aca="false">SUM(P32:AA32)</f>
        <v>0</v>
      </c>
      <c r="AD32" s="1" t="n">
        <f aca="false">'Plan cashflow'!L32</f>
        <v>0</v>
      </c>
      <c r="AE32" s="1" t="n">
        <f aca="false">IF(AD32&gt;PR_BalDone,AD32+AD32*(D_iC)-MIN(F_CardPayM,AD32+AD32*(D_iC)),AD32)</f>
        <v>0</v>
      </c>
      <c r="AF32" s="1" t="n">
        <f aca="false">IF(AE32&gt;PR_BalDone,AE32+AE32*(D_iC)-MIN(F_CardPayM,AE32+AE32*(D_iC)),AE32)</f>
        <v>0</v>
      </c>
      <c r="AG32" s="1" t="n">
        <f aca="false">IF(AF32&gt;PR_BalDone,AF32+AF32*(D_iC)-MIN(F_CardPayM,AF32+AF32*(D_iC)),AF32)</f>
        <v>0</v>
      </c>
      <c r="AH32" s="1" t="n">
        <f aca="false">IF(AG32&gt;PR_BalDone,AG32+AG32*(D_iC)-MIN(F_CardPayM,AG32+AG32*(D_iC)),AG32)</f>
        <v>0</v>
      </c>
      <c r="AI32" s="1" t="n">
        <f aca="false">IF(AH32&gt;PR_BalDone,AH32+AH32*(D_iC)-MIN(F_CardPayM,AH32+AH32*(D_iC)),AH32)</f>
        <v>0</v>
      </c>
      <c r="AJ32" s="1" t="n">
        <f aca="false">IF(AI32&gt;PR_BalDone,AI32+AI32*(D_iC)-MIN(F_CardPayM,AI32+AI32*(D_iC)),AI32)</f>
        <v>0</v>
      </c>
      <c r="AK32" s="1" t="n">
        <f aca="false">IF(AJ32&gt;PR_BalDone,AJ32+AJ32*(D_iC)-MIN(F_CardPayM,AJ32+AJ32*(D_iC)),AJ32)</f>
        <v>0</v>
      </c>
      <c r="AL32" s="1" t="n">
        <f aca="false">IF(AK32&gt;PR_BalDone,AK32+AK32*(D_iC)-MIN(F_CardPayM,AK32+AK32*(D_iC)),AK32)</f>
        <v>0</v>
      </c>
      <c r="AM32" s="1" t="n">
        <f aca="false">IF(AL32&gt;PR_BalDone,AL32+AL32*(D_iC)-MIN(F_CardPayM,AL32+AL32*(D_iC)),AL32)</f>
        <v>0</v>
      </c>
      <c r="AN32" s="1" t="n">
        <f aca="false">IF(AM32&gt;PR_BalDone,AM32+AM32*(D_iC)-MIN(F_CardPayM,AM32+AM32*(D_iC)),AM32)</f>
        <v>0</v>
      </c>
      <c r="AO32" s="1" t="n">
        <f aca="false">IF(AN32&gt;PR_BalDone,AN32+AN32*(D_iC)-MIN(F_CardPayM,AN32+AN32*(D_iC)),AN32)</f>
        <v>0</v>
      </c>
      <c r="AP32" s="1" t="n">
        <f aca="false">IF(AO32&gt;PR_BalDone,AO32+AO32*(D_iC)-MIN(F_CardPayM,AO32+AO32*(D_iC)),AO32)</f>
        <v>0</v>
      </c>
      <c r="AQ32" s="1" t="n">
        <f aca="false">IF(AD32&gt;PR_BalDone,MIN(F_CardPayM,AD32+AD32*(D_iC)),0)</f>
        <v>0</v>
      </c>
      <c r="AR32" s="1" t="n">
        <f aca="false">IF(AE32&gt;PR_BalDone,MIN(F_CardPayM,AE32+AE32*(D_iC)),0)</f>
        <v>0</v>
      </c>
      <c r="AS32" s="1" t="n">
        <f aca="false">IF(AF32&gt;PR_BalDone,MIN(F_CardPayM,AF32+AF32*(D_iC)),0)</f>
        <v>0</v>
      </c>
      <c r="AT32" s="1" t="n">
        <f aca="false">IF(AG32&gt;PR_BalDone,MIN(F_CardPayM,AG32+AG32*(D_iC)),0)</f>
        <v>0</v>
      </c>
      <c r="AU32" s="1" t="n">
        <f aca="false">IF(AH32&gt;PR_BalDone,MIN(F_CardPayM,AH32+AH32*(D_iC)),0)</f>
        <v>0</v>
      </c>
      <c r="AV32" s="1" t="n">
        <f aca="false">IF(AI32&gt;PR_BalDone,MIN(F_CardPayM,AI32+AI32*(D_iC)),0)</f>
        <v>0</v>
      </c>
      <c r="AW32" s="1" t="n">
        <f aca="false">IF(AJ32&gt;PR_BalDone,MIN(F_CardPayM,AJ32+AJ32*(D_iC)),0)</f>
        <v>0</v>
      </c>
      <c r="AX32" s="1" t="n">
        <f aca="false">IF(AK32&gt;PR_BalDone,MIN(F_CardPayM,AK32+AK32*(D_iC)),0)</f>
        <v>0</v>
      </c>
      <c r="AY32" s="1" t="n">
        <f aca="false">IF(AL32&gt;PR_BalDone,MIN(F_CardPayM,AL32+AL32*(D_iC)),0)</f>
        <v>0</v>
      </c>
      <c r="AZ32" s="1" t="n">
        <f aca="false">IF(AM32&gt;PR_BalDone,MIN(F_CardPayM,AM32+AM32*(D_iC)),0)</f>
        <v>0</v>
      </c>
      <c r="BA32" s="1" t="n">
        <f aca="false">IF(AN32&gt;PR_BalDone,MIN(F_CardPayM,AN32+AN32*(D_iC)),0)</f>
        <v>0</v>
      </c>
      <c r="BB32" s="1" t="n">
        <f aca="false">IF(AO32&gt;PR_BalDone,MIN(F_CardPayM,AO32+AO32*(D_iC)),0)</f>
        <v>0</v>
      </c>
      <c r="BC32" s="1" t="n">
        <f aca="false">MAX(0,AP32)</f>
        <v>0</v>
      </c>
      <c r="BD32" s="1" t="n">
        <f aca="false">SUM(AQ32:BB32)</f>
        <v>0</v>
      </c>
      <c r="BE32" s="1" t="n">
        <f aca="false">'Plan cashflow'!O32</f>
        <v>0</v>
      </c>
      <c r="BF32" s="1" t="n">
        <f aca="false">IF(BE32&gt;PR_BalDone,BE32+BE32*(D_iL)-MIN(F_LoanPayM,BE32+BE32*(D_iL)),BE32)</f>
        <v>0</v>
      </c>
      <c r="BG32" s="1" t="n">
        <f aca="false">IF(BF32&gt;PR_BalDone,BF32+BF32*(D_iL)-MIN(F_LoanPayM,BF32+BF32*(D_iL)),BF32)</f>
        <v>0</v>
      </c>
      <c r="BH32" s="1" t="n">
        <f aca="false">IF(BG32&gt;PR_BalDone,BG32+BG32*(D_iL)-MIN(F_LoanPayM,BG32+BG32*(D_iL)),BG32)</f>
        <v>0</v>
      </c>
      <c r="BI32" s="1" t="n">
        <f aca="false">IF(BH32&gt;PR_BalDone,BH32+BH32*(D_iL)-MIN(F_LoanPayM,BH32+BH32*(D_iL)),BH32)</f>
        <v>0</v>
      </c>
      <c r="BJ32" s="1" t="n">
        <f aca="false">IF(BI32&gt;PR_BalDone,BI32+BI32*(D_iL)-MIN(F_LoanPayM,BI32+BI32*(D_iL)),BI32)</f>
        <v>0</v>
      </c>
      <c r="BK32" s="1" t="n">
        <f aca="false">IF(BJ32&gt;PR_BalDone,BJ32+BJ32*(D_iL)-MIN(F_LoanPayM,BJ32+BJ32*(D_iL)),BJ32)</f>
        <v>0</v>
      </c>
      <c r="BL32" s="1" t="n">
        <f aca="false">IF(BK32&gt;PR_BalDone,BK32+BK32*(D_iL)-MIN(F_LoanPayM,BK32+BK32*(D_iL)),BK32)</f>
        <v>0</v>
      </c>
      <c r="BM32" s="1" t="n">
        <f aca="false">IF(BL32&gt;PR_BalDone,BL32+BL32*(D_iL)-MIN(F_LoanPayM,BL32+BL32*(D_iL)),BL32)</f>
        <v>0</v>
      </c>
      <c r="BN32" s="1" t="n">
        <f aca="false">IF(BM32&gt;PR_BalDone,BM32+BM32*(D_iL)-MIN(F_LoanPayM,BM32+BM32*(D_iL)),BM32)</f>
        <v>0</v>
      </c>
      <c r="BO32" s="1" t="n">
        <f aca="false">IF(BN32&gt;PR_BalDone,BN32+BN32*(D_iL)-MIN(F_LoanPayM,BN32+BN32*(D_iL)),BN32)</f>
        <v>0</v>
      </c>
      <c r="BP32" s="1" t="n">
        <f aca="false">IF(BO32&gt;PR_BalDone,BO32+BO32*(D_iL)-MIN(F_LoanPayM,BO32+BO32*(D_iL)),BO32)</f>
        <v>0</v>
      </c>
      <c r="BQ32" s="1" t="n">
        <f aca="false">IF(BP32&gt;PR_BalDone,BP32+BP32*(D_iL)-MIN(F_LoanPayM,BP32+BP32*(D_iL)),BP32)</f>
        <v>0</v>
      </c>
      <c r="BR32" s="1" t="n">
        <f aca="false">IF(BE32&gt;PR_BalDone,MIN(F_LoanPayM,BE32+BE32*(D_iL)),0)</f>
        <v>0</v>
      </c>
      <c r="BS32" s="1" t="n">
        <f aca="false">IF(BF32&gt;PR_BalDone,MIN(F_LoanPayM,BF32+BF32*(D_iL)),0)</f>
        <v>0</v>
      </c>
      <c r="BT32" s="1" t="n">
        <f aca="false">IF(BG32&gt;PR_BalDone,MIN(F_LoanPayM,BG32+BG32*(D_iL)),0)</f>
        <v>0</v>
      </c>
      <c r="BU32" s="1" t="n">
        <f aca="false">IF(BH32&gt;PR_BalDone,MIN(F_LoanPayM,BH32+BH32*(D_iL)),0)</f>
        <v>0</v>
      </c>
      <c r="BV32" s="1" t="n">
        <f aca="false">IF(BI32&gt;PR_BalDone,MIN(F_LoanPayM,BI32+BI32*(D_iL)),0)</f>
        <v>0</v>
      </c>
      <c r="BW32" s="1" t="n">
        <f aca="false">IF(BJ32&gt;PR_BalDone,MIN(F_LoanPayM,BJ32+BJ32*(D_iL)),0)</f>
        <v>0</v>
      </c>
      <c r="BX32" s="1" t="n">
        <f aca="false">IF(BK32&gt;PR_BalDone,MIN(F_LoanPayM,BK32+BK32*(D_iL)),0)</f>
        <v>0</v>
      </c>
      <c r="BY32" s="1" t="n">
        <f aca="false">IF(BL32&gt;PR_BalDone,MIN(F_LoanPayM,BL32+BL32*(D_iL)),0)</f>
        <v>0</v>
      </c>
      <c r="BZ32" s="1" t="n">
        <f aca="false">IF(BM32&gt;PR_BalDone,MIN(F_LoanPayM,BM32+BM32*(D_iL)),0)</f>
        <v>0</v>
      </c>
      <c r="CA32" s="1" t="n">
        <f aca="false">IF(BN32&gt;PR_BalDone,MIN(F_LoanPayM,BN32+BN32*(D_iL)),0)</f>
        <v>0</v>
      </c>
      <c r="CB32" s="1" t="n">
        <f aca="false">IF(BO32&gt;PR_BalDone,MIN(F_LoanPayM,BO32+BO32*(D_iL)),0)</f>
        <v>0</v>
      </c>
      <c r="CC32" s="1" t="n">
        <f aca="false">IF(BP32&gt;PR_BalDone,MIN(F_LoanPayM,BP32+BP32*(D_iL)),0)</f>
        <v>0</v>
      </c>
      <c r="CD32" s="1" t="n">
        <f aca="false">MAX(0,BQ32)</f>
        <v>0</v>
      </c>
      <c r="CE32" s="1" t="n">
        <f aca="false">SUM(BR32:CC32)</f>
        <v>0</v>
      </c>
      <c r="CF32" s="1" t="n">
        <f aca="false">IF(CF31&gt;1,DE31,CF31)</f>
        <v>0</v>
      </c>
      <c r="CG32" s="1" t="n">
        <f aca="false">IF(CF32&gt;PR_BalDone,CF32+CF32*(F_MR/12)-MIN(F_MortPayM,CF32+CF32*(F_MR/12)),CF32)</f>
        <v>0</v>
      </c>
      <c r="CH32" s="1" t="n">
        <f aca="false">IF(CG32&gt;PR_BalDone,CG32+CG32*(F_MR/12)-MIN(F_MortPayM,CG32+CG32*(F_MR/12)),CG32)</f>
        <v>0</v>
      </c>
      <c r="CI32" s="1" t="n">
        <f aca="false">IF(CH32&gt;PR_BalDone,CH32+CH32*(F_MR/12)-MIN(F_MortPayM,CH32+CH32*(F_MR/12)),CH32)</f>
        <v>0</v>
      </c>
      <c r="CJ32" s="1" t="n">
        <f aca="false">IF(CI32&gt;PR_BalDone,CI32+CI32*(F_MR/12)-MIN(F_MortPayM,CI32+CI32*(F_MR/12)),CI32)</f>
        <v>0</v>
      </c>
      <c r="CK32" s="1" t="n">
        <f aca="false">IF(CJ32&gt;PR_BalDone,CJ32+CJ32*(F_MR/12)-MIN(F_MortPayM,CJ32+CJ32*(F_MR/12)),CJ32)</f>
        <v>0</v>
      </c>
      <c r="CL32" s="1" t="n">
        <f aca="false">IF(CK32&gt;PR_BalDone,CK32+CK32*(F_MR/12)-MIN(F_MortPayM,CK32+CK32*(F_MR/12)),CK32)</f>
        <v>0</v>
      </c>
      <c r="CM32" s="1" t="n">
        <f aca="false">IF(CL32&gt;PR_BalDone,CL32+CL32*(F_MR/12)-MIN(F_MortPayM,CL32+CL32*(F_MR/12)),CL32)</f>
        <v>0</v>
      </c>
      <c r="CN32" s="1" t="n">
        <f aca="false">IF(CM32&gt;PR_BalDone,CM32+CM32*(F_MR/12)-MIN(F_MortPayM,CM32+CM32*(F_MR/12)),CM32)</f>
        <v>0</v>
      </c>
      <c r="CO32" s="1" t="n">
        <f aca="false">IF(CN32&gt;PR_BalDone,CN32+CN32*(F_MR/12)-MIN(F_MortPayM,CN32+CN32*(F_MR/12)),CN32)</f>
        <v>0</v>
      </c>
      <c r="CP32" s="1" t="n">
        <f aca="false">IF(CO32&gt;PR_BalDone,CO32+CO32*(F_MR/12)-MIN(F_MortPayM,CO32+CO32*(F_MR/12)),CO32)</f>
        <v>0</v>
      </c>
      <c r="CQ32" s="1" t="n">
        <f aca="false">IF(CP32&gt;PR_BalDone,CP32+CP32*(F_MR/12)-MIN(F_MortPayM,CP32+CP32*(F_MR/12)),CP32)</f>
        <v>0</v>
      </c>
      <c r="CR32" s="1" t="n">
        <f aca="false">IF(CQ32&gt;PR_BalDone,CQ32+CQ32*(F_MR/12)-MIN(F_MortPayM,CQ32+CQ32*(F_MR/12)),CQ32)</f>
        <v>0</v>
      </c>
      <c r="CS32" s="1" t="n">
        <f aca="false">IF(CF32&gt;PR_BalDone,MIN(F_MortPayM,CF32+CF32*(F_MR/12)),0)</f>
        <v>0</v>
      </c>
      <c r="CT32" s="1" t="n">
        <f aca="false">IF(CG32&gt;PR_BalDone,MIN(F_MortPayM,CG32+CG32*(F_MR/12)),0)</f>
        <v>0</v>
      </c>
      <c r="CU32" s="1" t="n">
        <f aca="false">IF(CH32&gt;PR_BalDone,MIN(F_MortPayM,CH32+CH32*(F_MR/12)),0)</f>
        <v>0</v>
      </c>
      <c r="CV32" s="1" t="n">
        <f aca="false">IF(CI32&gt;PR_BalDone,MIN(F_MortPayM,CI32+CI32*(F_MR/12)),0)</f>
        <v>0</v>
      </c>
      <c r="CW32" s="1" t="n">
        <f aca="false">IF(CJ32&gt;PR_BalDone,MIN(F_MortPayM,CJ32+CJ32*(F_MR/12)),0)</f>
        <v>0</v>
      </c>
      <c r="CX32" s="1" t="n">
        <f aca="false">IF(CK32&gt;PR_BalDone,MIN(F_MortPayM,CK32+CK32*(F_MR/12)),0)</f>
        <v>0</v>
      </c>
      <c r="CY32" s="1" t="n">
        <f aca="false">IF(CL32&gt;PR_BalDone,MIN(F_MortPayM,CL32+CL32*(F_MR/12)),0)</f>
        <v>0</v>
      </c>
      <c r="CZ32" s="1" t="n">
        <f aca="false">IF(CM32&gt;PR_BalDone,MIN(F_MortPayM,CM32+CM32*(F_MR/12)),0)</f>
        <v>0</v>
      </c>
      <c r="DA32" s="1" t="n">
        <f aca="false">IF(CN32&gt;PR_BalDone,MIN(F_MortPayM,CN32+CN32*(F_MR/12)),0)</f>
        <v>0</v>
      </c>
      <c r="DB32" s="1" t="n">
        <f aca="false">IF(CO32&gt;PR_BalDone,MIN(F_MortPayM,CO32+CO32*(F_MR/12)),0)</f>
        <v>0</v>
      </c>
      <c r="DC32" s="1" t="n">
        <f aca="false">IF(CP32&gt;PR_BalDone,MIN(F_MortPayM,CP32+CP32*(F_MR/12)),0)</f>
        <v>0</v>
      </c>
      <c r="DD32" s="1" t="n">
        <f aca="false">IF(CQ32&gt;PR_BalDone,MIN(F_MortPayM,CQ32+CQ32*(F_MR/12)),0)</f>
        <v>0</v>
      </c>
      <c r="DE32" s="1" t="n">
        <f aca="false">MAX(0,CR32)</f>
        <v>0</v>
      </c>
      <c r="DF32" s="1" t="n">
        <f aca="false">SUM(CS32:DD32)</f>
        <v>0</v>
      </c>
      <c r="DG32" s="1" t="n">
        <f aca="false">MAX(0,CF32)</f>
        <v>0</v>
      </c>
    </row>
    <row r="33" customFormat="false" ht="15" hidden="false" customHeight="true" outlineLevel="0" collapsed="false">
      <c r="B33" s="1" t="n">
        <v>25</v>
      </c>
      <c r="C33" s="1" t="n">
        <f aca="false">'Plan cashflow'!I33</f>
        <v>0</v>
      </c>
      <c r="D33" s="1" t="n">
        <f aca="false">IF(C33&gt;PR_BalDone,C33+C33*(F_MR/12)-MIN(F_MortPayM,C33+C33*(F_MR/12)),C33)</f>
        <v>0</v>
      </c>
      <c r="E33" s="1" t="n">
        <f aca="false">IF(D33&gt;PR_BalDone,D33+D33*(F_MR/12)-MIN(F_MortPayM,D33+D33*(F_MR/12)),D33)</f>
        <v>0</v>
      </c>
      <c r="F33" s="1" t="n">
        <f aca="false">IF(E33&gt;PR_BalDone,E33+E33*(F_MR/12)-MIN(F_MortPayM,E33+E33*(F_MR/12)),E33)</f>
        <v>0</v>
      </c>
      <c r="G33" s="1" t="n">
        <f aca="false">IF(F33&gt;PR_BalDone,F33+F33*(F_MR/12)-MIN(F_MortPayM,F33+F33*(F_MR/12)),F33)</f>
        <v>0</v>
      </c>
      <c r="H33" s="1" t="n">
        <f aca="false">IF(G33&gt;PR_BalDone,G33+G33*(F_MR/12)-MIN(F_MortPayM,G33+G33*(F_MR/12)),G33)</f>
        <v>0</v>
      </c>
      <c r="I33" s="1" t="n">
        <f aca="false">IF(H33&gt;PR_BalDone,H33+H33*(F_MR/12)-MIN(F_MortPayM,H33+H33*(F_MR/12)),H33)</f>
        <v>0</v>
      </c>
      <c r="J33" s="1" t="n">
        <f aca="false">IF(I33&gt;PR_BalDone,I33+I33*(F_MR/12)-MIN(F_MortPayM,I33+I33*(F_MR/12)),I33)</f>
        <v>0</v>
      </c>
      <c r="K33" s="1" t="n">
        <f aca="false">IF(J33&gt;PR_BalDone,J33+J33*(F_MR/12)-MIN(F_MortPayM,J33+J33*(F_MR/12)),J33)</f>
        <v>0</v>
      </c>
      <c r="L33" s="1" t="n">
        <f aca="false">IF(K33&gt;PR_BalDone,K33+K33*(F_MR/12)-MIN(F_MortPayM,K33+K33*(F_MR/12)),K33)</f>
        <v>0</v>
      </c>
      <c r="M33" s="1" t="n">
        <f aca="false">IF(L33&gt;PR_BalDone,L33+L33*(F_MR/12)-MIN(F_MortPayM,L33+L33*(F_MR/12)),L33)</f>
        <v>0</v>
      </c>
      <c r="N33" s="1" t="n">
        <f aca="false">IF(M33&gt;PR_BalDone,M33+M33*(F_MR/12)-MIN(F_MortPayM,M33+M33*(F_MR/12)),M33)</f>
        <v>0</v>
      </c>
      <c r="O33" s="1" t="n">
        <f aca="false">IF(N33&gt;PR_BalDone,N33+N33*(F_MR/12)-MIN(F_MortPayM,N33+N33*(F_MR/12)),N33)</f>
        <v>0</v>
      </c>
      <c r="P33" s="1" t="n">
        <f aca="false">IF(C33&gt;PR_BalDone,MIN(F_MortPayM,C33+C33*(F_MR/12)),0)</f>
        <v>0</v>
      </c>
      <c r="Q33" s="1" t="n">
        <f aca="false">IF(D33&gt;PR_BalDone,MIN(F_MortPayM,D33+D33*(F_MR/12)),0)</f>
        <v>0</v>
      </c>
      <c r="R33" s="1" t="n">
        <f aca="false">IF(E33&gt;PR_BalDone,MIN(F_MortPayM,E33+E33*(F_MR/12)),0)</f>
        <v>0</v>
      </c>
      <c r="S33" s="1" t="n">
        <f aca="false">IF(F33&gt;PR_BalDone,MIN(F_MortPayM,F33+F33*(F_MR/12)),0)</f>
        <v>0</v>
      </c>
      <c r="T33" s="1" t="n">
        <f aca="false">IF(G33&gt;PR_BalDone,MIN(F_MortPayM,G33+G33*(F_MR/12)),0)</f>
        <v>0</v>
      </c>
      <c r="U33" s="1" t="n">
        <f aca="false">IF(H33&gt;PR_BalDone,MIN(F_MortPayM,H33+H33*(F_MR/12)),0)</f>
        <v>0</v>
      </c>
      <c r="V33" s="1" t="n">
        <f aca="false">IF(I33&gt;PR_BalDone,MIN(F_MortPayM,I33+I33*(F_MR/12)),0)</f>
        <v>0</v>
      </c>
      <c r="W33" s="1" t="n">
        <f aca="false">IF(J33&gt;PR_BalDone,MIN(F_MortPayM,J33+J33*(F_MR/12)),0)</f>
        <v>0</v>
      </c>
      <c r="X33" s="1" t="n">
        <f aca="false">IF(K33&gt;PR_BalDone,MIN(F_MortPayM,K33+K33*(F_MR/12)),0)</f>
        <v>0</v>
      </c>
      <c r="Y33" s="1" t="n">
        <f aca="false">IF(L33&gt;PR_BalDone,MIN(F_MortPayM,L33+L33*(F_MR/12)),0)</f>
        <v>0</v>
      </c>
      <c r="Z33" s="1" t="n">
        <f aca="false">IF(M33&gt;PR_BalDone,MIN(F_MortPayM,M33+M33*(F_MR/12)),0)</f>
        <v>0</v>
      </c>
      <c r="AA33" s="1" t="n">
        <f aca="false">IF(N33&gt;PR_BalDone,MIN(F_MortPayM,N33+N33*(F_MR/12)),0)</f>
        <v>0</v>
      </c>
      <c r="AB33" s="1" t="n">
        <f aca="false">MAX(0,O33)</f>
        <v>0</v>
      </c>
      <c r="AC33" s="1" t="n">
        <f aca="false">SUM(P33:AA33)</f>
        <v>0</v>
      </c>
      <c r="AD33" s="1" t="n">
        <f aca="false">'Plan cashflow'!L33</f>
        <v>0</v>
      </c>
      <c r="AE33" s="1" t="n">
        <f aca="false">IF(AD33&gt;PR_BalDone,AD33+AD33*(D_iC)-MIN(F_CardPayM,AD33+AD33*(D_iC)),AD33)</f>
        <v>0</v>
      </c>
      <c r="AF33" s="1" t="n">
        <f aca="false">IF(AE33&gt;PR_BalDone,AE33+AE33*(D_iC)-MIN(F_CardPayM,AE33+AE33*(D_iC)),AE33)</f>
        <v>0</v>
      </c>
      <c r="AG33" s="1" t="n">
        <f aca="false">IF(AF33&gt;PR_BalDone,AF33+AF33*(D_iC)-MIN(F_CardPayM,AF33+AF33*(D_iC)),AF33)</f>
        <v>0</v>
      </c>
      <c r="AH33" s="1" t="n">
        <f aca="false">IF(AG33&gt;PR_BalDone,AG33+AG33*(D_iC)-MIN(F_CardPayM,AG33+AG33*(D_iC)),AG33)</f>
        <v>0</v>
      </c>
      <c r="AI33" s="1" t="n">
        <f aca="false">IF(AH33&gt;PR_BalDone,AH33+AH33*(D_iC)-MIN(F_CardPayM,AH33+AH33*(D_iC)),AH33)</f>
        <v>0</v>
      </c>
      <c r="AJ33" s="1" t="n">
        <f aca="false">IF(AI33&gt;PR_BalDone,AI33+AI33*(D_iC)-MIN(F_CardPayM,AI33+AI33*(D_iC)),AI33)</f>
        <v>0</v>
      </c>
      <c r="AK33" s="1" t="n">
        <f aca="false">IF(AJ33&gt;PR_BalDone,AJ33+AJ33*(D_iC)-MIN(F_CardPayM,AJ33+AJ33*(D_iC)),AJ33)</f>
        <v>0</v>
      </c>
      <c r="AL33" s="1" t="n">
        <f aca="false">IF(AK33&gt;PR_BalDone,AK33+AK33*(D_iC)-MIN(F_CardPayM,AK33+AK33*(D_iC)),AK33)</f>
        <v>0</v>
      </c>
      <c r="AM33" s="1" t="n">
        <f aca="false">IF(AL33&gt;PR_BalDone,AL33+AL33*(D_iC)-MIN(F_CardPayM,AL33+AL33*(D_iC)),AL33)</f>
        <v>0</v>
      </c>
      <c r="AN33" s="1" t="n">
        <f aca="false">IF(AM33&gt;PR_BalDone,AM33+AM33*(D_iC)-MIN(F_CardPayM,AM33+AM33*(D_iC)),AM33)</f>
        <v>0</v>
      </c>
      <c r="AO33" s="1" t="n">
        <f aca="false">IF(AN33&gt;PR_BalDone,AN33+AN33*(D_iC)-MIN(F_CardPayM,AN33+AN33*(D_iC)),AN33)</f>
        <v>0</v>
      </c>
      <c r="AP33" s="1" t="n">
        <f aca="false">IF(AO33&gt;PR_BalDone,AO33+AO33*(D_iC)-MIN(F_CardPayM,AO33+AO33*(D_iC)),AO33)</f>
        <v>0</v>
      </c>
      <c r="AQ33" s="1" t="n">
        <f aca="false">IF(AD33&gt;PR_BalDone,MIN(F_CardPayM,AD33+AD33*(D_iC)),0)</f>
        <v>0</v>
      </c>
      <c r="AR33" s="1" t="n">
        <f aca="false">IF(AE33&gt;PR_BalDone,MIN(F_CardPayM,AE33+AE33*(D_iC)),0)</f>
        <v>0</v>
      </c>
      <c r="AS33" s="1" t="n">
        <f aca="false">IF(AF33&gt;PR_BalDone,MIN(F_CardPayM,AF33+AF33*(D_iC)),0)</f>
        <v>0</v>
      </c>
      <c r="AT33" s="1" t="n">
        <f aca="false">IF(AG33&gt;PR_BalDone,MIN(F_CardPayM,AG33+AG33*(D_iC)),0)</f>
        <v>0</v>
      </c>
      <c r="AU33" s="1" t="n">
        <f aca="false">IF(AH33&gt;PR_BalDone,MIN(F_CardPayM,AH33+AH33*(D_iC)),0)</f>
        <v>0</v>
      </c>
      <c r="AV33" s="1" t="n">
        <f aca="false">IF(AI33&gt;PR_BalDone,MIN(F_CardPayM,AI33+AI33*(D_iC)),0)</f>
        <v>0</v>
      </c>
      <c r="AW33" s="1" t="n">
        <f aca="false">IF(AJ33&gt;PR_BalDone,MIN(F_CardPayM,AJ33+AJ33*(D_iC)),0)</f>
        <v>0</v>
      </c>
      <c r="AX33" s="1" t="n">
        <f aca="false">IF(AK33&gt;PR_BalDone,MIN(F_CardPayM,AK33+AK33*(D_iC)),0)</f>
        <v>0</v>
      </c>
      <c r="AY33" s="1" t="n">
        <f aca="false">IF(AL33&gt;PR_BalDone,MIN(F_CardPayM,AL33+AL33*(D_iC)),0)</f>
        <v>0</v>
      </c>
      <c r="AZ33" s="1" t="n">
        <f aca="false">IF(AM33&gt;PR_BalDone,MIN(F_CardPayM,AM33+AM33*(D_iC)),0)</f>
        <v>0</v>
      </c>
      <c r="BA33" s="1" t="n">
        <f aca="false">IF(AN33&gt;PR_BalDone,MIN(F_CardPayM,AN33+AN33*(D_iC)),0)</f>
        <v>0</v>
      </c>
      <c r="BB33" s="1" t="n">
        <f aca="false">IF(AO33&gt;PR_BalDone,MIN(F_CardPayM,AO33+AO33*(D_iC)),0)</f>
        <v>0</v>
      </c>
      <c r="BC33" s="1" t="n">
        <f aca="false">MAX(0,AP33)</f>
        <v>0</v>
      </c>
      <c r="BD33" s="1" t="n">
        <f aca="false">SUM(AQ33:BB33)</f>
        <v>0</v>
      </c>
      <c r="BE33" s="1" t="n">
        <f aca="false">'Plan cashflow'!O33</f>
        <v>0</v>
      </c>
      <c r="BF33" s="1" t="n">
        <f aca="false">IF(BE33&gt;PR_BalDone,BE33+BE33*(D_iL)-MIN(F_LoanPayM,BE33+BE33*(D_iL)),BE33)</f>
        <v>0</v>
      </c>
      <c r="BG33" s="1" t="n">
        <f aca="false">IF(BF33&gt;PR_BalDone,BF33+BF33*(D_iL)-MIN(F_LoanPayM,BF33+BF33*(D_iL)),BF33)</f>
        <v>0</v>
      </c>
      <c r="BH33" s="1" t="n">
        <f aca="false">IF(BG33&gt;PR_BalDone,BG33+BG33*(D_iL)-MIN(F_LoanPayM,BG33+BG33*(D_iL)),BG33)</f>
        <v>0</v>
      </c>
      <c r="BI33" s="1" t="n">
        <f aca="false">IF(BH33&gt;PR_BalDone,BH33+BH33*(D_iL)-MIN(F_LoanPayM,BH33+BH33*(D_iL)),BH33)</f>
        <v>0</v>
      </c>
      <c r="BJ33" s="1" t="n">
        <f aca="false">IF(BI33&gt;PR_BalDone,BI33+BI33*(D_iL)-MIN(F_LoanPayM,BI33+BI33*(D_iL)),BI33)</f>
        <v>0</v>
      </c>
      <c r="BK33" s="1" t="n">
        <f aca="false">IF(BJ33&gt;PR_BalDone,BJ33+BJ33*(D_iL)-MIN(F_LoanPayM,BJ33+BJ33*(D_iL)),BJ33)</f>
        <v>0</v>
      </c>
      <c r="BL33" s="1" t="n">
        <f aca="false">IF(BK33&gt;PR_BalDone,BK33+BK33*(D_iL)-MIN(F_LoanPayM,BK33+BK33*(D_iL)),BK33)</f>
        <v>0</v>
      </c>
      <c r="BM33" s="1" t="n">
        <f aca="false">IF(BL33&gt;PR_BalDone,BL33+BL33*(D_iL)-MIN(F_LoanPayM,BL33+BL33*(D_iL)),BL33)</f>
        <v>0</v>
      </c>
      <c r="BN33" s="1" t="n">
        <f aca="false">IF(BM33&gt;PR_BalDone,BM33+BM33*(D_iL)-MIN(F_LoanPayM,BM33+BM33*(D_iL)),BM33)</f>
        <v>0</v>
      </c>
      <c r="BO33" s="1" t="n">
        <f aca="false">IF(BN33&gt;PR_BalDone,BN33+BN33*(D_iL)-MIN(F_LoanPayM,BN33+BN33*(D_iL)),BN33)</f>
        <v>0</v>
      </c>
      <c r="BP33" s="1" t="n">
        <f aca="false">IF(BO33&gt;PR_BalDone,BO33+BO33*(D_iL)-MIN(F_LoanPayM,BO33+BO33*(D_iL)),BO33)</f>
        <v>0</v>
      </c>
      <c r="BQ33" s="1" t="n">
        <f aca="false">IF(BP33&gt;PR_BalDone,BP33+BP33*(D_iL)-MIN(F_LoanPayM,BP33+BP33*(D_iL)),BP33)</f>
        <v>0</v>
      </c>
      <c r="BR33" s="1" t="n">
        <f aca="false">IF(BE33&gt;PR_BalDone,MIN(F_LoanPayM,BE33+BE33*(D_iL)),0)</f>
        <v>0</v>
      </c>
      <c r="BS33" s="1" t="n">
        <f aca="false">IF(BF33&gt;PR_BalDone,MIN(F_LoanPayM,BF33+BF33*(D_iL)),0)</f>
        <v>0</v>
      </c>
      <c r="BT33" s="1" t="n">
        <f aca="false">IF(BG33&gt;PR_BalDone,MIN(F_LoanPayM,BG33+BG33*(D_iL)),0)</f>
        <v>0</v>
      </c>
      <c r="BU33" s="1" t="n">
        <f aca="false">IF(BH33&gt;PR_BalDone,MIN(F_LoanPayM,BH33+BH33*(D_iL)),0)</f>
        <v>0</v>
      </c>
      <c r="BV33" s="1" t="n">
        <f aca="false">IF(BI33&gt;PR_BalDone,MIN(F_LoanPayM,BI33+BI33*(D_iL)),0)</f>
        <v>0</v>
      </c>
      <c r="BW33" s="1" t="n">
        <f aca="false">IF(BJ33&gt;PR_BalDone,MIN(F_LoanPayM,BJ33+BJ33*(D_iL)),0)</f>
        <v>0</v>
      </c>
      <c r="BX33" s="1" t="n">
        <f aca="false">IF(BK33&gt;PR_BalDone,MIN(F_LoanPayM,BK33+BK33*(D_iL)),0)</f>
        <v>0</v>
      </c>
      <c r="BY33" s="1" t="n">
        <f aca="false">IF(BL33&gt;PR_BalDone,MIN(F_LoanPayM,BL33+BL33*(D_iL)),0)</f>
        <v>0</v>
      </c>
      <c r="BZ33" s="1" t="n">
        <f aca="false">IF(BM33&gt;PR_BalDone,MIN(F_LoanPayM,BM33+BM33*(D_iL)),0)</f>
        <v>0</v>
      </c>
      <c r="CA33" s="1" t="n">
        <f aca="false">IF(BN33&gt;PR_BalDone,MIN(F_LoanPayM,BN33+BN33*(D_iL)),0)</f>
        <v>0</v>
      </c>
      <c r="CB33" s="1" t="n">
        <f aca="false">IF(BO33&gt;PR_BalDone,MIN(F_LoanPayM,BO33+BO33*(D_iL)),0)</f>
        <v>0</v>
      </c>
      <c r="CC33" s="1" t="n">
        <f aca="false">IF(BP33&gt;PR_BalDone,MIN(F_LoanPayM,BP33+BP33*(D_iL)),0)</f>
        <v>0</v>
      </c>
      <c r="CD33" s="1" t="n">
        <f aca="false">MAX(0,BQ33)</f>
        <v>0</v>
      </c>
      <c r="CE33" s="1" t="n">
        <f aca="false">SUM(BR33:CC33)</f>
        <v>0</v>
      </c>
      <c r="CF33" s="1" t="n">
        <f aca="false">IF(CF32&gt;1,DE32,CF32)</f>
        <v>0</v>
      </c>
      <c r="CG33" s="1" t="n">
        <f aca="false">IF(CF33&gt;PR_BalDone,CF33+CF33*(F_MR/12)-MIN(F_MortPayM,CF33+CF33*(F_MR/12)),CF33)</f>
        <v>0</v>
      </c>
      <c r="CH33" s="1" t="n">
        <f aca="false">IF(CG33&gt;PR_BalDone,CG33+CG33*(F_MR/12)-MIN(F_MortPayM,CG33+CG33*(F_MR/12)),CG33)</f>
        <v>0</v>
      </c>
      <c r="CI33" s="1" t="n">
        <f aca="false">IF(CH33&gt;PR_BalDone,CH33+CH33*(F_MR/12)-MIN(F_MortPayM,CH33+CH33*(F_MR/12)),CH33)</f>
        <v>0</v>
      </c>
      <c r="CJ33" s="1" t="n">
        <f aca="false">IF(CI33&gt;PR_BalDone,CI33+CI33*(F_MR/12)-MIN(F_MortPayM,CI33+CI33*(F_MR/12)),CI33)</f>
        <v>0</v>
      </c>
      <c r="CK33" s="1" t="n">
        <f aca="false">IF(CJ33&gt;PR_BalDone,CJ33+CJ33*(F_MR/12)-MIN(F_MortPayM,CJ33+CJ33*(F_MR/12)),CJ33)</f>
        <v>0</v>
      </c>
      <c r="CL33" s="1" t="n">
        <f aca="false">IF(CK33&gt;PR_BalDone,CK33+CK33*(F_MR/12)-MIN(F_MortPayM,CK33+CK33*(F_MR/12)),CK33)</f>
        <v>0</v>
      </c>
      <c r="CM33" s="1" t="n">
        <f aca="false">IF(CL33&gt;PR_BalDone,CL33+CL33*(F_MR/12)-MIN(F_MortPayM,CL33+CL33*(F_MR/12)),CL33)</f>
        <v>0</v>
      </c>
      <c r="CN33" s="1" t="n">
        <f aca="false">IF(CM33&gt;PR_BalDone,CM33+CM33*(F_MR/12)-MIN(F_MortPayM,CM33+CM33*(F_MR/12)),CM33)</f>
        <v>0</v>
      </c>
      <c r="CO33" s="1" t="n">
        <f aca="false">IF(CN33&gt;PR_BalDone,CN33+CN33*(F_MR/12)-MIN(F_MortPayM,CN33+CN33*(F_MR/12)),CN33)</f>
        <v>0</v>
      </c>
      <c r="CP33" s="1" t="n">
        <f aca="false">IF(CO33&gt;PR_BalDone,CO33+CO33*(F_MR/12)-MIN(F_MortPayM,CO33+CO33*(F_MR/12)),CO33)</f>
        <v>0</v>
      </c>
      <c r="CQ33" s="1" t="n">
        <f aca="false">IF(CP33&gt;PR_BalDone,CP33+CP33*(F_MR/12)-MIN(F_MortPayM,CP33+CP33*(F_MR/12)),CP33)</f>
        <v>0</v>
      </c>
      <c r="CR33" s="1" t="n">
        <f aca="false">IF(CQ33&gt;PR_BalDone,CQ33+CQ33*(F_MR/12)-MIN(F_MortPayM,CQ33+CQ33*(F_MR/12)),CQ33)</f>
        <v>0</v>
      </c>
      <c r="CS33" s="1" t="n">
        <f aca="false">IF(CF33&gt;PR_BalDone,MIN(F_MortPayM,CF33+CF33*(F_MR/12)),0)</f>
        <v>0</v>
      </c>
      <c r="CT33" s="1" t="n">
        <f aca="false">IF(CG33&gt;PR_BalDone,MIN(F_MortPayM,CG33+CG33*(F_MR/12)),0)</f>
        <v>0</v>
      </c>
      <c r="CU33" s="1" t="n">
        <f aca="false">IF(CH33&gt;PR_BalDone,MIN(F_MortPayM,CH33+CH33*(F_MR/12)),0)</f>
        <v>0</v>
      </c>
      <c r="CV33" s="1" t="n">
        <f aca="false">IF(CI33&gt;PR_BalDone,MIN(F_MortPayM,CI33+CI33*(F_MR/12)),0)</f>
        <v>0</v>
      </c>
      <c r="CW33" s="1" t="n">
        <f aca="false">IF(CJ33&gt;PR_BalDone,MIN(F_MortPayM,CJ33+CJ33*(F_MR/12)),0)</f>
        <v>0</v>
      </c>
      <c r="CX33" s="1" t="n">
        <f aca="false">IF(CK33&gt;PR_BalDone,MIN(F_MortPayM,CK33+CK33*(F_MR/12)),0)</f>
        <v>0</v>
      </c>
      <c r="CY33" s="1" t="n">
        <f aca="false">IF(CL33&gt;PR_BalDone,MIN(F_MortPayM,CL33+CL33*(F_MR/12)),0)</f>
        <v>0</v>
      </c>
      <c r="CZ33" s="1" t="n">
        <f aca="false">IF(CM33&gt;PR_BalDone,MIN(F_MortPayM,CM33+CM33*(F_MR/12)),0)</f>
        <v>0</v>
      </c>
      <c r="DA33" s="1" t="n">
        <f aca="false">IF(CN33&gt;PR_BalDone,MIN(F_MortPayM,CN33+CN33*(F_MR/12)),0)</f>
        <v>0</v>
      </c>
      <c r="DB33" s="1" t="n">
        <f aca="false">IF(CO33&gt;PR_BalDone,MIN(F_MortPayM,CO33+CO33*(F_MR/12)),0)</f>
        <v>0</v>
      </c>
      <c r="DC33" s="1" t="n">
        <f aca="false">IF(CP33&gt;PR_BalDone,MIN(F_MortPayM,CP33+CP33*(F_MR/12)),0)</f>
        <v>0</v>
      </c>
      <c r="DD33" s="1" t="n">
        <f aca="false">IF(CQ33&gt;PR_BalDone,MIN(F_MortPayM,CQ33+CQ33*(F_MR/12)),0)</f>
        <v>0</v>
      </c>
      <c r="DE33" s="1" t="n">
        <f aca="false">MAX(0,CR33)</f>
        <v>0</v>
      </c>
      <c r="DF33" s="1" t="n">
        <f aca="false">SUM(CS33:DD33)</f>
        <v>0</v>
      </c>
      <c r="DG33" s="1" t="n">
        <f aca="false">MAX(0,CF33)</f>
        <v>0</v>
      </c>
    </row>
    <row r="34" customFormat="false" ht="15" hidden="false" customHeight="true" outlineLevel="0" collapsed="false">
      <c r="B34" s="1" t="n">
        <v>26</v>
      </c>
      <c r="C34" s="1" t="n">
        <f aca="false">'Plan cashflow'!I34</f>
        <v>0</v>
      </c>
      <c r="D34" s="1" t="n">
        <f aca="false">IF(C34&gt;PR_BalDone,C34+C34*(F_MR/12)-MIN(F_MortPayM,C34+C34*(F_MR/12)),C34)</f>
        <v>0</v>
      </c>
      <c r="E34" s="1" t="n">
        <f aca="false">IF(D34&gt;PR_BalDone,D34+D34*(F_MR/12)-MIN(F_MortPayM,D34+D34*(F_MR/12)),D34)</f>
        <v>0</v>
      </c>
      <c r="F34" s="1" t="n">
        <f aca="false">IF(E34&gt;PR_BalDone,E34+E34*(F_MR/12)-MIN(F_MortPayM,E34+E34*(F_MR/12)),E34)</f>
        <v>0</v>
      </c>
      <c r="G34" s="1" t="n">
        <f aca="false">IF(F34&gt;PR_BalDone,F34+F34*(F_MR/12)-MIN(F_MortPayM,F34+F34*(F_MR/12)),F34)</f>
        <v>0</v>
      </c>
      <c r="H34" s="1" t="n">
        <f aca="false">IF(G34&gt;PR_BalDone,G34+G34*(F_MR/12)-MIN(F_MortPayM,G34+G34*(F_MR/12)),G34)</f>
        <v>0</v>
      </c>
      <c r="I34" s="1" t="n">
        <f aca="false">IF(H34&gt;PR_BalDone,H34+H34*(F_MR/12)-MIN(F_MortPayM,H34+H34*(F_MR/12)),H34)</f>
        <v>0</v>
      </c>
      <c r="J34" s="1" t="n">
        <f aca="false">IF(I34&gt;PR_BalDone,I34+I34*(F_MR/12)-MIN(F_MortPayM,I34+I34*(F_MR/12)),I34)</f>
        <v>0</v>
      </c>
      <c r="K34" s="1" t="n">
        <f aca="false">IF(J34&gt;PR_BalDone,J34+J34*(F_MR/12)-MIN(F_MortPayM,J34+J34*(F_MR/12)),J34)</f>
        <v>0</v>
      </c>
      <c r="L34" s="1" t="n">
        <f aca="false">IF(K34&gt;PR_BalDone,K34+K34*(F_MR/12)-MIN(F_MortPayM,K34+K34*(F_MR/12)),K34)</f>
        <v>0</v>
      </c>
      <c r="M34" s="1" t="n">
        <f aca="false">IF(L34&gt;PR_BalDone,L34+L34*(F_MR/12)-MIN(F_MortPayM,L34+L34*(F_MR/12)),L34)</f>
        <v>0</v>
      </c>
      <c r="N34" s="1" t="n">
        <f aca="false">IF(M34&gt;PR_BalDone,M34+M34*(F_MR/12)-MIN(F_MortPayM,M34+M34*(F_MR/12)),M34)</f>
        <v>0</v>
      </c>
      <c r="O34" s="1" t="n">
        <f aca="false">IF(N34&gt;PR_BalDone,N34+N34*(F_MR/12)-MIN(F_MortPayM,N34+N34*(F_MR/12)),N34)</f>
        <v>0</v>
      </c>
      <c r="P34" s="1" t="n">
        <f aca="false">IF(C34&gt;PR_BalDone,MIN(F_MortPayM,C34+C34*(F_MR/12)),0)</f>
        <v>0</v>
      </c>
      <c r="Q34" s="1" t="n">
        <f aca="false">IF(D34&gt;PR_BalDone,MIN(F_MortPayM,D34+D34*(F_MR/12)),0)</f>
        <v>0</v>
      </c>
      <c r="R34" s="1" t="n">
        <f aca="false">IF(E34&gt;PR_BalDone,MIN(F_MortPayM,E34+E34*(F_MR/12)),0)</f>
        <v>0</v>
      </c>
      <c r="S34" s="1" t="n">
        <f aca="false">IF(F34&gt;PR_BalDone,MIN(F_MortPayM,F34+F34*(F_MR/12)),0)</f>
        <v>0</v>
      </c>
      <c r="T34" s="1" t="n">
        <f aca="false">IF(G34&gt;PR_BalDone,MIN(F_MortPayM,G34+G34*(F_MR/12)),0)</f>
        <v>0</v>
      </c>
      <c r="U34" s="1" t="n">
        <f aca="false">IF(H34&gt;PR_BalDone,MIN(F_MortPayM,H34+H34*(F_MR/12)),0)</f>
        <v>0</v>
      </c>
      <c r="V34" s="1" t="n">
        <f aca="false">IF(I34&gt;PR_BalDone,MIN(F_MortPayM,I34+I34*(F_MR/12)),0)</f>
        <v>0</v>
      </c>
      <c r="W34" s="1" t="n">
        <f aca="false">IF(J34&gt;PR_BalDone,MIN(F_MortPayM,J34+J34*(F_MR/12)),0)</f>
        <v>0</v>
      </c>
      <c r="X34" s="1" t="n">
        <f aca="false">IF(K34&gt;PR_BalDone,MIN(F_MortPayM,K34+K34*(F_MR/12)),0)</f>
        <v>0</v>
      </c>
      <c r="Y34" s="1" t="n">
        <f aca="false">IF(L34&gt;PR_BalDone,MIN(F_MortPayM,L34+L34*(F_MR/12)),0)</f>
        <v>0</v>
      </c>
      <c r="Z34" s="1" t="n">
        <f aca="false">IF(M34&gt;PR_BalDone,MIN(F_MortPayM,M34+M34*(F_MR/12)),0)</f>
        <v>0</v>
      </c>
      <c r="AA34" s="1" t="n">
        <f aca="false">IF(N34&gt;PR_BalDone,MIN(F_MortPayM,N34+N34*(F_MR/12)),0)</f>
        <v>0</v>
      </c>
      <c r="AB34" s="1" t="n">
        <f aca="false">MAX(0,O34)</f>
        <v>0</v>
      </c>
      <c r="AC34" s="1" t="n">
        <f aca="false">SUM(P34:AA34)</f>
        <v>0</v>
      </c>
      <c r="AD34" s="1" t="n">
        <f aca="false">'Plan cashflow'!L34</f>
        <v>0</v>
      </c>
      <c r="AE34" s="1" t="n">
        <f aca="false">IF(AD34&gt;PR_BalDone,AD34+AD34*(D_iC)-MIN(F_CardPayM,AD34+AD34*(D_iC)),AD34)</f>
        <v>0</v>
      </c>
      <c r="AF34" s="1" t="n">
        <f aca="false">IF(AE34&gt;PR_BalDone,AE34+AE34*(D_iC)-MIN(F_CardPayM,AE34+AE34*(D_iC)),AE34)</f>
        <v>0</v>
      </c>
      <c r="AG34" s="1" t="n">
        <f aca="false">IF(AF34&gt;PR_BalDone,AF34+AF34*(D_iC)-MIN(F_CardPayM,AF34+AF34*(D_iC)),AF34)</f>
        <v>0</v>
      </c>
      <c r="AH34" s="1" t="n">
        <f aca="false">IF(AG34&gt;PR_BalDone,AG34+AG34*(D_iC)-MIN(F_CardPayM,AG34+AG34*(D_iC)),AG34)</f>
        <v>0</v>
      </c>
      <c r="AI34" s="1" t="n">
        <f aca="false">IF(AH34&gt;PR_BalDone,AH34+AH34*(D_iC)-MIN(F_CardPayM,AH34+AH34*(D_iC)),AH34)</f>
        <v>0</v>
      </c>
      <c r="AJ34" s="1" t="n">
        <f aca="false">IF(AI34&gt;PR_BalDone,AI34+AI34*(D_iC)-MIN(F_CardPayM,AI34+AI34*(D_iC)),AI34)</f>
        <v>0</v>
      </c>
      <c r="AK34" s="1" t="n">
        <f aca="false">IF(AJ34&gt;PR_BalDone,AJ34+AJ34*(D_iC)-MIN(F_CardPayM,AJ34+AJ34*(D_iC)),AJ34)</f>
        <v>0</v>
      </c>
      <c r="AL34" s="1" t="n">
        <f aca="false">IF(AK34&gt;PR_BalDone,AK34+AK34*(D_iC)-MIN(F_CardPayM,AK34+AK34*(D_iC)),AK34)</f>
        <v>0</v>
      </c>
      <c r="AM34" s="1" t="n">
        <f aca="false">IF(AL34&gt;PR_BalDone,AL34+AL34*(D_iC)-MIN(F_CardPayM,AL34+AL34*(D_iC)),AL34)</f>
        <v>0</v>
      </c>
      <c r="AN34" s="1" t="n">
        <f aca="false">IF(AM34&gt;PR_BalDone,AM34+AM34*(D_iC)-MIN(F_CardPayM,AM34+AM34*(D_iC)),AM34)</f>
        <v>0</v>
      </c>
      <c r="AO34" s="1" t="n">
        <f aca="false">IF(AN34&gt;PR_BalDone,AN34+AN34*(D_iC)-MIN(F_CardPayM,AN34+AN34*(D_iC)),AN34)</f>
        <v>0</v>
      </c>
      <c r="AP34" s="1" t="n">
        <f aca="false">IF(AO34&gt;PR_BalDone,AO34+AO34*(D_iC)-MIN(F_CardPayM,AO34+AO34*(D_iC)),AO34)</f>
        <v>0</v>
      </c>
      <c r="AQ34" s="1" t="n">
        <f aca="false">IF(AD34&gt;PR_BalDone,MIN(F_CardPayM,AD34+AD34*(D_iC)),0)</f>
        <v>0</v>
      </c>
      <c r="AR34" s="1" t="n">
        <f aca="false">IF(AE34&gt;PR_BalDone,MIN(F_CardPayM,AE34+AE34*(D_iC)),0)</f>
        <v>0</v>
      </c>
      <c r="AS34" s="1" t="n">
        <f aca="false">IF(AF34&gt;PR_BalDone,MIN(F_CardPayM,AF34+AF34*(D_iC)),0)</f>
        <v>0</v>
      </c>
      <c r="AT34" s="1" t="n">
        <f aca="false">IF(AG34&gt;PR_BalDone,MIN(F_CardPayM,AG34+AG34*(D_iC)),0)</f>
        <v>0</v>
      </c>
      <c r="AU34" s="1" t="n">
        <f aca="false">IF(AH34&gt;PR_BalDone,MIN(F_CardPayM,AH34+AH34*(D_iC)),0)</f>
        <v>0</v>
      </c>
      <c r="AV34" s="1" t="n">
        <f aca="false">IF(AI34&gt;PR_BalDone,MIN(F_CardPayM,AI34+AI34*(D_iC)),0)</f>
        <v>0</v>
      </c>
      <c r="AW34" s="1" t="n">
        <f aca="false">IF(AJ34&gt;PR_BalDone,MIN(F_CardPayM,AJ34+AJ34*(D_iC)),0)</f>
        <v>0</v>
      </c>
      <c r="AX34" s="1" t="n">
        <f aca="false">IF(AK34&gt;PR_BalDone,MIN(F_CardPayM,AK34+AK34*(D_iC)),0)</f>
        <v>0</v>
      </c>
      <c r="AY34" s="1" t="n">
        <f aca="false">IF(AL34&gt;PR_BalDone,MIN(F_CardPayM,AL34+AL34*(D_iC)),0)</f>
        <v>0</v>
      </c>
      <c r="AZ34" s="1" t="n">
        <f aca="false">IF(AM34&gt;PR_BalDone,MIN(F_CardPayM,AM34+AM34*(D_iC)),0)</f>
        <v>0</v>
      </c>
      <c r="BA34" s="1" t="n">
        <f aca="false">IF(AN34&gt;PR_BalDone,MIN(F_CardPayM,AN34+AN34*(D_iC)),0)</f>
        <v>0</v>
      </c>
      <c r="BB34" s="1" t="n">
        <f aca="false">IF(AO34&gt;PR_BalDone,MIN(F_CardPayM,AO34+AO34*(D_iC)),0)</f>
        <v>0</v>
      </c>
      <c r="BC34" s="1" t="n">
        <f aca="false">MAX(0,AP34)</f>
        <v>0</v>
      </c>
      <c r="BD34" s="1" t="n">
        <f aca="false">SUM(AQ34:BB34)</f>
        <v>0</v>
      </c>
      <c r="BE34" s="1" t="n">
        <f aca="false">'Plan cashflow'!O34</f>
        <v>0</v>
      </c>
      <c r="BF34" s="1" t="n">
        <f aca="false">IF(BE34&gt;PR_BalDone,BE34+BE34*(D_iL)-MIN(F_LoanPayM,BE34+BE34*(D_iL)),BE34)</f>
        <v>0</v>
      </c>
      <c r="BG34" s="1" t="n">
        <f aca="false">IF(BF34&gt;PR_BalDone,BF34+BF34*(D_iL)-MIN(F_LoanPayM,BF34+BF34*(D_iL)),BF34)</f>
        <v>0</v>
      </c>
      <c r="BH34" s="1" t="n">
        <f aca="false">IF(BG34&gt;PR_BalDone,BG34+BG34*(D_iL)-MIN(F_LoanPayM,BG34+BG34*(D_iL)),BG34)</f>
        <v>0</v>
      </c>
      <c r="BI34" s="1" t="n">
        <f aca="false">IF(BH34&gt;PR_BalDone,BH34+BH34*(D_iL)-MIN(F_LoanPayM,BH34+BH34*(D_iL)),BH34)</f>
        <v>0</v>
      </c>
      <c r="BJ34" s="1" t="n">
        <f aca="false">IF(BI34&gt;PR_BalDone,BI34+BI34*(D_iL)-MIN(F_LoanPayM,BI34+BI34*(D_iL)),BI34)</f>
        <v>0</v>
      </c>
      <c r="BK34" s="1" t="n">
        <f aca="false">IF(BJ34&gt;PR_BalDone,BJ34+BJ34*(D_iL)-MIN(F_LoanPayM,BJ34+BJ34*(D_iL)),BJ34)</f>
        <v>0</v>
      </c>
      <c r="BL34" s="1" t="n">
        <f aca="false">IF(BK34&gt;PR_BalDone,BK34+BK34*(D_iL)-MIN(F_LoanPayM,BK34+BK34*(D_iL)),BK34)</f>
        <v>0</v>
      </c>
      <c r="BM34" s="1" t="n">
        <f aca="false">IF(BL34&gt;PR_BalDone,BL34+BL34*(D_iL)-MIN(F_LoanPayM,BL34+BL34*(D_iL)),BL34)</f>
        <v>0</v>
      </c>
      <c r="BN34" s="1" t="n">
        <f aca="false">IF(BM34&gt;PR_BalDone,BM34+BM34*(D_iL)-MIN(F_LoanPayM,BM34+BM34*(D_iL)),BM34)</f>
        <v>0</v>
      </c>
      <c r="BO34" s="1" t="n">
        <f aca="false">IF(BN34&gt;PR_BalDone,BN34+BN34*(D_iL)-MIN(F_LoanPayM,BN34+BN34*(D_iL)),BN34)</f>
        <v>0</v>
      </c>
      <c r="BP34" s="1" t="n">
        <f aca="false">IF(BO34&gt;PR_BalDone,BO34+BO34*(D_iL)-MIN(F_LoanPayM,BO34+BO34*(D_iL)),BO34)</f>
        <v>0</v>
      </c>
      <c r="BQ34" s="1" t="n">
        <f aca="false">IF(BP34&gt;PR_BalDone,BP34+BP34*(D_iL)-MIN(F_LoanPayM,BP34+BP34*(D_iL)),BP34)</f>
        <v>0</v>
      </c>
      <c r="BR34" s="1" t="n">
        <f aca="false">IF(BE34&gt;PR_BalDone,MIN(F_LoanPayM,BE34+BE34*(D_iL)),0)</f>
        <v>0</v>
      </c>
      <c r="BS34" s="1" t="n">
        <f aca="false">IF(BF34&gt;PR_BalDone,MIN(F_LoanPayM,BF34+BF34*(D_iL)),0)</f>
        <v>0</v>
      </c>
      <c r="BT34" s="1" t="n">
        <f aca="false">IF(BG34&gt;PR_BalDone,MIN(F_LoanPayM,BG34+BG34*(D_iL)),0)</f>
        <v>0</v>
      </c>
      <c r="BU34" s="1" t="n">
        <f aca="false">IF(BH34&gt;PR_BalDone,MIN(F_LoanPayM,BH34+BH34*(D_iL)),0)</f>
        <v>0</v>
      </c>
      <c r="BV34" s="1" t="n">
        <f aca="false">IF(BI34&gt;PR_BalDone,MIN(F_LoanPayM,BI34+BI34*(D_iL)),0)</f>
        <v>0</v>
      </c>
      <c r="BW34" s="1" t="n">
        <f aca="false">IF(BJ34&gt;PR_BalDone,MIN(F_LoanPayM,BJ34+BJ34*(D_iL)),0)</f>
        <v>0</v>
      </c>
      <c r="BX34" s="1" t="n">
        <f aca="false">IF(BK34&gt;PR_BalDone,MIN(F_LoanPayM,BK34+BK34*(D_iL)),0)</f>
        <v>0</v>
      </c>
      <c r="BY34" s="1" t="n">
        <f aca="false">IF(BL34&gt;PR_BalDone,MIN(F_LoanPayM,BL34+BL34*(D_iL)),0)</f>
        <v>0</v>
      </c>
      <c r="BZ34" s="1" t="n">
        <f aca="false">IF(BM34&gt;PR_BalDone,MIN(F_LoanPayM,BM34+BM34*(D_iL)),0)</f>
        <v>0</v>
      </c>
      <c r="CA34" s="1" t="n">
        <f aca="false">IF(BN34&gt;PR_BalDone,MIN(F_LoanPayM,BN34+BN34*(D_iL)),0)</f>
        <v>0</v>
      </c>
      <c r="CB34" s="1" t="n">
        <f aca="false">IF(BO34&gt;PR_BalDone,MIN(F_LoanPayM,BO34+BO34*(D_iL)),0)</f>
        <v>0</v>
      </c>
      <c r="CC34" s="1" t="n">
        <f aca="false">IF(BP34&gt;PR_BalDone,MIN(F_LoanPayM,BP34+BP34*(D_iL)),0)</f>
        <v>0</v>
      </c>
      <c r="CD34" s="1" t="n">
        <f aca="false">MAX(0,BQ34)</f>
        <v>0</v>
      </c>
      <c r="CE34" s="1" t="n">
        <f aca="false">SUM(BR34:CC34)</f>
        <v>0</v>
      </c>
      <c r="CF34" s="1" t="n">
        <f aca="false">IF(CF33&gt;1,DE33,CF33)</f>
        <v>0</v>
      </c>
      <c r="CG34" s="1" t="n">
        <f aca="false">IF(CF34&gt;PR_BalDone,CF34+CF34*(F_MR/12)-MIN(F_MortPayM,CF34+CF34*(F_MR/12)),CF34)</f>
        <v>0</v>
      </c>
      <c r="CH34" s="1" t="n">
        <f aca="false">IF(CG34&gt;PR_BalDone,CG34+CG34*(F_MR/12)-MIN(F_MortPayM,CG34+CG34*(F_MR/12)),CG34)</f>
        <v>0</v>
      </c>
      <c r="CI34" s="1" t="n">
        <f aca="false">IF(CH34&gt;PR_BalDone,CH34+CH34*(F_MR/12)-MIN(F_MortPayM,CH34+CH34*(F_MR/12)),CH34)</f>
        <v>0</v>
      </c>
      <c r="CJ34" s="1" t="n">
        <f aca="false">IF(CI34&gt;PR_BalDone,CI34+CI34*(F_MR/12)-MIN(F_MortPayM,CI34+CI34*(F_MR/12)),CI34)</f>
        <v>0</v>
      </c>
      <c r="CK34" s="1" t="n">
        <f aca="false">IF(CJ34&gt;PR_BalDone,CJ34+CJ34*(F_MR/12)-MIN(F_MortPayM,CJ34+CJ34*(F_MR/12)),CJ34)</f>
        <v>0</v>
      </c>
      <c r="CL34" s="1" t="n">
        <f aca="false">IF(CK34&gt;PR_BalDone,CK34+CK34*(F_MR/12)-MIN(F_MortPayM,CK34+CK34*(F_MR/12)),CK34)</f>
        <v>0</v>
      </c>
      <c r="CM34" s="1" t="n">
        <f aca="false">IF(CL34&gt;PR_BalDone,CL34+CL34*(F_MR/12)-MIN(F_MortPayM,CL34+CL34*(F_MR/12)),CL34)</f>
        <v>0</v>
      </c>
      <c r="CN34" s="1" t="n">
        <f aca="false">IF(CM34&gt;PR_BalDone,CM34+CM34*(F_MR/12)-MIN(F_MortPayM,CM34+CM34*(F_MR/12)),CM34)</f>
        <v>0</v>
      </c>
      <c r="CO34" s="1" t="n">
        <f aca="false">IF(CN34&gt;PR_BalDone,CN34+CN34*(F_MR/12)-MIN(F_MortPayM,CN34+CN34*(F_MR/12)),CN34)</f>
        <v>0</v>
      </c>
      <c r="CP34" s="1" t="n">
        <f aca="false">IF(CO34&gt;PR_BalDone,CO34+CO34*(F_MR/12)-MIN(F_MortPayM,CO34+CO34*(F_MR/12)),CO34)</f>
        <v>0</v>
      </c>
      <c r="CQ34" s="1" t="n">
        <f aca="false">IF(CP34&gt;PR_BalDone,CP34+CP34*(F_MR/12)-MIN(F_MortPayM,CP34+CP34*(F_MR/12)),CP34)</f>
        <v>0</v>
      </c>
      <c r="CR34" s="1" t="n">
        <f aca="false">IF(CQ34&gt;PR_BalDone,CQ34+CQ34*(F_MR/12)-MIN(F_MortPayM,CQ34+CQ34*(F_MR/12)),CQ34)</f>
        <v>0</v>
      </c>
      <c r="CS34" s="1" t="n">
        <f aca="false">IF(CF34&gt;PR_BalDone,MIN(F_MortPayM,CF34+CF34*(F_MR/12)),0)</f>
        <v>0</v>
      </c>
      <c r="CT34" s="1" t="n">
        <f aca="false">IF(CG34&gt;PR_BalDone,MIN(F_MortPayM,CG34+CG34*(F_MR/12)),0)</f>
        <v>0</v>
      </c>
      <c r="CU34" s="1" t="n">
        <f aca="false">IF(CH34&gt;PR_BalDone,MIN(F_MortPayM,CH34+CH34*(F_MR/12)),0)</f>
        <v>0</v>
      </c>
      <c r="CV34" s="1" t="n">
        <f aca="false">IF(CI34&gt;PR_BalDone,MIN(F_MortPayM,CI34+CI34*(F_MR/12)),0)</f>
        <v>0</v>
      </c>
      <c r="CW34" s="1" t="n">
        <f aca="false">IF(CJ34&gt;PR_BalDone,MIN(F_MortPayM,CJ34+CJ34*(F_MR/12)),0)</f>
        <v>0</v>
      </c>
      <c r="CX34" s="1" t="n">
        <f aca="false">IF(CK34&gt;PR_BalDone,MIN(F_MortPayM,CK34+CK34*(F_MR/12)),0)</f>
        <v>0</v>
      </c>
      <c r="CY34" s="1" t="n">
        <f aca="false">IF(CL34&gt;PR_BalDone,MIN(F_MortPayM,CL34+CL34*(F_MR/12)),0)</f>
        <v>0</v>
      </c>
      <c r="CZ34" s="1" t="n">
        <f aca="false">IF(CM34&gt;PR_BalDone,MIN(F_MortPayM,CM34+CM34*(F_MR/12)),0)</f>
        <v>0</v>
      </c>
      <c r="DA34" s="1" t="n">
        <f aca="false">IF(CN34&gt;PR_BalDone,MIN(F_MortPayM,CN34+CN34*(F_MR/12)),0)</f>
        <v>0</v>
      </c>
      <c r="DB34" s="1" t="n">
        <f aca="false">IF(CO34&gt;PR_BalDone,MIN(F_MortPayM,CO34+CO34*(F_MR/12)),0)</f>
        <v>0</v>
      </c>
      <c r="DC34" s="1" t="n">
        <f aca="false">IF(CP34&gt;PR_BalDone,MIN(F_MortPayM,CP34+CP34*(F_MR/12)),0)</f>
        <v>0</v>
      </c>
      <c r="DD34" s="1" t="n">
        <f aca="false">IF(CQ34&gt;PR_BalDone,MIN(F_MortPayM,CQ34+CQ34*(F_MR/12)),0)</f>
        <v>0</v>
      </c>
      <c r="DE34" s="1" t="n">
        <f aca="false">MAX(0,CR34)</f>
        <v>0</v>
      </c>
      <c r="DF34" s="1" t="n">
        <f aca="false">SUM(CS34:DD34)</f>
        <v>0</v>
      </c>
      <c r="DG34" s="1" t="n">
        <f aca="false">MAX(0,CF34)</f>
        <v>0</v>
      </c>
    </row>
    <row r="35" customFormat="false" ht="15" hidden="false" customHeight="true" outlineLevel="0" collapsed="false">
      <c r="B35" s="1" t="n">
        <v>27</v>
      </c>
      <c r="C35" s="1" t="n">
        <f aca="false">'Plan cashflow'!I35</f>
        <v>0</v>
      </c>
      <c r="D35" s="1" t="n">
        <f aca="false">IF(C35&gt;PR_BalDone,C35+C35*(F_MR/12)-MIN(F_MortPayM,C35+C35*(F_MR/12)),C35)</f>
        <v>0</v>
      </c>
      <c r="E35" s="1" t="n">
        <f aca="false">IF(D35&gt;PR_BalDone,D35+D35*(F_MR/12)-MIN(F_MortPayM,D35+D35*(F_MR/12)),D35)</f>
        <v>0</v>
      </c>
      <c r="F35" s="1" t="n">
        <f aca="false">IF(E35&gt;PR_BalDone,E35+E35*(F_MR/12)-MIN(F_MortPayM,E35+E35*(F_MR/12)),E35)</f>
        <v>0</v>
      </c>
      <c r="G35" s="1" t="n">
        <f aca="false">IF(F35&gt;PR_BalDone,F35+F35*(F_MR/12)-MIN(F_MortPayM,F35+F35*(F_MR/12)),F35)</f>
        <v>0</v>
      </c>
      <c r="H35" s="1" t="n">
        <f aca="false">IF(G35&gt;PR_BalDone,G35+G35*(F_MR/12)-MIN(F_MortPayM,G35+G35*(F_MR/12)),G35)</f>
        <v>0</v>
      </c>
      <c r="I35" s="1" t="n">
        <f aca="false">IF(H35&gt;PR_BalDone,H35+H35*(F_MR/12)-MIN(F_MortPayM,H35+H35*(F_MR/12)),H35)</f>
        <v>0</v>
      </c>
      <c r="J35" s="1" t="n">
        <f aca="false">IF(I35&gt;PR_BalDone,I35+I35*(F_MR/12)-MIN(F_MortPayM,I35+I35*(F_MR/12)),I35)</f>
        <v>0</v>
      </c>
      <c r="K35" s="1" t="n">
        <f aca="false">IF(J35&gt;PR_BalDone,J35+J35*(F_MR/12)-MIN(F_MortPayM,J35+J35*(F_MR/12)),J35)</f>
        <v>0</v>
      </c>
      <c r="L35" s="1" t="n">
        <f aca="false">IF(K35&gt;PR_BalDone,K35+K35*(F_MR/12)-MIN(F_MortPayM,K35+K35*(F_MR/12)),K35)</f>
        <v>0</v>
      </c>
      <c r="M35" s="1" t="n">
        <f aca="false">IF(L35&gt;PR_BalDone,L35+L35*(F_MR/12)-MIN(F_MortPayM,L35+L35*(F_MR/12)),L35)</f>
        <v>0</v>
      </c>
      <c r="N35" s="1" t="n">
        <f aca="false">IF(M35&gt;PR_BalDone,M35+M35*(F_MR/12)-MIN(F_MortPayM,M35+M35*(F_MR/12)),M35)</f>
        <v>0</v>
      </c>
      <c r="O35" s="1" t="n">
        <f aca="false">IF(N35&gt;PR_BalDone,N35+N35*(F_MR/12)-MIN(F_MortPayM,N35+N35*(F_MR/12)),N35)</f>
        <v>0</v>
      </c>
      <c r="P35" s="1" t="n">
        <f aca="false">IF(C35&gt;PR_BalDone,MIN(F_MortPayM,C35+C35*(F_MR/12)),0)</f>
        <v>0</v>
      </c>
      <c r="Q35" s="1" t="n">
        <f aca="false">IF(D35&gt;PR_BalDone,MIN(F_MortPayM,D35+D35*(F_MR/12)),0)</f>
        <v>0</v>
      </c>
      <c r="R35" s="1" t="n">
        <f aca="false">IF(E35&gt;PR_BalDone,MIN(F_MortPayM,E35+E35*(F_MR/12)),0)</f>
        <v>0</v>
      </c>
      <c r="S35" s="1" t="n">
        <f aca="false">IF(F35&gt;PR_BalDone,MIN(F_MortPayM,F35+F35*(F_MR/12)),0)</f>
        <v>0</v>
      </c>
      <c r="T35" s="1" t="n">
        <f aca="false">IF(G35&gt;PR_BalDone,MIN(F_MortPayM,G35+G35*(F_MR/12)),0)</f>
        <v>0</v>
      </c>
      <c r="U35" s="1" t="n">
        <f aca="false">IF(H35&gt;PR_BalDone,MIN(F_MortPayM,H35+H35*(F_MR/12)),0)</f>
        <v>0</v>
      </c>
      <c r="V35" s="1" t="n">
        <f aca="false">IF(I35&gt;PR_BalDone,MIN(F_MortPayM,I35+I35*(F_MR/12)),0)</f>
        <v>0</v>
      </c>
      <c r="W35" s="1" t="n">
        <f aca="false">IF(J35&gt;PR_BalDone,MIN(F_MortPayM,J35+J35*(F_MR/12)),0)</f>
        <v>0</v>
      </c>
      <c r="X35" s="1" t="n">
        <f aca="false">IF(K35&gt;PR_BalDone,MIN(F_MortPayM,K35+K35*(F_MR/12)),0)</f>
        <v>0</v>
      </c>
      <c r="Y35" s="1" t="n">
        <f aca="false">IF(L35&gt;PR_BalDone,MIN(F_MortPayM,L35+L35*(F_MR/12)),0)</f>
        <v>0</v>
      </c>
      <c r="Z35" s="1" t="n">
        <f aca="false">IF(M35&gt;PR_BalDone,MIN(F_MortPayM,M35+M35*(F_MR/12)),0)</f>
        <v>0</v>
      </c>
      <c r="AA35" s="1" t="n">
        <f aca="false">IF(N35&gt;PR_BalDone,MIN(F_MortPayM,N35+N35*(F_MR/12)),0)</f>
        <v>0</v>
      </c>
      <c r="AB35" s="1" t="n">
        <f aca="false">MAX(0,O35)</f>
        <v>0</v>
      </c>
      <c r="AC35" s="1" t="n">
        <f aca="false">SUM(P35:AA35)</f>
        <v>0</v>
      </c>
      <c r="AD35" s="1" t="n">
        <f aca="false">'Plan cashflow'!L35</f>
        <v>0</v>
      </c>
      <c r="AE35" s="1" t="n">
        <f aca="false">IF(AD35&gt;PR_BalDone,AD35+AD35*(D_iC)-MIN(F_CardPayM,AD35+AD35*(D_iC)),AD35)</f>
        <v>0</v>
      </c>
      <c r="AF35" s="1" t="n">
        <f aca="false">IF(AE35&gt;PR_BalDone,AE35+AE35*(D_iC)-MIN(F_CardPayM,AE35+AE35*(D_iC)),AE35)</f>
        <v>0</v>
      </c>
      <c r="AG35" s="1" t="n">
        <f aca="false">IF(AF35&gt;PR_BalDone,AF35+AF35*(D_iC)-MIN(F_CardPayM,AF35+AF35*(D_iC)),AF35)</f>
        <v>0</v>
      </c>
      <c r="AH35" s="1" t="n">
        <f aca="false">IF(AG35&gt;PR_BalDone,AG35+AG35*(D_iC)-MIN(F_CardPayM,AG35+AG35*(D_iC)),AG35)</f>
        <v>0</v>
      </c>
      <c r="AI35" s="1" t="n">
        <f aca="false">IF(AH35&gt;PR_BalDone,AH35+AH35*(D_iC)-MIN(F_CardPayM,AH35+AH35*(D_iC)),AH35)</f>
        <v>0</v>
      </c>
      <c r="AJ35" s="1" t="n">
        <f aca="false">IF(AI35&gt;PR_BalDone,AI35+AI35*(D_iC)-MIN(F_CardPayM,AI35+AI35*(D_iC)),AI35)</f>
        <v>0</v>
      </c>
      <c r="AK35" s="1" t="n">
        <f aca="false">IF(AJ35&gt;PR_BalDone,AJ35+AJ35*(D_iC)-MIN(F_CardPayM,AJ35+AJ35*(D_iC)),AJ35)</f>
        <v>0</v>
      </c>
      <c r="AL35" s="1" t="n">
        <f aca="false">IF(AK35&gt;PR_BalDone,AK35+AK35*(D_iC)-MIN(F_CardPayM,AK35+AK35*(D_iC)),AK35)</f>
        <v>0</v>
      </c>
      <c r="AM35" s="1" t="n">
        <f aca="false">IF(AL35&gt;PR_BalDone,AL35+AL35*(D_iC)-MIN(F_CardPayM,AL35+AL35*(D_iC)),AL35)</f>
        <v>0</v>
      </c>
      <c r="AN35" s="1" t="n">
        <f aca="false">IF(AM35&gt;PR_BalDone,AM35+AM35*(D_iC)-MIN(F_CardPayM,AM35+AM35*(D_iC)),AM35)</f>
        <v>0</v>
      </c>
      <c r="AO35" s="1" t="n">
        <f aca="false">IF(AN35&gt;PR_BalDone,AN35+AN35*(D_iC)-MIN(F_CardPayM,AN35+AN35*(D_iC)),AN35)</f>
        <v>0</v>
      </c>
      <c r="AP35" s="1" t="n">
        <f aca="false">IF(AO35&gt;PR_BalDone,AO35+AO35*(D_iC)-MIN(F_CardPayM,AO35+AO35*(D_iC)),AO35)</f>
        <v>0</v>
      </c>
      <c r="AQ35" s="1" t="n">
        <f aca="false">IF(AD35&gt;PR_BalDone,MIN(F_CardPayM,AD35+AD35*(D_iC)),0)</f>
        <v>0</v>
      </c>
      <c r="AR35" s="1" t="n">
        <f aca="false">IF(AE35&gt;PR_BalDone,MIN(F_CardPayM,AE35+AE35*(D_iC)),0)</f>
        <v>0</v>
      </c>
      <c r="AS35" s="1" t="n">
        <f aca="false">IF(AF35&gt;PR_BalDone,MIN(F_CardPayM,AF35+AF35*(D_iC)),0)</f>
        <v>0</v>
      </c>
      <c r="AT35" s="1" t="n">
        <f aca="false">IF(AG35&gt;PR_BalDone,MIN(F_CardPayM,AG35+AG35*(D_iC)),0)</f>
        <v>0</v>
      </c>
      <c r="AU35" s="1" t="n">
        <f aca="false">IF(AH35&gt;PR_BalDone,MIN(F_CardPayM,AH35+AH35*(D_iC)),0)</f>
        <v>0</v>
      </c>
      <c r="AV35" s="1" t="n">
        <f aca="false">IF(AI35&gt;PR_BalDone,MIN(F_CardPayM,AI35+AI35*(D_iC)),0)</f>
        <v>0</v>
      </c>
      <c r="AW35" s="1" t="n">
        <f aca="false">IF(AJ35&gt;PR_BalDone,MIN(F_CardPayM,AJ35+AJ35*(D_iC)),0)</f>
        <v>0</v>
      </c>
      <c r="AX35" s="1" t="n">
        <f aca="false">IF(AK35&gt;PR_BalDone,MIN(F_CardPayM,AK35+AK35*(D_iC)),0)</f>
        <v>0</v>
      </c>
      <c r="AY35" s="1" t="n">
        <f aca="false">IF(AL35&gt;PR_BalDone,MIN(F_CardPayM,AL35+AL35*(D_iC)),0)</f>
        <v>0</v>
      </c>
      <c r="AZ35" s="1" t="n">
        <f aca="false">IF(AM35&gt;PR_BalDone,MIN(F_CardPayM,AM35+AM35*(D_iC)),0)</f>
        <v>0</v>
      </c>
      <c r="BA35" s="1" t="n">
        <f aca="false">IF(AN35&gt;PR_BalDone,MIN(F_CardPayM,AN35+AN35*(D_iC)),0)</f>
        <v>0</v>
      </c>
      <c r="BB35" s="1" t="n">
        <f aca="false">IF(AO35&gt;PR_BalDone,MIN(F_CardPayM,AO35+AO35*(D_iC)),0)</f>
        <v>0</v>
      </c>
      <c r="BC35" s="1" t="n">
        <f aca="false">MAX(0,AP35)</f>
        <v>0</v>
      </c>
      <c r="BD35" s="1" t="n">
        <f aca="false">SUM(AQ35:BB35)</f>
        <v>0</v>
      </c>
      <c r="BE35" s="1" t="n">
        <f aca="false">'Plan cashflow'!O35</f>
        <v>0</v>
      </c>
      <c r="BF35" s="1" t="n">
        <f aca="false">IF(BE35&gt;PR_BalDone,BE35+BE35*(D_iL)-MIN(F_LoanPayM,BE35+BE35*(D_iL)),BE35)</f>
        <v>0</v>
      </c>
      <c r="BG35" s="1" t="n">
        <f aca="false">IF(BF35&gt;PR_BalDone,BF35+BF35*(D_iL)-MIN(F_LoanPayM,BF35+BF35*(D_iL)),BF35)</f>
        <v>0</v>
      </c>
      <c r="BH35" s="1" t="n">
        <f aca="false">IF(BG35&gt;PR_BalDone,BG35+BG35*(D_iL)-MIN(F_LoanPayM,BG35+BG35*(D_iL)),BG35)</f>
        <v>0</v>
      </c>
      <c r="BI35" s="1" t="n">
        <f aca="false">IF(BH35&gt;PR_BalDone,BH35+BH35*(D_iL)-MIN(F_LoanPayM,BH35+BH35*(D_iL)),BH35)</f>
        <v>0</v>
      </c>
      <c r="BJ35" s="1" t="n">
        <f aca="false">IF(BI35&gt;PR_BalDone,BI35+BI35*(D_iL)-MIN(F_LoanPayM,BI35+BI35*(D_iL)),BI35)</f>
        <v>0</v>
      </c>
      <c r="BK35" s="1" t="n">
        <f aca="false">IF(BJ35&gt;PR_BalDone,BJ35+BJ35*(D_iL)-MIN(F_LoanPayM,BJ35+BJ35*(D_iL)),BJ35)</f>
        <v>0</v>
      </c>
      <c r="BL35" s="1" t="n">
        <f aca="false">IF(BK35&gt;PR_BalDone,BK35+BK35*(D_iL)-MIN(F_LoanPayM,BK35+BK35*(D_iL)),BK35)</f>
        <v>0</v>
      </c>
      <c r="BM35" s="1" t="n">
        <f aca="false">IF(BL35&gt;PR_BalDone,BL35+BL35*(D_iL)-MIN(F_LoanPayM,BL35+BL35*(D_iL)),BL35)</f>
        <v>0</v>
      </c>
      <c r="BN35" s="1" t="n">
        <f aca="false">IF(BM35&gt;PR_BalDone,BM35+BM35*(D_iL)-MIN(F_LoanPayM,BM35+BM35*(D_iL)),BM35)</f>
        <v>0</v>
      </c>
      <c r="BO35" s="1" t="n">
        <f aca="false">IF(BN35&gt;PR_BalDone,BN35+BN35*(D_iL)-MIN(F_LoanPayM,BN35+BN35*(D_iL)),BN35)</f>
        <v>0</v>
      </c>
      <c r="BP35" s="1" t="n">
        <f aca="false">IF(BO35&gt;PR_BalDone,BO35+BO35*(D_iL)-MIN(F_LoanPayM,BO35+BO35*(D_iL)),BO35)</f>
        <v>0</v>
      </c>
      <c r="BQ35" s="1" t="n">
        <f aca="false">IF(BP35&gt;PR_BalDone,BP35+BP35*(D_iL)-MIN(F_LoanPayM,BP35+BP35*(D_iL)),BP35)</f>
        <v>0</v>
      </c>
      <c r="BR35" s="1" t="n">
        <f aca="false">IF(BE35&gt;PR_BalDone,MIN(F_LoanPayM,BE35+BE35*(D_iL)),0)</f>
        <v>0</v>
      </c>
      <c r="BS35" s="1" t="n">
        <f aca="false">IF(BF35&gt;PR_BalDone,MIN(F_LoanPayM,BF35+BF35*(D_iL)),0)</f>
        <v>0</v>
      </c>
      <c r="BT35" s="1" t="n">
        <f aca="false">IF(BG35&gt;PR_BalDone,MIN(F_LoanPayM,BG35+BG35*(D_iL)),0)</f>
        <v>0</v>
      </c>
      <c r="BU35" s="1" t="n">
        <f aca="false">IF(BH35&gt;PR_BalDone,MIN(F_LoanPayM,BH35+BH35*(D_iL)),0)</f>
        <v>0</v>
      </c>
      <c r="BV35" s="1" t="n">
        <f aca="false">IF(BI35&gt;PR_BalDone,MIN(F_LoanPayM,BI35+BI35*(D_iL)),0)</f>
        <v>0</v>
      </c>
      <c r="BW35" s="1" t="n">
        <f aca="false">IF(BJ35&gt;PR_BalDone,MIN(F_LoanPayM,BJ35+BJ35*(D_iL)),0)</f>
        <v>0</v>
      </c>
      <c r="BX35" s="1" t="n">
        <f aca="false">IF(BK35&gt;PR_BalDone,MIN(F_LoanPayM,BK35+BK35*(D_iL)),0)</f>
        <v>0</v>
      </c>
      <c r="BY35" s="1" t="n">
        <f aca="false">IF(BL35&gt;PR_BalDone,MIN(F_LoanPayM,BL35+BL35*(D_iL)),0)</f>
        <v>0</v>
      </c>
      <c r="BZ35" s="1" t="n">
        <f aca="false">IF(BM35&gt;PR_BalDone,MIN(F_LoanPayM,BM35+BM35*(D_iL)),0)</f>
        <v>0</v>
      </c>
      <c r="CA35" s="1" t="n">
        <f aca="false">IF(BN35&gt;PR_BalDone,MIN(F_LoanPayM,BN35+BN35*(D_iL)),0)</f>
        <v>0</v>
      </c>
      <c r="CB35" s="1" t="n">
        <f aca="false">IF(BO35&gt;PR_BalDone,MIN(F_LoanPayM,BO35+BO35*(D_iL)),0)</f>
        <v>0</v>
      </c>
      <c r="CC35" s="1" t="n">
        <f aca="false">IF(BP35&gt;PR_BalDone,MIN(F_LoanPayM,BP35+BP35*(D_iL)),0)</f>
        <v>0</v>
      </c>
      <c r="CD35" s="1" t="n">
        <f aca="false">MAX(0,BQ35)</f>
        <v>0</v>
      </c>
      <c r="CE35" s="1" t="n">
        <f aca="false">SUM(BR35:CC35)</f>
        <v>0</v>
      </c>
      <c r="CF35" s="1" t="n">
        <f aca="false">IF(CF34&gt;1,DE34,CF34)</f>
        <v>0</v>
      </c>
      <c r="CG35" s="1" t="n">
        <f aca="false">IF(CF35&gt;PR_BalDone,CF35+CF35*(F_MR/12)-MIN(F_MortPayM,CF35+CF35*(F_MR/12)),CF35)</f>
        <v>0</v>
      </c>
      <c r="CH35" s="1" t="n">
        <f aca="false">IF(CG35&gt;PR_BalDone,CG35+CG35*(F_MR/12)-MIN(F_MortPayM,CG35+CG35*(F_MR/12)),CG35)</f>
        <v>0</v>
      </c>
      <c r="CI35" s="1" t="n">
        <f aca="false">IF(CH35&gt;PR_BalDone,CH35+CH35*(F_MR/12)-MIN(F_MortPayM,CH35+CH35*(F_MR/12)),CH35)</f>
        <v>0</v>
      </c>
      <c r="CJ35" s="1" t="n">
        <f aca="false">IF(CI35&gt;PR_BalDone,CI35+CI35*(F_MR/12)-MIN(F_MortPayM,CI35+CI35*(F_MR/12)),CI35)</f>
        <v>0</v>
      </c>
      <c r="CK35" s="1" t="n">
        <f aca="false">IF(CJ35&gt;PR_BalDone,CJ35+CJ35*(F_MR/12)-MIN(F_MortPayM,CJ35+CJ35*(F_MR/12)),CJ35)</f>
        <v>0</v>
      </c>
      <c r="CL35" s="1" t="n">
        <f aca="false">IF(CK35&gt;PR_BalDone,CK35+CK35*(F_MR/12)-MIN(F_MortPayM,CK35+CK35*(F_MR/12)),CK35)</f>
        <v>0</v>
      </c>
      <c r="CM35" s="1" t="n">
        <f aca="false">IF(CL35&gt;PR_BalDone,CL35+CL35*(F_MR/12)-MIN(F_MortPayM,CL35+CL35*(F_MR/12)),CL35)</f>
        <v>0</v>
      </c>
      <c r="CN35" s="1" t="n">
        <f aca="false">IF(CM35&gt;PR_BalDone,CM35+CM35*(F_MR/12)-MIN(F_MortPayM,CM35+CM35*(F_MR/12)),CM35)</f>
        <v>0</v>
      </c>
      <c r="CO35" s="1" t="n">
        <f aca="false">IF(CN35&gt;PR_BalDone,CN35+CN35*(F_MR/12)-MIN(F_MortPayM,CN35+CN35*(F_MR/12)),CN35)</f>
        <v>0</v>
      </c>
      <c r="CP35" s="1" t="n">
        <f aca="false">IF(CO35&gt;PR_BalDone,CO35+CO35*(F_MR/12)-MIN(F_MortPayM,CO35+CO35*(F_MR/12)),CO35)</f>
        <v>0</v>
      </c>
      <c r="CQ35" s="1" t="n">
        <f aca="false">IF(CP35&gt;PR_BalDone,CP35+CP35*(F_MR/12)-MIN(F_MortPayM,CP35+CP35*(F_MR/12)),CP35)</f>
        <v>0</v>
      </c>
      <c r="CR35" s="1" t="n">
        <f aca="false">IF(CQ35&gt;PR_BalDone,CQ35+CQ35*(F_MR/12)-MIN(F_MortPayM,CQ35+CQ35*(F_MR/12)),CQ35)</f>
        <v>0</v>
      </c>
      <c r="CS35" s="1" t="n">
        <f aca="false">IF(CF35&gt;PR_BalDone,MIN(F_MortPayM,CF35+CF35*(F_MR/12)),0)</f>
        <v>0</v>
      </c>
      <c r="CT35" s="1" t="n">
        <f aca="false">IF(CG35&gt;PR_BalDone,MIN(F_MortPayM,CG35+CG35*(F_MR/12)),0)</f>
        <v>0</v>
      </c>
      <c r="CU35" s="1" t="n">
        <f aca="false">IF(CH35&gt;PR_BalDone,MIN(F_MortPayM,CH35+CH35*(F_MR/12)),0)</f>
        <v>0</v>
      </c>
      <c r="CV35" s="1" t="n">
        <f aca="false">IF(CI35&gt;PR_BalDone,MIN(F_MortPayM,CI35+CI35*(F_MR/12)),0)</f>
        <v>0</v>
      </c>
      <c r="CW35" s="1" t="n">
        <f aca="false">IF(CJ35&gt;PR_BalDone,MIN(F_MortPayM,CJ35+CJ35*(F_MR/12)),0)</f>
        <v>0</v>
      </c>
      <c r="CX35" s="1" t="n">
        <f aca="false">IF(CK35&gt;PR_BalDone,MIN(F_MortPayM,CK35+CK35*(F_MR/12)),0)</f>
        <v>0</v>
      </c>
      <c r="CY35" s="1" t="n">
        <f aca="false">IF(CL35&gt;PR_BalDone,MIN(F_MortPayM,CL35+CL35*(F_MR/12)),0)</f>
        <v>0</v>
      </c>
      <c r="CZ35" s="1" t="n">
        <f aca="false">IF(CM35&gt;PR_BalDone,MIN(F_MortPayM,CM35+CM35*(F_MR/12)),0)</f>
        <v>0</v>
      </c>
      <c r="DA35" s="1" t="n">
        <f aca="false">IF(CN35&gt;PR_BalDone,MIN(F_MortPayM,CN35+CN35*(F_MR/12)),0)</f>
        <v>0</v>
      </c>
      <c r="DB35" s="1" t="n">
        <f aca="false">IF(CO35&gt;PR_BalDone,MIN(F_MortPayM,CO35+CO35*(F_MR/12)),0)</f>
        <v>0</v>
      </c>
      <c r="DC35" s="1" t="n">
        <f aca="false">IF(CP35&gt;PR_BalDone,MIN(F_MortPayM,CP35+CP35*(F_MR/12)),0)</f>
        <v>0</v>
      </c>
      <c r="DD35" s="1" t="n">
        <f aca="false">IF(CQ35&gt;PR_BalDone,MIN(F_MortPayM,CQ35+CQ35*(F_MR/12)),0)</f>
        <v>0</v>
      </c>
      <c r="DE35" s="1" t="n">
        <f aca="false">MAX(0,CR35)</f>
        <v>0</v>
      </c>
      <c r="DF35" s="1" t="n">
        <f aca="false">SUM(CS35:DD35)</f>
        <v>0</v>
      </c>
      <c r="DG35" s="1" t="n">
        <f aca="false">MAX(0,CF35)</f>
        <v>0</v>
      </c>
    </row>
    <row r="36" customFormat="false" ht="15" hidden="false" customHeight="true" outlineLevel="0" collapsed="false">
      <c r="B36" s="1" t="n">
        <v>28</v>
      </c>
      <c r="C36" s="1" t="n">
        <f aca="false">'Plan cashflow'!I36</f>
        <v>0</v>
      </c>
      <c r="D36" s="1" t="n">
        <f aca="false">IF(C36&gt;PR_BalDone,C36+C36*(F_MR/12)-MIN(F_MortPayM,C36+C36*(F_MR/12)),C36)</f>
        <v>0</v>
      </c>
      <c r="E36" s="1" t="n">
        <f aca="false">IF(D36&gt;PR_BalDone,D36+D36*(F_MR/12)-MIN(F_MortPayM,D36+D36*(F_MR/12)),D36)</f>
        <v>0</v>
      </c>
      <c r="F36" s="1" t="n">
        <f aca="false">IF(E36&gt;PR_BalDone,E36+E36*(F_MR/12)-MIN(F_MortPayM,E36+E36*(F_MR/12)),E36)</f>
        <v>0</v>
      </c>
      <c r="G36" s="1" t="n">
        <f aca="false">IF(F36&gt;PR_BalDone,F36+F36*(F_MR/12)-MIN(F_MortPayM,F36+F36*(F_MR/12)),F36)</f>
        <v>0</v>
      </c>
      <c r="H36" s="1" t="n">
        <f aca="false">IF(G36&gt;PR_BalDone,G36+G36*(F_MR/12)-MIN(F_MortPayM,G36+G36*(F_MR/12)),G36)</f>
        <v>0</v>
      </c>
      <c r="I36" s="1" t="n">
        <f aca="false">IF(H36&gt;PR_BalDone,H36+H36*(F_MR/12)-MIN(F_MortPayM,H36+H36*(F_MR/12)),H36)</f>
        <v>0</v>
      </c>
      <c r="J36" s="1" t="n">
        <f aca="false">IF(I36&gt;PR_BalDone,I36+I36*(F_MR/12)-MIN(F_MortPayM,I36+I36*(F_MR/12)),I36)</f>
        <v>0</v>
      </c>
      <c r="K36" s="1" t="n">
        <f aca="false">IF(J36&gt;PR_BalDone,J36+J36*(F_MR/12)-MIN(F_MortPayM,J36+J36*(F_MR/12)),J36)</f>
        <v>0</v>
      </c>
      <c r="L36" s="1" t="n">
        <f aca="false">IF(K36&gt;PR_BalDone,K36+K36*(F_MR/12)-MIN(F_MortPayM,K36+K36*(F_MR/12)),K36)</f>
        <v>0</v>
      </c>
      <c r="M36" s="1" t="n">
        <f aca="false">IF(L36&gt;PR_BalDone,L36+L36*(F_MR/12)-MIN(F_MortPayM,L36+L36*(F_MR/12)),L36)</f>
        <v>0</v>
      </c>
      <c r="N36" s="1" t="n">
        <f aca="false">IF(M36&gt;PR_BalDone,M36+M36*(F_MR/12)-MIN(F_MortPayM,M36+M36*(F_MR/12)),M36)</f>
        <v>0</v>
      </c>
      <c r="O36" s="1" t="n">
        <f aca="false">IF(N36&gt;PR_BalDone,N36+N36*(F_MR/12)-MIN(F_MortPayM,N36+N36*(F_MR/12)),N36)</f>
        <v>0</v>
      </c>
      <c r="P36" s="1" t="n">
        <f aca="false">IF(C36&gt;PR_BalDone,MIN(F_MortPayM,C36+C36*(F_MR/12)),0)</f>
        <v>0</v>
      </c>
      <c r="Q36" s="1" t="n">
        <f aca="false">IF(D36&gt;PR_BalDone,MIN(F_MortPayM,D36+D36*(F_MR/12)),0)</f>
        <v>0</v>
      </c>
      <c r="R36" s="1" t="n">
        <f aca="false">IF(E36&gt;PR_BalDone,MIN(F_MortPayM,E36+E36*(F_MR/12)),0)</f>
        <v>0</v>
      </c>
      <c r="S36" s="1" t="n">
        <f aca="false">IF(F36&gt;PR_BalDone,MIN(F_MortPayM,F36+F36*(F_MR/12)),0)</f>
        <v>0</v>
      </c>
      <c r="T36" s="1" t="n">
        <f aca="false">IF(G36&gt;PR_BalDone,MIN(F_MortPayM,G36+G36*(F_MR/12)),0)</f>
        <v>0</v>
      </c>
      <c r="U36" s="1" t="n">
        <f aca="false">IF(H36&gt;PR_BalDone,MIN(F_MortPayM,H36+H36*(F_MR/12)),0)</f>
        <v>0</v>
      </c>
      <c r="V36" s="1" t="n">
        <f aca="false">IF(I36&gt;PR_BalDone,MIN(F_MortPayM,I36+I36*(F_MR/12)),0)</f>
        <v>0</v>
      </c>
      <c r="W36" s="1" t="n">
        <f aca="false">IF(J36&gt;PR_BalDone,MIN(F_MortPayM,J36+J36*(F_MR/12)),0)</f>
        <v>0</v>
      </c>
      <c r="X36" s="1" t="n">
        <f aca="false">IF(K36&gt;PR_BalDone,MIN(F_MortPayM,K36+K36*(F_MR/12)),0)</f>
        <v>0</v>
      </c>
      <c r="Y36" s="1" t="n">
        <f aca="false">IF(L36&gt;PR_BalDone,MIN(F_MortPayM,L36+L36*(F_MR/12)),0)</f>
        <v>0</v>
      </c>
      <c r="Z36" s="1" t="n">
        <f aca="false">IF(M36&gt;PR_BalDone,MIN(F_MortPayM,M36+M36*(F_MR/12)),0)</f>
        <v>0</v>
      </c>
      <c r="AA36" s="1" t="n">
        <f aca="false">IF(N36&gt;PR_BalDone,MIN(F_MortPayM,N36+N36*(F_MR/12)),0)</f>
        <v>0</v>
      </c>
      <c r="AB36" s="1" t="n">
        <f aca="false">MAX(0,O36)</f>
        <v>0</v>
      </c>
      <c r="AC36" s="1" t="n">
        <f aca="false">SUM(P36:AA36)</f>
        <v>0</v>
      </c>
      <c r="AD36" s="1" t="n">
        <f aca="false">'Plan cashflow'!L36</f>
        <v>0</v>
      </c>
      <c r="AE36" s="1" t="n">
        <f aca="false">IF(AD36&gt;PR_BalDone,AD36+AD36*(D_iC)-MIN(F_CardPayM,AD36+AD36*(D_iC)),AD36)</f>
        <v>0</v>
      </c>
      <c r="AF36" s="1" t="n">
        <f aca="false">IF(AE36&gt;PR_BalDone,AE36+AE36*(D_iC)-MIN(F_CardPayM,AE36+AE36*(D_iC)),AE36)</f>
        <v>0</v>
      </c>
      <c r="AG36" s="1" t="n">
        <f aca="false">IF(AF36&gt;PR_BalDone,AF36+AF36*(D_iC)-MIN(F_CardPayM,AF36+AF36*(D_iC)),AF36)</f>
        <v>0</v>
      </c>
      <c r="AH36" s="1" t="n">
        <f aca="false">IF(AG36&gt;PR_BalDone,AG36+AG36*(D_iC)-MIN(F_CardPayM,AG36+AG36*(D_iC)),AG36)</f>
        <v>0</v>
      </c>
      <c r="AI36" s="1" t="n">
        <f aca="false">IF(AH36&gt;PR_BalDone,AH36+AH36*(D_iC)-MIN(F_CardPayM,AH36+AH36*(D_iC)),AH36)</f>
        <v>0</v>
      </c>
      <c r="AJ36" s="1" t="n">
        <f aca="false">IF(AI36&gt;PR_BalDone,AI36+AI36*(D_iC)-MIN(F_CardPayM,AI36+AI36*(D_iC)),AI36)</f>
        <v>0</v>
      </c>
      <c r="AK36" s="1" t="n">
        <f aca="false">IF(AJ36&gt;PR_BalDone,AJ36+AJ36*(D_iC)-MIN(F_CardPayM,AJ36+AJ36*(D_iC)),AJ36)</f>
        <v>0</v>
      </c>
      <c r="AL36" s="1" t="n">
        <f aca="false">IF(AK36&gt;PR_BalDone,AK36+AK36*(D_iC)-MIN(F_CardPayM,AK36+AK36*(D_iC)),AK36)</f>
        <v>0</v>
      </c>
      <c r="AM36" s="1" t="n">
        <f aca="false">IF(AL36&gt;PR_BalDone,AL36+AL36*(D_iC)-MIN(F_CardPayM,AL36+AL36*(D_iC)),AL36)</f>
        <v>0</v>
      </c>
      <c r="AN36" s="1" t="n">
        <f aca="false">IF(AM36&gt;PR_BalDone,AM36+AM36*(D_iC)-MIN(F_CardPayM,AM36+AM36*(D_iC)),AM36)</f>
        <v>0</v>
      </c>
      <c r="AO36" s="1" t="n">
        <f aca="false">IF(AN36&gt;PR_BalDone,AN36+AN36*(D_iC)-MIN(F_CardPayM,AN36+AN36*(D_iC)),AN36)</f>
        <v>0</v>
      </c>
      <c r="AP36" s="1" t="n">
        <f aca="false">IF(AO36&gt;PR_BalDone,AO36+AO36*(D_iC)-MIN(F_CardPayM,AO36+AO36*(D_iC)),AO36)</f>
        <v>0</v>
      </c>
      <c r="AQ36" s="1" t="n">
        <f aca="false">IF(AD36&gt;PR_BalDone,MIN(F_CardPayM,AD36+AD36*(D_iC)),0)</f>
        <v>0</v>
      </c>
      <c r="AR36" s="1" t="n">
        <f aca="false">IF(AE36&gt;PR_BalDone,MIN(F_CardPayM,AE36+AE36*(D_iC)),0)</f>
        <v>0</v>
      </c>
      <c r="AS36" s="1" t="n">
        <f aca="false">IF(AF36&gt;PR_BalDone,MIN(F_CardPayM,AF36+AF36*(D_iC)),0)</f>
        <v>0</v>
      </c>
      <c r="AT36" s="1" t="n">
        <f aca="false">IF(AG36&gt;PR_BalDone,MIN(F_CardPayM,AG36+AG36*(D_iC)),0)</f>
        <v>0</v>
      </c>
      <c r="AU36" s="1" t="n">
        <f aca="false">IF(AH36&gt;PR_BalDone,MIN(F_CardPayM,AH36+AH36*(D_iC)),0)</f>
        <v>0</v>
      </c>
      <c r="AV36" s="1" t="n">
        <f aca="false">IF(AI36&gt;PR_BalDone,MIN(F_CardPayM,AI36+AI36*(D_iC)),0)</f>
        <v>0</v>
      </c>
      <c r="AW36" s="1" t="n">
        <f aca="false">IF(AJ36&gt;PR_BalDone,MIN(F_CardPayM,AJ36+AJ36*(D_iC)),0)</f>
        <v>0</v>
      </c>
      <c r="AX36" s="1" t="n">
        <f aca="false">IF(AK36&gt;PR_BalDone,MIN(F_CardPayM,AK36+AK36*(D_iC)),0)</f>
        <v>0</v>
      </c>
      <c r="AY36" s="1" t="n">
        <f aca="false">IF(AL36&gt;PR_BalDone,MIN(F_CardPayM,AL36+AL36*(D_iC)),0)</f>
        <v>0</v>
      </c>
      <c r="AZ36" s="1" t="n">
        <f aca="false">IF(AM36&gt;PR_BalDone,MIN(F_CardPayM,AM36+AM36*(D_iC)),0)</f>
        <v>0</v>
      </c>
      <c r="BA36" s="1" t="n">
        <f aca="false">IF(AN36&gt;PR_BalDone,MIN(F_CardPayM,AN36+AN36*(D_iC)),0)</f>
        <v>0</v>
      </c>
      <c r="BB36" s="1" t="n">
        <f aca="false">IF(AO36&gt;PR_BalDone,MIN(F_CardPayM,AO36+AO36*(D_iC)),0)</f>
        <v>0</v>
      </c>
      <c r="BC36" s="1" t="n">
        <f aca="false">MAX(0,AP36)</f>
        <v>0</v>
      </c>
      <c r="BD36" s="1" t="n">
        <f aca="false">SUM(AQ36:BB36)</f>
        <v>0</v>
      </c>
      <c r="BE36" s="1" t="n">
        <f aca="false">'Plan cashflow'!O36</f>
        <v>0</v>
      </c>
      <c r="BF36" s="1" t="n">
        <f aca="false">IF(BE36&gt;PR_BalDone,BE36+BE36*(D_iL)-MIN(F_LoanPayM,BE36+BE36*(D_iL)),BE36)</f>
        <v>0</v>
      </c>
      <c r="BG36" s="1" t="n">
        <f aca="false">IF(BF36&gt;PR_BalDone,BF36+BF36*(D_iL)-MIN(F_LoanPayM,BF36+BF36*(D_iL)),BF36)</f>
        <v>0</v>
      </c>
      <c r="BH36" s="1" t="n">
        <f aca="false">IF(BG36&gt;PR_BalDone,BG36+BG36*(D_iL)-MIN(F_LoanPayM,BG36+BG36*(D_iL)),BG36)</f>
        <v>0</v>
      </c>
      <c r="BI36" s="1" t="n">
        <f aca="false">IF(BH36&gt;PR_BalDone,BH36+BH36*(D_iL)-MIN(F_LoanPayM,BH36+BH36*(D_iL)),BH36)</f>
        <v>0</v>
      </c>
      <c r="BJ36" s="1" t="n">
        <f aca="false">IF(BI36&gt;PR_BalDone,BI36+BI36*(D_iL)-MIN(F_LoanPayM,BI36+BI36*(D_iL)),BI36)</f>
        <v>0</v>
      </c>
      <c r="BK36" s="1" t="n">
        <f aca="false">IF(BJ36&gt;PR_BalDone,BJ36+BJ36*(D_iL)-MIN(F_LoanPayM,BJ36+BJ36*(D_iL)),BJ36)</f>
        <v>0</v>
      </c>
      <c r="BL36" s="1" t="n">
        <f aca="false">IF(BK36&gt;PR_BalDone,BK36+BK36*(D_iL)-MIN(F_LoanPayM,BK36+BK36*(D_iL)),BK36)</f>
        <v>0</v>
      </c>
      <c r="BM36" s="1" t="n">
        <f aca="false">IF(BL36&gt;PR_BalDone,BL36+BL36*(D_iL)-MIN(F_LoanPayM,BL36+BL36*(D_iL)),BL36)</f>
        <v>0</v>
      </c>
      <c r="BN36" s="1" t="n">
        <f aca="false">IF(BM36&gt;PR_BalDone,BM36+BM36*(D_iL)-MIN(F_LoanPayM,BM36+BM36*(D_iL)),BM36)</f>
        <v>0</v>
      </c>
      <c r="BO36" s="1" t="n">
        <f aca="false">IF(BN36&gt;PR_BalDone,BN36+BN36*(D_iL)-MIN(F_LoanPayM,BN36+BN36*(D_iL)),BN36)</f>
        <v>0</v>
      </c>
      <c r="BP36" s="1" t="n">
        <f aca="false">IF(BO36&gt;PR_BalDone,BO36+BO36*(D_iL)-MIN(F_LoanPayM,BO36+BO36*(D_iL)),BO36)</f>
        <v>0</v>
      </c>
      <c r="BQ36" s="1" t="n">
        <f aca="false">IF(BP36&gt;PR_BalDone,BP36+BP36*(D_iL)-MIN(F_LoanPayM,BP36+BP36*(D_iL)),BP36)</f>
        <v>0</v>
      </c>
      <c r="BR36" s="1" t="n">
        <f aca="false">IF(BE36&gt;PR_BalDone,MIN(F_LoanPayM,BE36+BE36*(D_iL)),0)</f>
        <v>0</v>
      </c>
      <c r="BS36" s="1" t="n">
        <f aca="false">IF(BF36&gt;PR_BalDone,MIN(F_LoanPayM,BF36+BF36*(D_iL)),0)</f>
        <v>0</v>
      </c>
      <c r="BT36" s="1" t="n">
        <f aca="false">IF(BG36&gt;PR_BalDone,MIN(F_LoanPayM,BG36+BG36*(D_iL)),0)</f>
        <v>0</v>
      </c>
      <c r="BU36" s="1" t="n">
        <f aca="false">IF(BH36&gt;PR_BalDone,MIN(F_LoanPayM,BH36+BH36*(D_iL)),0)</f>
        <v>0</v>
      </c>
      <c r="BV36" s="1" t="n">
        <f aca="false">IF(BI36&gt;PR_BalDone,MIN(F_LoanPayM,BI36+BI36*(D_iL)),0)</f>
        <v>0</v>
      </c>
      <c r="BW36" s="1" t="n">
        <f aca="false">IF(BJ36&gt;PR_BalDone,MIN(F_LoanPayM,BJ36+BJ36*(D_iL)),0)</f>
        <v>0</v>
      </c>
      <c r="BX36" s="1" t="n">
        <f aca="false">IF(BK36&gt;PR_BalDone,MIN(F_LoanPayM,BK36+BK36*(D_iL)),0)</f>
        <v>0</v>
      </c>
      <c r="BY36" s="1" t="n">
        <f aca="false">IF(BL36&gt;PR_BalDone,MIN(F_LoanPayM,BL36+BL36*(D_iL)),0)</f>
        <v>0</v>
      </c>
      <c r="BZ36" s="1" t="n">
        <f aca="false">IF(BM36&gt;PR_BalDone,MIN(F_LoanPayM,BM36+BM36*(D_iL)),0)</f>
        <v>0</v>
      </c>
      <c r="CA36" s="1" t="n">
        <f aca="false">IF(BN36&gt;PR_BalDone,MIN(F_LoanPayM,BN36+BN36*(D_iL)),0)</f>
        <v>0</v>
      </c>
      <c r="CB36" s="1" t="n">
        <f aca="false">IF(BO36&gt;PR_BalDone,MIN(F_LoanPayM,BO36+BO36*(D_iL)),0)</f>
        <v>0</v>
      </c>
      <c r="CC36" s="1" t="n">
        <f aca="false">IF(BP36&gt;PR_BalDone,MIN(F_LoanPayM,BP36+BP36*(D_iL)),0)</f>
        <v>0</v>
      </c>
      <c r="CD36" s="1" t="n">
        <f aca="false">MAX(0,BQ36)</f>
        <v>0</v>
      </c>
      <c r="CE36" s="1" t="n">
        <f aca="false">SUM(BR36:CC36)</f>
        <v>0</v>
      </c>
      <c r="CF36" s="1" t="n">
        <f aca="false">IF(CF35&gt;1,DE35,CF35)</f>
        <v>0</v>
      </c>
      <c r="CG36" s="1" t="n">
        <f aca="false">IF(CF36&gt;PR_BalDone,CF36+CF36*(F_MR/12)-MIN(F_MortPayM,CF36+CF36*(F_MR/12)),CF36)</f>
        <v>0</v>
      </c>
      <c r="CH36" s="1" t="n">
        <f aca="false">IF(CG36&gt;PR_BalDone,CG36+CG36*(F_MR/12)-MIN(F_MortPayM,CG36+CG36*(F_MR/12)),CG36)</f>
        <v>0</v>
      </c>
      <c r="CI36" s="1" t="n">
        <f aca="false">IF(CH36&gt;PR_BalDone,CH36+CH36*(F_MR/12)-MIN(F_MortPayM,CH36+CH36*(F_MR/12)),CH36)</f>
        <v>0</v>
      </c>
      <c r="CJ36" s="1" t="n">
        <f aca="false">IF(CI36&gt;PR_BalDone,CI36+CI36*(F_MR/12)-MIN(F_MortPayM,CI36+CI36*(F_MR/12)),CI36)</f>
        <v>0</v>
      </c>
      <c r="CK36" s="1" t="n">
        <f aca="false">IF(CJ36&gt;PR_BalDone,CJ36+CJ36*(F_MR/12)-MIN(F_MortPayM,CJ36+CJ36*(F_MR/12)),CJ36)</f>
        <v>0</v>
      </c>
      <c r="CL36" s="1" t="n">
        <f aca="false">IF(CK36&gt;PR_BalDone,CK36+CK36*(F_MR/12)-MIN(F_MortPayM,CK36+CK36*(F_MR/12)),CK36)</f>
        <v>0</v>
      </c>
      <c r="CM36" s="1" t="n">
        <f aca="false">IF(CL36&gt;PR_BalDone,CL36+CL36*(F_MR/12)-MIN(F_MortPayM,CL36+CL36*(F_MR/12)),CL36)</f>
        <v>0</v>
      </c>
      <c r="CN36" s="1" t="n">
        <f aca="false">IF(CM36&gt;PR_BalDone,CM36+CM36*(F_MR/12)-MIN(F_MortPayM,CM36+CM36*(F_MR/12)),CM36)</f>
        <v>0</v>
      </c>
      <c r="CO36" s="1" t="n">
        <f aca="false">IF(CN36&gt;PR_BalDone,CN36+CN36*(F_MR/12)-MIN(F_MortPayM,CN36+CN36*(F_MR/12)),CN36)</f>
        <v>0</v>
      </c>
      <c r="CP36" s="1" t="n">
        <f aca="false">IF(CO36&gt;PR_BalDone,CO36+CO36*(F_MR/12)-MIN(F_MortPayM,CO36+CO36*(F_MR/12)),CO36)</f>
        <v>0</v>
      </c>
      <c r="CQ36" s="1" t="n">
        <f aca="false">IF(CP36&gt;PR_BalDone,CP36+CP36*(F_MR/12)-MIN(F_MortPayM,CP36+CP36*(F_MR/12)),CP36)</f>
        <v>0</v>
      </c>
      <c r="CR36" s="1" t="n">
        <f aca="false">IF(CQ36&gt;PR_BalDone,CQ36+CQ36*(F_MR/12)-MIN(F_MortPayM,CQ36+CQ36*(F_MR/12)),CQ36)</f>
        <v>0</v>
      </c>
      <c r="CS36" s="1" t="n">
        <f aca="false">IF(CF36&gt;PR_BalDone,MIN(F_MortPayM,CF36+CF36*(F_MR/12)),0)</f>
        <v>0</v>
      </c>
      <c r="CT36" s="1" t="n">
        <f aca="false">IF(CG36&gt;PR_BalDone,MIN(F_MortPayM,CG36+CG36*(F_MR/12)),0)</f>
        <v>0</v>
      </c>
      <c r="CU36" s="1" t="n">
        <f aca="false">IF(CH36&gt;PR_BalDone,MIN(F_MortPayM,CH36+CH36*(F_MR/12)),0)</f>
        <v>0</v>
      </c>
      <c r="CV36" s="1" t="n">
        <f aca="false">IF(CI36&gt;PR_BalDone,MIN(F_MortPayM,CI36+CI36*(F_MR/12)),0)</f>
        <v>0</v>
      </c>
      <c r="CW36" s="1" t="n">
        <f aca="false">IF(CJ36&gt;PR_BalDone,MIN(F_MortPayM,CJ36+CJ36*(F_MR/12)),0)</f>
        <v>0</v>
      </c>
      <c r="CX36" s="1" t="n">
        <f aca="false">IF(CK36&gt;PR_BalDone,MIN(F_MortPayM,CK36+CK36*(F_MR/12)),0)</f>
        <v>0</v>
      </c>
      <c r="CY36" s="1" t="n">
        <f aca="false">IF(CL36&gt;PR_BalDone,MIN(F_MortPayM,CL36+CL36*(F_MR/12)),0)</f>
        <v>0</v>
      </c>
      <c r="CZ36" s="1" t="n">
        <f aca="false">IF(CM36&gt;PR_BalDone,MIN(F_MortPayM,CM36+CM36*(F_MR/12)),0)</f>
        <v>0</v>
      </c>
      <c r="DA36" s="1" t="n">
        <f aca="false">IF(CN36&gt;PR_BalDone,MIN(F_MortPayM,CN36+CN36*(F_MR/12)),0)</f>
        <v>0</v>
      </c>
      <c r="DB36" s="1" t="n">
        <f aca="false">IF(CO36&gt;PR_BalDone,MIN(F_MortPayM,CO36+CO36*(F_MR/12)),0)</f>
        <v>0</v>
      </c>
      <c r="DC36" s="1" t="n">
        <f aca="false">IF(CP36&gt;PR_BalDone,MIN(F_MortPayM,CP36+CP36*(F_MR/12)),0)</f>
        <v>0</v>
      </c>
      <c r="DD36" s="1" t="n">
        <f aca="false">IF(CQ36&gt;PR_BalDone,MIN(F_MortPayM,CQ36+CQ36*(F_MR/12)),0)</f>
        <v>0</v>
      </c>
      <c r="DE36" s="1" t="n">
        <f aca="false">MAX(0,CR36)</f>
        <v>0</v>
      </c>
      <c r="DF36" s="1" t="n">
        <f aca="false">SUM(CS36:DD36)</f>
        <v>0</v>
      </c>
      <c r="DG36" s="1" t="n">
        <f aca="false">MAX(0,CF36)</f>
        <v>0</v>
      </c>
    </row>
    <row r="37" customFormat="false" ht="15" hidden="false" customHeight="true" outlineLevel="0" collapsed="false">
      <c r="B37" s="1" t="n">
        <v>29</v>
      </c>
      <c r="C37" s="1" t="n">
        <f aca="false">'Plan cashflow'!I37</f>
        <v>0</v>
      </c>
      <c r="D37" s="1" t="n">
        <f aca="false">IF(C37&gt;PR_BalDone,C37+C37*(F_MR/12)-MIN(F_MortPayM,C37+C37*(F_MR/12)),C37)</f>
        <v>0</v>
      </c>
      <c r="E37" s="1" t="n">
        <f aca="false">IF(D37&gt;PR_BalDone,D37+D37*(F_MR/12)-MIN(F_MortPayM,D37+D37*(F_MR/12)),D37)</f>
        <v>0</v>
      </c>
      <c r="F37" s="1" t="n">
        <f aca="false">IF(E37&gt;PR_BalDone,E37+E37*(F_MR/12)-MIN(F_MortPayM,E37+E37*(F_MR/12)),E37)</f>
        <v>0</v>
      </c>
      <c r="G37" s="1" t="n">
        <f aca="false">IF(F37&gt;PR_BalDone,F37+F37*(F_MR/12)-MIN(F_MortPayM,F37+F37*(F_MR/12)),F37)</f>
        <v>0</v>
      </c>
      <c r="H37" s="1" t="n">
        <f aca="false">IF(G37&gt;PR_BalDone,G37+G37*(F_MR/12)-MIN(F_MortPayM,G37+G37*(F_MR/12)),G37)</f>
        <v>0</v>
      </c>
      <c r="I37" s="1" t="n">
        <f aca="false">IF(H37&gt;PR_BalDone,H37+H37*(F_MR/12)-MIN(F_MortPayM,H37+H37*(F_MR/12)),H37)</f>
        <v>0</v>
      </c>
      <c r="J37" s="1" t="n">
        <f aca="false">IF(I37&gt;PR_BalDone,I37+I37*(F_MR/12)-MIN(F_MortPayM,I37+I37*(F_MR/12)),I37)</f>
        <v>0</v>
      </c>
      <c r="K37" s="1" t="n">
        <f aca="false">IF(J37&gt;PR_BalDone,J37+J37*(F_MR/12)-MIN(F_MortPayM,J37+J37*(F_MR/12)),J37)</f>
        <v>0</v>
      </c>
      <c r="L37" s="1" t="n">
        <f aca="false">IF(K37&gt;PR_BalDone,K37+K37*(F_MR/12)-MIN(F_MortPayM,K37+K37*(F_MR/12)),K37)</f>
        <v>0</v>
      </c>
      <c r="M37" s="1" t="n">
        <f aca="false">IF(L37&gt;PR_BalDone,L37+L37*(F_MR/12)-MIN(F_MortPayM,L37+L37*(F_MR/12)),L37)</f>
        <v>0</v>
      </c>
      <c r="N37" s="1" t="n">
        <f aca="false">IF(M37&gt;PR_BalDone,M37+M37*(F_MR/12)-MIN(F_MortPayM,M37+M37*(F_MR/12)),M37)</f>
        <v>0</v>
      </c>
      <c r="O37" s="1" t="n">
        <f aca="false">IF(N37&gt;PR_BalDone,N37+N37*(F_MR/12)-MIN(F_MortPayM,N37+N37*(F_MR/12)),N37)</f>
        <v>0</v>
      </c>
      <c r="P37" s="1" t="n">
        <f aca="false">IF(C37&gt;PR_BalDone,MIN(F_MortPayM,C37+C37*(F_MR/12)),0)</f>
        <v>0</v>
      </c>
      <c r="Q37" s="1" t="n">
        <f aca="false">IF(D37&gt;PR_BalDone,MIN(F_MortPayM,D37+D37*(F_MR/12)),0)</f>
        <v>0</v>
      </c>
      <c r="R37" s="1" t="n">
        <f aca="false">IF(E37&gt;PR_BalDone,MIN(F_MortPayM,E37+E37*(F_MR/12)),0)</f>
        <v>0</v>
      </c>
      <c r="S37" s="1" t="n">
        <f aca="false">IF(F37&gt;PR_BalDone,MIN(F_MortPayM,F37+F37*(F_MR/12)),0)</f>
        <v>0</v>
      </c>
      <c r="T37" s="1" t="n">
        <f aca="false">IF(G37&gt;PR_BalDone,MIN(F_MortPayM,G37+G37*(F_MR/12)),0)</f>
        <v>0</v>
      </c>
      <c r="U37" s="1" t="n">
        <f aca="false">IF(H37&gt;PR_BalDone,MIN(F_MortPayM,H37+H37*(F_MR/12)),0)</f>
        <v>0</v>
      </c>
      <c r="V37" s="1" t="n">
        <f aca="false">IF(I37&gt;PR_BalDone,MIN(F_MortPayM,I37+I37*(F_MR/12)),0)</f>
        <v>0</v>
      </c>
      <c r="W37" s="1" t="n">
        <f aca="false">IF(J37&gt;PR_BalDone,MIN(F_MortPayM,J37+J37*(F_MR/12)),0)</f>
        <v>0</v>
      </c>
      <c r="X37" s="1" t="n">
        <f aca="false">IF(K37&gt;PR_BalDone,MIN(F_MortPayM,K37+K37*(F_MR/12)),0)</f>
        <v>0</v>
      </c>
      <c r="Y37" s="1" t="n">
        <f aca="false">IF(L37&gt;PR_BalDone,MIN(F_MortPayM,L37+L37*(F_MR/12)),0)</f>
        <v>0</v>
      </c>
      <c r="Z37" s="1" t="n">
        <f aca="false">IF(M37&gt;PR_BalDone,MIN(F_MortPayM,M37+M37*(F_MR/12)),0)</f>
        <v>0</v>
      </c>
      <c r="AA37" s="1" t="n">
        <f aca="false">IF(N37&gt;PR_BalDone,MIN(F_MortPayM,N37+N37*(F_MR/12)),0)</f>
        <v>0</v>
      </c>
      <c r="AB37" s="1" t="n">
        <f aca="false">MAX(0,O37)</f>
        <v>0</v>
      </c>
      <c r="AC37" s="1" t="n">
        <f aca="false">SUM(P37:AA37)</f>
        <v>0</v>
      </c>
      <c r="AD37" s="1" t="n">
        <f aca="false">'Plan cashflow'!L37</f>
        <v>0</v>
      </c>
      <c r="AE37" s="1" t="n">
        <f aca="false">IF(AD37&gt;PR_BalDone,AD37+AD37*(D_iC)-MIN(F_CardPayM,AD37+AD37*(D_iC)),AD37)</f>
        <v>0</v>
      </c>
      <c r="AF37" s="1" t="n">
        <f aca="false">IF(AE37&gt;PR_BalDone,AE37+AE37*(D_iC)-MIN(F_CardPayM,AE37+AE37*(D_iC)),AE37)</f>
        <v>0</v>
      </c>
      <c r="AG37" s="1" t="n">
        <f aca="false">IF(AF37&gt;PR_BalDone,AF37+AF37*(D_iC)-MIN(F_CardPayM,AF37+AF37*(D_iC)),AF37)</f>
        <v>0</v>
      </c>
      <c r="AH37" s="1" t="n">
        <f aca="false">IF(AG37&gt;PR_BalDone,AG37+AG37*(D_iC)-MIN(F_CardPayM,AG37+AG37*(D_iC)),AG37)</f>
        <v>0</v>
      </c>
      <c r="AI37" s="1" t="n">
        <f aca="false">IF(AH37&gt;PR_BalDone,AH37+AH37*(D_iC)-MIN(F_CardPayM,AH37+AH37*(D_iC)),AH37)</f>
        <v>0</v>
      </c>
      <c r="AJ37" s="1" t="n">
        <f aca="false">IF(AI37&gt;PR_BalDone,AI37+AI37*(D_iC)-MIN(F_CardPayM,AI37+AI37*(D_iC)),AI37)</f>
        <v>0</v>
      </c>
      <c r="AK37" s="1" t="n">
        <f aca="false">IF(AJ37&gt;PR_BalDone,AJ37+AJ37*(D_iC)-MIN(F_CardPayM,AJ37+AJ37*(D_iC)),AJ37)</f>
        <v>0</v>
      </c>
      <c r="AL37" s="1" t="n">
        <f aca="false">IF(AK37&gt;PR_BalDone,AK37+AK37*(D_iC)-MIN(F_CardPayM,AK37+AK37*(D_iC)),AK37)</f>
        <v>0</v>
      </c>
      <c r="AM37" s="1" t="n">
        <f aca="false">IF(AL37&gt;PR_BalDone,AL37+AL37*(D_iC)-MIN(F_CardPayM,AL37+AL37*(D_iC)),AL37)</f>
        <v>0</v>
      </c>
      <c r="AN37" s="1" t="n">
        <f aca="false">IF(AM37&gt;PR_BalDone,AM37+AM37*(D_iC)-MIN(F_CardPayM,AM37+AM37*(D_iC)),AM37)</f>
        <v>0</v>
      </c>
      <c r="AO37" s="1" t="n">
        <f aca="false">IF(AN37&gt;PR_BalDone,AN37+AN37*(D_iC)-MIN(F_CardPayM,AN37+AN37*(D_iC)),AN37)</f>
        <v>0</v>
      </c>
      <c r="AP37" s="1" t="n">
        <f aca="false">IF(AO37&gt;PR_BalDone,AO37+AO37*(D_iC)-MIN(F_CardPayM,AO37+AO37*(D_iC)),AO37)</f>
        <v>0</v>
      </c>
      <c r="AQ37" s="1" t="n">
        <f aca="false">IF(AD37&gt;PR_BalDone,MIN(F_CardPayM,AD37+AD37*(D_iC)),0)</f>
        <v>0</v>
      </c>
      <c r="AR37" s="1" t="n">
        <f aca="false">IF(AE37&gt;PR_BalDone,MIN(F_CardPayM,AE37+AE37*(D_iC)),0)</f>
        <v>0</v>
      </c>
      <c r="AS37" s="1" t="n">
        <f aca="false">IF(AF37&gt;PR_BalDone,MIN(F_CardPayM,AF37+AF37*(D_iC)),0)</f>
        <v>0</v>
      </c>
      <c r="AT37" s="1" t="n">
        <f aca="false">IF(AG37&gt;PR_BalDone,MIN(F_CardPayM,AG37+AG37*(D_iC)),0)</f>
        <v>0</v>
      </c>
      <c r="AU37" s="1" t="n">
        <f aca="false">IF(AH37&gt;PR_BalDone,MIN(F_CardPayM,AH37+AH37*(D_iC)),0)</f>
        <v>0</v>
      </c>
      <c r="AV37" s="1" t="n">
        <f aca="false">IF(AI37&gt;PR_BalDone,MIN(F_CardPayM,AI37+AI37*(D_iC)),0)</f>
        <v>0</v>
      </c>
      <c r="AW37" s="1" t="n">
        <f aca="false">IF(AJ37&gt;PR_BalDone,MIN(F_CardPayM,AJ37+AJ37*(D_iC)),0)</f>
        <v>0</v>
      </c>
      <c r="AX37" s="1" t="n">
        <f aca="false">IF(AK37&gt;PR_BalDone,MIN(F_CardPayM,AK37+AK37*(D_iC)),0)</f>
        <v>0</v>
      </c>
      <c r="AY37" s="1" t="n">
        <f aca="false">IF(AL37&gt;PR_BalDone,MIN(F_CardPayM,AL37+AL37*(D_iC)),0)</f>
        <v>0</v>
      </c>
      <c r="AZ37" s="1" t="n">
        <f aca="false">IF(AM37&gt;PR_BalDone,MIN(F_CardPayM,AM37+AM37*(D_iC)),0)</f>
        <v>0</v>
      </c>
      <c r="BA37" s="1" t="n">
        <f aca="false">IF(AN37&gt;PR_BalDone,MIN(F_CardPayM,AN37+AN37*(D_iC)),0)</f>
        <v>0</v>
      </c>
      <c r="BB37" s="1" t="n">
        <f aca="false">IF(AO37&gt;PR_BalDone,MIN(F_CardPayM,AO37+AO37*(D_iC)),0)</f>
        <v>0</v>
      </c>
      <c r="BC37" s="1" t="n">
        <f aca="false">MAX(0,AP37)</f>
        <v>0</v>
      </c>
      <c r="BD37" s="1" t="n">
        <f aca="false">SUM(AQ37:BB37)</f>
        <v>0</v>
      </c>
      <c r="BE37" s="1" t="n">
        <f aca="false">'Plan cashflow'!O37</f>
        <v>0</v>
      </c>
      <c r="BF37" s="1" t="n">
        <f aca="false">IF(BE37&gt;PR_BalDone,BE37+BE37*(D_iL)-MIN(F_LoanPayM,BE37+BE37*(D_iL)),BE37)</f>
        <v>0</v>
      </c>
      <c r="BG37" s="1" t="n">
        <f aca="false">IF(BF37&gt;PR_BalDone,BF37+BF37*(D_iL)-MIN(F_LoanPayM,BF37+BF37*(D_iL)),BF37)</f>
        <v>0</v>
      </c>
      <c r="BH37" s="1" t="n">
        <f aca="false">IF(BG37&gt;PR_BalDone,BG37+BG37*(D_iL)-MIN(F_LoanPayM,BG37+BG37*(D_iL)),BG37)</f>
        <v>0</v>
      </c>
      <c r="BI37" s="1" t="n">
        <f aca="false">IF(BH37&gt;PR_BalDone,BH37+BH37*(D_iL)-MIN(F_LoanPayM,BH37+BH37*(D_iL)),BH37)</f>
        <v>0</v>
      </c>
      <c r="BJ37" s="1" t="n">
        <f aca="false">IF(BI37&gt;PR_BalDone,BI37+BI37*(D_iL)-MIN(F_LoanPayM,BI37+BI37*(D_iL)),BI37)</f>
        <v>0</v>
      </c>
      <c r="BK37" s="1" t="n">
        <f aca="false">IF(BJ37&gt;PR_BalDone,BJ37+BJ37*(D_iL)-MIN(F_LoanPayM,BJ37+BJ37*(D_iL)),BJ37)</f>
        <v>0</v>
      </c>
      <c r="BL37" s="1" t="n">
        <f aca="false">IF(BK37&gt;PR_BalDone,BK37+BK37*(D_iL)-MIN(F_LoanPayM,BK37+BK37*(D_iL)),BK37)</f>
        <v>0</v>
      </c>
      <c r="BM37" s="1" t="n">
        <f aca="false">IF(BL37&gt;PR_BalDone,BL37+BL37*(D_iL)-MIN(F_LoanPayM,BL37+BL37*(D_iL)),BL37)</f>
        <v>0</v>
      </c>
      <c r="BN37" s="1" t="n">
        <f aca="false">IF(BM37&gt;PR_BalDone,BM37+BM37*(D_iL)-MIN(F_LoanPayM,BM37+BM37*(D_iL)),BM37)</f>
        <v>0</v>
      </c>
      <c r="BO37" s="1" t="n">
        <f aca="false">IF(BN37&gt;PR_BalDone,BN37+BN37*(D_iL)-MIN(F_LoanPayM,BN37+BN37*(D_iL)),BN37)</f>
        <v>0</v>
      </c>
      <c r="BP37" s="1" t="n">
        <f aca="false">IF(BO37&gt;PR_BalDone,BO37+BO37*(D_iL)-MIN(F_LoanPayM,BO37+BO37*(D_iL)),BO37)</f>
        <v>0</v>
      </c>
      <c r="BQ37" s="1" t="n">
        <f aca="false">IF(BP37&gt;PR_BalDone,BP37+BP37*(D_iL)-MIN(F_LoanPayM,BP37+BP37*(D_iL)),BP37)</f>
        <v>0</v>
      </c>
      <c r="BR37" s="1" t="n">
        <f aca="false">IF(BE37&gt;PR_BalDone,MIN(F_LoanPayM,BE37+BE37*(D_iL)),0)</f>
        <v>0</v>
      </c>
      <c r="BS37" s="1" t="n">
        <f aca="false">IF(BF37&gt;PR_BalDone,MIN(F_LoanPayM,BF37+BF37*(D_iL)),0)</f>
        <v>0</v>
      </c>
      <c r="BT37" s="1" t="n">
        <f aca="false">IF(BG37&gt;PR_BalDone,MIN(F_LoanPayM,BG37+BG37*(D_iL)),0)</f>
        <v>0</v>
      </c>
      <c r="BU37" s="1" t="n">
        <f aca="false">IF(BH37&gt;PR_BalDone,MIN(F_LoanPayM,BH37+BH37*(D_iL)),0)</f>
        <v>0</v>
      </c>
      <c r="BV37" s="1" t="n">
        <f aca="false">IF(BI37&gt;PR_BalDone,MIN(F_LoanPayM,BI37+BI37*(D_iL)),0)</f>
        <v>0</v>
      </c>
      <c r="BW37" s="1" t="n">
        <f aca="false">IF(BJ37&gt;PR_BalDone,MIN(F_LoanPayM,BJ37+BJ37*(D_iL)),0)</f>
        <v>0</v>
      </c>
      <c r="BX37" s="1" t="n">
        <f aca="false">IF(BK37&gt;PR_BalDone,MIN(F_LoanPayM,BK37+BK37*(D_iL)),0)</f>
        <v>0</v>
      </c>
      <c r="BY37" s="1" t="n">
        <f aca="false">IF(BL37&gt;PR_BalDone,MIN(F_LoanPayM,BL37+BL37*(D_iL)),0)</f>
        <v>0</v>
      </c>
      <c r="BZ37" s="1" t="n">
        <f aca="false">IF(BM37&gt;PR_BalDone,MIN(F_LoanPayM,BM37+BM37*(D_iL)),0)</f>
        <v>0</v>
      </c>
      <c r="CA37" s="1" t="n">
        <f aca="false">IF(BN37&gt;PR_BalDone,MIN(F_LoanPayM,BN37+BN37*(D_iL)),0)</f>
        <v>0</v>
      </c>
      <c r="CB37" s="1" t="n">
        <f aca="false">IF(BO37&gt;PR_BalDone,MIN(F_LoanPayM,BO37+BO37*(D_iL)),0)</f>
        <v>0</v>
      </c>
      <c r="CC37" s="1" t="n">
        <f aca="false">IF(BP37&gt;PR_BalDone,MIN(F_LoanPayM,BP37+BP37*(D_iL)),0)</f>
        <v>0</v>
      </c>
      <c r="CD37" s="1" t="n">
        <f aca="false">MAX(0,BQ37)</f>
        <v>0</v>
      </c>
      <c r="CE37" s="1" t="n">
        <f aca="false">SUM(BR37:CC37)</f>
        <v>0</v>
      </c>
      <c r="CF37" s="1" t="n">
        <f aca="false">IF(CF36&gt;1,DE36,CF36)</f>
        <v>0</v>
      </c>
      <c r="CG37" s="1" t="n">
        <f aca="false">IF(CF37&gt;PR_BalDone,CF37+CF37*(F_MR/12)-MIN(F_MortPayM,CF37+CF37*(F_MR/12)),CF37)</f>
        <v>0</v>
      </c>
      <c r="CH37" s="1" t="n">
        <f aca="false">IF(CG37&gt;PR_BalDone,CG37+CG37*(F_MR/12)-MIN(F_MortPayM,CG37+CG37*(F_MR/12)),CG37)</f>
        <v>0</v>
      </c>
      <c r="CI37" s="1" t="n">
        <f aca="false">IF(CH37&gt;PR_BalDone,CH37+CH37*(F_MR/12)-MIN(F_MortPayM,CH37+CH37*(F_MR/12)),CH37)</f>
        <v>0</v>
      </c>
      <c r="CJ37" s="1" t="n">
        <f aca="false">IF(CI37&gt;PR_BalDone,CI37+CI37*(F_MR/12)-MIN(F_MortPayM,CI37+CI37*(F_MR/12)),CI37)</f>
        <v>0</v>
      </c>
      <c r="CK37" s="1" t="n">
        <f aca="false">IF(CJ37&gt;PR_BalDone,CJ37+CJ37*(F_MR/12)-MIN(F_MortPayM,CJ37+CJ37*(F_MR/12)),CJ37)</f>
        <v>0</v>
      </c>
      <c r="CL37" s="1" t="n">
        <f aca="false">IF(CK37&gt;PR_BalDone,CK37+CK37*(F_MR/12)-MIN(F_MortPayM,CK37+CK37*(F_MR/12)),CK37)</f>
        <v>0</v>
      </c>
      <c r="CM37" s="1" t="n">
        <f aca="false">IF(CL37&gt;PR_BalDone,CL37+CL37*(F_MR/12)-MIN(F_MortPayM,CL37+CL37*(F_MR/12)),CL37)</f>
        <v>0</v>
      </c>
      <c r="CN37" s="1" t="n">
        <f aca="false">IF(CM37&gt;PR_BalDone,CM37+CM37*(F_MR/12)-MIN(F_MortPayM,CM37+CM37*(F_MR/12)),CM37)</f>
        <v>0</v>
      </c>
      <c r="CO37" s="1" t="n">
        <f aca="false">IF(CN37&gt;PR_BalDone,CN37+CN37*(F_MR/12)-MIN(F_MortPayM,CN37+CN37*(F_MR/12)),CN37)</f>
        <v>0</v>
      </c>
      <c r="CP37" s="1" t="n">
        <f aca="false">IF(CO37&gt;PR_BalDone,CO37+CO37*(F_MR/12)-MIN(F_MortPayM,CO37+CO37*(F_MR/12)),CO37)</f>
        <v>0</v>
      </c>
      <c r="CQ37" s="1" t="n">
        <f aca="false">IF(CP37&gt;PR_BalDone,CP37+CP37*(F_MR/12)-MIN(F_MortPayM,CP37+CP37*(F_MR/12)),CP37)</f>
        <v>0</v>
      </c>
      <c r="CR37" s="1" t="n">
        <f aca="false">IF(CQ37&gt;PR_BalDone,CQ37+CQ37*(F_MR/12)-MIN(F_MortPayM,CQ37+CQ37*(F_MR/12)),CQ37)</f>
        <v>0</v>
      </c>
      <c r="CS37" s="1" t="n">
        <f aca="false">IF(CF37&gt;PR_BalDone,MIN(F_MortPayM,CF37+CF37*(F_MR/12)),0)</f>
        <v>0</v>
      </c>
      <c r="CT37" s="1" t="n">
        <f aca="false">IF(CG37&gt;PR_BalDone,MIN(F_MortPayM,CG37+CG37*(F_MR/12)),0)</f>
        <v>0</v>
      </c>
      <c r="CU37" s="1" t="n">
        <f aca="false">IF(CH37&gt;PR_BalDone,MIN(F_MortPayM,CH37+CH37*(F_MR/12)),0)</f>
        <v>0</v>
      </c>
      <c r="CV37" s="1" t="n">
        <f aca="false">IF(CI37&gt;PR_BalDone,MIN(F_MortPayM,CI37+CI37*(F_MR/12)),0)</f>
        <v>0</v>
      </c>
      <c r="CW37" s="1" t="n">
        <f aca="false">IF(CJ37&gt;PR_BalDone,MIN(F_MortPayM,CJ37+CJ37*(F_MR/12)),0)</f>
        <v>0</v>
      </c>
      <c r="CX37" s="1" t="n">
        <f aca="false">IF(CK37&gt;PR_BalDone,MIN(F_MortPayM,CK37+CK37*(F_MR/12)),0)</f>
        <v>0</v>
      </c>
      <c r="CY37" s="1" t="n">
        <f aca="false">IF(CL37&gt;PR_BalDone,MIN(F_MortPayM,CL37+CL37*(F_MR/12)),0)</f>
        <v>0</v>
      </c>
      <c r="CZ37" s="1" t="n">
        <f aca="false">IF(CM37&gt;PR_BalDone,MIN(F_MortPayM,CM37+CM37*(F_MR/12)),0)</f>
        <v>0</v>
      </c>
      <c r="DA37" s="1" t="n">
        <f aca="false">IF(CN37&gt;PR_BalDone,MIN(F_MortPayM,CN37+CN37*(F_MR/12)),0)</f>
        <v>0</v>
      </c>
      <c r="DB37" s="1" t="n">
        <f aca="false">IF(CO37&gt;PR_BalDone,MIN(F_MortPayM,CO37+CO37*(F_MR/12)),0)</f>
        <v>0</v>
      </c>
      <c r="DC37" s="1" t="n">
        <f aca="false">IF(CP37&gt;PR_BalDone,MIN(F_MortPayM,CP37+CP37*(F_MR/12)),0)</f>
        <v>0</v>
      </c>
      <c r="DD37" s="1" t="n">
        <f aca="false">IF(CQ37&gt;PR_BalDone,MIN(F_MortPayM,CQ37+CQ37*(F_MR/12)),0)</f>
        <v>0</v>
      </c>
      <c r="DE37" s="1" t="n">
        <f aca="false">MAX(0,CR37)</f>
        <v>0</v>
      </c>
      <c r="DF37" s="1" t="n">
        <f aca="false">SUM(CS37:DD37)</f>
        <v>0</v>
      </c>
      <c r="DG37" s="1" t="n">
        <f aca="false">MAX(0,CF37)</f>
        <v>0</v>
      </c>
    </row>
    <row r="38" customFormat="false" ht="15" hidden="false" customHeight="true" outlineLevel="0" collapsed="false">
      <c r="B38" s="1" t="n">
        <v>30</v>
      </c>
      <c r="C38" s="1" t="n">
        <f aca="false">'Plan cashflow'!I38</f>
        <v>0</v>
      </c>
      <c r="D38" s="1" t="n">
        <f aca="false">IF(C38&gt;PR_BalDone,C38+C38*(F_MR/12)-MIN(F_MortPayM,C38+C38*(F_MR/12)),C38)</f>
        <v>0</v>
      </c>
      <c r="E38" s="1" t="n">
        <f aca="false">IF(D38&gt;PR_BalDone,D38+D38*(F_MR/12)-MIN(F_MortPayM,D38+D38*(F_MR/12)),D38)</f>
        <v>0</v>
      </c>
      <c r="F38" s="1" t="n">
        <f aca="false">IF(E38&gt;PR_BalDone,E38+E38*(F_MR/12)-MIN(F_MortPayM,E38+E38*(F_MR/12)),E38)</f>
        <v>0</v>
      </c>
      <c r="G38" s="1" t="n">
        <f aca="false">IF(F38&gt;PR_BalDone,F38+F38*(F_MR/12)-MIN(F_MortPayM,F38+F38*(F_MR/12)),F38)</f>
        <v>0</v>
      </c>
      <c r="H38" s="1" t="n">
        <f aca="false">IF(G38&gt;PR_BalDone,G38+G38*(F_MR/12)-MIN(F_MortPayM,G38+G38*(F_MR/12)),G38)</f>
        <v>0</v>
      </c>
      <c r="I38" s="1" t="n">
        <f aca="false">IF(H38&gt;PR_BalDone,H38+H38*(F_MR/12)-MIN(F_MortPayM,H38+H38*(F_MR/12)),H38)</f>
        <v>0</v>
      </c>
      <c r="J38" s="1" t="n">
        <f aca="false">IF(I38&gt;PR_BalDone,I38+I38*(F_MR/12)-MIN(F_MortPayM,I38+I38*(F_MR/12)),I38)</f>
        <v>0</v>
      </c>
      <c r="K38" s="1" t="n">
        <f aca="false">IF(J38&gt;PR_BalDone,J38+J38*(F_MR/12)-MIN(F_MortPayM,J38+J38*(F_MR/12)),J38)</f>
        <v>0</v>
      </c>
      <c r="L38" s="1" t="n">
        <f aca="false">IF(K38&gt;PR_BalDone,K38+K38*(F_MR/12)-MIN(F_MortPayM,K38+K38*(F_MR/12)),K38)</f>
        <v>0</v>
      </c>
      <c r="M38" s="1" t="n">
        <f aca="false">IF(L38&gt;PR_BalDone,L38+L38*(F_MR/12)-MIN(F_MortPayM,L38+L38*(F_MR/12)),L38)</f>
        <v>0</v>
      </c>
      <c r="N38" s="1" t="n">
        <f aca="false">IF(M38&gt;PR_BalDone,M38+M38*(F_MR/12)-MIN(F_MortPayM,M38+M38*(F_MR/12)),M38)</f>
        <v>0</v>
      </c>
      <c r="O38" s="1" t="n">
        <f aca="false">IF(N38&gt;PR_BalDone,N38+N38*(F_MR/12)-MIN(F_MortPayM,N38+N38*(F_MR/12)),N38)</f>
        <v>0</v>
      </c>
      <c r="P38" s="1" t="n">
        <f aca="false">IF(C38&gt;PR_BalDone,MIN(F_MortPayM,C38+C38*(F_MR/12)),0)</f>
        <v>0</v>
      </c>
      <c r="Q38" s="1" t="n">
        <f aca="false">IF(D38&gt;PR_BalDone,MIN(F_MortPayM,D38+D38*(F_MR/12)),0)</f>
        <v>0</v>
      </c>
      <c r="R38" s="1" t="n">
        <f aca="false">IF(E38&gt;PR_BalDone,MIN(F_MortPayM,E38+E38*(F_MR/12)),0)</f>
        <v>0</v>
      </c>
      <c r="S38" s="1" t="n">
        <f aca="false">IF(F38&gt;PR_BalDone,MIN(F_MortPayM,F38+F38*(F_MR/12)),0)</f>
        <v>0</v>
      </c>
      <c r="T38" s="1" t="n">
        <f aca="false">IF(G38&gt;PR_BalDone,MIN(F_MortPayM,G38+G38*(F_MR/12)),0)</f>
        <v>0</v>
      </c>
      <c r="U38" s="1" t="n">
        <f aca="false">IF(H38&gt;PR_BalDone,MIN(F_MortPayM,H38+H38*(F_MR/12)),0)</f>
        <v>0</v>
      </c>
      <c r="V38" s="1" t="n">
        <f aca="false">IF(I38&gt;PR_BalDone,MIN(F_MortPayM,I38+I38*(F_MR/12)),0)</f>
        <v>0</v>
      </c>
      <c r="W38" s="1" t="n">
        <f aca="false">IF(J38&gt;PR_BalDone,MIN(F_MortPayM,J38+J38*(F_MR/12)),0)</f>
        <v>0</v>
      </c>
      <c r="X38" s="1" t="n">
        <f aca="false">IF(K38&gt;PR_BalDone,MIN(F_MortPayM,K38+K38*(F_MR/12)),0)</f>
        <v>0</v>
      </c>
      <c r="Y38" s="1" t="n">
        <f aca="false">IF(L38&gt;PR_BalDone,MIN(F_MortPayM,L38+L38*(F_MR/12)),0)</f>
        <v>0</v>
      </c>
      <c r="Z38" s="1" t="n">
        <f aca="false">IF(M38&gt;PR_BalDone,MIN(F_MortPayM,M38+M38*(F_MR/12)),0)</f>
        <v>0</v>
      </c>
      <c r="AA38" s="1" t="n">
        <f aca="false">IF(N38&gt;PR_BalDone,MIN(F_MortPayM,N38+N38*(F_MR/12)),0)</f>
        <v>0</v>
      </c>
      <c r="AB38" s="1" t="n">
        <f aca="false">MAX(0,O38)</f>
        <v>0</v>
      </c>
      <c r="AC38" s="1" t="n">
        <f aca="false">SUM(P38:AA38)</f>
        <v>0</v>
      </c>
      <c r="AD38" s="1" t="n">
        <f aca="false">'Plan cashflow'!L38</f>
        <v>0</v>
      </c>
      <c r="AE38" s="1" t="n">
        <f aca="false">IF(AD38&gt;PR_BalDone,AD38+AD38*(D_iC)-MIN(F_CardPayM,AD38+AD38*(D_iC)),AD38)</f>
        <v>0</v>
      </c>
      <c r="AF38" s="1" t="n">
        <f aca="false">IF(AE38&gt;PR_BalDone,AE38+AE38*(D_iC)-MIN(F_CardPayM,AE38+AE38*(D_iC)),AE38)</f>
        <v>0</v>
      </c>
      <c r="AG38" s="1" t="n">
        <f aca="false">IF(AF38&gt;PR_BalDone,AF38+AF38*(D_iC)-MIN(F_CardPayM,AF38+AF38*(D_iC)),AF38)</f>
        <v>0</v>
      </c>
      <c r="AH38" s="1" t="n">
        <f aca="false">IF(AG38&gt;PR_BalDone,AG38+AG38*(D_iC)-MIN(F_CardPayM,AG38+AG38*(D_iC)),AG38)</f>
        <v>0</v>
      </c>
      <c r="AI38" s="1" t="n">
        <f aca="false">IF(AH38&gt;PR_BalDone,AH38+AH38*(D_iC)-MIN(F_CardPayM,AH38+AH38*(D_iC)),AH38)</f>
        <v>0</v>
      </c>
      <c r="AJ38" s="1" t="n">
        <f aca="false">IF(AI38&gt;PR_BalDone,AI38+AI38*(D_iC)-MIN(F_CardPayM,AI38+AI38*(D_iC)),AI38)</f>
        <v>0</v>
      </c>
      <c r="AK38" s="1" t="n">
        <f aca="false">IF(AJ38&gt;PR_BalDone,AJ38+AJ38*(D_iC)-MIN(F_CardPayM,AJ38+AJ38*(D_iC)),AJ38)</f>
        <v>0</v>
      </c>
      <c r="AL38" s="1" t="n">
        <f aca="false">IF(AK38&gt;PR_BalDone,AK38+AK38*(D_iC)-MIN(F_CardPayM,AK38+AK38*(D_iC)),AK38)</f>
        <v>0</v>
      </c>
      <c r="AM38" s="1" t="n">
        <f aca="false">IF(AL38&gt;PR_BalDone,AL38+AL38*(D_iC)-MIN(F_CardPayM,AL38+AL38*(D_iC)),AL38)</f>
        <v>0</v>
      </c>
      <c r="AN38" s="1" t="n">
        <f aca="false">IF(AM38&gt;PR_BalDone,AM38+AM38*(D_iC)-MIN(F_CardPayM,AM38+AM38*(D_iC)),AM38)</f>
        <v>0</v>
      </c>
      <c r="AO38" s="1" t="n">
        <f aca="false">IF(AN38&gt;PR_BalDone,AN38+AN38*(D_iC)-MIN(F_CardPayM,AN38+AN38*(D_iC)),AN38)</f>
        <v>0</v>
      </c>
      <c r="AP38" s="1" t="n">
        <f aca="false">IF(AO38&gt;PR_BalDone,AO38+AO38*(D_iC)-MIN(F_CardPayM,AO38+AO38*(D_iC)),AO38)</f>
        <v>0</v>
      </c>
      <c r="AQ38" s="1" t="n">
        <f aca="false">IF(AD38&gt;PR_BalDone,MIN(F_CardPayM,AD38+AD38*(D_iC)),0)</f>
        <v>0</v>
      </c>
      <c r="AR38" s="1" t="n">
        <f aca="false">IF(AE38&gt;PR_BalDone,MIN(F_CardPayM,AE38+AE38*(D_iC)),0)</f>
        <v>0</v>
      </c>
      <c r="AS38" s="1" t="n">
        <f aca="false">IF(AF38&gt;PR_BalDone,MIN(F_CardPayM,AF38+AF38*(D_iC)),0)</f>
        <v>0</v>
      </c>
      <c r="AT38" s="1" t="n">
        <f aca="false">IF(AG38&gt;PR_BalDone,MIN(F_CardPayM,AG38+AG38*(D_iC)),0)</f>
        <v>0</v>
      </c>
      <c r="AU38" s="1" t="n">
        <f aca="false">IF(AH38&gt;PR_BalDone,MIN(F_CardPayM,AH38+AH38*(D_iC)),0)</f>
        <v>0</v>
      </c>
      <c r="AV38" s="1" t="n">
        <f aca="false">IF(AI38&gt;PR_BalDone,MIN(F_CardPayM,AI38+AI38*(D_iC)),0)</f>
        <v>0</v>
      </c>
      <c r="AW38" s="1" t="n">
        <f aca="false">IF(AJ38&gt;PR_BalDone,MIN(F_CardPayM,AJ38+AJ38*(D_iC)),0)</f>
        <v>0</v>
      </c>
      <c r="AX38" s="1" t="n">
        <f aca="false">IF(AK38&gt;PR_BalDone,MIN(F_CardPayM,AK38+AK38*(D_iC)),0)</f>
        <v>0</v>
      </c>
      <c r="AY38" s="1" t="n">
        <f aca="false">IF(AL38&gt;PR_BalDone,MIN(F_CardPayM,AL38+AL38*(D_iC)),0)</f>
        <v>0</v>
      </c>
      <c r="AZ38" s="1" t="n">
        <f aca="false">IF(AM38&gt;PR_BalDone,MIN(F_CardPayM,AM38+AM38*(D_iC)),0)</f>
        <v>0</v>
      </c>
      <c r="BA38" s="1" t="n">
        <f aca="false">IF(AN38&gt;PR_BalDone,MIN(F_CardPayM,AN38+AN38*(D_iC)),0)</f>
        <v>0</v>
      </c>
      <c r="BB38" s="1" t="n">
        <f aca="false">IF(AO38&gt;PR_BalDone,MIN(F_CardPayM,AO38+AO38*(D_iC)),0)</f>
        <v>0</v>
      </c>
      <c r="BC38" s="1" t="n">
        <f aca="false">MAX(0,AP38)</f>
        <v>0</v>
      </c>
      <c r="BD38" s="1" t="n">
        <f aca="false">SUM(AQ38:BB38)</f>
        <v>0</v>
      </c>
      <c r="BE38" s="1" t="n">
        <f aca="false">'Plan cashflow'!O38</f>
        <v>0</v>
      </c>
      <c r="BF38" s="1" t="n">
        <f aca="false">IF(BE38&gt;PR_BalDone,BE38+BE38*(D_iL)-MIN(F_LoanPayM,BE38+BE38*(D_iL)),BE38)</f>
        <v>0</v>
      </c>
      <c r="BG38" s="1" t="n">
        <f aca="false">IF(BF38&gt;PR_BalDone,BF38+BF38*(D_iL)-MIN(F_LoanPayM,BF38+BF38*(D_iL)),BF38)</f>
        <v>0</v>
      </c>
      <c r="BH38" s="1" t="n">
        <f aca="false">IF(BG38&gt;PR_BalDone,BG38+BG38*(D_iL)-MIN(F_LoanPayM,BG38+BG38*(D_iL)),BG38)</f>
        <v>0</v>
      </c>
      <c r="BI38" s="1" t="n">
        <f aca="false">IF(BH38&gt;PR_BalDone,BH38+BH38*(D_iL)-MIN(F_LoanPayM,BH38+BH38*(D_iL)),BH38)</f>
        <v>0</v>
      </c>
      <c r="BJ38" s="1" t="n">
        <f aca="false">IF(BI38&gt;PR_BalDone,BI38+BI38*(D_iL)-MIN(F_LoanPayM,BI38+BI38*(D_iL)),BI38)</f>
        <v>0</v>
      </c>
      <c r="BK38" s="1" t="n">
        <f aca="false">IF(BJ38&gt;PR_BalDone,BJ38+BJ38*(D_iL)-MIN(F_LoanPayM,BJ38+BJ38*(D_iL)),BJ38)</f>
        <v>0</v>
      </c>
      <c r="BL38" s="1" t="n">
        <f aca="false">IF(BK38&gt;PR_BalDone,BK38+BK38*(D_iL)-MIN(F_LoanPayM,BK38+BK38*(D_iL)),BK38)</f>
        <v>0</v>
      </c>
      <c r="BM38" s="1" t="n">
        <f aca="false">IF(BL38&gt;PR_BalDone,BL38+BL38*(D_iL)-MIN(F_LoanPayM,BL38+BL38*(D_iL)),BL38)</f>
        <v>0</v>
      </c>
      <c r="BN38" s="1" t="n">
        <f aca="false">IF(BM38&gt;PR_BalDone,BM38+BM38*(D_iL)-MIN(F_LoanPayM,BM38+BM38*(D_iL)),BM38)</f>
        <v>0</v>
      </c>
      <c r="BO38" s="1" t="n">
        <f aca="false">IF(BN38&gt;PR_BalDone,BN38+BN38*(D_iL)-MIN(F_LoanPayM,BN38+BN38*(D_iL)),BN38)</f>
        <v>0</v>
      </c>
      <c r="BP38" s="1" t="n">
        <f aca="false">IF(BO38&gt;PR_BalDone,BO38+BO38*(D_iL)-MIN(F_LoanPayM,BO38+BO38*(D_iL)),BO38)</f>
        <v>0</v>
      </c>
      <c r="BQ38" s="1" t="n">
        <f aca="false">IF(BP38&gt;PR_BalDone,BP38+BP38*(D_iL)-MIN(F_LoanPayM,BP38+BP38*(D_iL)),BP38)</f>
        <v>0</v>
      </c>
      <c r="BR38" s="1" t="n">
        <f aca="false">IF(BE38&gt;PR_BalDone,MIN(F_LoanPayM,BE38+BE38*(D_iL)),0)</f>
        <v>0</v>
      </c>
      <c r="BS38" s="1" t="n">
        <f aca="false">IF(BF38&gt;PR_BalDone,MIN(F_LoanPayM,BF38+BF38*(D_iL)),0)</f>
        <v>0</v>
      </c>
      <c r="BT38" s="1" t="n">
        <f aca="false">IF(BG38&gt;PR_BalDone,MIN(F_LoanPayM,BG38+BG38*(D_iL)),0)</f>
        <v>0</v>
      </c>
      <c r="BU38" s="1" t="n">
        <f aca="false">IF(BH38&gt;PR_BalDone,MIN(F_LoanPayM,BH38+BH38*(D_iL)),0)</f>
        <v>0</v>
      </c>
      <c r="BV38" s="1" t="n">
        <f aca="false">IF(BI38&gt;PR_BalDone,MIN(F_LoanPayM,BI38+BI38*(D_iL)),0)</f>
        <v>0</v>
      </c>
      <c r="BW38" s="1" t="n">
        <f aca="false">IF(BJ38&gt;PR_BalDone,MIN(F_LoanPayM,BJ38+BJ38*(D_iL)),0)</f>
        <v>0</v>
      </c>
      <c r="BX38" s="1" t="n">
        <f aca="false">IF(BK38&gt;PR_BalDone,MIN(F_LoanPayM,BK38+BK38*(D_iL)),0)</f>
        <v>0</v>
      </c>
      <c r="BY38" s="1" t="n">
        <f aca="false">IF(BL38&gt;PR_BalDone,MIN(F_LoanPayM,BL38+BL38*(D_iL)),0)</f>
        <v>0</v>
      </c>
      <c r="BZ38" s="1" t="n">
        <f aca="false">IF(BM38&gt;PR_BalDone,MIN(F_LoanPayM,BM38+BM38*(D_iL)),0)</f>
        <v>0</v>
      </c>
      <c r="CA38" s="1" t="n">
        <f aca="false">IF(BN38&gt;PR_BalDone,MIN(F_LoanPayM,BN38+BN38*(D_iL)),0)</f>
        <v>0</v>
      </c>
      <c r="CB38" s="1" t="n">
        <f aca="false">IF(BO38&gt;PR_BalDone,MIN(F_LoanPayM,BO38+BO38*(D_iL)),0)</f>
        <v>0</v>
      </c>
      <c r="CC38" s="1" t="n">
        <f aca="false">IF(BP38&gt;PR_BalDone,MIN(F_LoanPayM,BP38+BP38*(D_iL)),0)</f>
        <v>0</v>
      </c>
      <c r="CD38" s="1" t="n">
        <f aca="false">MAX(0,BQ38)</f>
        <v>0</v>
      </c>
      <c r="CE38" s="1" t="n">
        <f aca="false">SUM(BR38:CC38)</f>
        <v>0</v>
      </c>
      <c r="CF38" s="1" t="n">
        <f aca="false">IF(CF37&gt;1,DE37,CF37)</f>
        <v>0</v>
      </c>
      <c r="CG38" s="1" t="n">
        <f aca="false">IF(CF38&gt;PR_BalDone,CF38+CF38*(F_MR/12)-MIN(F_MortPayM,CF38+CF38*(F_MR/12)),CF38)</f>
        <v>0</v>
      </c>
      <c r="CH38" s="1" t="n">
        <f aca="false">IF(CG38&gt;PR_BalDone,CG38+CG38*(F_MR/12)-MIN(F_MortPayM,CG38+CG38*(F_MR/12)),CG38)</f>
        <v>0</v>
      </c>
      <c r="CI38" s="1" t="n">
        <f aca="false">IF(CH38&gt;PR_BalDone,CH38+CH38*(F_MR/12)-MIN(F_MortPayM,CH38+CH38*(F_MR/12)),CH38)</f>
        <v>0</v>
      </c>
      <c r="CJ38" s="1" t="n">
        <f aca="false">IF(CI38&gt;PR_BalDone,CI38+CI38*(F_MR/12)-MIN(F_MortPayM,CI38+CI38*(F_MR/12)),CI38)</f>
        <v>0</v>
      </c>
      <c r="CK38" s="1" t="n">
        <f aca="false">IF(CJ38&gt;PR_BalDone,CJ38+CJ38*(F_MR/12)-MIN(F_MortPayM,CJ38+CJ38*(F_MR/12)),CJ38)</f>
        <v>0</v>
      </c>
      <c r="CL38" s="1" t="n">
        <f aca="false">IF(CK38&gt;PR_BalDone,CK38+CK38*(F_MR/12)-MIN(F_MortPayM,CK38+CK38*(F_MR/12)),CK38)</f>
        <v>0</v>
      </c>
      <c r="CM38" s="1" t="n">
        <f aca="false">IF(CL38&gt;PR_BalDone,CL38+CL38*(F_MR/12)-MIN(F_MortPayM,CL38+CL38*(F_MR/12)),CL38)</f>
        <v>0</v>
      </c>
      <c r="CN38" s="1" t="n">
        <f aca="false">IF(CM38&gt;PR_BalDone,CM38+CM38*(F_MR/12)-MIN(F_MortPayM,CM38+CM38*(F_MR/12)),CM38)</f>
        <v>0</v>
      </c>
      <c r="CO38" s="1" t="n">
        <f aca="false">IF(CN38&gt;PR_BalDone,CN38+CN38*(F_MR/12)-MIN(F_MortPayM,CN38+CN38*(F_MR/12)),CN38)</f>
        <v>0</v>
      </c>
      <c r="CP38" s="1" t="n">
        <f aca="false">IF(CO38&gt;PR_BalDone,CO38+CO38*(F_MR/12)-MIN(F_MortPayM,CO38+CO38*(F_MR/12)),CO38)</f>
        <v>0</v>
      </c>
      <c r="CQ38" s="1" t="n">
        <f aca="false">IF(CP38&gt;PR_BalDone,CP38+CP38*(F_MR/12)-MIN(F_MortPayM,CP38+CP38*(F_MR/12)),CP38)</f>
        <v>0</v>
      </c>
      <c r="CR38" s="1" t="n">
        <f aca="false">IF(CQ38&gt;PR_BalDone,CQ38+CQ38*(F_MR/12)-MIN(F_MortPayM,CQ38+CQ38*(F_MR/12)),CQ38)</f>
        <v>0</v>
      </c>
      <c r="CS38" s="1" t="n">
        <f aca="false">IF(CF38&gt;PR_BalDone,MIN(F_MortPayM,CF38+CF38*(F_MR/12)),0)</f>
        <v>0</v>
      </c>
      <c r="CT38" s="1" t="n">
        <f aca="false">IF(CG38&gt;PR_BalDone,MIN(F_MortPayM,CG38+CG38*(F_MR/12)),0)</f>
        <v>0</v>
      </c>
      <c r="CU38" s="1" t="n">
        <f aca="false">IF(CH38&gt;PR_BalDone,MIN(F_MortPayM,CH38+CH38*(F_MR/12)),0)</f>
        <v>0</v>
      </c>
      <c r="CV38" s="1" t="n">
        <f aca="false">IF(CI38&gt;PR_BalDone,MIN(F_MortPayM,CI38+CI38*(F_MR/12)),0)</f>
        <v>0</v>
      </c>
      <c r="CW38" s="1" t="n">
        <f aca="false">IF(CJ38&gt;PR_BalDone,MIN(F_MortPayM,CJ38+CJ38*(F_MR/12)),0)</f>
        <v>0</v>
      </c>
      <c r="CX38" s="1" t="n">
        <f aca="false">IF(CK38&gt;PR_BalDone,MIN(F_MortPayM,CK38+CK38*(F_MR/12)),0)</f>
        <v>0</v>
      </c>
      <c r="CY38" s="1" t="n">
        <f aca="false">IF(CL38&gt;PR_BalDone,MIN(F_MortPayM,CL38+CL38*(F_MR/12)),0)</f>
        <v>0</v>
      </c>
      <c r="CZ38" s="1" t="n">
        <f aca="false">IF(CM38&gt;PR_BalDone,MIN(F_MortPayM,CM38+CM38*(F_MR/12)),0)</f>
        <v>0</v>
      </c>
      <c r="DA38" s="1" t="n">
        <f aca="false">IF(CN38&gt;PR_BalDone,MIN(F_MortPayM,CN38+CN38*(F_MR/12)),0)</f>
        <v>0</v>
      </c>
      <c r="DB38" s="1" t="n">
        <f aca="false">IF(CO38&gt;PR_BalDone,MIN(F_MortPayM,CO38+CO38*(F_MR/12)),0)</f>
        <v>0</v>
      </c>
      <c r="DC38" s="1" t="n">
        <f aca="false">IF(CP38&gt;PR_BalDone,MIN(F_MortPayM,CP38+CP38*(F_MR/12)),0)</f>
        <v>0</v>
      </c>
      <c r="DD38" s="1" t="n">
        <f aca="false">IF(CQ38&gt;PR_BalDone,MIN(F_MortPayM,CQ38+CQ38*(F_MR/12)),0)</f>
        <v>0</v>
      </c>
      <c r="DE38" s="1" t="n">
        <f aca="false">MAX(0,CR38)</f>
        <v>0</v>
      </c>
      <c r="DF38" s="1" t="n">
        <f aca="false">SUM(CS38:DD38)</f>
        <v>0</v>
      </c>
      <c r="DG38" s="1" t="n">
        <f aca="false">MAX(0,CF38)</f>
        <v>0</v>
      </c>
    </row>
    <row r="39" customFormat="false" ht="15" hidden="false" customHeight="true" outlineLevel="0" collapsed="false">
      <c r="B39" s="1" t="n">
        <v>31</v>
      </c>
      <c r="C39" s="1" t="n">
        <f aca="false">'Plan cashflow'!I39</f>
        <v>0</v>
      </c>
      <c r="D39" s="1" t="n">
        <f aca="false">IF(C39&gt;PR_BalDone,C39+C39*(F_MR/12)-MIN(F_MortPayM,C39+C39*(F_MR/12)),C39)</f>
        <v>0</v>
      </c>
      <c r="E39" s="1" t="n">
        <f aca="false">IF(D39&gt;PR_BalDone,D39+D39*(F_MR/12)-MIN(F_MortPayM,D39+D39*(F_MR/12)),D39)</f>
        <v>0</v>
      </c>
      <c r="F39" s="1" t="n">
        <f aca="false">IF(E39&gt;PR_BalDone,E39+E39*(F_MR/12)-MIN(F_MortPayM,E39+E39*(F_MR/12)),E39)</f>
        <v>0</v>
      </c>
      <c r="G39" s="1" t="n">
        <f aca="false">IF(F39&gt;PR_BalDone,F39+F39*(F_MR/12)-MIN(F_MortPayM,F39+F39*(F_MR/12)),F39)</f>
        <v>0</v>
      </c>
      <c r="H39" s="1" t="n">
        <f aca="false">IF(G39&gt;PR_BalDone,G39+G39*(F_MR/12)-MIN(F_MortPayM,G39+G39*(F_MR/12)),G39)</f>
        <v>0</v>
      </c>
      <c r="I39" s="1" t="n">
        <f aca="false">IF(H39&gt;PR_BalDone,H39+H39*(F_MR/12)-MIN(F_MortPayM,H39+H39*(F_MR/12)),H39)</f>
        <v>0</v>
      </c>
      <c r="J39" s="1" t="n">
        <f aca="false">IF(I39&gt;PR_BalDone,I39+I39*(F_MR/12)-MIN(F_MortPayM,I39+I39*(F_MR/12)),I39)</f>
        <v>0</v>
      </c>
      <c r="K39" s="1" t="n">
        <f aca="false">IF(J39&gt;PR_BalDone,J39+J39*(F_MR/12)-MIN(F_MortPayM,J39+J39*(F_MR/12)),J39)</f>
        <v>0</v>
      </c>
      <c r="L39" s="1" t="n">
        <f aca="false">IF(K39&gt;PR_BalDone,K39+K39*(F_MR/12)-MIN(F_MortPayM,K39+K39*(F_MR/12)),K39)</f>
        <v>0</v>
      </c>
      <c r="M39" s="1" t="n">
        <f aca="false">IF(L39&gt;PR_BalDone,L39+L39*(F_MR/12)-MIN(F_MortPayM,L39+L39*(F_MR/12)),L39)</f>
        <v>0</v>
      </c>
      <c r="N39" s="1" t="n">
        <f aca="false">IF(M39&gt;PR_BalDone,M39+M39*(F_MR/12)-MIN(F_MortPayM,M39+M39*(F_MR/12)),M39)</f>
        <v>0</v>
      </c>
      <c r="O39" s="1" t="n">
        <f aca="false">IF(N39&gt;PR_BalDone,N39+N39*(F_MR/12)-MIN(F_MortPayM,N39+N39*(F_MR/12)),N39)</f>
        <v>0</v>
      </c>
      <c r="P39" s="1" t="n">
        <f aca="false">IF(C39&gt;PR_BalDone,MIN(F_MortPayM,C39+C39*(F_MR/12)),0)</f>
        <v>0</v>
      </c>
      <c r="Q39" s="1" t="n">
        <f aca="false">IF(D39&gt;PR_BalDone,MIN(F_MortPayM,D39+D39*(F_MR/12)),0)</f>
        <v>0</v>
      </c>
      <c r="R39" s="1" t="n">
        <f aca="false">IF(E39&gt;PR_BalDone,MIN(F_MortPayM,E39+E39*(F_MR/12)),0)</f>
        <v>0</v>
      </c>
      <c r="S39" s="1" t="n">
        <f aca="false">IF(F39&gt;PR_BalDone,MIN(F_MortPayM,F39+F39*(F_MR/12)),0)</f>
        <v>0</v>
      </c>
      <c r="T39" s="1" t="n">
        <f aca="false">IF(G39&gt;PR_BalDone,MIN(F_MortPayM,G39+G39*(F_MR/12)),0)</f>
        <v>0</v>
      </c>
      <c r="U39" s="1" t="n">
        <f aca="false">IF(H39&gt;PR_BalDone,MIN(F_MortPayM,H39+H39*(F_MR/12)),0)</f>
        <v>0</v>
      </c>
      <c r="V39" s="1" t="n">
        <f aca="false">IF(I39&gt;PR_BalDone,MIN(F_MortPayM,I39+I39*(F_MR/12)),0)</f>
        <v>0</v>
      </c>
      <c r="W39" s="1" t="n">
        <f aca="false">IF(J39&gt;PR_BalDone,MIN(F_MortPayM,J39+J39*(F_MR/12)),0)</f>
        <v>0</v>
      </c>
      <c r="X39" s="1" t="n">
        <f aca="false">IF(K39&gt;PR_BalDone,MIN(F_MortPayM,K39+K39*(F_MR/12)),0)</f>
        <v>0</v>
      </c>
      <c r="Y39" s="1" t="n">
        <f aca="false">IF(L39&gt;PR_BalDone,MIN(F_MortPayM,L39+L39*(F_MR/12)),0)</f>
        <v>0</v>
      </c>
      <c r="Z39" s="1" t="n">
        <f aca="false">IF(M39&gt;PR_BalDone,MIN(F_MortPayM,M39+M39*(F_MR/12)),0)</f>
        <v>0</v>
      </c>
      <c r="AA39" s="1" t="n">
        <f aca="false">IF(N39&gt;PR_BalDone,MIN(F_MortPayM,N39+N39*(F_MR/12)),0)</f>
        <v>0</v>
      </c>
      <c r="AB39" s="1" t="n">
        <f aca="false">MAX(0,O39)</f>
        <v>0</v>
      </c>
      <c r="AC39" s="1" t="n">
        <f aca="false">SUM(P39:AA39)</f>
        <v>0</v>
      </c>
      <c r="AD39" s="1" t="n">
        <f aca="false">'Plan cashflow'!L39</f>
        <v>0</v>
      </c>
      <c r="AE39" s="1" t="n">
        <f aca="false">IF(AD39&gt;PR_BalDone,AD39+AD39*(D_iC)-MIN(F_CardPayM,AD39+AD39*(D_iC)),AD39)</f>
        <v>0</v>
      </c>
      <c r="AF39" s="1" t="n">
        <f aca="false">IF(AE39&gt;PR_BalDone,AE39+AE39*(D_iC)-MIN(F_CardPayM,AE39+AE39*(D_iC)),AE39)</f>
        <v>0</v>
      </c>
      <c r="AG39" s="1" t="n">
        <f aca="false">IF(AF39&gt;PR_BalDone,AF39+AF39*(D_iC)-MIN(F_CardPayM,AF39+AF39*(D_iC)),AF39)</f>
        <v>0</v>
      </c>
      <c r="AH39" s="1" t="n">
        <f aca="false">IF(AG39&gt;PR_BalDone,AG39+AG39*(D_iC)-MIN(F_CardPayM,AG39+AG39*(D_iC)),AG39)</f>
        <v>0</v>
      </c>
      <c r="AI39" s="1" t="n">
        <f aca="false">IF(AH39&gt;PR_BalDone,AH39+AH39*(D_iC)-MIN(F_CardPayM,AH39+AH39*(D_iC)),AH39)</f>
        <v>0</v>
      </c>
      <c r="AJ39" s="1" t="n">
        <f aca="false">IF(AI39&gt;PR_BalDone,AI39+AI39*(D_iC)-MIN(F_CardPayM,AI39+AI39*(D_iC)),AI39)</f>
        <v>0</v>
      </c>
      <c r="AK39" s="1" t="n">
        <f aca="false">IF(AJ39&gt;PR_BalDone,AJ39+AJ39*(D_iC)-MIN(F_CardPayM,AJ39+AJ39*(D_iC)),AJ39)</f>
        <v>0</v>
      </c>
      <c r="AL39" s="1" t="n">
        <f aca="false">IF(AK39&gt;PR_BalDone,AK39+AK39*(D_iC)-MIN(F_CardPayM,AK39+AK39*(D_iC)),AK39)</f>
        <v>0</v>
      </c>
      <c r="AM39" s="1" t="n">
        <f aca="false">IF(AL39&gt;PR_BalDone,AL39+AL39*(D_iC)-MIN(F_CardPayM,AL39+AL39*(D_iC)),AL39)</f>
        <v>0</v>
      </c>
      <c r="AN39" s="1" t="n">
        <f aca="false">IF(AM39&gt;PR_BalDone,AM39+AM39*(D_iC)-MIN(F_CardPayM,AM39+AM39*(D_iC)),AM39)</f>
        <v>0</v>
      </c>
      <c r="AO39" s="1" t="n">
        <f aca="false">IF(AN39&gt;PR_BalDone,AN39+AN39*(D_iC)-MIN(F_CardPayM,AN39+AN39*(D_iC)),AN39)</f>
        <v>0</v>
      </c>
      <c r="AP39" s="1" t="n">
        <f aca="false">IF(AO39&gt;PR_BalDone,AO39+AO39*(D_iC)-MIN(F_CardPayM,AO39+AO39*(D_iC)),AO39)</f>
        <v>0</v>
      </c>
      <c r="AQ39" s="1" t="n">
        <f aca="false">IF(AD39&gt;PR_BalDone,MIN(F_CardPayM,AD39+AD39*(D_iC)),0)</f>
        <v>0</v>
      </c>
      <c r="AR39" s="1" t="n">
        <f aca="false">IF(AE39&gt;PR_BalDone,MIN(F_CardPayM,AE39+AE39*(D_iC)),0)</f>
        <v>0</v>
      </c>
      <c r="AS39" s="1" t="n">
        <f aca="false">IF(AF39&gt;PR_BalDone,MIN(F_CardPayM,AF39+AF39*(D_iC)),0)</f>
        <v>0</v>
      </c>
      <c r="AT39" s="1" t="n">
        <f aca="false">IF(AG39&gt;PR_BalDone,MIN(F_CardPayM,AG39+AG39*(D_iC)),0)</f>
        <v>0</v>
      </c>
      <c r="AU39" s="1" t="n">
        <f aca="false">IF(AH39&gt;PR_BalDone,MIN(F_CardPayM,AH39+AH39*(D_iC)),0)</f>
        <v>0</v>
      </c>
      <c r="AV39" s="1" t="n">
        <f aca="false">IF(AI39&gt;PR_BalDone,MIN(F_CardPayM,AI39+AI39*(D_iC)),0)</f>
        <v>0</v>
      </c>
      <c r="AW39" s="1" t="n">
        <f aca="false">IF(AJ39&gt;PR_BalDone,MIN(F_CardPayM,AJ39+AJ39*(D_iC)),0)</f>
        <v>0</v>
      </c>
      <c r="AX39" s="1" t="n">
        <f aca="false">IF(AK39&gt;PR_BalDone,MIN(F_CardPayM,AK39+AK39*(D_iC)),0)</f>
        <v>0</v>
      </c>
      <c r="AY39" s="1" t="n">
        <f aca="false">IF(AL39&gt;PR_BalDone,MIN(F_CardPayM,AL39+AL39*(D_iC)),0)</f>
        <v>0</v>
      </c>
      <c r="AZ39" s="1" t="n">
        <f aca="false">IF(AM39&gt;PR_BalDone,MIN(F_CardPayM,AM39+AM39*(D_iC)),0)</f>
        <v>0</v>
      </c>
      <c r="BA39" s="1" t="n">
        <f aca="false">IF(AN39&gt;PR_BalDone,MIN(F_CardPayM,AN39+AN39*(D_iC)),0)</f>
        <v>0</v>
      </c>
      <c r="BB39" s="1" t="n">
        <f aca="false">IF(AO39&gt;PR_BalDone,MIN(F_CardPayM,AO39+AO39*(D_iC)),0)</f>
        <v>0</v>
      </c>
      <c r="BC39" s="1" t="n">
        <f aca="false">MAX(0,AP39)</f>
        <v>0</v>
      </c>
      <c r="BD39" s="1" t="n">
        <f aca="false">SUM(AQ39:BB39)</f>
        <v>0</v>
      </c>
      <c r="BE39" s="1" t="n">
        <f aca="false">'Plan cashflow'!O39</f>
        <v>0</v>
      </c>
      <c r="BF39" s="1" t="n">
        <f aca="false">IF(BE39&gt;PR_BalDone,BE39+BE39*(D_iL)-MIN(F_LoanPayM,BE39+BE39*(D_iL)),BE39)</f>
        <v>0</v>
      </c>
      <c r="BG39" s="1" t="n">
        <f aca="false">IF(BF39&gt;PR_BalDone,BF39+BF39*(D_iL)-MIN(F_LoanPayM,BF39+BF39*(D_iL)),BF39)</f>
        <v>0</v>
      </c>
      <c r="BH39" s="1" t="n">
        <f aca="false">IF(BG39&gt;PR_BalDone,BG39+BG39*(D_iL)-MIN(F_LoanPayM,BG39+BG39*(D_iL)),BG39)</f>
        <v>0</v>
      </c>
      <c r="BI39" s="1" t="n">
        <f aca="false">IF(BH39&gt;PR_BalDone,BH39+BH39*(D_iL)-MIN(F_LoanPayM,BH39+BH39*(D_iL)),BH39)</f>
        <v>0</v>
      </c>
      <c r="BJ39" s="1" t="n">
        <f aca="false">IF(BI39&gt;PR_BalDone,BI39+BI39*(D_iL)-MIN(F_LoanPayM,BI39+BI39*(D_iL)),BI39)</f>
        <v>0</v>
      </c>
      <c r="BK39" s="1" t="n">
        <f aca="false">IF(BJ39&gt;PR_BalDone,BJ39+BJ39*(D_iL)-MIN(F_LoanPayM,BJ39+BJ39*(D_iL)),BJ39)</f>
        <v>0</v>
      </c>
      <c r="BL39" s="1" t="n">
        <f aca="false">IF(BK39&gt;PR_BalDone,BK39+BK39*(D_iL)-MIN(F_LoanPayM,BK39+BK39*(D_iL)),BK39)</f>
        <v>0</v>
      </c>
      <c r="BM39" s="1" t="n">
        <f aca="false">IF(BL39&gt;PR_BalDone,BL39+BL39*(D_iL)-MIN(F_LoanPayM,BL39+BL39*(D_iL)),BL39)</f>
        <v>0</v>
      </c>
      <c r="BN39" s="1" t="n">
        <f aca="false">IF(BM39&gt;PR_BalDone,BM39+BM39*(D_iL)-MIN(F_LoanPayM,BM39+BM39*(D_iL)),BM39)</f>
        <v>0</v>
      </c>
      <c r="BO39" s="1" t="n">
        <f aca="false">IF(BN39&gt;PR_BalDone,BN39+BN39*(D_iL)-MIN(F_LoanPayM,BN39+BN39*(D_iL)),BN39)</f>
        <v>0</v>
      </c>
      <c r="BP39" s="1" t="n">
        <f aca="false">IF(BO39&gt;PR_BalDone,BO39+BO39*(D_iL)-MIN(F_LoanPayM,BO39+BO39*(D_iL)),BO39)</f>
        <v>0</v>
      </c>
      <c r="BQ39" s="1" t="n">
        <f aca="false">IF(BP39&gt;PR_BalDone,BP39+BP39*(D_iL)-MIN(F_LoanPayM,BP39+BP39*(D_iL)),BP39)</f>
        <v>0</v>
      </c>
      <c r="BR39" s="1" t="n">
        <f aca="false">IF(BE39&gt;PR_BalDone,MIN(F_LoanPayM,BE39+BE39*(D_iL)),0)</f>
        <v>0</v>
      </c>
      <c r="BS39" s="1" t="n">
        <f aca="false">IF(BF39&gt;PR_BalDone,MIN(F_LoanPayM,BF39+BF39*(D_iL)),0)</f>
        <v>0</v>
      </c>
      <c r="BT39" s="1" t="n">
        <f aca="false">IF(BG39&gt;PR_BalDone,MIN(F_LoanPayM,BG39+BG39*(D_iL)),0)</f>
        <v>0</v>
      </c>
      <c r="BU39" s="1" t="n">
        <f aca="false">IF(BH39&gt;PR_BalDone,MIN(F_LoanPayM,BH39+BH39*(D_iL)),0)</f>
        <v>0</v>
      </c>
      <c r="BV39" s="1" t="n">
        <f aca="false">IF(BI39&gt;PR_BalDone,MIN(F_LoanPayM,BI39+BI39*(D_iL)),0)</f>
        <v>0</v>
      </c>
      <c r="BW39" s="1" t="n">
        <f aca="false">IF(BJ39&gt;PR_BalDone,MIN(F_LoanPayM,BJ39+BJ39*(D_iL)),0)</f>
        <v>0</v>
      </c>
      <c r="BX39" s="1" t="n">
        <f aca="false">IF(BK39&gt;PR_BalDone,MIN(F_LoanPayM,BK39+BK39*(D_iL)),0)</f>
        <v>0</v>
      </c>
      <c r="BY39" s="1" t="n">
        <f aca="false">IF(BL39&gt;PR_BalDone,MIN(F_LoanPayM,BL39+BL39*(D_iL)),0)</f>
        <v>0</v>
      </c>
      <c r="BZ39" s="1" t="n">
        <f aca="false">IF(BM39&gt;PR_BalDone,MIN(F_LoanPayM,BM39+BM39*(D_iL)),0)</f>
        <v>0</v>
      </c>
      <c r="CA39" s="1" t="n">
        <f aca="false">IF(BN39&gt;PR_BalDone,MIN(F_LoanPayM,BN39+BN39*(D_iL)),0)</f>
        <v>0</v>
      </c>
      <c r="CB39" s="1" t="n">
        <f aca="false">IF(BO39&gt;PR_BalDone,MIN(F_LoanPayM,BO39+BO39*(D_iL)),0)</f>
        <v>0</v>
      </c>
      <c r="CC39" s="1" t="n">
        <f aca="false">IF(BP39&gt;PR_BalDone,MIN(F_LoanPayM,BP39+BP39*(D_iL)),0)</f>
        <v>0</v>
      </c>
      <c r="CD39" s="1" t="n">
        <f aca="false">MAX(0,BQ39)</f>
        <v>0</v>
      </c>
      <c r="CE39" s="1" t="n">
        <f aca="false">SUM(BR39:CC39)</f>
        <v>0</v>
      </c>
      <c r="CF39" s="1" t="n">
        <f aca="false">IF(CF38&gt;1,DE38,CF38)</f>
        <v>0</v>
      </c>
      <c r="CG39" s="1" t="n">
        <f aca="false">IF(CF39&gt;PR_BalDone,CF39+CF39*(F_MR/12)-MIN(F_MortPayM,CF39+CF39*(F_MR/12)),CF39)</f>
        <v>0</v>
      </c>
      <c r="CH39" s="1" t="n">
        <f aca="false">IF(CG39&gt;PR_BalDone,CG39+CG39*(F_MR/12)-MIN(F_MortPayM,CG39+CG39*(F_MR/12)),CG39)</f>
        <v>0</v>
      </c>
      <c r="CI39" s="1" t="n">
        <f aca="false">IF(CH39&gt;PR_BalDone,CH39+CH39*(F_MR/12)-MIN(F_MortPayM,CH39+CH39*(F_MR/12)),CH39)</f>
        <v>0</v>
      </c>
      <c r="CJ39" s="1" t="n">
        <f aca="false">IF(CI39&gt;PR_BalDone,CI39+CI39*(F_MR/12)-MIN(F_MortPayM,CI39+CI39*(F_MR/12)),CI39)</f>
        <v>0</v>
      </c>
      <c r="CK39" s="1" t="n">
        <f aca="false">IF(CJ39&gt;PR_BalDone,CJ39+CJ39*(F_MR/12)-MIN(F_MortPayM,CJ39+CJ39*(F_MR/12)),CJ39)</f>
        <v>0</v>
      </c>
      <c r="CL39" s="1" t="n">
        <f aca="false">IF(CK39&gt;PR_BalDone,CK39+CK39*(F_MR/12)-MIN(F_MortPayM,CK39+CK39*(F_MR/12)),CK39)</f>
        <v>0</v>
      </c>
      <c r="CM39" s="1" t="n">
        <f aca="false">IF(CL39&gt;PR_BalDone,CL39+CL39*(F_MR/12)-MIN(F_MortPayM,CL39+CL39*(F_MR/12)),CL39)</f>
        <v>0</v>
      </c>
      <c r="CN39" s="1" t="n">
        <f aca="false">IF(CM39&gt;PR_BalDone,CM39+CM39*(F_MR/12)-MIN(F_MortPayM,CM39+CM39*(F_MR/12)),CM39)</f>
        <v>0</v>
      </c>
      <c r="CO39" s="1" t="n">
        <f aca="false">IF(CN39&gt;PR_BalDone,CN39+CN39*(F_MR/12)-MIN(F_MortPayM,CN39+CN39*(F_MR/12)),CN39)</f>
        <v>0</v>
      </c>
      <c r="CP39" s="1" t="n">
        <f aca="false">IF(CO39&gt;PR_BalDone,CO39+CO39*(F_MR/12)-MIN(F_MortPayM,CO39+CO39*(F_MR/12)),CO39)</f>
        <v>0</v>
      </c>
      <c r="CQ39" s="1" t="n">
        <f aca="false">IF(CP39&gt;PR_BalDone,CP39+CP39*(F_MR/12)-MIN(F_MortPayM,CP39+CP39*(F_MR/12)),CP39)</f>
        <v>0</v>
      </c>
      <c r="CR39" s="1" t="n">
        <f aca="false">IF(CQ39&gt;PR_BalDone,CQ39+CQ39*(F_MR/12)-MIN(F_MortPayM,CQ39+CQ39*(F_MR/12)),CQ39)</f>
        <v>0</v>
      </c>
      <c r="CS39" s="1" t="n">
        <f aca="false">IF(CF39&gt;PR_BalDone,MIN(F_MortPayM,CF39+CF39*(F_MR/12)),0)</f>
        <v>0</v>
      </c>
      <c r="CT39" s="1" t="n">
        <f aca="false">IF(CG39&gt;PR_BalDone,MIN(F_MortPayM,CG39+CG39*(F_MR/12)),0)</f>
        <v>0</v>
      </c>
      <c r="CU39" s="1" t="n">
        <f aca="false">IF(CH39&gt;PR_BalDone,MIN(F_MortPayM,CH39+CH39*(F_MR/12)),0)</f>
        <v>0</v>
      </c>
      <c r="CV39" s="1" t="n">
        <f aca="false">IF(CI39&gt;PR_BalDone,MIN(F_MortPayM,CI39+CI39*(F_MR/12)),0)</f>
        <v>0</v>
      </c>
      <c r="CW39" s="1" t="n">
        <f aca="false">IF(CJ39&gt;PR_BalDone,MIN(F_MortPayM,CJ39+CJ39*(F_MR/12)),0)</f>
        <v>0</v>
      </c>
      <c r="CX39" s="1" t="n">
        <f aca="false">IF(CK39&gt;PR_BalDone,MIN(F_MortPayM,CK39+CK39*(F_MR/12)),0)</f>
        <v>0</v>
      </c>
      <c r="CY39" s="1" t="n">
        <f aca="false">IF(CL39&gt;PR_BalDone,MIN(F_MortPayM,CL39+CL39*(F_MR/12)),0)</f>
        <v>0</v>
      </c>
      <c r="CZ39" s="1" t="n">
        <f aca="false">IF(CM39&gt;PR_BalDone,MIN(F_MortPayM,CM39+CM39*(F_MR/12)),0)</f>
        <v>0</v>
      </c>
      <c r="DA39" s="1" t="n">
        <f aca="false">IF(CN39&gt;PR_BalDone,MIN(F_MortPayM,CN39+CN39*(F_MR/12)),0)</f>
        <v>0</v>
      </c>
      <c r="DB39" s="1" t="n">
        <f aca="false">IF(CO39&gt;PR_BalDone,MIN(F_MortPayM,CO39+CO39*(F_MR/12)),0)</f>
        <v>0</v>
      </c>
      <c r="DC39" s="1" t="n">
        <f aca="false">IF(CP39&gt;PR_BalDone,MIN(F_MortPayM,CP39+CP39*(F_MR/12)),0)</f>
        <v>0</v>
      </c>
      <c r="DD39" s="1" t="n">
        <f aca="false">IF(CQ39&gt;PR_BalDone,MIN(F_MortPayM,CQ39+CQ39*(F_MR/12)),0)</f>
        <v>0</v>
      </c>
      <c r="DE39" s="1" t="n">
        <f aca="false">MAX(0,CR39)</f>
        <v>0</v>
      </c>
      <c r="DF39" s="1" t="n">
        <f aca="false">SUM(CS39:DD39)</f>
        <v>0</v>
      </c>
      <c r="DG39" s="1" t="n">
        <f aca="false">MAX(0,CF39)</f>
        <v>0</v>
      </c>
    </row>
    <row r="40" customFormat="false" ht="15" hidden="false" customHeight="true" outlineLevel="0" collapsed="false">
      <c r="B40" s="1" t="n">
        <v>32</v>
      </c>
      <c r="C40" s="1" t="n">
        <f aca="false">'Plan cashflow'!I40</f>
        <v>0</v>
      </c>
      <c r="D40" s="1" t="n">
        <f aca="false">IF(C40&gt;PR_BalDone,C40+C40*(F_MR/12)-MIN(F_MortPayM,C40+C40*(F_MR/12)),C40)</f>
        <v>0</v>
      </c>
      <c r="E40" s="1" t="n">
        <f aca="false">IF(D40&gt;PR_BalDone,D40+D40*(F_MR/12)-MIN(F_MortPayM,D40+D40*(F_MR/12)),D40)</f>
        <v>0</v>
      </c>
      <c r="F40" s="1" t="n">
        <f aca="false">IF(E40&gt;PR_BalDone,E40+E40*(F_MR/12)-MIN(F_MortPayM,E40+E40*(F_MR/12)),E40)</f>
        <v>0</v>
      </c>
      <c r="G40" s="1" t="n">
        <f aca="false">IF(F40&gt;PR_BalDone,F40+F40*(F_MR/12)-MIN(F_MortPayM,F40+F40*(F_MR/12)),F40)</f>
        <v>0</v>
      </c>
      <c r="H40" s="1" t="n">
        <f aca="false">IF(G40&gt;PR_BalDone,G40+G40*(F_MR/12)-MIN(F_MortPayM,G40+G40*(F_MR/12)),G40)</f>
        <v>0</v>
      </c>
      <c r="I40" s="1" t="n">
        <f aca="false">IF(H40&gt;PR_BalDone,H40+H40*(F_MR/12)-MIN(F_MortPayM,H40+H40*(F_MR/12)),H40)</f>
        <v>0</v>
      </c>
      <c r="J40" s="1" t="n">
        <f aca="false">IF(I40&gt;PR_BalDone,I40+I40*(F_MR/12)-MIN(F_MortPayM,I40+I40*(F_MR/12)),I40)</f>
        <v>0</v>
      </c>
      <c r="K40" s="1" t="n">
        <f aca="false">IF(J40&gt;PR_BalDone,J40+J40*(F_MR/12)-MIN(F_MortPayM,J40+J40*(F_MR/12)),J40)</f>
        <v>0</v>
      </c>
      <c r="L40" s="1" t="n">
        <f aca="false">IF(K40&gt;PR_BalDone,K40+K40*(F_MR/12)-MIN(F_MortPayM,K40+K40*(F_MR/12)),K40)</f>
        <v>0</v>
      </c>
      <c r="M40" s="1" t="n">
        <f aca="false">IF(L40&gt;PR_BalDone,L40+L40*(F_MR/12)-MIN(F_MortPayM,L40+L40*(F_MR/12)),L40)</f>
        <v>0</v>
      </c>
      <c r="N40" s="1" t="n">
        <f aca="false">IF(M40&gt;PR_BalDone,M40+M40*(F_MR/12)-MIN(F_MortPayM,M40+M40*(F_MR/12)),M40)</f>
        <v>0</v>
      </c>
      <c r="O40" s="1" t="n">
        <f aca="false">IF(N40&gt;PR_BalDone,N40+N40*(F_MR/12)-MIN(F_MortPayM,N40+N40*(F_MR/12)),N40)</f>
        <v>0</v>
      </c>
      <c r="P40" s="1" t="n">
        <f aca="false">IF(C40&gt;PR_BalDone,MIN(F_MortPayM,C40+C40*(F_MR/12)),0)</f>
        <v>0</v>
      </c>
      <c r="Q40" s="1" t="n">
        <f aca="false">IF(D40&gt;PR_BalDone,MIN(F_MortPayM,D40+D40*(F_MR/12)),0)</f>
        <v>0</v>
      </c>
      <c r="R40" s="1" t="n">
        <f aca="false">IF(E40&gt;PR_BalDone,MIN(F_MortPayM,E40+E40*(F_MR/12)),0)</f>
        <v>0</v>
      </c>
      <c r="S40" s="1" t="n">
        <f aca="false">IF(F40&gt;PR_BalDone,MIN(F_MortPayM,F40+F40*(F_MR/12)),0)</f>
        <v>0</v>
      </c>
      <c r="T40" s="1" t="n">
        <f aca="false">IF(G40&gt;PR_BalDone,MIN(F_MortPayM,G40+G40*(F_MR/12)),0)</f>
        <v>0</v>
      </c>
      <c r="U40" s="1" t="n">
        <f aca="false">IF(H40&gt;PR_BalDone,MIN(F_MortPayM,H40+H40*(F_MR/12)),0)</f>
        <v>0</v>
      </c>
      <c r="V40" s="1" t="n">
        <f aca="false">IF(I40&gt;PR_BalDone,MIN(F_MortPayM,I40+I40*(F_MR/12)),0)</f>
        <v>0</v>
      </c>
      <c r="W40" s="1" t="n">
        <f aca="false">IF(J40&gt;PR_BalDone,MIN(F_MortPayM,J40+J40*(F_MR/12)),0)</f>
        <v>0</v>
      </c>
      <c r="X40" s="1" t="n">
        <f aca="false">IF(K40&gt;PR_BalDone,MIN(F_MortPayM,K40+K40*(F_MR/12)),0)</f>
        <v>0</v>
      </c>
      <c r="Y40" s="1" t="n">
        <f aca="false">IF(L40&gt;PR_BalDone,MIN(F_MortPayM,L40+L40*(F_MR/12)),0)</f>
        <v>0</v>
      </c>
      <c r="Z40" s="1" t="n">
        <f aca="false">IF(M40&gt;PR_BalDone,MIN(F_MortPayM,M40+M40*(F_MR/12)),0)</f>
        <v>0</v>
      </c>
      <c r="AA40" s="1" t="n">
        <f aca="false">IF(N40&gt;PR_BalDone,MIN(F_MortPayM,N40+N40*(F_MR/12)),0)</f>
        <v>0</v>
      </c>
      <c r="AB40" s="1" t="n">
        <f aca="false">MAX(0,O40)</f>
        <v>0</v>
      </c>
      <c r="AC40" s="1" t="n">
        <f aca="false">SUM(P40:AA40)</f>
        <v>0</v>
      </c>
      <c r="AD40" s="1" t="n">
        <f aca="false">'Plan cashflow'!L40</f>
        <v>0</v>
      </c>
      <c r="AE40" s="1" t="n">
        <f aca="false">IF(AD40&gt;PR_BalDone,AD40+AD40*(D_iC)-MIN(F_CardPayM,AD40+AD40*(D_iC)),AD40)</f>
        <v>0</v>
      </c>
      <c r="AF40" s="1" t="n">
        <f aca="false">IF(AE40&gt;PR_BalDone,AE40+AE40*(D_iC)-MIN(F_CardPayM,AE40+AE40*(D_iC)),AE40)</f>
        <v>0</v>
      </c>
      <c r="AG40" s="1" t="n">
        <f aca="false">IF(AF40&gt;PR_BalDone,AF40+AF40*(D_iC)-MIN(F_CardPayM,AF40+AF40*(D_iC)),AF40)</f>
        <v>0</v>
      </c>
      <c r="AH40" s="1" t="n">
        <f aca="false">IF(AG40&gt;PR_BalDone,AG40+AG40*(D_iC)-MIN(F_CardPayM,AG40+AG40*(D_iC)),AG40)</f>
        <v>0</v>
      </c>
      <c r="AI40" s="1" t="n">
        <f aca="false">IF(AH40&gt;PR_BalDone,AH40+AH40*(D_iC)-MIN(F_CardPayM,AH40+AH40*(D_iC)),AH40)</f>
        <v>0</v>
      </c>
      <c r="AJ40" s="1" t="n">
        <f aca="false">IF(AI40&gt;PR_BalDone,AI40+AI40*(D_iC)-MIN(F_CardPayM,AI40+AI40*(D_iC)),AI40)</f>
        <v>0</v>
      </c>
      <c r="AK40" s="1" t="n">
        <f aca="false">IF(AJ40&gt;PR_BalDone,AJ40+AJ40*(D_iC)-MIN(F_CardPayM,AJ40+AJ40*(D_iC)),AJ40)</f>
        <v>0</v>
      </c>
      <c r="AL40" s="1" t="n">
        <f aca="false">IF(AK40&gt;PR_BalDone,AK40+AK40*(D_iC)-MIN(F_CardPayM,AK40+AK40*(D_iC)),AK40)</f>
        <v>0</v>
      </c>
      <c r="AM40" s="1" t="n">
        <f aca="false">IF(AL40&gt;PR_BalDone,AL40+AL40*(D_iC)-MIN(F_CardPayM,AL40+AL40*(D_iC)),AL40)</f>
        <v>0</v>
      </c>
      <c r="AN40" s="1" t="n">
        <f aca="false">IF(AM40&gt;PR_BalDone,AM40+AM40*(D_iC)-MIN(F_CardPayM,AM40+AM40*(D_iC)),AM40)</f>
        <v>0</v>
      </c>
      <c r="AO40" s="1" t="n">
        <f aca="false">IF(AN40&gt;PR_BalDone,AN40+AN40*(D_iC)-MIN(F_CardPayM,AN40+AN40*(D_iC)),AN40)</f>
        <v>0</v>
      </c>
      <c r="AP40" s="1" t="n">
        <f aca="false">IF(AO40&gt;PR_BalDone,AO40+AO40*(D_iC)-MIN(F_CardPayM,AO40+AO40*(D_iC)),AO40)</f>
        <v>0</v>
      </c>
      <c r="AQ40" s="1" t="n">
        <f aca="false">IF(AD40&gt;PR_BalDone,MIN(F_CardPayM,AD40+AD40*(D_iC)),0)</f>
        <v>0</v>
      </c>
      <c r="AR40" s="1" t="n">
        <f aca="false">IF(AE40&gt;PR_BalDone,MIN(F_CardPayM,AE40+AE40*(D_iC)),0)</f>
        <v>0</v>
      </c>
      <c r="AS40" s="1" t="n">
        <f aca="false">IF(AF40&gt;PR_BalDone,MIN(F_CardPayM,AF40+AF40*(D_iC)),0)</f>
        <v>0</v>
      </c>
      <c r="AT40" s="1" t="n">
        <f aca="false">IF(AG40&gt;PR_BalDone,MIN(F_CardPayM,AG40+AG40*(D_iC)),0)</f>
        <v>0</v>
      </c>
      <c r="AU40" s="1" t="n">
        <f aca="false">IF(AH40&gt;PR_BalDone,MIN(F_CardPayM,AH40+AH40*(D_iC)),0)</f>
        <v>0</v>
      </c>
      <c r="AV40" s="1" t="n">
        <f aca="false">IF(AI40&gt;PR_BalDone,MIN(F_CardPayM,AI40+AI40*(D_iC)),0)</f>
        <v>0</v>
      </c>
      <c r="AW40" s="1" t="n">
        <f aca="false">IF(AJ40&gt;PR_BalDone,MIN(F_CardPayM,AJ40+AJ40*(D_iC)),0)</f>
        <v>0</v>
      </c>
      <c r="AX40" s="1" t="n">
        <f aca="false">IF(AK40&gt;PR_BalDone,MIN(F_CardPayM,AK40+AK40*(D_iC)),0)</f>
        <v>0</v>
      </c>
      <c r="AY40" s="1" t="n">
        <f aca="false">IF(AL40&gt;PR_BalDone,MIN(F_CardPayM,AL40+AL40*(D_iC)),0)</f>
        <v>0</v>
      </c>
      <c r="AZ40" s="1" t="n">
        <f aca="false">IF(AM40&gt;PR_BalDone,MIN(F_CardPayM,AM40+AM40*(D_iC)),0)</f>
        <v>0</v>
      </c>
      <c r="BA40" s="1" t="n">
        <f aca="false">IF(AN40&gt;PR_BalDone,MIN(F_CardPayM,AN40+AN40*(D_iC)),0)</f>
        <v>0</v>
      </c>
      <c r="BB40" s="1" t="n">
        <f aca="false">IF(AO40&gt;PR_BalDone,MIN(F_CardPayM,AO40+AO40*(D_iC)),0)</f>
        <v>0</v>
      </c>
      <c r="BC40" s="1" t="n">
        <f aca="false">MAX(0,AP40)</f>
        <v>0</v>
      </c>
      <c r="BD40" s="1" t="n">
        <f aca="false">SUM(AQ40:BB40)</f>
        <v>0</v>
      </c>
      <c r="BE40" s="1" t="n">
        <f aca="false">'Plan cashflow'!O40</f>
        <v>0</v>
      </c>
      <c r="BF40" s="1" t="n">
        <f aca="false">IF(BE40&gt;PR_BalDone,BE40+BE40*(D_iL)-MIN(F_LoanPayM,BE40+BE40*(D_iL)),BE40)</f>
        <v>0</v>
      </c>
      <c r="BG40" s="1" t="n">
        <f aca="false">IF(BF40&gt;PR_BalDone,BF40+BF40*(D_iL)-MIN(F_LoanPayM,BF40+BF40*(D_iL)),BF40)</f>
        <v>0</v>
      </c>
      <c r="BH40" s="1" t="n">
        <f aca="false">IF(BG40&gt;PR_BalDone,BG40+BG40*(D_iL)-MIN(F_LoanPayM,BG40+BG40*(D_iL)),BG40)</f>
        <v>0</v>
      </c>
      <c r="BI40" s="1" t="n">
        <f aca="false">IF(BH40&gt;PR_BalDone,BH40+BH40*(D_iL)-MIN(F_LoanPayM,BH40+BH40*(D_iL)),BH40)</f>
        <v>0</v>
      </c>
      <c r="BJ40" s="1" t="n">
        <f aca="false">IF(BI40&gt;PR_BalDone,BI40+BI40*(D_iL)-MIN(F_LoanPayM,BI40+BI40*(D_iL)),BI40)</f>
        <v>0</v>
      </c>
      <c r="BK40" s="1" t="n">
        <f aca="false">IF(BJ40&gt;PR_BalDone,BJ40+BJ40*(D_iL)-MIN(F_LoanPayM,BJ40+BJ40*(D_iL)),BJ40)</f>
        <v>0</v>
      </c>
      <c r="BL40" s="1" t="n">
        <f aca="false">IF(BK40&gt;PR_BalDone,BK40+BK40*(D_iL)-MIN(F_LoanPayM,BK40+BK40*(D_iL)),BK40)</f>
        <v>0</v>
      </c>
      <c r="BM40" s="1" t="n">
        <f aca="false">IF(BL40&gt;PR_BalDone,BL40+BL40*(D_iL)-MIN(F_LoanPayM,BL40+BL40*(D_iL)),BL40)</f>
        <v>0</v>
      </c>
      <c r="BN40" s="1" t="n">
        <f aca="false">IF(BM40&gt;PR_BalDone,BM40+BM40*(D_iL)-MIN(F_LoanPayM,BM40+BM40*(D_iL)),BM40)</f>
        <v>0</v>
      </c>
      <c r="BO40" s="1" t="n">
        <f aca="false">IF(BN40&gt;PR_BalDone,BN40+BN40*(D_iL)-MIN(F_LoanPayM,BN40+BN40*(D_iL)),BN40)</f>
        <v>0</v>
      </c>
      <c r="BP40" s="1" t="n">
        <f aca="false">IF(BO40&gt;PR_BalDone,BO40+BO40*(D_iL)-MIN(F_LoanPayM,BO40+BO40*(D_iL)),BO40)</f>
        <v>0</v>
      </c>
      <c r="BQ40" s="1" t="n">
        <f aca="false">IF(BP40&gt;PR_BalDone,BP40+BP40*(D_iL)-MIN(F_LoanPayM,BP40+BP40*(D_iL)),BP40)</f>
        <v>0</v>
      </c>
      <c r="BR40" s="1" t="n">
        <f aca="false">IF(BE40&gt;PR_BalDone,MIN(F_LoanPayM,BE40+BE40*(D_iL)),0)</f>
        <v>0</v>
      </c>
      <c r="BS40" s="1" t="n">
        <f aca="false">IF(BF40&gt;PR_BalDone,MIN(F_LoanPayM,BF40+BF40*(D_iL)),0)</f>
        <v>0</v>
      </c>
      <c r="BT40" s="1" t="n">
        <f aca="false">IF(BG40&gt;PR_BalDone,MIN(F_LoanPayM,BG40+BG40*(D_iL)),0)</f>
        <v>0</v>
      </c>
      <c r="BU40" s="1" t="n">
        <f aca="false">IF(BH40&gt;PR_BalDone,MIN(F_LoanPayM,BH40+BH40*(D_iL)),0)</f>
        <v>0</v>
      </c>
      <c r="BV40" s="1" t="n">
        <f aca="false">IF(BI40&gt;PR_BalDone,MIN(F_LoanPayM,BI40+BI40*(D_iL)),0)</f>
        <v>0</v>
      </c>
      <c r="BW40" s="1" t="n">
        <f aca="false">IF(BJ40&gt;PR_BalDone,MIN(F_LoanPayM,BJ40+BJ40*(D_iL)),0)</f>
        <v>0</v>
      </c>
      <c r="BX40" s="1" t="n">
        <f aca="false">IF(BK40&gt;PR_BalDone,MIN(F_LoanPayM,BK40+BK40*(D_iL)),0)</f>
        <v>0</v>
      </c>
      <c r="BY40" s="1" t="n">
        <f aca="false">IF(BL40&gt;PR_BalDone,MIN(F_LoanPayM,BL40+BL40*(D_iL)),0)</f>
        <v>0</v>
      </c>
      <c r="BZ40" s="1" t="n">
        <f aca="false">IF(BM40&gt;PR_BalDone,MIN(F_LoanPayM,BM40+BM40*(D_iL)),0)</f>
        <v>0</v>
      </c>
      <c r="CA40" s="1" t="n">
        <f aca="false">IF(BN40&gt;PR_BalDone,MIN(F_LoanPayM,BN40+BN40*(D_iL)),0)</f>
        <v>0</v>
      </c>
      <c r="CB40" s="1" t="n">
        <f aca="false">IF(BO40&gt;PR_BalDone,MIN(F_LoanPayM,BO40+BO40*(D_iL)),0)</f>
        <v>0</v>
      </c>
      <c r="CC40" s="1" t="n">
        <f aca="false">IF(BP40&gt;PR_BalDone,MIN(F_LoanPayM,BP40+BP40*(D_iL)),0)</f>
        <v>0</v>
      </c>
      <c r="CD40" s="1" t="n">
        <f aca="false">MAX(0,BQ40)</f>
        <v>0</v>
      </c>
      <c r="CE40" s="1" t="n">
        <f aca="false">SUM(BR40:CC40)</f>
        <v>0</v>
      </c>
      <c r="CF40" s="1" t="n">
        <f aca="false">IF(CF39&gt;1,DE39,CF39)</f>
        <v>0</v>
      </c>
      <c r="CG40" s="1" t="n">
        <f aca="false">IF(CF40&gt;PR_BalDone,CF40+CF40*(F_MR/12)-MIN(F_MortPayM,CF40+CF40*(F_MR/12)),CF40)</f>
        <v>0</v>
      </c>
      <c r="CH40" s="1" t="n">
        <f aca="false">IF(CG40&gt;PR_BalDone,CG40+CG40*(F_MR/12)-MIN(F_MortPayM,CG40+CG40*(F_MR/12)),CG40)</f>
        <v>0</v>
      </c>
      <c r="CI40" s="1" t="n">
        <f aca="false">IF(CH40&gt;PR_BalDone,CH40+CH40*(F_MR/12)-MIN(F_MortPayM,CH40+CH40*(F_MR/12)),CH40)</f>
        <v>0</v>
      </c>
      <c r="CJ40" s="1" t="n">
        <f aca="false">IF(CI40&gt;PR_BalDone,CI40+CI40*(F_MR/12)-MIN(F_MortPayM,CI40+CI40*(F_MR/12)),CI40)</f>
        <v>0</v>
      </c>
      <c r="CK40" s="1" t="n">
        <f aca="false">IF(CJ40&gt;PR_BalDone,CJ40+CJ40*(F_MR/12)-MIN(F_MortPayM,CJ40+CJ40*(F_MR/12)),CJ40)</f>
        <v>0</v>
      </c>
      <c r="CL40" s="1" t="n">
        <f aca="false">IF(CK40&gt;PR_BalDone,CK40+CK40*(F_MR/12)-MIN(F_MortPayM,CK40+CK40*(F_MR/12)),CK40)</f>
        <v>0</v>
      </c>
      <c r="CM40" s="1" t="n">
        <f aca="false">IF(CL40&gt;PR_BalDone,CL40+CL40*(F_MR/12)-MIN(F_MortPayM,CL40+CL40*(F_MR/12)),CL40)</f>
        <v>0</v>
      </c>
      <c r="CN40" s="1" t="n">
        <f aca="false">IF(CM40&gt;PR_BalDone,CM40+CM40*(F_MR/12)-MIN(F_MortPayM,CM40+CM40*(F_MR/12)),CM40)</f>
        <v>0</v>
      </c>
      <c r="CO40" s="1" t="n">
        <f aca="false">IF(CN40&gt;PR_BalDone,CN40+CN40*(F_MR/12)-MIN(F_MortPayM,CN40+CN40*(F_MR/12)),CN40)</f>
        <v>0</v>
      </c>
      <c r="CP40" s="1" t="n">
        <f aca="false">IF(CO40&gt;PR_BalDone,CO40+CO40*(F_MR/12)-MIN(F_MortPayM,CO40+CO40*(F_MR/12)),CO40)</f>
        <v>0</v>
      </c>
      <c r="CQ40" s="1" t="n">
        <f aca="false">IF(CP40&gt;PR_BalDone,CP40+CP40*(F_MR/12)-MIN(F_MortPayM,CP40+CP40*(F_MR/12)),CP40)</f>
        <v>0</v>
      </c>
      <c r="CR40" s="1" t="n">
        <f aca="false">IF(CQ40&gt;PR_BalDone,CQ40+CQ40*(F_MR/12)-MIN(F_MortPayM,CQ40+CQ40*(F_MR/12)),CQ40)</f>
        <v>0</v>
      </c>
      <c r="CS40" s="1" t="n">
        <f aca="false">IF(CF40&gt;PR_BalDone,MIN(F_MortPayM,CF40+CF40*(F_MR/12)),0)</f>
        <v>0</v>
      </c>
      <c r="CT40" s="1" t="n">
        <f aca="false">IF(CG40&gt;PR_BalDone,MIN(F_MortPayM,CG40+CG40*(F_MR/12)),0)</f>
        <v>0</v>
      </c>
      <c r="CU40" s="1" t="n">
        <f aca="false">IF(CH40&gt;PR_BalDone,MIN(F_MortPayM,CH40+CH40*(F_MR/12)),0)</f>
        <v>0</v>
      </c>
      <c r="CV40" s="1" t="n">
        <f aca="false">IF(CI40&gt;PR_BalDone,MIN(F_MortPayM,CI40+CI40*(F_MR/12)),0)</f>
        <v>0</v>
      </c>
      <c r="CW40" s="1" t="n">
        <f aca="false">IF(CJ40&gt;PR_BalDone,MIN(F_MortPayM,CJ40+CJ40*(F_MR/12)),0)</f>
        <v>0</v>
      </c>
      <c r="CX40" s="1" t="n">
        <f aca="false">IF(CK40&gt;PR_BalDone,MIN(F_MortPayM,CK40+CK40*(F_MR/12)),0)</f>
        <v>0</v>
      </c>
      <c r="CY40" s="1" t="n">
        <f aca="false">IF(CL40&gt;PR_BalDone,MIN(F_MortPayM,CL40+CL40*(F_MR/12)),0)</f>
        <v>0</v>
      </c>
      <c r="CZ40" s="1" t="n">
        <f aca="false">IF(CM40&gt;PR_BalDone,MIN(F_MortPayM,CM40+CM40*(F_MR/12)),0)</f>
        <v>0</v>
      </c>
      <c r="DA40" s="1" t="n">
        <f aca="false">IF(CN40&gt;PR_BalDone,MIN(F_MortPayM,CN40+CN40*(F_MR/12)),0)</f>
        <v>0</v>
      </c>
      <c r="DB40" s="1" t="n">
        <f aca="false">IF(CO40&gt;PR_BalDone,MIN(F_MortPayM,CO40+CO40*(F_MR/12)),0)</f>
        <v>0</v>
      </c>
      <c r="DC40" s="1" t="n">
        <f aca="false">IF(CP40&gt;PR_BalDone,MIN(F_MortPayM,CP40+CP40*(F_MR/12)),0)</f>
        <v>0</v>
      </c>
      <c r="DD40" s="1" t="n">
        <f aca="false">IF(CQ40&gt;PR_BalDone,MIN(F_MortPayM,CQ40+CQ40*(F_MR/12)),0)</f>
        <v>0</v>
      </c>
      <c r="DE40" s="1" t="n">
        <f aca="false">MAX(0,CR40)</f>
        <v>0</v>
      </c>
      <c r="DF40" s="1" t="n">
        <f aca="false">SUM(CS40:DD40)</f>
        <v>0</v>
      </c>
      <c r="DG40" s="1" t="n">
        <f aca="false">MAX(0,CF40)</f>
        <v>0</v>
      </c>
    </row>
    <row r="41" customFormat="false" ht="15" hidden="false" customHeight="true" outlineLevel="0" collapsed="false">
      <c r="B41" s="1" t="n">
        <v>33</v>
      </c>
      <c r="C41" s="1" t="n">
        <f aca="false">'Plan cashflow'!I41</f>
        <v>0</v>
      </c>
      <c r="D41" s="1" t="n">
        <f aca="false">IF(C41&gt;PR_BalDone,C41+C41*(F_MR/12)-MIN(F_MortPayM,C41+C41*(F_MR/12)),C41)</f>
        <v>0</v>
      </c>
      <c r="E41" s="1" t="n">
        <f aca="false">IF(D41&gt;PR_BalDone,D41+D41*(F_MR/12)-MIN(F_MortPayM,D41+D41*(F_MR/12)),D41)</f>
        <v>0</v>
      </c>
      <c r="F41" s="1" t="n">
        <f aca="false">IF(E41&gt;PR_BalDone,E41+E41*(F_MR/12)-MIN(F_MortPayM,E41+E41*(F_MR/12)),E41)</f>
        <v>0</v>
      </c>
      <c r="G41" s="1" t="n">
        <f aca="false">IF(F41&gt;PR_BalDone,F41+F41*(F_MR/12)-MIN(F_MortPayM,F41+F41*(F_MR/12)),F41)</f>
        <v>0</v>
      </c>
      <c r="H41" s="1" t="n">
        <f aca="false">IF(G41&gt;PR_BalDone,G41+G41*(F_MR/12)-MIN(F_MortPayM,G41+G41*(F_MR/12)),G41)</f>
        <v>0</v>
      </c>
      <c r="I41" s="1" t="n">
        <f aca="false">IF(H41&gt;PR_BalDone,H41+H41*(F_MR/12)-MIN(F_MortPayM,H41+H41*(F_MR/12)),H41)</f>
        <v>0</v>
      </c>
      <c r="J41" s="1" t="n">
        <f aca="false">IF(I41&gt;PR_BalDone,I41+I41*(F_MR/12)-MIN(F_MortPayM,I41+I41*(F_MR/12)),I41)</f>
        <v>0</v>
      </c>
      <c r="K41" s="1" t="n">
        <f aca="false">IF(J41&gt;PR_BalDone,J41+J41*(F_MR/12)-MIN(F_MortPayM,J41+J41*(F_MR/12)),J41)</f>
        <v>0</v>
      </c>
      <c r="L41" s="1" t="n">
        <f aca="false">IF(K41&gt;PR_BalDone,K41+K41*(F_MR/12)-MIN(F_MortPayM,K41+K41*(F_MR/12)),K41)</f>
        <v>0</v>
      </c>
      <c r="M41" s="1" t="n">
        <f aca="false">IF(L41&gt;PR_BalDone,L41+L41*(F_MR/12)-MIN(F_MortPayM,L41+L41*(F_MR/12)),L41)</f>
        <v>0</v>
      </c>
      <c r="N41" s="1" t="n">
        <f aca="false">IF(M41&gt;PR_BalDone,M41+M41*(F_MR/12)-MIN(F_MortPayM,M41+M41*(F_MR/12)),M41)</f>
        <v>0</v>
      </c>
      <c r="O41" s="1" t="n">
        <f aca="false">IF(N41&gt;PR_BalDone,N41+N41*(F_MR/12)-MIN(F_MortPayM,N41+N41*(F_MR/12)),N41)</f>
        <v>0</v>
      </c>
      <c r="P41" s="1" t="n">
        <f aca="false">IF(C41&gt;PR_BalDone,MIN(F_MortPayM,C41+C41*(F_MR/12)),0)</f>
        <v>0</v>
      </c>
      <c r="Q41" s="1" t="n">
        <f aca="false">IF(D41&gt;PR_BalDone,MIN(F_MortPayM,D41+D41*(F_MR/12)),0)</f>
        <v>0</v>
      </c>
      <c r="R41" s="1" t="n">
        <f aca="false">IF(E41&gt;PR_BalDone,MIN(F_MortPayM,E41+E41*(F_MR/12)),0)</f>
        <v>0</v>
      </c>
      <c r="S41" s="1" t="n">
        <f aca="false">IF(F41&gt;PR_BalDone,MIN(F_MortPayM,F41+F41*(F_MR/12)),0)</f>
        <v>0</v>
      </c>
      <c r="T41" s="1" t="n">
        <f aca="false">IF(G41&gt;PR_BalDone,MIN(F_MortPayM,G41+G41*(F_MR/12)),0)</f>
        <v>0</v>
      </c>
      <c r="U41" s="1" t="n">
        <f aca="false">IF(H41&gt;PR_BalDone,MIN(F_MortPayM,H41+H41*(F_MR/12)),0)</f>
        <v>0</v>
      </c>
      <c r="V41" s="1" t="n">
        <f aca="false">IF(I41&gt;PR_BalDone,MIN(F_MortPayM,I41+I41*(F_MR/12)),0)</f>
        <v>0</v>
      </c>
      <c r="W41" s="1" t="n">
        <f aca="false">IF(J41&gt;PR_BalDone,MIN(F_MortPayM,J41+J41*(F_MR/12)),0)</f>
        <v>0</v>
      </c>
      <c r="X41" s="1" t="n">
        <f aca="false">IF(K41&gt;PR_BalDone,MIN(F_MortPayM,K41+K41*(F_MR/12)),0)</f>
        <v>0</v>
      </c>
      <c r="Y41" s="1" t="n">
        <f aca="false">IF(L41&gt;PR_BalDone,MIN(F_MortPayM,L41+L41*(F_MR/12)),0)</f>
        <v>0</v>
      </c>
      <c r="Z41" s="1" t="n">
        <f aca="false">IF(M41&gt;PR_BalDone,MIN(F_MortPayM,M41+M41*(F_MR/12)),0)</f>
        <v>0</v>
      </c>
      <c r="AA41" s="1" t="n">
        <f aca="false">IF(N41&gt;PR_BalDone,MIN(F_MortPayM,N41+N41*(F_MR/12)),0)</f>
        <v>0</v>
      </c>
      <c r="AB41" s="1" t="n">
        <f aca="false">MAX(0,O41)</f>
        <v>0</v>
      </c>
      <c r="AC41" s="1" t="n">
        <f aca="false">SUM(P41:AA41)</f>
        <v>0</v>
      </c>
      <c r="AD41" s="1" t="n">
        <f aca="false">'Plan cashflow'!L41</f>
        <v>0</v>
      </c>
      <c r="AE41" s="1" t="n">
        <f aca="false">IF(AD41&gt;PR_BalDone,AD41+AD41*(D_iC)-MIN(F_CardPayM,AD41+AD41*(D_iC)),AD41)</f>
        <v>0</v>
      </c>
      <c r="AF41" s="1" t="n">
        <f aca="false">IF(AE41&gt;PR_BalDone,AE41+AE41*(D_iC)-MIN(F_CardPayM,AE41+AE41*(D_iC)),AE41)</f>
        <v>0</v>
      </c>
      <c r="AG41" s="1" t="n">
        <f aca="false">IF(AF41&gt;PR_BalDone,AF41+AF41*(D_iC)-MIN(F_CardPayM,AF41+AF41*(D_iC)),AF41)</f>
        <v>0</v>
      </c>
      <c r="AH41" s="1" t="n">
        <f aca="false">IF(AG41&gt;PR_BalDone,AG41+AG41*(D_iC)-MIN(F_CardPayM,AG41+AG41*(D_iC)),AG41)</f>
        <v>0</v>
      </c>
      <c r="AI41" s="1" t="n">
        <f aca="false">IF(AH41&gt;PR_BalDone,AH41+AH41*(D_iC)-MIN(F_CardPayM,AH41+AH41*(D_iC)),AH41)</f>
        <v>0</v>
      </c>
      <c r="AJ41" s="1" t="n">
        <f aca="false">IF(AI41&gt;PR_BalDone,AI41+AI41*(D_iC)-MIN(F_CardPayM,AI41+AI41*(D_iC)),AI41)</f>
        <v>0</v>
      </c>
      <c r="AK41" s="1" t="n">
        <f aca="false">IF(AJ41&gt;PR_BalDone,AJ41+AJ41*(D_iC)-MIN(F_CardPayM,AJ41+AJ41*(D_iC)),AJ41)</f>
        <v>0</v>
      </c>
      <c r="AL41" s="1" t="n">
        <f aca="false">IF(AK41&gt;PR_BalDone,AK41+AK41*(D_iC)-MIN(F_CardPayM,AK41+AK41*(D_iC)),AK41)</f>
        <v>0</v>
      </c>
      <c r="AM41" s="1" t="n">
        <f aca="false">IF(AL41&gt;PR_BalDone,AL41+AL41*(D_iC)-MIN(F_CardPayM,AL41+AL41*(D_iC)),AL41)</f>
        <v>0</v>
      </c>
      <c r="AN41" s="1" t="n">
        <f aca="false">IF(AM41&gt;PR_BalDone,AM41+AM41*(D_iC)-MIN(F_CardPayM,AM41+AM41*(D_iC)),AM41)</f>
        <v>0</v>
      </c>
      <c r="AO41" s="1" t="n">
        <f aca="false">IF(AN41&gt;PR_BalDone,AN41+AN41*(D_iC)-MIN(F_CardPayM,AN41+AN41*(D_iC)),AN41)</f>
        <v>0</v>
      </c>
      <c r="AP41" s="1" t="n">
        <f aca="false">IF(AO41&gt;PR_BalDone,AO41+AO41*(D_iC)-MIN(F_CardPayM,AO41+AO41*(D_iC)),AO41)</f>
        <v>0</v>
      </c>
      <c r="AQ41" s="1" t="n">
        <f aca="false">IF(AD41&gt;PR_BalDone,MIN(F_CardPayM,AD41+AD41*(D_iC)),0)</f>
        <v>0</v>
      </c>
      <c r="AR41" s="1" t="n">
        <f aca="false">IF(AE41&gt;PR_BalDone,MIN(F_CardPayM,AE41+AE41*(D_iC)),0)</f>
        <v>0</v>
      </c>
      <c r="AS41" s="1" t="n">
        <f aca="false">IF(AF41&gt;PR_BalDone,MIN(F_CardPayM,AF41+AF41*(D_iC)),0)</f>
        <v>0</v>
      </c>
      <c r="AT41" s="1" t="n">
        <f aca="false">IF(AG41&gt;PR_BalDone,MIN(F_CardPayM,AG41+AG41*(D_iC)),0)</f>
        <v>0</v>
      </c>
      <c r="AU41" s="1" t="n">
        <f aca="false">IF(AH41&gt;PR_BalDone,MIN(F_CardPayM,AH41+AH41*(D_iC)),0)</f>
        <v>0</v>
      </c>
      <c r="AV41" s="1" t="n">
        <f aca="false">IF(AI41&gt;PR_BalDone,MIN(F_CardPayM,AI41+AI41*(D_iC)),0)</f>
        <v>0</v>
      </c>
      <c r="AW41" s="1" t="n">
        <f aca="false">IF(AJ41&gt;PR_BalDone,MIN(F_CardPayM,AJ41+AJ41*(D_iC)),0)</f>
        <v>0</v>
      </c>
      <c r="AX41" s="1" t="n">
        <f aca="false">IF(AK41&gt;PR_BalDone,MIN(F_CardPayM,AK41+AK41*(D_iC)),0)</f>
        <v>0</v>
      </c>
      <c r="AY41" s="1" t="n">
        <f aca="false">IF(AL41&gt;PR_BalDone,MIN(F_CardPayM,AL41+AL41*(D_iC)),0)</f>
        <v>0</v>
      </c>
      <c r="AZ41" s="1" t="n">
        <f aca="false">IF(AM41&gt;PR_BalDone,MIN(F_CardPayM,AM41+AM41*(D_iC)),0)</f>
        <v>0</v>
      </c>
      <c r="BA41" s="1" t="n">
        <f aca="false">IF(AN41&gt;PR_BalDone,MIN(F_CardPayM,AN41+AN41*(D_iC)),0)</f>
        <v>0</v>
      </c>
      <c r="BB41" s="1" t="n">
        <f aca="false">IF(AO41&gt;PR_BalDone,MIN(F_CardPayM,AO41+AO41*(D_iC)),0)</f>
        <v>0</v>
      </c>
      <c r="BC41" s="1" t="n">
        <f aca="false">MAX(0,AP41)</f>
        <v>0</v>
      </c>
      <c r="BD41" s="1" t="n">
        <f aca="false">SUM(AQ41:BB41)</f>
        <v>0</v>
      </c>
      <c r="BE41" s="1" t="n">
        <f aca="false">'Plan cashflow'!O41</f>
        <v>0</v>
      </c>
      <c r="BF41" s="1" t="n">
        <f aca="false">IF(BE41&gt;PR_BalDone,BE41+BE41*(D_iL)-MIN(F_LoanPayM,BE41+BE41*(D_iL)),BE41)</f>
        <v>0</v>
      </c>
      <c r="BG41" s="1" t="n">
        <f aca="false">IF(BF41&gt;PR_BalDone,BF41+BF41*(D_iL)-MIN(F_LoanPayM,BF41+BF41*(D_iL)),BF41)</f>
        <v>0</v>
      </c>
      <c r="BH41" s="1" t="n">
        <f aca="false">IF(BG41&gt;PR_BalDone,BG41+BG41*(D_iL)-MIN(F_LoanPayM,BG41+BG41*(D_iL)),BG41)</f>
        <v>0</v>
      </c>
      <c r="BI41" s="1" t="n">
        <f aca="false">IF(BH41&gt;PR_BalDone,BH41+BH41*(D_iL)-MIN(F_LoanPayM,BH41+BH41*(D_iL)),BH41)</f>
        <v>0</v>
      </c>
      <c r="BJ41" s="1" t="n">
        <f aca="false">IF(BI41&gt;PR_BalDone,BI41+BI41*(D_iL)-MIN(F_LoanPayM,BI41+BI41*(D_iL)),BI41)</f>
        <v>0</v>
      </c>
      <c r="BK41" s="1" t="n">
        <f aca="false">IF(BJ41&gt;PR_BalDone,BJ41+BJ41*(D_iL)-MIN(F_LoanPayM,BJ41+BJ41*(D_iL)),BJ41)</f>
        <v>0</v>
      </c>
      <c r="BL41" s="1" t="n">
        <f aca="false">IF(BK41&gt;PR_BalDone,BK41+BK41*(D_iL)-MIN(F_LoanPayM,BK41+BK41*(D_iL)),BK41)</f>
        <v>0</v>
      </c>
      <c r="BM41" s="1" t="n">
        <f aca="false">IF(BL41&gt;PR_BalDone,BL41+BL41*(D_iL)-MIN(F_LoanPayM,BL41+BL41*(D_iL)),BL41)</f>
        <v>0</v>
      </c>
      <c r="BN41" s="1" t="n">
        <f aca="false">IF(BM41&gt;PR_BalDone,BM41+BM41*(D_iL)-MIN(F_LoanPayM,BM41+BM41*(D_iL)),BM41)</f>
        <v>0</v>
      </c>
      <c r="BO41" s="1" t="n">
        <f aca="false">IF(BN41&gt;PR_BalDone,BN41+BN41*(D_iL)-MIN(F_LoanPayM,BN41+BN41*(D_iL)),BN41)</f>
        <v>0</v>
      </c>
      <c r="BP41" s="1" t="n">
        <f aca="false">IF(BO41&gt;PR_BalDone,BO41+BO41*(D_iL)-MIN(F_LoanPayM,BO41+BO41*(D_iL)),BO41)</f>
        <v>0</v>
      </c>
      <c r="BQ41" s="1" t="n">
        <f aca="false">IF(BP41&gt;PR_BalDone,BP41+BP41*(D_iL)-MIN(F_LoanPayM,BP41+BP41*(D_iL)),BP41)</f>
        <v>0</v>
      </c>
      <c r="BR41" s="1" t="n">
        <f aca="false">IF(BE41&gt;PR_BalDone,MIN(F_LoanPayM,BE41+BE41*(D_iL)),0)</f>
        <v>0</v>
      </c>
      <c r="BS41" s="1" t="n">
        <f aca="false">IF(BF41&gt;PR_BalDone,MIN(F_LoanPayM,BF41+BF41*(D_iL)),0)</f>
        <v>0</v>
      </c>
      <c r="BT41" s="1" t="n">
        <f aca="false">IF(BG41&gt;PR_BalDone,MIN(F_LoanPayM,BG41+BG41*(D_iL)),0)</f>
        <v>0</v>
      </c>
      <c r="BU41" s="1" t="n">
        <f aca="false">IF(BH41&gt;PR_BalDone,MIN(F_LoanPayM,BH41+BH41*(D_iL)),0)</f>
        <v>0</v>
      </c>
      <c r="BV41" s="1" t="n">
        <f aca="false">IF(BI41&gt;PR_BalDone,MIN(F_LoanPayM,BI41+BI41*(D_iL)),0)</f>
        <v>0</v>
      </c>
      <c r="BW41" s="1" t="n">
        <f aca="false">IF(BJ41&gt;PR_BalDone,MIN(F_LoanPayM,BJ41+BJ41*(D_iL)),0)</f>
        <v>0</v>
      </c>
      <c r="BX41" s="1" t="n">
        <f aca="false">IF(BK41&gt;PR_BalDone,MIN(F_LoanPayM,BK41+BK41*(D_iL)),0)</f>
        <v>0</v>
      </c>
      <c r="BY41" s="1" t="n">
        <f aca="false">IF(BL41&gt;PR_BalDone,MIN(F_LoanPayM,BL41+BL41*(D_iL)),0)</f>
        <v>0</v>
      </c>
      <c r="BZ41" s="1" t="n">
        <f aca="false">IF(BM41&gt;PR_BalDone,MIN(F_LoanPayM,BM41+BM41*(D_iL)),0)</f>
        <v>0</v>
      </c>
      <c r="CA41" s="1" t="n">
        <f aca="false">IF(BN41&gt;PR_BalDone,MIN(F_LoanPayM,BN41+BN41*(D_iL)),0)</f>
        <v>0</v>
      </c>
      <c r="CB41" s="1" t="n">
        <f aca="false">IF(BO41&gt;PR_BalDone,MIN(F_LoanPayM,BO41+BO41*(D_iL)),0)</f>
        <v>0</v>
      </c>
      <c r="CC41" s="1" t="n">
        <f aca="false">IF(BP41&gt;PR_BalDone,MIN(F_LoanPayM,BP41+BP41*(D_iL)),0)</f>
        <v>0</v>
      </c>
      <c r="CD41" s="1" t="n">
        <f aca="false">MAX(0,BQ41)</f>
        <v>0</v>
      </c>
      <c r="CE41" s="1" t="n">
        <f aca="false">SUM(BR41:CC41)</f>
        <v>0</v>
      </c>
      <c r="CF41" s="1" t="n">
        <f aca="false">IF(CF40&gt;1,DE40,CF40)</f>
        <v>0</v>
      </c>
      <c r="CG41" s="1" t="n">
        <f aca="false">IF(CF41&gt;PR_BalDone,CF41+CF41*(F_MR/12)-MIN(F_MortPayM,CF41+CF41*(F_MR/12)),CF41)</f>
        <v>0</v>
      </c>
      <c r="CH41" s="1" t="n">
        <f aca="false">IF(CG41&gt;PR_BalDone,CG41+CG41*(F_MR/12)-MIN(F_MortPayM,CG41+CG41*(F_MR/12)),CG41)</f>
        <v>0</v>
      </c>
      <c r="CI41" s="1" t="n">
        <f aca="false">IF(CH41&gt;PR_BalDone,CH41+CH41*(F_MR/12)-MIN(F_MortPayM,CH41+CH41*(F_MR/12)),CH41)</f>
        <v>0</v>
      </c>
      <c r="CJ41" s="1" t="n">
        <f aca="false">IF(CI41&gt;PR_BalDone,CI41+CI41*(F_MR/12)-MIN(F_MortPayM,CI41+CI41*(F_MR/12)),CI41)</f>
        <v>0</v>
      </c>
      <c r="CK41" s="1" t="n">
        <f aca="false">IF(CJ41&gt;PR_BalDone,CJ41+CJ41*(F_MR/12)-MIN(F_MortPayM,CJ41+CJ41*(F_MR/12)),CJ41)</f>
        <v>0</v>
      </c>
      <c r="CL41" s="1" t="n">
        <f aca="false">IF(CK41&gt;PR_BalDone,CK41+CK41*(F_MR/12)-MIN(F_MortPayM,CK41+CK41*(F_MR/12)),CK41)</f>
        <v>0</v>
      </c>
      <c r="CM41" s="1" t="n">
        <f aca="false">IF(CL41&gt;PR_BalDone,CL41+CL41*(F_MR/12)-MIN(F_MortPayM,CL41+CL41*(F_MR/12)),CL41)</f>
        <v>0</v>
      </c>
      <c r="CN41" s="1" t="n">
        <f aca="false">IF(CM41&gt;PR_BalDone,CM41+CM41*(F_MR/12)-MIN(F_MortPayM,CM41+CM41*(F_MR/12)),CM41)</f>
        <v>0</v>
      </c>
      <c r="CO41" s="1" t="n">
        <f aca="false">IF(CN41&gt;PR_BalDone,CN41+CN41*(F_MR/12)-MIN(F_MortPayM,CN41+CN41*(F_MR/12)),CN41)</f>
        <v>0</v>
      </c>
      <c r="CP41" s="1" t="n">
        <f aca="false">IF(CO41&gt;PR_BalDone,CO41+CO41*(F_MR/12)-MIN(F_MortPayM,CO41+CO41*(F_MR/12)),CO41)</f>
        <v>0</v>
      </c>
      <c r="CQ41" s="1" t="n">
        <f aca="false">IF(CP41&gt;PR_BalDone,CP41+CP41*(F_MR/12)-MIN(F_MortPayM,CP41+CP41*(F_MR/12)),CP41)</f>
        <v>0</v>
      </c>
      <c r="CR41" s="1" t="n">
        <f aca="false">IF(CQ41&gt;PR_BalDone,CQ41+CQ41*(F_MR/12)-MIN(F_MortPayM,CQ41+CQ41*(F_MR/12)),CQ41)</f>
        <v>0</v>
      </c>
      <c r="CS41" s="1" t="n">
        <f aca="false">IF(CF41&gt;PR_BalDone,MIN(F_MortPayM,CF41+CF41*(F_MR/12)),0)</f>
        <v>0</v>
      </c>
      <c r="CT41" s="1" t="n">
        <f aca="false">IF(CG41&gt;PR_BalDone,MIN(F_MortPayM,CG41+CG41*(F_MR/12)),0)</f>
        <v>0</v>
      </c>
      <c r="CU41" s="1" t="n">
        <f aca="false">IF(CH41&gt;PR_BalDone,MIN(F_MortPayM,CH41+CH41*(F_MR/12)),0)</f>
        <v>0</v>
      </c>
      <c r="CV41" s="1" t="n">
        <f aca="false">IF(CI41&gt;PR_BalDone,MIN(F_MortPayM,CI41+CI41*(F_MR/12)),0)</f>
        <v>0</v>
      </c>
      <c r="CW41" s="1" t="n">
        <f aca="false">IF(CJ41&gt;PR_BalDone,MIN(F_MortPayM,CJ41+CJ41*(F_MR/12)),0)</f>
        <v>0</v>
      </c>
      <c r="CX41" s="1" t="n">
        <f aca="false">IF(CK41&gt;PR_BalDone,MIN(F_MortPayM,CK41+CK41*(F_MR/12)),0)</f>
        <v>0</v>
      </c>
      <c r="CY41" s="1" t="n">
        <f aca="false">IF(CL41&gt;PR_BalDone,MIN(F_MortPayM,CL41+CL41*(F_MR/12)),0)</f>
        <v>0</v>
      </c>
      <c r="CZ41" s="1" t="n">
        <f aca="false">IF(CM41&gt;PR_BalDone,MIN(F_MortPayM,CM41+CM41*(F_MR/12)),0)</f>
        <v>0</v>
      </c>
      <c r="DA41" s="1" t="n">
        <f aca="false">IF(CN41&gt;PR_BalDone,MIN(F_MortPayM,CN41+CN41*(F_MR/12)),0)</f>
        <v>0</v>
      </c>
      <c r="DB41" s="1" t="n">
        <f aca="false">IF(CO41&gt;PR_BalDone,MIN(F_MortPayM,CO41+CO41*(F_MR/12)),0)</f>
        <v>0</v>
      </c>
      <c r="DC41" s="1" t="n">
        <f aca="false">IF(CP41&gt;PR_BalDone,MIN(F_MortPayM,CP41+CP41*(F_MR/12)),0)</f>
        <v>0</v>
      </c>
      <c r="DD41" s="1" t="n">
        <f aca="false">IF(CQ41&gt;PR_BalDone,MIN(F_MortPayM,CQ41+CQ41*(F_MR/12)),0)</f>
        <v>0</v>
      </c>
      <c r="DE41" s="1" t="n">
        <f aca="false">MAX(0,CR41)</f>
        <v>0</v>
      </c>
      <c r="DF41" s="1" t="n">
        <f aca="false">SUM(CS41:DD41)</f>
        <v>0</v>
      </c>
      <c r="DG41" s="1" t="n">
        <f aca="false">MAX(0,CF41)</f>
        <v>0</v>
      </c>
    </row>
    <row r="42" customFormat="false" ht="15" hidden="false" customHeight="true" outlineLevel="0" collapsed="false">
      <c r="B42" s="1" t="n">
        <v>34</v>
      </c>
      <c r="C42" s="1" t="n">
        <f aca="false">'Plan cashflow'!I42</f>
        <v>0</v>
      </c>
      <c r="D42" s="1" t="n">
        <f aca="false">IF(C42&gt;PR_BalDone,C42+C42*(F_MR/12)-MIN(F_MortPayM,C42+C42*(F_MR/12)),C42)</f>
        <v>0</v>
      </c>
      <c r="E42" s="1" t="n">
        <f aca="false">IF(D42&gt;PR_BalDone,D42+D42*(F_MR/12)-MIN(F_MortPayM,D42+D42*(F_MR/12)),D42)</f>
        <v>0</v>
      </c>
      <c r="F42" s="1" t="n">
        <f aca="false">IF(E42&gt;PR_BalDone,E42+E42*(F_MR/12)-MIN(F_MortPayM,E42+E42*(F_MR/12)),E42)</f>
        <v>0</v>
      </c>
      <c r="G42" s="1" t="n">
        <f aca="false">IF(F42&gt;PR_BalDone,F42+F42*(F_MR/12)-MIN(F_MortPayM,F42+F42*(F_MR/12)),F42)</f>
        <v>0</v>
      </c>
      <c r="H42" s="1" t="n">
        <f aca="false">IF(G42&gt;PR_BalDone,G42+G42*(F_MR/12)-MIN(F_MortPayM,G42+G42*(F_MR/12)),G42)</f>
        <v>0</v>
      </c>
      <c r="I42" s="1" t="n">
        <f aca="false">IF(H42&gt;PR_BalDone,H42+H42*(F_MR/12)-MIN(F_MortPayM,H42+H42*(F_MR/12)),H42)</f>
        <v>0</v>
      </c>
      <c r="J42" s="1" t="n">
        <f aca="false">IF(I42&gt;PR_BalDone,I42+I42*(F_MR/12)-MIN(F_MortPayM,I42+I42*(F_MR/12)),I42)</f>
        <v>0</v>
      </c>
      <c r="K42" s="1" t="n">
        <f aca="false">IF(J42&gt;PR_BalDone,J42+J42*(F_MR/12)-MIN(F_MortPayM,J42+J42*(F_MR/12)),J42)</f>
        <v>0</v>
      </c>
      <c r="L42" s="1" t="n">
        <f aca="false">IF(K42&gt;PR_BalDone,K42+K42*(F_MR/12)-MIN(F_MortPayM,K42+K42*(F_MR/12)),K42)</f>
        <v>0</v>
      </c>
      <c r="M42" s="1" t="n">
        <f aca="false">IF(L42&gt;PR_BalDone,L42+L42*(F_MR/12)-MIN(F_MortPayM,L42+L42*(F_MR/12)),L42)</f>
        <v>0</v>
      </c>
      <c r="N42" s="1" t="n">
        <f aca="false">IF(M42&gt;PR_BalDone,M42+M42*(F_MR/12)-MIN(F_MortPayM,M42+M42*(F_MR/12)),M42)</f>
        <v>0</v>
      </c>
      <c r="O42" s="1" t="n">
        <f aca="false">IF(N42&gt;PR_BalDone,N42+N42*(F_MR/12)-MIN(F_MortPayM,N42+N42*(F_MR/12)),N42)</f>
        <v>0</v>
      </c>
      <c r="P42" s="1" t="n">
        <f aca="false">IF(C42&gt;PR_BalDone,MIN(F_MortPayM,C42+C42*(F_MR/12)),0)</f>
        <v>0</v>
      </c>
      <c r="Q42" s="1" t="n">
        <f aca="false">IF(D42&gt;PR_BalDone,MIN(F_MortPayM,D42+D42*(F_MR/12)),0)</f>
        <v>0</v>
      </c>
      <c r="R42" s="1" t="n">
        <f aca="false">IF(E42&gt;PR_BalDone,MIN(F_MortPayM,E42+E42*(F_MR/12)),0)</f>
        <v>0</v>
      </c>
      <c r="S42" s="1" t="n">
        <f aca="false">IF(F42&gt;PR_BalDone,MIN(F_MortPayM,F42+F42*(F_MR/12)),0)</f>
        <v>0</v>
      </c>
      <c r="T42" s="1" t="n">
        <f aca="false">IF(G42&gt;PR_BalDone,MIN(F_MortPayM,G42+G42*(F_MR/12)),0)</f>
        <v>0</v>
      </c>
      <c r="U42" s="1" t="n">
        <f aca="false">IF(H42&gt;PR_BalDone,MIN(F_MortPayM,H42+H42*(F_MR/12)),0)</f>
        <v>0</v>
      </c>
      <c r="V42" s="1" t="n">
        <f aca="false">IF(I42&gt;PR_BalDone,MIN(F_MortPayM,I42+I42*(F_MR/12)),0)</f>
        <v>0</v>
      </c>
      <c r="W42" s="1" t="n">
        <f aca="false">IF(J42&gt;PR_BalDone,MIN(F_MortPayM,J42+J42*(F_MR/12)),0)</f>
        <v>0</v>
      </c>
      <c r="X42" s="1" t="n">
        <f aca="false">IF(K42&gt;PR_BalDone,MIN(F_MortPayM,K42+K42*(F_MR/12)),0)</f>
        <v>0</v>
      </c>
      <c r="Y42" s="1" t="n">
        <f aca="false">IF(L42&gt;PR_BalDone,MIN(F_MortPayM,L42+L42*(F_MR/12)),0)</f>
        <v>0</v>
      </c>
      <c r="Z42" s="1" t="n">
        <f aca="false">IF(M42&gt;PR_BalDone,MIN(F_MortPayM,M42+M42*(F_MR/12)),0)</f>
        <v>0</v>
      </c>
      <c r="AA42" s="1" t="n">
        <f aca="false">IF(N42&gt;PR_BalDone,MIN(F_MortPayM,N42+N42*(F_MR/12)),0)</f>
        <v>0</v>
      </c>
      <c r="AB42" s="1" t="n">
        <f aca="false">MAX(0,O42)</f>
        <v>0</v>
      </c>
      <c r="AC42" s="1" t="n">
        <f aca="false">SUM(P42:AA42)</f>
        <v>0</v>
      </c>
      <c r="AD42" s="1" t="n">
        <f aca="false">'Plan cashflow'!L42</f>
        <v>0</v>
      </c>
      <c r="AE42" s="1" t="n">
        <f aca="false">IF(AD42&gt;PR_BalDone,AD42+AD42*(D_iC)-MIN(F_CardPayM,AD42+AD42*(D_iC)),AD42)</f>
        <v>0</v>
      </c>
      <c r="AF42" s="1" t="n">
        <f aca="false">IF(AE42&gt;PR_BalDone,AE42+AE42*(D_iC)-MIN(F_CardPayM,AE42+AE42*(D_iC)),AE42)</f>
        <v>0</v>
      </c>
      <c r="AG42" s="1" t="n">
        <f aca="false">IF(AF42&gt;PR_BalDone,AF42+AF42*(D_iC)-MIN(F_CardPayM,AF42+AF42*(D_iC)),AF42)</f>
        <v>0</v>
      </c>
      <c r="AH42" s="1" t="n">
        <f aca="false">IF(AG42&gt;PR_BalDone,AG42+AG42*(D_iC)-MIN(F_CardPayM,AG42+AG42*(D_iC)),AG42)</f>
        <v>0</v>
      </c>
      <c r="AI42" s="1" t="n">
        <f aca="false">IF(AH42&gt;PR_BalDone,AH42+AH42*(D_iC)-MIN(F_CardPayM,AH42+AH42*(D_iC)),AH42)</f>
        <v>0</v>
      </c>
      <c r="AJ42" s="1" t="n">
        <f aca="false">IF(AI42&gt;PR_BalDone,AI42+AI42*(D_iC)-MIN(F_CardPayM,AI42+AI42*(D_iC)),AI42)</f>
        <v>0</v>
      </c>
      <c r="AK42" s="1" t="n">
        <f aca="false">IF(AJ42&gt;PR_BalDone,AJ42+AJ42*(D_iC)-MIN(F_CardPayM,AJ42+AJ42*(D_iC)),AJ42)</f>
        <v>0</v>
      </c>
      <c r="AL42" s="1" t="n">
        <f aca="false">IF(AK42&gt;PR_BalDone,AK42+AK42*(D_iC)-MIN(F_CardPayM,AK42+AK42*(D_iC)),AK42)</f>
        <v>0</v>
      </c>
      <c r="AM42" s="1" t="n">
        <f aca="false">IF(AL42&gt;PR_BalDone,AL42+AL42*(D_iC)-MIN(F_CardPayM,AL42+AL42*(D_iC)),AL42)</f>
        <v>0</v>
      </c>
      <c r="AN42" s="1" t="n">
        <f aca="false">IF(AM42&gt;PR_BalDone,AM42+AM42*(D_iC)-MIN(F_CardPayM,AM42+AM42*(D_iC)),AM42)</f>
        <v>0</v>
      </c>
      <c r="AO42" s="1" t="n">
        <f aca="false">IF(AN42&gt;PR_BalDone,AN42+AN42*(D_iC)-MIN(F_CardPayM,AN42+AN42*(D_iC)),AN42)</f>
        <v>0</v>
      </c>
      <c r="AP42" s="1" t="n">
        <f aca="false">IF(AO42&gt;PR_BalDone,AO42+AO42*(D_iC)-MIN(F_CardPayM,AO42+AO42*(D_iC)),AO42)</f>
        <v>0</v>
      </c>
      <c r="AQ42" s="1" t="n">
        <f aca="false">IF(AD42&gt;PR_BalDone,MIN(F_CardPayM,AD42+AD42*(D_iC)),0)</f>
        <v>0</v>
      </c>
      <c r="AR42" s="1" t="n">
        <f aca="false">IF(AE42&gt;PR_BalDone,MIN(F_CardPayM,AE42+AE42*(D_iC)),0)</f>
        <v>0</v>
      </c>
      <c r="AS42" s="1" t="n">
        <f aca="false">IF(AF42&gt;PR_BalDone,MIN(F_CardPayM,AF42+AF42*(D_iC)),0)</f>
        <v>0</v>
      </c>
      <c r="AT42" s="1" t="n">
        <f aca="false">IF(AG42&gt;PR_BalDone,MIN(F_CardPayM,AG42+AG42*(D_iC)),0)</f>
        <v>0</v>
      </c>
      <c r="AU42" s="1" t="n">
        <f aca="false">IF(AH42&gt;PR_BalDone,MIN(F_CardPayM,AH42+AH42*(D_iC)),0)</f>
        <v>0</v>
      </c>
      <c r="AV42" s="1" t="n">
        <f aca="false">IF(AI42&gt;PR_BalDone,MIN(F_CardPayM,AI42+AI42*(D_iC)),0)</f>
        <v>0</v>
      </c>
      <c r="AW42" s="1" t="n">
        <f aca="false">IF(AJ42&gt;PR_BalDone,MIN(F_CardPayM,AJ42+AJ42*(D_iC)),0)</f>
        <v>0</v>
      </c>
      <c r="AX42" s="1" t="n">
        <f aca="false">IF(AK42&gt;PR_BalDone,MIN(F_CardPayM,AK42+AK42*(D_iC)),0)</f>
        <v>0</v>
      </c>
      <c r="AY42" s="1" t="n">
        <f aca="false">IF(AL42&gt;PR_BalDone,MIN(F_CardPayM,AL42+AL42*(D_iC)),0)</f>
        <v>0</v>
      </c>
      <c r="AZ42" s="1" t="n">
        <f aca="false">IF(AM42&gt;PR_BalDone,MIN(F_CardPayM,AM42+AM42*(D_iC)),0)</f>
        <v>0</v>
      </c>
      <c r="BA42" s="1" t="n">
        <f aca="false">IF(AN42&gt;PR_BalDone,MIN(F_CardPayM,AN42+AN42*(D_iC)),0)</f>
        <v>0</v>
      </c>
      <c r="BB42" s="1" t="n">
        <f aca="false">IF(AO42&gt;PR_BalDone,MIN(F_CardPayM,AO42+AO42*(D_iC)),0)</f>
        <v>0</v>
      </c>
      <c r="BC42" s="1" t="n">
        <f aca="false">MAX(0,AP42)</f>
        <v>0</v>
      </c>
      <c r="BD42" s="1" t="n">
        <f aca="false">SUM(AQ42:BB42)</f>
        <v>0</v>
      </c>
      <c r="BE42" s="1" t="n">
        <f aca="false">'Plan cashflow'!O42</f>
        <v>0</v>
      </c>
      <c r="BF42" s="1" t="n">
        <f aca="false">IF(BE42&gt;PR_BalDone,BE42+BE42*(D_iL)-MIN(F_LoanPayM,BE42+BE42*(D_iL)),BE42)</f>
        <v>0</v>
      </c>
      <c r="BG42" s="1" t="n">
        <f aca="false">IF(BF42&gt;PR_BalDone,BF42+BF42*(D_iL)-MIN(F_LoanPayM,BF42+BF42*(D_iL)),BF42)</f>
        <v>0</v>
      </c>
      <c r="BH42" s="1" t="n">
        <f aca="false">IF(BG42&gt;PR_BalDone,BG42+BG42*(D_iL)-MIN(F_LoanPayM,BG42+BG42*(D_iL)),BG42)</f>
        <v>0</v>
      </c>
      <c r="BI42" s="1" t="n">
        <f aca="false">IF(BH42&gt;PR_BalDone,BH42+BH42*(D_iL)-MIN(F_LoanPayM,BH42+BH42*(D_iL)),BH42)</f>
        <v>0</v>
      </c>
      <c r="BJ42" s="1" t="n">
        <f aca="false">IF(BI42&gt;PR_BalDone,BI42+BI42*(D_iL)-MIN(F_LoanPayM,BI42+BI42*(D_iL)),BI42)</f>
        <v>0</v>
      </c>
      <c r="BK42" s="1" t="n">
        <f aca="false">IF(BJ42&gt;PR_BalDone,BJ42+BJ42*(D_iL)-MIN(F_LoanPayM,BJ42+BJ42*(D_iL)),BJ42)</f>
        <v>0</v>
      </c>
      <c r="BL42" s="1" t="n">
        <f aca="false">IF(BK42&gt;PR_BalDone,BK42+BK42*(D_iL)-MIN(F_LoanPayM,BK42+BK42*(D_iL)),BK42)</f>
        <v>0</v>
      </c>
      <c r="BM42" s="1" t="n">
        <f aca="false">IF(BL42&gt;PR_BalDone,BL42+BL42*(D_iL)-MIN(F_LoanPayM,BL42+BL42*(D_iL)),BL42)</f>
        <v>0</v>
      </c>
      <c r="BN42" s="1" t="n">
        <f aca="false">IF(BM42&gt;PR_BalDone,BM42+BM42*(D_iL)-MIN(F_LoanPayM,BM42+BM42*(D_iL)),BM42)</f>
        <v>0</v>
      </c>
      <c r="BO42" s="1" t="n">
        <f aca="false">IF(BN42&gt;PR_BalDone,BN42+BN42*(D_iL)-MIN(F_LoanPayM,BN42+BN42*(D_iL)),BN42)</f>
        <v>0</v>
      </c>
      <c r="BP42" s="1" t="n">
        <f aca="false">IF(BO42&gt;PR_BalDone,BO42+BO42*(D_iL)-MIN(F_LoanPayM,BO42+BO42*(D_iL)),BO42)</f>
        <v>0</v>
      </c>
      <c r="BQ42" s="1" t="n">
        <f aca="false">IF(BP42&gt;PR_BalDone,BP42+BP42*(D_iL)-MIN(F_LoanPayM,BP42+BP42*(D_iL)),BP42)</f>
        <v>0</v>
      </c>
      <c r="BR42" s="1" t="n">
        <f aca="false">IF(BE42&gt;PR_BalDone,MIN(F_LoanPayM,BE42+BE42*(D_iL)),0)</f>
        <v>0</v>
      </c>
      <c r="BS42" s="1" t="n">
        <f aca="false">IF(BF42&gt;PR_BalDone,MIN(F_LoanPayM,BF42+BF42*(D_iL)),0)</f>
        <v>0</v>
      </c>
      <c r="BT42" s="1" t="n">
        <f aca="false">IF(BG42&gt;PR_BalDone,MIN(F_LoanPayM,BG42+BG42*(D_iL)),0)</f>
        <v>0</v>
      </c>
      <c r="BU42" s="1" t="n">
        <f aca="false">IF(BH42&gt;PR_BalDone,MIN(F_LoanPayM,BH42+BH42*(D_iL)),0)</f>
        <v>0</v>
      </c>
      <c r="BV42" s="1" t="n">
        <f aca="false">IF(BI42&gt;PR_BalDone,MIN(F_LoanPayM,BI42+BI42*(D_iL)),0)</f>
        <v>0</v>
      </c>
      <c r="BW42" s="1" t="n">
        <f aca="false">IF(BJ42&gt;PR_BalDone,MIN(F_LoanPayM,BJ42+BJ42*(D_iL)),0)</f>
        <v>0</v>
      </c>
      <c r="BX42" s="1" t="n">
        <f aca="false">IF(BK42&gt;PR_BalDone,MIN(F_LoanPayM,BK42+BK42*(D_iL)),0)</f>
        <v>0</v>
      </c>
      <c r="BY42" s="1" t="n">
        <f aca="false">IF(BL42&gt;PR_BalDone,MIN(F_LoanPayM,BL42+BL42*(D_iL)),0)</f>
        <v>0</v>
      </c>
      <c r="BZ42" s="1" t="n">
        <f aca="false">IF(BM42&gt;PR_BalDone,MIN(F_LoanPayM,BM42+BM42*(D_iL)),0)</f>
        <v>0</v>
      </c>
      <c r="CA42" s="1" t="n">
        <f aca="false">IF(BN42&gt;PR_BalDone,MIN(F_LoanPayM,BN42+BN42*(D_iL)),0)</f>
        <v>0</v>
      </c>
      <c r="CB42" s="1" t="n">
        <f aca="false">IF(BO42&gt;PR_BalDone,MIN(F_LoanPayM,BO42+BO42*(D_iL)),0)</f>
        <v>0</v>
      </c>
      <c r="CC42" s="1" t="n">
        <f aca="false">IF(BP42&gt;PR_BalDone,MIN(F_LoanPayM,BP42+BP42*(D_iL)),0)</f>
        <v>0</v>
      </c>
      <c r="CD42" s="1" t="n">
        <f aca="false">MAX(0,BQ42)</f>
        <v>0</v>
      </c>
      <c r="CE42" s="1" t="n">
        <f aca="false">SUM(BR42:CC42)</f>
        <v>0</v>
      </c>
      <c r="CF42" s="1" t="n">
        <f aca="false">IF(CF41&gt;1,DE41,CF41)</f>
        <v>0</v>
      </c>
      <c r="CG42" s="1" t="n">
        <f aca="false">IF(CF42&gt;PR_BalDone,CF42+CF42*(F_MR/12)-MIN(F_MortPayM,CF42+CF42*(F_MR/12)),CF42)</f>
        <v>0</v>
      </c>
      <c r="CH42" s="1" t="n">
        <f aca="false">IF(CG42&gt;PR_BalDone,CG42+CG42*(F_MR/12)-MIN(F_MortPayM,CG42+CG42*(F_MR/12)),CG42)</f>
        <v>0</v>
      </c>
      <c r="CI42" s="1" t="n">
        <f aca="false">IF(CH42&gt;PR_BalDone,CH42+CH42*(F_MR/12)-MIN(F_MortPayM,CH42+CH42*(F_MR/12)),CH42)</f>
        <v>0</v>
      </c>
      <c r="CJ42" s="1" t="n">
        <f aca="false">IF(CI42&gt;PR_BalDone,CI42+CI42*(F_MR/12)-MIN(F_MortPayM,CI42+CI42*(F_MR/12)),CI42)</f>
        <v>0</v>
      </c>
      <c r="CK42" s="1" t="n">
        <f aca="false">IF(CJ42&gt;PR_BalDone,CJ42+CJ42*(F_MR/12)-MIN(F_MortPayM,CJ42+CJ42*(F_MR/12)),CJ42)</f>
        <v>0</v>
      </c>
      <c r="CL42" s="1" t="n">
        <f aca="false">IF(CK42&gt;PR_BalDone,CK42+CK42*(F_MR/12)-MIN(F_MortPayM,CK42+CK42*(F_MR/12)),CK42)</f>
        <v>0</v>
      </c>
      <c r="CM42" s="1" t="n">
        <f aca="false">IF(CL42&gt;PR_BalDone,CL42+CL42*(F_MR/12)-MIN(F_MortPayM,CL42+CL42*(F_MR/12)),CL42)</f>
        <v>0</v>
      </c>
      <c r="CN42" s="1" t="n">
        <f aca="false">IF(CM42&gt;PR_BalDone,CM42+CM42*(F_MR/12)-MIN(F_MortPayM,CM42+CM42*(F_MR/12)),CM42)</f>
        <v>0</v>
      </c>
      <c r="CO42" s="1" t="n">
        <f aca="false">IF(CN42&gt;PR_BalDone,CN42+CN42*(F_MR/12)-MIN(F_MortPayM,CN42+CN42*(F_MR/12)),CN42)</f>
        <v>0</v>
      </c>
      <c r="CP42" s="1" t="n">
        <f aca="false">IF(CO42&gt;PR_BalDone,CO42+CO42*(F_MR/12)-MIN(F_MortPayM,CO42+CO42*(F_MR/12)),CO42)</f>
        <v>0</v>
      </c>
      <c r="CQ42" s="1" t="n">
        <f aca="false">IF(CP42&gt;PR_BalDone,CP42+CP42*(F_MR/12)-MIN(F_MortPayM,CP42+CP42*(F_MR/12)),CP42)</f>
        <v>0</v>
      </c>
      <c r="CR42" s="1" t="n">
        <f aca="false">IF(CQ42&gt;PR_BalDone,CQ42+CQ42*(F_MR/12)-MIN(F_MortPayM,CQ42+CQ42*(F_MR/12)),CQ42)</f>
        <v>0</v>
      </c>
      <c r="CS42" s="1" t="n">
        <f aca="false">IF(CF42&gt;PR_BalDone,MIN(F_MortPayM,CF42+CF42*(F_MR/12)),0)</f>
        <v>0</v>
      </c>
      <c r="CT42" s="1" t="n">
        <f aca="false">IF(CG42&gt;PR_BalDone,MIN(F_MortPayM,CG42+CG42*(F_MR/12)),0)</f>
        <v>0</v>
      </c>
      <c r="CU42" s="1" t="n">
        <f aca="false">IF(CH42&gt;PR_BalDone,MIN(F_MortPayM,CH42+CH42*(F_MR/12)),0)</f>
        <v>0</v>
      </c>
      <c r="CV42" s="1" t="n">
        <f aca="false">IF(CI42&gt;PR_BalDone,MIN(F_MortPayM,CI42+CI42*(F_MR/12)),0)</f>
        <v>0</v>
      </c>
      <c r="CW42" s="1" t="n">
        <f aca="false">IF(CJ42&gt;PR_BalDone,MIN(F_MortPayM,CJ42+CJ42*(F_MR/12)),0)</f>
        <v>0</v>
      </c>
      <c r="CX42" s="1" t="n">
        <f aca="false">IF(CK42&gt;PR_BalDone,MIN(F_MortPayM,CK42+CK42*(F_MR/12)),0)</f>
        <v>0</v>
      </c>
      <c r="CY42" s="1" t="n">
        <f aca="false">IF(CL42&gt;PR_BalDone,MIN(F_MortPayM,CL42+CL42*(F_MR/12)),0)</f>
        <v>0</v>
      </c>
      <c r="CZ42" s="1" t="n">
        <f aca="false">IF(CM42&gt;PR_BalDone,MIN(F_MortPayM,CM42+CM42*(F_MR/12)),0)</f>
        <v>0</v>
      </c>
      <c r="DA42" s="1" t="n">
        <f aca="false">IF(CN42&gt;PR_BalDone,MIN(F_MortPayM,CN42+CN42*(F_MR/12)),0)</f>
        <v>0</v>
      </c>
      <c r="DB42" s="1" t="n">
        <f aca="false">IF(CO42&gt;PR_BalDone,MIN(F_MortPayM,CO42+CO42*(F_MR/12)),0)</f>
        <v>0</v>
      </c>
      <c r="DC42" s="1" t="n">
        <f aca="false">IF(CP42&gt;PR_BalDone,MIN(F_MortPayM,CP42+CP42*(F_MR/12)),0)</f>
        <v>0</v>
      </c>
      <c r="DD42" s="1" t="n">
        <f aca="false">IF(CQ42&gt;PR_BalDone,MIN(F_MortPayM,CQ42+CQ42*(F_MR/12)),0)</f>
        <v>0</v>
      </c>
      <c r="DE42" s="1" t="n">
        <f aca="false">MAX(0,CR42)</f>
        <v>0</v>
      </c>
      <c r="DF42" s="1" t="n">
        <f aca="false">SUM(CS42:DD42)</f>
        <v>0</v>
      </c>
      <c r="DG42" s="1" t="n">
        <f aca="false">MAX(0,CF42)</f>
        <v>0</v>
      </c>
    </row>
    <row r="43" customFormat="false" ht="15" hidden="false" customHeight="true" outlineLevel="0" collapsed="false">
      <c r="B43" s="1" t="n">
        <v>35</v>
      </c>
      <c r="C43" s="1" t="n">
        <f aca="false">'Plan cashflow'!I43</f>
        <v>0</v>
      </c>
      <c r="D43" s="1" t="n">
        <f aca="false">IF(C43&gt;PR_BalDone,C43+C43*(F_MR/12)-MIN(F_MortPayM,C43+C43*(F_MR/12)),C43)</f>
        <v>0</v>
      </c>
      <c r="E43" s="1" t="n">
        <f aca="false">IF(D43&gt;PR_BalDone,D43+D43*(F_MR/12)-MIN(F_MortPayM,D43+D43*(F_MR/12)),D43)</f>
        <v>0</v>
      </c>
      <c r="F43" s="1" t="n">
        <f aca="false">IF(E43&gt;PR_BalDone,E43+E43*(F_MR/12)-MIN(F_MortPayM,E43+E43*(F_MR/12)),E43)</f>
        <v>0</v>
      </c>
      <c r="G43" s="1" t="n">
        <f aca="false">IF(F43&gt;PR_BalDone,F43+F43*(F_MR/12)-MIN(F_MortPayM,F43+F43*(F_MR/12)),F43)</f>
        <v>0</v>
      </c>
      <c r="H43" s="1" t="n">
        <f aca="false">IF(G43&gt;PR_BalDone,G43+G43*(F_MR/12)-MIN(F_MortPayM,G43+G43*(F_MR/12)),G43)</f>
        <v>0</v>
      </c>
      <c r="I43" s="1" t="n">
        <f aca="false">IF(H43&gt;PR_BalDone,H43+H43*(F_MR/12)-MIN(F_MortPayM,H43+H43*(F_MR/12)),H43)</f>
        <v>0</v>
      </c>
      <c r="J43" s="1" t="n">
        <f aca="false">IF(I43&gt;PR_BalDone,I43+I43*(F_MR/12)-MIN(F_MortPayM,I43+I43*(F_MR/12)),I43)</f>
        <v>0</v>
      </c>
      <c r="K43" s="1" t="n">
        <f aca="false">IF(J43&gt;PR_BalDone,J43+J43*(F_MR/12)-MIN(F_MortPayM,J43+J43*(F_MR/12)),J43)</f>
        <v>0</v>
      </c>
      <c r="L43" s="1" t="n">
        <f aca="false">IF(K43&gt;PR_BalDone,K43+K43*(F_MR/12)-MIN(F_MortPayM,K43+K43*(F_MR/12)),K43)</f>
        <v>0</v>
      </c>
      <c r="M43" s="1" t="n">
        <f aca="false">IF(L43&gt;PR_BalDone,L43+L43*(F_MR/12)-MIN(F_MortPayM,L43+L43*(F_MR/12)),L43)</f>
        <v>0</v>
      </c>
      <c r="N43" s="1" t="n">
        <f aca="false">IF(M43&gt;PR_BalDone,M43+M43*(F_MR/12)-MIN(F_MortPayM,M43+M43*(F_MR/12)),M43)</f>
        <v>0</v>
      </c>
      <c r="O43" s="1" t="n">
        <f aca="false">IF(N43&gt;PR_BalDone,N43+N43*(F_MR/12)-MIN(F_MortPayM,N43+N43*(F_MR/12)),N43)</f>
        <v>0</v>
      </c>
      <c r="P43" s="1" t="n">
        <f aca="false">IF(C43&gt;PR_BalDone,MIN(F_MortPayM,C43+C43*(F_MR/12)),0)</f>
        <v>0</v>
      </c>
      <c r="Q43" s="1" t="n">
        <f aca="false">IF(D43&gt;PR_BalDone,MIN(F_MortPayM,D43+D43*(F_MR/12)),0)</f>
        <v>0</v>
      </c>
      <c r="R43" s="1" t="n">
        <f aca="false">IF(E43&gt;PR_BalDone,MIN(F_MortPayM,E43+E43*(F_MR/12)),0)</f>
        <v>0</v>
      </c>
      <c r="S43" s="1" t="n">
        <f aca="false">IF(F43&gt;PR_BalDone,MIN(F_MortPayM,F43+F43*(F_MR/12)),0)</f>
        <v>0</v>
      </c>
      <c r="T43" s="1" t="n">
        <f aca="false">IF(G43&gt;PR_BalDone,MIN(F_MortPayM,G43+G43*(F_MR/12)),0)</f>
        <v>0</v>
      </c>
      <c r="U43" s="1" t="n">
        <f aca="false">IF(H43&gt;PR_BalDone,MIN(F_MortPayM,H43+H43*(F_MR/12)),0)</f>
        <v>0</v>
      </c>
      <c r="V43" s="1" t="n">
        <f aca="false">IF(I43&gt;PR_BalDone,MIN(F_MortPayM,I43+I43*(F_MR/12)),0)</f>
        <v>0</v>
      </c>
      <c r="W43" s="1" t="n">
        <f aca="false">IF(J43&gt;PR_BalDone,MIN(F_MortPayM,J43+J43*(F_MR/12)),0)</f>
        <v>0</v>
      </c>
      <c r="X43" s="1" t="n">
        <f aca="false">IF(K43&gt;PR_BalDone,MIN(F_MortPayM,K43+K43*(F_MR/12)),0)</f>
        <v>0</v>
      </c>
      <c r="Y43" s="1" t="n">
        <f aca="false">IF(L43&gt;PR_BalDone,MIN(F_MortPayM,L43+L43*(F_MR/12)),0)</f>
        <v>0</v>
      </c>
      <c r="Z43" s="1" t="n">
        <f aca="false">IF(M43&gt;PR_BalDone,MIN(F_MortPayM,M43+M43*(F_MR/12)),0)</f>
        <v>0</v>
      </c>
      <c r="AA43" s="1" t="n">
        <f aca="false">IF(N43&gt;PR_BalDone,MIN(F_MortPayM,N43+N43*(F_MR/12)),0)</f>
        <v>0</v>
      </c>
      <c r="AB43" s="1" t="n">
        <f aca="false">MAX(0,O43)</f>
        <v>0</v>
      </c>
      <c r="AC43" s="1" t="n">
        <f aca="false">SUM(P43:AA43)</f>
        <v>0</v>
      </c>
      <c r="AD43" s="1" t="n">
        <f aca="false">'Plan cashflow'!L43</f>
        <v>0</v>
      </c>
      <c r="AE43" s="1" t="n">
        <f aca="false">IF(AD43&gt;PR_BalDone,AD43+AD43*(D_iC)-MIN(F_CardPayM,AD43+AD43*(D_iC)),AD43)</f>
        <v>0</v>
      </c>
      <c r="AF43" s="1" t="n">
        <f aca="false">IF(AE43&gt;PR_BalDone,AE43+AE43*(D_iC)-MIN(F_CardPayM,AE43+AE43*(D_iC)),AE43)</f>
        <v>0</v>
      </c>
      <c r="AG43" s="1" t="n">
        <f aca="false">IF(AF43&gt;PR_BalDone,AF43+AF43*(D_iC)-MIN(F_CardPayM,AF43+AF43*(D_iC)),AF43)</f>
        <v>0</v>
      </c>
      <c r="AH43" s="1" t="n">
        <f aca="false">IF(AG43&gt;PR_BalDone,AG43+AG43*(D_iC)-MIN(F_CardPayM,AG43+AG43*(D_iC)),AG43)</f>
        <v>0</v>
      </c>
      <c r="AI43" s="1" t="n">
        <f aca="false">IF(AH43&gt;PR_BalDone,AH43+AH43*(D_iC)-MIN(F_CardPayM,AH43+AH43*(D_iC)),AH43)</f>
        <v>0</v>
      </c>
      <c r="AJ43" s="1" t="n">
        <f aca="false">IF(AI43&gt;PR_BalDone,AI43+AI43*(D_iC)-MIN(F_CardPayM,AI43+AI43*(D_iC)),AI43)</f>
        <v>0</v>
      </c>
      <c r="AK43" s="1" t="n">
        <f aca="false">IF(AJ43&gt;PR_BalDone,AJ43+AJ43*(D_iC)-MIN(F_CardPayM,AJ43+AJ43*(D_iC)),AJ43)</f>
        <v>0</v>
      </c>
      <c r="AL43" s="1" t="n">
        <f aca="false">IF(AK43&gt;PR_BalDone,AK43+AK43*(D_iC)-MIN(F_CardPayM,AK43+AK43*(D_iC)),AK43)</f>
        <v>0</v>
      </c>
      <c r="AM43" s="1" t="n">
        <f aca="false">IF(AL43&gt;PR_BalDone,AL43+AL43*(D_iC)-MIN(F_CardPayM,AL43+AL43*(D_iC)),AL43)</f>
        <v>0</v>
      </c>
      <c r="AN43" s="1" t="n">
        <f aca="false">IF(AM43&gt;PR_BalDone,AM43+AM43*(D_iC)-MIN(F_CardPayM,AM43+AM43*(D_iC)),AM43)</f>
        <v>0</v>
      </c>
      <c r="AO43" s="1" t="n">
        <f aca="false">IF(AN43&gt;PR_BalDone,AN43+AN43*(D_iC)-MIN(F_CardPayM,AN43+AN43*(D_iC)),AN43)</f>
        <v>0</v>
      </c>
      <c r="AP43" s="1" t="n">
        <f aca="false">IF(AO43&gt;PR_BalDone,AO43+AO43*(D_iC)-MIN(F_CardPayM,AO43+AO43*(D_iC)),AO43)</f>
        <v>0</v>
      </c>
      <c r="AQ43" s="1" t="n">
        <f aca="false">IF(AD43&gt;PR_BalDone,MIN(F_CardPayM,AD43+AD43*(D_iC)),0)</f>
        <v>0</v>
      </c>
      <c r="AR43" s="1" t="n">
        <f aca="false">IF(AE43&gt;PR_BalDone,MIN(F_CardPayM,AE43+AE43*(D_iC)),0)</f>
        <v>0</v>
      </c>
      <c r="AS43" s="1" t="n">
        <f aca="false">IF(AF43&gt;PR_BalDone,MIN(F_CardPayM,AF43+AF43*(D_iC)),0)</f>
        <v>0</v>
      </c>
      <c r="AT43" s="1" t="n">
        <f aca="false">IF(AG43&gt;PR_BalDone,MIN(F_CardPayM,AG43+AG43*(D_iC)),0)</f>
        <v>0</v>
      </c>
      <c r="AU43" s="1" t="n">
        <f aca="false">IF(AH43&gt;PR_BalDone,MIN(F_CardPayM,AH43+AH43*(D_iC)),0)</f>
        <v>0</v>
      </c>
      <c r="AV43" s="1" t="n">
        <f aca="false">IF(AI43&gt;PR_BalDone,MIN(F_CardPayM,AI43+AI43*(D_iC)),0)</f>
        <v>0</v>
      </c>
      <c r="AW43" s="1" t="n">
        <f aca="false">IF(AJ43&gt;PR_BalDone,MIN(F_CardPayM,AJ43+AJ43*(D_iC)),0)</f>
        <v>0</v>
      </c>
      <c r="AX43" s="1" t="n">
        <f aca="false">IF(AK43&gt;PR_BalDone,MIN(F_CardPayM,AK43+AK43*(D_iC)),0)</f>
        <v>0</v>
      </c>
      <c r="AY43" s="1" t="n">
        <f aca="false">IF(AL43&gt;PR_BalDone,MIN(F_CardPayM,AL43+AL43*(D_iC)),0)</f>
        <v>0</v>
      </c>
      <c r="AZ43" s="1" t="n">
        <f aca="false">IF(AM43&gt;PR_BalDone,MIN(F_CardPayM,AM43+AM43*(D_iC)),0)</f>
        <v>0</v>
      </c>
      <c r="BA43" s="1" t="n">
        <f aca="false">IF(AN43&gt;PR_BalDone,MIN(F_CardPayM,AN43+AN43*(D_iC)),0)</f>
        <v>0</v>
      </c>
      <c r="BB43" s="1" t="n">
        <f aca="false">IF(AO43&gt;PR_BalDone,MIN(F_CardPayM,AO43+AO43*(D_iC)),0)</f>
        <v>0</v>
      </c>
      <c r="BC43" s="1" t="n">
        <f aca="false">MAX(0,AP43)</f>
        <v>0</v>
      </c>
      <c r="BD43" s="1" t="n">
        <f aca="false">SUM(AQ43:BB43)</f>
        <v>0</v>
      </c>
      <c r="BE43" s="1" t="n">
        <f aca="false">'Plan cashflow'!O43</f>
        <v>0</v>
      </c>
      <c r="BF43" s="1" t="n">
        <f aca="false">IF(BE43&gt;PR_BalDone,BE43+BE43*(D_iL)-MIN(F_LoanPayM,BE43+BE43*(D_iL)),BE43)</f>
        <v>0</v>
      </c>
      <c r="BG43" s="1" t="n">
        <f aca="false">IF(BF43&gt;PR_BalDone,BF43+BF43*(D_iL)-MIN(F_LoanPayM,BF43+BF43*(D_iL)),BF43)</f>
        <v>0</v>
      </c>
      <c r="BH43" s="1" t="n">
        <f aca="false">IF(BG43&gt;PR_BalDone,BG43+BG43*(D_iL)-MIN(F_LoanPayM,BG43+BG43*(D_iL)),BG43)</f>
        <v>0</v>
      </c>
      <c r="BI43" s="1" t="n">
        <f aca="false">IF(BH43&gt;PR_BalDone,BH43+BH43*(D_iL)-MIN(F_LoanPayM,BH43+BH43*(D_iL)),BH43)</f>
        <v>0</v>
      </c>
      <c r="BJ43" s="1" t="n">
        <f aca="false">IF(BI43&gt;PR_BalDone,BI43+BI43*(D_iL)-MIN(F_LoanPayM,BI43+BI43*(D_iL)),BI43)</f>
        <v>0</v>
      </c>
      <c r="BK43" s="1" t="n">
        <f aca="false">IF(BJ43&gt;PR_BalDone,BJ43+BJ43*(D_iL)-MIN(F_LoanPayM,BJ43+BJ43*(D_iL)),BJ43)</f>
        <v>0</v>
      </c>
      <c r="BL43" s="1" t="n">
        <f aca="false">IF(BK43&gt;PR_BalDone,BK43+BK43*(D_iL)-MIN(F_LoanPayM,BK43+BK43*(D_iL)),BK43)</f>
        <v>0</v>
      </c>
      <c r="BM43" s="1" t="n">
        <f aca="false">IF(BL43&gt;PR_BalDone,BL43+BL43*(D_iL)-MIN(F_LoanPayM,BL43+BL43*(D_iL)),BL43)</f>
        <v>0</v>
      </c>
      <c r="BN43" s="1" t="n">
        <f aca="false">IF(BM43&gt;PR_BalDone,BM43+BM43*(D_iL)-MIN(F_LoanPayM,BM43+BM43*(D_iL)),BM43)</f>
        <v>0</v>
      </c>
      <c r="BO43" s="1" t="n">
        <f aca="false">IF(BN43&gt;PR_BalDone,BN43+BN43*(D_iL)-MIN(F_LoanPayM,BN43+BN43*(D_iL)),BN43)</f>
        <v>0</v>
      </c>
      <c r="BP43" s="1" t="n">
        <f aca="false">IF(BO43&gt;PR_BalDone,BO43+BO43*(D_iL)-MIN(F_LoanPayM,BO43+BO43*(D_iL)),BO43)</f>
        <v>0</v>
      </c>
      <c r="BQ43" s="1" t="n">
        <f aca="false">IF(BP43&gt;PR_BalDone,BP43+BP43*(D_iL)-MIN(F_LoanPayM,BP43+BP43*(D_iL)),BP43)</f>
        <v>0</v>
      </c>
      <c r="BR43" s="1" t="n">
        <f aca="false">IF(BE43&gt;PR_BalDone,MIN(F_LoanPayM,BE43+BE43*(D_iL)),0)</f>
        <v>0</v>
      </c>
      <c r="BS43" s="1" t="n">
        <f aca="false">IF(BF43&gt;PR_BalDone,MIN(F_LoanPayM,BF43+BF43*(D_iL)),0)</f>
        <v>0</v>
      </c>
      <c r="BT43" s="1" t="n">
        <f aca="false">IF(BG43&gt;PR_BalDone,MIN(F_LoanPayM,BG43+BG43*(D_iL)),0)</f>
        <v>0</v>
      </c>
      <c r="BU43" s="1" t="n">
        <f aca="false">IF(BH43&gt;PR_BalDone,MIN(F_LoanPayM,BH43+BH43*(D_iL)),0)</f>
        <v>0</v>
      </c>
      <c r="BV43" s="1" t="n">
        <f aca="false">IF(BI43&gt;PR_BalDone,MIN(F_LoanPayM,BI43+BI43*(D_iL)),0)</f>
        <v>0</v>
      </c>
      <c r="BW43" s="1" t="n">
        <f aca="false">IF(BJ43&gt;PR_BalDone,MIN(F_LoanPayM,BJ43+BJ43*(D_iL)),0)</f>
        <v>0</v>
      </c>
      <c r="BX43" s="1" t="n">
        <f aca="false">IF(BK43&gt;PR_BalDone,MIN(F_LoanPayM,BK43+BK43*(D_iL)),0)</f>
        <v>0</v>
      </c>
      <c r="BY43" s="1" t="n">
        <f aca="false">IF(BL43&gt;PR_BalDone,MIN(F_LoanPayM,BL43+BL43*(D_iL)),0)</f>
        <v>0</v>
      </c>
      <c r="BZ43" s="1" t="n">
        <f aca="false">IF(BM43&gt;PR_BalDone,MIN(F_LoanPayM,BM43+BM43*(D_iL)),0)</f>
        <v>0</v>
      </c>
      <c r="CA43" s="1" t="n">
        <f aca="false">IF(BN43&gt;PR_BalDone,MIN(F_LoanPayM,BN43+BN43*(D_iL)),0)</f>
        <v>0</v>
      </c>
      <c r="CB43" s="1" t="n">
        <f aca="false">IF(BO43&gt;PR_BalDone,MIN(F_LoanPayM,BO43+BO43*(D_iL)),0)</f>
        <v>0</v>
      </c>
      <c r="CC43" s="1" t="n">
        <f aca="false">IF(BP43&gt;PR_BalDone,MIN(F_LoanPayM,BP43+BP43*(D_iL)),0)</f>
        <v>0</v>
      </c>
      <c r="CD43" s="1" t="n">
        <f aca="false">MAX(0,BQ43)</f>
        <v>0</v>
      </c>
      <c r="CE43" s="1" t="n">
        <f aca="false">SUM(BR43:CC43)</f>
        <v>0</v>
      </c>
      <c r="CF43" s="1" t="n">
        <f aca="false">IF(CF42&gt;1,DE42,CF42)</f>
        <v>0</v>
      </c>
      <c r="CG43" s="1" t="n">
        <f aca="false">IF(CF43&gt;PR_BalDone,CF43+CF43*(F_MR/12)-MIN(F_MortPayM,CF43+CF43*(F_MR/12)),CF43)</f>
        <v>0</v>
      </c>
      <c r="CH43" s="1" t="n">
        <f aca="false">IF(CG43&gt;PR_BalDone,CG43+CG43*(F_MR/12)-MIN(F_MortPayM,CG43+CG43*(F_MR/12)),CG43)</f>
        <v>0</v>
      </c>
      <c r="CI43" s="1" t="n">
        <f aca="false">IF(CH43&gt;PR_BalDone,CH43+CH43*(F_MR/12)-MIN(F_MortPayM,CH43+CH43*(F_MR/12)),CH43)</f>
        <v>0</v>
      </c>
      <c r="CJ43" s="1" t="n">
        <f aca="false">IF(CI43&gt;PR_BalDone,CI43+CI43*(F_MR/12)-MIN(F_MortPayM,CI43+CI43*(F_MR/12)),CI43)</f>
        <v>0</v>
      </c>
      <c r="CK43" s="1" t="n">
        <f aca="false">IF(CJ43&gt;PR_BalDone,CJ43+CJ43*(F_MR/12)-MIN(F_MortPayM,CJ43+CJ43*(F_MR/12)),CJ43)</f>
        <v>0</v>
      </c>
      <c r="CL43" s="1" t="n">
        <f aca="false">IF(CK43&gt;PR_BalDone,CK43+CK43*(F_MR/12)-MIN(F_MortPayM,CK43+CK43*(F_MR/12)),CK43)</f>
        <v>0</v>
      </c>
      <c r="CM43" s="1" t="n">
        <f aca="false">IF(CL43&gt;PR_BalDone,CL43+CL43*(F_MR/12)-MIN(F_MortPayM,CL43+CL43*(F_MR/12)),CL43)</f>
        <v>0</v>
      </c>
      <c r="CN43" s="1" t="n">
        <f aca="false">IF(CM43&gt;PR_BalDone,CM43+CM43*(F_MR/12)-MIN(F_MortPayM,CM43+CM43*(F_MR/12)),CM43)</f>
        <v>0</v>
      </c>
      <c r="CO43" s="1" t="n">
        <f aca="false">IF(CN43&gt;PR_BalDone,CN43+CN43*(F_MR/12)-MIN(F_MortPayM,CN43+CN43*(F_MR/12)),CN43)</f>
        <v>0</v>
      </c>
      <c r="CP43" s="1" t="n">
        <f aca="false">IF(CO43&gt;PR_BalDone,CO43+CO43*(F_MR/12)-MIN(F_MortPayM,CO43+CO43*(F_MR/12)),CO43)</f>
        <v>0</v>
      </c>
      <c r="CQ43" s="1" t="n">
        <f aca="false">IF(CP43&gt;PR_BalDone,CP43+CP43*(F_MR/12)-MIN(F_MortPayM,CP43+CP43*(F_MR/12)),CP43)</f>
        <v>0</v>
      </c>
      <c r="CR43" s="1" t="n">
        <f aca="false">IF(CQ43&gt;PR_BalDone,CQ43+CQ43*(F_MR/12)-MIN(F_MortPayM,CQ43+CQ43*(F_MR/12)),CQ43)</f>
        <v>0</v>
      </c>
      <c r="CS43" s="1" t="n">
        <f aca="false">IF(CF43&gt;PR_BalDone,MIN(F_MortPayM,CF43+CF43*(F_MR/12)),0)</f>
        <v>0</v>
      </c>
      <c r="CT43" s="1" t="n">
        <f aca="false">IF(CG43&gt;PR_BalDone,MIN(F_MortPayM,CG43+CG43*(F_MR/12)),0)</f>
        <v>0</v>
      </c>
      <c r="CU43" s="1" t="n">
        <f aca="false">IF(CH43&gt;PR_BalDone,MIN(F_MortPayM,CH43+CH43*(F_MR/12)),0)</f>
        <v>0</v>
      </c>
      <c r="CV43" s="1" t="n">
        <f aca="false">IF(CI43&gt;PR_BalDone,MIN(F_MortPayM,CI43+CI43*(F_MR/12)),0)</f>
        <v>0</v>
      </c>
      <c r="CW43" s="1" t="n">
        <f aca="false">IF(CJ43&gt;PR_BalDone,MIN(F_MortPayM,CJ43+CJ43*(F_MR/12)),0)</f>
        <v>0</v>
      </c>
      <c r="CX43" s="1" t="n">
        <f aca="false">IF(CK43&gt;PR_BalDone,MIN(F_MortPayM,CK43+CK43*(F_MR/12)),0)</f>
        <v>0</v>
      </c>
      <c r="CY43" s="1" t="n">
        <f aca="false">IF(CL43&gt;PR_BalDone,MIN(F_MortPayM,CL43+CL43*(F_MR/12)),0)</f>
        <v>0</v>
      </c>
      <c r="CZ43" s="1" t="n">
        <f aca="false">IF(CM43&gt;PR_BalDone,MIN(F_MortPayM,CM43+CM43*(F_MR/12)),0)</f>
        <v>0</v>
      </c>
      <c r="DA43" s="1" t="n">
        <f aca="false">IF(CN43&gt;PR_BalDone,MIN(F_MortPayM,CN43+CN43*(F_MR/12)),0)</f>
        <v>0</v>
      </c>
      <c r="DB43" s="1" t="n">
        <f aca="false">IF(CO43&gt;PR_BalDone,MIN(F_MortPayM,CO43+CO43*(F_MR/12)),0)</f>
        <v>0</v>
      </c>
      <c r="DC43" s="1" t="n">
        <f aca="false">IF(CP43&gt;PR_BalDone,MIN(F_MortPayM,CP43+CP43*(F_MR/12)),0)</f>
        <v>0</v>
      </c>
      <c r="DD43" s="1" t="n">
        <f aca="false">IF(CQ43&gt;PR_BalDone,MIN(F_MortPayM,CQ43+CQ43*(F_MR/12)),0)</f>
        <v>0</v>
      </c>
      <c r="DE43" s="1" t="n">
        <f aca="false">MAX(0,CR43)</f>
        <v>0</v>
      </c>
      <c r="DF43" s="1" t="n">
        <f aca="false">SUM(CS43:DD43)</f>
        <v>0</v>
      </c>
      <c r="DG43" s="1" t="n">
        <f aca="false">MAX(0,CF43)</f>
        <v>0</v>
      </c>
    </row>
    <row r="44" customFormat="false" ht="15" hidden="false" customHeight="true" outlineLevel="0" collapsed="false">
      <c r="B44" s="1" t="n">
        <v>36</v>
      </c>
      <c r="C44" s="1" t="n">
        <f aca="false">'Plan cashflow'!I44</f>
        <v>0</v>
      </c>
      <c r="D44" s="1" t="n">
        <f aca="false">IF(C44&gt;PR_BalDone,C44+C44*(F_MR/12)-MIN(F_MortPayM,C44+C44*(F_MR/12)),C44)</f>
        <v>0</v>
      </c>
      <c r="E44" s="1" t="n">
        <f aca="false">IF(D44&gt;PR_BalDone,D44+D44*(F_MR/12)-MIN(F_MortPayM,D44+D44*(F_MR/12)),D44)</f>
        <v>0</v>
      </c>
      <c r="F44" s="1" t="n">
        <f aca="false">IF(E44&gt;PR_BalDone,E44+E44*(F_MR/12)-MIN(F_MortPayM,E44+E44*(F_MR/12)),E44)</f>
        <v>0</v>
      </c>
      <c r="G44" s="1" t="n">
        <f aca="false">IF(F44&gt;PR_BalDone,F44+F44*(F_MR/12)-MIN(F_MortPayM,F44+F44*(F_MR/12)),F44)</f>
        <v>0</v>
      </c>
      <c r="H44" s="1" t="n">
        <f aca="false">IF(G44&gt;PR_BalDone,G44+G44*(F_MR/12)-MIN(F_MortPayM,G44+G44*(F_MR/12)),G44)</f>
        <v>0</v>
      </c>
      <c r="I44" s="1" t="n">
        <f aca="false">IF(H44&gt;PR_BalDone,H44+H44*(F_MR/12)-MIN(F_MortPayM,H44+H44*(F_MR/12)),H44)</f>
        <v>0</v>
      </c>
      <c r="J44" s="1" t="n">
        <f aca="false">IF(I44&gt;PR_BalDone,I44+I44*(F_MR/12)-MIN(F_MortPayM,I44+I44*(F_MR/12)),I44)</f>
        <v>0</v>
      </c>
      <c r="K44" s="1" t="n">
        <f aca="false">IF(J44&gt;PR_BalDone,J44+J44*(F_MR/12)-MIN(F_MortPayM,J44+J44*(F_MR/12)),J44)</f>
        <v>0</v>
      </c>
      <c r="L44" s="1" t="n">
        <f aca="false">IF(K44&gt;PR_BalDone,K44+K44*(F_MR/12)-MIN(F_MortPayM,K44+K44*(F_MR/12)),K44)</f>
        <v>0</v>
      </c>
      <c r="M44" s="1" t="n">
        <f aca="false">IF(L44&gt;PR_BalDone,L44+L44*(F_MR/12)-MIN(F_MortPayM,L44+L44*(F_MR/12)),L44)</f>
        <v>0</v>
      </c>
      <c r="N44" s="1" t="n">
        <f aca="false">IF(M44&gt;PR_BalDone,M44+M44*(F_MR/12)-MIN(F_MortPayM,M44+M44*(F_MR/12)),M44)</f>
        <v>0</v>
      </c>
      <c r="O44" s="1" t="n">
        <f aca="false">IF(N44&gt;PR_BalDone,N44+N44*(F_MR/12)-MIN(F_MortPayM,N44+N44*(F_MR/12)),N44)</f>
        <v>0</v>
      </c>
      <c r="P44" s="1" t="n">
        <f aca="false">IF(C44&gt;PR_BalDone,MIN(F_MortPayM,C44+C44*(F_MR/12)),0)</f>
        <v>0</v>
      </c>
      <c r="Q44" s="1" t="n">
        <f aca="false">IF(D44&gt;PR_BalDone,MIN(F_MortPayM,D44+D44*(F_MR/12)),0)</f>
        <v>0</v>
      </c>
      <c r="R44" s="1" t="n">
        <f aca="false">IF(E44&gt;PR_BalDone,MIN(F_MortPayM,E44+E44*(F_MR/12)),0)</f>
        <v>0</v>
      </c>
      <c r="S44" s="1" t="n">
        <f aca="false">IF(F44&gt;PR_BalDone,MIN(F_MortPayM,F44+F44*(F_MR/12)),0)</f>
        <v>0</v>
      </c>
      <c r="T44" s="1" t="n">
        <f aca="false">IF(G44&gt;PR_BalDone,MIN(F_MortPayM,G44+G44*(F_MR/12)),0)</f>
        <v>0</v>
      </c>
      <c r="U44" s="1" t="n">
        <f aca="false">IF(H44&gt;PR_BalDone,MIN(F_MortPayM,H44+H44*(F_MR/12)),0)</f>
        <v>0</v>
      </c>
      <c r="V44" s="1" t="n">
        <f aca="false">IF(I44&gt;PR_BalDone,MIN(F_MortPayM,I44+I44*(F_MR/12)),0)</f>
        <v>0</v>
      </c>
      <c r="W44" s="1" t="n">
        <f aca="false">IF(J44&gt;PR_BalDone,MIN(F_MortPayM,J44+J44*(F_MR/12)),0)</f>
        <v>0</v>
      </c>
      <c r="X44" s="1" t="n">
        <f aca="false">IF(K44&gt;PR_BalDone,MIN(F_MortPayM,K44+K44*(F_MR/12)),0)</f>
        <v>0</v>
      </c>
      <c r="Y44" s="1" t="n">
        <f aca="false">IF(L44&gt;PR_BalDone,MIN(F_MortPayM,L44+L44*(F_MR/12)),0)</f>
        <v>0</v>
      </c>
      <c r="Z44" s="1" t="n">
        <f aca="false">IF(M44&gt;PR_BalDone,MIN(F_MortPayM,M44+M44*(F_MR/12)),0)</f>
        <v>0</v>
      </c>
      <c r="AA44" s="1" t="n">
        <f aca="false">IF(N44&gt;PR_BalDone,MIN(F_MortPayM,N44+N44*(F_MR/12)),0)</f>
        <v>0</v>
      </c>
      <c r="AB44" s="1" t="n">
        <f aca="false">MAX(0,O44)</f>
        <v>0</v>
      </c>
      <c r="AC44" s="1" t="n">
        <f aca="false">SUM(P44:AA44)</f>
        <v>0</v>
      </c>
      <c r="AD44" s="1" t="n">
        <f aca="false">'Plan cashflow'!L44</f>
        <v>0</v>
      </c>
      <c r="AE44" s="1" t="n">
        <f aca="false">IF(AD44&gt;PR_BalDone,AD44+AD44*(D_iC)-MIN(F_CardPayM,AD44+AD44*(D_iC)),AD44)</f>
        <v>0</v>
      </c>
      <c r="AF44" s="1" t="n">
        <f aca="false">IF(AE44&gt;PR_BalDone,AE44+AE44*(D_iC)-MIN(F_CardPayM,AE44+AE44*(D_iC)),AE44)</f>
        <v>0</v>
      </c>
      <c r="AG44" s="1" t="n">
        <f aca="false">IF(AF44&gt;PR_BalDone,AF44+AF44*(D_iC)-MIN(F_CardPayM,AF44+AF44*(D_iC)),AF44)</f>
        <v>0</v>
      </c>
      <c r="AH44" s="1" t="n">
        <f aca="false">IF(AG44&gt;PR_BalDone,AG44+AG44*(D_iC)-MIN(F_CardPayM,AG44+AG44*(D_iC)),AG44)</f>
        <v>0</v>
      </c>
      <c r="AI44" s="1" t="n">
        <f aca="false">IF(AH44&gt;PR_BalDone,AH44+AH44*(D_iC)-MIN(F_CardPayM,AH44+AH44*(D_iC)),AH44)</f>
        <v>0</v>
      </c>
      <c r="AJ44" s="1" t="n">
        <f aca="false">IF(AI44&gt;PR_BalDone,AI44+AI44*(D_iC)-MIN(F_CardPayM,AI44+AI44*(D_iC)),AI44)</f>
        <v>0</v>
      </c>
      <c r="AK44" s="1" t="n">
        <f aca="false">IF(AJ44&gt;PR_BalDone,AJ44+AJ44*(D_iC)-MIN(F_CardPayM,AJ44+AJ44*(D_iC)),AJ44)</f>
        <v>0</v>
      </c>
      <c r="AL44" s="1" t="n">
        <f aca="false">IF(AK44&gt;PR_BalDone,AK44+AK44*(D_iC)-MIN(F_CardPayM,AK44+AK44*(D_iC)),AK44)</f>
        <v>0</v>
      </c>
      <c r="AM44" s="1" t="n">
        <f aca="false">IF(AL44&gt;PR_BalDone,AL44+AL44*(D_iC)-MIN(F_CardPayM,AL44+AL44*(D_iC)),AL44)</f>
        <v>0</v>
      </c>
      <c r="AN44" s="1" t="n">
        <f aca="false">IF(AM44&gt;PR_BalDone,AM44+AM44*(D_iC)-MIN(F_CardPayM,AM44+AM44*(D_iC)),AM44)</f>
        <v>0</v>
      </c>
      <c r="AO44" s="1" t="n">
        <f aca="false">IF(AN44&gt;PR_BalDone,AN44+AN44*(D_iC)-MIN(F_CardPayM,AN44+AN44*(D_iC)),AN44)</f>
        <v>0</v>
      </c>
      <c r="AP44" s="1" t="n">
        <f aca="false">IF(AO44&gt;PR_BalDone,AO44+AO44*(D_iC)-MIN(F_CardPayM,AO44+AO44*(D_iC)),AO44)</f>
        <v>0</v>
      </c>
      <c r="AQ44" s="1" t="n">
        <f aca="false">IF(AD44&gt;PR_BalDone,MIN(F_CardPayM,AD44+AD44*(D_iC)),0)</f>
        <v>0</v>
      </c>
      <c r="AR44" s="1" t="n">
        <f aca="false">IF(AE44&gt;PR_BalDone,MIN(F_CardPayM,AE44+AE44*(D_iC)),0)</f>
        <v>0</v>
      </c>
      <c r="AS44" s="1" t="n">
        <f aca="false">IF(AF44&gt;PR_BalDone,MIN(F_CardPayM,AF44+AF44*(D_iC)),0)</f>
        <v>0</v>
      </c>
      <c r="AT44" s="1" t="n">
        <f aca="false">IF(AG44&gt;PR_BalDone,MIN(F_CardPayM,AG44+AG44*(D_iC)),0)</f>
        <v>0</v>
      </c>
      <c r="AU44" s="1" t="n">
        <f aca="false">IF(AH44&gt;PR_BalDone,MIN(F_CardPayM,AH44+AH44*(D_iC)),0)</f>
        <v>0</v>
      </c>
      <c r="AV44" s="1" t="n">
        <f aca="false">IF(AI44&gt;PR_BalDone,MIN(F_CardPayM,AI44+AI44*(D_iC)),0)</f>
        <v>0</v>
      </c>
      <c r="AW44" s="1" t="n">
        <f aca="false">IF(AJ44&gt;PR_BalDone,MIN(F_CardPayM,AJ44+AJ44*(D_iC)),0)</f>
        <v>0</v>
      </c>
      <c r="AX44" s="1" t="n">
        <f aca="false">IF(AK44&gt;PR_BalDone,MIN(F_CardPayM,AK44+AK44*(D_iC)),0)</f>
        <v>0</v>
      </c>
      <c r="AY44" s="1" t="n">
        <f aca="false">IF(AL44&gt;PR_BalDone,MIN(F_CardPayM,AL44+AL44*(D_iC)),0)</f>
        <v>0</v>
      </c>
      <c r="AZ44" s="1" t="n">
        <f aca="false">IF(AM44&gt;PR_BalDone,MIN(F_CardPayM,AM44+AM44*(D_iC)),0)</f>
        <v>0</v>
      </c>
      <c r="BA44" s="1" t="n">
        <f aca="false">IF(AN44&gt;PR_BalDone,MIN(F_CardPayM,AN44+AN44*(D_iC)),0)</f>
        <v>0</v>
      </c>
      <c r="BB44" s="1" t="n">
        <f aca="false">IF(AO44&gt;PR_BalDone,MIN(F_CardPayM,AO44+AO44*(D_iC)),0)</f>
        <v>0</v>
      </c>
      <c r="BC44" s="1" t="n">
        <f aca="false">MAX(0,AP44)</f>
        <v>0</v>
      </c>
      <c r="BD44" s="1" t="n">
        <f aca="false">SUM(AQ44:BB44)</f>
        <v>0</v>
      </c>
      <c r="BE44" s="1" t="n">
        <f aca="false">'Plan cashflow'!O44</f>
        <v>0</v>
      </c>
      <c r="BF44" s="1" t="n">
        <f aca="false">IF(BE44&gt;PR_BalDone,BE44+BE44*(D_iL)-MIN(F_LoanPayM,BE44+BE44*(D_iL)),BE44)</f>
        <v>0</v>
      </c>
      <c r="BG44" s="1" t="n">
        <f aca="false">IF(BF44&gt;PR_BalDone,BF44+BF44*(D_iL)-MIN(F_LoanPayM,BF44+BF44*(D_iL)),BF44)</f>
        <v>0</v>
      </c>
      <c r="BH44" s="1" t="n">
        <f aca="false">IF(BG44&gt;PR_BalDone,BG44+BG44*(D_iL)-MIN(F_LoanPayM,BG44+BG44*(D_iL)),BG44)</f>
        <v>0</v>
      </c>
      <c r="BI44" s="1" t="n">
        <f aca="false">IF(BH44&gt;PR_BalDone,BH44+BH44*(D_iL)-MIN(F_LoanPayM,BH44+BH44*(D_iL)),BH44)</f>
        <v>0</v>
      </c>
      <c r="BJ44" s="1" t="n">
        <f aca="false">IF(BI44&gt;PR_BalDone,BI44+BI44*(D_iL)-MIN(F_LoanPayM,BI44+BI44*(D_iL)),BI44)</f>
        <v>0</v>
      </c>
      <c r="BK44" s="1" t="n">
        <f aca="false">IF(BJ44&gt;PR_BalDone,BJ44+BJ44*(D_iL)-MIN(F_LoanPayM,BJ44+BJ44*(D_iL)),BJ44)</f>
        <v>0</v>
      </c>
      <c r="BL44" s="1" t="n">
        <f aca="false">IF(BK44&gt;PR_BalDone,BK44+BK44*(D_iL)-MIN(F_LoanPayM,BK44+BK44*(D_iL)),BK44)</f>
        <v>0</v>
      </c>
      <c r="BM44" s="1" t="n">
        <f aca="false">IF(BL44&gt;PR_BalDone,BL44+BL44*(D_iL)-MIN(F_LoanPayM,BL44+BL44*(D_iL)),BL44)</f>
        <v>0</v>
      </c>
      <c r="BN44" s="1" t="n">
        <f aca="false">IF(BM44&gt;PR_BalDone,BM44+BM44*(D_iL)-MIN(F_LoanPayM,BM44+BM44*(D_iL)),BM44)</f>
        <v>0</v>
      </c>
      <c r="BO44" s="1" t="n">
        <f aca="false">IF(BN44&gt;PR_BalDone,BN44+BN44*(D_iL)-MIN(F_LoanPayM,BN44+BN44*(D_iL)),BN44)</f>
        <v>0</v>
      </c>
      <c r="BP44" s="1" t="n">
        <f aca="false">IF(BO44&gt;PR_BalDone,BO44+BO44*(D_iL)-MIN(F_LoanPayM,BO44+BO44*(D_iL)),BO44)</f>
        <v>0</v>
      </c>
      <c r="BQ44" s="1" t="n">
        <f aca="false">IF(BP44&gt;PR_BalDone,BP44+BP44*(D_iL)-MIN(F_LoanPayM,BP44+BP44*(D_iL)),BP44)</f>
        <v>0</v>
      </c>
      <c r="BR44" s="1" t="n">
        <f aca="false">IF(BE44&gt;PR_BalDone,MIN(F_LoanPayM,BE44+BE44*(D_iL)),0)</f>
        <v>0</v>
      </c>
      <c r="BS44" s="1" t="n">
        <f aca="false">IF(BF44&gt;PR_BalDone,MIN(F_LoanPayM,BF44+BF44*(D_iL)),0)</f>
        <v>0</v>
      </c>
      <c r="BT44" s="1" t="n">
        <f aca="false">IF(BG44&gt;PR_BalDone,MIN(F_LoanPayM,BG44+BG44*(D_iL)),0)</f>
        <v>0</v>
      </c>
      <c r="BU44" s="1" t="n">
        <f aca="false">IF(BH44&gt;PR_BalDone,MIN(F_LoanPayM,BH44+BH44*(D_iL)),0)</f>
        <v>0</v>
      </c>
      <c r="BV44" s="1" t="n">
        <f aca="false">IF(BI44&gt;PR_BalDone,MIN(F_LoanPayM,BI44+BI44*(D_iL)),0)</f>
        <v>0</v>
      </c>
      <c r="BW44" s="1" t="n">
        <f aca="false">IF(BJ44&gt;PR_BalDone,MIN(F_LoanPayM,BJ44+BJ44*(D_iL)),0)</f>
        <v>0</v>
      </c>
      <c r="BX44" s="1" t="n">
        <f aca="false">IF(BK44&gt;PR_BalDone,MIN(F_LoanPayM,BK44+BK44*(D_iL)),0)</f>
        <v>0</v>
      </c>
      <c r="BY44" s="1" t="n">
        <f aca="false">IF(BL44&gt;PR_BalDone,MIN(F_LoanPayM,BL44+BL44*(D_iL)),0)</f>
        <v>0</v>
      </c>
      <c r="BZ44" s="1" t="n">
        <f aca="false">IF(BM44&gt;PR_BalDone,MIN(F_LoanPayM,BM44+BM44*(D_iL)),0)</f>
        <v>0</v>
      </c>
      <c r="CA44" s="1" t="n">
        <f aca="false">IF(BN44&gt;PR_BalDone,MIN(F_LoanPayM,BN44+BN44*(D_iL)),0)</f>
        <v>0</v>
      </c>
      <c r="CB44" s="1" t="n">
        <f aca="false">IF(BO44&gt;PR_BalDone,MIN(F_LoanPayM,BO44+BO44*(D_iL)),0)</f>
        <v>0</v>
      </c>
      <c r="CC44" s="1" t="n">
        <f aca="false">IF(BP44&gt;PR_BalDone,MIN(F_LoanPayM,BP44+BP44*(D_iL)),0)</f>
        <v>0</v>
      </c>
      <c r="CD44" s="1" t="n">
        <f aca="false">MAX(0,BQ44)</f>
        <v>0</v>
      </c>
      <c r="CE44" s="1" t="n">
        <f aca="false">SUM(BR44:CC44)</f>
        <v>0</v>
      </c>
      <c r="CF44" s="1" t="n">
        <f aca="false">IF(CF43&gt;1,DE43,CF43)</f>
        <v>0</v>
      </c>
      <c r="CG44" s="1" t="n">
        <f aca="false">IF(CF44&gt;PR_BalDone,CF44+CF44*(F_MR/12)-MIN(F_MortPayM,CF44+CF44*(F_MR/12)),CF44)</f>
        <v>0</v>
      </c>
      <c r="CH44" s="1" t="n">
        <f aca="false">IF(CG44&gt;PR_BalDone,CG44+CG44*(F_MR/12)-MIN(F_MortPayM,CG44+CG44*(F_MR/12)),CG44)</f>
        <v>0</v>
      </c>
      <c r="CI44" s="1" t="n">
        <f aca="false">IF(CH44&gt;PR_BalDone,CH44+CH44*(F_MR/12)-MIN(F_MortPayM,CH44+CH44*(F_MR/12)),CH44)</f>
        <v>0</v>
      </c>
      <c r="CJ44" s="1" t="n">
        <f aca="false">IF(CI44&gt;PR_BalDone,CI44+CI44*(F_MR/12)-MIN(F_MortPayM,CI44+CI44*(F_MR/12)),CI44)</f>
        <v>0</v>
      </c>
      <c r="CK44" s="1" t="n">
        <f aca="false">IF(CJ44&gt;PR_BalDone,CJ44+CJ44*(F_MR/12)-MIN(F_MortPayM,CJ44+CJ44*(F_MR/12)),CJ44)</f>
        <v>0</v>
      </c>
      <c r="CL44" s="1" t="n">
        <f aca="false">IF(CK44&gt;PR_BalDone,CK44+CK44*(F_MR/12)-MIN(F_MortPayM,CK44+CK44*(F_MR/12)),CK44)</f>
        <v>0</v>
      </c>
      <c r="CM44" s="1" t="n">
        <f aca="false">IF(CL44&gt;PR_BalDone,CL44+CL44*(F_MR/12)-MIN(F_MortPayM,CL44+CL44*(F_MR/12)),CL44)</f>
        <v>0</v>
      </c>
      <c r="CN44" s="1" t="n">
        <f aca="false">IF(CM44&gt;PR_BalDone,CM44+CM44*(F_MR/12)-MIN(F_MortPayM,CM44+CM44*(F_MR/12)),CM44)</f>
        <v>0</v>
      </c>
      <c r="CO44" s="1" t="n">
        <f aca="false">IF(CN44&gt;PR_BalDone,CN44+CN44*(F_MR/12)-MIN(F_MortPayM,CN44+CN44*(F_MR/12)),CN44)</f>
        <v>0</v>
      </c>
      <c r="CP44" s="1" t="n">
        <f aca="false">IF(CO44&gt;PR_BalDone,CO44+CO44*(F_MR/12)-MIN(F_MortPayM,CO44+CO44*(F_MR/12)),CO44)</f>
        <v>0</v>
      </c>
      <c r="CQ44" s="1" t="n">
        <f aca="false">IF(CP44&gt;PR_BalDone,CP44+CP44*(F_MR/12)-MIN(F_MortPayM,CP44+CP44*(F_MR/12)),CP44)</f>
        <v>0</v>
      </c>
      <c r="CR44" s="1" t="n">
        <f aca="false">IF(CQ44&gt;PR_BalDone,CQ44+CQ44*(F_MR/12)-MIN(F_MortPayM,CQ44+CQ44*(F_MR/12)),CQ44)</f>
        <v>0</v>
      </c>
      <c r="CS44" s="1" t="n">
        <f aca="false">IF(CF44&gt;PR_BalDone,MIN(F_MortPayM,CF44+CF44*(F_MR/12)),0)</f>
        <v>0</v>
      </c>
      <c r="CT44" s="1" t="n">
        <f aca="false">IF(CG44&gt;PR_BalDone,MIN(F_MortPayM,CG44+CG44*(F_MR/12)),0)</f>
        <v>0</v>
      </c>
      <c r="CU44" s="1" t="n">
        <f aca="false">IF(CH44&gt;PR_BalDone,MIN(F_MortPayM,CH44+CH44*(F_MR/12)),0)</f>
        <v>0</v>
      </c>
      <c r="CV44" s="1" t="n">
        <f aca="false">IF(CI44&gt;PR_BalDone,MIN(F_MortPayM,CI44+CI44*(F_MR/12)),0)</f>
        <v>0</v>
      </c>
      <c r="CW44" s="1" t="n">
        <f aca="false">IF(CJ44&gt;PR_BalDone,MIN(F_MortPayM,CJ44+CJ44*(F_MR/12)),0)</f>
        <v>0</v>
      </c>
      <c r="CX44" s="1" t="n">
        <f aca="false">IF(CK44&gt;PR_BalDone,MIN(F_MortPayM,CK44+CK44*(F_MR/12)),0)</f>
        <v>0</v>
      </c>
      <c r="CY44" s="1" t="n">
        <f aca="false">IF(CL44&gt;PR_BalDone,MIN(F_MortPayM,CL44+CL44*(F_MR/12)),0)</f>
        <v>0</v>
      </c>
      <c r="CZ44" s="1" t="n">
        <f aca="false">IF(CM44&gt;PR_BalDone,MIN(F_MortPayM,CM44+CM44*(F_MR/12)),0)</f>
        <v>0</v>
      </c>
      <c r="DA44" s="1" t="n">
        <f aca="false">IF(CN44&gt;PR_BalDone,MIN(F_MortPayM,CN44+CN44*(F_MR/12)),0)</f>
        <v>0</v>
      </c>
      <c r="DB44" s="1" t="n">
        <f aca="false">IF(CO44&gt;PR_BalDone,MIN(F_MortPayM,CO44+CO44*(F_MR/12)),0)</f>
        <v>0</v>
      </c>
      <c r="DC44" s="1" t="n">
        <f aca="false">IF(CP44&gt;PR_BalDone,MIN(F_MortPayM,CP44+CP44*(F_MR/12)),0)</f>
        <v>0</v>
      </c>
      <c r="DD44" s="1" t="n">
        <f aca="false">IF(CQ44&gt;PR_BalDone,MIN(F_MortPayM,CQ44+CQ44*(F_MR/12)),0)</f>
        <v>0</v>
      </c>
      <c r="DE44" s="1" t="n">
        <f aca="false">MAX(0,CR44)</f>
        <v>0</v>
      </c>
      <c r="DF44" s="1" t="n">
        <f aca="false">SUM(CS44:DD44)</f>
        <v>0</v>
      </c>
      <c r="DG44" s="1" t="n">
        <f aca="false">MAX(0,CF44)</f>
        <v>0</v>
      </c>
    </row>
    <row r="45" customFormat="false" ht="15" hidden="false" customHeight="true" outlineLevel="0" collapsed="false">
      <c r="B45" s="1" t="n">
        <v>37</v>
      </c>
      <c r="C45" s="1" t="n">
        <f aca="false">'Plan cashflow'!I45</f>
        <v>0</v>
      </c>
      <c r="D45" s="1" t="n">
        <f aca="false">IF(C45&gt;PR_BalDone,C45+C45*(F_MR/12)-MIN(F_MortPayM,C45+C45*(F_MR/12)),C45)</f>
        <v>0</v>
      </c>
      <c r="E45" s="1" t="n">
        <f aca="false">IF(D45&gt;PR_BalDone,D45+D45*(F_MR/12)-MIN(F_MortPayM,D45+D45*(F_MR/12)),D45)</f>
        <v>0</v>
      </c>
      <c r="F45" s="1" t="n">
        <f aca="false">IF(E45&gt;PR_BalDone,E45+E45*(F_MR/12)-MIN(F_MortPayM,E45+E45*(F_MR/12)),E45)</f>
        <v>0</v>
      </c>
      <c r="G45" s="1" t="n">
        <f aca="false">IF(F45&gt;PR_BalDone,F45+F45*(F_MR/12)-MIN(F_MortPayM,F45+F45*(F_MR/12)),F45)</f>
        <v>0</v>
      </c>
      <c r="H45" s="1" t="n">
        <f aca="false">IF(G45&gt;PR_BalDone,G45+G45*(F_MR/12)-MIN(F_MortPayM,G45+G45*(F_MR/12)),G45)</f>
        <v>0</v>
      </c>
      <c r="I45" s="1" t="n">
        <f aca="false">IF(H45&gt;PR_BalDone,H45+H45*(F_MR/12)-MIN(F_MortPayM,H45+H45*(F_MR/12)),H45)</f>
        <v>0</v>
      </c>
      <c r="J45" s="1" t="n">
        <f aca="false">IF(I45&gt;PR_BalDone,I45+I45*(F_MR/12)-MIN(F_MortPayM,I45+I45*(F_MR/12)),I45)</f>
        <v>0</v>
      </c>
      <c r="K45" s="1" t="n">
        <f aca="false">IF(J45&gt;PR_BalDone,J45+J45*(F_MR/12)-MIN(F_MortPayM,J45+J45*(F_MR/12)),J45)</f>
        <v>0</v>
      </c>
      <c r="L45" s="1" t="n">
        <f aca="false">IF(K45&gt;PR_BalDone,K45+K45*(F_MR/12)-MIN(F_MortPayM,K45+K45*(F_MR/12)),K45)</f>
        <v>0</v>
      </c>
      <c r="M45" s="1" t="n">
        <f aca="false">IF(L45&gt;PR_BalDone,L45+L45*(F_MR/12)-MIN(F_MortPayM,L45+L45*(F_MR/12)),L45)</f>
        <v>0</v>
      </c>
      <c r="N45" s="1" t="n">
        <f aca="false">IF(M45&gt;PR_BalDone,M45+M45*(F_MR/12)-MIN(F_MortPayM,M45+M45*(F_MR/12)),M45)</f>
        <v>0</v>
      </c>
      <c r="O45" s="1" t="n">
        <f aca="false">IF(N45&gt;PR_BalDone,N45+N45*(F_MR/12)-MIN(F_MortPayM,N45+N45*(F_MR/12)),N45)</f>
        <v>0</v>
      </c>
      <c r="P45" s="1" t="n">
        <f aca="false">IF(C45&gt;PR_BalDone,MIN(F_MortPayM,C45+C45*(F_MR/12)),0)</f>
        <v>0</v>
      </c>
      <c r="Q45" s="1" t="n">
        <f aca="false">IF(D45&gt;PR_BalDone,MIN(F_MortPayM,D45+D45*(F_MR/12)),0)</f>
        <v>0</v>
      </c>
      <c r="R45" s="1" t="n">
        <f aca="false">IF(E45&gt;PR_BalDone,MIN(F_MortPayM,E45+E45*(F_MR/12)),0)</f>
        <v>0</v>
      </c>
      <c r="S45" s="1" t="n">
        <f aca="false">IF(F45&gt;PR_BalDone,MIN(F_MortPayM,F45+F45*(F_MR/12)),0)</f>
        <v>0</v>
      </c>
      <c r="T45" s="1" t="n">
        <f aca="false">IF(G45&gt;PR_BalDone,MIN(F_MortPayM,G45+G45*(F_MR/12)),0)</f>
        <v>0</v>
      </c>
      <c r="U45" s="1" t="n">
        <f aca="false">IF(H45&gt;PR_BalDone,MIN(F_MortPayM,H45+H45*(F_MR/12)),0)</f>
        <v>0</v>
      </c>
      <c r="V45" s="1" t="n">
        <f aca="false">IF(I45&gt;PR_BalDone,MIN(F_MortPayM,I45+I45*(F_MR/12)),0)</f>
        <v>0</v>
      </c>
      <c r="W45" s="1" t="n">
        <f aca="false">IF(J45&gt;PR_BalDone,MIN(F_MortPayM,J45+J45*(F_MR/12)),0)</f>
        <v>0</v>
      </c>
      <c r="X45" s="1" t="n">
        <f aca="false">IF(K45&gt;PR_BalDone,MIN(F_MortPayM,K45+K45*(F_MR/12)),0)</f>
        <v>0</v>
      </c>
      <c r="Y45" s="1" t="n">
        <f aca="false">IF(L45&gt;PR_BalDone,MIN(F_MortPayM,L45+L45*(F_MR/12)),0)</f>
        <v>0</v>
      </c>
      <c r="Z45" s="1" t="n">
        <f aca="false">IF(M45&gt;PR_BalDone,MIN(F_MortPayM,M45+M45*(F_MR/12)),0)</f>
        <v>0</v>
      </c>
      <c r="AA45" s="1" t="n">
        <f aca="false">IF(N45&gt;PR_BalDone,MIN(F_MortPayM,N45+N45*(F_MR/12)),0)</f>
        <v>0</v>
      </c>
      <c r="AB45" s="1" t="n">
        <f aca="false">MAX(0,O45)</f>
        <v>0</v>
      </c>
      <c r="AC45" s="1" t="n">
        <f aca="false">SUM(P45:AA45)</f>
        <v>0</v>
      </c>
      <c r="AD45" s="1" t="n">
        <f aca="false">'Plan cashflow'!L45</f>
        <v>0</v>
      </c>
      <c r="AE45" s="1" t="n">
        <f aca="false">IF(AD45&gt;PR_BalDone,AD45+AD45*(D_iC)-MIN(F_CardPayM,AD45+AD45*(D_iC)),AD45)</f>
        <v>0</v>
      </c>
      <c r="AF45" s="1" t="n">
        <f aca="false">IF(AE45&gt;PR_BalDone,AE45+AE45*(D_iC)-MIN(F_CardPayM,AE45+AE45*(D_iC)),AE45)</f>
        <v>0</v>
      </c>
      <c r="AG45" s="1" t="n">
        <f aca="false">IF(AF45&gt;PR_BalDone,AF45+AF45*(D_iC)-MIN(F_CardPayM,AF45+AF45*(D_iC)),AF45)</f>
        <v>0</v>
      </c>
      <c r="AH45" s="1" t="n">
        <f aca="false">IF(AG45&gt;PR_BalDone,AG45+AG45*(D_iC)-MIN(F_CardPayM,AG45+AG45*(D_iC)),AG45)</f>
        <v>0</v>
      </c>
      <c r="AI45" s="1" t="n">
        <f aca="false">IF(AH45&gt;PR_BalDone,AH45+AH45*(D_iC)-MIN(F_CardPayM,AH45+AH45*(D_iC)),AH45)</f>
        <v>0</v>
      </c>
      <c r="AJ45" s="1" t="n">
        <f aca="false">IF(AI45&gt;PR_BalDone,AI45+AI45*(D_iC)-MIN(F_CardPayM,AI45+AI45*(D_iC)),AI45)</f>
        <v>0</v>
      </c>
      <c r="AK45" s="1" t="n">
        <f aca="false">IF(AJ45&gt;PR_BalDone,AJ45+AJ45*(D_iC)-MIN(F_CardPayM,AJ45+AJ45*(D_iC)),AJ45)</f>
        <v>0</v>
      </c>
      <c r="AL45" s="1" t="n">
        <f aca="false">IF(AK45&gt;PR_BalDone,AK45+AK45*(D_iC)-MIN(F_CardPayM,AK45+AK45*(D_iC)),AK45)</f>
        <v>0</v>
      </c>
      <c r="AM45" s="1" t="n">
        <f aca="false">IF(AL45&gt;PR_BalDone,AL45+AL45*(D_iC)-MIN(F_CardPayM,AL45+AL45*(D_iC)),AL45)</f>
        <v>0</v>
      </c>
      <c r="AN45" s="1" t="n">
        <f aca="false">IF(AM45&gt;PR_BalDone,AM45+AM45*(D_iC)-MIN(F_CardPayM,AM45+AM45*(D_iC)),AM45)</f>
        <v>0</v>
      </c>
      <c r="AO45" s="1" t="n">
        <f aca="false">IF(AN45&gt;PR_BalDone,AN45+AN45*(D_iC)-MIN(F_CardPayM,AN45+AN45*(D_iC)),AN45)</f>
        <v>0</v>
      </c>
      <c r="AP45" s="1" t="n">
        <f aca="false">IF(AO45&gt;PR_BalDone,AO45+AO45*(D_iC)-MIN(F_CardPayM,AO45+AO45*(D_iC)),AO45)</f>
        <v>0</v>
      </c>
      <c r="AQ45" s="1" t="n">
        <f aca="false">IF(AD45&gt;PR_BalDone,MIN(F_CardPayM,AD45+AD45*(D_iC)),0)</f>
        <v>0</v>
      </c>
      <c r="AR45" s="1" t="n">
        <f aca="false">IF(AE45&gt;PR_BalDone,MIN(F_CardPayM,AE45+AE45*(D_iC)),0)</f>
        <v>0</v>
      </c>
      <c r="AS45" s="1" t="n">
        <f aca="false">IF(AF45&gt;PR_BalDone,MIN(F_CardPayM,AF45+AF45*(D_iC)),0)</f>
        <v>0</v>
      </c>
      <c r="AT45" s="1" t="n">
        <f aca="false">IF(AG45&gt;PR_BalDone,MIN(F_CardPayM,AG45+AG45*(D_iC)),0)</f>
        <v>0</v>
      </c>
      <c r="AU45" s="1" t="n">
        <f aca="false">IF(AH45&gt;PR_BalDone,MIN(F_CardPayM,AH45+AH45*(D_iC)),0)</f>
        <v>0</v>
      </c>
      <c r="AV45" s="1" t="n">
        <f aca="false">IF(AI45&gt;PR_BalDone,MIN(F_CardPayM,AI45+AI45*(D_iC)),0)</f>
        <v>0</v>
      </c>
      <c r="AW45" s="1" t="n">
        <f aca="false">IF(AJ45&gt;PR_BalDone,MIN(F_CardPayM,AJ45+AJ45*(D_iC)),0)</f>
        <v>0</v>
      </c>
      <c r="AX45" s="1" t="n">
        <f aca="false">IF(AK45&gt;PR_BalDone,MIN(F_CardPayM,AK45+AK45*(D_iC)),0)</f>
        <v>0</v>
      </c>
      <c r="AY45" s="1" t="n">
        <f aca="false">IF(AL45&gt;PR_BalDone,MIN(F_CardPayM,AL45+AL45*(D_iC)),0)</f>
        <v>0</v>
      </c>
      <c r="AZ45" s="1" t="n">
        <f aca="false">IF(AM45&gt;PR_BalDone,MIN(F_CardPayM,AM45+AM45*(D_iC)),0)</f>
        <v>0</v>
      </c>
      <c r="BA45" s="1" t="n">
        <f aca="false">IF(AN45&gt;PR_BalDone,MIN(F_CardPayM,AN45+AN45*(D_iC)),0)</f>
        <v>0</v>
      </c>
      <c r="BB45" s="1" t="n">
        <f aca="false">IF(AO45&gt;PR_BalDone,MIN(F_CardPayM,AO45+AO45*(D_iC)),0)</f>
        <v>0</v>
      </c>
      <c r="BC45" s="1" t="n">
        <f aca="false">MAX(0,AP45)</f>
        <v>0</v>
      </c>
      <c r="BD45" s="1" t="n">
        <f aca="false">SUM(AQ45:BB45)</f>
        <v>0</v>
      </c>
      <c r="BE45" s="1" t="n">
        <f aca="false">'Plan cashflow'!O45</f>
        <v>0</v>
      </c>
      <c r="BF45" s="1" t="n">
        <f aca="false">IF(BE45&gt;PR_BalDone,BE45+BE45*(D_iL)-MIN(F_LoanPayM,BE45+BE45*(D_iL)),BE45)</f>
        <v>0</v>
      </c>
      <c r="BG45" s="1" t="n">
        <f aca="false">IF(BF45&gt;PR_BalDone,BF45+BF45*(D_iL)-MIN(F_LoanPayM,BF45+BF45*(D_iL)),BF45)</f>
        <v>0</v>
      </c>
      <c r="BH45" s="1" t="n">
        <f aca="false">IF(BG45&gt;PR_BalDone,BG45+BG45*(D_iL)-MIN(F_LoanPayM,BG45+BG45*(D_iL)),BG45)</f>
        <v>0</v>
      </c>
      <c r="BI45" s="1" t="n">
        <f aca="false">IF(BH45&gt;PR_BalDone,BH45+BH45*(D_iL)-MIN(F_LoanPayM,BH45+BH45*(D_iL)),BH45)</f>
        <v>0</v>
      </c>
      <c r="BJ45" s="1" t="n">
        <f aca="false">IF(BI45&gt;PR_BalDone,BI45+BI45*(D_iL)-MIN(F_LoanPayM,BI45+BI45*(D_iL)),BI45)</f>
        <v>0</v>
      </c>
      <c r="BK45" s="1" t="n">
        <f aca="false">IF(BJ45&gt;PR_BalDone,BJ45+BJ45*(D_iL)-MIN(F_LoanPayM,BJ45+BJ45*(D_iL)),BJ45)</f>
        <v>0</v>
      </c>
      <c r="BL45" s="1" t="n">
        <f aca="false">IF(BK45&gt;PR_BalDone,BK45+BK45*(D_iL)-MIN(F_LoanPayM,BK45+BK45*(D_iL)),BK45)</f>
        <v>0</v>
      </c>
      <c r="BM45" s="1" t="n">
        <f aca="false">IF(BL45&gt;PR_BalDone,BL45+BL45*(D_iL)-MIN(F_LoanPayM,BL45+BL45*(D_iL)),BL45)</f>
        <v>0</v>
      </c>
      <c r="BN45" s="1" t="n">
        <f aca="false">IF(BM45&gt;PR_BalDone,BM45+BM45*(D_iL)-MIN(F_LoanPayM,BM45+BM45*(D_iL)),BM45)</f>
        <v>0</v>
      </c>
      <c r="BO45" s="1" t="n">
        <f aca="false">IF(BN45&gt;PR_BalDone,BN45+BN45*(D_iL)-MIN(F_LoanPayM,BN45+BN45*(D_iL)),BN45)</f>
        <v>0</v>
      </c>
      <c r="BP45" s="1" t="n">
        <f aca="false">IF(BO45&gt;PR_BalDone,BO45+BO45*(D_iL)-MIN(F_LoanPayM,BO45+BO45*(D_iL)),BO45)</f>
        <v>0</v>
      </c>
      <c r="BQ45" s="1" t="n">
        <f aca="false">IF(BP45&gt;PR_BalDone,BP45+BP45*(D_iL)-MIN(F_LoanPayM,BP45+BP45*(D_iL)),BP45)</f>
        <v>0</v>
      </c>
      <c r="BR45" s="1" t="n">
        <f aca="false">IF(BE45&gt;PR_BalDone,MIN(F_LoanPayM,BE45+BE45*(D_iL)),0)</f>
        <v>0</v>
      </c>
      <c r="BS45" s="1" t="n">
        <f aca="false">IF(BF45&gt;PR_BalDone,MIN(F_LoanPayM,BF45+BF45*(D_iL)),0)</f>
        <v>0</v>
      </c>
      <c r="BT45" s="1" t="n">
        <f aca="false">IF(BG45&gt;PR_BalDone,MIN(F_LoanPayM,BG45+BG45*(D_iL)),0)</f>
        <v>0</v>
      </c>
      <c r="BU45" s="1" t="n">
        <f aca="false">IF(BH45&gt;PR_BalDone,MIN(F_LoanPayM,BH45+BH45*(D_iL)),0)</f>
        <v>0</v>
      </c>
      <c r="BV45" s="1" t="n">
        <f aca="false">IF(BI45&gt;PR_BalDone,MIN(F_LoanPayM,BI45+BI45*(D_iL)),0)</f>
        <v>0</v>
      </c>
      <c r="BW45" s="1" t="n">
        <f aca="false">IF(BJ45&gt;PR_BalDone,MIN(F_LoanPayM,BJ45+BJ45*(D_iL)),0)</f>
        <v>0</v>
      </c>
      <c r="BX45" s="1" t="n">
        <f aca="false">IF(BK45&gt;PR_BalDone,MIN(F_LoanPayM,BK45+BK45*(D_iL)),0)</f>
        <v>0</v>
      </c>
      <c r="BY45" s="1" t="n">
        <f aca="false">IF(BL45&gt;PR_BalDone,MIN(F_LoanPayM,BL45+BL45*(D_iL)),0)</f>
        <v>0</v>
      </c>
      <c r="BZ45" s="1" t="n">
        <f aca="false">IF(BM45&gt;PR_BalDone,MIN(F_LoanPayM,BM45+BM45*(D_iL)),0)</f>
        <v>0</v>
      </c>
      <c r="CA45" s="1" t="n">
        <f aca="false">IF(BN45&gt;PR_BalDone,MIN(F_LoanPayM,BN45+BN45*(D_iL)),0)</f>
        <v>0</v>
      </c>
      <c r="CB45" s="1" t="n">
        <f aca="false">IF(BO45&gt;PR_BalDone,MIN(F_LoanPayM,BO45+BO45*(D_iL)),0)</f>
        <v>0</v>
      </c>
      <c r="CC45" s="1" t="n">
        <f aca="false">IF(BP45&gt;PR_BalDone,MIN(F_LoanPayM,BP45+BP45*(D_iL)),0)</f>
        <v>0</v>
      </c>
      <c r="CD45" s="1" t="n">
        <f aca="false">MAX(0,BQ45)</f>
        <v>0</v>
      </c>
      <c r="CE45" s="1" t="n">
        <f aca="false">SUM(BR45:CC45)</f>
        <v>0</v>
      </c>
      <c r="CF45" s="1" t="n">
        <f aca="false">IF(CF44&gt;1,DE44,CF44)</f>
        <v>0</v>
      </c>
      <c r="CG45" s="1" t="n">
        <f aca="false">IF(CF45&gt;PR_BalDone,CF45+CF45*(F_MR/12)-MIN(F_MortPayM,CF45+CF45*(F_MR/12)),CF45)</f>
        <v>0</v>
      </c>
      <c r="CH45" s="1" t="n">
        <f aca="false">IF(CG45&gt;PR_BalDone,CG45+CG45*(F_MR/12)-MIN(F_MortPayM,CG45+CG45*(F_MR/12)),CG45)</f>
        <v>0</v>
      </c>
      <c r="CI45" s="1" t="n">
        <f aca="false">IF(CH45&gt;PR_BalDone,CH45+CH45*(F_MR/12)-MIN(F_MortPayM,CH45+CH45*(F_MR/12)),CH45)</f>
        <v>0</v>
      </c>
      <c r="CJ45" s="1" t="n">
        <f aca="false">IF(CI45&gt;PR_BalDone,CI45+CI45*(F_MR/12)-MIN(F_MortPayM,CI45+CI45*(F_MR/12)),CI45)</f>
        <v>0</v>
      </c>
      <c r="CK45" s="1" t="n">
        <f aca="false">IF(CJ45&gt;PR_BalDone,CJ45+CJ45*(F_MR/12)-MIN(F_MortPayM,CJ45+CJ45*(F_MR/12)),CJ45)</f>
        <v>0</v>
      </c>
      <c r="CL45" s="1" t="n">
        <f aca="false">IF(CK45&gt;PR_BalDone,CK45+CK45*(F_MR/12)-MIN(F_MortPayM,CK45+CK45*(F_MR/12)),CK45)</f>
        <v>0</v>
      </c>
      <c r="CM45" s="1" t="n">
        <f aca="false">IF(CL45&gt;PR_BalDone,CL45+CL45*(F_MR/12)-MIN(F_MortPayM,CL45+CL45*(F_MR/12)),CL45)</f>
        <v>0</v>
      </c>
      <c r="CN45" s="1" t="n">
        <f aca="false">IF(CM45&gt;PR_BalDone,CM45+CM45*(F_MR/12)-MIN(F_MortPayM,CM45+CM45*(F_MR/12)),CM45)</f>
        <v>0</v>
      </c>
      <c r="CO45" s="1" t="n">
        <f aca="false">IF(CN45&gt;PR_BalDone,CN45+CN45*(F_MR/12)-MIN(F_MortPayM,CN45+CN45*(F_MR/12)),CN45)</f>
        <v>0</v>
      </c>
      <c r="CP45" s="1" t="n">
        <f aca="false">IF(CO45&gt;PR_BalDone,CO45+CO45*(F_MR/12)-MIN(F_MortPayM,CO45+CO45*(F_MR/12)),CO45)</f>
        <v>0</v>
      </c>
      <c r="CQ45" s="1" t="n">
        <f aca="false">IF(CP45&gt;PR_BalDone,CP45+CP45*(F_MR/12)-MIN(F_MortPayM,CP45+CP45*(F_MR/12)),CP45)</f>
        <v>0</v>
      </c>
      <c r="CR45" s="1" t="n">
        <f aca="false">IF(CQ45&gt;PR_BalDone,CQ45+CQ45*(F_MR/12)-MIN(F_MortPayM,CQ45+CQ45*(F_MR/12)),CQ45)</f>
        <v>0</v>
      </c>
      <c r="CS45" s="1" t="n">
        <f aca="false">IF(CF45&gt;PR_BalDone,MIN(F_MortPayM,CF45+CF45*(F_MR/12)),0)</f>
        <v>0</v>
      </c>
      <c r="CT45" s="1" t="n">
        <f aca="false">IF(CG45&gt;PR_BalDone,MIN(F_MortPayM,CG45+CG45*(F_MR/12)),0)</f>
        <v>0</v>
      </c>
      <c r="CU45" s="1" t="n">
        <f aca="false">IF(CH45&gt;PR_BalDone,MIN(F_MortPayM,CH45+CH45*(F_MR/12)),0)</f>
        <v>0</v>
      </c>
      <c r="CV45" s="1" t="n">
        <f aca="false">IF(CI45&gt;PR_BalDone,MIN(F_MortPayM,CI45+CI45*(F_MR/12)),0)</f>
        <v>0</v>
      </c>
      <c r="CW45" s="1" t="n">
        <f aca="false">IF(CJ45&gt;PR_BalDone,MIN(F_MortPayM,CJ45+CJ45*(F_MR/12)),0)</f>
        <v>0</v>
      </c>
      <c r="CX45" s="1" t="n">
        <f aca="false">IF(CK45&gt;PR_BalDone,MIN(F_MortPayM,CK45+CK45*(F_MR/12)),0)</f>
        <v>0</v>
      </c>
      <c r="CY45" s="1" t="n">
        <f aca="false">IF(CL45&gt;PR_BalDone,MIN(F_MortPayM,CL45+CL45*(F_MR/12)),0)</f>
        <v>0</v>
      </c>
      <c r="CZ45" s="1" t="n">
        <f aca="false">IF(CM45&gt;PR_BalDone,MIN(F_MortPayM,CM45+CM45*(F_MR/12)),0)</f>
        <v>0</v>
      </c>
      <c r="DA45" s="1" t="n">
        <f aca="false">IF(CN45&gt;PR_BalDone,MIN(F_MortPayM,CN45+CN45*(F_MR/12)),0)</f>
        <v>0</v>
      </c>
      <c r="DB45" s="1" t="n">
        <f aca="false">IF(CO45&gt;PR_BalDone,MIN(F_MortPayM,CO45+CO45*(F_MR/12)),0)</f>
        <v>0</v>
      </c>
      <c r="DC45" s="1" t="n">
        <f aca="false">IF(CP45&gt;PR_BalDone,MIN(F_MortPayM,CP45+CP45*(F_MR/12)),0)</f>
        <v>0</v>
      </c>
      <c r="DD45" s="1" t="n">
        <f aca="false">IF(CQ45&gt;PR_BalDone,MIN(F_MortPayM,CQ45+CQ45*(F_MR/12)),0)</f>
        <v>0</v>
      </c>
      <c r="DE45" s="1" t="n">
        <f aca="false">MAX(0,CR45)</f>
        <v>0</v>
      </c>
      <c r="DF45" s="1" t="n">
        <f aca="false">SUM(CS45:DD45)</f>
        <v>0</v>
      </c>
      <c r="DG45" s="1" t="n">
        <f aca="false">MAX(0,CF45)</f>
        <v>0</v>
      </c>
    </row>
    <row r="46" customFormat="false" ht="15" hidden="false" customHeight="true" outlineLevel="0" collapsed="false">
      <c r="B46" s="1" t="n">
        <v>38</v>
      </c>
      <c r="C46" s="1" t="n">
        <f aca="false">'Plan cashflow'!I46</f>
        <v>0</v>
      </c>
      <c r="D46" s="1" t="n">
        <f aca="false">IF(C46&gt;PR_BalDone,C46+C46*(F_MR/12)-MIN(F_MortPayM,C46+C46*(F_MR/12)),C46)</f>
        <v>0</v>
      </c>
      <c r="E46" s="1" t="n">
        <f aca="false">IF(D46&gt;PR_BalDone,D46+D46*(F_MR/12)-MIN(F_MortPayM,D46+D46*(F_MR/12)),D46)</f>
        <v>0</v>
      </c>
      <c r="F46" s="1" t="n">
        <f aca="false">IF(E46&gt;PR_BalDone,E46+E46*(F_MR/12)-MIN(F_MortPayM,E46+E46*(F_MR/12)),E46)</f>
        <v>0</v>
      </c>
      <c r="G46" s="1" t="n">
        <f aca="false">IF(F46&gt;PR_BalDone,F46+F46*(F_MR/12)-MIN(F_MortPayM,F46+F46*(F_MR/12)),F46)</f>
        <v>0</v>
      </c>
      <c r="H46" s="1" t="n">
        <f aca="false">IF(G46&gt;PR_BalDone,G46+G46*(F_MR/12)-MIN(F_MortPayM,G46+G46*(F_MR/12)),G46)</f>
        <v>0</v>
      </c>
      <c r="I46" s="1" t="n">
        <f aca="false">IF(H46&gt;PR_BalDone,H46+H46*(F_MR/12)-MIN(F_MortPayM,H46+H46*(F_MR/12)),H46)</f>
        <v>0</v>
      </c>
      <c r="J46" s="1" t="n">
        <f aca="false">IF(I46&gt;PR_BalDone,I46+I46*(F_MR/12)-MIN(F_MortPayM,I46+I46*(F_MR/12)),I46)</f>
        <v>0</v>
      </c>
      <c r="K46" s="1" t="n">
        <f aca="false">IF(J46&gt;PR_BalDone,J46+J46*(F_MR/12)-MIN(F_MortPayM,J46+J46*(F_MR/12)),J46)</f>
        <v>0</v>
      </c>
      <c r="L46" s="1" t="n">
        <f aca="false">IF(K46&gt;PR_BalDone,K46+K46*(F_MR/12)-MIN(F_MortPayM,K46+K46*(F_MR/12)),K46)</f>
        <v>0</v>
      </c>
      <c r="M46" s="1" t="n">
        <f aca="false">IF(L46&gt;PR_BalDone,L46+L46*(F_MR/12)-MIN(F_MortPayM,L46+L46*(F_MR/12)),L46)</f>
        <v>0</v>
      </c>
      <c r="N46" s="1" t="n">
        <f aca="false">IF(M46&gt;PR_BalDone,M46+M46*(F_MR/12)-MIN(F_MortPayM,M46+M46*(F_MR/12)),M46)</f>
        <v>0</v>
      </c>
      <c r="O46" s="1" t="n">
        <f aca="false">IF(N46&gt;PR_BalDone,N46+N46*(F_MR/12)-MIN(F_MortPayM,N46+N46*(F_MR/12)),N46)</f>
        <v>0</v>
      </c>
      <c r="P46" s="1" t="n">
        <f aca="false">IF(C46&gt;PR_BalDone,MIN(F_MortPayM,C46+C46*(F_MR/12)),0)</f>
        <v>0</v>
      </c>
      <c r="Q46" s="1" t="n">
        <f aca="false">IF(D46&gt;PR_BalDone,MIN(F_MortPayM,D46+D46*(F_MR/12)),0)</f>
        <v>0</v>
      </c>
      <c r="R46" s="1" t="n">
        <f aca="false">IF(E46&gt;PR_BalDone,MIN(F_MortPayM,E46+E46*(F_MR/12)),0)</f>
        <v>0</v>
      </c>
      <c r="S46" s="1" t="n">
        <f aca="false">IF(F46&gt;PR_BalDone,MIN(F_MortPayM,F46+F46*(F_MR/12)),0)</f>
        <v>0</v>
      </c>
      <c r="T46" s="1" t="n">
        <f aca="false">IF(G46&gt;PR_BalDone,MIN(F_MortPayM,G46+G46*(F_MR/12)),0)</f>
        <v>0</v>
      </c>
      <c r="U46" s="1" t="n">
        <f aca="false">IF(H46&gt;PR_BalDone,MIN(F_MortPayM,H46+H46*(F_MR/12)),0)</f>
        <v>0</v>
      </c>
      <c r="V46" s="1" t="n">
        <f aca="false">IF(I46&gt;PR_BalDone,MIN(F_MortPayM,I46+I46*(F_MR/12)),0)</f>
        <v>0</v>
      </c>
      <c r="W46" s="1" t="n">
        <f aca="false">IF(J46&gt;PR_BalDone,MIN(F_MortPayM,J46+J46*(F_MR/12)),0)</f>
        <v>0</v>
      </c>
      <c r="X46" s="1" t="n">
        <f aca="false">IF(K46&gt;PR_BalDone,MIN(F_MortPayM,K46+K46*(F_MR/12)),0)</f>
        <v>0</v>
      </c>
      <c r="Y46" s="1" t="n">
        <f aca="false">IF(L46&gt;PR_BalDone,MIN(F_MortPayM,L46+L46*(F_MR/12)),0)</f>
        <v>0</v>
      </c>
      <c r="Z46" s="1" t="n">
        <f aca="false">IF(M46&gt;PR_BalDone,MIN(F_MortPayM,M46+M46*(F_MR/12)),0)</f>
        <v>0</v>
      </c>
      <c r="AA46" s="1" t="n">
        <f aca="false">IF(N46&gt;PR_BalDone,MIN(F_MortPayM,N46+N46*(F_MR/12)),0)</f>
        <v>0</v>
      </c>
      <c r="AB46" s="1" t="n">
        <f aca="false">MAX(0,O46)</f>
        <v>0</v>
      </c>
      <c r="AC46" s="1" t="n">
        <f aca="false">SUM(P46:AA46)</f>
        <v>0</v>
      </c>
      <c r="AD46" s="1" t="n">
        <f aca="false">'Plan cashflow'!L46</f>
        <v>0</v>
      </c>
      <c r="AE46" s="1" t="n">
        <f aca="false">IF(AD46&gt;PR_BalDone,AD46+AD46*(D_iC)-MIN(F_CardPayM,AD46+AD46*(D_iC)),AD46)</f>
        <v>0</v>
      </c>
      <c r="AF46" s="1" t="n">
        <f aca="false">IF(AE46&gt;PR_BalDone,AE46+AE46*(D_iC)-MIN(F_CardPayM,AE46+AE46*(D_iC)),AE46)</f>
        <v>0</v>
      </c>
      <c r="AG46" s="1" t="n">
        <f aca="false">IF(AF46&gt;PR_BalDone,AF46+AF46*(D_iC)-MIN(F_CardPayM,AF46+AF46*(D_iC)),AF46)</f>
        <v>0</v>
      </c>
      <c r="AH46" s="1" t="n">
        <f aca="false">IF(AG46&gt;PR_BalDone,AG46+AG46*(D_iC)-MIN(F_CardPayM,AG46+AG46*(D_iC)),AG46)</f>
        <v>0</v>
      </c>
      <c r="AI46" s="1" t="n">
        <f aca="false">IF(AH46&gt;PR_BalDone,AH46+AH46*(D_iC)-MIN(F_CardPayM,AH46+AH46*(D_iC)),AH46)</f>
        <v>0</v>
      </c>
      <c r="AJ46" s="1" t="n">
        <f aca="false">IF(AI46&gt;PR_BalDone,AI46+AI46*(D_iC)-MIN(F_CardPayM,AI46+AI46*(D_iC)),AI46)</f>
        <v>0</v>
      </c>
      <c r="AK46" s="1" t="n">
        <f aca="false">IF(AJ46&gt;PR_BalDone,AJ46+AJ46*(D_iC)-MIN(F_CardPayM,AJ46+AJ46*(D_iC)),AJ46)</f>
        <v>0</v>
      </c>
      <c r="AL46" s="1" t="n">
        <f aca="false">IF(AK46&gt;PR_BalDone,AK46+AK46*(D_iC)-MIN(F_CardPayM,AK46+AK46*(D_iC)),AK46)</f>
        <v>0</v>
      </c>
      <c r="AM46" s="1" t="n">
        <f aca="false">IF(AL46&gt;PR_BalDone,AL46+AL46*(D_iC)-MIN(F_CardPayM,AL46+AL46*(D_iC)),AL46)</f>
        <v>0</v>
      </c>
      <c r="AN46" s="1" t="n">
        <f aca="false">IF(AM46&gt;PR_BalDone,AM46+AM46*(D_iC)-MIN(F_CardPayM,AM46+AM46*(D_iC)),AM46)</f>
        <v>0</v>
      </c>
      <c r="AO46" s="1" t="n">
        <f aca="false">IF(AN46&gt;PR_BalDone,AN46+AN46*(D_iC)-MIN(F_CardPayM,AN46+AN46*(D_iC)),AN46)</f>
        <v>0</v>
      </c>
      <c r="AP46" s="1" t="n">
        <f aca="false">IF(AO46&gt;PR_BalDone,AO46+AO46*(D_iC)-MIN(F_CardPayM,AO46+AO46*(D_iC)),AO46)</f>
        <v>0</v>
      </c>
      <c r="AQ46" s="1" t="n">
        <f aca="false">IF(AD46&gt;PR_BalDone,MIN(F_CardPayM,AD46+AD46*(D_iC)),0)</f>
        <v>0</v>
      </c>
      <c r="AR46" s="1" t="n">
        <f aca="false">IF(AE46&gt;PR_BalDone,MIN(F_CardPayM,AE46+AE46*(D_iC)),0)</f>
        <v>0</v>
      </c>
      <c r="AS46" s="1" t="n">
        <f aca="false">IF(AF46&gt;PR_BalDone,MIN(F_CardPayM,AF46+AF46*(D_iC)),0)</f>
        <v>0</v>
      </c>
      <c r="AT46" s="1" t="n">
        <f aca="false">IF(AG46&gt;PR_BalDone,MIN(F_CardPayM,AG46+AG46*(D_iC)),0)</f>
        <v>0</v>
      </c>
      <c r="AU46" s="1" t="n">
        <f aca="false">IF(AH46&gt;PR_BalDone,MIN(F_CardPayM,AH46+AH46*(D_iC)),0)</f>
        <v>0</v>
      </c>
      <c r="AV46" s="1" t="n">
        <f aca="false">IF(AI46&gt;PR_BalDone,MIN(F_CardPayM,AI46+AI46*(D_iC)),0)</f>
        <v>0</v>
      </c>
      <c r="AW46" s="1" t="n">
        <f aca="false">IF(AJ46&gt;PR_BalDone,MIN(F_CardPayM,AJ46+AJ46*(D_iC)),0)</f>
        <v>0</v>
      </c>
      <c r="AX46" s="1" t="n">
        <f aca="false">IF(AK46&gt;PR_BalDone,MIN(F_CardPayM,AK46+AK46*(D_iC)),0)</f>
        <v>0</v>
      </c>
      <c r="AY46" s="1" t="n">
        <f aca="false">IF(AL46&gt;PR_BalDone,MIN(F_CardPayM,AL46+AL46*(D_iC)),0)</f>
        <v>0</v>
      </c>
      <c r="AZ46" s="1" t="n">
        <f aca="false">IF(AM46&gt;PR_BalDone,MIN(F_CardPayM,AM46+AM46*(D_iC)),0)</f>
        <v>0</v>
      </c>
      <c r="BA46" s="1" t="n">
        <f aca="false">IF(AN46&gt;PR_BalDone,MIN(F_CardPayM,AN46+AN46*(D_iC)),0)</f>
        <v>0</v>
      </c>
      <c r="BB46" s="1" t="n">
        <f aca="false">IF(AO46&gt;PR_BalDone,MIN(F_CardPayM,AO46+AO46*(D_iC)),0)</f>
        <v>0</v>
      </c>
      <c r="BC46" s="1" t="n">
        <f aca="false">MAX(0,AP46)</f>
        <v>0</v>
      </c>
      <c r="BD46" s="1" t="n">
        <f aca="false">SUM(AQ46:BB46)</f>
        <v>0</v>
      </c>
      <c r="BE46" s="1" t="n">
        <f aca="false">'Plan cashflow'!O46</f>
        <v>0</v>
      </c>
      <c r="BF46" s="1" t="n">
        <f aca="false">IF(BE46&gt;PR_BalDone,BE46+BE46*(D_iL)-MIN(F_LoanPayM,BE46+BE46*(D_iL)),BE46)</f>
        <v>0</v>
      </c>
      <c r="BG46" s="1" t="n">
        <f aca="false">IF(BF46&gt;PR_BalDone,BF46+BF46*(D_iL)-MIN(F_LoanPayM,BF46+BF46*(D_iL)),BF46)</f>
        <v>0</v>
      </c>
      <c r="BH46" s="1" t="n">
        <f aca="false">IF(BG46&gt;PR_BalDone,BG46+BG46*(D_iL)-MIN(F_LoanPayM,BG46+BG46*(D_iL)),BG46)</f>
        <v>0</v>
      </c>
      <c r="BI46" s="1" t="n">
        <f aca="false">IF(BH46&gt;PR_BalDone,BH46+BH46*(D_iL)-MIN(F_LoanPayM,BH46+BH46*(D_iL)),BH46)</f>
        <v>0</v>
      </c>
      <c r="BJ46" s="1" t="n">
        <f aca="false">IF(BI46&gt;PR_BalDone,BI46+BI46*(D_iL)-MIN(F_LoanPayM,BI46+BI46*(D_iL)),BI46)</f>
        <v>0</v>
      </c>
      <c r="BK46" s="1" t="n">
        <f aca="false">IF(BJ46&gt;PR_BalDone,BJ46+BJ46*(D_iL)-MIN(F_LoanPayM,BJ46+BJ46*(D_iL)),BJ46)</f>
        <v>0</v>
      </c>
      <c r="BL46" s="1" t="n">
        <f aca="false">IF(BK46&gt;PR_BalDone,BK46+BK46*(D_iL)-MIN(F_LoanPayM,BK46+BK46*(D_iL)),BK46)</f>
        <v>0</v>
      </c>
      <c r="BM46" s="1" t="n">
        <f aca="false">IF(BL46&gt;PR_BalDone,BL46+BL46*(D_iL)-MIN(F_LoanPayM,BL46+BL46*(D_iL)),BL46)</f>
        <v>0</v>
      </c>
      <c r="BN46" s="1" t="n">
        <f aca="false">IF(BM46&gt;PR_BalDone,BM46+BM46*(D_iL)-MIN(F_LoanPayM,BM46+BM46*(D_iL)),BM46)</f>
        <v>0</v>
      </c>
      <c r="BO46" s="1" t="n">
        <f aca="false">IF(BN46&gt;PR_BalDone,BN46+BN46*(D_iL)-MIN(F_LoanPayM,BN46+BN46*(D_iL)),BN46)</f>
        <v>0</v>
      </c>
      <c r="BP46" s="1" t="n">
        <f aca="false">IF(BO46&gt;PR_BalDone,BO46+BO46*(D_iL)-MIN(F_LoanPayM,BO46+BO46*(D_iL)),BO46)</f>
        <v>0</v>
      </c>
      <c r="BQ46" s="1" t="n">
        <f aca="false">IF(BP46&gt;PR_BalDone,BP46+BP46*(D_iL)-MIN(F_LoanPayM,BP46+BP46*(D_iL)),BP46)</f>
        <v>0</v>
      </c>
      <c r="BR46" s="1" t="n">
        <f aca="false">IF(BE46&gt;PR_BalDone,MIN(F_LoanPayM,BE46+BE46*(D_iL)),0)</f>
        <v>0</v>
      </c>
      <c r="BS46" s="1" t="n">
        <f aca="false">IF(BF46&gt;PR_BalDone,MIN(F_LoanPayM,BF46+BF46*(D_iL)),0)</f>
        <v>0</v>
      </c>
      <c r="BT46" s="1" t="n">
        <f aca="false">IF(BG46&gt;PR_BalDone,MIN(F_LoanPayM,BG46+BG46*(D_iL)),0)</f>
        <v>0</v>
      </c>
      <c r="BU46" s="1" t="n">
        <f aca="false">IF(BH46&gt;PR_BalDone,MIN(F_LoanPayM,BH46+BH46*(D_iL)),0)</f>
        <v>0</v>
      </c>
      <c r="BV46" s="1" t="n">
        <f aca="false">IF(BI46&gt;PR_BalDone,MIN(F_LoanPayM,BI46+BI46*(D_iL)),0)</f>
        <v>0</v>
      </c>
      <c r="BW46" s="1" t="n">
        <f aca="false">IF(BJ46&gt;PR_BalDone,MIN(F_LoanPayM,BJ46+BJ46*(D_iL)),0)</f>
        <v>0</v>
      </c>
      <c r="BX46" s="1" t="n">
        <f aca="false">IF(BK46&gt;PR_BalDone,MIN(F_LoanPayM,BK46+BK46*(D_iL)),0)</f>
        <v>0</v>
      </c>
      <c r="BY46" s="1" t="n">
        <f aca="false">IF(BL46&gt;PR_BalDone,MIN(F_LoanPayM,BL46+BL46*(D_iL)),0)</f>
        <v>0</v>
      </c>
      <c r="BZ46" s="1" t="n">
        <f aca="false">IF(BM46&gt;PR_BalDone,MIN(F_LoanPayM,BM46+BM46*(D_iL)),0)</f>
        <v>0</v>
      </c>
      <c r="CA46" s="1" t="n">
        <f aca="false">IF(BN46&gt;PR_BalDone,MIN(F_LoanPayM,BN46+BN46*(D_iL)),0)</f>
        <v>0</v>
      </c>
      <c r="CB46" s="1" t="n">
        <f aca="false">IF(BO46&gt;PR_BalDone,MIN(F_LoanPayM,BO46+BO46*(D_iL)),0)</f>
        <v>0</v>
      </c>
      <c r="CC46" s="1" t="n">
        <f aca="false">IF(BP46&gt;PR_BalDone,MIN(F_LoanPayM,BP46+BP46*(D_iL)),0)</f>
        <v>0</v>
      </c>
      <c r="CD46" s="1" t="n">
        <f aca="false">MAX(0,BQ46)</f>
        <v>0</v>
      </c>
      <c r="CE46" s="1" t="n">
        <f aca="false">SUM(BR46:CC46)</f>
        <v>0</v>
      </c>
      <c r="CF46" s="1" t="n">
        <f aca="false">IF(CF45&gt;1,DE45,CF45)</f>
        <v>0</v>
      </c>
      <c r="CG46" s="1" t="n">
        <f aca="false">IF(CF46&gt;PR_BalDone,CF46+CF46*(F_MR/12)-MIN(F_MortPayM,CF46+CF46*(F_MR/12)),CF46)</f>
        <v>0</v>
      </c>
      <c r="CH46" s="1" t="n">
        <f aca="false">IF(CG46&gt;PR_BalDone,CG46+CG46*(F_MR/12)-MIN(F_MortPayM,CG46+CG46*(F_MR/12)),CG46)</f>
        <v>0</v>
      </c>
      <c r="CI46" s="1" t="n">
        <f aca="false">IF(CH46&gt;PR_BalDone,CH46+CH46*(F_MR/12)-MIN(F_MortPayM,CH46+CH46*(F_MR/12)),CH46)</f>
        <v>0</v>
      </c>
      <c r="CJ46" s="1" t="n">
        <f aca="false">IF(CI46&gt;PR_BalDone,CI46+CI46*(F_MR/12)-MIN(F_MortPayM,CI46+CI46*(F_MR/12)),CI46)</f>
        <v>0</v>
      </c>
      <c r="CK46" s="1" t="n">
        <f aca="false">IF(CJ46&gt;PR_BalDone,CJ46+CJ46*(F_MR/12)-MIN(F_MortPayM,CJ46+CJ46*(F_MR/12)),CJ46)</f>
        <v>0</v>
      </c>
      <c r="CL46" s="1" t="n">
        <f aca="false">IF(CK46&gt;PR_BalDone,CK46+CK46*(F_MR/12)-MIN(F_MortPayM,CK46+CK46*(F_MR/12)),CK46)</f>
        <v>0</v>
      </c>
      <c r="CM46" s="1" t="n">
        <f aca="false">IF(CL46&gt;PR_BalDone,CL46+CL46*(F_MR/12)-MIN(F_MortPayM,CL46+CL46*(F_MR/12)),CL46)</f>
        <v>0</v>
      </c>
      <c r="CN46" s="1" t="n">
        <f aca="false">IF(CM46&gt;PR_BalDone,CM46+CM46*(F_MR/12)-MIN(F_MortPayM,CM46+CM46*(F_MR/12)),CM46)</f>
        <v>0</v>
      </c>
      <c r="CO46" s="1" t="n">
        <f aca="false">IF(CN46&gt;PR_BalDone,CN46+CN46*(F_MR/12)-MIN(F_MortPayM,CN46+CN46*(F_MR/12)),CN46)</f>
        <v>0</v>
      </c>
      <c r="CP46" s="1" t="n">
        <f aca="false">IF(CO46&gt;PR_BalDone,CO46+CO46*(F_MR/12)-MIN(F_MortPayM,CO46+CO46*(F_MR/12)),CO46)</f>
        <v>0</v>
      </c>
      <c r="CQ46" s="1" t="n">
        <f aca="false">IF(CP46&gt;PR_BalDone,CP46+CP46*(F_MR/12)-MIN(F_MortPayM,CP46+CP46*(F_MR/12)),CP46)</f>
        <v>0</v>
      </c>
      <c r="CR46" s="1" t="n">
        <f aca="false">IF(CQ46&gt;PR_BalDone,CQ46+CQ46*(F_MR/12)-MIN(F_MortPayM,CQ46+CQ46*(F_MR/12)),CQ46)</f>
        <v>0</v>
      </c>
      <c r="CS46" s="1" t="n">
        <f aca="false">IF(CF46&gt;PR_BalDone,MIN(F_MortPayM,CF46+CF46*(F_MR/12)),0)</f>
        <v>0</v>
      </c>
      <c r="CT46" s="1" t="n">
        <f aca="false">IF(CG46&gt;PR_BalDone,MIN(F_MortPayM,CG46+CG46*(F_MR/12)),0)</f>
        <v>0</v>
      </c>
      <c r="CU46" s="1" t="n">
        <f aca="false">IF(CH46&gt;PR_BalDone,MIN(F_MortPayM,CH46+CH46*(F_MR/12)),0)</f>
        <v>0</v>
      </c>
      <c r="CV46" s="1" t="n">
        <f aca="false">IF(CI46&gt;PR_BalDone,MIN(F_MortPayM,CI46+CI46*(F_MR/12)),0)</f>
        <v>0</v>
      </c>
      <c r="CW46" s="1" t="n">
        <f aca="false">IF(CJ46&gt;PR_BalDone,MIN(F_MortPayM,CJ46+CJ46*(F_MR/12)),0)</f>
        <v>0</v>
      </c>
      <c r="CX46" s="1" t="n">
        <f aca="false">IF(CK46&gt;PR_BalDone,MIN(F_MortPayM,CK46+CK46*(F_MR/12)),0)</f>
        <v>0</v>
      </c>
      <c r="CY46" s="1" t="n">
        <f aca="false">IF(CL46&gt;PR_BalDone,MIN(F_MortPayM,CL46+CL46*(F_MR/12)),0)</f>
        <v>0</v>
      </c>
      <c r="CZ46" s="1" t="n">
        <f aca="false">IF(CM46&gt;PR_BalDone,MIN(F_MortPayM,CM46+CM46*(F_MR/12)),0)</f>
        <v>0</v>
      </c>
      <c r="DA46" s="1" t="n">
        <f aca="false">IF(CN46&gt;PR_BalDone,MIN(F_MortPayM,CN46+CN46*(F_MR/12)),0)</f>
        <v>0</v>
      </c>
      <c r="DB46" s="1" t="n">
        <f aca="false">IF(CO46&gt;PR_BalDone,MIN(F_MortPayM,CO46+CO46*(F_MR/12)),0)</f>
        <v>0</v>
      </c>
      <c r="DC46" s="1" t="n">
        <f aca="false">IF(CP46&gt;PR_BalDone,MIN(F_MortPayM,CP46+CP46*(F_MR/12)),0)</f>
        <v>0</v>
      </c>
      <c r="DD46" s="1" t="n">
        <f aca="false">IF(CQ46&gt;PR_BalDone,MIN(F_MortPayM,CQ46+CQ46*(F_MR/12)),0)</f>
        <v>0</v>
      </c>
      <c r="DE46" s="1" t="n">
        <f aca="false">MAX(0,CR46)</f>
        <v>0</v>
      </c>
      <c r="DF46" s="1" t="n">
        <f aca="false">SUM(CS46:DD46)</f>
        <v>0</v>
      </c>
      <c r="DG46" s="1" t="n">
        <f aca="false">MAX(0,CF46)</f>
        <v>0</v>
      </c>
    </row>
    <row r="47" customFormat="false" ht="15" hidden="false" customHeight="true" outlineLevel="0" collapsed="false">
      <c r="B47" s="1" t="n">
        <v>39</v>
      </c>
      <c r="C47" s="1" t="n">
        <f aca="false">'Plan cashflow'!I47</f>
        <v>0</v>
      </c>
      <c r="D47" s="1" t="n">
        <f aca="false">IF(C47&gt;PR_BalDone,C47+C47*(F_MR/12)-MIN(F_MortPayM,C47+C47*(F_MR/12)),C47)</f>
        <v>0</v>
      </c>
      <c r="E47" s="1" t="n">
        <f aca="false">IF(D47&gt;PR_BalDone,D47+D47*(F_MR/12)-MIN(F_MortPayM,D47+D47*(F_MR/12)),D47)</f>
        <v>0</v>
      </c>
      <c r="F47" s="1" t="n">
        <f aca="false">IF(E47&gt;PR_BalDone,E47+E47*(F_MR/12)-MIN(F_MortPayM,E47+E47*(F_MR/12)),E47)</f>
        <v>0</v>
      </c>
      <c r="G47" s="1" t="n">
        <f aca="false">IF(F47&gt;PR_BalDone,F47+F47*(F_MR/12)-MIN(F_MortPayM,F47+F47*(F_MR/12)),F47)</f>
        <v>0</v>
      </c>
      <c r="H47" s="1" t="n">
        <f aca="false">IF(G47&gt;PR_BalDone,G47+G47*(F_MR/12)-MIN(F_MortPayM,G47+G47*(F_MR/12)),G47)</f>
        <v>0</v>
      </c>
      <c r="I47" s="1" t="n">
        <f aca="false">IF(H47&gt;PR_BalDone,H47+H47*(F_MR/12)-MIN(F_MortPayM,H47+H47*(F_MR/12)),H47)</f>
        <v>0</v>
      </c>
      <c r="J47" s="1" t="n">
        <f aca="false">IF(I47&gt;PR_BalDone,I47+I47*(F_MR/12)-MIN(F_MortPayM,I47+I47*(F_MR/12)),I47)</f>
        <v>0</v>
      </c>
      <c r="K47" s="1" t="n">
        <f aca="false">IF(J47&gt;PR_BalDone,J47+J47*(F_MR/12)-MIN(F_MortPayM,J47+J47*(F_MR/12)),J47)</f>
        <v>0</v>
      </c>
      <c r="L47" s="1" t="n">
        <f aca="false">IF(K47&gt;PR_BalDone,K47+K47*(F_MR/12)-MIN(F_MortPayM,K47+K47*(F_MR/12)),K47)</f>
        <v>0</v>
      </c>
      <c r="M47" s="1" t="n">
        <f aca="false">IF(L47&gt;PR_BalDone,L47+L47*(F_MR/12)-MIN(F_MortPayM,L47+L47*(F_MR/12)),L47)</f>
        <v>0</v>
      </c>
      <c r="N47" s="1" t="n">
        <f aca="false">IF(M47&gt;PR_BalDone,M47+M47*(F_MR/12)-MIN(F_MortPayM,M47+M47*(F_MR/12)),M47)</f>
        <v>0</v>
      </c>
      <c r="O47" s="1" t="n">
        <f aca="false">IF(N47&gt;PR_BalDone,N47+N47*(F_MR/12)-MIN(F_MortPayM,N47+N47*(F_MR/12)),N47)</f>
        <v>0</v>
      </c>
      <c r="P47" s="1" t="n">
        <f aca="false">IF(C47&gt;PR_BalDone,MIN(F_MortPayM,C47+C47*(F_MR/12)),0)</f>
        <v>0</v>
      </c>
      <c r="Q47" s="1" t="n">
        <f aca="false">IF(D47&gt;PR_BalDone,MIN(F_MortPayM,D47+D47*(F_MR/12)),0)</f>
        <v>0</v>
      </c>
      <c r="R47" s="1" t="n">
        <f aca="false">IF(E47&gt;PR_BalDone,MIN(F_MortPayM,E47+E47*(F_MR/12)),0)</f>
        <v>0</v>
      </c>
      <c r="S47" s="1" t="n">
        <f aca="false">IF(F47&gt;PR_BalDone,MIN(F_MortPayM,F47+F47*(F_MR/12)),0)</f>
        <v>0</v>
      </c>
      <c r="T47" s="1" t="n">
        <f aca="false">IF(G47&gt;PR_BalDone,MIN(F_MortPayM,G47+G47*(F_MR/12)),0)</f>
        <v>0</v>
      </c>
      <c r="U47" s="1" t="n">
        <f aca="false">IF(H47&gt;PR_BalDone,MIN(F_MortPayM,H47+H47*(F_MR/12)),0)</f>
        <v>0</v>
      </c>
      <c r="V47" s="1" t="n">
        <f aca="false">IF(I47&gt;PR_BalDone,MIN(F_MortPayM,I47+I47*(F_MR/12)),0)</f>
        <v>0</v>
      </c>
      <c r="W47" s="1" t="n">
        <f aca="false">IF(J47&gt;PR_BalDone,MIN(F_MortPayM,J47+J47*(F_MR/12)),0)</f>
        <v>0</v>
      </c>
      <c r="X47" s="1" t="n">
        <f aca="false">IF(K47&gt;PR_BalDone,MIN(F_MortPayM,K47+K47*(F_MR/12)),0)</f>
        <v>0</v>
      </c>
      <c r="Y47" s="1" t="n">
        <f aca="false">IF(L47&gt;PR_BalDone,MIN(F_MortPayM,L47+L47*(F_MR/12)),0)</f>
        <v>0</v>
      </c>
      <c r="Z47" s="1" t="n">
        <f aca="false">IF(M47&gt;PR_BalDone,MIN(F_MortPayM,M47+M47*(F_MR/12)),0)</f>
        <v>0</v>
      </c>
      <c r="AA47" s="1" t="n">
        <f aca="false">IF(N47&gt;PR_BalDone,MIN(F_MortPayM,N47+N47*(F_MR/12)),0)</f>
        <v>0</v>
      </c>
      <c r="AB47" s="1" t="n">
        <f aca="false">MAX(0,O47)</f>
        <v>0</v>
      </c>
      <c r="AC47" s="1" t="n">
        <f aca="false">SUM(P47:AA47)</f>
        <v>0</v>
      </c>
      <c r="AD47" s="1" t="n">
        <f aca="false">'Plan cashflow'!L47</f>
        <v>0</v>
      </c>
      <c r="AE47" s="1" t="n">
        <f aca="false">IF(AD47&gt;PR_BalDone,AD47+AD47*(D_iC)-MIN(F_CardPayM,AD47+AD47*(D_iC)),AD47)</f>
        <v>0</v>
      </c>
      <c r="AF47" s="1" t="n">
        <f aca="false">IF(AE47&gt;PR_BalDone,AE47+AE47*(D_iC)-MIN(F_CardPayM,AE47+AE47*(D_iC)),AE47)</f>
        <v>0</v>
      </c>
      <c r="AG47" s="1" t="n">
        <f aca="false">IF(AF47&gt;PR_BalDone,AF47+AF47*(D_iC)-MIN(F_CardPayM,AF47+AF47*(D_iC)),AF47)</f>
        <v>0</v>
      </c>
      <c r="AH47" s="1" t="n">
        <f aca="false">IF(AG47&gt;PR_BalDone,AG47+AG47*(D_iC)-MIN(F_CardPayM,AG47+AG47*(D_iC)),AG47)</f>
        <v>0</v>
      </c>
      <c r="AI47" s="1" t="n">
        <f aca="false">IF(AH47&gt;PR_BalDone,AH47+AH47*(D_iC)-MIN(F_CardPayM,AH47+AH47*(D_iC)),AH47)</f>
        <v>0</v>
      </c>
      <c r="AJ47" s="1" t="n">
        <f aca="false">IF(AI47&gt;PR_BalDone,AI47+AI47*(D_iC)-MIN(F_CardPayM,AI47+AI47*(D_iC)),AI47)</f>
        <v>0</v>
      </c>
      <c r="AK47" s="1" t="n">
        <f aca="false">IF(AJ47&gt;PR_BalDone,AJ47+AJ47*(D_iC)-MIN(F_CardPayM,AJ47+AJ47*(D_iC)),AJ47)</f>
        <v>0</v>
      </c>
      <c r="AL47" s="1" t="n">
        <f aca="false">IF(AK47&gt;PR_BalDone,AK47+AK47*(D_iC)-MIN(F_CardPayM,AK47+AK47*(D_iC)),AK47)</f>
        <v>0</v>
      </c>
      <c r="AM47" s="1" t="n">
        <f aca="false">IF(AL47&gt;PR_BalDone,AL47+AL47*(D_iC)-MIN(F_CardPayM,AL47+AL47*(D_iC)),AL47)</f>
        <v>0</v>
      </c>
      <c r="AN47" s="1" t="n">
        <f aca="false">IF(AM47&gt;PR_BalDone,AM47+AM47*(D_iC)-MIN(F_CardPayM,AM47+AM47*(D_iC)),AM47)</f>
        <v>0</v>
      </c>
      <c r="AO47" s="1" t="n">
        <f aca="false">IF(AN47&gt;PR_BalDone,AN47+AN47*(D_iC)-MIN(F_CardPayM,AN47+AN47*(D_iC)),AN47)</f>
        <v>0</v>
      </c>
      <c r="AP47" s="1" t="n">
        <f aca="false">IF(AO47&gt;PR_BalDone,AO47+AO47*(D_iC)-MIN(F_CardPayM,AO47+AO47*(D_iC)),AO47)</f>
        <v>0</v>
      </c>
      <c r="AQ47" s="1" t="n">
        <f aca="false">IF(AD47&gt;PR_BalDone,MIN(F_CardPayM,AD47+AD47*(D_iC)),0)</f>
        <v>0</v>
      </c>
      <c r="AR47" s="1" t="n">
        <f aca="false">IF(AE47&gt;PR_BalDone,MIN(F_CardPayM,AE47+AE47*(D_iC)),0)</f>
        <v>0</v>
      </c>
      <c r="AS47" s="1" t="n">
        <f aca="false">IF(AF47&gt;PR_BalDone,MIN(F_CardPayM,AF47+AF47*(D_iC)),0)</f>
        <v>0</v>
      </c>
      <c r="AT47" s="1" t="n">
        <f aca="false">IF(AG47&gt;PR_BalDone,MIN(F_CardPayM,AG47+AG47*(D_iC)),0)</f>
        <v>0</v>
      </c>
      <c r="AU47" s="1" t="n">
        <f aca="false">IF(AH47&gt;PR_BalDone,MIN(F_CardPayM,AH47+AH47*(D_iC)),0)</f>
        <v>0</v>
      </c>
      <c r="AV47" s="1" t="n">
        <f aca="false">IF(AI47&gt;PR_BalDone,MIN(F_CardPayM,AI47+AI47*(D_iC)),0)</f>
        <v>0</v>
      </c>
      <c r="AW47" s="1" t="n">
        <f aca="false">IF(AJ47&gt;PR_BalDone,MIN(F_CardPayM,AJ47+AJ47*(D_iC)),0)</f>
        <v>0</v>
      </c>
      <c r="AX47" s="1" t="n">
        <f aca="false">IF(AK47&gt;PR_BalDone,MIN(F_CardPayM,AK47+AK47*(D_iC)),0)</f>
        <v>0</v>
      </c>
      <c r="AY47" s="1" t="n">
        <f aca="false">IF(AL47&gt;PR_BalDone,MIN(F_CardPayM,AL47+AL47*(D_iC)),0)</f>
        <v>0</v>
      </c>
      <c r="AZ47" s="1" t="n">
        <f aca="false">IF(AM47&gt;PR_BalDone,MIN(F_CardPayM,AM47+AM47*(D_iC)),0)</f>
        <v>0</v>
      </c>
      <c r="BA47" s="1" t="n">
        <f aca="false">IF(AN47&gt;PR_BalDone,MIN(F_CardPayM,AN47+AN47*(D_iC)),0)</f>
        <v>0</v>
      </c>
      <c r="BB47" s="1" t="n">
        <f aca="false">IF(AO47&gt;PR_BalDone,MIN(F_CardPayM,AO47+AO47*(D_iC)),0)</f>
        <v>0</v>
      </c>
      <c r="BC47" s="1" t="n">
        <f aca="false">MAX(0,AP47)</f>
        <v>0</v>
      </c>
      <c r="BD47" s="1" t="n">
        <f aca="false">SUM(AQ47:BB47)</f>
        <v>0</v>
      </c>
      <c r="BE47" s="1" t="n">
        <f aca="false">'Plan cashflow'!O47</f>
        <v>0</v>
      </c>
      <c r="BF47" s="1" t="n">
        <f aca="false">IF(BE47&gt;PR_BalDone,BE47+BE47*(D_iL)-MIN(F_LoanPayM,BE47+BE47*(D_iL)),BE47)</f>
        <v>0</v>
      </c>
      <c r="BG47" s="1" t="n">
        <f aca="false">IF(BF47&gt;PR_BalDone,BF47+BF47*(D_iL)-MIN(F_LoanPayM,BF47+BF47*(D_iL)),BF47)</f>
        <v>0</v>
      </c>
      <c r="BH47" s="1" t="n">
        <f aca="false">IF(BG47&gt;PR_BalDone,BG47+BG47*(D_iL)-MIN(F_LoanPayM,BG47+BG47*(D_iL)),BG47)</f>
        <v>0</v>
      </c>
      <c r="BI47" s="1" t="n">
        <f aca="false">IF(BH47&gt;PR_BalDone,BH47+BH47*(D_iL)-MIN(F_LoanPayM,BH47+BH47*(D_iL)),BH47)</f>
        <v>0</v>
      </c>
      <c r="BJ47" s="1" t="n">
        <f aca="false">IF(BI47&gt;PR_BalDone,BI47+BI47*(D_iL)-MIN(F_LoanPayM,BI47+BI47*(D_iL)),BI47)</f>
        <v>0</v>
      </c>
      <c r="BK47" s="1" t="n">
        <f aca="false">IF(BJ47&gt;PR_BalDone,BJ47+BJ47*(D_iL)-MIN(F_LoanPayM,BJ47+BJ47*(D_iL)),BJ47)</f>
        <v>0</v>
      </c>
      <c r="BL47" s="1" t="n">
        <f aca="false">IF(BK47&gt;PR_BalDone,BK47+BK47*(D_iL)-MIN(F_LoanPayM,BK47+BK47*(D_iL)),BK47)</f>
        <v>0</v>
      </c>
      <c r="BM47" s="1" t="n">
        <f aca="false">IF(BL47&gt;PR_BalDone,BL47+BL47*(D_iL)-MIN(F_LoanPayM,BL47+BL47*(D_iL)),BL47)</f>
        <v>0</v>
      </c>
      <c r="BN47" s="1" t="n">
        <f aca="false">IF(BM47&gt;PR_BalDone,BM47+BM47*(D_iL)-MIN(F_LoanPayM,BM47+BM47*(D_iL)),BM47)</f>
        <v>0</v>
      </c>
      <c r="BO47" s="1" t="n">
        <f aca="false">IF(BN47&gt;PR_BalDone,BN47+BN47*(D_iL)-MIN(F_LoanPayM,BN47+BN47*(D_iL)),BN47)</f>
        <v>0</v>
      </c>
      <c r="BP47" s="1" t="n">
        <f aca="false">IF(BO47&gt;PR_BalDone,BO47+BO47*(D_iL)-MIN(F_LoanPayM,BO47+BO47*(D_iL)),BO47)</f>
        <v>0</v>
      </c>
      <c r="BQ47" s="1" t="n">
        <f aca="false">IF(BP47&gt;PR_BalDone,BP47+BP47*(D_iL)-MIN(F_LoanPayM,BP47+BP47*(D_iL)),BP47)</f>
        <v>0</v>
      </c>
      <c r="BR47" s="1" t="n">
        <f aca="false">IF(BE47&gt;PR_BalDone,MIN(F_LoanPayM,BE47+BE47*(D_iL)),0)</f>
        <v>0</v>
      </c>
      <c r="BS47" s="1" t="n">
        <f aca="false">IF(BF47&gt;PR_BalDone,MIN(F_LoanPayM,BF47+BF47*(D_iL)),0)</f>
        <v>0</v>
      </c>
      <c r="BT47" s="1" t="n">
        <f aca="false">IF(BG47&gt;PR_BalDone,MIN(F_LoanPayM,BG47+BG47*(D_iL)),0)</f>
        <v>0</v>
      </c>
      <c r="BU47" s="1" t="n">
        <f aca="false">IF(BH47&gt;PR_BalDone,MIN(F_LoanPayM,BH47+BH47*(D_iL)),0)</f>
        <v>0</v>
      </c>
      <c r="BV47" s="1" t="n">
        <f aca="false">IF(BI47&gt;PR_BalDone,MIN(F_LoanPayM,BI47+BI47*(D_iL)),0)</f>
        <v>0</v>
      </c>
      <c r="BW47" s="1" t="n">
        <f aca="false">IF(BJ47&gt;PR_BalDone,MIN(F_LoanPayM,BJ47+BJ47*(D_iL)),0)</f>
        <v>0</v>
      </c>
      <c r="BX47" s="1" t="n">
        <f aca="false">IF(BK47&gt;PR_BalDone,MIN(F_LoanPayM,BK47+BK47*(D_iL)),0)</f>
        <v>0</v>
      </c>
      <c r="BY47" s="1" t="n">
        <f aca="false">IF(BL47&gt;PR_BalDone,MIN(F_LoanPayM,BL47+BL47*(D_iL)),0)</f>
        <v>0</v>
      </c>
      <c r="BZ47" s="1" t="n">
        <f aca="false">IF(BM47&gt;PR_BalDone,MIN(F_LoanPayM,BM47+BM47*(D_iL)),0)</f>
        <v>0</v>
      </c>
      <c r="CA47" s="1" t="n">
        <f aca="false">IF(BN47&gt;PR_BalDone,MIN(F_LoanPayM,BN47+BN47*(D_iL)),0)</f>
        <v>0</v>
      </c>
      <c r="CB47" s="1" t="n">
        <f aca="false">IF(BO47&gt;PR_BalDone,MIN(F_LoanPayM,BO47+BO47*(D_iL)),0)</f>
        <v>0</v>
      </c>
      <c r="CC47" s="1" t="n">
        <f aca="false">IF(BP47&gt;PR_BalDone,MIN(F_LoanPayM,BP47+BP47*(D_iL)),0)</f>
        <v>0</v>
      </c>
      <c r="CD47" s="1" t="n">
        <f aca="false">MAX(0,BQ47)</f>
        <v>0</v>
      </c>
      <c r="CE47" s="1" t="n">
        <f aca="false">SUM(BR47:CC47)</f>
        <v>0</v>
      </c>
      <c r="CF47" s="1" t="n">
        <f aca="false">IF(CF46&gt;1,DE46,CF46)</f>
        <v>0</v>
      </c>
      <c r="CG47" s="1" t="n">
        <f aca="false">IF(CF47&gt;PR_BalDone,CF47+CF47*(F_MR/12)-MIN(F_MortPayM,CF47+CF47*(F_MR/12)),CF47)</f>
        <v>0</v>
      </c>
      <c r="CH47" s="1" t="n">
        <f aca="false">IF(CG47&gt;PR_BalDone,CG47+CG47*(F_MR/12)-MIN(F_MortPayM,CG47+CG47*(F_MR/12)),CG47)</f>
        <v>0</v>
      </c>
      <c r="CI47" s="1" t="n">
        <f aca="false">IF(CH47&gt;PR_BalDone,CH47+CH47*(F_MR/12)-MIN(F_MortPayM,CH47+CH47*(F_MR/12)),CH47)</f>
        <v>0</v>
      </c>
      <c r="CJ47" s="1" t="n">
        <f aca="false">IF(CI47&gt;PR_BalDone,CI47+CI47*(F_MR/12)-MIN(F_MortPayM,CI47+CI47*(F_MR/12)),CI47)</f>
        <v>0</v>
      </c>
      <c r="CK47" s="1" t="n">
        <f aca="false">IF(CJ47&gt;PR_BalDone,CJ47+CJ47*(F_MR/12)-MIN(F_MortPayM,CJ47+CJ47*(F_MR/12)),CJ47)</f>
        <v>0</v>
      </c>
      <c r="CL47" s="1" t="n">
        <f aca="false">IF(CK47&gt;PR_BalDone,CK47+CK47*(F_MR/12)-MIN(F_MortPayM,CK47+CK47*(F_MR/12)),CK47)</f>
        <v>0</v>
      </c>
      <c r="CM47" s="1" t="n">
        <f aca="false">IF(CL47&gt;PR_BalDone,CL47+CL47*(F_MR/12)-MIN(F_MortPayM,CL47+CL47*(F_MR/12)),CL47)</f>
        <v>0</v>
      </c>
      <c r="CN47" s="1" t="n">
        <f aca="false">IF(CM47&gt;PR_BalDone,CM47+CM47*(F_MR/12)-MIN(F_MortPayM,CM47+CM47*(F_MR/12)),CM47)</f>
        <v>0</v>
      </c>
      <c r="CO47" s="1" t="n">
        <f aca="false">IF(CN47&gt;PR_BalDone,CN47+CN47*(F_MR/12)-MIN(F_MortPayM,CN47+CN47*(F_MR/12)),CN47)</f>
        <v>0</v>
      </c>
      <c r="CP47" s="1" t="n">
        <f aca="false">IF(CO47&gt;PR_BalDone,CO47+CO47*(F_MR/12)-MIN(F_MortPayM,CO47+CO47*(F_MR/12)),CO47)</f>
        <v>0</v>
      </c>
      <c r="CQ47" s="1" t="n">
        <f aca="false">IF(CP47&gt;PR_BalDone,CP47+CP47*(F_MR/12)-MIN(F_MortPayM,CP47+CP47*(F_MR/12)),CP47)</f>
        <v>0</v>
      </c>
      <c r="CR47" s="1" t="n">
        <f aca="false">IF(CQ47&gt;PR_BalDone,CQ47+CQ47*(F_MR/12)-MIN(F_MortPayM,CQ47+CQ47*(F_MR/12)),CQ47)</f>
        <v>0</v>
      </c>
      <c r="CS47" s="1" t="n">
        <f aca="false">IF(CF47&gt;PR_BalDone,MIN(F_MortPayM,CF47+CF47*(F_MR/12)),0)</f>
        <v>0</v>
      </c>
      <c r="CT47" s="1" t="n">
        <f aca="false">IF(CG47&gt;PR_BalDone,MIN(F_MortPayM,CG47+CG47*(F_MR/12)),0)</f>
        <v>0</v>
      </c>
      <c r="CU47" s="1" t="n">
        <f aca="false">IF(CH47&gt;PR_BalDone,MIN(F_MortPayM,CH47+CH47*(F_MR/12)),0)</f>
        <v>0</v>
      </c>
      <c r="CV47" s="1" t="n">
        <f aca="false">IF(CI47&gt;PR_BalDone,MIN(F_MortPayM,CI47+CI47*(F_MR/12)),0)</f>
        <v>0</v>
      </c>
      <c r="CW47" s="1" t="n">
        <f aca="false">IF(CJ47&gt;PR_BalDone,MIN(F_MortPayM,CJ47+CJ47*(F_MR/12)),0)</f>
        <v>0</v>
      </c>
      <c r="CX47" s="1" t="n">
        <f aca="false">IF(CK47&gt;PR_BalDone,MIN(F_MortPayM,CK47+CK47*(F_MR/12)),0)</f>
        <v>0</v>
      </c>
      <c r="CY47" s="1" t="n">
        <f aca="false">IF(CL47&gt;PR_BalDone,MIN(F_MortPayM,CL47+CL47*(F_MR/12)),0)</f>
        <v>0</v>
      </c>
      <c r="CZ47" s="1" t="n">
        <f aca="false">IF(CM47&gt;PR_BalDone,MIN(F_MortPayM,CM47+CM47*(F_MR/12)),0)</f>
        <v>0</v>
      </c>
      <c r="DA47" s="1" t="n">
        <f aca="false">IF(CN47&gt;PR_BalDone,MIN(F_MortPayM,CN47+CN47*(F_MR/12)),0)</f>
        <v>0</v>
      </c>
      <c r="DB47" s="1" t="n">
        <f aca="false">IF(CO47&gt;PR_BalDone,MIN(F_MortPayM,CO47+CO47*(F_MR/12)),0)</f>
        <v>0</v>
      </c>
      <c r="DC47" s="1" t="n">
        <f aca="false">IF(CP47&gt;PR_BalDone,MIN(F_MortPayM,CP47+CP47*(F_MR/12)),0)</f>
        <v>0</v>
      </c>
      <c r="DD47" s="1" t="n">
        <f aca="false">IF(CQ47&gt;PR_BalDone,MIN(F_MortPayM,CQ47+CQ47*(F_MR/12)),0)</f>
        <v>0</v>
      </c>
      <c r="DE47" s="1" t="n">
        <f aca="false">MAX(0,CR47)</f>
        <v>0</v>
      </c>
      <c r="DF47" s="1" t="n">
        <f aca="false">SUM(CS47:DD47)</f>
        <v>0</v>
      </c>
      <c r="DG47" s="1" t="n">
        <f aca="false">MAX(0,CF47)</f>
        <v>0</v>
      </c>
    </row>
    <row r="48" customFormat="false" ht="15" hidden="false" customHeight="true" outlineLevel="0" collapsed="false">
      <c r="B48" s="1" t="n">
        <v>40</v>
      </c>
      <c r="C48" s="1" t="n">
        <f aca="false">'Plan cashflow'!I48</f>
        <v>0</v>
      </c>
      <c r="D48" s="1" t="n">
        <f aca="false">IF(C48&gt;PR_BalDone,C48+C48*(F_MR/12)-MIN(F_MortPayM,C48+C48*(F_MR/12)),C48)</f>
        <v>0</v>
      </c>
      <c r="E48" s="1" t="n">
        <f aca="false">IF(D48&gt;PR_BalDone,D48+D48*(F_MR/12)-MIN(F_MortPayM,D48+D48*(F_MR/12)),D48)</f>
        <v>0</v>
      </c>
      <c r="F48" s="1" t="n">
        <f aca="false">IF(E48&gt;PR_BalDone,E48+E48*(F_MR/12)-MIN(F_MortPayM,E48+E48*(F_MR/12)),E48)</f>
        <v>0</v>
      </c>
      <c r="G48" s="1" t="n">
        <f aca="false">IF(F48&gt;PR_BalDone,F48+F48*(F_MR/12)-MIN(F_MortPayM,F48+F48*(F_MR/12)),F48)</f>
        <v>0</v>
      </c>
      <c r="H48" s="1" t="n">
        <f aca="false">IF(G48&gt;PR_BalDone,G48+G48*(F_MR/12)-MIN(F_MortPayM,G48+G48*(F_MR/12)),G48)</f>
        <v>0</v>
      </c>
      <c r="I48" s="1" t="n">
        <f aca="false">IF(H48&gt;PR_BalDone,H48+H48*(F_MR/12)-MIN(F_MortPayM,H48+H48*(F_MR/12)),H48)</f>
        <v>0</v>
      </c>
      <c r="J48" s="1" t="n">
        <f aca="false">IF(I48&gt;PR_BalDone,I48+I48*(F_MR/12)-MIN(F_MortPayM,I48+I48*(F_MR/12)),I48)</f>
        <v>0</v>
      </c>
      <c r="K48" s="1" t="n">
        <f aca="false">IF(J48&gt;PR_BalDone,J48+J48*(F_MR/12)-MIN(F_MortPayM,J48+J48*(F_MR/12)),J48)</f>
        <v>0</v>
      </c>
      <c r="L48" s="1" t="n">
        <f aca="false">IF(K48&gt;PR_BalDone,K48+K48*(F_MR/12)-MIN(F_MortPayM,K48+K48*(F_MR/12)),K48)</f>
        <v>0</v>
      </c>
      <c r="M48" s="1" t="n">
        <f aca="false">IF(L48&gt;PR_BalDone,L48+L48*(F_MR/12)-MIN(F_MortPayM,L48+L48*(F_MR/12)),L48)</f>
        <v>0</v>
      </c>
      <c r="N48" s="1" t="n">
        <f aca="false">IF(M48&gt;PR_BalDone,M48+M48*(F_MR/12)-MIN(F_MortPayM,M48+M48*(F_MR/12)),M48)</f>
        <v>0</v>
      </c>
      <c r="O48" s="1" t="n">
        <f aca="false">IF(N48&gt;PR_BalDone,N48+N48*(F_MR/12)-MIN(F_MortPayM,N48+N48*(F_MR/12)),N48)</f>
        <v>0</v>
      </c>
      <c r="P48" s="1" t="n">
        <f aca="false">IF(C48&gt;PR_BalDone,MIN(F_MortPayM,C48+C48*(F_MR/12)),0)</f>
        <v>0</v>
      </c>
      <c r="Q48" s="1" t="n">
        <f aca="false">IF(D48&gt;PR_BalDone,MIN(F_MortPayM,D48+D48*(F_MR/12)),0)</f>
        <v>0</v>
      </c>
      <c r="R48" s="1" t="n">
        <f aca="false">IF(E48&gt;PR_BalDone,MIN(F_MortPayM,E48+E48*(F_MR/12)),0)</f>
        <v>0</v>
      </c>
      <c r="S48" s="1" t="n">
        <f aca="false">IF(F48&gt;PR_BalDone,MIN(F_MortPayM,F48+F48*(F_MR/12)),0)</f>
        <v>0</v>
      </c>
      <c r="T48" s="1" t="n">
        <f aca="false">IF(G48&gt;PR_BalDone,MIN(F_MortPayM,G48+G48*(F_MR/12)),0)</f>
        <v>0</v>
      </c>
      <c r="U48" s="1" t="n">
        <f aca="false">IF(H48&gt;PR_BalDone,MIN(F_MortPayM,H48+H48*(F_MR/12)),0)</f>
        <v>0</v>
      </c>
      <c r="V48" s="1" t="n">
        <f aca="false">IF(I48&gt;PR_BalDone,MIN(F_MortPayM,I48+I48*(F_MR/12)),0)</f>
        <v>0</v>
      </c>
      <c r="W48" s="1" t="n">
        <f aca="false">IF(J48&gt;PR_BalDone,MIN(F_MortPayM,J48+J48*(F_MR/12)),0)</f>
        <v>0</v>
      </c>
      <c r="X48" s="1" t="n">
        <f aca="false">IF(K48&gt;PR_BalDone,MIN(F_MortPayM,K48+K48*(F_MR/12)),0)</f>
        <v>0</v>
      </c>
      <c r="Y48" s="1" t="n">
        <f aca="false">IF(L48&gt;PR_BalDone,MIN(F_MortPayM,L48+L48*(F_MR/12)),0)</f>
        <v>0</v>
      </c>
      <c r="Z48" s="1" t="n">
        <f aca="false">IF(M48&gt;PR_BalDone,MIN(F_MortPayM,M48+M48*(F_MR/12)),0)</f>
        <v>0</v>
      </c>
      <c r="AA48" s="1" t="n">
        <f aca="false">IF(N48&gt;PR_BalDone,MIN(F_MortPayM,N48+N48*(F_MR/12)),0)</f>
        <v>0</v>
      </c>
      <c r="AB48" s="1" t="n">
        <f aca="false">MAX(0,O48)</f>
        <v>0</v>
      </c>
      <c r="AC48" s="1" t="n">
        <f aca="false">SUM(P48:AA48)</f>
        <v>0</v>
      </c>
      <c r="AD48" s="1" t="n">
        <f aca="false">'Plan cashflow'!L48</f>
        <v>0</v>
      </c>
      <c r="AE48" s="1" t="n">
        <f aca="false">IF(AD48&gt;PR_BalDone,AD48+AD48*(D_iC)-MIN(F_CardPayM,AD48+AD48*(D_iC)),AD48)</f>
        <v>0</v>
      </c>
      <c r="AF48" s="1" t="n">
        <f aca="false">IF(AE48&gt;PR_BalDone,AE48+AE48*(D_iC)-MIN(F_CardPayM,AE48+AE48*(D_iC)),AE48)</f>
        <v>0</v>
      </c>
      <c r="AG48" s="1" t="n">
        <f aca="false">IF(AF48&gt;PR_BalDone,AF48+AF48*(D_iC)-MIN(F_CardPayM,AF48+AF48*(D_iC)),AF48)</f>
        <v>0</v>
      </c>
      <c r="AH48" s="1" t="n">
        <f aca="false">IF(AG48&gt;PR_BalDone,AG48+AG48*(D_iC)-MIN(F_CardPayM,AG48+AG48*(D_iC)),AG48)</f>
        <v>0</v>
      </c>
      <c r="AI48" s="1" t="n">
        <f aca="false">IF(AH48&gt;PR_BalDone,AH48+AH48*(D_iC)-MIN(F_CardPayM,AH48+AH48*(D_iC)),AH48)</f>
        <v>0</v>
      </c>
      <c r="AJ48" s="1" t="n">
        <f aca="false">IF(AI48&gt;PR_BalDone,AI48+AI48*(D_iC)-MIN(F_CardPayM,AI48+AI48*(D_iC)),AI48)</f>
        <v>0</v>
      </c>
      <c r="AK48" s="1" t="n">
        <f aca="false">IF(AJ48&gt;PR_BalDone,AJ48+AJ48*(D_iC)-MIN(F_CardPayM,AJ48+AJ48*(D_iC)),AJ48)</f>
        <v>0</v>
      </c>
      <c r="AL48" s="1" t="n">
        <f aca="false">IF(AK48&gt;PR_BalDone,AK48+AK48*(D_iC)-MIN(F_CardPayM,AK48+AK48*(D_iC)),AK48)</f>
        <v>0</v>
      </c>
      <c r="AM48" s="1" t="n">
        <f aca="false">IF(AL48&gt;PR_BalDone,AL48+AL48*(D_iC)-MIN(F_CardPayM,AL48+AL48*(D_iC)),AL48)</f>
        <v>0</v>
      </c>
      <c r="AN48" s="1" t="n">
        <f aca="false">IF(AM48&gt;PR_BalDone,AM48+AM48*(D_iC)-MIN(F_CardPayM,AM48+AM48*(D_iC)),AM48)</f>
        <v>0</v>
      </c>
      <c r="AO48" s="1" t="n">
        <f aca="false">IF(AN48&gt;PR_BalDone,AN48+AN48*(D_iC)-MIN(F_CardPayM,AN48+AN48*(D_iC)),AN48)</f>
        <v>0</v>
      </c>
      <c r="AP48" s="1" t="n">
        <f aca="false">IF(AO48&gt;PR_BalDone,AO48+AO48*(D_iC)-MIN(F_CardPayM,AO48+AO48*(D_iC)),AO48)</f>
        <v>0</v>
      </c>
      <c r="AQ48" s="1" t="n">
        <f aca="false">IF(AD48&gt;PR_BalDone,MIN(F_CardPayM,AD48+AD48*(D_iC)),0)</f>
        <v>0</v>
      </c>
      <c r="AR48" s="1" t="n">
        <f aca="false">IF(AE48&gt;PR_BalDone,MIN(F_CardPayM,AE48+AE48*(D_iC)),0)</f>
        <v>0</v>
      </c>
      <c r="AS48" s="1" t="n">
        <f aca="false">IF(AF48&gt;PR_BalDone,MIN(F_CardPayM,AF48+AF48*(D_iC)),0)</f>
        <v>0</v>
      </c>
      <c r="AT48" s="1" t="n">
        <f aca="false">IF(AG48&gt;PR_BalDone,MIN(F_CardPayM,AG48+AG48*(D_iC)),0)</f>
        <v>0</v>
      </c>
      <c r="AU48" s="1" t="n">
        <f aca="false">IF(AH48&gt;PR_BalDone,MIN(F_CardPayM,AH48+AH48*(D_iC)),0)</f>
        <v>0</v>
      </c>
      <c r="AV48" s="1" t="n">
        <f aca="false">IF(AI48&gt;PR_BalDone,MIN(F_CardPayM,AI48+AI48*(D_iC)),0)</f>
        <v>0</v>
      </c>
      <c r="AW48" s="1" t="n">
        <f aca="false">IF(AJ48&gt;PR_BalDone,MIN(F_CardPayM,AJ48+AJ48*(D_iC)),0)</f>
        <v>0</v>
      </c>
      <c r="AX48" s="1" t="n">
        <f aca="false">IF(AK48&gt;PR_BalDone,MIN(F_CardPayM,AK48+AK48*(D_iC)),0)</f>
        <v>0</v>
      </c>
      <c r="AY48" s="1" t="n">
        <f aca="false">IF(AL48&gt;PR_BalDone,MIN(F_CardPayM,AL48+AL48*(D_iC)),0)</f>
        <v>0</v>
      </c>
      <c r="AZ48" s="1" t="n">
        <f aca="false">IF(AM48&gt;PR_BalDone,MIN(F_CardPayM,AM48+AM48*(D_iC)),0)</f>
        <v>0</v>
      </c>
      <c r="BA48" s="1" t="n">
        <f aca="false">IF(AN48&gt;PR_BalDone,MIN(F_CardPayM,AN48+AN48*(D_iC)),0)</f>
        <v>0</v>
      </c>
      <c r="BB48" s="1" t="n">
        <f aca="false">IF(AO48&gt;PR_BalDone,MIN(F_CardPayM,AO48+AO48*(D_iC)),0)</f>
        <v>0</v>
      </c>
      <c r="BC48" s="1" t="n">
        <f aca="false">MAX(0,AP48)</f>
        <v>0</v>
      </c>
      <c r="BD48" s="1" t="n">
        <f aca="false">SUM(AQ48:BB48)</f>
        <v>0</v>
      </c>
      <c r="BE48" s="1" t="n">
        <f aca="false">'Plan cashflow'!O48</f>
        <v>0</v>
      </c>
      <c r="BF48" s="1" t="n">
        <f aca="false">IF(BE48&gt;PR_BalDone,BE48+BE48*(D_iL)-MIN(F_LoanPayM,BE48+BE48*(D_iL)),BE48)</f>
        <v>0</v>
      </c>
      <c r="BG48" s="1" t="n">
        <f aca="false">IF(BF48&gt;PR_BalDone,BF48+BF48*(D_iL)-MIN(F_LoanPayM,BF48+BF48*(D_iL)),BF48)</f>
        <v>0</v>
      </c>
      <c r="BH48" s="1" t="n">
        <f aca="false">IF(BG48&gt;PR_BalDone,BG48+BG48*(D_iL)-MIN(F_LoanPayM,BG48+BG48*(D_iL)),BG48)</f>
        <v>0</v>
      </c>
      <c r="BI48" s="1" t="n">
        <f aca="false">IF(BH48&gt;PR_BalDone,BH48+BH48*(D_iL)-MIN(F_LoanPayM,BH48+BH48*(D_iL)),BH48)</f>
        <v>0</v>
      </c>
      <c r="BJ48" s="1" t="n">
        <f aca="false">IF(BI48&gt;PR_BalDone,BI48+BI48*(D_iL)-MIN(F_LoanPayM,BI48+BI48*(D_iL)),BI48)</f>
        <v>0</v>
      </c>
      <c r="BK48" s="1" t="n">
        <f aca="false">IF(BJ48&gt;PR_BalDone,BJ48+BJ48*(D_iL)-MIN(F_LoanPayM,BJ48+BJ48*(D_iL)),BJ48)</f>
        <v>0</v>
      </c>
      <c r="BL48" s="1" t="n">
        <f aca="false">IF(BK48&gt;PR_BalDone,BK48+BK48*(D_iL)-MIN(F_LoanPayM,BK48+BK48*(D_iL)),BK48)</f>
        <v>0</v>
      </c>
      <c r="BM48" s="1" t="n">
        <f aca="false">IF(BL48&gt;PR_BalDone,BL48+BL48*(D_iL)-MIN(F_LoanPayM,BL48+BL48*(D_iL)),BL48)</f>
        <v>0</v>
      </c>
      <c r="BN48" s="1" t="n">
        <f aca="false">IF(BM48&gt;PR_BalDone,BM48+BM48*(D_iL)-MIN(F_LoanPayM,BM48+BM48*(D_iL)),BM48)</f>
        <v>0</v>
      </c>
      <c r="BO48" s="1" t="n">
        <f aca="false">IF(BN48&gt;PR_BalDone,BN48+BN48*(D_iL)-MIN(F_LoanPayM,BN48+BN48*(D_iL)),BN48)</f>
        <v>0</v>
      </c>
      <c r="BP48" s="1" t="n">
        <f aca="false">IF(BO48&gt;PR_BalDone,BO48+BO48*(D_iL)-MIN(F_LoanPayM,BO48+BO48*(D_iL)),BO48)</f>
        <v>0</v>
      </c>
      <c r="BQ48" s="1" t="n">
        <f aca="false">IF(BP48&gt;PR_BalDone,BP48+BP48*(D_iL)-MIN(F_LoanPayM,BP48+BP48*(D_iL)),BP48)</f>
        <v>0</v>
      </c>
      <c r="BR48" s="1" t="n">
        <f aca="false">IF(BE48&gt;PR_BalDone,MIN(F_LoanPayM,BE48+BE48*(D_iL)),0)</f>
        <v>0</v>
      </c>
      <c r="BS48" s="1" t="n">
        <f aca="false">IF(BF48&gt;PR_BalDone,MIN(F_LoanPayM,BF48+BF48*(D_iL)),0)</f>
        <v>0</v>
      </c>
      <c r="BT48" s="1" t="n">
        <f aca="false">IF(BG48&gt;PR_BalDone,MIN(F_LoanPayM,BG48+BG48*(D_iL)),0)</f>
        <v>0</v>
      </c>
      <c r="BU48" s="1" t="n">
        <f aca="false">IF(BH48&gt;PR_BalDone,MIN(F_LoanPayM,BH48+BH48*(D_iL)),0)</f>
        <v>0</v>
      </c>
      <c r="BV48" s="1" t="n">
        <f aca="false">IF(BI48&gt;PR_BalDone,MIN(F_LoanPayM,BI48+BI48*(D_iL)),0)</f>
        <v>0</v>
      </c>
      <c r="BW48" s="1" t="n">
        <f aca="false">IF(BJ48&gt;PR_BalDone,MIN(F_LoanPayM,BJ48+BJ48*(D_iL)),0)</f>
        <v>0</v>
      </c>
      <c r="BX48" s="1" t="n">
        <f aca="false">IF(BK48&gt;PR_BalDone,MIN(F_LoanPayM,BK48+BK48*(D_iL)),0)</f>
        <v>0</v>
      </c>
      <c r="BY48" s="1" t="n">
        <f aca="false">IF(BL48&gt;PR_BalDone,MIN(F_LoanPayM,BL48+BL48*(D_iL)),0)</f>
        <v>0</v>
      </c>
      <c r="BZ48" s="1" t="n">
        <f aca="false">IF(BM48&gt;PR_BalDone,MIN(F_LoanPayM,BM48+BM48*(D_iL)),0)</f>
        <v>0</v>
      </c>
      <c r="CA48" s="1" t="n">
        <f aca="false">IF(BN48&gt;PR_BalDone,MIN(F_LoanPayM,BN48+BN48*(D_iL)),0)</f>
        <v>0</v>
      </c>
      <c r="CB48" s="1" t="n">
        <f aca="false">IF(BO48&gt;PR_BalDone,MIN(F_LoanPayM,BO48+BO48*(D_iL)),0)</f>
        <v>0</v>
      </c>
      <c r="CC48" s="1" t="n">
        <f aca="false">IF(BP48&gt;PR_BalDone,MIN(F_LoanPayM,BP48+BP48*(D_iL)),0)</f>
        <v>0</v>
      </c>
      <c r="CD48" s="1" t="n">
        <f aca="false">MAX(0,BQ48)</f>
        <v>0</v>
      </c>
      <c r="CE48" s="1" t="n">
        <f aca="false">SUM(BR48:CC48)</f>
        <v>0</v>
      </c>
      <c r="CF48" s="1" t="n">
        <f aca="false">IF(CF47&gt;1,DE47,CF47)</f>
        <v>0</v>
      </c>
      <c r="CG48" s="1" t="n">
        <f aca="false">IF(CF48&gt;PR_BalDone,CF48+CF48*(F_MR/12)-MIN(F_MortPayM,CF48+CF48*(F_MR/12)),CF48)</f>
        <v>0</v>
      </c>
      <c r="CH48" s="1" t="n">
        <f aca="false">IF(CG48&gt;PR_BalDone,CG48+CG48*(F_MR/12)-MIN(F_MortPayM,CG48+CG48*(F_MR/12)),CG48)</f>
        <v>0</v>
      </c>
      <c r="CI48" s="1" t="n">
        <f aca="false">IF(CH48&gt;PR_BalDone,CH48+CH48*(F_MR/12)-MIN(F_MortPayM,CH48+CH48*(F_MR/12)),CH48)</f>
        <v>0</v>
      </c>
      <c r="CJ48" s="1" t="n">
        <f aca="false">IF(CI48&gt;PR_BalDone,CI48+CI48*(F_MR/12)-MIN(F_MortPayM,CI48+CI48*(F_MR/12)),CI48)</f>
        <v>0</v>
      </c>
      <c r="CK48" s="1" t="n">
        <f aca="false">IF(CJ48&gt;PR_BalDone,CJ48+CJ48*(F_MR/12)-MIN(F_MortPayM,CJ48+CJ48*(F_MR/12)),CJ48)</f>
        <v>0</v>
      </c>
      <c r="CL48" s="1" t="n">
        <f aca="false">IF(CK48&gt;PR_BalDone,CK48+CK48*(F_MR/12)-MIN(F_MortPayM,CK48+CK48*(F_MR/12)),CK48)</f>
        <v>0</v>
      </c>
      <c r="CM48" s="1" t="n">
        <f aca="false">IF(CL48&gt;PR_BalDone,CL48+CL48*(F_MR/12)-MIN(F_MortPayM,CL48+CL48*(F_MR/12)),CL48)</f>
        <v>0</v>
      </c>
      <c r="CN48" s="1" t="n">
        <f aca="false">IF(CM48&gt;PR_BalDone,CM48+CM48*(F_MR/12)-MIN(F_MortPayM,CM48+CM48*(F_MR/12)),CM48)</f>
        <v>0</v>
      </c>
      <c r="CO48" s="1" t="n">
        <f aca="false">IF(CN48&gt;PR_BalDone,CN48+CN48*(F_MR/12)-MIN(F_MortPayM,CN48+CN48*(F_MR/12)),CN48)</f>
        <v>0</v>
      </c>
      <c r="CP48" s="1" t="n">
        <f aca="false">IF(CO48&gt;PR_BalDone,CO48+CO48*(F_MR/12)-MIN(F_MortPayM,CO48+CO48*(F_MR/12)),CO48)</f>
        <v>0</v>
      </c>
      <c r="CQ48" s="1" t="n">
        <f aca="false">IF(CP48&gt;PR_BalDone,CP48+CP48*(F_MR/12)-MIN(F_MortPayM,CP48+CP48*(F_MR/12)),CP48)</f>
        <v>0</v>
      </c>
      <c r="CR48" s="1" t="n">
        <f aca="false">IF(CQ48&gt;PR_BalDone,CQ48+CQ48*(F_MR/12)-MIN(F_MortPayM,CQ48+CQ48*(F_MR/12)),CQ48)</f>
        <v>0</v>
      </c>
      <c r="CS48" s="1" t="n">
        <f aca="false">IF(CF48&gt;PR_BalDone,MIN(F_MortPayM,CF48+CF48*(F_MR/12)),0)</f>
        <v>0</v>
      </c>
      <c r="CT48" s="1" t="n">
        <f aca="false">IF(CG48&gt;PR_BalDone,MIN(F_MortPayM,CG48+CG48*(F_MR/12)),0)</f>
        <v>0</v>
      </c>
      <c r="CU48" s="1" t="n">
        <f aca="false">IF(CH48&gt;PR_BalDone,MIN(F_MortPayM,CH48+CH48*(F_MR/12)),0)</f>
        <v>0</v>
      </c>
      <c r="CV48" s="1" t="n">
        <f aca="false">IF(CI48&gt;PR_BalDone,MIN(F_MortPayM,CI48+CI48*(F_MR/12)),0)</f>
        <v>0</v>
      </c>
      <c r="CW48" s="1" t="n">
        <f aca="false">IF(CJ48&gt;PR_BalDone,MIN(F_MortPayM,CJ48+CJ48*(F_MR/12)),0)</f>
        <v>0</v>
      </c>
      <c r="CX48" s="1" t="n">
        <f aca="false">IF(CK48&gt;PR_BalDone,MIN(F_MortPayM,CK48+CK48*(F_MR/12)),0)</f>
        <v>0</v>
      </c>
      <c r="CY48" s="1" t="n">
        <f aca="false">IF(CL48&gt;PR_BalDone,MIN(F_MortPayM,CL48+CL48*(F_MR/12)),0)</f>
        <v>0</v>
      </c>
      <c r="CZ48" s="1" t="n">
        <f aca="false">IF(CM48&gt;PR_BalDone,MIN(F_MortPayM,CM48+CM48*(F_MR/12)),0)</f>
        <v>0</v>
      </c>
      <c r="DA48" s="1" t="n">
        <f aca="false">IF(CN48&gt;PR_BalDone,MIN(F_MortPayM,CN48+CN48*(F_MR/12)),0)</f>
        <v>0</v>
      </c>
      <c r="DB48" s="1" t="n">
        <f aca="false">IF(CO48&gt;PR_BalDone,MIN(F_MortPayM,CO48+CO48*(F_MR/12)),0)</f>
        <v>0</v>
      </c>
      <c r="DC48" s="1" t="n">
        <f aca="false">IF(CP48&gt;PR_BalDone,MIN(F_MortPayM,CP48+CP48*(F_MR/12)),0)</f>
        <v>0</v>
      </c>
      <c r="DD48" s="1" t="n">
        <f aca="false">IF(CQ48&gt;PR_BalDone,MIN(F_MortPayM,CQ48+CQ48*(F_MR/12)),0)</f>
        <v>0</v>
      </c>
      <c r="DE48" s="1" t="n">
        <f aca="false">MAX(0,CR48)</f>
        <v>0</v>
      </c>
      <c r="DF48" s="1" t="n">
        <f aca="false">SUM(CS48:DD48)</f>
        <v>0</v>
      </c>
      <c r="DG48" s="1" t="n">
        <f aca="false">MAX(0,CF48)</f>
        <v>0</v>
      </c>
    </row>
    <row r="49" customFormat="false" ht="15" hidden="false" customHeight="true" outlineLevel="0" collapsed="false">
      <c r="B49" s="1" t="n">
        <v>41</v>
      </c>
      <c r="C49" s="1" t="n">
        <f aca="false">'Plan cashflow'!I49</f>
        <v>0</v>
      </c>
      <c r="D49" s="1" t="n">
        <f aca="false">IF(C49&gt;PR_BalDone,C49+C49*(F_MR/12)-MIN(F_MortPayM,C49+C49*(F_MR/12)),C49)</f>
        <v>0</v>
      </c>
      <c r="E49" s="1" t="n">
        <f aca="false">IF(D49&gt;PR_BalDone,D49+D49*(F_MR/12)-MIN(F_MortPayM,D49+D49*(F_MR/12)),D49)</f>
        <v>0</v>
      </c>
      <c r="F49" s="1" t="n">
        <f aca="false">IF(E49&gt;PR_BalDone,E49+E49*(F_MR/12)-MIN(F_MortPayM,E49+E49*(F_MR/12)),E49)</f>
        <v>0</v>
      </c>
      <c r="G49" s="1" t="n">
        <f aca="false">IF(F49&gt;PR_BalDone,F49+F49*(F_MR/12)-MIN(F_MortPayM,F49+F49*(F_MR/12)),F49)</f>
        <v>0</v>
      </c>
      <c r="H49" s="1" t="n">
        <f aca="false">IF(G49&gt;PR_BalDone,G49+G49*(F_MR/12)-MIN(F_MortPayM,G49+G49*(F_MR/12)),G49)</f>
        <v>0</v>
      </c>
      <c r="I49" s="1" t="n">
        <f aca="false">IF(H49&gt;PR_BalDone,H49+H49*(F_MR/12)-MIN(F_MortPayM,H49+H49*(F_MR/12)),H49)</f>
        <v>0</v>
      </c>
      <c r="J49" s="1" t="n">
        <f aca="false">IF(I49&gt;PR_BalDone,I49+I49*(F_MR/12)-MIN(F_MortPayM,I49+I49*(F_MR/12)),I49)</f>
        <v>0</v>
      </c>
      <c r="K49" s="1" t="n">
        <f aca="false">IF(J49&gt;PR_BalDone,J49+J49*(F_MR/12)-MIN(F_MortPayM,J49+J49*(F_MR/12)),J49)</f>
        <v>0</v>
      </c>
      <c r="L49" s="1" t="n">
        <f aca="false">IF(K49&gt;PR_BalDone,K49+K49*(F_MR/12)-MIN(F_MortPayM,K49+K49*(F_MR/12)),K49)</f>
        <v>0</v>
      </c>
      <c r="M49" s="1" t="n">
        <f aca="false">IF(L49&gt;PR_BalDone,L49+L49*(F_MR/12)-MIN(F_MortPayM,L49+L49*(F_MR/12)),L49)</f>
        <v>0</v>
      </c>
      <c r="N49" s="1" t="n">
        <f aca="false">IF(M49&gt;PR_BalDone,M49+M49*(F_MR/12)-MIN(F_MortPayM,M49+M49*(F_MR/12)),M49)</f>
        <v>0</v>
      </c>
      <c r="O49" s="1" t="n">
        <f aca="false">IF(N49&gt;PR_BalDone,N49+N49*(F_MR/12)-MIN(F_MortPayM,N49+N49*(F_MR/12)),N49)</f>
        <v>0</v>
      </c>
      <c r="P49" s="1" t="n">
        <f aca="false">IF(C49&gt;PR_BalDone,MIN(F_MortPayM,C49+C49*(F_MR/12)),0)</f>
        <v>0</v>
      </c>
      <c r="Q49" s="1" t="n">
        <f aca="false">IF(D49&gt;PR_BalDone,MIN(F_MortPayM,D49+D49*(F_MR/12)),0)</f>
        <v>0</v>
      </c>
      <c r="R49" s="1" t="n">
        <f aca="false">IF(E49&gt;PR_BalDone,MIN(F_MortPayM,E49+E49*(F_MR/12)),0)</f>
        <v>0</v>
      </c>
      <c r="S49" s="1" t="n">
        <f aca="false">IF(F49&gt;PR_BalDone,MIN(F_MortPayM,F49+F49*(F_MR/12)),0)</f>
        <v>0</v>
      </c>
      <c r="T49" s="1" t="n">
        <f aca="false">IF(G49&gt;PR_BalDone,MIN(F_MortPayM,G49+G49*(F_MR/12)),0)</f>
        <v>0</v>
      </c>
      <c r="U49" s="1" t="n">
        <f aca="false">IF(H49&gt;PR_BalDone,MIN(F_MortPayM,H49+H49*(F_MR/12)),0)</f>
        <v>0</v>
      </c>
      <c r="V49" s="1" t="n">
        <f aca="false">IF(I49&gt;PR_BalDone,MIN(F_MortPayM,I49+I49*(F_MR/12)),0)</f>
        <v>0</v>
      </c>
      <c r="W49" s="1" t="n">
        <f aca="false">IF(J49&gt;PR_BalDone,MIN(F_MortPayM,J49+J49*(F_MR/12)),0)</f>
        <v>0</v>
      </c>
      <c r="X49" s="1" t="n">
        <f aca="false">IF(K49&gt;PR_BalDone,MIN(F_MortPayM,K49+K49*(F_MR/12)),0)</f>
        <v>0</v>
      </c>
      <c r="Y49" s="1" t="n">
        <f aca="false">IF(L49&gt;PR_BalDone,MIN(F_MortPayM,L49+L49*(F_MR/12)),0)</f>
        <v>0</v>
      </c>
      <c r="Z49" s="1" t="n">
        <f aca="false">IF(M49&gt;PR_BalDone,MIN(F_MortPayM,M49+M49*(F_MR/12)),0)</f>
        <v>0</v>
      </c>
      <c r="AA49" s="1" t="n">
        <f aca="false">IF(N49&gt;PR_BalDone,MIN(F_MortPayM,N49+N49*(F_MR/12)),0)</f>
        <v>0</v>
      </c>
      <c r="AB49" s="1" t="n">
        <f aca="false">MAX(0,O49)</f>
        <v>0</v>
      </c>
      <c r="AC49" s="1" t="n">
        <f aca="false">SUM(P49:AA49)</f>
        <v>0</v>
      </c>
      <c r="AD49" s="1" t="n">
        <f aca="false">'Plan cashflow'!L49</f>
        <v>0</v>
      </c>
      <c r="AE49" s="1" t="n">
        <f aca="false">IF(AD49&gt;PR_BalDone,AD49+AD49*(D_iC)-MIN(F_CardPayM,AD49+AD49*(D_iC)),AD49)</f>
        <v>0</v>
      </c>
      <c r="AF49" s="1" t="n">
        <f aca="false">IF(AE49&gt;PR_BalDone,AE49+AE49*(D_iC)-MIN(F_CardPayM,AE49+AE49*(D_iC)),AE49)</f>
        <v>0</v>
      </c>
      <c r="AG49" s="1" t="n">
        <f aca="false">IF(AF49&gt;PR_BalDone,AF49+AF49*(D_iC)-MIN(F_CardPayM,AF49+AF49*(D_iC)),AF49)</f>
        <v>0</v>
      </c>
      <c r="AH49" s="1" t="n">
        <f aca="false">IF(AG49&gt;PR_BalDone,AG49+AG49*(D_iC)-MIN(F_CardPayM,AG49+AG49*(D_iC)),AG49)</f>
        <v>0</v>
      </c>
      <c r="AI49" s="1" t="n">
        <f aca="false">IF(AH49&gt;PR_BalDone,AH49+AH49*(D_iC)-MIN(F_CardPayM,AH49+AH49*(D_iC)),AH49)</f>
        <v>0</v>
      </c>
      <c r="AJ49" s="1" t="n">
        <f aca="false">IF(AI49&gt;PR_BalDone,AI49+AI49*(D_iC)-MIN(F_CardPayM,AI49+AI49*(D_iC)),AI49)</f>
        <v>0</v>
      </c>
      <c r="AK49" s="1" t="n">
        <f aca="false">IF(AJ49&gt;PR_BalDone,AJ49+AJ49*(D_iC)-MIN(F_CardPayM,AJ49+AJ49*(D_iC)),AJ49)</f>
        <v>0</v>
      </c>
      <c r="AL49" s="1" t="n">
        <f aca="false">IF(AK49&gt;PR_BalDone,AK49+AK49*(D_iC)-MIN(F_CardPayM,AK49+AK49*(D_iC)),AK49)</f>
        <v>0</v>
      </c>
      <c r="AM49" s="1" t="n">
        <f aca="false">IF(AL49&gt;PR_BalDone,AL49+AL49*(D_iC)-MIN(F_CardPayM,AL49+AL49*(D_iC)),AL49)</f>
        <v>0</v>
      </c>
      <c r="AN49" s="1" t="n">
        <f aca="false">IF(AM49&gt;PR_BalDone,AM49+AM49*(D_iC)-MIN(F_CardPayM,AM49+AM49*(D_iC)),AM49)</f>
        <v>0</v>
      </c>
      <c r="AO49" s="1" t="n">
        <f aca="false">IF(AN49&gt;PR_BalDone,AN49+AN49*(D_iC)-MIN(F_CardPayM,AN49+AN49*(D_iC)),AN49)</f>
        <v>0</v>
      </c>
      <c r="AP49" s="1" t="n">
        <f aca="false">IF(AO49&gt;PR_BalDone,AO49+AO49*(D_iC)-MIN(F_CardPayM,AO49+AO49*(D_iC)),AO49)</f>
        <v>0</v>
      </c>
      <c r="AQ49" s="1" t="n">
        <f aca="false">IF(AD49&gt;PR_BalDone,MIN(F_CardPayM,AD49+AD49*(D_iC)),0)</f>
        <v>0</v>
      </c>
      <c r="AR49" s="1" t="n">
        <f aca="false">IF(AE49&gt;PR_BalDone,MIN(F_CardPayM,AE49+AE49*(D_iC)),0)</f>
        <v>0</v>
      </c>
      <c r="AS49" s="1" t="n">
        <f aca="false">IF(AF49&gt;PR_BalDone,MIN(F_CardPayM,AF49+AF49*(D_iC)),0)</f>
        <v>0</v>
      </c>
      <c r="AT49" s="1" t="n">
        <f aca="false">IF(AG49&gt;PR_BalDone,MIN(F_CardPayM,AG49+AG49*(D_iC)),0)</f>
        <v>0</v>
      </c>
      <c r="AU49" s="1" t="n">
        <f aca="false">IF(AH49&gt;PR_BalDone,MIN(F_CardPayM,AH49+AH49*(D_iC)),0)</f>
        <v>0</v>
      </c>
      <c r="AV49" s="1" t="n">
        <f aca="false">IF(AI49&gt;PR_BalDone,MIN(F_CardPayM,AI49+AI49*(D_iC)),0)</f>
        <v>0</v>
      </c>
      <c r="AW49" s="1" t="n">
        <f aca="false">IF(AJ49&gt;PR_BalDone,MIN(F_CardPayM,AJ49+AJ49*(D_iC)),0)</f>
        <v>0</v>
      </c>
      <c r="AX49" s="1" t="n">
        <f aca="false">IF(AK49&gt;PR_BalDone,MIN(F_CardPayM,AK49+AK49*(D_iC)),0)</f>
        <v>0</v>
      </c>
      <c r="AY49" s="1" t="n">
        <f aca="false">IF(AL49&gt;PR_BalDone,MIN(F_CardPayM,AL49+AL49*(D_iC)),0)</f>
        <v>0</v>
      </c>
      <c r="AZ49" s="1" t="n">
        <f aca="false">IF(AM49&gt;PR_BalDone,MIN(F_CardPayM,AM49+AM49*(D_iC)),0)</f>
        <v>0</v>
      </c>
      <c r="BA49" s="1" t="n">
        <f aca="false">IF(AN49&gt;PR_BalDone,MIN(F_CardPayM,AN49+AN49*(D_iC)),0)</f>
        <v>0</v>
      </c>
      <c r="BB49" s="1" t="n">
        <f aca="false">IF(AO49&gt;PR_BalDone,MIN(F_CardPayM,AO49+AO49*(D_iC)),0)</f>
        <v>0</v>
      </c>
      <c r="BC49" s="1" t="n">
        <f aca="false">MAX(0,AP49)</f>
        <v>0</v>
      </c>
      <c r="BD49" s="1" t="n">
        <f aca="false">SUM(AQ49:BB49)</f>
        <v>0</v>
      </c>
      <c r="BE49" s="1" t="n">
        <f aca="false">'Plan cashflow'!O49</f>
        <v>0</v>
      </c>
      <c r="BF49" s="1" t="n">
        <f aca="false">IF(BE49&gt;PR_BalDone,BE49+BE49*(D_iL)-MIN(F_LoanPayM,BE49+BE49*(D_iL)),BE49)</f>
        <v>0</v>
      </c>
      <c r="BG49" s="1" t="n">
        <f aca="false">IF(BF49&gt;PR_BalDone,BF49+BF49*(D_iL)-MIN(F_LoanPayM,BF49+BF49*(D_iL)),BF49)</f>
        <v>0</v>
      </c>
      <c r="BH49" s="1" t="n">
        <f aca="false">IF(BG49&gt;PR_BalDone,BG49+BG49*(D_iL)-MIN(F_LoanPayM,BG49+BG49*(D_iL)),BG49)</f>
        <v>0</v>
      </c>
      <c r="BI49" s="1" t="n">
        <f aca="false">IF(BH49&gt;PR_BalDone,BH49+BH49*(D_iL)-MIN(F_LoanPayM,BH49+BH49*(D_iL)),BH49)</f>
        <v>0</v>
      </c>
      <c r="BJ49" s="1" t="n">
        <f aca="false">IF(BI49&gt;PR_BalDone,BI49+BI49*(D_iL)-MIN(F_LoanPayM,BI49+BI49*(D_iL)),BI49)</f>
        <v>0</v>
      </c>
      <c r="BK49" s="1" t="n">
        <f aca="false">IF(BJ49&gt;PR_BalDone,BJ49+BJ49*(D_iL)-MIN(F_LoanPayM,BJ49+BJ49*(D_iL)),BJ49)</f>
        <v>0</v>
      </c>
      <c r="BL49" s="1" t="n">
        <f aca="false">IF(BK49&gt;PR_BalDone,BK49+BK49*(D_iL)-MIN(F_LoanPayM,BK49+BK49*(D_iL)),BK49)</f>
        <v>0</v>
      </c>
      <c r="BM49" s="1" t="n">
        <f aca="false">IF(BL49&gt;PR_BalDone,BL49+BL49*(D_iL)-MIN(F_LoanPayM,BL49+BL49*(D_iL)),BL49)</f>
        <v>0</v>
      </c>
      <c r="BN49" s="1" t="n">
        <f aca="false">IF(BM49&gt;PR_BalDone,BM49+BM49*(D_iL)-MIN(F_LoanPayM,BM49+BM49*(D_iL)),BM49)</f>
        <v>0</v>
      </c>
      <c r="BO49" s="1" t="n">
        <f aca="false">IF(BN49&gt;PR_BalDone,BN49+BN49*(D_iL)-MIN(F_LoanPayM,BN49+BN49*(D_iL)),BN49)</f>
        <v>0</v>
      </c>
      <c r="BP49" s="1" t="n">
        <f aca="false">IF(BO49&gt;PR_BalDone,BO49+BO49*(D_iL)-MIN(F_LoanPayM,BO49+BO49*(D_iL)),BO49)</f>
        <v>0</v>
      </c>
      <c r="BQ49" s="1" t="n">
        <f aca="false">IF(BP49&gt;PR_BalDone,BP49+BP49*(D_iL)-MIN(F_LoanPayM,BP49+BP49*(D_iL)),BP49)</f>
        <v>0</v>
      </c>
      <c r="BR49" s="1" t="n">
        <f aca="false">IF(BE49&gt;PR_BalDone,MIN(F_LoanPayM,BE49+BE49*(D_iL)),0)</f>
        <v>0</v>
      </c>
      <c r="BS49" s="1" t="n">
        <f aca="false">IF(BF49&gt;PR_BalDone,MIN(F_LoanPayM,BF49+BF49*(D_iL)),0)</f>
        <v>0</v>
      </c>
      <c r="BT49" s="1" t="n">
        <f aca="false">IF(BG49&gt;PR_BalDone,MIN(F_LoanPayM,BG49+BG49*(D_iL)),0)</f>
        <v>0</v>
      </c>
      <c r="BU49" s="1" t="n">
        <f aca="false">IF(BH49&gt;PR_BalDone,MIN(F_LoanPayM,BH49+BH49*(D_iL)),0)</f>
        <v>0</v>
      </c>
      <c r="BV49" s="1" t="n">
        <f aca="false">IF(BI49&gt;PR_BalDone,MIN(F_LoanPayM,BI49+BI49*(D_iL)),0)</f>
        <v>0</v>
      </c>
      <c r="BW49" s="1" t="n">
        <f aca="false">IF(BJ49&gt;PR_BalDone,MIN(F_LoanPayM,BJ49+BJ49*(D_iL)),0)</f>
        <v>0</v>
      </c>
      <c r="BX49" s="1" t="n">
        <f aca="false">IF(BK49&gt;PR_BalDone,MIN(F_LoanPayM,BK49+BK49*(D_iL)),0)</f>
        <v>0</v>
      </c>
      <c r="BY49" s="1" t="n">
        <f aca="false">IF(BL49&gt;PR_BalDone,MIN(F_LoanPayM,BL49+BL49*(D_iL)),0)</f>
        <v>0</v>
      </c>
      <c r="BZ49" s="1" t="n">
        <f aca="false">IF(BM49&gt;PR_BalDone,MIN(F_LoanPayM,BM49+BM49*(D_iL)),0)</f>
        <v>0</v>
      </c>
      <c r="CA49" s="1" t="n">
        <f aca="false">IF(BN49&gt;PR_BalDone,MIN(F_LoanPayM,BN49+BN49*(D_iL)),0)</f>
        <v>0</v>
      </c>
      <c r="CB49" s="1" t="n">
        <f aca="false">IF(BO49&gt;PR_BalDone,MIN(F_LoanPayM,BO49+BO49*(D_iL)),0)</f>
        <v>0</v>
      </c>
      <c r="CC49" s="1" t="n">
        <f aca="false">IF(BP49&gt;PR_BalDone,MIN(F_LoanPayM,BP49+BP49*(D_iL)),0)</f>
        <v>0</v>
      </c>
      <c r="CD49" s="1" t="n">
        <f aca="false">MAX(0,BQ49)</f>
        <v>0</v>
      </c>
      <c r="CE49" s="1" t="n">
        <f aca="false">SUM(BR49:CC49)</f>
        <v>0</v>
      </c>
      <c r="CF49" s="1" t="n">
        <f aca="false">IF(CF48&gt;1,DE48,CF48)</f>
        <v>0</v>
      </c>
      <c r="CG49" s="1" t="n">
        <f aca="false">IF(CF49&gt;PR_BalDone,CF49+CF49*(F_MR/12)-MIN(F_MortPayM,CF49+CF49*(F_MR/12)),CF49)</f>
        <v>0</v>
      </c>
      <c r="CH49" s="1" t="n">
        <f aca="false">IF(CG49&gt;PR_BalDone,CG49+CG49*(F_MR/12)-MIN(F_MortPayM,CG49+CG49*(F_MR/12)),CG49)</f>
        <v>0</v>
      </c>
      <c r="CI49" s="1" t="n">
        <f aca="false">IF(CH49&gt;PR_BalDone,CH49+CH49*(F_MR/12)-MIN(F_MortPayM,CH49+CH49*(F_MR/12)),CH49)</f>
        <v>0</v>
      </c>
      <c r="CJ49" s="1" t="n">
        <f aca="false">IF(CI49&gt;PR_BalDone,CI49+CI49*(F_MR/12)-MIN(F_MortPayM,CI49+CI49*(F_MR/12)),CI49)</f>
        <v>0</v>
      </c>
      <c r="CK49" s="1" t="n">
        <f aca="false">IF(CJ49&gt;PR_BalDone,CJ49+CJ49*(F_MR/12)-MIN(F_MortPayM,CJ49+CJ49*(F_MR/12)),CJ49)</f>
        <v>0</v>
      </c>
      <c r="CL49" s="1" t="n">
        <f aca="false">IF(CK49&gt;PR_BalDone,CK49+CK49*(F_MR/12)-MIN(F_MortPayM,CK49+CK49*(F_MR/12)),CK49)</f>
        <v>0</v>
      </c>
      <c r="CM49" s="1" t="n">
        <f aca="false">IF(CL49&gt;PR_BalDone,CL49+CL49*(F_MR/12)-MIN(F_MortPayM,CL49+CL49*(F_MR/12)),CL49)</f>
        <v>0</v>
      </c>
      <c r="CN49" s="1" t="n">
        <f aca="false">IF(CM49&gt;PR_BalDone,CM49+CM49*(F_MR/12)-MIN(F_MortPayM,CM49+CM49*(F_MR/12)),CM49)</f>
        <v>0</v>
      </c>
      <c r="CO49" s="1" t="n">
        <f aca="false">IF(CN49&gt;PR_BalDone,CN49+CN49*(F_MR/12)-MIN(F_MortPayM,CN49+CN49*(F_MR/12)),CN49)</f>
        <v>0</v>
      </c>
      <c r="CP49" s="1" t="n">
        <f aca="false">IF(CO49&gt;PR_BalDone,CO49+CO49*(F_MR/12)-MIN(F_MortPayM,CO49+CO49*(F_MR/12)),CO49)</f>
        <v>0</v>
      </c>
      <c r="CQ49" s="1" t="n">
        <f aca="false">IF(CP49&gt;PR_BalDone,CP49+CP49*(F_MR/12)-MIN(F_MortPayM,CP49+CP49*(F_MR/12)),CP49)</f>
        <v>0</v>
      </c>
      <c r="CR49" s="1" t="n">
        <f aca="false">IF(CQ49&gt;PR_BalDone,CQ49+CQ49*(F_MR/12)-MIN(F_MortPayM,CQ49+CQ49*(F_MR/12)),CQ49)</f>
        <v>0</v>
      </c>
      <c r="CS49" s="1" t="n">
        <f aca="false">IF(CF49&gt;PR_BalDone,MIN(F_MortPayM,CF49+CF49*(F_MR/12)),0)</f>
        <v>0</v>
      </c>
      <c r="CT49" s="1" t="n">
        <f aca="false">IF(CG49&gt;PR_BalDone,MIN(F_MortPayM,CG49+CG49*(F_MR/12)),0)</f>
        <v>0</v>
      </c>
      <c r="CU49" s="1" t="n">
        <f aca="false">IF(CH49&gt;PR_BalDone,MIN(F_MortPayM,CH49+CH49*(F_MR/12)),0)</f>
        <v>0</v>
      </c>
      <c r="CV49" s="1" t="n">
        <f aca="false">IF(CI49&gt;PR_BalDone,MIN(F_MortPayM,CI49+CI49*(F_MR/12)),0)</f>
        <v>0</v>
      </c>
      <c r="CW49" s="1" t="n">
        <f aca="false">IF(CJ49&gt;PR_BalDone,MIN(F_MortPayM,CJ49+CJ49*(F_MR/12)),0)</f>
        <v>0</v>
      </c>
      <c r="CX49" s="1" t="n">
        <f aca="false">IF(CK49&gt;PR_BalDone,MIN(F_MortPayM,CK49+CK49*(F_MR/12)),0)</f>
        <v>0</v>
      </c>
      <c r="CY49" s="1" t="n">
        <f aca="false">IF(CL49&gt;PR_BalDone,MIN(F_MortPayM,CL49+CL49*(F_MR/12)),0)</f>
        <v>0</v>
      </c>
      <c r="CZ49" s="1" t="n">
        <f aca="false">IF(CM49&gt;PR_BalDone,MIN(F_MortPayM,CM49+CM49*(F_MR/12)),0)</f>
        <v>0</v>
      </c>
      <c r="DA49" s="1" t="n">
        <f aca="false">IF(CN49&gt;PR_BalDone,MIN(F_MortPayM,CN49+CN49*(F_MR/12)),0)</f>
        <v>0</v>
      </c>
      <c r="DB49" s="1" t="n">
        <f aca="false">IF(CO49&gt;PR_BalDone,MIN(F_MortPayM,CO49+CO49*(F_MR/12)),0)</f>
        <v>0</v>
      </c>
      <c r="DC49" s="1" t="n">
        <f aca="false">IF(CP49&gt;PR_BalDone,MIN(F_MortPayM,CP49+CP49*(F_MR/12)),0)</f>
        <v>0</v>
      </c>
      <c r="DD49" s="1" t="n">
        <f aca="false">IF(CQ49&gt;PR_BalDone,MIN(F_MortPayM,CQ49+CQ49*(F_MR/12)),0)</f>
        <v>0</v>
      </c>
      <c r="DE49" s="1" t="n">
        <f aca="false">MAX(0,CR49)</f>
        <v>0</v>
      </c>
      <c r="DF49" s="1" t="n">
        <f aca="false">SUM(CS49:DD49)</f>
        <v>0</v>
      </c>
      <c r="DG49" s="1" t="n">
        <f aca="false">MAX(0,CF49)</f>
        <v>0</v>
      </c>
    </row>
    <row r="50" customFormat="false" ht="15" hidden="false" customHeight="true" outlineLevel="0" collapsed="false">
      <c r="B50" s="1" t="n">
        <v>42</v>
      </c>
      <c r="C50" s="1" t="n">
        <f aca="false">'Plan cashflow'!I50</f>
        <v>0</v>
      </c>
      <c r="D50" s="1" t="n">
        <f aca="false">IF(C50&gt;PR_BalDone,C50+C50*(F_MR/12)-MIN(F_MortPayM,C50+C50*(F_MR/12)),C50)</f>
        <v>0</v>
      </c>
      <c r="E50" s="1" t="n">
        <f aca="false">IF(D50&gt;PR_BalDone,D50+D50*(F_MR/12)-MIN(F_MortPayM,D50+D50*(F_MR/12)),D50)</f>
        <v>0</v>
      </c>
      <c r="F50" s="1" t="n">
        <f aca="false">IF(E50&gt;PR_BalDone,E50+E50*(F_MR/12)-MIN(F_MortPayM,E50+E50*(F_MR/12)),E50)</f>
        <v>0</v>
      </c>
      <c r="G50" s="1" t="n">
        <f aca="false">IF(F50&gt;PR_BalDone,F50+F50*(F_MR/12)-MIN(F_MortPayM,F50+F50*(F_MR/12)),F50)</f>
        <v>0</v>
      </c>
      <c r="H50" s="1" t="n">
        <f aca="false">IF(G50&gt;PR_BalDone,G50+G50*(F_MR/12)-MIN(F_MortPayM,G50+G50*(F_MR/12)),G50)</f>
        <v>0</v>
      </c>
      <c r="I50" s="1" t="n">
        <f aca="false">IF(H50&gt;PR_BalDone,H50+H50*(F_MR/12)-MIN(F_MortPayM,H50+H50*(F_MR/12)),H50)</f>
        <v>0</v>
      </c>
      <c r="J50" s="1" t="n">
        <f aca="false">IF(I50&gt;PR_BalDone,I50+I50*(F_MR/12)-MIN(F_MortPayM,I50+I50*(F_MR/12)),I50)</f>
        <v>0</v>
      </c>
      <c r="K50" s="1" t="n">
        <f aca="false">IF(J50&gt;PR_BalDone,J50+J50*(F_MR/12)-MIN(F_MortPayM,J50+J50*(F_MR/12)),J50)</f>
        <v>0</v>
      </c>
      <c r="L50" s="1" t="n">
        <f aca="false">IF(K50&gt;PR_BalDone,K50+K50*(F_MR/12)-MIN(F_MortPayM,K50+K50*(F_MR/12)),K50)</f>
        <v>0</v>
      </c>
      <c r="M50" s="1" t="n">
        <f aca="false">IF(L50&gt;PR_BalDone,L50+L50*(F_MR/12)-MIN(F_MortPayM,L50+L50*(F_MR/12)),L50)</f>
        <v>0</v>
      </c>
      <c r="N50" s="1" t="n">
        <f aca="false">IF(M50&gt;PR_BalDone,M50+M50*(F_MR/12)-MIN(F_MortPayM,M50+M50*(F_MR/12)),M50)</f>
        <v>0</v>
      </c>
      <c r="O50" s="1" t="n">
        <f aca="false">IF(N50&gt;PR_BalDone,N50+N50*(F_MR/12)-MIN(F_MortPayM,N50+N50*(F_MR/12)),N50)</f>
        <v>0</v>
      </c>
      <c r="P50" s="1" t="n">
        <f aca="false">IF(C50&gt;PR_BalDone,MIN(F_MortPayM,C50+C50*(F_MR/12)),0)</f>
        <v>0</v>
      </c>
      <c r="Q50" s="1" t="n">
        <f aca="false">IF(D50&gt;PR_BalDone,MIN(F_MortPayM,D50+D50*(F_MR/12)),0)</f>
        <v>0</v>
      </c>
      <c r="R50" s="1" t="n">
        <f aca="false">IF(E50&gt;PR_BalDone,MIN(F_MortPayM,E50+E50*(F_MR/12)),0)</f>
        <v>0</v>
      </c>
      <c r="S50" s="1" t="n">
        <f aca="false">IF(F50&gt;PR_BalDone,MIN(F_MortPayM,F50+F50*(F_MR/12)),0)</f>
        <v>0</v>
      </c>
      <c r="T50" s="1" t="n">
        <f aca="false">IF(G50&gt;PR_BalDone,MIN(F_MortPayM,G50+G50*(F_MR/12)),0)</f>
        <v>0</v>
      </c>
      <c r="U50" s="1" t="n">
        <f aca="false">IF(H50&gt;PR_BalDone,MIN(F_MortPayM,H50+H50*(F_MR/12)),0)</f>
        <v>0</v>
      </c>
      <c r="V50" s="1" t="n">
        <f aca="false">IF(I50&gt;PR_BalDone,MIN(F_MortPayM,I50+I50*(F_MR/12)),0)</f>
        <v>0</v>
      </c>
      <c r="W50" s="1" t="n">
        <f aca="false">IF(J50&gt;PR_BalDone,MIN(F_MortPayM,J50+J50*(F_MR/12)),0)</f>
        <v>0</v>
      </c>
      <c r="X50" s="1" t="n">
        <f aca="false">IF(K50&gt;PR_BalDone,MIN(F_MortPayM,K50+K50*(F_MR/12)),0)</f>
        <v>0</v>
      </c>
      <c r="Y50" s="1" t="n">
        <f aca="false">IF(L50&gt;PR_BalDone,MIN(F_MortPayM,L50+L50*(F_MR/12)),0)</f>
        <v>0</v>
      </c>
      <c r="Z50" s="1" t="n">
        <f aca="false">IF(M50&gt;PR_BalDone,MIN(F_MortPayM,M50+M50*(F_MR/12)),0)</f>
        <v>0</v>
      </c>
      <c r="AA50" s="1" t="n">
        <f aca="false">IF(N50&gt;PR_BalDone,MIN(F_MortPayM,N50+N50*(F_MR/12)),0)</f>
        <v>0</v>
      </c>
      <c r="AB50" s="1" t="n">
        <f aca="false">MAX(0,O50)</f>
        <v>0</v>
      </c>
      <c r="AC50" s="1" t="n">
        <f aca="false">SUM(P50:AA50)</f>
        <v>0</v>
      </c>
      <c r="AD50" s="1" t="n">
        <f aca="false">'Plan cashflow'!L50</f>
        <v>0</v>
      </c>
      <c r="AE50" s="1" t="n">
        <f aca="false">IF(AD50&gt;PR_BalDone,AD50+AD50*(D_iC)-MIN(F_CardPayM,AD50+AD50*(D_iC)),AD50)</f>
        <v>0</v>
      </c>
      <c r="AF50" s="1" t="n">
        <f aca="false">IF(AE50&gt;PR_BalDone,AE50+AE50*(D_iC)-MIN(F_CardPayM,AE50+AE50*(D_iC)),AE50)</f>
        <v>0</v>
      </c>
      <c r="AG50" s="1" t="n">
        <f aca="false">IF(AF50&gt;PR_BalDone,AF50+AF50*(D_iC)-MIN(F_CardPayM,AF50+AF50*(D_iC)),AF50)</f>
        <v>0</v>
      </c>
      <c r="AH50" s="1" t="n">
        <f aca="false">IF(AG50&gt;PR_BalDone,AG50+AG50*(D_iC)-MIN(F_CardPayM,AG50+AG50*(D_iC)),AG50)</f>
        <v>0</v>
      </c>
      <c r="AI50" s="1" t="n">
        <f aca="false">IF(AH50&gt;PR_BalDone,AH50+AH50*(D_iC)-MIN(F_CardPayM,AH50+AH50*(D_iC)),AH50)</f>
        <v>0</v>
      </c>
      <c r="AJ50" s="1" t="n">
        <f aca="false">IF(AI50&gt;PR_BalDone,AI50+AI50*(D_iC)-MIN(F_CardPayM,AI50+AI50*(D_iC)),AI50)</f>
        <v>0</v>
      </c>
      <c r="AK50" s="1" t="n">
        <f aca="false">IF(AJ50&gt;PR_BalDone,AJ50+AJ50*(D_iC)-MIN(F_CardPayM,AJ50+AJ50*(D_iC)),AJ50)</f>
        <v>0</v>
      </c>
      <c r="AL50" s="1" t="n">
        <f aca="false">IF(AK50&gt;PR_BalDone,AK50+AK50*(D_iC)-MIN(F_CardPayM,AK50+AK50*(D_iC)),AK50)</f>
        <v>0</v>
      </c>
      <c r="AM50" s="1" t="n">
        <f aca="false">IF(AL50&gt;PR_BalDone,AL50+AL50*(D_iC)-MIN(F_CardPayM,AL50+AL50*(D_iC)),AL50)</f>
        <v>0</v>
      </c>
      <c r="AN50" s="1" t="n">
        <f aca="false">IF(AM50&gt;PR_BalDone,AM50+AM50*(D_iC)-MIN(F_CardPayM,AM50+AM50*(D_iC)),AM50)</f>
        <v>0</v>
      </c>
      <c r="AO50" s="1" t="n">
        <f aca="false">IF(AN50&gt;PR_BalDone,AN50+AN50*(D_iC)-MIN(F_CardPayM,AN50+AN50*(D_iC)),AN50)</f>
        <v>0</v>
      </c>
      <c r="AP50" s="1" t="n">
        <f aca="false">IF(AO50&gt;PR_BalDone,AO50+AO50*(D_iC)-MIN(F_CardPayM,AO50+AO50*(D_iC)),AO50)</f>
        <v>0</v>
      </c>
      <c r="AQ50" s="1" t="n">
        <f aca="false">IF(AD50&gt;PR_BalDone,MIN(F_CardPayM,AD50+AD50*(D_iC)),0)</f>
        <v>0</v>
      </c>
      <c r="AR50" s="1" t="n">
        <f aca="false">IF(AE50&gt;PR_BalDone,MIN(F_CardPayM,AE50+AE50*(D_iC)),0)</f>
        <v>0</v>
      </c>
      <c r="AS50" s="1" t="n">
        <f aca="false">IF(AF50&gt;PR_BalDone,MIN(F_CardPayM,AF50+AF50*(D_iC)),0)</f>
        <v>0</v>
      </c>
      <c r="AT50" s="1" t="n">
        <f aca="false">IF(AG50&gt;PR_BalDone,MIN(F_CardPayM,AG50+AG50*(D_iC)),0)</f>
        <v>0</v>
      </c>
      <c r="AU50" s="1" t="n">
        <f aca="false">IF(AH50&gt;PR_BalDone,MIN(F_CardPayM,AH50+AH50*(D_iC)),0)</f>
        <v>0</v>
      </c>
      <c r="AV50" s="1" t="n">
        <f aca="false">IF(AI50&gt;PR_BalDone,MIN(F_CardPayM,AI50+AI50*(D_iC)),0)</f>
        <v>0</v>
      </c>
      <c r="AW50" s="1" t="n">
        <f aca="false">IF(AJ50&gt;PR_BalDone,MIN(F_CardPayM,AJ50+AJ50*(D_iC)),0)</f>
        <v>0</v>
      </c>
      <c r="AX50" s="1" t="n">
        <f aca="false">IF(AK50&gt;PR_BalDone,MIN(F_CardPayM,AK50+AK50*(D_iC)),0)</f>
        <v>0</v>
      </c>
      <c r="AY50" s="1" t="n">
        <f aca="false">IF(AL50&gt;PR_BalDone,MIN(F_CardPayM,AL50+AL50*(D_iC)),0)</f>
        <v>0</v>
      </c>
      <c r="AZ50" s="1" t="n">
        <f aca="false">IF(AM50&gt;PR_BalDone,MIN(F_CardPayM,AM50+AM50*(D_iC)),0)</f>
        <v>0</v>
      </c>
      <c r="BA50" s="1" t="n">
        <f aca="false">IF(AN50&gt;PR_BalDone,MIN(F_CardPayM,AN50+AN50*(D_iC)),0)</f>
        <v>0</v>
      </c>
      <c r="BB50" s="1" t="n">
        <f aca="false">IF(AO50&gt;PR_BalDone,MIN(F_CardPayM,AO50+AO50*(D_iC)),0)</f>
        <v>0</v>
      </c>
      <c r="BC50" s="1" t="n">
        <f aca="false">MAX(0,AP50)</f>
        <v>0</v>
      </c>
      <c r="BD50" s="1" t="n">
        <f aca="false">SUM(AQ50:BB50)</f>
        <v>0</v>
      </c>
      <c r="BE50" s="1" t="n">
        <f aca="false">'Plan cashflow'!O50</f>
        <v>0</v>
      </c>
      <c r="BF50" s="1" t="n">
        <f aca="false">IF(BE50&gt;PR_BalDone,BE50+BE50*(D_iL)-MIN(F_LoanPayM,BE50+BE50*(D_iL)),BE50)</f>
        <v>0</v>
      </c>
      <c r="BG50" s="1" t="n">
        <f aca="false">IF(BF50&gt;PR_BalDone,BF50+BF50*(D_iL)-MIN(F_LoanPayM,BF50+BF50*(D_iL)),BF50)</f>
        <v>0</v>
      </c>
      <c r="BH50" s="1" t="n">
        <f aca="false">IF(BG50&gt;PR_BalDone,BG50+BG50*(D_iL)-MIN(F_LoanPayM,BG50+BG50*(D_iL)),BG50)</f>
        <v>0</v>
      </c>
      <c r="BI50" s="1" t="n">
        <f aca="false">IF(BH50&gt;PR_BalDone,BH50+BH50*(D_iL)-MIN(F_LoanPayM,BH50+BH50*(D_iL)),BH50)</f>
        <v>0</v>
      </c>
      <c r="BJ50" s="1" t="n">
        <f aca="false">IF(BI50&gt;PR_BalDone,BI50+BI50*(D_iL)-MIN(F_LoanPayM,BI50+BI50*(D_iL)),BI50)</f>
        <v>0</v>
      </c>
      <c r="BK50" s="1" t="n">
        <f aca="false">IF(BJ50&gt;PR_BalDone,BJ50+BJ50*(D_iL)-MIN(F_LoanPayM,BJ50+BJ50*(D_iL)),BJ50)</f>
        <v>0</v>
      </c>
      <c r="BL50" s="1" t="n">
        <f aca="false">IF(BK50&gt;PR_BalDone,BK50+BK50*(D_iL)-MIN(F_LoanPayM,BK50+BK50*(D_iL)),BK50)</f>
        <v>0</v>
      </c>
      <c r="BM50" s="1" t="n">
        <f aca="false">IF(BL50&gt;PR_BalDone,BL50+BL50*(D_iL)-MIN(F_LoanPayM,BL50+BL50*(D_iL)),BL50)</f>
        <v>0</v>
      </c>
      <c r="BN50" s="1" t="n">
        <f aca="false">IF(BM50&gt;PR_BalDone,BM50+BM50*(D_iL)-MIN(F_LoanPayM,BM50+BM50*(D_iL)),BM50)</f>
        <v>0</v>
      </c>
      <c r="BO50" s="1" t="n">
        <f aca="false">IF(BN50&gt;PR_BalDone,BN50+BN50*(D_iL)-MIN(F_LoanPayM,BN50+BN50*(D_iL)),BN50)</f>
        <v>0</v>
      </c>
      <c r="BP50" s="1" t="n">
        <f aca="false">IF(BO50&gt;PR_BalDone,BO50+BO50*(D_iL)-MIN(F_LoanPayM,BO50+BO50*(D_iL)),BO50)</f>
        <v>0</v>
      </c>
      <c r="BQ50" s="1" t="n">
        <f aca="false">IF(BP50&gt;PR_BalDone,BP50+BP50*(D_iL)-MIN(F_LoanPayM,BP50+BP50*(D_iL)),BP50)</f>
        <v>0</v>
      </c>
      <c r="BR50" s="1" t="n">
        <f aca="false">IF(BE50&gt;PR_BalDone,MIN(F_LoanPayM,BE50+BE50*(D_iL)),0)</f>
        <v>0</v>
      </c>
      <c r="BS50" s="1" t="n">
        <f aca="false">IF(BF50&gt;PR_BalDone,MIN(F_LoanPayM,BF50+BF50*(D_iL)),0)</f>
        <v>0</v>
      </c>
      <c r="BT50" s="1" t="n">
        <f aca="false">IF(BG50&gt;PR_BalDone,MIN(F_LoanPayM,BG50+BG50*(D_iL)),0)</f>
        <v>0</v>
      </c>
      <c r="BU50" s="1" t="n">
        <f aca="false">IF(BH50&gt;PR_BalDone,MIN(F_LoanPayM,BH50+BH50*(D_iL)),0)</f>
        <v>0</v>
      </c>
      <c r="BV50" s="1" t="n">
        <f aca="false">IF(BI50&gt;PR_BalDone,MIN(F_LoanPayM,BI50+BI50*(D_iL)),0)</f>
        <v>0</v>
      </c>
      <c r="BW50" s="1" t="n">
        <f aca="false">IF(BJ50&gt;PR_BalDone,MIN(F_LoanPayM,BJ50+BJ50*(D_iL)),0)</f>
        <v>0</v>
      </c>
      <c r="BX50" s="1" t="n">
        <f aca="false">IF(BK50&gt;PR_BalDone,MIN(F_LoanPayM,BK50+BK50*(D_iL)),0)</f>
        <v>0</v>
      </c>
      <c r="BY50" s="1" t="n">
        <f aca="false">IF(BL50&gt;PR_BalDone,MIN(F_LoanPayM,BL50+BL50*(D_iL)),0)</f>
        <v>0</v>
      </c>
      <c r="BZ50" s="1" t="n">
        <f aca="false">IF(BM50&gt;PR_BalDone,MIN(F_LoanPayM,BM50+BM50*(D_iL)),0)</f>
        <v>0</v>
      </c>
      <c r="CA50" s="1" t="n">
        <f aca="false">IF(BN50&gt;PR_BalDone,MIN(F_LoanPayM,BN50+BN50*(D_iL)),0)</f>
        <v>0</v>
      </c>
      <c r="CB50" s="1" t="n">
        <f aca="false">IF(BO50&gt;PR_BalDone,MIN(F_LoanPayM,BO50+BO50*(D_iL)),0)</f>
        <v>0</v>
      </c>
      <c r="CC50" s="1" t="n">
        <f aca="false">IF(BP50&gt;PR_BalDone,MIN(F_LoanPayM,BP50+BP50*(D_iL)),0)</f>
        <v>0</v>
      </c>
      <c r="CD50" s="1" t="n">
        <f aca="false">MAX(0,BQ50)</f>
        <v>0</v>
      </c>
      <c r="CE50" s="1" t="n">
        <f aca="false">SUM(BR50:CC50)</f>
        <v>0</v>
      </c>
      <c r="CF50" s="1" t="n">
        <f aca="false">IF(CF49&gt;1,DE49,CF49)</f>
        <v>0</v>
      </c>
      <c r="CG50" s="1" t="n">
        <f aca="false">IF(CF50&gt;PR_BalDone,CF50+CF50*(F_MR/12)-MIN(F_MortPayM,CF50+CF50*(F_MR/12)),CF50)</f>
        <v>0</v>
      </c>
      <c r="CH50" s="1" t="n">
        <f aca="false">IF(CG50&gt;PR_BalDone,CG50+CG50*(F_MR/12)-MIN(F_MortPayM,CG50+CG50*(F_MR/12)),CG50)</f>
        <v>0</v>
      </c>
      <c r="CI50" s="1" t="n">
        <f aca="false">IF(CH50&gt;PR_BalDone,CH50+CH50*(F_MR/12)-MIN(F_MortPayM,CH50+CH50*(F_MR/12)),CH50)</f>
        <v>0</v>
      </c>
      <c r="CJ50" s="1" t="n">
        <f aca="false">IF(CI50&gt;PR_BalDone,CI50+CI50*(F_MR/12)-MIN(F_MortPayM,CI50+CI50*(F_MR/12)),CI50)</f>
        <v>0</v>
      </c>
      <c r="CK50" s="1" t="n">
        <f aca="false">IF(CJ50&gt;PR_BalDone,CJ50+CJ50*(F_MR/12)-MIN(F_MortPayM,CJ50+CJ50*(F_MR/12)),CJ50)</f>
        <v>0</v>
      </c>
      <c r="CL50" s="1" t="n">
        <f aca="false">IF(CK50&gt;PR_BalDone,CK50+CK50*(F_MR/12)-MIN(F_MortPayM,CK50+CK50*(F_MR/12)),CK50)</f>
        <v>0</v>
      </c>
      <c r="CM50" s="1" t="n">
        <f aca="false">IF(CL50&gt;PR_BalDone,CL50+CL50*(F_MR/12)-MIN(F_MortPayM,CL50+CL50*(F_MR/12)),CL50)</f>
        <v>0</v>
      </c>
      <c r="CN50" s="1" t="n">
        <f aca="false">IF(CM50&gt;PR_BalDone,CM50+CM50*(F_MR/12)-MIN(F_MortPayM,CM50+CM50*(F_MR/12)),CM50)</f>
        <v>0</v>
      </c>
      <c r="CO50" s="1" t="n">
        <f aca="false">IF(CN50&gt;PR_BalDone,CN50+CN50*(F_MR/12)-MIN(F_MortPayM,CN50+CN50*(F_MR/12)),CN50)</f>
        <v>0</v>
      </c>
      <c r="CP50" s="1" t="n">
        <f aca="false">IF(CO50&gt;PR_BalDone,CO50+CO50*(F_MR/12)-MIN(F_MortPayM,CO50+CO50*(F_MR/12)),CO50)</f>
        <v>0</v>
      </c>
      <c r="CQ50" s="1" t="n">
        <f aca="false">IF(CP50&gt;PR_BalDone,CP50+CP50*(F_MR/12)-MIN(F_MortPayM,CP50+CP50*(F_MR/12)),CP50)</f>
        <v>0</v>
      </c>
      <c r="CR50" s="1" t="n">
        <f aca="false">IF(CQ50&gt;PR_BalDone,CQ50+CQ50*(F_MR/12)-MIN(F_MortPayM,CQ50+CQ50*(F_MR/12)),CQ50)</f>
        <v>0</v>
      </c>
      <c r="CS50" s="1" t="n">
        <f aca="false">IF(CF50&gt;PR_BalDone,MIN(F_MortPayM,CF50+CF50*(F_MR/12)),0)</f>
        <v>0</v>
      </c>
      <c r="CT50" s="1" t="n">
        <f aca="false">IF(CG50&gt;PR_BalDone,MIN(F_MortPayM,CG50+CG50*(F_MR/12)),0)</f>
        <v>0</v>
      </c>
      <c r="CU50" s="1" t="n">
        <f aca="false">IF(CH50&gt;PR_BalDone,MIN(F_MortPayM,CH50+CH50*(F_MR/12)),0)</f>
        <v>0</v>
      </c>
      <c r="CV50" s="1" t="n">
        <f aca="false">IF(CI50&gt;PR_BalDone,MIN(F_MortPayM,CI50+CI50*(F_MR/12)),0)</f>
        <v>0</v>
      </c>
      <c r="CW50" s="1" t="n">
        <f aca="false">IF(CJ50&gt;PR_BalDone,MIN(F_MortPayM,CJ50+CJ50*(F_MR/12)),0)</f>
        <v>0</v>
      </c>
      <c r="CX50" s="1" t="n">
        <f aca="false">IF(CK50&gt;PR_BalDone,MIN(F_MortPayM,CK50+CK50*(F_MR/12)),0)</f>
        <v>0</v>
      </c>
      <c r="CY50" s="1" t="n">
        <f aca="false">IF(CL50&gt;PR_BalDone,MIN(F_MortPayM,CL50+CL50*(F_MR/12)),0)</f>
        <v>0</v>
      </c>
      <c r="CZ50" s="1" t="n">
        <f aca="false">IF(CM50&gt;PR_BalDone,MIN(F_MortPayM,CM50+CM50*(F_MR/12)),0)</f>
        <v>0</v>
      </c>
      <c r="DA50" s="1" t="n">
        <f aca="false">IF(CN50&gt;PR_BalDone,MIN(F_MortPayM,CN50+CN50*(F_MR/12)),0)</f>
        <v>0</v>
      </c>
      <c r="DB50" s="1" t="n">
        <f aca="false">IF(CO50&gt;PR_BalDone,MIN(F_MortPayM,CO50+CO50*(F_MR/12)),0)</f>
        <v>0</v>
      </c>
      <c r="DC50" s="1" t="n">
        <f aca="false">IF(CP50&gt;PR_BalDone,MIN(F_MortPayM,CP50+CP50*(F_MR/12)),0)</f>
        <v>0</v>
      </c>
      <c r="DD50" s="1" t="n">
        <f aca="false">IF(CQ50&gt;PR_BalDone,MIN(F_MortPayM,CQ50+CQ50*(F_MR/12)),0)</f>
        <v>0</v>
      </c>
      <c r="DE50" s="1" t="n">
        <f aca="false">MAX(0,CR50)</f>
        <v>0</v>
      </c>
      <c r="DF50" s="1" t="n">
        <f aca="false">SUM(CS50:DD50)</f>
        <v>0</v>
      </c>
      <c r="DG50" s="1" t="n">
        <f aca="false">MAX(0,CF50)</f>
        <v>0</v>
      </c>
    </row>
    <row r="51" customFormat="false" ht="15" hidden="false" customHeight="true" outlineLevel="0" collapsed="false">
      <c r="B51" s="1" t="n">
        <v>43</v>
      </c>
      <c r="C51" s="1" t="n">
        <f aca="false">'Plan cashflow'!I51</f>
        <v>0</v>
      </c>
      <c r="D51" s="1" t="n">
        <f aca="false">IF(C51&gt;PR_BalDone,C51+C51*(F_MR/12)-MIN(F_MortPayM,C51+C51*(F_MR/12)),C51)</f>
        <v>0</v>
      </c>
      <c r="E51" s="1" t="n">
        <f aca="false">IF(D51&gt;PR_BalDone,D51+D51*(F_MR/12)-MIN(F_MortPayM,D51+D51*(F_MR/12)),D51)</f>
        <v>0</v>
      </c>
      <c r="F51" s="1" t="n">
        <f aca="false">IF(E51&gt;PR_BalDone,E51+E51*(F_MR/12)-MIN(F_MortPayM,E51+E51*(F_MR/12)),E51)</f>
        <v>0</v>
      </c>
      <c r="G51" s="1" t="n">
        <f aca="false">IF(F51&gt;PR_BalDone,F51+F51*(F_MR/12)-MIN(F_MortPayM,F51+F51*(F_MR/12)),F51)</f>
        <v>0</v>
      </c>
      <c r="H51" s="1" t="n">
        <f aca="false">IF(G51&gt;PR_BalDone,G51+G51*(F_MR/12)-MIN(F_MortPayM,G51+G51*(F_MR/12)),G51)</f>
        <v>0</v>
      </c>
      <c r="I51" s="1" t="n">
        <f aca="false">IF(H51&gt;PR_BalDone,H51+H51*(F_MR/12)-MIN(F_MortPayM,H51+H51*(F_MR/12)),H51)</f>
        <v>0</v>
      </c>
      <c r="J51" s="1" t="n">
        <f aca="false">IF(I51&gt;PR_BalDone,I51+I51*(F_MR/12)-MIN(F_MortPayM,I51+I51*(F_MR/12)),I51)</f>
        <v>0</v>
      </c>
      <c r="K51" s="1" t="n">
        <f aca="false">IF(J51&gt;PR_BalDone,J51+J51*(F_MR/12)-MIN(F_MortPayM,J51+J51*(F_MR/12)),J51)</f>
        <v>0</v>
      </c>
      <c r="L51" s="1" t="n">
        <f aca="false">IF(K51&gt;PR_BalDone,K51+K51*(F_MR/12)-MIN(F_MortPayM,K51+K51*(F_MR/12)),K51)</f>
        <v>0</v>
      </c>
      <c r="M51" s="1" t="n">
        <f aca="false">IF(L51&gt;PR_BalDone,L51+L51*(F_MR/12)-MIN(F_MortPayM,L51+L51*(F_MR/12)),L51)</f>
        <v>0</v>
      </c>
      <c r="N51" s="1" t="n">
        <f aca="false">IF(M51&gt;PR_BalDone,M51+M51*(F_MR/12)-MIN(F_MortPayM,M51+M51*(F_MR/12)),M51)</f>
        <v>0</v>
      </c>
      <c r="O51" s="1" t="n">
        <f aca="false">IF(N51&gt;PR_BalDone,N51+N51*(F_MR/12)-MIN(F_MortPayM,N51+N51*(F_MR/12)),N51)</f>
        <v>0</v>
      </c>
      <c r="P51" s="1" t="n">
        <f aca="false">IF(C51&gt;PR_BalDone,MIN(F_MortPayM,C51+C51*(F_MR/12)),0)</f>
        <v>0</v>
      </c>
      <c r="Q51" s="1" t="n">
        <f aca="false">IF(D51&gt;PR_BalDone,MIN(F_MortPayM,D51+D51*(F_MR/12)),0)</f>
        <v>0</v>
      </c>
      <c r="R51" s="1" t="n">
        <f aca="false">IF(E51&gt;PR_BalDone,MIN(F_MortPayM,E51+E51*(F_MR/12)),0)</f>
        <v>0</v>
      </c>
      <c r="S51" s="1" t="n">
        <f aca="false">IF(F51&gt;PR_BalDone,MIN(F_MortPayM,F51+F51*(F_MR/12)),0)</f>
        <v>0</v>
      </c>
      <c r="T51" s="1" t="n">
        <f aca="false">IF(G51&gt;PR_BalDone,MIN(F_MortPayM,G51+G51*(F_MR/12)),0)</f>
        <v>0</v>
      </c>
      <c r="U51" s="1" t="n">
        <f aca="false">IF(H51&gt;PR_BalDone,MIN(F_MortPayM,H51+H51*(F_MR/12)),0)</f>
        <v>0</v>
      </c>
      <c r="V51" s="1" t="n">
        <f aca="false">IF(I51&gt;PR_BalDone,MIN(F_MortPayM,I51+I51*(F_MR/12)),0)</f>
        <v>0</v>
      </c>
      <c r="W51" s="1" t="n">
        <f aca="false">IF(J51&gt;PR_BalDone,MIN(F_MortPayM,J51+J51*(F_MR/12)),0)</f>
        <v>0</v>
      </c>
      <c r="X51" s="1" t="n">
        <f aca="false">IF(K51&gt;PR_BalDone,MIN(F_MortPayM,K51+K51*(F_MR/12)),0)</f>
        <v>0</v>
      </c>
      <c r="Y51" s="1" t="n">
        <f aca="false">IF(L51&gt;PR_BalDone,MIN(F_MortPayM,L51+L51*(F_MR/12)),0)</f>
        <v>0</v>
      </c>
      <c r="Z51" s="1" t="n">
        <f aca="false">IF(M51&gt;PR_BalDone,MIN(F_MortPayM,M51+M51*(F_MR/12)),0)</f>
        <v>0</v>
      </c>
      <c r="AA51" s="1" t="n">
        <f aca="false">IF(N51&gt;PR_BalDone,MIN(F_MortPayM,N51+N51*(F_MR/12)),0)</f>
        <v>0</v>
      </c>
      <c r="AB51" s="1" t="n">
        <f aca="false">MAX(0,O51)</f>
        <v>0</v>
      </c>
      <c r="AC51" s="1" t="n">
        <f aca="false">SUM(P51:AA51)</f>
        <v>0</v>
      </c>
      <c r="AD51" s="1" t="n">
        <f aca="false">'Plan cashflow'!L51</f>
        <v>0</v>
      </c>
      <c r="AE51" s="1" t="n">
        <f aca="false">IF(AD51&gt;PR_BalDone,AD51+AD51*(D_iC)-MIN(F_CardPayM,AD51+AD51*(D_iC)),AD51)</f>
        <v>0</v>
      </c>
      <c r="AF51" s="1" t="n">
        <f aca="false">IF(AE51&gt;PR_BalDone,AE51+AE51*(D_iC)-MIN(F_CardPayM,AE51+AE51*(D_iC)),AE51)</f>
        <v>0</v>
      </c>
      <c r="AG51" s="1" t="n">
        <f aca="false">IF(AF51&gt;PR_BalDone,AF51+AF51*(D_iC)-MIN(F_CardPayM,AF51+AF51*(D_iC)),AF51)</f>
        <v>0</v>
      </c>
      <c r="AH51" s="1" t="n">
        <f aca="false">IF(AG51&gt;PR_BalDone,AG51+AG51*(D_iC)-MIN(F_CardPayM,AG51+AG51*(D_iC)),AG51)</f>
        <v>0</v>
      </c>
      <c r="AI51" s="1" t="n">
        <f aca="false">IF(AH51&gt;PR_BalDone,AH51+AH51*(D_iC)-MIN(F_CardPayM,AH51+AH51*(D_iC)),AH51)</f>
        <v>0</v>
      </c>
      <c r="AJ51" s="1" t="n">
        <f aca="false">IF(AI51&gt;PR_BalDone,AI51+AI51*(D_iC)-MIN(F_CardPayM,AI51+AI51*(D_iC)),AI51)</f>
        <v>0</v>
      </c>
      <c r="AK51" s="1" t="n">
        <f aca="false">IF(AJ51&gt;PR_BalDone,AJ51+AJ51*(D_iC)-MIN(F_CardPayM,AJ51+AJ51*(D_iC)),AJ51)</f>
        <v>0</v>
      </c>
      <c r="AL51" s="1" t="n">
        <f aca="false">IF(AK51&gt;PR_BalDone,AK51+AK51*(D_iC)-MIN(F_CardPayM,AK51+AK51*(D_iC)),AK51)</f>
        <v>0</v>
      </c>
      <c r="AM51" s="1" t="n">
        <f aca="false">IF(AL51&gt;PR_BalDone,AL51+AL51*(D_iC)-MIN(F_CardPayM,AL51+AL51*(D_iC)),AL51)</f>
        <v>0</v>
      </c>
      <c r="AN51" s="1" t="n">
        <f aca="false">IF(AM51&gt;PR_BalDone,AM51+AM51*(D_iC)-MIN(F_CardPayM,AM51+AM51*(D_iC)),AM51)</f>
        <v>0</v>
      </c>
      <c r="AO51" s="1" t="n">
        <f aca="false">IF(AN51&gt;PR_BalDone,AN51+AN51*(D_iC)-MIN(F_CardPayM,AN51+AN51*(D_iC)),AN51)</f>
        <v>0</v>
      </c>
      <c r="AP51" s="1" t="n">
        <f aca="false">IF(AO51&gt;PR_BalDone,AO51+AO51*(D_iC)-MIN(F_CardPayM,AO51+AO51*(D_iC)),AO51)</f>
        <v>0</v>
      </c>
      <c r="AQ51" s="1" t="n">
        <f aca="false">IF(AD51&gt;PR_BalDone,MIN(F_CardPayM,AD51+AD51*(D_iC)),0)</f>
        <v>0</v>
      </c>
      <c r="AR51" s="1" t="n">
        <f aca="false">IF(AE51&gt;PR_BalDone,MIN(F_CardPayM,AE51+AE51*(D_iC)),0)</f>
        <v>0</v>
      </c>
      <c r="AS51" s="1" t="n">
        <f aca="false">IF(AF51&gt;PR_BalDone,MIN(F_CardPayM,AF51+AF51*(D_iC)),0)</f>
        <v>0</v>
      </c>
      <c r="AT51" s="1" t="n">
        <f aca="false">IF(AG51&gt;PR_BalDone,MIN(F_CardPayM,AG51+AG51*(D_iC)),0)</f>
        <v>0</v>
      </c>
      <c r="AU51" s="1" t="n">
        <f aca="false">IF(AH51&gt;PR_BalDone,MIN(F_CardPayM,AH51+AH51*(D_iC)),0)</f>
        <v>0</v>
      </c>
      <c r="AV51" s="1" t="n">
        <f aca="false">IF(AI51&gt;PR_BalDone,MIN(F_CardPayM,AI51+AI51*(D_iC)),0)</f>
        <v>0</v>
      </c>
      <c r="AW51" s="1" t="n">
        <f aca="false">IF(AJ51&gt;PR_BalDone,MIN(F_CardPayM,AJ51+AJ51*(D_iC)),0)</f>
        <v>0</v>
      </c>
      <c r="AX51" s="1" t="n">
        <f aca="false">IF(AK51&gt;PR_BalDone,MIN(F_CardPayM,AK51+AK51*(D_iC)),0)</f>
        <v>0</v>
      </c>
      <c r="AY51" s="1" t="n">
        <f aca="false">IF(AL51&gt;PR_BalDone,MIN(F_CardPayM,AL51+AL51*(D_iC)),0)</f>
        <v>0</v>
      </c>
      <c r="AZ51" s="1" t="n">
        <f aca="false">IF(AM51&gt;PR_BalDone,MIN(F_CardPayM,AM51+AM51*(D_iC)),0)</f>
        <v>0</v>
      </c>
      <c r="BA51" s="1" t="n">
        <f aca="false">IF(AN51&gt;PR_BalDone,MIN(F_CardPayM,AN51+AN51*(D_iC)),0)</f>
        <v>0</v>
      </c>
      <c r="BB51" s="1" t="n">
        <f aca="false">IF(AO51&gt;PR_BalDone,MIN(F_CardPayM,AO51+AO51*(D_iC)),0)</f>
        <v>0</v>
      </c>
      <c r="BC51" s="1" t="n">
        <f aca="false">MAX(0,AP51)</f>
        <v>0</v>
      </c>
      <c r="BD51" s="1" t="n">
        <f aca="false">SUM(AQ51:BB51)</f>
        <v>0</v>
      </c>
      <c r="BE51" s="1" t="n">
        <f aca="false">'Plan cashflow'!O51</f>
        <v>0</v>
      </c>
      <c r="BF51" s="1" t="n">
        <f aca="false">IF(BE51&gt;PR_BalDone,BE51+BE51*(D_iL)-MIN(F_LoanPayM,BE51+BE51*(D_iL)),BE51)</f>
        <v>0</v>
      </c>
      <c r="BG51" s="1" t="n">
        <f aca="false">IF(BF51&gt;PR_BalDone,BF51+BF51*(D_iL)-MIN(F_LoanPayM,BF51+BF51*(D_iL)),BF51)</f>
        <v>0</v>
      </c>
      <c r="BH51" s="1" t="n">
        <f aca="false">IF(BG51&gt;PR_BalDone,BG51+BG51*(D_iL)-MIN(F_LoanPayM,BG51+BG51*(D_iL)),BG51)</f>
        <v>0</v>
      </c>
      <c r="BI51" s="1" t="n">
        <f aca="false">IF(BH51&gt;PR_BalDone,BH51+BH51*(D_iL)-MIN(F_LoanPayM,BH51+BH51*(D_iL)),BH51)</f>
        <v>0</v>
      </c>
      <c r="BJ51" s="1" t="n">
        <f aca="false">IF(BI51&gt;PR_BalDone,BI51+BI51*(D_iL)-MIN(F_LoanPayM,BI51+BI51*(D_iL)),BI51)</f>
        <v>0</v>
      </c>
      <c r="BK51" s="1" t="n">
        <f aca="false">IF(BJ51&gt;PR_BalDone,BJ51+BJ51*(D_iL)-MIN(F_LoanPayM,BJ51+BJ51*(D_iL)),BJ51)</f>
        <v>0</v>
      </c>
      <c r="BL51" s="1" t="n">
        <f aca="false">IF(BK51&gt;PR_BalDone,BK51+BK51*(D_iL)-MIN(F_LoanPayM,BK51+BK51*(D_iL)),BK51)</f>
        <v>0</v>
      </c>
      <c r="BM51" s="1" t="n">
        <f aca="false">IF(BL51&gt;PR_BalDone,BL51+BL51*(D_iL)-MIN(F_LoanPayM,BL51+BL51*(D_iL)),BL51)</f>
        <v>0</v>
      </c>
      <c r="BN51" s="1" t="n">
        <f aca="false">IF(BM51&gt;PR_BalDone,BM51+BM51*(D_iL)-MIN(F_LoanPayM,BM51+BM51*(D_iL)),BM51)</f>
        <v>0</v>
      </c>
      <c r="BO51" s="1" t="n">
        <f aca="false">IF(BN51&gt;PR_BalDone,BN51+BN51*(D_iL)-MIN(F_LoanPayM,BN51+BN51*(D_iL)),BN51)</f>
        <v>0</v>
      </c>
      <c r="BP51" s="1" t="n">
        <f aca="false">IF(BO51&gt;PR_BalDone,BO51+BO51*(D_iL)-MIN(F_LoanPayM,BO51+BO51*(D_iL)),BO51)</f>
        <v>0</v>
      </c>
      <c r="BQ51" s="1" t="n">
        <f aca="false">IF(BP51&gt;PR_BalDone,BP51+BP51*(D_iL)-MIN(F_LoanPayM,BP51+BP51*(D_iL)),BP51)</f>
        <v>0</v>
      </c>
      <c r="BR51" s="1" t="n">
        <f aca="false">IF(BE51&gt;PR_BalDone,MIN(F_LoanPayM,BE51+BE51*(D_iL)),0)</f>
        <v>0</v>
      </c>
      <c r="BS51" s="1" t="n">
        <f aca="false">IF(BF51&gt;PR_BalDone,MIN(F_LoanPayM,BF51+BF51*(D_iL)),0)</f>
        <v>0</v>
      </c>
      <c r="BT51" s="1" t="n">
        <f aca="false">IF(BG51&gt;PR_BalDone,MIN(F_LoanPayM,BG51+BG51*(D_iL)),0)</f>
        <v>0</v>
      </c>
      <c r="BU51" s="1" t="n">
        <f aca="false">IF(BH51&gt;PR_BalDone,MIN(F_LoanPayM,BH51+BH51*(D_iL)),0)</f>
        <v>0</v>
      </c>
      <c r="BV51" s="1" t="n">
        <f aca="false">IF(BI51&gt;PR_BalDone,MIN(F_LoanPayM,BI51+BI51*(D_iL)),0)</f>
        <v>0</v>
      </c>
      <c r="BW51" s="1" t="n">
        <f aca="false">IF(BJ51&gt;PR_BalDone,MIN(F_LoanPayM,BJ51+BJ51*(D_iL)),0)</f>
        <v>0</v>
      </c>
      <c r="BX51" s="1" t="n">
        <f aca="false">IF(BK51&gt;PR_BalDone,MIN(F_LoanPayM,BK51+BK51*(D_iL)),0)</f>
        <v>0</v>
      </c>
      <c r="BY51" s="1" t="n">
        <f aca="false">IF(BL51&gt;PR_BalDone,MIN(F_LoanPayM,BL51+BL51*(D_iL)),0)</f>
        <v>0</v>
      </c>
      <c r="BZ51" s="1" t="n">
        <f aca="false">IF(BM51&gt;PR_BalDone,MIN(F_LoanPayM,BM51+BM51*(D_iL)),0)</f>
        <v>0</v>
      </c>
      <c r="CA51" s="1" t="n">
        <f aca="false">IF(BN51&gt;PR_BalDone,MIN(F_LoanPayM,BN51+BN51*(D_iL)),0)</f>
        <v>0</v>
      </c>
      <c r="CB51" s="1" t="n">
        <f aca="false">IF(BO51&gt;PR_BalDone,MIN(F_LoanPayM,BO51+BO51*(D_iL)),0)</f>
        <v>0</v>
      </c>
      <c r="CC51" s="1" t="n">
        <f aca="false">IF(BP51&gt;PR_BalDone,MIN(F_LoanPayM,BP51+BP51*(D_iL)),0)</f>
        <v>0</v>
      </c>
      <c r="CD51" s="1" t="n">
        <f aca="false">MAX(0,BQ51)</f>
        <v>0</v>
      </c>
      <c r="CE51" s="1" t="n">
        <f aca="false">SUM(BR51:CC51)</f>
        <v>0</v>
      </c>
      <c r="CF51" s="1" t="n">
        <f aca="false">IF(CF50&gt;1,DE50,CF50)</f>
        <v>0</v>
      </c>
      <c r="CG51" s="1" t="n">
        <f aca="false">IF(CF51&gt;PR_BalDone,CF51+CF51*(F_MR/12)-MIN(F_MortPayM,CF51+CF51*(F_MR/12)),CF51)</f>
        <v>0</v>
      </c>
      <c r="CH51" s="1" t="n">
        <f aca="false">IF(CG51&gt;PR_BalDone,CG51+CG51*(F_MR/12)-MIN(F_MortPayM,CG51+CG51*(F_MR/12)),CG51)</f>
        <v>0</v>
      </c>
      <c r="CI51" s="1" t="n">
        <f aca="false">IF(CH51&gt;PR_BalDone,CH51+CH51*(F_MR/12)-MIN(F_MortPayM,CH51+CH51*(F_MR/12)),CH51)</f>
        <v>0</v>
      </c>
      <c r="CJ51" s="1" t="n">
        <f aca="false">IF(CI51&gt;PR_BalDone,CI51+CI51*(F_MR/12)-MIN(F_MortPayM,CI51+CI51*(F_MR/12)),CI51)</f>
        <v>0</v>
      </c>
      <c r="CK51" s="1" t="n">
        <f aca="false">IF(CJ51&gt;PR_BalDone,CJ51+CJ51*(F_MR/12)-MIN(F_MortPayM,CJ51+CJ51*(F_MR/12)),CJ51)</f>
        <v>0</v>
      </c>
      <c r="CL51" s="1" t="n">
        <f aca="false">IF(CK51&gt;PR_BalDone,CK51+CK51*(F_MR/12)-MIN(F_MortPayM,CK51+CK51*(F_MR/12)),CK51)</f>
        <v>0</v>
      </c>
      <c r="CM51" s="1" t="n">
        <f aca="false">IF(CL51&gt;PR_BalDone,CL51+CL51*(F_MR/12)-MIN(F_MortPayM,CL51+CL51*(F_MR/12)),CL51)</f>
        <v>0</v>
      </c>
      <c r="CN51" s="1" t="n">
        <f aca="false">IF(CM51&gt;PR_BalDone,CM51+CM51*(F_MR/12)-MIN(F_MortPayM,CM51+CM51*(F_MR/12)),CM51)</f>
        <v>0</v>
      </c>
      <c r="CO51" s="1" t="n">
        <f aca="false">IF(CN51&gt;PR_BalDone,CN51+CN51*(F_MR/12)-MIN(F_MortPayM,CN51+CN51*(F_MR/12)),CN51)</f>
        <v>0</v>
      </c>
      <c r="CP51" s="1" t="n">
        <f aca="false">IF(CO51&gt;PR_BalDone,CO51+CO51*(F_MR/12)-MIN(F_MortPayM,CO51+CO51*(F_MR/12)),CO51)</f>
        <v>0</v>
      </c>
      <c r="CQ51" s="1" t="n">
        <f aca="false">IF(CP51&gt;PR_BalDone,CP51+CP51*(F_MR/12)-MIN(F_MortPayM,CP51+CP51*(F_MR/12)),CP51)</f>
        <v>0</v>
      </c>
      <c r="CR51" s="1" t="n">
        <f aca="false">IF(CQ51&gt;PR_BalDone,CQ51+CQ51*(F_MR/12)-MIN(F_MortPayM,CQ51+CQ51*(F_MR/12)),CQ51)</f>
        <v>0</v>
      </c>
      <c r="CS51" s="1" t="n">
        <f aca="false">IF(CF51&gt;PR_BalDone,MIN(F_MortPayM,CF51+CF51*(F_MR/12)),0)</f>
        <v>0</v>
      </c>
      <c r="CT51" s="1" t="n">
        <f aca="false">IF(CG51&gt;PR_BalDone,MIN(F_MortPayM,CG51+CG51*(F_MR/12)),0)</f>
        <v>0</v>
      </c>
      <c r="CU51" s="1" t="n">
        <f aca="false">IF(CH51&gt;PR_BalDone,MIN(F_MortPayM,CH51+CH51*(F_MR/12)),0)</f>
        <v>0</v>
      </c>
      <c r="CV51" s="1" t="n">
        <f aca="false">IF(CI51&gt;PR_BalDone,MIN(F_MortPayM,CI51+CI51*(F_MR/12)),0)</f>
        <v>0</v>
      </c>
      <c r="CW51" s="1" t="n">
        <f aca="false">IF(CJ51&gt;PR_BalDone,MIN(F_MortPayM,CJ51+CJ51*(F_MR/12)),0)</f>
        <v>0</v>
      </c>
      <c r="CX51" s="1" t="n">
        <f aca="false">IF(CK51&gt;PR_BalDone,MIN(F_MortPayM,CK51+CK51*(F_MR/12)),0)</f>
        <v>0</v>
      </c>
      <c r="CY51" s="1" t="n">
        <f aca="false">IF(CL51&gt;PR_BalDone,MIN(F_MortPayM,CL51+CL51*(F_MR/12)),0)</f>
        <v>0</v>
      </c>
      <c r="CZ51" s="1" t="n">
        <f aca="false">IF(CM51&gt;PR_BalDone,MIN(F_MortPayM,CM51+CM51*(F_MR/12)),0)</f>
        <v>0</v>
      </c>
      <c r="DA51" s="1" t="n">
        <f aca="false">IF(CN51&gt;PR_BalDone,MIN(F_MortPayM,CN51+CN51*(F_MR/12)),0)</f>
        <v>0</v>
      </c>
      <c r="DB51" s="1" t="n">
        <f aca="false">IF(CO51&gt;PR_BalDone,MIN(F_MortPayM,CO51+CO51*(F_MR/12)),0)</f>
        <v>0</v>
      </c>
      <c r="DC51" s="1" t="n">
        <f aca="false">IF(CP51&gt;PR_BalDone,MIN(F_MortPayM,CP51+CP51*(F_MR/12)),0)</f>
        <v>0</v>
      </c>
      <c r="DD51" s="1" t="n">
        <f aca="false">IF(CQ51&gt;PR_BalDone,MIN(F_MortPayM,CQ51+CQ51*(F_MR/12)),0)</f>
        <v>0</v>
      </c>
      <c r="DE51" s="1" t="n">
        <f aca="false">MAX(0,CR51)</f>
        <v>0</v>
      </c>
      <c r="DF51" s="1" t="n">
        <f aca="false">SUM(CS51:DD51)</f>
        <v>0</v>
      </c>
      <c r="DG51" s="1" t="n">
        <f aca="false">MAX(0,CF51)</f>
        <v>0</v>
      </c>
    </row>
    <row r="52" customFormat="false" ht="15" hidden="false" customHeight="true" outlineLevel="0" collapsed="false">
      <c r="B52" s="1" t="n">
        <v>44</v>
      </c>
      <c r="C52" s="1" t="n">
        <f aca="false">'Plan cashflow'!I52</f>
        <v>0</v>
      </c>
      <c r="D52" s="1" t="n">
        <f aca="false">IF(C52&gt;PR_BalDone,C52+C52*(F_MR/12)-MIN(F_MortPayM,C52+C52*(F_MR/12)),C52)</f>
        <v>0</v>
      </c>
      <c r="E52" s="1" t="n">
        <f aca="false">IF(D52&gt;PR_BalDone,D52+D52*(F_MR/12)-MIN(F_MortPayM,D52+D52*(F_MR/12)),D52)</f>
        <v>0</v>
      </c>
      <c r="F52" s="1" t="n">
        <f aca="false">IF(E52&gt;PR_BalDone,E52+E52*(F_MR/12)-MIN(F_MortPayM,E52+E52*(F_MR/12)),E52)</f>
        <v>0</v>
      </c>
      <c r="G52" s="1" t="n">
        <f aca="false">IF(F52&gt;PR_BalDone,F52+F52*(F_MR/12)-MIN(F_MortPayM,F52+F52*(F_MR/12)),F52)</f>
        <v>0</v>
      </c>
      <c r="H52" s="1" t="n">
        <f aca="false">IF(G52&gt;PR_BalDone,G52+G52*(F_MR/12)-MIN(F_MortPayM,G52+G52*(F_MR/12)),G52)</f>
        <v>0</v>
      </c>
      <c r="I52" s="1" t="n">
        <f aca="false">IF(H52&gt;PR_BalDone,H52+H52*(F_MR/12)-MIN(F_MortPayM,H52+H52*(F_MR/12)),H52)</f>
        <v>0</v>
      </c>
      <c r="J52" s="1" t="n">
        <f aca="false">IF(I52&gt;PR_BalDone,I52+I52*(F_MR/12)-MIN(F_MortPayM,I52+I52*(F_MR/12)),I52)</f>
        <v>0</v>
      </c>
      <c r="K52" s="1" t="n">
        <f aca="false">IF(J52&gt;PR_BalDone,J52+J52*(F_MR/12)-MIN(F_MortPayM,J52+J52*(F_MR/12)),J52)</f>
        <v>0</v>
      </c>
      <c r="L52" s="1" t="n">
        <f aca="false">IF(K52&gt;PR_BalDone,K52+K52*(F_MR/12)-MIN(F_MortPayM,K52+K52*(F_MR/12)),K52)</f>
        <v>0</v>
      </c>
      <c r="M52" s="1" t="n">
        <f aca="false">IF(L52&gt;PR_BalDone,L52+L52*(F_MR/12)-MIN(F_MortPayM,L52+L52*(F_MR/12)),L52)</f>
        <v>0</v>
      </c>
      <c r="N52" s="1" t="n">
        <f aca="false">IF(M52&gt;PR_BalDone,M52+M52*(F_MR/12)-MIN(F_MortPayM,M52+M52*(F_MR/12)),M52)</f>
        <v>0</v>
      </c>
      <c r="O52" s="1" t="n">
        <f aca="false">IF(N52&gt;PR_BalDone,N52+N52*(F_MR/12)-MIN(F_MortPayM,N52+N52*(F_MR/12)),N52)</f>
        <v>0</v>
      </c>
      <c r="P52" s="1" t="n">
        <f aca="false">IF(C52&gt;PR_BalDone,MIN(F_MortPayM,C52+C52*(F_MR/12)),0)</f>
        <v>0</v>
      </c>
      <c r="Q52" s="1" t="n">
        <f aca="false">IF(D52&gt;PR_BalDone,MIN(F_MortPayM,D52+D52*(F_MR/12)),0)</f>
        <v>0</v>
      </c>
      <c r="R52" s="1" t="n">
        <f aca="false">IF(E52&gt;PR_BalDone,MIN(F_MortPayM,E52+E52*(F_MR/12)),0)</f>
        <v>0</v>
      </c>
      <c r="S52" s="1" t="n">
        <f aca="false">IF(F52&gt;PR_BalDone,MIN(F_MortPayM,F52+F52*(F_MR/12)),0)</f>
        <v>0</v>
      </c>
      <c r="T52" s="1" t="n">
        <f aca="false">IF(G52&gt;PR_BalDone,MIN(F_MortPayM,G52+G52*(F_MR/12)),0)</f>
        <v>0</v>
      </c>
      <c r="U52" s="1" t="n">
        <f aca="false">IF(H52&gt;PR_BalDone,MIN(F_MortPayM,H52+H52*(F_MR/12)),0)</f>
        <v>0</v>
      </c>
      <c r="V52" s="1" t="n">
        <f aca="false">IF(I52&gt;PR_BalDone,MIN(F_MortPayM,I52+I52*(F_MR/12)),0)</f>
        <v>0</v>
      </c>
      <c r="W52" s="1" t="n">
        <f aca="false">IF(J52&gt;PR_BalDone,MIN(F_MortPayM,J52+J52*(F_MR/12)),0)</f>
        <v>0</v>
      </c>
      <c r="X52" s="1" t="n">
        <f aca="false">IF(K52&gt;PR_BalDone,MIN(F_MortPayM,K52+K52*(F_MR/12)),0)</f>
        <v>0</v>
      </c>
      <c r="Y52" s="1" t="n">
        <f aca="false">IF(L52&gt;PR_BalDone,MIN(F_MortPayM,L52+L52*(F_MR/12)),0)</f>
        <v>0</v>
      </c>
      <c r="Z52" s="1" t="n">
        <f aca="false">IF(M52&gt;PR_BalDone,MIN(F_MortPayM,M52+M52*(F_MR/12)),0)</f>
        <v>0</v>
      </c>
      <c r="AA52" s="1" t="n">
        <f aca="false">IF(N52&gt;PR_BalDone,MIN(F_MortPayM,N52+N52*(F_MR/12)),0)</f>
        <v>0</v>
      </c>
      <c r="AB52" s="1" t="n">
        <f aca="false">MAX(0,O52)</f>
        <v>0</v>
      </c>
      <c r="AC52" s="1" t="n">
        <f aca="false">SUM(P52:AA52)</f>
        <v>0</v>
      </c>
      <c r="AD52" s="1" t="n">
        <f aca="false">'Plan cashflow'!L52</f>
        <v>0</v>
      </c>
      <c r="AE52" s="1" t="n">
        <f aca="false">IF(AD52&gt;PR_BalDone,AD52+AD52*(D_iC)-MIN(F_CardPayM,AD52+AD52*(D_iC)),AD52)</f>
        <v>0</v>
      </c>
      <c r="AF52" s="1" t="n">
        <f aca="false">IF(AE52&gt;PR_BalDone,AE52+AE52*(D_iC)-MIN(F_CardPayM,AE52+AE52*(D_iC)),AE52)</f>
        <v>0</v>
      </c>
      <c r="AG52" s="1" t="n">
        <f aca="false">IF(AF52&gt;PR_BalDone,AF52+AF52*(D_iC)-MIN(F_CardPayM,AF52+AF52*(D_iC)),AF52)</f>
        <v>0</v>
      </c>
      <c r="AH52" s="1" t="n">
        <f aca="false">IF(AG52&gt;PR_BalDone,AG52+AG52*(D_iC)-MIN(F_CardPayM,AG52+AG52*(D_iC)),AG52)</f>
        <v>0</v>
      </c>
      <c r="AI52" s="1" t="n">
        <f aca="false">IF(AH52&gt;PR_BalDone,AH52+AH52*(D_iC)-MIN(F_CardPayM,AH52+AH52*(D_iC)),AH52)</f>
        <v>0</v>
      </c>
      <c r="AJ52" s="1" t="n">
        <f aca="false">IF(AI52&gt;PR_BalDone,AI52+AI52*(D_iC)-MIN(F_CardPayM,AI52+AI52*(D_iC)),AI52)</f>
        <v>0</v>
      </c>
      <c r="AK52" s="1" t="n">
        <f aca="false">IF(AJ52&gt;PR_BalDone,AJ52+AJ52*(D_iC)-MIN(F_CardPayM,AJ52+AJ52*(D_iC)),AJ52)</f>
        <v>0</v>
      </c>
      <c r="AL52" s="1" t="n">
        <f aca="false">IF(AK52&gt;PR_BalDone,AK52+AK52*(D_iC)-MIN(F_CardPayM,AK52+AK52*(D_iC)),AK52)</f>
        <v>0</v>
      </c>
      <c r="AM52" s="1" t="n">
        <f aca="false">IF(AL52&gt;PR_BalDone,AL52+AL52*(D_iC)-MIN(F_CardPayM,AL52+AL52*(D_iC)),AL52)</f>
        <v>0</v>
      </c>
      <c r="AN52" s="1" t="n">
        <f aca="false">IF(AM52&gt;PR_BalDone,AM52+AM52*(D_iC)-MIN(F_CardPayM,AM52+AM52*(D_iC)),AM52)</f>
        <v>0</v>
      </c>
      <c r="AO52" s="1" t="n">
        <f aca="false">IF(AN52&gt;PR_BalDone,AN52+AN52*(D_iC)-MIN(F_CardPayM,AN52+AN52*(D_iC)),AN52)</f>
        <v>0</v>
      </c>
      <c r="AP52" s="1" t="n">
        <f aca="false">IF(AO52&gt;PR_BalDone,AO52+AO52*(D_iC)-MIN(F_CardPayM,AO52+AO52*(D_iC)),AO52)</f>
        <v>0</v>
      </c>
      <c r="AQ52" s="1" t="n">
        <f aca="false">IF(AD52&gt;PR_BalDone,MIN(F_CardPayM,AD52+AD52*(D_iC)),0)</f>
        <v>0</v>
      </c>
      <c r="AR52" s="1" t="n">
        <f aca="false">IF(AE52&gt;PR_BalDone,MIN(F_CardPayM,AE52+AE52*(D_iC)),0)</f>
        <v>0</v>
      </c>
      <c r="AS52" s="1" t="n">
        <f aca="false">IF(AF52&gt;PR_BalDone,MIN(F_CardPayM,AF52+AF52*(D_iC)),0)</f>
        <v>0</v>
      </c>
      <c r="AT52" s="1" t="n">
        <f aca="false">IF(AG52&gt;PR_BalDone,MIN(F_CardPayM,AG52+AG52*(D_iC)),0)</f>
        <v>0</v>
      </c>
      <c r="AU52" s="1" t="n">
        <f aca="false">IF(AH52&gt;PR_BalDone,MIN(F_CardPayM,AH52+AH52*(D_iC)),0)</f>
        <v>0</v>
      </c>
      <c r="AV52" s="1" t="n">
        <f aca="false">IF(AI52&gt;PR_BalDone,MIN(F_CardPayM,AI52+AI52*(D_iC)),0)</f>
        <v>0</v>
      </c>
      <c r="AW52" s="1" t="n">
        <f aca="false">IF(AJ52&gt;PR_BalDone,MIN(F_CardPayM,AJ52+AJ52*(D_iC)),0)</f>
        <v>0</v>
      </c>
      <c r="AX52" s="1" t="n">
        <f aca="false">IF(AK52&gt;PR_BalDone,MIN(F_CardPayM,AK52+AK52*(D_iC)),0)</f>
        <v>0</v>
      </c>
      <c r="AY52" s="1" t="n">
        <f aca="false">IF(AL52&gt;PR_BalDone,MIN(F_CardPayM,AL52+AL52*(D_iC)),0)</f>
        <v>0</v>
      </c>
      <c r="AZ52" s="1" t="n">
        <f aca="false">IF(AM52&gt;PR_BalDone,MIN(F_CardPayM,AM52+AM52*(D_iC)),0)</f>
        <v>0</v>
      </c>
      <c r="BA52" s="1" t="n">
        <f aca="false">IF(AN52&gt;PR_BalDone,MIN(F_CardPayM,AN52+AN52*(D_iC)),0)</f>
        <v>0</v>
      </c>
      <c r="BB52" s="1" t="n">
        <f aca="false">IF(AO52&gt;PR_BalDone,MIN(F_CardPayM,AO52+AO52*(D_iC)),0)</f>
        <v>0</v>
      </c>
      <c r="BC52" s="1" t="n">
        <f aca="false">MAX(0,AP52)</f>
        <v>0</v>
      </c>
      <c r="BD52" s="1" t="n">
        <f aca="false">SUM(AQ52:BB52)</f>
        <v>0</v>
      </c>
      <c r="BE52" s="1" t="n">
        <f aca="false">'Plan cashflow'!O52</f>
        <v>0</v>
      </c>
      <c r="BF52" s="1" t="n">
        <f aca="false">IF(BE52&gt;PR_BalDone,BE52+BE52*(D_iL)-MIN(F_LoanPayM,BE52+BE52*(D_iL)),BE52)</f>
        <v>0</v>
      </c>
      <c r="BG52" s="1" t="n">
        <f aca="false">IF(BF52&gt;PR_BalDone,BF52+BF52*(D_iL)-MIN(F_LoanPayM,BF52+BF52*(D_iL)),BF52)</f>
        <v>0</v>
      </c>
      <c r="BH52" s="1" t="n">
        <f aca="false">IF(BG52&gt;PR_BalDone,BG52+BG52*(D_iL)-MIN(F_LoanPayM,BG52+BG52*(D_iL)),BG52)</f>
        <v>0</v>
      </c>
      <c r="BI52" s="1" t="n">
        <f aca="false">IF(BH52&gt;PR_BalDone,BH52+BH52*(D_iL)-MIN(F_LoanPayM,BH52+BH52*(D_iL)),BH52)</f>
        <v>0</v>
      </c>
      <c r="BJ52" s="1" t="n">
        <f aca="false">IF(BI52&gt;PR_BalDone,BI52+BI52*(D_iL)-MIN(F_LoanPayM,BI52+BI52*(D_iL)),BI52)</f>
        <v>0</v>
      </c>
      <c r="BK52" s="1" t="n">
        <f aca="false">IF(BJ52&gt;PR_BalDone,BJ52+BJ52*(D_iL)-MIN(F_LoanPayM,BJ52+BJ52*(D_iL)),BJ52)</f>
        <v>0</v>
      </c>
      <c r="BL52" s="1" t="n">
        <f aca="false">IF(BK52&gt;PR_BalDone,BK52+BK52*(D_iL)-MIN(F_LoanPayM,BK52+BK52*(D_iL)),BK52)</f>
        <v>0</v>
      </c>
      <c r="BM52" s="1" t="n">
        <f aca="false">IF(BL52&gt;PR_BalDone,BL52+BL52*(D_iL)-MIN(F_LoanPayM,BL52+BL52*(D_iL)),BL52)</f>
        <v>0</v>
      </c>
      <c r="BN52" s="1" t="n">
        <f aca="false">IF(BM52&gt;PR_BalDone,BM52+BM52*(D_iL)-MIN(F_LoanPayM,BM52+BM52*(D_iL)),BM52)</f>
        <v>0</v>
      </c>
      <c r="BO52" s="1" t="n">
        <f aca="false">IF(BN52&gt;PR_BalDone,BN52+BN52*(D_iL)-MIN(F_LoanPayM,BN52+BN52*(D_iL)),BN52)</f>
        <v>0</v>
      </c>
      <c r="BP52" s="1" t="n">
        <f aca="false">IF(BO52&gt;PR_BalDone,BO52+BO52*(D_iL)-MIN(F_LoanPayM,BO52+BO52*(D_iL)),BO52)</f>
        <v>0</v>
      </c>
      <c r="BQ52" s="1" t="n">
        <f aca="false">IF(BP52&gt;PR_BalDone,BP52+BP52*(D_iL)-MIN(F_LoanPayM,BP52+BP52*(D_iL)),BP52)</f>
        <v>0</v>
      </c>
      <c r="BR52" s="1" t="n">
        <f aca="false">IF(BE52&gt;PR_BalDone,MIN(F_LoanPayM,BE52+BE52*(D_iL)),0)</f>
        <v>0</v>
      </c>
      <c r="BS52" s="1" t="n">
        <f aca="false">IF(BF52&gt;PR_BalDone,MIN(F_LoanPayM,BF52+BF52*(D_iL)),0)</f>
        <v>0</v>
      </c>
      <c r="BT52" s="1" t="n">
        <f aca="false">IF(BG52&gt;PR_BalDone,MIN(F_LoanPayM,BG52+BG52*(D_iL)),0)</f>
        <v>0</v>
      </c>
      <c r="BU52" s="1" t="n">
        <f aca="false">IF(BH52&gt;PR_BalDone,MIN(F_LoanPayM,BH52+BH52*(D_iL)),0)</f>
        <v>0</v>
      </c>
      <c r="BV52" s="1" t="n">
        <f aca="false">IF(BI52&gt;PR_BalDone,MIN(F_LoanPayM,BI52+BI52*(D_iL)),0)</f>
        <v>0</v>
      </c>
      <c r="BW52" s="1" t="n">
        <f aca="false">IF(BJ52&gt;PR_BalDone,MIN(F_LoanPayM,BJ52+BJ52*(D_iL)),0)</f>
        <v>0</v>
      </c>
      <c r="BX52" s="1" t="n">
        <f aca="false">IF(BK52&gt;PR_BalDone,MIN(F_LoanPayM,BK52+BK52*(D_iL)),0)</f>
        <v>0</v>
      </c>
      <c r="BY52" s="1" t="n">
        <f aca="false">IF(BL52&gt;PR_BalDone,MIN(F_LoanPayM,BL52+BL52*(D_iL)),0)</f>
        <v>0</v>
      </c>
      <c r="BZ52" s="1" t="n">
        <f aca="false">IF(BM52&gt;PR_BalDone,MIN(F_LoanPayM,BM52+BM52*(D_iL)),0)</f>
        <v>0</v>
      </c>
      <c r="CA52" s="1" t="n">
        <f aca="false">IF(BN52&gt;PR_BalDone,MIN(F_LoanPayM,BN52+BN52*(D_iL)),0)</f>
        <v>0</v>
      </c>
      <c r="CB52" s="1" t="n">
        <f aca="false">IF(BO52&gt;PR_BalDone,MIN(F_LoanPayM,BO52+BO52*(D_iL)),0)</f>
        <v>0</v>
      </c>
      <c r="CC52" s="1" t="n">
        <f aca="false">IF(BP52&gt;PR_BalDone,MIN(F_LoanPayM,BP52+BP52*(D_iL)),0)</f>
        <v>0</v>
      </c>
      <c r="CD52" s="1" t="n">
        <f aca="false">MAX(0,BQ52)</f>
        <v>0</v>
      </c>
      <c r="CE52" s="1" t="n">
        <f aca="false">SUM(BR52:CC52)</f>
        <v>0</v>
      </c>
      <c r="CF52" s="1" t="n">
        <f aca="false">IF(CF51&gt;1,DE51,CF51)</f>
        <v>0</v>
      </c>
      <c r="CG52" s="1" t="n">
        <f aca="false">IF(CF52&gt;PR_BalDone,CF52+CF52*(F_MR/12)-MIN(F_MortPayM,CF52+CF52*(F_MR/12)),CF52)</f>
        <v>0</v>
      </c>
      <c r="CH52" s="1" t="n">
        <f aca="false">IF(CG52&gt;PR_BalDone,CG52+CG52*(F_MR/12)-MIN(F_MortPayM,CG52+CG52*(F_MR/12)),CG52)</f>
        <v>0</v>
      </c>
      <c r="CI52" s="1" t="n">
        <f aca="false">IF(CH52&gt;PR_BalDone,CH52+CH52*(F_MR/12)-MIN(F_MortPayM,CH52+CH52*(F_MR/12)),CH52)</f>
        <v>0</v>
      </c>
      <c r="CJ52" s="1" t="n">
        <f aca="false">IF(CI52&gt;PR_BalDone,CI52+CI52*(F_MR/12)-MIN(F_MortPayM,CI52+CI52*(F_MR/12)),CI52)</f>
        <v>0</v>
      </c>
      <c r="CK52" s="1" t="n">
        <f aca="false">IF(CJ52&gt;PR_BalDone,CJ52+CJ52*(F_MR/12)-MIN(F_MortPayM,CJ52+CJ52*(F_MR/12)),CJ52)</f>
        <v>0</v>
      </c>
      <c r="CL52" s="1" t="n">
        <f aca="false">IF(CK52&gt;PR_BalDone,CK52+CK52*(F_MR/12)-MIN(F_MortPayM,CK52+CK52*(F_MR/12)),CK52)</f>
        <v>0</v>
      </c>
      <c r="CM52" s="1" t="n">
        <f aca="false">IF(CL52&gt;PR_BalDone,CL52+CL52*(F_MR/12)-MIN(F_MortPayM,CL52+CL52*(F_MR/12)),CL52)</f>
        <v>0</v>
      </c>
      <c r="CN52" s="1" t="n">
        <f aca="false">IF(CM52&gt;PR_BalDone,CM52+CM52*(F_MR/12)-MIN(F_MortPayM,CM52+CM52*(F_MR/12)),CM52)</f>
        <v>0</v>
      </c>
      <c r="CO52" s="1" t="n">
        <f aca="false">IF(CN52&gt;PR_BalDone,CN52+CN52*(F_MR/12)-MIN(F_MortPayM,CN52+CN52*(F_MR/12)),CN52)</f>
        <v>0</v>
      </c>
      <c r="CP52" s="1" t="n">
        <f aca="false">IF(CO52&gt;PR_BalDone,CO52+CO52*(F_MR/12)-MIN(F_MortPayM,CO52+CO52*(F_MR/12)),CO52)</f>
        <v>0</v>
      </c>
      <c r="CQ52" s="1" t="n">
        <f aca="false">IF(CP52&gt;PR_BalDone,CP52+CP52*(F_MR/12)-MIN(F_MortPayM,CP52+CP52*(F_MR/12)),CP52)</f>
        <v>0</v>
      </c>
      <c r="CR52" s="1" t="n">
        <f aca="false">IF(CQ52&gt;PR_BalDone,CQ52+CQ52*(F_MR/12)-MIN(F_MortPayM,CQ52+CQ52*(F_MR/12)),CQ52)</f>
        <v>0</v>
      </c>
      <c r="CS52" s="1" t="n">
        <f aca="false">IF(CF52&gt;PR_BalDone,MIN(F_MortPayM,CF52+CF52*(F_MR/12)),0)</f>
        <v>0</v>
      </c>
      <c r="CT52" s="1" t="n">
        <f aca="false">IF(CG52&gt;PR_BalDone,MIN(F_MortPayM,CG52+CG52*(F_MR/12)),0)</f>
        <v>0</v>
      </c>
      <c r="CU52" s="1" t="n">
        <f aca="false">IF(CH52&gt;PR_BalDone,MIN(F_MortPayM,CH52+CH52*(F_MR/12)),0)</f>
        <v>0</v>
      </c>
      <c r="CV52" s="1" t="n">
        <f aca="false">IF(CI52&gt;PR_BalDone,MIN(F_MortPayM,CI52+CI52*(F_MR/12)),0)</f>
        <v>0</v>
      </c>
      <c r="CW52" s="1" t="n">
        <f aca="false">IF(CJ52&gt;PR_BalDone,MIN(F_MortPayM,CJ52+CJ52*(F_MR/12)),0)</f>
        <v>0</v>
      </c>
      <c r="CX52" s="1" t="n">
        <f aca="false">IF(CK52&gt;PR_BalDone,MIN(F_MortPayM,CK52+CK52*(F_MR/12)),0)</f>
        <v>0</v>
      </c>
      <c r="CY52" s="1" t="n">
        <f aca="false">IF(CL52&gt;PR_BalDone,MIN(F_MortPayM,CL52+CL52*(F_MR/12)),0)</f>
        <v>0</v>
      </c>
      <c r="CZ52" s="1" t="n">
        <f aca="false">IF(CM52&gt;PR_BalDone,MIN(F_MortPayM,CM52+CM52*(F_MR/12)),0)</f>
        <v>0</v>
      </c>
      <c r="DA52" s="1" t="n">
        <f aca="false">IF(CN52&gt;PR_BalDone,MIN(F_MortPayM,CN52+CN52*(F_MR/12)),0)</f>
        <v>0</v>
      </c>
      <c r="DB52" s="1" t="n">
        <f aca="false">IF(CO52&gt;PR_BalDone,MIN(F_MortPayM,CO52+CO52*(F_MR/12)),0)</f>
        <v>0</v>
      </c>
      <c r="DC52" s="1" t="n">
        <f aca="false">IF(CP52&gt;PR_BalDone,MIN(F_MortPayM,CP52+CP52*(F_MR/12)),0)</f>
        <v>0</v>
      </c>
      <c r="DD52" s="1" t="n">
        <f aca="false">IF(CQ52&gt;PR_BalDone,MIN(F_MortPayM,CQ52+CQ52*(F_MR/12)),0)</f>
        <v>0</v>
      </c>
      <c r="DE52" s="1" t="n">
        <f aca="false">MAX(0,CR52)</f>
        <v>0</v>
      </c>
      <c r="DF52" s="1" t="n">
        <f aca="false">SUM(CS52:DD52)</f>
        <v>0</v>
      </c>
      <c r="DG52" s="1" t="n">
        <f aca="false">MAX(0,CF52)</f>
        <v>0</v>
      </c>
    </row>
    <row r="53" customFormat="false" ht="15" hidden="false" customHeight="true" outlineLevel="0" collapsed="false">
      <c r="B53" s="1" t="n">
        <v>45</v>
      </c>
      <c r="C53" s="1" t="n">
        <f aca="false">'Plan cashflow'!I53</f>
        <v>0</v>
      </c>
      <c r="D53" s="1" t="n">
        <f aca="false">IF(C53&gt;PR_BalDone,C53+C53*(F_MR/12)-MIN(F_MortPayM,C53+C53*(F_MR/12)),C53)</f>
        <v>0</v>
      </c>
      <c r="E53" s="1" t="n">
        <f aca="false">IF(D53&gt;PR_BalDone,D53+D53*(F_MR/12)-MIN(F_MortPayM,D53+D53*(F_MR/12)),D53)</f>
        <v>0</v>
      </c>
      <c r="F53" s="1" t="n">
        <f aca="false">IF(E53&gt;PR_BalDone,E53+E53*(F_MR/12)-MIN(F_MortPayM,E53+E53*(F_MR/12)),E53)</f>
        <v>0</v>
      </c>
      <c r="G53" s="1" t="n">
        <f aca="false">IF(F53&gt;PR_BalDone,F53+F53*(F_MR/12)-MIN(F_MortPayM,F53+F53*(F_MR/12)),F53)</f>
        <v>0</v>
      </c>
      <c r="H53" s="1" t="n">
        <f aca="false">IF(G53&gt;PR_BalDone,G53+G53*(F_MR/12)-MIN(F_MortPayM,G53+G53*(F_MR/12)),G53)</f>
        <v>0</v>
      </c>
      <c r="I53" s="1" t="n">
        <f aca="false">IF(H53&gt;PR_BalDone,H53+H53*(F_MR/12)-MIN(F_MortPayM,H53+H53*(F_MR/12)),H53)</f>
        <v>0</v>
      </c>
      <c r="J53" s="1" t="n">
        <f aca="false">IF(I53&gt;PR_BalDone,I53+I53*(F_MR/12)-MIN(F_MortPayM,I53+I53*(F_MR/12)),I53)</f>
        <v>0</v>
      </c>
      <c r="K53" s="1" t="n">
        <f aca="false">IF(J53&gt;PR_BalDone,J53+J53*(F_MR/12)-MIN(F_MortPayM,J53+J53*(F_MR/12)),J53)</f>
        <v>0</v>
      </c>
      <c r="L53" s="1" t="n">
        <f aca="false">IF(K53&gt;PR_BalDone,K53+K53*(F_MR/12)-MIN(F_MortPayM,K53+K53*(F_MR/12)),K53)</f>
        <v>0</v>
      </c>
      <c r="M53" s="1" t="n">
        <f aca="false">IF(L53&gt;PR_BalDone,L53+L53*(F_MR/12)-MIN(F_MortPayM,L53+L53*(F_MR/12)),L53)</f>
        <v>0</v>
      </c>
      <c r="N53" s="1" t="n">
        <f aca="false">IF(M53&gt;PR_BalDone,M53+M53*(F_MR/12)-MIN(F_MortPayM,M53+M53*(F_MR/12)),M53)</f>
        <v>0</v>
      </c>
      <c r="O53" s="1" t="n">
        <f aca="false">IF(N53&gt;PR_BalDone,N53+N53*(F_MR/12)-MIN(F_MortPayM,N53+N53*(F_MR/12)),N53)</f>
        <v>0</v>
      </c>
      <c r="P53" s="1" t="n">
        <f aca="false">IF(C53&gt;PR_BalDone,MIN(F_MortPayM,C53+C53*(F_MR/12)),0)</f>
        <v>0</v>
      </c>
      <c r="Q53" s="1" t="n">
        <f aca="false">IF(D53&gt;PR_BalDone,MIN(F_MortPayM,D53+D53*(F_MR/12)),0)</f>
        <v>0</v>
      </c>
      <c r="R53" s="1" t="n">
        <f aca="false">IF(E53&gt;PR_BalDone,MIN(F_MortPayM,E53+E53*(F_MR/12)),0)</f>
        <v>0</v>
      </c>
      <c r="S53" s="1" t="n">
        <f aca="false">IF(F53&gt;PR_BalDone,MIN(F_MortPayM,F53+F53*(F_MR/12)),0)</f>
        <v>0</v>
      </c>
      <c r="T53" s="1" t="n">
        <f aca="false">IF(G53&gt;PR_BalDone,MIN(F_MortPayM,G53+G53*(F_MR/12)),0)</f>
        <v>0</v>
      </c>
      <c r="U53" s="1" t="n">
        <f aca="false">IF(H53&gt;PR_BalDone,MIN(F_MortPayM,H53+H53*(F_MR/12)),0)</f>
        <v>0</v>
      </c>
      <c r="V53" s="1" t="n">
        <f aca="false">IF(I53&gt;PR_BalDone,MIN(F_MortPayM,I53+I53*(F_MR/12)),0)</f>
        <v>0</v>
      </c>
      <c r="W53" s="1" t="n">
        <f aca="false">IF(J53&gt;PR_BalDone,MIN(F_MortPayM,J53+J53*(F_MR/12)),0)</f>
        <v>0</v>
      </c>
      <c r="X53" s="1" t="n">
        <f aca="false">IF(K53&gt;PR_BalDone,MIN(F_MortPayM,K53+K53*(F_MR/12)),0)</f>
        <v>0</v>
      </c>
      <c r="Y53" s="1" t="n">
        <f aca="false">IF(L53&gt;PR_BalDone,MIN(F_MortPayM,L53+L53*(F_MR/12)),0)</f>
        <v>0</v>
      </c>
      <c r="Z53" s="1" t="n">
        <f aca="false">IF(M53&gt;PR_BalDone,MIN(F_MortPayM,M53+M53*(F_MR/12)),0)</f>
        <v>0</v>
      </c>
      <c r="AA53" s="1" t="n">
        <f aca="false">IF(N53&gt;PR_BalDone,MIN(F_MortPayM,N53+N53*(F_MR/12)),0)</f>
        <v>0</v>
      </c>
      <c r="AB53" s="1" t="n">
        <f aca="false">MAX(0,O53)</f>
        <v>0</v>
      </c>
      <c r="AC53" s="1" t="n">
        <f aca="false">SUM(P53:AA53)</f>
        <v>0</v>
      </c>
      <c r="AD53" s="1" t="n">
        <f aca="false">'Plan cashflow'!L53</f>
        <v>0</v>
      </c>
      <c r="AE53" s="1" t="n">
        <f aca="false">IF(AD53&gt;PR_BalDone,AD53+AD53*(D_iC)-MIN(F_CardPayM,AD53+AD53*(D_iC)),AD53)</f>
        <v>0</v>
      </c>
      <c r="AF53" s="1" t="n">
        <f aca="false">IF(AE53&gt;PR_BalDone,AE53+AE53*(D_iC)-MIN(F_CardPayM,AE53+AE53*(D_iC)),AE53)</f>
        <v>0</v>
      </c>
      <c r="AG53" s="1" t="n">
        <f aca="false">IF(AF53&gt;PR_BalDone,AF53+AF53*(D_iC)-MIN(F_CardPayM,AF53+AF53*(D_iC)),AF53)</f>
        <v>0</v>
      </c>
      <c r="AH53" s="1" t="n">
        <f aca="false">IF(AG53&gt;PR_BalDone,AG53+AG53*(D_iC)-MIN(F_CardPayM,AG53+AG53*(D_iC)),AG53)</f>
        <v>0</v>
      </c>
      <c r="AI53" s="1" t="n">
        <f aca="false">IF(AH53&gt;PR_BalDone,AH53+AH53*(D_iC)-MIN(F_CardPayM,AH53+AH53*(D_iC)),AH53)</f>
        <v>0</v>
      </c>
      <c r="AJ53" s="1" t="n">
        <f aca="false">IF(AI53&gt;PR_BalDone,AI53+AI53*(D_iC)-MIN(F_CardPayM,AI53+AI53*(D_iC)),AI53)</f>
        <v>0</v>
      </c>
      <c r="AK53" s="1" t="n">
        <f aca="false">IF(AJ53&gt;PR_BalDone,AJ53+AJ53*(D_iC)-MIN(F_CardPayM,AJ53+AJ53*(D_iC)),AJ53)</f>
        <v>0</v>
      </c>
      <c r="AL53" s="1" t="n">
        <f aca="false">IF(AK53&gt;PR_BalDone,AK53+AK53*(D_iC)-MIN(F_CardPayM,AK53+AK53*(D_iC)),AK53)</f>
        <v>0</v>
      </c>
      <c r="AM53" s="1" t="n">
        <f aca="false">IF(AL53&gt;PR_BalDone,AL53+AL53*(D_iC)-MIN(F_CardPayM,AL53+AL53*(D_iC)),AL53)</f>
        <v>0</v>
      </c>
      <c r="AN53" s="1" t="n">
        <f aca="false">IF(AM53&gt;PR_BalDone,AM53+AM53*(D_iC)-MIN(F_CardPayM,AM53+AM53*(D_iC)),AM53)</f>
        <v>0</v>
      </c>
      <c r="AO53" s="1" t="n">
        <f aca="false">IF(AN53&gt;PR_BalDone,AN53+AN53*(D_iC)-MIN(F_CardPayM,AN53+AN53*(D_iC)),AN53)</f>
        <v>0</v>
      </c>
      <c r="AP53" s="1" t="n">
        <f aca="false">IF(AO53&gt;PR_BalDone,AO53+AO53*(D_iC)-MIN(F_CardPayM,AO53+AO53*(D_iC)),AO53)</f>
        <v>0</v>
      </c>
      <c r="AQ53" s="1" t="n">
        <f aca="false">IF(AD53&gt;PR_BalDone,MIN(F_CardPayM,AD53+AD53*(D_iC)),0)</f>
        <v>0</v>
      </c>
      <c r="AR53" s="1" t="n">
        <f aca="false">IF(AE53&gt;PR_BalDone,MIN(F_CardPayM,AE53+AE53*(D_iC)),0)</f>
        <v>0</v>
      </c>
      <c r="AS53" s="1" t="n">
        <f aca="false">IF(AF53&gt;PR_BalDone,MIN(F_CardPayM,AF53+AF53*(D_iC)),0)</f>
        <v>0</v>
      </c>
      <c r="AT53" s="1" t="n">
        <f aca="false">IF(AG53&gt;PR_BalDone,MIN(F_CardPayM,AG53+AG53*(D_iC)),0)</f>
        <v>0</v>
      </c>
      <c r="AU53" s="1" t="n">
        <f aca="false">IF(AH53&gt;PR_BalDone,MIN(F_CardPayM,AH53+AH53*(D_iC)),0)</f>
        <v>0</v>
      </c>
      <c r="AV53" s="1" t="n">
        <f aca="false">IF(AI53&gt;PR_BalDone,MIN(F_CardPayM,AI53+AI53*(D_iC)),0)</f>
        <v>0</v>
      </c>
      <c r="AW53" s="1" t="n">
        <f aca="false">IF(AJ53&gt;PR_BalDone,MIN(F_CardPayM,AJ53+AJ53*(D_iC)),0)</f>
        <v>0</v>
      </c>
      <c r="AX53" s="1" t="n">
        <f aca="false">IF(AK53&gt;PR_BalDone,MIN(F_CardPayM,AK53+AK53*(D_iC)),0)</f>
        <v>0</v>
      </c>
      <c r="AY53" s="1" t="n">
        <f aca="false">IF(AL53&gt;PR_BalDone,MIN(F_CardPayM,AL53+AL53*(D_iC)),0)</f>
        <v>0</v>
      </c>
      <c r="AZ53" s="1" t="n">
        <f aca="false">IF(AM53&gt;PR_BalDone,MIN(F_CardPayM,AM53+AM53*(D_iC)),0)</f>
        <v>0</v>
      </c>
      <c r="BA53" s="1" t="n">
        <f aca="false">IF(AN53&gt;PR_BalDone,MIN(F_CardPayM,AN53+AN53*(D_iC)),0)</f>
        <v>0</v>
      </c>
      <c r="BB53" s="1" t="n">
        <f aca="false">IF(AO53&gt;PR_BalDone,MIN(F_CardPayM,AO53+AO53*(D_iC)),0)</f>
        <v>0</v>
      </c>
      <c r="BC53" s="1" t="n">
        <f aca="false">MAX(0,AP53)</f>
        <v>0</v>
      </c>
      <c r="BD53" s="1" t="n">
        <f aca="false">SUM(AQ53:BB53)</f>
        <v>0</v>
      </c>
      <c r="BE53" s="1" t="n">
        <f aca="false">'Plan cashflow'!O53</f>
        <v>0</v>
      </c>
      <c r="BF53" s="1" t="n">
        <f aca="false">IF(BE53&gt;PR_BalDone,BE53+BE53*(D_iL)-MIN(F_LoanPayM,BE53+BE53*(D_iL)),BE53)</f>
        <v>0</v>
      </c>
      <c r="BG53" s="1" t="n">
        <f aca="false">IF(BF53&gt;PR_BalDone,BF53+BF53*(D_iL)-MIN(F_LoanPayM,BF53+BF53*(D_iL)),BF53)</f>
        <v>0</v>
      </c>
      <c r="BH53" s="1" t="n">
        <f aca="false">IF(BG53&gt;PR_BalDone,BG53+BG53*(D_iL)-MIN(F_LoanPayM,BG53+BG53*(D_iL)),BG53)</f>
        <v>0</v>
      </c>
      <c r="BI53" s="1" t="n">
        <f aca="false">IF(BH53&gt;PR_BalDone,BH53+BH53*(D_iL)-MIN(F_LoanPayM,BH53+BH53*(D_iL)),BH53)</f>
        <v>0</v>
      </c>
      <c r="BJ53" s="1" t="n">
        <f aca="false">IF(BI53&gt;PR_BalDone,BI53+BI53*(D_iL)-MIN(F_LoanPayM,BI53+BI53*(D_iL)),BI53)</f>
        <v>0</v>
      </c>
      <c r="BK53" s="1" t="n">
        <f aca="false">IF(BJ53&gt;PR_BalDone,BJ53+BJ53*(D_iL)-MIN(F_LoanPayM,BJ53+BJ53*(D_iL)),BJ53)</f>
        <v>0</v>
      </c>
      <c r="BL53" s="1" t="n">
        <f aca="false">IF(BK53&gt;PR_BalDone,BK53+BK53*(D_iL)-MIN(F_LoanPayM,BK53+BK53*(D_iL)),BK53)</f>
        <v>0</v>
      </c>
      <c r="BM53" s="1" t="n">
        <f aca="false">IF(BL53&gt;PR_BalDone,BL53+BL53*(D_iL)-MIN(F_LoanPayM,BL53+BL53*(D_iL)),BL53)</f>
        <v>0</v>
      </c>
      <c r="BN53" s="1" t="n">
        <f aca="false">IF(BM53&gt;PR_BalDone,BM53+BM53*(D_iL)-MIN(F_LoanPayM,BM53+BM53*(D_iL)),BM53)</f>
        <v>0</v>
      </c>
      <c r="BO53" s="1" t="n">
        <f aca="false">IF(BN53&gt;PR_BalDone,BN53+BN53*(D_iL)-MIN(F_LoanPayM,BN53+BN53*(D_iL)),BN53)</f>
        <v>0</v>
      </c>
      <c r="BP53" s="1" t="n">
        <f aca="false">IF(BO53&gt;PR_BalDone,BO53+BO53*(D_iL)-MIN(F_LoanPayM,BO53+BO53*(D_iL)),BO53)</f>
        <v>0</v>
      </c>
      <c r="BQ53" s="1" t="n">
        <f aca="false">IF(BP53&gt;PR_BalDone,BP53+BP53*(D_iL)-MIN(F_LoanPayM,BP53+BP53*(D_iL)),BP53)</f>
        <v>0</v>
      </c>
      <c r="BR53" s="1" t="n">
        <f aca="false">IF(BE53&gt;PR_BalDone,MIN(F_LoanPayM,BE53+BE53*(D_iL)),0)</f>
        <v>0</v>
      </c>
      <c r="BS53" s="1" t="n">
        <f aca="false">IF(BF53&gt;PR_BalDone,MIN(F_LoanPayM,BF53+BF53*(D_iL)),0)</f>
        <v>0</v>
      </c>
      <c r="BT53" s="1" t="n">
        <f aca="false">IF(BG53&gt;PR_BalDone,MIN(F_LoanPayM,BG53+BG53*(D_iL)),0)</f>
        <v>0</v>
      </c>
      <c r="BU53" s="1" t="n">
        <f aca="false">IF(BH53&gt;PR_BalDone,MIN(F_LoanPayM,BH53+BH53*(D_iL)),0)</f>
        <v>0</v>
      </c>
      <c r="BV53" s="1" t="n">
        <f aca="false">IF(BI53&gt;PR_BalDone,MIN(F_LoanPayM,BI53+BI53*(D_iL)),0)</f>
        <v>0</v>
      </c>
      <c r="BW53" s="1" t="n">
        <f aca="false">IF(BJ53&gt;PR_BalDone,MIN(F_LoanPayM,BJ53+BJ53*(D_iL)),0)</f>
        <v>0</v>
      </c>
      <c r="BX53" s="1" t="n">
        <f aca="false">IF(BK53&gt;PR_BalDone,MIN(F_LoanPayM,BK53+BK53*(D_iL)),0)</f>
        <v>0</v>
      </c>
      <c r="BY53" s="1" t="n">
        <f aca="false">IF(BL53&gt;PR_BalDone,MIN(F_LoanPayM,BL53+BL53*(D_iL)),0)</f>
        <v>0</v>
      </c>
      <c r="BZ53" s="1" t="n">
        <f aca="false">IF(BM53&gt;PR_BalDone,MIN(F_LoanPayM,BM53+BM53*(D_iL)),0)</f>
        <v>0</v>
      </c>
      <c r="CA53" s="1" t="n">
        <f aca="false">IF(BN53&gt;PR_BalDone,MIN(F_LoanPayM,BN53+BN53*(D_iL)),0)</f>
        <v>0</v>
      </c>
      <c r="CB53" s="1" t="n">
        <f aca="false">IF(BO53&gt;PR_BalDone,MIN(F_LoanPayM,BO53+BO53*(D_iL)),0)</f>
        <v>0</v>
      </c>
      <c r="CC53" s="1" t="n">
        <f aca="false">IF(BP53&gt;PR_BalDone,MIN(F_LoanPayM,BP53+BP53*(D_iL)),0)</f>
        <v>0</v>
      </c>
      <c r="CD53" s="1" t="n">
        <f aca="false">MAX(0,BQ53)</f>
        <v>0</v>
      </c>
      <c r="CE53" s="1" t="n">
        <f aca="false">SUM(BR53:CC53)</f>
        <v>0</v>
      </c>
      <c r="CF53" s="1" t="n">
        <f aca="false">IF(CF52&gt;1,DE52,CF52)</f>
        <v>0</v>
      </c>
      <c r="CG53" s="1" t="n">
        <f aca="false">IF(CF53&gt;PR_BalDone,CF53+CF53*(F_MR/12)-MIN(F_MortPayM,CF53+CF53*(F_MR/12)),CF53)</f>
        <v>0</v>
      </c>
      <c r="CH53" s="1" t="n">
        <f aca="false">IF(CG53&gt;PR_BalDone,CG53+CG53*(F_MR/12)-MIN(F_MortPayM,CG53+CG53*(F_MR/12)),CG53)</f>
        <v>0</v>
      </c>
      <c r="CI53" s="1" t="n">
        <f aca="false">IF(CH53&gt;PR_BalDone,CH53+CH53*(F_MR/12)-MIN(F_MortPayM,CH53+CH53*(F_MR/12)),CH53)</f>
        <v>0</v>
      </c>
      <c r="CJ53" s="1" t="n">
        <f aca="false">IF(CI53&gt;PR_BalDone,CI53+CI53*(F_MR/12)-MIN(F_MortPayM,CI53+CI53*(F_MR/12)),CI53)</f>
        <v>0</v>
      </c>
      <c r="CK53" s="1" t="n">
        <f aca="false">IF(CJ53&gt;PR_BalDone,CJ53+CJ53*(F_MR/12)-MIN(F_MortPayM,CJ53+CJ53*(F_MR/12)),CJ53)</f>
        <v>0</v>
      </c>
      <c r="CL53" s="1" t="n">
        <f aca="false">IF(CK53&gt;PR_BalDone,CK53+CK53*(F_MR/12)-MIN(F_MortPayM,CK53+CK53*(F_MR/12)),CK53)</f>
        <v>0</v>
      </c>
      <c r="CM53" s="1" t="n">
        <f aca="false">IF(CL53&gt;PR_BalDone,CL53+CL53*(F_MR/12)-MIN(F_MortPayM,CL53+CL53*(F_MR/12)),CL53)</f>
        <v>0</v>
      </c>
      <c r="CN53" s="1" t="n">
        <f aca="false">IF(CM53&gt;PR_BalDone,CM53+CM53*(F_MR/12)-MIN(F_MortPayM,CM53+CM53*(F_MR/12)),CM53)</f>
        <v>0</v>
      </c>
      <c r="CO53" s="1" t="n">
        <f aca="false">IF(CN53&gt;PR_BalDone,CN53+CN53*(F_MR/12)-MIN(F_MortPayM,CN53+CN53*(F_MR/12)),CN53)</f>
        <v>0</v>
      </c>
      <c r="CP53" s="1" t="n">
        <f aca="false">IF(CO53&gt;PR_BalDone,CO53+CO53*(F_MR/12)-MIN(F_MortPayM,CO53+CO53*(F_MR/12)),CO53)</f>
        <v>0</v>
      </c>
      <c r="CQ53" s="1" t="n">
        <f aca="false">IF(CP53&gt;PR_BalDone,CP53+CP53*(F_MR/12)-MIN(F_MortPayM,CP53+CP53*(F_MR/12)),CP53)</f>
        <v>0</v>
      </c>
      <c r="CR53" s="1" t="n">
        <f aca="false">IF(CQ53&gt;PR_BalDone,CQ53+CQ53*(F_MR/12)-MIN(F_MortPayM,CQ53+CQ53*(F_MR/12)),CQ53)</f>
        <v>0</v>
      </c>
      <c r="CS53" s="1" t="n">
        <f aca="false">IF(CF53&gt;PR_BalDone,MIN(F_MortPayM,CF53+CF53*(F_MR/12)),0)</f>
        <v>0</v>
      </c>
      <c r="CT53" s="1" t="n">
        <f aca="false">IF(CG53&gt;PR_BalDone,MIN(F_MortPayM,CG53+CG53*(F_MR/12)),0)</f>
        <v>0</v>
      </c>
      <c r="CU53" s="1" t="n">
        <f aca="false">IF(CH53&gt;PR_BalDone,MIN(F_MortPayM,CH53+CH53*(F_MR/12)),0)</f>
        <v>0</v>
      </c>
      <c r="CV53" s="1" t="n">
        <f aca="false">IF(CI53&gt;PR_BalDone,MIN(F_MortPayM,CI53+CI53*(F_MR/12)),0)</f>
        <v>0</v>
      </c>
      <c r="CW53" s="1" t="n">
        <f aca="false">IF(CJ53&gt;PR_BalDone,MIN(F_MortPayM,CJ53+CJ53*(F_MR/12)),0)</f>
        <v>0</v>
      </c>
      <c r="CX53" s="1" t="n">
        <f aca="false">IF(CK53&gt;PR_BalDone,MIN(F_MortPayM,CK53+CK53*(F_MR/12)),0)</f>
        <v>0</v>
      </c>
      <c r="CY53" s="1" t="n">
        <f aca="false">IF(CL53&gt;PR_BalDone,MIN(F_MortPayM,CL53+CL53*(F_MR/12)),0)</f>
        <v>0</v>
      </c>
      <c r="CZ53" s="1" t="n">
        <f aca="false">IF(CM53&gt;PR_BalDone,MIN(F_MortPayM,CM53+CM53*(F_MR/12)),0)</f>
        <v>0</v>
      </c>
      <c r="DA53" s="1" t="n">
        <f aca="false">IF(CN53&gt;PR_BalDone,MIN(F_MortPayM,CN53+CN53*(F_MR/12)),0)</f>
        <v>0</v>
      </c>
      <c r="DB53" s="1" t="n">
        <f aca="false">IF(CO53&gt;PR_BalDone,MIN(F_MortPayM,CO53+CO53*(F_MR/12)),0)</f>
        <v>0</v>
      </c>
      <c r="DC53" s="1" t="n">
        <f aca="false">IF(CP53&gt;PR_BalDone,MIN(F_MortPayM,CP53+CP53*(F_MR/12)),0)</f>
        <v>0</v>
      </c>
      <c r="DD53" s="1" t="n">
        <f aca="false">IF(CQ53&gt;PR_BalDone,MIN(F_MortPayM,CQ53+CQ53*(F_MR/12)),0)</f>
        <v>0</v>
      </c>
      <c r="DE53" s="1" t="n">
        <f aca="false">MAX(0,CR53)</f>
        <v>0</v>
      </c>
      <c r="DF53" s="1" t="n">
        <f aca="false">SUM(CS53:DD53)</f>
        <v>0</v>
      </c>
      <c r="DG53" s="1" t="n">
        <f aca="false">MAX(0,CF53)</f>
        <v>0</v>
      </c>
    </row>
    <row r="54" customFormat="false" ht="15" hidden="false" customHeight="true" outlineLevel="0" collapsed="false">
      <c r="B54" s="1" t="n">
        <v>46</v>
      </c>
      <c r="C54" s="1" t="n">
        <f aca="false">'Plan cashflow'!I54</f>
        <v>0</v>
      </c>
      <c r="D54" s="1" t="n">
        <f aca="false">IF(C54&gt;PR_BalDone,C54+C54*(F_MR/12)-MIN(F_MortPayM,C54+C54*(F_MR/12)),C54)</f>
        <v>0</v>
      </c>
      <c r="E54" s="1" t="n">
        <f aca="false">IF(D54&gt;PR_BalDone,D54+D54*(F_MR/12)-MIN(F_MortPayM,D54+D54*(F_MR/12)),D54)</f>
        <v>0</v>
      </c>
      <c r="F54" s="1" t="n">
        <f aca="false">IF(E54&gt;PR_BalDone,E54+E54*(F_MR/12)-MIN(F_MortPayM,E54+E54*(F_MR/12)),E54)</f>
        <v>0</v>
      </c>
      <c r="G54" s="1" t="n">
        <f aca="false">IF(F54&gt;PR_BalDone,F54+F54*(F_MR/12)-MIN(F_MortPayM,F54+F54*(F_MR/12)),F54)</f>
        <v>0</v>
      </c>
      <c r="H54" s="1" t="n">
        <f aca="false">IF(G54&gt;PR_BalDone,G54+G54*(F_MR/12)-MIN(F_MortPayM,G54+G54*(F_MR/12)),G54)</f>
        <v>0</v>
      </c>
      <c r="I54" s="1" t="n">
        <f aca="false">IF(H54&gt;PR_BalDone,H54+H54*(F_MR/12)-MIN(F_MortPayM,H54+H54*(F_MR/12)),H54)</f>
        <v>0</v>
      </c>
      <c r="J54" s="1" t="n">
        <f aca="false">IF(I54&gt;PR_BalDone,I54+I54*(F_MR/12)-MIN(F_MortPayM,I54+I54*(F_MR/12)),I54)</f>
        <v>0</v>
      </c>
      <c r="K54" s="1" t="n">
        <f aca="false">IF(J54&gt;PR_BalDone,J54+J54*(F_MR/12)-MIN(F_MortPayM,J54+J54*(F_MR/12)),J54)</f>
        <v>0</v>
      </c>
      <c r="L54" s="1" t="n">
        <f aca="false">IF(K54&gt;PR_BalDone,K54+K54*(F_MR/12)-MIN(F_MortPayM,K54+K54*(F_MR/12)),K54)</f>
        <v>0</v>
      </c>
      <c r="M54" s="1" t="n">
        <f aca="false">IF(L54&gt;PR_BalDone,L54+L54*(F_MR/12)-MIN(F_MortPayM,L54+L54*(F_MR/12)),L54)</f>
        <v>0</v>
      </c>
      <c r="N54" s="1" t="n">
        <f aca="false">IF(M54&gt;PR_BalDone,M54+M54*(F_MR/12)-MIN(F_MortPayM,M54+M54*(F_MR/12)),M54)</f>
        <v>0</v>
      </c>
      <c r="O54" s="1" t="n">
        <f aca="false">IF(N54&gt;PR_BalDone,N54+N54*(F_MR/12)-MIN(F_MortPayM,N54+N54*(F_MR/12)),N54)</f>
        <v>0</v>
      </c>
      <c r="P54" s="1" t="n">
        <f aca="false">IF(C54&gt;PR_BalDone,MIN(F_MortPayM,C54+C54*(F_MR/12)),0)</f>
        <v>0</v>
      </c>
      <c r="Q54" s="1" t="n">
        <f aca="false">IF(D54&gt;PR_BalDone,MIN(F_MortPayM,D54+D54*(F_MR/12)),0)</f>
        <v>0</v>
      </c>
      <c r="R54" s="1" t="n">
        <f aca="false">IF(E54&gt;PR_BalDone,MIN(F_MortPayM,E54+E54*(F_MR/12)),0)</f>
        <v>0</v>
      </c>
      <c r="S54" s="1" t="n">
        <f aca="false">IF(F54&gt;PR_BalDone,MIN(F_MortPayM,F54+F54*(F_MR/12)),0)</f>
        <v>0</v>
      </c>
      <c r="T54" s="1" t="n">
        <f aca="false">IF(G54&gt;PR_BalDone,MIN(F_MortPayM,G54+G54*(F_MR/12)),0)</f>
        <v>0</v>
      </c>
      <c r="U54" s="1" t="n">
        <f aca="false">IF(H54&gt;PR_BalDone,MIN(F_MortPayM,H54+H54*(F_MR/12)),0)</f>
        <v>0</v>
      </c>
      <c r="V54" s="1" t="n">
        <f aca="false">IF(I54&gt;PR_BalDone,MIN(F_MortPayM,I54+I54*(F_MR/12)),0)</f>
        <v>0</v>
      </c>
      <c r="W54" s="1" t="n">
        <f aca="false">IF(J54&gt;PR_BalDone,MIN(F_MortPayM,J54+J54*(F_MR/12)),0)</f>
        <v>0</v>
      </c>
      <c r="X54" s="1" t="n">
        <f aca="false">IF(K54&gt;PR_BalDone,MIN(F_MortPayM,K54+K54*(F_MR/12)),0)</f>
        <v>0</v>
      </c>
      <c r="Y54" s="1" t="n">
        <f aca="false">IF(L54&gt;PR_BalDone,MIN(F_MortPayM,L54+L54*(F_MR/12)),0)</f>
        <v>0</v>
      </c>
      <c r="Z54" s="1" t="n">
        <f aca="false">IF(M54&gt;PR_BalDone,MIN(F_MortPayM,M54+M54*(F_MR/12)),0)</f>
        <v>0</v>
      </c>
      <c r="AA54" s="1" t="n">
        <f aca="false">IF(N54&gt;PR_BalDone,MIN(F_MortPayM,N54+N54*(F_MR/12)),0)</f>
        <v>0</v>
      </c>
      <c r="AB54" s="1" t="n">
        <f aca="false">MAX(0,O54)</f>
        <v>0</v>
      </c>
      <c r="AC54" s="1" t="n">
        <f aca="false">SUM(P54:AA54)</f>
        <v>0</v>
      </c>
      <c r="AD54" s="1" t="n">
        <f aca="false">'Plan cashflow'!L54</f>
        <v>0</v>
      </c>
      <c r="AE54" s="1" t="n">
        <f aca="false">IF(AD54&gt;PR_BalDone,AD54+AD54*(D_iC)-MIN(F_CardPayM,AD54+AD54*(D_iC)),AD54)</f>
        <v>0</v>
      </c>
      <c r="AF54" s="1" t="n">
        <f aca="false">IF(AE54&gt;PR_BalDone,AE54+AE54*(D_iC)-MIN(F_CardPayM,AE54+AE54*(D_iC)),AE54)</f>
        <v>0</v>
      </c>
      <c r="AG54" s="1" t="n">
        <f aca="false">IF(AF54&gt;PR_BalDone,AF54+AF54*(D_iC)-MIN(F_CardPayM,AF54+AF54*(D_iC)),AF54)</f>
        <v>0</v>
      </c>
      <c r="AH54" s="1" t="n">
        <f aca="false">IF(AG54&gt;PR_BalDone,AG54+AG54*(D_iC)-MIN(F_CardPayM,AG54+AG54*(D_iC)),AG54)</f>
        <v>0</v>
      </c>
      <c r="AI54" s="1" t="n">
        <f aca="false">IF(AH54&gt;PR_BalDone,AH54+AH54*(D_iC)-MIN(F_CardPayM,AH54+AH54*(D_iC)),AH54)</f>
        <v>0</v>
      </c>
      <c r="AJ54" s="1" t="n">
        <f aca="false">IF(AI54&gt;PR_BalDone,AI54+AI54*(D_iC)-MIN(F_CardPayM,AI54+AI54*(D_iC)),AI54)</f>
        <v>0</v>
      </c>
      <c r="AK54" s="1" t="n">
        <f aca="false">IF(AJ54&gt;PR_BalDone,AJ54+AJ54*(D_iC)-MIN(F_CardPayM,AJ54+AJ54*(D_iC)),AJ54)</f>
        <v>0</v>
      </c>
      <c r="AL54" s="1" t="n">
        <f aca="false">IF(AK54&gt;PR_BalDone,AK54+AK54*(D_iC)-MIN(F_CardPayM,AK54+AK54*(D_iC)),AK54)</f>
        <v>0</v>
      </c>
      <c r="AM54" s="1" t="n">
        <f aca="false">IF(AL54&gt;PR_BalDone,AL54+AL54*(D_iC)-MIN(F_CardPayM,AL54+AL54*(D_iC)),AL54)</f>
        <v>0</v>
      </c>
      <c r="AN54" s="1" t="n">
        <f aca="false">IF(AM54&gt;PR_BalDone,AM54+AM54*(D_iC)-MIN(F_CardPayM,AM54+AM54*(D_iC)),AM54)</f>
        <v>0</v>
      </c>
      <c r="AO54" s="1" t="n">
        <f aca="false">IF(AN54&gt;PR_BalDone,AN54+AN54*(D_iC)-MIN(F_CardPayM,AN54+AN54*(D_iC)),AN54)</f>
        <v>0</v>
      </c>
      <c r="AP54" s="1" t="n">
        <f aca="false">IF(AO54&gt;PR_BalDone,AO54+AO54*(D_iC)-MIN(F_CardPayM,AO54+AO54*(D_iC)),AO54)</f>
        <v>0</v>
      </c>
      <c r="AQ54" s="1" t="n">
        <f aca="false">IF(AD54&gt;PR_BalDone,MIN(F_CardPayM,AD54+AD54*(D_iC)),0)</f>
        <v>0</v>
      </c>
      <c r="AR54" s="1" t="n">
        <f aca="false">IF(AE54&gt;PR_BalDone,MIN(F_CardPayM,AE54+AE54*(D_iC)),0)</f>
        <v>0</v>
      </c>
      <c r="AS54" s="1" t="n">
        <f aca="false">IF(AF54&gt;PR_BalDone,MIN(F_CardPayM,AF54+AF54*(D_iC)),0)</f>
        <v>0</v>
      </c>
      <c r="AT54" s="1" t="n">
        <f aca="false">IF(AG54&gt;PR_BalDone,MIN(F_CardPayM,AG54+AG54*(D_iC)),0)</f>
        <v>0</v>
      </c>
      <c r="AU54" s="1" t="n">
        <f aca="false">IF(AH54&gt;PR_BalDone,MIN(F_CardPayM,AH54+AH54*(D_iC)),0)</f>
        <v>0</v>
      </c>
      <c r="AV54" s="1" t="n">
        <f aca="false">IF(AI54&gt;PR_BalDone,MIN(F_CardPayM,AI54+AI54*(D_iC)),0)</f>
        <v>0</v>
      </c>
      <c r="AW54" s="1" t="n">
        <f aca="false">IF(AJ54&gt;PR_BalDone,MIN(F_CardPayM,AJ54+AJ54*(D_iC)),0)</f>
        <v>0</v>
      </c>
      <c r="AX54" s="1" t="n">
        <f aca="false">IF(AK54&gt;PR_BalDone,MIN(F_CardPayM,AK54+AK54*(D_iC)),0)</f>
        <v>0</v>
      </c>
      <c r="AY54" s="1" t="n">
        <f aca="false">IF(AL54&gt;PR_BalDone,MIN(F_CardPayM,AL54+AL54*(D_iC)),0)</f>
        <v>0</v>
      </c>
      <c r="AZ54" s="1" t="n">
        <f aca="false">IF(AM54&gt;PR_BalDone,MIN(F_CardPayM,AM54+AM54*(D_iC)),0)</f>
        <v>0</v>
      </c>
      <c r="BA54" s="1" t="n">
        <f aca="false">IF(AN54&gt;PR_BalDone,MIN(F_CardPayM,AN54+AN54*(D_iC)),0)</f>
        <v>0</v>
      </c>
      <c r="BB54" s="1" t="n">
        <f aca="false">IF(AO54&gt;PR_BalDone,MIN(F_CardPayM,AO54+AO54*(D_iC)),0)</f>
        <v>0</v>
      </c>
      <c r="BC54" s="1" t="n">
        <f aca="false">MAX(0,AP54)</f>
        <v>0</v>
      </c>
      <c r="BD54" s="1" t="n">
        <f aca="false">SUM(AQ54:BB54)</f>
        <v>0</v>
      </c>
      <c r="BE54" s="1" t="n">
        <f aca="false">'Plan cashflow'!O54</f>
        <v>0</v>
      </c>
      <c r="BF54" s="1" t="n">
        <f aca="false">IF(BE54&gt;PR_BalDone,BE54+BE54*(D_iL)-MIN(F_LoanPayM,BE54+BE54*(D_iL)),BE54)</f>
        <v>0</v>
      </c>
      <c r="BG54" s="1" t="n">
        <f aca="false">IF(BF54&gt;PR_BalDone,BF54+BF54*(D_iL)-MIN(F_LoanPayM,BF54+BF54*(D_iL)),BF54)</f>
        <v>0</v>
      </c>
      <c r="BH54" s="1" t="n">
        <f aca="false">IF(BG54&gt;PR_BalDone,BG54+BG54*(D_iL)-MIN(F_LoanPayM,BG54+BG54*(D_iL)),BG54)</f>
        <v>0</v>
      </c>
      <c r="BI54" s="1" t="n">
        <f aca="false">IF(BH54&gt;PR_BalDone,BH54+BH54*(D_iL)-MIN(F_LoanPayM,BH54+BH54*(D_iL)),BH54)</f>
        <v>0</v>
      </c>
      <c r="BJ54" s="1" t="n">
        <f aca="false">IF(BI54&gt;PR_BalDone,BI54+BI54*(D_iL)-MIN(F_LoanPayM,BI54+BI54*(D_iL)),BI54)</f>
        <v>0</v>
      </c>
      <c r="BK54" s="1" t="n">
        <f aca="false">IF(BJ54&gt;PR_BalDone,BJ54+BJ54*(D_iL)-MIN(F_LoanPayM,BJ54+BJ54*(D_iL)),BJ54)</f>
        <v>0</v>
      </c>
      <c r="BL54" s="1" t="n">
        <f aca="false">IF(BK54&gt;PR_BalDone,BK54+BK54*(D_iL)-MIN(F_LoanPayM,BK54+BK54*(D_iL)),BK54)</f>
        <v>0</v>
      </c>
      <c r="BM54" s="1" t="n">
        <f aca="false">IF(BL54&gt;PR_BalDone,BL54+BL54*(D_iL)-MIN(F_LoanPayM,BL54+BL54*(D_iL)),BL54)</f>
        <v>0</v>
      </c>
      <c r="BN54" s="1" t="n">
        <f aca="false">IF(BM54&gt;PR_BalDone,BM54+BM54*(D_iL)-MIN(F_LoanPayM,BM54+BM54*(D_iL)),BM54)</f>
        <v>0</v>
      </c>
      <c r="BO54" s="1" t="n">
        <f aca="false">IF(BN54&gt;PR_BalDone,BN54+BN54*(D_iL)-MIN(F_LoanPayM,BN54+BN54*(D_iL)),BN54)</f>
        <v>0</v>
      </c>
      <c r="BP54" s="1" t="n">
        <f aca="false">IF(BO54&gt;PR_BalDone,BO54+BO54*(D_iL)-MIN(F_LoanPayM,BO54+BO54*(D_iL)),BO54)</f>
        <v>0</v>
      </c>
      <c r="BQ54" s="1" t="n">
        <f aca="false">IF(BP54&gt;PR_BalDone,BP54+BP54*(D_iL)-MIN(F_LoanPayM,BP54+BP54*(D_iL)),BP54)</f>
        <v>0</v>
      </c>
      <c r="BR54" s="1" t="n">
        <f aca="false">IF(BE54&gt;PR_BalDone,MIN(F_LoanPayM,BE54+BE54*(D_iL)),0)</f>
        <v>0</v>
      </c>
      <c r="BS54" s="1" t="n">
        <f aca="false">IF(BF54&gt;PR_BalDone,MIN(F_LoanPayM,BF54+BF54*(D_iL)),0)</f>
        <v>0</v>
      </c>
      <c r="BT54" s="1" t="n">
        <f aca="false">IF(BG54&gt;PR_BalDone,MIN(F_LoanPayM,BG54+BG54*(D_iL)),0)</f>
        <v>0</v>
      </c>
      <c r="BU54" s="1" t="n">
        <f aca="false">IF(BH54&gt;PR_BalDone,MIN(F_LoanPayM,BH54+BH54*(D_iL)),0)</f>
        <v>0</v>
      </c>
      <c r="BV54" s="1" t="n">
        <f aca="false">IF(BI54&gt;PR_BalDone,MIN(F_LoanPayM,BI54+BI54*(D_iL)),0)</f>
        <v>0</v>
      </c>
      <c r="BW54" s="1" t="n">
        <f aca="false">IF(BJ54&gt;PR_BalDone,MIN(F_LoanPayM,BJ54+BJ54*(D_iL)),0)</f>
        <v>0</v>
      </c>
      <c r="BX54" s="1" t="n">
        <f aca="false">IF(BK54&gt;PR_BalDone,MIN(F_LoanPayM,BK54+BK54*(D_iL)),0)</f>
        <v>0</v>
      </c>
      <c r="BY54" s="1" t="n">
        <f aca="false">IF(BL54&gt;PR_BalDone,MIN(F_LoanPayM,BL54+BL54*(D_iL)),0)</f>
        <v>0</v>
      </c>
      <c r="BZ54" s="1" t="n">
        <f aca="false">IF(BM54&gt;PR_BalDone,MIN(F_LoanPayM,BM54+BM54*(D_iL)),0)</f>
        <v>0</v>
      </c>
      <c r="CA54" s="1" t="n">
        <f aca="false">IF(BN54&gt;PR_BalDone,MIN(F_LoanPayM,BN54+BN54*(D_iL)),0)</f>
        <v>0</v>
      </c>
      <c r="CB54" s="1" t="n">
        <f aca="false">IF(BO54&gt;PR_BalDone,MIN(F_LoanPayM,BO54+BO54*(D_iL)),0)</f>
        <v>0</v>
      </c>
      <c r="CC54" s="1" t="n">
        <f aca="false">IF(BP54&gt;PR_BalDone,MIN(F_LoanPayM,BP54+BP54*(D_iL)),0)</f>
        <v>0</v>
      </c>
      <c r="CD54" s="1" t="n">
        <f aca="false">MAX(0,BQ54)</f>
        <v>0</v>
      </c>
      <c r="CE54" s="1" t="n">
        <f aca="false">SUM(BR54:CC54)</f>
        <v>0</v>
      </c>
      <c r="CF54" s="1" t="n">
        <f aca="false">IF(CF53&gt;1,DE53,CF53)</f>
        <v>0</v>
      </c>
      <c r="CG54" s="1" t="n">
        <f aca="false">IF(CF54&gt;PR_BalDone,CF54+CF54*(F_MR/12)-MIN(F_MortPayM,CF54+CF54*(F_MR/12)),CF54)</f>
        <v>0</v>
      </c>
      <c r="CH54" s="1" t="n">
        <f aca="false">IF(CG54&gt;PR_BalDone,CG54+CG54*(F_MR/12)-MIN(F_MortPayM,CG54+CG54*(F_MR/12)),CG54)</f>
        <v>0</v>
      </c>
      <c r="CI54" s="1" t="n">
        <f aca="false">IF(CH54&gt;PR_BalDone,CH54+CH54*(F_MR/12)-MIN(F_MortPayM,CH54+CH54*(F_MR/12)),CH54)</f>
        <v>0</v>
      </c>
      <c r="CJ54" s="1" t="n">
        <f aca="false">IF(CI54&gt;PR_BalDone,CI54+CI54*(F_MR/12)-MIN(F_MortPayM,CI54+CI54*(F_MR/12)),CI54)</f>
        <v>0</v>
      </c>
      <c r="CK54" s="1" t="n">
        <f aca="false">IF(CJ54&gt;PR_BalDone,CJ54+CJ54*(F_MR/12)-MIN(F_MortPayM,CJ54+CJ54*(F_MR/12)),CJ54)</f>
        <v>0</v>
      </c>
      <c r="CL54" s="1" t="n">
        <f aca="false">IF(CK54&gt;PR_BalDone,CK54+CK54*(F_MR/12)-MIN(F_MortPayM,CK54+CK54*(F_MR/12)),CK54)</f>
        <v>0</v>
      </c>
      <c r="CM54" s="1" t="n">
        <f aca="false">IF(CL54&gt;PR_BalDone,CL54+CL54*(F_MR/12)-MIN(F_MortPayM,CL54+CL54*(F_MR/12)),CL54)</f>
        <v>0</v>
      </c>
      <c r="CN54" s="1" t="n">
        <f aca="false">IF(CM54&gt;PR_BalDone,CM54+CM54*(F_MR/12)-MIN(F_MortPayM,CM54+CM54*(F_MR/12)),CM54)</f>
        <v>0</v>
      </c>
      <c r="CO54" s="1" t="n">
        <f aca="false">IF(CN54&gt;PR_BalDone,CN54+CN54*(F_MR/12)-MIN(F_MortPayM,CN54+CN54*(F_MR/12)),CN54)</f>
        <v>0</v>
      </c>
      <c r="CP54" s="1" t="n">
        <f aca="false">IF(CO54&gt;PR_BalDone,CO54+CO54*(F_MR/12)-MIN(F_MortPayM,CO54+CO54*(F_MR/12)),CO54)</f>
        <v>0</v>
      </c>
      <c r="CQ54" s="1" t="n">
        <f aca="false">IF(CP54&gt;PR_BalDone,CP54+CP54*(F_MR/12)-MIN(F_MortPayM,CP54+CP54*(F_MR/12)),CP54)</f>
        <v>0</v>
      </c>
      <c r="CR54" s="1" t="n">
        <f aca="false">IF(CQ54&gt;PR_BalDone,CQ54+CQ54*(F_MR/12)-MIN(F_MortPayM,CQ54+CQ54*(F_MR/12)),CQ54)</f>
        <v>0</v>
      </c>
      <c r="CS54" s="1" t="n">
        <f aca="false">IF(CF54&gt;PR_BalDone,MIN(F_MortPayM,CF54+CF54*(F_MR/12)),0)</f>
        <v>0</v>
      </c>
      <c r="CT54" s="1" t="n">
        <f aca="false">IF(CG54&gt;PR_BalDone,MIN(F_MortPayM,CG54+CG54*(F_MR/12)),0)</f>
        <v>0</v>
      </c>
      <c r="CU54" s="1" t="n">
        <f aca="false">IF(CH54&gt;PR_BalDone,MIN(F_MortPayM,CH54+CH54*(F_MR/12)),0)</f>
        <v>0</v>
      </c>
      <c r="CV54" s="1" t="n">
        <f aca="false">IF(CI54&gt;PR_BalDone,MIN(F_MortPayM,CI54+CI54*(F_MR/12)),0)</f>
        <v>0</v>
      </c>
      <c r="CW54" s="1" t="n">
        <f aca="false">IF(CJ54&gt;PR_BalDone,MIN(F_MortPayM,CJ54+CJ54*(F_MR/12)),0)</f>
        <v>0</v>
      </c>
      <c r="CX54" s="1" t="n">
        <f aca="false">IF(CK54&gt;PR_BalDone,MIN(F_MortPayM,CK54+CK54*(F_MR/12)),0)</f>
        <v>0</v>
      </c>
      <c r="CY54" s="1" t="n">
        <f aca="false">IF(CL54&gt;PR_BalDone,MIN(F_MortPayM,CL54+CL54*(F_MR/12)),0)</f>
        <v>0</v>
      </c>
      <c r="CZ54" s="1" t="n">
        <f aca="false">IF(CM54&gt;PR_BalDone,MIN(F_MortPayM,CM54+CM54*(F_MR/12)),0)</f>
        <v>0</v>
      </c>
      <c r="DA54" s="1" t="n">
        <f aca="false">IF(CN54&gt;PR_BalDone,MIN(F_MortPayM,CN54+CN54*(F_MR/12)),0)</f>
        <v>0</v>
      </c>
      <c r="DB54" s="1" t="n">
        <f aca="false">IF(CO54&gt;PR_BalDone,MIN(F_MortPayM,CO54+CO54*(F_MR/12)),0)</f>
        <v>0</v>
      </c>
      <c r="DC54" s="1" t="n">
        <f aca="false">IF(CP54&gt;PR_BalDone,MIN(F_MortPayM,CP54+CP54*(F_MR/12)),0)</f>
        <v>0</v>
      </c>
      <c r="DD54" s="1" t="n">
        <f aca="false">IF(CQ54&gt;PR_BalDone,MIN(F_MortPayM,CQ54+CQ54*(F_MR/12)),0)</f>
        <v>0</v>
      </c>
      <c r="DE54" s="1" t="n">
        <f aca="false">MAX(0,CR54)</f>
        <v>0</v>
      </c>
      <c r="DF54" s="1" t="n">
        <f aca="false">SUM(CS54:DD54)</f>
        <v>0</v>
      </c>
      <c r="DG54" s="1" t="n">
        <f aca="false">MAX(0,CF54)</f>
        <v>0</v>
      </c>
    </row>
    <row r="55" customFormat="false" ht="15" hidden="false" customHeight="true" outlineLevel="0" collapsed="false">
      <c r="B55" s="1" t="n">
        <v>47</v>
      </c>
      <c r="C55" s="1" t="n">
        <f aca="false">'Plan cashflow'!I55</f>
        <v>0</v>
      </c>
      <c r="D55" s="1" t="n">
        <f aca="false">IF(C55&gt;PR_BalDone,C55+C55*(F_MR/12)-MIN(F_MortPayM,C55+C55*(F_MR/12)),C55)</f>
        <v>0</v>
      </c>
      <c r="E55" s="1" t="n">
        <f aca="false">IF(D55&gt;PR_BalDone,D55+D55*(F_MR/12)-MIN(F_MortPayM,D55+D55*(F_MR/12)),D55)</f>
        <v>0</v>
      </c>
      <c r="F55" s="1" t="n">
        <f aca="false">IF(E55&gt;PR_BalDone,E55+E55*(F_MR/12)-MIN(F_MortPayM,E55+E55*(F_MR/12)),E55)</f>
        <v>0</v>
      </c>
      <c r="G55" s="1" t="n">
        <f aca="false">IF(F55&gt;PR_BalDone,F55+F55*(F_MR/12)-MIN(F_MortPayM,F55+F55*(F_MR/12)),F55)</f>
        <v>0</v>
      </c>
      <c r="H55" s="1" t="n">
        <f aca="false">IF(G55&gt;PR_BalDone,G55+G55*(F_MR/12)-MIN(F_MortPayM,G55+G55*(F_MR/12)),G55)</f>
        <v>0</v>
      </c>
      <c r="I55" s="1" t="n">
        <f aca="false">IF(H55&gt;PR_BalDone,H55+H55*(F_MR/12)-MIN(F_MortPayM,H55+H55*(F_MR/12)),H55)</f>
        <v>0</v>
      </c>
      <c r="J55" s="1" t="n">
        <f aca="false">IF(I55&gt;PR_BalDone,I55+I55*(F_MR/12)-MIN(F_MortPayM,I55+I55*(F_MR/12)),I55)</f>
        <v>0</v>
      </c>
      <c r="K55" s="1" t="n">
        <f aca="false">IF(J55&gt;PR_BalDone,J55+J55*(F_MR/12)-MIN(F_MortPayM,J55+J55*(F_MR/12)),J55)</f>
        <v>0</v>
      </c>
      <c r="L55" s="1" t="n">
        <f aca="false">IF(K55&gt;PR_BalDone,K55+K55*(F_MR/12)-MIN(F_MortPayM,K55+K55*(F_MR/12)),K55)</f>
        <v>0</v>
      </c>
      <c r="M55" s="1" t="n">
        <f aca="false">IF(L55&gt;PR_BalDone,L55+L55*(F_MR/12)-MIN(F_MortPayM,L55+L55*(F_MR/12)),L55)</f>
        <v>0</v>
      </c>
      <c r="N55" s="1" t="n">
        <f aca="false">IF(M55&gt;PR_BalDone,M55+M55*(F_MR/12)-MIN(F_MortPayM,M55+M55*(F_MR/12)),M55)</f>
        <v>0</v>
      </c>
      <c r="O55" s="1" t="n">
        <f aca="false">IF(N55&gt;PR_BalDone,N55+N55*(F_MR/12)-MIN(F_MortPayM,N55+N55*(F_MR/12)),N55)</f>
        <v>0</v>
      </c>
      <c r="P55" s="1" t="n">
        <f aca="false">IF(C55&gt;PR_BalDone,MIN(F_MortPayM,C55+C55*(F_MR/12)),0)</f>
        <v>0</v>
      </c>
      <c r="Q55" s="1" t="n">
        <f aca="false">IF(D55&gt;PR_BalDone,MIN(F_MortPayM,D55+D55*(F_MR/12)),0)</f>
        <v>0</v>
      </c>
      <c r="R55" s="1" t="n">
        <f aca="false">IF(E55&gt;PR_BalDone,MIN(F_MortPayM,E55+E55*(F_MR/12)),0)</f>
        <v>0</v>
      </c>
      <c r="S55" s="1" t="n">
        <f aca="false">IF(F55&gt;PR_BalDone,MIN(F_MortPayM,F55+F55*(F_MR/12)),0)</f>
        <v>0</v>
      </c>
      <c r="T55" s="1" t="n">
        <f aca="false">IF(G55&gt;PR_BalDone,MIN(F_MortPayM,G55+G55*(F_MR/12)),0)</f>
        <v>0</v>
      </c>
      <c r="U55" s="1" t="n">
        <f aca="false">IF(H55&gt;PR_BalDone,MIN(F_MortPayM,H55+H55*(F_MR/12)),0)</f>
        <v>0</v>
      </c>
      <c r="V55" s="1" t="n">
        <f aca="false">IF(I55&gt;PR_BalDone,MIN(F_MortPayM,I55+I55*(F_MR/12)),0)</f>
        <v>0</v>
      </c>
      <c r="W55" s="1" t="n">
        <f aca="false">IF(J55&gt;PR_BalDone,MIN(F_MortPayM,J55+J55*(F_MR/12)),0)</f>
        <v>0</v>
      </c>
      <c r="X55" s="1" t="n">
        <f aca="false">IF(K55&gt;PR_BalDone,MIN(F_MortPayM,K55+K55*(F_MR/12)),0)</f>
        <v>0</v>
      </c>
      <c r="Y55" s="1" t="n">
        <f aca="false">IF(L55&gt;PR_BalDone,MIN(F_MortPayM,L55+L55*(F_MR/12)),0)</f>
        <v>0</v>
      </c>
      <c r="Z55" s="1" t="n">
        <f aca="false">IF(M55&gt;PR_BalDone,MIN(F_MortPayM,M55+M55*(F_MR/12)),0)</f>
        <v>0</v>
      </c>
      <c r="AA55" s="1" t="n">
        <f aca="false">IF(N55&gt;PR_BalDone,MIN(F_MortPayM,N55+N55*(F_MR/12)),0)</f>
        <v>0</v>
      </c>
      <c r="AB55" s="1" t="n">
        <f aca="false">MAX(0,O55)</f>
        <v>0</v>
      </c>
      <c r="AC55" s="1" t="n">
        <f aca="false">SUM(P55:AA55)</f>
        <v>0</v>
      </c>
      <c r="AD55" s="1" t="n">
        <f aca="false">'Plan cashflow'!L55</f>
        <v>0</v>
      </c>
      <c r="AE55" s="1" t="n">
        <f aca="false">IF(AD55&gt;PR_BalDone,AD55+AD55*(D_iC)-MIN(F_CardPayM,AD55+AD55*(D_iC)),AD55)</f>
        <v>0</v>
      </c>
      <c r="AF55" s="1" t="n">
        <f aca="false">IF(AE55&gt;PR_BalDone,AE55+AE55*(D_iC)-MIN(F_CardPayM,AE55+AE55*(D_iC)),AE55)</f>
        <v>0</v>
      </c>
      <c r="AG55" s="1" t="n">
        <f aca="false">IF(AF55&gt;PR_BalDone,AF55+AF55*(D_iC)-MIN(F_CardPayM,AF55+AF55*(D_iC)),AF55)</f>
        <v>0</v>
      </c>
      <c r="AH55" s="1" t="n">
        <f aca="false">IF(AG55&gt;PR_BalDone,AG55+AG55*(D_iC)-MIN(F_CardPayM,AG55+AG55*(D_iC)),AG55)</f>
        <v>0</v>
      </c>
      <c r="AI55" s="1" t="n">
        <f aca="false">IF(AH55&gt;PR_BalDone,AH55+AH55*(D_iC)-MIN(F_CardPayM,AH55+AH55*(D_iC)),AH55)</f>
        <v>0</v>
      </c>
      <c r="AJ55" s="1" t="n">
        <f aca="false">IF(AI55&gt;PR_BalDone,AI55+AI55*(D_iC)-MIN(F_CardPayM,AI55+AI55*(D_iC)),AI55)</f>
        <v>0</v>
      </c>
      <c r="AK55" s="1" t="n">
        <f aca="false">IF(AJ55&gt;PR_BalDone,AJ55+AJ55*(D_iC)-MIN(F_CardPayM,AJ55+AJ55*(D_iC)),AJ55)</f>
        <v>0</v>
      </c>
      <c r="AL55" s="1" t="n">
        <f aca="false">IF(AK55&gt;PR_BalDone,AK55+AK55*(D_iC)-MIN(F_CardPayM,AK55+AK55*(D_iC)),AK55)</f>
        <v>0</v>
      </c>
      <c r="AM55" s="1" t="n">
        <f aca="false">IF(AL55&gt;PR_BalDone,AL55+AL55*(D_iC)-MIN(F_CardPayM,AL55+AL55*(D_iC)),AL55)</f>
        <v>0</v>
      </c>
      <c r="AN55" s="1" t="n">
        <f aca="false">IF(AM55&gt;PR_BalDone,AM55+AM55*(D_iC)-MIN(F_CardPayM,AM55+AM55*(D_iC)),AM55)</f>
        <v>0</v>
      </c>
      <c r="AO55" s="1" t="n">
        <f aca="false">IF(AN55&gt;PR_BalDone,AN55+AN55*(D_iC)-MIN(F_CardPayM,AN55+AN55*(D_iC)),AN55)</f>
        <v>0</v>
      </c>
      <c r="AP55" s="1" t="n">
        <f aca="false">IF(AO55&gt;PR_BalDone,AO55+AO55*(D_iC)-MIN(F_CardPayM,AO55+AO55*(D_iC)),AO55)</f>
        <v>0</v>
      </c>
      <c r="AQ55" s="1" t="n">
        <f aca="false">IF(AD55&gt;PR_BalDone,MIN(F_CardPayM,AD55+AD55*(D_iC)),0)</f>
        <v>0</v>
      </c>
      <c r="AR55" s="1" t="n">
        <f aca="false">IF(AE55&gt;PR_BalDone,MIN(F_CardPayM,AE55+AE55*(D_iC)),0)</f>
        <v>0</v>
      </c>
      <c r="AS55" s="1" t="n">
        <f aca="false">IF(AF55&gt;PR_BalDone,MIN(F_CardPayM,AF55+AF55*(D_iC)),0)</f>
        <v>0</v>
      </c>
      <c r="AT55" s="1" t="n">
        <f aca="false">IF(AG55&gt;PR_BalDone,MIN(F_CardPayM,AG55+AG55*(D_iC)),0)</f>
        <v>0</v>
      </c>
      <c r="AU55" s="1" t="n">
        <f aca="false">IF(AH55&gt;PR_BalDone,MIN(F_CardPayM,AH55+AH55*(D_iC)),0)</f>
        <v>0</v>
      </c>
      <c r="AV55" s="1" t="n">
        <f aca="false">IF(AI55&gt;PR_BalDone,MIN(F_CardPayM,AI55+AI55*(D_iC)),0)</f>
        <v>0</v>
      </c>
      <c r="AW55" s="1" t="n">
        <f aca="false">IF(AJ55&gt;PR_BalDone,MIN(F_CardPayM,AJ55+AJ55*(D_iC)),0)</f>
        <v>0</v>
      </c>
      <c r="AX55" s="1" t="n">
        <f aca="false">IF(AK55&gt;PR_BalDone,MIN(F_CardPayM,AK55+AK55*(D_iC)),0)</f>
        <v>0</v>
      </c>
      <c r="AY55" s="1" t="n">
        <f aca="false">IF(AL55&gt;PR_BalDone,MIN(F_CardPayM,AL55+AL55*(D_iC)),0)</f>
        <v>0</v>
      </c>
      <c r="AZ55" s="1" t="n">
        <f aca="false">IF(AM55&gt;PR_BalDone,MIN(F_CardPayM,AM55+AM55*(D_iC)),0)</f>
        <v>0</v>
      </c>
      <c r="BA55" s="1" t="n">
        <f aca="false">IF(AN55&gt;PR_BalDone,MIN(F_CardPayM,AN55+AN55*(D_iC)),0)</f>
        <v>0</v>
      </c>
      <c r="BB55" s="1" t="n">
        <f aca="false">IF(AO55&gt;PR_BalDone,MIN(F_CardPayM,AO55+AO55*(D_iC)),0)</f>
        <v>0</v>
      </c>
      <c r="BC55" s="1" t="n">
        <f aca="false">MAX(0,AP55)</f>
        <v>0</v>
      </c>
      <c r="BD55" s="1" t="n">
        <f aca="false">SUM(AQ55:BB55)</f>
        <v>0</v>
      </c>
      <c r="BE55" s="1" t="n">
        <f aca="false">'Plan cashflow'!O55</f>
        <v>0</v>
      </c>
      <c r="BF55" s="1" t="n">
        <f aca="false">IF(BE55&gt;PR_BalDone,BE55+BE55*(D_iL)-MIN(F_LoanPayM,BE55+BE55*(D_iL)),BE55)</f>
        <v>0</v>
      </c>
      <c r="BG55" s="1" t="n">
        <f aca="false">IF(BF55&gt;PR_BalDone,BF55+BF55*(D_iL)-MIN(F_LoanPayM,BF55+BF55*(D_iL)),BF55)</f>
        <v>0</v>
      </c>
      <c r="BH55" s="1" t="n">
        <f aca="false">IF(BG55&gt;PR_BalDone,BG55+BG55*(D_iL)-MIN(F_LoanPayM,BG55+BG55*(D_iL)),BG55)</f>
        <v>0</v>
      </c>
      <c r="BI55" s="1" t="n">
        <f aca="false">IF(BH55&gt;PR_BalDone,BH55+BH55*(D_iL)-MIN(F_LoanPayM,BH55+BH55*(D_iL)),BH55)</f>
        <v>0</v>
      </c>
      <c r="BJ55" s="1" t="n">
        <f aca="false">IF(BI55&gt;PR_BalDone,BI55+BI55*(D_iL)-MIN(F_LoanPayM,BI55+BI55*(D_iL)),BI55)</f>
        <v>0</v>
      </c>
      <c r="BK55" s="1" t="n">
        <f aca="false">IF(BJ55&gt;PR_BalDone,BJ55+BJ55*(D_iL)-MIN(F_LoanPayM,BJ55+BJ55*(D_iL)),BJ55)</f>
        <v>0</v>
      </c>
      <c r="BL55" s="1" t="n">
        <f aca="false">IF(BK55&gt;PR_BalDone,BK55+BK55*(D_iL)-MIN(F_LoanPayM,BK55+BK55*(D_iL)),BK55)</f>
        <v>0</v>
      </c>
      <c r="BM55" s="1" t="n">
        <f aca="false">IF(BL55&gt;PR_BalDone,BL55+BL55*(D_iL)-MIN(F_LoanPayM,BL55+BL55*(D_iL)),BL55)</f>
        <v>0</v>
      </c>
      <c r="BN55" s="1" t="n">
        <f aca="false">IF(BM55&gt;PR_BalDone,BM55+BM55*(D_iL)-MIN(F_LoanPayM,BM55+BM55*(D_iL)),BM55)</f>
        <v>0</v>
      </c>
      <c r="BO55" s="1" t="n">
        <f aca="false">IF(BN55&gt;PR_BalDone,BN55+BN55*(D_iL)-MIN(F_LoanPayM,BN55+BN55*(D_iL)),BN55)</f>
        <v>0</v>
      </c>
      <c r="BP55" s="1" t="n">
        <f aca="false">IF(BO55&gt;PR_BalDone,BO55+BO55*(D_iL)-MIN(F_LoanPayM,BO55+BO55*(D_iL)),BO55)</f>
        <v>0</v>
      </c>
      <c r="BQ55" s="1" t="n">
        <f aca="false">IF(BP55&gt;PR_BalDone,BP55+BP55*(D_iL)-MIN(F_LoanPayM,BP55+BP55*(D_iL)),BP55)</f>
        <v>0</v>
      </c>
      <c r="BR55" s="1" t="n">
        <f aca="false">IF(BE55&gt;PR_BalDone,MIN(F_LoanPayM,BE55+BE55*(D_iL)),0)</f>
        <v>0</v>
      </c>
      <c r="BS55" s="1" t="n">
        <f aca="false">IF(BF55&gt;PR_BalDone,MIN(F_LoanPayM,BF55+BF55*(D_iL)),0)</f>
        <v>0</v>
      </c>
      <c r="BT55" s="1" t="n">
        <f aca="false">IF(BG55&gt;PR_BalDone,MIN(F_LoanPayM,BG55+BG55*(D_iL)),0)</f>
        <v>0</v>
      </c>
      <c r="BU55" s="1" t="n">
        <f aca="false">IF(BH55&gt;PR_BalDone,MIN(F_LoanPayM,BH55+BH55*(D_iL)),0)</f>
        <v>0</v>
      </c>
      <c r="BV55" s="1" t="n">
        <f aca="false">IF(BI55&gt;PR_BalDone,MIN(F_LoanPayM,BI55+BI55*(D_iL)),0)</f>
        <v>0</v>
      </c>
      <c r="BW55" s="1" t="n">
        <f aca="false">IF(BJ55&gt;PR_BalDone,MIN(F_LoanPayM,BJ55+BJ55*(D_iL)),0)</f>
        <v>0</v>
      </c>
      <c r="BX55" s="1" t="n">
        <f aca="false">IF(BK55&gt;PR_BalDone,MIN(F_LoanPayM,BK55+BK55*(D_iL)),0)</f>
        <v>0</v>
      </c>
      <c r="BY55" s="1" t="n">
        <f aca="false">IF(BL55&gt;PR_BalDone,MIN(F_LoanPayM,BL55+BL55*(D_iL)),0)</f>
        <v>0</v>
      </c>
      <c r="BZ55" s="1" t="n">
        <f aca="false">IF(BM55&gt;PR_BalDone,MIN(F_LoanPayM,BM55+BM55*(D_iL)),0)</f>
        <v>0</v>
      </c>
      <c r="CA55" s="1" t="n">
        <f aca="false">IF(BN55&gt;PR_BalDone,MIN(F_LoanPayM,BN55+BN55*(D_iL)),0)</f>
        <v>0</v>
      </c>
      <c r="CB55" s="1" t="n">
        <f aca="false">IF(BO55&gt;PR_BalDone,MIN(F_LoanPayM,BO55+BO55*(D_iL)),0)</f>
        <v>0</v>
      </c>
      <c r="CC55" s="1" t="n">
        <f aca="false">IF(BP55&gt;PR_BalDone,MIN(F_LoanPayM,BP55+BP55*(D_iL)),0)</f>
        <v>0</v>
      </c>
      <c r="CD55" s="1" t="n">
        <f aca="false">MAX(0,BQ55)</f>
        <v>0</v>
      </c>
      <c r="CE55" s="1" t="n">
        <f aca="false">SUM(BR55:CC55)</f>
        <v>0</v>
      </c>
      <c r="CF55" s="1" t="n">
        <f aca="false">IF(CF54&gt;1,DE54,CF54)</f>
        <v>0</v>
      </c>
      <c r="CG55" s="1" t="n">
        <f aca="false">IF(CF55&gt;PR_BalDone,CF55+CF55*(F_MR/12)-MIN(F_MortPayM,CF55+CF55*(F_MR/12)),CF55)</f>
        <v>0</v>
      </c>
      <c r="CH55" s="1" t="n">
        <f aca="false">IF(CG55&gt;PR_BalDone,CG55+CG55*(F_MR/12)-MIN(F_MortPayM,CG55+CG55*(F_MR/12)),CG55)</f>
        <v>0</v>
      </c>
      <c r="CI55" s="1" t="n">
        <f aca="false">IF(CH55&gt;PR_BalDone,CH55+CH55*(F_MR/12)-MIN(F_MortPayM,CH55+CH55*(F_MR/12)),CH55)</f>
        <v>0</v>
      </c>
      <c r="CJ55" s="1" t="n">
        <f aca="false">IF(CI55&gt;PR_BalDone,CI55+CI55*(F_MR/12)-MIN(F_MortPayM,CI55+CI55*(F_MR/12)),CI55)</f>
        <v>0</v>
      </c>
      <c r="CK55" s="1" t="n">
        <f aca="false">IF(CJ55&gt;PR_BalDone,CJ55+CJ55*(F_MR/12)-MIN(F_MortPayM,CJ55+CJ55*(F_MR/12)),CJ55)</f>
        <v>0</v>
      </c>
      <c r="CL55" s="1" t="n">
        <f aca="false">IF(CK55&gt;PR_BalDone,CK55+CK55*(F_MR/12)-MIN(F_MortPayM,CK55+CK55*(F_MR/12)),CK55)</f>
        <v>0</v>
      </c>
      <c r="CM55" s="1" t="n">
        <f aca="false">IF(CL55&gt;PR_BalDone,CL55+CL55*(F_MR/12)-MIN(F_MortPayM,CL55+CL55*(F_MR/12)),CL55)</f>
        <v>0</v>
      </c>
      <c r="CN55" s="1" t="n">
        <f aca="false">IF(CM55&gt;PR_BalDone,CM55+CM55*(F_MR/12)-MIN(F_MortPayM,CM55+CM55*(F_MR/12)),CM55)</f>
        <v>0</v>
      </c>
      <c r="CO55" s="1" t="n">
        <f aca="false">IF(CN55&gt;PR_BalDone,CN55+CN55*(F_MR/12)-MIN(F_MortPayM,CN55+CN55*(F_MR/12)),CN55)</f>
        <v>0</v>
      </c>
      <c r="CP55" s="1" t="n">
        <f aca="false">IF(CO55&gt;PR_BalDone,CO55+CO55*(F_MR/12)-MIN(F_MortPayM,CO55+CO55*(F_MR/12)),CO55)</f>
        <v>0</v>
      </c>
      <c r="CQ55" s="1" t="n">
        <f aca="false">IF(CP55&gt;PR_BalDone,CP55+CP55*(F_MR/12)-MIN(F_MortPayM,CP55+CP55*(F_MR/12)),CP55)</f>
        <v>0</v>
      </c>
      <c r="CR55" s="1" t="n">
        <f aca="false">IF(CQ55&gt;PR_BalDone,CQ55+CQ55*(F_MR/12)-MIN(F_MortPayM,CQ55+CQ55*(F_MR/12)),CQ55)</f>
        <v>0</v>
      </c>
      <c r="CS55" s="1" t="n">
        <f aca="false">IF(CF55&gt;PR_BalDone,MIN(F_MortPayM,CF55+CF55*(F_MR/12)),0)</f>
        <v>0</v>
      </c>
      <c r="CT55" s="1" t="n">
        <f aca="false">IF(CG55&gt;PR_BalDone,MIN(F_MortPayM,CG55+CG55*(F_MR/12)),0)</f>
        <v>0</v>
      </c>
      <c r="CU55" s="1" t="n">
        <f aca="false">IF(CH55&gt;PR_BalDone,MIN(F_MortPayM,CH55+CH55*(F_MR/12)),0)</f>
        <v>0</v>
      </c>
      <c r="CV55" s="1" t="n">
        <f aca="false">IF(CI55&gt;PR_BalDone,MIN(F_MortPayM,CI55+CI55*(F_MR/12)),0)</f>
        <v>0</v>
      </c>
      <c r="CW55" s="1" t="n">
        <f aca="false">IF(CJ55&gt;PR_BalDone,MIN(F_MortPayM,CJ55+CJ55*(F_MR/12)),0)</f>
        <v>0</v>
      </c>
      <c r="CX55" s="1" t="n">
        <f aca="false">IF(CK55&gt;PR_BalDone,MIN(F_MortPayM,CK55+CK55*(F_MR/12)),0)</f>
        <v>0</v>
      </c>
      <c r="CY55" s="1" t="n">
        <f aca="false">IF(CL55&gt;PR_BalDone,MIN(F_MortPayM,CL55+CL55*(F_MR/12)),0)</f>
        <v>0</v>
      </c>
      <c r="CZ55" s="1" t="n">
        <f aca="false">IF(CM55&gt;PR_BalDone,MIN(F_MortPayM,CM55+CM55*(F_MR/12)),0)</f>
        <v>0</v>
      </c>
      <c r="DA55" s="1" t="n">
        <f aca="false">IF(CN55&gt;PR_BalDone,MIN(F_MortPayM,CN55+CN55*(F_MR/12)),0)</f>
        <v>0</v>
      </c>
      <c r="DB55" s="1" t="n">
        <f aca="false">IF(CO55&gt;PR_BalDone,MIN(F_MortPayM,CO55+CO55*(F_MR/12)),0)</f>
        <v>0</v>
      </c>
      <c r="DC55" s="1" t="n">
        <f aca="false">IF(CP55&gt;PR_BalDone,MIN(F_MortPayM,CP55+CP55*(F_MR/12)),0)</f>
        <v>0</v>
      </c>
      <c r="DD55" s="1" t="n">
        <f aca="false">IF(CQ55&gt;PR_BalDone,MIN(F_MortPayM,CQ55+CQ55*(F_MR/12)),0)</f>
        <v>0</v>
      </c>
      <c r="DE55" s="1" t="n">
        <f aca="false">MAX(0,CR55)</f>
        <v>0</v>
      </c>
      <c r="DF55" s="1" t="n">
        <f aca="false">SUM(CS55:DD55)</f>
        <v>0</v>
      </c>
      <c r="DG55" s="1" t="n">
        <f aca="false">MAX(0,CF55)</f>
        <v>0</v>
      </c>
    </row>
    <row r="56" customFormat="false" ht="15" hidden="false" customHeight="true" outlineLevel="0" collapsed="false">
      <c r="B56" s="1" t="n">
        <v>48</v>
      </c>
      <c r="C56" s="1" t="n">
        <f aca="false">'Plan cashflow'!I56</f>
        <v>0</v>
      </c>
      <c r="D56" s="1" t="n">
        <f aca="false">IF(C56&gt;PR_BalDone,C56+C56*(F_MR/12)-MIN(F_MortPayM,C56+C56*(F_MR/12)),C56)</f>
        <v>0</v>
      </c>
      <c r="E56" s="1" t="n">
        <f aca="false">IF(D56&gt;PR_BalDone,D56+D56*(F_MR/12)-MIN(F_MortPayM,D56+D56*(F_MR/12)),D56)</f>
        <v>0</v>
      </c>
      <c r="F56" s="1" t="n">
        <f aca="false">IF(E56&gt;PR_BalDone,E56+E56*(F_MR/12)-MIN(F_MortPayM,E56+E56*(F_MR/12)),E56)</f>
        <v>0</v>
      </c>
      <c r="G56" s="1" t="n">
        <f aca="false">IF(F56&gt;PR_BalDone,F56+F56*(F_MR/12)-MIN(F_MortPayM,F56+F56*(F_MR/12)),F56)</f>
        <v>0</v>
      </c>
      <c r="H56" s="1" t="n">
        <f aca="false">IF(G56&gt;PR_BalDone,G56+G56*(F_MR/12)-MIN(F_MortPayM,G56+G56*(F_MR/12)),G56)</f>
        <v>0</v>
      </c>
      <c r="I56" s="1" t="n">
        <f aca="false">IF(H56&gt;PR_BalDone,H56+H56*(F_MR/12)-MIN(F_MortPayM,H56+H56*(F_MR/12)),H56)</f>
        <v>0</v>
      </c>
      <c r="J56" s="1" t="n">
        <f aca="false">IF(I56&gt;PR_BalDone,I56+I56*(F_MR/12)-MIN(F_MortPayM,I56+I56*(F_MR/12)),I56)</f>
        <v>0</v>
      </c>
      <c r="K56" s="1" t="n">
        <f aca="false">IF(J56&gt;PR_BalDone,J56+J56*(F_MR/12)-MIN(F_MortPayM,J56+J56*(F_MR/12)),J56)</f>
        <v>0</v>
      </c>
      <c r="L56" s="1" t="n">
        <f aca="false">IF(K56&gt;PR_BalDone,K56+K56*(F_MR/12)-MIN(F_MortPayM,K56+K56*(F_MR/12)),K56)</f>
        <v>0</v>
      </c>
      <c r="M56" s="1" t="n">
        <f aca="false">IF(L56&gt;PR_BalDone,L56+L56*(F_MR/12)-MIN(F_MortPayM,L56+L56*(F_MR/12)),L56)</f>
        <v>0</v>
      </c>
      <c r="N56" s="1" t="n">
        <f aca="false">IF(M56&gt;PR_BalDone,M56+M56*(F_MR/12)-MIN(F_MortPayM,M56+M56*(F_MR/12)),M56)</f>
        <v>0</v>
      </c>
      <c r="O56" s="1" t="n">
        <f aca="false">IF(N56&gt;PR_BalDone,N56+N56*(F_MR/12)-MIN(F_MortPayM,N56+N56*(F_MR/12)),N56)</f>
        <v>0</v>
      </c>
      <c r="P56" s="1" t="n">
        <f aca="false">IF(C56&gt;PR_BalDone,MIN(F_MortPayM,C56+C56*(F_MR/12)),0)</f>
        <v>0</v>
      </c>
      <c r="Q56" s="1" t="n">
        <f aca="false">IF(D56&gt;PR_BalDone,MIN(F_MortPayM,D56+D56*(F_MR/12)),0)</f>
        <v>0</v>
      </c>
      <c r="R56" s="1" t="n">
        <f aca="false">IF(E56&gt;PR_BalDone,MIN(F_MortPayM,E56+E56*(F_MR/12)),0)</f>
        <v>0</v>
      </c>
      <c r="S56" s="1" t="n">
        <f aca="false">IF(F56&gt;PR_BalDone,MIN(F_MortPayM,F56+F56*(F_MR/12)),0)</f>
        <v>0</v>
      </c>
      <c r="T56" s="1" t="n">
        <f aca="false">IF(G56&gt;PR_BalDone,MIN(F_MortPayM,G56+G56*(F_MR/12)),0)</f>
        <v>0</v>
      </c>
      <c r="U56" s="1" t="n">
        <f aca="false">IF(H56&gt;PR_BalDone,MIN(F_MortPayM,H56+H56*(F_MR/12)),0)</f>
        <v>0</v>
      </c>
      <c r="V56" s="1" t="n">
        <f aca="false">IF(I56&gt;PR_BalDone,MIN(F_MortPayM,I56+I56*(F_MR/12)),0)</f>
        <v>0</v>
      </c>
      <c r="W56" s="1" t="n">
        <f aca="false">IF(J56&gt;PR_BalDone,MIN(F_MortPayM,J56+J56*(F_MR/12)),0)</f>
        <v>0</v>
      </c>
      <c r="X56" s="1" t="n">
        <f aca="false">IF(K56&gt;PR_BalDone,MIN(F_MortPayM,K56+K56*(F_MR/12)),0)</f>
        <v>0</v>
      </c>
      <c r="Y56" s="1" t="n">
        <f aca="false">IF(L56&gt;PR_BalDone,MIN(F_MortPayM,L56+L56*(F_MR/12)),0)</f>
        <v>0</v>
      </c>
      <c r="Z56" s="1" t="n">
        <f aca="false">IF(M56&gt;PR_BalDone,MIN(F_MortPayM,M56+M56*(F_MR/12)),0)</f>
        <v>0</v>
      </c>
      <c r="AA56" s="1" t="n">
        <f aca="false">IF(N56&gt;PR_BalDone,MIN(F_MortPayM,N56+N56*(F_MR/12)),0)</f>
        <v>0</v>
      </c>
      <c r="AB56" s="1" t="n">
        <f aca="false">MAX(0,O56)</f>
        <v>0</v>
      </c>
      <c r="AC56" s="1" t="n">
        <f aca="false">SUM(P56:AA56)</f>
        <v>0</v>
      </c>
      <c r="AD56" s="1" t="n">
        <f aca="false">'Plan cashflow'!L56</f>
        <v>0</v>
      </c>
      <c r="AE56" s="1" t="n">
        <f aca="false">IF(AD56&gt;PR_BalDone,AD56+AD56*(D_iC)-MIN(F_CardPayM,AD56+AD56*(D_iC)),AD56)</f>
        <v>0</v>
      </c>
      <c r="AF56" s="1" t="n">
        <f aca="false">IF(AE56&gt;PR_BalDone,AE56+AE56*(D_iC)-MIN(F_CardPayM,AE56+AE56*(D_iC)),AE56)</f>
        <v>0</v>
      </c>
      <c r="AG56" s="1" t="n">
        <f aca="false">IF(AF56&gt;PR_BalDone,AF56+AF56*(D_iC)-MIN(F_CardPayM,AF56+AF56*(D_iC)),AF56)</f>
        <v>0</v>
      </c>
      <c r="AH56" s="1" t="n">
        <f aca="false">IF(AG56&gt;PR_BalDone,AG56+AG56*(D_iC)-MIN(F_CardPayM,AG56+AG56*(D_iC)),AG56)</f>
        <v>0</v>
      </c>
      <c r="AI56" s="1" t="n">
        <f aca="false">IF(AH56&gt;PR_BalDone,AH56+AH56*(D_iC)-MIN(F_CardPayM,AH56+AH56*(D_iC)),AH56)</f>
        <v>0</v>
      </c>
      <c r="AJ56" s="1" t="n">
        <f aca="false">IF(AI56&gt;PR_BalDone,AI56+AI56*(D_iC)-MIN(F_CardPayM,AI56+AI56*(D_iC)),AI56)</f>
        <v>0</v>
      </c>
      <c r="AK56" s="1" t="n">
        <f aca="false">IF(AJ56&gt;PR_BalDone,AJ56+AJ56*(D_iC)-MIN(F_CardPayM,AJ56+AJ56*(D_iC)),AJ56)</f>
        <v>0</v>
      </c>
      <c r="AL56" s="1" t="n">
        <f aca="false">IF(AK56&gt;PR_BalDone,AK56+AK56*(D_iC)-MIN(F_CardPayM,AK56+AK56*(D_iC)),AK56)</f>
        <v>0</v>
      </c>
      <c r="AM56" s="1" t="n">
        <f aca="false">IF(AL56&gt;PR_BalDone,AL56+AL56*(D_iC)-MIN(F_CardPayM,AL56+AL56*(D_iC)),AL56)</f>
        <v>0</v>
      </c>
      <c r="AN56" s="1" t="n">
        <f aca="false">IF(AM56&gt;PR_BalDone,AM56+AM56*(D_iC)-MIN(F_CardPayM,AM56+AM56*(D_iC)),AM56)</f>
        <v>0</v>
      </c>
      <c r="AO56" s="1" t="n">
        <f aca="false">IF(AN56&gt;PR_BalDone,AN56+AN56*(D_iC)-MIN(F_CardPayM,AN56+AN56*(D_iC)),AN56)</f>
        <v>0</v>
      </c>
      <c r="AP56" s="1" t="n">
        <f aca="false">IF(AO56&gt;PR_BalDone,AO56+AO56*(D_iC)-MIN(F_CardPayM,AO56+AO56*(D_iC)),AO56)</f>
        <v>0</v>
      </c>
      <c r="AQ56" s="1" t="n">
        <f aca="false">IF(AD56&gt;PR_BalDone,MIN(F_CardPayM,AD56+AD56*(D_iC)),0)</f>
        <v>0</v>
      </c>
      <c r="AR56" s="1" t="n">
        <f aca="false">IF(AE56&gt;PR_BalDone,MIN(F_CardPayM,AE56+AE56*(D_iC)),0)</f>
        <v>0</v>
      </c>
      <c r="AS56" s="1" t="n">
        <f aca="false">IF(AF56&gt;PR_BalDone,MIN(F_CardPayM,AF56+AF56*(D_iC)),0)</f>
        <v>0</v>
      </c>
      <c r="AT56" s="1" t="n">
        <f aca="false">IF(AG56&gt;PR_BalDone,MIN(F_CardPayM,AG56+AG56*(D_iC)),0)</f>
        <v>0</v>
      </c>
      <c r="AU56" s="1" t="n">
        <f aca="false">IF(AH56&gt;PR_BalDone,MIN(F_CardPayM,AH56+AH56*(D_iC)),0)</f>
        <v>0</v>
      </c>
      <c r="AV56" s="1" t="n">
        <f aca="false">IF(AI56&gt;PR_BalDone,MIN(F_CardPayM,AI56+AI56*(D_iC)),0)</f>
        <v>0</v>
      </c>
      <c r="AW56" s="1" t="n">
        <f aca="false">IF(AJ56&gt;PR_BalDone,MIN(F_CardPayM,AJ56+AJ56*(D_iC)),0)</f>
        <v>0</v>
      </c>
      <c r="AX56" s="1" t="n">
        <f aca="false">IF(AK56&gt;PR_BalDone,MIN(F_CardPayM,AK56+AK56*(D_iC)),0)</f>
        <v>0</v>
      </c>
      <c r="AY56" s="1" t="n">
        <f aca="false">IF(AL56&gt;PR_BalDone,MIN(F_CardPayM,AL56+AL56*(D_iC)),0)</f>
        <v>0</v>
      </c>
      <c r="AZ56" s="1" t="n">
        <f aca="false">IF(AM56&gt;PR_BalDone,MIN(F_CardPayM,AM56+AM56*(D_iC)),0)</f>
        <v>0</v>
      </c>
      <c r="BA56" s="1" t="n">
        <f aca="false">IF(AN56&gt;PR_BalDone,MIN(F_CardPayM,AN56+AN56*(D_iC)),0)</f>
        <v>0</v>
      </c>
      <c r="BB56" s="1" t="n">
        <f aca="false">IF(AO56&gt;PR_BalDone,MIN(F_CardPayM,AO56+AO56*(D_iC)),0)</f>
        <v>0</v>
      </c>
      <c r="BC56" s="1" t="n">
        <f aca="false">MAX(0,AP56)</f>
        <v>0</v>
      </c>
      <c r="BD56" s="1" t="n">
        <f aca="false">SUM(AQ56:BB56)</f>
        <v>0</v>
      </c>
      <c r="BE56" s="1" t="n">
        <f aca="false">'Plan cashflow'!O56</f>
        <v>0</v>
      </c>
      <c r="BF56" s="1" t="n">
        <f aca="false">IF(BE56&gt;PR_BalDone,BE56+BE56*(D_iL)-MIN(F_LoanPayM,BE56+BE56*(D_iL)),BE56)</f>
        <v>0</v>
      </c>
      <c r="BG56" s="1" t="n">
        <f aca="false">IF(BF56&gt;PR_BalDone,BF56+BF56*(D_iL)-MIN(F_LoanPayM,BF56+BF56*(D_iL)),BF56)</f>
        <v>0</v>
      </c>
      <c r="BH56" s="1" t="n">
        <f aca="false">IF(BG56&gt;PR_BalDone,BG56+BG56*(D_iL)-MIN(F_LoanPayM,BG56+BG56*(D_iL)),BG56)</f>
        <v>0</v>
      </c>
      <c r="BI56" s="1" t="n">
        <f aca="false">IF(BH56&gt;PR_BalDone,BH56+BH56*(D_iL)-MIN(F_LoanPayM,BH56+BH56*(D_iL)),BH56)</f>
        <v>0</v>
      </c>
      <c r="BJ56" s="1" t="n">
        <f aca="false">IF(BI56&gt;PR_BalDone,BI56+BI56*(D_iL)-MIN(F_LoanPayM,BI56+BI56*(D_iL)),BI56)</f>
        <v>0</v>
      </c>
      <c r="BK56" s="1" t="n">
        <f aca="false">IF(BJ56&gt;PR_BalDone,BJ56+BJ56*(D_iL)-MIN(F_LoanPayM,BJ56+BJ56*(D_iL)),BJ56)</f>
        <v>0</v>
      </c>
      <c r="BL56" s="1" t="n">
        <f aca="false">IF(BK56&gt;PR_BalDone,BK56+BK56*(D_iL)-MIN(F_LoanPayM,BK56+BK56*(D_iL)),BK56)</f>
        <v>0</v>
      </c>
      <c r="BM56" s="1" t="n">
        <f aca="false">IF(BL56&gt;PR_BalDone,BL56+BL56*(D_iL)-MIN(F_LoanPayM,BL56+BL56*(D_iL)),BL56)</f>
        <v>0</v>
      </c>
      <c r="BN56" s="1" t="n">
        <f aca="false">IF(BM56&gt;PR_BalDone,BM56+BM56*(D_iL)-MIN(F_LoanPayM,BM56+BM56*(D_iL)),BM56)</f>
        <v>0</v>
      </c>
      <c r="BO56" s="1" t="n">
        <f aca="false">IF(BN56&gt;PR_BalDone,BN56+BN56*(D_iL)-MIN(F_LoanPayM,BN56+BN56*(D_iL)),BN56)</f>
        <v>0</v>
      </c>
      <c r="BP56" s="1" t="n">
        <f aca="false">IF(BO56&gt;PR_BalDone,BO56+BO56*(D_iL)-MIN(F_LoanPayM,BO56+BO56*(D_iL)),BO56)</f>
        <v>0</v>
      </c>
      <c r="BQ56" s="1" t="n">
        <f aca="false">IF(BP56&gt;PR_BalDone,BP56+BP56*(D_iL)-MIN(F_LoanPayM,BP56+BP56*(D_iL)),BP56)</f>
        <v>0</v>
      </c>
      <c r="BR56" s="1" t="n">
        <f aca="false">IF(BE56&gt;PR_BalDone,MIN(F_LoanPayM,BE56+BE56*(D_iL)),0)</f>
        <v>0</v>
      </c>
      <c r="BS56" s="1" t="n">
        <f aca="false">IF(BF56&gt;PR_BalDone,MIN(F_LoanPayM,BF56+BF56*(D_iL)),0)</f>
        <v>0</v>
      </c>
      <c r="BT56" s="1" t="n">
        <f aca="false">IF(BG56&gt;PR_BalDone,MIN(F_LoanPayM,BG56+BG56*(D_iL)),0)</f>
        <v>0</v>
      </c>
      <c r="BU56" s="1" t="n">
        <f aca="false">IF(BH56&gt;PR_BalDone,MIN(F_LoanPayM,BH56+BH56*(D_iL)),0)</f>
        <v>0</v>
      </c>
      <c r="BV56" s="1" t="n">
        <f aca="false">IF(BI56&gt;PR_BalDone,MIN(F_LoanPayM,BI56+BI56*(D_iL)),0)</f>
        <v>0</v>
      </c>
      <c r="BW56" s="1" t="n">
        <f aca="false">IF(BJ56&gt;PR_BalDone,MIN(F_LoanPayM,BJ56+BJ56*(D_iL)),0)</f>
        <v>0</v>
      </c>
      <c r="BX56" s="1" t="n">
        <f aca="false">IF(BK56&gt;PR_BalDone,MIN(F_LoanPayM,BK56+BK56*(D_iL)),0)</f>
        <v>0</v>
      </c>
      <c r="BY56" s="1" t="n">
        <f aca="false">IF(BL56&gt;PR_BalDone,MIN(F_LoanPayM,BL56+BL56*(D_iL)),0)</f>
        <v>0</v>
      </c>
      <c r="BZ56" s="1" t="n">
        <f aca="false">IF(BM56&gt;PR_BalDone,MIN(F_LoanPayM,BM56+BM56*(D_iL)),0)</f>
        <v>0</v>
      </c>
      <c r="CA56" s="1" t="n">
        <f aca="false">IF(BN56&gt;PR_BalDone,MIN(F_LoanPayM,BN56+BN56*(D_iL)),0)</f>
        <v>0</v>
      </c>
      <c r="CB56" s="1" t="n">
        <f aca="false">IF(BO56&gt;PR_BalDone,MIN(F_LoanPayM,BO56+BO56*(D_iL)),0)</f>
        <v>0</v>
      </c>
      <c r="CC56" s="1" t="n">
        <f aca="false">IF(BP56&gt;PR_BalDone,MIN(F_LoanPayM,BP56+BP56*(D_iL)),0)</f>
        <v>0</v>
      </c>
      <c r="CD56" s="1" t="n">
        <f aca="false">MAX(0,BQ56)</f>
        <v>0</v>
      </c>
      <c r="CE56" s="1" t="n">
        <f aca="false">SUM(BR56:CC56)</f>
        <v>0</v>
      </c>
      <c r="CF56" s="1" t="n">
        <f aca="false">IF(CF55&gt;1,DE55,CF55)</f>
        <v>0</v>
      </c>
      <c r="CG56" s="1" t="n">
        <f aca="false">IF(CF56&gt;PR_BalDone,CF56+CF56*(F_MR/12)-MIN(F_MortPayM,CF56+CF56*(F_MR/12)),CF56)</f>
        <v>0</v>
      </c>
      <c r="CH56" s="1" t="n">
        <f aca="false">IF(CG56&gt;PR_BalDone,CG56+CG56*(F_MR/12)-MIN(F_MortPayM,CG56+CG56*(F_MR/12)),CG56)</f>
        <v>0</v>
      </c>
      <c r="CI56" s="1" t="n">
        <f aca="false">IF(CH56&gt;PR_BalDone,CH56+CH56*(F_MR/12)-MIN(F_MortPayM,CH56+CH56*(F_MR/12)),CH56)</f>
        <v>0</v>
      </c>
      <c r="CJ56" s="1" t="n">
        <f aca="false">IF(CI56&gt;PR_BalDone,CI56+CI56*(F_MR/12)-MIN(F_MortPayM,CI56+CI56*(F_MR/12)),CI56)</f>
        <v>0</v>
      </c>
      <c r="CK56" s="1" t="n">
        <f aca="false">IF(CJ56&gt;PR_BalDone,CJ56+CJ56*(F_MR/12)-MIN(F_MortPayM,CJ56+CJ56*(F_MR/12)),CJ56)</f>
        <v>0</v>
      </c>
      <c r="CL56" s="1" t="n">
        <f aca="false">IF(CK56&gt;PR_BalDone,CK56+CK56*(F_MR/12)-MIN(F_MortPayM,CK56+CK56*(F_MR/12)),CK56)</f>
        <v>0</v>
      </c>
      <c r="CM56" s="1" t="n">
        <f aca="false">IF(CL56&gt;PR_BalDone,CL56+CL56*(F_MR/12)-MIN(F_MortPayM,CL56+CL56*(F_MR/12)),CL56)</f>
        <v>0</v>
      </c>
      <c r="CN56" s="1" t="n">
        <f aca="false">IF(CM56&gt;PR_BalDone,CM56+CM56*(F_MR/12)-MIN(F_MortPayM,CM56+CM56*(F_MR/12)),CM56)</f>
        <v>0</v>
      </c>
      <c r="CO56" s="1" t="n">
        <f aca="false">IF(CN56&gt;PR_BalDone,CN56+CN56*(F_MR/12)-MIN(F_MortPayM,CN56+CN56*(F_MR/12)),CN56)</f>
        <v>0</v>
      </c>
      <c r="CP56" s="1" t="n">
        <f aca="false">IF(CO56&gt;PR_BalDone,CO56+CO56*(F_MR/12)-MIN(F_MortPayM,CO56+CO56*(F_MR/12)),CO56)</f>
        <v>0</v>
      </c>
      <c r="CQ56" s="1" t="n">
        <f aca="false">IF(CP56&gt;PR_BalDone,CP56+CP56*(F_MR/12)-MIN(F_MortPayM,CP56+CP56*(F_MR/12)),CP56)</f>
        <v>0</v>
      </c>
      <c r="CR56" s="1" t="n">
        <f aca="false">IF(CQ56&gt;PR_BalDone,CQ56+CQ56*(F_MR/12)-MIN(F_MortPayM,CQ56+CQ56*(F_MR/12)),CQ56)</f>
        <v>0</v>
      </c>
      <c r="CS56" s="1" t="n">
        <f aca="false">IF(CF56&gt;PR_BalDone,MIN(F_MortPayM,CF56+CF56*(F_MR/12)),0)</f>
        <v>0</v>
      </c>
      <c r="CT56" s="1" t="n">
        <f aca="false">IF(CG56&gt;PR_BalDone,MIN(F_MortPayM,CG56+CG56*(F_MR/12)),0)</f>
        <v>0</v>
      </c>
      <c r="CU56" s="1" t="n">
        <f aca="false">IF(CH56&gt;PR_BalDone,MIN(F_MortPayM,CH56+CH56*(F_MR/12)),0)</f>
        <v>0</v>
      </c>
      <c r="CV56" s="1" t="n">
        <f aca="false">IF(CI56&gt;PR_BalDone,MIN(F_MortPayM,CI56+CI56*(F_MR/12)),0)</f>
        <v>0</v>
      </c>
      <c r="CW56" s="1" t="n">
        <f aca="false">IF(CJ56&gt;PR_BalDone,MIN(F_MortPayM,CJ56+CJ56*(F_MR/12)),0)</f>
        <v>0</v>
      </c>
      <c r="CX56" s="1" t="n">
        <f aca="false">IF(CK56&gt;PR_BalDone,MIN(F_MortPayM,CK56+CK56*(F_MR/12)),0)</f>
        <v>0</v>
      </c>
      <c r="CY56" s="1" t="n">
        <f aca="false">IF(CL56&gt;PR_BalDone,MIN(F_MortPayM,CL56+CL56*(F_MR/12)),0)</f>
        <v>0</v>
      </c>
      <c r="CZ56" s="1" t="n">
        <f aca="false">IF(CM56&gt;PR_BalDone,MIN(F_MortPayM,CM56+CM56*(F_MR/12)),0)</f>
        <v>0</v>
      </c>
      <c r="DA56" s="1" t="n">
        <f aca="false">IF(CN56&gt;PR_BalDone,MIN(F_MortPayM,CN56+CN56*(F_MR/12)),0)</f>
        <v>0</v>
      </c>
      <c r="DB56" s="1" t="n">
        <f aca="false">IF(CO56&gt;PR_BalDone,MIN(F_MortPayM,CO56+CO56*(F_MR/12)),0)</f>
        <v>0</v>
      </c>
      <c r="DC56" s="1" t="n">
        <f aca="false">IF(CP56&gt;PR_BalDone,MIN(F_MortPayM,CP56+CP56*(F_MR/12)),0)</f>
        <v>0</v>
      </c>
      <c r="DD56" s="1" t="n">
        <f aca="false">IF(CQ56&gt;PR_BalDone,MIN(F_MortPayM,CQ56+CQ56*(F_MR/12)),0)</f>
        <v>0</v>
      </c>
      <c r="DE56" s="1" t="n">
        <f aca="false">MAX(0,CR56)</f>
        <v>0</v>
      </c>
      <c r="DF56" s="1" t="n">
        <f aca="false">SUM(CS56:DD56)</f>
        <v>0</v>
      </c>
      <c r="DG56" s="1" t="n">
        <f aca="false">MAX(0,CF56)</f>
        <v>0</v>
      </c>
    </row>
    <row r="57" customFormat="false" ht="15" hidden="false" customHeight="true" outlineLevel="0" collapsed="false">
      <c r="B57" s="1" t="n">
        <v>49</v>
      </c>
      <c r="C57" s="1" t="n">
        <f aca="false">'Plan cashflow'!I57</f>
        <v>0</v>
      </c>
      <c r="D57" s="1" t="n">
        <f aca="false">IF(C57&gt;PR_BalDone,C57+C57*(F_MR/12)-MIN(F_MortPayM,C57+C57*(F_MR/12)),C57)</f>
        <v>0</v>
      </c>
      <c r="E57" s="1" t="n">
        <f aca="false">IF(D57&gt;PR_BalDone,D57+D57*(F_MR/12)-MIN(F_MortPayM,D57+D57*(F_MR/12)),D57)</f>
        <v>0</v>
      </c>
      <c r="F57" s="1" t="n">
        <f aca="false">IF(E57&gt;PR_BalDone,E57+E57*(F_MR/12)-MIN(F_MortPayM,E57+E57*(F_MR/12)),E57)</f>
        <v>0</v>
      </c>
      <c r="G57" s="1" t="n">
        <f aca="false">IF(F57&gt;PR_BalDone,F57+F57*(F_MR/12)-MIN(F_MortPayM,F57+F57*(F_MR/12)),F57)</f>
        <v>0</v>
      </c>
      <c r="H57" s="1" t="n">
        <f aca="false">IF(G57&gt;PR_BalDone,G57+G57*(F_MR/12)-MIN(F_MortPayM,G57+G57*(F_MR/12)),G57)</f>
        <v>0</v>
      </c>
      <c r="I57" s="1" t="n">
        <f aca="false">IF(H57&gt;PR_BalDone,H57+H57*(F_MR/12)-MIN(F_MortPayM,H57+H57*(F_MR/12)),H57)</f>
        <v>0</v>
      </c>
      <c r="J57" s="1" t="n">
        <f aca="false">IF(I57&gt;PR_BalDone,I57+I57*(F_MR/12)-MIN(F_MortPayM,I57+I57*(F_MR/12)),I57)</f>
        <v>0</v>
      </c>
      <c r="K57" s="1" t="n">
        <f aca="false">IF(J57&gt;PR_BalDone,J57+J57*(F_MR/12)-MIN(F_MortPayM,J57+J57*(F_MR/12)),J57)</f>
        <v>0</v>
      </c>
      <c r="L57" s="1" t="n">
        <f aca="false">IF(K57&gt;PR_BalDone,K57+K57*(F_MR/12)-MIN(F_MortPayM,K57+K57*(F_MR/12)),K57)</f>
        <v>0</v>
      </c>
      <c r="M57" s="1" t="n">
        <f aca="false">IF(L57&gt;PR_BalDone,L57+L57*(F_MR/12)-MIN(F_MortPayM,L57+L57*(F_MR/12)),L57)</f>
        <v>0</v>
      </c>
      <c r="N57" s="1" t="n">
        <f aca="false">IF(M57&gt;PR_BalDone,M57+M57*(F_MR/12)-MIN(F_MortPayM,M57+M57*(F_MR/12)),M57)</f>
        <v>0</v>
      </c>
      <c r="O57" s="1" t="n">
        <f aca="false">IF(N57&gt;PR_BalDone,N57+N57*(F_MR/12)-MIN(F_MortPayM,N57+N57*(F_MR/12)),N57)</f>
        <v>0</v>
      </c>
      <c r="P57" s="1" t="n">
        <f aca="false">IF(C57&gt;PR_BalDone,MIN(F_MortPayM,C57+C57*(F_MR/12)),0)</f>
        <v>0</v>
      </c>
      <c r="Q57" s="1" t="n">
        <f aca="false">IF(D57&gt;PR_BalDone,MIN(F_MortPayM,D57+D57*(F_MR/12)),0)</f>
        <v>0</v>
      </c>
      <c r="R57" s="1" t="n">
        <f aca="false">IF(E57&gt;PR_BalDone,MIN(F_MortPayM,E57+E57*(F_MR/12)),0)</f>
        <v>0</v>
      </c>
      <c r="S57" s="1" t="n">
        <f aca="false">IF(F57&gt;PR_BalDone,MIN(F_MortPayM,F57+F57*(F_MR/12)),0)</f>
        <v>0</v>
      </c>
      <c r="T57" s="1" t="n">
        <f aca="false">IF(G57&gt;PR_BalDone,MIN(F_MortPayM,G57+G57*(F_MR/12)),0)</f>
        <v>0</v>
      </c>
      <c r="U57" s="1" t="n">
        <f aca="false">IF(H57&gt;PR_BalDone,MIN(F_MortPayM,H57+H57*(F_MR/12)),0)</f>
        <v>0</v>
      </c>
      <c r="V57" s="1" t="n">
        <f aca="false">IF(I57&gt;PR_BalDone,MIN(F_MortPayM,I57+I57*(F_MR/12)),0)</f>
        <v>0</v>
      </c>
      <c r="W57" s="1" t="n">
        <f aca="false">IF(J57&gt;PR_BalDone,MIN(F_MortPayM,J57+J57*(F_MR/12)),0)</f>
        <v>0</v>
      </c>
      <c r="X57" s="1" t="n">
        <f aca="false">IF(K57&gt;PR_BalDone,MIN(F_MortPayM,K57+K57*(F_MR/12)),0)</f>
        <v>0</v>
      </c>
      <c r="Y57" s="1" t="n">
        <f aca="false">IF(L57&gt;PR_BalDone,MIN(F_MortPayM,L57+L57*(F_MR/12)),0)</f>
        <v>0</v>
      </c>
      <c r="Z57" s="1" t="n">
        <f aca="false">IF(M57&gt;PR_BalDone,MIN(F_MortPayM,M57+M57*(F_MR/12)),0)</f>
        <v>0</v>
      </c>
      <c r="AA57" s="1" t="n">
        <f aca="false">IF(N57&gt;PR_BalDone,MIN(F_MortPayM,N57+N57*(F_MR/12)),0)</f>
        <v>0</v>
      </c>
      <c r="AB57" s="1" t="n">
        <f aca="false">MAX(0,O57)</f>
        <v>0</v>
      </c>
      <c r="AC57" s="1" t="n">
        <f aca="false">SUM(P57:AA57)</f>
        <v>0</v>
      </c>
      <c r="AD57" s="1" t="n">
        <f aca="false">'Plan cashflow'!L57</f>
        <v>0</v>
      </c>
      <c r="AE57" s="1" t="n">
        <f aca="false">IF(AD57&gt;PR_BalDone,AD57+AD57*(D_iC)-MIN(F_CardPayM,AD57+AD57*(D_iC)),AD57)</f>
        <v>0</v>
      </c>
      <c r="AF57" s="1" t="n">
        <f aca="false">IF(AE57&gt;PR_BalDone,AE57+AE57*(D_iC)-MIN(F_CardPayM,AE57+AE57*(D_iC)),AE57)</f>
        <v>0</v>
      </c>
      <c r="AG57" s="1" t="n">
        <f aca="false">IF(AF57&gt;PR_BalDone,AF57+AF57*(D_iC)-MIN(F_CardPayM,AF57+AF57*(D_iC)),AF57)</f>
        <v>0</v>
      </c>
      <c r="AH57" s="1" t="n">
        <f aca="false">IF(AG57&gt;PR_BalDone,AG57+AG57*(D_iC)-MIN(F_CardPayM,AG57+AG57*(D_iC)),AG57)</f>
        <v>0</v>
      </c>
      <c r="AI57" s="1" t="n">
        <f aca="false">IF(AH57&gt;PR_BalDone,AH57+AH57*(D_iC)-MIN(F_CardPayM,AH57+AH57*(D_iC)),AH57)</f>
        <v>0</v>
      </c>
      <c r="AJ57" s="1" t="n">
        <f aca="false">IF(AI57&gt;PR_BalDone,AI57+AI57*(D_iC)-MIN(F_CardPayM,AI57+AI57*(D_iC)),AI57)</f>
        <v>0</v>
      </c>
      <c r="AK57" s="1" t="n">
        <f aca="false">IF(AJ57&gt;PR_BalDone,AJ57+AJ57*(D_iC)-MIN(F_CardPayM,AJ57+AJ57*(D_iC)),AJ57)</f>
        <v>0</v>
      </c>
      <c r="AL57" s="1" t="n">
        <f aca="false">IF(AK57&gt;PR_BalDone,AK57+AK57*(D_iC)-MIN(F_CardPayM,AK57+AK57*(D_iC)),AK57)</f>
        <v>0</v>
      </c>
      <c r="AM57" s="1" t="n">
        <f aca="false">IF(AL57&gt;PR_BalDone,AL57+AL57*(D_iC)-MIN(F_CardPayM,AL57+AL57*(D_iC)),AL57)</f>
        <v>0</v>
      </c>
      <c r="AN57" s="1" t="n">
        <f aca="false">IF(AM57&gt;PR_BalDone,AM57+AM57*(D_iC)-MIN(F_CardPayM,AM57+AM57*(D_iC)),AM57)</f>
        <v>0</v>
      </c>
      <c r="AO57" s="1" t="n">
        <f aca="false">IF(AN57&gt;PR_BalDone,AN57+AN57*(D_iC)-MIN(F_CardPayM,AN57+AN57*(D_iC)),AN57)</f>
        <v>0</v>
      </c>
      <c r="AP57" s="1" t="n">
        <f aca="false">IF(AO57&gt;PR_BalDone,AO57+AO57*(D_iC)-MIN(F_CardPayM,AO57+AO57*(D_iC)),AO57)</f>
        <v>0</v>
      </c>
      <c r="AQ57" s="1" t="n">
        <f aca="false">IF(AD57&gt;PR_BalDone,MIN(F_CardPayM,AD57+AD57*(D_iC)),0)</f>
        <v>0</v>
      </c>
      <c r="AR57" s="1" t="n">
        <f aca="false">IF(AE57&gt;PR_BalDone,MIN(F_CardPayM,AE57+AE57*(D_iC)),0)</f>
        <v>0</v>
      </c>
      <c r="AS57" s="1" t="n">
        <f aca="false">IF(AF57&gt;PR_BalDone,MIN(F_CardPayM,AF57+AF57*(D_iC)),0)</f>
        <v>0</v>
      </c>
      <c r="AT57" s="1" t="n">
        <f aca="false">IF(AG57&gt;PR_BalDone,MIN(F_CardPayM,AG57+AG57*(D_iC)),0)</f>
        <v>0</v>
      </c>
      <c r="AU57" s="1" t="n">
        <f aca="false">IF(AH57&gt;PR_BalDone,MIN(F_CardPayM,AH57+AH57*(D_iC)),0)</f>
        <v>0</v>
      </c>
      <c r="AV57" s="1" t="n">
        <f aca="false">IF(AI57&gt;PR_BalDone,MIN(F_CardPayM,AI57+AI57*(D_iC)),0)</f>
        <v>0</v>
      </c>
      <c r="AW57" s="1" t="n">
        <f aca="false">IF(AJ57&gt;PR_BalDone,MIN(F_CardPayM,AJ57+AJ57*(D_iC)),0)</f>
        <v>0</v>
      </c>
      <c r="AX57" s="1" t="n">
        <f aca="false">IF(AK57&gt;PR_BalDone,MIN(F_CardPayM,AK57+AK57*(D_iC)),0)</f>
        <v>0</v>
      </c>
      <c r="AY57" s="1" t="n">
        <f aca="false">IF(AL57&gt;PR_BalDone,MIN(F_CardPayM,AL57+AL57*(D_iC)),0)</f>
        <v>0</v>
      </c>
      <c r="AZ57" s="1" t="n">
        <f aca="false">IF(AM57&gt;PR_BalDone,MIN(F_CardPayM,AM57+AM57*(D_iC)),0)</f>
        <v>0</v>
      </c>
      <c r="BA57" s="1" t="n">
        <f aca="false">IF(AN57&gt;PR_BalDone,MIN(F_CardPayM,AN57+AN57*(D_iC)),0)</f>
        <v>0</v>
      </c>
      <c r="BB57" s="1" t="n">
        <f aca="false">IF(AO57&gt;PR_BalDone,MIN(F_CardPayM,AO57+AO57*(D_iC)),0)</f>
        <v>0</v>
      </c>
      <c r="BC57" s="1" t="n">
        <f aca="false">MAX(0,AP57)</f>
        <v>0</v>
      </c>
      <c r="BD57" s="1" t="n">
        <f aca="false">SUM(AQ57:BB57)</f>
        <v>0</v>
      </c>
      <c r="BE57" s="1" t="n">
        <f aca="false">'Plan cashflow'!O57</f>
        <v>0</v>
      </c>
      <c r="BF57" s="1" t="n">
        <f aca="false">IF(BE57&gt;PR_BalDone,BE57+BE57*(D_iL)-MIN(F_LoanPayM,BE57+BE57*(D_iL)),BE57)</f>
        <v>0</v>
      </c>
      <c r="BG57" s="1" t="n">
        <f aca="false">IF(BF57&gt;PR_BalDone,BF57+BF57*(D_iL)-MIN(F_LoanPayM,BF57+BF57*(D_iL)),BF57)</f>
        <v>0</v>
      </c>
      <c r="BH57" s="1" t="n">
        <f aca="false">IF(BG57&gt;PR_BalDone,BG57+BG57*(D_iL)-MIN(F_LoanPayM,BG57+BG57*(D_iL)),BG57)</f>
        <v>0</v>
      </c>
      <c r="BI57" s="1" t="n">
        <f aca="false">IF(BH57&gt;PR_BalDone,BH57+BH57*(D_iL)-MIN(F_LoanPayM,BH57+BH57*(D_iL)),BH57)</f>
        <v>0</v>
      </c>
      <c r="BJ57" s="1" t="n">
        <f aca="false">IF(BI57&gt;PR_BalDone,BI57+BI57*(D_iL)-MIN(F_LoanPayM,BI57+BI57*(D_iL)),BI57)</f>
        <v>0</v>
      </c>
      <c r="BK57" s="1" t="n">
        <f aca="false">IF(BJ57&gt;PR_BalDone,BJ57+BJ57*(D_iL)-MIN(F_LoanPayM,BJ57+BJ57*(D_iL)),BJ57)</f>
        <v>0</v>
      </c>
      <c r="BL57" s="1" t="n">
        <f aca="false">IF(BK57&gt;PR_BalDone,BK57+BK57*(D_iL)-MIN(F_LoanPayM,BK57+BK57*(D_iL)),BK57)</f>
        <v>0</v>
      </c>
      <c r="BM57" s="1" t="n">
        <f aca="false">IF(BL57&gt;PR_BalDone,BL57+BL57*(D_iL)-MIN(F_LoanPayM,BL57+BL57*(D_iL)),BL57)</f>
        <v>0</v>
      </c>
      <c r="BN57" s="1" t="n">
        <f aca="false">IF(BM57&gt;PR_BalDone,BM57+BM57*(D_iL)-MIN(F_LoanPayM,BM57+BM57*(D_iL)),BM57)</f>
        <v>0</v>
      </c>
      <c r="BO57" s="1" t="n">
        <f aca="false">IF(BN57&gt;PR_BalDone,BN57+BN57*(D_iL)-MIN(F_LoanPayM,BN57+BN57*(D_iL)),BN57)</f>
        <v>0</v>
      </c>
      <c r="BP57" s="1" t="n">
        <f aca="false">IF(BO57&gt;PR_BalDone,BO57+BO57*(D_iL)-MIN(F_LoanPayM,BO57+BO57*(D_iL)),BO57)</f>
        <v>0</v>
      </c>
      <c r="BQ57" s="1" t="n">
        <f aca="false">IF(BP57&gt;PR_BalDone,BP57+BP57*(D_iL)-MIN(F_LoanPayM,BP57+BP57*(D_iL)),BP57)</f>
        <v>0</v>
      </c>
      <c r="BR57" s="1" t="n">
        <f aca="false">IF(BE57&gt;PR_BalDone,MIN(F_LoanPayM,BE57+BE57*(D_iL)),0)</f>
        <v>0</v>
      </c>
      <c r="BS57" s="1" t="n">
        <f aca="false">IF(BF57&gt;PR_BalDone,MIN(F_LoanPayM,BF57+BF57*(D_iL)),0)</f>
        <v>0</v>
      </c>
      <c r="BT57" s="1" t="n">
        <f aca="false">IF(BG57&gt;PR_BalDone,MIN(F_LoanPayM,BG57+BG57*(D_iL)),0)</f>
        <v>0</v>
      </c>
      <c r="BU57" s="1" t="n">
        <f aca="false">IF(BH57&gt;PR_BalDone,MIN(F_LoanPayM,BH57+BH57*(D_iL)),0)</f>
        <v>0</v>
      </c>
      <c r="BV57" s="1" t="n">
        <f aca="false">IF(BI57&gt;PR_BalDone,MIN(F_LoanPayM,BI57+BI57*(D_iL)),0)</f>
        <v>0</v>
      </c>
      <c r="BW57" s="1" t="n">
        <f aca="false">IF(BJ57&gt;PR_BalDone,MIN(F_LoanPayM,BJ57+BJ57*(D_iL)),0)</f>
        <v>0</v>
      </c>
      <c r="BX57" s="1" t="n">
        <f aca="false">IF(BK57&gt;PR_BalDone,MIN(F_LoanPayM,BK57+BK57*(D_iL)),0)</f>
        <v>0</v>
      </c>
      <c r="BY57" s="1" t="n">
        <f aca="false">IF(BL57&gt;PR_BalDone,MIN(F_LoanPayM,BL57+BL57*(D_iL)),0)</f>
        <v>0</v>
      </c>
      <c r="BZ57" s="1" t="n">
        <f aca="false">IF(BM57&gt;PR_BalDone,MIN(F_LoanPayM,BM57+BM57*(D_iL)),0)</f>
        <v>0</v>
      </c>
      <c r="CA57" s="1" t="n">
        <f aca="false">IF(BN57&gt;PR_BalDone,MIN(F_LoanPayM,BN57+BN57*(D_iL)),0)</f>
        <v>0</v>
      </c>
      <c r="CB57" s="1" t="n">
        <f aca="false">IF(BO57&gt;PR_BalDone,MIN(F_LoanPayM,BO57+BO57*(D_iL)),0)</f>
        <v>0</v>
      </c>
      <c r="CC57" s="1" t="n">
        <f aca="false">IF(BP57&gt;PR_BalDone,MIN(F_LoanPayM,BP57+BP57*(D_iL)),0)</f>
        <v>0</v>
      </c>
      <c r="CD57" s="1" t="n">
        <f aca="false">MAX(0,BQ57)</f>
        <v>0</v>
      </c>
      <c r="CE57" s="1" t="n">
        <f aca="false">SUM(BR57:CC57)</f>
        <v>0</v>
      </c>
      <c r="CF57" s="1" t="n">
        <f aca="false">IF(CF56&gt;1,DE56,CF56)</f>
        <v>0</v>
      </c>
      <c r="CG57" s="1" t="n">
        <f aca="false">IF(CF57&gt;PR_BalDone,CF57+CF57*(F_MR/12)-MIN(F_MortPayM,CF57+CF57*(F_MR/12)),CF57)</f>
        <v>0</v>
      </c>
      <c r="CH57" s="1" t="n">
        <f aca="false">IF(CG57&gt;PR_BalDone,CG57+CG57*(F_MR/12)-MIN(F_MortPayM,CG57+CG57*(F_MR/12)),CG57)</f>
        <v>0</v>
      </c>
      <c r="CI57" s="1" t="n">
        <f aca="false">IF(CH57&gt;PR_BalDone,CH57+CH57*(F_MR/12)-MIN(F_MortPayM,CH57+CH57*(F_MR/12)),CH57)</f>
        <v>0</v>
      </c>
      <c r="CJ57" s="1" t="n">
        <f aca="false">IF(CI57&gt;PR_BalDone,CI57+CI57*(F_MR/12)-MIN(F_MortPayM,CI57+CI57*(F_MR/12)),CI57)</f>
        <v>0</v>
      </c>
      <c r="CK57" s="1" t="n">
        <f aca="false">IF(CJ57&gt;PR_BalDone,CJ57+CJ57*(F_MR/12)-MIN(F_MortPayM,CJ57+CJ57*(F_MR/12)),CJ57)</f>
        <v>0</v>
      </c>
      <c r="CL57" s="1" t="n">
        <f aca="false">IF(CK57&gt;PR_BalDone,CK57+CK57*(F_MR/12)-MIN(F_MortPayM,CK57+CK57*(F_MR/12)),CK57)</f>
        <v>0</v>
      </c>
      <c r="CM57" s="1" t="n">
        <f aca="false">IF(CL57&gt;PR_BalDone,CL57+CL57*(F_MR/12)-MIN(F_MortPayM,CL57+CL57*(F_MR/12)),CL57)</f>
        <v>0</v>
      </c>
      <c r="CN57" s="1" t="n">
        <f aca="false">IF(CM57&gt;PR_BalDone,CM57+CM57*(F_MR/12)-MIN(F_MortPayM,CM57+CM57*(F_MR/12)),CM57)</f>
        <v>0</v>
      </c>
      <c r="CO57" s="1" t="n">
        <f aca="false">IF(CN57&gt;PR_BalDone,CN57+CN57*(F_MR/12)-MIN(F_MortPayM,CN57+CN57*(F_MR/12)),CN57)</f>
        <v>0</v>
      </c>
      <c r="CP57" s="1" t="n">
        <f aca="false">IF(CO57&gt;PR_BalDone,CO57+CO57*(F_MR/12)-MIN(F_MortPayM,CO57+CO57*(F_MR/12)),CO57)</f>
        <v>0</v>
      </c>
      <c r="CQ57" s="1" t="n">
        <f aca="false">IF(CP57&gt;PR_BalDone,CP57+CP57*(F_MR/12)-MIN(F_MortPayM,CP57+CP57*(F_MR/12)),CP57)</f>
        <v>0</v>
      </c>
      <c r="CR57" s="1" t="n">
        <f aca="false">IF(CQ57&gt;PR_BalDone,CQ57+CQ57*(F_MR/12)-MIN(F_MortPayM,CQ57+CQ57*(F_MR/12)),CQ57)</f>
        <v>0</v>
      </c>
      <c r="CS57" s="1" t="n">
        <f aca="false">IF(CF57&gt;PR_BalDone,MIN(F_MortPayM,CF57+CF57*(F_MR/12)),0)</f>
        <v>0</v>
      </c>
      <c r="CT57" s="1" t="n">
        <f aca="false">IF(CG57&gt;PR_BalDone,MIN(F_MortPayM,CG57+CG57*(F_MR/12)),0)</f>
        <v>0</v>
      </c>
      <c r="CU57" s="1" t="n">
        <f aca="false">IF(CH57&gt;PR_BalDone,MIN(F_MortPayM,CH57+CH57*(F_MR/12)),0)</f>
        <v>0</v>
      </c>
      <c r="CV57" s="1" t="n">
        <f aca="false">IF(CI57&gt;PR_BalDone,MIN(F_MortPayM,CI57+CI57*(F_MR/12)),0)</f>
        <v>0</v>
      </c>
      <c r="CW57" s="1" t="n">
        <f aca="false">IF(CJ57&gt;PR_BalDone,MIN(F_MortPayM,CJ57+CJ57*(F_MR/12)),0)</f>
        <v>0</v>
      </c>
      <c r="CX57" s="1" t="n">
        <f aca="false">IF(CK57&gt;PR_BalDone,MIN(F_MortPayM,CK57+CK57*(F_MR/12)),0)</f>
        <v>0</v>
      </c>
      <c r="CY57" s="1" t="n">
        <f aca="false">IF(CL57&gt;PR_BalDone,MIN(F_MortPayM,CL57+CL57*(F_MR/12)),0)</f>
        <v>0</v>
      </c>
      <c r="CZ57" s="1" t="n">
        <f aca="false">IF(CM57&gt;PR_BalDone,MIN(F_MortPayM,CM57+CM57*(F_MR/12)),0)</f>
        <v>0</v>
      </c>
      <c r="DA57" s="1" t="n">
        <f aca="false">IF(CN57&gt;PR_BalDone,MIN(F_MortPayM,CN57+CN57*(F_MR/12)),0)</f>
        <v>0</v>
      </c>
      <c r="DB57" s="1" t="n">
        <f aca="false">IF(CO57&gt;PR_BalDone,MIN(F_MortPayM,CO57+CO57*(F_MR/12)),0)</f>
        <v>0</v>
      </c>
      <c r="DC57" s="1" t="n">
        <f aca="false">IF(CP57&gt;PR_BalDone,MIN(F_MortPayM,CP57+CP57*(F_MR/12)),0)</f>
        <v>0</v>
      </c>
      <c r="DD57" s="1" t="n">
        <f aca="false">IF(CQ57&gt;PR_BalDone,MIN(F_MortPayM,CQ57+CQ57*(F_MR/12)),0)</f>
        <v>0</v>
      </c>
      <c r="DE57" s="1" t="n">
        <f aca="false">MAX(0,CR57)</f>
        <v>0</v>
      </c>
      <c r="DF57" s="1" t="n">
        <f aca="false">SUM(CS57:DD57)</f>
        <v>0</v>
      </c>
      <c r="DG57" s="1" t="n">
        <f aca="false">MAX(0,CF57)</f>
        <v>0</v>
      </c>
    </row>
    <row r="58" customFormat="false" ht="15" hidden="false" customHeight="true" outlineLevel="0" collapsed="false">
      <c r="B58" s="1" t="n">
        <v>50</v>
      </c>
      <c r="C58" s="1" t="n">
        <f aca="false">'Plan cashflow'!I58</f>
        <v>0</v>
      </c>
      <c r="D58" s="1" t="n">
        <f aca="false">IF(C58&gt;PR_BalDone,C58+C58*(F_MR/12)-MIN(F_MortPayM,C58+C58*(F_MR/12)),C58)</f>
        <v>0</v>
      </c>
      <c r="E58" s="1" t="n">
        <f aca="false">IF(D58&gt;PR_BalDone,D58+D58*(F_MR/12)-MIN(F_MortPayM,D58+D58*(F_MR/12)),D58)</f>
        <v>0</v>
      </c>
      <c r="F58" s="1" t="n">
        <f aca="false">IF(E58&gt;PR_BalDone,E58+E58*(F_MR/12)-MIN(F_MortPayM,E58+E58*(F_MR/12)),E58)</f>
        <v>0</v>
      </c>
      <c r="G58" s="1" t="n">
        <f aca="false">IF(F58&gt;PR_BalDone,F58+F58*(F_MR/12)-MIN(F_MortPayM,F58+F58*(F_MR/12)),F58)</f>
        <v>0</v>
      </c>
      <c r="H58" s="1" t="n">
        <f aca="false">IF(G58&gt;PR_BalDone,G58+G58*(F_MR/12)-MIN(F_MortPayM,G58+G58*(F_MR/12)),G58)</f>
        <v>0</v>
      </c>
      <c r="I58" s="1" t="n">
        <f aca="false">IF(H58&gt;PR_BalDone,H58+H58*(F_MR/12)-MIN(F_MortPayM,H58+H58*(F_MR/12)),H58)</f>
        <v>0</v>
      </c>
      <c r="J58" s="1" t="n">
        <f aca="false">IF(I58&gt;PR_BalDone,I58+I58*(F_MR/12)-MIN(F_MortPayM,I58+I58*(F_MR/12)),I58)</f>
        <v>0</v>
      </c>
      <c r="K58" s="1" t="n">
        <f aca="false">IF(J58&gt;PR_BalDone,J58+J58*(F_MR/12)-MIN(F_MortPayM,J58+J58*(F_MR/12)),J58)</f>
        <v>0</v>
      </c>
      <c r="L58" s="1" t="n">
        <f aca="false">IF(K58&gt;PR_BalDone,K58+K58*(F_MR/12)-MIN(F_MortPayM,K58+K58*(F_MR/12)),K58)</f>
        <v>0</v>
      </c>
      <c r="M58" s="1" t="n">
        <f aca="false">IF(L58&gt;PR_BalDone,L58+L58*(F_MR/12)-MIN(F_MortPayM,L58+L58*(F_MR/12)),L58)</f>
        <v>0</v>
      </c>
      <c r="N58" s="1" t="n">
        <f aca="false">IF(M58&gt;PR_BalDone,M58+M58*(F_MR/12)-MIN(F_MortPayM,M58+M58*(F_MR/12)),M58)</f>
        <v>0</v>
      </c>
      <c r="O58" s="1" t="n">
        <f aca="false">IF(N58&gt;PR_BalDone,N58+N58*(F_MR/12)-MIN(F_MortPayM,N58+N58*(F_MR/12)),N58)</f>
        <v>0</v>
      </c>
      <c r="P58" s="1" t="n">
        <f aca="false">IF(C58&gt;PR_BalDone,MIN(F_MortPayM,C58+C58*(F_MR/12)),0)</f>
        <v>0</v>
      </c>
      <c r="Q58" s="1" t="n">
        <f aca="false">IF(D58&gt;PR_BalDone,MIN(F_MortPayM,D58+D58*(F_MR/12)),0)</f>
        <v>0</v>
      </c>
      <c r="R58" s="1" t="n">
        <f aca="false">IF(E58&gt;PR_BalDone,MIN(F_MortPayM,E58+E58*(F_MR/12)),0)</f>
        <v>0</v>
      </c>
      <c r="S58" s="1" t="n">
        <f aca="false">IF(F58&gt;PR_BalDone,MIN(F_MortPayM,F58+F58*(F_MR/12)),0)</f>
        <v>0</v>
      </c>
      <c r="T58" s="1" t="n">
        <f aca="false">IF(G58&gt;PR_BalDone,MIN(F_MortPayM,G58+G58*(F_MR/12)),0)</f>
        <v>0</v>
      </c>
      <c r="U58" s="1" t="n">
        <f aca="false">IF(H58&gt;PR_BalDone,MIN(F_MortPayM,H58+H58*(F_MR/12)),0)</f>
        <v>0</v>
      </c>
      <c r="V58" s="1" t="n">
        <f aca="false">IF(I58&gt;PR_BalDone,MIN(F_MortPayM,I58+I58*(F_MR/12)),0)</f>
        <v>0</v>
      </c>
      <c r="W58" s="1" t="n">
        <f aca="false">IF(J58&gt;PR_BalDone,MIN(F_MortPayM,J58+J58*(F_MR/12)),0)</f>
        <v>0</v>
      </c>
      <c r="X58" s="1" t="n">
        <f aca="false">IF(K58&gt;PR_BalDone,MIN(F_MortPayM,K58+K58*(F_MR/12)),0)</f>
        <v>0</v>
      </c>
      <c r="Y58" s="1" t="n">
        <f aca="false">IF(L58&gt;PR_BalDone,MIN(F_MortPayM,L58+L58*(F_MR/12)),0)</f>
        <v>0</v>
      </c>
      <c r="Z58" s="1" t="n">
        <f aca="false">IF(M58&gt;PR_BalDone,MIN(F_MortPayM,M58+M58*(F_MR/12)),0)</f>
        <v>0</v>
      </c>
      <c r="AA58" s="1" t="n">
        <f aca="false">IF(N58&gt;PR_BalDone,MIN(F_MortPayM,N58+N58*(F_MR/12)),0)</f>
        <v>0</v>
      </c>
      <c r="AB58" s="1" t="n">
        <f aca="false">MAX(0,O58)</f>
        <v>0</v>
      </c>
      <c r="AC58" s="1" t="n">
        <f aca="false">SUM(P58:AA58)</f>
        <v>0</v>
      </c>
      <c r="AD58" s="1" t="n">
        <f aca="false">'Plan cashflow'!L58</f>
        <v>0</v>
      </c>
      <c r="AE58" s="1" t="n">
        <f aca="false">IF(AD58&gt;PR_BalDone,AD58+AD58*(D_iC)-MIN(F_CardPayM,AD58+AD58*(D_iC)),AD58)</f>
        <v>0</v>
      </c>
      <c r="AF58" s="1" t="n">
        <f aca="false">IF(AE58&gt;PR_BalDone,AE58+AE58*(D_iC)-MIN(F_CardPayM,AE58+AE58*(D_iC)),AE58)</f>
        <v>0</v>
      </c>
      <c r="AG58" s="1" t="n">
        <f aca="false">IF(AF58&gt;PR_BalDone,AF58+AF58*(D_iC)-MIN(F_CardPayM,AF58+AF58*(D_iC)),AF58)</f>
        <v>0</v>
      </c>
      <c r="AH58" s="1" t="n">
        <f aca="false">IF(AG58&gt;PR_BalDone,AG58+AG58*(D_iC)-MIN(F_CardPayM,AG58+AG58*(D_iC)),AG58)</f>
        <v>0</v>
      </c>
      <c r="AI58" s="1" t="n">
        <f aca="false">IF(AH58&gt;PR_BalDone,AH58+AH58*(D_iC)-MIN(F_CardPayM,AH58+AH58*(D_iC)),AH58)</f>
        <v>0</v>
      </c>
      <c r="AJ58" s="1" t="n">
        <f aca="false">IF(AI58&gt;PR_BalDone,AI58+AI58*(D_iC)-MIN(F_CardPayM,AI58+AI58*(D_iC)),AI58)</f>
        <v>0</v>
      </c>
      <c r="AK58" s="1" t="n">
        <f aca="false">IF(AJ58&gt;PR_BalDone,AJ58+AJ58*(D_iC)-MIN(F_CardPayM,AJ58+AJ58*(D_iC)),AJ58)</f>
        <v>0</v>
      </c>
      <c r="AL58" s="1" t="n">
        <f aca="false">IF(AK58&gt;PR_BalDone,AK58+AK58*(D_iC)-MIN(F_CardPayM,AK58+AK58*(D_iC)),AK58)</f>
        <v>0</v>
      </c>
      <c r="AM58" s="1" t="n">
        <f aca="false">IF(AL58&gt;PR_BalDone,AL58+AL58*(D_iC)-MIN(F_CardPayM,AL58+AL58*(D_iC)),AL58)</f>
        <v>0</v>
      </c>
      <c r="AN58" s="1" t="n">
        <f aca="false">IF(AM58&gt;PR_BalDone,AM58+AM58*(D_iC)-MIN(F_CardPayM,AM58+AM58*(D_iC)),AM58)</f>
        <v>0</v>
      </c>
      <c r="AO58" s="1" t="n">
        <f aca="false">IF(AN58&gt;PR_BalDone,AN58+AN58*(D_iC)-MIN(F_CardPayM,AN58+AN58*(D_iC)),AN58)</f>
        <v>0</v>
      </c>
      <c r="AP58" s="1" t="n">
        <f aca="false">IF(AO58&gt;PR_BalDone,AO58+AO58*(D_iC)-MIN(F_CardPayM,AO58+AO58*(D_iC)),AO58)</f>
        <v>0</v>
      </c>
      <c r="AQ58" s="1" t="n">
        <f aca="false">IF(AD58&gt;PR_BalDone,MIN(F_CardPayM,AD58+AD58*(D_iC)),0)</f>
        <v>0</v>
      </c>
      <c r="AR58" s="1" t="n">
        <f aca="false">IF(AE58&gt;PR_BalDone,MIN(F_CardPayM,AE58+AE58*(D_iC)),0)</f>
        <v>0</v>
      </c>
      <c r="AS58" s="1" t="n">
        <f aca="false">IF(AF58&gt;PR_BalDone,MIN(F_CardPayM,AF58+AF58*(D_iC)),0)</f>
        <v>0</v>
      </c>
      <c r="AT58" s="1" t="n">
        <f aca="false">IF(AG58&gt;PR_BalDone,MIN(F_CardPayM,AG58+AG58*(D_iC)),0)</f>
        <v>0</v>
      </c>
      <c r="AU58" s="1" t="n">
        <f aca="false">IF(AH58&gt;PR_BalDone,MIN(F_CardPayM,AH58+AH58*(D_iC)),0)</f>
        <v>0</v>
      </c>
      <c r="AV58" s="1" t="n">
        <f aca="false">IF(AI58&gt;PR_BalDone,MIN(F_CardPayM,AI58+AI58*(D_iC)),0)</f>
        <v>0</v>
      </c>
      <c r="AW58" s="1" t="n">
        <f aca="false">IF(AJ58&gt;PR_BalDone,MIN(F_CardPayM,AJ58+AJ58*(D_iC)),0)</f>
        <v>0</v>
      </c>
      <c r="AX58" s="1" t="n">
        <f aca="false">IF(AK58&gt;PR_BalDone,MIN(F_CardPayM,AK58+AK58*(D_iC)),0)</f>
        <v>0</v>
      </c>
      <c r="AY58" s="1" t="n">
        <f aca="false">IF(AL58&gt;PR_BalDone,MIN(F_CardPayM,AL58+AL58*(D_iC)),0)</f>
        <v>0</v>
      </c>
      <c r="AZ58" s="1" t="n">
        <f aca="false">IF(AM58&gt;PR_BalDone,MIN(F_CardPayM,AM58+AM58*(D_iC)),0)</f>
        <v>0</v>
      </c>
      <c r="BA58" s="1" t="n">
        <f aca="false">IF(AN58&gt;PR_BalDone,MIN(F_CardPayM,AN58+AN58*(D_iC)),0)</f>
        <v>0</v>
      </c>
      <c r="BB58" s="1" t="n">
        <f aca="false">IF(AO58&gt;PR_BalDone,MIN(F_CardPayM,AO58+AO58*(D_iC)),0)</f>
        <v>0</v>
      </c>
      <c r="BC58" s="1" t="n">
        <f aca="false">MAX(0,AP58)</f>
        <v>0</v>
      </c>
      <c r="BD58" s="1" t="n">
        <f aca="false">SUM(AQ58:BB58)</f>
        <v>0</v>
      </c>
      <c r="BE58" s="1" t="n">
        <f aca="false">'Plan cashflow'!O58</f>
        <v>0</v>
      </c>
      <c r="BF58" s="1" t="n">
        <f aca="false">IF(BE58&gt;PR_BalDone,BE58+BE58*(D_iL)-MIN(F_LoanPayM,BE58+BE58*(D_iL)),BE58)</f>
        <v>0</v>
      </c>
      <c r="BG58" s="1" t="n">
        <f aca="false">IF(BF58&gt;PR_BalDone,BF58+BF58*(D_iL)-MIN(F_LoanPayM,BF58+BF58*(D_iL)),BF58)</f>
        <v>0</v>
      </c>
      <c r="BH58" s="1" t="n">
        <f aca="false">IF(BG58&gt;PR_BalDone,BG58+BG58*(D_iL)-MIN(F_LoanPayM,BG58+BG58*(D_iL)),BG58)</f>
        <v>0</v>
      </c>
      <c r="BI58" s="1" t="n">
        <f aca="false">IF(BH58&gt;PR_BalDone,BH58+BH58*(D_iL)-MIN(F_LoanPayM,BH58+BH58*(D_iL)),BH58)</f>
        <v>0</v>
      </c>
      <c r="BJ58" s="1" t="n">
        <f aca="false">IF(BI58&gt;PR_BalDone,BI58+BI58*(D_iL)-MIN(F_LoanPayM,BI58+BI58*(D_iL)),BI58)</f>
        <v>0</v>
      </c>
      <c r="BK58" s="1" t="n">
        <f aca="false">IF(BJ58&gt;PR_BalDone,BJ58+BJ58*(D_iL)-MIN(F_LoanPayM,BJ58+BJ58*(D_iL)),BJ58)</f>
        <v>0</v>
      </c>
      <c r="BL58" s="1" t="n">
        <f aca="false">IF(BK58&gt;PR_BalDone,BK58+BK58*(D_iL)-MIN(F_LoanPayM,BK58+BK58*(D_iL)),BK58)</f>
        <v>0</v>
      </c>
      <c r="BM58" s="1" t="n">
        <f aca="false">IF(BL58&gt;PR_BalDone,BL58+BL58*(D_iL)-MIN(F_LoanPayM,BL58+BL58*(D_iL)),BL58)</f>
        <v>0</v>
      </c>
      <c r="BN58" s="1" t="n">
        <f aca="false">IF(BM58&gt;PR_BalDone,BM58+BM58*(D_iL)-MIN(F_LoanPayM,BM58+BM58*(D_iL)),BM58)</f>
        <v>0</v>
      </c>
      <c r="BO58" s="1" t="n">
        <f aca="false">IF(BN58&gt;PR_BalDone,BN58+BN58*(D_iL)-MIN(F_LoanPayM,BN58+BN58*(D_iL)),BN58)</f>
        <v>0</v>
      </c>
      <c r="BP58" s="1" t="n">
        <f aca="false">IF(BO58&gt;PR_BalDone,BO58+BO58*(D_iL)-MIN(F_LoanPayM,BO58+BO58*(D_iL)),BO58)</f>
        <v>0</v>
      </c>
      <c r="BQ58" s="1" t="n">
        <f aca="false">IF(BP58&gt;PR_BalDone,BP58+BP58*(D_iL)-MIN(F_LoanPayM,BP58+BP58*(D_iL)),BP58)</f>
        <v>0</v>
      </c>
      <c r="BR58" s="1" t="n">
        <f aca="false">IF(BE58&gt;PR_BalDone,MIN(F_LoanPayM,BE58+BE58*(D_iL)),0)</f>
        <v>0</v>
      </c>
      <c r="BS58" s="1" t="n">
        <f aca="false">IF(BF58&gt;PR_BalDone,MIN(F_LoanPayM,BF58+BF58*(D_iL)),0)</f>
        <v>0</v>
      </c>
      <c r="BT58" s="1" t="n">
        <f aca="false">IF(BG58&gt;PR_BalDone,MIN(F_LoanPayM,BG58+BG58*(D_iL)),0)</f>
        <v>0</v>
      </c>
      <c r="BU58" s="1" t="n">
        <f aca="false">IF(BH58&gt;PR_BalDone,MIN(F_LoanPayM,BH58+BH58*(D_iL)),0)</f>
        <v>0</v>
      </c>
      <c r="BV58" s="1" t="n">
        <f aca="false">IF(BI58&gt;PR_BalDone,MIN(F_LoanPayM,BI58+BI58*(D_iL)),0)</f>
        <v>0</v>
      </c>
      <c r="BW58" s="1" t="n">
        <f aca="false">IF(BJ58&gt;PR_BalDone,MIN(F_LoanPayM,BJ58+BJ58*(D_iL)),0)</f>
        <v>0</v>
      </c>
      <c r="BX58" s="1" t="n">
        <f aca="false">IF(BK58&gt;PR_BalDone,MIN(F_LoanPayM,BK58+BK58*(D_iL)),0)</f>
        <v>0</v>
      </c>
      <c r="BY58" s="1" t="n">
        <f aca="false">IF(BL58&gt;PR_BalDone,MIN(F_LoanPayM,BL58+BL58*(D_iL)),0)</f>
        <v>0</v>
      </c>
      <c r="BZ58" s="1" t="n">
        <f aca="false">IF(BM58&gt;PR_BalDone,MIN(F_LoanPayM,BM58+BM58*(D_iL)),0)</f>
        <v>0</v>
      </c>
      <c r="CA58" s="1" t="n">
        <f aca="false">IF(BN58&gt;PR_BalDone,MIN(F_LoanPayM,BN58+BN58*(D_iL)),0)</f>
        <v>0</v>
      </c>
      <c r="CB58" s="1" t="n">
        <f aca="false">IF(BO58&gt;PR_BalDone,MIN(F_LoanPayM,BO58+BO58*(D_iL)),0)</f>
        <v>0</v>
      </c>
      <c r="CC58" s="1" t="n">
        <f aca="false">IF(BP58&gt;PR_BalDone,MIN(F_LoanPayM,BP58+BP58*(D_iL)),0)</f>
        <v>0</v>
      </c>
      <c r="CD58" s="1" t="n">
        <f aca="false">MAX(0,BQ58)</f>
        <v>0</v>
      </c>
      <c r="CE58" s="1" t="n">
        <f aca="false">SUM(BR58:CC58)</f>
        <v>0</v>
      </c>
      <c r="CF58" s="1" t="n">
        <f aca="false">IF(CF57&gt;1,DE57,CF57)</f>
        <v>0</v>
      </c>
      <c r="CG58" s="1" t="n">
        <f aca="false">IF(CF58&gt;PR_BalDone,CF58+CF58*(F_MR/12)-MIN(F_MortPayM,CF58+CF58*(F_MR/12)),CF58)</f>
        <v>0</v>
      </c>
      <c r="CH58" s="1" t="n">
        <f aca="false">IF(CG58&gt;PR_BalDone,CG58+CG58*(F_MR/12)-MIN(F_MortPayM,CG58+CG58*(F_MR/12)),CG58)</f>
        <v>0</v>
      </c>
      <c r="CI58" s="1" t="n">
        <f aca="false">IF(CH58&gt;PR_BalDone,CH58+CH58*(F_MR/12)-MIN(F_MortPayM,CH58+CH58*(F_MR/12)),CH58)</f>
        <v>0</v>
      </c>
      <c r="CJ58" s="1" t="n">
        <f aca="false">IF(CI58&gt;PR_BalDone,CI58+CI58*(F_MR/12)-MIN(F_MortPayM,CI58+CI58*(F_MR/12)),CI58)</f>
        <v>0</v>
      </c>
      <c r="CK58" s="1" t="n">
        <f aca="false">IF(CJ58&gt;PR_BalDone,CJ58+CJ58*(F_MR/12)-MIN(F_MortPayM,CJ58+CJ58*(F_MR/12)),CJ58)</f>
        <v>0</v>
      </c>
      <c r="CL58" s="1" t="n">
        <f aca="false">IF(CK58&gt;PR_BalDone,CK58+CK58*(F_MR/12)-MIN(F_MortPayM,CK58+CK58*(F_MR/12)),CK58)</f>
        <v>0</v>
      </c>
      <c r="CM58" s="1" t="n">
        <f aca="false">IF(CL58&gt;PR_BalDone,CL58+CL58*(F_MR/12)-MIN(F_MortPayM,CL58+CL58*(F_MR/12)),CL58)</f>
        <v>0</v>
      </c>
      <c r="CN58" s="1" t="n">
        <f aca="false">IF(CM58&gt;PR_BalDone,CM58+CM58*(F_MR/12)-MIN(F_MortPayM,CM58+CM58*(F_MR/12)),CM58)</f>
        <v>0</v>
      </c>
      <c r="CO58" s="1" t="n">
        <f aca="false">IF(CN58&gt;PR_BalDone,CN58+CN58*(F_MR/12)-MIN(F_MortPayM,CN58+CN58*(F_MR/12)),CN58)</f>
        <v>0</v>
      </c>
      <c r="CP58" s="1" t="n">
        <f aca="false">IF(CO58&gt;PR_BalDone,CO58+CO58*(F_MR/12)-MIN(F_MortPayM,CO58+CO58*(F_MR/12)),CO58)</f>
        <v>0</v>
      </c>
      <c r="CQ58" s="1" t="n">
        <f aca="false">IF(CP58&gt;PR_BalDone,CP58+CP58*(F_MR/12)-MIN(F_MortPayM,CP58+CP58*(F_MR/12)),CP58)</f>
        <v>0</v>
      </c>
      <c r="CR58" s="1" t="n">
        <f aca="false">IF(CQ58&gt;PR_BalDone,CQ58+CQ58*(F_MR/12)-MIN(F_MortPayM,CQ58+CQ58*(F_MR/12)),CQ58)</f>
        <v>0</v>
      </c>
      <c r="CS58" s="1" t="n">
        <f aca="false">IF(CF58&gt;PR_BalDone,MIN(F_MortPayM,CF58+CF58*(F_MR/12)),0)</f>
        <v>0</v>
      </c>
      <c r="CT58" s="1" t="n">
        <f aca="false">IF(CG58&gt;PR_BalDone,MIN(F_MortPayM,CG58+CG58*(F_MR/12)),0)</f>
        <v>0</v>
      </c>
      <c r="CU58" s="1" t="n">
        <f aca="false">IF(CH58&gt;PR_BalDone,MIN(F_MortPayM,CH58+CH58*(F_MR/12)),0)</f>
        <v>0</v>
      </c>
      <c r="CV58" s="1" t="n">
        <f aca="false">IF(CI58&gt;PR_BalDone,MIN(F_MortPayM,CI58+CI58*(F_MR/12)),0)</f>
        <v>0</v>
      </c>
      <c r="CW58" s="1" t="n">
        <f aca="false">IF(CJ58&gt;PR_BalDone,MIN(F_MortPayM,CJ58+CJ58*(F_MR/12)),0)</f>
        <v>0</v>
      </c>
      <c r="CX58" s="1" t="n">
        <f aca="false">IF(CK58&gt;PR_BalDone,MIN(F_MortPayM,CK58+CK58*(F_MR/12)),0)</f>
        <v>0</v>
      </c>
      <c r="CY58" s="1" t="n">
        <f aca="false">IF(CL58&gt;PR_BalDone,MIN(F_MortPayM,CL58+CL58*(F_MR/12)),0)</f>
        <v>0</v>
      </c>
      <c r="CZ58" s="1" t="n">
        <f aca="false">IF(CM58&gt;PR_BalDone,MIN(F_MortPayM,CM58+CM58*(F_MR/12)),0)</f>
        <v>0</v>
      </c>
      <c r="DA58" s="1" t="n">
        <f aca="false">IF(CN58&gt;PR_BalDone,MIN(F_MortPayM,CN58+CN58*(F_MR/12)),0)</f>
        <v>0</v>
      </c>
      <c r="DB58" s="1" t="n">
        <f aca="false">IF(CO58&gt;PR_BalDone,MIN(F_MortPayM,CO58+CO58*(F_MR/12)),0)</f>
        <v>0</v>
      </c>
      <c r="DC58" s="1" t="n">
        <f aca="false">IF(CP58&gt;PR_BalDone,MIN(F_MortPayM,CP58+CP58*(F_MR/12)),0)</f>
        <v>0</v>
      </c>
      <c r="DD58" s="1" t="n">
        <f aca="false">IF(CQ58&gt;PR_BalDone,MIN(F_MortPayM,CQ58+CQ58*(F_MR/12)),0)</f>
        <v>0</v>
      </c>
      <c r="DE58" s="1" t="n">
        <f aca="false">MAX(0,CR58)</f>
        <v>0</v>
      </c>
      <c r="DF58" s="1" t="n">
        <f aca="false">SUM(CS58:DD58)</f>
        <v>0</v>
      </c>
      <c r="DG58" s="1" t="n">
        <f aca="false">MAX(0,CF58)</f>
        <v>0</v>
      </c>
    </row>
    <row r="59" customFormat="false" ht="15" hidden="false" customHeight="true" outlineLevel="0" collapsed="false">
      <c r="B59" s="1" t="n">
        <v>51</v>
      </c>
      <c r="C59" s="1" t="n">
        <f aca="false">'Plan cashflow'!I59</f>
        <v>0</v>
      </c>
      <c r="D59" s="1" t="n">
        <f aca="false">IF(C59&gt;PR_BalDone,C59+C59*(F_MR/12)-MIN(F_MortPayM,C59+C59*(F_MR/12)),C59)</f>
        <v>0</v>
      </c>
      <c r="E59" s="1" t="n">
        <f aca="false">IF(D59&gt;PR_BalDone,D59+D59*(F_MR/12)-MIN(F_MortPayM,D59+D59*(F_MR/12)),D59)</f>
        <v>0</v>
      </c>
      <c r="F59" s="1" t="n">
        <f aca="false">IF(E59&gt;PR_BalDone,E59+E59*(F_MR/12)-MIN(F_MortPayM,E59+E59*(F_MR/12)),E59)</f>
        <v>0</v>
      </c>
      <c r="G59" s="1" t="n">
        <f aca="false">IF(F59&gt;PR_BalDone,F59+F59*(F_MR/12)-MIN(F_MortPayM,F59+F59*(F_MR/12)),F59)</f>
        <v>0</v>
      </c>
      <c r="H59" s="1" t="n">
        <f aca="false">IF(G59&gt;PR_BalDone,G59+G59*(F_MR/12)-MIN(F_MortPayM,G59+G59*(F_MR/12)),G59)</f>
        <v>0</v>
      </c>
      <c r="I59" s="1" t="n">
        <f aca="false">IF(H59&gt;PR_BalDone,H59+H59*(F_MR/12)-MIN(F_MortPayM,H59+H59*(F_MR/12)),H59)</f>
        <v>0</v>
      </c>
      <c r="J59" s="1" t="n">
        <f aca="false">IF(I59&gt;PR_BalDone,I59+I59*(F_MR/12)-MIN(F_MortPayM,I59+I59*(F_MR/12)),I59)</f>
        <v>0</v>
      </c>
      <c r="K59" s="1" t="n">
        <f aca="false">IF(J59&gt;PR_BalDone,J59+J59*(F_MR/12)-MIN(F_MortPayM,J59+J59*(F_MR/12)),J59)</f>
        <v>0</v>
      </c>
      <c r="L59" s="1" t="n">
        <f aca="false">IF(K59&gt;PR_BalDone,K59+K59*(F_MR/12)-MIN(F_MortPayM,K59+K59*(F_MR/12)),K59)</f>
        <v>0</v>
      </c>
      <c r="M59" s="1" t="n">
        <f aca="false">IF(L59&gt;PR_BalDone,L59+L59*(F_MR/12)-MIN(F_MortPayM,L59+L59*(F_MR/12)),L59)</f>
        <v>0</v>
      </c>
      <c r="N59" s="1" t="n">
        <f aca="false">IF(M59&gt;PR_BalDone,M59+M59*(F_MR/12)-MIN(F_MortPayM,M59+M59*(F_MR/12)),M59)</f>
        <v>0</v>
      </c>
      <c r="O59" s="1" t="n">
        <f aca="false">IF(N59&gt;PR_BalDone,N59+N59*(F_MR/12)-MIN(F_MortPayM,N59+N59*(F_MR/12)),N59)</f>
        <v>0</v>
      </c>
      <c r="P59" s="1" t="n">
        <f aca="false">IF(C59&gt;PR_BalDone,MIN(F_MortPayM,C59+C59*(F_MR/12)),0)</f>
        <v>0</v>
      </c>
      <c r="Q59" s="1" t="n">
        <f aca="false">IF(D59&gt;PR_BalDone,MIN(F_MortPayM,D59+D59*(F_MR/12)),0)</f>
        <v>0</v>
      </c>
      <c r="R59" s="1" t="n">
        <f aca="false">IF(E59&gt;PR_BalDone,MIN(F_MortPayM,E59+E59*(F_MR/12)),0)</f>
        <v>0</v>
      </c>
      <c r="S59" s="1" t="n">
        <f aca="false">IF(F59&gt;PR_BalDone,MIN(F_MortPayM,F59+F59*(F_MR/12)),0)</f>
        <v>0</v>
      </c>
      <c r="T59" s="1" t="n">
        <f aca="false">IF(G59&gt;PR_BalDone,MIN(F_MortPayM,G59+G59*(F_MR/12)),0)</f>
        <v>0</v>
      </c>
      <c r="U59" s="1" t="n">
        <f aca="false">IF(H59&gt;PR_BalDone,MIN(F_MortPayM,H59+H59*(F_MR/12)),0)</f>
        <v>0</v>
      </c>
      <c r="V59" s="1" t="n">
        <f aca="false">IF(I59&gt;PR_BalDone,MIN(F_MortPayM,I59+I59*(F_MR/12)),0)</f>
        <v>0</v>
      </c>
      <c r="W59" s="1" t="n">
        <f aca="false">IF(J59&gt;PR_BalDone,MIN(F_MortPayM,J59+J59*(F_MR/12)),0)</f>
        <v>0</v>
      </c>
      <c r="X59" s="1" t="n">
        <f aca="false">IF(K59&gt;PR_BalDone,MIN(F_MortPayM,K59+K59*(F_MR/12)),0)</f>
        <v>0</v>
      </c>
      <c r="Y59" s="1" t="n">
        <f aca="false">IF(L59&gt;PR_BalDone,MIN(F_MortPayM,L59+L59*(F_MR/12)),0)</f>
        <v>0</v>
      </c>
      <c r="Z59" s="1" t="n">
        <f aca="false">IF(M59&gt;PR_BalDone,MIN(F_MortPayM,M59+M59*(F_MR/12)),0)</f>
        <v>0</v>
      </c>
      <c r="AA59" s="1" t="n">
        <f aca="false">IF(N59&gt;PR_BalDone,MIN(F_MortPayM,N59+N59*(F_MR/12)),0)</f>
        <v>0</v>
      </c>
      <c r="AB59" s="1" t="n">
        <f aca="false">MAX(0,O59)</f>
        <v>0</v>
      </c>
      <c r="AC59" s="1" t="n">
        <f aca="false">SUM(P59:AA59)</f>
        <v>0</v>
      </c>
      <c r="AD59" s="1" t="n">
        <f aca="false">'Plan cashflow'!L59</f>
        <v>0</v>
      </c>
      <c r="AE59" s="1" t="n">
        <f aca="false">IF(AD59&gt;PR_BalDone,AD59+AD59*(D_iC)-MIN(F_CardPayM,AD59+AD59*(D_iC)),AD59)</f>
        <v>0</v>
      </c>
      <c r="AF59" s="1" t="n">
        <f aca="false">IF(AE59&gt;PR_BalDone,AE59+AE59*(D_iC)-MIN(F_CardPayM,AE59+AE59*(D_iC)),AE59)</f>
        <v>0</v>
      </c>
      <c r="AG59" s="1" t="n">
        <f aca="false">IF(AF59&gt;PR_BalDone,AF59+AF59*(D_iC)-MIN(F_CardPayM,AF59+AF59*(D_iC)),AF59)</f>
        <v>0</v>
      </c>
      <c r="AH59" s="1" t="n">
        <f aca="false">IF(AG59&gt;PR_BalDone,AG59+AG59*(D_iC)-MIN(F_CardPayM,AG59+AG59*(D_iC)),AG59)</f>
        <v>0</v>
      </c>
      <c r="AI59" s="1" t="n">
        <f aca="false">IF(AH59&gt;PR_BalDone,AH59+AH59*(D_iC)-MIN(F_CardPayM,AH59+AH59*(D_iC)),AH59)</f>
        <v>0</v>
      </c>
      <c r="AJ59" s="1" t="n">
        <f aca="false">IF(AI59&gt;PR_BalDone,AI59+AI59*(D_iC)-MIN(F_CardPayM,AI59+AI59*(D_iC)),AI59)</f>
        <v>0</v>
      </c>
      <c r="AK59" s="1" t="n">
        <f aca="false">IF(AJ59&gt;PR_BalDone,AJ59+AJ59*(D_iC)-MIN(F_CardPayM,AJ59+AJ59*(D_iC)),AJ59)</f>
        <v>0</v>
      </c>
      <c r="AL59" s="1" t="n">
        <f aca="false">IF(AK59&gt;PR_BalDone,AK59+AK59*(D_iC)-MIN(F_CardPayM,AK59+AK59*(D_iC)),AK59)</f>
        <v>0</v>
      </c>
      <c r="AM59" s="1" t="n">
        <f aca="false">IF(AL59&gt;PR_BalDone,AL59+AL59*(D_iC)-MIN(F_CardPayM,AL59+AL59*(D_iC)),AL59)</f>
        <v>0</v>
      </c>
      <c r="AN59" s="1" t="n">
        <f aca="false">IF(AM59&gt;PR_BalDone,AM59+AM59*(D_iC)-MIN(F_CardPayM,AM59+AM59*(D_iC)),AM59)</f>
        <v>0</v>
      </c>
      <c r="AO59" s="1" t="n">
        <f aca="false">IF(AN59&gt;PR_BalDone,AN59+AN59*(D_iC)-MIN(F_CardPayM,AN59+AN59*(D_iC)),AN59)</f>
        <v>0</v>
      </c>
      <c r="AP59" s="1" t="n">
        <f aca="false">IF(AO59&gt;PR_BalDone,AO59+AO59*(D_iC)-MIN(F_CardPayM,AO59+AO59*(D_iC)),AO59)</f>
        <v>0</v>
      </c>
      <c r="AQ59" s="1" t="n">
        <f aca="false">IF(AD59&gt;PR_BalDone,MIN(F_CardPayM,AD59+AD59*(D_iC)),0)</f>
        <v>0</v>
      </c>
      <c r="AR59" s="1" t="n">
        <f aca="false">IF(AE59&gt;PR_BalDone,MIN(F_CardPayM,AE59+AE59*(D_iC)),0)</f>
        <v>0</v>
      </c>
      <c r="AS59" s="1" t="n">
        <f aca="false">IF(AF59&gt;PR_BalDone,MIN(F_CardPayM,AF59+AF59*(D_iC)),0)</f>
        <v>0</v>
      </c>
      <c r="AT59" s="1" t="n">
        <f aca="false">IF(AG59&gt;PR_BalDone,MIN(F_CardPayM,AG59+AG59*(D_iC)),0)</f>
        <v>0</v>
      </c>
      <c r="AU59" s="1" t="n">
        <f aca="false">IF(AH59&gt;PR_BalDone,MIN(F_CardPayM,AH59+AH59*(D_iC)),0)</f>
        <v>0</v>
      </c>
      <c r="AV59" s="1" t="n">
        <f aca="false">IF(AI59&gt;PR_BalDone,MIN(F_CardPayM,AI59+AI59*(D_iC)),0)</f>
        <v>0</v>
      </c>
      <c r="AW59" s="1" t="n">
        <f aca="false">IF(AJ59&gt;PR_BalDone,MIN(F_CardPayM,AJ59+AJ59*(D_iC)),0)</f>
        <v>0</v>
      </c>
      <c r="AX59" s="1" t="n">
        <f aca="false">IF(AK59&gt;PR_BalDone,MIN(F_CardPayM,AK59+AK59*(D_iC)),0)</f>
        <v>0</v>
      </c>
      <c r="AY59" s="1" t="n">
        <f aca="false">IF(AL59&gt;PR_BalDone,MIN(F_CardPayM,AL59+AL59*(D_iC)),0)</f>
        <v>0</v>
      </c>
      <c r="AZ59" s="1" t="n">
        <f aca="false">IF(AM59&gt;PR_BalDone,MIN(F_CardPayM,AM59+AM59*(D_iC)),0)</f>
        <v>0</v>
      </c>
      <c r="BA59" s="1" t="n">
        <f aca="false">IF(AN59&gt;PR_BalDone,MIN(F_CardPayM,AN59+AN59*(D_iC)),0)</f>
        <v>0</v>
      </c>
      <c r="BB59" s="1" t="n">
        <f aca="false">IF(AO59&gt;PR_BalDone,MIN(F_CardPayM,AO59+AO59*(D_iC)),0)</f>
        <v>0</v>
      </c>
      <c r="BC59" s="1" t="n">
        <f aca="false">MAX(0,AP59)</f>
        <v>0</v>
      </c>
      <c r="BD59" s="1" t="n">
        <f aca="false">SUM(AQ59:BB59)</f>
        <v>0</v>
      </c>
      <c r="BE59" s="1" t="n">
        <f aca="false">'Plan cashflow'!O59</f>
        <v>0</v>
      </c>
      <c r="BF59" s="1" t="n">
        <f aca="false">IF(BE59&gt;PR_BalDone,BE59+BE59*(D_iL)-MIN(F_LoanPayM,BE59+BE59*(D_iL)),BE59)</f>
        <v>0</v>
      </c>
      <c r="BG59" s="1" t="n">
        <f aca="false">IF(BF59&gt;PR_BalDone,BF59+BF59*(D_iL)-MIN(F_LoanPayM,BF59+BF59*(D_iL)),BF59)</f>
        <v>0</v>
      </c>
      <c r="BH59" s="1" t="n">
        <f aca="false">IF(BG59&gt;PR_BalDone,BG59+BG59*(D_iL)-MIN(F_LoanPayM,BG59+BG59*(D_iL)),BG59)</f>
        <v>0</v>
      </c>
      <c r="BI59" s="1" t="n">
        <f aca="false">IF(BH59&gt;PR_BalDone,BH59+BH59*(D_iL)-MIN(F_LoanPayM,BH59+BH59*(D_iL)),BH59)</f>
        <v>0</v>
      </c>
      <c r="BJ59" s="1" t="n">
        <f aca="false">IF(BI59&gt;PR_BalDone,BI59+BI59*(D_iL)-MIN(F_LoanPayM,BI59+BI59*(D_iL)),BI59)</f>
        <v>0</v>
      </c>
      <c r="BK59" s="1" t="n">
        <f aca="false">IF(BJ59&gt;PR_BalDone,BJ59+BJ59*(D_iL)-MIN(F_LoanPayM,BJ59+BJ59*(D_iL)),BJ59)</f>
        <v>0</v>
      </c>
      <c r="BL59" s="1" t="n">
        <f aca="false">IF(BK59&gt;PR_BalDone,BK59+BK59*(D_iL)-MIN(F_LoanPayM,BK59+BK59*(D_iL)),BK59)</f>
        <v>0</v>
      </c>
      <c r="BM59" s="1" t="n">
        <f aca="false">IF(BL59&gt;PR_BalDone,BL59+BL59*(D_iL)-MIN(F_LoanPayM,BL59+BL59*(D_iL)),BL59)</f>
        <v>0</v>
      </c>
      <c r="BN59" s="1" t="n">
        <f aca="false">IF(BM59&gt;PR_BalDone,BM59+BM59*(D_iL)-MIN(F_LoanPayM,BM59+BM59*(D_iL)),BM59)</f>
        <v>0</v>
      </c>
      <c r="BO59" s="1" t="n">
        <f aca="false">IF(BN59&gt;PR_BalDone,BN59+BN59*(D_iL)-MIN(F_LoanPayM,BN59+BN59*(D_iL)),BN59)</f>
        <v>0</v>
      </c>
      <c r="BP59" s="1" t="n">
        <f aca="false">IF(BO59&gt;PR_BalDone,BO59+BO59*(D_iL)-MIN(F_LoanPayM,BO59+BO59*(D_iL)),BO59)</f>
        <v>0</v>
      </c>
      <c r="BQ59" s="1" t="n">
        <f aca="false">IF(BP59&gt;PR_BalDone,BP59+BP59*(D_iL)-MIN(F_LoanPayM,BP59+BP59*(D_iL)),BP59)</f>
        <v>0</v>
      </c>
      <c r="BR59" s="1" t="n">
        <f aca="false">IF(BE59&gt;PR_BalDone,MIN(F_LoanPayM,BE59+BE59*(D_iL)),0)</f>
        <v>0</v>
      </c>
      <c r="BS59" s="1" t="n">
        <f aca="false">IF(BF59&gt;PR_BalDone,MIN(F_LoanPayM,BF59+BF59*(D_iL)),0)</f>
        <v>0</v>
      </c>
      <c r="BT59" s="1" t="n">
        <f aca="false">IF(BG59&gt;PR_BalDone,MIN(F_LoanPayM,BG59+BG59*(D_iL)),0)</f>
        <v>0</v>
      </c>
      <c r="BU59" s="1" t="n">
        <f aca="false">IF(BH59&gt;PR_BalDone,MIN(F_LoanPayM,BH59+BH59*(D_iL)),0)</f>
        <v>0</v>
      </c>
      <c r="BV59" s="1" t="n">
        <f aca="false">IF(BI59&gt;PR_BalDone,MIN(F_LoanPayM,BI59+BI59*(D_iL)),0)</f>
        <v>0</v>
      </c>
      <c r="BW59" s="1" t="n">
        <f aca="false">IF(BJ59&gt;PR_BalDone,MIN(F_LoanPayM,BJ59+BJ59*(D_iL)),0)</f>
        <v>0</v>
      </c>
      <c r="BX59" s="1" t="n">
        <f aca="false">IF(BK59&gt;PR_BalDone,MIN(F_LoanPayM,BK59+BK59*(D_iL)),0)</f>
        <v>0</v>
      </c>
      <c r="BY59" s="1" t="n">
        <f aca="false">IF(BL59&gt;PR_BalDone,MIN(F_LoanPayM,BL59+BL59*(D_iL)),0)</f>
        <v>0</v>
      </c>
      <c r="BZ59" s="1" t="n">
        <f aca="false">IF(BM59&gt;PR_BalDone,MIN(F_LoanPayM,BM59+BM59*(D_iL)),0)</f>
        <v>0</v>
      </c>
      <c r="CA59" s="1" t="n">
        <f aca="false">IF(BN59&gt;PR_BalDone,MIN(F_LoanPayM,BN59+BN59*(D_iL)),0)</f>
        <v>0</v>
      </c>
      <c r="CB59" s="1" t="n">
        <f aca="false">IF(BO59&gt;PR_BalDone,MIN(F_LoanPayM,BO59+BO59*(D_iL)),0)</f>
        <v>0</v>
      </c>
      <c r="CC59" s="1" t="n">
        <f aca="false">IF(BP59&gt;PR_BalDone,MIN(F_LoanPayM,BP59+BP59*(D_iL)),0)</f>
        <v>0</v>
      </c>
      <c r="CD59" s="1" t="n">
        <f aca="false">MAX(0,BQ59)</f>
        <v>0</v>
      </c>
      <c r="CE59" s="1" t="n">
        <f aca="false">SUM(BR59:CC59)</f>
        <v>0</v>
      </c>
      <c r="CF59" s="1" t="n">
        <f aca="false">IF(CF58&gt;1,DE58,CF58)</f>
        <v>0</v>
      </c>
      <c r="CG59" s="1" t="n">
        <f aca="false">IF(CF59&gt;PR_BalDone,CF59+CF59*(F_MR/12)-MIN(F_MortPayM,CF59+CF59*(F_MR/12)),CF59)</f>
        <v>0</v>
      </c>
      <c r="CH59" s="1" t="n">
        <f aca="false">IF(CG59&gt;PR_BalDone,CG59+CG59*(F_MR/12)-MIN(F_MortPayM,CG59+CG59*(F_MR/12)),CG59)</f>
        <v>0</v>
      </c>
      <c r="CI59" s="1" t="n">
        <f aca="false">IF(CH59&gt;PR_BalDone,CH59+CH59*(F_MR/12)-MIN(F_MortPayM,CH59+CH59*(F_MR/12)),CH59)</f>
        <v>0</v>
      </c>
      <c r="CJ59" s="1" t="n">
        <f aca="false">IF(CI59&gt;PR_BalDone,CI59+CI59*(F_MR/12)-MIN(F_MortPayM,CI59+CI59*(F_MR/12)),CI59)</f>
        <v>0</v>
      </c>
      <c r="CK59" s="1" t="n">
        <f aca="false">IF(CJ59&gt;PR_BalDone,CJ59+CJ59*(F_MR/12)-MIN(F_MortPayM,CJ59+CJ59*(F_MR/12)),CJ59)</f>
        <v>0</v>
      </c>
      <c r="CL59" s="1" t="n">
        <f aca="false">IF(CK59&gt;PR_BalDone,CK59+CK59*(F_MR/12)-MIN(F_MortPayM,CK59+CK59*(F_MR/12)),CK59)</f>
        <v>0</v>
      </c>
      <c r="CM59" s="1" t="n">
        <f aca="false">IF(CL59&gt;PR_BalDone,CL59+CL59*(F_MR/12)-MIN(F_MortPayM,CL59+CL59*(F_MR/12)),CL59)</f>
        <v>0</v>
      </c>
      <c r="CN59" s="1" t="n">
        <f aca="false">IF(CM59&gt;PR_BalDone,CM59+CM59*(F_MR/12)-MIN(F_MortPayM,CM59+CM59*(F_MR/12)),CM59)</f>
        <v>0</v>
      </c>
      <c r="CO59" s="1" t="n">
        <f aca="false">IF(CN59&gt;PR_BalDone,CN59+CN59*(F_MR/12)-MIN(F_MortPayM,CN59+CN59*(F_MR/12)),CN59)</f>
        <v>0</v>
      </c>
      <c r="CP59" s="1" t="n">
        <f aca="false">IF(CO59&gt;PR_BalDone,CO59+CO59*(F_MR/12)-MIN(F_MortPayM,CO59+CO59*(F_MR/12)),CO59)</f>
        <v>0</v>
      </c>
      <c r="CQ59" s="1" t="n">
        <f aca="false">IF(CP59&gt;PR_BalDone,CP59+CP59*(F_MR/12)-MIN(F_MortPayM,CP59+CP59*(F_MR/12)),CP59)</f>
        <v>0</v>
      </c>
      <c r="CR59" s="1" t="n">
        <f aca="false">IF(CQ59&gt;PR_BalDone,CQ59+CQ59*(F_MR/12)-MIN(F_MortPayM,CQ59+CQ59*(F_MR/12)),CQ59)</f>
        <v>0</v>
      </c>
      <c r="CS59" s="1" t="n">
        <f aca="false">IF(CF59&gt;PR_BalDone,MIN(F_MortPayM,CF59+CF59*(F_MR/12)),0)</f>
        <v>0</v>
      </c>
      <c r="CT59" s="1" t="n">
        <f aca="false">IF(CG59&gt;PR_BalDone,MIN(F_MortPayM,CG59+CG59*(F_MR/12)),0)</f>
        <v>0</v>
      </c>
      <c r="CU59" s="1" t="n">
        <f aca="false">IF(CH59&gt;PR_BalDone,MIN(F_MortPayM,CH59+CH59*(F_MR/12)),0)</f>
        <v>0</v>
      </c>
      <c r="CV59" s="1" t="n">
        <f aca="false">IF(CI59&gt;PR_BalDone,MIN(F_MortPayM,CI59+CI59*(F_MR/12)),0)</f>
        <v>0</v>
      </c>
      <c r="CW59" s="1" t="n">
        <f aca="false">IF(CJ59&gt;PR_BalDone,MIN(F_MortPayM,CJ59+CJ59*(F_MR/12)),0)</f>
        <v>0</v>
      </c>
      <c r="CX59" s="1" t="n">
        <f aca="false">IF(CK59&gt;PR_BalDone,MIN(F_MortPayM,CK59+CK59*(F_MR/12)),0)</f>
        <v>0</v>
      </c>
      <c r="CY59" s="1" t="n">
        <f aca="false">IF(CL59&gt;PR_BalDone,MIN(F_MortPayM,CL59+CL59*(F_MR/12)),0)</f>
        <v>0</v>
      </c>
      <c r="CZ59" s="1" t="n">
        <f aca="false">IF(CM59&gt;PR_BalDone,MIN(F_MortPayM,CM59+CM59*(F_MR/12)),0)</f>
        <v>0</v>
      </c>
      <c r="DA59" s="1" t="n">
        <f aca="false">IF(CN59&gt;PR_BalDone,MIN(F_MortPayM,CN59+CN59*(F_MR/12)),0)</f>
        <v>0</v>
      </c>
      <c r="DB59" s="1" t="n">
        <f aca="false">IF(CO59&gt;PR_BalDone,MIN(F_MortPayM,CO59+CO59*(F_MR/12)),0)</f>
        <v>0</v>
      </c>
      <c r="DC59" s="1" t="n">
        <f aca="false">IF(CP59&gt;PR_BalDone,MIN(F_MortPayM,CP59+CP59*(F_MR/12)),0)</f>
        <v>0</v>
      </c>
      <c r="DD59" s="1" t="n">
        <f aca="false">IF(CQ59&gt;PR_BalDone,MIN(F_MortPayM,CQ59+CQ59*(F_MR/12)),0)</f>
        <v>0</v>
      </c>
      <c r="DE59" s="1" t="n">
        <f aca="false">MAX(0,CR59)</f>
        <v>0</v>
      </c>
      <c r="DF59" s="1" t="n">
        <f aca="false">SUM(CS59:DD59)</f>
        <v>0</v>
      </c>
      <c r="DG59" s="1" t="n">
        <f aca="false">MAX(0,CF59)</f>
        <v>0</v>
      </c>
    </row>
    <row r="60" customFormat="false" ht="15" hidden="false" customHeight="true" outlineLevel="0" collapsed="false">
      <c r="B60" s="1" t="n">
        <v>52</v>
      </c>
      <c r="C60" s="1" t="n">
        <f aca="false">'Plan cashflow'!I60</f>
        <v>0</v>
      </c>
      <c r="D60" s="1" t="n">
        <f aca="false">IF(C60&gt;PR_BalDone,C60+C60*(F_MR/12)-MIN(F_MortPayM,C60+C60*(F_MR/12)),C60)</f>
        <v>0</v>
      </c>
      <c r="E60" s="1" t="n">
        <f aca="false">IF(D60&gt;PR_BalDone,D60+D60*(F_MR/12)-MIN(F_MortPayM,D60+D60*(F_MR/12)),D60)</f>
        <v>0</v>
      </c>
      <c r="F60" s="1" t="n">
        <f aca="false">IF(E60&gt;PR_BalDone,E60+E60*(F_MR/12)-MIN(F_MortPayM,E60+E60*(F_MR/12)),E60)</f>
        <v>0</v>
      </c>
      <c r="G60" s="1" t="n">
        <f aca="false">IF(F60&gt;PR_BalDone,F60+F60*(F_MR/12)-MIN(F_MortPayM,F60+F60*(F_MR/12)),F60)</f>
        <v>0</v>
      </c>
      <c r="H60" s="1" t="n">
        <f aca="false">IF(G60&gt;PR_BalDone,G60+G60*(F_MR/12)-MIN(F_MortPayM,G60+G60*(F_MR/12)),G60)</f>
        <v>0</v>
      </c>
      <c r="I60" s="1" t="n">
        <f aca="false">IF(H60&gt;PR_BalDone,H60+H60*(F_MR/12)-MIN(F_MortPayM,H60+H60*(F_MR/12)),H60)</f>
        <v>0</v>
      </c>
      <c r="J60" s="1" t="n">
        <f aca="false">IF(I60&gt;PR_BalDone,I60+I60*(F_MR/12)-MIN(F_MortPayM,I60+I60*(F_MR/12)),I60)</f>
        <v>0</v>
      </c>
      <c r="K60" s="1" t="n">
        <f aca="false">IF(J60&gt;PR_BalDone,J60+J60*(F_MR/12)-MIN(F_MortPayM,J60+J60*(F_MR/12)),J60)</f>
        <v>0</v>
      </c>
      <c r="L60" s="1" t="n">
        <f aca="false">IF(K60&gt;PR_BalDone,K60+K60*(F_MR/12)-MIN(F_MortPayM,K60+K60*(F_MR/12)),K60)</f>
        <v>0</v>
      </c>
      <c r="M60" s="1" t="n">
        <f aca="false">IF(L60&gt;PR_BalDone,L60+L60*(F_MR/12)-MIN(F_MortPayM,L60+L60*(F_MR/12)),L60)</f>
        <v>0</v>
      </c>
      <c r="N60" s="1" t="n">
        <f aca="false">IF(M60&gt;PR_BalDone,M60+M60*(F_MR/12)-MIN(F_MortPayM,M60+M60*(F_MR/12)),M60)</f>
        <v>0</v>
      </c>
      <c r="O60" s="1" t="n">
        <f aca="false">IF(N60&gt;PR_BalDone,N60+N60*(F_MR/12)-MIN(F_MortPayM,N60+N60*(F_MR/12)),N60)</f>
        <v>0</v>
      </c>
      <c r="P60" s="1" t="n">
        <f aca="false">IF(C60&gt;PR_BalDone,MIN(F_MortPayM,C60+C60*(F_MR/12)),0)</f>
        <v>0</v>
      </c>
      <c r="Q60" s="1" t="n">
        <f aca="false">IF(D60&gt;PR_BalDone,MIN(F_MortPayM,D60+D60*(F_MR/12)),0)</f>
        <v>0</v>
      </c>
      <c r="R60" s="1" t="n">
        <f aca="false">IF(E60&gt;PR_BalDone,MIN(F_MortPayM,E60+E60*(F_MR/12)),0)</f>
        <v>0</v>
      </c>
      <c r="S60" s="1" t="n">
        <f aca="false">IF(F60&gt;PR_BalDone,MIN(F_MortPayM,F60+F60*(F_MR/12)),0)</f>
        <v>0</v>
      </c>
      <c r="T60" s="1" t="n">
        <f aca="false">IF(G60&gt;PR_BalDone,MIN(F_MortPayM,G60+G60*(F_MR/12)),0)</f>
        <v>0</v>
      </c>
      <c r="U60" s="1" t="n">
        <f aca="false">IF(H60&gt;PR_BalDone,MIN(F_MortPayM,H60+H60*(F_MR/12)),0)</f>
        <v>0</v>
      </c>
      <c r="V60" s="1" t="n">
        <f aca="false">IF(I60&gt;PR_BalDone,MIN(F_MortPayM,I60+I60*(F_MR/12)),0)</f>
        <v>0</v>
      </c>
      <c r="W60" s="1" t="n">
        <f aca="false">IF(J60&gt;PR_BalDone,MIN(F_MortPayM,J60+J60*(F_MR/12)),0)</f>
        <v>0</v>
      </c>
      <c r="X60" s="1" t="n">
        <f aca="false">IF(K60&gt;PR_BalDone,MIN(F_MortPayM,K60+K60*(F_MR/12)),0)</f>
        <v>0</v>
      </c>
      <c r="Y60" s="1" t="n">
        <f aca="false">IF(L60&gt;PR_BalDone,MIN(F_MortPayM,L60+L60*(F_MR/12)),0)</f>
        <v>0</v>
      </c>
      <c r="Z60" s="1" t="n">
        <f aca="false">IF(M60&gt;PR_BalDone,MIN(F_MortPayM,M60+M60*(F_MR/12)),0)</f>
        <v>0</v>
      </c>
      <c r="AA60" s="1" t="n">
        <f aca="false">IF(N60&gt;PR_BalDone,MIN(F_MortPayM,N60+N60*(F_MR/12)),0)</f>
        <v>0</v>
      </c>
      <c r="AB60" s="1" t="n">
        <f aca="false">MAX(0,O60)</f>
        <v>0</v>
      </c>
      <c r="AC60" s="1" t="n">
        <f aca="false">SUM(P60:AA60)</f>
        <v>0</v>
      </c>
      <c r="AD60" s="1" t="n">
        <f aca="false">'Plan cashflow'!L60</f>
        <v>0</v>
      </c>
      <c r="AE60" s="1" t="n">
        <f aca="false">IF(AD60&gt;PR_BalDone,AD60+AD60*(D_iC)-MIN(F_CardPayM,AD60+AD60*(D_iC)),AD60)</f>
        <v>0</v>
      </c>
      <c r="AF60" s="1" t="n">
        <f aca="false">IF(AE60&gt;PR_BalDone,AE60+AE60*(D_iC)-MIN(F_CardPayM,AE60+AE60*(D_iC)),AE60)</f>
        <v>0</v>
      </c>
      <c r="AG60" s="1" t="n">
        <f aca="false">IF(AF60&gt;PR_BalDone,AF60+AF60*(D_iC)-MIN(F_CardPayM,AF60+AF60*(D_iC)),AF60)</f>
        <v>0</v>
      </c>
      <c r="AH60" s="1" t="n">
        <f aca="false">IF(AG60&gt;PR_BalDone,AG60+AG60*(D_iC)-MIN(F_CardPayM,AG60+AG60*(D_iC)),AG60)</f>
        <v>0</v>
      </c>
      <c r="AI60" s="1" t="n">
        <f aca="false">IF(AH60&gt;PR_BalDone,AH60+AH60*(D_iC)-MIN(F_CardPayM,AH60+AH60*(D_iC)),AH60)</f>
        <v>0</v>
      </c>
      <c r="AJ60" s="1" t="n">
        <f aca="false">IF(AI60&gt;PR_BalDone,AI60+AI60*(D_iC)-MIN(F_CardPayM,AI60+AI60*(D_iC)),AI60)</f>
        <v>0</v>
      </c>
      <c r="AK60" s="1" t="n">
        <f aca="false">IF(AJ60&gt;PR_BalDone,AJ60+AJ60*(D_iC)-MIN(F_CardPayM,AJ60+AJ60*(D_iC)),AJ60)</f>
        <v>0</v>
      </c>
      <c r="AL60" s="1" t="n">
        <f aca="false">IF(AK60&gt;PR_BalDone,AK60+AK60*(D_iC)-MIN(F_CardPayM,AK60+AK60*(D_iC)),AK60)</f>
        <v>0</v>
      </c>
      <c r="AM60" s="1" t="n">
        <f aca="false">IF(AL60&gt;PR_BalDone,AL60+AL60*(D_iC)-MIN(F_CardPayM,AL60+AL60*(D_iC)),AL60)</f>
        <v>0</v>
      </c>
      <c r="AN60" s="1" t="n">
        <f aca="false">IF(AM60&gt;PR_BalDone,AM60+AM60*(D_iC)-MIN(F_CardPayM,AM60+AM60*(D_iC)),AM60)</f>
        <v>0</v>
      </c>
      <c r="AO60" s="1" t="n">
        <f aca="false">IF(AN60&gt;PR_BalDone,AN60+AN60*(D_iC)-MIN(F_CardPayM,AN60+AN60*(D_iC)),AN60)</f>
        <v>0</v>
      </c>
      <c r="AP60" s="1" t="n">
        <f aca="false">IF(AO60&gt;PR_BalDone,AO60+AO60*(D_iC)-MIN(F_CardPayM,AO60+AO60*(D_iC)),AO60)</f>
        <v>0</v>
      </c>
      <c r="AQ60" s="1" t="n">
        <f aca="false">IF(AD60&gt;PR_BalDone,MIN(F_CardPayM,AD60+AD60*(D_iC)),0)</f>
        <v>0</v>
      </c>
      <c r="AR60" s="1" t="n">
        <f aca="false">IF(AE60&gt;PR_BalDone,MIN(F_CardPayM,AE60+AE60*(D_iC)),0)</f>
        <v>0</v>
      </c>
      <c r="AS60" s="1" t="n">
        <f aca="false">IF(AF60&gt;PR_BalDone,MIN(F_CardPayM,AF60+AF60*(D_iC)),0)</f>
        <v>0</v>
      </c>
      <c r="AT60" s="1" t="n">
        <f aca="false">IF(AG60&gt;PR_BalDone,MIN(F_CardPayM,AG60+AG60*(D_iC)),0)</f>
        <v>0</v>
      </c>
      <c r="AU60" s="1" t="n">
        <f aca="false">IF(AH60&gt;PR_BalDone,MIN(F_CardPayM,AH60+AH60*(D_iC)),0)</f>
        <v>0</v>
      </c>
      <c r="AV60" s="1" t="n">
        <f aca="false">IF(AI60&gt;PR_BalDone,MIN(F_CardPayM,AI60+AI60*(D_iC)),0)</f>
        <v>0</v>
      </c>
      <c r="AW60" s="1" t="n">
        <f aca="false">IF(AJ60&gt;PR_BalDone,MIN(F_CardPayM,AJ60+AJ60*(D_iC)),0)</f>
        <v>0</v>
      </c>
      <c r="AX60" s="1" t="n">
        <f aca="false">IF(AK60&gt;PR_BalDone,MIN(F_CardPayM,AK60+AK60*(D_iC)),0)</f>
        <v>0</v>
      </c>
      <c r="AY60" s="1" t="n">
        <f aca="false">IF(AL60&gt;PR_BalDone,MIN(F_CardPayM,AL60+AL60*(D_iC)),0)</f>
        <v>0</v>
      </c>
      <c r="AZ60" s="1" t="n">
        <f aca="false">IF(AM60&gt;PR_BalDone,MIN(F_CardPayM,AM60+AM60*(D_iC)),0)</f>
        <v>0</v>
      </c>
      <c r="BA60" s="1" t="n">
        <f aca="false">IF(AN60&gt;PR_BalDone,MIN(F_CardPayM,AN60+AN60*(D_iC)),0)</f>
        <v>0</v>
      </c>
      <c r="BB60" s="1" t="n">
        <f aca="false">IF(AO60&gt;PR_BalDone,MIN(F_CardPayM,AO60+AO60*(D_iC)),0)</f>
        <v>0</v>
      </c>
      <c r="BC60" s="1" t="n">
        <f aca="false">MAX(0,AP60)</f>
        <v>0</v>
      </c>
      <c r="BD60" s="1" t="n">
        <f aca="false">SUM(AQ60:BB60)</f>
        <v>0</v>
      </c>
      <c r="BE60" s="1" t="n">
        <f aca="false">'Plan cashflow'!O60</f>
        <v>0</v>
      </c>
      <c r="BF60" s="1" t="n">
        <f aca="false">IF(BE60&gt;PR_BalDone,BE60+BE60*(D_iL)-MIN(F_LoanPayM,BE60+BE60*(D_iL)),BE60)</f>
        <v>0</v>
      </c>
      <c r="BG60" s="1" t="n">
        <f aca="false">IF(BF60&gt;PR_BalDone,BF60+BF60*(D_iL)-MIN(F_LoanPayM,BF60+BF60*(D_iL)),BF60)</f>
        <v>0</v>
      </c>
      <c r="BH60" s="1" t="n">
        <f aca="false">IF(BG60&gt;PR_BalDone,BG60+BG60*(D_iL)-MIN(F_LoanPayM,BG60+BG60*(D_iL)),BG60)</f>
        <v>0</v>
      </c>
      <c r="BI60" s="1" t="n">
        <f aca="false">IF(BH60&gt;PR_BalDone,BH60+BH60*(D_iL)-MIN(F_LoanPayM,BH60+BH60*(D_iL)),BH60)</f>
        <v>0</v>
      </c>
      <c r="BJ60" s="1" t="n">
        <f aca="false">IF(BI60&gt;PR_BalDone,BI60+BI60*(D_iL)-MIN(F_LoanPayM,BI60+BI60*(D_iL)),BI60)</f>
        <v>0</v>
      </c>
      <c r="BK60" s="1" t="n">
        <f aca="false">IF(BJ60&gt;PR_BalDone,BJ60+BJ60*(D_iL)-MIN(F_LoanPayM,BJ60+BJ60*(D_iL)),BJ60)</f>
        <v>0</v>
      </c>
      <c r="BL60" s="1" t="n">
        <f aca="false">IF(BK60&gt;PR_BalDone,BK60+BK60*(D_iL)-MIN(F_LoanPayM,BK60+BK60*(D_iL)),BK60)</f>
        <v>0</v>
      </c>
      <c r="BM60" s="1" t="n">
        <f aca="false">IF(BL60&gt;PR_BalDone,BL60+BL60*(D_iL)-MIN(F_LoanPayM,BL60+BL60*(D_iL)),BL60)</f>
        <v>0</v>
      </c>
      <c r="BN60" s="1" t="n">
        <f aca="false">IF(BM60&gt;PR_BalDone,BM60+BM60*(D_iL)-MIN(F_LoanPayM,BM60+BM60*(D_iL)),BM60)</f>
        <v>0</v>
      </c>
      <c r="BO60" s="1" t="n">
        <f aca="false">IF(BN60&gt;PR_BalDone,BN60+BN60*(D_iL)-MIN(F_LoanPayM,BN60+BN60*(D_iL)),BN60)</f>
        <v>0</v>
      </c>
      <c r="BP60" s="1" t="n">
        <f aca="false">IF(BO60&gt;PR_BalDone,BO60+BO60*(D_iL)-MIN(F_LoanPayM,BO60+BO60*(D_iL)),BO60)</f>
        <v>0</v>
      </c>
      <c r="BQ60" s="1" t="n">
        <f aca="false">IF(BP60&gt;PR_BalDone,BP60+BP60*(D_iL)-MIN(F_LoanPayM,BP60+BP60*(D_iL)),BP60)</f>
        <v>0</v>
      </c>
      <c r="BR60" s="1" t="n">
        <f aca="false">IF(BE60&gt;PR_BalDone,MIN(F_LoanPayM,BE60+BE60*(D_iL)),0)</f>
        <v>0</v>
      </c>
      <c r="BS60" s="1" t="n">
        <f aca="false">IF(BF60&gt;PR_BalDone,MIN(F_LoanPayM,BF60+BF60*(D_iL)),0)</f>
        <v>0</v>
      </c>
      <c r="BT60" s="1" t="n">
        <f aca="false">IF(BG60&gt;PR_BalDone,MIN(F_LoanPayM,BG60+BG60*(D_iL)),0)</f>
        <v>0</v>
      </c>
      <c r="BU60" s="1" t="n">
        <f aca="false">IF(BH60&gt;PR_BalDone,MIN(F_LoanPayM,BH60+BH60*(D_iL)),0)</f>
        <v>0</v>
      </c>
      <c r="BV60" s="1" t="n">
        <f aca="false">IF(BI60&gt;PR_BalDone,MIN(F_LoanPayM,BI60+BI60*(D_iL)),0)</f>
        <v>0</v>
      </c>
      <c r="BW60" s="1" t="n">
        <f aca="false">IF(BJ60&gt;PR_BalDone,MIN(F_LoanPayM,BJ60+BJ60*(D_iL)),0)</f>
        <v>0</v>
      </c>
      <c r="BX60" s="1" t="n">
        <f aca="false">IF(BK60&gt;PR_BalDone,MIN(F_LoanPayM,BK60+BK60*(D_iL)),0)</f>
        <v>0</v>
      </c>
      <c r="BY60" s="1" t="n">
        <f aca="false">IF(BL60&gt;PR_BalDone,MIN(F_LoanPayM,BL60+BL60*(D_iL)),0)</f>
        <v>0</v>
      </c>
      <c r="BZ60" s="1" t="n">
        <f aca="false">IF(BM60&gt;PR_BalDone,MIN(F_LoanPayM,BM60+BM60*(D_iL)),0)</f>
        <v>0</v>
      </c>
      <c r="CA60" s="1" t="n">
        <f aca="false">IF(BN60&gt;PR_BalDone,MIN(F_LoanPayM,BN60+BN60*(D_iL)),0)</f>
        <v>0</v>
      </c>
      <c r="CB60" s="1" t="n">
        <f aca="false">IF(BO60&gt;PR_BalDone,MIN(F_LoanPayM,BO60+BO60*(D_iL)),0)</f>
        <v>0</v>
      </c>
      <c r="CC60" s="1" t="n">
        <f aca="false">IF(BP60&gt;PR_BalDone,MIN(F_LoanPayM,BP60+BP60*(D_iL)),0)</f>
        <v>0</v>
      </c>
      <c r="CD60" s="1" t="n">
        <f aca="false">MAX(0,BQ60)</f>
        <v>0</v>
      </c>
      <c r="CE60" s="1" t="n">
        <f aca="false">SUM(BR60:CC60)</f>
        <v>0</v>
      </c>
      <c r="CF60" s="1" t="n">
        <f aca="false">IF(CF59&gt;1,DE59,CF59)</f>
        <v>0</v>
      </c>
      <c r="CG60" s="1" t="n">
        <f aca="false">IF(CF60&gt;PR_BalDone,CF60+CF60*(F_MR/12)-MIN(F_MortPayM,CF60+CF60*(F_MR/12)),CF60)</f>
        <v>0</v>
      </c>
      <c r="CH60" s="1" t="n">
        <f aca="false">IF(CG60&gt;PR_BalDone,CG60+CG60*(F_MR/12)-MIN(F_MortPayM,CG60+CG60*(F_MR/12)),CG60)</f>
        <v>0</v>
      </c>
      <c r="CI60" s="1" t="n">
        <f aca="false">IF(CH60&gt;PR_BalDone,CH60+CH60*(F_MR/12)-MIN(F_MortPayM,CH60+CH60*(F_MR/12)),CH60)</f>
        <v>0</v>
      </c>
      <c r="CJ60" s="1" t="n">
        <f aca="false">IF(CI60&gt;PR_BalDone,CI60+CI60*(F_MR/12)-MIN(F_MortPayM,CI60+CI60*(F_MR/12)),CI60)</f>
        <v>0</v>
      </c>
      <c r="CK60" s="1" t="n">
        <f aca="false">IF(CJ60&gt;PR_BalDone,CJ60+CJ60*(F_MR/12)-MIN(F_MortPayM,CJ60+CJ60*(F_MR/12)),CJ60)</f>
        <v>0</v>
      </c>
      <c r="CL60" s="1" t="n">
        <f aca="false">IF(CK60&gt;PR_BalDone,CK60+CK60*(F_MR/12)-MIN(F_MortPayM,CK60+CK60*(F_MR/12)),CK60)</f>
        <v>0</v>
      </c>
      <c r="CM60" s="1" t="n">
        <f aca="false">IF(CL60&gt;PR_BalDone,CL60+CL60*(F_MR/12)-MIN(F_MortPayM,CL60+CL60*(F_MR/12)),CL60)</f>
        <v>0</v>
      </c>
      <c r="CN60" s="1" t="n">
        <f aca="false">IF(CM60&gt;PR_BalDone,CM60+CM60*(F_MR/12)-MIN(F_MortPayM,CM60+CM60*(F_MR/12)),CM60)</f>
        <v>0</v>
      </c>
      <c r="CO60" s="1" t="n">
        <f aca="false">IF(CN60&gt;PR_BalDone,CN60+CN60*(F_MR/12)-MIN(F_MortPayM,CN60+CN60*(F_MR/12)),CN60)</f>
        <v>0</v>
      </c>
      <c r="CP60" s="1" t="n">
        <f aca="false">IF(CO60&gt;PR_BalDone,CO60+CO60*(F_MR/12)-MIN(F_MortPayM,CO60+CO60*(F_MR/12)),CO60)</f>
        <v>0</v>
      </c>
      <c r="CQ60" s="1" t="n">
        <f aca="false">IF(CP60&gt;PR_BalDone,CP60+CP60*(F_MR/12)-MIN(F_MortPayM,CP60+CP60*(F_MR/12)),CP60)</f>
        <v>0</v>
      </c>
      <c r="CR60" s="1" t="n">
        <f aca="false">IF(CQ60&gt;PR_BalDone,CQ60+CQ60*(F_MR/12)-MIN(F_MortPayM,CQ60+CQ60*(F_MR/12)),CQ60)</f>
        <v>0</v>
      </c>
      <c r="CS60" s="1" t="n">
        <f aca="false">IF(CF60&gt;PR_BalDone,MIN(F_MortPayM,CF60+CF60*(F_MR/12)),0)</f>
        <v>0</v>
      </c>
      <c r="CT60" s="1" t="n">
        <f aca="false">IF(CG60&gt;PR_BalDone,MIN(F_MortPayM,CG60+CG60*(F_MR/12)),0)</f>
        <v>0</v>
      </c>
      <c r="CU60" s="1" t="n">
        <f aca="false">IF(CH60&gt;PR_BalDone,MIN(F_MortPayM,CH60+CH60*(F_MR/12)),0)</f>
        <v>0</v>
      </c>
      <c r="CV60" s="1" t="n">
        <f aca="false">IF(CI60&gt;PR_BalDone,MIN(F_MortPayM,CI60+CI60*(F_MR/12)),0)</f>
        <v>0</v>
      </c>
      <c r="CW60" s="1" t="n">
        <f aca="false">IF(CJ60&gt;PR_BalDone,MIN(F_MortPayM,CJ60+CJ60*(F_MR/12)),0)</f>
        <v>0</v>
      </c>
      <c r="CX60" s="1" t="n">
        <f aca="false">IF(CK60&gt;PR_BalDone,MIN(F_MortPayM,CK60+CK60*(F_MR/12)),0)</f>
        <v>0</v>
      </c>
      <c r="CY60" s="1" t="n">
        <f aca="false">IF(CL60&gt;PR_BalDone,MIN(F_MortPayM,CL60+CL60*(F_MR/12)),0)</f>
        <v>0</v>
      </c>
      <c r="CZ60" s="1" t="n">
        <f aca="false">IF(CM60&gt;PR_BalDone,MIN(F_MortPayM,CM60+CM60*(F_MR/12)),0)</f>
        <v>0</v>
      </c>
      <c r="DA60" s="1" t="n">
        <f aca="false">IF(CN60&gt;PR_BalDone,MIN(F_MortPayM,CN60+CN60*(F_MR/12)),0)</f>
        <v>0</v>
      </c>
      <c r="DB60" s="1" t="n">
        <f aca="false">IF(CO60&gt;PR_BalDone,MIN(F_MortPayM,CO60+CO60*(F_MR/12)),0)</f>
        <v>0</v>
      </c>
      <c r="DC60" s="1" t="n">
        <f aca="false">IF(CP60&gt;PR_BalDone,MIN(F_MortPayM,CP60+CP60*(F_MR/12)),0)</f>
        <v>0</v>
      </c>
      <c r="DD60" s="1" t="n">
        <f aca="false">IF(CQ60&gt;PR_BalDone,MIN(F_MortPayM,CQ60+CQ60*(F_MR/12)),0)</f>
        <v>0</v>
      </c>
      <c r="DE60" s="1" t="n">
        <f aca="false">MAX(0,CR60)</f>
        <v>0</v>
      </c>
      <c r="DF60" s="1" t="n">
        <f aca="false">SUM(CS60:DD60)</f>
        <v>0</v>
      </c>
      <c r="DG60" s="1" t="n">
        <f aca="false">MAX(0,CF60)</f>
        <v>0</v>
      </c>
    </row>
    <row r="61" customFormat="false" ht="15" hidden="false" customHeight="true" outlineLevel="0" collapsed="false">
      <c r="B61" s="1" t="n">
        <v>53</v>
      </c>
      <c r="C61" s="1" t="n">
        <f aca="false">'Plan cashflow'!I61</f>
        <v>0</v>
      </c>
      <c r="D61" s="1" t="n">
        <f aca="false">IF(C61&gt;PR_BalDone,C61+C61*(F_MR/12)-MIN(F_MortPayM,C61+C61*(F_MR/12)),C61)</f>
        <v>0</v>
      </c>
      <c r="E61" s="1" t="n">
        <f aca="false">IF(D61&gt;PR_BalDone,D61+D61*(F_MR/12)-MIN(F_MortPayM,D61+D61*(F_MR/12)),D61)</f>
        <v>0</v>
      </c>
      <c r="F61" s="1" t="n">
        <f aca="false">IF(E61&gt;PR_BalDone,E61+E61*(F_MR/12)-MIN(F_MortPayM,E61+E61*(F_MR/12)),E61)</f>
        <v>0</v>
      </c>
      <c r="G61" s="1" t="n">
        <f aca="false">IF(F61&gt;PR_BalDone,F61+F61*(F_MR/12)-MIN(F_MortPayM,F61+F61*(F_MR/12)),F61)</f>
        <v>0</v>
      </c>
      <c r="H61" s="1" t="n">
        <f aca="false">IF(G61&gt;PR_BalDone,G61+G61*(F_MR/12)-MIN(F_MortPayM,G61+G61*(F_MR/12)),G61)</f>
        <v>0</v>
      </c>
      <c r="I61" s="1" t="n">
        <f aca="false">IF(H61&gt;PR_BalDone,H61+H61*(F_MR/12)-MIN(F_MortPayM,H61+H61*(F_MR/12)),H61)</f>
        <v>0</v>
      </c>
      <c r="J61" s="1" t="n">
        <f aca="false">IF(I61&gt;PR_BalDone,I61+I61*(F_MR/12)-MIN(F_MortPayM,I61+I61*(F_MR/12)),I61)</f>
        <v>0</v>
      </c>
      <c r="K61" s="1" t="n">
        <f aca="false">IF(J61&gt;PR_BalDone,J61+J61*(F_MR/12)-MIN(F_MortPayM,J61+J61*(F_MR/12)),J61)</f>
        <v>0</v>
      </c>
      <c r="L61" s="1" t="n">
        <f aca="false">IF(K61&gt;PR_BalDone,K61+K61*(F_MR/12)-MIN(F_MortPayM,K61+K61*(F_MR/12)),K61)</f>
        <v>0</v>
      </c>
      <c r="M61" s="1" t="n">
        <f aca="false">IF(L61&gt;PR_BalDone,L61+L61*(F_MR/12)-MIN(F_MortPayM,L61+L61*(F_MR/12)),L61)</f>
        <v>0</v>
      </c>
      <c r="N61" s="1" t="n">
        <f aca="false">IF(M61&gt;PR_BalDone,M61+M61*(F_MR/12)-MIN(F_MortPayM,M61+M61*(F_MR/12)),M61)</f>
        <v>0</v>
      </c>
      <c r="O61" s="1" t="n">
        <f aca="false">IF(N61&gt;PR_BalDone,N61+N61*(F_MR/12)-MIN(F_MortPayM,N61+N61*(F_MR/12)),N61)</f>
        <v>0</v>
      </c>
      <c r="P61" s="1" t="n">
        <f aca="false">IF(C61&gt;PR_BalDone,MIN(F_MortPayM,C61+C61*(F_MR/12)),0)</f>
        <v>0</v>
      </c>
      <c r="Q61" s="1" t="n">
        <f aca="false">IF(D61&gt;PR_BalDone,MIN(F_MortPayM,D61+D61*(F_MR/12)),0)</f>
        <v>0</v>
      </c>
      <c r="R61" s="1" t="n">
        <f aca="false">IF(E61&gt;PR_BalDone,MIN(F_MortPayM,E61+E61*(F_MR/12)),0)</f>
        <v>0</v>
      </c>
      <c r="S61" s="1" t="n">
        <f aca="false">IF(F61&gt;PR_BalDone,MIN(F_MortPayM,F61+F61*(F_MR/12)),0)</f>
        <v>0</v>
      </c>
      <c r="T61" s="1" t="n">
        <f aca="false">IF(G61&gt;PR_BalDone,MIN(F_MortPayM,G61+G61*(F_MR/12)),0)</f>
        <v>0</v>
      </c>
      <c r="U61" s="1" t="n">
        <f aca="false">IF(H61&gt;PR_BalDone,MIN(F_MortPayM,H61+H61*(F_MR/12)),0)</f>
        <v>0</v>
      </c>
      <c r="V61" s="1" t="n">
        <f aca="false">IF(I61&gt;PR_BalDone,MIN(F_MortPayM,I61+I61*(F_MR/12)),0)</f>
        <v>0</v>
      </c>
      <c r="W61" s="1" t="n">
        <f aca="false">IF(J61&gt;PR_BalDone,MIN(F_MortPayM,J61+J61*(F_MR/12)),0)</f>
        <v>0</v>
      </c>
      <c r="X61" s="1" t="n">
        <f aca="false">IF(K61&gt;PR_BalDone,MIN(F_MortPayM,K61+K61*(F_MR/12)),0)</f>
        <v>0</v>
      </c>
      <c r="Y61" s="1" t="n">
        <f aca="false">IF(L61&gt;PR_BalDone,MIN(F_MortPayM,L61+L61*(F_MR/12)),0)</f>
        <v>0</v>
      </c>
      <c r="Z61" s="1" t="n">
        <f aca="false">IF(M61&gt;PR_BalDone,MIN(F_MortPayM,M61+M61*(F_MR/12)),0)</f>
        <v>0</v>
      </c>
      <c r="AA61" s="1" t="n">
        <f aca="false">IF(N61&gt;PR_BalDone,MIN(F_MortPayM,N61+N61*(F_MR/12)),0)</f>
        <v>0</v>
      </c>
      <c r="AB61" s="1" t="n">
        <f aca="false">MAX(0,O61)</f>
        <v>0</v>
      </c>
      <c r="AC61" s="1" t="n">
        <f aca="false">SUM(P61:AA61)</f>
        <v>0</v>
      </c>
      <c r="AD61" s="1" t="n">
        <f aca="false">'Plan cashflow'!L61</f>
        <v>0</v>
      </c>
      <c r="AE61" s="1" t="n">
        <f aca="false">IF(AD61&gt;PR_BalDone,AD61+AD61*(D_iC)-MIN(F_CardPayM,AD61+AD61*(D_iC)),AD61)</f>
        <v>0</v>
      </c>
      <c r="AF61" s="1" t="n">
        <f aca="false">IF(AE61&gt;PR_BalDone,AE61+AE61*(D_iC)-MIN(F_CardPayM,AE61+AE61*(D_iC)),AE61)</f>
        <v>0</v>
      </c>
      <c r="AG61" s="1" t="n">
        <f aca="false">IF(AF61&gt;PR_BalDone,AF61+AF61*(D_iC)-MIN(F_CardPayM,AF61+AF61*(D_iC)),AF61)</f>
        <v>0</v>
      </c>
      <c r="AH61" s="1" t="n">
        <f aca="false">IF(AG61&gt;PR_BalDone,AG61+AG61*(D_iC)-MIN(F_CardPayM,AG61+AG61*(D_iC)),AG61)</f>
        <v>0</v>
      </c>
      <c r="AI61" s="1" t="n">
        <f aca="false">IF(AH61&gt;PR_BalDone,AH61+AH61*(D_iC)-MIN(F_CardPayM,AH61+AH61*(D_iC)),AH61)</f>
        <v>0</v>
      </c>
      <c r="AJ61" s="1" t="n">
        <f aca="false">IF(AI61&gt;PR_BalDone,AI61+AI61*(D_iC)-MIN(F_CardPayM,AI61+AI61*(D_iC)),AI61)</f>
        <v>0</v>
      </c>
      <c r="AK61" s="1" t="n">
        <f aca="false">IF(AJ61&gt;PR_BalDone,AJ61+AJ61*(D_iC)-MIN(F_CardPayM,AJ61+AJ61*(D_iC)),AJ61)</f>
        <v>0</v>
      </c>
      <c r="AL61" s="1" t="n">
        <f aca="false">IF(AK61&gt;PR_BalDone,AK61+AK61*(D_iC)-MIN(F_CardPayM,AK61+AK61*(D_iC)),AK61)</f>
        <v>0</v>
      </c>
      <c r="AM61" s="1" t="n">
        <f aca="false">IF(AL61&gt;PR_BalDone,AL61+AL61*(D_iC)-MIN(F_CardPayM,AL61+AL61*(D_iC)),AL61)</f>
        <v>0</v>
      </c>
      <c r="AN61" s="1" t="n">
        <f aca="false">IF(AM61&gt;PR_BalDone,AM61+AM61*(D_iC)-MIN(F_CardPayM,AM61+AM61*(D_iC)),AM61)</f>
        <v>0</v>
      </c>
      <c r="AO61" s="1" t="n">
        <f aca="false">IF(AN61&gt;PR_BalDone,AN61+AN61*(D_iC)-MIN(F_CardPayM,AN61+AN61*(D_iC)),AN61)</f>
        <v>0</v>
      </c>
      <c r="AP61" s="1" t="n">
        <f aca="false">IF(AO61&gt;PR_BalDone,AO61+AO61*(D_iC)-MIN(F_CardPayM,AO61+AO61*(D_iC)),AO61)</f>
        <v>0</v>
      </c>
      <c r="AQ61" s="1" t="n">
        <f aca="false">IF(AD61&gt;PR_BalDone,MIN(F_CardPayM,AD61+AD61*(D_iC)),0)</f>
        <v>0</v>
      </c>
      <c r="AR61" s="1" t="n">
        <f aca="false">IF(AE61&gt;PR_BalDone,MIN(F_CardPayM,AE61+AE61*(D_iC)),0)</f>
        <v>0</v>
      </c>
      <c r="AS61" s="1" t="n">
        <f aca="false">IF(AF61&gt;PR_BalDone,MIN(F_CardPayM,AF61+AF61*(D_iC)),0)</f>
        <v>0</v>
      </c>
      <c r="AT61" s="1" t="n">
        <f aca="false">IF(AG61&gt;PR_BalDone,MIN(F_CardPayM,AG61+AG61*(D_iC)),0)</f>
        <v>0</v>
      </c>
      <c r="AU61" s="1" t="n">
        <f aca="false">IF(AH61&gt;PR_BalDone,MIN(F_CardPayM,AH61+AH61*(D_iC)),0)</f>
        <v>0</v>
      </c>
      <c r="AV61" s="1" t="n">
        <f aca="false">IF(AI61&gt;PR_BalDone,MIN(F_CardPayM,AI61+AI61*(D_iC)),0)</f>
        <v>0</v>
      </c>
      <c r="AW61" s="1" t="n">
        <f aca="false">IF(AJ61&gt;PR_BalDone,MIN(F_CardPayM,AJ61+AJ61*(D_iC)),0)</f>
        <v>0</v>
      </c>
      <c r="AX61" s="1" t="n">
        <f aca="false">IF(AK61&gt;PR_BalDone,MIN(F_CardPayM,AK61+AK61*(D_iC)),0)</f>
        <v>0</v>
      </c>
      <c r="AY61" s="1" t="n">
        <f aca="false">IF(AL61&gt;PR_BalDone,MIN(F_CardPayM,AL61+AL61*(D_iC)),0)</f>
        <v>0</v>
      </c>
      <c r="AZ61" s="1" t="n">
        <f aca="false">IF(AM61&gt;PR_BalDone,MIN(F_CardPayM,AM61+AM61*(D_iC)),0)</f>
        <v>0</v>
      </c>
      <c r="BA61" s="1" t="n">
        <f aca="false">IF(AN61&gt;PR_BalDone,MIN(F_CardPayM,AN61+AN61*(D_iC)),0)</f>
        <v>0</v>
      </c>
      <c r="BB61" s="1" t="n">
        <f aca="false">IF(AO61&gt;PR_BalDone,MIN(F_CardPayM,AO61+AO61*(D_iC)),0)</f>
        <v>0</v>
      </c>
      <c r="BC61" s="1" t="n">
        <f aca="false">MAX(0,AP61)</f>
        <v>0</v>
      </c>
      <c r="BD61" s="1" t="n">
        <f aca="false">SUM(AQ61:BB61)</f>
        <v>0</v>
      </c>
      <c r="BE61" s="1" t="n">
        <f aca="false">'Plan cashflow'!O61</f>
        <v>0</v>
      </c>
      <c r="BF61" s="1" t="n">
        <f aca="false">IF(BE61&gt;PR_BalDone,BE61+BE61*(D_iL)-MIN(F_LoanPayM,BE61+BE61*(D_iL)),BE61)</f>
        <v>0</v>
      </c>
      <c r="BG61" s="1" t="n">
        <f aca="false">IF(BF61&gt;PR_BalDone,BF61+BF61*(D_iL)-MIN(F_LoanPayM,BF61+BF61*(D_iL)),BF61)</f>
        <v>0</v>
      </c>
      <c r="BH61" s="1" t="n">
        <f aca="false">IF(BG61&gt;PR_BalDone,BG61+BG61*(D_iL)-MIN(F_LoanPayM,BG61+BG61*(D_iL)),BG61)</f>
        <v>0</v>
      </c>
      <c r="BI61" s="1" t="n">
        <f aca="false">IF(BH61&gt;PR_BalDone,BH61+BH61*(D_iL)-MIN(F_LoanPayM,BH61+BH61*(D_iL)),BH61)</f>
        <v>0</v>
      </c>
      <c r="BJ61" s="1" t="n">
        <f aca="false">IF(BI61&gt;PR_BalDone,BI61+BI61*(D_iL)-MIN(F_LoanPayM,BI61+BI61*(D_iL)),BI61)</f>
        <v>0</v>
      </c>
      <c r="BK61" s="1" t="n">
        <f aca="false">IF(BJ61&gt;PR_BalDone,BJ61+BJ61*(D_iL)-MIN(F_LoanPayM,BJ61+BJ61*(D_iL)),BJ61)</f>
        <v>0</v>
      </c>
      <c r="BL61" s="1" t="n">
        <f aca="false">IF(BK61&gt;PR_BalDone,BK61+BK61*(D_iL)-MIN(F_LoanPayM,BK61+BK61*(D_iL)),BK61)</f>
        <v>0</v>
      </c>
      <c r="BM61" s="1" t="n">
        <f aca="false">IF(BL61&gt;PR_BalDone,BL61+BL61*(D_iL)-MIN(F_LoanPayM,BL61+BL61*(D_iL)),BL61)</f>
        <v>0</v>
      </c>
      <c r="BN61" s="1" t="n">
        <f aca="false">IF(BM61&gt;PR_BalDone,BM61+BM61*(D_iL)-MIN(F_LoanPayM,BM61+BM61*(D_iL)),BM61)</f>
        <v>0</v>
      </c>
      <c r="BO61" s="1" t="n">
        <f aca="false">IF(BN61&gt;PR_BalDone,BN61+BN61*(D_iL)-MIN(F_LoanPayM,BN61+BN61*(D_iL)),BN61)</f>
        <v>0</v>
      </c>
      <c r="BP61" s="1" t="n">
        <f aca="false">IF(BO61&gt;PR_BalDone,BO61+BO61*(D_iL)-MIN(F_LoanPayM,BO61+BO61*(D_iL)),BO61)</f>
        <v>0</v>
      </c>
      <c r="BQ61" s="1" t="n">
        <f aca="false">IF(BP61&gt;PR_BalDone,BP61+BP61*(D_iL)-MIN(F_LoanPayM,BP61+BP61*(D_iL)),BP61)</f>
        <v>0</v>
      </c>
      <c r="BR61" s="1" t="n">
        <f aca="false">IF(BE61&gt;PR_BalDone,MIN(F_LoanPayM,BE61+BE61*(D_iL)),0)</f>
        <v>0</v>
      </c>
      <c r="BS61" s="1" t="n">
        <f aca="false">IF(BF61&gt;PR_BalDone,MIN(F_LoanPayM,BF61+BF61*(D_iL)),0)</f>
        <v>0</v>
      </c>
      <c r="BT61" s="1" t="n">
        <f aca="false">IF(BG61&gt;PR_BalDone,MIN(F_LoanPayM,BG61+BG61*(D_iL)),0)</f>
        <v>0</v>
      </c>
      <c r="BU61" s="1" t="n">
        <f aca="false">IF(BH61&gt;PR_BalDone,MIN(F_LoanPayM,BH61+BH61*(D_iL)),0)</f>
        <v>0</v>
      </c>
      <c r="BV61" s="1" t="n">
        <f aca="false">IF(BI61&gt;PR_BalDone,MIN(F_LoanPayM,BI61+BI61*(D_iL)),0)</f>
        <v>0</v>
      </c>
      <c r="BW61" s="1" t="n">
        <f aca="false">IF(BJ61&gt;PR_BalDone,MIN(F_LoanPayM,BJ61+BJ61*(D_iL)),0)</f>
        <v>0</v>
      </c>
      <c r="BX61" s="1" t="n">
        <f aca="false">IF(BK61&gt;PR_BalDone,MIN(F_LoanPayM,BK61+BK61*(D_iL)),0)</f>
        <v>0</v>
      </c>
      <c r="BY61" s="1" t="n">
        <f aca="false">IF(BL61&gt;PR_BalDone,MIN(F_LoanPayM,BL61+BL61*(D_iL)),0)</f>
        <v>0</v>
      </c>
      <c r="BZ61" s="1" t="n">
        <f aca="false">IF(BM61&gt;PR_BalDone,MIN(F_LoanPayM,BM61+BM61*(D_iL)),0)</f>
        <v>0</v>
      </c>
      <c r="CA61" s="1" t="n">
        <f aca="false">IF(BN61&gt;PR_BalDone,MIN(F_LoanPayM,BN61+BN61*(D_iL)),0)</f>
        <v>0</v>
      </c>
      <c r="CB61" s="1" t="n">
        <f aca="false">IF(BO61&gt;PR_BalDone,MIN(F_LoanPayM,BO61+BO61*(D_iL)),0)</f>
        <v>0</v>
      </c>
      <c r="CC61" s="1" t="n">
        <f aca="false">IF(BP61&gt;PR_BalDone,MIN(F_LoanPayM,BP61+BP61*(D_iL)),0)</f>
        <v>0</v>
      </c>
      <c r="CD61" s="1" t="n">
        <f aca="false">MAX(0,BQ61)</f>
        <v>0</v>
      </c>
      <c r="CE61" s="1" t="n">
        <f aca="false">SUM(BR61:CC61)</f>
        <v>0</v>
      </c>
      <c r="CF61" s="1" t="n">
        <f aca="false">IF(CF60&gt;1,DE60,CF60)</f>
        <v>0</v>
      </c>
      <c r="CG61" s="1" t="n">
        <f aca="false">IF(CF61&gt;PR_BalDone,CF61+CF61*(F_MR/12)-MIN(F_MortPayM,CF61+CF61*(F_MR/12)),CF61)</f>
        <v>0</v>
      </c>
      <c r="CH61" s="1" t="n">
        <f aca="false">IF(CG61&gt;PR_BalDone,CG61+CG61*(F_MR/12)-MIN(F_MortPayM,CG61+CG61*(F_MR/12)),CG61)</f>
        <v>0</v>
      </c>
      <c r="CI61" s="1" t="n">
        <f aca="false">IF(CH61&gt;PR_BalDone,CH61+CH61*(F_MR/12)-MIN(F_MortPayM,CH61+CH61*(F_MR/12)),CH61)</f>
        <v>0</v>
      </c>
      <c r="CJ61" s="1" t="n">
        <f aca="false">IF(CI61&gt;PR_BalDone,CI61+CI61*(F_MR/12)-MIN(F_MortPayM,CI61+CI61*(F_MR/12)),CI61)</f>
        <v>0</v>
      </c>
      <c r="CK61" s="1" t="n">
        <f aca="false">IF(CJ61&gt;PR_BalDone,CJ61+CJ61*(F_MR/12)-MIN(F_MortPayM,CJ61+CJ61*(F_MR/12)),CJ61)</f>
        <v>0</v>
      </c>
      <c r="CL61" s="1" t="n">
        <f aca="false">IF(CK61&gt;PR_BalDone,CK61+CK61*(F_MR/12)-MIN(F_MortPayM,CK61+CK61*(F_MR/12)),CK61)</f>
        <v>0</v>
      </c>
      <c r="CM61" s="1" t="n">
        <f aca="false">IF(CL61&gt;PR_BalDone,CL61+CL61*(F_MR/12)-MIN(F_MortPayM,CL61+CL61*(F_MR/12)),CL61)</f>
        <v>0</v>
      </c>
      <c r="CN61" s="1" t="n">
        <f aca="false">IF(CM61&gt;PR_BalDone,CM61+CM61*(F_MR/12)-MIN(F_MortPayM,CM61+CM61*(F_MR/12)),CM61)</f>
        <v>0</v>
      </c>
      <c r="CO61" s="1" t="n">
        <f aca="false">IF(CN61&gt;PR_BalDone,CN61+CN61*(F_MR/12)-MIN(F_MortPayM,CN61+CN61*(F_MR/12)),CN61)</f>
        <v>0</v>
      </c>
      <c r="CP61" s="1" t="n">
        <f aca="false">IF(CO61&gt;PR_BalDone,CO61+CO61*(F_MR/12)-MIN(F_MortPayM,CO61+CO61*(F_MR/12)),CO61)</f>
        <v>0</v>
      </c>
      <c r="CQ61" s="1" t="n">
        <f aca="false">IF(CP61&gt;PR_BalDone,CP61+CP61*(F_MR/12)-MIN(F_MortPayM,CP61+CP61*(F_MR/12)),CP61)</f>
        <v>0</v>
      </c>
      <c r="CR61" s="1" t="n">
        <f aca="false">IF(CQ61&gt;PR_BalDone,CQ61+CQ61*(F_MR/12)-MIN(F_MortPayM,CQ61+CQ61*(F_MR/12)),CQ61)</f>
        <v>0</v>
      </c>
      <c r="CS61" s="1" t="n">
        <f aca="false">IF(CF61&gt;PR_BalDone,MIN(F_MortPayM,CF61+CF61*(F_MR/12)),0)</f>
        <v>0</v>
      </c>
      <c r="CT61" s="1" t="n">
        <f aca="false">IF(CG61&gt;PR_BalDone,MIN(F_MortPayM,CG61+CG61*(F_MR/12)),0)</f>
        <v>0</v>
      </c>
      <c r="CU61" s="1" t="n">
        <f aca="false">IF(CH61&gt;PR_BalDone,MIN(F_MortPayM,CH61+CH61*(F_MR/12)),0)</f>
        <v>0</v>
      </c>
      <c r="CV61" s="1" t="n">
        <f aca="false">IF(CI61&gt;PR_BalDone,MIN(F_MortPayM,CI61+CI61*(F_MR/12)),0)</f>
        <v>0</v>
      </c>
      <c r="CW61" s="1" t="n">
        <f aca="false">IF(CJ61&gt;PR_BalDone,MIN(F_MortPayM,CJ61+CJ61*(F_MR/12)),0)</f>
        <v>0</v>
      </c>
      <c r="CX61" s="1" t="n">
        <f aca="false">IF(CK61&gt;PR_BalDone,MIN(F_MortPayM,CK61+CK61*(F_MR/12)),0)</f>
        <v>0</v>
      </c>
      <c r="CY61" s="1" t="n">
        <f aca="false">IF(CL61&gt;PR_BalDone,MIN(F_MortPayM,CL61+CL61*(F_MR/12)),0)</f>
        <v>0</v>
      </c>
      <c r="CZ61" s="1" t="n">
        <f aca="false">IF(CM61&gt;PR_BalDone,MIN(F_MortPayM,CM61+CM61*(F_MR/12)),0)</f>
        <v>0</v>
      </c>
      <c r="DA61" s="1" t="n">
        <f aca="false">IF(CN61&gt;PR_BalDone,MIN(F_MortPayM,CN61+CN61*(F_MR/12)),0)</f>
        <v>0</v>
      </c>
      <c r="DB61" s="1" t="n">
        <f aca="false">IF(CO61&gt;PR_BalDone,MIN(F_MortPayM,CO61+CO61*(F_MR/12)),0)</f>
        <v>0</v>
      </c>
      <c r="DC61" s="1" t="n">
        <f aca="false">IF(CP61&gt;PR_BalDone,MIN(F_MortPayM,CP61+CP61*(F_MR/12)),0)</f>
        <v>0</v>
      </c>
      <c r="DD61" s="1" t="n">
        <f aca="false">IF(CQ61&gt;PR_BalDone,MIN(F_MortPayM,CQ61+CQ61*(F_MR/12)),0)</f>
        <v>0</v>
      </c>
      <c r="DE61" s="1" t="n">
        <f aca="false">MAX(0,CR61)</f>
        <v>0</v>
      </c>
      <c r="DF61" s="1" t="n">
        <f aca="false">SUM(CS61:DD61)</f>
        <v>0</v>
      </c>
      <c r="DG61" s="1" t="n">
        <f aca="false">MAX(0,CF61)</f>
        <v>0</v>
      </c>
    </row>
    <row r="62" customFormat="false" ht="15" hidden="false" customHeight="true" outlineLevel="0" collapsed="false">
      <c r="B62" s="1" t="n">
        <v>54</v>
      </c>
      <c r="C62" s="1" t="n">
        <f aca="false">'Plan cashflow'!I62</f>
        <v>0</v>
      </c>
      <c r="D62" s="1" t="n">
        <f aca="false">IF(C62&gt;PR_BalDone,C62+C62*(F_MR/12)-MIN(F_MortPayM,C62+C62*(F_MR/12)),C62)</f>
        <v>0</v>
      </c>
      <c r="E62" s="1" t="n">
        <f aca="false">IF(D62&gt;PR_BalDone,D62+D62*(F_MR/12)-MIN(F_MortPayM,D62+D62*(F_MR/12)),D62)</f>
        <v>0</v>
      </c>
      <c r="F62" s="1" t="n">
        <f aca="false">IF(E62&gt;PR_BalDone,E62+E62*(F_MR/12)-MIN(F_MortPayM,E62+E62*(F_MR/12)),E62)</f>
        <v>0</v>
      </c>
      <c r="G62" s="1" t="n">
        <f aca="false">IF(F62&gt;PR_BalDone,F62+F62*(F_MR/12)-MIN(F_MortPayM,F62+F62*(F_MR/12)),F62)</f>
        <v>0</v>
      </c>
      <c r="H62" s="1" t="n">
        <f aca="false">IF(G62&gt;PR_BalDone,G62+G62*(F_MR/12)-MIN(F_MortPayM,G62+G62*(F_MR/12)),G62)</f>
        <v>0</v>
      </c>
      <c r="I62" s="1" t="n">
        <f aca="false">IF(H62&gt;PR_BalDone,H62+H62*(F_MR/12)-MIN(F_MortPayM,H62+H62*(F_MR/12)),H62)</f>
        <v>0</v>
      </c>
      <c r="J62" s="1" t="n">
        <f aca="false">IF(I62&gt;PR_BalDone,I62+I62*(F_MR/12)-MIN(F_MortPayM,I62+I62*(F_MR/12)),I62)</f>
        <v>0</v>
      </c>
      <c r="K62" s="1" t="n">
        <f aca="false">IF(J62&gt;PR_BalDone,J62+J62*(F_MR/12)-MIN(F_MortPayM,J62+J62*(F_MR/12)),J62)</f>
        <v>0</v>
      </c>
      <c r="L62" s="1" t="n">
        <f aca="false">IF(K62&gt;PR_BalDone,K62+K62*(F_MR/12)-MIN(F_MortPayM,K62+K62*(F_MR/12)),K62)</f>
        <v>0</v>
      </c>
      <c r="M62" s="1" t="n">
        <f aca="false">IF(L62&gt;PR_BalDone,L62+L62*(F_MR/12)-MIN(F_MortPayM,L62+L62*(F_MR/12)),L62)</f>
        <v>0</v>
      </c>
      <c r="N62" s="1" t="n">
        <f aca="false">IF(M62&gt;PR_BalDone,M62+M62*(F_MR/12)-MIN(F_MortPayM,M62+M62*(F_MR/12)),M62)</f>
        <v>0</v>
      </c>
      <c r="O62" s="1" t="n">
        <f aca="false">IF(N62&gt;PR_BalDone,N62+N62*(F_MR/12)-MIN(F_MortPayM,N62+N62*(F_MR/12)),N62)</f>
        <v>0</v>
      </c>
      <c r="P62" s="1" t="n">
        <f aca="false">IF(C62&gt;PR_BalDone,MIN(F_MortPayM,C62+C62*(F_MR/12)),0)</f>
        <v>0</v>
      </c>
      <c r="Q62" s="1" t="n">
        <f aca="false">IF(D62&gt;PR_BalDone,MIN(F_MortPayM,D62+D62*(F_MR/12)),0)</f>
        <v>0</v>
      </c>
      <c r="R62" s="1" t="n">
        <f aca="false">IF(E62&gt;PR_BalDone,MIN(F_MortPayM,E62+E62*(F_MR/12)),0)</f>
        <v>0</v>
      </c>
      <c r="S62" s="1" t="n">
        <f aca="false">IF(F62&gt;PR_BalDone,MIN(F_MortPayM,F62+F62*(F_MR/12)),0)</f>
        <v>0</v>
      </c>
      <c r="T62" s="1" t="n">
        <f aca="false">IF(G62&gt;PR_BalDone,MIN(F_MortPayM,G62+G62*(F_MR/12)),0)</f>
        <v>0</v>
      </c>
      <c r="U62" s="1" t="n">
        <f aca="false">IF(H62&gt;PR_BalDone,MIN(F_MortPayM,H62+H62*(F_MR/12)),0)</f>
        <v>0</v>
      </c>
      <c r="V62" s="1" t="n">
        <f aca="false">IF(I62&gt;PR_BalDone,MIN(F_MortPayM,I62+I62*(F_MR/12)),0)</f>
        <v>0</v>
      </c>
      <c r="W62" s="1" t="n">
        <f aca="false">IF(J62&gt;PR_BalDone,MIN(F_MortPayM,J62+J62*(F_MR/12)),0)</f>
        <v>0</v>
      </c>
      <c r="X62" s="1" t="n">
        <f aca="false">IF(K62&gt;PR_BalDone,MIN(F_MortPayM,K62+K62*(F_MR/12)),0)</f>
        <v>0</v>
      </c>
      <c r="Y62" s="1" t="n">
        <f aca="false">IF(L62&gt;PR_BalDone,MIN(F_MortPayM,L62+L62*(F_MR/12)),0)</f>
        <v>0</v>
      </c>
      <c r="Z62" s="1" t="n">
        <f aca="false">IF(M62&gt;PR_BalDone,MIN(F_MortPayM,M62+M62*(F_MR/12)),0)</f>
        <v>0</v>
      </c>
      <c r="AA62" s="1" t="n">
        <f aca="false">IF(N62&gt;PR_BalDone,MIN(F_MortPayM,N62+N62*(F_MR/12)),0)</f>
        <v>0</v>
      </c>
      <c r="AB62" s="1" t="n">
        <f aca="false">MAX(0,O62)</f>
        <v>0</v>
      </c>
      <c r="AC62" s="1" t="n">
        <f aca="false">SUM(P62:AA62)</f>
        <v>0</v>
      </c>
      <c r="AD62" s="1" t="n">
        <f aca="false">'Plan cashflow'!L62</f>
        <v>0</v>
      </c>
      <c r="AE62" s="1" t="n">
        <f aca="false">IF(AD62&gt;PR_BalDone,AD62+AD62*(D_iC)-MIN(F_CardPayM,AD62+AD62*(D_iC)),AD62)</f>
        <v>0</v>
      </c>
      <c r="AF62" s="1" t="n">
        <f aca="false">IF(AE62&gt;PR_BalDone,AE62+AE62*(D_iC)-MIN(F_CardPayM,AE62+AE62*(D_iC)),AE62)</f>
        <v>0</v>
      </c>
      <c r="AG62" s="1" t="n">
        <f aca="false">IF(AF62&gt;PR_BalDone,AF62+AF62*(D_iC)-MIN(F_CardPayM,AF62+AF62*(D_iC)),AF62)</f>
        <v>0</v>
      </c>
      <c r="AH62" s="1" t="n">
        <f aca="false">IF(AG62&gt;PR_BalDone,AG62+AG62*(D_iC)-MIN(F_CardPayM,AG62+AG62*(D_iC)),AG62)</f>
        <v>0</v>
      </c>
      <c r="AI62" s="1" t="n">
        <f aca="false">IF(AH62&gt;PR_BalDone,AH62+AH62*(D_iC)-MIN(F_CardPayM,AH62+AH62*(D_iC)),AH62)</f>
        <v>0</v>
      </c>
      <c r="AJ62" s="1" t="n">
        <f aca="false">IF(AI62&gt;PR_BalDone,AI62+AI62*(D_iC)-MIN(F_CardPayM,AI62+AI62*(D_iC)),AI62)</f>
        <v>0</v>
      </c>
      <c r="AK62" s="1" t="n">
        <f aca="false">IF(AJ62&gt;PR_BalDone,AJ62+AJ62*(D_iC)-MIN(F_CardPayM,AJ62+AJ62*(D_iC)),AJ62)</f>
        <v>0</v>
      </c>
      <c r="AL62" s="1" t="n">
        <f aca="false">IF(AK62&gt;PR_BalDone,AK62+AK62*(D_iC)-MIN(F_CardPayM,AK62+AK62*(D_iC)),AK62)</f>
        <v>0</v>
      </c>
      <c r="AM62" s="1" t="n">
        <f aca="false">IF(AL62&gt;PR_BalDone,AL62+AL62*(D_iC)-MIN(F_CardPayM,AL62+AL62*(D_iC)),AL62)</f>
        <v>0</v>
      </c>
      <c r="AN62" s="1" t="n">
        <f aca="false">IF(AM62&gt;PR_BalDone,AM62+AM62*(D_iC)-MIN(F_CardPayM,AM62+AM62*(D_iC)),AM62)</f>
        <v>0</v>
      </c>
      <c r="AO62" s="1" t="n">
        <f aca="false">IF(AN62&gt;PR_BalDone,AN62+AN62*(D_iC)-MIN(F_CardPayM,AN62+AN62*(D_iC)),AN62)</f>
        <v>0</v>
      </c>
      <c r="AP62" s="1" t="n">
        <f aca="false">IF(AO62&gt;PR_BalDone,AO62+AO62*(D_iC)-MIN(F_CardPayM,AO62+AO62*(D_iC)),AO62)</f>
        <v>0</v>
      </c>
      <c r="AQ62" s="1" t="n">
        <f aca="false">IF(AD62&gt;PR_BalDone,MIN(F_CardPayM,AD62+AD62*(D_iC)),0)</f>
        <v>0</v>
      </c>
      <c r="AR62" s="1" t="n">
        <f aca="false">IF(AE62&gt;PR_BalDone,MIN(F_CardPayM,AE62+AE62*(D_iC)),0)</f>
        <v>0</v>
      </c>
      <c r="AS62" s="1" t="n">
        <f aca="false">IF(AF62&gt;PR_BalDone,MIN(F_CardPayM,AF62+AF62*(D_iC)),0)</f>
        <v>0</v>
      </c>
      <c r="AT62" s="1" t="n">
        <f aca="false">IF(AG62&gt;PR_BalDone,MIN(F_CardPayM,AG62+AG62*(D_iC)),0)</f>
        <v>0</v>
      </c>
      <c r="AU62" s="1" t="n">
        <f aca="false">IF(AH62&gt;PR_BalDone,MIN(F_CardPayM,AH62+AH62*(D_iC)),0)</f>
        <v>0</v>
      </c>
      <c r="AV62" s="1" t="n">
        <f aca="false">IF(AI62&gt;PR_BalDone,MIN(F_CardPayM,AI62+AI62*(D_iC)),0)</f>
        <v>0</v>
      </c>
      <c r="AW62" s="1" t="n">
        <f aca="false">IF(AJ62&gt;PR_BalDone,MIN(F_CardPayM,AJ62+AJ62*(D_iC)),0)</f>
        <v>0</v>
      </c>
      <c r="AX62" s="1" t="n">
        <f aca="false">IF(AK62&gt;PR_BalDone,MIN(F_CardPayM,AK62+AK62*(D_iC)),0)</f>
        <v>0</v>
      </c>
      <c r="AY62" s="1" t="n">
        <f aca="false">IF(AL62&gt;PR_BalDone,MIN(F_CardPayM,AL62+AL62*(D_iC)),0)</f>
        <v>0</v>
      </c>
      <c r="AZ62" s="1" t="n">
        <f aca="false">IF(AM62&gt;PR_BalDone,MIN(F_CardPayM,AM62+AM62*(D_iC)),0)</f>
        <v>0</v>
      </c>
      <c r="BA62" s="1" t="n">
        <f aca="false">IF(AN62&gt;PR_BalDone,MIN(F_CardPayM,AN62+AN62*(D_iC)),0)</f>
        <v>0</v>
      </c>
      <c r="BB62" s="1" t="n">
        <f aca="false">IF(AO62&gt;PR_BalDone,MIN(F_CardPayM,AO62+AO62*(D_iC)),0)</f>
        <v>0</v>
      </c>
      <c r="BC62" s="1" t="n">
        <f aca="false">MAX(0,AP62)</f>
        <v>0</v>
      </c>
      <c r="BD62" s="1" t="n">
        <f aca="false">SUM(AQ62:BB62)</f>
        <v>0</v>
      </c>
      <c r="BE62" s="1" t="n">
        <f aca="false">'Plan cashflow'!O62</f>
        <v>0</v>
      </c>
      <c r="BF62" s="1" t="n">
        <f aca="false">IF(BE62&gt;PR_BalDone,BE62+BE62*(D_iL)-MIN(F_LoanPayM,BE62+BE62*(D_iL)),BE62)</f>
        <v>0</v>
      </c>
      <c r="BG62" s="1" t="n">
        <f aca="false">IF(BF62&gt;PR_BalDone,BF62+BF62*(D_iL)-MIN(F_LoanPayM,BF62+BF62*(D_iL)),BF62)</f>
        <v>0</v>
      </c>
      <c r="BH62" s="1" t="n">
        <f aca="false">IF(BG62&gt;PR_BalDone,BG62+BG62*(D_iL)-MIN(F_LoanPayM,BG62+BG62*(D_iL)),BG62)</f>
        <v>0</v>
      </c>
      <c r="BI62" s="1" t="n">
        <f aca="false">IF(BH62&gt;PR_BalDone,BH62+BH62*(D_iL)-MIN(F_LoanPayM,BH62+BH62*(D_iL)),BH62)</f>
        <v>0</v>
      </c>
      <c r="BJ62" s="1" t="n">
        <f aca="false">IF(BI62&gt;PR_BalDone,BI62+BI62*(D_iL)-MIN(F_LoanPayM,BI62+BI62*(D_iL)),BI62)</f>
        <v>0</v>
      </c>
      <c r="BK62" s="1" t="n">
        <f aca="false">IF(BJ62&gt;PR_BalDone,BJ62+BJ62*(D_iL)-MIN(F_LoanPayM,BJ62+BJ62*(D_iL)),BJ62)</f>
        <v>0</v>
      </c>
      <c r="BL62" s="1" t="n">
        <f aca="false">IF(BK62&gt;PR_BalDone,BK62+BK62*(D_iL)-MIN(F_LoanPayM,BK62+BK62*(D_iL)),BK62)</f>
        <v>0</v>
      </c>
      <c r="BM62" s="1" t="n">
        <f aca="false">IF(BL62&gt;PR_BalDone,BL62+BL62*(D_iL)-MIN(F_LoanPayM,BL62+BL62*(D_iL)),BL62)</f>
        <v>0</v>
      </c>
      <c r="BN62" s="1" t="n">
        <f aca="false">IF(BM62&gt;PR_BalDone,BM62+BM62*(D_iL)-MIN(F_LoanPayM,BM62+BM62*(D_iL)),BM62)</f>
        <v>0</v>
      </c>
      <c r="BO62" s="1" t="n">
        <f aca="false">IF(BN62&gt;PR_BalDone,BN62+BN62*(D_iL)-MIN(F_LoanPayM,BN62+BN62*(D_iL)),BN62)</f>
        <v>0</v>
      </c>
      <c r="BP62" s="1" t="n">
        <f aca="false">IF(BO62&gt;PR_BalDone,BO62+BO62*(D_iL)-MIN(F_LoanPayM,BO62+BO62*(D_iL)),BO62)</f>
        <v>0</v>
      </c>
      <c r="BQ62" s="1" t="n">
        <f aca="false">IF(BP62&gt;PR_BalDone,BP62+BP62*(D_iL)-MIN(F_LoanPayM,BP62+BP62*(D_iL)),BP62)</f>
        <v>0</v>
      </c>
      <c r="BR62" s="1" t="n">
        <f aca="false">IF(BE62&gt;PR_BalDone,MIN(F_LoanPayM,BE62+BE62*(D_iL)),0)</f>
        <v>0</v>
      </c>
      <c r="BS62" s="1" t="n">
        <f aca="false">IF(BF62&gt;PR_BalDone,MIN(F_LoanPayM,BF62+BF62*(D_iL)),0)</f>
        <v>0</v>
      </c>
      <c r="BT62" s="1" t="n">
        <f aca="false">IF(BG62&gt;PR_BalDone,MIN(F_LoanPayM,BG62+BG62*(D_iL)),0)</f>
        <v>0</v>
      </c>
      <c r="BU62" s="1" t="n">
        <f aca="false">IF(BH62&gt;PR_BalDone,MIN(F_LoanPayM,BH62+BH62*(D_iL)),0)</f>
        <v>0</v>
      </c>
      <c r="BV62" s="1" t="n">
        <f aca="false">IF(BI62&gt;PR_BalDone,MIN(F_LoanPayM,BI62+BI62*(D_iL)),0)</f>
        <v>0</v>
      </c>
      <c r="BW62" s="1" t="n">
        <f aca="false">IF(BJ62&gt;PR_BalDone,MIN(F_LoanPayM,BJ62+BJ62*(D_iL)),0)</f>
        <v>0</v>
      </c>
      <c r="BX62" s="1" t="n">
        <f aca="false">IF(BK62&gt;PR_BalDone,MIN(F_LoanPayM,BK62+BK62*(D_iL)),0)</f>
        <v>0</v>
      </c>
      <c r="BY62" s="1" t="n">
        <f aca="false">IF(BL62&gt;PR_BalDone,MIN(F_LoanPayM,BL62+BL62*(D_iL)),0)</f>
        <v>0</v>
      </c>
      <c r="BZ62" s="1" t="n">
        <f aca="false">IF(BM62&gt;PR_BalDone,MIN(F_LoanPayM,BM62+BM62*(D_iL)),0)</f>
        <v>0</v>
      </c>
      <c r="CA62" s="1" t="n">
        <f aca="false">IF(BN62&gt;PR_BalDone,MIN(F_LoanPayM,BN62+BN62*(D_iL)),0)</f>
        <v>0</v>
      </c>
      <c r="CB62" s="1" t="n">
        <f aca="false">IF(BO62&gt;PR_BalDone,MIN(F_LoanPayM,BO62+BO62*(D_iL)),0)</f>
        <v>0</v>
      </c>
      <c r="CC62" s="1" t="n">
        <f aca="false">IF(BP62&gt;PR_BalDone,MIN(F_LoanPayM,BP62+BP62*(D_iL)),0)</f>
        <v>0</v>
      </c>
      <c r="CD62" s="1" t="n">
        <f aca="false">MAX(0,BQ62)</f>
        <v>0</v>
      </c>
      <c r="CE62" s="1" t="n">
        <f aca="false">SUM(BR62:CC62)</f>
        <v>0</v>
      </c>
      <c r="CF62" s="1" t="n">
        <f aca="false">IF(CF61&gt;1,DE61,CF61)</f>
        <v>0</v>
      </c>
      <c r="CG62" s="1" t="n">
        <f aca="false">IF(CF62&gt;PR_BalDone,CF62+CF62*(F_MR/12)-MIN(F_MortPayM,CF62+CF62*(F_MR/12)),CF62)</f>
        <v>0</v>
      </c>
      <c r="CH62" s="1" t="n">
        <f aca="false">IF(CG62&gt;PR_BalDone,CG62+CG62*(F_MR/12)-MIN(F_MortPayM,CG62+CG62*(F_MR/12)),CG62)</f>
        <v>0</v>
      </c>
      <c r="CI62" s="1" t="n">
        <f aca="false">IF(CH62&gt;PR_BalDone,CH62+CH62*(F_MR/12)-MIN(F_MortPayM,CH62+CH62*(F_MR/12)),CH62)</f>
        <v>0</v>
      </c>
      <c r="CJ62" s="1" t="n">
        <f aca="false">IF(CI62&gt;PR_BalDone,CI62+CI62*(F_MR/12)-MIN(F_MortPayM,CI62+CI62*(F_MR/12)),CI62)</f>
        <v>0</v>
      </c>
      <c r="CK62" s="1" t="n">
        <f aca="false">IF(CJ62&gt;PR_BalDone,CJ62+CJ62*(F_MR/12)-MIN(F_MortPayM,CJ62+CJ62*(F_MR/12)),CJ62)</f>
        <v>0</v>
      </c>
      <c r="CL62" s="1" t="n">
        <f aca="false">IF(CK62&gt;PR_BalDone,CK62+CK62*(F_MR/12)-MIN(F_MortPayM,CK62+CK62*(F_MR/12)),CK62)</f>
        <v>0</v>
      </c>
      <c r="CM62" s="1" t="n">
        <f aca="false">IF(CL62&gt;PR_BalDone,CL62+CL62*(F_MR/12)-MIN(F_MortPayM,CL62+CL62*(F_MR/12)),CL62)</f>
        <v>0</v>
      </c>
      <c r="CN62" s="1" t="n">
        <f aca="false">IF(CM62&gt;PR_BalDone,CM62+CM62*(F_MR/12)-MIN(F_MortPayM,CM62+CM62*(F_MR/12)),CM62)</f>
        <v>0</v>
      </c>
      <c r="CO62" s="1" t="n">
        <f aca="false">IF(CN62&gt;PR_BalDone,CN62+CN62*(F_MR/12)-MIN(F_MortPayM,CN62+CN62*(F_MR/12)),CN62)</f>
        <v>0</v>
      </c>
      <c r="CP62" s="1" t="n">
        <f aca="false">IF(CO62&gt;PR_BalDone,CO62+CO62*(F_MR/12)-MIN(F_MortPayM,CO62+CO62*(F_MR/12)),CO62)</f>
        <v>0</v>
      </c>
      <c r="CQ62" s="1" t="n">
        <f aca="false">IF(CP62&gt;PR_BalDone,CP62+CP62*(F_MR/12)-MIN(F_MortPayM,CP62+CP62*(F_MR/12)),CP62)</f>
        <v>0</v>
      </c>
      <c r="CR62" s="1" t="n">
        <f aca="false">IF(CQ62&gt;PR_BalDone,CQ62+CQ62*(F_MR/12)-MIN(F_MortPayM,CQ62+CQ62*(F_MR/12)),CQ62)</f>
        <v>0</v>
      </c>
      <c r="CS62" s="1" t="n">
        <f aca="false">IF(CF62&gt;PR_BalDone,MIN(F_MortPayM,CF62+CF62*(F_MR/12)),0)</f>
        <v>0</v>
      </c>
      <c r="CT62" s="1" t="n">
        <f aca="false">IF(CG62&gt;PR_BalDone,MIN(F_MortPayM,CG62+CG62*(F_MR/12)),0)</f>
        <v>0</v>
      </c>
      <c r="CU62" s="1" t="n">
        <f aca="false">IF(CH62&gt;PR_BalDone,MIN(F_MortPayM,CH62+CH62*(F_MR/12)),0)</f>
        <v>0</v>
      </c>
      <c r="CV62" s="1" t="n">
        <f aca="false">IF(CI62&gt;PR_BalDone,MIN(F_MortPayM,CI62+CI62*(F_MR/12)),0)</f>
        <v>0</v>
      </c>
      <c r="CW62" s="1" t="n">
        <f aca="false">IF(CJ62&gt;PR_BalDone,MIN(F_MortPayM,CJ62+CJ62*(F_MR/12)),0)</f>
        <v>0</v>
      </c>
      <c r="CX62" s="1" t="n">
        <f aca="false">IF(CK62&gt;PR_BalDone,MIN(F_MortPayM,CK62+CK62*(F_MR/12)),0)</f>
        <v>0</v>
      </c>
      <c r="CY62" s="1" t="n">
        <f aca="false">IF(CL62&gt;PR_BalDone,MIN(F_MortPayM,CL62+CL62*(F_MR/12)),0)</f>
        <v>0</v>
      </c>
      <c r="CZ62" s="1" t="n">
        <f aca="false">IF(CM62&gt;PR_BalDone,MIN(F_MortPayM,CM62+CM62*(F_MR/12)),0)</f>
        <v>0</v>
      </c>
      <c r="DA62" s="1" t="n">
        <f aca="false">IF(CN62&gt;PR_BalDone,MIN(F_MortPayM,CN62+CN62*(F_MR/12)),0)</f>
        <v>0</v>
      </c>
      <c r="DB62" s="1" t="n">
        <f aca="false">IF(CO62&gt;PR_BalDone,MIN(F_MortPayM,CO62+CO62*(F_MR/12)),0)</f>
        <v>0</v>
      </c>
      <c r="DC62" s="1" t="n">
        <f aca="false">IF(CP62&gt;PR_BalDone,MIN(F_MortPayM,CP62+CP62*(F_MR/12)),0)</f>
        <v>0</v>
      </c>
      <c r="DD62" s="1" t="n">
        <f aca="false">IF(CQ62&gt;PR_BalDone,MIN(F_MortPayM,CQ62+CQ62*(F_MR/12)),0)</f>
        <v>0</v>
      </c>
      <c r="DE62" s="1" t="n">
        <f aca="false">MAX(0,CR62)</f>
        <v>0</v>
      </c>
      <c r="DF62" s="1" t="n">
        <f aca="false">SUM(CS62:DD62)</f>
        <v>0</v>
      </c>
      <c r="DG62" s="1" t="n">
        <f aca="false">MAX(0,CF62)</f>
        <v>0</v>
      </c>
    </row>
    <row r="63" customFormat="false" ht="15" hidden="false" customHeight="true" outlineLevel="0" collapsed="false">
      <c r="B63" s="1" t="n">
        <v>55</v>
      </c>
      <c r="C63" s="1" t="n">
        <f aca="false">'Plan cashflow'!I63</f>
        <v>0</v>
      </c>
      <c r="D63" s="1" t="n">
        <f aca="false">IF(C63&gt;PR_BalDone,C63+C63*(F_MR/12)-MIN(F_MortPayM,C63+C63*(F_MR/12)),C63)</f>
        <v>0</v>
      </c>
      <c r="E63" s="1" t="n">
        <f aca="false">IF(D63&gt;PR_BalDone,D63+D63*(F_MR/12)-MIN(F_MortPayM,D63+D63*(F_MR/12)),D63)</f>
        <v>0</v>
      </c>
      <c r="F63" s="1" t="n">
        <f aca="false">IF(E63&gt;PR_BalDone,E63+E63*(F_MR/12)-MIN(F_MortPayM,E63+E63*(F_MR/12)),E63)</f>
        <v>0</v>
      </c>
      <c r="G63" s="1" t="n">
        <f aca="false">IF(F63&gt;PR_BalDone,F63+F63*(F_MR/12)-MIN(F_MortPayM,F63+F63*(F_MR/12)),F63)</f>
        <v>0</v>
      </c>
      <c r="H63" s="1" t="n">
        <f aca="false">IF(G63&gt;PR_BalDone,G63+G63*(F_MR/12)-MIN(F_MortPayM,G63+G63*(F_MR/12)),G63)</f>
        <v>0</v>
      </c>
      <c r="I63" s="1" t="n">
        <f aca="false">IF(H63&gt;PR_BalDone,H63+H63*(F_MR/12)-MIN(F_MortPayM,H63+H63*(F_MR/12)),H63)</f>
        <v>0</v>
      </c>
      <c r="J63" s="1" t="n">
        <f aca="false">IF(I63&gt;PR_BalDone,I63+I63*(F_MR/12)-MIN(F_MortPayM,I63+I63*(F_MR/12)),I63)</f>
        <v>0</v>
      </c>
      <c r="K63" s="1" t="n">
        <f aca="false">IF(J63&gt;PR_BalDone,J63+J63*(F_MR/12)-MIN(F_MortPayM,J63+J63*(F_MR/12)),J63)</f>
        <v>0</v>
      </c>
      <c r="L63" s="1" t="n">
        <f aca="false">IF(K63&gt;PR_BalDone,K63+K63*(F_MR/12)-MIN(F_MortPayM,K63+K63*(F_MR/12)),K63)</f>
        <v>0</v>
      </c>
      <c r="M63" s="1" t="n">
        <f aca="false">IF(L63&gt;PR_BalDone,L63+L63*(F_MR/12)-MIN(F_MortPayM,L63+L63*(F_MR/12)),L63)</f>
        <v>0</v>
      </c>
      <c r="N63" s="1" t="n">
        <f aca="false">IF(M63&gt;PR_BalDone,M63+M63*(F_MR/12)-MIN(F_MortPayM,M63+M63*(F_MR/12)),M63)</f>
        <v>0</v>
      </c>
      <c r="O63" s="1" t="n">
        <f aca="false">IF(N63&gt;PR_BalDone,N63+N63*(F_MR/12)-MIN(F_MortPayM,N63+N63*(F_MR/12)),N63)</f>
        <v>0</v>
      </c>
      <c r="P63" s="1" t="n">
        <f aca="false">IF(C63&gt;PR_BalDone,MIN(F_MortPayM,C63+C63*(F_MR/12)),0)</f>
        <v>0</v>
      </c>
      <c r="Q63" s="1" t="n">
        <f aca="false">IF(D63&gt;PR_BalDone,MIN(F_MortPayM,D63+D63*(F_MR/12)),0)</f>
        <v>0</v>
      </c>
      <c r="R63" s="1" t="n">
        <f aca="false">IF(E63&gt;PR_BalDone,MIN(F_MortPayM,E63+E63*(F_MR/12)),0)</f>
        <v>0</v>
      </c>
      <c r="S63" s="1" t="n">
        <f aca="false">IF(F63&gt;PR_BalDone,MIN(F_MortPayM,F63+F63*(F_MR/12)),0)</f>
        <v>0</v>
      </c>
      <c r="T63" s="1" t="n">
        <f aca="false">IF(G63&gt;PR_BalDone,MIN(F_MortPayM,G63+G63*(F_MR/12)),0)</f>
        <v>0</v>
      </c>
      <c r="U63" s="1" t="n">
        <f aca="false">IF(H63&gt;PR_BalDone,MIN(F_MortPayM,H63+H63*(F_MR/12)),0)</f>
        <v>0</v>
      </c>
      <c r="V63" s="1" t="n">
        <f aca="false">IF(I63&gt;PR_BalDone,MIN(F_MortPayM,I63+I63*(F_MR/12)),0)</f>
        <v>0</v>
      </c>
      <c r="W63" s="1" t="n">
        <f aca="false">IF(J63&gt;PR_BalDone,MIN(F_MortPayM,J63+J63*(F_MR/12)),0)</f>
        <v>0</v>
      </c>
      <c r="X63" s="1" t="n">
        <f aca="false">IF(K63&gt;PR_BalDone,MIN(F_MortPayM,K63+K63*(F_MR/12)),0)</f>
        <v>0</v>
      </c>
      <c r="Y63" s="1" t="n">
        <f aca="false">IF(L63&gt;PR_BalDone,MIN(F_MortPayM,L63+L63*(F_MR/12)),0)</f>
        <v>0</v>
      </c>
      <c r="Z63" s="1" t="n">
        <f aca="false">IF(M63&gt;PR_BalDone,MIN(F_MortPayM,M63+M63*(F_MR/12)),0)</f>
        <v>0</v>
      </c>
      <c r="AA63" s="1" t="n">
        <f aca="false">IF(N63&gt;PR_BalDone,MIN(F_MortPayM,N63+N63*(F_MR/12)),0)</f>
        <v>0</v>
      </c>
      <c r="AB63" s="1" t="n">
        <f aca="false">MAX(0,O63)</f>
        <v>0</v>
      </c>
      <c r="AC63" s="1" t="n">
        <f aca="false">SUM(P63:AA63)</f>
        <v>0</v>
      </c>
      <c r="AD63" s="1" t="n">
        <f aca="false">'Plan cashflow'!L63</f>
        <v>0</v>
      </c>
      <c r="AE63" s="1" t="n">
        <f aca="false">IF(AD63&gt;PR_BalDone,AD63+AD63*(D_iC)-MIN(F_CardPayM,AD63+AD63*(D_iC)),AD63)</f>
        <v>0</v>
      </c>
      <c r="AF63" s="1" t="n">
        <f aca="false">IF(AE63&gt;PR_BalDone,AE63+AE63*(D_iC)-MIN(F_CardPayM,AE63+AE63*(D_iC)),AE63)</f>
        <v>0</v>
      </c>
      <c r="AG63" s="1" t="n">
        <f aca="false">IF(AF63&gt;PR_BalDone,AF63+AF63*(D_iC)-MIN(F_CardPayM,AF63+AF63*(D_iC)),AF63)</f>
        <v>0</v>
      </c>
      <c r="AH63" s="1" t="n">
        <f aca="false">IF(AG63&gt;PR_BalDone,AG63+AG63*(D_iC)-MIN(F_CardPayM,AG63+AG63*(D_iC)),AG63)</f>
        <v>0</v>
      </c>
      <c r="AI63" s="1" t="n">
        <f aca="false">IF(AH63&gt;PR_BalDone,AH63+AH63*(D_iC)-MIN(F_CardPayM,AH63+AH63*(D_iC)),AH63)</f>
        <v>0</v>
      </c>
      <c r="AJ63" s="1" t="n">
        <f aca="false">IF(AI63&gt;PR_BalDone,AI63+AI63*(D_iC)-MIN(F_CardPayM,AI63+AI63*(D_iC)),AI63)</f>
        <v>0</v>
      </c>
      <c r="AK63" s="1" t="n">
        <f aca="false">IF(AJ63&gt;PR_BalDone,AJ63+AJ63*(D_iC)-MIN(F_CardPayM,AJ63+AJ63*(D_iC)),AJ63)</f>
        <v>0</v>
      </c>
      <c r="AL63" s="1" t="n">
        <f aca="false">IF(AK63&gt;PR_BalDone,AK63+AK63*(D_iC)-MIN(F_CardPayM,AK63+AK63*(D_iC)),AK63)</f>
        <v>0</v>
      </c>
      <c r="AM63" s="1" t="n">
        <f aca="false">IF(AL63&gt;PR_BalDone,AL63+AL63*(D_iC)-MIN(F_CardPayM,AL63+AL63*(D_iC)),AL63)</f>
        <v>0</v>
      </c>
      <c r="AN63" s="1" t="n">
        <f aca="false">IF(AM63&gt;PR_BalDone,AM63+AM63*(D_iC)-MIN(F_CardPayM,AM63+AM63*(D_iC)),AM63)</f>
        <v>0</v>
      </c>
      <c r="AO63" s="1" t="n">
        <f aca="false">IF(AN63&gt;PR_BalDone,AN63+AN63*(D_iC)-MIN(F_CardPayM,AN63+AN63*(D_iC)),AN63)</f>
        <v>0</v>
      </c>
      <c r="AP63" s="1" t="n">
        <f aca="false">IF(AO63&gt;PR_BalDone,AO63+AO63*(D_iC)-MIN(F_CardPayM,AO63+AO63*(D_iC)),AO63)</f>
        <v>0</v>
      </c>
      <c r="AQ63" s="1" t="n">
        <f aca="false">IF(AD63&gt;PR_BalDone,MIN(F_CardPayM,AD63+AD63*(D_iC)),0)</f>
        <v>0</v>
      </c>
      <c r="AR63" s="1" t="n">
        <f aca="false">IF(AE63&gt;PR_BalDone,MIN(F_CardPayM,AE63+AE63*(D_iC)),0)</f>
        <v>0</v>
      </c>
      <c r="AS63" s="1" t="n">
        <f aca="false">IF(AF63&gt;PR_BalDone,MIN(F_CardPayM,AF63+AF63*(D_iC)),0)</f>
        <v>0</v>
      </c>
      <c r="AT63" s="1" t="n">
        <f aca="false">IF(AG63&gt;PR_BalDone,MIN(F_CardPayM,AG63+AG63*(D_iC)),0)</f>
        <v>0</v>
      </c>
      <c r="AU63" s="1" t="n">
        <f aca="false">IF(AH63&gt;PR_BalDone,MIN(F_CardPayM,AH63+AH63*(D_iC)),0)</f>
        <v>0</v>
      </c>
      <c r="AV63" s="1" t="n">
        <f aca="false">IF(AI63&gt;PR_BalDone,MIN(F_CardPayM,AI63+AI63*(D_iC)),0)</f>
        <v>0</v>
      </c>
      <c r="AW63" s="1" t="n">
        <f aca="false">IF(AJ63&gt;PR_BalDone,MIN(F_CardPayM,AJ63+AJ63*(D_iC)),0)</f>
        <v>0</v>
      </c>
      <c r="AX63" s="1" t="n">
        <f aca="false">IF(AK63&gt;PR_BalDone,MIN(F_CardPayM,AK63+AK63*(D_iC)),0)</f>
        <v>0</v>
      </c>
      <c r="AY63" s="1" t="n">
        <f aca="false">IF(AL63&gt;PR_BalDone,MIN(F_CardPayM,AL63+AL63*(D_iC)),0)</f>
        <v>0</v>
      </c>
      <c r="AZ63" s="1" t="n">
        <f aca="false">IF(AM63&gt;PR_BalDone,MIN(F_CardPayM,AM63+AM63*(D_iC)),0)</f>
        <v>0</v>
      </c>
      <c r="BA63" s="1" t="n">
        <f aca="false">IF(AN63&gt;PR_BalDone,MIN(F_CardPayM,AN63+AN63*(D_iC)),0)</f>
        <v>0</v>
      </c>
      <c r="BB63" s="1" t="n">
        <f aca="false">IF(AO63&gt;PR_BalDone,MIN(F_CardPayM,AO63+AO63*(D_iC)),0)</f>
        <v>0</v>
      </c>
      <c r="BC63" s="1" t="n">
        <f aca="false">MAX(0,AP63)</f>
        <v>0</v>
      </c>
      <c r="BD63" s="1" t="n">
        <f aca="false">SUM(AQ63:BB63)</f>
        <v>0</v>
      </c>
      <c r="BE63" s="1" t="n">
        <f aca="false">'Plan cashflow'!O63</f>
        <v>0</v>
      </c>
      <c r="BF63" s="1" t="n">
        <f aca="false">IF(BE63&gt;PR_BalDone,BE63+BE63*(D_iL)-MIN(F_LoanPayM,BE63+BE63*(D_iL)),BE63)</f>
        <v>0</v>
      </c>
      <c r="BG63" s="1" t="n">
        <f aca="false">IF(BF63&gt;PR_BalDone,BF63+BF63*(D_iL)-MIN(F_LoanPayM,BF63+BF63*(D_iL)),BF63)</f>
        <v>0</v>
      </c>
      <c r="BH63" s="1" t="n">
        <f aca="false">IF(BG63&gt;PR_BalDone,BG63+BG63*(D_iL)-MIN(F_LoanPayM,BG63+BG63*(D_iL)),BG63)</f>
        <v>0</v>
      </c>
      <c r="BI63" s="1" t="n">
        <f aca="false">IF(BH63&gt;PR_BalDone,BH63+BH63*(D_iL)-MIN(F_LoanPayM,BH63+BH63*(D_iL)),BH63)</f>
        <v>0</v>
      </c>
      <c r="BJ63" s="1" t="n">
        <f aca="false">IF(BI63&gt;PR_BalDone,BI63+BI63*(D_iL)-MIN(F_LoanPayM,BI63+BI63*(D_iL)),BI63)</f>
        <v>0</v>
      </c>
      <c r="BK63" s="1" t="n">
        <f aca="false">IF(BJ63&gt;PR_BalDone,BJ63+BJ63*(D_iL)-MIN(F_LoanPayM,BJ63+BJ63*(D_iL)),BJ63)</f>
        <v>0</v>
      </c>
      <c r="BL63" s="1" t="n">
        <f aca="false">IF(BK63&gt;PR_BalDone,BK63+BK63*(D_iL)-MIN(F_LoanPayM,BK63+BK63*(D_iL)),BK63)</f>
        <v>0</v>
      </c>
      <c r="BM63" s="1" t="n">
        <f aca="false">IF(BL63&gt;PR_BalDone,BL63+BL63*(D_iL)-MIN(F_LoanPayM,BL63+BL63*(D_iL)),BL63)</f>
        <v>0</v>
      </c>
      <c r="BN63" s="1" t="n">
        <f aca="false">IF(BM63&gt;PR_BalDone,BM63+BM63*(D_iL)-MIN(F_LoanPayM,BM63+BM63*(D_iL)),BM63)</f>
        <v>0</v>
      </c>
      <c r="BO63" s="1" t="n">
        <f aca="false">IF(BN63&gt;PR_BalDone,BN63+BN63*(D_iL)-MIN(F_LoanPayM,BN63+BN63*(D_iL)),BN63)</f>
        <v>0</v>
      </c>
      <c r="BP63" s="1" t="n">
        <f aca="false">IF(BO63&gt;PR_BalDone,BO63+BO63*(D_iL)-MIN(F_LoanPayM,BO63+BO63*(D_iL)),BO63)</f>
        <v>0</v>
      </c>
      <c r="BQ63" s="1" t="n">
        <f aca="false">IF(BP63&gt;PR_BalDone,BP63+BP63*(D_iL)-MIN(F_LoanPayM,BP63+BP63*(D_iL)),BP63)</f>
        <v>0</v>
      </c>
      <c r="BR63" s="1" t="n">
        <f aca="false">IF(BE63&gt;PR_BalDone,MIN(F_LoanPayM,BE63+BE63*(D_iL)),0)</f>
        <v>0</v>
      </c>
      <c r="BS63" s="1" t="n">
        <f aca="false">IF(BF63&gt;PR_BalDone,MIN(F_LoanPayM,BF63+BF63*(D_iL)),0)</f>
        <v>0</v>
      </c>
      <c r="BT63" s="1" t="n">
        <f aca="false">IF(BG63&gt;PR_BalDone,MIN(F_LoanPayM,BG63+BG63*(D_iL)),0)</f>
        <v>0</v>
      </c>
      <c r="BU63" s="1" t="n">
        <f aca="false">IF(BH63&gt;PR_BalDone,MIN(F_LoanPayM,BH63+BH63*(D_iL)),0)</f>
        <v>0</v>
      </c>
      <c r="BV63" s="1" t="n">
        <f aca="false">IF(BI63&gt;PR_BalDone,MIN(F_LoanPayM,BI63+BI63*(D_iL)),0)</f>
        <v>0</v>
      </c>
      <c r="BW63" s="1" t="n">
        <f aca="false">IF(BJ63&gt;PR_BalDone,MIN(F_LoanPayM,BJ63+BJ63*(D_iL)),0)</f>
        <v>0</v>
      </c>
      <c r="BX63" s="1" t="n">
        <f aca="false">IF(BK63&gt;PR_BalDone,MIN(F_LoanPayM,BK63+BK63*(D_iL)),0)</f>
        <v>0</v>
      </c>
      <c r="BY63" s="1" t="n">
        <f aca="false">IF(BL63&gt;PR_BalDone,MIN(F_LoanPayM,BL63+BL63*(D_iL)),0)</f>
        <v>0</v>
      </c>
      <c r="BZ63" s="1" t="n">
        <f aca="false">IF(BM63&gt;PR_BalDone,MIN(F_LoanPayM,BM63+BM63*(D_iL)),0)</f>
        <v>0</v>
      </c>
      <c r="CA63" s="1" t="n">
        <f aca="false">IF(BN63&gt;PR_BalDone,MIN(F_LoanPayM,BN63+BN63*(D_iL)),0)</f>
        <v>0</v>
      </c>
      <c r="CB63" s="1" t="n">
        <f aca="false">IF(BO63&gt;PR_BalDone,MIN(F_LoanPayM,BO63+BO63*(D_iL)),0)</f>
        <v>0</v>
      </c>
      <c r="CC63" s="1" t="n">
        <f aca="false">IF(BP63&gt;PR_BalDone,MIN(F_LoanPayM,BP63+BP63*(D_iL)),0)</f>
        <v>0</v>
      </c>
      <c r="CD63" s="1" t="n">
        <f aca="false">MAX(0,BQ63)</f>
        <v>0</v>
      </c>
      <c r="CE63" s="1" t="n">
        <f aca="false">SUM(BR63:CC63)</f>
        <v>0</v>
      </c>
      <c r="CF63" s="1" t="n">
        <f aca="false">IF(CF62&gt;1,DE62,CF62)</f>
        <v>0</v>
      </c>
      <c r="CG63" s="1" t="n">
        <f aca="false">IF(CF63&gt;PR_BalDone,CF63+CF63*(F_MR/12)-MIN(F_MortPayM,CF63+CF63*(F_MR/12)),CF63)</f>
        <v>0</v>
      </c>
      <c r="CH63" s="1" t="n">
        <f aca="false">IF(CG63&gt;PR_BalDone,CG63+CG63*(F_MR/12)-MIN(F_MortPayM,CG63+CG63*(F_MR/12)),CG63)</f>
        <v>0</v>
      </c>
      <c r="CI63" s="1" t="n">
        <f aca="false">IF(CH63&gt;PR_BalDone,CH63+CH63*(F_MR/12)-MIN(F_MortPayM,CH63+CH63*(F_MR/12)),CH63)</f>
        <v>0</v>
      </c>
      <c r="CJ63" s="1" t="n">
        <f aca="false">IF(CI63&gt;PR_BalDone,CI63+CI63*(F_MR/12)-MIN(F_MortPayM,CI63+CI63*(F_MR/12)),CI63)</f>
        <v>0</v>
      </c>
      <c r="CK63" s="1" t="n">
        <f aca="false">IF(CJ63&gt;PR_BalDone,CJ63+CJ63*(F_MR/12)-MIN(F_MortPayM,CJ63+CJ63*(F_MR/12)),CJ63)</f>
        <v>0</v>
      </c>
      <c r="CL63" s="1" t="n">
        <f aca="false">IF(CK63&gt;PR_BalDone,CK63+CK63*(F_MR/12)-MIN(F_MortPayM,CK63+CK63*(F_MR/12)),CK63)</f>
        <v>0</v>
      </c>
      <c r="CM63" s="1" t="n">
        <f aca="false">IF(CL63&gt;PR_BalDone,CL63+CL63*(F_MR/12)-MIN(F_MortPayM,CL63+CL63*(F_MR/12)),CL63)</f>
        <v>0</v>
      </c>
      <c r="CN63" s="1" t="n">
        <f aca="false">IF(CM63&gt;PR_BalDone,CM63+CM63*(F_MR/12)-MIN(F_MortPayM,CM63+CM63*(F_MR/12)),CM63)</f>
        <v>0</v>
      </c>
      <c r="CO63" s="1" t="n">
        <f aca="false">IF(CN63&gt;PR_BalDone,CN63+CN63*(F_MR/12)-MIN(F_MortPayM,CN63+CN63*(F_MR/12)),CN63)</f>
        <v>0</v>
      </c>
      <c r="CP63" s="1" t="n">
        <f aca="false">IF(CO63&gt;PR_BalDone,CO63+CO63*(F_MR/12)-MIN(F_MortPayM,CO63+CO63*(F_MR/12)),CO63)</f>
        <v>0</v>
      </c>
      <c r="CQ63" s="1" t="n">
        <f aca="false">IF(CP63&gt;PR_BalDone,CP63+CP63*(F_MR/12)-MIN(F_MortPayM,CP63+CP63*(F_MR/12)),CP63)</f>
        <v>0</v>
      </c>
      <c r="CR63" s="1" t="n">
        <f aca="false">IF(CQ63&gt;PR_BalDone,CQ63+CQ63*(F_MR/12)-MIN(F_MortPayM,CQ63+CQ63*(F_MR/12)),CQ63)</f>
        <v>0</v>
      </c>
      <c r="CS63" s="1" t="n">
        <f aca="false">IF(CF63&gt;PR_BalDone,MIN(F_MortPayM,CF63+CF63*(F_MR/12)),0)</f>
        <v>0</v>
      </c>
      <c r="CT63" s="1" t="n">
        <f aca="false">IF(CG63&gt;PR_BalDone,MIN(F_MortPayM,CG63+CG63*(F_MR/12)),0)</f>
        <v>0</v>
      </c>
      <c r="CU63" s="1" t="n">
        <f aca="false">IF(CH63&gt;PR_BalDone,MIN(F_MortPayM,CH63+CH63*(F_MR/12)),0)</f>
        <v>0</v>
      </c>
      <c r="CV63" s="1" t="n">
        <f aca="false">IF(CI63&gt;PR_BalDone,MIN(F_MortPayM,CI63+CI63*(F_MR/12)),0)</f>
        <v>0</v>
      </c>
      <c r="CW63" s="1" t="n">
        <f aca="false">IF(CJ63&gt;PR_BalDone,MIN(F_MortPayM,CJ63+CJ63*(F_MR/12)),0)</f>
        <v>0</v>
      </c>
      <c r="CX63" s="1" t="n">
        <f aca="false">IF(CK63&gt;PR_BalDone,MIN(F_MortPayM,CK63+CK63*(F_MR/12)),0)</f>
        <v>0</v>
      </c>
      <c r="CY63" s="1" t="n">
        <f aca="false">IF(CL63&gt;PR_BalDone,MIN(F_MortPayM,CL63+CL63*(F_MR/12)),0)</f>
        <v>0</v>
      </c>
      <c r="CZ63" s="1" t="n">
        <f aca="false">IF(CM63&gt;PR_BalDone,MIN(F_MortPayM,CM63+CM63*(F_MR/12)),0)</f>
        <v>0</v>
      </c>
      <c r="DA63" s="1" t="n">
        <f aca="false">IF(CN63&gt;PR_BalDone,MIN(F_MortPayM,CN63+CN63*(F_MR/12)),0)</f>
        <v>0</v>
      </c>
      <c r="DB63" s="1" t="n">
        <f aca="false">IF(CO63&gt;PR_BalDone,MIN(F_MortPayM,CO63+CO63*(F_MR/12)),0)</f>
        <v>0</v>
      </c>
      <c r="DC63" s="1" t="n">
        <f aca="false">IF(CP63&gt;PR_BalDone,MIN(F_MortPayM,CP63+CP63*(F_MR/12)),0)</f>
        <v>0</v>
      </c>
      <c r="DD63" s="1" t="n">
        <f aca="false">IF(CQ63&gt;PR_BalDone,MIN(F_MortPayM,CQ63+CQ63*(F_MR/12)),0)</f>
        <v>0</v>
      </c>
      <c r="DE63" s="1" t="n">
        <f aca="false">MAX(0,CR63)</f>
        <v>0</v>
      </c>
      <c r="DF63" s="1" t="n">
        <f aca="false">SUM(CS63:DD63)</f>
        <v>0</v>
      </c>
      <c r="DG63" s="1" t="n">
        <f aca="false">MAX(0,CF63)</f>
        <v>0</v>
      </c>
    </row>
    <row r="64" customFormat="false" ht="15" hidden="false" customHeight="true" outlineLevel="0" collapsed="false">
      <c r="B64" s="1" t="n">
        <v>56</v>
      </c>
      <c r="C64" s="1" t="n">
        <f aca="false">'Plan cashflow'!I64</f>
        <v>0</v>
      </c>
      <c r="D64" s="1" t="n">
        <f aca="false">IF(C64&gt;PR_BalDone,C64+C64*(F_MR/12)-MIN(F_MortPayM,C64+C64*(F_MR/12)),C64)</f>
        <v>0</v>
      </c>
      <c r="E64" s="1" t="n">
        <f aca="false">IF(D64&gt;PR_BalDone,D64+D64*(F_MR/12)-MIN(F_MortPayM,D64+D64*(F_MR/12)),D64)</f>
        <v>0</v>
      </c>
      <c r="F64" s="1" t="n">
        <f aca="false">IF(E64&gt;PR_BalDone,E64+E64*(F_MR/12)-MIN(F_MortPayM,E64+E64*(F_MR/12)),E64)</f>
        <v>0</v>
      </c>
      <c r="G64" s="1" t="n">
        <f aca="false">IF(F64&gt;PR_BalDone,F64+F64*(F_MR/12)-MIN(F_MortPayM,F64+F64*(F_MR/12)),F64)</f>
        <v>0</v>
      </c>
      <c r="H64" s="1" t="n">
        <f aca="false">IF(G64&gt;PR_BalDone,G64+G64*(F_MR/12)-MIN(F_MortPayM,G64+G64*(F_MR/12)),G64)</f>
        <v>0</v>
      </c>
      <c r="I64" s="1" t="n">
        <f aca="false">IF(H64&gt;PR_BalDone,H64+H64*(F_MR/12)-MIN(F_MortPayM,H64+H64*(F_MR/12)),H64)</f>
        <v>0</v>
      </c>
      <c r="J64" s="1" t="n">
        <f aca="false">IF(I64&gt;PR_BalDone,I64+I64*(F_MR/12)-MIN(F_MortPayM,I64+I64*(F_MR/12)),I64)</f>
        <v>0</v>
      </c>
      <c r="K64" s="1" t="n">
        <f aca="false">IF(J64&gt;PR_BalDone,J64+J64*(F_MR/12)-MIN(F_MortPayM,J64+J64*(F_MR/12)),J64)</f>
        <v>0</v>
      </c>
      <c r="L64" s="1" t="n">
        <f aca="false">IF(K64&gt;PR_BalDone,K64+K64*(F_MR/12)-MIN(F_MortPayM,K64+K64*(F_MR/12)),K64)</f>
        <v>0</v>
      </c>
      <c r="M64" s="1" t="n">
        <f aca="false">IF(L64&gt;PR_BalDone,L64+L64*(F_MR/12)-MIN(F_MortPayM,L64+L64*(F_MR/12)),L64)</f>
        <v>0</v>
      </c>
      <c r="N64" s="1" t="n">
        <f aca="false">IF(M64&gt;PR_BalDone,M64+M64*(F_MR/12)-MIN(F_MortPayM,M64+M64*(F_MR/12)),M64)</f>
        <v>0</v>
      </c>
      <c r="O64" s="1" t="n">
        <f aca="false">IF(N64&gt;PR_BalDone,N64+N64*(F_MR/12)-MIN(F_MortPayM,N64+N64*(F_MR/12)),N64)</f>
        <v>0</v>
      </c>
      <c r="P64" s="1" t="n">
        <f aca="false">IF(C64&gt;PR_BalDone,MIN(F_MortPayM,C64+C64*(F_MR/12)),0)</f>
        <v>0</v>
      </c>
      <c r="Q64" s="1" t="n">
        <f aca="false">IF(D64&gt;PR_BalDone,MIN(F_MortPayM,D64+D64*(F_MR/12)),0)</f>
        <v>0</v>
      </c>
      <c r="R64" s="1" t="n">
        <f aca="false">IF(E64&gt;PR_BalDone,MIN(F_MortPayM,E64+E64*(F_MR/12)),0)</f>
        <v>0</v>
      </c>
      <c r="S64" s="1" t="n">
        <f aca="false">IF(F64&gt;PR_BalDone,MIN(F_MortPayM,F64+F64*(F_MR/12)),0)</f>
        <v>0</v>
      </c>
      <c r="T64" s="1" t="n">
        <f aca="false">IF(G64&gt;PR_BalDone,MIN(F_MortPayM,G64+G64*(F_MR/12)),0)</f>
        <v>0</v>
      </c>
      <c r="U64" s="1" t="n">
        <f aca="false">IF(H64&gt;PR_BalDone,MIN(F_MortPayM,H64+H64*(F_MR/12)),0)</f>
        <v>0</v>
      </c>
      <c r="V64" s="1" t="n">
        <f aca="false">IF(I64&gt;PR_BalDone,MIN(F_MortPayM,I64+I64*(F_MR/12)),0)</f>
        <v>0</v>
      </c>
      <c r="W64" s="1" t="n">
        <f aca="false">IF(J64&gt;PR_BalDone,MIN(F_MortPayM,J64+J64*(F_MR/12)),0)</f>
        <v>0</v>
      </c>
      <c r="X64" s="1" t="n">
        <f aca="false">IF(K64&gt;PR_BalDone,MIN(F_MortPayM,K64+K64*(F_MR/12)),0)</f>
        <v>0</v>
      </c>
      <c r="Y64" s="1" t="n">
        <f aca="false">IF(L64&gt;PR_BalDone,MIN(F_MortPayM,L64+L64*(F_MR/12)),0)</f>
        <v>0</v>
      </c>
      <c r="Z64" s="1" t="n">
        <f aca="false">IF(M64&gt;PR_BalDone,MIN(F_MortPayM,M64+M64*(F_MR/12)),0)</f>
        <v>0</v>
      </c>
      <c r="AA64" s="1" t="n">
        <f aca="false">IF(N64&gt;PR_BalDone,MIN(F_MortPayM,N64+N64*(F_MR/12)),0)</f>
        <v>0</v>
      </c>
      <c r="AB64" s="1" t="n">
        <f aca="false">MAX(0,O64)</f>
        <v>0</v>
      </c>
      <c r="AC64" s="1" t="n">
        <f aca="false">SUM(P64:AA64)</f>
        <v>0</v>
      </c>
      <c r="AD64" s="1" t="n">
        <f aca="false">'Plan cashflow'!L64</f>
        <v>0</v>
      </c>
      <c r="AE64" s="1" t="n">
        <f aca="false">IF(AD64&gt;PR_BalDone,AD64+AD64*(D_iC)-MIN(F_CardPayM,AD64+AD64*(D_iC)),AD64)</f>
        <v>0</v>
      </c>
      <c r="AF64" s="1" t="n">
        <f aca="false">IF(AE64&gt;PR_BalDone,AE64+AE64*(D_iC)-MIN(F_CardPayM,AE64+AE64*(D_iC)),AE64)</f>
        <v>0</v>
      </c>
      <c r="AG64" s="1" t="n">
        <f aca="false">IF(AF64&gt;PR_BalDone,AF64+AF64*(D_iC)-MIN(F_CardPayM,AF64+AF64*(D_iC)),AF64)</f>
        <v>0</v>
      </c>
      <c r="AH64" s="1" t="n">
        <f aca="false">IF(AG64&gt;PR_BalDone,AG64+AG64*(D_iC)-MIN(F_CardPayM,AG64+AG64*(D_iC)),AG64)</f>
        <v>0</v>
      </c>
      <c r="AI64" s="1" t="n">
        <f aca="false">IF(AH64&gt;PR_BalDone,AH64+AH64*(D_iC)-MIN(F_CardPayM,AH64+AH64*(D_iC)),AH64)</f>
        <v>0</v>
      </c>
      <c r="AJ64" s="1" t="n">
        <f aca="false">IF(AI64&gt;PR_BalDone,AI64+AI64*(D_iC)-MIN(F_CardPayM,AI64+AI64*(D_iC)),AI64)</f>
        <v>0</v>
      </c>
      <c r="AK64" s="1" t="n">
        <f aca="false">IF(AJ64&gt;PR_BalDone,AJ64+AJ64*(D_iC)-MIN(F_CardPayM,AJ64+AJ64*(D_iC)),AJ64)</f>
        <v>0</v>
      </c>
      <c r="AL64" s="1" t="n">
        <f aca="false">IF(AK64&gt;PR_BalDone,AK64+AK64*(D_iC)-MIN(F_CardPayM,AK64+AK64*(D_iC)),AK64)</f>
        <v>0</v>
      </c>
      <c r="AM64" s="1" t="n">
        <f aca="false">IF(AL64&gt;PR_BalDone,AL64+AL64*(D_iC)-MIN(F_CardPayM,AL64+AL64*(D_iC)),AL64)</f>
        <v>0</v>
      </c>
      <c r="AN64" s="1" t="n">
        <f aca="false">IF(AM64&gt;PR_BalDone,AM64+AM64*(D_iC)-MIN(F_CardPayM,AM64+AM64*(D_iC)),AM64)</f>
        <v>0</v>
      </c>
      <c r="AO64" s="1" t="n">
        <f aca="false">IF(AN64&gt;PR_BalDone,AN64+AN64*(D_iC)-MIN(F_CardPayM,AN64+AN64*(D_iC)),AN64)</f>
        <v>0</v>
      </c>
      <c r="AP64" s="1" t="n">
        <f aca="false">IF(AO64&gt;PR_BalDone,AO64+AO64*(D_iC)-MIN(F_CardPayM,AO64+AO64*(D_iC)),AO64)</f>
        <v>0</v>
      </c>
      <c r="AQ64" s="1" t="n">
        <f aca="false">IF(AD64&gt;PR_BalDone,MIN(F_CardPayM,AD64+AD64*(D_iC)),0)</f>
        <v>0</v>
      </c>
      <c r="AR64" s="1" t="n">
        <f aca="false">IF(AE64&gt;PR_BalDone,MIN(F_CardPayM,AE64+AE64*(D_iC)),0)</f>
        <v>0</v>
      </c>
      <c r="AS64" s="1" t="n">
        <f aca="false">IF(AF64&gt;PR_BalDone,MIN(F_CardPayM,AF64+AF64*(D_iC)),0)</f>
        <v>0</v>
      </c>
      <c r="AT64" s="1" t="n">
        <f aca="false">IF(AG64&gt;PR_BalDone,MIN(F_CardPayM,AG64+AG64*(D_iC)),0)</f>
        <v>0</v>
      </c>
      <c r="AU64" s="1" t="n">
        <f aca="false">IF(AH64&gt;PR_BalDone,MIN(F_CardPayM,AH64+AH64*(D_iC)),0)</f>
        <v>0</v>
      </c>
      <c r="AV64" s="1" t="n">
        <f aca="false">IF(AI64&gt;PR_BalDone,MIN(F_CardPayM,AI64+AI64*(D_iC)),0)</f>
        <v>0</v>
      </c>
      <c r="AW64" s="1" t="n">
        <f aca="false">IF(AJ64&gt;PR_BalDone,MIN(F_CardPayM,AJ64+AJ64*(D_iC)),0)</f>
        <v>0</v>
      </c>
      <c r="AX64" s="1" t="n">
        <f aca="false">IF(AK64&gt;PR_BalDone,MIN(F_CardPayM,AK64+AK64*(D_iC)),0)</f>
        <v>0</v>
      </c>
      <c r="AY64" s="1" t="n">
        <f aca="false">IF(AL64&gt;PR_BalDone,MIN(F_CardPayM,AL64+AL64*(D_iC)),0)</f>
        <v>0</v>
      </c>
      <c r="AZ64" s="1" t="n">
        <f aca="false">IF(AM64&gt;PR_BalDone,MIN(F_CardPayM,AM64+AM64*(D_iC)),0)</f>
        <v>0</v>
      </c>
      <c r="BA64" s="1" t="n">
        <f aca="false">IF(AN64&gt;PR_BalDone,MIN(F_CardPayM,AN64+AN64*(D_iC)),0)</f>
        <v>0</v>
      </c>
      <c r="BB64" s="1" t="n">
        <f aca="false">IF(AO64&gt;PR_BalDone,MIN(F_CardPayM,AO64+AO64*(D_iC)),0)</f>
        <v>0</v>
      </c>
      <c r="BC64" s="1" t="n">
        <f aca="false">MAX(0,AP64)</f>
        <v>0</v>
      </c>
      <c r="BD64" s="1" t="n">
        <f aca="false">SUM(AQ64:BB64)</f>
        <v>0</v>
      </c>
      <c r="BE64" s="1" t="n">
        <f aca="false">'Plan cashflow'!O64</f>
        <v>0</v>
      </c>
      <c r="BF64" s="1" t="n">
        <f aca="false">IF(BE64&gt;PR_BalDone,BE64+BE64*(D_iL)-MIN(F_LoanPayM,BE64+BE64*(D_iL)),BE64)</f>
        <v>0</v>
      </c>
      <c r="BG64" s="1" t="n">
        <f aca="false">IF(BF64&gt;PR_BalDone,BF64+BF64*(D_iL)-MIN(F_LoanPayM,BF64+BF64*(D_iL)),BF64)</f>
        <v>0</v>
      </c>
      <c r="BH64" s="1" t="n">
        <f aca="false">IF(BG64&gt;PR_BalDone,BG64+BG64*(D_iL)-MIN(F_LoanPayM,BG64+BG64*(D_iL)),BG64)</f>
        <v>0</v>
      </c>
      <c r="BI64" s="1" t="n">
        <f aca="false">IF(BH64&gt;PR_BalDone,BH64+BH64*(D_iL)-MIN(F_LoanPayM,BH64+BH64*(D_iL)),BH64)</f>
        <v>0</v>
      </c>
      <c r="BJ64" s="1" t="n">
        <f aca="false">IF(BI64&gt;PR_BalDone,BI64+BI64*(D_iL)-MIN(F_LoanPayM,BI64+BI64*(D_iL)),BI64)</f>
        <v>0</v>
      </c>
      <c r="BK64" s="1" t="n">
        <f aca="false">IF(BJ64&gt;PR_BalDone,BJ64+BJ64*(D_iL)-MIN(F_LoanPayM,BJ64+BJ64*(D_iL)),BJ64)</f>
        <v>0</v>
      </c>
      <c r="BL64" s="1" t="n">
        <f aca="false">IF(BK64&gt;PR_BalDone,BK64+BK64*(D_iL)-MIN(F_LoanPayM,BK64+BK64*(D_iL)),BK64)</f>
        <v>0</v>
      </c>
      <c r="BM64" s="1" t="n">
        <f aca="false">IF(BL64&gt;PR_BalDone,BL64+BL64*(D_iL)-MIN(F_LoanPayM,BL64+BL64*(D_iL)),BL64)</f>
        <v>0</v>
      </c>
      <c r="BN64" s="1" t="n">
        <f aca="false">IF(BM64&gt;PR_BalDone,BM64+BM64*(D_iL)-MIN(F_LoanPayM,BM64+BM64*(D_iL)),BM64)</f>
        <v>0</v>
      </c>
      <c r="BO64" s="1" t="n">
        <f aca="false">IF(BN64&gt;PR_BalDone,BN64+BN64*(D_iL)-MIN(F_LoanPayM,BN64+BN64*(D_iL)),BN64)</f>
        <v>0</v>
      </c>
      <c r="BP64" s="1" t="n">
        <f aca="false">IF(BO64&gt;PR_BalDone,BO64+BO64*(D_iL)-MIN(F_LoanPayM,BO64+BO64*(D_iL)),BO64)</f>
        <v>0</v>
      </c>
      <c r="BQ64" s="1" t="n">
        <f aca="false">IF(BP64&gt;PR_BalDone,BP64+BP64*(D_iL)-MIN(F_LoanPayM,BP64+BP64*(D_iL)),BP64)</f>
        <v>0</v>
      </c>
      <c r="BR64" s="1" t="n">
        <f aca="false">IF(BE64&gt;PR_BalDone,MIN(F_LoanPayM,BE64+BE64*(D_iL)),0)</f>
        <v>0</v>
      </c>
      <c r="BS64" s="1" t="n">
        <f aca="false">IF(BF64&gt;PR_BalDone,MIN(F_LoanPayM,BF64+BF64*(D_iL)),0)</f>
        <v>0</v>
      </c>
      <c r="BT64" s="1" t="n">
        <f aca="false">IF(BG64&gt;PR_BalDone,MIN(F_LoanPayM,BG64+BG64*(D_iL)),0)</f>
        <v>0</v>
      </c>
      <c r="BU64" s="1" t="n">
        <f aca="false">IF(BH64&gt;PR_BalDone,MIN(F_LoanPayM,BH64+BH64*(D_iL)),0)</f>
        <v>0</v>
      </c>
      <c r="BV64" s="1" t="n">
        <f aca="false">IF(BI64&gt;PR_BalDone,MIN(F_LoanPayM,BI64+BI64*(D_iL)),0)</f>
        <v>0</v>
      </c>
      <c r="BW64" s="1" t="n">
        <f aca="false">IF(BJ64&gt;PR_BalDone,MIN(F_LoanPayM,BJ64+BJ64*(D_iL)),0)</f>
        <v>0</v>
      </c>
      <c r="BX64" s="1" t="n">
        <f aca="false">IF(BK64&gt;PR_BalDone,MIN(F_LoanPayM,BK64+BK64*(D_iL)),0)</f>
        <v>0</v>
      </c>
      <c r="BY64" s="1" t="n">
        <f aca="false">IF(BL64&gt;PR_BalDone,MIN(F_LoanPayM,BL64+BL64*(D_iL)),0)</f>
        <v>0</v>
      </c>
      <c r="BZ64" s="1" t="n">
        <f aca="false">IF(BM64&gt;PR_BalDone,MIN(F_LoanPayM,BM64+BM64*(D_iL)),0)</f>
        <v>0</v>
      </c>
      <c r="CA64" s="1" t="n">
        <f aca="false">IF(BN64&gt;PR_BalDone,MIN(F_LoanPayM,BN64+BN64*(D_iL)),0)</f>
        <v>0</v>
      </c>
      <c r="CB64" s="1" t="n">
        <f aca="false">IF(BO64&gt;PR_BalDone,MIN(F_LoanPayM,BO64+BO64*(D_iL)),0)</f>
        <v>0</v>
      </c>
      <c r="CC64" s="1" t="n">
        <f aca="false">IF(BP64&gt;PR_BalDone,MIN(F_LoanPayM,BP64+BP64*(D_iL)),0)</f>
        <v>0</v>
      </c>
      <c r="CD64" s="1" t="n">
        <f aca="false">MAX(0,BQ64)</f>
        <v>0</v>
      </c>
      <c r="CE64" s="1" t="n">
        <f aca="false">SUM(BR64:CC64)</f>
        <v>0</v>
      </c>
      <c r="CF64" s="1" t="n">
        <f aca="false">IF(CF63&gt;1,DE63,CF63)</f>
        <v>0</v>
      </c>
      <c r="CG64" s="1" t="n">
        <f aca="false">IF(CF64&gt;PR_BalDone,CF64+CF64*(F_MR/12)-MIN(F_MortPayM,CF64+CF64*(F_MR/12)),CF64)</f>
        <v>0</v>
      </c>
      <c r="CH64" s="1" t="n">
        <f aca="false">IF(CG64&gt;PR_BalDone,CG64+CG64*(F_MR/12)-MIN(F_MortPayM,CG64+CG64*(F_MR/12)),CG64)</f>
        <v>0</v>
      </c>
      <c r="CI64" s="1" t="n">
        <f aca="false">IF(CH64&gt;PR_BalDone,CH64+CH64*(F_MR/12)-MIN(F_MortPayM,CH64+CH64*(F_MR/12)),CH64)</f>
        <v>0</v>
      </c>
      <c r="CJ64" s="1" t="n">
        <f aca="false">IF(CI64&gt;PR_BalDone,CI64+CI64*(F_MR/12)-MIN(F_MortPayM,CI64+CI64*(F_MR/12)),CI64)</f>
        <v>0</v>
      </c>
      <c r="CK64" s="1" t="n">
        <f aca="false">IF(CJ64&gt;PR_BalDone,CJ64+CJ64*(F_MR/12)-MIN(F_MortPayM,CJ64+CJ64*(F_MR/12)),CJ64)</f>
        <v>0</v>
      </c>
      <c r="CL64" s="1" t="n">
        <f aca="false">IF(CK64&gt;PR_BalDone,CK64+CK64*(F_MR/12)-MIN(F_MortPayM,CK64+CK64*(F_MR/12)),CK64)</f>
        <v>0</v>
      </c>
      <c r="CM64" s="1" t="n">
        <f aca="false">IF(CL64&gt;PR_BalDone,CL64+CL64*(F_MR/12)-MIN(F_MortPayM,CL64+CL64*(F_MR/12)),CL64)</f>
        <v>0</v>
      </c>
      <c r="CN64" s="1" t="n">
        <f aca="false">IF(CM64&gt;PR_BalDone,CM64+CM64*(F_MR/12)-MIN(F_MortPayM,CM64+CM64*(F_MR/12)),CM64)</f>
        <v>0</v>
      </c>
      <c r="CO64" s="1" t="n">
        <f aca="false">IF(CN64&gt;PR_BalDone,CN64+CN64*(F_MR/12)-MIN(F_MortPayM,CN64+CN64*(F_MR/12)),CN64)</f>
        <v>0</v>
      </c>
      <c r="CP64" s="1" t="n">
        <f aca="false">IF(CO64&gt;PR_BalDone,CO64+CO64*(F_MR/12)-MIN(F_MortPayM,CO64+CO64*(F_MR/12)),CO64)</f>
        <v>0</v>
      </c>
      <c r="CQ64" s="1" t="n">
        <f aca="false">IF(CP64&gt;PR_BalDone,CP64+CP64*(F_MR/12)-MIN(F_MortPayM,CP64+CP64*(F_MR/12)),CP64)</f>
        <v>0</v>
      </c>
      <c r="CR64" s="1" t="n">
        <f aca="false">IF(CQ64&gt;PR_BalDone,CQ64+CQ64*(F_MR/12)-MIN(F_MortPayM,CQ64+CQ64*(F_MR/12)),CQ64)</f>
        <v>0</v>
      </c>
      <c r="CS64" s="1" t="n">
        <f aca="false">IF(CF64&gt;PR_BalDone,MIN(F_MortPayM,CF64+CF64*(F_MR/12)),0)</f>
        <v>0</v>
      </c>
      <c r="CT64" s="1" t="n">
        <f aca="false">IF(CG64&gt;PR_BalDone,MIN(F_MortPayM,CG64+CG64*(F_MR/12)),0)</f>
        <v>0</v>
      </c>
      <c r="CU64" s="1" t="n">
        <f aca="false">IF(CH64&gt;PR_BalDone,MIN(F_MortPayM,CH64+CH64*(F_MR/12)),0)</f>
        <v>0</v>
      </c>
      <c r="CV64" s="1" t="n">
        <f aca="false">IF(CI64&gt;PR_BalDone,MIN(F_MortPayM,CI64+CI64*(F_MR/12)),0)</f>
        <v>0</v>
      </c>
      <c r="CW64" s="1" t="n">
        <f aca="false">IF(CJ64&gt;PR_BalDone,MIN(F_MortPayM,CJ64+CJ64*(F_MR/12)),0)</f>
        <v>0</v>
      </c>
      <c r="CX64" s="1" t="n">
        <f aca="false">IF(CK64&gt;PR_BalDone,MIN(F_MortPayM,CK64+CK64*(F_MR/12)),0)</f>
        <v>0</v>
      </c>
      <c r="CY64" s="1" t="n">
        <f aca="false">IF(CL64&gt;PR_BalDone,MIN(F_MortPayM,CL64+CL64*(F_MR/12)),0)</f>
        <v>0</v>
      </c>
      <c r="CZ64" s="1" t="n">
        <f aca="false">IF(CM64&gt;PR_BalDone,MIN(F_MortPayM,CM64+CM64*(F_MR/12)),0)</f>
        <v>0</v>
      </c>
      <c r="DA64" s="1" t="n">
        <f aca="false">IF(CN64&gt;PR_BalDone,MIN(F_MortPayM,CN64+CN64*(F_MR/12)),0)</f>
        <v>0</v>
      </c>
      <c r="DB64" s="1" t="n">
        <f aca="false">IF(CO64&gt;PR_BalDone,MIN(F_MortPayM,CO64+CO64*(F_MR/12)),0)</f>
        <v>0</v>
      </c>
      <c r="DC64" s="1" t="n">
        <f aca="false">IF(CP64&gt;PR_BalDone,MIN(F_MortPayM,CP64+CP64*(F_MR/12)),0)</f>
        <v>0</v>
      </c>
      <c r="DD64" s="1" t="n">
        <f aca="false">IF(CQ64&gt;PR_BalDone,MIN(F_MortPayM,CQ64+CQ64*(F_MR/12)),0)</f>
        <v>0</v>
      </c>
      <c r="DE64" s="1" t="n">
        <f aca="false">MAX(0,CR64)</f>
        <v>0</v>
      </c>
      <c r="DF64" s="1" t="n">
        <f aca="false">SUM(CS64:DD64)</f>
        <v>0</v>
      </c>
      <c r="DG64" s="1" t="n">
        <f aca="false">MAX(0,CF64)</f>
        <v>0</v>
      </c>
    </row>
    <row r="65" customFormat="false" ht="15" hidden="false" customHeight="true" outlineLevel="0" collapsed="false">
      <c r="B65" s="1" t="n">
        <v>57</v>
      </c>
      <c r="C65" s="1" t="n">
        <f aca="false">'Plan cashflow'!I65</f>
        <v>0</v>
      </c>
      <c r="D65" s="1" t="n">
        <f aca="false">IF(C65&gt;PR_BalDone,C65+C65*(F_MR/12)-MIN(F_MortPayM,C65+C65*(F_MR/12)),C65)</f>
        <v>0</v>
      </c>
      <c r="E65" s="1" t="n">
        <f aca="false">IF(D65&gt;PR_BalDone,D65+D65*(F_MR/12)-MIN(F_MortPayM,D65+D65*(F_MR/12)),D65)</f>
        <v>0</v>
      </c>
      <c r="F65" s="1" t="n">
        <f aca="false">IF(E65&gt;PR_BalDone,E65+E65*(F_MR/12)-MIN(F_MortPayM,E65+E65*(F_MR/12)),E65)</f>
        <v>0</v>
      </c>
      <c r="G65" s="1" t="n">
        <f aca="false">IF(F65&gt;PR_BalDone,F65+F65*(F_MR/12)-MIN(F_MortPayM,F65+F65*(F_MR/12)),F65)</f>
        <v>0</v>
      </c>
      <c r="H65" s="1" t="n">
        <f aca="false">IF(G65&gt;PR_BalDone,G65+G65*(F_MR/12)-MIN(F_MortPayM,G65+G65*(F_MR/12)),G65)</f>
        <v>0</v>
      </c>
      <c r="I65" s="1" t="n">
        <f aca="false">IF(H65&gt;PR_BalDone,H65+H65*(F_MR/12)-MIN(F_MortPayM,H65+H65*(F_MR/12)),H65)</f>
        <v>0</v>
      </c>
      <c r="J65" s="1" t="n">
        <f aca="false">IF(I65&gt;PR_BalDone,I65+I65*(F_MR/12)-MIN(F_MortPayM,I65+I65*(F_MR/12)),I65)</f>
        <v>0</v>
      </c>
      <c r="K65" s="1" t="n">
        <f aca="false">IF(J65&gt;PR_BalDone,J65+J65*(F_MR/12)-MIN(F_MortPayM,J65+J65*(F_MR/12)),J65)</f>
        <v>0</v>
      </c>
      <c r="L65" s="1" t="n">
        <f aca="false">IF(K65&gt;PR_BalDone,K65+K65*(F_MR/12)-MIN(F_MortPayM,K65+K65*(F_MR/12)),K65)</f>
        <v>0</v>
      </c>
      <c r="M65" s="1" t="n">
        <f aca="false">IF(L65&gt;PR_BalDone,L65+L65*(F_MR/12)-MIN(F_MortPayM,L65+L65*(F_MR/12)),L65)</f>
        <v>0</v>
      </c>
      <c r="N65" s="1" t="n">
        <f aca="false">IF(M65&gt;PR_BalDone,M65+M65*(F_MR/12)-MIN(F_MortPayM,M65+M65*(F_MR/12)),M65)</f>
        <v>0</v>
      </c>
      <c r="O65" s="1" t="n">
        <f aca="false">IF(N65&gt;PR_BalDone,N65+N65*(F_MR/12)-MIN(F_MortPayM,N65+N65*(F_MR/12)),N65)</f>
        <v>0</v>
      </c>
      <c r="P65" s="1" t="n">
        <f aca="false">IF(C65&gt;PR_BalDone,MIN(F_MortPayM,C65+C65*(F_MR/12)),0)</f>
        <v>0</v>
      </c>
      <c r="Q65" s="1" t="n">
        <f aca="false">IF(D65&gt;PR_BalDone,MIN(F_MortPayM,D65+D65*(F_MR/12)),0)</f>
        <v>0</v>
      </c>
      <c r="R65" s="1" t="n">
        <f aca="false">IF(E65&gt;PR_BalDone,MIN(F_MortPayM,E65+E65*(F_MR/12)),0)</f>
        <v>0</v>
      </c>
      <c r="S65" s="1" t="n">
        <f aca="false">IF(F65&gt;PR_BalDone,MIN(F_MortPayM,F65+F65*(F_MR/12)),0)</f>
        <v>0</v>
      </c>
      <c r="T65" s="1" t="n">
        <f aca="false">IF(G65&gt;PR_BalDone,MIN(F_MortPayM,G65+G65*(F_MR/12)),0)</f>
        <v>0</v>
      </c>
      <c r="U65" s="1" t="n">
        <f aca="false">IF(H65&gt;PR_BalDone,MIN(F_MortPayM,H65+H65*(F_MR/12)),0)</f>
        <v>0</v>
      </c>
      <c r="V65" s="1" t="n">
        <f aca="false">IF(I65&gt;PR_BalDone,MIN(F_MortPayM,I65+I65*(F_MR/12)),0)</f>
        <v>0</v>
      </c>
      <c r="W65" s="1" t="n">
        <f aca="false">IF(J65&gt;PR_BalDone,MIN(F_MortPayM,J65+J65*(F_MR/12)),0)</f>
        <v>0</v>
      </c>
      <c r="X65" s="1" t="n">
        <f aca="false">IF(K65&gt;PR_BalDone,MIN(F_MortPayM,K65+K65*(F_MR/12)),0)</f>
        <v>0</v>
      </c>
      <c r="Y65" s="1" t="n">
        <f aca="false">IF(L65&gt;PR_BalDone,MIN(F_MortPayM,L65+L65*(F_MR/12)),0)</f>
        <v>0</v>
      </c>
      <c r="Z65" s="1" t="n">
        <f aca="false">IF(M65&gt;PR_BalDone,MIN(F_MortPayM,M65+M65*(F_MR/12)),0)</f>
        <v>0</v>
      </c>
      <c r="AA65" s="1" t="n">
        <f aca="false">IF(N65&gt;PR_BalDone,MIN(F_MortPayM,N65+N65*(F_MR/12)),0)</f>
        <v>0</v>
      </c>
      <c r="AB65" s="1" t="n">
        <f aca="false">MAX(0,O65)</f>
        <v>0</v>
      </c>
      <c r="AC65" s="1" t="n">
        <f aca="false">SUM(P65:AA65)</f>
        <v>0</v>
      </c>
      <c r="AD65" s="1" t="n">
        <f aca="false">'Plan cashflow'!L65</f>
        <v>0</v>
      </c>
      <c r="AE65" s="1" t="n">
        <f aca="false">IF(AD65&gt;PR_BalDone,AD65+AD65*(D_iC)-MIN(F_CardPayM,AD65+AD65*(D_iC)),AD65)</f>
        <v>0</v>
      </c>
      <c r="AF65" s="1" t="n">
        <f aca="false">IF(AE65&gt;PR_BalDone,AE65+AE65*(D_iC)-MIN(F_CardPayM,AE65+AE65*(D_iC)),AE65)</f>
        <v>0</v>
      </c>
      <c r="AG65" s="1" t="n">
        <f aca="false">IF(AF65&gt;PR_BalDone,AF65+AF65*(D_iC)-MIN(F_CardPayM,AF65+AF65*(D_iC)),AF65)</f>
        <v>0</v>
      </c>
      <c r="AH65" s="1" t="n">
        <f aca="false">IF(AG65&gt;PR_BalDone,AG65+AG65*(D_iC)-MIN(F_CardPayM,AG65+AG65*(D_iC)),AG65)</f>
        <v>0</v>
      </c>
      <c r="AI65" s="1" t="n">
        <f aca="false">IF(AH65&gt;PR_BalDone,AH65+AH65*(D_iC)-MIN(F_CardPayM,AH65+AH65*(D_iC)),AH65)</f>
        <v>0</v>
      </c>
      <c r="AJ65" s="1" t="n">
        <f aca="false">IF(AI65&gt;PR_BalDone,AI65+AI65*(D_iC)-MIN(F_CardPayM,AI65+AI65*(D_iC)),AI65)</f>
        <v>0</v>
      </c>
      <c r="AK65" s="1" t="n">
        <f aca="false">IF(AJ65&gt;PR_BalDone,AJ65+AJ65*(D_iC)-MIN(F_CardPayM,AJ65+AJ65*(D_iC)),AJ65)</f>
        <v>0</v>
      </c>
      <c r="AL65" s="1" t="n">
        <f aca="false">IF(AK65&gt;PR_BalDone,AK65+AK65*(D_iC)-MIN(F_CardPayM,AK65+AK65*(D_iC)),AK65)</f>
        <v>0</v>
      </c>
      <c r="AM65" s="1" t="n">
        <f aca="false">IF(AL65&gt;PR_BalDone,AL65+AL65*(D_iC)-MIN(F_CardPayM,AL65+AL65*(D_iC)),AL65)</f>
        <v>0</v>
      </c>
      <c r="AN65" s="1" t="n">
        <f aca="false">IF(AM65&gt;PR_BalDone,AM65+AM65*(D_iC)-MIN(F_CardPayM,AM65+AM65*(D_iC)),AM65)</f>
        <v>0</v>
      </c>
      <c r="AO65" s="1" t="n">
        <f aca="false">IF(AN65&gt;PR_BalDone,AN65+AN65*(D_iC)-MIN(F_CardPayM,AN65+AN65*(D_iC)),AN65)</f>
        <v>0</v>
      </c>
      <c r="AP65" s="1" t="n">
        <f aca="false">IF(AO65&gt;PR_BalDone,AO65+AO65*(D_iC)-MIN(F_CardPayM,AO65+AO65*(D_iC)),AO65)</f>
        <v>0</v>
      </c>
      <c r="AQ65" s="1" t="n">
        <f aca="false">IF(AD65&gt;PR_BalDone,MIN(F_CardPayM,AD65+AD65*(D_iC)),0)</f>
        <v>0</v>
      </c>
      <c r="AR65" s="1" t="n">
        <f aca="false">IF(AE65&gt;PR_BalDone,MIN(F_CardPayM,AE65+AE65*(D_iC)),0)</f>
        <v>0</v>
      </c>
      <c r="AS65" s="1" t="n">
        <f aca="false">IF(AF65&gt;PR_BalDone,MIN(F_CardPayM,AF65+AF65*(D_iC)),0)</f>
        <v>0</v>
      </c>
      <c r="AT65" s="1" t="n">
        <f aca="false">IF(AG65&gt;PR_BalDone,MIN(F_CardPayM,AG65+AG65*(D_iC)),0)</f>
        <v>0</v>
      </c>
      <c r="AU65" s="1" t="n">
        <f aca="false">IF(AH65&gt;PR_BalDone,MIN(F_CardPayM,AH65+AH65*(D_iC)),0)</f>
        <v>0</v>
      </c>
      <c r="AV65" s="1" t="n">
        <f aca="false">IF(AI65&gt;PR_BalDone,MIN(F_CardPayM,AI65+AI65*(D_iC)),0)</f>
        <v>0</v>
      </c>
      <c r="AW65" s="1" t="n">
        <f aca="false">IF(AJ65&gt;PR_BalDone,MIN(F_CardPayM,AJ65+AJ65*(D_iC)),0)</f>
        <v>0</v>
      </c>
      <c r="AX65" s="1" t="n">
        <f aca="false">IF(AK65&gt;PR_BalDone,MIN(F_CardPayM,AK65+AK65*(D_iC)),0)</f>
        <v>0</v>
      </c>
      <c r="AY65" s="1" t="n">
        <f aca="false">IF(AL65&gt;PR_BalDone,MIN(F_CardPayM,AL65+AL65*(D_iC)),0)</f>
        <v>0</v>
      </c>
      <c r="AZ65" s="1" t="n">
        <f aca="false">IF(AM65&gt;PR_BalDone,MIN(F_CardPayM,AM65+AM65*(D_iC)),0)</f>
        <v>0</v>
      </c>
      <c r="BA65" s="1" t="n">
        <f aca="false">IF(AN65&gt;PR_BalDone,MIN(F_CardPayM,AN65+AN65*(D_iC)),0)</f>
        <v>0</v>
      </c>
      <c r="BB65" s="1" t="n">
        <f aca="false">IF(AO65&gt;PR_BalDone,MIN(F_CardPayM,AO65+AO65*(D_iC)),0)</f>
        <v>0</v>
      </c>
      <c r="BC65" s="1" t="n">
        <f aca="false">MAX(0,AP65)</f>
        <v>0</v>
      </c>
      <c r="BD65" s="1" t="n">
        <f aca="false">SUM(AQ65:BB65)</f>
        <v>0</v>
      </c>
      <c r="BE65" s="1" t="n">
        <f aca="false">'Plan cashflow'!O65</f>
        <v>0</v>
      </c>
      <c r="BF65" s="1" t="n">
        <f aca="false">IF(BE65&gt;PR_BalDone,BE65+BE65*(D_iL)-MIN(F_LoanPayM,BE65+BE65*(D_iL)),BE65)</f>
        <v>0</v>
      </c>
      <c r="BG65" s="1" t="n">
        <f aca="false">IF(BF65&gt;PR_BalDone,BF65+BF65*(D_iL)-MIN(F_LoanPayM,BF65+BF65*(D_iL)),BF65)</f>
        <v>0</v>
      </c>
      <c r="BH65" s="1" t="n">
        <f aca="false">IF(BG65&gt;PR_BalDone,BG65+BG65*(D_iL)-MIN(F_LoanPayM,BG65+BG65*(D_iL)),BG65)</f>
        <v>0</v>
      </c>
      <c r="BI65" s="1" t="n">
        <f aca="false">IF(BH65&gt;PR_BalDone,BH65+BH65*(D_iL)-MIN(F_LoanPayM,BH65+BH65*(D_iL)),BH65)</f>
        <v>0</v>
      </c>
      <c r="BJ65" s="1" t="n">
        <f aca="false">IF(BI65&gt;PR_BalDone,BI65+BI65*(D_iL)-MIN(F_LoanPayM,BI65+BI65*(D_iL)),BI65)</f>
        <v>0</v>
      </c>
      <c r="BK65" s="1" t="n">
        <f aca="false">IF(BJ65&gt;PR_BalDone,BJ65+BJ65*(D_iL)-MIN(F_LoanPayM,BJ65+BJ65*(D_iL)),BJ65)</f>
        <v>0</v>
      </c>
      <c r="BL65" s="1" t="n">
        <f aca="false">IF(BK65&gt;PR_BalDone,BK65+BK65*(D_iL)-MIN(F_LoanPayM,BK65+BK65*(D_iL)),BK65)</f>
        <v>0</v>
      </c>
      <c r="BM65" s="1" t="n">
        <f aca="false">IF(BL65&gt;PR_BalDone,BL65+BL65*(D_iL)-MIN(F_LoanPayM,BL65+BL65*(D_iL)),BL65)</f>
        <v>0</v>
      </c>
      <c r="BN65" s="1" t="n">
        <f aca="false">IF(BM65&gt;PR_BalDone,BM65+BM65*(D_iL)-MIN(F_LoanPayM,BM65+BM65*(D_iL)),BM65)</f>
        <v>0</v>
      </c>
      <c r="BO65" s="1" t="n">
        <f aca="false">IF(BN65&gt;PR_BalDone,BN65+BN65*(D_iL)-MIN(F_LoanPayM,BN65+BN65*(D_iL)),BN65)</f>
        <v>0</v>
      </c>
      <c r="BP65" s="1" t="n">
        <f aca="false">IF(BO65&gt;PR_BalDone,BO65+BO65*(D_iL)-MIN(F_LoanPayM,BO65+BO65*(D_iL)),BO65)</f>
        <v>0</v>
      </c>
      <c r="BQ65" s="1" t="n">
        <f aca="false">IF(BP65&gt;PR_BalDone,BP65+BP65*(D_iL)-MIN(F_LoanPayM,BP65+BP65*(D_iL)),BP65)</f>
        <v>0</v>
      </c>
      <c r="BR65" s="1" t="n">
        <f aca="false">IF(BE65&gt;PR_BalDone,MIN(F_LoanPayM,BE65+BE65*(D_iL)),0)</f>
        <v>0</v>
      </c>
      <c r="BS65" s="1" t="n">
        <f aca="false">IF(BF65&gt;PR_BalDone,MIN(F_LoanPayM,BF65+BF65*(D_iL)),0)</f>
        <v>0</v>
      </c>
      <c r="BT65" s="1" t="n">
        <f aca="false">IF(BG65&gt;PR_BalDone,MIN(F_LoanPayM,BG65+BG65*(D_iL)),0)</f>
        <v>0</v>
      </c>
      <c r="BU65" s="1" t="n">
        <f aca="false">IF(BH65&gt;PR_BalDone,MIN(F_LoanPayM,BH65+BH65*(D_iL)),0)</f>
        <v>0</v>
      </c>
      <c r="BV65" s="1" t="n">
        <f aca="false">IF(BI65&gt;PR_BalDone,MIN(F_LoanPayM,BI65+BI65*(D_iL)),0)</f>
        <v>0</v>
      </c>
      <c r="BW65" s="1" t="n">
        <f aca="false">IF(BJ65&gt;PR_BalDone,MIN(F_LoanPayM,BJ65+BJ65*(D_iL)),0)</f>
        <v>0</v>
      </c>
      <c r="BX65" s="1" t="n">
        <f aca="false">IF(BK65&gt;PR_BalDone,MIN(F_LoanPayM,BK65+BK65*(D_iL)),0)</f>
        <v>0</v>
      </c>
      <c r="BY65" s="1" t="n">
        <f aca="false">IF(BL65&gt;PR_BalDone,MIN(F_LoanPayM,BL65+BL65*(D_iL)),0)</f>
        <v>0</v>
      </c>
      <c r="BZ65" s="1" t="n">
        <f aca="false">IF(BM65&gt;PR_BalDone,MIN(F_LoanPayM,BM65+BM65*(D_iL)),0)</f>
        <v>0</v>
      </c>
      <c r="CA65" s="1" t="n">
        <f aca="false">IF(BN65&gt;PR_BalDone,MIN(F_LoanPayM,BN65+BN65*(D_iL)),0)</f>
        <v>0</v>
      </c>
      <c r="CB65" s="1" t="n">
        <f aca="false">IF(BO65&gt;PR_BalDone,MIN(F_LoanPayM,BO65+BO65*(D_iL)),0)</f>
        <v>0</v>
      </c>
      <c r="CC65" s="1" t="n">
        <f aca="false">IF(BP65&gt;PR_BalDone,MIN(F_LoanPayM,BP65+BP65*(D_iL)),0)</f>
        <v>0</v>
      </c>
      <c r="CD65" s="1" t="n">
        <f aca="false">MAX(0,BQ65)</f>
        <v>0</v>
      </c>
      <c r="CE65" s="1" t="n">
        <f aca="false">SUM(BR65:CC65)</f>
        <v>0</v>
      </c>
      <c r="CF65" s="1" t="n">
        <f aca="false">IF(CF64&gt;1,DE64,CF64)</f>
        <v>0</v>
      </c>
      <c r="CG65" s="1" t="n">
        <f aca="false">IF(CF65&gt;PR_BalDone,CF65+CF65*(F_MR/12)-MIN(F_MortPayM,CF65+CF65*(F_MR/12)),CF65)</f>
        <v>0</v>
      </c>
      <c r="CH65" s="1" t="n">
        <f aca="false">IF(CG65&gt;PR_BalDone,CG65+CG65*(F_MR/12)-MIN(F_MortPayM,CG65+CG65*(F_MR/12)),CG65)</f>
        <v>0</v>
      </c>
      <c r="CI65" s="1" t="n">
        <f aca="false">IF(CH65&gt;PR_BalDone,CH65+CH65*(F_MR/12)-MIN(F_MortPayM,CH65+CH65*(F_MR/12)),CH65)</f>
        <v>0</v>
      </c>
      <c r="CJ65" s="1" t="n">
        <f aca="false">IF(CI65&gt;PR_BalDone,CI65+CI65*(F_MR/12)-MIN(F_MortPayM,CI65+CI65*(F_MR/12)),CI65)</f>
        <v>0</v>
      </c>
      <c r="CK65" s="1" t="n">
        <f aca="false">IF(CJ65&gt;PR_BalDone,CJ65+CJ65*(F_MR/12)-MIN(F_MortPayM,CJ65+CJ65*(F_MR/12)),CJ65)</f>
        <v>0</v>
      </c>
      <c r="CL65" s="1" t="n">
        <f aca="false">IF(CK65&gt;PR_BalDone,CK65+CK65*(F_MR/12)-MIN(F_MortPayM,CK65+CK65*(F_MR/12)),CK65)</f>
        <v>0</v>
      </c>
      <c r="CM65" s="1" t="n">
        <f aca="false">IF(CL65&gt;PR_BalDone,CL65+CL65*(F_MR/12)-MIN(F_MortPayM,CL65+CL65*(F_MR/12)),CL65)</f>
        <v>0</v>
      </c>
      <c r="CN65" s="1" t="n">
        <f aca="false">IF(CM65&gt;PR_BalDone,CM65+CM65*(F_MR/12)-MIN(F_MortPayM,CM65+CM65*(F_MR/12)),CM65)</f>
        <v>0</v>
      </c>
      <c r="CO65" s="1" t="n">
        <f aca="false">IF(CN65&gt;PR_BalDone,CN65+CN65*(F_MR/12)-MIN(F_MortPayM,CN65+CN65*(F_MR/12)),CN65)</f>
        <v>0</v>
      </c>
      <c r="CP65" s="1" t="n">
        <f aca="false">IF(CO65&gt;PR_BalDone,CO65+CO65*(F_MR/12)-MIN(F_MortPayM,CO65+CO65*(F_MR/12)),CO65)</f>
        <v>0</v>
      </c>
      <c r="CQ65" s="1" t="n">
        <f aca="false">IF(CP65&gt;PR_BalDone,CP65+CP65*(F_MR/12)-MIN(F_MortPayM,CP65+CP65*(F_MR/12)),CP65)</f>
        <v>0</v>
      </c>
      <c r="CR65" s="1" t="n">
        <f aca="false">IF(CQ65&gt;PR_BalDone,CQ65+CQ65*(F_MR/12)-MIN(F_MortPayM,CQ65+CQ65*(F_MR/12)),CQ65)</f>
        <v>0</v>
      </c>
      <c r="CS65" s="1" t="n">
        <f aca="false">IF(CF65&gt;PR_BalDone,MIN(F_MortPayM,CF65+CF65*(F_MR/12)),0)</f>
        <v>0</v>
      </c>
      <c r="CT65" s="1" t="n">
        <f aca="false">IF(CG65&gt;PR_BalDone,MIN(F_MortPayM,CG65+CG65*(F_MR/12)),0)</f>
        <v>0</v>
      </c>
      <c r="CU65" s="1" t="n">
        <f aca="false">IF(CH65&gt;PR_BalDone,MIN(F_MortPayM,CH65+CH65*(F_MR/12)),0)</f>
        <v>0</v>
      </c>
      <c r="CV65" s="1" t="n">
        <f aca="false">IF(CI65&gt;PR_BalDone,MIN(F_MortPayM,CI65+CI65*(F_MR/12)),0)</f>
        <v>0</v>
      </c>
      <c r="CW65" s="1" t="n">
        <f aca="false">IF(CJ65&gt;PR_BalDone,MIN(F_MortPayM,CJ65+CJ65*(F_MR/12)),0)</f>
        <v>0</v>
      </c>
      <c r="CX65" s="1" t="n">
        <f aca="false">IF(CK65&gt;PR_BalDone,MIN(F_MortPayM,CK65+CK65*(F_MR/12)),0)</f>
        <v>0</v>
      </c>
      <c r="CY65" s="1" t="n">
        <f aca="false">IF(CL65&gt;PR_BalDone,MIN(F_MortPayM,CL65+CL65*(F_MR/12)),0)</f>
        <v>0</v>
      </c>
      <c r="CZ65" s="1" t="n">
        <f aca="false">IF(CM65&gt;PR_BalDone,MIN(F_MortPayM,CM65+CM65*(F_MR/12)),0)</f>
        <v>0</v>
      </c>
      <c r="DA65" s="1" t="n">
        <f aca="false">IF(CN65&gt;PR_BalDone,MIN(F_MortPayM,CN65+CN65*(F_MR/12)),0)</f>
        <v>0</v>
      </c>
      <c r="DB65" s="1" t="n">
        <f aca="false">IF(CO65&gt;PR_BalDone,MIN(F_MortPayM,CO65+CO65*(F_MR/12)),0)</f>
        <v>0</v>
      </c>
      <c r="DC65" s="1" t="n">
        <f aca="false">IF(CP65&gt;PR_BalDone,MIN(F_MortPayM,CP65+CP65*(F_MR/12)),0)</f>
        <v>0</v>
      </c>
      <c r="DD65" s="1" t="n">
        <f aca="false">IF(CQ65&gt;PR_BalDone,MIN(F_MortPayM,CQ65+CQ65*(F_MR/12)),0)</f>
        <v>0</v>
      </c>
      <c r="DE65" s="1" t="n">
        <f aca="false">MAX(0,CR65)</f>
        <v>0</v>
      </c>
      <c r="DF65" s="1" t="n">
        <f aca="false">SUM(CS65:DD65)</f>
        <v>0</v>
      </c>
      <c r="DG65" s="1" t="n">
        <f aca="false">MAX(0,CF65)</f>
        <v>0</v>
      </c>
    </row>
    <row r="66" customFormat="false" ht="15" hidden="false" customHeight="true" outlineLevel="0" collapsed="false">
      <c r="B66" s="1" t="n">
        <v>58</v>
      </c>
      <c r="C66" s="1" t="n">
        <f aca="false">'Plan cashflow'!I66</f>
        <v>0</v>
      </c>
      <c r="D66" s="1" t="n">
        <f aca="false">IF(C66&gt;PR_BalDone,C66+C66*(F_MR/12)-MIN(F_MortPayM,C66+C66*(F_MR/12)),C66)</f>
        <v>0</v>
      </c>
      <c r="E66" s="1" t="n">
        <f aca="false">IF(D66&gt;PR_BalDone,D66+D66*(F_MR/12)-MIN(F_MortPayM,D66+D66*(F_MR/12)),D66)</f>
        <v>0</v>
      </c>
      <c r="F66" s="1" t="n">
        <f aca="false">IF(E66&gt;PR_BalDone,E66+E66*(F_MR/12)-MIN(F_MortPayM,E66+E66*(F_MR/12)),E66)</f>
        <v>0</v>
      </c>
      <c r="G66" s="1" t="n">
        <f aca="false">IF(F66&gt;PR_BalDone,F66+F66*(F_MR/12)-MIN(F_MortPayM,F66+F66*(F_MR/12)),F66)</f>
        <v>0</v>
      </c>
      <c r="H66" s="1" t="n">
        <f aca="false">IF(G66&gt;PR_BalDone,G66+G66*(F_MR/12)-MIN(F_MortPayM,G66+G66*(F_MR/12)),G66)</f>
        <v>0</v>
      </c>
      <c r="I66" s="1" t="n">
        <f aca="false">IF(H66&gt;PR_BalDone,H66+H66*(F_MR/12)-MIN(F_MortPayM,H66+H66*(F_MR/12)),H66)</f>
        <v>0</v>
      </c>
      <c r="J66" s="1" t="n">
        <f aca="false">IF(I66&gt;PR_BalDone,I66+I66*(F_MR/12)-MIN(F_MortPayM,I66+I66*(F_MR/12)),I66)</f>
        <v>0</v>
      </c>
      <c r="K66" s="1" t="n">
        <f aca="false">IF(J66&gt;PR_BalDone,J66+J66*(F_MR/12)-MIN(F_MortPayM,J66+J66*(F_MR/12)),J66)</f>
        <v>0</v>
      </c>
      <c r="L66" s="1" t="n">
        <f aca="false">IF(K66&gt;PR_BalDone,K66+K66*(F_MR/12)-MIN(F_MortPayM,K66+K66*(F_MR/12)),K66)</f>
        <v>0</v>
      </c>
      <c r="M66" s="1" t="n">
        <f aca="false">IF(L66&gt;PR_BalDone,L66+L66*(F_MR/12)-MIN(F_MortPayM,L66+L66*(F_MR/12)),L66)</f>
        <v>0</v>
      </c>
      <c r="N66" s="1" t="n">
        <f aca="false">IF(M66&gt;PR_BalDone,M66+M66*(F_MR/12)-MIN(F_MortPayM,M66+M66*(F_MR/12)),M66)</f>
        <v>0</v>
      </c>
      <c r="O66" s="1" t="n">
        <f aca="false">IF(N66&gt;PR_BalDone,N66+N66*(F_MR/12)-MIN(F_MortPayM,N66+N66*(F_MR/12)),N66)</f>
        <v>0</v>
      </c>
      <c r="P66" s="1" t="n">
        <f aca="false">IF(C66&gt;PR_BalDone,MIN(F_MortPayM,C66+C66*(F_MR/12)),0)</f>
        <v>0</v>
      </c>
      <c r="Q66" s="1" t="n">
        <f aca="false">IF(D66&gt;PR_BalDone,MIN(F_MortPayM,D66+D66*(F_MR/12)),0)</f>
        <v>0</v>
      </c>
      <c r="R66" s="1" t="n">
        <f aca="false">IF(E66&gt;PR_BalDone,MIN(F_MortPayM,E66+E66*(F_MR/12)),0)</f>
        <v>0</v>
      </c>
      <c r="S66" s="1" t="n">
        <f aca="false">IF(F66&gt;PR_BalDone,MIN(F_MortPayM,F66+F66*(F_MR/12)),0)</f>
        <v>0</v>
      </c>
      <c r="T66" s="1" t="n">
        <f aca="false">IF(G66&gt;PR_BalDone,MIN(F_MortPayM,G66+G66*(F_MR/12)),0)</f>
        <v>0</v>
      </c>
      <c r="U66" s="1" t="n">
        <f aca="false">IF(H66&gt;PR_BalDone,MIN(F_MortPayM,H66+H66*(F_MR/12)),0)</f>
        <v>0</v>
      </c>
      <c r="V66" s="1" t="n">
        <f aca="false">IF(I66&gt;PR_BalDone,MIN(F_MortPayM,I66+I66*(F_MR/12)),0)</f>
        <v>0</v>
      </c>
      <c r="W66" s="1" t="n">
        <f aca="false">IF(J66&gt;PR_BalDone,MIN(F_MortPayM,J66+J66*(F_MR/12)),0)</f>
        <v>0</v>
      </c>
      <c r="X66" s="1" t="n">
        <f aca="false">IF(K66&gt;PR_BalDone,MIN(F_MortPayM,K66+K66*(F_MR/12)),0)</f>
        <v>0</v>
      </c>
      <c r="Y66" s="1" t="n">
        <f aca="false">IF(L66&gt;PR_BalDone,MIN(F_MortPayM,L66+L66*(F_MR/12)),0)</f>
        <v>0</v>
      </c>
      <c r="Z66" s="1" t="n">
        <f aca="false">IF(M66&gt;PR_BalDone,MIN(F_MortPayM,M66+M66*(F_MR/12)),0)</f>
        <v>0</v>
      </c>
      <c r="AA66" s="1" t="n">
        <f aca="false">IF(N66&gt;PR_BalDone,MIN(F_MortPayM,N66+N66*(F_MR/12)),0)</f>
        <v>0</v>
      </c>
      <c r="AB66" s="1" t="n">
        <f aca="false">MAX(0,O66)</f>
        <v>0</v>
      </c>
      <c r="AC66" s="1" t="n">
        <f aca="false">SUM(P66:AA66)</f>
        <v>0</v>
      </c>
      <c r="AD66" s="1" t="n">
        <f aca="false">'Plan cashflow'!L66</f>
        <v>0</v>
      </c>
      <c r="AE66" s="1" t="n">
        <f aca="false">IF(AD66&gt;PR_BalDone,AD66+AD66*(D_iC)-MIN(F_CardPayM,AD66+AD66*(D_iC)),AD66)</f>
        <v>0</v>
      </c>
      <c r="AF66" s="1" t="n">
        <f aca="false">IF(AE66&gt;PR_BalDone,AE66+AE66*(D_iC)-MIN(F_CardPayM,AE66+AE66*(D_iC)),AE66)</f>
        <v>0</v>
      </c>
      <c r="AG66" s="1" t="n">
        <f aca="false">IF(AF66&gt;PR_BalDone,AF66+AF66*(D_iC)-MIN(F_CardPayM,AF66+AF66*(D_iC)),AF66)</f>
        <v>0</v>
      </c>
      <c r="AH66" s="1" t="n">
        <f aca="false">IF(AG66&gt;PR_BalDone,AG66+AG66*(D_iC)-MIN(F_CardPayM,AG66+AG66*(D_iC)),AG66)</f>
        <v>0</v>
      </c>
      <c r="AI66" s="1" t="n">
        <f aca="false">IF(AH66&gt;PR_BalDone,AH66+AH66*(D_iC)-MIN(F_CardPayM,AH66+AH66*(D_iC)),AH66)</f>
        <v>0</v>
      </c>
      <c r="AJ66" s="1" t="n">
        <f aca="false">IF(AI66&gt;PR_BalDone,AI66+AI66*(D_iC)-MIN(F_CardPayM,AI66+AI66*(D_iC)),AI66)</f>
        <v>0</v>
      </c>
      <c r="AK66" s="1" t="n">
        <f aca="false">IF(AJ66&gt;PR_BalDone,AJ66+AJ66*(D_iC)-MIN(F_CardPayM,AJ66+AJ66*(D_iC)),AJ66)</f>
        <v>0</v>
      </c>
      <c r="AL66" s="1" t="n">
        <f aca="false">IF(AK66&gt;PR_BalDone,AK66+AK66*(D_iC)-MIN(F_CardPayM,AK66+AK66*(D_iC)),AK66)</f>
        <v>0</v>
      </c>
      <c r="AM66" s="1" t="n">
        <f aca="false">IF(AL66&gt;PR_BalDone,AL66+AL66*(D_iC)-MIN(F_CardPayM,AL66+AL66*(D_iC)),AL66)</f>
        <v>0</v>
      </c>
      <c r="AN66" s="1" t="n">
        <f aca="false">IF(AM66&gt;PR_BalDone,AM66+AM66*(D_iC)-MIN(F_CardPayM,AM66+AM66*(D_iC)),AM66)</f>
        <v>0</v>
      </c>
      <c r="AO66" s="1" t="n">
        <f aca="false">IF(AN66&gt;PR_BalDone,AN66+AN66*(D_iC)-MIN(F_CardPayM,AN66+AN66*(D_iC)),AN66)</f>
        <v>0</v>
      </c>
      <c r="AP66" s="1" t="n">
        <f aca="false">IF(AO66&gt;PR_BalDone,AO66+AO66*(D_iC)-MIN(F_CardPayM,AO66+AO66*(D_iC)),AO66)</f>
        <v>0</v>
      </c>
      <c r="AQ66" s="1" t="n">
        <f aca="false">IF(AD66&gt;PR_BalDone,MIN(F_CardPayM,AD66+AD66*(D_iC)),0)</f>
        <v>0</v>
      </c>
      <c r="AR66" s="1" t="n">
        <f aca="false">IF(AE66&gt;PR_BalDone,MIN(F_CardPayM,AE66+AE66*(D_iC)),0)</f>
        <v>0</v>
      </c>
      <c r="AS66" s="1" t="n">
        <f aca="false">IF(AF66&gt;PR_BalDone,MIN(F_CardPayM,AF66+AF66*(D_iC)),0)</f>
        <v>0</v>
      </c>
      <c r="AT66" s="1" t="n">
        <f aca="false">IF(AG66&gt;PR_BalDone,MIN(F_CardPayM,AG66+AG66*(D_iC)),0)</f>
        <v>0</v>
      </c>
      <c r="AU66" s="1" t="n">
        <f aca="false">IF(AH66&gt;PR_BalDone,MIN(F_CardPayM,AH66+AH66*(D_iC)),0)</f>
        <v>0</v>
      </c>
      <c r="AV66" s="1" t="n">
        <f aca="false">IF(AI66&gt;PR_BalDone,MIN(F_CardPayM,AI66+AI66*(D_iC)),0)</f>
        <v>0</v>
      </c>
      <c r="AW66" s="1" t="n">
        <f aca="false">IF(AJ66&gt;PR_BalDone,MIN(F_CardPayM,AJ66+AJ66*(D_iC)),0)</f>
        <v>0</v>
      </c>
      <c r="AX66" s="1" t="n">
        <f aca="false">IF(AK66&gt;PR_BalDone,MIN(F_CardPayM,AK66+AK66*(D_iC)),0)</f>
        <v>0</v>
      </c>
      <c r="AY66" s="1" t="n">
        <f aca="false">IF(AL66&gt;PR_BalDone,MIN(F_CardPayM,AL66+AL66*(D_iC)),0)</f>
        <v>0</v>
      </c>
      <c r="AZ66" s="1" t="n">
        <f aca="false">IF(AM66&gt;PR_BalDone,MIN(F_CardPayM,AM66+AM66*(D_iC)),0)</f>
        <v>0</v>
      </c>
      <c r="BA66" s="1" t="n">
        <f aca="false">IF(AN66&gt;PR_BalDone,MIN(F_CardPayM,AN66+AN66*(D_iC)),0)</f>
        <v>0</v>
      </c>
      <c r="BB66" s="1" t="n">
        <f aca="false">IF(AO66&gt;PR_BalDone,MIN(F_CardPayM,AO66+AO66*(D_iC)),0)</f>
        <v>0</v>
      </c>
      <c r="BC66" s="1" t="n">
        <f aca="false">MAX(0,AP66)</f>
        <v>0</v>
      </c>
      <c r="BD66" s="1" t="n">
        <f aca="false">SUM(AQ66:BB66)</f>
        <v>0</v>
      </c>
      <c r="BE66" s="1" t="n">
        <f aca="false">'Plan cashflow'!O66</f>
        <v>0</v>
      </c>
      <c r="BF66" s="1" t="n">
        <f aca="false">IF(BE66&gt;PR_BalDone,BE66+BE66*(D_iL)-MIN(F_LoanPayM,BE66+BE66*(D_iL)),BE66)</f>
        <v>0</v>
      </c>
      <c r="BG66" s="1" t="n">
        <f aca="false">IF(BF66&gt;PR_BalDone,BF66+BF66*(D_iL)-MIN(F_LoanPayM,BF66+BF66*(D_iL)),BF66)</f>
        <v>0</v>
      </c>
      <c r="BH66" s="1" t="n">
        <f aca="false">IF(BG66&gt;PR_BalDone,BG66+BG66*(D_iL)-MIN(F_LoanPayM,BG66+BG66*(D_iL)),BG66)</f>
        <v>0</v>
      </c>
      <c r="BI66" s="1" t="n">
        <f aca="false">IF(BH66&gt;PR_BalDone,BH66+BH66*(D_iL)-MIN(F_LoanPayM,BH66+BH66*(D_iL)),BH66)</f>
        <v>0</v>
      </c>
      <c r="BJ66" s="1" t="n">
        <f aca="false">IF(BI66&gt;PR_BalDone,BI66+BI66*(D_iL)-MIN(F_LoanPayM,BI66+BI66*(D_iL)),BI66)</f>
        <v>0</v>
      </c>
      <c r="BK66" s="1" t="n">
        <f aca="false">IF(BJ66&gt;PR_BalDone,BJ66+BJ66*(D_iL)-MIN(F_LoanPayM,BJ66+BJ66*(D_iL)),BJ66)</f>
        <v>0</v>
      </c>
      <c r="BL66" s="1" t="n">
        <f aca="false">IF(BK66&gt;PR_BalDone,BK66+BK66*(D_iL)-MIN(F_LoanPayM,BK66+BK66*(D_iL)),BK66)</f>
        <v>0</v>
      </c>
      <c r="BM66" s="1" t="n">
        <f aca="false">IF(BL66&gt;PR_BalDone,BL66+BL66*(D_iL)-MIN(F_LoanPayM,BL66+BL66*(D_iL)),BL66)</f>
        <v>0</v>
      </c>
      <c r="BN66" s="1" t="n">
        <f aca="false">IF(BM66&gt;PR_BalDone,BM66+BM66*(D_iL)-MIN(F_LoanPayM,BM66+BM66*(D_iL)),BM66)</f>
        <v>0</v>
      </c>
      <c r="BO66" s="1" t="n">
        <f aca="false">IF(BN66&gt;PR_BalDone,BN66+BN66*(D_iL)-MIN(F_LoanPayM,BN66+BN66*(D_iL)),BN66)</f>
        <v>0</v>
      </c>
      <c r="BP66" s="1" t="n">
        <f aca="false">IF(BO66&gt;PR_BalDone,BO66+BO66*(D_iL)-MIN(F_LoanPayM,BO66+BO66*(D_iL)),BO66)</f>
        <v>0</v>
      </c>
      <c r="BQ66" s="1" t="n">
        <f aca="false">IF(BP66&gt;PR_BalDone,BP66+BP66*(D_iL)-MIN(F_LoanPayM,BP66+BP66*(D_iL)),BP66)</f>
        <v>0</v>
      </c>
      <c r="BR66" s="1" t="n">
        <f aca="false">IF(BE66&gt;PR_BalDone,MIN(F_LoanPayM,BE66+BE66*(D_iL)),0)</f>
        <v>0</v>
      </c>
      <c r="BS66" s="1" t="n">
        <f aca="false">IF(BF66&gt;PR_BalDone,MIN(F_LoanPayM,BF66+BF66*(D_iL)),0)</f>
        <v>0</v>
      </c>
      <c r="BT66" s="1" t="n">
        <f aca="false">IF(BG66&gt;PR_BalDone,MIN(F_LoanPayM,BG66+BG66*(D_iL)),0)</f>
        <v>0</v>
      </c>
      <c r="BU66" s="1" t="n">
        <f aca="false">IF(BH66&gt;PR_BalDone,MIN(F_LoanPayM,BH66+BH66*(D_iL)),0)</f>
        <v>0</v>
      </c>
      <c r="BV66" s="1" t="n">
        <f aca="false">IF(BI66&gt;PR_BalDone,MIN(F_LoanPayM,BI66+BI66*(D_iL)),0)</f>
        <v>0</v>
      </c>
      <c r="BW66" s="1" t="n">
        <f aca="false">IF(BJ66&gt;PR_BalDone,MIN(F_LoanPayM,BJ66+BJ66*(D_iL)),0)</f>
        <v>0</v>
      </c>
      <c r="BX66" s="1" t="n">
        <f aca="false">IF(BK66&gt;PR_BalDone,MIN(F_LoanPayM,BK66+BK66*(D_iL)),0)</f>
        <v>0</v>
      </c>
      <c r="BY66" s="1" t="n">
        <f aca="false">IF(BL66&gt;PR_BalDone,MIN(F_LoanPayM,BL66+BL66*(D_iL)),0)</f>
        <v>0</v>
      </c>
      <c r="BZ66" s="1" t="n">
        <f aca="false">IF(BM66&gt;PR_BalDone,MIN(F_LoanPayM,BM66+BM66*(D_iL)),0)</f>
        <v>0</v>
      </c>
      <c r="CA66" s="1" t="n">
        <f aca="false">IF(BN66&gt;PR_BalDone,MIN(F_LoanPayM,BN66+BN66*(D_iL)),0)</f>
        <v>0</v>
      </c>
      <c r="CB66" s="1" t="n">
        <f aca="false">IF(BO66&gt;PR_BalDone,MIN(F_LoanPayM,BO66+BO66*(D_iL)),0)</f>
        <v>0</v>
      </c>
      <c r="CC66" s="1" t="n">
        <f aca="false">IF(BP66&gt;PR_BalDone,MIN(F_LoanPayM,BP66+BP66*(D_iL)),0)</f>
        <v>0</v>
      </c>
      <c r="CD66" s="1" t="n">
        <f aca="false">MAX(0,BQ66)</f>
        <v>0</v>
      </c>
      <c r="CE66" s="1" t="n">
        <f aca="false">SUM(BR66:CC66)</f>
        <v>0</v>
      </c>
      <c r="CF66" s="1" t="n">
        <f aca="false">IF(CF65&gt;1,DE65,CF65)</f>
        <v>0</v>
      </c>
      <c r="CG66" s="1" t="n">
        <f aca="false">IF(CF66&gt;PR_BalDone,CF66+CF66*(F_MR/12)-MIN(F_MortPayM,CF66+CF66*(F_MR/12)),CF66)</f>
        <v>0</v>
      </c>
      <c r="CH66" s="1" t="n">
        <f aca="false">IF(CG66&gt;PR_BalDone,CG66+CG66*(F_MR/12)-MIN(F_MortPayM,CG66+CG66*(F_MR/12)),CG66)</f>
        <v>0</v>
      </c>
      <c r="CI66" s="1" t="n">
        <f aca="false">IF(CH66&gt;PR_BalDone,CH66+CH66*(F_MR/12)-MIN(F_MortPayM,CH66+CH66*(F_MR/12)),CH66)</f>
        <v>0</v>
      </c>
      <c r="CJ66" s="1" t="n">
        <f aca="false">IF(CI66&gt;PR_BalDone,CI66+CI66*(F_MR/12)-MIN(F_MortPayM,CI66+CI66*(F_MR/12)),CI66)</f>
        <v>0</v>
      </c>
      <c r="CK66" s="1" t="n">
        <f aca="false">IF(CJ66&gt;PR_BalDone,CJ66+CJ66*(F_MR/12)-MIN(F_MortPayM,CJ66+CJ66*(F_MR/12)),CJ66)</f>
        <v>0</v>
      </c>
      <c r="CL66" s="1" t="n">
        <f aca="false">IF(CK66&gt;PR_BalDone,CK66+CK66*(F_MR/12)-MIN(F_MortPayM,CK66+CK66*(F_MR/12)),CK66)</f>
        <v>0</v>
      </c>
      <c r="CM66" s="1" t="n">
        <f aca="false">IF(CL66&gt;PR_BalDone,CL66+CL66*(F_MR/12)-MIN(F_MortPayM,CL66+CL66*(F_MR/12)),CL66)</f>
        <v>0</v>
      </c>
      <c r="CN66" s="1" t="n">
        <f aca="false">IF(CM66&gt;PR_BalDone,CM66+CM66*(F_MR/12)-MIN(F_MortPayM,CM66+CM66*(F_MR/12)),CM66)</f>
        <v>0</v>
      </c>
      <c r="CO66" s="1" t="n">
        <f aca="false">IF(CN66&gt;PR_BalDone,CN66+CN66*(F_MR/12)-MIN(F_MortPayM,CN66+CN66*(F_MR/12)),CN66)</f>
        <v>0</v>
      </c>
      <c r="CP66" s="1" t="n">
        <f aca="false">IF(CO66&gt;PR_BalDone,CO66+CO66*(F_MR/12)-MIN(F_MortPayM,CO66+CO66*(F_MR/12)),CO66)</f>
        <v>0</v>
      </c>
      <c r="CQ66" s="1" t="n">
        <f aca="false">IF(CP66&gt;PR_BalDone,CP66+CP66*(F_MR/12)-MIN(F_MortPayM,CP66+CP66*(F_MR/12)),CP66)</f>
        <v>0</v>
      </c>
      <c r="CR66" s="1" t="n">
        <f aca="false">IF(CQ66&gt;PR_BalDone,CQ66+CQ66*(F_MR/12)-MIN(F_MortPayM,CQ66+CQ66*(F_MR/12)),CQ66)</f>
        <v>0</v>
      </c>
      <c r="CS66" s="1" t="n">
        <f aca="false">IF(CF66&gt;PR_BalDone,MIN(F_MortPayM,CF66+CF66*(F_MR/12)),0)</f>
        <v>0</v>
      </c>
      <c r="CT66" s="1" t="n">
        <f aca="false">IF(CG66&gt;PR_BalDone,MIN(F_MortPayM,CG66+CG66*(F_MR/12)),0)</f>
        <v>0</v>
      </c>
      <c r="CU66" s="1" t="n">
        <f aca="false">IF(CH66&gt;PR_BalDone,MIN(F_MortPayM,CH66+CH66*(F_MR/12)),0)</f>
        <v>0</v>
      </c>
      <c r="CV66" s="1" t="n">
        <f aca="false">IF(CI66&gt;PR_BalDone,MIN(F_MortPayM,CI66+CI66*(F_MR/12)),0)</f>
        <v>0</v>
      </c>
      <c r="CW66" s="1" t="n">
        <f aca="false">IF(CJ66&gt;PR_BalDone,MIN(F_MortPayM,CJ66+CJ66*(F_MR/12)),0)</f>
        <v>0</v>
      </c>
      <c r="CX66" s="1" t="n">
        <f aca="false">IF(CK66&gt;PR_BalDone,MIN(F_MortPayM,CK66+CK66*(F_MR/12)),0)</f>
        <v>0</v>
      </c>
      <c r="CY66" s="1" t="n">
        <f aca="false">IF(CL66&gt;PR_BalDone,MIN(F_MortPayM,CL66+CL66*(F_MR/12)),0)</f>
        <v>0</v>
      </c>
      <c r="CZ66" s="1" t="n">
        <f aca="false">IF(CM66&gt;PR_BalDone,MIN(F_MortPayM,CM66+CM66*(F_MR/12)),0)</f>
        <v>0</v>
      </c>
      <c r="DA66" s="1" t="n">
        <f aca="false">IF(CN66&gt;PR_BalDone,MIN(F_MortPayM,CN66+CN66*(F_MR/12)),0)</f>
        <v>0</v>
      </c>
      <c r="DB66" s="1" t="n">
        <f aca="false">IF(CO66&gt;PR_BalDone,MIN(F_MortPayM,CO66+CO66*(F_MR/12)),0)</f>
        <v>0</v>
      </c>
      <c r="DC66" s="1" t="n">
        <f aca="false">IF(CP66&gt;PR_BalDone,MIN(F_MortPayM,CP66+CP66*(F_MR/12)),0)</f>
        <v>0</v>
      </c>
      <c r="DD66" s="1" t="n">
        <f aca="false">IF(CQ66&gt;PR_BalDone,MIN(F_MortPayM,CQ66+CQ66*(F_MR/12)),0)</f>
        <v>0</v>
      </c>
      <c r="DE66" s="1" t="n">
        <f aca="false">MAX(0,CR66)</f>
        <v>0</v>
      </c>
      <c r="DF66" s="1" t="n">
        <f aca="false">SUM(CS66:DD66)</f>
        <v>0</v>
      </c>
      <c r="DG66" s="1" t="n">
        <f aca="false">MAX(0,CF66)</f>
        <v>0</v>
      </c>
    </row>
    <row r="67" customFormat="false" ht="15" hidden="false" customHeight="true" outlineLevel="0" collapsed="false">
      <c r="B67" s="1" t="n">
        <v>59</v>
      </c>
      <c r="C67" s="1" t="n">
        <f aca="false">'Plan cashflow'!I67</f>
        <v>0</v>
      </c>
      <c r="D67" s="1" t="n">
        <f aca="false">IF(C67&gt;PR_BalDone,C67+C67*(F_MR/12)-MIN(F_MortPayM,C67+C67*(F_MR/12)),C67)</f>
        <v>0</v>
      </c>
      <c r="E67" s="1" t="n">
        <f aca="false">IF(D67&gt;PR_BalDone,D67+D67*(F_MR/12)-MIN(F_MortPayM,D67+D67*(F_MR/12)),D67)</f>
        <v>0</v>
      </c>
      <c r="F67" s="1" t="n">
        <f aca="false">IF(E67&gt;PR_BalDone,E67+E67*(F_MR/12)-MIN(F_MortPayM,E67+E67*(F_MR/12)),E67)</f>
        <v>0</v>
      </c>
      <c r="G67" s="1" t="n">
        <f aca="false">IF(F67&gt;PR_BalDone,F67+F67*(F_MR/12)-MIN(F_MortPayM,F67+F67*(F_MR/12)),F67)</f>
        <v>0</v>
      </c>
      <c r="H67" s="1" t="n">
        <f aca="false">IF(G67&gt;PR_BalDone,G67+G67*(F_MR/12)-MIN(F_MortPayM,G67+G67*(F_MR/12)),G67)</f>
        <v>0</v>
      </c>
      <c r="I67" s="1" t="n">
        <f aca="false">IF(H67&gt;PR_BalDone,H67+H67*(F_MR/12)-MIN(F_MortPayM,H67+H67*(F_MR/12)),H67)</f>
        <v>0</v>
      </c>
      <c r="J67" s="1" t="n">
        <f aca="false">IF(I67&gt;PR_BalDone,I67+I67*(F_MR/12)-MIN(F_MortPayM,I67+I67*(F_MR/12)),I67)</f>
        <v>0</v>
      </c>
      <c r="K67" s="1" t="n">
        <f aca="false">IF(J67&gt;PR_BalDone,J67+J67*(F_MR/12)-MIN(F_MortPayM,J67+J67*(F_MR/12)),J67)</f>
        <v>0</v>
      </c>
      <c r="L67" s="1" t="n">
        <f aca="false">IF(K67&gt;PR_BalDone,K67+K67*(F_MR/12)-MIN(F_MortPayM,K67+K67*(F_MR/12)),K67)</f>
        <v>0</v>
      </c>
      <c r="M67" s="1" t="n">
        <f aca="false">IF(L67&gt;PR_BalDone,L67+L67*(F_MR/12)-MIN(F_MortPayM,L67+L67*(F_MR/12)),L67)</f>
        <v>0</v>
      </c>
      <c r="N67" s="1" t="n">
        <f aca="false">IF(M67&gt;PR_BalDone,M67+M67*(F_MR/12)-MIN(F_MortPayM,M67+M67*(F_MR/12)),M67)</f>
        <v>0</v>
      </c>
      <c r="O67" s="1" t="n">
        <f aca="false">IF(N67&gt;PR_BalDone,N67+N67*(F_MR/12)-MIN(F_MortPayM,N67+N67*(F_MR/12)),N67)</f>
        <v>0</v>
      </c>
      <c r="P67" s="1" t="n">
        <f aca="false">IF(C67&gt;PR_BalDone,MIN(F_MortPayM,C67+C67*(F_MR/12)),0)</f>
        <v>0</v>
      </c>
      <c r="Q67" s="1" t="n">
        <f aca="false">IF(D67&gt;PR_BalDone,MIN(F_MortPayM,D67+D67*(F_MR/12)),0)</f>
        <v>0</v>
      </c>
      <c r="R67" s="1" t="n">
        <f aca="false">IF(E67&gt;PR_BalDone,MIN(F_MortPayM,E67+E67*(F_MR/12)),0)</f>
        <v>0</v>
      </c>
      <c r="S67" s="1" t="n">
        <f aca="false">IF(F67&gt;PR_BalDone,MIN(F_MortPayM,F67+F67*(F_MR/12)),0)</f>
        <v>0</v>
      </c>
      <c r="T67" s="1" t="n">
        <f aca="false">IF(G67&gt;PR_BalDone,MIN(F_MortPayM,G67+G67*(F_MR/12)),0)</f>
        <v>0</v>
      </c>
      <c r="U67" s="1" t="n">
        <f aca="false">IF(H67&gt;PR_BalDone,MIN(F_MortPayM,H67+H67*(F_MR/12)),0)</f>
        <v>0</v>
      </c>
      <c r="V67" s="1" t="n">
        <f aca="false">IF(I67&gt;PR_BalDone,MIN(F_MortPayM,I67+I67*(F_MR/12)),0)</f>
        <v>0</v>
      </c>
      <c r="W67" s="1" t="n">
        <f aca="false">IF(J67&gt;PR_BalDone,MIN(F_MortPayM,J67+J67*(F_MR/12)),0)</f>
        <v>0</v>
      </c>
      <c r="X67" s="1" t="n">
        <f aca="false">IF(K67&gt;PR_BalDone,MIN(F_MortPayM,K67+K67*(F_MR/12)),0)</f>
        <v>0</v>
      </c>
      <c r="Y67" s="1" t="n">
        <f aca="false">IF(L67&gt;PR_BalDone,MIN(F_MortPayM,L67+L67*(F_MR/12)),0)</f>
        <v>0</v>
      </c>
      <c r="Z67" s="1" t="n">
        <f aca="false">IF(M67&gt;PR_BalDone,MIN(F_MortPayM,M67+M67*(F_MR/12)),0)</f>
        <v>0</v>
      </c>
      <c r="AA67" s="1" t="n">
        <f aca="false">IF(N67&gt;PR_BalDone,MIN(F_MortPayM,N67+N67*(F_MR/12)),0)</f>
        <v>0</v>
      </c>
      <c r="AB67" s="1" t="n">
        <f aca="false">MAX(0,O67)</f>
        <v>0</v>
      </c>
      <c r="AC67" s="1" t="n">
        <f aca="false">SUM(P67:AA67)</f>
        <v>0</v>
      </c>
      <c r="AD67" s="1" t="n">
        <f aca="false">'Plan cashflow'!L67</f>
        <v>0</v>
      </c>
      <c r="AE67" s="1" t="n">
        <f aca="false">IF(AD67&gt;PR_BalDone,AD67+AD67*(D_iC)-MIN(F_CardPayM,AD67+AD67*(D_iC)),AD67)</f>
        <v>0</v>
      </c>
      <c r="AF67" s="1" t="n">
        <f aca="false">IF(AE67&gt;PR_BalDone,AE67+AE67*(D_iC)-MIN(F_CardPayM,AE67+AE67*(D_iC)),AE67)</f>
        <v>0</v>
      </c>
      <c r="AG67" s="1" t="n">
        <f aca="false">IF(AF67&gt;PR_BalDone,AF67+AF67*(D_iC)-MIN(F_CardPayM,AF67+AF67*(D_iC)),AF67)</f>
        <v>0</v>
      </c>
      <c r="AH67" s="1" t="n">
        <f aca="false">IF(AG67&gt;PR_BalDone,AG67+AG67*(D_iC)-MIN(F_CardPayM,AG67+AG67*(D_iC)),AG67)</f>
        <v>0</v>
      </c>
      <c r="AI67" s="1" t="n">
        <f aca="false">IF(AH67&gt;PR_BalDone,AH67+AH67*(D_iC)-MIN(F_CardPayM,AH67+AH67*(D_iC)),AH67)</f>
        <v>0</v>
      </c>
      <c r="AJ67" s="1" t="n">
        <f aca="false">IF(AI67&gt;PR_BalDone,AI67+AI67*(D_iC)-MIN(F_CardPayM,AI67+AI67*(D_iC)),AI67)</f>
        <v>0</v>
      </c>
      <c r="AK67" s="1" t="n">
        <f aca="false">IF(AJ67&gt;PR_BalDone,AJ67+AJ67*(D_iC)-MIN(F_CardPayM,AJ67+AJ67*(D_iC)),AJ67)</f>
        <v>0</v>
      </c>
      <c r="AL67" s="1" t="n">
        <f aca="false">IF(AK67&gt;PR_BalDone,AK67+AK67*(D_iC)-MIN(F_CardPayM,AK67+AK67*(D_iC)),AK67)</f>
        <v>0</v>
      </c>
      <c r="AM67" s="1" t="n">
        <f aca="false">IF(AL67&gt;PR_BalDone,AL67+AL67*(D_iC)-MIN(F_CardPayM,AL67+AL67*(D_iC)),AL67)</f>
        <v>0</v>
      </c>
      <c r="AN67" s="1" t="n">
        <f aca="false">IF(AM67&gt;PR_BalDone,AM67+AM67*(D_iC)-MIN(F_CardPayM,AM67+AM67*(D_iC)),AM67)</f>
        <v>0</v>
      </c>
      <c r="AO67" s="1" t="n">
        <f aca="false">IF(AN67&gt;PR_BalDone,AN67+AN67*(D_iC)-MIN(F_CardPayM,AN67+AN67*(D_iC)),AN67)</f>
        <v>0</v>
      </c>
      <c r="AP67" s="1" t="n">
        <f aca="false">IF(AO67&gt;PR_BalDone,AO67+AO67*(D_iC)-MIN(F_CardPayM,AO67+AO67*(D_iC)),AO67)</f>
        <v>0</v>
      </c>
      <c r="AQ67" s="1" t="n">
        <f aca="false">IF(AD67&gt;PR_BalDone,MIN(F_CardPayM,AD67+AD67*(D_iC)),0)</f>
        <v>0</v>
      </c>
      <c r="AR67" s="1" t="n">
        <f aca="false">IF(AE67&gt;PR_BalDone,MIN(F_CardPayM,AE67+AE67*(D_iC)),0)</f>
        <v>0</v>
      </c>
      <c r="AS67" s="1" t="n">
        <f aca="false">IF(AF67&gt;PR_BalDone,MIN(F_CardPayM,AF67+AF67*(D_iC)),0)</f>
        <v>0</v>
      </c>
      <c r="AT67" s="1" t="n">
        <f aca="false">IF(AG67&gt;PR_BalDone,MIN(F_CardPayM,AG67+AG67*(D_iC)),0)</f>
        <v>0</v>
      </c>
      <c r="AU67" s="1" t="n">
        <f aca="false">IF(AH67&gt;PR_BalDone,MIN(F_CardPayM,AH67+AH67*(D_iC)),0)</f>
        <v>0</v>
      </c>
      <c r="AV67" s="1" t="n">
        <f aca="false">IF(AI67&gt;PR_BalDone,MIN(F_CardPayM,AI67+AI67*(D_iC)),0)</f>
        <v>0</v>
      </c>
      <c r="AW67" s="1" t="n">
        <f aca="false">IF(AJ67&gt;PR_BalDone,MIN(F_CardPayM,AJ67+AJ67*(D_iC)),0)</f>
        <v>0</v>
      </c>
      <c r="AX67" s="1" t="n">
        <f aca="false">IF(AK67&gt;PR_BalDone,MIN(F_CardPayM,AK67+AK67*(D_iC)),0)</f>
        <v>0</v>
      </c>
      <c r="AY67" s="1" t="n">
        <f aca="false">IF(AL67&gt;PR_BalDone,MIN(F_CardPayM,AL67+AL67*(D_iC)),0)</f>
        <v>0</v>
      </c>
      <c r="AZ67" s="1" t="n">
        <f aca="false">IF(AM67&gt;PR_BalDone,MIN(F_CardPayM,AM67+AM67*(D_iC)),0)</f>
        <v>0</v>
      </c>
      <c r="BA67" s="1" t="n">
        <f aca="false">IF(AN67&gt;PR_BalDone,MIN(F_CardPayM,AN67+AN67*(D_iC)),0)</f>
        <v>0</v>
      </c>
      <c r="BB67" s="1" t="n">
        <f aca="false">IF(AO67&gt;PR_BalDone,MIN(F_CardPayM,AO67+AO67*(D_iC)),0)</f>
        <v>0</v>
      </c>
      <c r="BC67" s="1" t="n">
        <f aca="false">MAX(0,AP67)</f>
        <v>0</v>
      </c>
      <c r="BD67" s="1" t="n">
        <f aca="false">SUM(AQ67:BB67)</f>
        <v>0</v>
      </c>
      <c r="BE67" s="1" t="n">
        <f aca="false">'Plan cashflow'!O67</f>
        <v>0</v>
      </c>
      <c r="BF67" s="1" t="n">
        <f aca="false">IF(BE67&gt;PR_BalDone,BE67+BE67*(D_iL)-MIN(F_LoanPayM,BE67+BE67*(D_iL)),BE67)</f>
        <v>0</v>
      </c>
      <c r="BG67" s="1" t="n">
        <f aca="false">IF(BF67&gt;PR_BalDone,BF67+BF67*(D_iL)-MIN(F_LoanPayM,BF67+BF67*(D_iL)),BF67)</f>
        <v>0</v>
      </c>
      <c r="BH67" s="1" t="n">
        <f aca="false">IF(BG67&gt;PR_BalDone,BG67+BG67*(D_iL)-MIN(F_LoanPayM,BG67+BG67*(D_iL)),BG67)</f>
        <v>0</v>
      </c>
      <c r="BI67" s="1" t="n">
        <f aca="false">IF(BH67&gt;PR_BalDone,BH67+BH67*(D_iL)-MIN(F_LoanPayM,BH67+BH67*(D_iL)),BH67)</f>
        <v>0</v>
      </c>
      <c r="BJ67" s="1" t="n">
        <f aca="false">IF(BI67&gt;PR_BalDone,BI67+BI67*(D_iL)-MIN(F_LoanPayM,BI67+BI67*(D_iL)),BI67)</f>
        <v>0</v>
      </c>
      <c r="BK67" s="1" t="n">
        <f aca="false">IF(BJ67&gt;PR_BalDone,BJ67+BJ67*(D_iL)-MIN(F_LoanPayM,BJ67+BJ67*(D_iL)),BJ67)</f>
        <v>0</v>
      </c>
      <c r="BL67" s="1" t="n">
        <f aca="false">IF(BK67&gt;PR_BalDone,BK67+BK67*(D_iL)-MIN(F_LoanPayM,BK67+BK67*(D_iL)),BK67)</f>
        <v>0</v>
      </c>
      <c r="BM67" s="1" t="n">
        <f aca="false">IF(BL67&gt;PR_BalDone,BL67+BL67*(D_iL)-MIN(F_LoanPayM,BL67+BL67*(D_iL)),BL67)</f>
        <v>0</v>
      </c>
      <c r="BN67" s="1" t="n">
        <f aca="false">IF(BM67&gt;PR_BalDone,BM67+BM67*(D_iL)-MIN(F_LoanPayM,BM67+BM67*(D_iL)),BM67)</f>
        <v>0</v>
      </c>
      <c r="BO67" s="1" t="n">
        <f aca="false">IF(BN67&gt;PR_BalDone,BN67+BN67*(D_iL)-MIN(F_LoanPayM,BN67+BN67*(D_iL)),BN67)</f>
        <v>0</v>
      </c>
      <c r="BP67" s="1" t="n">
        <f aca="false">IF(BO67&gt;PR_BalDone,BO67+BO67*(D_iL)-MIN(F_LoanPayM,BO67+BO67*(D_iL)),BO67)</f>
        <v>0</v>
      </c>
      <c r="BQ67" s="1" t="n">
        <f aca="false">IF(BP67&gt;PR_BalDone,BP67+BP67*(D_iL)-MIN(F_LoanPayM,BP67+BP67*(D_iL)),BP67)</f>
        <v>0</v>
      </c>
      <c r="BR67" s="1" t="n">
        <f aca="false">IF(BE67&gt;PR_BalDone,MIN(F_LoanPayM,BE67+BE67*(D_iL)),0)</f>
        <v>0</v>
      </c>
      <c r="BS67" s="1" t="n">
        <f aca="false">IF(BF67&gt;PR_BalDone,MIN(F_LoanPayM,BF67+BF67*(D_iL)),0)</f>
        <v>0</v>
      </c>
      <c r="BT67" s="1" t="n">
        <f aca="false">IF(BG67&gt;PR_BalDone,MIN(F_LoanPayM,BG67+BG67*(D_iL)),0)</f>
        <v>0</v>
      </c>
      <c r="BU67" s="1" t="n">
        <f aca="false">IF(BH67&gt;PR_BalDone,MIN(F_LoanPayM,BH67+BH67*(D_iL)),0)</f>
        <v>0</v>
      </c>
      <c r="BV67" s="1" t="n">
        <f aca="false">IF(BI67&gt;PR_BalDone,MIN(F_LoanPayM,BI67+BI67*(D_iL)),0)</f>
        <v>0</v>
      </c>
      <c r="BW67" s="1" t="n">
        <f aca="false">IF(BJ67&gt;PR_BalDone,MIN(F_LoanPayM,BJ67+BJ67*(D_iL)),0)</f>
        <v>0</v>
      </c>
      <c r="BX67" s="1" t="n">
        <f aca="false">IF(BK67&gt;PR_BalDone,MIN(F_LoanPayM,BK67+BK67*(D_iL)),0)</f>
        <v>0</v>
      </c>
      <c r="BY67" s="1" t="n">
        <f aca="false">IF(BL67&gt;PR_BalDone,MIN(F_LoanPayM,BL67+BL67*(D_iL)),0)</f>
        <v>0</v>
      </c>
      <c r="BZ67" s="1" t="n">
        <f aca="false">IF(BM67&gt;PR_BalDone,MIN(F_LoanPayM,BM67+BM67*(D_iL)),0)</f>
        <v>0</v>
      </c>
      <c r="CA67" s="1" t="n">
        <f aca="false">IF(BN67&gt;PR_BalDone,MIN(F_LoanPayM,BN67+BN67*(D_iL)),0)</f>
        <v>0</v>
      </c>
      <c r="CB67" s="1" t="n">
        <f aca="false">IF(BO67&gt;PR_BalDone,MIN(F_LoanPayM,BO67+BO67*(D_iL)),0)</f>
        <v>0</v>
      </c>
      <c r="CC67" s="1" t="n">
        <f aca="false">IF(BP67&gt;PR_BalDone,MIN(F_LoanPayM,BP67+BP67*(D_iL)),0)</f>
        <v>0</v>
      </c>
      <c r="CD67" s="1" t="n">
        <f aca="false">MAX(0,BQ67)</f>
        <v>0</v>
      </c>
      <c r="CE67" s="1" t="n">
        <f aca="false">SUM(BR67:CC67)</f>
        <v>0</v>
      </c>
      <c r="CF67" s="1" t="n">
        <f aca="false">IF(CF66&gt;1,DE66,CF66)</f>
        <v>0</v>
      </c>
      <c r="CG67" s="1" t="n">
        <f aca="false">IF(CF67&gt;PR_BalDone,CF67+CF67*(F_MR/12)-MIN(F_MortPayM,CF67+CF67*(F_MR/12)),CF67)</f>
        <v>0</v>
      </c>
      <c r="CH67" s="1" t="n">
        <f aca="false">IF(CG67&gt;PR_BalDone,CG67+CG67*(F_MR/12)-MIN(F_MortPayM,CG67+CG67*(F_MR/12)),CG67)</f>
        <v>0</v>
      </c>
      <c r="CI67" s="1" t="n">
        <f aca="false">IF(CH67&gt;PR_BalDone,CH67+CH67*(F_MR/12)-MIN(F_MortPayM,CH67+CH67*(F_MR/12)),CH67)</f>
        <v>0</v>
      </c>
      <c r="CJ67" s="1" t="n">
        <f aca="false">IF(CI67&gt;PR_BalDone,CI67+CI67*(F_MR/12)-MIN(F_MortPayM,CI67+CI67*(F_MR/12)),CI67)</f>
        <v>0</v>
      </c>
      <c r="CK67" s="1" t="n">
        <f aca="false">IF(CJ67&gt;PR_BalDone,CJ67+CJ67*(F_MR/12)-MIN(F_MortPayM,CJ67+CJ67*(F_MR/12)),CJ67)</f>
        <v>0</v>
      </c>
      <c r="CL67" s="1" t="n">
        <f aca="false">IF(CK67&gt;PR_BalDone,CK67+CK67*(F_MR/12)-MIN(F_MortPayM,CK67+CK67*(F_MR/12)),CK67)</f>
        <v>0</v>
      </c>
      <c r="CM67" s="1" t="n">
        <f aca="false">IF(CL67&gt;PR_BalDone,CL67+CL67*(F_MR/12)-MIN(F_MortPayM,CL67+CL67*(F_MR/12)),CL67)</f>
        <v>0</v>
      </c>
      <c r="CN67" s="1" t="n">
        <f aca="false">IF(CM67&gt;PR_BalDone,CM67+CM67*(F_MR/12)-MIN(F_MortPayM,CM67+CM67*(F_MR/12)),CM67)</f>
        <v>0</v>
      </c>
      <c r="CO67" s="1" t="n">
        <f aca="false">IF(CN67&gt;PR_BalDone,CN67+CN67*(F_MR/12)-MIN(F_MortPayM,CN67+CN67*(F_MR/12)),CN67)</f>
        <v>0</v>
      </c>
      <c r="CP67" s="1" t="n">
        <f aca="false">IF(CO67&gt;PR_BalDone,CO67+CO67*(F_MR/12)-MIN(F_MortPayM,CO67+CO67*(F_MR/12)),CO67)</f>
        <v>0</v>
      </c>
      <c r="CQ67" s="1" t="n">
        <f aca="false">IF(CP67&gt;PR_BalDone,CP67+CP67*(F_MR/12)-MIN(F_MortPayM,CP67+CP67*(F_MR/12)),CP67)</f>
        <v>0</v>
      </c>
      <c r="CR67" s="1" t="n">
        <f aca="false">IF(CQ67&gt;PR_BalDone,CQ67+CQ67*(F_MR/12)-MIN(F_MortPayM,CQ67+CQ67*(F_MR/12)),CQ67)</f>
        <v>0</v>
      </c>
      <c r="CS67" s="1" t="n">
        <f aca="false">IF(CF67&gt;PR_BalDone,MIN(F_MortPayM,CF67+CF67*(F_MR/12)),0)</f>
        <v>0</v>
      </c>
      <c r="CT67" s="1" t="n">
        <f aca="false">IF(CG67&gt;PR_BalDone,MIN(F_MortPayM,CG67+CG67*(F_MR/12)),0)</f>
        <v>0</v>
      </c>
      <c r="CU67" s="1" t="n">
        <f aca="false">IF(CH67&gt;PR_BalDone,MIN(F_MortPayM,CH67+CH67*(F_MR/12)),0)</f>
        <v>0</v>
      </c>
      <c r="CV67" s="1" t="n">
        <f aca="false">IF(CI67&gt;PR_BalDone,MIN(F_MortPayM,CI67+CI67*(F_MR/12)),0)</f>
        <v>0</v>
      </c>
      <c r="CW67" s="1" t="n">
        <f aca="false">IF(CJ67&gt;PR_BalDone,MIN(F_MortPayM,CJ67+CJ67*(F_MR/12)),0)</f>
        <v>0</v>
      </c>
      <c r="CX67" s="1" t="n">
        <f aca="false">IF(CK67&gt;PR_BalDone,MIN(F_MortPayM,CK67+CK67*(F_MR/12)),0)</f>
        <v>0</v>
      </c>
      <c r="CY67" s="1" t="n">
        <f aca="false">IF(CL67&gt;PR_BalDone,MIN(F_MortPayM,CL67+CL67*(F_MR/12)),0)</f>
        <v>0</v>
      </c>
      <c r="CZ67" s="1" t="n">
        <f aca="false">IF(CM67&gt;PR_BalDone,MIN(F_MortPayM,CM67+CM67*(F_MR/12)),0)</f>
        <v>0</v>
      </c>
      <c r="DA67" s="1" t="n">
        <f aca="false">IF(CN67&gt;PR_BalDone,MIN(F_MortPayM,CN67+CN67*(F_MR/12)),0)</f>
        <v>0</v>
      </c>
      <c r="DB67" s="1" t="n">
        <f aca="false">IF(CO67&gt;PR_BalDone,MIN(F_MortPayM,CO67+CO67*(F_MR/12)),0)</f>
        <v>0</v>
      </c>
      <c r="DC67" s="1" t="n">
        <f aca="false">IF(CP67&gt;PR_BalDone,MIN(F_MortPayM,CP67+CP67*(F_MR/12)),0)</f>
        <v>0</v>
      </c>
      <c r="DD67" s="1" t="n">
        <f aca="false">IF(CQ67&gt;PR_BalDone,MIN(F_MortPayM,CQ67+CQ67*(F_MR/12)),0)</f>
        <v>0</v>
      </c>
      <c r="DE67" s="1" t="n">
        <f aca="false">MAX(0,CR67)</f>
        <v>0</v>
      </c>
      <c r="DF67" s="1" t="n">
        <f aca="false">SUM(CS67:DD67)</f>
        <v>0</v>
      </c>
      <c r="DG67" s="1" t="n">
        <f aca="false">MAX(0,CF67)</f>
        <v>0</v>
      </c>
    </row>
    <row r="68" customFormat="false" ht="15" hidden="false" customHeight="true" outlineLevel="0" collapsed="false">
      <c r="B68" s="1" t="n">
        <v>60</v>
      </c>
      <c r="C68" s="1" t="n">
        <f aca="false">'Plan cashflow'!I68</f>
        <v>0</v>
      </c>
      <c r="D68" s="1" t="n">
        <f aca="false">IF(C68&gt;PR_BalDone,C68+C68*(F_MR/12)-MIN(F_MortPayM,C68+C68*(F_MR/12)),C68)</f>
        <v>0</v>
      </c>
      <c r="E68" s="1" t="n">
        <f aca="false">IF(D68&gt;PR_BalDone,D68+D68*(F_MR/12)-MIN(F_MortPayM,D68+D68*(F_MR/12)),D68)</f>
        <v>0</v>
      </c>
      <c r="F68" s="1" t="n">
        <f aca="false">IF(E68&gt;PR_BalDone,E68+E68*(F_MR/12)-MIN(F_MortPayM,E68+E68*(F_MR/12)),E68)</f>
        <v>0</v>
      </c>
      <c r="G68" s="1" t="n">
        <f aca="false">IF(F68&gt;PR_BalDone,F68+F68*(F_MR/12)-MIN(F_MortPayM,F68+F68*(F_MR/12)),F68)</f>
        <v>0</v>
      </c>
      <c r="H68" s="1" t="n">
        <f aca="false">IF(G68&gt;PR_BalDone,G68+G68*(F_MR/12)-MIN(F_MortPayM,G68+G68*(F_MR/12)),G68)</f>
        <v>0</v>
      </c>
      <c r="I68" s="1" t="n">
        <f aca="false">IF(H68&gt;PR_BalDone,H68+H68*(F_MR/12)-MIN(F_MortPayM,H68+H68*(F_MR/12)),H68)</f>
        <v>0</v>
      </c>
      <c r="J68" s="1" t="n">
        <f aca="false">IF(I68&gt;PR_BalDone,I68+I68*(F_MR/12)-MIN(F_MortPayM,I68+I68*(F_MR/12)),I68)</f>
        <v>0</v>
      </c>
      <c r="K68" s="1" t="n">
        <f aca="false">IF(J68&gt;PR_BalDone,J68+J68*(F_MR/12)-MIN(F_MortPayM,J68+J68*(F_MR/12)),J68)</f>
        <v>0</v>
      </c>
      <c r="L68" s="1" t="n">
        <f aca="false">IF(K68&gt;PR_BalDone,K68+K68*(F_MR/12)-MIN(F_MortPayM,K68+K68*(F_MR/12)),K68)</f>
        <v>0</v>
      </c>
      <c r="M68" s="1" t="n">
        <f aca="false">IF(L68&gt;PR_BalDone,L68+L68*(F_MR/12)-MIN(F_MortPayM,L68+L68*(F_MR/12)),L68)</f>
        <v>0</v>
      </c>
      <c r="N68" s="1" t="n">
        <f aca="false">IF(M68&gt;PR_BalDone,M68+M68*(F_MR/12)-MIN(F_MortPayM,M68+M68*(F_MR/12)),M68)</f>
        <v>0</v>
      </c>
      <c r="O68" s="1" t="n">
        <f aca="false">IF(N68&gt;PR_BalDone,N68+N68*(F_MR/12)-MIN(F_MortPayM,N68+N68*(F_MR/12)),N68)</f>
        <v>0</v>
      </c>
      <c r="P68" s="1" t="n">
        <f aca="false">IF(C68&gt;PR_BalDone,MIN(F_MortPayM,C68+C68*(F_MR/12)),0)</f>
        <v>0</v>
      </c>
      <c r="Q68" s="1" t="n">
        <f aca="false">IF(D68&gt;PR_BalDone,MIN(F_MortPayM,D68+D68*(F_MR/12)),0)</f>
        <v>0</v>
      </c>
      <c r="R68" s="1" t="n">
        <f aca="false">IF(E68&gt;PR_BalDone,MIN(F_MortPayM,E68+E68*(F_MR/12)),0)</f>
        <v>0</v>
      </c>
      <c r="S68" s="1" t="n">
        <f aca="false">IF(F68&gt;PR_BalDone,MIN(F_MortPayM,F68+F68*(F_MR/12)),0)</f>
        <v>0</v>
      </c>
      <c r="T68" s="1" t="n">
        <f aca="false">IF(G68&gt;PR_BalDone,MIN(F_MortPayM,G68+G68*(F_MR/12)),0)</f>
        <v>0</v>
      </c>
      <c r="U68" s="1" t="n">
        <f aca="false">IF(H68&gt;PR_BalDone,MIN(F_MortPayM,H68+H68*(F_MR/12)),0)</f>
        <v>0</v>
      </c>
      <c r="V68" s="1" t="n">
        <f aca="false">IF(I68&gt;PR_BalDone,MIN(F_MortPayM,I68+I68*(F_MR/12)),0)</f>
        <v>0</v>
      </c>
      <c r="W68" s="1" t="n">
        <f aca="false">IF(J68&gt;PR_BalDone,MIN(F_MortPayM,J68+J68*(F_MR/12)),0)</f>
        <v>0</v>
      </c>
      <c r="X68" s="1" t="n">
        <f aca="false">IF(K68&gt;PR_BalDone,MIN(F_MortPayM,K68+K68*(F_MR/12)),0)</f>
        <v>0</v>
      </c>
      <c r="Y68" s="1" t="n">
        <f aca="false">IF(L68&gt;PR_BalDone,MIN(F_MortPayM,L68+L68*(F_MR/12)),0)</f>
        <v>0</v>
      </c>
      <c r="Z68" s="1" t="n">
        <f aca="false">IF(M68&gt;PR_BalDone,MIN(F_MortPayM,M68+M68*(F_MR/12)),0)</f>
        <v>0</v>
      </c>
      <c r="AA68" s="1" t="n">
        <f aca="false">IF(N68&gt;PR_BalDone,MIN(F_MortPayM,N68+N68*(F_MR/12)),0)</f>
        <v>0</v>
      </c>
      <c r="AB68" s="1" t="n">
        <f aca="false">MAX(0,O68)</f>
        <v>0</v>
      </c>
      <c r="AC68" s="1" t="n">
        <f aca="false">SUM(P68:AA68)</f>
        <v>0</v>
      </c>
      <c r="AD68" s="1" t="n">
        <f aca="false">'Plan cashflow'!L68</f>
        <v>0</v>
      </c>
      <c r="AE68" s="1" t="n">
        <f aca="false">IF(AD68&gt;PR_BalDone,AD68+AD68*(D_iC)-MIN(F_CardPayM,AD68+AD68*(D_iC)),AD68)</f>
        <v>0</v>
      </c>
      <c r="AF68" s="1" t="n">
        <f aca="false">IF(AE68&gt;PR_BalDone,AE68+AE68*(D_iC)-MIN(F_CardPayM,AE68+AE68*(D_iC)),AE68)</f>
        <v>0</v>
      </c>
      <c r="AG68" s="1" t="n">
        <f aca="false">IF(AF68&gt;PR_BalDone,AF68+AF68*(D_iC)-MIN(F_CardPayM,AF68+AF68*(D_iC)),AF68)</f>
        <v>0</v>
      </c>
      <c r="AH68" s="1" t="n">
        <f aca="false">IF(AG68&gt;PR_BalDone,AG68+AG68*(D_iC)-MIN(F_CardPayM,AG68+AG68*(D_iC)),AG68)</f>
        <v>0</v>
      </c>
      <c r="AI68" s="1" t="n">
        <f aca="false">IF(AH68&gt;PR_BalDone,AH68+AH68*(D_iC)-MIN(F_CardPayM,AH68+AH68*(D_iC)),AH68)</f>
        <v>0</v>
      </c>
      <c r="AJ68" s="1" t="n">
        <f aca="false">IF(AI68&gt;PR_BalDone,AI68+AI68*(D_iC)-MIN(F_CardPayM,AI68+AI68*(D_iC)),AI68)</f>
        <v>0</v>
      </c>
      <c r="AK68" s="1" t="n">
        <f aca="false">IF(AJ68&gt;PR_BalDone,AJ68+AJ68*(D_iC)-MIN(F_CardPayM,AJ68+AJ68*(D_iC)),AJ68)</f>
        <v>0</v>
      </c>
      <c r="AL68" s="1" t="n">
        <f aca="false">IF(AK68&gt;PR_BalDone,AK68+AK68*(D_iC)-MIN(F_CardPayM,AK68+AK68*(D_iC)),AK68)</f>
        <v>0</v>
      </c>
      <c r="AM68" s="1" t="n">
        <f aca="false">IF(AL68&gt;PR_BalDone,AL68+AL68*(D_iC)-MIN(F_CardPayM,AL68+AL68*(D_iC)),AL68)</f>
        <v>0</v>
      </c>
      <c r="AN68" s="1" t="n">
        <f aca="false">IF(AM68&gt;PR_BalDone,AM68+AM68*(D_iC)-MIN(F_CardPayM,AM68+AM68*(D_iC)),AM68)</f>
        <v>0</v>
      </c>
      <c r="AO68" s="1" t="n">
        <f aca="false">IF(AN68&gt;PR_BalDone,AN68+AN68*(D_iC)-MIN(F_CardPayM,AN68+AN68*(D_iC)),AN68)</f>
        <v>0</v>
      </c>
      <c r="AP68" s="1" t="n">
        <f aca="false">IF(AO68&gt;PR_BalDone,AO68+AO68*(D_iC)-MIN(F_CardPayM,AO68+AO68*(D_iC)),AO68)</f>
        <v>0</v>
      </c>
      <c r="AQ68" s="1" t="n">
        <f aca="false">IF(AD68&gt;PR_BalDone,MIN(F_CardPayM,AD68+AD68*(D_iC)),0)</f>
        <v>0</v>
      </c>
      <c r="AR68" s="1" t="n">
        <f aca="false">IF(AE68&gt;PR_BalDone,MIN(F_CardPayM,AE68+AE68*(D_iC)),0)</f>
        <v>0</v>
      </c>
      <c r="AS68" s="1" t="n">
        <f aca="false">IF(AF68&gt;PR_BalDone,MIN(F_CardPayM,AF68+AF68*(D_iC)),0)</f>
        <v>0</v>
      </c>
      <c r="AT68" s="1" t="n">
        <f aca="false">IF(AG68&gt;PR_BalDone,MIN(F_CardPayM,AG68+AG68*(D_iC)),0)</f>
        <v>0</v>
      </c>
      <c r="AU68" s="1" t="n">
        <f aca="false">IF(AH68&gt;PR_BalDone,MIN(F_CardPayM,AH68+AH68*(D_iC)),0)</f>
        <v>0</v>
      </c>
      <c r="AV68" s="1" t="n">
        <f aca="false">IF(AI68&gt;PR_BalDone,MIN(F_CardPayM,AI68+AI68*(D_iC)),0)</f>
        <v>0</v>
      </c>
      <c r="AW68" s="1" t="n">
        <f aca="false">IF(AJ68&gt;PR_BalDone,MIN(F_CardPayM,AJ68+AJ68*(D_iC)),0)</f>
        <v>0</v>
      </c>
      <c r="AX68" s="1" t="n">
        <f aca="false">IF(AK68&gt;PR_BalDone,MIN(F_CardPayM,AK68+AK68*(D_iC)),0)</f>
        <v>0</v>
      </c>
      <c r="AY68" s="1" t="n">
        <f aca="false">IF(AL68&gt;PR_BalDone,MIN(F_CardPayM,AL68+AL68*(D_iC)),0)</f>
        <v>0</v>
      </c>
      <c r="AZ68" s="1" t="n">
        <f aca="false">IF(AM68&gt;PR_BalDone,MIN(F_CardPayM,AM68+AM68*(D_iC)),0)</f>
        <v>0</v>
      </c>
      <c r="BA68" s="1" t="n">
        <f aca="false">IF(AN68&gt;PR_BalDone,MIN(F_CardPayM,AN68+AN68*(D_iC)),0)</f>
        <v>0</v>
      </c>
      <c r="BB68" s="1" t="n">
        <f aca="false">IF(AO68&gt;PR_BalDone,MIN(F_CardPayM,AO68+AO68*(D_iC)),0)</f>
        <v>0</v>
      </c>
      <c r="BC68" s="1" t="n">
        <f aca="false">MAX(0,AP68)</f>
        <v>0</v>
      </c>
      <c r="BD68" s="1" t="n">
        <f aca="false">SUM(AQ68:BB68)</f>
        <v>0</v>
      </c>
      <c r="BE68" s="1" t="n">
        <f aca="false">'Plan cashflow'!O68</f>
        <v>0</v>
      </c>
      <c r="BF68" s="1" t="n">
        <f aca="false">IF(BE68&gt;PR_BalDone,BE68+BE68*(D_iL)-MIN(F_LoanPayM,BE68+BE68*(D_iL)),BE68)</f>
        <v>0</v>
      </c>
      <c r="BG68" s="1" t="n">
        <f aca="false">IF(BF68&gt;PR_BalDone,BF68+BF68*(D_iL)-MIN(F_LoanPayM,BF68+BF68*(D_iL)),BF68)</f>
        <v>0</v>
      </c>
      <c r="BH68" s="1" t="n">
        <f aca="false">IF(BG68&gt;PR_BalDone,BG68+BG68*(D_iL)-MIN(F_LoanPayM,BG68+BG68*(D_iL)),BG68)</f>
        <v>0</v>
      </c>
      <c r="BI68" s="1" t="n">
        <f aca="false">IF(BH68&gt;PR_BalDone,BH68+BH68*(D_iL)-MIN(F_LoanPayM,BH68+BH68*(D_iL)),BH68)</f>
        <v>0</v>
      </c>
      <c r="BJ68" s="1" t="n">
        <f aca="false">IF(BI68&gt;PR_BalDone,BI68+BI68*(D_iL)-MIN(F_LoanPayM,BI68+BI68*(D_iL)),BI68)</f>
        <v>0</v>
      </c>
      <c r="BK68" s="1" t="n">
        <f aca="false">IF(BJ68&gt;PR_BalDone,BJ68+BJ68*(D_iL)-MIN(F_LoanPayM,BJ68+BJ68*(D_iL)),BJ68)</f>
        <v>0</v>
      </c>
      <c r="BL68" s="1" t="n">
        <f aca="false">IF(BK68&gt;PR_BalDone,BK68+BK68*(D_iL)-MIN(F_LoanPayM,BK68+BK68*(D_iL)),BK68)</f>
        <v>0</v>
      </c>
      <c r="BM68" s="1" t="n">
        <f aca="false">IF(BL68&gt;PR_BalDone,BL68+BL68*(D_iL)-MIN(F_LoanPayM,BL68+BL68*(D_iL)),BL68)</f>
        <v>0</v>
      </c>
      <c r="BN68" s="1" t="n">
        <f aca="false">IF(BM68&gt;PR_BalDone,BM68+BM68*(D_iL)-MIN(F_LoanPayM,BM68+BM68*(D_iL)),BM68)</f>
        <v>0</v>
      </c>
      <c r="BO68" s="1" t="n">
        <f aca="false">IF(BN68&gt;PR_BalDone,BN68+BN68*(D_iL)-MIN(F_LoanPayM,BN68+BN68*(D_iL)),BN68)</f>
        <v>0</v>
      </c>
      <c r="BP68" s="1" t="n">
        <f aca="false">IF(BO68&gt;PR_BalDone,BO68+BO68*(D_iL)-MIN(F_LoanPayM,BO68+BO68*(D_iL)),BO68)</f>
        <v>0</v>
      </c>
      <c r="BQ68" s="1" t="n">
        <f aca="false">IF(BP68&gt;PR_BalDone,BP68+BP68*(D_iL)-MIN(F_LoanPayM,BP68+BP68*(D_iL)),BP68)</f>
        <v>0</v>
      </c>
      <c r="BR68" s="1" t="n">
        <f aca="false">IF(BE68&gt;PR_BalDone,MIN(F_LoanPayM,BE68+BE68*(D_iL)),0)</f>
        <v>0</v>
      </c>
      <c r="BS68" s="1" t="n">
        <f aca="false">IF(BF68&gt;PR_BalDone,MIN(F_LoanPayM,BF68+BF68*(D_iL)),0)</f>
        <v>0</v>
      </c>
      <c r="BT68" s="1" t="n">
        <f aca="false">IF(BG68&gt;PR_BalDone,MIN(F_LoanPayM,BG68+BG68*(D_iL)),0)</f>
        <v>0</v>
      </c>
      <c r="BU68" s="1" t="n">
        <f aca="false">IF(BH68&gt;PR_BalDone,MIN(F_LoanPayM,BH68+BH68*(D_iL)),0)</f>
        <v>0</v>
      </c>
      <c r="BV68" s="1" t="n">
        <f aca="false">IF(BI68&gt;PR_BalDone,MIN(F_LoanPayM,BI68+BI68*(D_iL)),0)</f>
        <v>0</v>
      </c>
      <c r="BW68" s="1" t="n">
        <f aca="false">IF(BJ68&gt;PR_BalDone,MIN(F_LoanPayM,BJ68+BJ68*(D_iL)),0)</f>
        <v>0</v>
      </c>
      <c r="BX68" s="1" t="n">
        <f aca="false">IF(BK68&gt;PR_BalDone,MIN(F_LoanPayM,BK68+BK68*(D_iL)),0)</f>
        <v>0</v>
      </c>
      <c r="BY68" s="1" t="n">
        <f aca="false">IF(BL68&gt;PR_BalDone,MIN(F_LoanPayM,BL68+BL68*(D_iL)),0)</f>
        <v>0</v>
      </c>
      <c r="BZ68" s="1" t="n">
        <f aca="false">IF(BM68&gt;PR_BalDone,MIN(F_LoanPayM,BM68+BM68*(D_iL)),0)</f>
        <v>0</v>
      </c>
      <c r="CA68" s="1" t="n">
        <f aca="false">IF(BN68&gt;PR_BalDone,MIN(F_LoanPayM,BN68+BN68*(D_iL)),0)</f>
        <v>0</v>
      </c>
      <c r="CB68" s="1" t="n">
        <f aca="false">IF(BO68&gt;PR_BalDone,MIN(F_LoanPayM,BO68+BO68*(D_iL)),0)</f>
        <v>0</v>
      </c>
      <c r="CC68" s="1" t="n">
        <f aca="false">IF(BP68&gt;PR_BalDone,MIN(F_LoanPayM,BP68+BP68*(D_iL)),0)</f>
        <v>0</v>
      </c>
      <c r="CD68" s="1" t="n">
        <f aca="false">MAX(0,BQ68)</f>
        <v>0</v>
      </c>
      <c r="CE68" s="1" t="n">
        <f aca="false">SUM(BR68:CC68)</f>
        <v>0</v>
      </c>
      <c r="CF68" s="1" t="n">
        <f aca="false">IF(CF67&gt;1,DE67,CF67)</f>
        <v>0</v>
      </c>
      <c r="CG68" s="1" t="n">
        <f aca="false">IF(CF68&gt;PR_BalDone,CF68+CF68*(F_MR/12)-MIN(F_MortPayM,CF68+CF68*(F_MR/12)),CF68)</f>
        <v>0</v>
      </c>
      <c r="CH68" s="1" t="n">
        <f aca="false">IF(CG68&gt;PR_BalDone,CG68+CG68*(F_MR/12)-MIN(F_MortPayM,CG68+CG68*(F_MR/12)),CG68)</f>
        <v>0</v>
      </c>
      <c r="CI68" s="1" t="n">
        <f aca="false">IF(CH68&gt;PR_BalDone,CH68+CH68*(F_MR/12)-MIN(F_MortPayM,CH68+CH68*(F_MR/12)),CH68)</f>
        <v>0</v>
      </c>
      <c r="CJ68" s="1" t="n">
        <f aca="false">IF(CI68&gt;PR_BalDone,CI68+CI68*(F_MR/12)-MIN(F_MortPayM,CI68+CI68*(F_MR/12)),CI68)</f>
        <v>0</v>
      </c>
      <c r="CK68" s="1" t="n">
        <f aca="false">IF(CJ68&gt;PR_BalDone,CJ68+CJ68*(F_MR/12)-MIN(F_MortPayM,CJ68+CJ68*(F_MR/12)),CJ68)</f>
        <v>0</v>
      </c>
      <c r="CL68" s="1" t="n">
        <f aca="false">IF(CK68&gt;PR_BalDone,CK68+CK68*(F_MR/12)-MIN(F_MortPayM,CK68+CK68*(F_MR/12)),CK68)</f>
        <v>0</v>
      </c>
      <c r="CM68" s="1" t="n">
        <f aca="false">IF(CL68&gt;PR_BalDone,CL68+CL68*(F_MR/12)-MIN(F_MortPayM,CL68+CL68*(F_MR/12)),CL68)</f>
        <v>0</v>
      </c>
      <c r="CN68" s="1" t="n">
        <f aca="false">IF(CM68&gt;PR_BalDone,CM68+CM68*(F_MR/12)-MIN(F_MortPayM,CM68+CM68*(F_MR/12)),CM68)</f>
        <v>0</v>
      </c>
      <c r="CO68" s="1" t="n">
        <f aca="false">IF(CN68&gt;PR_BalDone,CN68+CN68*(F_MR/12)-MIN(F_MortPayM,CN68+CN68*(F_MR/12)),CN68)</f>
        <v>0</v>
      </c>
      <c r="CP68" s="1" t="n">
        <f aca="false">IF(CO68&gt;PR_BalDone,CO68+CO68*(F_MR/12)-MIN(F_MortPayM,CO68+CO68*(F_MR/12)),CO68)</f>
        <v>0</v>
      </c>
      <c r="CQ68" s="1" t="n">
        <f aca="false">IF(CP68&gt;PR_BalDone,CP68+CP68*(F_MR/12)-MIN(F_MortPayM,CP68+CP68*(F_MR/12)),CP68)</f>
        <v>0</v>
      </c>
      <c r="CR68" s="1" t="n">
        <f aca="false">IF(CQ68&gt;PR_BalDone,CQ68+CQ68*(F_MR/12)-MIN(F_MortPayM,CQ68+CQ68*(F_MR/12)),CQ68)</f>
        <v>0</v>
      </c>
      <c r="CS68" s="1" t="n">
        <f aca="false">IF(CF68&gt;PR_BalDone,MIN(F_MortPayM,CF68+CF68*(F_MR/12)),0)</f>
        <v>0</v>
      </c>
      <c r="CT68" s="1" t="n">
        <f aca="false">IF(CG68&gt;PR_BalDone,MIN(F_MortPayM,CG68+CG68*(F_MR/12)),0)</f>
        <v>0</v>
      </c>
      <c r="CU68" s="1" t="n">
        <f aca="false">IF(CH68&gt;PR_BalDone,MIN(F_MortPayM,CH68+CH68*(F_MR/12)),0)</f>
        <v>0</v>
      </c>
      <c r="CV68" s="1" t="n">
        <f aca="false">IF(CI68&gt;PR_BalDone,MIN(F_MortPayM,CI68+CI68*(F_MR/12)),0)</f>
        <v>0</v>
      </c>
      <c r="CW68" s="1" t="n">
        <f aca="false">IF(CJ68&gt;PR_BalDone,MIN(F_MortPayM,CJ68+CJ68*(F_MR/12)),0)</f>
        <v>0</v>
      </c>
      <c r="CX68" s="1" t="n">
        <f aca="false">IF(CK68&gt;PR_BalDone,MIN(F_MortPayM,CK68+CK68*(F_MR/12)),0)</f>
        <v>0</v>
      </c>
      <c r="CY68" s="1" t="n">
        <f aca="false">IF(CL68&gt;PR_BalDone,MIN(F_MortPayM,CL68+CL68*(F_MR/12)),0)</f>
        <v>0</v>
      </c>
      <c r="CZ68" s="1" t="n">
        <f aca="false">IF(CM68&gt;PR_BalDone,MIN(F_MortPayM,CM68+CM68*(F_MR/12)),0)</f>
        <v>0</v>
      </c>
      <c r="DA68" s="1" t="n">
        <f aca="false">IF(CN68&gt;PR_BalDone,MIN(F_MortPayM,CN68+CN68*(F_MR/12)),0)</f>
        <v>0</v>
      </c>
      <c r="DB68" s="1" t="n">
        <f aca="false">IF(CO68&gt;PR_BalDone,MIN(F_MortPayM,CO68+CO68*(F_MR/12)),0)</f>
        <v>0</v>
      </c>
      <c r="DC68" s="1" t="n">
        <f aca="false">IF(CP68&gt;PR_BalDone,MIN(F_MortPayM,CP68+CP68*(F_MR/12)),0)</f>
        <v>0</v>
      </c>
      <c r="DD68" s="1" t="n">
        <f aca="false">IF(CQ68&gt;PR_BalDone,MIN(F_MortPayM,CQ68+CQ68*(F_MR/12)),0)</f>
        <v>0</v>
      </c>
      <c r="DE68" s="1" t="n">
        <f aca="false">MAX(0,CR68)</f>
        <v>0</v>
      </c>
      <c r="DF68" s="1" t="n">
        <f aca="false">SUM(CS68:DD68)</f>
        <v>0</v>
      </c>
      <c r="DG68" s="1" t="n">
        <f aca="false">MAX(0,CF68)</f>
        <v>0</v>
      </c>
    </row>
    <row r="69" customFormat="false" ht="15" hidden="false" customHeight="true" outlineLevel="0" collapsed="false">
      <c r="B69" s="1" t="n">
        <v>61</v>
      </c>
      <c r="C69" s="1" t="n">
        <f aca="false">'Plan cashflow'!I69</f>
        <v>0</v>
      </c>
      <c r="D69" s="1" t="n">
        <f aca="false">IF(C69&gt;PR_BalDone,C69+C69*(F_MR/12)-MIN(F_MortPayM,C69+C69*(F_MR/12)),C69)</f>
        <v>0</v>
      </c>
      <c r="E69" s="1" t="n">
        <f aca="false">IF(D69&gt;PR_BalDone,D69+D69*(F_MR/12)-MIN(F_MortPayM,D69+D69*(F_MR/12)),D69)</f>
        <v>0</v>
      </c>
      <c r="F69" s="1" t="n">
        <f aca="false">IF(E69&gt;PR_BalDone,E69+E69*(F_MR/12)-MIN(F_MortPayM,E69+E69*(F_MR/12)),E69)</f>
        <v>0</v>
      </c>
      <c r="G69" s="1" t="n">
        <f aca="false">IF(F69&gt;PR_BalDone,F69+F69*(F_MR/12)-MIN(F_MortPayM,F69+F69*(F_MR/12)),F69)</f>
        <v>0</v>
      </c>
      <c r="H69" s="1" t="n">
        <f aca="false">IF(G69&gt;PR_BalDone,G69+G69*(F_MR/12)-MIN(F_MortPayM,G69+G69*(F_MR/12)),G69)</f>
        <v>0</v>
      </c>
      <c r="I69" s="1" t="n">
        <f aca="false">IF(H69&gt;PR_BalDone,H69+H69*(F_MR/12)-MIN(F_MortPayM,H69+H69*(F_MR/12)),H69)</f>
        <v>0</v>
      </c>
      <c r="J69" s="1" t="n">
        <f aca="false">IF(I69&gt;PR_BalDone,I69+I69*(F_MR/12)-MIN(F_MortPayM,I69+I69*(F_MR/12)),I69)</f>
        <v>0</v>
      </c>
      <c r="K69" s="1" t="n">
        <f aca="false">IF(J69&gt;PR_BalDone,J69+J69*(F_MR/12)-MIN(F_MortPayM,J69+J69*(F_MR/12)),J69)</f>
        <v>0</v>
      </c>
      <c r="L69" s="1" t="n">
        <f aca="false">IF(K69&gt;PR_BalDone,K69+K69*(F_MR/12)-MIN(F_MortPayM,K69+K69*(F_MR/12)),K69)</f>
        <v>0</v>
      </c>
      <c r="M69" s="1" t="n">
        <f aca="false">IF(L69&gt;PR_BalDone,L69+L69*(F_MR/12)-MIN(F_MortPayM,L69+L69*(F_MR/12)),L69)</f>
        <v>0</v>
      </c>
      <c r="N69" s="1" t="n">
        <f aca="false">IF(M69&gt;PR_BalDone,M69+M69*(F_MR/12)-MIN(F_MortPayM,M69+M69*(F_MR/12)),M69)</f>
        <v>0</v>
      </c>
      <c r="O69" s="1" t="n">
        <f aca="false">IF(N69&gt;PR_BalDone,N69+N69*(F_MR/12)-MIN(F_MortPayM,N69+N69*(F_MR/12)),N69)</f>
        <v>0</v>
      </c>
      <c r="P69" s="1" t="n">
        <f aca="false">IF(C69&gt;PR_BalDone,MIN(F_MortPayM,C69+C69*(F_MR/12)),0)</f>
        <v>0</v>
      </c>
      <c r="Q69" s="1" t="n">
        <f aca="false">IF(D69&gt;PR_BalDone,MIN(F_MortPayM,D69+D69*(F_MR/12)),0)</f>
        <v>0</v>
      </c>
      <c r="R69" s="1" t="n">
        <f aca="false">IF(E69&gt;PR_BalDone,MIN(F_MortPayM,E69+E69*(F_MR/12)),0)</f>
        <v>0</v>
      </c>
      <c r="S69" s="1" t="n">
        <f aca="false">IF(F69&gt;PR_BalDone,MIN(F_MortPayM,F69+F69*(F_MR/12)),0)</f>
        <v>0</v>
      </c>
      <c r="T69" s="1" t="n">
        <f aca="false">IF(G69&gt;PR_BalDone,MIN(F_MortPayM,G69+G69*(F_MR/12)),0)</f>
        <v>0</v>
      </c>
      <c r="U69" s="1" t="n">
        <f aca="false">IF(H69&gt;PR_BalDone,MIN(F_MortPayM,H69+H69*(F_MR/12)),0)</f>
        <v>0</v>
      </c>
      <c r="V69" s="1" t="n">
        <f aca="false">IF(I69&gt;PR_BalDone,MIN(F_MortPayM,I69+I69*(F_MR/12)),0)</f>
        <v>0</v>
      </c>
      <c r="W69" s="1" t="n">
        <f aca="false">IF(J69&gt;PR_BalDone,MIN(F_MortPayM,J69+J69*(F_MR/12)),0)</f>
        <v>0</v>
      </c>
      <c r="X69" s="1" t="n">
        <f aca="false">IF(K69&gt;PR_BalDone,MIN(F_MortPayM,K69+K69*(F_MR/12)),0)</f>
        <v>0</v>
      </c>
      <c r="Y69" s="1" t="n">
        <f aca="false">IF(L69&gt;PR_BalDone,MIN(F_MortPayM,L69+L69*(F_MR/12)),0)</f>
        <v>0</v>
      </c>
      <c r="Z69" s="1" t="n">
        <f aca="false">IF(M69&gt;PR_BalDone,MIN(F_MortPayM,M69+M69*(F_MR/12)),0)</f>
        <v>0</v>
      </c>
      <c r="AA69" s="1" t="n">
        <f aca="false">IF(N69&gt;PR_BalDone,MIN(F_MortPayM,N69+N69*(F_MR/12)),0)</f>
        <v>0</v>
      </c>
      <c r="AB69" s="1" t="n">
        <f aca="false">MAX(0,O69)</f>
        <v>0</v>
      </c>
      <c r="AC69" s="1" t="n">
        <f aca="false">SUM(P69:AA69)</f>
        <v>0</v>
      </c>
      <c r="AD69" s="1" t="n">
        <f aca="false">'Plan cashflow'!L69</f>
        <v>0</v>
      </c>
      <c r="AE69" s="1" t="n">
        <f aca="false">IF(AD69&gt;PR_BalDone,AD69+AD69*(D_iC)-MIN(F_CardPayM,AD69+AD69*(D_iC)),AD69)</f>
        <v>0</v>
      </c>
      <c r="AF69" s="1" t="n">
        <f aca="false">IF(AE69&gt;PR_BalDone,AE69+AE69*(D_iC)-MIN(F_CardPayM,AE69+AE69*(D_iC)),AE69)</f>
        <v>0</v>
      </c>
      <c r="AG69" s="1" t="n">
        <f aca="false">IF(AF69&gt;PR_BalDone,AF69+AF69*(D_iC)-MIN(F_CardPayM,AF69+AF69*(D_iC)),AF69)</f>
        <v>0</v>
      </c>
      <c r="AH69" s="1" t="n">
        <f aca="false">IF(AG69&gt;PR_BalDone,AG69+AG69*(D_iC)-MIN(F_CardPayM,AG69+AG69*(D_iC)),AG69)</f>
        <v>0</v>
      </c>
      <c r="AI69" s="1" t="n">
        <f aca="false">IF(AH69&gt;PR_BalDone,AH69+AH69*(D_iC)-MIN(F_CardPayM,AH69+AH69*(D_iC)),AH69)</f>
        <v>0</v>
      </c>
      <c r="AJ69" s="1" t="n">
        <f aca="false">IF(AI69&gt;PR_BalDone,AI69+AI69*(D_iC)-MIN(F_CardPayM,AI69+AI69*(D_iC)),AI69)</f>
        <v>0</v>
      </c>
      <c r="AK69" s="1" t="n">
        <f aca="false">IF(AJ69&gt;PR_BalDone,AJ69+AJ69*(D_iC)-MIN(F_CardPayM,AJ69+AJ69*(D_iC)),AJ69)</f>
        <v>0</v>
      </c>
      <c r="AL69" s="1" t="n">
        <f aca="false">IF(AK69&gt;PR_BalDone,AK69+AK69*(D_iC)-MIN(F_CardPayM,AK69+AK69*(D_iC)),AK69)</f>
        <v>0</v>
      </c>
      <c r="AM69" s="1" t="n">
        <f aca="false">IF(AL69&gt;PR_BalDone,AL69+AL69*(D_iC)-MIN(F_CardPayM,AL69+AL69*(D_iC)),AL69)</f>
        <v>0</v>
      </c>
      <c r="AN69" s="1" t="n">
        <f aca="false">IF(AM69&gt;PR_BalDone,AM69+AM69*(D_iC)-MIN(F_CardPayM,AM69+AM69*(D_iC)),AM69)</f>
        <v>0</v>
      </c>
      <c r="AO69" s="1" t="n">
        <f aca="false">IF(AN69&gt;PR_BalDone,AN69+AN69*(D_iC)-MIN(F_CardPayM,AN69+AN69*(D_iC)),AN69)</f>
        <v>0</v>
      </c>
      <c r="AP69" s="1" t="n">
        <f aca="false">IF(AO69&gt;PR_BalDone,AO69+AO69*(D_iC)-MIN(F_CardPayM,AO69+AO69*(D_iC)),AO69)</f>
        <v>0</v>
      </c>
      <c r="AQ69" s="1" t="n">
        <f aca="false">IF(AD69&gt;PR_BalDone,MIN(F_CardPayM,AD69+AD69*(D_iC)),0)</f>
        <v>0</v>
      </c>
      <c r="AR69" s="1" t="n">
        <f aca="false">IF(AE69&gt;PR_BalDone,MIN(F_CardPayM,AE69+AE69*(D_iC)),0)</f>
        <v>0</v>
      </c>
      <c r="AS69" s="1" t="n">
        <f aca="false">IF(AF69&gt;PR_BalDone,MIN(F_CardPayM,AF69+AF69*(D_iC)),0)</f>
        <v>0</v>
      </c>
      <c r="AT69" s="1" t="n">
        <f aca="false">IF(AG69&gt;PR_BalDone,MIN(F_CardPayM,AG69+AG69*(D_iC)),0)</f>
        <v>0</v>
      </c>
      <c r="AU69" s="1" t="n">
        <f aca="false">IF(AH69&gt;PR_BalDone,MIN(F_CardPayM,AH69+AH69*(D_iC)),0)</f>
        <v>0</v>
      </c>
      <c r="AV69" s="1" t="n">
        <f aca="false">IF(AI69&gt;PR_BalDone,MIN(F_CardPayM,AI69+AI69*(D_iC)),0)</f>
        <v>0</v>
      </c>
      <c r="AW69" s="1" t="n">
        <f aca="false">IF(AJ69&gt;PR_BalDone,MIN(F_CardPayM,AJ69+AJ69*(D_iC)),0)</f>
        <v>0</v>
      </c>
      <c r="AX69" s="1" t="n">
        <f aca="false">IF(AK69&gt;PR_BalDone,MIN(F_CardPayM,AK69+AK69*(D_iC)),0)</f>
        <v>0</v>
      </c>
      <c r="AY69" s="1" t="n">
        <f aca="false">IF(AL69&gt;PR_BalDone,MIN(F_CardPayM,AL69+AL69*(D_iC)),0)</f>
        <v>0</v>
      </c>
      <c r="AZ69" s="1" t="n">
        <f aca="false">IF(AM69&gt;PR_BalDone,MIN(F_CardPayM,AM69+AM69*(D_iC)),0)</f>
        <v>0</v>
      </c>
      <c r="BA69" s="1" t="n">
        <f aca="false">IF(AN69&gt;PR_BalDone,MIN(F_CardPayM,AN69+AN69*(D_iC)),0)</f>
        <v>0</v>
      </c>
      <c r="BB69" s="1" t="n">
        <f aca="false">IF(AO69&gt;PR_BalDone,MIN(F_CardPayM,AO69+AO69*(D_iC)),0)</f>
        <v>0</v>
      </c>
      <c r="BC69" s="1" t="n">
        <f aca="false">MAX(0,AP69)</f>
        <v>0</v>
      </c>
      <c r="BD69" s="1" t="n">
        <f aca="false">SUM(AQ69:BB69)</f>
        <v>0</v>
      </c>
      <c r="BE69" s="1" t="n">
        <f aca="false">'Plan cashflow'!O69</f>
        <v>0</v>
      </c>
      <c r="BF69" s="1" t="n">
        <f aca="false">IF(BE69&gt;PR_BalDone,BE69+BE69*(D_iL)-MIN(F_LoanPayM,BE69+BE69*(D_iL)),BE69)</f>
        <v>0</v>
      </c>
      <c r="BG69" s="1" t="n">
        <f aca="false">IF(BF69&gt;PR_BalDone,BF69+BF69*(D_iL)-MIN(F_LoanPayM,BF69+BF69*(D_iL)),BF69)</f>
        <v>0</v>
      </c>
      <c r="BH69" s="1" t="n">
        <f aca="false">IF(BG69&gt;PR_BalDone,BG69+BG69*(D_iL)-MIN(F_LoanPayM,BG69+BG69*(D_iL)),BG69)</f>
        <v>0</v>
      </c>
      <c r="BI69" s="1" t="n">
        <f aca="false">IF(BH69&gt;PR_BalDone,BH69+BH69*(D_iL)-MIN(F_LoanPayM,BH69+BH69*(D_iL)),BH69)</f>
        <v>0</v>
      </c>
      <c r="BJ69" s="1" t="n">
        <f aca="false">IF(BI69&gt;PR_BalDone,BI69+BI69*(D_iL)-MIN(F_LoanPayM,BI69+BI69*(D_iL)),BI69)</f>
        <v>0</v>
      </c>
      <c r="BK69" s="1" t="n">
        <f aca="false">IF(BJ69&gt;PR_BalDone,BJ69+BJ69*(D_iL)-MIN(F_LoanPayM,BJ69+BJ69*(D_iL)),BJ69)</f>
        <v>0</v>
      </c>
      <c r="BL69" s="1" t="n">
        <f aca="false">IF(BK69&gt;PR_BalDone,BK69+BK69*(D_iL)-MIN(F_LoanPayM,BK69+BK69*(D_iL)),BK69)</f>
        <v>0</v>
      </c>
      <c r="BM69" s="1" t="n">
        <f aca="false">IF(BL69&gt;PR_BalDone,BL69+BL69*(D_iL)-MIN(F_LoanPayM,BL69+BL69*(D_iL)),BL69)</f>
        <v>0</v>
      </c>
      <c r="BN69" s="1" t="n">
        <f aca="false">IF(BM69&gt;PR_BalDone,BM69+BM69*(D_iL)-MIN(F_LoanPayM,BM69+BM69*(D_iL)),BM69)</f>
        <v>0</v>
      </c>
      <c r="BO69" s="1" t="n">
        <f aca="false">IF(BN69&gt;PR_BalDone,BN69+BN69*(D_iL)-MIN(F_LoanPayM,BN69+BN69*(D_iL)),BN69)</f>
        <v>0</v>
      </c>
      <c r="BP69" s="1" t="n">
        <f aca="false">IF(BO69&gt;PR_BalDone,BO69+BO69*(D_iL)-MIN(F_LoanPayM,BO69+BO69*(D_iL)),BO69)</f>
        <v>0</v>
      </c>
      <c r="BQ69" s="1" t="n">
        <f aca="false">IF(BP69&gt;PR_BalDone,BP69+BP69*(D_iL)-MIN(F_LoanPayM,BP69+BP69*(D_iL)),BP69)</f>
        <v>0</v>
      </c>
      <c r="BR69" s="1" t="n">
        <f aca="false">IF(BE69&gt;PR_BalDone,MIN(F_LoanPayM,BE69+BE69*(D_iL)),0)</f>
        <v>0</v>
      </c>
      <c r="BS69" s="1" t="n">
        <f aca="false">IF(BF69&gt;PR_BalDone,MIN(F_LoanPayM,BF69+BF69*(D_iL)),0)</f>
        <v>0</v>
      </c>
      <c r="BT69" s="1" t="n">
        <f aca="false">IF(BG69&gt;PR_BalDone,MIN(F_LoanPayM,BG69+BG69*(D_iL)),0)</f>
        <v>0</v>
      </c>
      <c r="BU69" s="1" t="n">
        <f aca="false">IF(BH69&gt;PR_BalDone,MIN(F_LoanPayM,BH69+BH69*(D_iL)),0)</f>
        <v>0</v>
      </c>
      <c r="BV69" s="1" t="n">
        <f aca="false">IF(BI69&gt;PR_BalDone,MIN(F_LoanPayM,BI69+BI69*(D_iL)),0)</f>
        <v>0</v>
      </c>
      <c r="BW69" s="1" t="n">
        <f aca="false">IF(BJ69&gt;PR_BalDone,MIN(F_LoanPayM,BJ69+BJ69*(D_iL)),0)</f>
        <v>0</v>
      </c>
      <c r="BX69" s="1" t="n">
        <f aca="false">IF(BK69&gt;PR_BalDone,MIN(F_LoanPayM,BK69+BK69*(D_iL)),0)</f>
        <v>0</v>
      </c>
      <c r="BY69" s="1" t="n">
        <f aca="false">IF(BL69&gt;PR_BalDone,MIN(F_LoanPayM,BL69+BL69*(D_iL)),0)</f>
        <v>0</v>
      </c>
      <c r="BZ69" s="1" t="n">
        <f aca="false">IF(BM69&gt;PR_BalDone,MIN(F_LoanPayM,BM69+BM69*(D_iL)),0)</f>
        <v>0</v>
      </c>
      <c r="CA69" s="1" t="n">
        <f aca="false">IF(BN69&gt;PR_BalDone,MIN(F_LoanPayM,BN69+BN69*(D_iL)),0)</f>
        <v>0</v>
      </c>
      <c r="CB69" s="1" t="n">
        <f aca="false">IF(BO69&gt;PR_BalDone,MIN(F_LoanPayM,BO69+BO69*(D_iL)),0)</f>
        <v>0</v>
      </c>
      <c r="CC69" s="1" t="n">
        <f aca="false">IF(BP69&gt;PR_BalDone,MIN(F_LoanPayM,BP69+BP69*(D_iL)),0)</f>
        <v>0</v>
      </c>
      <c r="CD69" s="1" t="n">
        <f aca="false">MAX(0,BQ69)</f>
        <v>0</v>
      </c>
      <c r="CE69" s="1" t="n">
        <f aca="false">SUM(BR69:CC69)</f>
        <v>0</v>
      </c>
      <c r="CF69" s="1" t="n">
        <f aca="false">IF(CF68&gt;1,DE68,CF68)</f>
        <v>0</v>
      </c>
      <c r="CG69" s="1" t="n">
        <f aca="false">IF(CF69&gt;PR_BalDone,CF69+CF69*(F_MR/12)-MIN(F_MortPayM,CF69+CF69*(F_MR/12)),CF69)</f>
        <v>0</v>
      </c>
      <c r="CH69" s="1" t="n">
        <f aca="false">IF(CG69&gt;PR_BalDone,CG69+CG69*(F_MR/12)-MIN(F_MortPayM,CG69+CG69*(F_MR/12)),CG69)</f>
        <v>0</v>
      </c>
      <c r="CI69" s="1" t="n">
        <f aca="false">IF(CH69&gt;PR_BalDone,CH69+CH69*(F_MR/12)-MIN(F_MortPayM,CH69+CH69*(F_MR/12)),CH69)</f>
        <v>0</v>
      </c>
      <c r="CJ69" s="1" t="n">
        <f aca="false">IF(CI69&gt;PR_BalDone,CI69+CI69*(F_MR/12)-MIN(F_MortPayM,CI69+CI69*(F_MR/12)),CI69)</f>
        <v>0</v>
      </c>
      <c r="CK69" s="1" t="n">
        <f aca="false">IF(CJ69&gt;PR_BalDone,CJ69+CJ69*(F_MR/12)-MIN(F_MortPayM,CJ69+CJ69*(F_MR/12)),CJ69)</f>
        <v>0</v>
      </c>
      <c r="CL69" s="1" t="n">
        <f aca="false">IF(CK69&gt;PR_BalDone,CK69+CK69*(F_MR/12)-MIN(F_MortPayM,CK69+CK69*(F_MR/12)),CK69)</f>
        <v>0</v>
      </c>
      <c r="CM69" s="1" t="n">
        <f aca="false">IF(CL69&gt;PR_BalDone,CL69+CL69*(F_MR/12)-MIN(F_MortPayM,CL69+CL69*(F_MR/12)),CL69)</f>
        <v>0</v>
      </c>
      <c r="CN69" s="1" t="n">
        <f aca="false">IF(CM69&gt;PR_BalDone,CM69+CM69*(F_MR/12)-MIN(F_MortPayM,CM69+CM69*(F_MR/12)),CM69)</f>
        <v>0</v>
      </c>
      <c r="CO69" s="1" t="n">
        <f aca="false">IF(CN69&gt;PR_BalDone,CN69+CN69*(F_MR/12)-MIN(F_MortPayM,CN69+CN69*(F_MR/12)),CN69)</f>
        <v>0</v>
      </c>
      <c r="CP69" s="1" t="n">
        <f aca="false">IF(CO69&gt;PR_BalDone,CO69+CO69*(F_MR/12)-MIN(F_MortPayM,CO69+CO69*(F_MR/12)),CO69)</f>
        <v>0</v>
      </c>
      <c r="CQ69" s="1" t="n">
        <f aca="false">IF(CP69&gt;PR_BalDone,CP69+CP69*(F_MR/12)-MIN(F_MortPayM,CP69+CP69*(F_MR/12)),CP69)</f>
        <v>0</v>
      </c>
      <c r="CR69" s="1" t="n">
        <f aca="false">IF(CQ69&gt;PR_BalDone,CQ69+CQ69*(F_MR/12)-MIN(F_MortPayM,CQ69+CQ69*(F_MR/12)),CQ69)</f>
        <v>0</v>
      </c>
      <c r="CS69" s="1" t="n">
        <f aca="false">IF(CF69&gt;PR_BalDone,MIN(F_MortPayM,CF69+CF69*(F_MR/12)),0)</f>
        <v>0</v>
      </c>
      <c r="CT69" s="1" t="n">
        <f aca="false">IF(CG69&gt;PR_BalDone,MIN(F_MortPayM,CG69+CG69*(F_MR/12)),0)</f>
        <v>0</v>
      </c>
      <c r="CU69" s="1" t="n">
        <f aca="false">IF(CH69&gt;PR_BalDone,MIN(F_MortPayM,CH69+CH69*(F_MR/12)),0)</f>
        <v>0</v>
      </c>
      <c r="CV69" s="1" t="n">
        <f aca="false">IF(CI69&gt;PR_BalDone,MIN(F_MortPayM,CI69+CI69*(F_MR/12)),0)</f>
        <v>0</v>
      </c>
      <c r="CW69" s="1" t="n">
        <f aca="false">IF(CJ69&gt;PR_BalDone,MIN(F_MortPayM,CJ69+CJ69*(F_MR/12)),0)</f>
        <v>0</v>
      </c>
      <c r="CX69" s="1" t="n">
        <f aca="false">IF(CK69&gt;PR_BalDone,MIN(F_MortPayM,CK69+CK69*(F_MR/12)),0)</f>
        <v>0</v>
      </c>
      <c r="CY69" s="1" t="n">
        <f aca="false">IF(CL69&gt;PR_BalDone,MIN(F_MortPayM,CL69+CL69*(F_MR/12)),0)</f>
        <v>0</v>
      </c>
      <c r="CZ69" s="1" t="n">
        <f aca="false">IF(CM69&gt;PR_BalDone,MIN(F_MortPayM,CM69+CM69*(F_MR/12)),0)</f>
        <v>0</v>
      </c>
      <c r="DA69" s="1" t="n">
        <f aca="false">IF(CN69&gt;PR_BalDone,MIN(F_MortPayM,CN69+CN69*(F_MR/12)),0)</f>
        <v>0</v>
      </c>
      <c r="DB69" s="1" t="n">
        <f aca="false">IF(CO69&gt;PR_BalDone,MIN(F_MortPayM,CO69+CO69*(F_MR/12)),0)</f>
        <v>0</v>
      </c>
      <c r="DC69" s="1" t="n">
        <f aca="false">IF(CP69&gt;PR_BalDone,MIN(F_MortPayM,CP69+CP69*(F_MR/12)),0)</f>
        <v>0</v>
      </c>
      <c r="DD69" s="1" t="n">
        <f aca="false">IF(CQ69&gt;PR_BalDone,MIN(F_MortPayM,CQ69+CQ69*(F_MR/12)),0)</f>
        <v>0</v>
      </c>
      <c r="DE69" s="1" t="n">
        <f aca="false">MAX(0,CR69)</f>
        <v>0</v>
      </c>
      <c r="DF69" s="1" t="n">
        <f aca="false">SUM(CS69:DD69)</f>
        <v>0</v>
      </c>
      <c r="DG69" s="1" t="n">
        <f aca="false">MAX(0,CF69)</f>
        <v>0</v>
      </c>
    </row>
    <row r="70" customFormat="false" ht="15" hidden="false" customHeight="true" outlineLevel="0" collapsed="false">
      <c r="B70" s="1" t="n">
        <v>62</v>
      </c>
      <c r="C70" s="1" t="n">
        <f aca="false">'Plan cashflow'!I70</f>
        <v>0</v>
      </c>
      <c r="D70" s="1" t="n">
        <f aca="false">IF(C70&gt;PR_BalDone,C70+C70*(F_MR/12)-MIN(F_MortPayM,C70+C70*(F_MR/12)),C70)</f>
        <v>0</v>
      </c>
      <c r="E70" s="1" t="n">
        <f aca="false">IF(D70&gt;PR_BalDone,D70+D70*(F_MR/12)-MIN(F_MortPayM,D70+D70*(F_MR/12)),D70)</f>
        <v>0</v>
      </c>
      <c r="F70" s="1" t="n">
        <f aca="false">IF(E70&gt;PR_BalDone,E70+E70*(F_MR/12)-MIN(F_MortPayM,E70+E70*(F_MR/12)),E70)</f>
        <v>0</v>
      </c>
      <c r="G70" s="1" t="n">
        <f aca="false">IF(F70&gt;PR_BalDone,F70+F70*(F_MR/12)-MIN(F_MortPayM,F70+F70*(F_MR/12)),F70)</f>
        <v>0</v>
      </c>
      <c r="H70" s="1" t="n">
        <f aca="false">IF(G70&gt;PR_BalDone,G70+G70*(F_MR/12)-MIN(F_MortPayM,G70+G70*(F_MR/12)),G70)</f>
        <v>0</v>
      </c>
      <c r="I70" s="1" t="n">
        <f aca="false">IF(H70&gt;PR_BalDone,H70+H70*(F_MR/12)-MIN(F_MortPayM,H70+H70*(F_MR/12)),H70)</f>
        <v>0</v>
      </c>
      <c r="J70" s="1" t="n">
        <f aca="false">IF(I70&gt;PR_BalDone,I70+I70*(F_MR/12)-MIN(F_MortPayM,I70+I70*(F_MR/12)),I70)</f>
        <v>0</v>
      </c>
      <c r="K70" s="1" t="n">
        <f aca="false">IF(J70&gt;PR_BalDone,J70+J70*(F_MR/12)-MIN(F_MortPayM,J70+J70*(F_MR/12)),J70)</f>
        <v>0</v>
      </c>
      <c r="L70" s="1" t="n">
        <f aca="false">IF(K70&gt;PR_BalDone,K70+K70*(F_MR/12)-MIN(F_MortPayM,K70+K70*(F_MR/12)),K70)</f>
        <v>0</v>
      </c>
      <c r="M70" s="1" t="n">
        <f aca="false">IF(L70&gt;PR_BalDone,L70+L70*(F_MR/12)-MIN(F_MortPayM,L70+L70*(F_MR/12)),L70)</f>
        <v>0</v>
      </c>
      <c r="N70" s="1" t="n">
        <f aca="false">IF(M70&gt;PR_BalDone,M70+M70*(F_MR/12)-MIN(F_MortPayM,M70+M70*(F_MR/12)),M70)</f>
        <v>0</v>
      </c>
      <c r="O70" s="1" t="n">
        <f aca="false">IF(N70&gt;PR_BalDone,N70+N70*(F_MR/12)-MIN(F_MortPayM,N70+N70*(F_MR/12)),N70)</f>
        <v>0</v>
      </c>
      <c r="P70" s="1" t="n">
        <f aca="false">IF(C70&gt;PR_BalDone,MIN(F_MortPayM,C70+C70*(F_MR/12)),0)</f>
        <v>0</v>
      </c>
      <c r="Q70" s="1" t="n">
        <f aca="false">IF(D70&gt;PR_BalDone,MIN(F_MortPayM,D70+D70*(F_MR/12)),0)</f>
        <v>0</v>
      </c>
      <c r="R70" s="1" t="n">
        <f aca="false">IF(E70&gt;PR_BalDone,MIN(F_MortPayM,E70+E70*(F_MR/12)),0)</f>
        <v>0</v>
      </c>
      <c r="S70" s="1" t="n">
        <f aca="false">IF(F70&gt;PR_BalDone,MIN(F_MortPayM,F70+F70*(F_MR/12)),0)</f>
        <v>0</v>
      </c>
      <c r="T70" s="1" t="n">
        <f aca="false">IF(G70&gt;PR_BalDone,MIN(F_MortPayM,G70+G70*(F_MR/12)),0)</f>
        <v>0</v>
      </c>
      <c r="U70" s="1" t="n">
        <f aca="false">IF(H70&gt;PR_BalDone,MIN(F_MortPayM,H70+H70*(F_MR/12)),0)</f>
        <v>0</v>
      </c>
      <c r="V70" s="1" t="n">
        <f aca="false">IF(I70&gt;PR_BalDone,MIN(F_MortPayM,I70+I70*(F_MR/12)),0)</f>
        <v>0</v>
      </c>
      <c r="W70" s="1" t="n">
        <f aca="false">IF(J70&gt;PR_BalDone,MIN(F_MortPayM,J70+J70*(F_MR/12)),0)</f>
        <v>0</v>
      </c>
      <c r="X70" s="1" t="n">
        <f aca="false">IF(K70&gt;PR_BalDone,MIN(F_MortPayM,K70+K70*(F_MR/12)),0)</f>
        <v>0</v>
      </c>
      <c r="Y70" s="1" t="n">
        <f aca="false">IF(L70&gt;PR_BalDone,MIN(F_MortPayM,L70+L70*(F_MR/12)),0)</f>
        <v>0</v>
      </c>
      <c r="Z70" s="1" t="n">
        <f aca="false">IF(M70&gt;PR_BalDone,MIN(F_MortPayM,M70+M70*(F_MR/12)),0)</f>
        <v>0</v>
      </c>
      <c r="AA70" s="1" t="n">
        <f aca="false">IF(N70&gt;PR_BalDone,MIN(F_MortPayM,N70+N70*(F_MR/12)),0)</f>
        <v>0</v>
      </c>
      <c r="AB70" s="1" t="n">
        <f aca="false">MAX(0,O70)</f>
        <v>0</v>
      </c>
      <c r="AC70" s="1" t="n">
        <f aca="false">SUM(P70:AA70)</f>
        <v>0</v>
      </c>
      <c r="AD70" s="1" t="n">
        <f aca="false">'Plan cashflow'!L70</f>
        <v>0</v>
      </c>
      <c r="AE70" s="1" t="n">
        <f aca="false">IF(AD70&gt;PR_BalDone,AD70+AD70*(D_iC)-MIN(F_CardPayM,AD70+AD70*(D_iC)),AD70)</f>
        <v>0</v>
      </c>
      <c r="AF70" s="1" t="n">
        <f aca="false">IF(AE70&gt;PR_BalDone,AE70+AE70*(D_iC)-MIN(F_CardPayM,AE70+AE70*(D_iC)),AE70)</f>
        <v>0</v>
      </c>
      <c r="AG70" s="1" t="n">
        <f aca="false">IF(AF70&gt;PR_BalDone,AF70+AF70*(D_iC)-MIN(F_CardPayM,AF70+AF70*(D_iC)),AF70)</f>
        <v>0</v>
      </c>
      <c r="AH70" s="1" t="n">
        <f aca="false">IF(AG70&gt;PR_BalDone,AG70+AG70*(D_iC)-MIN(F_CardPayM,AG70+AG70*(D_iC)),AG70)</f>
        <v>0</v>
      </c>
      <c r="AI70" s="1" t="n">
        <f aca="false">IF(AH70&gt;PR_BalDone,AH70+AH70*(D_iC)-MIN(F_CardPayM,AH70+AH70*(D_iC)),AH70)</f>
        <v>0</v>
      </c>
      <c r="AJ70" s="1" t="n">
        <f aca="false">IF(AI70&gt;PR_BalDone,AI70+AI70*(D_iC)-MIN(F_CardPayM,AI70+AI70*(D_iC)),AI70)</f>
        <v>0</v>
      </c>
      <c r="AK70" s="1" t="n">
        <f aca="false">IF(AJ70&gt;PR_BalDone,AJ70+AJ70*(D_iC)-MIN(F_CardPayM,AJ70+AJ70*(D_iC)),AJ70)</f>
        <v>0</v>
      </c>
      <c r="AL70" s="1" t="n">
        <f aca="false">IF(AK70&gt;PR_BalDone,AK70+AK70*(D_iC)-MIN(F_CardPayM,AK70+AK70*(D_iC)),AK70)</f>
        <v>0</v>
      </c>
      <c r="AM70" s="1" t="n">
        <f aca="false">IF(AL70&gt;PR_BalDone,AL70+AL70*(D_iC)-MIN(F_CardPayM,AL70+AL70*(D_iC)),AL70)</f>
        <v>0</v>
      </c>
      <c r="AN70" s="1" t="n">
        <f aca="false">IF(AM70&gt;PR_BalDone,AM70+AM70*(D_iC)-MIN(F_CardPayM,AM70+AM70*(D_iC)),AM70)</f>
        <v>0</v>
      </c>
      <c r="AO70" s="1" t="n">
        <f aca="false">IF(AN70&gt;PR_BalDone,AN70+AN70*(D_iC)-MIN(F_CardPayM,AN70+AN70*(D_iC)),AN70)</f>
        <v>0</v>
      </c>
      <c r="AP70" s="1" t="n">
        <f aca="false">IF(AO70&gt;PR_BalDone,AO70+AO70*(D_iC)-MIN(F_CardPayM,AO70+AO70*(D_iC)),AO70)</f>
        <v>0</v>
      </c>
      <c r="AQ70" s="1" t="n">
        <f aca="false">IF(AD70&gt;PR_BalDone,MIN(F_CardPayM,AD70+AD70*(D_iC)),0)</f>
        <v>0</v>
      </c>
      <c r="AR70" s="1" t="n">
        <f aca="false">IF(AE70&gt;PR_BalDone,MIN(F_CardPayM,AE70+AE70*(D_iC)),0)</f>
        <v>0</v>
      </c>
      <c r="AS70" s="1" t="n">
        <f aca="false">IF(AF70&gt;PR_BalDone,MIN(F_CardPayM,AF70+AF70*(D_iC)),0)</f>
        <v>0</v>
      </c>
      <c r="AT70" s="1" t="n">
        <f aca="false">IF(AG70&gt;PR_BalDone,MIN(F_CardPayM,AG70+AG70*(D_iC)),0)</f>
        <v>0</v>
      </c>
      <c r="AU70" s="1" t="n">
        <f aca="false">IF(AH70&gt;PR_BalDone,MIN(F_CardPayM,AH70+AH70*(D_iC)),0)</f>
        <v>0</v>
      </c>
      <c r="AV70" s="1" t="n">
        <f aca="false">IF(AI70&gt;PR_BalDone,MIN(F_CardPayM,AI70+AI70*(D_iC)),0)</f>
        <v>0</v>
      </c>
      <c r="AW70" s="1" t="n">
        <f aca="false">IF(AJ70&gt;PR_BalDone,MIN(F_CardPayM,AJ70+AJ70*(D_iC)),0)</f>
        <v>0</v>
      </c>
      <c r="AX70" s="1" t="n">
        <f aca="false">IF(AK70&gt;PR_BalDone,MIN(F_CardPayM,AK70+AK70*(D_iC)),0)</f>
        <v>0</v>
      </c>
      <c r="AY70" s="1" t="n">
        <f aca="false">IF(AL70&gt;PR_BalDone,MIN(F_CardPayM,AL70+AL70*(D_iC)),0)</f>
        <v>0</v>
      </c>
      <c r="AZ70" s="1" t="n">
        <f aca="false">IF(AM70&gt;PR_BalDone,MIN(F_CardPayM,AM70+AM70*(D_iC)),0)</f>
        <v>0</v>
      </c>
      <c r="BA70" s="1" t="n">
        <f aca="false">IF(AN70&gt;PR_BalDone,MIN(F_CardPayM,AN70+AN70*(D_iC)),0)</f>
        <v>0</v>
      </c>
      <c r="BB70" s="1" t="n">
        <f aca="false">IF(AO70&gt;PR_BalDone,MIN(F_CardPayM,AO70+AO70*(D_iC)),0)</f>
        <v>0</v>
      </c>
      <c r="BC70" s="1" t="n">
        <f aca="false">MAX(0,AP70)</f>
        <v>0</v>
      </c>
      <c r="BD70" s="1" t="n">
        <f aca="false">SUM(AQ70:BB70)</f>
        <v>0</v>
      </c>
      <c r="BE70" s="1" t="n">
        <f aca="false">'Plan cashflow'!O70</f>
        <v>0</v>
      </c>
      <c r="BF70" s="1" t="n">
        <f aca="false">IF(BE70&gt;PR_BalDone,BE70+BE70*(D_iL)-MIN(F_LoanPayM,BE70+BE70*(D_iL)),BE70)</f>
        <v>0</v>
      </c>
      <c r="BG70" s="1" t="n">
        <f aca="false">IF(BF70&gt;PR_BalDone,BF70+BF70*(D_iL)-MIN(F_LoanPayM,BF70+BF70*(D_iL)),BF70)</f>
        <v>0</v>
      </c>
      <c r="BH70" s="1" t="n">
        <f aca="false">IF(BG70&gt;PR_BalDone,BG70+BG70*(D_iL)-MIN(F_LoanPayM,BG70+BG70*(D_iL)),BG70)</f>
        <v>0</v>
      </c>
      <c r="BI70" s="1" t="n">
        <f aca="false">IF(BH70&gt;PR_BalDone,BH70+BH70*(D_iL)-MIN(F_LoanPayM,BH70+BH70*(D_iL)),BH70)</f>
        <v>0</v>
      </c>
      <c r="BJ70" s="1" t="n">
        <f aca="false">IF(BI70&gt;PR_BalDone,BI70+BI70*(D_iL)-MIN(F_LoanPayM,BI70+BI70*(D_iL)),BI70)</f>
        <v>0</v>
      </c>
      <c r="BK70" s="1" t="n">
        <f aca="false">IF(BJ70&gt;PR_BalDone,BJ70+BJ70*(D_iL)-MIN(F_LoanPayM,BJ70+BJ70*(D_iL)),BJ70)</f>
        <v>0</v>
      </c>
      <c r="BL70" s="1" t="n">
        <f aca="false">IF(BK70&gt;PR_BalDone,BK70+BK70*(D_iL)-MIN(F_LoanPayM,BK70+BK70*(D_iL)),BK70)</f>
        <v>0</v>
      </c>
      <c r="BM70" s="1" t="n">
        <f aca="false">IF(BL70&gt;PR_BalDone,BL70+BL70*(D_iL)-MIN(F_LoanPayM,BL70+BL70*(D_iL)),BL70)</f>
        <v>0</v>
      </c>
      <c r="BN70" s="1" t="n">
        <f aca="false">IF(BM70&gt;PR_BalDone,BM70+BM70*(D_iL)-MIN(F_LoanPayM,BM70+BM70*(D_iL)),BM70)</f>
        <v>0</v>
      </c>
      <c r="BO70" s="1" t="n">
        <f aca="false">IF(BN70&gt;PR_BalDone,BN70+BN70*(D_iL)-MIN(F_LoanPayM,BN70+BN70*(D_iL)),BN70)</f>
        <v>0</v>
      </c>
      <c r="BP70" s="1" t="n">
        <f aca="false">IF(BO70&gt;PR_BalDone,BO70+BO70*(D_iL)-MIN(F_LoanPayM,BO70+BO70*(D_iL)),BO70)</f>
        <v>0</v>
      </c>
      <c r="BQ70" s="1" t="n">
        <f aca="false">IF(BP70&gt;PR_BalDone,BP70+BP70*(D_iL)-MIN(F_LoanPayM,BP70+BP70*(D_iL)),BP70)</f>
        <v>0</v>
      </c>
      <c r="BR70" s="1" t="n">
        <f aca="false">IF(BE70&gt;PR_BalDone,MIN(F_LoanPayM,BE70+BE70*(D_iL)),0)</f>
        <v>0</v>
      </c>
      <c r="BS70" s="1" t="n">
        <f aca="false">IF(BF70&gt;PR_BalDone,MIN(F_LoanPayM,BF70+BF70*(D_iL)),0)</f>
        <v>0</v>
      </c>
      <c r="BT70" s="1" t="n">
        <f aca="false">IF(BG70&gt;PR_BalDone,MIN(F_LoanPayM,BG70+BG70*(D_iL)),0)</f>
        <v>0</v>
      </c>
      <c r="BU70" s="1" t="n">
        <f aca="false">IF(BH70&gt;PR_BalDone,MIN(F_LoanPayM,BH70+BH70*(D_iL)),0)</f>
        <v>0</v>
      </c>
      <c r="BV70" s="1" t="n">
        <f aca="false">IF(BI70&gt;PR_BalDone,MIN(F_LoanPayM,BI70+BI70*(D_iL)),0)</f>
        <v>0</v>
      </c>
      <c r="BW70" s="1" t="n">
        <f aca="false">IF(BJ70&gt;PR_BalDone,MIN(F_LoanPayM,BJ70+BJ70*(D_iL)),0)</f>
        <v>0</v>
      </c>
      <c r="BX70" s="1" t="n">
        <f aca="false">IF(BK70&gt;PR_BalDone,MIN(F_LoanPayM,BK70+BK70*(D_iL)),0)</f>
        <v>0</v>
      </c>
      <c r="BY70" s="1" t="n">
        <f aca="false">IF(BL70&gt;PR_BalDone,MIN(F_LoanPayM,BL70+BL70*(D_iL)),0)</f>
        <v>0</v>
      </c>
      <c r="BZ70" s="1" t="n">
        <f aca="false">IF(BM70&gt;PR_BalDone,MIN(F_LoanPayM,BM70+BM70*(D_iL)),0)</f>
        <v>0</v>
      </c>
      <c r="CA70" s="1" t="n">
        <f aca="false">IF(BN70&gt;PR_BalDone,MIN(F_LoanPayM,BN70+BN70*(D_iL)),0)</f>
        <v>0</v>
      </c>
      <c r="CB70" s="1" t="n">
        <f aca="false">IF(BO70&gt;PR_BalDone,MIN(F_LoanPayM,BO70+BO70*(D_iL)),0)</f>
        <v>0</v>
      </c>
      <c r="CC70" s="1" t="n">
        <f aca="false">IF(BP70&gt;PR_BalDone,MIN(F_LoanPayM,BP70+BP70*(D_iL)),0)</f>
        <v>0</v>
      </c>
      <c r="CD70" s="1" t="n">
        <f aca="false">MAX(0,BQ70)</f>
        <v>0</v>
      </c>
      <c r="CE70" s="1" t="n">
        <f aca="false">SUM(BR70:CC70)</f>
        <v>0</v>
      </c>
      <c r="CF70" s="1" t="n">
        <f aca="false">IF(CF69&gt;1,DE69,CF69)</f>
        <v>0</v>
      </c>
      <c r="CG70" s="1" t="n">
        <f aca="false">IF(CF70&gt;PR_BalDone,CF70+CF70*(F_MR/12)-MIN(F_MortPayM,CF70+CF70*(F_MR/12)),CF70)</f>
        <v>0</v>
      </c>
      <c r="CH70" s="1" t="n">
        <f aca="false">IF(CG70&gt;PR_BalDone,CG70+CG70*(F_MR/12)-MIN(F_MortPayM,CG70+CG70*(F_MR/12)),CG70)</f>
        <v>0</v>
      </c>
      <c r="CI70" s="1" t="n">
        <f aca="false">IF(CH70&gt;PR_BalDone,CH70+CH70*(F_MR/12)-MIN(F_MortPayM,CH70+CH70*(F_MR/12)),CH70)</f>
        <v>0</v>
      </c>
      <c r="CJ70" s="1" t="n">
        <f aca="false">IF(CI70&gt;PR_BalDone,CI70+CI70*(F_MR/12)-MIN(F_MortPayM,CI70+CI70*(F_MR/12)),CI70)</f>
        <v>0</v>
      </c>
      <c r="CK70" s="1" t="n">
        <f aca="false">IF(CJ70&gt;PR_BalDone,CJ70+CJ70*(F_MR/12)-MIN(F_MortPayM,CJ70+CJ70*(F_MR/12)),CJ70)</f>
        <v>0</v>
      </c>
      <c r="CL70" s="1" t="n">
        <f aca="false">IF(CK70&gt;PR_BalDone,CK70+CK70*(F_MR/12)-MIN(F_MortPayM,CK70+CK70*(F_MR/12)),CK70)</f>
        <v>0</v>
      </c>
      <c r="CM70" s="1" t="n">
        <f aca="false">IF(CL70&gt;PR_BalDone,CL70+CL70*(F_MR/12)-MIN(F_MortPayM,CL70+CL70*(F_MR/12)),CL70)</f>
        <v>0</v>
      </c>
      <c r="CN70" s="1" t="n">
        <f aca="false">IF(CM70&gt;PR_BalDone,CM70+CM70*(F_MR/12)-MIN(F_MortPayM,CM70+CM70*(F_MR/12)),CM70)</f>
        <v>0</v>
      </c>
      <c r="CO70" s="1" t="n">
        <f aca="false">IF(CN70&gt;PR_BalDone,CN70+CN70*(F_MR/12)-MIN(F_MortPayM,CN70+CN70*(F_MR/12)),CN70)</f>
        <v>0</v>
      </c>
      <c r="CP70" s="1" t="n">
        <f aca="false">IF(CO70&gt;PR_BalDone,CO70+CO70*(F_MR/12)-MIN(F_MortPayM,CO70+CO70*(F_MR/12)),CO70)</f>
        <v>0</v>
      </c>
      <c r="CQ70" s="1" t="n">
        <f aca="false">IF(CP70&gt;PR_BalDone,CP70+CP70*(F_MR/12)-MIN(F_MortPayM,CP70+CP70*(F_MR/12)),CP70)</f>
        <v>0</v>
      </c>
      <c r="CR70" s="1" t="n">
        <f aca="false">IF(CQ70&gt;PR_BalDone,CQ70+CQ70*(F_MR/12)-MIN(F_MortPayM,CQ70+CQ70*(F_MR/12)),CQ70)</f>
        <v>0</v>
      </c>
      <c r="CS70" s="1" t="n">
        <f aca="false">IF(CF70&gt;PR_BalDone,MIN(F_MortPayM,CF70+CF70*(F_MR/12)),0)</f>
        <v>0</v>
      </c>
      <c r="CT70" s="1" t="n">
        <f aca="false">IF(CG70&gt;PR_BalDone,MIN(F_MortPayM,CG70+CG70*(F_MR/12)),0)</f>
        <v>0</v>
      </c>
      <c r="CU70" s="1" t="n">
        <f aca="false">IF(CH70&gt;PR_BalDone,MIN(F_MortPayM,CH70+CH70*(F_MR/12)),0)</f>
        <v>0</v>
      </c>
      <c r="CV70" s="1" t="n">
        <f aca="false">IF(CI70&gt;PR_BalDone,MIN(F_MortPayM,CI70+CI70*(F_MR/12)),0)</f>
        <v>0</v>
      </c>
      <c r="CW70" s="1" t="n">
        <f aca="false">IF(CJ70&gt;PR_BalDone,MIN(F_MortPayM,CJ70+CJ70*(F_MR/12)),0)</f>
        <v>0</v>
      </c>
      <c r="CX70" s="1" t="n">
        <f aca="false">IF(CK70&gt;PR_BalDone,MIN(F_MortPayM,CK70+CK70*(F_MR/12)),0)</f>
        <v>0</v>
      </c>
      <c r="CY70" s="1" t="n">
        <f aca="false">IF(CL70&gt;PR_BalDone,MIN(F_MortPayM,CL70+CL70*(F_MR/12)),0)</f>
        <v>0</v>
      </c>
      <c r="CZ70" s="1" t="n">
        <f aca="false">IF(CM70&gt;PR_BalDone,MIN(F_MortPayM,CM70+CM70*(F_MR/12)),0)</f>
        <v>0</v>
      </c>
      <c r="DA70" s="1" t="n">
        <f aca="false">IF(CN70&gt;PR_BalDone,MIN(F_MortPayM,CN70+CN70*(F_MR/12)),0)</f>
        <v>0</v>
      </c>
      <c r="DB70" s="1" t="n">
        <f aca="false">IF(CO70&gt;PR_BalDone,MIN(F_MortPayM,CO70+CO70*(F_MR/12)),0)</f>
        <v>0</v>
      </c>
      <c r="DC70" s="1" t="n">
        <f aca="false">IF(CP70&gt;PR_BalDone,MIN(F_MortPayM,CP70+CP70*(F_MR/12)),0)</f>
        <v>0</v>
      </c>
      <c r="DD70" s="1" t="n">
        <f aca="false">IF(CQ70&gt;PR_BalDone,MIN(F_MortPayM,CQ70+CQ70*(F_MR/12)),0)</f>
        <v>0</v>
      </c>
      <c r="DE70" s="1" t="n">
        <f aca="false">MAX(0,CR70)</f>
        <v>0</v>
      </c>
      <c r="DF70" s="1" t="n">
        <f aca="false">SUM(CS70:DD70)</f>
        <v>0</v>
      </c>
      <c r="DG70" s="1" t="n">
        <f aca="false">MAX(0,CF70)</f>
        <v>0</v>
      </c>
    </row>
    <row r="71" customFormat="false" ht="15" hidden="false" customHeight="true" outlineLevel="0" collapsed="false">
      <c r="B71" s="1" t="n">
        <v>63</v>
      </c>
      <c r="C71" s="1" t="n">
        <f aca="false">'Plan cashflow'!I71</f>
        <v>0</v>
      </c>
      <c r="D71" s="1" t="n">
        <f aca="false">IF(C71&gt;PR_BalDone,C71+C71*(F_MR/12)-MIN(F_MortPayM,C71+C71*(F_MR/12)),C71)</f>
        <v>0</v>
      </c>
      <c r="E71" s="1" t="n">
        <f aca="false">IF(D71&gt;PR_BalDone,D71+D71*(F_MR/12)-MIN(F_MortPayM,D71+D71*(F_MR/12)),D71)</f>
        <v>0</v>
      </c>
      <c r="F71" s="1" t="n">
        <f aca="false">IF(E71&gt;PR_BalDone,E71+E71*(F_MR/12)-MIN(F_MortPayM,E71+E71*(F_MR/12)),E71)</f>
        <v>0</v>
      </c>
      <c r="G71" s="1" t="n">
        <f aca="false">IF(F71&gt;PR_BalDone,F71+F71*(F_MR/12)-MIN(F_MortPayM,F71+F71*(F_MR/12)),F71)</f>
        <v>0</v>
      </c>
      <c r="H71" s="1" t="n">
        <f aca="false">IF(G71&gt;PR_BalDone,G71+G71*(F_MR/12)-MIN(F_MortPayM,G71+G71*(F_MR/12)),G71)</f>
        <v>0</v>
      </c>
      <c r="I71" s="1" t="n">
        <f aca="false">IF(H71&gt;PR_BalDone,H71+H71*(F_MR/12)-MIN(F_MortPayM,H71+H71*(F_MR/12)),H71)</f>
        <v>0</v>
      </c>
      <c r="J71" s="1" t="n">
        <f aca="false">IF(I71&gt;PR_BalDone,I71+I71*(F_MR/12)-MIN(F_MortPayM,I71+I71*(F_MR/12)),I71)</f>
        <v>0</v>
      </c>
      <c r="K71" s="1" t="n">
        <f aca="false">IF(J71&gt;PR_BalDone,J71+J71*(F_MR/12)-MIN(F_MortPayM,J71+J71*(F_MR/12)),J71)</f>
        <v>0</v>
      </c>
      <c r="L71" s="1" t="n">
        <f aca="false">IF(K71&gt;PR_BalDone,K71+K71*(F_MR/12)-MIN(F_MortPayM,K71+K71*(F_MR/12)),K71)</f>
        <v>0</v>
      </c>
      <c r="M71" s="1" t="n">
        <f aca="false">IF(L71&gt;PR_BalDone,L71+L71*(F_MR/12)-MIN(F_MortPayM,L71+L71*(F_MR/12)),L71)</f>
        <v>0</v>
      </c>
      <c r="N71" s="1" t="n">
        <f aca="false">IF(M71&gt;PR_BalDone,M71+M71*(F_MR/12)-MIN(F_MortPayM,M71+M71*(F_MR/12)),M71)</f>
        <v>0</v>
      </c>
      <c r="O71" s="1" t="n">
        <f aca="false">IF(N71&gt;PR_BalDone,N71+N71*(F_MR/12)-MIN(F_MortPayM,N71+N71*(F_MR/12)),N71)</f>
        <v>0</v>
      </c>
      <c r="P71" s="1" t="n">
        <f aca="false">IF(C71&gt;PR_BalDone,MIN(F_MortPayM,C71+C71*(F_MR/12)),0)</f>
        <v>0</v>
      </c>
      <c r="Q71" s="1" t="n">
        <f aca="false">IF(D71&gt;PR_BalDone,MIN(F_MortPayM,D71+D71*(F_MR/12)),0)</f>
        <v>0</v>
      </c>
      <c r="R71" s="1" t="n">
        <f aca="false">IF(E71&gt;PR_BalDone,MIN(F_MortPayM,E71+E71*(F_MR/12)),0)</f>
        <v>0</v>
      </c>
      <c r="S71" s="1" t="n">
        <f aca="false">IF(F71&gt;PR_BalDone,MIN(F_MortPayM,F71+F71*(F_MR/12)),0)</f>
        <v>0</v>
      </c>
      <c r="T71" s="1" t="n">
        <f aca="false">IF(G71&gt;PR_BalDone,MIN(F_MortPayM,G71+G71*(F_MR/12)),0)</f>
        <v>0</v>
      </c>
      <c r="U71" s="1" t="n">
        <f aca="false">IF(H71&gt;PR_BalDone,MIN(F_MortPayM,H71+H71*(F_MR/12)),0)</f>
        <v>0</v>
      </c>
      <c r="V71" s="1" t="n">
        <f aca="false">IF(I71&gt;PR_BalDone,MIN(F_MortPayM,I71+I71*(F_MR/12)),0)</f>
        <v>0</v>
      </c>
      <c r="W71" s="1" t="n">
        <f aca="false">IF(J71&gt;PR_BalDone,MIN(F_MortPayM,J71+J71*(F_MR/12)),0)</f>
        <v>0</v>
      </c>
      <c r="X71" s="1" t="n">
        <f aca="false">IF(K71&gt;PR_BalDone,MIN(F_MortPayM,K71+K71*(F_MR/12)),0)</f>
        <v>0</v>
      </c>
      <c r="Y71" s="1" t="n">
        <f aca="false">IF(L71&gt;PR_BalDone,MIN(F_MortPayM,L71+L71*(F_MR/12)),0)</f>
        <v>0</v>
      </c>
      <c r="Z71" s="1" t="n">
        <f aca="false">IF(M71&gt;PR_BalDone,MIN(F_MortPayM,M71+M71*(F_MR/12)),0)</f>
        <v>0</v>
      </c>
      <c r="AA71" s="1" t="n">
        <f aca="false">IF(N71&gt;PR_BalDone,MIN(F_MortPayM,N71+N71*(F_MR/12)),0)</f>
        <v>0</v>
      </c>
      <c r="AB71" s="1" t="n">
        <f aca="false">MAX(0,O71)</f>
        <v>0</v>
      </c>
      <c r="AC71" s="1" t="n">
        <f aca="false">SUM(P71:AA71)</f>
        <v>0</v>
      </c>
      <c r="AD71" s="1" t="n">
        <f aca="false">'Plan cashflow'!L71</f>
        <v>0</v>
      </c>
      <c r="AE71" s="1" t="n">
        <f aca="false">IF(AD71&gt;PR_BalDone,AD71+AD71*(D_iC)-MIN(F_CardPayM,AD71+AD71*(D_iC)),AD71)</f>
        <v>0</v>
      </c>
      <c r="AF71" s="1" t="n">
        <f aca="false">IF(AE71&gt;PR_BalDone,AE71+AE71*(D_iC)-MIN(F_CardPayM,AE71+AE71*(D_iC)),AE71)</f>
        <v>0</v>
      </c>
      <c r="AG71" s="1" t="n">
        <f aca="false">IF(AF71&gt;PR_BalDone,AF71+AF71*(D_iC)-MIN(F_CardPayM,AF71+AF71*(D_iC)),AF71)</f>
        <v>0</v>
      </c>
      <c r="AH71" s="1" t="n">
        <f aca="false">IF(AG71&gt;PR_BalDone,AG71+AG71*(D_iC)-MIN(F_CardPayM,AG71+AG71*(D_iC)),AG71)</f>
        <v>0</v>
      </c>
      <c r="AI71" s="1" t="n">
        <f aca="false">IF(AH71&gt;PR_BalDone,AH71+AH71*(D_iC)-MIN(F_CardPayM,AH71+AH71*(D_iC)),AH71)</f>
        <v>0</v>
      </c>
      <c r="AJ71" s="1" t="n">
        <f aca="false">IF(AI71&gt;PR_BalDone,AI71+AI71*(D_iC)-MIN(F_CardPayM,AI71+AI71*(D_iC)),AI71)</f>
        <v>0</v>
      </c>
      <c r="AK71" s="1" t="n">
        <f aca="false">IF(AJ71&gt;PR_BalDone,AJ71+AJ71*(D_iC)-MIN(F_CardPayM,AJ71+AJ71*(D_iC)),AJ71)</f>
        <v>0</v>
      </c>
      <c r="AL71" s="1" t="n">
        <f aca="false">IF(AK71&gt;PR_BalDone,AK71+AK71*(D_iC)-MIN(F_CardPayM,AK71+AK71*(D_iC)),AK71)</f>
        <v>0</v>
      </c>
      <c r="AM71" s="1" t="n">
        <f aca="false">IF(AL71&gt;PR_BalDone,AL71+AL71*(D_iC)-MIN(F_CardPayM,AL71+AL71*(D_iC)),AL71)</f>
        <v>0</v>
      </c>
      <c r="AN71" s="1" t="n">
        <f aca="false">IF(AM71&gt;PR_BalDone,AM71+AM71*(D_iC)-MIN(F_CardPayM,AM71+AM71*(D_iC)),AM71)</f>
        <v>0</v>
      </c>
      <c r="AO71" s="1" t="n">
        <f aca="false">IF(AN71&gt;PR_BalDone,AN71+AN71*(D_iC)-MIN(F_CardPayM,AN71+AN71*(D_iC)),AN71)</f>
        <v>0</v>
      </c>
      <c r="AP71" s="1" t="n">
        <f aca="false">IF(AO71&gt;PR_BalDone,AO71+AO71*(D_iC)-MIN(F_CardPayM,AO71+AO71*(D_iC)),AO71)</f>
        <v>0</v>
      </c>
      <c r="AQ71" s="1" t="n">
        <f aca="false">IF(AD71&gt;PR_BalDone,MIN(F_CardPayM,AD71+AD71*(D_iC)),0)</f>
        <v>0</v>
      </c>
      <c r="AR71" s="1" t="n">
        <f aca="false">IF(AE71&gt;PR_BalDone,MIN(F_CardPayM,AE71+AE71*(D_iC)),0)</f>
        <v>0</v>
      </c>
      <c r="AS71" s="1" t="n">
        <f aca="false">IF(AF71&gt;PR_BalDone,MIN(F_CardPayM,AF71+AF71*(D_iC)),0)</f>
        <v>0</v>
      </c>
      <c r="AT71" s="1" t="n">
        <f aca="false">IF(AG71&gt;PR_BalDone,MIN(F_CardPayM,AG71+AG71*(D_iC)),0)</f>
        <v>0</v>
      </c>
      <c r="AU71" s="1" t="n">
        <f aca="false">IF(AH71&gt;PR_BalDone,MIN(F_CardPayM,AH71+AH71*(D_iC)),0)</f>
        <v>0</v>
      </c>
      <c r="AV71" s="1" t="n">
        <f aca="false">IF(AI71&gt;PR_BalDone,MIN(F_CardPayM,AI71+AI71*(D_iC)),0)</f>
        <v>0</v>
      </c>
      <c r="AW71" s="1" t="n">
        <f aca="false">IF(AJ71&gt;PR_BalDone,MIN(F_CardPayM,AJ71+AJ71*(D_iC)),0)</f>
        <v>0</v>
      </c>
      <c r="AX71" s="1" t="n">
        <f aca="false">IF(AK71&gt;PR_BalDone,MIN(F_CardPayM,AK71+AK71*(D_iC)),0)</f>
        <v>0</v>
      </c>
      <c r="AY71" s="1" t="n">
        <f aca="false">IF(AL71&gt;PR_BalDone,MIN(F_CardPayM,AL71+AL71*(D_iC)),0)</f>
        <v>0</v>
      </c>
      <c r="AZ71" s="1" t="n">
        <f aca="false">IF(AM71&gt;PR_BalDone,MIN(F_CardPayM,AM71+AM71*(D_iC)),0)</f>
        <v>0</v>
      </c>
      <c r="BA71" s="1" t="n">
        <f aca="false">IF(AN71&gt;PR_BalDone,MIN(F_CardPayM,AN71+AN71*(D_iC)),0)</f>
        <v>0</v>
      </c>
      <c r="BB71" s="1" t="n">
        <f aca="false">IF(AO71&gt;PR_BalDone,MIN(F_CardPayM,AO71+AO71*(D_iC)),0)</f>
        <v>0</v>
      </c>
      <c r="BC71" s="1" t="n">
        <f aca="false">MAX(0,AP71)</f>
        <v>0</v>
      </c>
      <c r="BD71" s="1" t="n">
        <f aca="false">SUM(AQ71:BB71)</f>
        <v>0</v>
      </c>
      <c r="BE71" s="1" t="n">
        <f aca="false">'Plan cashflow'!O71</f>
        <v>0</v>
      </c>
      <c r="BF71" s="1" t="n">
        <f aca="false">IF(BE71&gt;PR_BalDone,BE71+BE71*(D_iL)-MIN(F_LoanPayM,BE71+BE71*(D_iL)),BE71)</f>
        <v>0</v>
      </c>
      <c r="BG71" s="1" t="n">
        <f aca="false">IF(BF71&gt;PR_BalDone,BF71+BF71*(D_iL)-MIN(F_LoanPayM,BF71+BF71*(D_iL)),BF71)</f>
        <v>0</v>
      </c>
      <c r="BH71" s="1" t="n">
        <f aca="false">IF(BG71&gt;PR_BalDone,BG71+BG71*(D_iL)-MIN(F_LoanPayM,BG71+BG71*(D_iL)),BG71)</f>
        <v>0</v>
      </c>
      <c r="BI71" s="1" t="n">
        <f aca="false">IF(BH71&gt;PR_BalDone,BH71+BH71*(D_iL)-MIN(F_LoanPayM,BH71+BH71*(D_iL)),BH71)</f>
        <v>0</v>
      </c>
      <c r="BJ71" s="1" t="n">
        <f aca="false">IF(BI71&gt;PR_BalDone,BI71+BI71*(D_iL)-MIN(F_LoanPayM,BI71+BI71*(D_iL)),BI71)</f>
        <v>0</v>
      </c>
      <c r="BK71" s="1" t="n">
        <f aca="false">IF(BJ71&gt;PR_BalDone,BJ71+BJ71*(D_iL)-MIN(F_LoanPayM,BJ71+BJ71*(D_iL)),BJ71)</f>
        <v>0</v>
      </c>
      <c r="BL71" s="1" t="n">
        <f aca="false">IF(BK71&gt;PR_BalDone,BK71+BK71*(D_iL)-MIN(F_LoanPayM,BK71+BK71*(D_iL)),BK71)</f>
        <v>0</v>
      </c>
      <c r="BM71" s="1" t="n">
        <f aca="false">IF(BL71&gt;PR_BalDone,BL71+BL71*(D_iL)-MIN(F_LoanPayM,BL71+BL71*(D_iL)),BL71)</f>
        <v>0</v>
      </c>
      <c r="BN71" s="1" t="n">
        <f aca="false">IF(BM71&gt;PR_BalDone,BM71+BM71*(D_iL)-MIN(F_LoanPayM,BM71+BM71*(D_iL)),BM71)</f>
        <v>0</v>
      </c>
      <c r="BO71" s="1" t="n">
        <f aca="false">IF(BN71&gt;PR_BalDone,BN71+BN71*(D_iL)-MIN(F_LoanPayM,BN71+BN71*(D_iL)),BN71)</f>
        <v>0</v>
      </c>
      <c r="BP71" s="1" t="n">
        <f aca="false">IF(BO71&gt;PR_BalDone,BO71+BO71*(D_iL)-MIN(F_LoanPayM,BO71+BO71*(D_iL)),BO71)</f>
        <v>0</v>
      </c>
      <c r="BQ71" s="1" t="n">
        <f aca="false">IF(BP71&gt;PR_BalDone,BP71+BP71*(D_iL)-MIN(F_LoanPayM,BP71+BP71*(D_iL)),BP71)</f>
        <v>0</v>
      </c>
      <c r="BR71" s="1" t="n">
        <f aca="false">IF(BE71&gt;PR_BalDone,MIN(F_LoanPayM,BE71+BE71*(D_iL)),0)</f>
        <v>0</v>
      </c>
      <c r="BS71" s="1" t="n">
        <f aca="false">IF(BF71&gt;PR_BalDone,MIN(F_LoanPayM,BF71+BF71*(D_iL)),0)</f>
        <v>0</v>
      </c>
      <c r="BT71" s="1" t="n">
        <f aca="false">IF(BG71&gt;PR_BalDone,MIN(F_LoanPayM,BG71+BG71*(D_iL)),0)</f>
        <v>0</v>
      </c>
      <c r="BU71" s="1" t="n">
        <f aca="false">IF(BH71&gt;PR_BalDone,MIN(F_LoanPayM,BH71+BH71*(D_iL)),0)</f>
        <v>0</v>
      </c>
      <c r="BV71" s="1" t="n">
        <f aca="false">IF(BI71&gt;PR_BalDone,MIN(F_LoanPayM,BI71+BI71*(D_iL)),0)</f>
        <v>0</v>
      </c>
      <c r="BW71" s="1" t="n">
        <f aca="false">IF(BJ71&gt;PR_BalDone,MIN(F_LoanPayM,BJ71+BJ71*(D_iL)),0)</f>
        <v>0</v>
      </c>
      <c r="BX71" s="1" t="n">
        <f aca="false">IF(BK71&gt;PR_BalDone,MIN(F_LoanPayM,BK71+BK71*(D_iL)),0)</f>
        <v>0</v>
      </c>
      <c r="BY71" s="1" t="n">
        <f aca="false">IF(BL71&gt;PR_BalDone,MIN(F_LoanPayM,BL71+BL71*(D_iL)),0)</f>
        <v>0</v>
      </c>
      <c r="BZ71" s="1" t="n">
        <f aca="false">IF(BM71&gt;PR_BalDone,MIN(F_LoanPayM,BM71+BM71*(D_iL)),0)</f>
        <v>0</v>
      </c>
      <c r="CA71" s="1" t="n">
        <f aca="false">IF(BN71&gt;PR_BalDone,MIN(F_LoanPayM,BN71+BN71*(D_iL)),0)</f>
        <v>0</v>
      </c>
      <c r="CB71" s="1" t="n">
        <f aca="false">IF(BO71&gt;PR_BalDone,MIN(F_LoanPayM,BO71+BO71*(D_iL)),0)</f>
        <v>0</v>
      </c>
      <c r="CC71" s="1" t="n">
        <f aca="false">IF(BP71&gt;PR_BalDone,MIN(F_LoanPayM,BP71+BP71*(D_iL)),0)</f>
        <v>0</v>
      </c>
      <c r="CD71" s="1" t="n">
        <f aca="false">MAX(0,BQ71)</f>
        <v>0</v>
      </c>
      <c r="CE71" s="1" t="n">
        <f aca="false">SUM(BR71:CC71)</f>
        <v>0</v>
      </c>
      <c r="CF71" s="1" t="n">
        <f aca="false">IF(CF70&gt;1,DE70,CF70)</f>
        <v>0</v>
      </c>
      <c r="CG71" s="1" t="n">
        <f aca="false">IF(CF71&gt;PR_BalDone,CF71+CF71*(F_MR/12)-MIN(F_MortPayM,CF71+CF71*(F_MR/12)),CF71)</f>
        <v>0</v>
      </c>
      <c r="CH71" s="1" t="n">
        <f aca="false">IF(CG71&gt;PR_BalDone,CG71+CG71*(F_MR/12)-MIN(F_MortPayM,CG71+CG71*(F_MR/12)),CG71)</f>
        <v>0</v>
      </c>
      <c r="CI71" s="1" t="n">
        <f aca="false">IF(CH71&gt;PR_BalDone,CH71+CH71*(F_MR/12)-MIN(F_MortPayM,CH71+CH71*(F_MR/12)),CH71)</f>
        <v>0</v>
      </c>
      <c r="CJ71" s="1" t="n">
        <f aca="false">IF(CI71&gt;PR_BalDone,CI71+CI71*(F_MR/12)-MIN(F_MortPayM,CI71+CI71*(F_MR/12)),CI71)</f>
        <v>0</v>
      </c>
      <c r="CK71" s="1" t="n">
        <f aca="false">IF(CJ71&gt;PR_BalDone,CJ71+CJ71*(F_MR/12)-MIN(F_MortPayM,CJ71+CJ71*(F_MR/12)),CJ71)</f>
        <v>0</v>
      </c>
      <c r="CL71" s="1" t="n">
        <f aca="false">IF(CK71&gt;PR_BalDone,CK71+CK71*(F_MR/12)-MIN(F_MortPayM,CK71+CK71*(F_MR/12)),CK71)</f>
        <v>0</v>
      </c>
      <c r="CM71" s="1" t="n">
        <f aca="false">IF(CL71&gt;PR_BalDone,CL71+CL71*(F_MR/12)-MIN(F_MortPayM,CL71+CL71*(F_MR/12)),CL71)</f>
        <v>0</v>
      </c>
      <c r="CN71" s="1" t="n">
        <f aca="false">IF(CM71&gt;PR_BalDone,CM71+CM71*(F_MR/12)-MIN(F_MortPayM,CM71+CM71*(F_MR/12)),CM71)</f>
        <v>0</v>
      </c>
      <c r="CO71" s="1" t="n">
        <f aca="false">IF(CN71&gt;PR_BalDone,CN71+CN71*(F_MR/12)-MIN(F_MortPayM,CN71+CN71*(F_MR/12)),CN71)</f>
        <v>0</v>
      </c>
      <c r="CP71" s="1" t="n">
        <f aca="false">IF(CO71&gt;PR_BalDone,CO71+CO71*(F_MR/12)-MIN(F_MortPayM,CO71+CO71*(F_MR/12)),CO71)</f>
        <v>0</v>
      </c>
      <c r="CQ71" s="1" t="n">
        <f aca="false">IF(CP71&gt;PR_BalDone,CP71+CP71*(F_MR/12)-MIN(F_MortPayM,CP71+CP71*(F_MR/12)),CP71)</f>
        <v>0</v>
      </c>
      <c r="CR71" s="1" t="n">
        <f aca="false">IF(CQ71&gt;PR_BalDone,CQ71+CQ71*(F_MR/12)-MIN(F_MortPayM,CQ71+CQ71*(F_MR/12)),CQ71)</f>
        <v>0</v>
      </c>
      <c r="CS71" s="1" t="n">
        <f aca="false">IF(CF71&gt;PR_BalDone,MIN(F_MortPayM,CF71+CF71*(F_MR/12)),0)</f>
        <v>0</v>
      </c>
      <c r="CT71" s="1" t="n">
        <f aca="false">IF(CG71&gt;PR_BalDone,MIN(F_MortPayM,CG71+CG71*(F_MR/12)),0)</f>
        <v>0</v>
      </c>
      <c r="CU71" s="1" t="n">
        <f aca="false">IF(CH71&gt;PR_BalDone,MIN(F_MortPayM,CH71+CH71*(F_MR/12)),0)</f>
        <v>0</v>
      </c>
      <c r="CV71" s="1" t="n">
        <f aca="false">IF(CI71&gt;PR_BalDone,MIN(F_MortPayM,CI71+CI71*(F_MR/12)),0)</f>
        <v>0</v>
      </c>
      <c r="CW71" s="1" t="n">
        <f aca="false">IF(CJ71&gt;PR_BalDone,MIN(F_MortPayM,CJ71+CJ71*(F_MR/12)),0)</f>
        <v>0</v>
      </c>
      <c r="CX71" s="1" t="n">
        <f aca="false">IF(CK71&gt;PR_BalDone,MIN(F_MortPayM,CK71+CK71*(F_MR/12)),0)</f>
        <v>0</v>
      </c>
      <c r="CY71" s="1" t="n">
        <f aca="false">IF(CL71&gt;PR_BalDone,MIN(F_MortPayM,CL71+CL71*(F_MR/12)),0)</f>
        <v>0</v>
      </c>
      <c r="CZ71" s="1" t="n">
        <f aca="false">IF(CM71&gt;PR_BalDone,MIN(F_MortPayM,CM71+CM71*(F_MR/12)),0)</f>
        <v>0</v>
      </c>
      <c r="DA71" s="1" t="n">
        <f aca="false">IF(CN71&gt;PR_BalDone,MIN(F_MortPayM,CN71+CN71*(F_MR/12)),0)</f>
        <v>0</v>
      </c>
      <c r="DB71" s="1" t="n">
        <f aca="false">IF(CO71&gt;PR_BalDone,MIN(F_MortPayM,CO71+CO71*(F_MR/12)),0)</f>
        <v>0</v>
      </c>
      <c r="DC71" s="1" t="n">
        <f aca="false">IF(CP71&gt;PR_BalDone,MIN(F_MortPayM,CP71+CP71*(F_MR/12)),0)</f>
        <v>0</v>
      </c>
      <c r="DD71" s="1" t="n">
        <f aca="false">IF(CQ71&gt;PR_BalDone,MIN(F_MortPayM,CQ71+CQ71*(F_MR/12)),0)</f>
        <v>0</v>
      </c>
      <c r="DE71" s="1" t="n">
        <f aca="false">MAX(0,CR71)</f>
        <v>0</v>
      </c>
      <c r="DF71" s="1" t="n">
        <f aca="false">SUM(CS71:DD71)</f>
        <v>0</v>
      </c>
      <c r="DG71" s="1" t="n">
        <f aca="false">MAX(0,CF71)</f>
        <v>0</v>
      </c>
    </row>
    <row r="72" customFormat="false" ht="15" hidden="false" customHeight="true" outlineLevel="0" collapsed="false">
      <c r="B72" s="1" t="n">
        <v>64</v>
      </c>
      <c r="C72" s="1" t="n">
        <f aca="false">'Plan cashflow'!I72</f>
        <v>0</v>
      </c>
      <c r="D72" s="1" t="n">
        <f aca="false">IF(C72&gt;PR_BalDone,C72+C72*(F_MR/12)-MIN(F_MortPayM,C72+C72*(F_MR/12)),C72)</f>
        <v>0</v>
      </c>
      <c r="E72" s="1" t="n">
        <f aca="false">IF(D72&gt;PR_BalDone,D72+D72*(F_MR/12)-MIN(F_MortPayM,D72+D72*(F_MR/12)),D72)</f>
        <v>0</v>
      </c>
      <c r="F72" s="1" t="n">
        <f aca="false">IF(E72&gt;PR_BalDone,E72+E72*(F_MR/12)-MIN(F_MortPayM,E72+E72*(F_MR/12)),E72)</f>
        <v>0</v>
      </c>
      <c r="G72" s="1" t="n">
        <f aca="false">IF(F72&gt;PR_BalDone,F72+F72*(F_MR/12)-MIN(F_MortPayM,F72+F72*(F_MR/12)),F72)</f>
        <v>0</v>
      </c>
      <c r="H72" s="1" t="n">
        <f aca="false">IF(G72&gt;PR_BalDone,G72+G72*(F_MR/12)-MIN(F_MortPayM,G72+G72*(F_MR/12)),G72)</f>
        <v>0</v>
      </c>
      <c r="I72" s="1" t="n">
        <f aca="false">IF(H72&gt;PR_BalDone,H72+H72*(F_MR/12)-MIN(F_MortPayM,H72+H72*(F_MR/12)),H72)</f>
        <v>0</v>
      </c>
      <c r="J72" s="1" t="n">
        <f aca="false">IF(I72&gt;PR_BalDone,I72+I72*(F_MR/12)-MIN(F_MortPayM,I72+I72*(F_MR/12)),I72)</f>
        <v>0</v>
      </c>
      <c r="K72" s="1" t="n">
        <f aca="false">IF(J72&gt;PR_BalDone,J72+J72*(F_MR/12)-MIN(F_MortPayM,J72+J72*(F_MR/12)),J72)</f>
        <v>0</v>
      </c>
      <c r="L72" s="1" t="n">
        <f aca="false">IF(K72&gt;PR_BalDone,K72+K72*(F_MR/12)-MIN(F_MortPayM,K72+K72*(F_MR/12)),K72)</f>
        <v>0</v>
      </c>
      <c r="M72" s="1" t="n">
        <f aca="false">IF(L72&gt;PR_BalDone,L72+L72*(F_MR/12)-MIN(F_MortPayM,L72+L72*(F_MR/12)),L72)</f>
        <v>0</v>
      </c>
      <c r="N72" s="1" t="n">
        <f aca="false">IF(M72&gt;PR_BalDone,M72+M72*(F_MR/12)-MIN(F_MortPayM,M72+M72*(F_MR/12)),M72)</f>
        <v>0</v>
      </c>
      <c r="O72" s="1" t="n">
        <f aca="false">IF(N72&gt;PR_BalDone,N72+N72*(F_MR/12)-MIN(F_MortPayM,N72+N72*(F_MR/12)),N72)</f>
        <v>0</v>
      </c>
      <c r="P72" s="1" t="n">
        <f aca="false">IF(C72&gt;PR_BalDone,MIN(F_MortPayM,C72+C72*(F_MR/12)),0)</f>
        <v>0</v>
      </c>
      <c r="Q72" s="1" t="n">
        <f aca="false">IF(D72&gt;PR_BalDone,MIN(F_MortPayM,D72+D72*(F_MR/12)),0)</f>
        <v>0</v>
      </c>
      <c r="R72" s="1" t="n">
        <f aca="false">IF(E72&gt;PR_BalDone,MIN(F_MortPayM,E72+E72*(F_MR/12)),0)</f>
        <v>0</v>
      </c>
      <c r="S72" s="1" t="n">
        <f aca="false">IF(F72&gt;PR_BalDone,MIN(F_MortPayM,F72+F72*(F_MR/12)),0)</f>
        <v>0</v>
      </c>
      <c r="T72" s="1" t="n">
        <f aca="false">IF(G72&gt;PR_BalDone,MIN(F_MortPayM,G72+G72*(F_MR/12)),0)</f>
        <v>0</v>
      </c>
      <c r="U72" s="1" t="n">
        <f aca="false">IF(H72&gt;PR_BalDone,MIN(F_MortPayM,H72+H72*(F_MR/12)),0)</f>
        <v>0</v>
      </c>
      <c r="V72" s="1" t="n">
        <f aca="false">IF(I72&gt;PR_BalDone,MIN(F_MortPayM,I72+I72*(F_MR/12)),0)</f>
        <v>0</v>
      </c>
      <c r="W72" s="1" t="n">
        <f aca="false">IF(J72&gt;PR_BalDone,MIN(F_MortPayM,J72+J72*(F_MR/12)),0)</f>
        <v>0</v>
      </c>
      <c r="X72" s="1" t="n">
        <f aca="false">IF(K72&gt;PR_BalDone,MIN(F_MortPayM,K72+K72*(F_MR/12)),0)</f>
        <v>0</v>
      </c>
      <c r="Y72" s="1" t="n">
        <f aca="false">IF(L72&gt;PR_BalDone,MIN(F_MortPayM,L72+L72*(F_MR/12)),0)</f>
        <v>0</v>
      </c>
      <c r="Z72" s="1" t="n">
        <f aca="false">IF(M72&gt;PR_BalDone,MIN(F_MortPayM,M72+M72*(F_MR/12)),0)</f>
        <v>0</v>
      </c>
      <c r="AA72" s="1" t="n">
        <f aca="false">IF(N72&gt;PR_BalDone,MIN(F_MortPayM,N72+N72*(F_MR/12)),0)</f>
        <v>0</v>
      </c>
      <c r="AB72" s="1" t="n">
        <f aca="false">MAX(0,O72)</f>
        <v>0</v>
      </c>
      <c r="AC72" s="1" t="n">
        <f aca="false">SUM(P72:AA72)</f>
        <v>0</v>
      </c>
      <c r="AD72" s="1" t="n">
        <f aca="false">'Plan cashflow'!L72</f>
        <v>0</v>
      </c>
      <c r="AE72" s="1" t="n">
        <f aca="false">IF(AD72&gt;PR_BalDone,AD72+AD72*(D_iC)-MIN(F_CardPayM,AD72+AD72*(D_iC)),AD72)</f>
        <v>0</v>
      </c>
      <c r="AF72" s="1" t="n">
        <f aca="false">IF(AE72&gt;PR_BalDone,AE72+AE72*(D_iC)-MIN(F_CardPayM,AE72+AE72*(D_iC)),AE72)</f>
        <v>0</v>
      </c>
      <c r="AG72" s="1" t="n">
        <f aca="false">IF(AF72&gt;PR_BalDone,AF72+AF72*(D_iC)-MIN(F_CardPayM,AF72+AF72*(D_iC)),AF72)</f>
        <v>0</v>
      </c>
      <c r="AH72" s="1" t="n">
        <f aca="false">IF(AG72&gt;PR_BalDone,AG72+AG72*(D_iC)-MIN(F_CardPayM,AG72+AG72*(D_iC)),AG72)</f>
        <v>0</v>
      </c>
      <c r="AI72" s="1" t="n">
        <f aca="false">IF(AH72&gt;PR_BalDone,AH72+AH72*(D_iC)-MIN(F_CardPayM,AH72+AH72*(D_iC)),AH72)</f>
        <v>0</v>
      </c>
      <c r="AJ72" s="1" t="n">
        <f aca="false">IF(AI72&gt;PR_BalDone,AI72+AI72*(D_iC)-MIN(F_CardPayM,AI72+AI72*(D_iC)),AI72)</f>
        <v>0</v>
      </c>
      <c r="AK72" s="1" t="n">
        <f aca="false">IF(AJ72&gt;PR_BalDone,AJ72+AJ72*(D_iC)-MIN(F_CardPayM,AJ72+AJ72*(D_iC)),AJ72)</f>
        <v>0</v>
      </c>
      <c r="AL72" s="1" t="n">
        <f aca="false">IF(AK72&gt;PR_BalDone,AK72+AK72*(D_iC)-MIN(F_CardPayM,AK72+AK72*(D_iC)),AK72)</f>
        <v>0</v>
      </c>
      <c r="AM72" s="1" t="n">
        <f aca="false">IF(AL72&gt;PR_BalDone,AL72+AL72*(D_iC)-MIN(F_CardPayM,AL72+AL72*(D_iC)),AL72)</f>
        <v>0</v>
      </c>
      <c r="AN72" s="1" t="n">
        <f aca="false">IF(AM72&gt;PR_BalDone,AM72+AM72*(D_iC)-MIN(F_CardPayM,AM72+AM72*(D_iC)),AM72)</f>
        <v>0</v>
      </c>
      <c r="AO72" s="1" t="n">
        <f aca="false">IF(AN72&gt;PR_BalDone,AN72+AN72*(D_iC)-MIN(F_CardPayM,AN72+AN72*(D_iC)),AN72)</f>
        <v>0</v>
      </c>
      <c r="AP72" s="1" t="n">
        <f aca="false">IF(AO72&gt;PR_BalDone,AO72+AO72*(D_iC)-MIN(F_CardPayM,AO72+AO72*(D_iC)),AO72)</f>
        <v>0</v>
      </c>
      <c r="AQ72" s="1" t="n">
        <f aca="false">IF(AD72&gt;PR_BalDone,MIN(F_CardPayM,AD72+AD72*(D_iC)),0)</f>
        <v>0</v>
      </c>
      <c r="AR72" s="1" t="n">
        <f aca="false">IF(AE72&gt;PR_BalDone,MIN(F_CardPayM,AE72+AE72*(D_iC)),0)</f>
        <v>0</v>
      </c>
      <c r="AS72" s="1" t="n">
        <f aca="false">IF(AF72&gt;PR_BalDone,MIN(F_CardPayM,AF72+AF72*(D_iC)),0)</f>
        <v>0</v>
      </c>
      <c r="AT72" s="1" t="n">
        <f aca="false">IF(AG72&gt;PR_BalDone,MIN(F_CardPayM,AG72+AG72*(D_iC)),0)</f>
        <v>0</v>
      </c>
      <c r="AU72" s="1" t="n">
        <f aca="false">IF(AH72&gt;PR_BalDone,MIN(F_CardPayM,AH72+AH72*(D_iC)),0)</f>
        <v>0</v>
      </c>
      <c r="AV72" s="1" t="n">
        <f aca="false">IF(AI72&gt;PR_BalDone,MIN(F_CardPayM,AI72+AI72*(D_iC)),0)</f>
        <v>0</v>
      </c>
      <c r="AW72" s="1" t="n">
        <f aca="false">IF(AJ72&gt;PR_BalDone,MIN(F_CardPayM,AJ72+AJ72*(D_iC)),0)</f>
        <v>0</v>
      </c>
      <c r="AX72" s="1" t="n">
        <f aca="false">IF(AK72&gt;PR_BalDone,MIN(F_CardPayM,AK72+AK72*(D_iC)),0)</f>
        <v>0</v>
      </c>
      <c r="AY72" s="1" t="n">
        <f aca="false">IF(AL72&gt;PR_BalDone,MIN(F_CardPayM,AL72+AL72*(D_iC)),0)</f>
        <v>0</v>
      </c>
      <c r="AZ72" s="1" t="n">
        <f aca="false">IF(AM72&gt;PR_BalDone,MIN(F_CardPayM,AM72+AM72*(D_iC)),0)</f>
        <v>0</v>
      </c>
      <c r="BA72" s="1" t="n">
        <f aca="false">IF(AN72&gt;PR_BalDone,MIN(F_CardPayM,AN72+AN72*(D_iC)),0)</f>
        <v>0</v>
      </c>
      <c r="BB72" s="1" t="n">
        <f aca="false">IF(AO72&gt;PR_BalDone,MIN(F_CardPayM,AO72+AO72*(D_iC)),0)</f>
        <v>0</v>
      </c>
      <c r="BC72" s="1" t="n">
        <f aca="false">MAX(0,AP72)</f>
        <v>0</v>
      </c>
      <c r="BD72" s="1" t="n">
        <f aca="false">SUM(AQ72:BB72)</f>
        <v>0</v>
      </c>
      <c r="BE72" s="1" t="n">
        <f aca="false">'Plan cashflow'!O72</f>
        <v>0</v>
      </c>
      <c r="BF72" s="1" t="n">
        <f aca="false">IF(BE72&gt;PR_BalDone,BE72+BE72*(D_iL)-MIN(F_LoanPayM,BE72+BE72*(D_iL)),BE72)</f>
        <v>0</v>
      </c>
      <c r="BG72" s="1" t="n">
        <f aca="false">IF(BF72&gt;PR_BalDone,BF72+BF72*(D_iL)-MIN(F_LoanPayM,BF72+BF72*(D_iL)),BF72)</f>
        <v>0</v>
      </c>
      <c r="BH72" s="1" t="n">
        <f aca="false">IF(BG72&gt;PR_BalDone,BG72+BG72*(D_iL)-MIN(F_LoanPayM,BG72+BG72*(D_iL)),BG72)</f>
        <v>0</v>
      </c>
      <c r="BI72" s="1" t="n">
        <f aca="false">IF(BH72&gt;PR_BalDone,BH72+BH72*(D_iL)-MIN(F_LoanPayM,BH72+BH72*(D_iL)),BH72)</f>
        <v>0</v>
      </c>
      <c r="BJ72" s="1" t="n">
        <f aca="false">IF(BI72&gt;PR_BalDone,BI72+BI72*(D_iL)-MIN(F_LoanPayM,BI72+BI72*(D_iL)),BI72)</f>
        <v>0</v>
      </c>
      <c r="BK72" s="1" t="n">
        <f aca="false">IF(BJ72&gt;PR_BalDone,BJ72+BJ72*(D_iL)-MIN(F_LoanPayM,BJ72+BJ72*(D_iL)),BJ72)</f>
        <v>0</v>
      </c>
      <c r="BL72" s="1" t="n">
        <f aca="false">IF(BK72&gt;PR_BalDone,BK72+BK72*(D_iL)-MIN(F_LoanPayM,BK72+BK72*(D_iL)),BK72)</f>
        <v>0</v>
      </c>
      <c r="BM72" s="1" t="n">
        <f aca="false">IF(BL72&gt;PR_BalDone,BL72+BL72*(D_iL)-MIN(F_LoanPayM,BL72+BL72*(D_iL)),BL72)</f>
        <v>0</v>
      </c>
      <c r="BN72" s="1" t="n">
        <f aca="false">IF(BM72&gt;PR_BalDone,BM72+BM72*(D_iL)-MIN(F_LoanPayM,BM72+BM72*(D_iL)),BM72)</f>
        <v>0</v>
      </c>
      <c r="BO72" s="1" t="n">
        <f aca="false">IF(BN72&gt;PR_BalDone,BN72+BN72*(D_iL)-MIN(F_LoanPayM,BN72+BN72*(D_iL)),BN72)</f>
        <v>0</v>
      </c>
      <c r="BP72" s="1" t="n">
        <f aca="false">IF(BO72&gt;PR_BalDone,BO72+BO72*(D_iL)-MIN(F_LoanPayM,BO72+BO72*(D_iL)),BO72)</f>
        <v>0</v>
      </c>
      <c r="BQ72" s="1" t="n">
        <f aca="false">IF(BP72&gt;PR_BalDone,BP72+BP72*(D_iL)-MIN(F_LoanPayM,BP72+BP72*(D_iL)),BP72)</f>
        <v>0</v>
      </c>
      <c r="BR72" s="1" t="n">
        <f aca="false">IF(BE72&gt;PR_BalDone,MIN(F_LoanPayM,BE72+BE72*(D_iL)),0)</f>
        <v>0</v>
      </c>
      <c r="BS72" s="1" t="n">
        <f aca="false">IF(BF72&gt;PR_BalDone,MIN(F_LoanPayM,BF72+BF72*(D_iL)),0)</f>
        <v>0</v>
      </c>
      <c r="BT72" s="1" t="n">
        <f aca="false">IF(BG72&gt;PR_BalDone,MIN(F_LoanPayM,BG72+BG72*(D_iL)),0)</f>
        <v>0</v>
      </c>
      <c r="BU72" s="1" t="n">
        <f aca="false">IF(BH72&gt;PR_BalDone,MIN(F_LoanPayM,BH72+BH72*(D_iL)),0)</f>
        <v>0</v>
      </c>
      <c r="BV72" s="1" t="n">
        <f aca="false">IF(BI72&gt;PR_BalDone,MIN(F_LoanPayM,BI72+BI72*(D_iL)),0)</f>
        <v>0</v>
      </c>
      <c r="BW72" s="1" t="n">
        <f aca="false">IF(BJ72&gt;PR_BalDone,MIN(F_LoanPayM,BJ72+BJ72*(D_iL)),0)</f>
        <v>0</v>
      </c>
      <c r="BX72" s="1" t="n">
        <f aca="false">IF(BK72&gt;PR_BalDone,MIN(F_LoanPayM,BK72+BK72*(D_iL)),0)</f>
        <v>0</v>
      </c>
      <c r="BY72" s="1" t="n">
        <f aca="false">IF(BL72&gt;PR_BalDone,MIN(F_LoanPayM,BL72+BL72*(D_iL)),0)</f>
        <v>0</v>
      </c>
      <c r="BZ72" s="1" t="n">
        <f aca="false">IF(BM72&gt;PR_BalDone,MIN(F_LoanPayM,BM72+BM72*(D_iL)),0)</f>
        <v>0</v>
      </c>
      <c r="CA72" s="1" t="n">
        <f aca="false">IF(BN72&gt;PR_BalDone,MIN(F_LoanPayM,BN72+BN72*(D_iL)),0)</f>
        <v>0</v>
      </c>
      <c r="CB72" s="1" t="n">
        <f aca="false">IF(BO72&gt;PR_BalDone,MIN(F_LoanPayM,BO72+BO72*(D_iL)),0)</f>
        <v>0</v>
      </c>
      <c r="CC72" s="1" t="n">
        <f aca="false">IF(BP72&gt;PR_BalDone,MIN(F_LoanPayM,BP72+BP72*(D_iL)),0)</f>
        <v>0</v>
      </c>
      <c r="CD72" s="1" t="n">
        <f aca="false">MAX(0,BQ72)</f>
        <v>0</v>
      </c>
      <c r="CE72" s="1" t="n">
        <f aca="false">SUM(BR72:CC72)</f>
        <v>0</v>
      </c>
      <c r="CF72" s="1" t="n">
        <f aca="false">IF(CF71&gt;1,DE71,CF71)</f>
        <v>0</v>
      </c>
      <c r="CG72" s="1" t="n">
        <f aca="false">IF(CF72&gt;PR_BalDone,CF72+CF72*(F_MR/12)-MIN(F_MortPayM,CF72+CF72*(F_MR/12)),CF72)</f>
        <v>0</v>
      </c>
      <c r="CH72" s="1" t="n">
        <f aca="false">IF(CG72&gt;PR_BalDone,CG72+CG72*(F_MR/12)-MIN(F_MortPayM,CG72+CG72*(F_MR/12)),CG72)</f>
        <v>0</v>
      </c>
      <c r="CI72" s="1" t="n">
        <f aca="false">IF(CH72&gt;PR_BalDone,CH72+CH72*(F_MR/12)-MIN(F_MortPayM,CH72+CH72*(F_MR/12)),CH72)</f>
        <v>0</v>
      </c>
      <c r="CJ72" s="1" t="n">
        <f aca="false">IF(CI72&gt;PR_BalDone,CI72+CI72*(F_MR/12)-MIN(F_MortPayM,CI72+CI72*(F_MR/12)),CI72)</f>
        <v>0</v>
      </c>
      <c r="CK72" s="1" t="n">
        <f aca="false">IF(CJ72&gt;PR_BalDone,CJ72+CJ72*(F_MR/12)-MIN(F_MortPayM,CJ72+CJ72*(F_MR/12)),CJ72)</f>
        <v>0</v>
      </c>
      <c r="CL72" s="1" t="n">
        <f aca="false">IF(CK72&gt;PR_BalDone,CK72+CK72*(F_MR/12)-MIN(F_MortPayM,CK72+CK72*(F_MR/12)),CK72)</f>
        <v>0</v>
      </c>
      <c r="CM72" s="1" t="n">
        <f aca="false">IF(CL72&gt;PR_BalDone,CL72+CL72*(F_MR/12)-MIN(F_MortPayM,CL72+CL72*(F_MR/12)),CL72)</f>
        <v>0</v>
      </c>
      <c r="CN72" s="1" t="n">
        <f aca="false">IF(CM72&gt;PR_BalDone,CM72+CM72*(F_MR/12)-MIN(F_MortPayM,CM72+CM72*(F_MR/12)),CM72)</f>
        <v>0</v>
      </c>
      <c r="CO72" s="1" t="n">
        <f aca="false">IF(CN72&gt;PR_BalDone,CN72+CN72*(F_MR/12)-MIN(F_MortPayM,CN72+CN72*(F_MR/12)),CN72)</f>
        <v>0</v>
      </c>
      <c r="CP72" s="1" t="n">
        <f aca="false">IF(CO72&gt;PR_BalDone,CO72+CO72*(F_MR/12)-MIN(F_MortPayM,CO72+CO72*(F_MR/12)),CO72)</f>
        <v>0</v>
      </c>
      <c r="CQ72" s="1" t="n">
        <f aca="false">IF(CP72&gt;PR_BalDone,CP72+CP72*(F_MR/12)-MIN(F_MortPayM,CP72+CP72*(F_MR/12)),CP72)</f>
        <v>0</v>
      </c>
      <c r="CR72" s="1" t="n">
        <f aca="false">IF(CQ72&gt;PR_BalDone,CQ72+CQ72*(F_MR/12)-MIN(F_MortPayM,CQ72+CQ72*(F_MR/12)),CQ72)</f>
        <v>0</v>
      </c>
      <c r="CS72" s="1" t="n">
        <f aca="false">IF(CF72&gt;PR_BalDone,MIN(F_MortPayM,CF72+CF72*(F_MR/12)),0)</f>
        <v>0</v>
      </c>
      <c r="CT72" s="1" t="n">
        <f aca="false">IF(CG72&gt;PR_BalDone,MIN(F_MortPayM,CG72+CG72*(F_MR/12)),0)</f>
        <v>0</v>
      </c>
      <c r="CU72" s="1" t="n">
        <f aca="false">IF(CH72&gt;PR_BalDone,MIN(F_MortPayM,CH72+CH72*(F_MR/12)),0)</f>
        <v>0</v>
      </c>
      <c r="CV72" s="1" t="n">
        <f aca="false">IF(CI72&gt;PR_BalDone,MIN(F_MortPayM,CI72+CI72*(F_MR/12)),0)</f>
        <v>0</v>
      </c>
      <c r="CW72" s="1" t="n">
        <f aca="false">IF(CJ72&gt;PR_BalDone,MIN(F_MortPayM,CJ72+CJ72*(F_MR/12)),0)</f>
        <v>0</v>
      </c>
      <c r="CX72" s="1" t="n">
        <f aca="false">IF(CK72&gt;PR_BalDone,MIN(F_MortPayM,CK72+CK72*(F_MR/12)),0)</f>
        <v>0</v>
      </c>
      <c r="CY72" s="1" t="n">
        <f aca="false">IF(CL72&gt;PR_BalDone,MIN(F_MortPayM,CL72+CL72*(F_MR/12)),0)</f>
        <v>0</v>
      </c>
      <c r="CZ72" s="1" t="n">
        <f aca="false">IF(CM72&gt;PR_BalDone,MIN(F_MortPayM,CM72+CM72*(F_MR/12)),0)</f>
        <v>0</v>
      </c>
      <c r="DA72" s="1" t="n">
        <f aca="false">IF(CN72&gt;PR_BalDone,MIN(F_MortPayM,CN72+CN72*(F_MR/12)),0)</f>
        <v>0</v>
      </c>
      <c r="DB72" s="1" t="n">
        <f aca="false">IF(CO72&gt;PR_BalDone,MIN(F_MortPayM,CO72+CO72*(F_MR/12)),0)</f>
        <v>0</v>
      </c>
      <c r="DC72" s="1" t="n">
        <f aca="false">IF(CP72&gt;PR_BalDone,MIN(F_MortPayM,CP72+CP72*(F_MR/12)),0)</f>
        <v>0</v>
      </c>
      <c r="DD72" s="1" t="n">
        <f aca="false">IF(CQ72&gt;PR_BalDone,MIN(F_MortPayM,CQ72+CQ72*(F_MR/12)),0)</f>
        <v>0</v>
      </c>
      <c r="DE72" s="1" t="n">
        <f aca="false">MAX(0,CR72)</f>
        <v>0</v>
      </c>
      <c r="DF72" s="1" t="n">
        <f aca="false">SUM(CS72:DD72)</f>
        <v>0</v>
      </c>
      <c r="DG72" s="1" t="n">
        <f aca="false">MAX(0,CF72)</f>
        <v>0</v>
      </c>
    </row>
    <row r="73" customFormat="false" ht="15" hidden="false" customHeight="true" outlineLevel="0" collapsed="false">
      <c r="B73" s="1" t="n">
        <v>65</v>
      </c>
      <c r="C73" s="1" t="n">
        <f aca="false">'Plan cashflow'!I73</f>
        <v>0</v>
      </c>
      <c r="D73" s="1" t="n">
        <f aca="false">IF(C73&gt;PR_BalDone,C73+C73*(F_MR/12)-MIN(F_MortPayM,C73+C73*(F_MR/12)),C73)</f>
        <v>0</v>
      </c>
      <c r="E73" s="1" t="n">
        <f aca="false">IF(D73&gt;PR_BalDone,D73+D73*(F_MR/12)-MIN(F_MortPayM,D73+D73*(F_MR/12)),D73)</f>
        <v>0</v>
      </c>
      <c r="F73" s="1" t="n">
        <f aca="false">IF(E73&gt;PR_BalDone,E73+E73*(F_MR/12)-MIN(F_MortPayM,E73+E73*(F_MR/12)),E73)</f>
        <v>0</v>
      </c>
      <c r="G73" s="1" t="n">
        <f aca="false">IF(F73&gt;PR_BalDone,F73+F73*(F_MR/12)-MIN(F_MortPayM,F73+F73*(F_MR/12)),F73)</f>
        <v>0</v>
      </c>
      <c r="H73" s="1" t="n">
        <f aca="false">IF(G73&gt;PR_BalDone,G73+G73*(F_MR/12)-MIN(F_MortPayM,G73+G73*(F_MR/12)),G73)</f>
        <v>0</v>
      </c>
      <c r="I73" s="1" t="n">
        <f aca="false">IF(H73&gt;PR_BalDone,H73+H73*(F_MR/12)-MIN(F_MortPayM,H73+H73*(F_MR/12)),H73)</f>
        <v>0</v>
      </c>
      <c r="J73" s="1" t="n">
        <f aca="false">IF(I73&gt;PR_BalDone,I73+I73*(F_MR/12)-MIN(F_MortPayM,I73+I73*(F_MR/12)),I73)</f>
        <v>0</v>
      </c>
      <c r="K73" s="1" t="n">
        <f aca="false">IF(J73&gt;PR_BalDone,J73+J73*(F_MR/12)-MIN(F_MortPayM,J73+J73*(F_MR/12)),J73)</f>
        <v>0</v>
      </c>
      <c r="L73" s="1" t="n">
        <f aca="false">IF(K73&gt;PR_BalDone,K73+K73*(F_MR/12)-MIN(F_MortPayM,K73+K73*(F_MR/12)),K73)</f>
        <v>0</v>
      </c>
      <c r="M73" s="1" t="n">
        <f aca="false">IF(L73&gt;PR_BalDone,L73+L73*(F_MR/12)-MIN(F_MortPayM,L73+L73*(F_MR/12)),L73)</f>
        <v>0</v>
      </c>
      <c r="N73" s="1" t="n">
        <f aca="false">IF(M73&gt;PR_BalDone,M73+M73*(F_MR/12)-MIN(F_MortPayM,M73+M73*(F_MR/12)),M73)</f>
        <v>0</v>
      </c>
      <c r="O73" s="1" t="n">
        <f aca="false">IF(N73&gt;PR_BalDone,N73+N73*(F_MR/12)-MIN(F_MortPayM,N73+N73*(F_MR/12)),N73)</f>
        <v>0</v>
      </c>
      <c r="P73" s="1" t="n">
        <f aca="false">IF(C73&gt;PR_BalDone,MIN(F_MortPayM,C73+C73*(F_MR/12)),0)</f>
        <v>0</v>
      </c>
      <c r="Q73" s="1" t="n">
        <f aca="false">IF(D73&gt;PR_BalDone,MIN(F_MortPayM,D73+D73*(F_MR/12)),0)</f>
        <v>0</v>
      </c>
      <c r="R73" s="1" t="n">
        <f aca="false">IF(E73&gt;PR_BalDone,MIN(F_MortPayM,E73+E73*(F_MR/12)),0)</f>
        <v>0</v>
      </c>
      <c r="S73" s="1" t="n">
        <f aca="false">IF(F73&gt;PR_BalDone,MIN(F_MortPayM,F73+F73*(F_MR/12)),0)</f>
        <v>0</v>
      </c>
      <c r="T73" s="1" t="n">
        <f aca="false">IF(G73&gt;PR_BalDone,MIN(F_MortPayM,G73+G73*(F_MR/12)),0)</f>
        <v>0</v>
      </c>
      <c r="U73" s="1" t="n">
        <f aca="false">IF(H73&gt;PR_BalDone,MIN(F_MortPayM,H73+H73*(F_MR/12)),0)</f>
        <v>0</v>
      </c>
      <c r="V73" s="1" t="n">
        <f aca="false">IF(I73&gt;PR_BalDone,MIN(F_MortPayM,I73+I73*(F_MR/12)),0)</f>
        <v>0</v>
      </c>
      <c r="W73" s="1" t="n">
        <f aca="false">IF(J73&gt;PR_BalDone,MIN(F_MortPayM,J73+J73*(F_MR/12)),0)</f>
        <v>0</v>
      </c>
      <c r="X73" s="1" t="n">
        <f aca="false">IF(K73&gt;PR_BalDone,MIN(F_MortPayM,K73+K73*(F_MR/12)),0)</f>
        <v>0</v>
      </c>
      <c r="Y73" s="1" t="n">
        <f aca="false">IF(L73&gt;PR_BalDone,MIN(F_MortPayM,L73+L73*(F_MR/12)),0)</f>
        <v>0</v>
      </c>
      <c r="Z73" s="1" t="n">
        <f aca="false">IF(M73&gt;PR_BalDone,MIN(F_MortPayM,M73+M73*(F_MR/12)),0)</f>
        <v>0</v>
      </c>
      <c r="AA73" s="1" t="n">
        <f aca="false">IF(N73&gt;PR_BalDone,MIN(F_MortPayM,N73+N73*(F_MR/12)),0)</f>
        <v>0</v>
      </c>
      <c r="AB73" s="1" t="n">
        <f aca="false">MAX(0,O73)</f>
        <v>0</v>
      </c>
      <c r="AC73" s="1" t="n">
        <f aca="false">SUM(P73:AA73)</f>
        <v>0</v>
      </c>
      <c r="AD73" s="1" t="n">
        <f aca="false">'Plan cashflow'!L73</f>
        <v>0</v>
      </c>
      <c r="AE73" s="1" t="n">
        <f aca="false">IF(AD73&gt;PR_BalDone,AD73+AD73*(D_iC)-MIN(F_CardPayM,AD73+AD73*(D_iC)),AD73)</f>
        <v>0</v>
      </c>
      <c r="AF73" s="1" t="n">
        <f aca="false">IF(AE73&gt;PR_BalDone,AE73+AE73*(D_iC)-MIN(F_CardPayM,AE73+AE73*(D_iC)),AE73)</f>
        <v>0</v>
      </c>
      <c r="AG73" s="1" t="n">
        <f aca="false">IF(AF73&gt;PR_BalDone,AF73+AF73*(D_iC)-MIN(F_CardPayM,AF73+AF73*(D_iC)),AF73)</f>
        <v>0</v>
      </c>
      <c r="AH73" s="1" t="n">
        <f aca="false">IF(AG73&gt;PR_BalDone,AG73+AG73*(D_iC)-MIN(F_CardPayM,AG73+AG73*(D_iC)),AG73)</f>
        <v>0</v>
      </c>
      <c r="AI73" s="1" t="n">
        <f aca="false">IF(AH73&gt;PR_BalDone,AH73+AH73*(D_iC)-MIN(F_CardPayM,AH73+AH73*(D_iC)),AH73)</f>
        <v>0</v>
      </c>
      <c r="AJ73" s="1" t="n">
        <f aca="false">IF(AI73&gt;PR_BalDone,AI73+AI73*(D_iC)-MIN(F_CardPayM,AI73+AI73*(D_iC)),AI73)</f>
        <v>0</v>
      </c>
      <c r="AK73" s="1" t="n">
        <f aca="false">IF(AJ73&gt;PR_BalDone,AJ73+AJ73*(D_iC)-MIN(F_CardPayM,AJ73+AJ73*(D_iC)),AJ73)</f>
        <v>0</v>
      </c>
      <c r="AL73" s="1" t="n">
        <f aca="false">IF(AK73&gt;PR_BalDone,AK73+AK73*(D_iC)-MIN(F_CardPayM,AK73+AK73*(D_iC)),AK73)</f>
        <v>0</v>
      </c>
      <c r="AM73" s="1" t="n">
        <f aca="false">IF(AL73&gt;PR_BalDone,AL73+AL73*(D_iC)-MIN(F_CardPayM,AL73+AL73*(D_iC)),AL73)</f>
        <v>0</v>
      </c>
      <c r="AN73" s="1" t="n">
        <f aca="false">IF(AM73&gt;PR_BalDone,AM73+AM73*(D_iC)-MIN(F_CardPayM,AM73+AM73*(D_iC)),AM73)</f>
        <v>0</v>
      </c>
      <c r="AO73" s="1" t="n">
        <f aca="false">IF(AN73&gt;PR_BalDone,AN73+AN73*(D_iC)-MIN(F_CardPayM,AN73+AN73*(D_iC)),AN73)</f>
        <v>0</v>
      </c>
      <c r="AP73" s="1" t="n">
        <f aca="false">IF(AO73&gt;PR_BalDone,AO73+AO73*(D_iC)-MIN(F_CardPayM,AO73+AO73*(D_iC)),AO73)</f>
        <v>0</v>
      </c>
      <c r="AQ73" s="1" t="n">
        <f aca="false">IF(AD73&gt;PR_BalDone,MIN(F_CardPayM,AD73+AD73*(D_iC)),0)</f>
        <v>0</v>
      </c>
      <c r="AR73" s="1" t="n">
        <f aca="false">IF(AE73&gt;PR_BalDone,MIN(F_CardPayM,AE73+AE73*(D_iC)),0)</f>
        <v>0</v>
      </c>
      <c r="AS73" s="1" t="n">
        <f aca="false">IF(AF73&gt;PR_BalDone,MIN(F_CardPayM,AF73+AF73*(D_iC)),0)</f>
        <v>0</v>
      </c>
      <c r="AT73" s="1" t="n">
        <f aca="false">IF(AG73&gt;PR_BalDone,MIN(F_CardPayM,AG73+AG73*(D_iC)),0)</f>
        <v>0</v>
      </c>
      <c r="AU73" s="1" t="n">
        <f aca="false">IF(AH73&gt;PR_BalDone,MIN(F_CardPayM,AH73+AH73*(D_iC)),0)</f>
        <v>0</v>
      </c>
      <c r="AV73" s="1" t="n">
        <f aca="false">IF(AI73&gt;PR_BalDone,MIN(F_CardPayM,AI73+AI73*(D_iC)),0)</f>
        <v>0</v>
      </c>
      <c r="AW73" s="1" t="n">
        <f aca="false">IF(AJ73&gt;PR_BalDone,MIN(F_CardPayM,AJ73+AJ73*(D_iC)),0)</f>
        <v>0</v>
      </c>
      <c r="AX73" s="1" t="n">
        <f aca="false">IF(AK73&gt;PR_BalDone,MIN(F_CardPayM,AK73+AK73*(D_iC)),0)</f>
        <v>0</v>
      </c>
      <c r="AY73" s="1" t="n">
        <f aca="false">IF(AL73&gt;PR_BalDone,MIN(F_CardPayM,AL73+AL73*(D_iC)),0)</f>
        <v>0</v>
      </c>
      <c r="AZ73" s="1" t="n">
        <f aca="false">IF(AM73&gt;PR_BalDone,MIN(F_CardPayM,AM73+AM73*(D_iC)),0)</f>
        <v>0</v>
      </c>
      <c r="BA73" s="1" t="n">
        <f aca="false">IF(AN73&gt;PR_BalDone,MIN(F_CardPayM,AN73+AN73*(D_iC)),0)</f>
        <v>0</v>
      </c>
      <c r="BB73" s="1" t="n">
        <f aca="false">IF(AO73&gt;PR_BalDone,MIN(F_CardPayM,AO73+AO73*(D_iC)),0)</f>
        <v>0</v>
      </c>
      <c r="BC73" s="1" t="n">
        <f aca="false">MAX(0,AP73)</f>
        <v>0</v>
      </c>
      <c r="BD73" s="1" t="n">
        <f aca="false">SUM(AQ73:BB73)</f>
        <v>0</v>
      </c>
      <c r="BE73" s="1" t="n">
        <f aca="false">'Plan cashflow'!O73</f>
        <v>0</v>
      </c>
      <c r="BF73" s="1" t="n">
        <f aca="false">IF(BE73&gt;PR_BalDone,BE73+BE73*(D_iL)-MIN(F_LoanPayM,BE73+BE73*(D_iL)),BE73)</f>
        <v>0</v>
      </c>
      <c r="BG73" s="1" t="n">
        <f aca="false">IF(BF73&gt;PR_BalDone,BF73+BF73*(D_iL)-MIN(F_LoanPayM,BF73+BF73*(D_iL)),BF73)</f>
        <v>0</v>
      </c>
      <c r="BH73" s="1" t="n">
        <f aca="false">IF(BG73&gt;PR_BalDone,BG73+BG73*(D_iL)-MIN(F_LoanPayM,BG73+BG73*(D_iL)),BG73)</f>
        <v>0</v>
      </c>
      <c r="BI73" s="1" t="n">
        <f aca="false">IF(BH73&gt;PR_BalDone,BH73+BH73*(D_iL)-MIN(F_LoanPayM,BH73+BH73*(D_iL)),BH73)</f>
        <v>0</v>
      </c>
      <c r="BJ73" s="1" t="n">
        <f aca="false">IF(BI73&gt;PR_BalDone,BI73+BI73*(D_iL)-MIN(F_LoanPayM,BI73+BI73*(D_iL)),BI73)</f>
        <v>0</v>
      </c>
      <c r="BK73" s="1" t="n">
        <f aca="false">IF(BJ73&gt;PR_BalDone,BJ73+BJ73*(D_iL)-MIN(F_LoanPayM,BJ73+BJ73*(D_iL)),BJ73)</f>
        <v>0</v>
      </c>
      <c r="BL73" s="1" t="n">
        <f aca="false">IF(BK73&gt;PR_BalDone,BK73+BK73*(D_iL)-MIN(F_LoanPayM,BK73+BK73*(D_iL)),BK73)</f>
        <v>0</v>
      </c>
      <c r="BM73" s="1" t="n">
        <f aca="false">IF(BL73&gt;PR_BalDone,BL73+BL73*(D_iL)-MIN(F_LoanPayM,BL73+BL73*(D_iL)),BL73)</f>
        <v>0</v>
      </c>
      <c r="BN73" s="1" t="n">
        <f aca="false">IF(BM73&gt;PR_BalDone,BM73+BM73*(D_iL)-MIN(F_LoanPayM,BM73+BM73*(D_iL)),BM73)</f>
        <v>0</v>
      </c>
      <c r="BO73" s="1" t="n">
        <f aca="false">IF(BN73&gt;PR_BalDone,BN73+BN73*(D_iL)-MIN(F_LoanPayM,BN73+BN73*(D_iL)),BN73)</f>
        <v>0</v>
      </c>
      <c r="BP73" s="1" t="n">
        <f aca="false">IF(BO73&gt;PR_BalDone,BO73+BO73*(D_iL)-MIN(F_LoanPayM,BO73+BO73*(D_iL)),BO73)</f>
        <v>0</v>
      </c>
      <c r="BQ73" s="1" t="n">
        <f aca="false">IF(BP73&gt;PR_BalDone,BP73+BP73*(D_iL)-MIN(F_LoanPayM,BP73+BP73*(D_iL)),BP73)</f>
        <v>0</v>
      </c>
      <c r="BR73" s="1" t="n">
        <f aca="false">IF(BE73&gt;PR_BalDone,MIN(F_LoanPayM,BE73+BE73*(D_iL)),0)</f>
        <v>0</v>
      </c>
      <c r="BS73" s="1" t="n">
        <f aca="false">IF(BF73&gt;PR_BalDone,MIN(F_LoanPayM,BF73+BF73*(D_iL)),0)</f>
        <v>0</v>
      </c>
      <c r="BT73" s="1" t="n">
        <f aca="false">IF(BG73&gt;PR_BalDone,MIN(F_LoanPayM,BG73+BG73*(D_iL)),0)</f>
        <v>0</v>
      </c>
      <c r="BU73" s="1" t="n">
        <f aca="false">IF(BH73&gt;PR_BalDone,MIN(F_LoanPayM,BH73+BH73*(D_iL)),0)</f>
        <v>0</v>
      </c>
      <c r="BV73" s="1" t="n">
        <f aca="false">IF(BI73&gt;PR_BalDone,MIN(F_LoanPayM,BI73+BI73*(D_iL)),0)</f>
        <v>0</v>
      </c>
      <c r="BW73" s="1" t="n">
        <f aca="false">IF(BJ73&gt;PR_BalDone,MIN(F_LoanPayM,BJ73+BJ73*(D_iL)),0)</f>
        <v>0</v>
      </c>
      <c r="BX73" s="1" t="n">
        <f aca="false">IF(BK73&gt;PR_BalDone,MIN(F_LoanPayM,BK73+BK73*(D_iL)),0)</f>
        <v>0</v>
      </c>
      <c r="BY73" s="1" t="n">
        <f aca="false">IF(BL73&gt;PR_BalDone,MIN(F_LoanPayM,BL73+BL73*(D_iL)),0)</f>
        <v>0</v>
      </c>
      <c r="BZ73" s="1" t="n">
        <f aca="false">IF(BM73&gt;PR_BalDone,MIN(F_LoanPayM,BM73+BM73*(D_iL)),0)</f>
        <v>0</v>
      </c>
      <c r="CA73" s="1" t="n">
        <f aca="false">IF(BN73&gt;PR_BalDone,MIN(F_LoanPayM,BN73+BN73*(D_iL)),0)</f>
        <v>0</v>
      </c>
      <c r="CB73" s="1" t="n">
        <f aca="false">IF(BO73&gt;PR_BalDone,MIN(F_LoanPayM,BO73+BO73*(D_iL)),0)</f>
        <v>0</v>
      </c>
      <c r="CC73" s="1" t="n">
        <f aca="false">IF(BP73&gt;PR_BalDone,MIN(F_LoanPayM,BP73+BP73*(D_iL)),0)</f>
        <v>0</v>
      </c>
      <c r="CD73" s="1" t="n">
        <f aca="false">MAX(0,BQ73)</f>
        <v>0</v>
      </c>
      <c r="CE73" s="1" t="n">
        <f aca="false">SUM(BR73:CC73)</f>
        <v>0</v>
      </c>
      <c r="CF73" s="1" t="n">
        <f aca="false">IF(CF72&gt;1,DE72,CF72)</f>
        <v>0</v>
      </c>
      <c r="CG73" s="1" t="n">
        <f aca="false">IF(CF73&gt;PR_BalDone,CF73+CF73*(F_MR/12)-MIN(F_MortPayM,CF73+CF73*(F_MR/12)),CF73)</f>
        <v>0</v>
      </c>
      <c r="CH73" s="1" t="n">
        <f aca="false">IF(CG73&gt;PR_BalDone,CG73+CG73*(F_MR/12)-MIN(F_MortPayM,CG73+CG73*(F_MR/12)),CG73)</f>
        <v>0</v>
      </c>
      <c r="CI73" s="1" t="n">
        <f aca="false">IF(CH73&gt;PR_BalDone,CH73+CH73*(F_MR/12)-MIN(F_MortPayM,CH73+CH73*(F_MR/12)),CH73)</f>
        <v>0</v>
      </c>
      <c r="CJ73" s="1" t="n">
        <f aca="false">IF(CI73&gt;PR_BalDone,CI73+CI73*(F_MR/12)-MIN(F_MortPayM,CI73+CI73*(F_MR/12)),CI73)</f>
        <v>0</v>
      </c>
      <c r="CK73" s="1" t="n">
        <f aca="false">IF(CJ73&gt;PR_BalDone,CJ73+CJ73*(F_MR/12)-MIN(F_MortPayM,CJ73+CJ73*(F_MR/12)),CJ73)</f>
        <v>0</v>
      </c>
      <c r="CL73" s="1" t="n">
        <f aca="false">IF(CK73&gt;PR_BalDone,CK73+CK73*(F_MR/12)-MIN(F_MortPayM,CK73+CK73*(F_MR/12)),CK73)</f>
        <v>0</v>
      </c>
      <c r="CM73" s="1" t="n">
        <f aca="false">IF(CL73&gt;PR_BalDone,CL73+CL73*(F_MR/12)-MIN(F_MortPayM,CL73+CL73*(F_MR/12)),CL73)</f>
        <v>0</v>
      </c>
      <c r="CN73" s="1" t="n">
        <f aca="false">IF(CM73&gt;PR_BalDone,CM73+CM73*(F_MR/12)-MIN(F_MortPayM,CM73+CM73*(F_MR/12)),CM73)</f>
        <v>0</v>
      </c>
      <c r="CO73" s="1" t="n">
        <f aca="false">IF(CN73&gt;PR_BalDone,CN73+CN73*(F_MR/12)-MIN(F_MortPayM,CN73+CN73*(F_MR/12)),CN73)</f>
        <v>0</v>
      </c>
      <c r="CP73" s="1" t="n">
        <f aca="false">IF(CO73&gt;PR_BalDone,CO73+CO73*(F_MR/12)-MIN(F_MortPayM,CO73+CO73*(F_MR/12)),CO73)</f>
        <v>0</v>
      </c>
      <c r="CQ73" s="1" t="n">
        <f aca="false">IF(CP73&gt;PR_BalDone,CP73+CP73*(F_MR/12)-MIN(F_MortPayM,CP73+CP73*(F_MR/12)),CP73)</f>
        <v>0</v>
      </c>
      <c r="CR73" s="1" t="n">
        <f aca="false">IF(CQ73&gt;PR_BalDone,CQ73+CQ73*(F_MR/12)-MIN(F_MortPayM,CQ73+CQ73*(F_MR/12)),CQ73)</f>
        <v>0</v>
      </c>
      <c r="CS73" s="1" t="n">
        <f aca="false">IF(CF73&gt;PR_BalDone,MIN(F_MortPayM,CF73+CF73*(F_MR/12)),0)</f>
        <v>0</v>
      </c>
      <c r="CT73" s="1" t="n">
        <f aca="false">IF(CG73&gt;PR_BalDone,MIN(F_MortPayM,CG73+CG73*(F_MR/12)),0)</f>
        <v>0</v>
      </c>
      <c r="CU73" s="1" t="n">
        <f aca="false">IF(CH73&gt;PR_BalDone,MIN(F_MortPayM,CH73+CH73*(F_MR/12)),0)</f>
        <v>0</v>
      </c>
      <c r="CV73" s="1" t="n">
        <f aca="false">IF(CI73&gt;PR_BalDone,MIN(F_MortPayM,CI73+CI73*(F_MR/12)),0)</f>
        <v>0</v>
      </c>
      <c r="CW73" s="1" t="n">
        <f aca="false">IF(CJ73&gt;PR_BalDone,MIN(F_MortPayM,CJ73+CJ73*(F_MR/12)),0)</f>
        <v>0</v>
      </c>
      <c r="CX73" s="1" t="n">
        <f aca="false">IF(CK73&gt;PR_BalDone,MIN(F_MortPayM,CK73+CK73*(F_MR/12)),0)</f>
        <v>0</v>
      </c>
      <c r="CY73" s="1" t="n">
        <f aca="false">IF(CL73&gt;PR_BalDone,MIN(F_MortPayM,CL73+CL73*(F_MR/12)),0)</f>
        <v>0</v>
      </c>
      <c r="CZ73" s="1" t="n">
        <f aca="false">IF(CM73&gt;PR_BalDone,MIN(F_MortPayM,CM73+CM73*(F_MR/12)),0)</f>
        <v>0</v>
      </c>
      <c r="DA73" s="1" t="n">
        <f aca="false">IF(CN73&gt;PR_BalDone,MIN(F_MortPayM,CN73+CN73*(F_MR/12)),0)</f>
        <v>0</v>
      </c>
      <c r="DB73" s="1" t="n">
        <f aca="false">IF(CO73&gt;PR_BalDone,MIN(F_MortPayM,CO73+CO73*(F_MR/12)),0)</f>
        <v>0</v>
      </c>
      <c r="DC73" s="1" t="n">
        <f aca="false">IF(CP73&gt;PR_BalDone,MIN(F_MortPayM,CP73+CP73*(F_MR/12)),0)</f>
        <v>0</v>
      </c>
      <c r="DD73" s="1" t="n">
        <f aca="false">IF(CQ73&gt;PR_BalDone,MIN(F_MortPayM,CQ73+CQ73*(F_MR/12)),0)</f>
        <v>0</v>
      </c>
      <c r="DE73" s="1" t="n">
        <f aca="false">MAX(0,CR73)</f>
        <v>0</v>
      </c>
      <c r="DF73" s="1" t="n">
        <f aca="false">SUM(CS73:DD73)</f>
        <v>0</v>
      </c>
      <c r="DG73" s="1" t="n">
        <f aca="false">MAX(0,CF73)</f>
        <v>0</v>
      </c>
    </row>
    <row r="74" customFormat="false" ht="15" hidden="false" customHeight="true" outlineLevel="0" collapsed="false">
      <c r="B74" s="1" t="n">
        <v>66</v>
      </c>
      <c r="C74" s="1" t="n">
        <f aca="false">'Plan cashflow'!I74</f>
        <v>0</v>
      </c>
      <c r="D74" s="1" t="n">
        <f aca="false">IF(C74&gt;PR_BalDone,C74+C74*(F_MR/12)-MIN(F_MortPayM,C74+C74*(F_MR/12)),C74)</f>
        <v>0</v>
      </c>
      <c r="E74" s="1" t="n">
        <f aca="false">IF(D74&gt;PR_BalDone,D74+D74*(F_MR/12)-MIN(F_MortPayM,D74+D74*(F_MR/12)),D74)</f>
        <v>0</v>
      </c>
      <c r="F74" s="1" t="n">
        <f aca="false">IF(E74&gt;PR_BalDone,E74+E74*(F_MR/12)-MIN(F_MortPayM,E74+E74*(F_MR/12)),E74)</f>
        <v>0</v>
      </c>
      <c r="G74" s="1" t="n">
        <f aca="false">IF(F74&gt;PR_BalDone,F74+F74*(F_MR/12)-MIN(F_MortPayM,F74+F74*(F_MR/12)),F74)</f>
        <v>0</v>
      </c>
      <c r="H74" s="1" t="n">
        <f aca="false">IF(G74&gt;PR_BalDone,G74+G74*(F_MR/12)-MIN(F_MortPayM,G74+G74*(F_MR/12)),G74)</f>
        <v>0</v>
      </c>
      <c r="I74" s="1" t="n">
        <f aca="false">IF(H74&gt;PR_BalDone,H74+H74*(F_MR/12)-MIN(F_MortPayM,H74+H74*(F_MR/12)),H74)</f>
        <v>0</v>
      </c>
      <c r="J74" s="1" t="n">
        <f aca="false">IF(I74&gt;PR_BalDone,I74+I74*(F_MR/12)-MIN(F_MortPayM,I74+I74*(F_MR/12)),I74)</f>
        <v>0</v>
      </c>
      <c r="K74" s="1" t="n">
        <f aca="false">IF(J74&gt;PR_BalDone,J74+J74*(F_MR/12)-MIN(F_MortPayM,J74+J74*(F_MR/12)),J74)</f>
        <v>0</v>
      </c>
      <c r="L74" s="1" t="n">
        <f aca="false">IF(K74&gt;PR_BalDone,K74+K74*(F_MR/12)-MIN(F_MortPayM,K74+K74*(F_MR/12)),K74)</f>
        <v>0</v>
      </c>
      <c r="M74" s="1" t="n">
        <f aca="false">IF(L74&gt;PR_BalDone,L74+L74*(F_MR/12)-MIN(F_MortPayM,L74+L74*(F_MR/12)),L74)</f>
        <v>0</v>
      </c>
      <c r="N74" s="1" t="n">
        <f aca="false">IF(M74&gt;PR_BalDone,M74+M74*(F_MR/12)-MIN(F_MortPayM,M74+M74*(F_MR/12)),M74)</f>
        <v>0</v>
      </c>
      <c r="O74" s="1" t="n">
        <f aca="false">IF(N74&gt;PR_BalDone,N74+N74*(F_MR/12)-MIN(F_MortPayM,N74+N74*(F_MR/12)),N74)</f>
        <v>0</v>
      </c>
      <c r="P74" s="1" t="n">
        <f aca="false">IF(C74&gt;PR_BalDone,MIN(F_MortPayM,C74+C74*(F_MR/12)),0)</f>
        <v>0</v>
      </c>
      <c r="Q74" s="1" t="n">
        <f aca="false">IF(D74&gt;PR_BalDone,MIN(F_MortPayM,D74+D74*(F_MR/12)),0)</f>
        <v>0</v>
      </c>
      <c r="R74" s="1" t="n">
        <f aca="false">IF(E74&gt;PR_BalDone,MIN(F_MortPayM,E74+E74*(F_MR/12)),0)</f>
        <v>0</v>
      </c>
      <c r="S74" s="1" t="n">
        <f aca="false">IF(F74&gt;PR_BalDone,MIN(F_MortPayM,F74+F74*(F_MR/12)),0)</f>
        <v>0</v>
      </c>
      <c r="T74" s="1" t="n">
        <f aca="false">IF(G74&gt;PR_BalDone,MIN(F_MortPayM,G74+G74*(F_MR/12)),0)</f>
        <v>0</v>
      </c>
      <c r="U74" s="1" t="n">
        <f aca="false">IF(H74&gt;PR_BalDone,MIN(F_MortPayM,H74+H74*(F_MR/12)),0)</f>
        <v>0</v>
      </c>
      <c r="V74" s="1" t="n">
        <f aca="false">IF(I74&gt;PR_BalDone,MIN(F_MortPayM,I74+I74*(F_MR/12)),0)</f>
        <v>0</v>
      </c>
      <c r="W74" s="1" t="n">
        <f aca="false">IF(J74&gt;PR_BalDone,MIN(F_MortPayM,J74+J74*(F_MR/12)),0)</f>
        <v>0</v>
      </c>
      <c r="X74" s="1" t="n">
        <f aca="false">IF(K74&gt;PR_BalDone,MIN(F_MortPayM,K74+K74*(F_MR/12)),0)</f>
        <v>0</v>
      </c>
      <c r="Y74" s="1" t="n">
        <f aca="false">IF(L74&gt;PR_BalDone,MIN(F_MortPayM,L74+L74*(F_MR/12)),0)</f>
        <v>0</v>
      </c>
      <c r="Z74" s="1" t="n">
        <f aca="false">IF(M74&gt;PR_BalDone,MIN(F_MortPayM,M74+M74*(F_MR/12)),0)</f>
        <v>0</v>
      </c>
      <c r="AA74" s="1" t="n">
        <f aca="false">IF(N74&gt;PR_BalDone,MIN(F_MortPayM,N74+N74*(F_MR/12)),0)</f>
        <v>0</v>
      </c>
      <c r="AB74" s="1" t="n">
        <f aca="false">MAX(0,O74)</f>
        <v>0</v>
      </c>
      <c r="AC74" s="1" t="n">
        <f aca="false">SUM(P74:AA74)</f>
        <v>0</v>
      </c>
      <c r="AD74" s="1" t="n">
        <f aca="false">'Plan cashflow'!L74</f>
        <v>0</v>
      </c>
      <c r="AE74" s="1" t="n">
        <f aca="false">IF(AD74&gt;PR_BalDone,AD74+AD74*(D_iC)-MIN(F_CardPayM,AD74+AD74*(D_iC)),AD74)</f>
        <v>0</v>
      </c>
      <c r="AF74" s="1" t="n">
        <f aca="false">IF(AE74&gt;PR_BalDone,AE74+AE74*(D_iC)-MIN(F_CardPayM,AE74+AE74*(D_iC)),AE74)</f>
        <v>0</v>
      </c>
      <c r="AG74" s="1" t="n">
        <f aca="false">IF(AF74&gt;PR_BalDone,AF74+AF74*(D_iC)-MIN(F_CardPayM,AF74+AF74*(D_iC)),AF74)</f>
        <v>0</v>
      </c>
      <c r="AH74" s="1" t="n">
        <f aca="false">IF(AG74&gt;PR_BalDone,AG74+AG74*(D_iC)-MIN(F_CardPayM,AG74+AG74*(D_iC)),AG74)</f>
        <v>0</v>
      </c>
      <c r="AI74" s="1" t="n">
        <f aca="false">IF(AH74&gt;PR_BalDone,AH74+AH74*(D_iC)-MIN(F_CardPayM,AH74+AH74*(D_iC)),AH74)</f>
        <v>0</v>
      </c>
      <c r="AJ74" s="1" t="n">
        <f aca="false">IF(AI74&gt;PR_BalDone,AI74+AI74*(D_iC)-MIN(F_CardPayM,AI74+AI74*(D_iC)),AI74)</f>
        <v>0</v>
      </c>
      <c r="AK74" s="1" t="n">
        <f aca="false">IF(AJ74&gt;PR_BalDone,AJ74+AJ74*(D_iC)-MIN(F_CardPayM,AJ74+AJ74*(D_iC)),AJ74)</f>
        <v>0</v>
      </c>
      <c r="AL74" s="1" t="n">
        <f aca="false">IF(AK74&gt;PR_BalDone,AK74+AK74*(D_iC)-MIN(F_CardPayM,AK74+AK74*(D_iC)),AK74)</f>
        <v>0</v>
      </c>
      <c r="AM74" s="1" t="n">
        <f aca="false">IF(AL74&gt;PR_BalDone,AL74+AL74*(D_iC)-MIN(F_CardPayM,AL74+AL74*(D_iC)),AL74)</f>
        <v>0</v>
      </c>
      <c r="AN74" s="1" t="n">
        <f aca="false">IF(AM74&gt;PR_BalDone,AM74+AM74*(D_iC)-MIN(F_CardPayM,AM74+AM74*(D_iC)),AM74)</f>
        <v>0</v>
      </c>
      <c r="AO74" s="1" t="n">
        <f aca="false">IF(AN74&gt;PR_BalDone,AN74+AN74*(D_iC)-MIN(F_CardPayM,AN74+AN74*(D_iC)),AN74)</f>
        <v>0</v>
      </c>
      <c r="AP74" s="1" t="n">
        <f aca="false">IF(AO74&gt;PR_BalDone,AO74+AO74*(D_iC)-MIN(F_CardPayM,AO74+AO74*(D_iC)),AO74)</f>
        <v>0</v>
      </c>
      <c r="AQ74" s="1" t="n">
        <f aca="false">IF(AD74&gt;PR_BalDone,MIN(F_CardPayM,AD74+AD74*(D_iC)),0)</f>
        <v>0</v>
      </c>
      <c r="AR74" s="1" t="n">
        <f aca="false">IF(AE74&gt;PR_BalDone,MIN(F_CardPayM,AE74+AE74*(D_iC)),0)</f>
        <v>0</v>
      </c>
      <c r="AS74" s="1" t="n">
        <f aca="false">IF(AF74&gt;PR_BalDone,MIN(F_CardPayM,AF74+AF74*(D_iC)),0)</f>
        <v>0</v>
      </c>
      <c r="AT74" s="1" t="n">
        <f aca="false">IF(AG74&gt;PR_BalDone,MIN(F_CardPayM,AG74+AG74*(D_iC)),0)</f>
        <v>0</v>
      </c>
      <c r="AU74" s="1" t="n">
        <f aca="false">IF(AH74&gt;PR_BalDone,MIN(F_CardPayM,AH74+AH74*(D_iC)),0)</f>
        <v>0</v>
      </c>
      <c r="AV74" s="1" t="n">
        <f aca="false">IF(AI74&gt;PR_BalDone,MIN(F_CardPayM,AI74+AI74*(D_iC)),0)</f>
        <v>0</v>
      </c>
      <c r="AW74" s="1" t="n">
        <f aca="false">IF(AJ74&gt;PR_BalDone,MIN(F_CardPayM,AJ74+AJ74*(D_iC)),0)</f>
        <v>0</v>
      </c>
      <c r="AX74" s="1" t="n">
        <f aca="false">IF(AK74&gt;PR_BalDone,MIN(F_CardPayM,AK74+AK74*(D_iC)),0)</f>
        <v>0</v>
      </c>
      <c r="AY74" s="1" t="n">
        <f aca="false">IF(AL74&gt;PR_BalDone,MIN(F_CardPayM,AL74+AL74*(D_iC)),0)</f>
        <v>0</v>
      </c>
      <c r="AZ74" s="1" t="n">
        <f aca="false">IF(AM74&gt;PR_BalDone,MIN(F_CardPayM,AM74+AM74*(D_iC)),0)</f>
        <v>0</v>
      </c>
      <c r="BA74" s="1" t="n">
        <f aca="false">IF(AN74&gt;PR_BalDone,MIN(F_CardPayM,AN74+AN74*(D_iC)),0)</f>
        <v>0</v>
      </c>
      <c r="BB74" s="1" t="n">
        <f aca="false">IF(AO74&gt;PR_BalDone,MIN(F_CardPayM,AO74+AO74*(D_iC)),0)</f>
        <v>0</v>
      </c>
      <c r="BC74" s="1" t="n">
        <f aca="false">MAX(0,AP74)</f>
        <v>0</v>
      </c>
      <c r="BD74" s="1" t="n">
        <f aca="false">SUM(AQ74:BB74)</f>
        <v>0</v>
      </c>
      <c r="BE74" s="1" t="n">
        <f aca="false">'Plan cashflow'!O74</f>
        <v>0</v>
      </c>
      <c r="BF74" s="1" t="n">
        <f aca="false">IF(BE74&gt;PR_BalDone,BE74+BE74*(D_iL)-MIN(F_LoanPayM,BE74+BE74*(D_iL)),BE74)</f>
        <v>0</v>
      </c>
      <c r="BG74" s="1" t="n">
        <f aca="false">IF(BF74&gt;PR_BalDone,BF74+BF74*(D_iL)-MIN(F_LoanPayM,BF74+BF74*(D_iL)),BF74)</f>
        <v>0</v>
      </c>
      <c r="BH74" s="1" t="n">
        <f aca="false">IF(BG74&gt;PR_BalDone,BG74+BG74*(D_iL)-MIN(F_LoanPayM,BG74+BG74*(D_iL)),BG74)</f>
        <v>0</v>
      </c>
      <c r="BI74" s="1" t="n">
        <f aca="false">IF(BH74&gt;PR_BalDone,BH74+BH74*(D_iL)-MIN(F_LoanPayM,BH74+BH74*(D_iL)),BH74)</f>
        <v>0</v>
      </c>
      <c r="BJ74" s="1" t="n">
        <f aca="false">IF(BI74&gt;PR_BalDone,BI74+BI74*(D_iL)-MIN(F_LoanPayM,BI74+BI74*(D_iL)),BI74)</f>
        <v>0</v>
      </c>
      <c r="BK74" s="1" t="n">
        <f aca="false">IF(BJ74&gt;PR_BalDone,BJ74+BJ74*(D_iL)-MIN(F_LoanPayM,BJ74+BJ74*(D_iL)),BJ74)</f>
        <v>0</v>
      </c>
      <c r="BL74" s="1" t="n">
        <f aca="false">IF(BK74&gt;PR_BalDone,BK74+BK74*(D_iL)-MIN(F_LoanPayM,BK74+BK74*(D_iL)),BK74)</f>
        <v>0</v>
      </c>
      <c r="BM74" s="1" t="n">
        <f aca="false">IF(BL74&gt;PR_BalDone,BL74+BL74*(D_iL)-MIN(F_LoanPayM,BL74+BL74*(D_iL)),BL74)</f>
        <v>0</v>
      </c>
      <c r="BN74" s="1" t="n">
        <f aca="false">IF(BM74&gt;PR_BalDone,BM74+BM74*(D_iL)-MIN(F_LoanPayM,BM74+BM74*(D_iL)),BM74)</f>
        <v>0</v>
      </c>
      <c r="BO74" s="1" t="n">
        <f aca="false">IF(BN74&gt;PR_BalDone,BN74+BN74*(D_iL)-MIN(F_LoanPayM,BN74+BN74*(D_iL)),BN74)</f>
        <v>0</v>
      </c>
      <c r="BP74" s="1" t="n">
        <f aca="false">IF(BO74&gt;PR_BalDone,BO74+BO74*(D_iL)-MIN(F_LoanPayM,BO74+BO74*(D_iL)),BO74)</f>
        <v>0</v>
      </c>
      <c r="BQ74" s="1" t="n">
        <f aca="false">IF(BP74&gt;PR_BalDone,BP74+BP74*(D_iL)-MIN(F_LoanPayM,BP74+BP74*(D_iL)),BP74)</f>
        <v>0</v>
      </c>
      <c r="BR74" s="1" t="n">
        <f aca="false">IF(BE74&gt;PR_BalDone,MIN(F_LoanPayM,BE74+BE74*(D_iL)),0)</f>
        <v>0</v>
      </c>
      <c r="BS74" s="1" t="n">
        <f aca="false">IF(BF74&gt;PR_BalDone,MIN(F_LoanPayM,BF74+BF74*(D_iL)),0)</f>
        <v>0</v>
      </c>
      <c r="BT74" s="1" t="n">
        <f aca="false">IF(BG74&gt;PR_BalDone,MIN(F_LoanPayM,BG74+BG74*(D_iL)),0)</f>
        <v>0</v>
      </c>
      <c r="BU74" s="1" t="n">
        <f aca="false">IF(BH74&gt;PR_BalDone,MIN(F_LoanPayM,BH74+BH74*(D_iL)),0)</f>
        <v>0</v>
      </c>
      <c r="BV74" s="1" t="n">
        <f aca="false">IF(BI74&gt;PR_BalDone,MIN(F_LoanPayM,BI74+BI74*(D_iL)),0)</f>
        <v>0</v>
      </c>
      <c r="BW74" s="1" t="n">
        <f aca="false">IF(BJ74&gt;PR_BalDone,MIN(F_LoanPayM,BJ74+BJ74*(D_iL)),0)</f>
        <v>0</v>
      </c>
      <c r="BX74" s="1" t="n">
        <f aca="false">IF(BK74&gt;PR_BalDone,MIN(F_LoanPayM,BK74+BK74*(D_iL)),0)</f>
        <v>0</v>
      </c>
      <c r="BY74" s="1" t="n">
        <f aca="false">IF(BL74&gt;PR_BalDone,MIN(F_LoanPayM,BL74+BL74*(D_iL)),0)</f>
        <v>0</v>
      </c>
      <c r="BZ74" s="1" t="n">
        <f aca="false">IF(BM74&gt;PR_BalDone,MIN(F_LoanPayM,BM74+BM74*(D_iL)),0)</f>
        <v>0</v>
      </c>
      <c r="CA74" s="1" t="n">
        <f aca="false">IF(BN74&gt;PR_BalDone,MIN(F_LoanPayM,BN74+BN74*(D_iL)),0)</f>
        <v>0</v>
      </c>
      <c r="CB74" s="1" t="n">
        <f aca="false">IF(BO74&gt;PR_BalDone,MIN(F_LoanPayM,BO74+BO74*(D_iL)),0)</f>
        <v>0</v>
      </c>
      <c r="CC74" s="1" t="n">
        <f aca="false">IF(BP74&gt;PR_BalDone,MIN(F_LoanPayM,BP74+BP74*(D_iL)),0)</f>
        <v>0</v>
      </c>
      <c r="CD74" s="1" t="n">
        <f aca="false">MAX(0,BQ74)</f>
        <v>0</v>
      </c>
      <c r="CE74" s="1" t="n">
        <f aca="false">SUM(BR74:CC74)</f>
        <v>0</v>
      </c>
      <c r="CF74" s="1" t="n">
        <f aca="false">IF(CF73&gt;1,DE73,CF73)</f>
        <v>0</v>
      </c>
      <c r="CG74" s="1" t="n">
        <f aca="false">IF(CF74&gt;PR_BalDone,CF74+CF74*(F_MR/12)-MIN(F_MortPayM,CF74+CF74*(F_MR/12)),CF74)</f>
        <v>0</v>
      </c>
      <c r="CH74" s="1" t="n">
        <f aca="false">IF(CG74&gt;PR_BalDone,CG74+CG74*(F_MR/12)-MIN(F_MortPayM,CG74+CG74*(F_MR/12)),CG74)</f>
        <v>0</v>
      </c>
      <c r="CI74" s="1" t="n">
        <f aca="false">IF(CH74&gt;PR_BalDone,CH74+CH74*(F_MR/12)-MIN(F_MortPayM,CH74+CH74*(F_MR/12)),CH74)</f>
        <v>0</v>
      </c>
      <c r="CJ74" s="1" t="n">
        <f aca="false">IF(CI74&gt;PR_BalDone,CI74+CI74*(F_MR/12)-MIN(F_MortPayM,CI74+CI74*(F_MR/12)),CI74)</f>
        <v>0</v>
      </c>
      <c r="CK74" s="1" t="n">
        <f aca="false">IF(CJ74&gt;PR_BalDone,CJ74+CJ74*(F_MR/12)-MIN(F_MortPayM,CJ74+CJ74*(F_MR/12)),CJ74)</f>
        <v>0</v>
      </c>
      <c r="CL74" s="1" t="n">
        <f aca="false">IF(CK74&gt;PR_BalDone,CK74+CK74*(F_MR/12)-MIN(F_MortPayM,CK74+CK74*(F_MR/12)),CK74)</f>
        <v>0</v>
      </c>
      <c r="CM74" s="1" t="n">
        <f aca="false">IF(CL74&gt;PR_BalDone,CL74+CL74*(F_MR/12)-MIN(F_MortPayM,CL74+CL74*(F_MR/12)),CL74)</f>
        <v>0</v>
      </c>
      <c r="CN74" s="1" t="n">
        <f aca="false">IF(CM74&gt;PR_BalDone,CM74+CM74*(F_MR/12)-MIN(F_MortPayM,CM74+CM74*(F_MR/12)),CM74)</f>
        <v>0</v>
      </c>
      <c r="CO74" s="1" t="n">
        <f aca="false">IF(CN74&gt;PR_BalDone,CN74+CN74*(F_MR/12)-MIN(F_MortPayM,CN74+CN74*(F_MR/12)),CN74)</f>
        <v>0</v>
      </c>
      <c r="CP74" s="1" t="n">
        <f aca="false">IF(CO74&gt;PR_BalDone,CO74+CO74*(F_MR/12)-MIN(F_MortPayM,CO74+CO74*(F_MR/12)),CO74)</f>
        <v>0</v>
      </c>
      <c r="CQ74" s="1" t="n">
        <f aca="false">IF(CP74&gt;PR_BalDone,CP74+CP74*(F_MR/12)-MIN(F_MortPayM,CP74+CP74*(F_MR/12)),CP74)</f>
        <v>0</v>
      </c>
      <c r="CR74" s="1" t="n">
        <f aca="false">IF(CQ74&gt;PR_BalDone,CQ74+CQ74*(F_MR/12)-MIN(F_MortPayM,CQ74+CQ74*(F_MR/12)),CQ74)</f>
        <v>0</v>
      </c>
      <c r="CS74" s="1" t="n">
        <f aca="false">IF(CF74&gt;PR_BalDone,MIN(F_MortPayM,CF74+CF74*(F_MR/12)),0)</f>
        <v>0</v>
      </c>
      <c r="CT74" s="1" t="n">
        <f aca="false">IF(CG74&gt;PR_BalDone,MIN(F_MortPayM,CG74+CG74*(F_MR/12)),0)</f>
        <v>0</v>
      </c>
      <c r="CU74" s="1" t="n">
        <f aca="false">IF(CH74&gt;PR_BalDone,MIN(F_MortPayM,CH74+CH74*(F_MR/12)),0)</f>
        <v>0</v>
      </c>
      <c r="CV74" s="1" t="n">
        <f aca="false">IF(CI74&gt;PR_BalDone,MIN(F_MortPayM,CI74+CI74*(F_MR/12)),0)</f>
        <v>0</v>
      </c>
      <c r="CW74" s="1" t="n">
        <f aca="false">IF(CJ74&gt;PR_BalDone,MIN(F_MortPayM,CJ74+CJ74*(F_MR/12)),0)</f>
        <v>0</v>
      </c>
      <c r="CX74" s="1" t="n">
        <f aca="false">IF(CK74&gt;PR_BalDone,MIN(F_MortPayM,CK74+CK74*(F_MR/12)),0)</f>
        <v>0</v>
      </c>
      <c r="CY74" s="1" t="n">
        <f aca="false">IF(CL74&gt;PR_BalDone,MIN(F_MortPayM,CL74+CL74*(F_MR/12)),0)</f>
        <v>0</v>
      </c>
      <c r="CZ74" s="1" t="n">
        <f aca="false">IF(CM74&gt;PR_BalDone,MIN(F_MortPayM,CM74+CM74*(F_MR/12)),0)</f>
        <v>0</v>
      </c>
      <c r="DA74" s="1" t="n">
        <f aca="false">IF(CN74&gt;PR_BalDone,MIN(F_MortPayM,CN74+CN74*(F_MR/12)),0)</f>
        <v>0</v>
      </c>
      <c r="DB74" s="1" t="n">
        <f aca="false">IF(CO74&gt;PR_BalDone,MIN(F_MortPayM,CO74+CO74*(F_MR/12)),0)</f>
        <v>0</v>
      </c>
      <c r="DC74" s="1" t="n">
        <f aca="false">IF(CP74&gt;PR_BalDone,MIN(F_MortPayM,CP74+CP74*(F_MR/12)),0)</f>
        <v>0</v>
      </c>
      <c r="DD74" s="1" t="n">
        <f aca="false">IF(CQ74&gt;PR_BalDone,MIN(F_MortPayM,CQ74+CQ74*(F_MR/12)),0)</f>
        <v>0</v>
      </c>
      <c r="DE74" s="1" t="n">
        <f aca="false">MAX(0,CR74)</f>
        <v>0</v>
      </c>
      <c r="DF74" s="1" t="n">
        <f aca="false">SUM(CS74:DD74)</f>
        <v>0</v>
      </c>
      <c r="DG74" s="1" t="n">
        <f aca="false">MAX(0,CF74)</f>
        <v>0</v>
      </c>
    </row>
    <row r="75" customFormat="false" ht="15" hidden="false" customHeight="true" outlineLevel="0" collapsed="false">
      <c r="B75" s="1" t="n">
        <v>67</v>
      </c>
      <c r="C75" s="1" t="n">
        <f aca="false">'Plan cashflow'!I75</f>
        <v>0</v>
      </c>
      <c r="D75" s="1" t="n">
        <f aca="false">IF(C75&gt;PR_BalDone,C75+C75*(F_MR/12)-MIN(F_MortPayM,C75+C75*(F_MR/12)),C75)</f>
        <v>0</v>
      </c>
      <c r="E75" s="1" t="n">
        <f aca="false">IF(D75&gt;PR_BalDone,D75+D75*(F_MR/12)-MIN(F_MortPayM,D75+D75*(F_MR/12)),D75)</f>
        <v>0</v>
      </c>
      <c r="F75" s="1" t="n">
        <f aca="false">IF(E75&gt;PR_BalDone,E75+E75*(F_MR/12)-MIN(F_MortPayM,E75+E75*(F_MR/12)),E75)</f>
        <v>0</v>
      </c>
      <c r="G75" s="1" t="n">
        <f aca="false">IF(F75&gt;PR_BalDone,F75+F75*(F_MR/12)-MIN(F_MortPayM,F75+F75*(F_MR/12)),F75)</f>
        <v>0</v>
      </c>
      <c r="H75" s="1" t="n">
        <f aca="false">IF(G75&gt;PR_BalDone,G75+G75*(F_MR/12)-MIN(F_MortPayM,G75+G75*(F_MR/12)),G75)</f>
        <v>0</v>
      </c>
      <c r="I75" s="1" t="n">
        <f aca="false">IF(H75&gt;PR_BalDone,H75+H75*(F_MR/12)-MIN(F_MortPayM,H75+H75*(F_MR/12)),H75)</f>
        <v>0</v>
      </c>
      <c r="J75" s="1" t="n">
        <f aca="false">IF(I75&gt;PR_BalDone,I75+I75*(F_MR/12)-MIN(F_MortPayM,I75+I75*(F_MR/12)),I75)</f>
        <v>0</v>
      </c>
      <c r="K75" s="1" t="n">
        <f aca="false">IF(J75&gt;PR_BalDone,J75+J75*(F_MR/12)-MIN(F_MortPayM,J75+J75*(F_MR/12)),J75)</f>
        <v>0</v>
      </c>
      <c r="L75" s="1" t="n">
        <f aca="false">IF(K75&gt;PR_BalDone,K75+K75*(F_MR/12)-MIN(F_MortPayM,K75+K75*(F_MR/12)),K75)</f>
        <v>0</v>
      </c>
      <c r="M75" s="1" t="n">
        <f aca="false">IF(L75&gt;PR_BalDone,L75+L75*(F_MR/12)-MIN(F_MortPayM,L75+L75*(F_MR/12)),L75)</f>
        <v>0</v>
      </c>
      <c r="N75" s="1" t="n">
        <f aca="false">IF(M75&gt;PR_BalDone,M75+M75*(F_MR/12)-MIN(F_MortPayM,M75+M75*(F_MR/12)),M75)</f>
        <v>0</v>
      </c>
      <c r="O75" s="1" t="n">
        <f aca="false">IF(N75&gt;PR_BalDone,N75+N75*(F_MR/12)-MIN(F_MortPayM,N75+N75*(F_MR/12)),N75)</f>
        <v>0</v>
      </c>
      <c r="P75" s="1" t="n">
        <f aca="false">IF(C75&gt;PR_BalDone,MIN(F_MortPayM,C75+C75*(F_MR/12)),0)</f>
        <v>0</v>
      </c>
      <c r="Q75" s="1" t="n">
        <f aca="false">IF(D75&gt;PR_BalDone,MIN(F_MortPayM,D75+D75*(F_MR/12)),0)</f>
        <v>0</v>
      </c>
      <c r="R75" s="1" t="n">
        <f aca="false">IF(E75&gt;PR_BalDone,MIN(F_MortPayM,E75+E75*(F_MR/12)),0)</f>
        <v>0</v>
      </c>
      <c r="S75" s="1" t="n">
        <f aca="false">IF(F75&gt;PR_BalDone,MIN(F_MortPayM,F75+F75*(F_MR/12)),0)</f>
        <v>0</v>
      </c>
      <c r="T75" s="1" t="n">
        <f aca="false">IF(G75&gt;PR_BalDone,MIN(F_MortPayM,G75+G75*(F_MR/12)),0)</f>
        <v>0</v>
      </c>
      <c r="U75" s="1" t="n">
        <f aca="false">IF(H75&gt;PR_BalDone,MIN(F_MortPayM,H75+H75*(F_MR/12)),0)</f>
        <v>0</v>
      </c>
      <c r="V75" s="1" t="n">
        <f aca="false">IF(I75&gt;PR_BalDone,MIN(F_MortPayM,I75+I75*(F_MR/12)),0)</f>
        <v>0</v>
      </c>
      <c r="W75" s="1" t="n">
        <f aca="false">IF(J75&gt;PR_BalDone,MIN(F_MortPayM,J75+J75*(F_MR/12)),0)</f>
        <v>0</v>
      </c>
      <c r="X75" s="1" t="n">
        <f aca="false">IF(K75&gt;PR_BalDone,MIN(F_MortPayM,K75+K75*(F_MR/12)),0)</f>
        <v>0</v>
      </c>
      <c r="Y75" s="1" t="n">
        <f aca="false">IF(L75&gt;PR_BalDone,MIN(F_MortPayM,L75+L75*(F_MR/12)),0)</f>
        <v>0</v>
      </c>
      <c r="Z75" s="1" t="n">
        <f aca="false">IF(M75&gt;PR_BalDone,MIN(F_MortPayM,M75+M75*(F_MR/12)),0)</f>
        <v>0</v>
      </c>
      <c r="AA75" s="1" t="n">
        <f aca="false">IF(N75&gt;PR_BalDone,MIN(F_MortPayM,N75+N75*(F_MR/12)),0)</f>
        <v>0</v>
      </c>
      <c r="AB75" s="1" t="n">
        <f aca="false">MAX(0,O75)</f>
        <v>0</v>
      </c>
      <c r="AC75" s="1" t="n">
        <f aca="false">SUM(P75:AA75)</f>
        <v>0</v>
      </c>
      <c r="AD75" s="1" t="n">
        <f aca="false">'Plan cashflow'!L75</f>
        <v>0</v>
      </c>
      <c r="AE75" s="1" t="n">
        <f aca="false">IF(AD75&gt;PR_BalDone,AD75+AD75*(D_iC)-MIN(F_CardPayM,AD75+AD75*(D_iC)),AD75)</f>
        <v>0</v>
      </c>
      <c r="AF75" s="1" t="n">
        <f aca="false">IF(AE75&gt;PR_BalDone,AE75+AE75*(D_iC)-MIN(F_CardPayM,AE75+AE75*(D_iC)),AE75)</f>
        <v>0</v>
      </c>
      <c r="AG75" s="1" t="n">
        <f aca="false">IF(AF75&gt;PR_BalDone,AF75+AF75*(D_iC)-MIN(F_CardPayM,AF75+AF75*(D_iC)),AF75)</f>
        <v>0</v>
      </c>
      <c r="AH75" s="1" t="n">
        <f aca="false">IF(AG75&gt;PR_BalDone,AG75+AG75*(D_iC)-MIN(F_CardPayM,AG75+AG75*(D_iC)),AG75)</f>
        <v>0</v>
      </c>
      <c r="AI75" s="1" t="n">
        <f aca="false">IF(AH75&gt;PR_BalDone,AH75+AH75*(D_iC)-MIN(F_CardPayM,AH75+AH75*(D_iC)),AH75)</f>
        <v>0</v>
      </c>
      <c r="AJ75" s="1" t="n">
        <f aca="false">IF(AI75&gt;PR_BalDone,AI75+AI75*(D_iC)-MIN(F_CardPayM,AI75+AI75*(D_iC)),AI75)</f>
        <v>0</v>
      </c>
      <c r="AK75" s="1" t="n">
        <f aca="false">IF(AJ75&gt;PR_BalDone,AJ75+AJ75*(D_iC)-MIN(F_CardPayM,AJ75+AJ75*(D_iC)),AJ75)</f>
        <v>0</v>
      </c>
      <c r="AL75" s="1" t="n">
        <f aca="false">IF(AK75&gt;PR_BalDone,AK75+AK75*(D_iC)-MIN(F_CardPayM,AK75+AK75*(D_iC)),AK75)</f>
        <v>0</v>
      </c>
      <c r="AM75" s="1" t="n">
        <f aca="false">IF(AL75&gt;PR_BalDone,AL75+AL75*(D_iC)-MIN(F_CardPayM,AL75+AL75*(D_iC)),AL75)</f>
        <v>0</v>
      </c>
      <c r="AN75" s="1" t="n">
        <f aca="false">IF(AM75&gt;PR_BalDone,AM75+AM75*(D_iC)-MIN(F_CardPayM,AM75+AM75*(D_iC)),AM75)</f>
        <v>0</v>
      </c>
      <c r="AO75" s="1" t="n">
        <f aca="false">IF(AN75&gt;PR_BalDone,AN75+AN75*(D_iC)-MIN(F_CardPayM,AN75+AN75*(D_iC)),AN75)</f>
        <v>0</v>
      </c>
      <c r="AP75" s="1" t="n">
        <f aca="false">IF(AO75&gt;PR_BalDone,AO75+AO75*(D_iC)-MIN(F_CardPayM,AO75+AO75*(D_iC)),AO75)</f>
        <v>0</v>
      </c>
      <c r="AQ75" s="1" t="n">
        <f aca="false">IF(AD75&gt;PR_BalDone,MIN(F_CardPayM,AD75+AD75*(D_iC)),0)</f>
        <v>0</v>
      </c>
      <c r="AR75" s="1" t="n">
        <f aca="false">IF(AE75&gt;PR_BalDone,MIN(F_CardPayM,AE75+AE75*(D_iC)),0)</f>
        <v>0</v>
      </c>
      <c r="AS75" s="1" t="n">
        <f aca="false">IF(AF75&gt;PR_BalDone,MIN(F_CardPayM,AF75+AF75*(D_iC)),0)</f>
        <v>0</v>
      </c>
      <c r="AT75" s="1" t="n">
        <f aca="false">IF(AG75&gt;PR_BalDone,MIN(F_CardPayM,AG75+AG75*(D_iC)),0)</f>
        <v>0</v>
      </c>
      <c r="AU75" s="1" t="n">
        <f aca="false">IF(AH75&gt;PR_BalDone,MIN(F_CardPayM,AH75+AH75*(D_iC)),0)</f>
        <v>0</v>
      </c>
      <c r="AV75" s="1" t="n">
        <f aca="false">IF(AI75&gt;PR_BalDone,MIN(F_CardPayM,AI75+AI75*(D_iC)),0)</f>
        <v>0</v>
      </c>
      <c r="AW75" s="1" t="n">
        <f aca="false">IF(AJ75&gt;PR_BalDone,MIN(F_CardPayM,AJ75+AJ75*(D_iC)),0)</f>
        <v>0</v>
      </c>
      <c r="AX75" s="1" t="n">
        <f aca="false">IF(AK75&gt;PR_BalDone,MIN(F_CardPayM,AK75+AK75*(D_iC)),0)</f>
        <v>0</v>
      </c>
      <c r="AY75" s="1" t="n">
        <f aca="false">IF(AL75&gt;PR_BalDone,MIN(F_CardPayM,AL75+AL75*(D_iC)),0)</f>
        <v>0</v>
      </c>
      <c r="AZ75" s="1" t="n">
        <f aca="false">IF(AM75&gt;PR_BalDone,MIN(F_CardPayM,AM75+AM75*(D_iC)),0)</f>
        <v>0</v>
      </c>
      <c r="BA75" s="1" t="n">
        <f aca="false">IF(AN75&gt;PR_BalDone,MIN(F_CardPayM,AN75+AN75*(D_iC)),0)</f>
        <v>0</v>
      </c>
      <c r="BB75" s="1" t="n">
        <f aca="false">IF(AO75&gt;PR_BalDone,MIN(F_CardPayM,AO75+AO75*(D_iC)),0)</f>
        <v>0</v>
      </c>
      <c r="BC75" s="1" t="n">
        <f aca="false">MAX(0,AP75)</f>
        <v>0</v>
      </c>
      <c r="BD75" s="1" t="n">
        <f aca="false">SUM(AQ75:BB75)</f>
        <v>0</v>
      </c>
      <c r="BE75" s="1" t="n">
        <f aca="false">'Plan cashflow'!O75</f>
        <v>0</v>
      </c>
      <c r="BF75" s="1" t="n">
        <f aca="false">IF(BE75&gt;PR_BalDone,BE75+BE75*(D_iL)-MIN(F_LoanPayM,BE75+BE75*(D_iL)),BE75)</f>
        <v>0</v>
      </c>
      <c r="BG75" s="1" t="n">
        <f aca="false">IF(BF75&gt;PR_BalDone,BF75+BF75*(D_iL)-MIN(F_LoanPayM,BF75+BF75*(D_iL)),BF75)</f>
        <v>0</v>
      </c>
      <c r="BH75" s="1" t="n">
        <f aca="false">IF(BG75&gt;PR_BalDone,BG75+BG75*(D_iL)-MIN(F_LoanPayM,BG75+BG75*(D_iL)),BG75)</f>
        <v>0</v>
      </c>
      <c r="BI75" s="1" t="n">
        <f aca="false">IF(BH75&gt;PR_BalDone,BH75+BH75*(D_iL)-MIN(F_LoanPayM,BH75+BH75*(D_iL)),BH75)</f>
        <v>0</v>
      </c>
      <c r="BJ75" s="1" t="n">
        <f aca="false">IF(BI75&gt;PR_BalDone,BI75+BI75*(D_iL)-MIN(F_LoanPayM,BI75+BI75*(D_iL)),BI75)</f>
        <v>0</v>
      </c>
      <c r="BK75" s="1" t="n">
        <f aca="false">IF(BJ75&gt;PR_BalDone,BJ75+BJ75*(D_iL)-MIN(F_LoanPayM,BJ75+BJ75*(D_iL)),BJ75)</f>
        <v>0</v>
      </c>
      <c r="BL75" s="1" t="n">
        <f aca="false">IF(BK75&gt;PR_BalDone,BK75+BK75*(D_iL)-MIN(F_LoanPayM,BK75+BK75*(D_iL)),BK75)</f>
        <v>0</v>
      </c>
      <c r="BM75" s="1" t="n">
        <f aca="false">IF(BL75&gt;PR_BalDone,BL75+BL75*(D_iL)-MIN(F_LoanPayM,BL75+BL75*(D_iL)),BL75)</f>
        <v>0</v>
      </c>
      <c r="BN75" s="1" t="n">
        <f aca="false">IF(BM75&gt;PR_BalDone,BM75+BM75*(D_iL)-MIN(F_LoanPayM,BM75+BM75*(D_iL)),BM75)</f>
        <v>0</v>
      </c>
      <c r="BO75" s="1" t="n">
        <f aca="false">IF(BN75&gt;PR_BalDone,BN75+BN75*(D_iL)-MIN(F_LoanPayM,BN75+BN75*(D_iL)),BN75)</f>
        <v>0</v>
      </c>
      <c r="BP75" s="1" t="n">
        <f aca="false">IF(BO75&gt;PR_BalDone,BO75+BO75*(D_iL)-MIN(F_LoanPayM,BO75+BO75*(D_iL)),BO75)</f>
        <v>0</v>
      </c>
      <c r="BQ75" s="1" t="n">
        <f aca="false">IF(BP75&gt;PR_BalDone,BP75+BP75*(D_iL)-MIN(F_LoanPayM,BP75+BP75*(D_iL)),BP75)</f>
        <v>0</v>
      </c>
      <c r="BR75" s="1" t="n">
        <f aca="false">IF(BE75&gt;PR_BalDone,MIN(F_LoanPayM,BE75+BE75*(D_iL)),0)</f>
        <v>0</v>
      </c>
      <c r="BS75" s="1" t="n">
        <f aca="false">IF(BF75&gt;PR_BalDone,MIN(F_LoanPayM,BF75+BF75*(D_iL)),0)</f>
        <v>0</v>
      </c>
      <c r="BT75" s="1" t="n">
        <f aca="false">IF(BG75&gt;PR_BalDone,MIN(F_LoanPayM,BG75+BG75*(D_iL)),0)</f>
        <v>0</v>
      </c>
      <c r="BU75" s="1" t="n">
        <f aca="false">IF(BH75&gt;PR_BalDone,MIN(F_LoanPayM,BH75+BH75*(D_iL)),0)</f>
        <v>0</v>
      </c>
      <c r="BV75" s="1" t="n">
        <f aca="false">IF(BI75&gt;PR_BalDone,MIN(F_LoanPayM,BI75+BI75*(D_iL)),0)</f>
        <v>0</v>
      </c>
      <c r="BW75" s="1" t="n">
        <f aca="false">IF(BJ75&gt;PR_BalDone,MIN(F_LoanPayM,BJ75+BJ75*(D_iL)),0)</f>
        <v>0</v>
      </c>
      <c r="BX75" s="1" t="n">
        <f aca="false">IF(BK75&gt;PR_BalDone,MIN(F_LoanPayM,BK75+BK75*(D_iL)),0)</f>
        <v>0</v>
      </c>
      <c r="BY75" s="1" t="n">
        <f aca="false">IF(BL75&gt;PR_BalDone,MIN(F_LoanPayM,BL75+BL75*(D_iL)),0)</f>
        <v>0</v>
      </c>
      <c r="BZ75" s="1" t="n">
        <f aca="false">IF(BM75&gt;PR_BalDone,MIN(F_LoanPayM,BM75+BM75*(D_iL)),0)</f>
        <v>0</v>
      </c>
      <c r="CA75" s="1" t="n">
        <f aca="false">IF(BN75&gt;PR_BalDone,MIN(F_LoanPayM,BN75+BN75*(D_iL)),0)</f>
        <v>0</v>
      </c>
      <c r="CB75" s="1" t="n">
        <f aca="false">IF(BO75&gt;PR_BalDone,MIN(F_LoanPayM,BO75+BO75*(D_iL)),0)</f>
        <v>0</v>
      </c>
      <c r="CC75" s="1" t="n">
        <f aca="false">IF(BP75&gt;PR_BalDone,MIN(F_LoanPayM,BP75+BP75*(D_iL)),0)</f>
        <v>0</v>
      </c>
      <c r="CD75" s="1" t="n">
        <f aca="false">MAX(0,BQ75)</f>
        <v>0</v>
      </c>
      <c r="CE75" s="1" t="n">
        <f aca="false">SUM(BR75:CC75)</f>
        <v>0</v>
      </c>
      <c r="CF75" s="1" t="n">
        <f aca="false">IF(CF74&gt;1,DE74,CF74)</f>
        <v>0</v>
      </c>
      <c r="CG75" s="1" t="n">
        <f aca="false">IF(CF75&gt;PR_BalDone,CF75+CF75*(F_MR/12)-MIN(F_MortPayM,CF75+CF75*(F_MR/12)),CF75)</f>
        <v>0</v>
      </c>
      <c r="CH75" s="1" t="n">
        <f aca="false">IF(CG75&gt;PR_BalDone,CG75+CG75*(F_MR/12)-MIN(F_MortPayM,CG75+CG75*(F_MR/12)),CG75)</f>
        <v>0</v>
      </c>
      <c r="CI75" s="1" t="n">
        <f aca="false">IF(CH75&gt;PR_BalDone,CH75+CH75*(F_MR/12)-MIN(F_MortPayM,CH75+CH75*(F_MR/12)),CH75)</f>
        <v>0</v>
      </c>
      <c r="CJ75" s="1" t="n">
        <f aca="false">IF(CI75&gt;PR_BalDone,CI75+CI75*(F_MR/12)-MIN(F_MortPayM,CI75+CI75*(F_MR/12)),CI75)</f>
        <v>0</v>
      </c>
      <c r="CK75" s="1" t="n">
        <f aca="false">IF(CJ75&gt;PR_BalDone,CJ75+CJ75*(F_MR/12)-MIN(F_MortPayM,CJ75+CJ75*(F_MR/12)),CJ75)</f>
        <v>0</v>
      </c>
      <c r="CL75" s="1" t="n">
        <f aca="false">IF(CK75&gt;PR_BalDone,CK75+CK75*(F_MR/12)-MIN(F_MortPayM,CK75+CK75*(F_MR/12)),CK75)</f>
        <v>0</v>
      </c>
      <c r="CM75" s="1" t="n">
        <f aca="false">IF(CL75&gt;PR_BalDone,CL75+CL75*(F_MR/12)-MIN(F_MortPayM,CL75+CL75*(F_MR/12)),CL75)</f>
        <v>0</v>
      </c>
      <c r="CN75" s="1" t="n">
        <f aca="false">IF(CM75&gt;PR_BalDone,CM75+CM75*(F_MR/12)-MIN(F_MortPayM,CM75+CM75*(F_MR/12)),CM75)</f>
        <v>0</v>
      </c>
      <c r="CO75" s="1" t="n">
        <f aca="false">IF(CN75&gt;PR_BalDone,CN75+CN75*(F_MR/12)-MIN(F_MortPayM,CN75+CN75*(F_MR/12)),CN75)</f>
        <v>0</v>
      </c>
      <c r="CP75" s="1" t="n">
        <f aca="false">IF(CO75&gt;PR_BalDone,CO75+CO75*(F_MR/12)-MIN(F_MortPayM,CO75+CO75*(F_MR/12)),CO75)</f>
        <v>0</v>
      </c>
      <c r="CQ75" s="1" t="n">
        <f aca="false">IF(CP75&gt;PR_BalDone,CP75+CP75*(F_MR/12)-MIN(F_MortPayM,CP75+CP75*(F_MR/12)),CP75)</f>
        <v>0</v>
      </c>
      <c r="CR75" s="1" t="n">
        <f aca="false">IF(CQ75&gt;PR_BalDone,CQ75+CQ75*(F_MR/12)-MIN(F_MortPayM,CQ75+CQ75*(F_MR/12)),CQ75)</f>
        <v>0</v>
      </c>
      <c r="CS75" s="1" t="n">
        <f aca="false">IF(CF75&gt;PR_BalDone,MIN(F_MortPayM,CF75+CF75*(F_MR/12)),0)</f>
        <v>0</v>
      </c>
      <c r="CT75" s="1" t="n">
        <f aca="false">IF(CG75&gt;PR_BalDone,MIN(F_MortPayM,CG75+CG75*(F_MR/12)),0)</f>
        <v>0</v>
      </c>
      <c r="CU75" s="1" t="n">
        <f aca="false">IF(CH75&gt;PR_BalDone,MIN(F_MortPayM,CH75+CH75*(F_MR/12)),0)</f>
        <v>0</v>
      </c>
      <c r="CV75" s="1" t="n">
        <f aca="false">IF(CI75&gt;PR_BalDone,MIN(F_MortPayM,CI75+CI75*(F_MR/12)),0)</f>
        <v>0</v>
      </c>
      <c r="CW75" s="1" t="n">
        <f aca="false">IF(CJ75&gt;PR_BalDone,MIN(F_MortPayM,CJ75+CJ75*(F_MR/12)),0)</f>
        <v>0</v>
      </c>
      <c r="CX75" s="1" t="n">
        <f aca="false">IF(CK75&gt;PR_BalDone,MIN(F_MortPayM,CK75+CK75*(F_MR/12)),0)</f>
        <v>0</v>
      </c>
      <c r="CY75" s="1" t="n">
        <f aca="false">IF(CL75&gt;PR_BalDone,MIN(F_MortPayM,CL75+CL75*(F_MR/12)),0)</f>
        <v>0</v>
      </c>
      <c r="CZ75" s="1" t="n">
        <f aca="false">IF(CM75&gt;PR_BalDone,MIN(F_MortPayM,CM75+CM75*(F_MR/12)),0)</f>
        <v>0</v>
      </c>
      <c r="DA75" s="1" t="n">
        <f aca="false">IF(CN75&gt;PR_BalDone,MIN(F_MortPayM,CN75+CN75*(F_MR/12)),0)</f>
        <v>0</v>
      </c>
      <c r="DB75" s="1" t="n">
        <f aca="false">IF(CO75&gt;PR_BalDone,MIN(F_MortPayM,CO75+CO75*(F_MR/12)),0)</f>
        <v>0</v>
      </c>
      <c r="DC75" s="1" t="n">
        <f aca="false">IF(CP75&gt;PR_BalDone,MIN(F_MortPayM,CP75+CP75*(F_MR/12)),0)</f>
        <v>0</v>
      </c>
      <c r="DD75" s="1" t="n">
        <f aca="false">IF(CQ75&gt;PR_BalDone,MIN(F_MortPayM,CQ75+CQ75*(F_MR/12)),0)</f>
        <v>0</v>
      </c>
      <c r="DE75" s="1" t="n">
        <f aca="false">MAX(0,CR75)</f>
        <v>0</v>
      </c>
      <c r="DF75" s="1" t="n">
        <f aca="false">SUM(CS75:DD75)</f>
        <v>0</v>
      </c>
      <c r="DG75" s="1" t="n">
        <f aca="false">MAX(0,CF75)</f>
        <v>0</v>
      </c>
    </row>
    <row r="76" customFormat="false" ht="15" hidden="false" customHeight="true" outlineLevel="0" collapsed="false">
      <c r="B76" s="1" t="n">
        <v>68</v>
      </c>
      <c r="C76" s="1" t="n">
        <f aca="false">'Plan cashflow'!I76</f>
        <v>0</v>
      </c>
      <c r="D76" s="1" t="n">
        <f aca="false">IF(C76&gt;PR_BalDone,C76+C76*(F_MR/12)-MIN(F_MortPayM,C76+C76*(F_MR/12)),C76)</f>
        <v>0</v>
      </c>
      <c r="E76" s="1" t="n">
        <f aca="false">IF(D76&gt;PR_BalDone,D76+D76*(F_MR/12)-MIN(F_MortPayM,D76+D76*(F_MR/12)),D76)</f>
        <v>0</v>
      </c>
      <c r="F76" s="1" t="n">
        <f aca="false">IF(E76&gt;PR_BalDone,E76+E76*(F_MR/12)-MIN(F_MortPayM,E76+E76*(F_MR/12)),E76)</f>
        <v>0</v>
      </c>
      <c r="G76" s="1" t="n">
        <f aca="false">IF(F76&gt;PR_BalDone,F76+F76*(F_MR/12)-MIN(F_MortPayM,F76+F76*(F_MR/12)),F76)</f>
        <v>0</v>
      </c>
      <c r="H76" s="1" t="n">
        <f aca="false">IF(G76&gt;PR_BalDone,G76+G76*(F_MR/12)-MIN(F_MortPayM,G76+G76*(F_MR/12)),G76)</f>
        <v>0</v>
      </c>
      <c r="I76" s="1" t="n">
        <f aca="false">IF(H76&gt;PR_BalDone,H76+H76*(F_MR/12)-MIN(F_MortPayM,H76+H76*(F_MR/12)),H76)</f>
        <v>0</v>
      </c>
      <c r="J76" s="1" t="n">
        <f aca="false">IF(I76&gt;PR_BalDone,I76+I76*(F_MR/12)-MIN(F_MortPayM,I76+I76*(F_MR/12)),I76)</f>
        <v>0</v>
      </c>
      <c r="K76" s="1" t="n">
        <f aca="false">IF(J76&gt;PR_BalDone,J76+J76*(F_MR/12)-MIN(F_MortPayM,J76+J76*(F_MR/12)),J76)</f>
        <v>0</v>
      </c>
      <c r="L76" s="1" t="n">
        <f aca="false">IF(K76&gt;PR_BalDone,K76+K76*(F_MR/12)-MIN(F_MortPayM,K76+K76*(F_MR/12)),K76)</f>
        <v>0</v>
      </c>
      <c r="M76" s="1" t="n">
        <f aca="false">IF(L76&gt;PR_BalDone,L76+L76*(F_MR/12)-MIN(F_MortPayM,L76+L76*(F_MR/12)),L76)</f>
        <v>0</v>
      </c>
      <c r="N76" s="1" t="n">
        <f aca="false">IF(M76&gt;PR_BalDone,M76+M76*(F_MR/12)-MIN(F_MortPayM,M76+M76*(F_MR/12)),M76)</f>
        <v>0</v>
      </c>
      <c r="O76" s="1" t="n">
        <f aca="false">IF(N76&gt;PR_BalDone,N76+N76*(F_MR/12)-MIN(F_MortPayM,N76+N76*(F_MR/12)),N76)</f>
        <v>0</v>
      </c>
      <c r="P76" s="1" t="n">
        <f aca="false">IF(C76&gt;PR_BalDone,MIN(F_MortPayM,C76+C76*(F_MR/12)),0)</f>
        <v>0</v>
      </c>
      <c r="Q76" s="1" t="n">
        <f aca="false">IF(D76&gt;PR_BalDone,MIN(F_MortPayM,D76+D76*(F_MR/12)),0)</f>
        <v>0</v>
      </c>
      <c r="R76" s="1" t="n">
        <f aca="false">IF(E76&gt;PR_BalDone,MIN(F_MortPayM,E76+E76*(F_MR/12)),0)</f>
        <v>0</v>
      </c>
      <c r="S76" s="1" t="n">
        <f aca="false">IF(F76&gt;PR_BalDone,MIN(F_MortPayM,F76+F76*(F_MR/12)),0)</f>
        <v>0</v>
      </c>
      <c r="T76" s="1" t="n">
        <f aca="false">IF(G76&gt;PR_BalDone,MIN(F_MortPayM,G76+G76*(F_MR/12)),0)</f>
        <v>0</v>
      </c>
      <c r="U76" s="1" t="n">
        <f aca="false">IF(H76&gt;PR_BalDone,MIN(F_MortPayM,H76+H76*(F_MR/12)),0)</f>
        <v>0</v>
      </c>
      <c r="V76" s="1" t="n">
        <f aca="false">IF(I76&gt;PR_BalDone,MIN(F_MortPayM,I76+I76*(F_MR/12)),0)</f>
        <v>0</v>
      </c>
      <c r="W76" s="1" t="n">
        <f aca="false">IF(J76&gt;PR_BalDone,MIN(F_MortPayM,J76+J76*(F_MR/12)),0)</f>
        <v>0</v>
      </c>
      <c r="X76" s="1" t="n">
        <f aca="false">IF(K76&gt;PR_BalDone,MIN(F_MortPayM,K76+K76*(F_MR/12)),0)</f>
        <v>0</v>
      </c>
      <c r="Y76" s="1" t="n">
        <f aca="false">IF(L76&gt;PR_BalDone,MIN(F_MortPayM,L76+L76*(F_MR/12)),0)</f>
        <v>0</v>
      </c>
      <c r="Z76" s="1" t="n">
        <f aca="false">IF(M76&gt;PR_BalDone,MIN(F_MortPayM,M76+M76*(F_MR/12)),0)</f>
        <v>0</v>
      </c>
      <c r="AA76" s="1" t="n">
        <f aca="false">IF(N76&gt;PR_BalDone,MIN(F_MortPayM,N76+N76*(F_MR/12)),0)</f>
        <v>0</v>
      </c>
      <c r="AB76" s="1" t="n">
        <f aca="false">MAX(0,O76)</f>
        <v>0</v>
      </c>
      <c r="AC76" s="1" t="n">
        <f aca="false">SUM(P76:AA76)</f>
        <v>0</v>
      </c>
      <c r="AD76" s="1" t="n">
        <f aca="false">'Plan cashflow'!L76</f>
        <v>0</v>
      </c>
      <c r="AE76" s="1" t="n">
        <f aca="false">IF(AD76&gt;PR_BalDone,AD76+AD76*(D_iC)-MIN(F_CardPayM,AD76+AD76*(D_iC)),AD76)</f>
        <v>0</v>
      </c>
      <c r="AF76" s="1" t="n">
        <f aca="false">IF(AE76&gt;PR_BalDone,AE76+AE76*(D_iC)-MIN(F_CardPayM,AE76+AE76*(D_iC)),AE76)</f>
        <v>0</v>
      </c>
      <c r="AG76" s="1" t="n">
        <f aca="false">IF(AF76&gt;PR_BalDone,AF76+AF76*(D_iC)-MIN(F_CardPayM,AF76+AF76*(D_iC)),AF76)</f>
        <v>0</v>
      </c>
      <c r="AH76" s="1" t="n">
        <f aca="false">IF(AG76&gt;PR_BalDone,AG76+AG76*(D_iC)-MIN(F_CardPayM,AG76+AG76*(D_iC)),AG76)</f>
        <v>0</v>
      </c>
      <c r="AI76" s="1" t="n">
        <f aca="false">IF(AH76&gt;PR_BalDone,AH76+AH76*(D_iC)-MIN(F_CardPayM,AH76+AH76*(D_iC)),AH76)</f>
        <v>0</v>
      </c>
      <c r="AJ76" s="1" t="n">
        <f aca="false">IF(AI76&gt;PR_BalDone,AI76+AI76*(D_iC)-MIN(F_CardPayM,AI76+AI76*(D_iC)),AI76)</f>
        <v>0</v>
      </c>
      <c r="AK76" s="1" t="n">
        <f aca="false">IF(AJ76&gt;PR_BalDone,AJ76+AJ76*(D_iC)-MIN(F_CardPayM,AJ76+AJ76*(D_iC)),AJ76)</f>
        <v>0</v>
      </c>
      <c r="AL76" s="1" t="n">
        <f aca="false">IF(AK76&gt;PR_BalDone,AK76+AK76*(D_iC)-MIN(F_CardPayM,AK76+AK76*(D_iC)),AK76)</f>
        <v>0</v>
      </c>
      <c r="AM76" s="1" t="n">
        <f aca="false">IF(AL76&gt;PR_BalDone,AL76+AL76*(D_iC)-MIN(F_CardPayM,AL76+AL76*(D_iC)),AL76)</f>
        <v>0</v>
      </c>
      <c r="AN76" s="1" t="n">
        <f aca="false">IF(AM76&gt;PR_BalDone,AM76+AM76*(D_iC)-MIN(F_CardPayM,AM76+AM76*(D_iC)),AM76)</f>
        <v>0</v>
      </c>
      <c r="AO76" s="1" t="n">
        <f aca="false">IF(AN76&gt;PR_BalDone,AN76+AN76*(D_iC)-MIN(F_CardPayM,AN76+AN76*(D_iC)),AN76)</f>
        <v>0</v>
      </c>
      <c r="AP76" s="1" t="n">
        <f aca="false">IF(AO76&gt;PR_BalDone,AO76+AO76*(D_iC)-MIN(F_CardPayM,AO76+AO76*(D_iC)),AO76)</f>
        <v>0</v>
      </c>
      <c r="AQ76" s="1" t="n">
        <f aca="false">IF(AD76&gt;PR_BalDone,MIN(F_CardPayM,AD76+AD76*(D_iC)),0)</f>
        <v>0</v>
      </c>
      <c r="AR76" s="1" t="n">
        <f aca="false">IF(AE76&gt;PR_BalDone,MIN(F_CardPayM,AE76+AE76*(D_iC)),0)</f>
        <v>0</v>
      </c>
      <c r="AS76" s="1" t="n">
        <f aca="false">IF(AF76&gt;PR_BalDone,MIN(F_CardPayM,AF76+AF76*(D_iC)),0)</f>
        <v>0</v>
      </c>
      <c r="AT76" s="1" t="n">
        <f aca="false">IF(AG76&gt;PR_BalDone,MIN(F_CardPayM,AG76+AG76*(D_iC)),0)</f>
        <v>0</v>
      </c>
      <c r="AU76" s="1" t="n">
        <f aca="false">IF(AH76&gt;PR_BalDone,MIN(F_CardPayM,AH76+AH76*(D_iC)),0)</f>
        <v>0</v>
      </c>
      <c r="AV76" s="1" t="n">
        <f aca="false">IF(AI76&gt;PR_BalDone,MIN(F_CardPayM,AI76+AI76*(D_iC)),0)</f>
        <v>0</v>
      </c>
      <c r="AW76" s="1" t="n">
        <f aca="false">IF(AJ76&gt;PR_BalDone,MIN(F_CardPayM,AJ76+AJ76*(D_iC)),0)</f>
        <v>0</v>
      </c>
      <c r="AX76" s="1" t="n">
        <f aca="false">IF(AK76&gt;PR_BalDone,MIN(F_CardPayM,AK76+AK76*(D_iC)),0)</f>
        <v>0</v>
      </c>
      <c r="AY76" s="1" t="n">
        <f aca="false">IF(AL76&gt;PR_BalDone,MIN(F_CardPayM,AL76+AL76*(D_iC)),0)</f>
        <v>0</v>
      </c>
      <c r="AZ76" s="1" t="n">
        <f aca="false">IF(AM76&gt;PR_BalDone,MIN(F_CardPayM,AM76+AM76*(D_iC)),0)</f>
        <v>0</v>
      </c>
      <c r="BA76" s="1" t="n">
        <f aca="false">IF(AN76&gt;PR_BalDone,MIN(F_CardPayM,AN76+AN76*(D_iC)),0)</f>
        <v>0</v>
      </c>
      <c r="BB76" s="1" t="n">
        <f aca="false">IF(AO76&gt;PR_BalDone,MIN(F_CardPayM,AO76+AO76*(D_iC)),0)</f>
        <v>0</v>
      </c>
      <c r="BC76" s="1" t="n">
        <f aca="false">MAX(0,AP76)</f>
        <v>0</v>
      </c>
      <c r="BD76" s="1" t="n">
        <f aca="false">SUM(AQ76:BB76)</f>
        <v>0</v>
      </c>
      <c r="BE76" s="1" t="n">
        <f aca="false">'Plan cashflow'!O76</f>
        <v>0</v>
      </c>
      <c r="BF76" s="1" t="n">
        <f aca="false">IF(BE76&gt;PR_BalDone,BE76+BE76*(D_iL)-MIN(F_LoanPayM,BE76+BE76*(D_iL)),BE76)</f>
        <v>0</v>
      </c>
      <c r="BG76" s="1" t="n">
        <f aca="false">IF(BF76&gt;PR_BalDone,BF76+BF76*(D_iL)-MIN(F_LoanPayM,BF76+BF76*(D_iL)),BF76)</f>
        <v>0</v>
      </c>
      <c r="BH76" s="1" t="n">
        <f aca="false">IF(BG76&gt;PR_BalDone,BG76+BG76*(D_iL)-MIN(F_LoanPayM,BG76+BG76*(D_iL)),BG76)</f>
        <v>0</v>
      </c>
      <c r="BI76" s="1" t="n">
        <f aca="false">IF(BH76&gt;PR_BalDone,BH76+BH76*(D_iL)-MIN(F_LoanPayM,BH76+BH76*(D_iL)),BH76)</f>
        <v>0</v>
      </c>
      <c r="BJ76" s="1" t="n">
        <f aca="false">IF(BI76&gt;PR_BalDone,BI76+BI76*(D_iL)-MIN(F_LoanPayM,BI76+BI76*(D_iL)),BI76)</f>
        <v>0</v>
      </c>
      <c r="BK76" s="1" t="n">
        <f aca="false">IF(BJ76&gt;PR_BalDone,BJ76+BJ76*(D_iL)-MIN(F_LoanPayM,BJ76+BJ76*(D_iL)),BJ76)</f>
        <v>0</v>
      </c>
      <c r="BL76" s="1" t="n">
        <f aca="false">IF(BK76&gt;PR_BalDone,BK76+BK76*(D_iL)-MIN(F_LoanPayM,BK76+BK76*(D_iL)),BK76)</f>
        <v>0</v>
      </c>
      <c r="BM76" s="1" t="n">
        <f aca="false">IF(BL76&gt;PR_BalDone,BL76+BL76*(D_iL)-MIN(F_LoanPayM,BL76+BL76*(D_iL)),BL76)</f>
        <v>0</v>
      </c>
      <c r="BN76" s="1" t="n">
        <f aca="false">IF(BM76&gt;PR_BalDone,BM76+BM76*(D_iL)-MIN(F_LoanPayM,BM76+BM76*(D_iL)),BM76)</f>
        <v>0</v>
      </c>
      <c r="BO76" s="1" t="n">
        <f aca="false">IF(BN76&gt;PR_BalDone,BN76+BN76*(D_iL)-MIN(F_LoanPayM,BN76+BN76*(D_iL)),BN76)</f>
        <v>0</v>
      </c>
      <c r="BP76" s="1" t="n">
        <f aca="false">IF(BO76&gt;PR_BalDone,BO76+BO76*(D_iL)-MIN(F_LoanPayM,BO76+BO76*(D_iL)),BO76)</f>
        <v>0</v>
      </c>
      <c r="BQ76" s="1" t="n">
        <f aca="false">IF(BP76&gt;PR_BalDone,BP76+BP76*(D_iL)-MIN(F_LoanPayM,BP76+BP76*(D_iL)),BP76)</f>
        <v>0</v>
      </c>
      <c r="BR76" s="1" t="n">
        <f aca="false">IF(BE76&gt;PR_BalDone,MIN(F_LoanPayM,BE76+BE76*(D_iL)),0)</f>
        <v>0</v>
      </c>
      <c r="BS76" s="1" t="n">
        <f aca="false">IF(BF76&gt;PR_BalDone,MIN(F_LoanPayM,BF76+BF76*(D_iL)),0)</f>
        <v>0</v>
      </c>
      <c r="BT76" s="1" t="n">
        <f aca="false">IF(BG76&gt;PR_BalDone,MIN(F_LoanPayM,BG76+BG76*(D_iL)),0)</f>
        <v>0</v>
      </c>
      <c r="BU76" s="1" t="n">
        <f aca="false">IF(BH76&gt;PR_BalDone,MIN(F_LoanPayM,BH76+BH76*(D_iL)),0)</f>
        <v>0</v>
      </c>
      <c r="BV76" s="1" t="n">
        <f aca="false">IF(BI76&gt;PR_BalDone,MIN(F_LoanPayM,BI76+BI76*(D_iL)),0)</f>
        <v>0</v>
      </c>
      <c r="BW76" s="1" t="n">
        <f aca="false">IF(BJ76&gt;PR_BalDone,MIN(F_LoanPayM,BJ76+BJ76*(D_iL)),0)</f>
        <v>0</v>
      </c>
      <c r="BX76" s="1" t="n">
        <f aca="false">IF(BK76&gt;PR_BalDone,MIN(F_LoanPayM,BK76+BK76*(D_iL)),0)</f>
        <v>0</v>
      </c>
      <c r="BY76" s="1" t="n">
        <f aca="false">IF(BL76&gt;PR_BalDone,MIN(F_LoanPayM,BL76+BL76*(D_iL)),0)</f>
        <v>0</v>
      </c>
      <c r="BZ76" s="1" t="n">
        <f aca="false">IF(BM76&gt;PR_BalDone,MIN(F_LoanPayM,BM76+BM76*(D_iL)),0)</f>
        <v>0</v>
      </c>
      <c r="CA76" s="1" t="n">
        <f aca="false">IF(BN76&gt;PR_BalDone,MIN(F_LoanPayM,BN76+BN76*(D_iL)),0)</f>
        <v>0</v>
      </c>
      <c r="CB76" s="1" t="n">
        <f aca="false">IF(BO76&gt;PR_BalDone,MIN(F_LoanPayM,BO76+BO76*(D_iL)),0)</f>
        <v>0</v>
      </c>
      <c r="CC76" s="1" t="n">
        <f aca="false">IF(BP76&gt;PR_BalDone,MIN(F_LoanPayM,BP76+BP76*(D_iL)),0)</f>
        <v>0</v>
      </c>
      <c r="CD76" s="1" t="n">
        <f aca="false">MAX(0,BQ76)</f>
        <v>0</v>
      </c>
      <c r="CE76" s="1" t="n">
        <f aca="false">SUM(BR76:CC76)</f>
        <v>0</v>
      </c>
      <c r="CF76" s="1" t="n">
        <f aca="false">IF(CF75&gt;1,DE75,CF75)</f>
        <v>0</v>
      </c>
      <c r="CG76" s="1" t="n">
        <f aca="false">IF(CF76&gt;PR_BalDone,CF76+CF76*(F_MR/12)-MIN(F_MortPayM,CF76+CF76*(F_MR/12)),CF76)</f>
        <v>0</v>
      </c>
      <c r="CH76" s="1" t="n">
        <f aca="false">IF(CG76&gt;PR_BalDone,CG76+CG76*(F_MR/12)-MIN(F_MortPayM,CG76+CG76*(F_MR/12)),CG76)</f>
        <v>0</v>
      </c>
      <c r="CI76" s="1" t="n">
        <f aca="false">IF(CH76&gt;PR_BalDone,CH76+CH76*(F_MR/12)-MIN(F_MortPayM,CH76+CH76*(F_MR/12)),CH76)</f>
        <v>0</v>
      </c>
      <c r="CJ76" s="1" t="n">
        <f aca="false">IF(CI76&gt;PR_BalDone,CI76+CI76*(F_MR/12)-MIN(F_MortPayM,CI76+CI76*(F_MR/12)),CI76)</f>
        <v>0</v>
      </c>
      <c r="CK76" s="1" t="n">
        <f aca="false">IF(CJ76&gt;PR_BalDone,CJ76+CJ76*(F_MR/12)-MIN(F_MortPayM,CJ76+CJ76*(F_MR/12)),CJ76)</f>
        <v>0</v>
      </c>
      <c r="CL76" s="1" t="n">
        <f aca="false">IF(CK76&gt;PR_BalDone,CK76+CK76*(F_MR/12)-MIN(F_MortPayM,CK76+CK76*(F_MR/12)),CK76)</f>
        <v>0</v>
      </c>
      <c r="CM76" s="1" t="n">
        <f aca="false">IF(CL76&gt;PR_BalDone,CL76+CL76*(F_MR/12)-MIN(F_MortPayM,CL76+CL76*(F_MR/12)),CL76)</f>
        <v>0</v>
      </c>
      <c r="CN76" s="1" t="n">
        <f aca="false">IF(CM76&gt;PR_BalDone,CM76+CM76*(F_MR/12)-MIN(F_MortPayM,CM76+CM76*(F_MR/12)),CM76)</f>
        <v>0</v>
      </c>
      <c r="CO76" s="1" t="n">
        <f aca="false">IF(CN76&gt;PR_BalDone,CN76+CN76*(F_MR/12)-MIN(F_MortPayM,CN76+CN76*(F_MR/12)),CN76)</f>
        <v>0</v>
      </c>
      <c r="CP76" s="1" t="n">
        <f aca="false">IF(CO76&gt;PR_BalDone,CO76+CO76*(F_MR/12)-MIN(F_MortPayM,CO76+CO76*(F_MR/12)),CO76)</f>
        <v>0</v>
      </c>
      <c r="CQ76" s="1" t="n">
        <f aca="false">IF(CP76&gt;PR_BalDone,CP76+CP76*(F_MR/12)-MIN(F_MortPayM,CP76+CP76*(F_MR/12)),CP76)</f>
        <v>0</v>
      </c>
      <c r="CR76" s="1" t="n">
        <f aca="false">IF(CQ76&gt;PR_BalDone,CQ76+CQ76*(F_MR/12)-MIN(F_MortPayM,CQ76+CQ76*(F_MR/12)),CQ76)</f>
        <v>0</v>
      </c>
      <c r="CS76" s="1" t="n">
        <f aca="false">IF(CF76&gt;PR_BalDone,MIN(F_MortPayM,CF76+CF76*(F_MR/12)),0)</f>
        <v>0</v>
      </c>
      <c r="CT76" s="1" t="n">
        <f aca="false">IF(CG76&gt;PR_BalDone,MIN(F_MortPayM,CG76+CG76*(F_MR/12)),0)</f>
        <v>0</v>
      </c>
      <c r="CU76" s="1" t="n">
        <f aca="false">IF(CH76&gt;PR_BalDone,MIN(F_MortPayM,CH76+CH76*(F_MR/12)),0)</f>
        <v>0</v>
      </c>
      <c r="CV76" s="1" t="n">
        <f aca="false">IF(CI76&gt;PR_BalDone,MIN(F_MortPayM,CI76+CI76*(F_MR/12)),0)</f>
        <v>0</v>
      </c>
      <c r="CW76" s="1" t="n">
        <f aca="false">IF(CJ76&gt;PR_BalDone,MIN(F_MortPayM,CJ76+CJ76*(F_MR/12)),0)</f>
        <v>0</v>
      </c>
      <c r="CX76" s="1" t="n">
        <f aca="false">IF(CK76&gt;PR_BalDone,MIN(F_MortPayM,CK76+CK76*(F_MR/12)),0)</f>
        <v>0</v>
      </c>
      <c r="CY76" s="1" t="n">
        <f aca="false">IF(CL76&gt;PR_BalDone,MIN(F_MortPayM,CL76+CL76*(F_MR/12)),0)</f>
        <v>0</v>
      </c>
      <c r="CZ76" s="1" t="n">
        <f aca="false">IF(CM76&gt;PR_BalDone,MIN(F_MortPayM,CM76+CM76*(F_MR/12)),0)</f>
        <v>0</v>
      </c>
      <c r="DA76" s="1" t="n">
        <f aca="false">IF(CN76&gt;PR_BalDone,MIN(F_MortPayM,CN76+CN76*(F_MR/12)),0)</f>
        <v>0</v>
      </c>
      <c r="DB76" s="1" t="n">
        <f aca="false">IF(CO76&gt;PR_BalDone,MIN(F_MortPayM,CO76+CO76*(F_MR/12)),0)</f>
        <v>0</v>
      </c>
      <c r="DC76" s="1" t="n">
        <f aca="false">IF(CP76&gt;PR_BalDone,MIN(F_MortPayM,CP76+CP76*(F_MR/12)),0)</f>
        <v>0</v>
      </c>
      <c r="DD76" s="1" t="n">
        <f aca="false">IF(CQ76&gt;PR_BalDone,MIN(F_MortPayM,CQ76+CQ76*(F_MR/12)),0)</f>
        <v>0</v>
      </c>
      <c r="DE76" s="1" t="n">
        <f aca="false">MAX(0,CR76)</f>
        <v>0</v>
      </c>
      <c r="DF76" s="1" t="n">
        <f aca="false">SUM(CS76:DD76)</f>
        <v>0</v>
      </c>
      <c r="DG76" s="1" t="n">
        <f aca="false">MAX(0,CF76)</f>
        <v>0</v>
      </c>
    </row>
    <row r="77" customFormat="false" ht="15" hidden="false" customHeight="true" outlineLevel="0" collapsed="false">
      <c r="B77" s="1" t="n">
        <v>69</v>
      </c>
      <c r="C77" s="1" t="n">
        <f aca="false">'Plan cashflow'!I77</f>
        <v>0</v>
      </c>
      <c r="D77" s="1" t="n">
        <f aca="false">IF(C77&gt;PR_BalDone,C77+C77*(F_MR/12)-MIN(F_MortPayM,C77+C77*(F_MR/12)),C77)</f>
        <v>0</v>
      </c>
      <c r="E77" s="1" t="n">
        <f aca="false">IF(D77&gt;PR_BalDone,D77+D77*(F_MR/12)-MIN(F_MortPayM,D77+D77*(F_MR/12)),D77)</f>
        <v>0</v>
      </c>
      <c r="F77" s="1" t="n">
        <f aca="false">IF(E77&gt;PR_BalDone,E77+E77*(F_MR/12)-MIN(F_MortPayM,E77+E77*(F_MR/12)),E77)</f>
        <v>0</v>
      </c>
      <c r="G77" s="1" t="n">
        <f aca="false">IF(F77&gt;PR_BalDone,F77+F77*(F_MR/12)-MIN(F_MortPayM,F77+F77*(F_MR/12)),F77)</f>
        <v>0</v>
      </c>
      <c r="H77" s="1" t="n">
        <f aca="false">IF(G77&gt;PR_BalDone,G77+G77*(F_MR/12)-MIN(F_MortPayM,G77+G77*(F_MR/12)),G77)</f>
        <v>0</v>
      </c>
      <c r="I77" s="1" t="n">
        <f aca="false">IF(H77&gt;PR_BalDone,H77+H77*(F_MR/12)-MIN(F_MortPayM,H77+H77*(F_MR/12)),H77)</f>
        <v>0</v>
      </c>
      <c r="J77" s="1" t="n">
        <f aca="false">IF(I77&gt;PR_BalDone,I77+I77*(F_MR/12)-MIN(F_MortPayM,I77+I77*(F_MR/12)),I77)</f>
        <v>0</v>
      </c>
      <c r="K77" s="1" t="n">
        <f aca="false">IF(J77&gt;PR_BalDone,J77+J77*(F_MR/12)-MIN(F_MortPayM,J77+J77*(F_MR/12)),J77)</f>
        <v>0</v>
      </c>
      <c r="L77" s="1" t="n">
        <f aca="false">IF(K77&gt;PR_BalDone,K77+K77*(F_MR/12)-MIN(F_MortPayM,K77+K77*(F_MR/12)),K77)</f>
        <v>0</v>
      </c>
      <c r="M77" s="1" t="n">
        <f aca="false">IF(L77&gt;PR_BalDone,L77+L77*(F_MR/12)-MIN(F_MortPayM,L77+L77*(F_MR/12)),L77)</f>
        <v>0</v>
      </c>
      <c r="N77" s="1" t="n">
        <f aca="false">IF(M77&gt;PR_BalDone,M77+M77*(F_MR/12)-MIN(F_MortPayM,M77+M77*(F_MR/12)),M77)</f>
        <v>0</v>
      </c>
      <c r="O77" s="1" t="n">
        <f aca="false">IF(N77&gt;PR_BalDone,N77+N77*(F_MR/12)-MIN(F_MortPayM,N77+N77*(F_MR/12)),N77)</f>
        <v>0</v>
      </c>
      <c r="P77" s="1" t="n">
        <f aca="false">IF(C77&gt;PR_BalDone,MIN(F_MortPayM,C77+C77*(F_MR/12)),0)</f>
        <v>0</v>
      </c>
      <c r="Q77" s="1" t="n">
        <f aca="false">IF(D77&gt;PR_BalDone,MIN(F_MortPayM,D77+D77*(F_MR/12)),0)</f>
        <v>0</v>
      </c>
      <c r="R77" s="1" t="n">
        <f aca="false">IF(E77&gt;PR_BalDone,MIN(F_MortPayM,E77+E77*(F_MR/12)),0)</f>
        <v>0</v>
      </c>
      <c r="S77" s="1" t="n">
        <f aca="false">IF(F77&gt;PR_BalDone,MIN(F_MortPayM,F77+F77*(F_MR/12)),0)</f>
        <v>0</v>
      </c>
      <c r="T77" s="1" t="n">
        <f aca="false">IF(G77&gt;PR_BalDone,MIN(F_MortPayM,G77+G77*(F_MR/12)),0)</f>
        <v>0</v>
      </c>
      <c r="U77" s="1" t="n">
        <f aca="false">IF(H77&gt;PR_BalDone,MIN(F_MortPayM,H77+H77*(F_MR/12)),0)</f>
        <v>0</v>
      </c>
      <c r="V77" s="1" t="n">
        <f aca="false">IF(I77&gt;PR_BalDone,MIN(F_MortPayM,I77+I77*(F_MR/12)),0)</f>
        <v>0</v>
      </c>
      <c r="W77" s="1" t="n">
        <f aca="false">IF(J77&gt;PR_BalDone,MIN(F_MortPayM,J77+J77*(F_MR/12)),0)</f>
        <v>0</v>
      </c>
      <c r="X77" s="1" t="n">
        <f aca="false">IF(K77&gt;PR_BalDone,MIN(F_MortPayM,K77+K77*(F_MR/12)),0)</f>
        <v>0</v>
      </c>
      <c r="Y77" s="1" t="n">
        <f aca="false">IF(L77&gt;PR_BalDone,MIN(F_MortPayM,L77+L77*(F_MR/12)),0)</f>
        <v>0</v>
      </c>
      <c r="Z77" s="1" t="n">
        <f aca="false">IF(M77&gt;PR_BalDone,MIN(F_MortPayM,M77+M77*(F_MR/12)),0)</f>
        <v>0</v>
      </c>
      <c r="AA77" s="1" t="n">
        <f aca="false">IF(N77&gt;PR_BalDone,MIN(F_MortPayM,N77+N77*(F_MR/12)),0)</f>
        <v>0</v>
      </c>
      <c r="AB77" s="1" t="n">
        <f aca="false">MAX(0,O77)</f>
        <v>0</v>
      </c>
      <c r="AC77" s="1" t="n">
        <f aca="false">SUM(P77:AA77)</f>
        <v>0</v>
      </c>
      <c r="AD77" s="1" t="n">
        <f aca="false">'Plan cashflow'!L77</f>
        <v>0</v>
      </c>
      <c r="AE77" s="1" t="n">
        <f aca="false">IF(AD77&gt;PR_BalDone,AD77+AD77*(D_iC)-MIN(F_CardPayM,AD77+AD77*(D_iC)),AD77)</f>
        <v>0</v>
      </c>
      <c r="AF77" s="1" t="n">
        <f aca="false">IF(AE77&gt;PR_BalDone,AE77+AE77*(D_iC)-MIN(F_CardPayM,AE77+AE77*(D_iC)),AE77)</f>
        <v>0</v>
      </c>
      <c r="AG77" s="1" t="n">
        <f aca="false">IF(AF77&gt;PR_BalDone,AF77+AF77*(D_iC)-MIN(F_CardPayM,AF77+AF77*(D_iC)),AF77)</f>
        <v>0</v>
      </c>
      <c r="AH77" s="1" t="n">
        <f aca="false">IF(AG77&gt;PR_BalDone,AG77+AG77*(D_iC)-MIN(F_CardPayM,AG77+AG77*(D_iC)),AG77)</f>
        <v>0</v>
      </c>
      <c r="AI77" s="1" t="n">
        <f aca="false">IF(AH77&gt;PR_BalDone,AH77+AH77*(D_iC)-MIN(F_CardPayM,AH77+AH77*(D_iC)),AH77)</f>
        <v>0</v>
      </c>
      <c r="AJ77" s="1" t="n">
        <f aca="false">IF(AI77&gt;PR_BalDone,AI77+AI77*(D_iC)-MIN(F_CardPayM,AI77+AI77*(D_iC)),AI77)</f>
        <v>0</v>
      </c>
      <c r="AK77" s="1" t="n">
        <f aca="false">IF(AJ77&gt;PR_BalDone,AJ77+AJ77*(D_iC)-MIN(F_CardPayM,AJ77+AJ77*(D_iC)),AJ77)</f>
        <v>0</v>
      </c>
      <c r="AL77" s="1" t="n">
        <f aca="false">IF(AK77&gt;PR_BalDone,AK77+AK77*(D_iC)-MIN(F_CardPayM,AK77+AK77*(D_iC)),AK77)</f>
        <v>0</v>
      </c>
      <c r="AM77" s="1" t="n">
        <f aca="false">IF(AL77&gt;PR_BalDone,AL77+AL77*(D_iC)-MIN(F_CardPayM,AL77+AL77*(D_iC)),AL77)</f>
        <v>0</v>
      </c>
      <c r="AN77" s="1" t="n">
        <f aca="false">IF(AM77&gt;PR_BalDone,AM77+AM77*(D_iC)-MIN(F_CardPayM,AM77+AM77*(D_iC)),AM77)</f>
        <v>0</v>
      </c>
      <c r="AO77" s="1" t="n">
        <f aca="false">IF(AN77&gt;PR_BalDone,AN77+AN77*(D_iC)-MIN(F_CardPayM,AN77+AN77*(D_iC)),AN77)</f>
        <v>0</v>
      </c>
      <c r="AP77" s="1" t="n">
        <f aca="false">IF(AO77&gt;PR_BalDone,AO77+AO77*(D_iC)-MIN(F_CardPayM,AO77+AO77*(D_iC)),AO77)</f>
        <v>0</v>
      </c>
      <c r="AQ77" s="1" t="n">
        <f aca="false">IF(AD77&gt;PR_BalDone,MIN(F_CardPayM,AD77+AD77*(D_iC)),0)</f>
        <v>0</v>
      </c>
      <c r="AR77" s="1" t="n">
        <f aca="false">IF(AE77&gt;PR_BalDone,MIN(F_CardPayM,AE77+AE77*(D_iC)),0)</f>
        <v>0</v>
      </c>
      <c r="AS77" s="1" t="n">
        <f aca="false">IF(AF77&gt;PR_BalDone,MIN(F_CardPayM,AF77+AF77*(D_iC)),0)</f>
        <v>0</v>
      </c>
      <c r="AT77" s="1" t="n">
        <f aca="false">IF(AG77&gt;PR_BalDone,MIN(F_CardPayM,AG77+AG77*(D_iC)),0)</f>
        <v>0</v>
      </c>
      <c r="AU77" s="1" t="n">
        <f aca="false">IF(AH77&gt;PR_BalDone,MIN(F_CardPayM,AH77+AH77*(D_iC)),0)</f>
        <v>0</v>
      </c>
      <c r="AV77" s="1" t="n">
        <f aca="false">IF(AI77&gt;PR_BalDone,MIN(F_CardPayM,AI77+AI77*(D_iC)),0)</f>
        <v>0</v>
      </c>
      <c r="AW77" s="1" t="n">
        <f aca="false">IF(AJ77&gt;PR_BalDone,MIN(F_CardPayM,AJ77+AJ77*(D_iC)),0)</f>
        <v>0</v>
      </c>
      <c r="AX77" s="1" t="n">
        <f aca="false">IF(AK77&gt;PR_BalDone,MIN(F_CardPayM,AK77+AK77*(D_iC)),0)</f>
        <v>0</v>
      </c>
      <c r="AY77" s="1" t="n">
        <f aca="false">IF(AL77&gt;PR_BalDone,MIN(F_CardPayM,AL77+AL77*(D_iC)),0)</f>
        <v>0</v>
      </c>
      <c r="AZ77" s="1" t="n">
        <f aca="false">IF(AM77&gt;PR_BalDone,MIN(F_CardPayM,AM77+AM77*(D_iC)),0)</f>
        <v>0</v>
      </c>
      <c r="BA77" s="1" t="n">
        <f aca="false">IF(AN77&gt;PR_BalDone,MIN(F_CardPayM,AN77+AN77*(D_iC)),0)</f>
        <v>0</v>
      </c>
      <c r="BB77" s="1" t="n">
        <f aca="false">IF(AO77&gt;PR_BalDone,MIN(F_CardPayM,AO77+AO77*(D_iC)),0)</f>
        <v>0</v>
      </c>
      <c r="BC77" s="1" t="n">
        <f aca="false">MAX(0,AP77)</f>
        <v>0</v>
      </c>
      <c r="BD77" s="1" t="n">
        <f aca="false">SUM(AQ77:BB77)</f>
        <v>0</v>
      </c>
      <c r="BE77" s="1" t="n">
        <f aca="false">'Plan cashflow'!O77</f>
        <v>0</v>
      </c>
      <c r="BF77" s="1" t="n">
        <f aca="false">IF(BE77&gt;PR_BalDone,BE77+BE77*(D_iL)-MIN(F_LoanPayM,BE77+BE77*(D_iL)),BE77)</f>
        <v>0</v>
      </c>
      <c r="BG77" s="1" t="n">
        <f aca="false">IF(BF77&gt;PR_BalDone,BF77+BF77*(D_iL)-MIN(F_LoanPayM,BF77+BF77*(D_iL)),BF77)</f>
        <v>0</v>
      </c>
      <c r="BH77" s="1" t="n">
        <f aca="false">IF(BG77&gt;PR_BalDone,BG77+BG77*(D_iL)-MIN(F_LoanPayM,BG77+BG77*(D_iL)),BG77)</f>
        <v>0</v>
      </c>
      <c r="BI77" s="1" t="n">
        <f aca="false">IF(BH77&gt;PR_BalDone,BH77+BH77*(D_iL)-MIN(F_LoanPayM,BH77+BH77*(D_iL)),BH77)</f>
        <v>0</v>
      </c>
      <c r="BJ77" s="1" t="n">
        <f aca="false">IF(BI77&gt;PR_BalDone,BI77+BI77*(D_iL)-MIN(F_LoanPayM,BI77+BI77*(D_iL)),BI77)</f>
        <v>0</v>
      </c>
      <c r="BK77" s="1" t="n">
        <f aca="false">IF(BJ77&gt;PR_BalDone,BJ77+BJ77*(D_iL)-MIN(F_LoanPayM,BJ77+BJ77*(D_iL)),BJ77)</f>
        <v>0</v>
      </c>
      <c r="BL77" s="1" t="n">
        <f aca="false">IF(BK77&gt;PR_BalDone,BK77+BK77*(D_iL)-MIN(F_LoanPayM,BK77+BK77*(D_iL)),BK77)</f>
        <v>0</v>
      </c>
      <c r="BM77" s="1" t="n">
        <f aca="false">IF(BL77&gt;PR_BalDone,BL77+BL77*(D_iL)-MIN(F_LoanPayM,BL77+BL77*(D_iL)),BL77)</f>
        <v>0</v>
      </c>
      <c r="BN77" s="1" t="n">
        <f aca="false">IF(BM77&gt;PR_BalDone,BM77+BM77*(D_iL)-MIN(F_LoanPayM,BM77+BM77*(D_iL)),BM77)</f>
        <v>0</v>
      </c>
      <c r="BO77" s="1" t="n">
        <f aca="false">IF(BN77&gt;PR_BalDone,BN77+BN77*(D_iL)-MIN(F_LoanPayM,BN77+BN77*(D_iL)),BN77)</f>
        <v>0</v>
      </c>
      <c r="BP77" s="1" t="n">
        <f aca="false">IF(BO77&gt;PR_BalDone,BO77+BO77*(D_iL)-MIN(F_LoanPayM,BO77+BO77*(D_iL)),BO77)</f>
        <v>0</v>
      </c>
      <c r="BQ77" s="1" t="n">
        <f aca="false">IF(BP77&gt;PR_BalDone,BP77+BP77*(D_iL)-MIN(F_LoanPayM,BP77+BP77*(D_iL)),BP77)</f>
        <v>0</v>
      </c>
      <c r="BR77" s="1" t="n">
        <f aca="false">IF(BE77&gt;PR_BalDone,MIN(F_LoanPayM,BE77+BE77*(D_iL)),0)</f>
        <v>0</v>
      </c>
      <c r="BS77" s="1" t="n">
        <f aca="false">IF(BF77&gt;PR_BalDone,MIN(F_LoanPayM,BF77+BF77*(D_iL)),0)</f>
        <v>0</v>
      </c>
      <c r="BT77" s="1" t="n">
        <f aca="false">IF(BG77&gt;PR_BalDone,MIN(F_LoanPayM,BG77+BG77*(D_iL)),0)</f>
        <v>0</v>
      </c>
      <c r="BU77" s="1" t="n">
        <f aca="false">IF(BH77&gt;PR_BalDone,MIN(F_LoanPayM,BH77+BH77*(D_iL)),0)</f>
        <v>0</v>
      </c>
      <c r="BV77" s="1" t="n">
        <f aca="false">IF(BI77&gt;PR_BalDone,MIN(F_LoanPayM,BI77+BI77*(D_iL)),0)</f>
        <v>0</v>
      </c>
      <c r="BW77" s="1" t="n">
        <f aca="false">IF(BJ77&gt;PR_BalDone,MIN(F_LoanPayM,BJ77+BJ77*(D_iL)),0)</f>
        <v>0</v>
      </c>
      <c r="BX77" s="1" t="n">
        <f aca="false">IF(BK77&gt;PR_BalDone,MIN(F_LoanPayM,BK77+BK77*(D_iL)),0)</f>
        <v>0</v>
      </c>
      <c r="BY77" s="1" t="n">
        <f aca="false">IF(BL77&gt;PR_BalDone,MIN(F_LoanPayM,BL77+BL77*(D_iL)),0)</f>
        <v>0</v>
      </c>
      <c r="BZ77" s="1" t="n">
        <f aca="false">IF(BM77&gt;PR_BalDone,MIN(F_LoanPayM,BM77+BM77*(D_iL)),0)</f>
        <v>0</v>
      </c>
      <c r="CA77" s="1" t="n">
        <f aca="false">IF(BN77&gt;PR_BalDone,MIN(F_LoanPayM,BN77+BN77*(D_iL)),0)</f>
        <v>0</v>
      </c>
      <c r="CB77" s="1" t="n">
        <f aca="false">IF(BO77&gt;PR_BalDone,MIN(F_LoanPayM,BO77+BO77*(D_iL)),0)</f>
        <v>0</v>
      </c>
      <c r="CC77" s="1" t="n">
        <f aca="false">IF(BP77&gt;PR_BalDone,MIN(F_LoanPayM,BP77+BP77*(D_iL)),0)</f>
        <v>0</v>
      </c>
      <c r="CD77" s="1" t="n">
        <f aca="false">MAX(0,BQ77)</f>
        <v>0</v>
      </c>
      <c r="CE77" s="1" t="n">
        <f aca="false">SUM(BR77:CC77)</f>
        <v>0</v>
      </c>
      <c r="CF77" s="1" t="n">
        <f aca="false">IF(CF76&gt;1,DE76,CF76)</f>
        <v>0</v>
      </c>
      <c r="CG77" s="1" t="n">
        <f aca="false">IF(CF77&gt;PR_BalDone,CF77+CF77*(F_MR/12)-MIN(F_MortPayM,CF77+CF77*(F_MR/12)),CF77)</f>
        <v>0</v>
      </c>
      <c r="CH77" s="1" t="n">
        <f aca="false">IF(CG77&gt;PR_BalDone,CG77+CG77*(F_MR/12)-MIN(F_MortPayM,CG77+CG77*(F_MR/12)),CG77)</f>
        <v>0</v>
      </c>
      <c r="CI77" s="1" t="n">
        <f aca="false">IF(CH77&gt;PR_BalDone,CH77+CH77*(F_MR/12)-MIN(F_MortPayM,CH77+CH77*(F_MR/12)),CH77)</f>
        <v>0</v>
      </c>
      <c r="CJ77" s="1" t="n">
        <f aca="false">IF(CI77&gt;PR_BalDone,CI77+CI77*(F_MR/12)-MIN(F_MortPayM,CI77+CI77*(F_MR/12)),CI77)</f>
        <v>0</v>
      </c>
      <c r="CK77" s="1" t="n">
        <f aca="false">IF(CJ77&gt;PR_BalDone,CJ77+CJ77*(F_MR/12)-MIN(F_MortPayM,CJ77+CJ77*(F_MR/12)),CJ77)</f>
        <v>0</v>
      </c>
      <c r="CL77" s="1" t="n">
        <f aca="false">IF(CK77&gt;PR_BalDone,CK77+CK77*(F_MR/12)-MIN(F_MortPayM,CK77+CK77*(F_MR/12)),CK77)</f>
        <v>0</v>
      </c>
      <c r="CM77" s="1" t="n">
        <f aca="false">IF(CL77&gt;PR_BalDone,CL77+CL77*(F_MR/12)-MIN(F_MortPayM,CL77+CL77*(F_MR/12)),CL77)</f>
        <v>0</v>
      </c>
      <c r="CN77" s="1" t="n">
        <f aca="false">IF(CM77&gt;PR_BalDone,CM77+CM77*(F_MR/12)-MIN(F_MortPayM,CM77+CM77*(F_MR/12)),CM77)</f>
        <v>0</v>
      </c>
      <c r="CO77" s="1" t="n">
        <f aca="false">IF(CN77&gt;PR_BalDone,CN77+CN77*(F_MR/12)-MIN(F_MortPayM,CN77+CN77*(F_MR/12)),CN77)</f>
        <v>0</v>
      </c>
      <c r="CP77" s="1" t="n">
        <f aca="false">IF(CO77&gt;PR_BalDone,CO77+CO77*(F_MR/12)-MIN(F_MortPayM,CO77+CO77*(F_MR/12)),CO77)</f>
        <v>0</v>
      </c>
      <c r="CQ77" s="1" t="n">
        <f aca="false">IF(CP77&gt;PR_BalDone,CP77+CP77*(F_MR/12)-MIN(F_MortPayM,CP77+CP77*(F_MR/12)),CP77)</f>
        <v>0</v>
      </c>
      <c r="CR77" s="1" t="n">
        <f aca="false">IF(CQ77&gt;PR_BalDone,CQ77+CQ77*(F_MR/12)-MIN(F_MortPayM,CQ77+CQ77*(F_MR/12)),CQ77)</f>
        <v>0</v>
      </c>
      <c r="CS77" s="1" t="n">
        <f aca="false">IF(CF77&gt;PR_BalDone,MIN(F_MortPayM,CF77+CF77*(F_MR/12)),0)</f>
        <v>0</v>
      </c>
      <c r="CT77" s="1" t="n">
        <f aca="false">IF(CG77&gt;PR_BalDone,MIN(F_MortPayM,CG77+CG77*(F_MR/12)),0)</f>
        <v>0</v>
      </c>
      <c r="CU77" s="1" t="n">
        <f aca="false">IF(CH77&gt;PR_BalDone,MIN(F_MortPayM,CH77+CH77*(F_MR/12)),0)</f>
        <v>0</v>
      </c>
      <c r="CV77" s="1" t="n">
        <f aca="false">IF(CI77&gt;PR_BalDone,MIN(F_MortPayM,CI77+CI77*(F_MR/12)),0)</f>
        <v>0</v>
      </c>
      <c r="CW77" s="1" t="n">
        <f aca="false">IF(CJ77&gt;PR_BalDone,MIN(F_MortPayM,CJ77+CJ77*(F_MR/12)),0)</f>
        <v>0</v>
      </c>
      <c r="CX77" s="1" t="n">
        <f aca="false">IF(CK77&gt;PR_BalDone,MIN(F_MortPayM,CK77+CK77*(F_MR/12)),0)</f>
        <v>0</v>
      </c>
      <c r="CY77" s="1" t="n">
        <f aca="false">IF(CL77&gt;PR_BalDone,MIN(F_MortPayM,CL77+CL77*(F_MR/12)),0)</f>
        <v>0</v>
      </c>
      <c r="CZ77" s="1" t="n">
        <f aca="false">IF(CM77&gt;PR_BalDone,MIN(F_MortPayM,CM77+CM77*(F_MR/12)),0)</f>
        <v>0</v>
      </c>
      <c r="DA77" s="1" t="n">
        <f aca="false">IF(CN77&gt;PR_BalDone,MIN(F_MortPayM,CN77+CN77*(F_MR/12)),0)</f>
        <v>0</v>
      </c>
      <c r="DB77" s="1" t="n">
        <f aca="false">IF(CO77&gt;PR_BalDone,MIN(F_MortPayM,CO77+CO77*(F_MR/12)),0)</f>
        <v>0</v>
      </c>
      <c r="DC77" s="1" t="n">
        <f aca="false">IF(CP77&gt;PR_BalDone,MIN(F_MortPayM,CP77+CP77*(F_MR/12)),0)</f>
        <v>0</v>
      </c>
      <c r="DD77" s="1" t="n">
        <f aca="false">IF(CQ77&gt;PR_BalDone,MIN(F_MortPayM,CQ77+CQ77*(F_MR/12)),0)</f>
        <v>0</v>
      </c>
      <c r="DE77" s="1" t="n">
        <f aca="false">MAX(0,CR77)</f>
        <v>0</v>
      </c>
      <c r="DF77" s="1" t="n">
        <f aca="false">SUM(CS77:DD77)</f>
        <v>0</v>
      </c>
      <c r="DG77" s="1" t="n">
        <f aca="false">MAX(0,CF77)</f>
        <v>0</v>
      </c>
    </row>
    <row r="78" customFormat="false" ht="15" hidden="false" customHeight="true" outlineLevel="0" collapsed="false">
      <c r="B78" s="1" t="n">
        <v>70</v>
      </c>
      <c r="C78" s="1" t="n">
        <f aca="false">'Plan cashflow'!I78</f>
        <v>0</v>
      </c>
      <c r="D78" s="1" t="n">
        <f aca="false">IF(C78&gt;PR_BalDone,C78+C78*(F_MR/12)-MIN(F_MortPayM,C78+C78*(F_MR/12)),C78)</f>
        <v>0</v>
      </c>
      <c r="E78" s="1" t="n">
        <f aca="false">IF(D78&gt;PR_BalDone,D78+D78*(F_MR/12)-MIN(F_MortPayM,D78+D78*(F_MR/12)),D78)</f>
        <v>0</v>
      </c>
      <c r="F78" s="1" t="n">
        <f aca="false">IF(E78&gt;PR_BalDone,E78+E78*(F_MR/12)-MIN(F_MortPayM,E78+E78*(F_MR/12)),E78)</f>
        <v>0</v>
      </c>
      <c r="G78" s="1" t="n">
        <f aca="false">IF(F78&gt;PR_BalDone,F78+F78*(F_MR/12)-MIN(F_MortPayM,F78+F78*(F_MR/12)),F78)</f>
        <v>0</v>
      </c>
      <c r="H78" s="1" t="n">
        <f aca="false">IF(G78&gt;PR_BalDone,G78+G78*(F_MR/12)-MIN(F_MortPayM,G78+G78*(F_MR/12)),G78)</f>
        <v>0</v>
      </c>
      <c r="I78" s="1" t="n">
        <f aca="false">IF(H78&gt;PR_BalDone,H78+H78*(F_MR/12)-MIN(F_MortPayM,H78+H78*(F_MR/12)),H78)</f>
        <v>0</v>
      </c>
      <c r="J78" s="1" t="n">
        <f aca="false">IF(I78&gt;PR_BalDone,I78+I78*(F_MR/12)-MIN(F_MortPayM,I78+I78*(F_MR/12)),I78)</f>
        <v>0</v>
      </c>
      <c r="K78" s="1" t="n">
        <f aca="false">IF(J78&gt;PR_BalDone,J78+J78*(F_MR/12)-MIN(F_MortPayM,J78+J78*(F_MR/12)),J78)</f>
        <v>0</v>
      </c>
      <c r="L78" s="1" t="n">
        <f aca="false">IF(K78&gt;PR_BalDone,K78+K78*(F_MR/12)-MIN(F_MortPayM,K78+K78*(F_MR/12)),K78)</f>
        <v>0</v>
      </c>
      <c r="M78" s="1" t="n">
        <f aca="false">IF(L78&gt;PR_BalDone,L78+L78*(F_MR/12)-MIN(F_MortPayM,L78+L78*(F_MR/12)),L78)</f>
        <v>0</v>
      </c>
      <c r="N78" s="1" t="n">
        <f aca="false">IF(M78&gt;PR_BalDone,M78+M78*(F_MR/12)-MIN(F_MortPayM,M78+M78*(F_MR/12)),M78)</f>
        <v>0</v>
      </c>
      <c r="O78" s="1" t="n">
        <f aca="false">IF(N78&gt;PR_BalDone,N78+N78*(F_MR/12)-MIN(F_MortPayM,N78+N78*(F_MR/12)),N78)</f>
        <v>0</v>
      </c>
      <c r="P78" s="1" t="n">
        <f aca="false">IF(C78&gt;PR_BalDone,MIN(F_MortPayM,C78+C78*(F_MR/12)),0)</f>
        <v>0</v>
      </c>
      <c r="Q78" s="1" t="n">
        <f aca="false">IF(D78&gt;PR_BalDone,MIN(F_MortPayM,D78+D78*(F_MR/12)),0)</f>
        <v>0</v>
      </c>
      <c r="R78" s="1" t="n">
        <f aca="false">IF(E78&gt;PR_BalDone,MIN(F_MortPayM,E78+E78*(F_MR/12)),0)</f>
        <v>0</v>
      </c>
      <c r="S78" s="1" t="n">
        <f aca="false">IF(F78&gt;PR_BalDone,MIN(F_MortPayM,F78+F78*(F_MR/12)),0)</f>
        <v>0</v>
      </c>
      <c r="T78" s="1" t="n">
        <f aca="false">IF(G78&gt;PR_BalDone,MIN(F_MortPayM,G78+G78*(F_MR/12)),0)</f>
        <v>0</v>
      </c>
      <c r="U78" s="1" t="n">
        <f aca="false">IF(H78&gt;PR_BalDone,MIN(F_MortPayM,H78+H78*(F_MR/12)),0)</f>
        <v>0</v>
      </c>
      <c r="V78" s="1" t="n">
        <f aca="false">IF(I78&gt;PR_BalDone,MIN(F_MortPayM,I78+I78*(F_MR/12)),0)</f>
        <v>0</v>
      </c>
      <c r="W78" s="1" t="n">
        <f aca="false">IF(J78&gt;PR_BalDone,MIN(F_MortPayM,J78+J78*(F_MR/12)),0)</f>
        <v>0</v>
      </c>
      <c r="X78" s="1" t="n">
        <f aca="false">IF(K78&gt;PR_BalDone,MIN(F_MortPayM,K78+K78*(F_MR/12)),0)</f>
        <v>0</v>
      </c>
      <c r="Y78" s="1" t="n">
        <f aca="false">IF(L78&gt;PR_BalDone,MIN(F_MortPayM,L78+L78*(F_MR/12)),0)</f>
        <v>0</v>
      </c>
      <c r="Z78" s="1" t="n">
        <f aca="false">IF(M78&gt;PR_BalDone,MIN(F_MortPayM,M78+M78*(F_MR/12)),0)</f>
        <v>0</v>
      </c>
      <c r="AA78" s="1" t="n">
        <f aca="false">IF(N78&gt;PR_BalDone,MIN(F_MortPayM,N78+N78*(F_MR/12)),0)</f>
        <v>0</v>
      </c>
      <c r="AB78" s="1" t="n">
        <f aca="false">MAX(0,O78)</f>
        <v>0</v>
      </c>
      <c r="AC78" s="1" t="n">
        <f aca="false">SUM(P78:AA78)</f>
        <v>0</v>
      </c>
      <c r="AD78" s="1" t="n">
        <f aca="false">'Plan cashflow'!L78</f>
        <v>0</v>
      </c>
      <c r="AE78" s="1" t="n">
        <f aca="false">IF(AD78&gt;PR_BalDone,AD78+AD78*(D_iC)-MIN(F_CardPayM,AD78+AD78*(D_iC)),AD78)</f>
        <v>0</v>
      </c>
      <c r="AF78" s="1" t="n">
        <f aca="false">IF(AE78&gt;PR_BalDone,AE78+AE78*(D_iC)-MIN(F_CardPayM,AE78+AE78*(D_iC)),AE78)</f>
        <v>0</v>
      </c>
      <c r="AG78" s="1" t="n">
        <f aca="false">IF(AF78&gt;PR_BalDone,AF78+AF78*(D_iC)-MIN(F_CardPayM,AF78+AF78*(D_iC)),AF78)</f>
        <v>0</v>
      </c>
      <c r="AH78" s="1" t="n">
        <f aca="false">IF(AG78&gt;PR_BalDone,AG78+AG78*(D_iC)-MIN(F_CardPayM,AG78+AG78*(D_iC)),AG78)</f>
        <v>0</v>
      </c>
      <c r="AI78" s="1" t="n">
        <f aca="false">IF(AH78&gt;PR_BalDone,AH78+AH78*(D_iC)-MIN(F_CardPayM,AH78+AH78*(D_iC)),AH78)</f>
        <v>0</v>
      </c>
      <c r="AJ78" s="1" t="n">
        <f aca="false">IF(AI78&gt;PR_BalDone,AI78+AI78*(D_iC)-MIN(F_CardPayM,AI78+AI78*(D_iC)),AI78)</f>
        <v>0</v>
      </c>
      <c r="AK78" s="1" t="n">
        <f aca="false">IF(AJ78&gt;PR_BalDone,AJ78+AJ78*(D_iC)-MIN(F_CardPayM,AJ78+AJ78*(D_iC)),AJ78)</f>
        <v>0</v>
      </c>
      <c r="AL78" s="1" t="n">
        <f aca="false">IF(AK78&gt;PR_BalDone,AK78+AK78*(D_iC)-MIN(F_CardPayM,AK78+AK78*(D_iC)),AK78)</f>
        <v>0</v>
      </c>
      <c r="AM78" s="1" t="n">
        <f aca="false">IF(AL78&gt;PR_BalDone,AL78+AL78*(D_iC)-MIN(F_CardPayM,AL78+AL78*(D_iC)),AL78)</f>
        <v>0</v>
      </c>
      <c r="AN78" s="1" t="n">
        <f aca="false">IF(AM78&gt;PR_BalDone,AM78+AM78*(D_iC)-MIN(F_CardPayM,AM78+AM78*(D_iC)),AM78)</f>
        <v>0</v>
      </c>
      <c r="AO78" s="1" t="n">
        <f aca="false">IF(AN78&gt;PR_BalDone,AN78+AN78*(D_iC)-MIN(F_CardPayM,AN78+AN78*(D_iC)),AN78)</f>
        <v>0</v>
      </c>
      <c r="AP78" s="1" t="n">
        <f aca="false">IF(AO78&gt;PR_BalDone,AO78+AO78*(D_iC)-MIN(F_CardPayM,AO78+AO78*(D_iC)),AO78)</f>
        <v>0</v>
      </c>
      <c r="AQ78" s="1" t="n">
        <f aca="false">IF(AD78&gt;PR_BalDone,MIN(F_CardPayM,AD78+AD78*(D_iC)),0)</f>
        <v>0</v>
      </c>
      <c r="AR78" s="1" t="n">
        <f aca="false">IF(AE78&gt;PR_BalDone,MIN(F_CardPayM,AE78+AE78*(D_iC)),0)</f>
        <v>0</v>
      </c>
      <c r="AS78" s="1" t="n">
        <f aca="false">IF(AF78&gt;PR_BalDone,MIN(F_CardPayM,AF78+AF78*(D_iC)),0)</f>
        <v>0</v>
      </c>
      <c r="AT78" s="1" t="n">
        <f aca="false">IF(AG78&gt;PR_BalDone,MIN(F_CardPayM,AG78+AG78*(D_iC)),0)</f>
        <v>0</v>
      </c>
      <c r="AU78" s="1" t="n">
        <f aca="false">IF(AH78&gt;PR_BalDone,MIN(F_CardPayM,AH78+AH78*(D_iC)),0)</f>
        <v>0</v>
      </c>
      <c r="AV78" s="1" t="n">
        <f aca="false">IF(AI78&gt;PR_BalDone,MIN(F_CardPayM,AI78+AI78*(D_iC)),0)</f>
        <v>0</v>
      </c>
      <c r="AW78" s="1" t="n">
        <f aca="false">IF(AJ78&gt;PR_BalDone,MIN(F_CardPayM,AJ78+AJ78*(D_iC)),0)</f>
        <v>0</v>
      </c>
      <c r="AX78" s="1" t="n">
        <f aca="false">IF(AK78&gt;PR_BalDone,MIN(F_CardPayM,AK78+AK78*(D_iC)),0)</f>
        <v>0</v>
      </c>
      <c r="AY78" s="1" t="n">
        <f aca="false">IF(AL78&gt;PR_BalDone,MIN(F_CardPayM,AL78+AL78*(D_iC)),0)</f>
        <v>0</v>
      </c>
      <c r="AZ78" s="1" t="n">
        <f aca="false">IF(AM78&gt;PR_BalDone,MIN(F_CardPayM,AM78+AM78*(D_iC)),0)</f>
        <v>0</v>
      </c>
      <c r="BA78" s="1" t="n">
        <f aca="false">IF(AN78&gt;PR_BalDone,MIN(F_CardPayM,AN78+AN78*(D_iC)),0)</f>
        <v>0</v>
      </c>
      <c r="BB78" s="1" t="n">
        <f aca="false">IF(AO78&gt;PR_BalDone,MIN(F_CardPayM,AO78+AO78*(D_iC)),0)</f>
        <v>0</v>
      </c>
      <c r="BC78" s="1" t="n">
        <f aca="false">MAX(0,AP78)</f>
        <v>0</v>
      </c>
      <c r="BD78" s="1" t="n">
        <f aca="false">SUM(AQ78:BB78)</f>
        <v>0</v>
      </c>
      <c r="BE78" s="1" t="n">
        <f aca="false">'Plan cashflow'!O78</f>
        <v>0</v>
      </c>
      <c r="BF78" s="1" t="n">
        <f aca="false">IF(BE78&gt;PR_BalDone,BE78+BE78*(D_iL)-MIN(F_LoanPayM,BE78+BE78*(D_iL)),BE78)</f>
        <v>0</v>
      </c>
      <c r="BG78" s="1" t="n">
        <f aca="false">IF(BF78&gt;PR_BalDone,BF78+BF78*(D_iL)-MIN(F_LoanPayM,BF78+BF78*(D_iL)),BF78)</f>
        <v>0</v>
      </c>
      <c r="BH78" s="1" t="n">
        <f aca="false">IF(BG78&gt;PR_BalDone,BG78+BG78*(D_iL)-MIN(F_LoanPayM,BG78+BG78*(D_iL)),BG78)</f>
        <v>0</v>
      </c>
      <c r="BI78" s="1" t="n">
        <f aca="false">IF(BH78&gt;PR_BalDone,BH78+BH78*(D_iL)-MIN(F_LoanPayM,BH78+BH78*(D_iL)),BH78)</f>
        <v>0</v>
      </c>
      <c r="BJ78" s="1" t="n">
        <f aca="false">IF(BI78&gt;PR_BalDone,BI78+BI78*(D_iL)-MIN(F_LoanPayM,BI78+BI78*(D_iL)),BI78)</f>
        <v>0</v>
      </c>
      <c r="BK78" s="1" t="n">
        <f aca="false">IF(BJ78&gt;PR_BalDone,BJ78+BJ78*(D_iL)-MIN(F_LoanPayM,BJ78+BJ78*(D_iL)),BJ78)</f>
        <v>0</v>
      </c>
      <c r="BL78" s="1" t="n">
        <f aca="false">IF(BK78&gt;PR_BalDone,BK78+BK78*(D_iL)-MIN(F_LoanPayM,BK78+BK78*(D_iL)),BK78)</f>
        <v>0</v>
      </c>
      <c r="BM78" s="1" t="n">
        <f aca="false">IF(BL78&gt;PR_BalDone,BL78+BL78*(D_iL)-MIN(F_LoanPayM,BL78+BL78*(D_iL)),BL78)</f>
        <v>0</v>
      </c>
      <c r="BN78" s="1" t="n">
        <f aca="false">IF(BM78&gt;PR_BalDone,BM78+BM78*(D_iL)-MIN(F_LoanPayM,BM78+BM78*(D_iL)),BM78)</f>
        <v>0</v>
      </c>
      <c r="BO78" s="1" t="n">
        <f aca="false">IF(BN78&gt;PR_BalDone,BN78+BN78*(D_iL)-MIN(F_LoanPayM,BN78+BN78*(D_iL)),BN78)</f>
        <v>0</v>
      </c>
      <c r="BP78" s="1" t="n">
        <f aca="false">IF(BO78&gt;PR_BalDone,BO78+BO78*(D_iL)-MIN(F_LoanPayM,BO78+BO78*(D_iL)),BO78)</f>
        <v>0</v>
      </c>
      <c r="BQ78" s="1" t="n">
        <f aca="false">IF(BP78&gt;PR_BalDone,BP78+BP78*(D_iL)-MIN(F_LoanPayM,BP78+BP78*(D_iL)),BP78)</f>
        <v>0</v>
      </c>
      <c r="BR78" s="1" t="n">
        <f aca="false">IF(BE78&gt;PR_BalDone,MIN(F_LoanPayM,BE78+BE78*(D_iL)),0)</f>
        <v>0</v>
      </c>
      <c r="BS78" s="1" t="n">
        <f aca="false">IF(BF78&gt;PR_BalDone,MIN(F_LoanPayM,BF78+BF78*(D_iL)),0)</f>
        <v>0</v>
      </c>
      <c r="BT78" s="1" t="n">
        <f aca="false">IF(BG78&gt;PR_BalDone,MIN(F_LoanPayM,BG78+BG78*(D_iL)),0)</f>
        <v>0</v>
      </c>
      <c r="BU78" s="1" t="n">
        <f aca="false">IF(BH78&gt;PR_BalDone,MIN(F_LoanPayM,BH78+BH78*(D_iL)),0)</f>
        <v>0</v>
      </c>
      <c r="BV78" s="1" t="n">
        <f aca="false">IF(BI78&gt;PR_BalDone,MIN(F_LoanPayM,BI78+BI78*(D_iL)),0)</f>
        <v>0</v>
      </c>
      <c r="BW78" s="1" t="n">
        <f aca="false">IF(BJ78&gt;PR_BalDone,MIN(F_LoanPayM,BJ78+BJ78*(D_iL)),0)</f>
        <v>0</v>
      </c>
      <c r="BX78" s="1" t="n">
        <f aca="false">IF(BK78&gt;PR_BalDone,MIN(F_LoanPayM,BK78+BK78*(D_iL)),0)</f>
        <v>0</v>
      </c>
      <c r="BY78" s="1" t="n">
        <f aca="false">IF(BL78&gt;PR_BalDone,MIN(F_LoanPayM,BL78+BL78*(D_iL)),0)</f>
        <v>0</v>
      </c>
      <c r="BZ78" s="1" t="n">
        <f aca="false">IF(BM78&gt;PR_BalDone,MIN(F_LoanPayM,BM78+BM78*(D_iL)),0)</f>
        <v>0</v>
      </c>
      <c r="CA78" s="1" t="n">
        <f aca="false">IF(BN78&gt;PR_BalDone,MIN(F_LoanPayM,BN78+BN78*(D_iL)),0)</f>
        <v>0</v>
      </c>
      <c r="CB78" s="1" t="n">
        <f aca="false">IF(BO78&gt;PR_BalDone,MIN(F_LoanPayM,BO78+BO78*(D_iL)),0)</f>
        <v>0</v>
      </c>
      <c r="CC78" s="1" t="n">
        <f aca="false">IF(BP78&gt;PR_BalDone,MIN(F_LoanPayM,BP78+BP78*(D_iL)),0)</f>
        <v>0</v>
      </c>
      <c r="CD78" s="1" t="n">
        <f aca="false">MAX(0,BQ78)</f>
        <v>0</v>
      </c>
      <c r="CE78" s="1" t="n">
        <f aca="false">SUM(BR78:CC78)</f>
        <v>0</v>
      </c>
      <c r="CF78" s="1" t="n">
        <f aca="false">IF(CF77&gt;1,DE77,CF77)</f>
        <v>0</v>
      </c>
      <c r="CG78" s="1" t="n">
        <f aca="false">IF(CF78&gt;PR_BalDone,CF78+CF78*(F_MR/12)-MIN(F_MortPayM,CF78+CF78*(F_MR/12)),CF78)</f>
        <v>0</v>
      </c>
      <c r="CH78" s="1" t="n">
        <f aca="false">IF(CG78&gt;PR_BalDone,CG78+CG78*(F_MR/12)-MIN(F_MortPayM,CG78+CG78*(F_MR/12)),CG78)</f>
        <v>0</v>
      </c>
      <c r="CI78" s="1" t="n">
        <f aca="false">IF(CH78&gt;PR_BalDone,CH78+CH78*(F_MR/12)-MIN(F_MortPayM,CH78+CH78*(F_MR/12)),CH78)</f>
        <v>0</v>
      </c>
      <c r="CJ78" s="1" t="n">
        <f aca="false">IF(CI78&gt;PR_BalDone,CI78+CI78*(F_MR/12)-MIN(F_MortPayM,CI78+CI78*(F_MR/12)),CI78)</f>
        <v>0</v>
      </c>
      <c r="CK78" s="1" t="n">
        <f aca="false">IF(CJ78&gt;PR_BalDone,CJ78+CJ78*(F_MR/12)-MIN(F_MortPayM,CJ78+CJ78*(F_MR/12)),CJ78)</f>
        <v>0</v>
      </c>
      <c r="CL78" s="1" t="n">
        <f aca="false">IF(CK78&gt;PR_BalDone,CK78+CK78*(F_MR/12)-MIN(F_MortPayM,CK78+CK78*(F_MR/12)),CK78)</f>
        <v>0</v>
      </c>
      <c r="CM78" s="1" t="n">
        <f aca="false">IF(CL78&gt;PR_BalDone,CL78+CL78*(F_MR/12)-MIN(F_MortPayM,CL78+CL78*(F_MR/12)),CL78)</f>
        <v>0</v>
      </c>
      <c r="CN78" s="1" t="n">
        <f aca="false">IF(CM78&gt;PR_BalDone,CM78+CM78*(F_MR/12)-MIN(F_MortPayM,CM78+CM78*(F_MR/12)),CM78)</f>
        <v>0</v>
      </c>
      <c r="CO78" s="1" t="n">
        <f aca="false">IF(CN78&gt;PR_BalDone,CN78+CN78*(F_MR/12)-MIN(F_MortPayM,CN78+CN78*(F_MR/12)),CN78)</f>
        <v>0</v>
      </c>
      <c r="CP78" s="1" t="n">
        <f aca="false">IF(CO78&gt;PR_BalDone,CO78+CO78*(F_MR/12)-MIN(F_MortPayM,CO78+CO78*(F_MR/12)),CO78)</f>
        <v>0</v>
      </c>
      <c r="CQ78" s="1" t="n">
        <f aca="false">IF(CP78&gt;PR_BalDone,CP78+CP78*(F_MR/12)-MIN(F_MortPayM,CP78+CP78*(F_MR/12)),CP78)</f>
        <v>0</v>
      </c>
      <c r="CR78" s="1" t="n">
        <f aca="false">IF(CQ78&gt;PR_BalDone,CQ78+CQ78*(F_MR/12)-MIN(F_MortPayM,CQ78+CQ78*(F_MR/12)),CQ78)</f>
        <v>0</v>
      </c>
      <c r="CS78" s="1" t="n">
        <f aca="false">IF(CF78&gt;PR_BalDone,MIN(F_MortPayM,CF78+CF78*(F_MR/12)),0)</f>
        <v>0</v>
      </c>
      <c r="CT78" s="1" t="n">
        <f aca="false">IF(CG78&gt;PR_BalDone,MIN(F_MortPayM,CG78+CG78*(F_MR/12)),0)</f>
        <v>0</v>
      </c>
      <c r="CU78" s="1" t="n">
        <f aca="false">IF(CH78&gt;PR_BalDone,MIN(F_MortPayM,CH78+CH78*(F_MR/12)),0)</f>
        <v>0</v>
      </c>
      <c r="CV78" s="1" t="n">
        <f aca="false">IF(CI78&gt;PR_BalDone,MIN(F_MortPayM,CI78+CI78*(F_MR/12)),0)</f>
        <v>0</v>
      </c>
      <c r="CW78" s="1" t="n">
        <f aca="false">IF(CJ78&gt;PR_BalDone,MIN(F_MortPayM,CJ78+CJ78*(F_MR/12)),0)</f>
        <v>0</v>
      </c>
      <c r="CX78" s="1" t="n">
        <f aca="false">IF(CK78&gt;PR_BalDone,MIN(F_MortPayM,CK78+CK78*(F_MR/12)),0)</f>
        <v>0</v>
      </c>
      <c r="CY78" s="1" t="n">
        <f aca="false">IF(CL78&gt;PR_BalDone,MIN(F_MortPayM,CL78+CL78*(F_MR/12)),0)</f>
        <v>0</v>
      </c>
      <c r="CZ78" s="1" t="n">
        <f aca="false">IF(CM78&gt;PR_BalDone,MIN(F_MortPayM,CM78+CM78*(F_MR/12)),0)</f>
        <v>0</v>
      </c>
      <c r="DA78" s="1" t="n">
        <f aca="false">IF(CN78&gt;PR_BalDone,MIN(F_MortPayM,CN78+CN78*(F_MR/12)),0)</f>
        <v>0</v>
      </c>
      <c r="DB78" s="1" t="n">
        <f aca="false">IF(CO78&gt;PR_BalDone,MIN(F_MortPayM,CO78+CO78*(F_MR/12)),0)</f>
        <v>0</v>
      </c>
      <c r="DC78" s="1" t="n">
        <f aca="false">IF(CP78&gt;PR_BalDone,MIN(F_MortPayM,CP78+CP78*(F_MR/12)),0)</f>
        <v>0</v>
      </c>
      <c r="DD78" s="1" t="n">
        <f aca="false">IF(CQ78&gt;PR_BalDone,MIN(F_MortPayM,CQ78+CQ78*(F_MR/12)),0)</f>
        <v>0</v>
      </c>
      <c r="DE78" s="1" t="n">
        <f aca="false">MAX(0,CR78)</f>
        <v>0</v>
      </c>
      <c r="DF78" s="1" t="n">
        <f aca="false">SUM(CS78:DD78)</f>
        <v>0</v>
      </c>
      <c r="DG78" s="1" t="n">
        <f aca="false">MAX(0,CF78)</f>
        <v>0</v>
      </c>
    </row>
    <row r="79" customFormat="false" ht="15" hidden="false" customHeight="true" outlineLevel="0" collapsed="false">
      <c r="B79" s="1" t="n">
        <v>71</v>
      </c>
      <c r="C79" s="1" t="n">
        <f aca="false">'Plan cashflow'!I79</f>
        <v>0</v>
      </c>
      <c r="D79" s="1" t="n">
        <f aca="false">IF(C79&gt;PR_BalDone,C79+C79*(F_MR/12)-MIN(F_MortPayM,C79+C79*(F_MR/12)),C79)</f>
        <v>0</v>
      </c>
      <c r="E79" s="1" t="n">
        <f aca="false">IF(D79&gt;PR_BalDone,D79+D79*(F_MR/12)-MIN(F_MortPayM,D79+D79*(F_MR/12)),D79)</f>
        <v>0</v>
      </c>
      <c r="F79" s="1" t="n">
        <f aca="false">IF(E79&gt;PR_BalDone,E79+E79*(F_MR/12)-MIN(F_MortPayM,E79+E79*(F_MR/12)),E79)</f>
        <v>0</v>
      </c>
      <c r="G79" s="1" t="n">
        <f aca="false">IF(F79&gt;PR_BalDone,F79+F79*(F_MR/12)-MIN(F_MortPayM,F79+F79*(F_MR/12)),F79)</f>
        <v>0</v>
      </c>
      <c r="H79" s="1" t="n">
        <f aca="false">IF(G79&gt;PR_BalDone,G79+G79*(F_MR/12)-MIN(F_MortPayM,G79+G79*(F_MR/12)),G79)</f>
        <v>0</v>
      </c>
      <c r="I79" s="1" t="n">
        <f aca="false">IF(H79&gt;PR_BalDone,H79+H79*(F_MR/12)-MIN(F_MortPayM,H79+H79*(F_MR/12)),H79)</f>
        <v>0</v>
      </c>
      <c r="J79" s="1" t="n">
        <f aca="false">IF(I79&gt;PR_BalDone,I79+I79*(F_MR/12)-MIN(F_MortPayM,I79+I79*(F_MR/12)),I79)</f>
        <v>0</v>
      </c>
      <c r="K79" s="1" t="n">
        <f aca="false">IF(J79&gt;PR_BalDone,J79+J79*(F_MR/12)-MIN(F_MortPayM,J79+J79*(F_MR/12)),J79)</f>
        <v>0</v>
      </c>
      <c r="L79" s="1" t="n">
        <f aca="false">IF(K79&gt;PR_BalDone,K79+K79*(F_MR/12)-MIN(F_MortPayM,K79+K79*(F_MR/12)),K79)</f>
        <v>0</v>
      </c>
      <c r="M79" s="1" t="n">
        <f aca="false">IF(L79&gt;PR_BalDone,L79+L79*(F_MR/12)-MIN(F_MortPayM,L79+L79*(F_MR/12)),L79)</f>
        <v>0</v>
      </c>
      <c r="N79" s="1" t="n">
        <f aca="false">IF(M79&gt;PR_BalDone,M79+M79*(F_MR/12)-MIN(F_MortPayM,M79+M79*(F_MR/12)),M79)</f>
        <v>0</v>
      </c>
      <c r="O79" s="1" t="n">
        <f aca="false">IF(N79&gt;PR_BalDone,N79+N79*(F_MR/12)-MIN(F_MortPayM,N79+N79*(F_MR/12)),N79)</f>
        <v>0</v>
      </c>
      <c r="P79" s="1" t="n">
        <f aca="false">IF(C79&gt;PR_BalDone,MIN(F_MortPayM,C79+C79*(F_MR/12)),0)</f>
        <v>0</v>
      </c>
      <c r="Q79" s="1" t="n">
        <f aca="false">IF(D79&gt;PR_BalDone,MIN(F_MortPayM,D79+D79*(F_MR/12)),0)</f>
        <v>0</v>
      </c>
      <c r="R79" s="1" t="n">
        <f aca="false">IF(E79&gt;PR_BalDone,MIN(F_MortPayM,E79+E79*(F_MR/12)),0)</f>
        <v>0</v>
      </c>
      <c r="S79" s="1" t="n">
        <f aca="false">IF(F79&gt;PR_BalDone,MIN(F_MortPayM,F79+F79*(F_MR/12)),0)</f>
        <v>0</v>
      </c>
      <c r="T79" s="1" t="n">
        <f aca="false">IF(G79&gt;PR_BalDone,MIN(F_MortPayM,G79+G79*(F_MR/12)),0)</f>
        <v>0</v>
      </c>
      <c r="U79" s="1" t="n">
        <f aca="false">IF(H79&gt;PR_BalDone,MIN(F_MortPayM,H79+H79*(F_MR/12)),0)</f>
        <v>0</v>
      </c>
      <c r="V79" s="1" t="n">
        <f aca="false">IF(I79&gt;PR_BalDone,MIN(F_MortPayM,I79+I79*(F_MR/12)),0)</f>
        <v>0</v>
      </c>
      <c r="W79" s="1" t="n">
        <f aca="false">IF(J79&gt;PR_BalDone,MIN(F_MortPayM,J79+J79*(F_MR/12)),0)</f>
        <v>0</v>
      </c>
      <c r="X79" s="1" t="n">
        <f aca="false">IF(K79&gt;PR_BalDone,MIN(F_MortPayM,K79+K79*(F_MR/12)),0)</f>
        <v>0</v>
      </c>
      <c r="Y79" s="1" t="n">
        <f aca="false">IF(L79&gt;PR_BalDone,MIN(F_MortPayM,L79+L79*(F_MR/12)),0)</f>
        <v>0</v>
      </c>
      <c r="Z79" s="1" t="n">
        <f aca="false">IF(M79&gt;PR_BalDone,MIN(F_MortPayM,M79+M79*(F_MR/12)),0)</f>
        <v>0</v>
      </c>
      <c r="AA79" s="1" t="n">
        <f aca="false">IF(N79&gt;PR_BalDone,MIN(F_MortPayM,N79+N79*(F_MR/12)),0)</f>
        <v>0</v>
      </c>
      <c r="AB79" s="1" t="n">
        <f aca="false">MAX(0,O79)</f>
        <v>0</v>
      </c>
      <c r="AC79" s="1" t="n">
        <f aca="false">SUM(P79:AA79)</f>
        <v>0</v>
      </c>
      <c r="AD79" s="1" t="n">
        <f aca="false">'Plan cashflow'!L79</f>
        <v>0</v>
      </c>
      <c r="AE79" s="1" t="n">
        <f aca="false">IF(AD79&gt;PR_BalDone,AD79+AD79*(D_iC)-MIN(F_CardPayM,AD79+AD79*(D_iC)),AD79)</f>
        <v>0</v>
      </c>
      <c r="AF79" s="1" t="n">
        <f aca="false">IF(AE79&gt;PR_BalDone,AE79+AE79*(D_iC)-MIN(F_CardPayM,AE79+AE79*(D_iC)),AE79)</f>
        <v>0</v>
      </c>
      <c r="AG79" s="1" t="n">
        <f aca="false">IF(AF79&gt;PR_BalDone,AF79+AF79*(D_iC)-MIN(F_CardPayM,AF79+AF79*(D_iC)),AF79)</f>
        <v>0</v>
      </c>
      <c r="AH79" s="1" t="n">
        <f aca="false">IF(AG79&gt;PR_BalDone,AG79+AG79*(D_iC)-MIN(F_CardPayM,AG79+AG79*(D_iC)),AG79)</f>
        <v>0</v>
      </c>
      <c r="AI79" s="1" t="n">
        <f aca="false">IF(AH79&gt;PR_BalDone,AH79+AH79*(D_iC)-MIN(F_CardPayM,AH79+AH79*(D_iC)),AH79)</f>
        <v>0</v>
      </c>
      <c r="AJ79" s="1" t="n">
        <f aca="false">IF(AI79&gt;PR_BalDone,AI79+AI79*(D_iC)-MIN(F_CardPayM,AI79+AI79*(D_iC)),AI79)</f>
        <v>0</v>
      </c>
      <c r="AK79" s="1" t="n">
        <f aca="false">IF(AJ79&gt;PR_BalDone,AJ79+AJ79*(D_iC)-MIN(F_CardPayM,AJ79+AJ79*(D_iC)),AJ79)</f>
        <v>0</v>
      </c>
      <c r="AL79" s="1" t="n">
        <f aca="false">IF(AK79&gt;PR_BalDone,AK79+AK79*(D_iC)-MIN(F_CardPayM,AK79+AK79*(D_iC)),AK79)</f>
        <v>0</v>
      </c>
      <c r="AM79" s="1" t="n">
        <f aca="false">IF(AL79&gt;PR_BalDone,AL79+AL79*(D_iC)-MIN(F_CardPayM,AL79+AL79*(D_iC)),AL79)</f>
        <v>0</v>
      </c>
      <c r="AN79" s="1" t="n">
        <f aca="false">IF(AM79&gt;PR_BalDone,AM79+AM79*(D_iC)-MIN(F_CardPayM,AM79+AM79*(D_iC)),AM79)</f>
        <v>0</v>
      </c>
      <c r="AO79" s="1" t="n">
        <f aca="false">IF(AN79&gt;PR_BalDone,AN79+AN79*(D_iC)-MIN(F_CardPayM,AN79+AN79*(D_iC)),AN79)</f>
        <v>0</v>
      </c>
      <c r="AP79" s="1" t="n">
        <f aca="false">IF(AO79&gt;PR_BalDone,AO79+AO79*(D_iC)-MIN(F_CardPayM,AO79+AO79*(D_iC)),AO79)</f>
        <v>0</v>
      </c>
      <c r="AQ79" s="1" t="n">
        <f aca="false">IF(AD79&gt;PR_BalDone,MIN(F_CardPayM,AD79+AD79*(D_iC)),0)</f>
        <v>0</v>
      </c>
      <c r="AR79" s="1" t="n">
        <f aca="false">IF(AE79&gt;PR_BalDone,MIN(F_CardPayM,AE79+AE79*(D_iC)),0)</f>
        <v>0</v>
      </c>
      <c r="AS79" s="1" t="n">
        <f aca="false">IF(AF79&gt;PR_BalDone,MIN(F_CardPayM,AF79+AF79*(D_iC)),0)</f>
        <v>0</v>
      </c>
      <c r="AT79" s="1" t="n">
        <f aca="false">IF(AG79&gt;PR_BalDone,MIN(F_CardPayM,AG79+AG79*(D_iC)),0)</f>
        <v>0</v>
      </c>
      <c r="AU79" s="1" t="n">
        <f aca="false">IF(AH79&gt;PR_BalDone,MIN(F_CardPayM,AH79+AH79*(D_iC)),0)</f>
        <v>0</v>
      </c>
      <c r="AV79" s="1" t="n">
        <f aca="false">IF(AI79&gt;PR_BalDone,MIN(F_CardPayM,AI79+AI79*(D_iC)),0)</f>
        <v>0</v>
      </c>
      <c r="AW79" s="1" t="n">
        <f aca="false">IF(AJ79&gt;PR_BalDone,MIN(F_CardPayM,AJ79+AJ79*(D_iC)),0)</f>
        <v>0</v>
      </c>
      <c r="AX79" s="1" t="n">
        <f aca="false">IF(AK79&gt;PR_BalDone,MIN(F_CardPayM,AK79+AK79*(D_iC)),0)</f>
        <v>0</v>
      </c>
      <c r="AY79" s="1" t="n">
        <f aca="false">IF(AL79&gt;PR_BalDone,MIN(F_CardPayM,AL79+AL79*(D_iC)),0)</f>
        <v>0</v>
      </c>
      <c r="AZ79" s="1" t="n">
        <f aca="false">IF(AM79&gt;PR_BalDone,MIN(F_CardPayM,AM79+AM79*(D_iC)),0)</f>
        <v>0</v>
      </c>
      <c r="BA79" s="1" t="n">
        <f aca="false">IF(AN79&gt;PR_BalDone,MIN(F_CardPayM,AN79+AN79*(D_iC)),0)</f>
        <v>0</v>
      </c>
      <c r="BB79" s="1" t="n">
        <f aca="false">IF(AO79&gt;PR_BalDone,MIN(F_CardPayM,AO79+AO79*(D_iC)),0)</f>
        <v>0</v>
      </c>
      <c r="BC79" s="1" t="n">
        <f aca="false">MAX(0,AP79)</f>
        <v>0</v>
      </c>
      <c r="BD79" s="1" t="n">
        <f aca="false">SUM(AQ79:BB79)</f>
        <v>0</v>
      </c>
      <c r="BE79" s="1" t="n">
        <f aca="false">'Plan cashflow'!O79</f>
        <v>0</v>
      </c>
      <c r="BF79" s="1" t="n">
        <f aca="false">IF(BE79&gt;PR_BalDone,BE79+BE79*(D_iL)-MIN(F_LoanPayM,BE79+BE79*(D_iL)),BE79)</f>
        <v>0</v>
      </c>
      <c r="BG79" s="1" t="n">
        <f aca="false">IF(BF79&gt;PR_BalDone,BF79+BF79*(D_iL)-MIN(F_LoanPayM,BF79+BF79*(D_iL)),BF79)</f>
        <v>0</v>
      </c>
      <c r="BH79" s="1" t="n">
        <f aca="false">IF(BG79&gt;PR_BalDone,BG79+BG79*(D_iL)-MIN(F_LoanPayM,BG79+BG79*(D_iL)),BG79)</f>
        <v>0</v>
      </c>
      <c r="BI79" s="1" t="n">
        <f aca="false">IF(BH79&gt;PR_BalDone,BH79+BH79*(D_iL)-MIN(F_LoanPayM,BH79+BH79*(D_iL)),BH79)</f>
        <v>0</v>
      </c>
      <c r="BJ79" s="1" t="n">
        <f aca="false">IF(BI79&gt;PR_BalDone,BI79+BI79*(D_iL)-MIN(F_LoanPayM,BI79+BI79*(D_iL)),BI79)</f>
        <v>0</v>
      </c>
      <c r="BK79" s="1" t="n">
        <f aca="false">IF(BJ79&gt;PR_BalDone,BJ79+BJ79*(D_iL)-MIN(F_LoanPayM,BJ79+BJ79*(D_iL)),BJ79)</f>
        <v>0</v>
      </c>
      <c r="BL79" s="1" t="n">
        <f aca="false">IF(BK79&gt;PR_BalDone,BK79+BK79*(D_iL)-MIN(F_LoanPayM,BK79+BK79*(D_iL)),BK79)</f>
        <v>0</v>
      </c>
      <c r="BM79" s="1" t="n">
        <f aca="false">IF(BL79&gt;PR_BalDone,BL79+BL79*(D_iL)-MIN(F_LoanPayM,BL79+BL79*(D_iL)),BL79)</f>
        <v>0</v>
      </c>
      <c r="BN79" s="1" t="n">
        <f aca="false">IF(BM79&gt;PR_BalDone,BM79+BM79*(D_iL)-MIN(F_LoanPayM,BM79+BM79*(D_iL)),BM79)</f>
        <v>0</v>
      </c>
      <c r="BO79" s="1" t="n">
        <f aca="false">IF(BN79&gt;PR_BalDone,BN79+BN79*(D_iL)-MIN(F_LoanPayM,BN79+BN79*(D_iL)),BN79)</f>
        <v>0</v>
      </c>
      <c r="BP79" s="1" t="n">
        <f aca="false">IF(BO79&gt;PR_BalDone,BO79+BO79*(D_iL)-MIN(F_LoanPayM,BO79+BO79*(D_iL)),BO79)</f>
        <v>0</v>
      </c>
      <c r="BQ79" s="1" t="n">
        <f aca="false">IF(BP79&gt;PR_BalDone,BP79+BP79*(D_iL)-MIN(F_LoanPayM,BP79+BP79*(D_iL)),BP79)</f>
        <v>0</v>
      </c>
      <c r="BR79" s="1" t="n">
        <f aca="false">IF(BE79&gt;PR_BalDone,MIN(F_LoanPayM,BE79+BE79*(D_iL)),0)</f>
        <v>0</v>
      </c>
      <c r="BS79" s="1" t="n">
        <f aca="false">IF(BF79&gt;PR_BalDone,MIN(F_LoanPayM,BF79+BF79*(D_iL)),0)</f>
        <v>0</v>
      </c>
      <c r="BT79" s="1" t="n">
        <f aca="false">IF(BG79&gt;PR_BalDone,MIN(F_LoanPayM,BG79+BG79*(D_iL)),0)</f>
        <v>0</v>
      </c>
      <c r="BU79" s="1" t="n">
        <f aca="false">IF(BH79&gt;PR_BalDone,MIN(F_LoanPayM,BH79+BH79*(D_iL)),0)</f>
        <v>0</v>
      </c>
      <c r="BV79" s="1" t="n">
        <f aca="false">IF(BI79&gt;PR_BalDone,MIN(F_LoanPayM,BI79+BI79*(D_iL)),0)</f>
        <v>0</v>
      </c>
      <c r="BW79" s="1" t="n">
        <f aca="false">IF(BJ79&gt;PR_BalDone,MIN(F_LoanPayM,BJ79+BJ79*(D_iL)),0)</f>
        <v>0</v>
      </c>
      <c r="BX79" s="1" t="n">
        <f aca="false">IF(BK79&gt;PR_BalDone,MIN(F_LoanPayM,BK79+BK79*(D_iL)),0)</f>
        <v>0</v>
      </c>
      <c r="BY79" s="1" t="n">
        <f aca="false">IF(BL79&gt;PR_BalDone,MIN(F_LoanPayM,BL79+BL79*(D_iL)),0)</f>
        <v>0</v>
      </c>
      <c r="BZ79" s="1" t="n">
        <f aca="false">IF(BM79&gt;PR_BalDone,MIN(F_LoanPayM,BM79+BM79*(D_iL)),0)</f>
        <v>0</v>
      </c>
      <c r="CA79" s="1" t="n">
        <f aca="false">IF(BN79&gt;PR_BalDone,MIN(F_LoanPayM,BN79+BN79*(D_iL)),0)</f>
        <v>0</v>
      </c>
      <c r="CB79" s="1" t="n">
        <f aca="false">IF(BO79&gt;PR_BalDone,MIN(F_LoanPayM,BO79+BO79*(D_iL)),0)</f>
        <v>0</v>
      </c>
      <c r="CC79" s="1" t="n">
        <f aca="false">IF(BP79&gt;PR_BalDone,MIN(F_LoanPayM,BP79+BP79*(D_iL)),0)</f>
        <v>0</v>
      </c>
      <c r="CD79" s="1" t="n">
        <f aca="false">MAX(0,BQ79)</f>
        <v>0</v>
      </c>
      <c r="CE79" s="1" t="n">
        <f aca="false">SUM(BR79:CC79)</f>
        <v>0</v>
      </c>
      <c r="CF79" s="1" t="n">
        <f aca="false">IF(CF78&gt;1,DE78,CF78)</f>
        <v>0</v>
      </c>
      <c r="CG79" s="1" t="n">
        <f aca="false">IF(CF79&gt;PR_BalDone,CF79+CF79*(F_MR/12)-MIN(F_MortPayM,CF79+CF79*(F_MR/12)),CF79)</f>
        <v>0</v>
      </c>
      <c r="CH79" s="1" t="n">
        <f aca="false">IF(CG79&gt;PR_BalDone,CG79+CG79*(F_MR/12)-MIN(F_MortPayM,CG79+CG79*(F_MR/12)),CG79)</f>
        <v>0</v>
      </c>
      <c r="CI79" s="1" t="n">
        <f aca="false">IF(CH79&gt;PR_BalDone,CH79+CH79*(F_MR/12)-MIN(F_MortPayM,CH79+CH79*(F_MR/12)),CH79)</f>
        <v>0</v>
      </c>
      <c r="CJ79" s="1" t="n">
        <f aca="false">IF(CI79&gt;PR_BalDone,CI79+CI79*(F_MR/12)-MIN(F_MortPayM,CI79+CI79*(F_MR/12)),CI79)</f>
        <v>0</v>
      </c>
      <c r="CK79" s="1" t="n">
        <f aca="false">IF(CJ79&gt;PR_BalDone,CJ79+CJ79*(F_MR/12)-MIN(F_MortPayM,CJ79+CJ79*(F_MR/12)),CJ79)</f>
        <v>0</v>
      </c>
      <c r="CL79" s="1" t="n">
        <f aca="false">IF(CK79&gt;PR_BalDone,CK79+CK79*(F_MR/12)-MIN(F_MortPayM,CK79+CK79*(F_MR/12)),CK79)</f>
        <v>0</v>
      </c>
      <c r="CM79" s="1" t="n">
        <f aca="false">IF(CL79&gt;PR_BalDone,CL79+CL79*(F_MR/12)-MIN(F_MortPayM,CL79+CL79*(F_MR/12)),CL79)</f>
        <v>0</v>
      </c>
      <c r="CN79" s="1" t="n">
        <f aca="false">IF(CM79&gt;PR_BalDone,CM79+CM79*(F_MR/12)-MIN(F_MortPayM,CM79+CM79*(F_MR/12)),CM79)</f>
        <v>0</v>
      </c>
      <c r="CO79" s="1" t="n">
        <f aca="false">IF(CN79&gt;PR_BalDone,CN79+CN79*(F_MR/12)-MIN(F_MortPayM,CN79+CN79*(F_MR/12)),CN79)</f>
        <v>0</v>
      </c>
      <c r="CP79" s="1" t="n">
        <f aca="false">IF(CO79&gt;PR_BalDone,CO79+CO79*(F_MR/12)-MIN(F_MortPayM,CO79+CO79*(F_MR/12)),CO79)</f>
        <v>0</v>
      </c>
      <c r="CQ79" s="1" t="n">
        <f aca="false">IF(CP79&gt;PR_BalDone,CP79+CP79*(F_MR/12)-MIN(F_MortPayM,CP79+CP79*(F_MR/12)),CP79)</f>
        <v>0</v>
      </c>
      <c r="CR79" s="1" t="n">
        <f aca="false">IF(CQ79&gt;PR_BalDone,CQ79+CQ79*(F_MR/12)-MIN(F_MortPayM,CQ79+CQ79*(F_MR/12)),CQ79)</f>
        <v>0</v>
      </c>
      <c r="CS79" s="1" t="n">
        <f aca="false">IF(CF79&gt;PR_BalDone,MIN(F_MortPayM,CF79+CF79*(F_MR/12)),0)</f>
        <v>0</v>
      </c>
      <c r="CT79" s="1" t="n">
        <f aca="false">IF(CG79&gt;PR_BalDone,MIN(F_MortPayM,CG79+CG79*(F_MR/12)),0)</f>
        <v>0</v>
      </c>
      <c r="CU79" s="1" t="n">
        <f aca="false">IF(CH79&gt;PR_BalDone,MIN(F_MortPayM,CH79+CH79*(F_MR/12)),0)</f>
        <v>0</v>
      </c>
      <c r="CV79" s="1" t="n">
        <f aca="false">IF(CI79&gt;PR_BalDone,MIN(F_MortPayM,CI79+CI79*(F_MR/12)),0)</f>
        <v>0</v>
      </c>
      <c r="CW79" s="1" t="n">
        <f aca="false">IF(CJ79&gt;PR_BalDone,MIN(F_MortPayM,CJ79+CJ79*(F_MR/12)),0)</f>
        <v>0</v>
      </c>
      <c r="CX79" s="1" t="n">
        <f aca="false">IF(CK79&gt;PR_BalDone,MIN(F_MortPayM,CK79+CK79*(F_MR/12)),0)</f>
        <v>0</v>
      </c>
      <c r="CY79" s="1" t="n">
        <f aca="false">IF(CL79&gt;PR_BalDone,MIN(F_MortPayM,CL79+CL79*(F_MR/12)),0)</f>
        <v>0</v>
      </c>
      <c r="CZ79" s="1" t="n">
        <f aca="false">IF(CM79&gt;PR_BalDone,MIN(F_MortPayM,CM79+CM79*(F_MR/12)),0)</f>
        <v>0</v>
      </c>
      <c r="DA79" s="1" t="n">
        <f aca="false">IF(CN79&gt;PR_BalDone,MIN(F_MortPayM,CN79+CN79*(F_MR/12)),0)</f>
        <v>0</v>
      </c>
      <c r="DB79" s="1" t="n">
        <f aca="false">IF(CO79&gt;PR_BalDone,MIN(F_MortPayM,CO79+CO79*(F_MR/12)),0)</f>
        <v>0</v>
      </c>
      <c r="DC79" s="1" t="n">
        <f aca="false">IF(CP79&gt;PR_BalDone,MIN(F_MortPayM,CP79+CP79*(F_MR/12)),0)</f>
        <v>0</v>
      </c>
      <c r="DD79" s="1" t="n">
        <f aca="false">IF(CQ79&gt;PR_BalDone,MIN(F_MortPayM,CQ79+CQ79*(F_MR/12)),0)</f>
        <v>0</v>
      </c>
      <c r="DE79" s="1" t="n">
        <f aca="false">MAX(0,CR79)</f>
        <v>0</v>
      </c>
      <c r="DF79" s="1" t="n">
        <f aca="false">SUM(CS79:DD79)</f>
        <v>0</v>
      </c>
      <c r="DG79" s="1" t="n">
        <f aca="false">MAX(0,CF79)</f>
        <v>0</v>
      </c>
    </row>
    <row r="80" customFormat="false" ht="15" hidden="false" customHeight="true" outlineLevel="0" collapsed="false">
      <c r="B80" s="1" t="n">
        <v>72</v>
      </c>
      <c r="C80" s="1" t="n">
        <f aca="false">'Plan cashflow'!I80</f>
        <v>0</v>
      </c>
      <c r="D80" s="1" t="n">
        <f aca="false">IF(C80&gt;PR_BalDone,C80+C80*(F_MR/12)-MIN(F_MortPayM,C80+C80*(F_MR/12)),C80)</f>
        <v>0</v>
      </c>
      <c r="E80" s="1" t="n">
        <f aca="false">IF(D80&gt;PR_BalDone,D80+D80*(F_MR/12)-MIN(F_MortPayM,D80+D80*(F_MR/12)),D80)</f>
        <v>0</v>
      </c>
      <c r="F80" s="1" t="n">
        <f aca="false">IF(E80&gt;PR_BalDone,E80+E80*(F_MR/12)-MIN(F_MortPayM,E80+E80*(F_MR/12)),E80)</f>
        <v>0</v>
      </c>
      <c r="G80" s="1" t="n">
        <f aca="false">IF(F80&gt;PR_BalDone,F80+F80*(F_MR/12)-MIN(F_MortPayM,F80+F80*(F_MR/12)),F80)</f>
        <v>0</v>
      </c>
      <c r="H80" s="1" t="n">
        <f aca="false">IF(G80&gt;PR_BalDone,G80+G80*(F_MR/12)-MIN(F_MortPayM,G80+G80*(F_MR/12)),G80)</f>
        <v>0</v>
      </c>
      <c r="I80" s="1" t="n">
        <f aca="false">IF(H80&gt;PR_BalDone,H80+H80*(F_MR/12)-MIN(F_MortPayM,H80+H80*(F_MR/12)),H80)</f>
        <v>0</v>
      </c>
      <c r="J80" s="1" t="n">
        <f aca="false">IF(I80&gt;PR_BalDone,I80+I80*(F_MR/12)-MIN(F_MortPayM,I80+I80*(F_MR/12)),I80)</f>
        <v>0</v>
      </c>
      <c r="K80" s="1" t="n">
        <f aca="false">IF(J80&gt;PR_BalDone,J80+J80*(F_MR/12)-MIN(F_MortPayM,J80+J80*(F_MR/12)),J80)</f>
        <v>0</v>
      </c>
      <c r="L80" s="1" t="n">
        <f aca="false">IF(K80&gt;PR_BalDone,K80+K80*(F_MR/12)-MIN(F_MortPayM,K80+K80*(F_MR/12)),K80)</f>
        <v>0</v>
      </c>
      <c r="M80" s="1" t="n">
        <f aca="false">IF(L80&gt;PR_BalDone,L80+L80*(F_MR/12)-MIN(F_MortPayM,L80+L80*(F_MR/12)),L80)</f>
        <v>0</v>
      </c>
      <c r="N80" s="1" t="n">
        <f aca="false">IF(M80&gt;PR_BalDone,M80+M80*(F_MR/12)-MIN(F_MortPayM,M80+M80*(F_MR/12)),M80)</f>
        <v>0</v>
      </c>
      <c r="O80" s="1" t="n">
        <f aca="false">IF(N80&gt;PR_BalDone,N80+N80*(F_MR/12)-MIN(F_MortPayM,N80+N80*(F_MR/12)),N80)</f>
        <v>0</v>
      </c>
      <c r="P80" s="1" t="n">
        <f aca="false">IF(C80&gt;PR_BalDone,MIN(F_MortPayM,C80+C80*(F_MR/12)),0)</f>
        <v>0</v>
      </c>
      <c r="Q80" s="1" t="n">
        <f aca="false">IF(D80&gt;PR_BalDone,MIN(F_MortPayM,D80+D80*(F_MR/12)),0)</f>
        <v>0</v>
      </c>
      <c r="R80" s="1" t="n">
        <f aca="false">IF(E80&gt;PR_BalDone,MIN(F_MortPayM,E80+E80*(F_MR/12)),0)</f>
        <v>0</v>
      </c>
      <c r="S80" s="1" t="n">
        <f aca="false">IF(F80&gt;PR_BalDone,MIN(F_MortPayM,F80+F80*(F_MR/12)),0)</f>
        <v>0</v>
      </c>
      <c r="T80" s="1" t="n">
        <f aca="false">IF(G80&gt;PR_BalDone,MIN(F_MortPayM,G80+G80*(F_MR/12)),0)</f>
        <v>0</v>
      </c>
      <c r="U80" s="1" t="n">
        <f aca="false">IF(H80&gt;PR_BalDone,MIN(F_MortPayM,H80+H80*(F_MR/12)),0)</f>
        <v>0</v>
      </c>
      <c r="V80" s="1" t="n">
        <f aca="false">IF(I80&gt;PR_BalDone,MIN(F_MortPayM,I80+I80*(F_MR/12)),0)</f>
        <v>0</v>
      </c>
      <c r="W80" s="1" t="n">
        <f aca="false">IF(J80&gt;PR_BalDone,MIN(F_MortPayM,J80+J80*(F_MR/12)),0)</f>
        <v>0</v>
      </c>
      <c r="X80" s="1" t="n">
        <f aca="false">IF(K80&gt;PR_BalDone,MIN(F_MortPayM,K80+K80*(F_MR/12)),0)</f>
        <v>0</v>
      </c>
      <c r="Y80" s="1" t="n">
        <f aca="false">IF(L80&gt;PR_BalDone,MIN(F_MortPayM,L80+L80*(F_MR/12)),0)</f>
        <v>0</v>
      </c>
      <c r="Z80" s="1" t="n">
        <f aca="false">IF(M80&gt;PR_BalDone,MIN(F_MortPayM,M80+M80*(F_MR/12)),0)</f>
        <v>0</v>
      </c>
      <c r="AA80" s="1" t="n">
        <f aca="false">IF(N80&gt;PR_BalDone,MIN(F_MortPayM,N80+N80*(F_MR/12)),0)</f>
        <v>0</v>
      </c>
      <c r="AB80" s="1" t="n">
        <f aca="false">MAX(0,O80)</f>
        <v>0</v>
      </c>
      <c r="AC80" s="1" t="n">
        <f aca="false">SUM(P80:AA80)</f>
        <v>0</v>
      </c>
      <c r="AD80" s="1" t="n">
        <f aca="false">'Plan cashflow'!L80</f>
        <v>0</v>
      </c>
      <c r="AE80" s="1" t="n">
        <f aca="false">IF(AD80&gt;PR_BalDone,AD80+AD80*(D_iC)-MIN(F_CardPayM,AD80+AD80*(D_iC)),AD80)</f>
        <v>0</v>
      </c>
      <c r="AF80" s="1" t="n">
        <f aca="false">IF(AE80&gt;PR_BalDone,AE80+AE80*(D_iC)-MIN(F_CardPayM,AE80+AE80*(D_iC)),AE80)</f>
        <v>0</v>
      </c>
      <c r="AG80" s="1" t="n">
        <f aca="false">IF(AF80&gt;PR_BalDone,AF80+AF80*(D_iC)-MIN(F_CardPayM,AF80+AF80*(D_iC)),AF80)</f>
        <v>0</v>
      </c>
      <c r="AH80" s="1" t="n">
        <f aca="false">IF(AG80&gt;PR_BalDone,AG80+AG80*(D_iC)-MIN(F_CardPayM,AG80+AG80*(D_iC)),AG80)</f>
        <v>0</v>
      </c>
      <c r="AI80" s="1" t="n">
        <f aca="false">IF(AH80&gt;PR_BalDone,AH80+AH80*(D_iC)-MIN(F_CardPayM,AH80+AH80*(D_iC)),AH80)</f>
        <v>0</v>
      </c>
      <c r="AJ80" s="1" t="n">
        <f aca="false">IF(AI80&gt;PR_BalDone,AI80+AI80*(D_iC)-MIN(F_CardPayM,AI80+AI80*(D_iC)),AI80)</f>
        <v>0</v>
      </c>
      <c r="AK80" s="1" t="n">
        <f aca="false">IF(AJ80&gt;PR_BalDone,AJ80+AJ80*(D_iC)-MIN(F_CardPayM,AJ80+AJ80*(D_iC)),AJ80)</f>
        <v>0</v>
      </c>
      <c r="AL80" s="1" t="n">
        <f aca="false">IF(AK80&gt;PR_BalDone,AK80+AK80*(D_iC)-MIN(F_CardPayM,AK80+AK80*(D_iC)),AK80)</f>
        <v>0</v>
      </c>
      <c r="AM80" s="1" t="n">
        <f aca="false">IF(AL80&gt;PR_BalDone,AL80+AL80*(D_iC)-MIN(F_CardPayM,AL80+AL80*(D_iC)),AL80)</f>
        <v>0</v>
      </c>
      <c r="AN80" s="1" t="n">
        <f aca="false">IF(AM80&gt;PR_BalDone,AM80+AM80*(D_iC)-MIN(F_CardPayM,AM80+AM80*(D_iC)),AM80)</f>
        <v>0</v>
      </c>
      <c r="AO80" s="1" t="n">
        <f aca="false">IF(AN80&gt;PR_BalDone,AN80+AN80*(D_iC)-MIN(F_CardPayM,AN80+AN80*(D_iC)),AN80)</f>
        <v>0</v>
      </c>
      <c r="AP80" s="1" t="n">
        <f aca="false">IF(AO80&gt;PR_BalDone,AO80+AO80*(D_iC)-MIN(F_CardPayM,AO80+AO80*(D_iC)),AO80)</f>
        <v>0</v>
      </c>
      <c r="AQ80" s="1" t="n">
        <f aca="false">IF(AD80&gt;PR_BalDone,MIN(F_CardPayM,AD80+AD80*(D_iC)),0)</f>
        <v>0</v>
      </c>
      <c r="AR80" s="1" t="n">
        <f aca="false">IF(AE80&gt;PR_BalDone,MIN(F_CardPayM,AE80+AE80*(D_iC)),0)</f>
        <v>0</v>
      </c>
      <c r="AS80" s="1" t="n">
        <f aca="false">IF(AF80&gt;PR_BalDone,MIN(F_CardPayM,AF80+AF80*(D_iC)),0)</f>
        <v>0</v>
      </c>
      <c r="AT80" s="1" t="n">
        <f aca="false">IF(AG80&gt;PR_BalDone,MIN(F_CardPayM,AG80+AG80*(D_iC)),0)</f>
        <v>0</v>
      </c>
      <c r="AU80" s="1" t="n">
        <f aca="false">IF(AH80&gt;PR_BalDone,MIN(F_CardPayM,AH80+AH80*(D_iC)),0)</f>
        <v>0</v>
      </c>
      <c r="AV80" s="1" t="n">
        <f aca="false">IF(AI80&gt;PR_BalDone,MIN(F_CardPayM,AI80+AI80*(D_iC)),0)</f>
        <v>0</v>
      </c>
      <c r="AW80" s="1" t="n">
        <f aca="false">IF(AJ80&gt;PR_BalDone,MIN(F_CardPayM,AJ80+AJ80*(D_iC)),0)</f>
        <v>0</v>
      </c>
      <c r="AX80" s="1" t="n">
        <f aca="false">IF(AK80&gt;PR_BalDone,MIN(F_CardPayM,AK80+AK80*(D_iC)),0)</f>
        <v>0</v>
      </c>
      <c r="AY80" s="1" t="n">
        <f aca="false">IF(AL80&gt;PR_BalDone,MIN(F_CardPayM,AL80+AL80*(D_iC)),0)</f>
        <v>0</v>
      </c>
      <c r="AZ80" s="1" t="n">
        <f aca="false">IF(AM80&gt;PR_BalDone,MIN(F_CardPayM,AM80+AM80*(D_iC)),0)</f>
        <v>0</v>
      </c>
      <c r="BA80" s="1" t="n">
        <f aca="false">IF(AN80&gt;PR_BalDone,MIN(F_CardPayM,AN80+AN80*(D_iC)),0)</f>
        <v>0</v>
      </c>
      <c r="BB80" s="1" t="n">
        <f aca="false">IF(AO80&gt;PR_BalDone,MIN(F_CardPayM,AO80+AO80*(D_iC)),0)</f>
        <v>0</v>
      </c>
      <c r="BC80" s="1" t="n">
        <f aca="false">MAX(0,AP80)</f>
        <v>0</v>
      </c>
      <c r="BD80" s="1" t="n">
        <f aca="false">SUM(AQ80:BB80)</f>
        <v>0</v>
      </c>
      <c r="BE80" s="1" t="n">
        <f aca="false">'Plan cashflow'!O80</f>
        <v>0</v>
      </c>
      <c r="BF80" s="1" t="n">
        <f aca="false">IF(BE80&gt;PR_BalDone,BE80+BE80*(D_iL)-MIN(F_LoanPayM,BE80+BE80*(D_iL)),BE80)</f>
        <v>0</v>
      </c>
      <c r="BG80" s="1" t="n">
        <f aca="false">IF(BF80&gt;PR_BalDone,BF80+BF80*(D_iL)-MIN(F_LoanPayM,BF80+BF80*(D_iL)),BF80)</f>
        <v>0</v>
      </c>
      <c r="BH80" s="1" t="n">
        <f aca="false">IF(BG80&gt;PR_BalDone,BG80+BG80*(D_iL)-MIN(F_LoanPayM,BG80+BG80*(D_iL)),BG80)</f>
        <v>0</v>
      </c>
      <c r="BI80" s="1" t="n">
        <f aca="false">IF(BH80&gt;PR_BalDone,BH80+BH80*(D_iL)-MIN(F_LoanPayM,BH80+BH80*(D_iL)),BH80)</f>
        <v>0</v>
      </c>
      <c r="BJ80" s="1" t="n">
        <f aca="false">IF(BI80&gt;PR_BalDone,BI80+BI80*(D_iL)-MIN(F_LoanPayM,BI80+BI80*(D_iL)),BI80)</f>
        <v>0</v>
      </c>
      <c r="BK80" s="1" t="n">
        <f aca="false">IF(BJ80&gt;PR_BalDone,BJ80+BJ80*(D_iL)-MIN(F_LoanPayM,BJ80+BJ80*(D_iL)),BJ80)</f>
        <v>0</v>
      </c>
      <c r="BL80" s="1" t="n">
        <f aca="false">IF(BK80&gt;PR_BalDone,BK80+BK80*(D_iL)-MIN(F_LoanPayM,BK80+BK80*(D_iL)),BK80)</f>
        <v>0</v>
      </c>
      <c r="BM80" s="1" t="n">
        <f aca="false">IF(BL80&gt;PR_BalDone,BL80+BL80*(D_iL)-MIN(F_LoanPayM,BL80+BL80*(D_iL)),BL80)</f>
        <v>0</v>
      </c>
      <c r="BN80" s="1" t="n">
        <f aca="false">IF(BM80&gt;PR_BalDone,BM80+BM80*(D_iL)-MIN(F_LoanPayM,BM80+BM80*(D_iL)),BM80)</f>
        <v>0</v>
      </c>
      <c r="BO80" s="1" t="n">
        <f aca="false">IF(BN80&gt;PR_BalDone,BN80+BN80*(D_iL)-MIN(F_LoanPayM,BN80+BN80*(D_iL)),BN80)</f>
        <v>0</v>
      </c>
      <c r="BP80" s="1" t="n">
        <f aca="false">IF(BO80&gt;PR_BalDone,BO80+BO80*(D_iL)-MIN(F_LoanPayM,BO80+BO80*(D_iL)),BO80)</f>
        <v>0</v>
      </c>
      <c r="BQ80" s="1" t="n">
        <f aca="false">IF(BP80&gt;PR_BalDone,BP80+BP80*(D_iL)-MIN(F_LoanPayM,BP80+BP80*(D_iL)),BP80)</f>
        <v>0</v>
      </c>
      <c r="BR80" s="1" t="n">
        <f aca="false">IF(BE80&gt;PR_BalDone,MIN(F_LoanPayM,BE80+BE80*(D_iL)),0)</f>
        <v>0</v>
      </c>
      <c r="BS80" s="1" t="n">
        <f aca="false">IF(BF80&gt;PR_BalDone,MIN(F_LoanPayM,BF80+BF80*(D_iL)),0)</f>
        <v>0</v>
      </c>
      <c r="BT80" s="1" t="n">
        <f aca="false">IF(BG80&gt;PR_BalDone,MIN(F_LoanPayM,BG80+BG80*(D_iL)),0)</f>
        <v>0</v>
      </c>
      <c r="BU80" s="1" t="n">
        <f aca="false">IF(BH80&gt;PR_BalDone,MIN(F_LoanPayM,BH80+BH80*(D_iL)),0)</f>
        <v>0</v>
      </c>
      <c r="BV80" s="1" t="n">
        <f aca="false">IF(BI80&gt;PR_BalDone,MIN(F_LoanPayM,BI80+BI80*(D_iL)),0)</f>
        <v>0</v>
      </c>
      <c r="BW80" s="1" t="n">
        <f aca="false">IF(BJ80&gt;PR_BalDone,MIN(F_LoanPayM,BJ80+BJ80*(D_iL)),0)</f>
        <v>0</v>
      </c>
      <c r="BX80" s="1" t="n">
        <f aca="false">IF(BK80&gt;PR_BalDone,MIN(F_LoanPayM,BK80+BK80*(D_iL)),0)</f>
        <v>0</v>
      </c>
      <c r="BY80" s="1" t="n">
        <f aca="false">IF(BL80&gt;PR_BalDone,MIN(F_LoanPayM,BL80+BL80*(D_iL)),0)</f>
        <v>0</v>
      </c>
      <c r="BZ80" s="1" t="n">
        <f aca="false">IF(BM80&gt;PR_BalDone,MIN(F_LoanPayM,BM80+BM80*(D_iL)),0)</f>
        <v>0</v>
      </c>
      <c r="CA80" s="1" t="n">
        <f aca="false">IF(BN80&gt;PR_BalDone,MIN(F_LoanPayM,BN80+BN80*(D_iL)),0)</f>
        <v>0</v>
      </c>
      <c r="CB80" s="1" t="n">
        <f aca="false">IF(BO80&gt;PR_BalDone,MIN(F_LoanPayM,BO80+BO80*(D_iL)),0)</f>
        <v>0</v>
      </c>
      <c r="CC80" s="1" t="n">
        <f aca="false">IF(BP80&gt;PR_BalDone,MIN(F_LoanPayM,BP80+BP80*(D_iL)),0)</f>
        <v>0</v>
      </c>
      <c r="CD80" s="1" t="n">
        <f aca="false">MAX(0,BQ80)</f>
        <v>0</v>
      </c>
      <c r="CE80" s="1" t="n">
        <f aca="false">SUM(BR80:CC80)</f>
        <v>0</v>
      </c>
      <c r="CF80" s="1" t="n">
        <f aca="false">IF(CF79&gt;1,DE79,CF79)</f>
        <v>0</v>
      </c>
      <c r="CG80" s="1" t="n">
        <f aca="false">IF(CF80&gt;PR_BalDone,CF80+CF80*(F_MR/12)-MIN(F_MortPayM,CF80+CF80*(F_MR/12)),CF80)</f>
        <v>0</v>
      </c>
      <c r="CH80" s="1" t="n">
        <f aca="false">IF(CG80&gt;PR_BalDone,CG80+CG80*(F_MR/12)-MIN(F_MortPayM,CG80+CG80*(F_MR/12)),CG80)</f>
        <v>0</v>
      </c>
      <c r="CI80" s="1" t="n">
        <f aca="false">IF(CH80&gt;PR_BalDone,CH80+CH80*(F_MR/12)-MIN(F_MortPayM,CH80+CH80*(F_MR/12)),CH80)</f>
        <v>0</v>
      </c>
      <c r="CJ80" s="1" t="n">
        <f aca="false">IF(CI80&gt;PR_BalDone,CI80+CI80*(F_MR/12)-MIN(F_MortPayM,CI80+CI80*(F_MR/12)),CI80)</f>
        <v>0</v>
      </c>
      <c r="CK80" s="1" t="n">
        <f aca="false">IF(CJ80&gt;PR_BalDone,CJ80+CJ80*(F_MR/12)-MIN(F_MortPayM,CJ80+CJ80*(F_MR/12)),CJ80)</f>
        <v>0</v>
      </c>
      <c r="CL80" s="1" t="n">
        <f aca="false">IF(CK80&gt;PR_BalDone,CK80+CK80*(F_MR/12)-MIN(F_MortPayM,CK80+CK80*(F_MR/12)),CK80)</f>
        <v>0</v>
      </c>
      <c r="CM80" s="1" t="n">
        <f aca="false">IF(CL80&gt;PR_BalDone,CL80+CL80*(F_MR/12)-MIN(F_MortPayM,CL80+CL80*(F_MR/12)),CL80)</f>
        <v>0</v>
      </c>
      <c r="CN80" s="1" t="n">
        <f aca="false">IF(CM80&gt;PR_BalDone,CM80+CM80*(F_MR/12)-MIN(F_MortPayM,CM80+CM80*(F_MR/12)),CM80)</f>
        <v>0</v>
      </c>
      <c r="CO80" s="1" t="n">
        <f aca="false">IF(CN80&gt;PR_BalDone,CN80+CN80*(F_MR/12)-MIN(F_MortPayM,CN80+CN80*(F_MR/12)),CN80)</f>
        <v>0</v>
      </c>
      <c r="CP80" s="1" t="n">
        <f aca="false">IF(CO80&gt;PR_BalDone,CO80+CO80*(F_MR/12)-MIN(F_MortPayM,CO80+CO80*(F_MR/12)),CO80)</f>
        <v>0</v>
      </c>
      <c r="CQ80" s="1" t="n">
        <f aca="false">IF(CP80&gt;PR_BalDone,CP80+CP80*(F_MR/12)-MIN(F_MortPayM,CP80+CP80*(F_MR/12)),CP80)</f>
        <v>0</v>
      </c>
      <c r="CR80" s="1" t="n">
        <f aca="false">IF(CQ80&gt;PR_BalDone,CQ80+CQ80*(F_MR/12)-MIN(F_MortPayM,CQ80+CQ80*(F_MR/12)),CQ80)</f>
        <v>0</v>
      </c>
      <c r="CS80" s="1" t="n">
        <f aca="false">IF(CF80&gt;PR_BalDone,MIN(F_MortPayM,CF80+CF80*(F_MR/12)),0)</f>
        <v>0</v>
      </c>
      <c r="CT80" s="1" t="n">
        <f aca="false">IF(CG80&gt;PR_BalDone,MIN(F_MortPayM,CG80+CG80*(F_MR/12)),0)</f>
        <v>0</v>
      </c>
      <c r="CU80" s="1" t="n">
        <f aca="false">IF(CH80&gt;PR_BalDone,MIN(F_MortPayM,CH80+CH80*(F_MR/12)),0)</f>
        <v>0</v>
      </c>
      <c r="CV80" s="1" t="n">
        <f aca="false">IF(CI80&gt;PR_BalDone,MIN(F_MortPayM,CI80+CI80*(F_MR/12)),0)</f>
        <v>0</v>
      </c>
      <c r="CW80" s="1" t="n">
        <f aca="false">IF(CJ80&gt;PR_BalDone,MIN(F_MortPayM,CJ80+CJ80*(F_MR/12)),0)</f>
        <v>0</v>
      </c>
      <c r="CX80" s="1" t="n">
        <f aca="false">IF(CK80&gt;PR_BalDone,MIN(F_MortPayM,CK80+CK80*(F_MR/12)),0)</f>
        <v>0</v>
      </c>
      <c r="CY80" s="1" t="n">
        <f aca="false">IF(CL80&gt;PR_BalDone,MIN(F_MortPayM,CL80+CL80*(F_MR/12)),0)</f>
        <v>0</v>
      </c>
      <c r="CZ80" s="1" t="n">
        <f aca="false">IF(CM80&gt;PR_BalDone,MIN(F_MortPayM,CM80+CM80*(F_MR/12)),0)</f>
        <v>0</v>
      </c>
      <c r="DA80" s="1" t="n">
        <f aca="false">IF(CN80&gt;PR_BalDone,MIN(F_MortPayM,CN80+CN80*(F_MR/12)),0)</f>
        <v>0</v>
      </c>
      <c r="DB80" s="1" t="n">
        <f aca="false">IF(CO80&gt;PR_BalDone,MIN(F_MortPayM,CO80+CO80*(F_MR/12)),0)</f>
        <v>0</v>
      </c>
      <c r="DC80" s="1" t="n">
        <f aca="false">IF(CP80&gt;PR_BalDone,MIN(F_MortPayM,CP80+CP80*(F_MR/12)),0)</f>
        <v>0</v>
      </c>
      <c r="DD80" s="1" t="n">
        <f aca="false">IF(CQ80&gt;PR_BalDone,MIN(F_MortPayM,CQ80+CQ80*(F_MR/12)),0)</f>
        <v>0</v>
      </c>
      <c r="DE80" s="1" t="n">
        <f aca="false">MAX(0,CR80)</f>
        <v>0</v>
      </c>
      <c r="DF80" s="1" t="n">
        <f aca="false">SUM(CS80:DD80)</f>
        <v>0</v>
      </c>
      <c r="DG80" s="1" t="n">
        <f aca="false">MAX(0,CF80)</f>
        <v>0</v>
      </c>
    </row>
    <row r="81" customFormat="false" ht="15" hidden="false" customHeight="true" outlineLevel="0" collapsed="false">
      <c r="B81" s="1" t="n">
        <v>73</v>
      </c>
      <c r="C81" s="1" t="n">
        <f aca="false">'Plan cashflow'!I81</f>
        <v>0</v>
      </c>
      <c r="D81" s="1" t="n">
        <f aca="false">IF(C81&gt;PR_BalDone,C81+C81*(F_MR/12)-MIN(F_MortPayM,C81+C81*(F_MR/12)),C81)</f>
        <v>0</v>
      </c>
      <c r="E81" s="1" t="n">
        <f aca="false">IF(D81&gt;PR_BalDone,D81+D81*(F_MR/12)-MIN(F_MortPayM,D81+D81*(F_MR/12)),D81)</f>
        <v>0</v>
      </c>
      <c r="F81" s="1" t="n">
        <f aca="false">IF(E81&gt;PR_BalDone,E81+E81*(F_MR/12)-MIN(F_MortPayM,E81+E81*(F_MR/12)),E81)</f>
        <v>0</v>
      </c>
      <c r="G81" s="1" t="n">
        <f aca="false">IF(F81&gt;PR_BalDone,F81+F81*(F_MR/12)-MIN(F_MortPayM,F81+F81*(F_MR/12)),F81)</f>
        <v>0</v>
      </c>
      <c r="H81" s="1" t="n">
        <f aca="false">IF(G81&gt;PR_BalDone,G81+G81*(F_MR/12)-MIN(F_MortPayM,G81+G81*(F_MR/12)),G81)</f>
        <v>0</v>
      </c>
      <c r="I81" s="1" t="n">
        <f aca="false">IF(H81&gt;PR_BalDone,H81+H81*(F_MR/12)-MIN(F_MortPayM,H81+H81*(F_MR/12)),H81)</f>
        <v>0</v>
      </c>
      <c r="J81" s="1" t="n">
        <f aca="false">IF(I81&gt;PR_BalDone,I81+I81*(F_MR/12)-MIN(F_MortPayM,I81+I81*(F_MR/12)),I81)</f>
        <v>0</v>
      </c>
      <c r="K81" s="1" t="n">
        <f aca="false">IF(J81&gt;PR_BalDone,J81+J81*(F_MR/12)-MIN(F_MortPayM,J81+J81*(F_MR/12)),J81)</f>
        <v>0</v>
      </c>
      <c r="L81" s="1" t="n">
        <f aca="false">IF(K81&gt;PR_BalDone,K81+K81*(F_MR/12)-MIN(F_MortPayM,K81+K81*(F_MR/12)),K81)</f>
        <v>0</v>
      </c>
      <c r="M81" s="1" t="n">
        <f aca="false">IF(L81&gt;PR_BalDone,L81+L81*(F_MR/12)-MIN(F_MortPayM,L81+L81*(F_MR/12)),L81)</f>
        <v>0</v>
      </c>
      <c r="N81" s="1" t="n">
        <f aca="false">IF(M81&gt;PR_BalDone,M81+M81*(F_MR/12)-MIN(F_MortPayM,M81+M81*(F_MR/12)),M81)</f>
        <v>0</v>
      </c>
      <c r="O81" s="1" t="n">
        <f aca="false">IF(N81&gt;PR_BalDone,N81+N81*(F_MR/12)-MIN(F_MortPayM,N81+N81*(F_MR/12)),N81)</f>
        <v>0</v>
      </c>
      <c r="P81" s="1" t="n">
        <f aca="false">IF(C81&gt;PR_BalDone,MIN(F_MortPayM,C81+C81*(F_MR/12)),0)</f>
        <v>0</v>
      </c>
      <c r="Q81" s="1" t="n">
        <f aca="false">IF(D81&gt;PR_BalDone,MIN(F_MortPayM,D81+D81*(F_MR/12)),0)</f>
        <v>0</v>
      </c>
      <c r="R81" s="1" t="n">
        <f aca="false">IF(E81&gt;PR_BalDone,MIN(F_MortPayM,E81+E81*(F_MR/12)),0)</f>
        <v>0</v>
      </c>
      <c r="S81" s="1" t="n">
        <f aca="false">IF(F81&gt;PR_BalDone,MIN(F_MortPayM,F81+F81*(F_MR/12)),0)</f>
        <v>0</v>
      </c>
      <c r="T81" s="1" t="n">
        <f aca="false">IF(G81&gt;PR_BalDone,MIN(F_MortPayM,G81+G81*(F_MR/12)),0)</f>
        <v>0</v>
      </c>
      <c r="U81" s="1" t="n">
        <f aca="false">IF(H81&gt;PR_BalDone,MIN(F_MortPayM,H81+H81*(F_MR/12)),0)</f>
        <v>0</v>
      </c>
      <c r="V81" s="1" t="n">
        <f aca="false">IF(I81&gt;PR_BalDone,MIN(F_MortPayM,I81+I81*(F_MR/12)),0)</f>
        <v>0</v>
      </c>
      <c r="W81" s="1" t="n">
        <f aca="false">IF(J81&gt;PR_BalDone,MIN(F_MortPayM,J81+J81*(F_MR/12)),0)</f>
        <v>0</v>
      </c>
      <c r="X81" s="1" t="n">
        <f aca="false">IF(K81&gt;PR_BalDone,MIN(F_MortPayM,K81+K81*(F_MR/12)),0)</f>
        <v>0</v>
      </c>
      <c r="Y81" s="1" t="n">
        <f aca="false">IF(L81&gt;PR_BalDone,MIN(F_MortPayM,L81+L81*(F_MR/12)),0)</f>
        <v>0</v>
      </c>
      <c r="Z81" s="1" t="n">
        <f aca="false">IF(M81&gt;PR_BalDone,MIN(F_MortPayM,M81+M81*(F_MR/12)),0)</f>
        <v>0</v>
      </c>
      <c r="AA81" s="1" t="n">
        <f aca="false">IF(N81&gt;PR_BalDone,MIN(F_MortPayM,N81+N81*(F_MR/12)),0)</f>
        <v>0</v>
      </c>
      <c r="AB81" s="1" t="n">
        <f aca="false">MAX(0,O81)</f>
        <v>0</v>
      </c>
      <c r="AC81" s="1" t="n">
        <f aca="false">SUM(P81:AA81)</f>
        <v>0</v>
      </c>
      <c r="AD81" s="1" t="n">
        <f aca="false">'Plan cashflow'!L81</f>
        <v>0</v>
      </c>
      <c r="AE81" s="1" t="n">
        <f aca="false">IF(AD81&gt;PR_BalDone,AD81+AD81*(D_iC)-MIN(F_CardPayM,AD81+AD81*(D_iC)),AD81)</f>
        <v>0</v>
      </c>
      <c r="AF81" s="1" t="n">
        <f aca="false">IF(AE81&gt;PR_BalDone,AE81+AE81*(D_iC)-MIN(F_CardPayM,AE81+AE81*(D_iC)),AE81)</f>
        <v>0</v>
      </c>
      <c r="AG81" s="1" t="n">
        <f aca="false">IF(AF81&gt;PR_BalDone,AF81+AF81*(D_iC)-MIN(F_CardPayM,AF81+AF81*(D_iC)),AF81)</f>
        <v>0</v>
      </c>
      <c r="AH81" s="1" t="n">
        <f aca="false">IF(AG81&gt;PR_BalDone,AG81+AG81*(D_iC)-MIN(F_CardPayM,AG81+AG81*(D_iC)),AG81)</f>
        <v>0</v>
      </c>
      <c r="AI81" s="1" t="n">
        <f aca="false">IF(AH81&gt;PR_BalDone,AH81+AH81*(D_iC)-MIN(F_CardPayM,AH81+AH81*(D_iC)),AH81)</f>
        <v>0</v>
      </c>
      <c r="AJ81" s="1" t="n">
        <f aca="false">IF(AI81&gt;PR_BalDone,AI81+AI81*(D_iC)-MIN(F_CardPayM,AI81+AI81*(D_iC)),AI81)</f>
        <v>0</v>
      </c>
      <c r="AK81" s="1" t="n">
        <f aca="false">IF(AJ81&gt;PR_BalDone,AJ81+AJ81*(D_iC)-MIN(F_CardPayM,AJ81+AJ81*(D_iC)),AJ81)</f>
        <v>0</v>
      </c>
      <c r="AL81" s="1" t="n">
        <f aca="false">IF(AK81&gt;PR_BalDone,AK81+AK81*(D_iC)-MIN(F_CardPayM,AK81+AK81*(D_iC)),AK81)</f>
        <v>0</v>
      </c>
      <c r="AM81" s="1" t="n">
        <f aca="false">IF(AL81&gt;PR_BalDone,AL81+AL81*(D_iC)-MIN(F_CardPayM,AL81+AL81*(D_iC)),AL81)</f>
        <v>0</v>
      </c>
      <c r="AN81" s="1" t="n">
        <f aca="false">IF(AM81&gt;PR_BalDone,AM81+AM81*(D_iC)-MIN(F_CardPayM,AM81+AM81*(D_iC)),AM81)</f>
        <v>0</v>
      </c>
      <c r="AO81" s="1" t="n">
        <f aca="false">IF(AN81&gt;PR_BalDone,AN81+AN81*(D_iC)-MIN(F_CardPayM,AN81+AN81*(D_iC)),AN81)</f>
        <v>0</v>
      </c>
      <c r="AP81" s="1" t="n">
        <f aca="false">IF(AO81&gt;PR_BalDone,AO81+AO81*(D_iC)-MIN(F_CardPayM,AO81+AO81*(D_iC)),AO81)</f>
        <v>0</v>
      </c>
      <c r="AQ81" s="1" t="n">
        <f aca="false">IF(AD81&gt;PR_BalDone,MIN(F_CardPayM,AD81+AD81*(D_iC)),0)</f>
        <v>0</v>
      </c>
      <c r="AR81" s="1" t="n">
        <f aca="false">IF(AE81&gt;PR_BalDone,MIN(F_CardPayM,AE81+AE81*(D_iC)),0)</f>
        <v>0</v>
      </c>
      <c r="AS81" s="1" t="n">
        <f aca="false">IF(AF81&gt;PR_BalDone,MIN(F_CardPayM,AF81+AF81*(D_iC)),0)</f>
        <v>0</v>
      </c>
      <c r="AT81" s="1" t="n">
        <f aca="false">IF(AG81&gt;PR_BalDone,MIN(F_CardPayM,AG81+AG81*(D_iC)),0)</f>
        <v>0</v>
      </c>
      <c r="AU81" s="1" t="n">
        <f aca="false">IF(AH81&gt;PR_BalDone,MIN(F_CardPayM,AH81+AH81*(D_iC)),0)</f>
        <v>0</v>
      </c>
      <c r="AV81" s="1" t="n">
        <f aca="false">IF(AI81&gt;PR_BalDone,MIN(F_CardPayM,AI81+AI81*(D_iC)),0)</f>
        <v>0</v>
      </c>
      <c r="AW81" s="1" t="n">
        <f aca="false">IF(AJ81&gt;PR_BalDone,MIN(F_CardPayM,AJ81+AJ81*(D_iC)),0)</f>
        <v>0</v>
      </c>
      <c r="AX81" s="1" t="n">
        <f aca="false">IF(AK81&gt;PR_BalDone,MIN(F_CardPayM,AK81+AK81*(D_iC)),0)</f>
        <v>0</v>
      </c>
      <c r="AY81" s="1" t="n">
        <f aca="false">IF(AL81&gt;PR_BalDone,MIN(F_CardPayM,AL81+AL81*(D_iC)),0)</f>
        <v>0</v>
      </c>
      <c r="AZ81" s="1" t="n">
        <f aca="false">IF(AM81&gt;PR_BalDone,MIN(F_CardPayM,AM81+AM81*(D_iC)),0)</f>
        <v>0</v>
      </c>
      <c r="BA81" s="1" t="n">
        <f aca="false">IF(AN81&gt;PR_BalDone,MIN(F_CardPayM,AN81+AN81*(D_iC)),0)</f>
        <v>0</v>
      </c>
      <c r="BB81" s="1" t="n">
        <f aca="false">IF(AO81&gt;PR_BalDone,MIN(F_CardPayM,AO81+AO81*(D_iC)),0)</f>
        <v>0</v>
      </c>
      <c r="BC81" s="1" t="n">
        <f aca="false">MAX(0,AP81)</f>
        <v>0</v>
      </c>
      <c r="BD81" s="1" t="n">
        <f aca="false">SUM(AQ81:BB81)</f>
        <v>0</v>
      </c>
      <c r="BE81" s="1" t="n">
        <f aca="false">'Plan cashflow'!O81</f>
        <v>0</v>
      </c>
      <c r="BF81" s="1" t="n">
        <f aca="false">IF(BE81&gt;PR_BalDone,BE81+BE81*(D_iL)-MIN(F_LoanPayM,BE81+BE81*(D_iL)),BE81)</f>
        <v>0</v>
      </c>
      <c r="BG81" s="1" t="n">
        <f aca="false">IF(BF81&gt;PR_BalDone,BF81+BF81*(D_iL)-MIN(F_LoanPayM,BF81+BF81*(D_iL)),BF81)</f>
        <v>0</v>
      </c>
      <c r="BH81" s="1" t="n">
        <f aca="false">IF(BG81&gt;PR_BalDone,BG81+BG81*(D_iL)-MIN(F_LoanPayM,BG81+BG81*(D_iL)),BG81)</f>
        <v>0</v>
      </c>
      <c r="BI81" s="1" t="n">
        <f aca="false">IF(BH81&gt;PR_BalDone,BH81+BH81*(D_iL)-MIN(F_LoanPayM,BH81+BH81*(D_iL)),BH81)</f>
        <v>0</v>
      </c>
      <c r="BJ81" s="1" t="n">
        <f aca="false">IF(BI81&gt;PR_BalDone,BI81+BI81*(D_iL)-MIN(F_LoanPayM,BI81+BI81*(D_iL)),BI81)</f>
        <v>0</v>
      </c>
      <c r="BK81" s="1" t="n">
        <f aca="false">IF(BJ81&gt;PR_BalDone,BJ81+BJ81*(D_iL)-MIN(F_LoanPayM,BJ81+BJ81*(D_iL)),BJ81)</f>
        <v>0</v>
      </c>
      <c r="BL81" s="1" t="n">
        <f aca="false">IF(BK81&gt;PR_BalDone,BK81+BK81*(D_iL)-MIN(F_LoanPayM,BK81+BK81*(D_iL)),BK81)</f>
        <v>0</v>
      </c>
      <c r="BM81" s="1" t="n">
        <f aca="false">IF(BL81&gt;PR_BalDone,BL81+BL81*(D_iL)-MIN(F_LoanPayM,BL81+BL81*(D_iL)),BL81)</f>
        <v>0</v>
      </c>
      <c r="BN81" s="1" t="n">
        <f aca="false">IF(BM81&gt;PR_BalDone,BM81+BM81*(D_iL)-MIN(F_LoanPayM,BM81+BM81*(D_iL)),BM81)</f>
        <v>0</v>
      </c>
      <c r="BO81" s="1" t="n">
        <f aca="false">IF(BN81&gt;PR_BalDone,BN81+BN81*(D_iL)-MIN(F_LoanPayM,BN81+BN81*(D_iL)),BN81)</f>
        <v>0</v>
      </c>
      <c r="BP81" s="1" t="n">
        <f aca="false">IF(BO81&gt;PR_BalDone,BO81+BO81*(D_iL)-MIN(F_LoanPayM,BO81+BO81*(D_iL)),BO81)</f>
        <v>0</v>
      </c>
      <c r="BQ81" s="1" t="n">
        <f aca="false">IF(BP81&gt;PR_BalDone,BP81+BP81*(D_iL)-MIN(F_LoanPayM,BP81+BP81*(D_iL)),BP81)</f>
        <v>0</v>
      </c>
      <c r="BR81" s="1" t="n">
        <f aca="false">IF(BE81&gt;PR_BalDone,MIN(F_LoanPayM,BE81+BE81*(D_iL)),0)</f>
        <v>0</v>
      </c>
      <c r="BS81" s="1" t="n">
        <f aca="false">IF(BF81&gt;PR_BalDone,MIN(F_LoanPayM,BF81+BF81*(D_iL)),0)</f>
        <v>0</v>
      </c>
      <c r="BT81" s="1" t="n">
        <f aca="false">IF(BG81&gt;PR_BalDone,MIN(F_LoanPayM,BG81+BG81*(D_iL)),0)</f>
        <v>0</v>
      </c>
      <c r="BU81" s="1" t="n">
        <f aca="false">IF(BH81&gt;PR_BalDone,MIN(F_LoanPayM,BH81+BH81*(D_iL)),0)</f>
        <v>0</v>
      </c>
      <c r="BV81" s="1" t="n">
        <f aca="false">IF(BI81&gt;PR_BalDone,MIN(F_LoanPayM,BI81+BI81*(D_iL)),0)</f>
        <v>0</v>
      </c>
      <c r="BW81" s="1" t="n">
        <f aca="false">IF(BJ81&gt;PR_BalDone,MIN(F_LoanPayM,BJ81+BJ81*(D_iL)),0)</f>
        <v>0</v>
      </c>
      <c r="BX81" s="1" t="n">
        <f aca="false">IF(BK81&gt;PR_BalDone,MIN(F_LoanPayM,BK81+BK81*(D_iL)),0)</f>
        <v>0</v>
      </c>
      <c r="BY81" s="1" t="n">
        <f aca="false">IF(BL81&gt;PR_BalDone,MIN(F_LoanPayM,BL81+BL81*(D_iL)),0)</f>
        <v>0</v>
      </c>
      <c r="BZ81" s="1" t="n">
        <f aca="false">IF(BM81&gt;PR_BalDone,MIN(F_LoanPayM,BM81+BM81*(D_iL)),0)</f>
        <v>0</v>
      </c>
      <c r="CA81" s="1" t="n">
        <f aca="false">IF(BN81&gt;PR_BalDone,MIN(F_LoanPayM,BN81+BN81*(D_iL)),0)</f>
        <v>0</v>
      </c>
      <c r="CB81" s="1" t="n">
        <f aca="false">IF(BO81&gt;PR_BalDone,MIN(F_LoanPayM,BO81+BO81*(D_iL)),0)</f>
        <v>0</v>
      </c>
      <c r="CC81" s="1" t="n">
        <f aca="false">IF(BP81&gt;PR_BalDone,MIN(F_LoanPayM,BP81+BP81*(D_iL)),0)</f>
        <v>0</v>
      </c>
      <c r="CD81" s="1" t="n">
        <f aca="false">MAX(0,BQ81)</f>
        <v>0</v>
      </c>
      <c r="CE81" s="1" t="n">
        <f aca="false">SUM(BR81:CC81)</f>
        <v>0</v>
      </c>
      <c r="CF81" s="1" t="n">
        <f aca="false">IF(CF80&gt;1,DE80,CF80)</f>
        <v>0</v>
      </c>
      <c r="CG81" s="1" t="n">
        <f aca="false">IF(CF81&gt;PR_BalDone,CF81+CF81*(F_MR/12)-MIN(F_MortPayM,CF81+CF81*(F_MR/12)),CF81)</f>
        <v>0</v>
      </c>
      <c r="CH81" s="1" t="n">
        <f aca="false">IF(CG81&gt;PR_BalDone,CG81+CG81*(F_MR/12)-MIN(F_MortPayM,CG81+CG81*(F_MR/12)),CG81)</f>
        <v>0</v>
      </c>
      <c r="CI81" s="1" t="n">
        <f aca="false">IF(CH81&gt;PR_BalDone,CH81+CH81*(F_MR/12)-MIN(F_MortPayM,CH81+CH81*(F_MR/12)),CH81)</f>
        <v>0</v>
      </c>
      <c r="CJ81" s="1" t="n">
        <f aca="false">IF(CI81&gt;PR_BalDone,CI81+CI81*(F_MR/12)-MIN(F_MortPayM,CI81+CI81*(F_MR/12)),CI81)</f>
        <v>0</v>
      </c>
      <c r="CK81" s="1" t="n">
        <f aca="false">IF(CJ81&gt;PR_BalDone,CJ81+CJ81*(F_MR/12)-MIN(F_MortPayM,CJ81+CJ81*(F_MR/12)),CJ81)</f>
        <v>0</v>
      </c>
      <c r="CL81" s="1" t="n">
        <f aca="false">IF(CK81&gt;PR_BalDone,CK81+CK81*(F_MR/12)-MIN(F_MortPayM,CK81+CK81*(F_MR/12)),CK81)</f>
        <v>0</v>
      </c>
      <c r="CM81" s="1" t="n">
        <f aca="false">IF(CL81&gt;PR_BalDone,CL81+CL81*(F_MR/12)-MIN(F_MortPayM,CL81+CL81*(F_MR/12)),CL81)</f>
        <v>0</v>
      </c>
      <c r="CN81" s="1" t="n">
        <f aca="false">IF(CM81&gt;PR_BalDone,CM81+CM81*(F_MR/12)-MIN(F_MortPayM,CM81+CM81*(F_MR/12)),CM81)</f>
        <v>0</v>
      </c>
      <c r="CO81" s="1" t="n">
        <f aca="false">IF(CN81&gt;PR_BalDone,CN81+CN81*(F_MR/12)-MIN(F_MortPayM,CN81+CN81*(F_MR/12)),CN81)</f>
        <v>0</v>
      </c>
      <c r="CP81" s="1" t="n">
        <f aca="false">IF(CO81&gt;PR_BalDone,CO81+CO81*(F_MR/12)-MIN(F_MortPayM,CO81+CO81*(F_MR/12)),CO81)</f>
        <v>0</v>
      </c>
      <c r="CQ81" s="1" t="n">
        <f aca="false">IF(CP81&gt;PR_BalDone,CP81+CP81*(F_MR/12)-MIN(F_MortPayM,CP81+CP81*(F_MR/12)),CP81)</f>
        <v>0</v>
      </c>
      <c r="CR81" s="1" t="n">
        <f aca="false">IF(CQ81&gt;PR_BalDone,CQ81+CQ81*(F_MR/12)-MIN(F_MortPayM,CQ81+CQ81*(F_MR/12)),CQ81)</f>
        <v>0</v>
      </c>
      <c r="CS81" s="1" t="n">
        <f aca="false">IF(CF81&gt;PR_BalDone,MIN(F_MortPayM,CF81+CF81*(F_MR/12)),0)</f>
        <v>0</v>
      </c>
      <c r="CT81" s="1" t="n">
        <f aca="false">IF(CG81&gt;PR_BalDone,MIN(F_MortPayM,CG81+CG81*(F_MR/12)),0)</f>
        <v>0</v>
      </c>
      <c r="CU81" s="1" t="n">
        <f aca="false">IF(CH81&gt;PR_BalDone,MIN(F_MortPayM,CH81+CH81*(F_MR/12)),0)</f>
        <v>0</v>
      </c>
      <c r="CV81" s="1" t="n">
        <f aca="false">IF(CI81&gt;PR_BalDone,MIN(F_MortPayM,CI81+CI81*(F_MR/12)),0)</f>
        <v>0</v>
      </c>
      <c r="CW81" s="1" t="n">
        <f aca="false">IF(CJ81&gt;PR_BalDone,MIN(F_MortPayM,CJ81+CJ81*(F_MR/12)),0)</f>
        <v>0</v>
      </c>
      <c r="CX81" s="1" t="n">
        <f aca="false">IF(CK81&gt;PR_BalDone,MIN(F_MortPayM,CK81+CK81*(F_MR/12)),0)</f>
        <v>0</v>
      </c>
      <c r="CY81" s="1" t="n">
        <f aca="false">IF(CL81&gt;PR_BalDone,MIN(F_MortPayM,CL81+CL81*(F_MR/12)),0)</f>
        <v>0</v>
      </c>
      <c r="CZ81" s="1" t="n">
        <f aca="false">IF(CM81&gt;PR_BalDone,MIN(F_MortPayM,CM81+CM81*(F_MR/12)),0)</f>
        <v>0</v>
      </c>
      <c r="DA81" s="1" t="n">
        <f aca="false">IF(CN81&gt;PR_BalDone,MIN(F_MortPayM,CN81+CN81*(F_MR/12)),0)</f>
        <v>0</v>
      </c>
      <c r="DB81" s="1" t="n">
        <f aca="false">IF(CO81&gt;PR_BalDone,MIN(F_MortPayM,CO81+CO81*(F_MR/12)),0)</f>
        <v>0</v>
      </c>
      <c r="DC81" s="1" t="n">
        <f aca="false">IF(CP81&gt;PR_BalDone,MIN(F_MortPayM,CP81+CP81*(F_MR/12)),0)</f>
        <v>0</v>
      </c>
      <c r="DD81" s="1" t="n">
        <f aca="false">IF(CQ81&gt;PR_BalDone,MIN(F_MortPayM,CQ81+CQ81*(F_MR/12)),0)</f>
        <v>0</v>
      </c>
      <c r="DE81" s="1" t="n">
        <f aca="false">MAX(0,CR81)</f>
        <v>0</v>
      </c>
      <c r="DF81" s="1" t="n">
        <f aca="false">SUM(CS81:DD81)</f>
        <v>0</v>
      </c>
      <c r="DG81" s="1" t="n">
        <f aca="false">MAX(0,CF81)</f>
        <v>0</v>
      </c>
    </row>
    <row r="82" customFormat="false" ht="15" hidden="false" customHeight="true" outlineLevel="0" collapsed="false">
      <c r="B82" s="1" t="n">
        <v>74</v>
      </c>
      <c r="C82" s="1" t="n">
        <f aca="false">'Plan cashflow'!I82</f>
        <v>0</v>
      </c>
      <c r="D82" s="1" t="n">
        <f aca="false">IF(C82&gt;PR_BalDone,C82+C82*(F_MR/12)-MIN(F_MortPayM,C82+C82*(F_MR/12)),C82)</f>
        <v>0</v>
      </c>
      <c r="E82" s="1" t="n">
        <f aca="false">IF(D82&gt;PR_BalDone,D82+D82*(F_MR/12)-MIN(F_MortPayM,D82+D82*(F_MR/12)),D82)</f>
        <v>0</v>
      </c>
      <c r="F82" s="1" t="n">
        <f aca="false">IF(E82&gt;PR_BalDone,E82+E82*(F_MR/12)-MIN(F_MortPayM,E82+E82*(F_MR/12)),E82)</f>
        <v>0</v>
      </c>
      <c r="G82" s="1" t="n">
        <f aca="false">IF(F82&gt;PR_BalDone,F82+F82*(F_MR/12)-MIN(F_MortPayM,F82+F82*(F_MR/12)),F82)</f>
        <v>0</v>
      </c>
      <c r="H82" s="1" t="n">
        <f aca="false">IF(G82&gt;PR_BalDone,G82+G82*(F_MR/12)-MIN(F_MortPayM,G82+G82*(F_MR/12)),G82)</f>
        <v>0</v>
      </c>
      <c r="I82" s="1" t="n">
        <f aca="false">IF(H82&gt;PR_BalDone,H82+H82*(F_MR/12)-MIN(F_MortPayM,H82+H82*(F_MR/12)),H82)</f>
        <v>0</v>
      </c>
      <c r="J82" s="1" t="n">
        <f aca="false">IF(I82&gt;PR_BalDone,I82+I82*(F_MR/12)-MIN(F_MortPayM,I82+I82*(F_MR/12)),I82)</f>
        <v>0</v>
      </c>
      <c r="K82" s="1" t="n">
        <f aca="false">IF(J82&gt;PR_BalDone,J82+J82*(F_MR/12)-MIN(F_MortPayM,J82+J82*(F_MR/12)),J82)</f>
        <v>0</v>
      </c>
      <c r="L82" s="1" t="n">
        <f aca="false">IF(K82&gt;PR_BalDone,K82+K82*(F_MR/12)-MIN(F_MortPayM,K82+K82*(F_MR/12)),K82)</f>
        <v>0</v>
      </c>
      <c r="M82" s="1" t="n">
        <f aca="false">IF(L82&gt;PR_BalDone,L82+L82*(F_MR/12)-MIN(F_MortPayM,L82+L82*(F_MR/12)),L82)</f>
        <v>0</v>
      </c>
      <c r="N82" s="1" t="n">
        <f aca="false">IF(M82&gt;PR_BalDone,M82+M82*(F_MR/12)-MIN(F_MortPayM,M82+M82*(F_MR/12)),M82)</f>
        <v>0</v>
      </c>
      <c r="O82" s="1" t="n">
        <f aca="false">IF(N82&gt;PR_BalDone,N82+N82*(F_MR/12)-MIN(F_MortPayM,N82+N82*(F_MR/12)),N82)</f>
        <v>0</v>
      </c>
      <c r="P82" s="1" t="n">
        <f aca="false">IF(C82&gt;PR_BalDone,MIN(F_MortPayM,C82+C82*(F_MR/12)),0)</f>
        <v>0</v>
      </c>
      <c r="Q82" s="1" t="n">
        <f aca="false">IF(D82&gt;PR_BalDone,MIN(F_MortPayM,D82+D82*(F_MR/12)),0)</f>
        <v>0</v>
      </c>
      <c r="R82" s="1" t="n">
        <f aca="false">IF(E82&gt;PR_BalDone,MIN(F_MortPayM,E82+E82*(F_MR/12)),0)</f>
        <v>0</v>
      </c>
      <c r="S82" s="1" t="n">
        <f aca="false">IF(F82&gt;PR_BalDone,MIN(F_MortPayM,F82+F82*(F_MR/12)),0)</f>
        <v>0</v>
      </c>
      <c r="T82" s="1" t="n">
        <f aca="false">IF(G82&gt;PR_BalDone,MIN(F_MortPayM,G82+G82*(F_MR/12)),0)</f>
        <v>0</v>
      </c>
      <c r="U82" s="1" t="n">
        <f aca="false">IF(H82&gt;PR_BalDone,MIN(F_MortPayM,H82+H82*(F_MR/12)),0)</f>
        <v>0</v>
      </c>
      <c r="V82" s="1" t="n">
        <f aca="false">IF(I82&gt;PR_BalDone,MIN(F_MortPayM,I82+I82*(F_MR/12)),0)</f>
        <v>0</v>
      </c>
      <c r="W82" s="1" t="n">
        <f aca="false">IF(J82&gt;PR_BalDone,MIN(F_MortPayM,J82+J82*(F_MR/12)),0)</f>
        <v>0</v>
      </c>
      <c r="X82" s="1" t="n">
        <f aca="false">IF(K82&gt;PR_BalDone,MIN(F_MortPayM,K82+K82*(F_MR/12)),0)</f>
        <v>0</v>
      </c>
      <c r="Y82" s="1" t="n">
        <f aca="false">IF(L82&gt;PR_BalDone,MIN(F_MortPayM,L82+L82*(F_MR/12)),0)</f>
        <v>0</v>
      </c>
      <c r="Z82" s="1" t="n">
        <f aca="false">IF(M82&gt;PR_BalDone,MIN(F_MortPayM,M82+M82*(F_MR/12)),0)</f>
        <v>0</v>
      </c>
      <c r="AA82" s="1" t="n">
        <f aca="false">IF(N82&gt;PR_BalDone,MIN(F_MortPayM,N82+N82*(F_MR/12)),0)</f>
        <v>0</v>
      </c>
      <c r="AB82" s="1" t="n">
        <f aca="false">MAX(0,O82)</f>
        <v>0</v>
      </c>
      <c r="AC82" s="1" t="n">
        <f aca="false">SUM(P82:AA82)</f>
        <v>0</v>
      </c>
      <c r="AD82" s="1" t="n">
        <f aca="false">'Plan cashflow'!L82</f>
        <v>0</v>
      </c>
      <c r="AE82" s="1" t="n">
        <f aca="false">IF(AD82&gt;PR_BalDone,AD82+AD82*(D_iC)-MIN(F_CardPayM,AD82+AD82*(D_iC)),AD82)</f>
        <v>0</v>
      </c>
      <c r="AF82" s="1" t="n">
        <f aca="false">IF(AE82&gt;PR_BalDone,AE82+AE82*(D_iC)-MIN(F_CardPayM,AE82+AE82*(D_iC)),AE82)</f>
        <v>0</v>
      </c>
      <c r="AG82" s="1" t="n">
        <f aca="false">IF(AF82&gt;PR_BalDone,AF82+AF82*(D_iC)-MIN(F_CardPayM,AF82+AF82*(D_iC)),AF82)</f>
        <v>0</v>
      </c>
      <c r="AH82" s="1" t="n">
        <f aca="false">IF(AG82&gt;PR_BalDone,AG82+AG82*(D_iC)-MIN(F_CardPayM,AG82+AG82*(D_iC)),AG82)</f>
        <v>0</v>
      </c>
      <c r="AI82" s="1" t="n">
        <f aca="false">IF(AH82&gt;PR_BalDone,AH82+AH82*(D_iC)-MIN(F_CardPayM,AH82+AH82*(D_iC)),AH82)</f>
        <v>0</v>
      </c>
      <c r="AJ82" s="1" t="n">
        <f aca="false">IF(AI82&gt;PR_BalDone,AI82+AI82*(D_iC)-MIN(F_CardPayM,AI82+AI82*(D_iC)),AI82)</f>
        <v>0</v>
      </c>
      <c r="AK82" s="1" t="n">
        <f aca="false">IF(AJ82&gt;PR_BalDone,AJ82+AJ82*(D_iC)-MIN(F_CardPayM,AJ82+AJ82*(D_iC)),AJ82)</f>
        <v>0</v>
      </c>
      <c r="AL82" s="1" t="n">
        <f aca="false">IF(AK82&gt;PR_BalDone,AK82+AK82*(D_iC)-MIN(F_CardPayM,AK82+AK82*(D_iC)),AK82)</f>
        <v>0</v>
      </c>
      <c r="AM82" s="1" t="n">
        <f aca="false">IF(AL82&gt;PR_BalDone,AL82+AL82*(D_iC)-MIN(F_CardPayM,AL82+AL82*(D_iC)),AL82)</f>
        <v>0</v>
      </c>
      <c r="AN82" s="1" t="n">
        <f aca="false">IF(AM82&gt;PR_BalDone,AM82+AM82*(D_iC)-MIN(F_CardPayM,AM82+AM82*(D_iC)),AM82)</f>
        <v>0</v>
      </c>
      <c r="AO82" s="1" t="n">
        <f aca="false">IF(AN82&gt;PR_BalDone,AN82+AN82*(D_iC)-MIN(F_CardPayM,AN82+AN82*(D_iC)),AN82)</f>
        <v>0</v>
      </c>
      <c r="AP82" s="1" t="n">
        <f aca="false">IF(AO82&gt;PR_BalDone,AO82+AO82*(D_iC)-MIN(F_CardPayM,AO82+AO82*(D_iC)),AO82)</f>
        <v>0</v>
      </c>
      <c r="AQ82" s="1" t="n">
        <f aca="false">IF(AD82&gt;PR_BalDone,MIN(F_CardPayM,AD82+AD82*(D_iC)),0)</f>
        <v>0</v>
      </c>
      <c r="AR82" s="1" t="n">
        <f aca="false">IF(AE82&gt;PR_BalDone,MIN(F_CardPayM,AE82+AE82*(D_iC)),0)</f>
        <v>0</v>
      </c>
      <c r="AS82" s="1" t="n">
        <f aca="false">IF(AF82&gt;PR_BalDone,MIN(F_CardPayM,AF82+AF82*(D_iC)),0)</f>
        <v>0</v>
      </c>
      <c r="AT82" s="1" t="n">
        <f aca="false">IF(AG82&gt;PR_BalDone,MIN(F_CardPayM,AG82+AG82*(D_iC)),0)</f>
        <v>0</v>
      </c>
      <c r="AU82" s="1" t="n">
        <f aca="false">IF(AH82&gt;PR_BalDone,MIN(F_CardPayM,AH82+AH82*(D_iC)),0)</f>
        <v>0</v>
      </c>
      <c r="AV82" s="1" t="n">
        <f aca="false">IF(AI82&gt;PR_BalDone,MIN(F_CardPayM,AI82+AI82*(D_iC)),0)</f>
        <v>0</v>
      </c>
      <c r="AW82" s="1" t="n">
        <f aca="false">IF(AJ82&gt;PR_BalDone,MIN(F_CardPayM,AJ82+AJ82*(D_iC)),0)</f>
        <v>0</v>
      </c>
      <c r="AX82" s="1" t="n">
        <f aca="false">IF(AK82&gt;PR_BalDone,MIN(F_CardPayM,AK82+AK82*(D_iC)),0)</f>
        <v>0</v>
      </c>
      <c r="AY82" s="1" t="n">
        <f aca="false">IF(AL82&gt;PR_BalDone,MIN(F_CardPayM,AL82+AL82*(D_iC)),0)</f>
        <v>0</v>
      </c>
      <c r="AZ82" s="1" t="n">
        <f aca="false">IF(AM82&gt;PR_BalDone,MIN(F_CardPayM,AM82+AM82*(D_iC)),0)</f>
        <v>0</v>
      </c>
      <c r="BA82" s="1" t="n">
        <f aca="false">IF(AN82&gt;PR_BalDone,MIN(F_CardPayM,AN82+AN82*(D_iC)),0)</f>
        <v>0</v>
      </c>
      <c r="BB82" s="1" t="n">
        <f aca="false">IF(AO82&gt;PR_BalDone,MIN(F_CardPayM,AO82+AO82*(D_iC)),0)</f>
        <v>0</v>
      </c>
      <c r="BC82" s="1" t="n">
        <f aca="false">MAX(0,AP82)</f>
        <v>0</v>
      </c>
      <c r="BD82" s="1" t="n">
        <f aca="false">SUM(AQ82:BB82)</f>
        <v>0</v>
      </c>
      <c r="BE82" s="1" t="n">
        <f aca="false">'Plan cashflow'!O82</f>
        <v>0</v>
      </c>
      <c r="BF82" s="1" t="n">
        <f aca="false">IF(BE82&gt;PR_BalDone,BE82+BE82*(D_iL)-MIN(F_LoanPayM,BE82+BE82*(D_iL)),BE82)</f>
        <v>0</v>
      </c>
      <c r="BG82" s="1" t="n">
        <f aca="false">IF(BF82&gt;PR_BalDone,BF82+BF82*(D_iL)-MIN(F_LoanPayM,BF82+BF82*(D_iL)),BF82)</f>
        <v>0</v>
      </c>
      <c r="BH82" s="1" t="n">
        <f aca="false">IF(BG82&gt;PR_BalDone,BG82+BG82*(D_iL)-MIN(F_LoanPayM,BG82+BG82*(D_iL)),BG82)</f>
        <v>0</v>
      </c>
      <c r="BI82" s="1" t="n">
        <f aca="false">IF(BH82&gt;PR_BalDone,BH82+BH82*(D_iL)-MIN(F_LoanPayM,BH82+BH82*(D_iL)),BH82)</f>
        <v>0</v>
      </c>
      <c r="BJ82" s="1" t="n">
        <f aca="false">IF(BI82&gt;PR_BalDone,BI82+BI82*(D_iL)-MIN(F_LoanPayM,BI82+BI82*(D_iL)),BI82)</f>
        <v>0</v>
      </c>
      <c r="BK82" s="1" t="n">
        <f aca="false">IF(BJ82&gt;PR_BalDone,BJ82+BJ82*(D_iL)-MIN(F_LoanPayM,BJ82+BJ82*(D_iL)),BJ82)</f>
        <v>0</v>
      </c>
      <c r="BL82" s="1" t="n">
        <f aca="false">IF(BK82&gt;PR_BalDone,BK82+BK82*(D_iL)-MIN(F_LoanPayM,BK82+BK82*(D_iL)),BK82)</f>
        <v>0</v>
      </c>
      <c r="BM82" s="1" t="n">
        <f aca="false">IF(BL82&gt;PR_BalDone,BL82+BL82*(D_iL)-MIN(F_LoanPayM,BL82+BL82*(D_iL)),BL82)</f>
        <v>0</v>
      </c>
      <c r="BN82" s="1" t="n">
        <f aca="false">IF(BM82&gt;PR_BalDone,BM82+BM82*(D_iL)-MIN(F_LoanPayM,BM82+BM82*(D_iL)),BM82)</f>
        <v>0</v>
      </c>
      <c r="BO82" s="1" t="n">
        <f aca="false">IF(BN82&gt;PR_BalDone,BN82+BN82*(D_iL)-MIN(F_LoanPayM,BN82+BN82*(D_iL)),BN82)</f>
        <v>0</v>
      </c>
      <c r="BP82" s="1" t="n">
        <f aca="false">IF(BO82&gt;PR_BalDone,BO82+BO82*(D_iL)-MIN(F_LoanPayM,BO82+BO82*(D_iL)),BO82)</f>
        <v>0</v>
      </c>
      <c r="BQ82" s="1" t="n">
        <f aca="false">IF(BP82&gt;PR_BalDone,BP82+BP82*(D_iL)-MIN(F_LoanPayM,BP82+BP82*(D_iL)),BP82)</f>
        <v>0</v>
      </c>
      <c r="BR82" s="1" t="n">
        <f aca="false">IF(BE82&gt;PR_BalDone,MIN(F_LoanPayM,BE82+BE82*(D_iL)),0)</f>
        <v>0</v>
      </c>
      <c r="BS82" s="1" t="n">
        <f aca="false">IF(BF82&gt;PR_BalDone,MIN(F_LoanPayM,BF82+BF82*(D_iL)),0)</f>
        <v>0</v>
      </c>
      <c r="BT82" s="1" t="n">
        <f aca="false">IF(BG82&gt;PR_BalDone,MIN(F_LoanPayM,BG82+BG82*(D_iL)),0)</f>
        <v>0</v>
      </c>
      <c r="BU82" s="1" t="n">
        <f aca="false">IF(BH82&gt;PR_BalDone,MIN(F_LoanPayM,BH82+BH82*(D_iL)),0)</f>
        <v>0</v>
      </c>
      <c r="BV82" s="1" t="n">
        <f aca="false">IF(BI82&gt;PR_BalDone,MIN(F_LoanPayM,BI82+BI82*(D_iL)),0)</f>
        <v>0</v>
      </c>
      <c r="BW82" s="1" t="n">
        <f aca="false">IF(BJ82&gt;PR_BalDone,MIN(F_LoanPayM,BJ82+BJ82*(D_iL)),0)</f>
        <v>0</v>
      </c>
      <c r="BX82" s="1" t="n">
        <f aca="false">IF(BK82&gt;PR_BalDone,MIN(F_LoanPayM,BK82+BK82*(D_iL)),0)</f>
        <v>0</v>
      </c>
      <c r="BY82" s="1" t="n">
        <f aca="false">IF(BL82&gt;PR_BalDone,MIN(F_LoanPayM,BL82+BL82*(D_iL)),0)</f>
        <v>0</v>
      </c>
      <c r="BZ82" s="1" t="n">
        <f aca="false">IF(BM82&gt;PR_BalDone,MIN(F_LoanPayM,BM82+BM82*(D_iL)),0)</f>
        <v>0</v>
      </c>
      <c r="CA82" s="1" t="n">
        <f aca="false">IF(BN82&gt;PR_BalDone,MIN(F_LoanPayM,BN82+BN82*(D_iL)),0)</f>
        <v>0</v>
      </c>
      <c r="CB82" s="1" t="n">
        <f aca="false">IF(BO82&gt;PR_BalDone,MIN(F_LoanPayM,BO82+BO82*(D_iL)),0)</f>
        <v>0</v>
      </c>
      <c r="CC82" s="1" t="n">
        <f aca="false">IF(BP82&gt;PR_BalDone,MIN(F_LoanPayM,BP82+BP82*(D_iL)),0)</f>
        <v>0</v>
      </c>
      <c r="CD82" s="1" t="n">
        <f aca="false">MAX(0,BQ82)</f>
        <v>0</v>
      </c>
      <c r="CE82" s="1" t="n">
        <f aca="false">SUM(BR82:CC82)</f>
        <v>0</v>
      </c>
      <c r="CF82" s="1" t="n">
        <f aca="false">IF(CF81&gt;1,DE81,CF81)</f>
        <v>0</v>
      </c>
      <c r="CG82" s="1" t="n">
        <f aca="false">IF(CF82&gt;PR_BalDone,CF82+CF82*(F_MR/12)-MIN(F_MortPayM,CF82+CF82*(F_MR/12)),CF82)</f>
        <v>0</v>
      </c>
      <c r="CH82" s="1" t="n">
        <f aca="false">IF(CG82&gt;PR_BalDone,CG82+CG82*(F_MR/12)-MIN(F_MortPayM,CG82+CG82*(F_MR/12)),CG82)</f>
        <v>0</v>
      </c>
      <c r="CI82" s="1" t="n">
        <f aca="false">IF(CH82&gt;PR_BalDone,CH82+CH82*(F_MR/12)-MIN(F_MortPayM,CH82+CH82*(F_MR/12)),CH82)</f>
        <v>0</v>
      </c>
      <c r="CJ82" s="1" t="n">
        <f aca="false">IF(CI82&gt;PR_BalDone,CI82+CI82*(F_MR/12)-MIN(F_MortPayM,CI82+CI82*(F_MR/12)),CI82)</f>
        <v>0</v>
      </c>
      <c r="CK82" s="1" t="n">
        <f aca="false">IF(CJ82&gt;PR_BalDone,CJ82+CJ82*(F_MR/12)-MIN(F_MortPayM,CJ82+CJ82*(F_MR/12)),CJ82)</f>
        <v>0</v>
      </c>
      <c r="CL82" s="1" t="n">
        <f aca="false">IF(CK82&gt;PR_BalDone,CK82+CK82*(F_MR/12)-MIN(F_MortPayM,CK82+CK82*(F_MR/12)),CK82)</f>
        <v>0</v>
      </c>
      <c r="CM82" s="1" t="n">
        <f aca="false">IF(CL82&gt;PR_BalDone,CL82+CL82*(F_MR/12)-MIN(F_MortPayM,CL82+CL82*(F_MR/12)),CL82)</f>
        <v>0</v>
      </c>
      <c r="CN82" s="1" t="n">
        <f aca="false">IF(CM82&gt;PR_BalDone,CM82+CM82*(F_MR/12)-MIN(F_MortPayM,CM82+CM82*(F_MR/12)),CM82)</f>
        <v>0</v>
      </c>
      <c r="CO82" s="1" t="n">
        <f aca="false">IF(CN82&gt;PR_BalDone,CN82+CN82*(F_MR/12)-MIN(F_MortPayM,CN82+CN82*(F_MR/12)),CN82)</f>
        <v>0</v>
      </c>
      <c r="CP82" s="1" t="n">
        <f aca="false">IF(CO82&gt;PR_BalDone,CO82+CO82*(F_MR/12)-MIN(F_MortPayM,CO82+CO82*(F_MR/12)),CO82)</f>
        <v>0</v>
      </c>
      <c r="CQ82" s="1" t="n">
        <f aca="false">IF(CP82&gt;PR_BalDone,CP82+CP82*(F_MR/12)-MIN(F_MortPayM,CP82+CP82*(F_MR/12)),CP82)</f>
        <v>0</v>
      </c>
      <c r="CR82" s="1" t="n">
        <f aca="false">IF(CQ82&gt;PR_BalDone,CQ82+CQ82*(F_MR/12)-MIN(F_MortPayM,CQ82+CQ82*(F_MR/12)),CQ82)</f>
        <v>0</v>
      </c>
      <c r="CS82" s="1" t="n">
        <f aca="false">IF(CF82&gt;PR_BalDone,MIN(F_MortPayM,CF82+CF82*(F_MR/12)),0)</f>
        <v>0</v>
      </c>
      <c r="CT82" s="1" t="n">
        <f aca="false">IF(CG82&gt;PR_BalDone,MIN(F_MortPayM,CG82+CG82*(F_MR/12)),0)</f>
        <v>0</v>
      </c>
      <c r="CU82" s="1" t="n">
        <f aca="false">IF(CH82&gt;PR_BalDone,MIN(F_MortPayM,CH82+CH82*(F_MR/12)),0)</f>
        <v>0</v>
      </c>
      <c r="CV82" s="1" t="n">
        <f aca="false">IF(CI82&gt;PR_BalDone,MIN(F_MortPayM,CI82+CI82*(F_MR/12)),0)</f>
        <v>0</v>
      </c>
      <c r="CW82" s="1" t="n">
        <f aca="false">IF(CJ82&gt;PR_BalDone,MIN(F_MortPayM,CJ82+CJ82*(F_MR/12)),0)</f>
        <v>0</v>
      </c>
      <c r="CX82" s="1" t="n">
        <f aca="false">IF(CK82&gt;PR_BalDone,MIN(F_MortPayM,CK82+CK82*(F_MR/12)),0)</f>
        <v>0</v>
      </c>
      <c r="CY82" s="1" t="n">
        <f aca="false">IF(CL82&gt;PR_BalDone,MIN(F_MortPayM,CL82+CL82*(F_MR/12)),0)</f>
        <v>0</v>
      </c>
      <c r="CZ82" s="1" t="n">
        <f aca="false">IF(CM82&gt;PR_BalDone,MIN(F_MortPayM,CM82+CM82*(F_MR/12)),0)</f>
        <v>0</v>
      </c>
      <c r="DA82" s="1" t="n">
        <f aca="false">IF(CN82&gt;PR_BalDone,MIN(F_MortPayM,CN82+CN82*(F_MR/12)),0)</f>
        <v>0</v>
      </c>
      <c r="DB82" s="1" t="n">
        <f aca="false">IF(CO82&gt;PR_BalDone,MIN(F_MortPayM,CO82+CO82*(F_MR/12)),0)</f>
        <v>0</v>
      </c>
      <c r="DC82" s="1" t="n">
        <f aca="false">IF(CP82&gt;PR_BalDone,MIN(F_MortPayM,CP82+CP82*(F_MR/12)),0)</f>
        <v>0</v>
      </c>
      <c r="DD82" s="1" t="n">
        <f aca="false">IF(CQ82&gt;PR_BalDone,MIN(F_MortPayM,CQ82+CQ82*(F_MR/12)),0)</f>
        <v>0</v>
      </c>
      <c r="DE82" s="1" t="n">
        <f aca="false">MAX(0,CR82)</f>
        <v>0</v>
      </c>
      <c r="DF82" s="1" t="n">
        <f aca="false">SUM(CS82:DD82)</f>
        <v>0</v>
      </c>
      <c r="DG82" s="1" t="n">
        <f aca="false">MAX(0,CF82)</f>
        <v>0</v>
      </c>
    </row>
    <row r="83" customFormat="false" ht="15" hidden="false" customHeight="true" outlineLevel="0" collapsed="false">
      <c r="B83" s="1" t="n">
        <v>75</v>
      </c>
      <c r="C83" s="1" t="n">
        <f aca="false">'Plan cashflow'!I83</f>
        <v>0</v>
      </c>
      <c r="D83" s="1" t="n">
        <f aca="false">IF(C83&gt;PR_BalDone,C83+C83*(F_MR/12)-MIN(F_MortPayM,C83+C83*(F_MR/12)),C83)</f>
        <v>0</v>
      </c>
      <c r="E83" s="1" t="n">
        <f aca="false">IF(D83&gt;PR_BalDone,D83+D83*(F_MR/12)-MIN(F_MortPayM,D83+D83*(F_MR/12)),D83)</f>
        <v>0</v>
      </c>
      <c r="F83" s="1" t="n">
        <f aca="false">IF(E83&gt;PR_BalDone,E83+E83*(F_MR/12)-MIN(F_MortPayM,E83+E83*(F_MR/12)),E83)</f>
        <v>0</v>
      </c>
      <c r="G83" s="1" t="n">
        <f aca="false">IF(F83&gt;PR_BalDone,F83+F83*(F_MR/12)-MIN(F_MortPayM,F83+F83*(F_MR/12)),F83)</f>
        <v>0</v>
      </c>
      <c r="H83" s="1" t="n">
        <f aca="false">IF(G83&gt;PR_BalDone,G83+G83*(F_MR/12)-MIN(F_MortPayM,G83+G83*(F_MR/12)),G83)</f>
        <v>0</v>
      </c>
      <c r="I83" s="1" t="n">
        <f aca="false">IF(H83&gt;PR_BalDone,H83+H83*(F_MR/12)-MIN(F_MortPayM,H83+H83*(F_MR/12)),H83)</f>
        <v>0</v>
      </c>
      <c r="J83" s="1" t="n">
        <f aca="false">IF(I83&gt;PR_BalDone,I83+I83*(F_MR/12)-MIN(F_MortPayM,I83+I83*(F_MR/12)),I83)</f>
        <v>0</v>
      </c>
      <c r="K83" s="1" t="n">
        <f aca="false">IF(J83&gt;PR_BalDone,J83+J83*(F_MR/12)-MIN(F_MortPayM,J83+J83*(F_MR/12)),J83)</f>
        <v>0</v>
      </c>
      <c r="L83" s="1" t="n">
        <f aca="false">IF(K83&gt;PR_BalDone,K83+K83*(F_MR/12)-MIN(F_MortPayM,K83+K83*(F_MR/12)),K83)</f>
        <v>0</v>
      </c>
      <c r="M83" s="1" t="n">
        <f aca="false">IF(L83&gt;PR_BalDone,L83+L83*(F_MR/12)-MIN(F_MortPayM,L83+L83*(F_MR/12)),L83)</f>
        <v>0</v>
      </c>
      <c r="N83" s="1" t="n">
        <f aca="false">IF(M83&gt;PR_BalDone,M83+M83*(F_MR/12)-MIN(F_MortPayM,M83+M83*(F_MR/12)),M83)</f>
        <v>0</v>
      </c>
      <c r="O83" s="1" t="n">
        <f aca="false">IF(N83&gt;PR_BalDone,N83+N83*(F_MR/12)-MIN(F_MortPayM,N83+N83*(F_MR/12)),N83)</f>
        <v>0</v>
      </c>
      <c r="P83" s="1" t="n">
        <f aca="false">IF(C83&gt;PR_BalDone,MIN(F_MortPayM,C83+C83*(F_MR/12)),0)</f>
        <v>0</v>
      </c>
      <c r="Q83" s="1" t="n">
        <f aca="false">IF(D83&gt;PR_BalDone,MIN(F_MortPayM,D83+D83*(F_MR/12)),0)</f>
        <v>0</v>
      </c>
      <c r="R83" s="1" t="n">
        <f aca="false">IF(E83&gt;PR_BalDone,MIN(F_MortPayM,E83+E83*(F_MR/12)),0)</f>
        <v>0</v>
      </c>
      <c r="S83" s="1" t="n">
        <f aca="false">IF(F83&gt;PR_BalDone,MIN(F_MortPayM,F83+F83*(F_MR/12)),0)</f>
        <v>0</v>
      </c>
      <c r="T83" s="1" t="n">
        <f aca="false">IF(G83&gt;PR_BalDone,MIN(F_MortPayM,G83+G83*(F_MR/12)),0)</f>
        <v>0</v>
      </c>
      <c r="U83" s="1" t="n">
        <f aca="false">IF(H83&gt;PR_BalDone,MIN(F_MortPayM,H83+H83*(F_MR/12)),0)</f>
        <v>0</v>
      </c>
      <c r="V83" s="1" t="n">
        <f aca="false">IF(I83&gt;PR_BalDone,MIN(F_MortPayM,I83+I83*(F_MR/12)),0)</f>
        <v>0</v>
      </c>
      <c r="W83" s="1" t="n">
        <f aca="false">IF(J83&gt;PR_BalDone,MIN(F_MortPayM,J83+J83*(F_MR/12)),0)</f>
        <v>0</v>
      </c>
      <c r="X83" s="1" t="n">
        <f aca="false">IF(K83&gt;PR_BalDone,MIN(F_MortPayM,K83+K83*(F_MR/12)),0)</f>
        <v>0</v>
      </c>
      <c r="Y83" s="1" t="n">
        <f aca="false">IF(L83&gt;PR_BalDone,MIN(F_MortPayM,L83+L83*(F_MR/12)),0)</f>
        <v>0</v>
      </c>
      <c r="Z83" s="1" t="n">
        <f aca="false">IF(M83&gt;PR_BalDone,MIN(F_MortPayM,M83+M83*(F_MR/12)),0)</f>
        <v>0</v>
      </c>
      <c r="AA83" s="1" t="n">
        <f aca="false">IF(N83&gt;PR_BalDone,MIN(F_MortPayM,N83+N83*(F_MR/12)),0)</f>
        <v>0</v>
      </c>
      <c r="AB83" s="1" t="n">
        <f aca="false">MAX(0,O83)</f>
        <v>0</v>
      </c>
      <c r="AC83" s="1" t="n">
        <f aca="false">SUM(P83:AA83)</f>
        <v>0</v>
      </c>
      <c r="AD83" s="1" t="n">
        <f aca="false">'Plan cashflow'!L83</f>
        <v>0</v>
      </c>
      <c r="AE83" s="1" t="n">
        <f aca="false">IF(AD83&gt;PR_BalDone,AD83+AD83*(D_iC)-MIN(F_CardPayM,AD83+AD83*(D_iC)),AD83)</f>
        <v>0</v>
      </c>
      <c r="AF83" s="1" t="n">
        <f aca="false">IF(AE83&gt;PR_BalDone,AE83+AE83*(D_iC)-MIN(F_CardPayM,AE83+AE83*(D_iC)),AE83)</f>
        <v>0</v>
      </c>
      <c r="AG83" s="1" t="n">
        <f aca="false">IF(AF83&gt;PR_BalDone,AF83+AF83*(D_iC)-MIN(F_CardPayM,AF83+AF83*(D_iC)),AF83)</f>
        <v>0</v>
      </c>
      <c r="AH83" s="1" t="n">
        <f aca="false">IF(AG83&gt;PR_BalDone,AG83+AG83*(D_iC)-MIN(F_CardPayM,AG83+AG83*(D_iC)),AG83)</f>
        <v>0</v>
      </c>
      <c r="AI83" s="1" t="n">
        <f aca="false">IF(AH83&gt;PR_BalDone,AH83+AH83*(D_iC)-MIN(F_CardPayM,AH83+AH83*(D_iC)),AH83)</f>
        <v>0</v>
      </c>
      <c r="AJ83" s="1" t="n">
        <f aca="false">IF(AI83&gt;PR_BalDone,AI83+AI83*(D_iC)-MIN(F_CardPayM,AI83+AI83*(D_iC)),AI83)</f>
        <v>0</v>
      </c>
      <c r="AK83" s="1" t="n">
        <f aca="false">IF(AJ83&gt;PR_BalDone,AJ83+AJ83*(D_iC)-MIN(F_CardPayM,AJ83+AJ83*(D_iC)),AJ83)</f>
        <v>0</v>
      </c>
      <c r="AL83" s="1" t="n">
        <f aca="false">IF(AK83&gt;PR_BalDone,AK83+AK83*(D_iC)-MIN(F_CardPayM,AK83+AK83*(D_iC)),AK83)</f>
        <v>0</v>
      </c>
      <c r="AM83" s="1" t="n">
        <f aca="false">IF(AL83&gt;PR_BalDone,AL83+AL83*(D_iC)-MIN(F_CardPayM,AL83+AL83*(D_iC)),AL83)</f>
        <v>0</v>
      </c>
      <c r="AN83" s="1" t="n">
        <f aca="false">IF(AM83&gt;PR_BalDone,AM83+AM83*(D_iC)-MIN(F_CardPayM,AM83+AM83*(D_iC)),AM83)</f>
        <v>0</v>
      </c>
      <c r="AO83" s="1" t="n">
        <f aca="false">IF(AN83&gt;PR_BalDone,AN83+AN83*(D_iC)-MIN(F_CardPayM,AN83+AN83*(D_iC)),AN83)</f>
        <v>0</v>
      </c>
      <c r="AP83" s="1" t="n">
        <f aca="false">IF(AO83&gt;PR_BalDone,AO83+AO83*(D_iC)-MIN(F_CardPayM,AO83+AO83*(D_iC)),AO83)</f>
        <v>0</v>
      </c>
      <c r="AQ83" s="1" t="n">
        <f aca="false">IF(AD83&gt;PR_BalDone,MIN(F_CardPayM,AD83+AD83*(D_iC)),0)</f>
        <v>0</v>
      </c>
      <c r="AR83" s="1" t="n">
        <f aca="false">IF(AE83&gt;PR_BalDone,MIN(F_CardPayM,AE83+AE83*(D_iC)),0)</f>
        <v>0</v>
      </c>
      <c r="AS83" s="1" t="n">
        <f aca="false">IF(AF83&gt;PR_BalDone,MIN(F_CardPayM,AF83+AF83*(D_iC)),0)</f>
        <v>0</v>
      </c>
      <c r="AT83" s="1" t="n">
        <f aca="false">IF(AG83&gt;PR_BalDone,MIN(F_CardPayM,AG83+AG83*(D_iC)),0)</f>
        <v>0</v>
      </c>
      <c r="AU83" s="1" t="n">
        <f aca="false">IF(AH83&gt;PR_BalDone,MIN(F_CardPayM,AH83+AH83*(D_iC)),0)</f>
        <v>0</v>
      </c>
      <c r="AV83" s="1" t="n">
        <f aca="false">IF(AI83&gt;PR_BalDone,MIN(F_CardPayM,AI83+AI83*(D_iC)),0)</f>
        <v>0</v>
      </c>
      <c r="AW83" s="1" t="n">
        <f aca="false">IF(AJ83&gt;PR_BalDone,MIN(F_CardPayM,AJ83+AJ83*(D_iC)),0)</f>
        <v>0</v>
      </c>
      <c r="AX83" s="1" t="n">
        <f aca="false">IF(AK83&gt;PR_BalDone,MIN(F_CardPayM,AK83+AK83*(D_iC)),0)</f>
        <v>0</v>
      </c>
      <c r="AY83" s="1" t="n">
        <f aca="false">IF(AL83&gt;PR_BalDone,MIN(F_CardPayM,AL83+AL83*(D_iC)),0)</f>
        <v>0</v>
      </c>
      <c r="AZ83" s="1" t="n">
        <f aca="false">IF(AM83&gt;PR_BalDone,MIN(F_CardPayM,AM83+AM83*(D_iC)),0)</f>
        <v>0</v>
      </c>
      <c r="BA83" s="1" t="n">
        <f aca="false">IF(AN83&gt;PR_BalDone,MIN(F_CardPayM,AN83+AN83*(D_iC)),0)</f>
        <v>0</v>
      </c>
      <c r="BB83" s="1" t="n">
        <f aca="false">IF(AO83&gt;PR_BalDone,MIN(F_CardPayM,AO83+AO83*(D_iC)),0)</f>
        <v>0</v>
      </c>
      <c r="BC83" s="1" t="n">
        <f aca="false">MAX(0,AP83)</f>
        <v>0</v>
      </c>
      <c r="BD83" s="1" t="n">
        <f aca="false">SUM(AQ83:BB83)</f>
        <v>0</v>
      </c>
      <c r="BE83" s="1" t="n">
        <f aca="false">'Plan cashflow'!O83</f>
        <v>0</v>
      </c>
      <c r="BF83" s="1" t="n">
        <f aca="false">IF(BE83&gt;PR_BalDone,BE83+BE83*(D_iL)-MIN(F_LoanPayM,BE83+BE83*(D_iL)),BE83)</f>
        <v>0</v>
      </c>
      <c r="BG83" s="1" t="n">
        <f aca="false">IF(BF83&gt;PR_BalDone,BF83+BF83*(D_iL)-MIN(F_LoanPayM,BF83+BF83*(D_iL)),BF83)</f>
        <v>0</v>
      </c>
      <c r="BH83" s="1" t="n">
        <f aca="false">IF(BG83&gt;PR_BalDone,BG83+BG83*(D_iL)-MIN(F_LoanPayM,BG83+BG83*(D_iL)),BG83)</f>
        <v>0</v>
      </c>
      <c r="BI83" s="1" t="n">
        <f aca="false">IF(BH83&gt;PR_BalDone,BH83+BH83*(D_iL)-MIN(F_LoanPayM,BH83+BH83*(D_iL)),BH83)</f>
        <v>0</v>
      </c>
      <c r="BJ83" s="1" t="n">
        <f aca="false">IF(BI83&gt;PR_BalDone,BI83+BI83*(D_iL)-MIN(F_LoanPayM,BI83+BI83*(D_iL)),BI83)</f>
        <v>0</v>
      </c>
      <c r="BK83" s="1" t="n">
        <f aca="false">IF(BJ83&gt;PR_BalDone,BJ83+BJ83*(D_iL)-MIN(F_LoanPayM,BJ83+BJ83*(D_iL)),BJ83)</f>
        <v>0</v>
      </c>
      <c r="BL83" s="1" t="n">
        <f aca="false">IF(BK83&gt;PR_BalDone,BK83+BK83*(D_iL)-MIN(F_LoanPayM,BK83+BK83*(D_iL)),BK83)</f>
        <v>0</v>
      </c>
      <c r="BM83" s="1" t="n">
        <f aca="false">IF(BL83&gt;PR_BalDone,BL83+BL83*(D_iL)-MIN(F_LoanPayM,BL83+BL83*(D_iL)),BL83)</f>
        <v>0</v>
      </c>
      <c r="BN83" s="1" t="n">
        <f aca="false">IF(BM83&gt;PR_BalDone,BM83+BM83*(D_iL)-MIN(F_LoanPayM,BM83+BM83*(D_iL)),BM83)</f>
        <v>0</v>
      </c>
      <c r="BO83" s="1" t="n">
        <f aca="false">IF(BN83&gt;PR_BalDone,BN83+BN83*(D_iL)-MIN(F_LoanPayM,BN83+BN83*(D_iL)),BN83)</f>
        <v>0</v>
      </c>
      <c r="BP83" s="1" t="n">
        <f aca="false">IF(BO83&gt;PR_BalDone,BO83+BO83*(D_iL)-MIN(F_LoanPayM,BO83+BO83*(D_iL)),BO83)</f>
        <v>0</v>
      </c>
      <c r="BQ83" s="1" t="n">
        <f aca="false">IF(BP83&gt;PR_BalDone,BP83+BP83*(D_iL)-MIN(F_LoanPayM,BP83+BP83*(D_iL)),BP83)</f>
        <v>0</v>
      </c>
      <c r="BR83" s="1" t="n">
        <f aca="false">IF(BE83&gt;PR_BalDone,MIN(F_LoanPayM,BE83+BE83*(D_iL)),0)</f>
        <v>0</v>
      </c>
      <c r="BS83" s="1" t="n">
        <f aca="false">IF(BF83&gt;PR_BalDone,MIN(F_LoanPayM,BF83+BF83*(D_iL)),0)</f>
        <v>0</v>
      </c>
      <c r="BT83" s="1" t="n">
        <f aca="false">IF(BG83&gt;PR_BalDone,MIN(F_LoanPayM,BG83+BG83*(D_iL)),0)</f>
        <v>0</v>
      </c>
      <c r="BU83" s="1" t="n">
        <f aca="false">IF(BH83&gt;PR_BalDone,MIN(F_LoanPayM,BH83+BH83*(D_iL)),0)</f>
        <v>0</v>
      </c>
      <c r="BV83" s="1" t="n">
        <f aca="false">IF(BI83&gt;PR_BalDone,MIN(F_LoanPayM,BI83+BI83*(D_iL)),0)</f>
        <v>0</v>
      </c>
      <c r="BW83" s="1" t="n">
        <f aca="false">IF(BJ83&gt;PR_BalDone,MIN(F_LoanPayM,BJ83+BJ83*(D_iL)),0)</f>
        <v>0</v>
      </c>
      <c r="BX83" s="1" t="n">
        <f aca="false">IF(BK83&gt;PR_BalDone,MIN(F_LoanPayM,BK83+BK83*(D_iL)),0)</f>
        <v>0</v>
      </c>
      <c r="BY83" s="1" t="n">
        <f aca="false">IF(BL83&gt;PR_BalDone,MIN(F_LoanPayM,BL83+BL83*(D_iL)),0)</f>
        <v>0</v>
      </c>
      <c r="BZ83" s="1" t="n">
        <f aca="false">IF(BM83&gt;PR_BalDone,MIN(F_LoanPayM,BM83+BM83*(D_iL)),0)</f>
        <v>0</v>
      </c>
      <c r="CA83" s="1" t="n">
        <f aca="false">IF(BN83&gt;PR_BalDone,MIN(F_LoanPayM,BN83+BN83*(D_iL)),0)</f>
        <v>0</v>
      </c>
      <c r="CB83" s="1" t="n">
        <f aca="false">IF(BO83&gt;PR_BalDone,MIN(F_LoanPayM,BO83+BO83*(D_iL)),0)</f>
        <v>0</v>
      </c>
      <c r="CC83" s="1" t="n">
        <f aca="false">IF(BP83&gt;PR_BalDone,MIN(F_LoanPayM,BP83+BP83*(D_iL)),0)</f>
        <v>0</v>
      </c>
      <c r="CD83" s="1" t="n">
        <f aca="false">MAX(0,BQ83)</f>
        <v>0</v>
      </c>
      <c r="CE83" s="1" t="n">
        <f aca="false">SUM(BR83:CC83)</f>
        <v>0</v>
      </c>
      <c r="CF83" s="1" t="n">
        <f aca="false">IF(CF82&gt;1,DE82,CF82)</f>
        <v>0</v>
      </c>
      <c r="CG83" s="1" t="n">
        <f aca="false">IF(CF83&gt;PR_BalDone,CF83+CF83*(F_MR/12)-MIN(F_MortPayM,CF83+CF83*(F_MR/12)),CF83)</f>
        <v>0</v>
      </c>
      <c r="CH83" s="1" t="n">
        <f aca="false">IF(CG83&gt;PR_BalDone,CG83+CG83*(F_MR/12)-MIN(F_MortPayM,CG83+CG83*(F_MR/12)),CG83)</f>
        <v>0</v>
      </c>
      <c r="CI83" s="1" t="n">
        <f aca="false">IF(CH83&gt;PR_BalDone,CH83+CH83*(F_MR/12)-MIN(F_MortPayM,CH83+CH83*(F_MR/12)),CH83)</f>
        <v>0</v>
      </c>
      <c r="CJ83" s="1" t="n">
        <f aca="false">IF(CI83&gt;PR_BalDone,CI83+CI83*(F_MR/12)-MIN(F_MortPayM,CI83+CI83*(F_MR/12)),CI83)</f>
        <v>0</v>
      </c>
      <c r="CK83" s="1" t="n">
        <f aca="false">IF(CJ83&gt;PR_BalDone,CJ83+CJ83*(F_MR/12)-MIN(F_MortPayM,CJ83+CJ83*(F_MR/12)),CJ83)</f>
        <v>0</v>
      </c>
      <c r="CL83" s="1" t="n">
        <f aca="false">IF(CK83&gt;PR_BalDone,CK83+CK83*(F_MR/12)-MIN(F_MortPayM,CK83+CK83*(F_MR/12)),CK83)</f>
        <v>0</v>
      </c>
      <c r="CM83" s="1" t="n">
        <f aca="false">IF(CL83&gt;PR_BalDone,CL83+CL83*(F_MR/12)-MIN(F_MortPayM,CL83+CL83*(F_MR/12)),CL83)</f>
        <v>0</v>
      </c>
      <c r="CN83" s="1" t="n">
        <f aca="false">IF(CM83&gt;PR_BalDone,CM83+CM83*(F_MR/12)-MIN(F_MortPayM,CM83+CM83*(F_MR/12)),CM83)</f>
        <v>0</v>
      </c>
      <c r="CO83" s="1" t="n">
        <f aca="false">IF(CN83&gt;PR_BalDone,CN83+CN83*(F_MR/12)-MIN(F_MortPayM,CN83+CN83*(F_MR/12)),CN83)</f>
        <v>0</v>
      </c>
      <c r="CP83" s="1" t="n">
        <f aca="false">IF(CO83&gt;PR_BalDone,CO83+CO83*(F_MR/12)-MIN(F_MortPayM,CO83+CO83*(F_MR/12)),CO83)</f>
        <v>0</v>
      </c>
      <c r="CQ83" s="1" t="n">
        <f aca="false">IF(CP83&gt;PR_BalDone,CP83+CP83*(F_MR/12)-MIN(F_MortPayM,CP83+CP83*(F_MR/12)),CP83)</f>
        <v>0</v>
      </c>
      <c r="CR83" s="1" t="n">
        <f aca="false">IF(CQ83&gt;PR_BalDone,CQ83+CQ83*(F_MR/12)-MIN(F_MortPayM,CQ83+CQ83*(F_MR/12)),CQ83)</f>
        <v>0</v>
      </c>
      <c r="CS83" s="1" t="n">
        <f aca="false">IF(CF83&gt;PR_BalDone,MIN(F_MortPayM,CF83+CF83*(F_MR/12)),0)</f>
        <v>0</v>
      </c>
      <c r="CT83" s="1" t="n">
        <f aca="false">IF(CG83&gt;PR_BalDone,MIN(F_MortPayM,CG83+CG83*(F_MR/12)),0)</f>
        <v>0</v>
      </c>
      <c r="CU83" s="1" t="n">
        <f aca="false">IF(CH83&gt;PR_BalDone,MIN(F_MortPayM,CH83+CH83*(F_MR/12)),0)</f>
        <v>0</v>
      </c>
      <c r="CV83" s="1" t="n">
        <f aca="false">IF(CI83&gt;PR_BalDone,MIN(F_MortPayM,CI83+CI83*(F_MR/12)),0)</f>
        <v>0</v>
      </c>
      <c r="CW83" s="1" t="n">
        <f aca="false">IF(CJ83&gt;PR_BalDone,MIN(F_MortPayM,CJ83+CJ83*(F_MR/12)),0)</f>
        <v>0</v>
      </c>
      <c r="CX83" s="1" t="n">
        <f aca="false">IF(CK83&gt;PR_BalDone,MIN(F_MortPayM,CK83+CK83*(F_MR/12)),0)</f>
        <v>0</v>
      </c>
      <c r="CY83" s="1" t="n">
        <f aca="false">IF(CL83&gt;PR_BalDone,MIN(F_MortPayM,CL83+CL83*(F_MR/12)),0)</f>
        <v>0</v>
      </c>
      <c r="CZ83" s="1" t="n">
        <f aca="false">IF(CM83&gt;PR_BalDone,MIN(F_MortPayM,CM83+CM83*(F_MR/12)),0)</f>
        <v>0</v>
      </c>
      <c r="DA83" s="1" t="n">
        <f aca="false">IF(CN83&gt;PR_BalDone,MIN(F_MortPayM,CN83+CN83*(F_MR/12)),0)</f>
        <v>0</v>
      </c>
      <c r="DB83" s="1" t="n">
        <f aca="false">IF(CO83&gt;PR_BalDone,MIN(F_MortPayM,CO83+CO83*(F_MR/12)),0)</f>
        <v>0</v>
      </c>
      <c r="DC83" s="1" t="n">
        <f aca="false">IF(CP83&gt;PR_BalDone,MIN(F_MortPayM,CP83+CP83*(F_MR/12)),0)</f>
        <v>0</v>
      </c>
      <c r="DD83" s="1" t="n">
        <f aca="false">IF(CQ83&gt;PR_BalDone,MIN(F_MortPayM,CQ83+CQ83*(F_MR/12)),0)</f>
        <v>0</v>
      </c>
      <c r="DE83" s="1" t="n">
        <f aca="false">MAX(0,CR83)</f>
        <v>0</v>
      </c>
      <c r="DF83" s="1" t="n">
        <f aca="false">SUM(CS83:DD83)</f>
        <v>0</v>
      </c>
      <c r="DG83" s="1" t="n">
        <f aca="false">MAX(0,CF83)</f>
        <v>0</v>
      </c>
    </row>
    <row r="84" customFormat="false" ht="15" hidden="false" customHeight="true" outlineLevel="0" collapsed="false">
      <c r="B84" s="1" t="n">
        <v>76</v>
      </c>
      <c r="C84" s="1" t="n">
        <f aca="false">'Plan cashflow'!I84</f>
        <v>0</v>
      </c>
      <c r="D84" s="1" t="n">
        <f aca="false">IF(C84&gt;PR_BalDone,C84+C84*(F_MR/12)-MIN(F_MortPayM,C84+C84*(F_MR/12)),C84)</f>
        <v>0</v>
      </c>
      <c r="E84" s="1" t="n">
        <f aca="false">IF(D84&gt;PR_BalDone,D84+D84*(F_MR/12)-MIN(F_MortPayM,D84+D84*(F_MR/12)),D84)</f>
        <v>0</v>
      </c>
      <c r="F84" s="1" t="n">
        <f aca="false">IF(E84&gt;PR_BalDone,E84+E84*(F_MR/12)-MIN(F_MortPayM,E84+E84*(F_MR/12)),E84)</f>
        <v>0</v>
      </c>
      <c r="G84" s="1" t="n">
        <f aca="false">IF(F84&gt;PR_BalDone,F84+F84*(F_MR/12)-MIN(F_MortPayM,F84+F84*(F_MR/12)),F84)</f>
        <v>0</v>
      </c>
      <c r="H84" s="1" t="n">
        <f aca="false">IF(G84&gt;PR_BalDone,G84+G84*(F_MR/12)-MIN(F_MortPayM,G84+G84*(F_MR/12)),G84)</f>
        <v>0</v>
      </c>
      <c r="I84" s="1" t="n">
        <f aca="false">IF(H84&gt;PR_BalDone,H84+H84*(F_MR/12)-MIN(F_MortPayM,H84+H84*(F_MR/12)),H84)</f>
        <v>0</v>
      </c>
      <c r="J84" s="1" t="n">
        <f aca="false">IF(I84&gt;PR_BalDone,I84+I84*(F_MR/12)-MIN(F_MortPayM,I84+I84*(F_MR/12)),I84)</f>
        <v>0</v>
      </c>
      <c r="K84" s="1" t="n">
        <f aca="false">IF(J84&gt;PR_BalDone,J84+J84*(F_MR/12)-MIN(F_MortPayM,J84+J84*(F_MR/12)),J84)</f>
        <v>0</v>
      </c>
      <c r="L84" s="1" t="n">
        <f aca="false">IF(K84&gt;PR_BalDone,K84+K84*(F_MR/12)-MIN(F_MortPayM,K84+K84*(F_MR/12)),K84)</f>
        <v>0</v>
      </c>
      <c r="M84" s="1" t="n">
        <f aca="false">IF(L84&gt;PR_BalDone,L84+L84*(F_MR/12)-MIN(F_MortPayM,L84+L84*(F_MR/12)),L84)</f>
        <v>0</v>
      </c>
      <c r="N84" s="1" t="n">
        <f aca="false">IF(M84&gt;PR_BalDone,M84+M84*(F_MR/12)-MIN(F_MortPayM,M84+M84*(F_MR/12)),M84)</f>
        <v>0</v>
      </c>
      <c r="O84" s="1" t="n">
        <f aca="false">IF(N84&gt;PR_BalDone,N84+N84*(F_MR/12)-MIN(F_MortPayM,N84+N84*(F_MR/12)),N84)</f>
        <v>0</v>
      </c>
      <c r="P84" s="1" t="n">
        <f aca="false">IF(C84&gt;PR_BalDone,MIN(F_MortPayM,C84+C84*(F_MR/12)),0)</f>
        <v>0</v>
      </c>
      <c r="Q84" s="1" t="n">
        <f aca="false">IF(D84&gt;PR_BalDone,MIN(F_MortPayM,D84+D84*(F_MR/12)),0)</f>
        <v>0</v>
      </c>
      <c r="R84" s="1" t="n">
        <f aca="false">IF(E84&gt;PR_BalDone,MIN(F_MortPayM,E84+E84*(F_MR/12)),0)</f>
        <v>0</v>
      </c>
      <c r="S84" s="1" t="n">
        <f aca="false">IF(F84&gt;PR_BalDone,MIN(F_MortPayM,F84+F84*(F_MR/12)),0)</f>
        <v>0</v>
      </c>
      <c r="T84" s="1" t="n">
        <f aca="false">IF(G84&gt;PR_BalDone,MIN(F_MortPayM,G84+G84*(F_MR/12)),0)</f>
        <v>0</v>
      </c>
      <c r="U84" s="1" t="n">
        <f aca="false">IF(H84&gt;PR_BalDone,MIN(F_MortPayM,H84+H84*(F_MR/12)),0)</f>
        <v>0</v>
      </c>
      <c r="V84" s="1" t="n">
        <f aca="false">IF(I84&gt;PR_BalDone,MIN(F_MortPayM,I84+I84*(F_MR/12)),0)</f>
        <v>0</v>
      </c>
      <c r="W84" s="1" t="n">
        <f aca="false">IF(J84&gt;PR_BalDone,MIN(F_MortPayM,J84+J84*(F_MR/12)),0)</f>
        <v>0</v>
      </c>
      <c r="X84" s="1" t="n">
        <f aca="false">IF(K84&gt;PR_BalDone,MIN(F_MortPayM,K84+K84*(F_MR/12)),0)</f>
        <v>0</v>
      </c>
      <c r="Y84" s="1" t="n">
        <f aca="false">IF(L84&gt;PR_BalDone,MIN(F_MortPayM,L84+L84*(F_MR/12)),0)</f>
        <v>0</v>
      </c>
      <c r="Z84" s="1" t="n">
        <f aca="false">IF(M84&gt;PR_BalDone,MIN(F_MortPayM,M84+M84*(F_MR/12)),0)</f>
        <v>0</v>
      </c>
      <c r="AA84" s="1" t="n">
        <f aca="false">IF(N84&gt;PR_BalDone,MIN(F_MortPayM,N84+N84*(F_MR/12)),0)</f>
        <v>0</v>
      </c>
      <c r="AB84" s="1" t="n">
        <f aca="false">MAX(0,O84)</f>
        <v>0</v>
      </c>
      <c r="AC84" s="1" t="n">
        <f aca="false">SUM(P84:AA84)</f>
        <v>0</v>
      </c>
      <c r="AD84" s="1" t="n">
        <f aca="false">'Plan cashflow'!L84</f>
        <v>0</v>
      </c>
      <c r="AE84" s="1" t="n">
        <f aca="false">IF(AD84&gt;PR_BalDone,AD84+AD84*(D_iC)-MIN(F_CardPayM,AD84+AD84*(D_iC)),AD84)</f>
        <v>0</v>
      </c>
      <c r="AF84" s="1" t="n">
        <f aca="false">IF(AE84&gt;PR_BalDone,AE84+AE84*(D_iC)-MIN(F_CardPayM,AE84+AE84*(D_iC)),AE84)</f>
        <v>0</v>
      </c>
      <c r="AG84" s="1" t="n">
        <f aca="false">IF(AF84&gt;PR_BalDone,AF84+AF84*(D_iC)-MIN(F_CardPayM,AF84+AF84*(D_iC)),AF84)</f>
        <v>0</v>
      </c>
      <c r="AH84" s="1" t="n">
        <f aca="false">IF(AG84&gt;PR_BalDone,AG84+AG84*(D_iC)-MIN(F_CardPayM,AG84+AG84*(D_iC)),AG84)</f>
        <v>0</v>
      </c>
      <c r="AI84" s="1" t="n">
        <f aca="false">IF(AH84&gt;PR_BalDone,AH84+AH84*(D_iC)-MIN(F_CardPayM,AH84+AH84*(D_iC)),AH84)</f>
        <v>0</v>
      </c>
      <c r="AJ84" s="1" t="n">
        <f aca="false">IF(AI84&gt;PR_BalDone,AI84+AI84*(D_iC)-MIN(F_CardPayM,AI84+AI84*(D_iC)),AI84)</f>
        <v>0</v>
      </c>
      <c r="AK84" s="1" t="n">
        <f aca="false">IF(AJ84&gt;PR_BalDone,AJ84+AJ84*(D_iC)-MIN(F_CardPayM,AJ84+AJ84*(D_iC)),AJ84)</f>
        <v>0</v>
      </c>
      <c r="AL84" s="1" t="n">
        <f aca="false">IF(AK84&gt;PR_BalDone,AK84+AK84*(D_iC)-MIN(F_CardPayM,AK84+AK84*(D_iC)),AK84)</f>
        <v>0</v>
      </c>
      <c r="AM84" s="1" t="n">
        <f aca="false">IF(AL84&gt;PR_BalDone,AL84+AL84*(D_iC)-MIN(F_CardPayM,AL84+AL84*(D_iC)),AL84)</f>
        <v>0</v>
      </c>
      <c r="AN84" s="1" t="n">
        <f aca="false">IF(AM84&gt;PR_BalDone,AM84+AM84*(D_iC)-MIN(F_CardPayM,AM84+AM84*(D_iC)),AM84)</f>
        <v>0</v>
      </c>
      <c r="AO84" s="1" t="n">
        <f aca="false">IF(AN84&gt;PR_BalDone,AN84+AN84*(D_iC)-MIN(F_CardPayM,AN84+AN84*(D_iC)),AN84)</f>
        <v>0</v>
      </c>
      <c r="AP84" s="1" t="n">
        <f aca="false">IF(AO84&gt;PR_BalDone,AO84+AO84*(D_iC)-MIN(F_CardPayM,AO84+AO84*(D_iC)),AO84)</f>
        <v>0</v>
      </c>
      <c r="AQ84" s="1" t="n">
        <f aca="false">IF(AD84&gt;PR_BalDone,MIN(F_CardPayM,AD84+AD84*(D_iC)),0)</f>
        <v>0</v>
      </c>
      <c r="AR84" s="1" t="n">
        <f aca="false">IF(AE84&gt;PR_BalDone,MIN(F_CardPayM,AE84+AE84*(D_iC)),0)</f>
        <v>0</v>
      </c>
      <c r="AS84" s="1" t="n">
        <f aca="false">IF(AF84&gt;PR_BalDone,MIN(F_CardPayM,AF84+AF84*(D_iC)),0)</f>
        <v>0</v>
      </c>
      <c r="AT84" s="1" t="n">
        <f aca="false">IF(AG84&gt;PR_BalDone,MIN(F_CardPayM,AG84+AG84*(D_iC)),0)</f>
        <v>0</v>
      </c>
      <c r="AU84" s="1" t="n">
        <f aca="false">IF(AH84&gt;PR_BalDone,MIN(F_CardPayM,AH84+AH84*(D_iC)),0)</f>
        <v>0</v>
      </c>
      <c r="AV84" s="1" t="n">
        <f aca="false">IF(AI84&gt;PR_BalDone,MIN(F_CardPayM,AI84+AI84*(D_iC)),0)</f>
        <v>0</v>
      </c>
      <c r="AW84" s="1" t="n">
        <f aca="false">IF(AJ84&gt;PR_BalDone,MIN(F_CardPayM,AJ84+AJ84*(D_iC)),0)</f>
        <v>0</v>
      </c>
      <c r="AX84" s="1" t="n">
        <f aca="false">IF(AK84&gt;PR_BalDone,MIN(F_CardPayM,AK84+AK84*(D_iC)),0)</f>
        <v>0</v>
      </c>
      <c r="AY84" s="1" t="n">
        <f aca="false">IF(AL84&gt;PR_BalDone,MIN(F_CardPayM,AL84+AL84*(D_iC)),0)</f>
        <v>0</v>
      </c>
      <c r="AZ84" s="1" t="n">
        <f aca="false">IF(AM84&gt;PR_BalDone,MIN(F_CardPayM,AM84+AM84*(D_iC)),0)</f>
        <v>0</v>
      </c>
      <c r="BA84" s="1" t="n">
        <f aca="false">IF(AN84&gt;PR_BalDone,MIN(F_CardPayM,AN84+AN84*(D_iC)),0)</f>
        <v>0</v>
      </c>
      <c r="BB84" s="1" t="n">
        <f aca="false">IF(AO84&gt;PR_BalDone,MIN(F_CardPayM,AO84+AO84*(D_iC)),0)</f>
        <v>0</v>
      </c>
      <c r="BC84" s="1" t="n">
        <f aca="false">MAX(0,AP84)</f>
        <v>0</v>
      </c>
      <c r="BD84" s="1" t="n">
        <f aca="false">SUM(AQ84:BB84)</f>
        <v>0</v>
      </c>
      <c r="BE84" s="1" t="n">
        <f aca="false">'Plan cashflow'!O84</f>
        <v>0</v>
      </c>
      <c r="BF84" s="1" t="n">
        <f aca="false">IF(BE84&gt;PR_BalDone,BE84+BE84*(D_iL)-MIN(F_LoanPayM,BE84+BE84*(D_iL)),BE84)</f>
        <v>0</v>
      </c>
      <c r="BG84" s="1" t="n">
        <f aca="false">IF(BF84&gt;PR_BalDone,BF84+BF84*(D_iL)-MIN(F_LoanPayM,BF84+BF84*(D_iL)),BF84)</f>
        <v>0</v>
      </c>
      <c r="BH84" s="1" t="n">
        <f aca="false">IF(BG84&gt;PR_BalDone,BG84+BG84*(D_iL)-MIN(F_LoanPayM,BG84+BG84*(D_iL)),BG84)</f>
        <v>0</v>
      </c>
      <c r="BI84" s="1" t="n">
        <f aca="false">IF(BH84&gt;PR_BalDone,BH84+BH84*(D_iL)-MIN(F_LoanPayM,BH84+BH84*(D_iL)),BH84)</f>
        <v>0</v>
      </c>
      <c r="BJ84" s="1" t="n">
        <f aca="false">IF(BI84&gt;PR_BalDone,BI84+BI84*(D_iL)-MIN(F_LoanPayM,BI84+BI84*(D_iL)),BI84)</f>
        <v>0</v>
      </c>
      <c r="BK84" s="1" t="n">
        <f aca="false">IF(BJ84&gt;PR_BalDone,BJ84+BJ84*(D_iL)-MIN(F_LoanPayM,BJ84+BJ84*(D_iL)),BJ84)</f>
        <v>0</v>
      </c>
      <c r="BL84" s="1" t="n">
        <f aca="false">IF(BK84&gt;PR_BalDone,BK84+BK84*(D_iL)-MIN(F_LoanPayM,BK84+BK84*(D_iL)),BK84)</f>
        <v>0</v>
      </c>
      <c r="BM84" s="1" t="n">
        <f aca="false">IF(BL84&gt;PR_BalDone,BL84+BL84*(D_iL)-MIN(F_LoanPayM,BL84+BL84*(D_iL)),BL84)</f>
        <v>0</v>
      </c>
      <c r="BN84" s="1" t="n">
        <f aca="false">IF(BM84&gt;PR_BalDone,BM84+BM84*(D_iL)-MIN(F_LoanPayM,BM84+BM84*(D_iL)),BM84)</f>
        <v>0</v>
      </c>
      <c r="BO84" s="1" t="n">
        <f aca="false">IF(BN84&gt;PR_BalDone,BN84+BN84*(D_iL)-MIN(F_LoanPayM,BN84+BN84*(D_iL)),BN84)</f>
        <v>0</v>
      </c>
      <c r="BP84" s="1" t="n">
        <f aca="false">IF(BO84&gt;PR_BalDone,BO84+BO84*(D_iL)-MIN(F_LoanPayM,BO84+BO84*(D_iL)),BO84)</f>
        <v>0</v>
      </c>
      <c r="BQ84" s="1" t="n">
        <f aca="false">IF(BP84&gt;PR_BalDone,BP84+BP84*(D_iL)-MIN(F_LoanPayM,BP84+BP84*(D_iL)),BP84)</f>
        <v>0</v>
      </c>
      <c r="BR84" s="1" t="n">
        <f aca="false">IF(BE84&gt;PR_BalDone,MIN(F_LoanPayM,BE84+BE84*(D_iL)),0)</f>
        <v>0</v>
      </c>
      <c r="BS84" s="1" t="n">
        <f aca="false">IF(BF84&gt;PR_BalDone,MIN(F_LoanPayM,BF84+BF84*(D_iL)),0)</f>
        <v>0</v>
      </c>
      <c r="BT84" s="1" t="n">
        <f aca="false">IF(BG84&gt;PR_BalDone,MIN(F_LoanPayM,BG84+BG84*(D_iL)),0)</f>
        <v>0</v>
      </c>
      <c r="BU84" s="1" t="n">
        <f aca="false">IF(BH84&gt;PR_BalDone,MIN(F_LoanPayM,BH84+BH84*(D_iL)),0)</f>
        <v>0</v>
      </c>
      <c r="BV84" s="1" t="n">
        <f aca="false">IF(BI84&gt;PR_BalDone,MIN(F_LoanPayM,BI84+BI84*(D_iL)),0)</f>
        <v>0</v>
      </c>
      <c r="BW84" s="1" t="n">
        <f aca="false">IF(BJ84&gt;PR_BalDone,MIN(F_LoanPayM,BJ84+BJ84*(D_iL)),0)</f>
        <v>0</v>
      </c>
      <c r="BX84" s="1" t="n">
        <f aca="false">IF(BK84&gt;PR_BalDone,MIN(F_LoanPayM,BK84+BK84*(D_iL)),0)</f>
        <v>0</v>
      </c>
      <c r="BY84" s="1" t="n">
        <f aca="false">IF(BL84&gt;PR_BalDone,MIN(F_LoanPayM,BL84+BL84*(D_iL)),0)</f>
        <v>0</v>
      </c>
      <c r="BZ84" s="1" t="n">
        <f aca="false">IF(BM84&gt;PR_BalDone,MIN(F_LoanPayM,BM84+BM84*(D_iL)),0)</f>
        <v>0</v>
      </c>
      <c r="CA84" s="1" t="n">
        <f aca="false">IF(BN84&gt;PR_BalDone,MIN(F_LoanPayM,BN84+BN84*(D_iL)),0)</f>
        <v>0</v>
      </c>
      <c r="CB84" s="1" t="n">
        <f aca="false">IF(BO84&gt;PR_BalDone,MIN(F_LoanPayM,BO84+BO84*(D_iL)),0)</f>
        <v>0</v>
      </c>
      <c r="CC84" s="1" t="n">
        <f aca="false">IF(BP84&gt;PR_BalDone,MIN(F_LoanPayM,BP84+BP84*(D_iL)),0)</f>
        <v>0</v>
      </c>
      <c r="CD84" s="1" t="n">
        <f aca="false">MAX(0,BQ84)</f>
        <v>0</v>
      </c>
      <c r="CE84" s="1" t="n">
        <f aca="false">SUM(BR84:CC84)</f>
        <v>0</v>
      </c>
      <c r="CF84" s="1" t="n">
        <f aca="false">IF(CF83&gt;1,DE83,CF83)</f>
        <v>0</v>
      </c>
      <c r="CG84" s="1" t="n">
        <f aca="false">IF(CF84&gt;PR_BalDone,CF84+CF84*(F_MR/12)-MIN(F_MortPayM,CF84+CF84*(F_MR/12)),CF84)</f>
        <v>0</v>
      </c>
      <c r="CH84" s="1" t="n">
        <f aca="false">IF(CG84&gt;PR_BalDone,CG84+CG84*(F_MR/12)-MIN(F_MortPayM,CG84+CG84*(F_MR/12)),CG84)</f>
        <v>0</v>
      </c>
      <c r="CI84" s="1" t="n">
        <f aca="false">IF(CH84&gt;PR_BalDone,CH84+CH84*(F_MR/12)-MIN(F_MortPayM,CH84+CH84*(F_MR/12)),CH84)</f>
        <v>0</v>
      </c>
      <c r="CJ84" s="1" t="n">
        <f aca="false">IF(CI84&gt;PR_BalDone,CI84+CI84*(F_MR/12)-MIN(F_MortPayM,CI84+CI84*(F_MR/12)),CI84)</f>
        <v>0</v>
      </c>
      <c r="CK84" s="1" t="n">
        <f aca="false">IF(CJ84&gt;PR_BalDone,CJ84+CJ84*(F_MR/12)-MIN(F_MortPayM,CJ84+CJ84*(F_MR/12)),CJ84)</f>
        <v>0</v>
      </c>
      <c r="CL84" s="1" t="n">
        <f aca="false">IF(CK84&gt;PR_BalDone,CK84+CK84*(F_MR/12)-MIN(F_MortPayM,CK84+CK84*(F_MR/12)),CK84)</f>
        <v>0</v>
      </c>
      <c r="CM84" s="1" t="n">
        <f aca="false">IF(CL84&gt;PR_BalDone,CL84+CL84*(F_MR/12)-MIN(F_MortPayM,CL84+CL84*(F_MR/12)),CL84)</f>
        <v>0</v>
      </c>
      <c r="CN84" s="1" t="n">
        <f aca="false">IF(CM84&gt;PR_BalDone,CM84+CM84*(F_MR/12)-MIN(F_MortPayM,CM84+CM84*(F_MR/12)),CM84)</f>
        <v>0</v>
      </c>
      <c r="CO84" s="1" t="n">
        <f aca="false">IF(CN84&gt;PR_BalDone,CN84+CN84*(F_MR/12)-MIN(F_MortPayM,CN84+CN84*(F_MR/12)),CN84)</f>
        <v>0</v>
      </c>
      <c r="CP84" s="1" t="n">
        <f aca="false">IF(CO84&gt;PR_BalDone,CO84+CO84*(F_MR/12)-MIN(F_MortPayM,CO84+CO84*(F_MR/12)),CO84)</f>
        <v>0</v>
      </c>
      <c r="CQ84" s="1" t="n">
        <f aca="false">IF(CP84&gt;PR_BalDone,CP84+CP84*(F_MR/12)-MIN(F_MortPayM,CP84+CP84*(F_MR/12)),CP84)</f>
        <v>0</v>
      </c>
      <c r="CR84" s="1" t="n">
        <f aca="false">IF(CQ84&gt;PR_BalDone,CQ84+CQ84*(F_MR/12)-MIN(F_MortPayM,CQ84+CQ84*(F_MR/12)),CQ84)</f>
        <v>0</v>
      </c>
      <c r="CS84" s="1" t="n">
        <f aca="false">IF(CF84&gt;PR_BalDone,MIN(F_MortPayM,CF84+CF84*(F_MR/12)),0)</f>
        <v>0</v>
      </c>
      <c r="CT84" s="1" t="n">
        <f aca="false">IF(CG84&gt;PR_BalDone,MIN(F_MortPayM,CG84+CG84*(F_MR/12)),0)</f>
        <v>0</v>
      </c>
      <c r="CU84" s="1" t="n">
        <f aca="false">IF(CH84&gt;PR_BalDone,MIN(F_MortPayM,CH84+CH84*(F_MR/12)),0)</f>
        <v>0</v>
      </c>
      <c r="CV84" s="1" t="n">
        <f aca="false">IF(CI84&gt;PR_BalDone,MIN(F_MortPayM,CI84+CI84*(F_MR/12)),0)</f>
        <v>0</v>
      </c>
      <c r="CW84" s="1" t="n">
        <f aca="false">IF(CJ84&gt;PR_BalDone,MIN(F_MortPayM,CJ84+CJ84*(F_MR/12)),0)</f>
        <v>0</v>
      </c>
      <c r="CX84" s="1" t="n">
        <f aca="false">IF(CK84&gt;PR_BalDone,MIN(F_MortPayM,CK84+CK84*(F_MR/12)),0)</f>
        <v>0</v>
      </c>
      <c r="CY84" s="1" t="n">
        <f aca="false">IF(CL84&gt;PR_BalDone,MIN(F_MortPayM,CL84+CL84*(F_MR/12)),0)</f>
        <v>0</v>
      </c>
      <c r="CZ84" s="1" t="n">
        <f aca="false">IF(CM84&gt;PR_BalDone,MIN(F_MortPayM,CM84+CM84*(F_MR/12)),0)</f>
        <v>0</v>
      </c>
      <c r="DA84" s="1" t="n">
        <f aca="false">IF(CN84&gt;PR_BalDone,MIN(F_MortPayM,CN84+CN84*(F_MR/12)),0)</f>
        <v>0</v>
      </c>
      <c r="DB84" s="1" t="n">
        <f aca="false">IF(CO84&gt;PR_BalDone,MIN(F_MortPayM,CO84+CO84*(F_MR/12)),0)</f>
        <v>0</v>
      </c>
      <c r="DC84" s="1" t="n">
        <f aca="false">IF(CP84&gt;PR_BalDone,MIN(F_MortPayM,CP84+CP84*(F_MR/12)),0)</f>
        <v>0</v>
      </c>
      <c r="DD84" s="1" t="n">
        <f aca="false">IF(CQ84&gt;PR_BalDone,MIN(F_MortPayM,CQ84+CQ84*(F_MR/12)),0)</f>
        <v>0</v>
      </c>
      <c r="DE84" s="1" t="n">
        <f aca="false">MAX(0,CR84)</f>
        <v>0</v>
      </c>
      <c r="DF84" s="1" t="n">
        <f aca="false">SUM(CS84:DD84)</f>
        <v>0</v>
      </c>
      <c r="DG84" s="1" t="n">
        <f aca="false">MAX(0,CF84)</f>
        <v>0</v>
      </c>
    </row>
    <row r="85" customFormat="false" ht="15" hidden="false" customHeight="true" outlineLevel="0" collapsed="false">
      <c r="B85" s="1" t="n">
        <v>77</v>
      </c>
      <c r="C85" s="1" t="n">
        <f aca="false">'Plan cashflow'!I85</f>
        <v>0</v>
      </c>
      <c r="D85" s="1" t="n">
        <f aca="false">IF(C85&gt;PR_BalDone,C85+C85*(F_MR/12)-MIN(F_MortPayM,C85+C85*(F_MR/12)),C85)</f>
        <v>0</v>
      </c>
      <c r="E85" s="1" t="n">
        <f aca="false">IF(D85&gt;PR_BalDone,D85+D85*(F_MR/12)-MIN(F_MortPayM,D85+D85*(F_MR/12)),D85)</f>
        <v>0</v>
      </c>
      <c r="F85" s="1" t="n">
        <f aca="false">IF(E85&gt;PR_BalDone,E85+E85*(F_MR/12)-MIN(F_MortPayM,E85+E85*(F_MR/12)),E85)</f>
        <v>0</v>
      </c>
      <c r="G85" s="1" t="n">
        <f aca="false">IF(F85&gt;PR_BalDone,F85+F85*(F_MR/12)-MIN(F_MortPayM,F85+F85*(F_MR/12)),F85)</f>
        <v>0</v>
      </c>
      <c r="H85" s="1" t="n">
        <f aca="false">IF(G85&gt;PR_BalDone,G85+G85*(F_MR/12)-MIN(F_MortPayM,G85+G85*(F_MR/12)),G85)</f>
        <v>0</v>
      </c>
      <c r="I85" s="1" t="n">
        <f aca="false">IF(H85&gt;PR_BalDone,H85+H85*(F_MR/12)-MIN(F_MortPayM,H85+H85*(F_MR/12)),H85)</f>
        <v>0</v>
      </c>
      <c r="J85" s="1" t="n">
        <f aca="false">IF(I85&gt;PR_BalDone,I85+I85*(F_MR/12)-MIN(F_MortPayM,I85+I85*(F_MR/12)),I85)</f>
        <v>0</v>
      </c>
      <c r="K85" s="1" t="n">
        <f aca="false">IF(J85&gt;PR_BalDone,J85+J85*(F_MR/12)-MIN(F_MortPayM,J85+J85*(F_MR/12)),J85)</f>
        <v>0</v>
      </c>
      <c r="L85" s="1" t="n">
        <f aca="false">IF(K85&gt;PR_BalDone,K85+K85*(F_MR/12)-MIN(F_MortPayM,K85+K85*(F_MR/12)),K85)</f>
        <v>0</v>
      </c>
      <c r="M85" s="1" t="n">
        <f aca="false">IF(L85&gt;PR_BalDone,L85+L85*(F_MR/12)-MIN(F_MortPayM,L85+L85*(F_MR/12)),L85)</f>
        <v>0</v>
      </c>
      <c r="N85" s="1" t="n">
        <f aca="false">IF(M85&gt;PR_BalDone,M85+M85*(F_MR/12)-MIN(F_MortPayM,M85+M85*(F_MR/12)),M85)</f>
        <v>0</v>
      </c>
      <c r="O85" s="1" t="n">
        <f aca="false">IF(N85&gt;PR_BalDone,N85+N85*(F_MR/12)-MIN(F_MortPayM,N85+N85*(F_MR/12)),N85)</f>
        <v>0</v>
      </c>
      <c r="P85" s="1" t="n">
        <f aca="false">IF(C85&gt;PR_BalDone,MIN(F_MortPayM,C85+C85*(F_MR/12)),0)</f>
        <v>0</v>
      </c>
      <c r="Q85" s="1" t="n">
        <f aca="false">IF(D85&gt;PR_BalDone,MIN(F_MortPayM,D85+D85*(F_MR/12)),0)</f>
        <v>0</v>
      </c>
      <c r="R85" s="1" t="n">
        <f aca="false">IF(E85&gt;PR_BalDone,MIN(F_MortPayM,E85+E85*(F_MR/12)),0)</f>
        <v>0</v>
      </c>
      <c r="S85" s="1" t="n">
        <f aca="false">IF(F85&gt;PR_BalDone,MIN(F_MortPayM,F85+F85*(F_MR/12)),0)</f>
        <v>0</v>
      </c>
      <c r="T85" s="1" t="n">
        <f aca="false">IF(G85&gt;PR_BalDone,MIN(F_MortPayM,G85+G85*(F_MR/12)),0)</f>
        <v>0</v>
      </c>
      <c r="U85" s="1" t="n">
        <f aca="false">IF(H85&gt;PR_BalDone,MIN(F_MortPayM,H85+H85*(F_MR/12)),0)</f>
        <v>0</v>
      </c>
      <c r="V85" s="1" t="n">
        <f aca="false">IF(I85&gt;PR_BalDone,MIN(F_MortPayM,I85+I85*(F_MR/12)),0)</f>
        <v>0</v>
      </c>
      <c r="W85" s="1" t="n">
        <f aca="false">IF(J85&gt;PR_BalDone,MIN(F_MortPayM,J85+J85*(F_MR/12)),0)</f>
        <v>0</v>
      </c>
      <c r="X85" s="1" t="n">
        <f aca="false">IF(K85&gt;PR_BalDone,MIN(F_MortPayM,K85+K85*(F_MR/12)),0)</f>
        <v>0</v>
      </c>
      <c r="Y85" s="1" t="n">
        <f aca="false">IF(L85&gt;PR_BalDone,MIN(F_MortPayM,L85+L85*(F_MR/12)),0)</f>
        <v>0</v>
      </c>
      <c r="Z85" s="1" t="n">
        <f aca="false">IF(M85&gt;PR_BalDone,MIN(F_MortPayM,M85+M85*(F_MR/12)),0)</f>
        <v>0</v>
      </c>
      <c r="AA85" s="1" t="n">
        <f aca="false">IF(N85&gt;PR_BalDone,MIN(F_MortPayM,N85+N85*(F_MR/12)),0)</f>
        <v>0</v>
      </c>
      <c r="AB85" s="1" t="n">
        <f aca="false">MAX(0,O85)</f>
        <v>0</v>
      </c>
      <c r="AC85" s="1" t="n">
        <f aca="false">SUM(P85:AA85)</f>
        <v>0</v>
      </c>
      <c r="AD85" s="1" t="n">
        <f aca="false">'Plan cashflow'!L85</f>
        <v>0</v>
      </c>
      <c r="AE85" s="1" t="n">
        <f aca="false">IF(AD85&gt;PR_BalDone,AD85+AD85*(D_iC)-MIN(F_CardPayM,AD85+AD85*(D_iC)),AD85)</f>
        <v>0</v>
      </c>
      <c r="AF85" s="1" t="n">
        <f aca="false">IF(AE85&gt;PR_BalDone,AE85+AE85*(D_iC)-MIN(F_CardPayM,AE85+AE85*(D_iC)),AE85)</f>
        <v>0</v>
      </c>
      <c r="AG85" s="1" t="n">
        <f aca="false">IF(AF85&gt;PR_BalDone,AF85+AF85*(D_iC)-MIN(F_CardPayM,AF85+AF85*(D_iC)),AF85)</f>
        <v>0</v>
      </c>
      <c r="AH85" s="1" t="n">
        <f aca="false">IF(AG85&gt;PR_BalDone,AG85+AG85*(D_iC)-MIN(F_CardPayM,AG85+AG85*(D_iC)),AG85)</f>
        <v>0</v>
      </c>
      <c r="AI85" s="1" t="n">
        <f aca="false">IF(AH85&gt;PR_BalDone,AH85+AH85*(D_iC)-MIN(F_CardPayM,AH85+AH85*(D_iC)),AH85)</f>
        <v>0</v>
      </c>
      <c r="AJ85" s="1" t="n">
        <f aca="false">IF(AI85&gt;PR_BalDone,AI85+AI85*(D_iC)-MIN(F_CardPayM,AI85+AI85*(D_iC)),AI85)</f>
        <v>0</v>
      </c>
      <c r="AK85" s="1" t="n">
        <f aca="false">IF(AJ85&gt;PR_BalDone,AJ85+AJ85*(D_iC)-MIN(F_CardPayM,AJ85+AJ85*(D_iC)),AJ85)</f>
        <v>0</v>
      </c>
      <c r="AL85" s="1" t="n">
        <f aca="false">IF(AK85&gt;PR_BalDone,AK85+AK85*(D_iC)-MIN(F_CardPayM,AK85+AK85*(D_iC)),AK85)</f>
        <v>0</v>
      </c>
      <c r="AM85" s="1" t="n">
        <f aca="false">IF(AL85&gt;PR_BalDone,AL85+AL85*(D_iC)-MIN(F_CardPayM,AL85+AL85*(D_iC)),AL85)</f>
        <v>0</v>
      </c>
      <c r="AN85" s="1" t="n">
        <f aca="false">IF(AM85&gt;PR_BalDone,AM85+AM85*(D_iC)-MIN(F_CardPayM,AM85+AM85*(D_iC)),AM85)</f>
        <v>0</v>
      </c>
      <c r="AO85" s="1" t="n">
        <f aca="false">IF(AN85&gt;PR_BalDone,AN85+AN85*(D_iC)-MIN(F_CardPayM,AN85+AN85*(D_iC)),AN85)</f>
        <v>0</v>
      </c>
      <c r="AP85" s="1" t="n">
        <f aca="false">IF(AO85&gt;PR_BalDone,AO85+AO85*(D_iC)-MIN(F_CardPayM,AO85+AO85*(D_iC)),AO85)</f>
        <v>0</v>
      </c>
      <c r="AQ85" s="1" t="n">
        <f aca="false">IF(AD85&gt;PR_BalDone,MIN(F_CardPayM,AD85+AD85*(D_iC)),0)</f>
        <v>0</v>
      </c>
      <c r="AR85" s="1" t="n">
        <f aca="false">IF(AE85&gt;PR_BalDone,MIN(F_CardPayM,AE85+AE85*(D_iC)),0)</f>
        <v>0</v>
      </c>
      <c r="AS85" s="1" t="n">
        <f aca="false">IF(AF85&gt;PR_BalDone,MIN(F_CardPayM,AF85+AF85*(D_iC)),0)</f>
        <v>0</v>
      </c>
      <c r="AT85" s="1" t="n">
        <f aca="false">IF(AG85&gt;PR_BalDone,MIN(F_CardPayM,AG85+AG85*(D_iC)),0)</f>
        <v>0</v>
      </c>
      <c r="AU85" s="1" t="n">
        <f aca="false">IF(AH85&gt;PR_BalDone,MIN(F_CardPayM,AH85+AH85*(D_iC)),0)</f>
        <v>0</v>
      </c>
      <c r="AV85" s="1" t="n">
        <f aca="false">IF(AI85&gt;PR_BalDone,MIN(F_CardPayM,AI85+AI85*(D_iC)),0)</f>
        <v>0</v>
      </c>
      <c r="AW85" s="1" t="n">
        <f aca="false">IF(AJ85&gt;PR_BalDone,MIN(F_CardPayM,AJ85+AJ85*(D_iC)),0)</f>
        <v>0</v>
      </c>
      <c r="AX85" s="1" t="n">
        <f aca="false">IF(AK85&gt;PR_BalDone,MIN(F_CardPayM,AK85+AK85*(D_iC)),0)</f>
        <v>0</v>
      </c>
      <c r="AY85" s="1" t="n">
        <f aca="false">IF(AL85&gt;PR_BalDone,MIN(F_CardPayM,AL85+AL85*(D_iC)),0)</f>
        <v>0</v>
      </c>
      <c r="AZ85" s="1" t="n">
        <f aca="false">IF(AM85&gt;PR_BalDone,MIN(F_CardPayM,AM85+AM85*(D_iC)),0)</f>
        <v>0</v>
      </c>
      <c r="BA85" s="1" t="n">
        <f aca="false">IF(AN85&gt;PR_BalDone,MIN(F_CardPayM,AN85+AN85*(D_iC)),0)</f>
        <v>0</v>
      </c>
      <c r="BB85" s="1" t="n">
        <f aca="false">IF(AO85&gt;PR_BalDone,MIN(F_CardPayM,AO85+AO85*(D_iC)),0)</f>
        <v>0</v>
      </c>
      <c r="BC85" s="1" t="n">
        <f aca="false">MAX(0,AP85)</f>
        <v>0</v>
      </c>
      <c r="BD85" s="1" t="n">
        <f aca="false">SUM(AQ85:BB85)</f>
        <v>0</v>
      </c>
      <c r="BE85" s="1" t="n">
        <f aca="false">'Plan cashflow'!O85</f>
        <v>0</v>
      </c>
      <c r="BF85" s="1" t="n">
        <f aca="false">IF(BE85&gt;PR_BalDone,BE85+BE85*(D_iL)-MIN(F_LoanPayM,BE85+BE85*(D_iL)),BE85)</f>
        <v>0</v>
      </c>
      <c r="BG85" s="1" t="n">
        <f aca="false">IF(BF85&gt;PR_BalDone,BF85+BF85*(D_iL)-MIN(F_LoanPayM,BF85+BF85*(D_iL)),BF85)</f>
        <v>0</v>
      </c>
      <c r="BH85" s="1" t="n">
        <f aca="false">IF(BG85&gt;PR_BalDone,BG85+BG85*(D_iL)-MIN(F_LoanPayM,BG85+BG85*(D_iL)),BG85)</f>
        <v>0</v>
      </c>
      <c r="BI85" s="1" t="n">
        <f aca="false">IF(BH85&gt;PR_BalDone,BH85+BH85*(D_iL)-MIN(F_LoanPayM,BH85+BH85*(D_iL)),BH85)</f>
        <v>0</v>
      </c>
      <c r="BJ85" s="1" t="n">
        <f aca="false">IF(BI85&gt;PR_BalDone,BI85+BI85*(D_iL)-MIN(F_LoanPayM,BI85+BI85*(D_iL)),BI85)</f>
        <v>0</v>
      </c>
      <c r="BK85" s="1" t="n">
        <f aca="false">IF(BJ85&gt;PR_BalDone,BJ85+BJ85*(D_iL)-MIN(F_LoanPayM,BJ85+BJ85*(D_iL)),BJ85)</f>
        <v>0</v>
      </c>
      <c r="BL85" s="1" t="n">
        <f aca="false">IF(BK85&gt;PR_BalDone,BK85+BK85*(D_iL)-MIN(F_LoanPayM,BK85+BK85*(D_iL)),BK85)</f>
        <v>0</v>
      </c>
      <c r="BM85" s="1" t="n">
        <f aca="false">IF(BL85&gt;PR_BalDone,BL85+BL85*(D_iL)-MIN(F_LoanPayM,BL85+BL85*(D_iL)),BL85)</f>
        <v>0</v>
      </c>
      <c r="BN85" s="1" t="n">
        <f aca="false">IF(BM85&gt;PR_BalDone,BM85+BM85*(D_iL)-MIN(F_LoanPayM,BM85+BM85*(D_iL)),BM85)</f>
        <v>0</v>
      </c>
      <c r="BO85" s="1" t="n">
        <f aca="false">IF(BN85&gt;PR_BalDone,BN85+BN85*(D_iL)-MIN(F_LoanPayM,BN85+BN85*(D_iL)),BN85)</f>
        <v>0</v>
      </c>
      <c r="BP85" s="1" t="n">
        <f aca="false">IF(BO85&gt;PR_BalDone,BO85+BO85*(D_iL)-MIN(F_LoanPayM,BO85+BO85*(D_iL)),BO85)</f>
        <v>0</v>
      </c>
      <c r="BQ85" s="1" t="n">
        <f aca="false">IF(BP85&gt;PR_BalDone,BP85+BP85*(D_iL)-MIN(F_LoanPayM,BP85+BP85*(D_iL)),BP85)</f>
        <v>0</v>
      </c>
      <c r="BR85" s="1" t="n">
        <f aca="false">IF(BE85&gt;PR_BalDone,MIN(F_LoanPayM,BE85+BE85*(D_iL)),0)</f>
        <v>0</v>
      </c>
      <c r="BS85" s="1" t="n">
        <f aca="false">IF(BF85&gt;PR_BalDone,MIN(F_LoanPayM,BF85+BF85*(D_iL)),0)</f>
        <v>0</v>
      </c>
      <c r="BT85" s="1" t="n">
        <f aca="false">IF(BG85&gt;PR_BalDone,MIN(F_LoanPayM,BG85+BG85*(D_iL)),0)</f>
        <v>0</v>
      </c>
      <c r="BU85" s="1" t="n">
        <f aca="false">IF(BH85&gt;PR_BalDone,MIN(F_LoanPayM,BH85+BH85*(D_iL)),0)</f>
        <v>0</v>
      </c>
      <c r="BV85" s="1" t="n">
        <f aca="false">IF(BI85&gt;PR_BalDone,MIN(F_LoanPayM,BI85+BI85*(D_iL)),0)</f>
        <v>0</v>
      </c>
      <c r="BW85" s="1" t="n">
        <f aca="false">IF(BJ85&gt;PR_BalDone,MIN(F_LoanPayM,BJ85+BJ85*(D_iL)),0)</f>
        <v>0</v>
      </c>
      <c r="BX85" s="1" t="n">
        <f aca="false">IF(BK85&gt;PR_BalDone,MIN(F_LoanPayM,BK85+BK85*(D_iL)),0)</f>
        <v>0</v>
      </c>
      <c r="BY85" s="1" t="n">
        <f aca="false">IF(BL85&gt;PR_BalDone,MIN(F_LoanPayM,BL85+BL85*(D_iL)),0)</f>
        <v>0</v>
      </c>
      <c r="BZ85" s="1" t="n">
        <f aca="false">IF(BM85&gt;PR_BalDone,MIN(F_LoanPayM,BM85+BM85*(D_iL)),0)</f>
        <v>0</v>
      </c>
      <c r="CA85" s="1" t="n">
        <f aca="false">IF(BN85&gt;PR_BalDone,MIN(F_LoanPayM,BN85+BN85*(D_iL)),0)</f>
        <v>0</v>
      </c>
      <c r="CB85" s="1" t="n">
        <f aca="false">IF(BO85&gt;PR_BalDone,MIN(F_LoanPayM,BO85+BO85*(D_iL)),0)</f>
        <v>0</v>
      </c>
      <c r="CC85" s="1" t="n">
        <f aca="false">IF(BP85&gt;PR_BalDone,MIN(F_LoanPayM,BP85+BP85*(D_iL)),0)</f>
        <v>0</v>
      </c>
      <c r="CD85" s="1" t="n">
        <f aca="false">MAX(0,BQ85)</f>
        <v>0</v>
      </c>
      <c r="CE85" s="1" t="n">
        <f aca="false">SUM(BR85:CC85)</f>
        <v>0</v>
      </c>
      <c r="CF85" s="1" t="n">
        <f aca="false">IF(CF84&gt;1,DE84,CF84)</f>
        <v>0</v>
      </c>
      <c r="CG85" s="1" t="n">
        <f aca="false">IF(CF85&gt;PR_BalDone,CF85+CF85*(F_MR/12)-MIN(F_MortPayM,CF85+CF85*(F_MR/12)),CF85)</f>
        <v>0</v>
      </c>
      <c r="CH85" s="1" t="n">
        <f aca="false">IF(CG85&gt;PR_BalDone,CG85+CG85*(F_MR/12)-MIN(F_MortPayM,CG85+CG85*(F_MR/12)),CG85)</f>
        <v>0</v>
      </c>
      <c r="CI85" s="1" t="n">
        <f aca="false">IF(CH85&gt;PR_BalDone,CH85+CH85*(F_MR/12)-MIN(F_MortPayM,CH85+CH85*(F_MR/12)),CH85)</f>
        <v>0</v>
      </c>
      <c r="CJ85" s="1" t="n">
        <f aca="false">IF(CI85&gt;PR_BalDone,CI85+CI85*(F_MR/12)-MIN(F_MortPayM,CI85+CI85*(F_MR/12)),CI85)</f>
        <v>0</v>
      </c>
      <c r="CK85" s="1" t="n">
        <f aca="false">IF(CJ85&gt;PR_BalDone,CJ85+CJ85*(F_MR/12)-MIN(F_MortPayM,CJ85+CJ85*(F_MR/12)),CJ85)</f>
        <v>0</v>
      </c>
      <c r="CL85" s="1" t="n">
        <f aca="false">IF(CK85&gt;PR_BalDone,CK85+CK85*(F_MR/12)-MIN(F_MortPayM,CK85+CK85*(F_MR/12)),CK85)</f>
        <v>0</v>
      </c>
      <c r="CM85" s="1" t="n">
        <f aca="false">IF(CL85&gt;PR_BalDone,CL85+CL85*(F_MR/12)-MIN(F_MortPayM,CL85+CL85*(F_MR/12)),CL85)</f>
        <v>0</v>
      </c>
      <c r="CN85" s="1" t="n">
        <f aca="false">IF(CM85&gt;PR_BalDone,CM85+CM85*(F_MR/12)-MIN(F_MortPayM,CM85+CM85*(F_MR/12)),CM85)</f>
        <v>0</v>
      </c>
      <c r="CO85" s="1" t="n">
        <f aca="false">IF(CN85&gt;PR_BalDone,CN85+CN85*(F_MR/12)-MIN(F_MortPayM,CN85+CN85*(F_MR/12)),CN85)</f>
        <v>0</v>
      </c>
      <c r="CP85" s="1" t="n">
        <f aca="false">IF(CO85&gt;PR_BalDone,CO85+CO85*(F_MR/12)-MIN(F_MortPayM,CO85+CO85*(F_MR/12)),CO85)</f>
        <v>0</v>
      </c>
      <c r="CQ85" s="1" t="n">
        <f aca="false">IF(CP85&gt;PR_BalDone,CP85+CP85*(F_MR/12)-MIN(F_MortPayM,CP85+CP85*(F_MR/12)),CP85)</f>
        <v>0</v>
      </c>
      <c r="CR85" s="1" t="n">
        <f aca="false">IF(CQ85&gt;PR_BalDone,CQ85+CQ85*(F_MR/12)-MIN(F_MortPayM,CQ85+CQ85*(F_MR/12)),CQ85)</f>
        <v>0</v>
      </c>
      <c r="CS85" s="1" t="n">
        <f aca="false">IF(CF85&gt;PR_BalDone,MIN(F_MortPayM,CF85+CF85*(F_MR/12)),0)</f>
        <v>0</v>
      </c>
      <c r="CT85" s="1" t="n">
        <f aca="false">IF(CG85&gt;PR_BalDone,MIN(F_MortPayM,CG85+CG85*(F_MR/12)),0)</f>
        <v>0</v>
      </c>
      <c r="CU85" s="1" t="n">
        <f aca="false">IF(CH85&gt;PR_BalDone,MIN(F_MortPayM,CH85+CH85*(F_MR/12)),0)</f>
        <v>0</v>
      </c>
      <c r="CV85" s="1" t="n">
        <f aca="false">IF(CI85&gt;PR_BalDone,MIN(F_MortPayM,CI85+CI85*(F_MR/12)),0)</f>
        <v>0</v>
      </c>
      <c r="CW85" s="1" t="n">
        <f aca="false">IF(CJ85&gt;PR_BalDone,MIN(F_MortPayM,CJ85+CJ85*(F_MR/12)),0)</f>
        <v>0</v>
      </c>
      <c r="CX85" s="1" t="n">
        <f aca="false">IF(CK85&gt;PR_BalDone,MIN(F_MortPayM,CK85+CK85*(F_MR/12)),0)</f>
        <v>0</v>
      </c>
      <c r="CY85" s="1" t="n">
        <f aca="false">IF(CL85&gt;PR_BalDone,MIN(F_MortPayM,CL85+CL85*(F_MR/12)),0)</f>
        <v>0</v>
      </c>
      <c r="CZ85" s="1" t="n">
        <f aca="false">IF(CM85&gt;PR_BalDone,MIN(F_MortPayM,CM85+CM85*(F_MR/12)),0)</f>
        <v>0</v>
      </c>
      <c r="DA85" s="1" t="n">
        <f aca="false">IF(CN85&gt;PR_BalDone,MIN(F_MortPayM,CN85+CN85*(F_MR/12)),0)</f>
        <v>0</v>
      </c>
      <c r="DB85" s="1" t="n">
        <f aca="false">IF(CO85&gt;PR_BalDone,MIN(F_MortPayM,CO85+CO85*(F_MR/12)),0)</f>
        <v>0</v>
      </c>
      <c r="DC85" s="1" t="n">
        <f aca="false">IF(CP85&gt;PR_BalDone,MIN(F_MortPayM,CP85+CP85*(F_MR/12)),0)</f>
        <v>0</v>
      </c>
      <c r="DD85" s="1" t="n">
        <f aca="false">IF(CQ85&gt;PR_BalDone,MIN(F_MortPayM,CQ85+CQ85*(F_MR/12)),0)</f>
        <v>0</v>
      </c>
      <c r="DE85" s="1" t="n">
        <f aca="false">MAX(0,CR85)</f>
        <v>0</v>
      </c>
      <c r="DF85" s="1" t="n">
        <f aca="false">SUM(CS85:DD85)</f>
        <v>0</v>
      </c>
      <c r="DG85" s="1" t="n">
        <f aca="false">MAX(0,CF85)</f>
        <v>0</v>
      </c>
    </row>
    <row r="86" customFormat="false" ht="15" hidden="false" customHeight="true" outlineLevel="0" collapsed="false">
      <c r="B86" s="1" t="n">
        <v>78</v>
      </c>
      <c r="C86" s="1" t="n">
        <f aca="false">'Plan cashflow'!I86</f>
        <v>0</v>
      </c>
      <c r="D86" s="1" t="n">
        <f aca="false">IF(C86&gt;PR_BalDone,C86+C86*(F_MR/12)-MIN(F_MortPayM,C86+C86*(F_MR/12)),C86)</f>
        <v>0</v>
      </c>
      <c r="E86" s="1" t="n">
        <f aca="false">IF(D86&gt;PR_BalDone,D86+D86*(F_MR/12)-MIN(F_MortPayM,D86+D86*(F_MR/12)),D86)</f>
        <v>0</v>
      </c>
      <c r="F86" s="1" t="n">
        <f aca="false">IF(E86&gt;PR_BalDone,E86+E86*(F_MR/12)-MIN(F_MortPayM,E86+E86*(F_MR/12)),E86)</f>
        <v>0</v>
      </c>
      <c r="G86" s="1" t="n">
        <f aca="false">IF(F86&gt;PR_BalDone,F86+F86*(F_MR/12)-MIN(F_MortPayM,F86+F86*(F_MR/12)),F86)</f>
        <v>0</v>
      </c>
      <c r="H86" s="1" t="n">
        <f aca="false">IF(G86&gt;PR_BalDone,G86+G86*(F_MR/12)-MIN(F_MortPayM,G86+G86*(F_MR/12)),G86)</f>
        <v>0</v>
      </c>
      <c r="I86" s="1" t="n">
        <f aca="false">IF(H86&gt;PR_BalDone,H86+H86*(F_MR/12)-MIN(F_MortPayM,H86+H86*(F_MR/12)),H86)</f>
        <v>0</v>
      </c>
      <c r="J86" s="1" t="n">
        <f aca="false">IF(I86&gt;PR_BalDone,I86+I86*(F_MR/12)-MIN(F_MortPayM,I86+I86*(F_MR/12)),I86)</f>
        <v>0</v>
      </c>
      <c r="K86" s="1" t="n">
        <f aca="false">IF(J86&gt;PR_BalDone,J86+J86*(F_MR/12)-MIN(F_MortPayM,J86+J86*(F_MR/12)),J86)</f>
        <v>0</v>
      </c>
      <c r="L86" s="1" t="n">
        <f aca="false">IF(K86&gt;PR_BalDone,K86+K86*(F_MR/12)-MIN(F_MortPayM,K86+K86*(F_MR/12)),K86)</f>
        <v>0</v>
      </c>
      <c r="M86" s="1" t="n">
        <f aca="false">IF(L86&gt;PR_BalDone,L86+L86*(F_MR/12)-MIN(F_MortPayM,L86+L86*(F_MR/12)),L86)</f>
        <v>0</v>
      </c>
      <c r="N86" s="1" t="n">
        <f aca="false">IF(M86&gt;PR_BalDone,M86+M86*(F_MR/12)-MIN(F_MortPayM,M86+M86*(F_MR/12)),M86)</f>
        <v>0</v>
      </c>
      <c r="O86" s="1" t="n">
        <f aca="false">IF(N86&gt;PR_BalDone,N86+N86*(F_MR/12)-MIN(F_MortPayM,N86+N86*(F_MR/12)),N86)</f>
        <v>0</v>
      </c>
      <c r="P86" s="1" t="n">
        <f aca="false">IF(C86&gt;PR_BalDone,MIN(F_MortPayM,C86+C86*(F_MR/12)),0)</f>
        <v>0</v>
      </c>
      <c r="Q86" s="1" t="n">
        <f aca="false">IF(D86&gt;PR_BalDone,MIN(F_MortPayM,D86+D86*(F_MR/12)),0)</f>
        <v>0</v>
      </c>
      <c r="R86" s="1" t="n">
        <f aca="false">IF(E86&gt;PR_BalDone,MIN(F_MortPayM,E86+E86*(F_MR/12)),0)</f>
        <v>0</v>
      </c>
      <c r="S86" s="1" t="n">
        <f aca="false">IF(F86&gt;PR_BalDone,MIN(F_MortPayM,F86+F86*(F_MR/12)),0)</f>
        <v>0</v>
      </c>
      <c r="T86" s="1" t="n">
        <f aca="false">IF(G86&gt;PR_BalDone,MIN(F_MortPayM,G86+G86*(F_MR/12)),0)</f>
        <v>0</v>
      </c>
      <c r="U86" s="1" t="n">
        <f aca="false">IF(H86&gt;PR_BalDone,MIN(F_MortPayM,H86+H86*(F_MR/12)),0)</f>
        <v>0</v>
      </c>
      <c r="V86" s="1" t="n">
        <f aca="false">IF(I86&gt;PR_BalDone,MIN(F_MortPayM,I86+I86*(F_MR/12)),0)</f>
        <v>0</v>
      </c>
      <c r="W86" s="1" t="n">
        <f aca="false">IF(J86&gt;PR_BalDone,MIN(F_MortPayM,J86+J86*(F_MR/12)),0)</f>
        <v>0</v>
      </c>
      <c r="X86" s="1" t="n">
        <f aca="false">IF(K86&gt;PR_BalDone,MIN(F_MortPayM,K86+K86*(F_MR/12)),0)</f>
        <v>0</v>
      </c>
      <c r="Y86" s="1" t="n">
        <f aca="false">IF(L86&gt;PR_BalDone,MIN(F_MortPayM,L86+L86*(F_MR/12)),0)</f>
        <v>0</v>
      </c>
      <c r="Z86" s="1" t="n">
        <f aca="false">IF(M86&gt;PR_BalDone,MIN(F_MortPayM,M86+M86*(F_MR/12)),0)</f>
        <v>0</v>
      </c>
      <c r="AA86" s="1" t="n">
        <f aca="false">IF(N86&gt;PR_BalDone,MIN(F_MortPayM,N86+N86*(F_MR/12)),0)</f>
        <v>0</v>
      </c>
      <c r="AB86" s="1" t="n">
        <f aca="false">MAX(0,O86)</f>
        <v>0</v>
      </c>
      <c r="AC86" s="1" t="n">
        <f aca="false">SUM(P86:AA86)</f>
        <v>0</v>
      </c>
      <c r="AD86" s="1" t="n">
        <f aca="false">'Plan cashflow'!L86</f>
        <v>0</v>
      </c>
      <c r="AE86" s="1" t="n">
        <f aca="false">IF(AD86&gt;PR_BalDone,AD86+AD86*(D_iC)-MIN(F_CardPayM,AD86+AD86*(D_iC)),AD86)</f>
        <v>0</v>
      </c>
      <c r="AF86" s="1" t="n">
        <f aca="false">IF(AE86&gt;PR_BalDone,AE86+AE86*(D_iC)-MIN(F_CardPayM,AE86+AE86*(D_iC)),AE86)</f>
        <v>0</v>
      </c>
      <c r="AG86" s="1" t="n">
        <f aca="false">IF(AF86&gt;PR_BalDone,AF86+AF86*(D_iC)-MIN(F_CardPayM,AF86+AF86*(D_iC)),AF86)</f>
        <v>0</v>
      </c>
      <c r="AH86" s="1" t="n">
        <f aca="false">IF(AG86&gt;PR_BalDone,AG86+AG86*(D_iC)-MIN(F_CardPayM,AG86+AG86*(D_iC)),AG86)</f>
        <v>0</v>
      </c>
      <c r="AI86" s="1" t="n">
        <f aca="false">IF(AH86&gt;PR_BalDone,AH86+AH86*(D_iC)-MIN(F_CardPayM,AH86+AH86*(D_iC)),AH86)</f>
        <v>0</v>
      </c>
      <c r="AJ86" s="1" t="n">
        <f aca="false">IF(AI86&gt;PR_BalDone,AI86+AI86*(D_iC)-MIN(F_CardPayM,AI86+AI86*(D_iC)),AI86)</f>
        <v>0</v>
      </c>
      <c r="AK86" s="1" t="n">
        <f aca="false">IF(AJ86&gt;PR_BalDone,AJ86+AJ86*(D_iC)-MIN(F_CardPayM,AJ86+AJ86*(D_iC)),AJ86)</f>
        <v>0</v>
      </c>
      <c r="AL86" s="1" t="n">
        <f aca="false">IF(AK86&gt;PR_BalDone,AK86+AK86*(D_iC)-MIN(F_CardPayM,AK86+AK86*(D_iC)),AK86)</f>
        <v>0</v>
      </c>
      <c r="AM86" s="1" t="n">
        <f aca="false">IF(AL86&gt;PR_BalDone,AL86+AL86*(D_iC)-MIN(F_CardPayM,AL86+AL86*(D_iC)),AL86)</f>
        <v>0</v>
      </c>
      <c r="AN86" s="1" t="n">
        <f aca="false">IF(AM86&gt;PR_BalDone,AM86+AM86*(D_iC)-MIN(F_CardPayM,AM86+AM86*(D_iC)),AM86)</f>
        <v>0</v>
      </c>
      <c r="AO86" s="1" t="n">
        <f aca="false">IF(AN86&gt;PR_BalDone,AN86+AN86*(D_iC)-MIN(F_CardPayM,AN86+AN86*(D_iC)),AN86)</f>
        <v>0</v>
      </c>
      <c r="AP86" s="1" t="n">
        <f aca="false">IF(AO86&gt;PR_BalDone,AO86+AO86*(D_iC)-MIN(F_CardPayM,AO86+AO86*(D_iC)),AO86)</f>
        <v>0</v>
      </c>
      <c r="AQ86" s="1" t="n">
        <f aca="false">IF(AD86&gt;PR_BalDone,MIN(F_CardPayM,AD86+AD86*(D_iC)),0)</f>
        <v>0</v>
      </c>
      <c r="AR86" s="1" t="n">
        <f aca="false">IF(AE86&gt;PR_BalDone,MIN(F_CardPayM,AE86+AE86*(D_iC)),0)</f>
        <v>0</v>
      </c>
      <c r="AS86" s="1" t="n">
        <f aca="false">IF(AF86&gt;PR_BalDone,MIN(F_CardPayM,AF86+AF86*(D_iC)),0)</f>
        <v>0</v>
      </c>
      <c r="AT86" s="1" t="n">
        <f aca="false">IF(AG86&gt;PR_BalDone,MIN(F_CardPayM,AG86+AG86*(D_iC)),0)</f>
        <v>0</v>
      </c>
      <c r="AU86" s="1" t="n">
        <f aca="false">IF(AH86&gt;PR_BalDone,MIN(F_CardPayM,AH86+AH86*(D_iC)),0)</f>
        <v>0</v>
      </c>
      <c r="AV86" s="1" t="n">
        <f aca="false">IF(AI86&gt;PR_BalDone,MIN(F_CardPayM,AI86+AI86*(D_iC)),0)</f>
        <v>0</v>
      </c>
      <c r="AW86" s="1" t="n">
        <f aca="false">IF(AJ86&gt;PR_BalDone,MIN(F_CardPayM,AJ86+AJ86*(D_iC)),0)</f>
        <v>0</v>
      </c>
      <c r="AX86" s="1" t="n">
        <f aca="false">IF(AK86&gt;PR_BalDone,MIN(F_CardPayM,AK86+AK86*(D_iC)),0)</f>
        <v>0</v>
      </c>
      <c r="AY86" s="1" t="n">
        <f aca="false">IF(AL86&gt;PR_BalDone,MIN(F_CardPayM,AL86+AL86*(D_iC)),0)</f>
        <v>0</v>
      </c>
      <c r="AZ86" s="1" t="n">
        <f aca="false">IF(AM86&gt;PR_BalDone,MIN(F_CardPayM,AM86+AM86*(D_iC)),0)</f>
        <v>0</v>
      </c>
      <c r="BA86" s="1" t="n">
        <f aca="false">IF(AN86&gt;PR_BalDone,MIN(F_CardPayM,AN86+AN86*(D_iC)),0)</f>
        <v>0</v>
      </c>
      <c r="BB86" s="1" t="n">
        <f aca="false">IF(AO86&gt;PR_BalDone,MIN(F_CardPayM,AO86+AO86*(D_iC)),0)</f>
        <v>0</v>
      </c>
      <c r="BC86" s="1" t="n">
        <f aca="false">MAX(0,AP86)</f>
        <v>0</v>
      </c>
      <c r="BD86" s="1" t="n">
        <f aca="false">SUM(AQ86:BB86)</f>
        <v>0</v>
      </c>
      <c r="BE86" s="1" t="n">
        <f aca="false">'Plan cashflow'!O86</f>
        <v>0</v>
      </c>
      <c r="BF86" s="1" t="n">
        <f aca="false">IF(BE86&gt;PR_BalDone,BE86+BE86*(D_iL)-MIN(F_LoanPayM,BE86+BE86*(D_iL)),BE86)</f>
        <v>0</v>
      </c>
      <c r="BG86" s="1" t="n">
        <f aca="false">IF(BF86&gt;PR_BalDone,BF86+BF86*(D_iL)-MIN(F_LoanPayM,BF86+BF86*(D_iL)),BF86)</f>
        <v>0</v>
      </c>
      <c r="BH86" s="1" t="n">
        <f aca="false">IF(BG86&gt;PR_BalDone,BG86+BG86*(D_iL)-MIN(F_LoanPayM,BG86+BG86*(D_iL)),BG86)</f>
        <v>0</v>
      </c>
      <c r="BI86" s="1" t="n">
        <f aca="false">IF(BH86&gt;PR_BalDone,BH86+BH86*(D_iL)-MIN(F_LoanPayM,BH86+BH86*(D_iL)),BH86)</f>
        <v>0</v>
      </c>
      <c r="BJ86" s="1" t="n">
        <f aca="false">IF(BI86&gt;PR_BalDone,BI86+BI86*(D_iL)-MIN(F_LoanPayM,BI86+BI86*(D_iL)),BI86)</f>
        <v>0</v>
      </c>
      <c r="BK86" s="1" t="n">
        <f aca="false">IF(BJ86&gt;PR_BalDone,BJ86+BJ86*(D_iL)-MIN(F_LoanPayM,BJ86+BJ86*(D_iL)),BJ86)</f>
        <v>0</v>
      </c>
      <c r="BL86" s="1" t="n">
        <f aca="false">IF(BK86&gt;PR_BalDone,BK86+BK86*(D_iL)-MIN(F_LoanPayM,BK86+BK86*(D_iL)),BK86)</f>
        <v>0</v>
      </c>
      <c r="BM86" s="1" t="n">
        <f aca="false">IF(BL86&gt;PR_BalDone,BL86+BL86*(D_iL)-MIN(F_LoanPayM,BL86+BL86*(D_iL)),BL86)</f>
        <v>0</v>
      </c>
      <c r="BN86" s="1" t="n">
        <f aca="false">IF(BM86&gt;PR_BalDone,BM86+BM86*(D_iL)-MIN(F_LoanPayM,BM86+BM86*(D_iL)),BM86)</f>
        <v>0</v>
      </c>
      <c r="BO86" s="1" t="n">
        <f aca="false">IF(BN86&gt;PR_BalDone,BN86+BN86*(D_iL)-MIN(F_LoanPayM,BN86+BN86*(D_iL)),BN86)</f>
        <v>0</v>
      </c>
      <c r="BP86" s="1" t="n">
        <f aca="false">IF(BO86&gt;PR_BalDone,BO86+BO86*(D_iL)-MIN(F_LoanPayM,BO86+BO86*(D_iL)),BO86)</f>
        <v>0</v>
      </c>
      <c r="BQ86" s="1" t="n">
        <f aca="false">IF(BP86&gt;PR_BalDone,BP86+BP86*(D_iL)-MIN(F_LoanPayM,BP86+BP86*(D_iL)),BP86)</f>
        <v>0</v>
      </c>
      <c r="BR86" s="1" t="n">
        <f aca="false">IF(BE86&gt;PR_BalDone,MIN(F_LoanPayM,BE86+BE86*(D_iL)),0)</f>
        <v>0</v>
      </c>
      <c r="BS86" s="1" t="n">
        <f aca="false">IF(BF86&gt;PR_BalDone,MIN(F_LoanPayM,BF86+BF86*(D_iL)),0)</f>
        <v>0</v>
      </c>
      <c r="BT86" s="1" t="n">
        <f aca="false">IF(BG86&gt;PR_BalDone,MIN(F_LoanPayM,BG86+BG86*(D_iL)),0)</f>
        <v>0</v>
      </c>
      <c r="BU86" s="1" t="n">
        <f aca="false">IF(BH86&gt;PR_BalDone,MIN(F_LoanPayM,BH86+BH86*(D_iL)),0)</f>
        <v>0</v>
      </c>
      <c r="BV86" s="1" t="n">
        <f aca="false">IF(BI86&gt;PR_BalDone,MIN(F_LoanPayM,BI86+BI86*(D_iL)),0)</f>
        <v>0</v>
      </c>
      <c r="BW86" s="1" t="n">
        <f aca="false">IF(BJ86&gt;PR_BalDone,MIN(F_LoanPayM,BJ86+BJ86*(D_iL)),0)</f>
        <v>0</v>
      </c>
      <c r="BX86" s="1" t="n">
        <f aca="false">IF(BK86&gt;PR_BalDone,MIN(F_LoanPayM,BK86+BK86*(D_iL)),0)</f>
        <v>0</v>
      </c>
      <c r="BY86" s="1" t="n">
        <f aca="false">IF(BL86&gt;PR_BalDone,MIN(F_LoanPayM,BL86+BL86*(D_iL)),0)</f>
        <v>0</v>
      </c>
      <c r="BZ86" s="1" t="n">
        <f aca="false">IF(BM86&gt;PR_BalDone,MIN(F_LoanPayM,BM86+BM86*(D_iL)),0)</f>
        <v>0</v>
      </c>
      <c r="CA86" s="1" t="n">
        <f aca="false">IF(BN86&gt;PR_BalDone,MIN(F_LoanPayM,BN86+BN86*(D_iL)),0)</f>
        <v>0</v>
      </c>
      <c r="CB86" s="1" t="n">
        <f aca="false">IF(BO86&gt;PR_BalDone,MIN(F_LoanPayM,BO86+BO86*(D_iL)),0)</f>
        <v>0</v>
      </c>
      <c r="CC86" s="1" t="n">
        <f aca="false">IF(BP86&gt;PR_BalDone,MIN(F_LoanPayM,BP86+BP86*(D_iL)),0)</f>
        <v>0</v>
      </c>
      <c r="CD86" s="1" t="n">
        <f aca="false">MAX(0,BQ86)</f>
        <v>0</v>
      </c>
      <c r="CE86" s="1" t="n">
        <f aca="false">SUM(BR86:CC86)</f>
        <v>0</v>
      </c>
      <c r="CF86" s="1" t="n">
        <f aca="false">IF(CF85&gt;1,DE85,CF85)</f>
        <v>0</v>
      </c>
      <c r="CG86" s="1" t="n">
        <f aca="false">IF(CF86&gt;PR_BalDone,CF86+CF86*(F_MR/12)-MIN(F_MortPayM,CF86+CF86*(F_MR/12)),CF86)</f>
        <v>0</v>
      </c>
      <c r="CH86" s="1" t="n">
        <f aca="false">IF(CG86&gt;PR_BalDone,CG86+CG86*(F_MR/12)-MIN(F_MortPayM,CG86+CG86*(F_MR/12)),CG86)</f>
        <v>0</v>
      </c>
      <c r="CI86" s="1" t="n">
        <f aca="false">IF(CH86&gt;PR_BalDone,CH86+CH86*(F_MR/12)-MIN(F_MortPayM,CH86+CH86*(F_MR/12)),CH86)</f>
        <v>0</v>
      </c>
      <c r="CJ86" s="1" t="n">
        <f aca="false">IF(CI86&gt;PR_BalDone,CI86+CI86*(F_MR/12)-MIN(F_MortPayM,CI86+CI86*(F_MR/12)),CI86)</f>
        <v>0</v>
      </c>
      <c r="CK86" s="1" t="n">
        <f aca="false">IF(CJ86&gt;PR_BalDone,CJ86+CJ86*(F_MR/12)-MIN(F_MortPayM,CJ86+CJ86*(F_MR/12)),CJ86)</f>
        <v>0</v>
      </c>
      <c r="CL86" s="1" t="n">
        <f aca="false">IF(CK86&gt;PR_BalDone,CK86+CK86*(F_MR/12)-MIN(F_MortPayM,CK86+CK86*(F_MR/12)),CK86)</f>
        <v>0</v>
      </c>
      <c r="CM86" s="1" t="n">
        <f aca="false">IF(CL86&gt;PR_BalDone,CL86+CL86*(F_MR/12)-MIN(F_MortPayM,CL86+CL86*(F_MR/12)),CL86)</f>
        <v>0</v>
      </c>
      <c r="CN86" s="1" t="n">
        <f aca="false">IF(CM86&gt;PR_BalDone,CM86+CM86*(F_MR/12)-MIN(F_MortPayM,CM86+CM86*(F_MR/12)),CM86)</f>
        <v>0</v>
      </c>
      <c r="CO86" s="1" t="n">
        <f aca="false">IF(CN86&gt;PR_BalDone,CN86+CN86*(F_MR/12)-MIN(F_MortPayM,CN86+CN86*(F_MR/12)),CN86)</f>
        <v>0</v>
      </c>
      <c r="CP86" s="1" t="n">
        <f aca="false">IF(CO86&gt;PR_BalDone,CO86+CO86*(F_MR/12)-MIN(F_MortPayM,CO86+CO86*(F_MR/12)),CO86)</f>
        <v>0</v>
      </c>
      <c r="CQ86" s="1" t="n">
        <f aca="false">IF(CP86&gt;PR_BalDone,CP86+CP86*(F_MR/12)-MIN(F_MortPayM,CP86+CP86*(F_MR/12)),CP86)</f>
        <v>0</v>
      </c>
      <c r="CR86" s="1" t="n">
        <f aca="false">IF(CQ86&gt;PR_BalDone,CQ86+CQ86*(F_MR/12)-MIN(F_MortPayM,CQ86+CQ86*(F_MR/12)),CQ86)</f>
        <v>0</v>
      </c>
      <c r="CS86" s="1" t="n">
        <f aca="false">IF(CF86&gt;PR_BalDone,MIN(F_MortPayM,CF86+CF86*(F_MR/12)),0)</f>
        <v>0</v>
      </c>
      <c r="CT86" s="1" t="n">
        <f aca="false">IF(CG86&gt;PR_BalDone,MIN(F_MortPayM,CG86+CG86*(F_MR/12)),0)</f>
        <v>0</v>
      </c>
      <c r="CU86" s="1" t="n">
        <f aca="false">IF(CH86&gt;PR_BalDone,MIN(F_MortPayM,CH86+CH86*(F_MR/12)),0)</f>
        <v>0</v>
      </c>
      <c r="CV86" s="1" t="n">
        <f aca="false">IF(CI86&gt;PR_BalDone,MIN(F_MortPayM,CI86+CI86*(F_MR/12)),0)</f>
        <v>0</v>
      </c>
      <c r="CW86" s="1" t="n">
        <f aca="false">IF(CJ86&gt;PR_BalDone,MIN(F_MortPayM,CJ86+CJ86*(F_MR/12)),0)</f>
        <v>0</v>
      </c>
      <c r="CX86" s="1" t="n">
        <f aca="false">IF(CK86&gt;PR_BalDone,MIN(F_MortPayM,CK86+CK86*(F_MR/12)),0)</f>
        <v>0</v>
      </c>
      <c r="CY86" s="1" t="n">
        <f aca="false">IF(CL86&gt;PR_BalDone,MIN(F_MortPayM,CL86+CL86*(F_MR/12)),0)</f>
        <v>0</v>
      </c>
      <c r="CZ86" s="1" t="n">
        <f aca="false">IF(CM86&gt;PR_BalDone,MIN(F_MortPayM,CM86+CM86*(F_MR/12)),0)</f>
        <v>0</v>
      </c>
      <c r="DA86" s="1" t="n">
        <f aca="false">IF(CN86&gt;PR_BalDone,MIN(F_MortPayM,CN86+CN86*(F_MR/12)),0)</f>
        <v>0</v>
      </c>
      <c r="DB86" s="1" t="n">
        <f aca="false">IF(CO86&gt;PR_BalDone,MIN(F_MortPayM,CO86+CO86*(F_MR/12)),0)</f>
        <v>0</v>
      </c>
      <c r="DC86" s="1" t="n">
        <f aca="false">IF(CP86&gt;PR_BalDone,MIN(F_MortPayM,CP86+CP86*(F_MR/12)),0)</f>
        <v>0</v>
      </c>
      <c r="DD86" s="1" t="n">
        <f aca="false">IF(CQ86&gt;PR_BalDone,MIN(F_MortPayM,CQ86+CQ86*(F_MR/12)),0)</f>
        <v>0</v>
      </c>
      <c r="DE86" s="1" t="n">
        <f aca="false">MAX(0,CR86)</f>
        <v>0</v>
      </c>
      <c r="DF86" s="1" t="n">
        <f aca="false">SUM(CS86:DD86)</f>
        <v>0</v>
      </c>
      <c r="DG86" s="1" t="n">
        <f aca="false">MAX(0,CF86)</f>
        <v>0</v>
      </c>
    </row>
    <row r="87" customFormat="false" ht="15" hidden="false" customHeight="true" outlineLevel="0" collapsed="false">
      <c r="B87" s="1" t="n">
        <v>79</v>
      </c>
      <c r="C87" s="1" t="n">
        <f aca="false">'Plan cashflow'!I87</f>
        <v>0</v>
      </c>
      <c r="D87" s="1" t="n">
        <f aca="false">IF(C87&gt;PR_BalDone,C87+C87*(F_MR/12)-MIN(F_MortPayM,C87+C87*(F_MR/12)),C87)</f>
        <v>0</v>
      </c>
      <c r="E87" s="1" t="n">
        <f aca="false">IF(D87&gt;PR_BalDone,D87+D87*(F_MR/12)-MIN(F_MortPayM,D87+D87*(F_MR/12)),D87)</f>
        <v>0</v>
      </c>
      <c r="F87" s="1" t="n">
        <f aca="false">IF(E87&gt;PR_BalDone,E87+E87*(F_MR/12)-MIN(F_MortPayM,E87+E87*(F_MR/12)),E87)</f>
        <v>0</v>
      </c>
      <c r="G87" s="1" t="n">
        <f aca="false">IF(F87&gt;PR_BalDone,F87+F87*(F_MR/12)-MIN(F_MortPayM,F87+F87*(F_MR/12)),F87)</f>
        <v>0</v>
      </c>
      <c r="H87" s="1" t="n">
        <f aca="false">IF(G87&gt;PR_BalDone,G87+G87*(F_MR/12)-MIN(F_MortPayM,G87+G87*(F_MR/12)),G87)</f>
        <v>0</v>
      </c>
      <c r="I87" s="1" t="n">
        <f aca="false">IF(H87&gt;PR_BalDone,H87+H87*(F_MR/12)-MIN(F_MortPayM,H87+H87*(F_MR/12)),H87)</f>
        <v>0</v>
      </c>
      <c r="J87" s="1" t="n">
        <f aca="false">IF(I87&gt;PR_BalDone,I87+I87*(F_MR/12)-MIN(F_MortPayM,I87+I87*(F_MR/12)),I87)</f>
        <v>0</v>
      </c>
      <c r="K87" s="1" t="n">
        <f aca="false">IF(J87&gt;PR_BalDone,J87+J87*(F_MR/12)-MIN(F_MortPayM,J87+J87*(F_MR/12)),J87)</f>
        <v>0</v>
      </c>
      <c r="L87" s="1" t="n">
        <f aca="false">IF(K87&gt;PR_BalDone,K87+K87*(F_MR/12)-MIN(F_MortPayM,K87+K87*(F_MR/12)),K87)</f>
        <v>0</v>
      </c>
      <c r="M87" s="1" t="n">
        <f aca="false">IF(L87&gt;PR_BalDone,L87+L87*(F_MR/12)-MIN(F_MortPayM,L87+L87*(F_MR/12)),L87)</f>
        <v>0</v>
      </c>
      <c r="N87" s="1" t="n">
        <f aca="false">IF(M87&gt;PR_BalDone,M87+M87*(F_MR/12)-MIN(F_MortPayM,M87+M87*(F_MR/12)),M87)</f>
        <v>0</v>
      </c>
      <c r="O87" s="1" t="n">
        <f aca="false">IF(N87&gt;PR_BalDone,N87+N87*(F_MR/12)-MIN(F_MortPayM,N87+N87*(F_MR/12)),N87)</f>
        <v>0</v>
      </c>
      <c r="P87" s="1" t="n">
        <f aca="false">IF(C87&gt;PR_BalDone,MIN(F_MortPayM,C87+C87*(F_MR/12)),0)</f>
        <v>0</v>
      </c>
      <c r="Q87" s="1" t="n">
        <f aca="false">IF(D87&gt;PR_BalDone,MIN(F_MortPayM,D87+D87*(F_MR/12)),0)</f>
        <v>0</v>
      </c>
      <c r="R87" s="1" t="n">
        <f aca="false">IF(E87&gt;PR_BalDone,MIN(F_MortPayM,E87+E87*(F_MR/12)),0)</f>
        <v>0</v>
      </c>
      <c r="S87" s="1" t="n">
        <f aca="false">IF(F87&gt;PR_BalDone,MIN(F_MortPayM,F87+F87*(F_MR/12)),0)</f>
        <v>0</v>
      </c>
      <c r="T87" s="1" t="n">
        <f aca="false">IF(G87&gt;PR_BalDone,MIN(F_MortPayM,G87+G87*(F_MR/12)),0)</f>
        <v>0</v>
      </c>
      <c r="U87" s="1" t="n">
        <f aca="false">IF(H87&gt;PR_BalDone,MIN(F_MortPayM,H87+H87*(F_MR/12)),0)</f>
        <v>0</v>
      </c>
      <c r="V87" s="1" t="n">
        <f aca="false">IF(I87&gt;PR_BalDone,MIN(F_MortPayM,I87+I87*(F_MR/12)),0)</f>
        <v>0</v>
      </c>
      <c r="W87" s="1" t="n">
        <f aca="false">IF(J87&gt;PR_BalDone,MIN(F_MortPayM,J87+J87*(F_MR/12)),0)</f>
        <v>0</v>
      </c>
      <c r="X87" s="1" t="n">
        <f aca="false">IF(K87&gt;PR_BalDone,MIN(F_MortPayM,K87+K87*(F_MR/12)),0)</f>
        <v>0</v>
      </c>
      <c r="Y87" s="1" t="n">
        <f aca="false">IF(L87&gt;PR_BalDone,MIN(F_MortPayM,L87+L87*(F_MR/12)),0)</f>
        <v>0</v>
      </c>
      <c r="Z87" s="1" t="n">
        <f aca="false">IF(M87&gt;PR_BalDone,MIN(F_MortPayM,M87+M87*(F_MR/12)),0)</f>
        <v>0</v>
      </c>
      <c r="AA87" s="1" t="n">
        <f aca="false">IF(N87&gt;PR_BalDone,MIN(F_MortPayM,N87+N87*(F_MR/12)),0)</f>
        <v>0</v>
      </c>
      <c r="AB87" s="1" t="n">
        <f aca="false">MAX(0,O87)</f>
        <v>0</v>
      </c>
      <c r="AC87" s="1" t="n">
        <f aca="false">SUM(P87:AA87)</f>
        <v>0</v>
      </c>
      <c r="AD87" s="1" t="n">
        <f aca="false">'Plan cashflow'!L87</f>
        <v>0</v>
      </c>
      <c r="AE87" s="1" t="n">
        <f aca="false">IF(AD87&gt;PR_BalDone,AD87+AD87*(D_iC)-MIN(F_CardPayM,AD87+AD87*(D_iC)),AD87)</f>
        <v>0</v>
      </c>
      <c r="AF87" s="1" t="n">
        <f aca="false">IF(AE87&gt;PR_BalDone,AE87+AE87*(D_iC)-MIN(F_CardPayM,AE87+AE87*(D_iC)),AE87)</f>
        <v>0</v>
      </c>
      <c r="AG87" s="1" t="n">
        <f aca="false">IF(AF87&gt;PR_BalDone,AF87+AF87*(D_iC)-MIN(F_CardPayM,AF87+AF87*(D_iC)),AF87)</f>
        <v>0</v>
      </c>
      <c r="AH87" s="1" t="n">
        <f aca="false">IF(AG87&gt;PR_BalDone,AG87+AG87*(D_iC)-MIN(F_CardPayM,AG87+AG87*(D_iC)),AG87)</f>
        <v>0</v>
      </c>
      <c r="AI87" s="1" t="n">
        <f aca="false">IF(AH87&gt;PR_BalDone,AH87+AH87*(D_iC)-MIN(F_CardPayM,AH87+AH87*(D_iC)),AH87)</f>
        <v>0</v>
      </c>
      <c r="AJ87" s="1" t="n">
        <f aca="false">IF(AI87&gt;PR_BalDone,AI87+AI87*(D_iC)-MIN(F_CardPayM,AI87+AI87*(D_iC)),AI87)</f>
        <v>0</v>
      </c>
      <c r="AK87" s="1" t="n">
        <f aca="false">IF(AJ87&gt;PR_BalDone,AJ87+AJ87*(D_iC)-MIN(F_CardPayM,AJ87+AJ87*(D_iC)),AJ87)</f>
        <v>0</v>
      </c>
      <c r="AL87" s="1" t="n">
        <f aca="false">IF(AK87&gt;PR_BalDone,AK87+AK87*(D_iC)-MIN(F_CardPayM,AK87+AK87*(D_iC)),AK87)</f>
        <v>0</v>
      </c>
      <c r="AM87" s="1" t="n">
        <f aca="false">IF(AL87&gt;PR_BalDone,AL87+AL87*(D_iC)-MIN(F_CardPayM,AL87+AL87*(D_iC)),AL87)</f>
        <v>0</v>
      </c>
      <c r="AN87" s="1" t="n">
        <f aca="false">IF(AM87&gt;PR_BalDone,AM87+AM87*(D_iC)-MIN(F_CardPayM,AM87+AM87*(D_iC)),AM87)</f>
        <v>0</v>
      </c>
      <c r="AO87" s="1" t="n">
        <f aca="false">IF(AN87&gt;PR_BalDone,AN87+AN87*(D_iC)-MIN(F_CardPayM,AN87+AN87*(D_iC)),AN87)</f>
        <v>0</v>
      </c>
      <c r="AP87" s="1" t="n">
        <f aca="false">IF(AO87&gt;PR_BalDone,AO87+AO87*(D_iC)-MIN(F_CardPayM,AO87+AO87*(D_iC)),AO87)</f>
        <v>0</v>
      </c>
      <c r="AQ87" s="1" t="n">
        <f aca="false">IF(AD87&gt;PR_BalDone,MIN(F_CardPayM,AD87+AD87*(D_iC)),0)</f>
        <v>0</v>
      </c>
      <c r="AR87" s="1" t="n">
        <f aca="false">IF(AE87&gt;PR_BalDone,MIN(F_CardPayM,AE87+AE87*(D_iC)),0)</f>
        <v>0</v>
      </c>
      <c r="AS87" s="1" t="n">
        <f aca="false">IF(AF87&gt;PR_BalDone,MIN(F_CardPayM,AF87+AF87*(D_iC)),0)</f>
        <v>0</v>
      </c>
      <c r="AT87" s="1" t="n">
        <f aca="false">IF(AG87&gt;PR_BalDone,MIN(F_CardPayM,AG87+AG87*(D_iC)),0)</f>
        <v>0</v>
      </c>
      <c r="AU87" s="1" t="n">
        <f aca="false">IF(AH87&gt;PR_BalDone,MIN(F_CardPayM,AH87+AH87*(D_iC)),0)</f>
        <v>0</v>
      </c>
      <c r="AV87" s="1" t="n">
        <f aca="false">IF(AI87&gt;PR_BalDone,MIN(F_CardPayM,AI87+AI87*(D_iC)),0)</f>
        <v>0</v>
      </c>
      <c r="AW87" s="1" t="n">
        <f aca="false">IF(AJ87&gt;PR_BalDone,MIN(F_CardPayM,AJ87+AJ87*(D_iC)),0)</f>
        <v>0</v>
      </c>
      <c r="AX87" s="1" t="n">
        <f aca="false">IF(AK87&gt;PR_BalDone,MIN(F_CardPayM,AK87+AK87*(D_iC)),0)</f>
        <v>0</v>
      </c>
      <c r="AY87" s="1" t="n">
        <f aca="false">IF(AL87&gt;PR_BalDone,MIN(F_CardPayM,AL87+AL87*(D_iC)),0)</f>
        <v>0</v>
      </c>
      <c r="AZ87" s="1" t="n">
        <f aca="false">IF(AM87&gt;PR_BalDone,MIN(F_CardPayM,AM87+AM87*(D_iC)),0)</f>
        <v>0</v>
      </c>
      <c r="BA87" s="1" t="n">
        <f aca="false">IF(AN87&gt;PR_BalDone,MIN(F_CardPayM,AN87+AN87*(D_iC)),0)</f>
        <v>0</v>
      </c>
      <c r="BB87" s="1" t="n">
        <f aca="false">IF(AO87&gt;PR_BalDone,MIN(F_CardPayM,AO87+AO87*(D_iC)),0)</f>
        <v>0</v>
      </c>
      <c r="BC87" s="1" t="n">
        <f aca="false">MAX(0,AP87)</f>
        <v>0</v>
      </c>
      <c r="BD87" s="1" t="n">
        <f aca="false">SUM(AQ87:BB87)</f>
        <v>0</v>
      </c>
      <c r="BE87" s="1" t="n">
        <f aca="false">'Plan cashflow'!O87</f>
        <v>0</v>
      </c>
      <c r="BF87" s="1" t="n">
        <f aca="false">IF(BE87&gt;PR_BalDone,BE87+BE87*(D_iL)-MIN(F_LoanPayM,BE87+BE87*(D_iL)),BE87)</f>
        <v>0</v>
      </c>
      <c r="BG87" s="1" t="n">
        <f aca="false">IF(BF87&gt;PR_BalDone,BF87+BF87*(D_iL)-MIN(F_LoanPayM,BF87+BF87*(D_iL)),BF87)</f>
        <v>0</v>
      </c>
      <c r="BH87" s="1" t="n">
        <f aca="false">IF(BG87&gt;PR_BalDone,BG87+BG87*(D_iL)-MIN(F_LoanPayM,BG87+BG87*(D_iL)),BG87)</f>
        <v>0</v>
      </c>
      <c r="BI87" s="1" t="n">
        <f aca="false">IF(BH87&gt;PR_BalDone,BH87+BH87*(D_iL)-MIN(F_LoanPayM,BH87+BH87*(D_iL)),BH87)</f>
        <v>0</v>
      </c>
      <c r="BJ87" s="1" t="n">
        <f aca="false">IF(BI87&gt;PR_BalDone,BI87+BI87*(D_iL)-MIN(F_LoanPayM,BI87+BI87*(D_iL)),BI87)</f>
        <v>0</v>
      </c>
      <c r="BK87" s="1" t="n">
        <f aca="false">IF(BJ87&gt;PR_BalDone,BJ87+BJ87*(D_iL)-MIN(F_LoanPayM,BJ87+BJ87*(D_iL)),BJ87)</f>
        <v>0</v>
      </c>
      <c r="BL87" s="1" t="n">
        <f aca="false">IF(BK87&gt;PR_BalDone,BK87+BK87*(D_iL)-MIN(F_LoanPayM,BK87+BK87*(D_iL)),BK87)</f>
        <v>0</v>
      </c>
      <c r="BM87" s="1" t="n">
        <f aca="false">IF(BL87&gt;PR_BalDone,BL87+BL87*(D_iL)-MIN(F_LoanPayM,BL87+BL87*(D_iL)),BL87)</f>
        <v>0</v>
      </c>
      <c r="BN87" s="1" t="n">
        <f aca="false">IF(BM87&gt;PR_BalDone,BM87+BM87*(D_iL)-MIN(F_LoanPayM,BM87+BM87*(D_iL)),BM87)</f>
        <v>0</v>
      </c>
      <c r="BO87" s="1" t="n">
        <f aca="false">IF(BN87&gt;PR_BalDone,BN87+BN87*(D_iL)-MIN(F_LoanPayM,BN87+BN87*(D_iL)),BN87)</f>
        <v>0</v>
      </c>
      <c r="BP87" s="1" t="n">
        <f aca="false">IF(BO87&gt;PR_BalDone,BO87+BO87*(D_iL)-MIN(F_LoanPayM,BO87+BO87*(D_iL)),BO87)</f>
        <v>0</v>
      </c>
      <c r="BQ87" s="1" t="n">
        <f aca="false">IF(BP87&gt;PR_BalDone,BP87+BP87*(D_iL)-MIN(F_LoanPayM,BP87+BP87*(D_iL)),BP87)</f>
        <v>0</v>
      </c>
      <c r="BR87" s="1" t="n">
        <f aca="false">IF(BE87&gt;PR_BalDone,MIN(F_LoanPayM,BE87+BE87*(D_iL)),0)</f>
        <v>0</v>
      </c>
      <c r="BS87" s="1" t="n">
        <f aca="false">IF(BF87&gt;PR_BalDone,MIN(F_LoanPayM,BF87+BF87*(D_iL)),0)</f>
        <v>0</v>
      </c>
      <c r="BT87" s="1" t="n">
        <f aca="false">IF(BG87&gt;PR_BalDone,MIN(F_LoanPayM,BG87+BG87*(D_iL)),0)</f>
        <v>0</v>
      </c>
      <c r="BU87" s="1" t="n">
        <f aca="false">IF(BH87&gt;PR_BalDone,MIN(F_LoanPayM,BH87+BH87*(D_iL)),0)</f>
        <v>0</v>
      </c>
      <c r="BV87" s="1" t="n">
        <f aca="false">IF(BI87&gt;PR_BalDone,MIN(F_LoanPayM,BI87+BI87*(D_iL)),0)</f>
        <v>0</v>
      </c>
      <c r="BW87" s="1" t="n">
        <f aca="false">IF(BJ87&gt;PR_BalDone,MIN(F_LoanPayM,BJ87+BJ87*(D_iL)),0)</f>
        <v>0</v>
      </c>
      <c r="BX87" s="1" t="n">
        <f aca="false">IF(BK87&gt;PR_BalDone,MIN(F_LoanPayM,BK87+BK87*(D_iL)),0)</f>
        <v>0</v>
      </c>
      <c r="BY87" s="1" t="n">
        <f aca="false">IF(BL87&gt;PR_BalDone,MIN(F_LoanPayM,BL87+BL87*(D_iL)),0)</f>
        <v>0</v>
      </c>
      <c r="BZ87" s="1" t="n">
        <f aca="false">IF(BM87&gt;PR_BalDone,MIN(F_LoanPayM,BM87+BM87*(D_iL)),0)</f>
        <v>0</v>
      </c>
      <c r="CA87" s="1" t="n">
        <f aca="false">IF(BN87&gt;PR_BalDone,MIN(F_LoanPayM,BN87+BN87*(D_iL)),0)</f>
        <v>0</v>
      </c>
      <c r="CB87" s="1" t="n">
        <f aca="false">IF(BO87&gt;PR_BalDone,MIN(F_LoanPayM,BO87+BO87*(D_iL)),0)</f>
        <v>0</v>
      </c>
      <c r="CC87" s="1" t="n">
        <f aca="false">IF(BP87&gt;PR_BalDone,MIN(F_LoanPayM,BP87+BP87*(D_iL)),0)</f>
        <v>0</v>
      </c>
      <c r="CD87" s="1" t="n">
        <f aca="false">MAX(0,BQ87)</f>
        <v>0</v>
      </c>
      <c r="CE87" s="1" t="n">
        <f aca="false">SUM(BR87:CC87)</f>
        <v>0</v>
      </c>
      <c r="CF87" s="1" t="n">
        <f aca="false">IF(CF86&gt;1,DE86,CF86)</f>
        <v>0</v>
      </c>
      <c r="CG87" s="1" t="n">
        <f aca="false">IF(CF87&gt;PR_BalDone,CF87+CF87*(F_MR/12)-MIN(F_MortPayM,CF87+CF87*(F_MR/12)),CF87)</f>
        <v>0</v>
      </c>
      <c r="CH87" s="1" t="n">
        <f aca="false">IF(CG87&gt;PR_BalDone,CG87+CG87*(F_MR/12)-MIN(F_MortPayM,CG87+CG87*(F_MR/12)),CG87)</f>
        <v>0</v>
      </c>
      <c r="CI87" s="1" t="n">
        <f aca="false">IF(CH87&gt;PR_BalDone,CH87+CH87*(F_MR/12)-MIN(F_MortPayM,CH87+CH87*(F_MR/12)),CH87)</f>
        <v>0</v>
      </c>
      <c r="CJ87" s="1" t="n">
        <f aca="false">IF(CI87&gt;PR_BalDone,CI87+CI87*(F_MR/12)-MIN(F_MortPayM,CI87+CI87*(F_MR/12)),CI87)</f>
        <v>0</v>
      </c>
      <c r="CK87" s="1" t="n">
        <f aca="false">IF(CJ87&gt;PR_BalDone,CJ87+CJ87*(F_MR/12)-MIN(F_MortPayM,CJ87+CJ87*(F_MR/12)),CJ87)</f>
        <v>0</v>
      </c>
      <c r="CL87" s="1" t="n">
        <f aca="false">IF(CK87&gt;PR_BalDone,CK87+CK87*(F_MR/12)-MIN(F_MortPayM,CK87+CK87*(F_MR/12)),CK87)</f>
        <v>0</v>
      </c>
      <c r="CM87" s="1" t="n">
        <f aca="false">IF(CL87&gt;PR_BalDone,CL87+CL87*(F_MR/12)-MIN(F_MortPayM,CL87+CL87*(F_MR/12)),CL87)</f>
        <v>0</v>
      </c>
      <c r="CN87" s="1" t="n">
        <f aca="false">IF(CM87&gt;PR_BalDone,CM87+CM87*(F_MR/12)-MIN(F_MortPayM,CM87+CM87*(F_MR/12)),CM87)</f>
        <v>0</v>
      </c>
      <c r="CO87" s="1" t="n">
        <f aca="false">IF(CN87&gt;PR_BalDone,CN87+CN87*(F_MR/12)-MIN(F_MortPayM,CN87+CN87*(F_MR/12)),CN87)</f>
        <v>0</v>
      </c>
      <c r="CP87" s="1" t="n">
        <f aca="false">IF(CO87&gt;PR_BalDone,CO87+CO87*(F_MR/12)-MIN(F_MortPayM,CO87+CO87*(F_MR/12)),CO87)</f>
        <v>0</v>
      </c>
      <c r="CQ87" s="1" t="n">
        <f aca="false">IF(CP87&gt;PR_BalDone,CP87+CP87*(F_MR/12)-MIN(F_MortPayM,CP87+CP87*(F_MR/12)),CP87)</f>
        <v>0</v>
      </c>
      <c r="CR87" s="1" t="n">
        <f aca="false">IF(CQ87&gt;PR_BalDone,CQ87+CQ87*(F_MR/12)-MIN(F_MortPayM,CQ87+CQ87*(F_MR/12)),CQ87)</f>
        <v>0</v>
      </c>
      <c r="CS87" s="1" t="n">
        <f aca="false">IF(CF87&gt;PR_BalDone,MIN(F_MortPayM,CF87+CF87*(F_MR/12)),0)</f>
        <v>0</v>
      </c>
      <c r="CT87" s="1" t="n">
        <f aca="false">IF(CG87&gt;PR_BalDone,MIN(F_MortPayM,CG87+CG87*(F_MR/12)),0)</f>
        <v>0</v>
      </c>
      <c r="CU87" s="1" t="n">
        <f aca="false">IF(CH87&gt;PR_BalDone,MIN(F_MortPayM,CH87+CH87*(F_MR/12)),0)</f>
        <v>0</v>
      </c>
      <c r="CV87" s="1" t="n">
        <f aca="false">IF(CI87&gt;PR_BalDone,MIN(F_MortPayM,CI87+CI87*(F_MR/12)),0)</f>
        <v>0</v>
      </c>
      <c r="CW87" s="1" t="n">
        <f aca="false">IF(CJ87&gt;PR_BalDone,MIN(F_MortPayM,CJ87+CJ87*(F_MR/12)),0)</f>
        <v>0</v>
      </c>
      <c r="CX87" s="1" t="n">
        <f aca="false">IF(CK87&gt;PR_BalDone,MIN(F_MortPayM,CK87+CK87*(F_MR/12)),0)</f>
        <v>0</v>
      </c>
      <c r="CY87" s="1" t="n">
        <f aca="false">IF(CL87&gt;PR_BalDone,MIN(F_MortPayM,CL87+CL87*(F_MR/12)),0)</f>
        <v>0</v>
      </c>
      <c r="CZ87" s="1" t="n">
        <f aca="false">IF(CM87&gt;PR_BalDone,MIN(F_MortPayM,CM87+CM87*(F_MR/12)),0)</f>
        <v>0</v>
      </c>
      <c r="DA87" s="1" t="n">
        <f aca="false">IF(CN87&gt;PR_BalDone,MIN(F_MortPayM,CN87+CN87*(F_MR/12)),0)</f>
        <v>0</v>
      </c>
      <c r="DB87" s="1" t="n">
        <f aca="false">IF(CO87&gt;PR_BalDone,MIN(F_MortPayM,CO87+CO87*(F_MR/12)),0)</f>
        <v>0</v>
      </c>
      <c r="DC87" s="1" t="n">
        <f aca="false">IF(CP87&gt;PR_BalDone,MIN(F_MortPayM,CP87+CP87*(F_MR/12)),0)</f>
        <v>0</v>
      </c>
      <c r="DD87" s="1" t="n">
        <f aca="false">IF(CQ87&gt;PR_BalDone,MIN(F_MortPayM,CQ87+CQ87*(F_MR/12)),0)</f>
        <v>0</v>
      </c>
      <c r="DE87" s="1" t="n">
        <f aca="false">MAX(0,CR87)</f>
        <v>0</v>
      </c>
      <c r="DF87" s="1" t="n">
        <f aca="false">SUM(CS87:DD87)</f>
        <v>0</v>
      </c>
      <c r="DG87" s="1" t="n">
        <f aca="false">MAX(0,CF87)</f>
        <v>0</v>
      </c>
    </row>
    <row r="88" customFormat="false" ht="15" hidden="false" customHeight="true" outlineLevel="0" collapsed="false">
      <c r="B88" s="1" t="n">
        <v>80</v>
      </c>
      <c r="C88" s="1" t="n">
        <f aca="false">'Plan cashflow'!I88</f>
        <v>0</v>
      </c>
      <c r="D88" s="1" t="n">
        <f aca="false">IF(C88&gt;PR_BalDone,C88+C88*(F_MR/12)-MIN(F_MortPayM,C88+C88*(F_MR/12)),C88)</f>
        <v>0</v>
      </c>
      <c r="E88" s="1" t="n">
        <f aca="false">IF(D88&gt;PR_BalDone,D88+D88*(F_MR/12)-MIN(F_MortPayM,D88+D88*(F_MR/12)),D88)</f>
        <v>0</v>
      </c>
      <c r="F88" s="1" t="n">
        <f aca="false">IF(E88&gt;PR_BalDone,E88+E88*(F_MR/12)-MIN(F_MortPayM,E88+E88*(F_MR/12)),E88)</f>
        <v>0</v>
      </c>
      <c r="G88" s="1" t="n">
        <f aca="false">IF(F88&gt;PR_BalDone,F88+F88*(F_MR/12)-MIN(F_MortPayM,F88+F88*(F_MR/12)),F88)</f>
        <v>0</v>
      </c>
      <c r="H88" s="1" t="n">
        <f aca="false">IF(G88&gt;PR_BalDone,G88+G88*(F_MR/12)-MIN(F_MortPayM,G88+G88*(F_MR/12)),G88)</f>
        <v>0</v>
      </c>
      <c r="I88" s="1" t="n">
        <f aca="false">IF(H88&gt;PR_BalDone,H88+H88*(F_MR/12)-MIN(F_MortPayM,H88+H88*(F_MR/12)),H88)</f>
        <v>0</v>
      </c>
      <c r="J88" s="1" t="n">
        <f aca="false">IF(I88&gt;PR_BalDone,I88+I88*(F_MR/12)-MIN(F_MortPayM,I88+I88*(F_MR/12)),I88)</f>
        <v>0</v>
      </c>
      <c r="K88" s="1" t="n">
        <f aca="false">IF(J88&gt;PR_BalDone,J88+J88*(F_MR/12)-MIN(F_MortPayM,J88+J88*(F_MR/12)),J88)</f>
        <v>0</v>
      </c>
      <c r="L88" s="1" t="n">
        <f aca="false">IF(K88&gt;PR_BalDone,K88+K88*(F_MR/12)-MIN(F_MortPayM,K88+K88*(F_MR/12)),K88)</f>
        <v>0</v>
      </c>
      <c r="M88" s="1" t="n">
        <f aca="false">IF(L88&gt;PR_BalDone,L88+L88*(F_MR/12)-MIN(F_MortPayM,L88+L88*(F_MR/12)),L88)</f>
        <v>0</v>
      </c>
      <c r="N88" s="1" t="n">
        <f aca="false">IF(M88&gt;PR_BalDone,M88+M88*(F_MR/12)-MIN(F_MortPayM,M88+M88*(F_MR/12)),M88)</f>
        <v>0</v>
      </c>
      <c r="O88" s="1" t="n">
        <f aca="false">IF(N88&gt;PR_BalDone,N88+N88*(F_MR/12)-MIN(F_MortPayM,N88+N88*(F_MR/12)),N88)</f>
        <v>0</v>
      </c>
      <c r="P88" s="1" t="n">
        <f aca="false">IF(C88&gt;PR_BalDone,MIN(F_MortPayM,C88+C88*(F_MR/12)),0)</f>
        <v>0</v>
      </c>
      <c r="Q88" s="1" t="n">
        <f aca="false">IF(D88&gt;PR_BalDone,MIN(F_MortPayM,D88+D88*(F_MR/12)),0)</f>
        <v>0</v>
      </c>
      <c r="R88" s="1" t="n">
        <f aca="false">IF(E88&gt;PR_BalDone,MIN(F_MortPayM,E88+E88*(F_MR/12)),0)</f>
        <v>0</v>
      </c>
      <c r="S88" s="1" t="n">
        <f aca="false">IF(F88&gt;PR_BalDone,MIN(F_MortPayM,F88+F88*(F_MR/12)),0)</f>
        <v>0</v>
      </c>
      <c r="T88" s="1" t="n">
        <f aca="false">IF(G88&gt;PR_BalDone,MIN(F_MortPayM,G88+G88*(F_MR/12)),0)</f>
        <v>0</v>
      </c>
      <c r="U88" s="1" t="n">
        <f aca="false">IF(H88&gt;PR_BalDone,MIN(F_MortPayM,H88+H88*(F_MR/12)),0)</f>
        <v>0</v>
      </c>
      <c r="V88" s="1" t="n">
        <f aca="false">IF(I88&gt;PR_BalDone,MIN(F_MortPayM,I88+I88*(F_MR/12)),0)</f>
        <v>0</v>
      </c>
      <c r="W88" s="1" t="n">
        <f aca="false">IF(J88&gt;PR_BalDone,MIN(F_MortPayM,J88+J88*(F_MR/12)),0)</f>
        <v>0</v>
      </c>
      <c r="X88" s="1" t="n">
        <f aca="false">IF(K88&gt;PR_BalDone,MIN(F_MortPayM,K88+K88*(F_MR/12)),0)</f>
        <v>0</v>
      </c>
      <c r="Y88" s="1" t="n">
        <f aca="false">IF(L88&gt;PR_BalDone,MIN(F_MortPayM,L88+L88*(F_MR/12)),0)</f>
        <v>0</v>
      </c>
      <c r="Z88" s="1" t="n">
        <f aca="false">IF(M88&gt;PR_BalDone,MIN(F_MortPayM,M88+M88*(F_MR/12)),0)</f>
        <v>0</v>
      </c>
      <c r="AA88" s="1" t="n">
        <f aca="false">IF(N88&gt;PR_BalDone,MIN(F_MortPayM,N88+N88*(F_MR/12)),0)</f>
        <v>0</v>
      </c>
      <c r="AB88" s="1" t="n">
        <f aca="false">MAX(0,O88)</f>
        <v>0</v>
      </c>
      <c r="AC88" s="1" t="n">
        <f aca="false">SUM(P88:AA88)</f>
        <v>0</v>
      </c>
      <c r="AD88" s="1" t="n">
        <f aca="false">'Plan cashflow'!L88</f>
        <v>0</v>
      </c>
      <c r="AE88" s="1" t="n">
        <f aca="false">IF(AD88&gt;PR_BalDone,AD88+AD88*(D_iC)-MIN(F_CardPayM,AD88+AD88*(D_iC)),AD88)</f>
        <v>0</v>
      </c>
      <c r="AF88" s="1" t="n">
        <f aca="false">IF(AE88&gt;PR_BalDone,AE88+AE88*(D_iC)-MIN(F_CardPayM,AE88+AE88*(D_iC)),AE88)</f>
        <v>0</v>
      </c>
      <c r="AG88" s="1" t="n">
        <f aca="false">IF(AF88&gt;PR_BalDone,AF88+AF88*(D_iC)-MIN(F_CardPayM,AF88+AF88*(D_iC)),AF88)</f>
        <v>0</v>
      </c>
      <c r="AH88" s="1" t="n">
        <f aca="false">IF(AG88&gt;PR_BalDone,AG88+AG88*(D_iC)-MIN(F_CardPayM,AG88+AG88*(D_iC)),AG88)</f>
        <v>0</v>
      </c>
      <c r="AI88" s="1" t="n">
        <f aca="false">IF(AH88&gt;PR_BalDone,AH88+AH88*(D_iC)-MIN(F_CardPayM,AH88+AH88*(D_iC)),AH88)</f>
        <v>0</v>
      </c>
      <c r="AJ88" s="1" t="n">
        <f aca="false">IF(AI88&gt;PR_BalDone,AI88+AI88*(D_iC)-MIN(F_CardPayM,AI88+AI88*(D_iC)),AI88)</f>
        <v>0</v>
      </c>
      <c r="AK88" s="1" t="n">
        <f aca="false">IF(AJ88&gt;PR_BalDone,AJ88+AJ88*(D_iC)-MIN(F_CardPayM,AJ88+AJ88*(D_iC)),AJ88)</f>
        <v>0</v>
      </c>
      <c r="AL88" s="1" t="n">
        <f aca="false">IF(AK88&gt;PR_BalDone,AK88+AK88*(D_iC)-MIN(F_CardPayM,AK88+AK88*(D_iC)),AK88)</f>
        <v>0</v>
      </c>
      <c r="AM88" s="1" t="n">
        <f aca="false">IF(AL88&gt;PR_BalDone,AL88+AL88*(D_iC)-MIN(F_CardPayM,AL88+AL88*(D_iC)),AL88)</f>
        <v>0</v>
      </c>
      <c r="AN88" s="1" t="n">
        <f aca="false">IF(AM88&gt;PR_BalDone,AM88+AM88*(D_iC)-MIN(F_CardPayM,AM88+AM88*(D_iC)),AM88)</f>
        <v>0</v>
      </c>
      <c r="AO88" s="1" t="n">
        <f aca="false">IF(AN88&gt;PR_BalDone,AN88+AN88*(D_iC)-MIN(F_CardPayM,AN88+AN88*(D_iC)),AN88)</f>
        <v>0</v>
      </c>
      <c r="AP88" s="1" t="n">
        <f aca="false">IF(AO88&gt;PR_BalDone,AO88+AO88*(D_iC)-MIN(F_CardPayM,AO88+AO88*(D_iC)),AO88)</f>
        <v>0</v>
      </c>
      <c r="AQ88" s="1" t="n">
        <f aca="false">IF(AD88&gt;PR_BalDone,MIN(F_CardPayM,AD88+AD88*(D_iC)),0)</f>
        <v>0</v>
      </c>
      <c r="AR88" s="1" t="n">
        <f aca="false">IF(AE88&gt;PR_BalDone,MIN(F_CardPayM,AE88+AE88*(D_iC)),0)</f>
        <v>0</v>
      </c>
      <c r="AS88" s="1" t="n">
        <f aca="false">IF(AF88&gt;PR_BalDone,MIN(F_CardPayM,AF88+AF88*(D_iC)),0)</f>
        <v>0</v>
      </c>
      <c r="AT88" s="1" t="n">
        <f aca="false">IF(AG88&gt;PR_BalDone,MIN(F_CardPayM,AG88+AG88*(D_iC)),0)</f>
        <v>0</v>
      </c>
      <c r="AU88" s="1" t="n">
        <f aca="false">IF(AH88&gt;PR_BalDone,MIN(F_CardPayM,AH88+AH88*(D_iC)),0)</f>
        <v>0</v>
      </c>
      <c r="AV88" s="1" t="n">
        <f aca="false">IF(AI88&gt;PR_BalDone,MIN(F_CardPayM,AI88+AI88*(D_iC)),0)</f>
        <v>0</v>
      </c>
      <c r="AW88" s="1" t="n">
        <f aca="false">IF(AJ88&gt;PR_BalDone,MIN(F_CardPayM,AJ88+AJ88*(D_iC)),0)</f>
        <v>0</v>
      </c>
      <c r="AX88" s="1" t="n">
        <f aca="false">IF(AK88&gt;PR_BalDone,MIN(F_CardPayM,AK88+AK88*(D_iC)),0)</f>
        <v>0</v>
      </c>
      <c r="AY88" s="1" t="n">
        <f aca="false">IF(AL88&gt;PR_BalDone,MIN(F_CardPayM,AL88+AL88*(D_iC)),0)</f>
        <v>0</v>
      </c>
      <c r="AZ88" s="1" t="n">
        <f aca="false">IF(AM88&gt;PR_BalDone,MIN(F_CardPayM,AM88+AM88*(D_iC)),0)</f>
        <v>0</v>
      </c>
      <c r="BA88" s="1" t="n">
        <f aca="false">IF(AN88&gt;PR_BalDone,MIN(F_CardPayM,AN88+AN88*(D_iC)),0)</f>
        <v>0</v>
      </c>
      <c r="BB88" s="1" t="n">
        <f aca="false">IF(AO88&gt;PR_BalDone,MIN(F_CardPayM,AO88+AO88*(D_iC)),0)</f>
        <v>0</v>
      </c>
      <c r="BC88" s="1" t="n">
        <f aca="false">MAX(0,AP88)</f>
        <v>0</v>
      </c>
      <c r="BD88" s="1" t="n">
        <f aca="false">SUM(AQ88:BB88)</f>
        <v>0</v>
      </c>
      <c r="BE88" s="1" t="n">
        <f aca="false">'Plan cashflow'!O88</f>
        <v>0</v>
      </c>
      <c r="BF88" s="1" t="n">
        <f aca="false">IF(BE88&gt;PR_BalDone,BE88+BE88*(D_iL)-MIN(F_LoanPayM,BE88+BE88*(D_iL)),BE88)</f>
        <v>0</v>
      </c>
      <c r="BG88" s="1" t="n">
        <f aca="false">IF(BF88&gt;PR_BalDone,BF88+BF88*(D_iL)-MIN(F_LoanPayM,BF88+BF88*(D_iL)),BF88)</f>
        <v>0</v>
      </c>
      <c r="BH88" s="1" t="n">
        <f aca="false">IF(BG88&gt;PR_BalDone,BG88+BG88*(D_iL)-MIN(F_LoanPayM,BG88+BG88*(D_iL)),BG88)</f>
        <v>0</v>
      </c>
      <c r="BI88" s="1" t="n">
        <f aca="false">IF(BH88&gt;PR_BalDone,BH88+BH88*(D_iL)-MIN(F_LoanPayM,BH88+BH88*(D_iL)),BH88)</f>
        <v>0</v>
      </c>
      <c r="BJ88" s="1" t="n">
        <f aca="false">IF(BI88&gt;PR_BalDone,BI88+BI88*(D_iL)-MIN(F_LoanPayM,BI88+BI88*(D_iL)),BI88)</f>
        <v>0</v>
      </c>
      <c r="BK88" s="1" t="n">
        <f aca="false">IF(BJ88&gt;PR_BalDone,BJ88+BJ88*(D_iL)-MIN(F_LoanPayM,BJ88+BJ88*(D_iL)),BJ88)</f>
        <v>0</v>
      </c>
      <c r="BL88" s="1" t="n">
        <f aca="false">IF(BK88&gt;PR_BalDone,BK88+BK88*(D_iL)-MIN(F_LoanPayM,BK88+BK88*(D_iL)),BK88)</f>
        <v>0</v>
      </c>
      <c r="BM88" s="1" t="n">
        <f aca="false">IF(BL88&gt;PR_BalDone,BL88+BL88*(D_iL)-MIN(F_LoanPayM,BL88+BL88*(D_iL)),BL88)</f>
        <v>0</v>
      </c>
      <c r="BN88" s="1" t="n">
        <f aca="false">IF(BM88&gt;PR_BalDone,BM88+BM88*(D_iL)-MIN(F_LoanPayM,BM88+BM88*(D_iL)),BM88)</f>
        <v>0</v>
      </c>
      <c r="BO88" s="1" t="n">
        <f aca="false">IF(BN88&gt;PR_BalDone,BN88+BN88*(D_iL)-MIN(F_LoanPayM,BN88+BN88*(D_iL)),BN88)</f>
        <v>0</v>
      </c>
      <c r="BP88" s="1" t="n">
        <f aca="false">IF(BO88&gt;PR_BalDone,BO88+BO88*(D_iL)-MIN(F_LoanPayM,BO88+BO88*(D_iL)),BO88)</f>
        <v>0</v>
      </c>
      <c r="BQ88" s="1" t="n">
        <f aca="false">IF(BP88&gt;PR_BalDone,BP88+BP88*(D_iL)-MIN(F_LoanPayM,BP88+BP88*(D_iL)),BP88)</f>
        <v>0</v>
      </c>
      <c r="BR88" s="1" t="n">
        <f aca="false">IF(BE88&gt;PR_BalDone,MIN(F_LoanPayM,BE88+BE88*(D_iL)),0)</f>
        <v>0</v>
      </c>
      <c r="BS88" s="1" t="n">
        <f aca="false">IF(BF88&gt;PR_BalDone,MIN(F_LoanPayM,BF88+BF88*(D_iL)),0)</f>
        <v>0</v>
      </c>
      <c r="BT88" s="1" t="n">
        <f aca="false">IF(BG88&gt;PR_BalDone,MIN(F_LoanPayM,BG88+BG88*(D_iL)),0)</f>
        <v>0</v>
      </c>
      <c r="BU88" s="1" t="n">
        <f aca="false">IF(BH88&gt;PR_BalDone,MIN(F_LoanPayM,BH88+BH88*(D_iL)),0)</f>
        <v>0</v>
      </c>
      <c r="BV88" s="1" t="n">
        <f aca="false">IF(BI88&gt;PR_BalDone,MIN(F_LoanPayM,BI88+BI88*(D_iL)),0)</f>
        <v>0</v>
      </c>
      <c r="BW88" s="1" t="n">
        <f aca="false">IF(BJ88&gt;PR_BalDone,MIN(F_LoanPayM,BJ88+BJ88*(D_iL)),0)</f>
        <v>0</v>
      </c>
      <c r="BX88" s="1" t="n">
        <f aca="false">IF(BK88&gt;PR_BalDone,MIN(F_LoanPayM,BK88+BK88*(D_iL)),0)</f>
        <v>0</v>
      </c>
      <c r="BY88" s="1" t="n">
        <f aca="false">IF(BL88&gt;PR_BalDone,MIN(F_LoanPayM,BL88+BL88*(D_iL)),0)</f>
        <v>0</v>
      </c>
      <c r="BZ88" s="1" t="n">
        <f aca="false">IF(BM88&gt;PR_BalDone,MIN(F_LoanPayM,BM88+BM88*(D_iL)),0)</f>
        <v>0</v>
      </c>
      <c r="CA88" s="1" t="n">
        <f aca="false">IF(BN88&gt;PR_BalDone,MIN(F_LoanPayM,BN88+BN88*(D_iL)),0)</f>
        <v>0</v>
      </c>
      <c r="CB88" s="1" t="n">
        <f aca="false">IF(BO88&gt;PR_BalDone,MIN(F_LoanPayM,BO88+BO88*(D_iL)),0)</f>
        <v>0</v>
      </c>
      <c r="CC88" s="1" t="n">
        <f aca="false">IF(BP88&gt;PR_BalDone,MIN(F_LoanPayM,BP88+BP88*(D_iL)),0)</f>
        <v>0</v>
      </c>
      <c r="CD88" s="1" t="n">
        <f aca="false">MAX(0,BQ88)</f>
        <v>0</v>
      </c>
      <c r="CE88" s="1" t="n">
        <f aca="false">SUM(BR88:CC88)</f>
        <v>0</v>
      </c>
      <c r="CF88" s="1" t="n">
        <f aca="false">IF(CF87&gt;1,DE87,CF87)</f>
        <v>0</v>
      </c>
      <c r="CG88" s="1" t="n">
        <f aca="false">IF(CF88&gt;PR_BalDone,CF88+CF88*(F_MR/12)-MIN(F_MortPayM,CF88+CF88*(F_MR/12)),CF88)</f>
        <v>0</v>
      </c>
      <c r="CH88" s="1" t="n">
        <f aca="false">IF(CG88&gt;PR_BalDone,CG88+CG88*(F_MR/12)-MIN(F_MortPayM,CG88+CG88*(F_MR/12)),CG88)</f>
        <v>0</v>
      </c>
      <c r="CI88" s="1" t="n">
        <f aca="false">IF(CH88&gt;PR_BalDone,CH88+CH88*(F_MR/12)-MIN(F_MortPayM,CH88+CH88*(F_MR/12)),CH88)</f>
        <v>0</v>
      </c>
      <c r="CJ88" s="1" t="n">
        <f aca="false">IF(CI88&gt;PR_BalDone,CI88+CI88*(F_MR/12)-MIN(F_MortPayM,CI88+CI88*(F_MR/12)),CI88)</f>
        <v>0</v>
      </c>
      <c r="CK88" s="1" t="n">
        <f aca="false">IF(CJ88&gt;PR_BalDone,CJ88+CJ88*(F_MR/12)-MIN(F_MortPayM,CJ88+CJ88*(F_MR/12)),CJ88)</f>
        <v>0</v>
      </c>
      <c r="CL88" s="1" t="n">
        <f aca="false">IF(CK88&gt;PR_BalDone,CK88+CK88*(F_MR/12)-MIN(F_MortPayM,CK88+CK88*(F_MR/12)),CK88)</f>
        <v>0</v>
      </c>
      <c r="CM88" s="1" t="n">
        <f aca="false">IF(CL88&gt;PR_BalDone,CL88+CL88*(F_MR/12)-MIN(F_MortPayM,CL88+CL88*(F_MR/12)),CL88)</f>
        <v>0</v>
      </c>
      <c r="CN88" s="1" t="n">
        <f aca="false">IF(CM88&gt;PR_BalDone,CM88+CM88*(F_MR/12)-MIN(F_MortPayM,CM88+CM88*(F_MR/12)),CM88)</f>
        <v>0</v>
      </c>
      <c r="CO88" s="1" t="n">
        <f aca="false">IF(CN88&gt;PR_BalDone,CN88+CN88*(F_MR/12)-MIN(F_MortPayM,CN88+CN88*(F_MR/12)),CN88)</f>
        <v>0</v>
      </c>
      <c r="CP88" s="1" t="n">
        <f aca="false">IF(CO88&gt;PR_BalDone,CO88+CO88*(F_MR/12)-MIN(F_MortPayM,CO88+CO88*(F_MR/12)),CO88)</f>
        <v>0</v>
      </c>
      <c r="CQ88" s="1" t="n">
        <f aca="false">IF(CP88&gt;PR_BalDone,CP88+CP88*(F_MR/12)-MIN(F_MortPayM,CP88+CP88*(F_MR/12)),CP88)</f>
        <v>0</v>
      </c>
      <c r="CR88" s="1" t="n">
        <f aca="false">IF(CQ88&gt;PR_BalDone,CQ88+CQ88*(F_MR/12)-MIN(F_MortPayM,CQ88+CQ88*(F_MR/12)),CQ88)</f>
        <v>0</v>
      </c>
      <c r="CS88" s="1" t="n">
        <f aca="false">IF(CF88&gt;PR_BalDone,MIN(F_MortPayM,CF88+CF88*(F_MR/12)),0)</f>
        <v>0</v>
      </c>
      <c r="CT88" s="1" t="n">
        <f aca="false">IF(CG88&gt;PR_BalDone,MIN(F_MortPayM,CG88+CG88*(F_MR/12)),0)</f>
        <v>0</v>
      </c>
      <c r="CU88" s="1" t="n">
        <f aca="false">IF(CH88&gt;PR_BalDone,MIN(F_MortPayM,CH88+CH88*(F_MR/12)),0)</f>
        <v>0</v>
      </c>
      <c r="CV88" s="1" t="n">
        <f aca="false">IF(CI88&gt;PR_BalDone,MIN(F_MortPayM,CI88+CI88*(F_MR/12)),0)</f>
        <v>0</v>
      </c>
      <c r="CW88" s="1" t="n">
        <f aca="false">IF(CJ88&gt;PR_BalDone,MIN(F_MortPayM,CJ88+CJ88*(F_MR/12)),0)</f>
        <v>0</v>
      </c>
      <c r="CX88" s="1" t="n">
        <f aca="false">IF(CK88&gt;PR_BalDone,MIN(F_MortPayM,CK88+CK88*(F_MR/12)),0)</f>
        <v>0</v>
      </c>
      <c r="CY88" s="1" t="n">
        <f aca="false">IF(CL88&gt;PR_BalDone,MIN(F_MortPayM,CL88+CL88*(F_MR/12)),0)</f>
        <v>0</v>
      </c>
      <c r="CZ88" s="1" t="n">
        <f aca="false">IF(CM88&gt;PR_BalDone,MIN(F_MortPayM,CM88+CM88*(F_MR/12)),0)</f>
        <v>0</v>
      </c>
      <c r="DA88" s="1" t="n">
        <f aca="false">IF(CN88&gt;PR_BalDone,MIN(F_MortPayM,CN88+CN88*(F_MR/12)),0)</f>
        <v>0</v>
      </c>
      <c r="DB88" s="1" t="n">
        <f aca="false">IF(CO88&gt;PR_BalDone,MIN(F_MortPayM,CO88+CO88*(F_MR/12)),0)</f>
        <v>0</v>
      </c>
      <c r="DC88" s="1" t="n">
        <f aca="false">IF(CP88&gt;PR_BalDone,MIN(F_MortPayM,CP88+CP88*(F_MR/12)),0)</f>
        <v>0</v>
      </c>
      <c r="DD88" s="1" t="n">
        <f aca="false">IF(CQ88&gt;PR_BalDone,MIN(F_MortPayM,CQ88+CQ88*(F_MR/12)),0)</f>
        <v>0</v>
      </c>
      <c r="DE88" s="1" t="n">
        <f aca="false">MAX(0,CR88)</f>
        <v>0</v>
      </c>
      <c r="DF88" s="1" t="n">
        <f aca="false">SUM(CS88:DD88)</f>
        <v>0</v>
      </c>
      <c r="DG88" s="1" t="n">
        <f aca="false">MAX(0,CF88)</f>
        <v>0</v>
      </c>
    </row>
    <row r="89" customFormat="false" ht="15" hidden="false" customHeight="true" outlineLevel="0" collapsed="false">
      <c r="B89" s="1" t="n">
        <v>81</v>
      </c>
      <c r="C89" s="1" t="n">
        <f aca="false">'Plan cashflow'!I89</f>
        <v>0</v>
      </c>
      <c r="D89" s="1" t="n">
        <f aca="false">IF(C89&gt;PR_BalDone,C89+C89*(F_MR/12)-MIN(F_MortPayM,C89+C89*(F_MR/12)),C89)</f>
        <v>0</v>
      </c>
      <c r="E89" s="1" t="n">
        <f aca="false">IF(D89&gt;PR_BalDone,D89+D89*(F_MR/12)-MIN(F_MortPayM,D89+D89*(F_MR/12)),D89)</f>
        <v>0</v>
      </c>
      <c r="F89" s="1" t="n">
        <f aca="false">IF(E89&gt;PR_BalDone,E89+E89*(F_MR/12)-MIN(F_MortPayM,E89+E89*(F_MR/12)),E89)</f>
        <v>0</v>
      </c>
      <c r="G89" s="1" t="n">
        <f aca="false">IF(F89&gt;PR_BalDone,F89+F89*(F_MR/12)-MIN(F_MortPayM,F89+F89*(F_MR/12)),F89)</f>
        <v>0</v>
      </c>
      <c r="H89" s="1" t="n">
        <f aca="false">IF(G89&gt;PR_BalDone,G89+G89*(F_MR/12)-MIN(F_MortPayM,G89+G89*(F_MR/12)),G89)</f>
        <v>0</v>
      </c>
      <c r="I89" s="1" t="n">
        <f aca="false">IF(H89&gt;PR_BalDone,H89+H89*(F_MR/12)-MIN(F_MortPayM,H89+H89*(F_MR/12)),H89)</f>
        <v>0</v>
      </c>
      <c r="J89" s="1" t="n">
        <f aca="false">IF(I89&gt;PR_BalDone,I89+I89*(F_MR/12)-MIN(F_MortPayM,I89+I89*(F_MR/12)),I89)</f>
        <v>0</v>
      </c>
      <c r="K89" s="1" t="n">
        <f aca="false">IF(J89&gt;PR_BalDone,J89+J89*(F_MR/12)-MIN(F_MortPayM,J89+J89*(F_MR/12)),J89)</f>
        <v>0</v>
      </c>
      <c r="L89" s="1" t="n">
        <f aca="false">IF(K89&gt;PR_BalDone,K89+K89*(F_MR/12)-MIN(F_MortPayM,K89+K89*(F_MR/12)),K89)</f>
        <v>0</v>
      </c>
      <c r="M89" s="1" t="n">
        <f aca="false">IF(L89&gt;PR_BalDone,L89+L89*(F_MR/12)-MIN(F_MortPayM,L89+L89*(F_MR/12)),L89)</f>
        <v>0</v>
      </c>
      <c r="N89" s="1" t="n">
        <f aca="false">IF(M89&gt;PR_BalDone,M89+M89*(F_MR/12)-MIN(F_MortPayM,M89+M89*(F_MR/12)),M89)</f>
        <v>0</v>
      </c>
      <c r="O89" s="1" t="n">
        <f aca="false">IF(N89&gt;PR_BalDone,N89+N89*(F_MR/12)-MIN(F_MortPayM,N89+N89*(F_MR/12)),N89)</f>
        <v>0</v>
      </c>
      <c r="P89" s="1" t="n">
        <f aca="false">IF(C89&gt;PR_BalDone,MIN(F_MortPayM,C89+C89*(F_MR/12)),0)</f>
        <v>0</v>
      </c>
      <c r="Q89" s="1" t="n">
        <f aca="false">IF(D89&gt;PR_BalDone,MIN(F_MortPayM,D89+D89*(F_MR/12)),0)</f>
        <v>0</v>
      </c>
      <c r="R89" s="1" t="n">
        <f aca="false">IF(E89&gt;PR_BalDone,MIN(F_MortPayM,E89+E89*(F_MR/12)),0)</f>
        <v>0</v>
      </c>
      <c r="S89" s="1" t="n">
        <f aca="false">IF(F89&gt;PR_BalDone,MIN(F_MortPayM,F89+F89*(F_MR/12)),0)</f>
        <v>0</v>
      </c>
      <c r="T89" s="1" t="n">
        <f aca="false">IF(G89&gt;PR_BalDone,MIN(F_MortPayM,G89+G89*(F_MR/12)),0)</f>
        <v>0</v>
      </c>
      <c r="U89" s="1" t="n">
        <f aca="false">IF(H89&gt;PR_BalDone,MIN(F_MortPayM,H89+H89*(F_MR/12)),0)</f>
        <v>0</v>
      </c>
      <c r="V89" s="1" t="n">
        <f aca="false">IF(I89&gt;PR_BalDone,MIN(F_MortPayM,I89+I89*(F_MR/12)),0)</f>
        <v>0</v>
      </c>
      <c r="W89" s="1" t="n">
        <f aca="false">IF(J89&gt;PR_BalDone,MIN(F_MortPayM,J89+J89*(F_MR/12)),0)</f>
        <v>0</v>
      </c>
      <c r="X89" s="1" t="n">
        <f aca="false">IF(K89&gt;PR_BalDone,MIN(F_MortPayM,K89+K89*(F_MR/12)),0)</f>
        <v>0</v>
      </c>
      <c r="Y89" s="1" t="n">
        <f aca="false">IF(L89&gt;PR_BalDone,MIN(F_MortPayM,L89+L89*(F_MR/12)),0)</f>
        <v>0</v>
      </c>
      <c r="Z89" s="1" t="n">
        <f aca="false">IF(M89&gt;PR_BalDone,MIN(F_MortPayM,M89+M89*(F_MR/12)),0)</f>
        <v>0</v>
      </c>
      <c r="AA89" s="1" t="n">
        <f aca="false">IF(N89&gt;PR_BalDone,MIN(F_MortPayM,N89+N89*(F_MR/12)),0)</f>
        <v>0</v>
      </c>
      <c r="AB89" s="1" t="n">
        <f aca="false">MAX(0,O89)</f>
        <v>0</v>
      </c>
      <c r="AC89" s="1" t="n">
        <f aca="false">SUM(P89:AA89)</f>
        <v>0</v>
      </c>
      <c r="AD89" s="1" t="n">
        <f aca="false">'Plan cashflow'!L89</f>
        <v>0</v>
      </c>
      <c r="AE89" s="1" t="n">
        <f aca="false">IF(AD89&gt;PR_BalDone,AD89+AD89*(D_iC)-MIN(F_CardPayM,AD89+AD89*(D_iC)),AD89)</f>
        <v>0</v>
      </c>
      <c r="AF89" s="1" t="n">
        <f aca="false">IF(AE89&gt;PR_BalDone,AE89+AE89*(D_iC)-MIN(F_CardPayM,AE89+AE89*(D_iC)),AE89)</f>
        <v>0</v>
      </c>
      <c r="AG89" s="1" t="n">
        <f aca="false">IF(AF89&gt;PR_BalDone,AF89+AF89*(D_iC)-MIN(F_CardPayM,AF89+AF89*(D_iC)),AF89)</f>
        <v>0</v>
      </c>
      <c r="AH89" s="1" t="n">
        <f aca="false">IF(AG89&gt;PR_BalDone,AG89+AG89*(D_iC)-MIN(F_CardPayM,AG89+AG89*(D_iC)),AG89)</f>
        <v>0</v>
      </c>
      <c r="AI89" s="1" t="n">
        <f aca="false">IF(AH89&gt;PR_BalDone,AH89+AH89*(D_iC)-MIN(F_CardPayM,AH89+AH89*(D_iC)),AH89)</f>
        <v>0</v>
      </c>
      <c r="AJ89" s="1" t="n">
        <f aca="false">IF(AI89&gt;PR_BalDone,AI89+AI89*(D_iC)-MIN(F_CardPayM,AI89+AI89*(D_iC)),AI89)</f>
        <v>0</v>
      </c>
      <c r="AK89" s="1" t="n">
        <f aca="false">IF(AJ89&gt;PR_BalDone,AJ89+AJ89*(D_iC)-MIN(F_CardPayM,AJ89+AJ89*(D_iC)),AJ89)</f>
        <v>0</v>
      </c>
      <c r="AL89" s="1" t="n">
        <f aca="false">IF(AK89&gt;PR_BalDone,AK89+AK89*(D_iC)-MIN(F_CardPayM,AK89+AK89*(D_iC)),AK89)</f>
        <v>0</v>
      </c>
      <c r="AM89" s="1" t="n">
        <f aca="false">IF(AL89&gt;PR_BalDone,AL89+AL89*(D_iC)-MIN(F_CardPayM,AL89+AL89*(D_iC)),AL89)</f>
        <v>0</v>
      </c>
      <c r="AN89" s="1" t="n">
        <f aca="false">IF(AM89&gt;PR_BalDone,AM89+AM89*(D_iC)-MIN(F_CardPayM,AM89+AM89*(D_iC)),AM89)</f>
        <v>0</v>
      </c>
      <c r="AO89" s="1" t="n">
        <f aca="false">IF(AN89&gt;PR_BalDone,AN89+AN89*(D_iC)-MIN(F_CardPayM,AN89+AN89*(D_iC)),AN89)</f>
        <v>0</v>
      </c>
      <c r="AP89" s="1" t="n">
        <f aca="false">IF(AO89&gt;PR_BalDone,AO89+AO89*(D_iC)-MIN(F_CardPayM,AO89+AO89*(D_iC)),AO89)</f>
        <v>0</v>
      </c>
      <c r="AQ89" s="1" t="n">
        <f aca="false">IF(AD89&gt;PR_BalDone,MIN(F_CardPayM,AD89+AD89*(D_iC)),0)</f>
        <v>0</v>
      </c>
      <c r="AR89" s="1" t="n">
        <f aca="false">IF(AE89&gt;PR_BalDone,MIN(F_CardPayM,AE89+AE89*(D_iC)),0)</f>
        <v>0</v>
      </c>
      <c r="AS89" s="1" t="n">
        <f aca="false">IF(AF89&gt;PR_BalDone,MIN(F_CardPayM,AF89+AF89*(D_iC)),0)</f>
        <v>0</v>
      </c>
      <c r="AT89" s="1" t="n">
        <f aca="false">IF(AG89&gt;PR_BalDone,MIN(F_CardPayM,AG89+AG89*(D_iC)),0)</f>
        <v>0</v>
      </c>
      <c r="AU89" s="1" t="n">
        <f aca="false">IF(AH89&gt;PR_BalDone,MIN(F_CardPayM,AH89+AH89*(D_iC)),0)</f>
        <v>0</v>
      </c>
      <c r="AV89" s="1" t="n">
        <f aca="false">IF(AI89&gt;PR_BalDone,MIN(F_CardPayM,AI89+AI89*(D_iC)),0)</f>
        <v>0</v>
      </c>
      <c r="AW89" s="1" t="n">
        <f aca="false">IF(AJ89&gt;PR_BalDone,MIN(F_CardPayM,AJ89+AJ89*(D_iC)),0)</f>
        <v>0</v>
      </c>
      <c r="AX89" s="1" t="n">
        <f aca="false">IF(AK89&gt;PR_BalDone,MIN(F_CardPayM,AK89+AK89*(D_iC)),0)</f>
        <v>0</v>
      </c>
      <c r="AY89" s="1" t="n">
        <f aca="false">IF(AL89&gt;PR_BalDone,MIN(F_CardPayM,AL89+AL89*(D_iC)),0)</f>
        <v>0</v>
      </c>
      <c r="AZ89" s="1" t="n">
        <f aca="false">IF(AM89&gt;PR_BalDone,MIN(F_CardPayM,AM89+AM89*(D_iC)),0)</f>
        <v>0</v>
      </c>
      <c r="BA89" s="1" t="n">
        <f aca="false">IF(AN89&gt;PR_BalDone,MIN(F_CardPayM,AN89+AN89*(D_iC)),0)</f>
        <v>0</v>
      </c>
      <c r="BB89" s="1" t="n">
        <f aca="false">IF(AO89&gt;PR_BalDone,MIN(F_CardPayM,AO89+AO89*(D_iC)),0)</f>
        <v>0</v>
      </c>
      <c r="BC89" s="1" t="n">
        <f aca="false">MAX(0,AP89)</f>
        <v>0</v>
      </c>
      <c r="BD89" s="1" t="n">
        <f aca="false">SUM(AQ89:BB89)</f>
        <v>0</v>
      </c>
      <c r="BE89" s="1" t="n">
        <f aca="false">'Plan cashflow'!O89</f>
        <v>0</v>
      </c>
      <c r="BF89" s="1" t="n">
        <f aca="false">IF(BE89&gt;PR_BalDone,BE89+BE89*(D_iL)-MIN(F_LoanPayM,BE89+BE89*(D_iL)),BE89)</f>
        <v>0</v>
      </c>
      <c r="BG89" s="1" t="n">
        <f aca="false">IF(BF89&gt;PR_BalDone,BF89+BF89*(D_iL)-MIN(F_LoanPayM,BF89+BF89*(D_iL)),BF89)</f>
        <v>0</v>
      </c>
      <c r="BH89" s="1" t="n">
        <f aca="false">IF(BG89&gt;PR_BalDone,BG89+BG89*(D_iL)-MIN(F_LoanPayM,BG89+BG89*(D_iL)),BG89)</f>
        <v>0</v>
      </c>
      <c r="BI89" s="1" t="n">
        <f aca="false">IF(BH89&gt;PR_BalDone,BH89+BH89*(D_iL)-MIN(F_LoanPayM,BH89+BH89*(D_iL)),BH89)</f>
        <v>0</v>
      </c>
      <c r="BJ89" s="1" t="n">
        <f aca="false">IF(BI89&gt;PR_BalDone,BI89+BI89*(D_iL)-MIN(F_LoanPayM,BI89+BI89*(D_iL)),BI89)</f>
        <v>0</v>
      </c>
      <c r="BK89" s="1" t="n">
        <f aca="false">IF(BJ89&gt;PR_BalDone,BJ89+BJ89*(D_iL)-MIN(F_LoanPayM,BJ89+BJ89*(D_iL)),BJ89)</f>
        <v>0</v>
      </c>
      <c r="BL89" s="1" t="n">
        <f aca="false">IF(BK89&gt;PR_BalDone,BK89+BK89*(D_iL)-MIN(F_LoanPayM,BK89+BK89*(D_iL)),BK89)</f>
        <v>0</v>
      </c>
      <c r="BM89" s="1" t="n">
        <f aca="false">IF(BL89&gt;PR_BalDone,BL89+BL89*(D_iL)-MIN(F_LoanPayM,BL89+BL89*(D_iL)),BL89)</f>
        <v>0</v>
      </c>
      <c r="BN89" s="1" t="n">
        <f aca="false">IF(BM89&gt;PR_BalDone,BM89+BM89*(D_iL)-MIN(F_LoanPayM,BM89+BM89*(D_iL)),BM89)</f>
        <v>0</v>
      </c>
      <c r="BO89" s="1" t="n">
        <f aca="false">IF(BN89&gt;PR_BalDone,BN89+BN89*(D_iL)-MIN(F_LoanPayM,BN89+BN89*(D_iL)),BN89)</f>
        <v>0</v>
      </c>
      <c r="BP89" s="1" t="n">
        <f aca="false">IF(BO89&gt;PR_BalDone,BO89+BO89*(D_iL)-MIN(F_LoanPayM,BO89+BO89*(D_iL)),BO89)</f>
        <v>0</v>
      </c>
      <c r="BQ89" s="1" t="n">
        <f aca="false">IF(BP89&gt;PR_BalDone,BP89+BP89*(D_iL)-MIN(F_LoanPayM,BP89+BP89*(D_iL)),BP89)</f>
        <v>0</v>
      </c>
      <c r="BR89" s="1" t="n">
        <f aca="false">IF(BE89&gt;PR_BalDone,MIN(F_LoanPayM,BE89+BE89*(D_iL)),0)</f>
        <v>0</v>
      </c>
      <c r="BS89" s="1" t="n">
        <f aca="false">IF(BF89&gt;PR_BalDone,MIN(F_LoanPayM,BF89+BF89*(D_iL)),0)</f>
        <v>0</v>
      </c>
      <c r="BT89" s="1" t="n">
        <f aca="false">IF(BG89&gt;PR_BalDone,MIN(F_LoanPayM,BG89+BG89*(D_iL)),0)</f>
        <v>0</v>
      </c>
      <c r="BU89" s="1" t="n">
        <f aca="false">IF(BH89&gt;PR_BalDone,MIN(F_LoanPayM,BH89+BH89*(D_iL)),0)</f>
        <v>0</v>
      </c>
      <c r="BV89" s="1" t="n">
        <f aca="false">IF(BI89&gt;PR_BalDone,MIN(F_LoanPayM,BI89+BI89*(D_iL)),0)</f>
        <v>0</v>
      </c>
      <c r="BW89" s="1" t="n">
        <f aca="false">IF(BJ89&gt;PR_BalDone,MIN(F_LoanPayM,BJ89+BJ89*(D_iL)),0)</f>
        <v>0</v>
      </c>
      <c r="BX89" s="1" t="n">
        <f aca="false">IF(BK89&gt;PR_BalDone,MIN(F_LoanPayM,BK89+BK89*(D_iL)),0)</f>
        <v>0</v>
      </c>
      <c r="BY89" s="1" t="n">
        <f aca="false">IF(BL89&gt;PR_BalDone,MIN(F_LoanPayM,BL89+BL89*(D_iL)),0)</f>
        <v>0</v>
      </c>
      <c r="BZ89" s="1" t="n">
        <f aca="false">IF(BM89&gt;PR_BalDone,MIN(F_LoanPayM,BM89+BM89*(D_iL)),0)</f>
        <v>0</v>
      </c>
      <c r="CA89" s="1" t="n">
        <f aca="false">IF(BN89&gt;PR_BalDone,MIN(F_LoanPayM,BN89+BN89*(D_iL)),0)</f>
        <v>0</v>
      </c>
      <c r="CB89" s="1" t="n">
        <f aca="false">IF(BO89&gt;PR_BalDone,MIN(F_LoanPayM,BO89+BO89*(D_iL)),0)</f>
        <v>0</v>
      </c>
      <c r="CC89" s="1" t="n">
        <f aca="false">IF(BP89&gt;PR_BalDone,MIN(F_LoanPayM,BP89+BP89*(D_iL)),0)</f>
        <v>0</v>
      </c>
      <c r="CD89" s="1" t="n">
        <f aca="false">MAX(0,BQ89)</f>
        <v>0</v>
      </c>
      <c r="CE89" s="1" t="n">
        <f aca="false">SUM(BR89:CC89)</f>
        <v>0</v>
      </c>
      <c r="CF89" s="1" t="n">
        <f aca="false">IF(CF88&gt;1,DE88,CF88)</f>
        <v>0</v>
      </c>
      <c r="CG89" s="1" t="n">
        <f aca="false">IF(CF89&gt;PR_BalDone,CF89+CF89*(F_MR/12)-MIN(F_MortPayM,CF89+CF89*(F_MR/12)),CF89)</f>
        <v>0</v>
      </c>
      <c r="CH89" s="1" t="n">
        <f aca="false">IF(CG89&gt;PR_BalDone,CG89+CG89*(F_MR/12)-MIN(F_MortPayM,CG89+CG89*(F_MR/12)),CG89)</f>
        <v>0</v>
      </c>
      <c r="CI89" s="1" t="n">
        <f aca="false">IF(CH89&gt;PR_BalDone,CH89+CH89*(F_MR/12)-MIN(F_MortPayM,CH89+CH89*(F_MR/12)),CH89)</f>
        <v>0</v>
      </c>
      <c r="CJ89" s="1" t="n">
        <f aca="false">IF(CI89&gt;PR_BalDone,CI89+CI89*(F_MR/12)-MIN(F_MortPayM,CI89+CI89*(F_MR/12)),CI89)</f>
        <v>0</v>
      </c>
      <c r="CK89" s="1" t="n">
        <f aca="false">IF(CJ89&gt;PR_BalDone,CJ89+CJ89*(F_MR/12)-MIN(F_MortPayM,CJ89+CJ89*(F_MR/12)),CJ89)</f>
        <v>0</v>
      </c>
      <c r="CL89" s="1" t="n">
        <f aca="false">IF(CK89&gt;PR_BalDone,CK89+CK89*(F_MR/12)-MIN(F_MortPayM,CK89+CK89*(F_MR/12)),CK89)</f>
        <v>0</v>
      </c>
      <c r="CM89" s="1" t="n">
        <f aca="false">IF(CL89&gt;PR_BalDone,CL89+CL89*(F_MR/12)-MIN(F_MortPayM,CL89+CL89*(F_MR/12)),CL89)</f>
        <v>0</v>
      </c>
      <c r="CN89" s="1" t="n">
        <f aca="false">IF(CM89&gt;PR_BalDone,CM89+CM89*(F_MR/12)-MIN(F_MortPayM,CM89+CM89*(F_MR/12)),CM89)</f>
        <v>0</v>
      </c>
      <c r="CO89" s="1" t="n">
        <f aca="false">IF(CN89&gt;PR_BalDone,CN89+CN89*(F_MR/12)-MIN(F_MortPayM,CN89+CN89*(F_MR/12)),CN89)</f>
        <v>0</v>
      </c>
      <c r="CP89" s="1" t="n">
        <f aca="false">IF(CO89&gt;PR_BalDone,CO89+CO89*(F_MR/12)-MIN(F_MortPayM,CO89+CO89*(F_MR/12)),CO89)</f>
        <v>0</v>
      </c>
      <c r="CQ89" s="1" t="n">
        <f aca="false">IF(CP89&gt;PR_BalDone,CP89+CP89*(F_MR/12)-MIN(F_MortPayM,CP89+CP89*(F_MR/12)),CP89)</f>
        <v>0</v>
      </c>
      <c r="CR89" s="1" t="n">
        <f aca="false">IF(CQ89&gt;PR_BalDone,CQ89+CQ89*(F_MR/12)-MIN(F_MortPayM,CQ89+CQ89*(F_MR/12)),CQ89)</f>
        <v>0</v>
      </c>
      <c r="CS89" s="1" t="n">
        <f aca="false">IF(CF89&gt;PR_BalDone,MIN(F_MortPayM,CF89+CF89*(F_MR/12)),0)</f>
        <v>0</v>
      </c>
      <c r="CT89" s="1" t="n">
        <f aca="false">IF(CG89&gt;PR_BalDone,MIN(F_MortPayM,CG89+CG89*(F_MR/12)),0)</f>
        <v>0</v>
      </c>
      <c r="CU89" s="1" t="n">
        <f aca="false">IF(CH89&gt;PR_BalDone,MIN(F_MortPayM,CH89+CH89*(F_MR/12)),0)</f>
        <v>0</v>
      </c>
      <c r="CV89" s="1" t="n">
        <f aca="false">IF(CI89&gt;PR_BalDone,MIN(F_MortPayM,CI89+CI89*(F_MR/12)),0)</f>
        <v>0</v>
      </c>
      <c r="CW89" s="1" t="n">
        <f aca="false">IF(CJ89&gt;PR_BalDone,MIN(F_MortPayM,CJ89+CJ89*(F_MR/12)),0)</f>
        <v>0</v>
      </c>
      <c r="CX89" s="1" t="n">
        <f aca="false">IF(CK89&gt;PR_BalDone,MIN(F_MortPayM,CK89+CK89*(F_MR/12)),0)</f>
        <v>0</v>
      </c>
      <c r="CY89" s="1" t="n">
        <f aca="false">IF(CL89&gt;PR_BalDone,MIN(F_MortPayM,CL89+CL89*(F_MR/12)),0)</f>
        <v>0</v>
      </c>
      <c r="CZ89" s="1" t="n">
        <f aca="false">IF(CM89&gt;PR_BalDone,MIN(F_MortPayM,CM89+CM89*(F_MR/12)),0)</f>
        <v>0</v>
      </c>
      <c r="DA89" s="1" t="n">
        <f aca="false">IF(CN89&gt;PR_BalDone,MIN(F_MortPayM,CN89+CN89*(F_MR/12)),0)</f>
        <v>0</v>
      </c>
      <c r="DB89" s="1" t="n">
        <f aca="false">IF(CO89&gt;PR_BalDone,MIN(F_MortPayM,CO89+CO89*(F_MR/12)),0)</f>
        <v>0</v>
      </c>
      <c r="DC89" s="1" t="n">
        <f aca="false">IF(CP89&gt;PR_BalDone,MIN(F_MortPayM,CP89+CP89*(F_MR/12)),0)</f>
        <v>0</v>
      </c>
      <c r="DD89" s="1" t="n">
        <f aca="false">IF(CQ89&gt;PR_BalDone,MIN(F_MortPayM,CQ89+CQ89*(F_MR/12)),0)</f>
        <v>0</v>
      </c>
      <c r="DE89" s="1" t="n">
        <f aca="false">MAX(0,CR89)</f>
        <v>0</v>
      </c>
      <c r="DF89" s="1" t="n">
        <f aca="false">SUM(CS89:DD89)</f>
        <v>0</v>
      </c>
      <c r="DG89" s="1" t="n">
        <f aca="false">MAX(0,CF89)</f>
        <v>0</v>
      </c>
    </row>
    <row r="90" customFormat="false" ht="15" hidden="false" customHeight="true" outlineLevel="0" collapsed="false">
      <c r="B90" s="1" t="n">
        <v>82</v>
      </c>
      <c r="C90" s="1" t="n">
        <f aca="false">'Plan cashflow'!I90</f>
        <v>0</v>
      </c>
      <c r="D90" s="1" t="n">
        <f aca="false">IF(C90&gt;PR_BalDone,C90+C90*(F_MR/12)-MIN(F_MortPayM,C90+C90*(F_MR/12)),C90)</f>
        <v>0</v>
      </c>
      <c r="E90" s="1" t="n">
        <f aca="false">IF(D90&gt;PR_BalDone,D90+D90*(F_MR/12)-MIN(F_MortPayM,D90+D90*(F_MR/12)),D90)</f>
        <v>0</v>
      </c>
      <c r="F90" s="1" t="n">
        <f aca="false">IF(E90&gt;PR_BalDone,E90+E90*(F_MR/12)-MIN(F_MortPayM,E90+E90*(F_MR/12)),E90)</f>
        <v>0</v>
      </c>
      <c r="G90" s="1" t="n">
        <f aca="false">IF(F90&gt;PR_BalDone,F90+F90*(F_MR/12)-MIN(F_MortPayM,F90+F90*(F_MR/12)),F90)</f>
        <v>0</v>
      </c>
      <c r="H90" s="1" t="n">
        <f aca="false">IF(G90&gt;PR_BalDone,G90+G90*(F_MR/12)-MIN(F_MortPayM,G90+G90*(F_MR/12)),G90)</f>
        <v>0</v>
      </c>
      <c r="I90" s="1" t="n">
        <f aca="false">IF(H90&gt;PR_BalDone,H90+H90*(F_MR/12)-MIN(F_MortPayM,H90+H90*(F_MR/12)),H90)</f>
        <v>0</v>
      </c>
      <c r="J90" s="1" t="n">
        <f aca="false">IF(I90&gt;PR_BalDone,I90+I90*(F_MR/12)-MIN(F_MortPayM,I90+I90*(F_MR/12)),I90)</f>
        <v>0</v>
      </c>
      <c r="K90" s="1" t="n">
        <f aca="false">IF(J90&gt;PR_BalDone,J90+J90*(F_MR/12)-MIN(F_MortPayM,J90+J90*(F_MR/12)),J90)</f>
        <v>0</v>
      </c>
      <c r="L90" s="1" t="n">
        <f aca="false">IF(K90&gt;PR_BalDone,K90+K90*(F_MR/12)-MIN(F_MortPayM,K90+K90*(F_MR/12)),K90)</f>
        <v>0</v>
      </c>
      <c r="M90" s="1" t="n">
        <f aca="false">IF(L90&gt;PR_BalDone,L90+L90*(F_MR/12)-MIN(F_MortPayM,L90+L90*(F_MR/12)),L90)</f>
        <v>0</v>
      </c>
      <c r="N90" s="1" t="n">
        <f aca="false">IF(M90&gt;PR_BalDone,M90+M90*(F_MR/12)-MIN(F_MortPayM,M90+M90*(F_MR/12)),M90)</f>
        <v>0</v>
      </c>
      <c r="O90" s="1" t="n">
        <f aca="false">IF(N90&gt;PR_BalDone,N90+N90*(F_MR/12)-MIN(F_MortPayM,N90+N90*(F_MR/12)),N90)</f>
        <v>0</v>
      </c>
      <c r="P90" s="1" t="n">
        <f aca="false">IF(C90&gt;PR_BalDone,MIN(F_MortPayM,C90+C90*(F_MR/12)),0)</f>
        <v>0</v>
      </c>
      <c r="Q90" s="1" t="n">
        <f aca="false">IF(D90&gt;PR_BalDone,MIN(F_MortPayM,D90+D90*(F_MR/12)),0)</f>
        <v>0</v>
      </c>
      <c r="R90" s="1" t="n">
        <f aca="false">IF(E90&gt;PR_BalDone,MIN(F_MortPayM,E90+E90*(F_MR/12)),0)</f>
        <v>0</v>
      </c>
      <c r="S90" s="1" t="n">
        <f aca="false">IF(F90&gt;PR_BalDone,MIN(F_MortPayM,F90+F90*(F_MR/12)),0)</f>
        <v>0</v>
      </c>
      <c r="T90" s="1" t="n">
        <f aca="false">IF(G90&gt;PR_BalDone,MIN(F_MortPayM,G90+G90*(F_MR/12)),0)</f>
        <v>0</v>
      </c>
      <c r="U90" s="1" t="n">
        <f aca="false">IF(H90&gt;PR_BalDone,MIN(F_MortPayM,H90+H90*(F_MR/12)),0)</f>
        <v>0</v>
      </c>
      <c r="V90" s="1" t="n">
        <f aca="false">IF(I90&gt;PR_BalDone,MIN(F_MortPayM,I90+I90*(F_MR/12)),0)</f>
        <v>0</v>
      </c>
      <c r="W90" s="1" t="n">
        <f aca="false">IF(J90&gt;PR_BalDone,MIN(F_MortPayM,J90+J90*(F_MR/12)),0)</f>
        <v>0</v>
      </c>
      <c r="X90" s="1" t="n">
        <f aca="false">IF(K90&gt;PR_BalDone,MIN(F_MortPayM,K90+K90*(F_MR/12)),0)</f>
        <v>0</v>
      </c>
      <c r="Y90" s="1" t="n">
        <f aca="false">IF(L90&gt;PR_BalDone,MIN(F_MortPayM,L90+L90*(F_MR/12)),0)</f>
        <v>0</v>
      </c>
      <c r="Z90" s="1" t="n">
        <f aca="false">IF(M90&gt;PR_BalDone,MIN(F_MortPayM,M90+M90*(F_MR/12)),0)</f>
        <v>0</v>
      </c>
      <c r="AA90" s="1" t="n">
        <f aca="false">IF(N90&gt;PR_BalDone,MIN(F_MortPayM,N90+N90*(F_MR/12)),0)</f>
        <v>0</v>
      </c>
      <c r="AB90" s="1" t="n">
        <f aca="false">MAX(0,O90)</f>
        <v>0</v>
      </c>
      <c r="AC90" s="1" t="n">
        <f aca="false">SUM(P90:AA90)</f>
        <v>0</v>
      </c>
      <c r="AD90" s="1" t="n">
        <f aca="false">'Plan cashflow'!L90</f>
        <v>0</v>
      </c>
      <c r="AE90" s="1" t="n">
        <f aca="false">IF(AD90&gt;PR_BalDone,AD90+AD90*(D_iC)-MIN(F_CardPayM,AD90+AD90*(D_iC)),AD90)</f>
        <v>0</v>
      </c>
      <c r="AF90" s="1" t="n">
        <f aca="false">IF(AE90&gt;PR_BalDone,AE90+AE90*(D_iC)-MIN(F_CardPayM,AE90+AE90*(D_iC)),AE90)</f>
        <v>0</v>
      </c>
      <c r="AG90" s="1" t="n">
        <f aca="false">IF(AF90&gt;PR_BalDone,AF90+AF90*(D_iC)-MIN(F_CardPayM,AF90+AF90*(D_iC)),AF90)</f>
        <v>0</v>
      </c>
      <c r="AH90" s="1" t="n">
        <f aca="false">IF(AG90&gt;PR_BalDone,AG90+AG90*(D_iC)-MIN(F_CardPayM,AG90+AG90*(D_iC)),AG90)</f>
        <v>0</v>
      </c>
      <c r="AI90" s="1" t="n">
        <f aca="false">IF(AH90&gt;PR_BalDone,AH90+AH90*(D_iC)-MIN(F_CardPayM,AH90+AH90*(D_iC)),AH90)</f>
        <v>0</v>
      </c>
      <c r="AJ90" s="1" t="n">
        <f aca="false">IF(AI90&gt;PR_BalDone,AI90+AI90*(D_iC)-MIN(F_CardPayM,AI90+AI90*(D_iC)),AI90)</f>
        <v>0</v>
      </c>
      <c r="AK90" s="1" t="n">
        <f aca="false">IF(AJ90&gt;PR_BalDone,AJ90+AJ90*(D_iC)-MIN(F_CardPayM,AJ90+AJ90*(D_iC)),AJ90)</f>
        <v>0</v>
      </c>
      <c r="AL90" s="1" t="n">
        <f aca="false">IF(AK90&gt;PR_BalDone,AK90+AK90*(D_iC)-MIN(F_CardPayM,AK90+AK90*(D_iC)),AK90)</f>
        <v>0</v>
      </c>
      <c r="AM90" s="1" t="n">
        <f aca="false">IF(AL90&gt;PR_BalDone,AL90+AL90*(D_iC)-MIN(F_CardPayM,AL90+AL90*(D_iC)),AL90)</f>
        <v>0</v>
      </c>
      <c r="AN90" s="1" t="n">
        <f aca="false">IF(AM90&gt;PR_BalDone,AM90+AM90*(D_iC)-MIN(F_CardPayM,AM90+AM90*(D_iC)),AM90)</f>
        <v>0</v>
      </c>
      <c r="AO90" s="1" t="n">
        <f aca="false">IF(AN90&gt;PR_BalDone,AN90+AN90*(D_iC)-MIN(F_CardPayM,AN90+AN90*(D_iC)),AN90)</f>
        <v>0</v>
      </c>
      <c r="AP90" s="1" t="n">
        <f aca="false">IF(AO90&gt;PR_BalDone,AO90+AO90*(D_iC)-MIN(F_CardPayM,AO90+AO90*(D_iC)),AO90)</f>
        <v>0</v>
      </c>
      <c r="AQ90" s="1" t="n">
        <f aca="false">IF(AD90&gt;PR_BalDone,MIN(F_CardPayM,AD90+AD90*(D_iC)),0)</f>
        <v>0</v>
      </c>
      <c r="AR90" s="1" t="n">
        <f aca="false">IF(AE90&gt;PR_BalDone,MIN(F_CardPayM,AE90+AE90*(D_iC)),0)</f>
        <v>0</v>
      </c>
      <c r="AS90" s="1" t="n">
        <f aca="false">IF(AF90&gt;PR_BalDone,MIN(F_CardPayM,AF90+AF90*(D_iC)),0)</f>
        <v>0</v>
      </c>
      <c r="AT90" s="1" t="n">
        <f aca="false">IF(AG90&gt;PR_BalDone,MIN(F_CardPayM,AG90+AG90*(D_iC)),0)</f>
        <v>0</v>
      </c>
      <c r="AU90" s="1" t="n">
        <f aca="false">IF(AH90&gt;PR_BalDone,MIN(F_CardPayM,AH90+AH90*(D_iC)),0)</f>
        <v>0</v>
      </c>
      <c r="AV90" s="1" t="n">
        <f aca="false">IF(AI90&gt;PR_BalDone,MIN(F_CardPayM,AI90+AI90*(D_iC)),0)</f>
        <v>0</v>
      </c>
      <c r="AW90" s="1" t="n">
        <f aca="false">IF(AJ90&gt;PR_BalDone,MIN(F_CardPayM,AJ90+AJ90*(D_iC)),0)</f>
        <v>0</v>
      </c>
      <c r="AX90" s="1" t="n">
        <f aca="false">IF(AK90&gt;PR_BalDone,MIN(F_CardPayM,AK90+AK90*(D_iC)),0)</f>
        <v>0</v>
      </c>
      <c r="AY90" s="1" t="n">
        <f aca="false">IF(AL90&gt;PR_BalDone,MIN(F_CardPayM,AL90+AL90*(D_iC)),0)</f>
        <v>0</v>
      </c>
      <c r="AZ90" s="1" t="n">
        <f aca="false">IF(AM90&gt;PR_BalDone,MIN(F_CardPayM,AM90+AM90*(D_iC)),0)</f>
        <v>0</v>
      </c>
      <c r="BA90" s="1" t="n">
        <f aca="false">IF(AN90&gt;PR_BalDone,MIN(F_CardPayM,AN90+AN90*(D_iC)),0)</f>
        <v>0</v>
      </c>
      <c r="BB90" s="1" t="n">
        <f aca="false">IF(AO90&gt;PR_BalDone,MIN(F_CardPayM,AO90+AO90*(D_iC)),0)</f>
        <v>0</v>
      </c>
      <c r="BC90" s="1" t="n">
        <f aca="false">MAX(0,AP90)</f>
        <v>0</v>
      </c>
      <c r="BD90" s="1" t="n">
        <f aca="false">SUM(AQ90:BB90)</f>
        <v>0</v>
      </c>
      <c r="BE90" s="1" t="n">
        <f aca="false">'Plan cashflow'!O90</f>
        <v>0</v>
      </c>
      <c r="BF90" s="1" t="n">
        <f aca="false">IF(BE90&gt;PR_BalDone,BE90+BE90*(D_iL)-MIN(F_LoanPayM,BE90+BE90*(D_iL)),BE90)</f>
        <v>0</v>
      </c>
      <c r="BG90" s="1" t="n">
        <f aca="false">IF(BF90&gt;PR_BalDone,BF90+BF90*(D_iL)-MIN(F_LoanPayM,BF90+BF90*(D_iL)),BF90)</f>
        <v>0</v>
      </c>
      <c r="BH90" s="1" t="n">
        <f aca="false">IF(BG90&gt;PR_BalDone,BG90+BG90*(D_iL)-MIN(F_LoanPayM,BG90+BG90*(D_iL)),BG90)</f>
        <v>0</v>
      </c>
      <c r="BI90" s="1" t="n">
        <f aca="false">IF(BH90&gt;PR_BalDone,BH90+BH90*(D_iL)-MIN(F_LoanPayM,BH90+BH90*(D_iL)),BH90)</f>
        <v>0</v>
      </c>
      <c r="BJ90" s="1" t="n">
        <f aca="false">IF(BI90&gt;PR_BalDone,BI90+BI90*(D_iL)-MIN(F_LoanPayM,BI90+BI90*(D_iL)),BI90)</f>
        <v>0</v>
      </c>
      <c r="BK90" s="1" t="n">
        <f aca="false">IF(BJ90&gt;PR_BalDone,BJ90+BJ90*(D_iL)-MIN(F_LoanPayM,BJ90+BJ90*(D_iL)),BJ90)</f>
        <v>0</v>
      </c>
      <c r="BL90" s="1" t="n">
        <f aca="false">IF(BK90&gt;PR_BalDone,BK90+BK90*(D_iL)-MIN(F_LoanPayM,BK90+BK90*(D_iL)),BK90)</f>
        <v>0</v>
      </c>
      <c r="BM90" s="1" t="n">
        <f aca="false">IF(BL90&gt;PR_BalDone,BL90+BL90*(D_iL)-MIN(F_LoanPayM,BL90+BL90*(D_iL)),BL90)</f>
        <v>0</v>
      </c>
      <c r="BN90" s="1" t="n">
        <f aca="false">IF(BM90&gt;PR_BalDone,BM90+BM90*(D_iL)-MIN(F_LoanPayM,BM90+BM90*(D_iL)),BM90)</f>
        <v>0</v>
      </c>
      <c r="BO90" s="1" t="n">
        <f aca="false">IF(BN90&gt;PR_BalDone,BN90+BN90*(D_iL)-MIN(F_LoanPayM,BN90+BN90*(D_iL)),BN90)</f>
        <v>0</v>
      </c>
      <c r="BP90" s="1" t="n">
        <f aca="false">IF(BO90&gt;PR_BalDone,BO90+BO90*(D_iL)-MIN(F_LoanPayM,BO90+BO90*(D_iL)),BO90)</f>
        <v>0</v>
      </c>
      <c r="BQ90" s="1" t="n">
        <f aca="false">IF(BP90&gt;PR_BalDone,BP90+BP90*(D_iL)-MIN(F_LoanPayM,BP90+BP90*(D_iL)),BP90)</f>
        <v>0</v>
      </c>
      <c r="BR90" s="1" t="n">
        <f aca="false">IF(BE90&gt;PR_BalDone,MIN(F_LoanPayM,BE90+BE90*(D_iL)),0)</f>
        <v>0</v>
      </c>
      <c r="BS90" s="1" t="n">
        <f aca="false">IF(BF90&gt;PR_BalDone,MIN(F_LoanPayM,BF90+BF90*(D_iL)),0)</f>
        <v>0</v>
      </c>
      <c r="BT90" s="1" t="n">
        <f aca="false">IF(BG90&gt;PR_BalDone,MIN(F_LoanPayM,BG90+BG90*(D_iL)),0)</f>
        <v>0</v>
      </c>
      <c r="BU90" s="1" t="n">
        <f aca="false">IF(BH90&gt;PR_BalDone,MIN(F_LoanPayM,BH90+BH90*(D_iL)),0)</f>
        <v>0</v>
      </c>
      <c r="BV90" s="1" t="n">
        <f aca="false">IF(BI90&gt;PR_BalDone,MIN(F_LoanPayM,BI90+BI90*(D_iL)),0)</f>
        <v>0</v>
      </c>
      <c r="BW90" s="1" t="n">
        <f aca="false">IF(BJ90&gt;PR_BalDone,MIN(F_LoanPayM,BJ90+BJ90*(D_iL)),0)</f>
        <v>0</v>
      </c>
      <c r="BX90" s="1" t="n">
        <f aca="false">IF(BK90&gt;PR_BalDone,MIN(F_LoanPayM,BK90+BK90*(D_iL)),0)</f>
        <v>0</v>
      </c>
      <c r="BY90" s="1" t="n">
        <f aca="false">IF(BL90&gt;PR_BalDone,MIN(F_LoanPayM,BL90+BL90*(D_iL)),0)</f>
        <v>0</v>
      </c>
      <c r="BZ90" s="1" t="n">
        <f aca="false">IF(BM90&gt;PR_BalDone,MIN(F_LoanPayM,BM90+BM90*(D_iL)),0)</f>
        <v>0</v>
      </c>
      <c r="CA90" s="1" t="n">
        <f aca="false">IF(BN90&gt;PR_BalDone,MIN(F_LoanPayM,BN90+BN90*(D_iL)),0)</f>
        <v>0</v>
      </c>
      <c r="CB90" s="1" t="n">
        <f aca="false">IF(BO90&gt;PR_BalDone,MIN(F_LoanPayM,BO90+BO90*(D_iL)),0)</f>
        <v>0</v>
      </c>
      <c r="CC90" s="1" t="n">
        <f aca="false">IF(BP90&gt;PR_BalDone,MIN(F_LoanPayM,BP90+BP90*(D_iL)),0)</f>
        <v>0</v>
      </c>
      <c r="CD90" s="1" t="n">
        <f aca="false">MAX(0,BQ90)</f>
        <v>0</v>
      </c>
      <c r="CE90" s="1" t="n">
        <f aca="false">SUM(BR90:CC90)</f>
        <v>0</v>
      </c>
      <c r="CF90" s="1" t="n">
        <f aca="false">IF(CF89&gt;1,DE89,CF89)</f>
        <v>0</v>
      </c>
      <c r="CG90" s="1" t="n">
        <f aca="false">IF(CF90&gt;PR_BalDone,CF90+CF90*(F_MR/12)-MIN(F_MortPayM,CF90+CF90*(F_MR/12)),CF90)</f>
        <v>0</v>
      </c>
      <c r="CH90" s="1" t="n">
        <f aca="false">IF(CG90&gt;PR_BalDone,CG90+CG90*(F_MR/12)-MIN(F_MortPayM,CG90+CG90*(F_MR/12)),CG90)</f>
        <v>0</v>
      </c>
      <c r="CI90" s="1" t="n">
        <f aca="false">IF(CH90&gt;PR_BalDone,CH90+CH90*(F_MR/12)-MIN(F_MortPayM,CH90+CH90*(F_MR/12)),CH90)</f>
        <v>0</v>
      </c>
      <c r="CJ90" s="1" t="n">
        <f aca="false">IF(CI90&gt;PR_BalDone,CI90+CI90*(F_MR/12)-MIN(F_MortPayM,CI90+CI90*(F_MR/12)),CI90)</f>
        <v>0</v>
      </c>
      <c r="CK90" s="1" t="n">
        <f aca="false">IF(CJ90&gt;PR_BalDone,CJ90+CJ90*(F_MR/12)-MIN(F_MortPayM,CJ90+CJ90*(F_MR/12)),CJ90)</f>
        <v>0</v>
      </c>
      <c r="CL90" s="1" t="n">
        <f aca="false">IF(CK90&gt;PR_BalDone,CK90+CK90*(F_MR/12)-MIN(F_MortPayM,CK90+CK90*(F_MR/12)),CK90)</f>
        <v>0</v>
      </c>
      <c r="CM90" s="1" t="n">
        <f aca="false">IF(CL90&gt;PR_BalDone,CL90+CL90*(F_MR/12)-MIN(F_MortPayM,CL90+CL90*(F_MR/12)),CL90)</f>
        <v>0</v>
      </c>
      <c r="CN90" s="1" t="n">
        <f aca="false">IF(CM90&gt;PR_BalDone,CM90+CM90*(F_MR/12)-MIN(F_MortPayM,CM90+CM90*(F_MR/12)),CM90)</f>
        <v>0</v>
      </c>
      <c r="CO90" s="1" t="n">
        <f aca="false">IF(CN90&gt;PR_BalDone,CN90+CN90*(F_MR/12)-MIN(F_MortPayM,CN90+CN90*(F_MR/12)),CN90)</f>
        <v>0</v>
      </c>
      <c r="CP90" s="1" t="n">
        <f aca="false">IF(CO90&gt;PR_BalDone,CO90+CO90*(F_MR/12)-MIN(F_MortPayM,CO90+CO90*(F_MR/12)),CO90)</f>
        <v>0</v>
      </c>
      <c r="CQ90" s="1" t="n">
        <f aca="false">IF(CP90&gt;PR_BalDone,CP90+CP90*(F_MR/12)-MIN(F_MortPayM,CP90+CP90*(F_MR/12)),CP90)</f>
        <v>0</v>
      </c>
      <c r="CR90" s="1" t="n">
        <f aca="false">IF(CQ90&gt;PR_BalDone,CQ90+CQ90*(F_MR/12)-MIN(F_MortPayM,CQ90+CQ90*(F_MR/12)),CQ90)</f>
        <v>0</v>
      </c>
      <c r="CS90" s="1" t="n">
        <f aca="false">IF(CF90&gt;PR_BalDone,MIN(F_MortPayM,CF90+CF90*(F_MR/12)),0)</f>
        <v>0</v>
      </c>
      <c r="CT90" s="1" t="n">
        <f aca="false">IF(CG90&gt;PR_BalDone,MIN(F_MortPayM,CG90+CG90*(F_MR/12)),0)</f>
        <v>0</v>
      </c>
      <c r="CU90" s="1" t="n">
        <f aca="false">IF(CH90&gt;PR_BalDone,MIN(F_MortPayM,CH90+CH90*(F_MR/12)),0)</f>
        <v>0</v>
      </c>
      <c r="CV90" s="1" t="n">
        <f aca="false">IF(CI90&gt;PR_BalDone,MIN(F_MortPayM,CI90+CI90*(F_MR/12)),0)</f>
        <v>0</v>
      </c>
      <c r="CW90" s="1" t="n">
        <f aca="false">IF(CJ90&gt;PR_BalDone,MIN(F_MortPayM,CJ90+CJ90*(F_MR/12)),0)</f>
        <v>0</v>
      </c>
      <c r="CX90" s="1" t="n">
        <f aca="false">IF(CK90&gt;PR_BalDone,MIN(F_MortPayM,CK90+CK90*(F_MR/12)),0)</f>
        <v>0</v>
      </c>
      <c r="CY90" s="1" t="n">
        <f aca="false">IF(CL90&gt;PR_BalDone,MIN(F_MortPayM,CL90+CL90*(F_MR/12)),0)</f>
        <v>0</v>
      </c>
      <c r="CZ90" s="1" t="n">
        <f aca="false">IF(CM90&gt;PR_BalDone,MIN(F_MortPayM,CM90+CM90*(F_MR/12)),0)</f>
        <v>0</v>
      </c>
      <c r="DA90" s="1" t="n">
        <f aca="false">IF(CN90&gt;PR_BalDone,MIN(F_MortPayM,CN90+CN90*(F_MR/12)),0)</f>
        <v>0</v>
      </c>
      <c r="DB90" s="1" t="n">
        <f aca="false">IF(CO90&gt;PR_BalDone,MIN(F_MortPayM,CO90+CO90*(F_MR/12)),0)</f>
        <v>0</v>
      </c>
      <c r="DC90" s="1" t="n">
        <f aca="false">IF(CP90&gt;PR_BalDone,MIN(F_MortPayM,CP90+CP90*(F_MR/12)),0)</f>
        <v>0</v>
      </c>
      <c r="DD90" s="1" t="n">
        <f aca="false">IF(CQ90&gt;PR_BalDone,MIN(F_MortPayM,CQ90+CQ90*(F_MR/12)),0)</f>
        <v>0</v>
      </c>
      <c r="DE90" s="1" t="n">
        <f aca="false">MAX(0,CR90)</f>
        <v>0</v>
      </c>
      <c r="DF90" s="1" t="n">
        <f aca="false">SUM(CS90:DD90)</f>
        <v>0</v>
      </c>
      <c r="DG90" s="1" t="n">
        <f aca="false">MAX(0,CF90)</f>
        <v>0</v>
      </c>
    </row>
    <row r="91" customFormat="false" ht="15" hidden="false" customHeight="true" outlineLevel="0" collapsed="false">
      <c r="B91" s="1" t="n">
        <v>83</v>
      </c>
      <c r="C91" s="1" t="n">
        <f aca="false">'Plan cashflow'!I91</f>
        <v>0</v>
      </c>
      <c r="D91" s="1" t="n">
        <f aca="false">IF(C91&gt;PR_BalDone,C91+C91*(F_MR/12)-MIN(F_MortPayM,C91+C91*(F_MR/12)),C91)</f>
        <v>0</v>
      </c>
      <c r="E91" s="1" t="n">
        <f aca="false">IF(D91&gt;PR_BalDone,D91+D91*(F_MR/12)-MIN(F_MortPayM,D91+D91*(F_MR/12)),D91)</f>
        <v>0</v>
      </c>
      <c r="F91" s="1" t="n">
        <f aca="false">IF(E91&gt;PR_BalDone,E91+E91*(F_MR/12)-MIN(F_MortPayM,E91+E91*(F_MR/12)),E91)</f>
        <v>0</v>
      </c>
      <c r="G91" s="1" t="n">
        <f aca="false">IF(F91&gt;PR_BalDone,F91+F91*(F_MR/12)-MIN(F_MortPayM,F91+F91*(F_MR/12)),F91)</f>
        <v>0</v>
      </c>
      <c r="H91" s="1" t="n">
        <f aca="false">IF(G91&gt;PR_BalDone,G91+G91*(F_MR/12)-MIN(F_MortPayM,G91+G91*(F_MR/12)),G91)</f>
        <v>0</v>
      </c>
      <c r="I91" s="1" t="n">
        <f aca="false">IF(H91&gt;PR_BalDone,H91+H91*(F_MR/12)-MIN(F_MortPayM,H91+H91*(F_MR/12)),H91)</f>
        <v>0</v>
      </c>
      <c r="J91" s="1" t="n">
        <f aca="false">IF(I91&gt;PR_BalDone,I91+I91*(F_MR/12)-MIN(F_MortPayM,I91+I91*(F_MR/12)),I91)</f>
        <v>0</v>
      </c>
      <c r="K91" s="1" t="n">
        <f aca="false">IF(J91&gt;PR_BalDone,J91+J91*(F_MR/12)-MIN(F_MortPayM,J91+J91*(F_MR/12)),J91)</f>
        <v>0</v>
      </c>
      <c r="L91" s="1" t="n">
        <f aca="false">IF(K91&gt;PR_BalDone,K91+K91*(F_MR/12)-MIN(F_MortPayM,K91+K91*(F_MR/12)),K91)</f>
        <v>0</v>
      </c>
      <c r="M91" s="1" t="n">
        <f aca="false">IF(L91&gt;PR_BalDone,L91+L91*(F_MR/12)-MIN(F_MortPayM,L91+L91*(F_MR/12)),L91)</f>
        <v>0</v>
      </c>
      <c r="N91" s="1" t="n">
        <f aca="false">IF(M91&gt;PR_BalDone,M91+M91*(F_MR/12)-MIN(F_MortPayM,M91+M91*(F_MR/12)),M91)</f>
        <v>0</v>
      </c>
      <c r="O91" s="1" t="n">
        <f aca="false">IF(N91&gt;PR_BalDone,N91+N91*(F_MR/12)-MIN(F_MortPayM,N91+N91*(F_MR/12)),N91)</f>
        <v>0</v>
      </c>
      <c r="P91" s="1" t="n">
        <f aca="false">IF(C91&gt;PR_BalDone,MIN(F_MortPayM,C91+C91*(F_MR/12)),0)</f>
        <v>0</v>
      </c>
      <c r="Q91" s="1" t="n">
        <f aca="false">IF(D91&gt;PR_BalDone,MIN(F_MortPayM,D91+D91*(F_MR/12)),0)</f>
        <v>0</v>
      </c>
      <c r="R91" s="1" t="n">
        <f aca="false">IF(E91&gt;PR_BalDone,MIN(F_MortPayM,E91+E91*(F_MR/12)),0)</f>
        <v>0</v>
      </c>
      <c r="S91" s="1" t="n">
        <f aca="false">IF(F91&gt;PR_BalDone,MIN(F_MortPayM,F91+F91*(F_MR/12)),0)</f>
        <v>0</v>
      </c>
      <c r="T91" s="1" t="n">
        <f aca="false">IF(G91&gt;PR_BalDone,MIN(F_MortPayM,G91+G91*(F_MR/12)),0)</f>
        <v>0</v>
      </c>
      <c r="U91" s="1" t="n">
        <f aca="false">IF(H91&gt;PR_BalDone,MIN(F_MortPayM,H91+H91*(F_MR/12)),0)</f>
        <v>0</v>
      </c>
      <c r="V91" s="1" t="n">
        <f aca="false">IF(I91&gt;PR_BalDone,MIN(F_MortPayM,I91+I91*(F_MR/12)),0)</f>
        <v>0</v>
      </c>
      <c r="W91" s="1" t="n">
        <f aca="false">IF(J91&gt;PR_BalDone,MIN(F_MortPayM,J91+J91*(F_MR/12)),0)</f>
        <v>0</v>
      </c>
      <c r="X91" s="1" t="n">
        <f aca="false">IF(K91&gt;PR_BalDone,MIN(F_MortPayM,K91+K91*(F_MR/12)),0)</f>
        <v>0</v>
      </c>
      <c r="Y91" s="1" t="n">
        <f aca="false">IF(L91&gt;PR_BalDone,MIN(F_MortPayM,L91+L91*(F_MR/12)),0)</f>
        <v>0</v>
      </c>
      <c r="Z91" s="1" t="n">
        <f aca="false">IF(M91&gt;PR_BalDone,MIN(F_MortPayM,M91+M91*(F_MR/12)),0)</f>
        <v>0</v>
      </c>
      <c r="AA91" s="1" t="n">
        <f aca="false">IF(N91&gt;PR_BalDone,MIN(F_MortPayM,N91+N91*(F_MR/12)),0)</f>
        <v>0</v>
      </c>
      <c r="AB91" s="1" t="n">
        <f aca="false">MAX(0,O91)</f>
        <v>0</v>
      </c>
      <c r="AC91" s="1" t="n">
        <f aca="false">SUM(P91:AA91)</f>
        <v>0</v>
      </c>
      <c r="AD91" s="1" t="n">
        <f aca="false">'Plan cashflow'!L91</f>
        <v>0</v>
      </c>
      <c r="AE91" s="1" t="n">
        <f aca="false">IF(AD91&gt;PR_BalDone,AD91+AD91*(D_iC)-MIN(F_CardPayM,AD91+AD91*(D_iC)),AD91)</f>
        <v>0</v>
      </c>
      <c r="AF91" s="1" t="n">
        <f aca="false">IF(AE91&gt;PR_BalDone,AE91+AE91*(D_iC)-MIN(F_CardPayM,AE91+AE91*(D_iC)),AE91)</f>
        <v>0</v>
      </c>
      <c r="AG91" s="1" t="n">
        <f aca="false">IF(AF91&gt;PR_BalDone,AF91+AF91*(D_iC)-MIN(F_CardPayM,AF91+AF91*(D_iC)),AF91)</f>
        <v>0</v>
      </c>
      <c r="AH91" s="1" t="n">
        <f aca="false">IF(AG91&gt;PR_BalDone,AG91+AG91*(D_iC)-MIN(F_CardPayM,AG91+AG91*(D_iC)),AG91)</f>
        <v>0</v>
      </c>
      <c r="AI91" s="1" t="n">
        <f aca="false">IF(AH91&gt;PR_BalDone,AH91+AH91*(D_iC)-MIN(F_CardPayM,AH91+AH91*(D_iC)),AH91)</f>
        <v>0</v>
      </c>
      <c r="AJ91" s="1" t="n">
        <f aca="false">IF(AI91&gt;PR_BalDone,AI91+AI91*(D_iC)-MIN(F_CardPayM,AI91+AI91*(D_iC)),AI91)</f>
        <v>0</v>
      </c>
      <c r="AK91" s="1" t="n">
        <f aca="false">IF(AJ91&gt;PR_BalDone,AJ91+AJ91*(D_iC)-MIN(F_CardPayM,AJ91+AJ91*(D_iC)),AJ91)</f>
        <v>0</v>
      </c>
      <c r="AL91" s="1" t="n">
        <f aca="false">IF(AK91&gt;PR_BalDone,AK91+AK91*(D_iC)-MIN(F_CardPayM,AK91+AK91*(D_iC)),AK91)</f>
        <v>0</v>
      </c>
      <c r="AM91" s="1" t="n">
        <f aca="false">IF(AL91&gt;PR_BalDone,AL91+AL91*(D_iC)-MIN(F_CardPayM,AL91+AL91*(D_iC)),AL91)</f>
        <v>0</v>
      </c>
      <c r="AN91" s="1" t="n">
        <f aca="false">IF(AM91&gt;PR_BalDone,AM91+AM91*(D_iC)-MIN(F_CardPayM,AM91+AM91*(D_iC)),AM91)</f>
        <v>0</v>
      </c>
      <c r="AO91" s="1" t="n">
        <f aca="false">IF(AN91&gt;PR_BalDone,AN91+AN91*(D_iC)-MIN(F_CardPayM,AN91+AN91*(D_iC)),AN91)</f>
        <v>0</v>
      </c>
      <c r="AP91" s="1" t="n">
        <f aca="false">IF(AO91&gt;PR_BalDone,AO91+AO91*(D_iC)-MIN(F_CardPayM,AO91+AO91*(D_iC)),AO91)</f>
        <v>0</v>
      </c>
      <c r="AQ91" s="1" t="n">
        <f aca="false">IF(AD91&gt;PR_BalDone,MIN(F_CardPayM,AD91+AD91*(D_iC)),0)</f>
        <v>0</v>
      </c>
      <c r="AR91" s="1" t="n">
        <f aca="false">IF(AE91&gt;PR_BalDone,MIN(F_CardPayM,AE91+AE91*(D_iC)),0)</f>
        <v>0</v>
      </c>
      <c r="AS91" s="1" t="n">
        <f aca="false">IF(AF91&gt;PR_BalDone,MIN(F_CardPayM,AF91+AF91*(D_iC)),0)</f>
        <v>0</v>
      </c>
      <c r="AT91" s="1" t="n">
        <f aca="false">IF(AG91&gt;PR_BalDone,MIN(F_CardPayM,AG91+AG91*(D_iC)),0)</f>
        <v>0</v>
      </c>
      <c r="AU91" s="1" t="n">
        <f aca="false">IF(AH91&gt;PR_BalDone,MIN(F_CardPayM,AH91+AH91*(D_iC)),0)</f>
        <v>0</v>
      </c>
      <c r="AV91" s="1" t="n">
        <f aca="false">IF(AI91&gt;PR_BalDone,MIN(F_CardPayM,AI91+AI91*(D_iC)),0)</f>
        <v>0</v>
      </c>
      <c r="AW91" s="1" t="n">
        <f aca="false">IF(AJ91&gt;PR_BalDone,MIN(F_CardPayM,AJ91+AJ91*(D_iC)),0)</f>
        <v>0</v>
      </c>
      <c r="AX91" s="1" t="n">
        <f aca="false">IF(AK91&gt;PR_BalDone,MIN(F_CardPayM,AK91+AK91*(D_iC)),0)</f>
        <v>0</v>
      </c>
      <c r="AY91" s="1" t="n">
        <f aca="false">IF(AL91&gt;PR_BalDone,MIN(F_CardPayM,AL91+AL91*(D_iC)),0)</f>
        <v>0</v>
      </c>
      <c r="AZ91" s="1" t="n">
        <f aca="false">IF(AM91&gt;PR_BalDone,MIN(F_CardPayM,AM91+AM91*(D_iC)),0)</f>
        <v>0</v>
      </c>
      <c r="BA91" s="1" t="n">
        <f aca="false">IF(AN91&gt;PR_BalDone,MIN(F_CardPayM,AN91+AN91*(D_iC)),0)</f>
        <v>0</v>
      </c>
      <c r="BB91" s="1" t="n">
        <f aca="false">IF(AO91&gt;PR_BalDone,MIN(F_CardPayM,AO91+AO91*(D_iC)),0)</f>
        <v>0</v>
      </c>
      <c r="BC91" s="1" t="n">
        <f aca="false">MAX(0,AP91)</f>
        <v>0</v>
      </c>
      <c r="BD91" s="1" t="n">
        <f aca="false">SUM(AQ91:BB91)</f>
        <v>0</v>
      </c>
      <c r="BE91" s="1" t="n">
        <f aca="false">'Plan cashflow'!O91</f>
        <v>0</v>
      </c>
      <c r="BF91" s="1" t="n">
        <f aca="false">IF(BE91&gt;PR_BalDone,BE91+BE91*(D_iL)-MIN(F_LoanPayM,BE91+BE91*(D_iL)),BE91)</f>
        <v>0</v>
      </c>
      <c r="BG91" s="1" t="n">
        <f aca="false">IF(BF91&gt;PR_BalDone,BF91+BF91*(D_iL)-MIN(F_LoanPayM,BF91+BF91*(D_iL)),BF91)</f>
        <v>0</v>
      </c>
      <c r="BH91" s="1" t="n">
        <f aca="false">IF(BG91&gt;PR_BalDone,BG91+BG91*(D_iL)-MIN(F_LoanPayM,BG91+BG91*(D_iL)),BG91)</f>
        <v>0</v>
      </c>
      <c r="BI91" s="1" t="n">
        <f aca="false">IF(BH91&gt;PR_BalDone,BH91+BH91*(D_iL)-MIN(F_LoanPayM,BH91+BH91*(D_iL)),BH91)</f>
        <v>0</v>
      </c>
      <c r="BJ91" s="1" t="n">
        <f aca="false">IF(BI91&gt;PR_BalDone,BI91+BI91*(D_iL)-MIN(F_LoanPayM,BI91+BI91*(D_iL)),BI91)</f>
        <v>0</v>
      </c>
      <c r="BK91" s="1" t="n">
        <f aca="false">IF(BJ91&gt;PR_BalDone,BJ91+BJ91*(D_iL)-MIN(F_LoanPayM,BJ91+BJ91*(D_iL)),BJ91)</f>
        <v>0</v>
      </c>
      <c r="BL91" s="1" t="n">
        <f aca="false">IF(BK91&gt;PR_BalDone,BK91+BK91*(D_iL)-MIN(F_LoanPayM,BK91+BK91*(D_iL)),BK91)</f>
        <v>0</v>
      </c>
      <c r="BM91" s="1" t="n">
        <f aca="false">IF(BL91&gt;PR_BalDone,BL91+BL91*(D_iL)-MIN(F_LoanPayM,BL91+BL91*(D_iL)),BL91)</f>
        <v>0</v>
      </c>
      <c r="BN91" s="1" t="n">
        <f aca="false">IF(BM91&gt;PR_BalDone,BM91+BM91*(D_iL)-MIN(F_LoanPayM,BM91+BM91*(D_iL)),BM91)</f>
        <v>0</v>
      </c>
      <c r="BO91" s="1" t="n">
        <f aca="false">IF(BN91&gt;PR_BalDone,BN91+BN91*(D_iL)-MIN(F_LoanPayM,BN91+BN91*(D_iL)),BN91)</f>
        <v>0</v>
      </c>
      <c r="BP91" s="1" t="n">
        <f aca="false">IF(BO91&gt;PR_BalDone,BO91+BO91*(D_iL)-MIN(F_LoanPayM,BO91+BO91*(D_iL)),BO91)</f>
        <v>0</v>
      </c>
      <c r="BQ91" s="1" t="n">
        <f aca="false">IF(BP91&gt;PR_BalDone,BP91+BP91*(D_iL)-MIN(F_LoanPayM,BP91+BP91*(D_iL)),BP91)</f>
        <v>0</v>
      </c>
      <c r="BR91" s="1" t="n">
        <f aca="false">IF(BE91&gt;PR_BalDone,MIN(F_LoanPayM,BE91+BE91*(D_iL)),0)</f>
        <v>0</v>
      </c>
      <c r="BS91" s="1" t="n">
        <f aca="false">IF(BF91&gt;PR_BalDone,MIN(F_LoanPayM,BF91+BF91*(D_iL)),0)</f>
        <v>0</v>
      </c>
      <c r="BT91" s="1" t="n">
        <f aca="false">IF(BG91&gt;PR_BalDone,MIN(F_LoanPayM,BG91+BG91*(D_iL)),0)</f>
        <v>0</v>
      </c>
      <c r="BU91" s="1" t="n">
        <f aca="false">IF(BH91&gt;PR_BalDone,MIN(F_LoanPayM,BH91+BH91*(D_iL)),0)</f>
        <v>0</v>
      </c>
      <c r="BV91" s="1" t="n">
        <f aca="false">IF(BI91&gt;PR_BalDone,MIN(F_LoanPayM,BI91+BI91*(D_iL)),0)</f>
        <v>0</v>
      </c>
      <c r="BW91" s="1" t="n">
        <f aca="false">IF(BJ91&gt;PR_BalDone,MIN(F_LoanPayM,BJ91+BJ91*(D_iL)),0)</f>
        <v>0</v>
      </c>
      <c r="BX91" s="1" t="n">
        <f aca="false">IF(BK91&gt;PR_BalDone,MIN(F_LoanPayM,BK91+BK91*(D_iL)),0)</f>
        <v>0</v>
      </c>
      <c r="BY91" s="1" t="n">
        <f aca="false">IF(BL91&gt;PR_BalDone,MIN(F_LoanPayM,BL91+BL91*(D_iL)),0)</f>
        <v>0</v>
      </c>
      <c r="BZ91" s="1" t="n">
        <f aca="false">IF(BM91&gt;PR_BalDone,MIN(F_LoanPayM,BM91+BM91*(D_iL)),0)</f>
        <v>0</v>
      </c>
      <c r="CA91" s="1" t="n">
        <f aca="false">IF(BN91&gt;PR_BalDone,MIN(F_LoanPayM,BN91+BN91*(D_iL)),0)</f>
        <v>0</v>
      </c>
      <c r="CB91" s="1" t="n">
        <f aca="false">IF(BO91&gt;PR_BalDone,MIN(F_LoanPayM,BO91+BO91*(D_iL)),0)</f>
        <v>0</v>
      </c>
      <c r="CC91" s="1" t="n">
        <f aca="false">IF(BP91&gt;PR_BalDone,MIN(F_LoanPayM,BP91+BP91*(D_iL)),0)</f>
        <v>0</v>
      </c>
      <c r="CD91" s="1" t="n">
        <f aca="false">MAX(0,BQ91)</f>
        <v>0</v>
      </c>
      <c r="CE91" s="1" t="n">
        <f aca="false">SUM(BR91:CC91)</f>
        <v>0</v>
      </c>
      <c r="CF91" s="1" t="n">
        <f aca="false">IF(CF90&gt;1,DE90,CF90)</f>
        <v>0</v>
      </c>
      <c r="CG91" s="1" t="n">
        <f aca="false">IF(CF91&gt;PR_BalDone,CF91+CF91*(F_MR/12)-MIN(F_MortPayM,CF91+CF91*(F_MR/12)),CF91)</f>
        <v>0</v>
      </c>
      <c r="CH91" s="1" t="n">
        <f aca="false">IF(CG91&gt;PR_BalDone,CG91+CG91*(F_MR/12)-MIN(F_MortPayM,CG91+CG91*(F_MR/12)),CG91)</f>
        <v>0</v>
      </c>
      <c r="CI91" s="1" t="n">
        <f aca="false">IF(CH91&gt;PR_BalDone,CH91+CH91*(F_MR/12)-MIN(F_MortPayM,CH91+CH91*(F_MR/12)),CH91)</f>
        <v>0</v>
      </c>
      <c r="CJ91" s="1" t="n">
        <f aca="false">IF(CI91&gt;PR_BalDone,CI91+CI91*(F_MR/12)-MIN(F_MortPayM,CI91+CI91*(F_MR/12)),CI91)</f>
        <v>0</v>
      </c>
      <c r="CK91" s="1" t="n">
        <f aca="false">IF(CJ91&gt;PR_BalDone,CJ91+CJ91*(F_MR/12)-MIN(F_MortPayM,CJ91+CJ91*(F_MR/12)),CJ91)</f>
        <v>0</v>
      </c>
      <c r="CL91" s="1" t="n">
        <f aca="false">IF(CK91&gt;PR_BalDone,CK91+CK91*(F_MR/12)-MIN(F_MortPayM,CK91+CK91*(F_MR/12)),CK91)</f>
        <v>0</v>
      </c>
      <c r="CM91" s="1" t="n">
        <f aca="false">IF(CL91&gt;PR_BalDone,CL91+CL91*(F_MR/12)-MIN(F_MortPayM,CL91+CL91*(F_MR/12)),CL91)</f>
        <v>0</v>
      </c>
      <c r="CN91" s="1" t="n">
        <f aca="false">IF(CM91&gt;PR_BalDone,CM91+CM91*(F_MR/12)-MIN(F_MortPayM,CM91+CM91*(F_MR/12)),CM91)</f>
        <v>0</v>
      </c>
      <c r="CO91" s="1" t="n">
        <f aca="false">IF(CN91&gt;PR_BalDone,CN91+CN91*(F_MR/12)-MIN(F_MortPayM,CN91+CN91*(F_MR/12)),CN91)</f>
        <v>0</v>
      </c>
      <c r="CP91" s="1" t="n">
        <f aca="false">IF(CO91&gt;PR_BalDone,CO91+CO91*(F_MR/12)-MIN(F_MortPayM,CO91+CO91*(F_MR/12)),CO91)</f>
        <v>0</v>
      </c>
      <c r="CQ91" s="1" t="n">
        <f aca="false">IF(CP91&gt;PR_BalDone,CP91+CP91*(F_MR/12)-MIN(F_MortPayM,CP91+CP91*(F_MR/12)),CP91)</f>
        <v>0</v>
      </c>
      <c r="CR91" s="1" t="n">
        <f aca="false">IF(CQ91&gt;PR_BalDone,CQ91+CQ91*(F_MR/12)-MIN(F_MortPayM,CQ91+CQ91*(F_MR/12)),CQ91)</f>
        <v>0</v>
      </c>
      <c r="CS91" s="1" t="n">
        <f aca="false">IF(CF91&gt;PR_BalDone,MIN(F_MortPayM,CF91+CF91*(F_MR/12)),0)</f>
        <v>0</v>
      </c>
      <c r="CT91" s="1" t="n">
        <f aca="false">IF(CG91&gt;PR_BalDone,MIN(F_MortPayM,CG91+CG91*(F_MR/12)),0)</f>
        <v>0</v>
      </c>
      <c r="CU91" s="1" t="n">
        <f aca="false">IF(CH91&gt;PR_BalDone,MIN(F_MortPayM,CH91+CH91*(F_MR/12)),0)</f>
        <v>0</v>
      </c>
      <c r="CV91" s="1" t="n">
        <f aca="false">IF(CI91&gt;PR_BalDone,MIN(F_MortPayM,CI91+CI91*(F_MR/12)),0)</f>
        <v>0</v>
      </c>
      <c r="CW91" s="1" t="n">
        <f aca="false">IF(CJ91&gt;PR_BalDone,MIN(F_MortPayM,CJ91+CJ91*(F_MR/12)),0)</f>
        <v>0</v>
      </c>
      <c r="CX91" s="1" t="n">
        <f aca="false">IF(CK91&gt;PR_BalDone,MIN(F_MortPayM,CK91+CK91*(F_MR/12)),0)</f>
        <v>0</v>
      </c>
      <c r="CY91" s="1" t="n">
        <f aca="false">IF(CL91&gt;PR_BalDone,MIN(F_MortPayM,CL91+CL91*(F_MR/12)),0)</f>
        <v>0</v>
      </c>
      <c r="CZ91" s="1" t="n">
        <f aca="false">IF(CM91&gt;PR_BalDone,MIN(F_MortPayM,CM91+CM91*(F_MR/12)),0)</f>
        <v>0</v>
      </c>
      <c r="DA91" s="1" t="n">
        <f aca="false">IF(CN91&gt;PR_BalDone,MIN(F_MortPayM,CN91+CN91*(F_MR/12)),0)</f>
        <v>0</v>
      </c>
      <c r="DB91" s="1" t="n">
        <f aca="false">IF(CO91&gt;PR_BalDone,MIN(F_MortPayM,CO91+CO91*(F_MR/12)),0)</f>
        <v>0</v>
      </c>
      <c r="DC91" s="1" t="n">
        <f aca="false">IF(CP91&gt;PR_BalDone,MIN(F_MortPayM,CP91+CP91*(F_MR/12)),0)</f>
        <v>0</v>
      </c>
      <c r="DD91" s="1" t="n">
        <f aca="false">IF(CQ91&gt;PR_BalDone,MIN(F_MortPayM,CQ91+CQ91*(F_MR/12)),0)</f>
        <v>0</v>
      </c>
      <c r="DE91" s="1" t="n">
        <f aca="false">MAX(0,CR91)</f>
        <v>0</v>
      </c>
      <c r="DF91" s="1" t="n">
        <f aca="false">SUM(CS91:DD91)</f>
        <v>0</v>
      </c>
      <c r="DG91" s="1" t="n">
        <f aca="false">MAX(0,CF91)</f>
        <v>0</v>
      </c>
    </row>
    <row r="92" customFormat="false" ht="15" hidden="false" customHeight="true" outlineLevel="0" collapsed="false">
      <c r="B92" s="1" t="n">
        <v>84</v>
      </c>
      <c r="C92" s="1" t="n">
        <f aca="false">'Plan cashflow'!I92</f>
        <v>0</v>
      </c>
      <c r="D92" s="1" t="n">
        <f aca="false">IF(C92&gt;PR_BalDone,C92+C92*(F_MR/12)-MIN(F_MortPayM,C92+C92*(F_MR/12)),C92)</f>
        <v>0</v>
      </c>
      <c r="E92" s="1" t="n">
        <f aca="false">IF(D92&gt;PR_BalDone,D92+D92*(F_MR/12)-MIN(F_MortPayM,D92+D92*(F_MR/12)),D92)</f>
        <v>0</v>
      </c>
      <c r="F92" s="1" t="n">
        <f aca="false">IF(E92&gt;PR_BalDone,E92+E92*(F_MR/12)-MIN(F_MortPayM,E92+E92*(F_MR/12)),E92)</f>
        <v>0</v>
      </c>
      <c r="G92" s="1" t="n">
        <f aca="false">IF(F92&gt;PR_BalDone,F92+F92*(F_MR/12)-MIN(F_MortPayM,F92+F92*(F_MR/12)),F92)</f>
        <v>0</v>
      </c>
      <c r="H92" s="1" t="n">
        <f aca="false">IF(G92&gt;PR_BalDone,G92+G92*(F_MR/12)-MIN(F_MortPayM,G92+G92*(F_MR/12)),G92)</f>
        <v>0</v>
      </c>
      <c r="I92" s="1" t="n">
        <f aca="false">IF(H92&gt;PR_BalDone,H92+H92*(F_MR/12)-MIN(F_MortPayM,H92+H92*(F_MR/12)),H92)</f>
        <v>0</v>
      </c>
      <c r="J92" s="1" t="n">
        <f aca="false">IF(I92&gt;PR_BalDone,I92+I92*(F_MR/12)-MIN(F_MortPayM,I92+I92*(F_MR/12)),I92)</f>
        <v>0</v>
      </c>
      <c r="K92" s="1" t="n">
        <f aca="false">IF(J92&gt;PR_BalDone,J92+J92*(F_MR/12)-MIN(F_MortPayM,J92+J92*(F_MR/12)),J92)</f>
        <v>0</v>
      </c>
      <c r="L92" s="1" t="n">
        <f aca="false">IF(K92&gt;PR_BalDone,K92+K92*(F_MR/12)-MIN(F_MortPayM,K92+K92*(F_MR/12)),K92)</f>
        <v>0</v>
      </c>
      <c r="M92" s="1" t="n">
        <f aca="false">IF(L92&gt;PR_BalDone,L92+L92*(F_MR/12)-MIN(F_MortPayM,L92+L92*(F_MR/12)),L92)</f>
        <v>0</v>
      </c>
      <c r="N92" s="1" t="n">
        <f aca="false">IF(M92&gt;PR_BalDone,M92+M92*(F_MR/12)-MIN(F_MortPayM,M92+M92*(F_MR/12)),M92)</f>
        <v>0</v>
      </c>
      <c r="O92" s="1" t="n">
        <f aca="false">IF(N92&gt;PR_BalDone,N92+N92*(F_MR/12)-MIN(F_MortPayM,N92+N92*(F_MR/12)),N92)</f>
        <v>0</v>
      </c>
      <c r="P92" s="1" t="n">
        <f aca="false">IF(C92&gt;PR_BalDone,MIN(F_MortPayM,C92+C92*(F_MR/12)),0)</f>
        <v>0</v>
      </c>
      <c r="Q92" s="1" t="n">
        <f aca="false">IF(D92&gt;PR_BalDone,MIN(F_MortPayM,D92+D92*(F_MR/12)),0)</f>
        <v>0</v>
      </c>
      <c r="R92" s="1" t="n">
        <f aca="false">IF(E92&gt;PR_BalDone,MIN(F_MortPayM,E92+E92*(F_MR/12)),0)</f>
        <v>0</v>
      </c>
      <c r="S92" s="1" t="n">
        <f aca="false">IF(F92&gt;PR_BalDone,MIN(F_MortPayM,F92+F92*(F_MR/12)),0)</f>
        <v>0</v>
      </c>
      <c r="T92" s="1" t="n">
        <f aca="false">IF(G92&gt;PR_BalDone,MIN(F_MortPayM,G92+G92*(F_MR/12)),0)</f>
        <v>0</v>
      </c>
      <c r="U92" s="1" t="n">
        <f aca="false">IF(H92&gt;PR_BalDone,MIN(F_MortPayM,H92+H92*(F_MR/12)),0)</f>
        <v>0</v>
      </c>
      <c r="V92" s="1" t="n">
        <f aca="false">IF(I92&gt;PR_BalDone,MIN(F_MortPayM,I92+I92*(F_MR/12)),0)</f>
        <v>0</v>
      </c>
      <c r="W92" s="1" t="n">
        <f aca="false">IF(J92&gt;PR_BalDone,MIN(F_MortPayM,J92+J92*(F_MR/12)),0)</f>
        <v>0</v>
      </c>
      <c r="X92" s="1" t="n">
        <f aca="false">IF(K92&gt;PR_BalDone,MIN(F_MortPayM,K92+K92*(F_MR/12)),0)</f>
        <v>0</v>
      </c>
      <c r="Y92" s="1" t="n">
        <f aca="false">IF(L92&gt;PR_BalDone,MIN(F_MortPayM,L92+L92*(F_MR/12)),0)</f>
        <v>0</v>
      </c>
      <c r="Z92" s="1" t="n">
        <f aca="false">IF(M92&gt;PR_BalDone,MIN(F_MortPayM,M92+M92*(F_MR/12)),0)</f>
        <v>0</v>
      </c>
      <c r="AA92" s="1" t="n">
        <f aca="false">IF(N92&gt;PR_BalDone,MIN(F_MortPayM,N92+N92*(F_MR/12)),0)</f>
        <v>0</v>
      </c>
      <c r="AB92" s="1" t="n">
        <f aca="false">MAX(0,O92)</f>
        <v>0</v>
      </c>
      <c r="AC92" s="1" t="n">
        <f aca="false">SUM(P92:AA92)</f>
        <v>0</v>
      </c>
      <c r="AD92" s="1" t="n">
        <f aca="false">'Plan cashflow'!L92</f>
        <v>0</v>
      </c>
      <c r="AE92" s="1" t="n">
        <f aca="false">IF(AD92&gt;PR_BalDone,AD92+AD92*(D_iC)-MIN(F_CardPayM,AD92+AD92*(D_iC)),AD92)</f>
        <v>0</v>
      </c>
      <c r="AF92" s="1" t="n">
        <f aca="false">IF(AE92&gt;PR_BalDone,AE92+AE92*(D_iC)-MIN(F_CardPayM,AE92+AE92*(D_iC)),AE92)</f>
        <v>0</v>
      </c>
      <c r="AG92" s="1" t="n">
        <f aca="false">IF(AF92&gt;PR_BalDone,AF92+AF92*(D_iC)-MIN(F_CardPayM,AF92+AF92*(D_iC)),AF92)</f>
        <v>0</v>
      </c>
      <c r="AH92" s="1" t="n">
        <f aca="false">IF(AG92&gt;PR_BalDone,AG92+AG92*(D_iC)-MIN(F_CardPayM,AG92+AG92*(D_iC)),AG92)</f>
        <v>0</v>
      </c>
      <c r="AI92" s="1" t="n">
        <f aca="false">IF(AH92&gt;PR_BalDone,AH92+AH92*(D_iC)-MIN(F_CardPayM,AH92+AH92*(D_iC)),AH92)</f>
        <v>0</v>
      </c>
      <c r="AJ92" s="1" t="n">
        <f aca="false">IF(AI92&gt;PR_BalDone,AI92+AI92*(D_iC)-MIN(F_CardPayM,AI92+AI92*(D_iC)),AI92)</f>
        <v>0</v>
      </c>
      <c r="AK92" s="1" t="n">
        <f aca="false">IF(AJ92&gt;PR_BalDone,AJ92+AJ92*(D_iC)-MIN(F_CardPayM,AJ92+AJ92*(D_iC)),AJ92)</f>
        <v>0</v>
      </c>
      <c r="AL92" s="1" t="n">
        <f aca="false">IF(AK92&gt;PR_BalDone,AK92+AK92*(D_iC)-MIN(F_CardPayM,AK92+AK92*(D_iC)),AK92)</f>
        <v>0</v>
      </c>
      <c r="AM92" s="1" t="n">
        <f aca="false">IF(AL92&gt;PR_BalDone,AL92+AL92*(D_iC)-MIN(F_CardPayM,AL92+AL92*(D_iC)),AL92)</f>
        <v>0</v>
      </c>
      <c r="AN92" s="1" t="n">
        <f aca="false">IF(AM92&gt;PR_BalDone,AM92+AM92*(D_iC)-MIN(F_CardPayM,AM92+AM92*(D_iC)),AM92)</f>
        <v>0</v>
      </c>
      <c r="AO92" s="1" t="n">
        <f aca="false">IF(AN92&gt;PR_BalDone,AN92+AN92*(D_iC)-MIN(F_CardPayM,AN92+AN92*(D_iC)),AN92)</f>
        <v>0</v>
      </c>
      <c r="AP92" s="1" t="n">
        <f aca="false">IF(AO92&gt;PR_BalDone,AO92+AO92*(D_iC)-MIN(F_CardPayM,AO92+AO92*(D_iC)),AO92)</f>
        <v>0</v>
      </c>
      <c r="AQ92" s="1" t="n">
        <f aca="false">IF(AD92&gt;PR_BalDone,MIN(F_CardPayM,AD92+AD92*(D_iC)),0)</f>
        <v>0</v>
      </c>
      <c r="AR92" s="1" t="n">
        <f aca="false">IF(AE92&gt;PR_BalDone,MIN(F_CardPayM,AE92+AE92*(D_iC)),0)</f>
        <v>0</v>
      </c>
      <c r="AS92" s="1" t="n">
        <f aca="false">IF(AF92&gt;PR_BalDone,MIN(F_CardPayM,AF92+AF92*(D_iC)),0)</f>
        <v>0</v>
      </c>
      <c r="AT92" s="1" t="n">
        <f aca="false">IF(AG92&gt;PR_BalDone,MIN(F_CardPayM,AG92+AG92*(D_iC)),0)</f>
        <v>0</v>
      </c>
      <c r="AU92" s="1" t="n">
        <f aca="false">IF(AH92&gt;PR_BalDone,MIN(F_CardPayM,AH92+AH92*(D_iC)),0)</f>
        <v>0</v>
      </c>
      <c r="AV92" s="1" t="n">
        <f aca="false">IF(AI92&gt;PR_BalDone,MIN(F_CardPayM,AI92+AI92*(D_iC)),0)</f>
        <v>0</v>
      </c>
      <c r="AW92" s="1" t="n">
        <f aca="false">IF(AJ92&gt;PR_BalDone,MIN(F_CardPayM,AJ92+AJ92*(D_iC)),0)</f>
        <v>0</v>
      </c>
      <c r="AX92" s="1" t="n">
        <f aca="false">IF(AK92&gt;PR_BalDone,MIN(F_CardPayM,AK92+AK92*(D_iC)),0)</f>
        <v>0</v>
      </c>
      <c r="AY92" s="1" t="n">
        <f aca="false">IF(AL92&gt;PR_BalDone,MIN(F_CardPayM,AL92+AL92*(D_iC)),0)</f>
        <v>0</v>
      </c>
      <c r="AZ92" s="1" t="n">
        <f aca="false">IF(AM92&gt;PR_BalDone,MIN(F_CardPayM,AM92+AM92*(D_iC)),0)</f>
        <v>0</v>
      </c>
      <c r="BA92" s="1" t="n">
        <f aca="false">IF(AN92&gt;PR_BalDone,MIN(F_CardPayM,AN92+AN92*(D_iC)),0)</f>
        <v>0</v>
      </c>
      <c r="BB92" s="1" t="n">
        <f aca="false">IF(AO92&gt;PR_BalDone,MIN(F_CardPayM,AO92+AO92*(D_iC)),0)</f>
        <v>0</v>
      </c>
      <c r="BC92" s="1" t="n">
        <f aca="false">MAX(0,AP92)</f>
        <v>0</v>
      </c>
      <c r="BD92" s="1" t="n">
        <f aca="false">SUM(AQ92:BB92)</f>
        <v>0</v>
      </c>
      <c r="BE92" s="1" t="n">
        <f aca="false">'Plan cashflow'!O92</f>
        <v>0</v>
      </c>
      <c r="BF92" s="1" t="n">
        <f aca="false">IF(BE92&gt;PR_BalDone,BE92+BE92*(D_iL)-MIN(F_LoanPayM,BE92+BE92*(D_iL)),BE92)</f>
        <v>0</v>
      </c>
      <c r="BG92" s="1" t="n">
        <f aca="false">IF(BF92&gt;PR_BalDone,BF92+BF92*(D_iL)-MIN(F_LoanPayM,BF92+BF92*(D_iL)),BF92)</f>
        <v>0</v>
      </c>
      <c r="BH92" s="1" t="n">
        <f aca="false">IF(BG92&gt;PR_BalDone,BG92+BG92*(D_iL)-MIN(F_LoanPayM,BG92+BG92*(D_iL)),BG92)</f>
        <v>0</v>
      </c>
      <c r="BI92" s="1" t="n">
        <f aca="false">IF(BH92&gt;PR_BalDone,BH92+BH92*(D_iL)-MIN(F_LoanPayM,BH92+BH92*(D_iL)),BH92)</f>
        <v>0</v>
      </c>
      <c r="BJ92" s="1" t="n">
        <f aca="false">IF(BI92&gt;PR_BalDone,BI92+BI92*(D_iL)-MIN(F_LoanPayM,BI92+BI92*(D_iL)),BI92)</f>
        <v>0</v>
      </c>
      <c r="BK92" s="1" t="n">
        <f aca="false">IF(BJ92&gt;PR_BalDone,BJ92+BJ92*(D_iL)-MIN(F_LoanPayM,BJ92+BJ92*(D_iL)),BJ92)</f>
        <v>0</v>
      </c>
      <c r="BL92" s="1" t="n">
        <f aca="false">IF(BK92&gt;PR_BalDone,BK92+BK92*(D_iL)-MIN(F_LoanPayM,BK92+BK92*(D_iL)),BK92)</f>
        <v>0</v>
      </c>
      <c r="BM92" s="1" t="n">
        <f aca="false">IF(BL92&gt;PR_BalDone,BL92+BL92*(D_iL)-MIN(F_LoanPayM,BL92+BL92*(D_iL)),BL92)</f>
        <v>0</v>
      </c>
      <c r="BN92" s="1" t="n">
        <f aca="false">IF(BM92&gt;PR_BalDone,BM92+BM92*(D_iL)-MIN(F_LoanPayM,BM92+BM92*(D_iL)),BM92)</f>
        <v>0</v>
      </c>
      <c r="BO92" s="1" t="n">
        <f aca="false">IF(BN92&gt;PR_BalDone,BN92+BN92*(D_iL)-MIN(F_LoanPayM,BN92+BN92*(D_iL)),BN92)</f>
        <v>0</v>
      </c>
      <c r="BP92" s="1" t="n">
        <f aca="false">IF(BO92&gt;PR_BalDone,BO92+BO92*(D_iL)-MIN(F_LoanPayM,BO92+BO92*(D_iL)),BO92)</f>
        <v>0</v>
      </c>
      <c r="BQ92" s="1" t="n">
        <f aca="false">IF(BP92&gt;PR_BalDone,BP92+BP92*(D_iL)-MIN(F_LoanPayM,BP92+BP92*(D_iL)),BP92)</f>
        <v>0</v>
      </c>
      <c r="BR92" s="1" t="n">
        <f aca="false">IF(BE92&gt;PR_BalDone,MIN(F_LoanPayM,BE92+BE92*(D_iL)),0)</f>
        <v>0</v>
      </c>
      <c r="BS92" s="1" t="n">
        <f aca="false">IF(BF92&gt;PR_BalDone,MIN(F_LoanPayM,BF92+BF92*(D_iL)),0)</f>
        <v>0</v>
      </c>
      <c r="BT92" s="1" t="n">
        <f aca="false">IF(BG92&gt;PR_BalDone,MIN(F_LoanPayM,BG92+BG92*(D_iL)),0)</f>
        <v>0</v>
      </c>
      <c r="BU92" s="1" t="n">
        <f aca="false">IF(BH92&gt;PR_BalDone,MIN(F_LoanPayM,BH92+BH92*(D_iL)),0)</f>
        <v>0</v>
      </c>
      <c r="BV92" s="1" t="n">
        <f aca="false">IF(BI92&gt;PR_BalDone,MIN(F_LoanPayM,BI92+BI92*(D_iL)),0)</f>
        <v>0</v>
      </c>
      <c r="BW92" s="1" t="n">
        <f aca="false">IF(BJ92&gt;PR_BalDone,MIN(F_LoanPayM,BJ92+BJ92*(D_iL)),0)</f>
        <v>0</v>
      </c>
      <c r="BX92" s="1" t="n">
        <f aca="false">IF(BK92&gt;PR_BalDone,MIN(F_LoanPayM,BK92+BK92*(D_iL)),0)</f>
        <v>0</v>
      </c>
      <c r="BY92" s="1" t="n">
        <f aca="false">IF(BL92&gt;PR_BalDone,MIN(F_LoanPayM,BL92+BL92*(D_iL)),0)</f>
        <v>0</v>
      </c>
      <c r="BZ92" s="1" t="n">
        <f aca="false">IF(BM92&gt;PR_BalDone,MIN(F_LoanPayM,BM92+BM92*(D_iL)),0)</f>
        <v>0</v>
      </c>
      <c r="CA92" s="1" t="n">
        <f aca="false">IF(BN92&gt;PR_BalDone,MIN(F_LoanPayM,BN92+BN92*(D_iL)),0)</f>
        <v>0</v>
      </c>
      <c r="CB92" s="1" t="n">
        <f aca="false">IF(BO92&gt;PR_BalDone,MIN(F_LoanPayM,BO92+BO92*(D_iL)),0)</f>
        <v>0</v>
      </c>
      <c r="CC92" s="1" t="n">
        <f aca="false">IF(BP92&gt;PR_BalDone,MIN(F_LoanPayM,BP92+BP92*(D_iL)),0)</f>
        <v>0</v>
      </c>
      <c r="CD92" s="1" t="n">
        <f aca="false">MAX(0,BQ92)</f>
        <v>0</v>
      </c>
      <c r="CE92" s="1" t="n">
        <f aca="false">SUM(BR92:CC92)</f>
        <v>0</v>
      </c>
      <c r="CF92" s="1" t="n">
        <f aca="false">IF(CF91&gt;1,DE91,CF91)</f>
        <v>0</v>
      </c>
      <c r="CG92" s="1" t="n">
        <f aca="false">IF(CF92&gt;PR_BalDone,CF92+CF92*(F_MR/12)-MIN(F_MortPayM,CF92+CF92*(F_MR/12)),CF92)</f>
        <v>0</v>
      </c>
      <c r="CH92" s="1" t="n">
        <f aca="false">IF(CG92&gt;PR_BalDone,CG92+CG92*(F_MR/12)-MIN(F_MortPayM,CG92+CG92*(F_MR/12)),CG92)</f>
        <v>0</v>
      </c>
      <c r="CI92" s="1" t="n">
        <f aca="false">IF(CH92&gt;PR_BalDone,CH92+CH92*(F_MR/12)-MIN(F_MortPayM,CH92+CH92*(F_MR/12)),CH92)</f>
        <v>0</v>
      </c>
      <c r="CJ92" s="1" t="n">
        <f aca="false">IF(CI92&gt;PR_BalDone,CI92+CI92*(F_MR/12)-MIN(F_MortPayM,CI92+CI92*(F_MR/12)),CI92)</f>
        <v>0</v>
      </c>
      <c r="CK92" s="1" t="n">
        <f aca="false">IF(CJ92&gt;PR_BalDone,CJ92+CJ92*(F_MR/12)-MIN(F_MortPayM,CJ92+CJ92*(F_MR/12)),CJ92)</f>
        <v>0</v>
      </c>
      <c r="CL92" s="1" t="n">
        <f aca="false">IF(CK92&gt;PR_BalDone,CK92+CK92*(F_MR/12)-MIN(F_MortPayM,CK92+CK92*(F_MR/12)),CK92)</f>
        <v>0</v>
      </c>
      <c r="CM92" s="1" t="n">
        <f aca="false">IF(CL92&gt;PR_BalDone,CL92+CL92*(F_MR/12)-MIN(F_MortPayM,CL92+CL92*(F_MR/12)),CL92)</f>
        <v>0</v>
      </c>
      <c r="CN92" s="1" t="n">
        <f aca="false">IF(CM92&gt;PR_BalDone,CM92+CM92*(F_MR/12)-MIN(F_MortPayM,CM92+CM92*(F_MR/12)),CM92)</f>
        <v>0</v>
      </c>
      <c r="CO92" s="1" t="n">
        <f aca="false">IF(CN92&gt;PR_BalDone,CN92+CN92*(F_MR/12)-MIN(F_MortPayM,CN92+CN92*(F_MR/12)),CN92)</f>
        <v>0</v>
      </c>
      <c r="CP92" s="1" t="n">
        <f aca="false">IF(CO92&gt;PR_BalDone,CO92+CO92*(F_MR/12)-MIN(F_MortPayM,CO92+CO92*(F_MR/12)),CO92)</f>
        <v>0</v>
      </c>
      <c r="CQ92" s="1" t="n">
        <f aca="false">IF(CP92&gt;PR_BalDone,CP92+CP92*(F_MR/12)-MIN(F_MortPayM,CP92+CP92*(F_MR/12)),CP92)</f>
        <v>0</v>
      </c>
      <c r="CR92" s="1" t="n">
        <f aca="false">IF(CQ92&gt;PR_BalDone,CQ92+CQ92*(F_MR/12)-MIN(F_MortPayM,CQ92+CQ92*(F_MR/12)),CQ92)</f>
        <v>0</v>
      </c>
      <c r="CS92" s="1" t="n">
        <f aca="false">IF(CF92&gt;PR_BalDone,MIN(F_MortPayM,CF92+CF92*(F_MR/12)),0)</f>
        <v>0</v>
      </c>
      <c r="CT92" s="1" t="n">
        <f aca="false">IF(CG92&gt;PR_BalDone,MIN(F_MortPayM,CG92+CG92*(F_MR/12)),0)</f>
        <v>0</v>
      </c>
      <c r="CU92" s="1" t="n">
        <f aca="false">IF(CH92&gt;PR_BalDone,MIN(F_MortPayM,CH92+CH92*(F_MR/12)),0)</f>
        <v>0</v>
      </c>
      <c r="CV92" s="1" t="n">
        <f aca="false">IF(CI92&gt;PR_BalDone,MIN(F_MortPayM,CI92+CI92*(F_MR/12)),0)</f>
        <v>0</v>
      </c>
      <c r="CW92" s="1" t="n">
        <f aca="false">IF(CJ92&gt;PR_BalDone,MIN(F_MortPayM,CJ92+CJ92*(F_MR/12)),0)</f>
        <v>0</v>
      </c>
      <c r="CX92" s="1" t="n">
        <f aca="false">IF(CK92&gt;PR_BalDone,MIN(F_MortPayM,CK92+CK92*(F_MR/12)),0)</f>
        <v>0</v>
      </c>
      <c r="CY92" s="1" t="n">
        <f aca="false">IF(CL92&gt;PR_BalDone,MIN(F_MortPayM,CL92+CL92*(F_MR/12)),0)</f>
        <v>0</v>
      </c>
      <c r="CZ92" s="1" t="n">
        <f aca="false">IF(CM92&gt;PR_BalDone,MIN(F_MortPayM,CM92+CM92*(F_MR/12)),0)</f>
        <v>0</v>
      </c>
      <c r="DA92" s="1" t="n">
        <f aca="false">IF(CN92&gt;PR_BalDone,MIN(F_MortPayM,CN92+CN92*(F_MR/12)),0)</f>
        <v>0</v>
      </c>
      <c r="DB92" s="1" t="n">
        <f aca="false">IF(CO92&gt;PR_BalDone,MIN(F_MortPayM,CO92+CO92*(F_MR/12)),0)</f>
        <v>0</v>
      </c>
      <c r="DC92" s="1" t="n">
        <f aca="false">IF(CP92&gt;PR_BalDone,MIN(F_MortPayM,CP92+CP92*(F_MR/12)),0)</f>
        <v>0</v>
      </c>
      <c r="DD92" s="1" t="n">
        <f aca="false">IF(CQ92&gt;PR_BalDone,MIN(F_MortPayM,CQ92+CQ92*(F_MR/12)),0)</f>
        <v>0</v>
      </c>
      <c r="DE92" s="1" t="n">
        <f aca="false">MAX(0,CR92)</f>
        <v>0</v>
      </c>
      <c r="DF92" s="1" t="n">
        <f aca="false">SUM(CS92:DD92)</f>
        <v>0</v>
      </c>
      <c r="DG92" s="1" t="n">
        <f aca="false">MAX(0,CF92)</f>
        <v>0</v>
      </c>
    </row>
    <row r="93" customFormat="false" ht="15" hidden="false" customHeight="true" outlineLevel="0" collapsed="false">
      <c r="B93" s="1" t="n">
        <v>85</v>
      </c>
      <c r="C93" s="1" t="n">
        <f aca="false">'Plan cashflow'!I93</f>
        <v>0</v>
      </c>
      <c r="D93" s="1" t="n">
        <f aca="false">IF(C93&gt;PR_BalDone,C93+C93*(F_MR/12)-MIN(F_MortPayM,C93+C93*(F_MR/12)),C93)</f>
        <v>0</v>
      </c>
      <c r="E93" s="1" t="n">
        <f aca="false">IF(D93&gt;PR_BalDone,D93+D93*(F_MR/12)-MIN(F_MortPayM,D93+D93*(F_MR/12)),D93)</f>
        <v>0</v>
      </c>
      <c r="F93" s="1" t="n">
        <f aca="false">IF(E93&gt;PR_BalDone,E93+E93*(F_MR/12)-MIN(F_MortPayM,E93+E93*(F_MR/12)),E93)</f>
        <v>0</v>
      </c>
      <c r="G93" s="1" t="n">
        <f aca="false">IF(F93&gt;PR_BalDone,F93+F93*(F_MR/12)-MIN(F_MortPayM,F93+F93*(F_MR/12)),F93)</f>
        <v>0</v>
      </c>
      <c r="H93" s="1" t="n">
        <f aca="false">IF(G93&gt;PR_BalDone,G93+G93*(F_MR/12)-MIN(F_MortPayM,G93+G93*(F_MR/12)),G93)</f>
        <v>0</v>
      </c>
      <c r="I93" s="1" t="n">
        <f aca="false">IF(H93&gt;PR_BalDone,H93+H93*(F_MR/12)-MIN(F_MortPayM,H93+H93*(F_MR/12)),H93)</f>
        <v>0</v>
      </c>
      <c r="J93" s="1" t="n">
        <f aca="false">IF(I93&gt;PR_BalDone,I93+I93*(F_MR/12)-MIN(F_MortPayM,I93+I93*(F_MR/12)),I93)</f>
        <v>0</v>
      </c>
      <c r="K93" s="1" t="n">
        <f aca="false">IF(J93&gt;PR_BalDone,J93+J93*(F_MR/12)-MIN(F_MortPayM,J93+J93*(F_MR/12)),J93)</f>
        <v>0</v>
      </c>
      <c r="L93" s="1" t="n">
        <f aca="false">IF(K93&gt;PR_BalDone,K93+K93*(F_MR/12)-MIN(F_MortPayM,K93+K93*(F_MR/12)),K93)</f>
        <v>0</v>
      </c>
      <c r="M93" s="1" t="n">
        <f aca="false">IF(L93&gt;PR_BalDone,L93+L93*(F_MR/12)-MIN(F_MortPayM,L93+L93*(F_MR/12)),L93)</f>
        <v>0</v>
      </c>
      <c r="N93" s="1" t="n">
        <f aca="false">IF(M93&gt;PR_BalDone,M93+M93*(F_MR/12)-MIN(F_MortPayM,M93+M93*(F_MR/12)),M93)</f>
        <v>0</v>
      </c>
      <c r="O93" s="1" t="n">
        <f aca="false">IF(N93&gt;PR_BalDone,N93+N93*(F_MR/12)-MIN(F_MortPayM,N93+N93*(F_MR/12)),N93)</f>
        <v>0</v>
      </c>
      <c r="P93" s="1" t="n">
        <f aca="false">IF(C93&gt;PR_BalDone,MIN(F_MortPayM,C93+C93*(F_MR/12)),0)</f>
        <v>0</v>
      </c>
      <c r="Q93" s="1" t="n">
        <f aca="false">IF(D93&gt;PR_BalDone,MIN(F_MortPayM,D93+D93*(F_MR/12)),0)</f>
        <v>0</v>
      </c>
      <c r="R93" s="1" t="n">
        <f aca="false">IF(E93&gt;PR_BalDone,MIN(F_MortPayM,E93+E93*(F_MR/12)),0)</f>
        <v>0</v>
      </c>
      <c r="S93" s="1" t="n">
        <f aca="false">IF(F93&gt;PR_BalDone,MIN(F_MortPayM,F93+F93*(F_MR/12)),0)</f>
        <v>0</v>
      </c>
      <c r="T93" s="1" t="n">
        <f aca="false">IF(G93&gt;PR_BalDone,MIN(F_MortPayM,G93+G93*(F_MR/12)),0)</f>
        <v>0</v>
      </c>
      <c r="U93" s="1" t="n">
        <f aca="false">IF(H93&gt;PR_BalDone,MIN(F_MortPayM,H93+H93*(F_MR/12)),0)</f>
        <v>0</v>
      </c>
      <c r="V93" s="1" t="n">
        <f aca="false">IF(I93&gt;PR_BalDone,MIN(F_MortPayM,I93+I93*(F_MR/12)),0)</f>
        <v>0</v>
      </c>
      <c r="W93" s="1" t="n">
        <f aca="false">IF(J93&gt;PR_BalDone,MIN(F_MortPayM,J93+J93*(F_MR/12)),0)</f>
        <v>0</v>
      </c>
      <c r="X93" s="1" t="n">
        <f aca="false">IF(K93&gt;PR_BalDone,MIN(F_MortPayM,K93+K93*(F_MR/12)),0)</f>
        <v>0</v>
      </c>
      <c r="Y93" s="1" t="n">
        <f aca="false">IF(L93&gt;PR_BalDone,MIN(F_MortPayM,L93+L93*(F_MR/12)),0)</f>
        <v>0</v>
      </c>
      <c r="Z93" s="1" t="n">
        <f aca="false">IF(M93&gt;PR_BalDone,MIN(F_MortPayM,M93+M93*(F_MR/12)),0)</f>
        <v>0</v>
      </c>
      <c r="AA93" s="1" t="n">
        <f aca="false">IF(N93&gt;PR_BalDone,MIN(F_MortPayM,N93+N93*(F_MR/12)),0)</f>
        <v>0</v>
      </c>
      <c r="AB93" s="1" t="n">
        <f aca="false">MAX(0,O93)</f>
        <v>0</v>
      </c>
      <c r="AC93" s="1" t="n">
        <f aca="false">SUM(P93:AA93)</f>
        <v>0</v>
      </c>
      <c r="AD93" s="1" t="n">
        <f aca="false">'Plan cashflow'!L93</f>
        <v>0</v>
      </c>
      <c r="AE93" s="1" t="n">
        <f aca="false">IF(AD93&gt;PR_BalDone,AD93+AD93*(D_iC)-MIN(F_CardPayM,AD93+AD93*(D_iC)),AD93)</f>
        <v>0</v>
      </c>
      <c r="AF93" s="1" t="n">
        <f aca="false">IF(AE93&gt;PR_BalDone,AE93+AE93*(D_iC)-MIN(F_CardPayM,AE93+AE93*(D_iC)),AE93)</f>
        <v>0</v>
      </c>
      <c r="AG93" s="1" t="n">
        <f aca="false">IF(AF93&gt;PR_BalDone,AF93+AF93*(D_iC)-MIN(F_CardPayM,AF93+AF93*(D_iC)),AF93)</f>
        <v>0</v>
      </c>
      <c r="AH93" s="1" t="n">
        <f aca="false">IF(AG93&gt;PR_BalDone,AG93+AG93*(D_iC)-MIN(F_CardPayM,AG93+AG93*(D_iC)),AG93)</f>
        <v>0</v>
      </c>
      <c r="AI93" s="1" t="n">
        <f aca="false">IF(AH93&gt;PR_BalDone,AH93+AH93*(D_iC)-MIN(F_CardPayM,AH93+AH93*(D_iC)),AH93)</f>
        <v>0</v>
      </c>
      <c r="AJ93" s="1" t="n">
        <f aca="false">IF(AI93&gt;PR_BalDone,AI93+AI93*(D_iC)-MIN(F_CardPayM,AI93+AI93*(D_iC)),AI93)</f>
        <v>0</v>
      </c>
      <c r="AK93" s="1" t="n">
        <f aca="false">IF(AJ93&gt;PR_BalDone,AJ93+AJ93*(D_iC)-MIN(F_CardPayM,AJ93+AJ93*(D_iC)),AJ93)</f>
        <v>0</v>
      </c>
      <c r="AL93" s="1" t="n">
        <f aca="false">IF(AK93&gt;PR_BalDone,AK93+AK93*(D_iC)-MIN(F_CardPayM,AK93+AK93*(D_iC)),AK93)</f>
        <v>0</v>
      </c>
      <c r="AM93" s="1" t="n">
        <f aca="false">IF(AL93&gt;PR_BalDone,AL93+AL93*(D_iC)-MIN(F_CardPayM,AL93+AL93*(D_iC)),AL93)</f>
        <v>0</v>
      </c>
      <c r="AN93" s="1" t="n">
        <f aca="false">IF(AM93&gt;PR_BalDone,AM93+AM93*(D_iC)-MIN(F_CardPayM,AM93+AM93*(D_iC)),AM93)</f>
        <v>0</v>
      </c>
      <c r="AO93" s="1" t="n">
        <f aca="false">IF(AN93&gt;PR_BalDone,AN93+AN93*(D_iC)-MIN(F_CardPayM,AN93+AN93*(D_iC)),AN93)</f>
        <v>0</v>
      </c>
      <c r="AP93" s="1" t="n">
        <f aca="false">IF(AO93&gt;PR_BalDone,AO93+AO93*(D_iC)-MIN(F_CardPayM,AO93+AO93*(D_iC)),AO93)</f>
        <v>0</v>
      </c>
      <c r="AQ93" s="1" t="n">
        <f aca="false">IF(AD93&gt;PR_BalDone,MIN(F_CardPayM,AD93+AD93*(D_iC)),0)</f>
        <v>0</v>
      </c>
      <c r="AR93" s="1" t="n">
        <f aca="false">IF(AE93&gt;PR_BalDone,MIN(F_CardPayM,AE93+AE93*(D_iC)),0)</f>
        <v>0</v>
      </c>
      <c r="AS93" s="1" t="n">
        <f aca="false">IF(AF93&gt;PR_BalDone,MIN(F_CardPayM,AF93+AF93*(D_iC)),0)</f>
        <v>0</v>
      </c>
      <c r="AT93" s="1" t="n">
        <f aca="false">IF(AG93&gt;PR_BalDone,MIN(F_CardPayM,AG93+AG93*(D_iC)),0)</f>
        <v>0</v>
      </c>
      <c r="AU93" s="1" t="n">
        <f aca="false">IF(AH93&gt;PR_BalDone,MIN(F_CardPayM,AH93+AH93*(D_iC)),0)</f>
        <v>0</v>
      </c>
      <c r="AV93" s="1" t="n">
        <f aca="false">IF(AI93&gt;PR_BalDone,MIN(F_CardPayM,AI93+AI93*(D_iC)),0)</f>
        <v>0</v>
      </c>
      <c r="AW93" s="1" t="n">
        <f aca="false">IF(AJ93&gt;PR_BalDone,MIN(F_CardPayM,AJ93+AJ93*(D_iC)),0)</f>
        <v>0</v>
      </c>
      <c r="AX93" s="1" t="n">
        <f aca="false">IF(AK93&gt;PR_BalDone,MIN(F_CardPayM,AK93+AK93*(D_iC)),0)</f>
        <v>0</v>
      </c>
      <c r="AY93" s="1" t="n">
        <f aca="false">IF(AL93&gt;PR_BalDone,MIN(F_CardPayM,AL93+AL93*(D_iC)),0)</f>
        <v>0</v>
      </c>
      <c r="AZ93" s="1" t="n">
        <f aca="false">IF(AM93&gt;PR_BalDone,MIN(F_CardPayM,AM93+AM93*(D_iC)),0)</f>
        <v>0</v>
      </c>
      <c r="BA93" s="1" t="n">
        <f aca="false">IF(AN93&gt;PR_BalDone,MIN(F_CardPayM,AN93+AN93*(D_iC)),0)</f>
        <v>0</v>
      </c>
      <c r="BB93" s="1" t="n">
        <f aca="false">IF(AO93&gt;PR_BalDone,MIN(F_CardPayM,AO93+AO93*(D_iC)),0)</f>
        <v>0</v>
      </c>
      <c r="BC93" s="1" t="n">
        <f aca="false">MAX(0,AP93)</f>
        <v>0</v>
      </c>
      <c r="BD93" s="1" t="n">
        <f aca="false">SUM(AQ93:BB93)</f>
        <v>0</v>
      </c>
      <c r="BE93" s="1" t="n">
        <f aca="false">'Plan cashflow'!O93</f>
        <v>0</v>
      </c>
      <c r="BF93" s="1" t="n">
        <f aca="false">IF(BE93&gt;PR_BalDone,BE93+BE93*(D_iL)-MIN(F_LoanPayM,BE93+BE93*(D_iL)),BE93)</f>
        <v>0</v>
      </c>
      <c r="BG93" s="1" t="n">
        <f aca="false">IF(BF93&gt;PR_BalDone,BF93+BF93*(D_iL)-MIN(F_LoanPayM,BF93+BF93*(D_iL)),BF93)</f>
        <v>0</v>
      </c>
      <c r="BH93" s="1" t="n">
        <f aca="false">IF(BG93&gt;PR_BalDone,BG93+BG93*(D_iL)-MIN(F_LoanPayM,BG93+BG93*(D_iL)),BG93)</f>
        <v>0</v>
      </c>
      <c r="BI93" s="1" t="n">
        <f aca="false">IF(BH93&gt;PR_BalDone,BH93+BH93*(D_iL)-MIN(F_LoanPayM,BH93+BH93*(D_iL)),BH93)</f>
        <v>0</v>
      </c>
      <c r="BJ93" s="1" t="n">
        <f aca="false">IF(BI93&gt;PR_BalDone,BI93+BI93*(D_iL)-MIN(F_LoanPayM,BI93+BI93*(D_iL)),BI93)</f>
        <v>0</v>
      </c>
      <c r="BK93" s="1" t="n">
        <f aca="false">IF(BJ93&gt;PR_BalDone,BJ93+BJ93*(D_iL)-MIN(F_LoanPayM,BJ93+BJ93*(D_iL)),BJ93)</f>
        <v>0</v>
      </c>
      <c r="BL93" s="1" t="n">
        <f aca="false">IF(BK93&gt;PR_BalDone,BK93+BK93*(D_iL)-MIN(F_LoanPayM,BK93+BK93*(D_iL)),BK93)</f>
        <v>0</v>
      </c>
      <c r="BM93" s="1" t="n">
        <f aca="false">IF(BL93&gt;PR_BalDone,BL93+BL93*(D_iL)-MIN(F_LoanPayM,BL93+BL93*(D_iL)),BL93)</f>
        <v>0</v>
      </c>
      <c r="BN93" s="1" t="n">
        <f aca="false">IF(BM93&gt;PR_BalDone,BM93+BM93*(D_iL)-MIN(F_LoanPayM,BM93+BM93*(D_iL)),BM93)</f>
        <v>0</v>
      </c>
      <c r="BO93" s="1" t="n">
        <f aca="false">IF(BN93&gt;PR_BalDone,BN93+BN93*(D_iL)-MIN(F_LoanPayM,BN93+BN93*(D_iL)),BN93)</f>
        <v>0</v>
      </c>
      <c r="BP93" s="1" t="n">
        <f aca="false">IF(BO93&gt;PR_BalDone,BO93+BO93*(D_iL)-MIN(F_LoanPayM,BO93+BO93*(D_iL)),BO93)</f>
        <v>0</v>
      </c>
      <c r="BQ93" s="1" t="n">
        <f aca="false">IF(BP93&gt;PR_BalDone,BP93+BP93*(D_iL)-MIN(F_LoanPayM,BP93+BP93*(D_iL)),BP93)</f>
        <v>0</v>
      </c>
      <c r="BR93" s="1" t="n">
        <f aca="false">IF(BE93&gt;PR_BalDone,MIN(F_LoanPayM,BE93+BE93*(D_iL)),0)</f>
        <v>0</v>
      </c>
      <c r="BS93" s="1" t="n">
        <f aca="false">IF(BF93&gt;PR_BalDone,MIN(F_LoanPayM,BF93+BF93*(D_iL)),0)</f>
        <v>0</v>
      </c>
      <c r="BT93" s="1" t="n">
        <f aca="false">IF(BG93&gt;PR_BalDone,MIN(F_LoanPayM,BG93+BG93*(D_iL)),0)</f>
        <v>0</v>
      </c>
      <c r="BU93" s="1" t="n">
        <f aca="false">IF(BH93&gt;PR_BalDone,MIN(F_LoanPayM,BH93+BH93*(D_iL)),0)</f>
        <v>0</v>
      </c>
      <c r="BV93" s="1" t="n">
        <f aca="false">IF(BI93&gt;PR_BalDone,MIN(F_LoanPayM,BI93+BI93*(D_iL)),0)</f>
        <v>0</v>
      </c>
      <c r="BW93" s="1" t="n">
        <f aca="false">IF(BJ93&gt;PR_BalDone,MIN(F_LoanPayM,BJ93+BJ93*(D_iL)),0)</f>
        <v>0</v>
      </c>
      <c r="BX93" s="1" t="n">
        <f aca="false">IF(BK93&gt;PR_BalDone,MIN(F_LoanPayM,BK93+BK93*(D_iL)),0)</f>
        <v>0</v>
      </c>
      <c r="BY93" s="1" t="n">
        <f aca="false">IF(BL93&gt;PR_BalDone,MIN(F_LoanPayM,BL93+BL93*(D_iL)),0)</f>
        <v>0</v>
      </c>
      <c r="BZ93" s="1" t="n">
        <f aca="false">IF(BM93&gt;PR_BalDone,MIN(F_LoanPayM,BM93+BM93*(D_iL)),0)</f>
        <v>0</v>
      </c>
      <c r="CA93" s="1" t="n">
        <f aca="false">IF(BN93&gt;PR_BalDone,MIN(F_LoanPayM,BN93+BN93*(D_iL)),0)</f>
        <v>0</v>
      </c>
      <c r="CB93" s="1" t="n">
        <f aca="false">IF(BO93&gt;PR_BalDone,MIN(F_LoanPayM,BO93+BO93*(D_iL)),0)</f>
        <v>0</v>
      </c>
      <c r="CC93" s="1" t="n">
        <f aca="false">IF(BP93&gt;PR_BalDone,MIN(F_LoanPayM,BP93+BP93*(D_iL)),0)</f>
        <v>0</v>
      </c>
      <c r="CD93" s="1" t="n">
        <f aca="false">MAX(0,BQ93)</f>
        <v>0</v>
      </c>
      <c r="CE93" s="1" t="n">
        <f aca="false">SUM(BR93:CC93)</f>
        <v>0</v>
      </c>
      <c r="CF93" s="1" t="n">
        <f aca="false">IF(CF92&gt;1,DE92,CF92)</f>
        <v>0</v>
      </c>
      <c r="CG93" s="1" t="n">
        <f aca="false">IF(CF93&gt;PR_BalDone,CF93+CF93*(F_MR/12)-MIN(F_MortPayM,CF93+CF93*(F_MR/12)),CF93)</f>
        <v>0</v>
      </c>
      <c r="CH93" s="1" t="n">
        <f aca="false">IF(CG93&gt;PR_BalDone,CG93+CG93*(F_MR/12)-MIN(F_MortPayM,CG93+CG93*(F_MR/12)),CG93)</f>
        <v>0</v>
      </c>
      <c r="CI93" s="1" t="n">
        <f aca="false">IF(CH93&gt;PR_BalDone,CH93+CH93*(F_MR/12)-MIN(F_MortPayM,CH93+CH93*(F_MR/12)),CH93)</f>
        <v>0</v>
      </c>
      <c r="CJ93" s="1" t="n">
        <f aca="false">IF(CI93&gt;PR_BalDone,CI93+CI93*(F_MR/12)-MIN(F_MortPayM,CI93+CI93*(F_MR/12)),CI93)</f>
        <v>0</v>
      </c>
      <c r="CK93" s="1" t="n">
        <f aca="false">IF(CJ93&gt;PR_BalDone,CJ93+CJ93*(F_MR/12)-MIN(F_MortPayM,CJ93+CJ93*(F_MR/12)),CJ93)</f>
        <v>0</v>
      </c>
      <c r="CL93" s="1" t="n">
        <f aca="false">IF(CK93&gt;PR_BalDone,CK93+CK93*(F_MR/12)-MIN(F_MortPayM,CK93+CK93*(F_MR/12)),CK93)</f>
        <v>0</v>
      </c>
      <c r="CM93" s="1" t="n">
        <f aca="false">IF(CL93&gt;PR_BalDone,CL93+CL93*(F_MR/12)-MIN(F_MortPayM,CL93+CL93*(F_MR/12)),CL93)</f>
        <v>0</v>
      </c>
      <c r="CN93" s="1" t="n">
        <f aca="false">IF(CM93&gt;PR_BalDone,CM93+CM93*(F_MR/12)-MIN(F_MortPayM,CM93+CM93*(F_MR/12)),CM93)</f>
        <v>0</v>
      </c>
      <c r="CO93" s="1" t="n">
        <f aca="false">IF(CN93&gt;PR_BalDone,CN93+CN93*(F_MR/12)-MIN(F_MortPayM,CN93+CN93*(F_MR/12)),CN93)</f>
        <v>0</v>
      </c>
      <c r="CP93" s="1" t="n">
        <f aca="false">IF(CO93&gt;PR_BalDone,CO93+CO93*(F_MR/12)-MIN(F_MortPayM,CO93+CO93*(F_MR/12)),CO93)</f>
        <v>0</v>
      </c>
      <c r="CQ93" s="1" t="n">
        <f aca="false">IF(CP93&gt;PR_BalDone,CP93+CP93*(F_MR/12)-MIN(F_MortPayM,CP93+CP93*(F_MR/12)),CP93)</f>
        <v>0</v>
      </c>
      <c r="CR93" s="1" t="n">
        <f aca="false">IF(CQ93&gt;PR_BalDone,CQ93+CQ93*(F_MR/12)-MIN(F_MortPayM,CQ93+CQ93*(F_MR/12)),CQ93)</f>
        <v>0</v>
      </c>
      <c r="CS93" s="1" t="n">
        <f aca="false">IF(CF93&gt;PR_BalDone,MIN(F_MortPayM,CF93+CF93*(F_MR/12)),0)</f>
        <v>0</v>
      </c>
      <c r="CT93" s="1" t="n">
        <f aca="false">IF(CG93&gt;PR_BalDone,MIN(F_MortPayM,CG93+CG93*(F_MR/12)),0)</f>
        <v>0</v>
      </c>
      <c r="CU93" s="1" t="n">
        <f aca="false">IF(CH93&gt;PR_BalDone,MIN(F_MortPayM,CH93+CH93*(F_MR/12)),0)</f>
        <v>0</v>
      </c>
      <c r="CV93" s="1" t="n">
        <f aca="false">IF(CI93&gt;PR_BalDone,MIN(F_MortPayM,CI93+CI93*(F_MR/12)),0)</f>
        <v>0</v>
      </c>
      <c r="CW93" s="1" t="n">
        <f aca="false">IF(CJ93&gt;PR_BalDone,MIN(F_MortPayM,CJ93+CJ93*(F_MR/12)),0)</f>
        <v>0</v>
      </c>
      <c r="CX93" s="1" t="n">
        <f aca="false">IF(CK93&gt;PR_BalDone,MIN(F_MortPayM,CK93+CK93*(F_MR/12)),0)</f>
        <v>0</v>
      </c>
      <c r="CY93" s="1" t="n">
        <f aca="false">IF(CL93&gt;PR_BalDone,MIN(F_MortPayM,CL93+CL93*(F_MR/12)),0)</f>
        <v>0</v>
      </c>
      <c r="CZ93" s="1" t="n">
        <f aca="false">IF(CM93&gt;PR_BalDone,MIN(F_MortPayM,CM93+CM93*(F_MR/12)),0)</f>
        <v>0</v>
      </c>
      <c r="DA93" s="1" t="n">
        <f aca="false">IF(CN93&gt;PR_BalDone,MIN(F_MortPayM,CN93+CN93*(F_MR/12)),0)</f>
        <v>0</v>
      </c>
      <c r="DB93" s="1" t="n">
        <f aca="false">IF(CO93&gt;PR_BalDone,MIN(F_MortPayM,CO93+CO93*(F_MR/12)),0)</f>
        <v>0</v>
      </c>
      <c r="DC93" s="1" t="n">
        <f aca="false">IF(CP93&gt;PR_BalDone,MIN(F_MortPayM,CP93+CP93*(F_MR/12)),0)</f>
        <v>0</v>
      </c>
      <c r="DD93" s="1" t="n">
        <f aca="false">IF(CQ93&gt;PR_BalDone,MIN(F_MortPayM,CQ93+CQ93*(F_MR/12)),0)</f>
        <v>0</v>
      </c>
      <c r="DE93" s="1" t="n">
        <f aca="false">MAX(0,CR93)</f>
        <v>0</v>
      </c>
      <c r="DF93" s="1" t="n">
        <f aca="false">SUM(CS93:DD93)</f>
        <v>0</v>
      </c>
      <c r="DG93" s="1" t="n">
        <f aca="false">MAX(0,CF93)</f>
        <v>0</v>
      </c>
    </row>
    <row r="94" customFormat="false" ht="15" hidden="false" customHeight="true" outlineLevel="0" collapsed="false">
      <c r="B94" s="1" t="n">
        <v>86</v>
      </c>
      <c r="C94" s="1" t="n">
        <f aca="false">'Plan cashflow'!I94</f>
        <v>0</v>
      </c>
      <c r="D94" s="1" t="n">
        <f aca="false">IF(C94&gt;PR_BalDone,C94+C94*(F_MR/12)-MIN(F_MortPayM,C94+C94*(F_MR/12)),C94)</f>
        <v>0</v>
      </c>
      <c r="E94" s="1" t="n">
        <f aca="false">IF(D94&gt;PR_BalDone,D94+D94*(F_MR/12)-MIN(F_MortPayM,D94+D94*(F_MR/12)),D94)</f>
        <v>0</v>
      </c>
      <c r="F94" s="1" t="n">
        <f aca="false">IF(E94&gt;PR_BalDone,E94+E94*(F_MR/12)-MIN(F_MortPayM,E94+E94*(F_MR/12)),E94)</f>
        <v>0</v>
      </c>
      <c r="G94" s="1" t="n">
        <f aca="false">IF(F94&gt;PR_BalDone,F94+F94*(F_MR/12)-MIN(F_MortPayM,F94+F94*(F_MR/12)),F94)</f>
        <v>0</v>
      </c>
      <c r="H94" s="1" t="n">
        <f aca="false">IF(G94&gt;PR_BalDone,G94+G94*(F_MR/12)-MIN(F_MortPayM,G94+G94*(F_MR/12)),G94)</f>
        <v>0</v>
      </c>
      <c r="I94" s="1" t="n">
        <f aca="false">IF(H94&gt;PR_BalDone,H94+H94*(F_MR/12)-MIN(F_MortPayM,H94+H94*(F_MR/12)),H94)</f>
        <v>0</v>
      </c>
      <c r="J94" s="1" t="n">
        <f aca="false">IF(I94&gt;PR_BalDone,I94+I94*(F_MR/12)-MIN(F_MortPayM,I94+I94*(F_MR/12)),I94)</f>
        <v>0</v>
      </c>
      <c r="K94" s="1" t="n">
        <f aca="false">IF(J94&gt;PR_BalDone,J94+J94*(F_MR/12)-MIN(F_MortPayM,J94+J94*(F_MR/12)),J94)</f>
        <v>0</v>
      </c>
      <c r="L94" s="1" t="n">
        <f aca="false">IF(K94&gt;PR_BalDone,K94+K94*(F_MR/12)-MIN(F_MortPayM,K94+K94*(F_MR/12)),K94)</f>
        <v>0</v>
      </c>
      <c r="M94" s="1" t="n">
        <f aca="false">IF(L94&gt;PR_BalDone,L94+L94*(F_MR/12)-MIN(F_MortPayM,L94+L94*(F_MR/12)),L94)</f>
        <v>0</v>
      </c>
      <c r="N94" s="1" t="n">
        <f aca="false">IF(M94&gt;PR_BalDone,M94+M94*(F_MR/12)-MIN(F_MortPayM,M94+M94*(F_MR/12)),M94)</f>
        <v>0</v>
      </c>
      <c r="O94" s="1" t="n">
        <f aca="false">IF(N94&gt;PR_BalDone,N94+N94*(F_MR/12)-MIN(F_MortPayM,N94+N94*(F_MR/12)),N94)</f>
        <v>0</v>
      </c>
      <c r="P94" s="1" t="n">
        <f aca="false">IF(C94&gt;PR_BalDone,MIN(F_MortPayM,C94+C94*(F_MR/12)),0)</f>
        <v>0</v>
      </c>
      <c r="Q94" s="1" t="n">
        <f aca="false">IF(D94&gt;PR_BalDone,MIN(F_MortPayM,D94+D94*(F_MR/12)),0)</f>
        <v>0</v>
      </c>
      <c r="R94" s="1" t="n">
        <f aca="false">IF(E94&gt;PR_BalDone,MIN(F_MortPayM,E94+E94*(F_MR/12)),0)</f>
        <v>0</v>
      </c>
      <c r="S94" s="1" t="n">
        <f aca="false">IF(F94&gt;PR_BalDone,MIN(F_MortPayM,F94+F94*(F_MR/12)),0)</f>
        <v>0</v>
      </c>
      <c r="T94" s="1" t="n">
        <f aca="false">IF(G94&gt;PR_BalDone,MIN(F_MortPayM,G94+G94*(F_MR/12)),0)</f>
        <v>0</v>
      </c>
      <c r="U94" s="1" t="n">
        <f aca="false">IF(H94&gt;PR_BalDone,MIN(F_MortPayM,H94+H94*(F_MR/12)),0)</f>
        <v>0</v>
      </c>
      <c r="V94" s="1" t="n">
        <f aca="false">IF(I94&gt;PR_BalDone,MIN(F_MortPayM,I94+I94*(F_MR/12)),0)</f>
        <v>0</v>
      </c>
      <c r="W94" s="1" t="n">
        <f aca="false">IF(J94&gt;PR_BalDone,MIN(F_MortPayM,J94+J94*(F_MR/12)),0)</f>
        <v>0</v>
      </c>
      <c r="X94" s="1" t="n">
        <f aca="false">IF(K94&gt;PR_BalDone,MIN(F_MortPayM,K94+K94*(F_MR/12)),0)</f>
        <v>0</v>
      </c>
      <c r="Y94" s="1" t="n">
        <f aca="false">IF(L94&gt;PR_BalDone,MIN(F_MortPayM,L94+L94*(F_MR/12)),0)</f>
        <v>0</v>
      </c>
      <c r="Z94" s="1" t="n">
        <f aca="false">IF(M94&gt;PR_BalDone,MIN(F_MortPayM,M94+M94*(F_MR/12)),0)</f>
        <v>0</v>
      </c>
      <c r="AA94" s="1" t="n">
        <f aca="false">IF(N94&gt;PR_BalDone,MIN(F_MortPayM,N94+N94*(F_MR/12)),0)</f>
        <v>0</v>
      </c>
      <c r="AB94" s="1" t="n">
        <f aca="false">MAX(0,O94)</f>
        <v>0</v>
      </c>
      <c r="AC94" s="1" t="n">
        <f aca="false">SUM(P94:AA94)</f>
        <v>0</v>
      </c>
      <c r="AD94" s="1" t="n">
        <f aca="false">'Plan cashflow'!L94</f>
        <v>0</v>
      </c>
      <c r="AE94" s="1" t="n">
        <f aca="false">IF(AD94&gt;PR_BalDone,AD94+AD94*(D_iC)-MIN(F_CardPayM,AD94+AD94*(D_iC)),AD94)</f>
        <v>0</v>
      </c>
      <c r="AF94" s="1" t="n">
        <f aca="false">IF(AE94&gt;PR_BalDone,AE94+AE94*(D_iC)-MIN(F_CardPayM,AE94+AE94*(D_iC)),AE94)</f>
        <v>0</v>
      </c>
      <c r="AG94" s="1" t="n">
        <f aca="false">IF(AF94&gt;PR_BalDone,AF94+AF94*(D_iC)-MIN(F_CardPayM,AF94+AF94*(D_iC)),AF94)</f>
        <v>0</v>
      </c>
      <c r="AH94" s="1" t="n">
        <f aca="false">IF(AG94&gt;PR_BalDone,AG94+AG94*(D_iC)-MIN(F_CardPayM,AG94+AG94*(D_iC)),AG94)</f>
        <v>0</v>
      </c>
      <c r="AI94" s="1" t="n">
        <f aca="false">IF(AH94&gt;PR_BalDone,AH94+AH94*(D_iC)-MIN(F_CardPayM,AH94+AH94*(D_iC)),AH94)</f>
        <v>0</v>
      </c>
      <c r="AJ94" s="1" t="n">
        <f aca="false">IF(AI94&gt;PR_BalDone,AI94+AI94*(D_iC)-MIN(F_CardPayM,AI94+AI94*(D_iC)),AI94)</f>
        <v>0</v>
      </c>
      <c r="AK94" s="1" t="n">
        <f aca="false">IF(AJ94&gt;PR_BalDone,AJ94+AJ94*(D_iC)-MIN(F_CardPayM,AJ94+AJ94*(D_iC)),AJ94)</f>
        <v>0</v>
      </c>
      <c r="AL94" s="1" t="n">
        <f aca="false">IF(AK94&gt;PR_BalDone,AK94+AK94*(D_iC)-MIN(F_CardPayM,AK94+AK94*(D_iC)),AK94)</f>
        <v>0</v>
      </c>
      <c r="AM94" s="1" t="n">
        <f aca="false">IF(AL94&gt;PR_BalDone,AL94+AL94*(D_iC)-MIN(F_CardPayM,AL94+AL94*(D_iC)),AL94)</f>
        <v>0</v>
      </c>
      <c r="AN94" s="1" t="n">
        <f aca="false">IF(AM94&gt;PR_BalDone,AM94+AM94*(D_iC)-MIN(F_CardPayM,AM94+AM94*(D_iC)),AM94)</f>
        <v>0</v>
      </c>
      <c r="AO94" s="1" t="n">
        <f aca="false">IF(AN94&gt;PR_BalDone,AN94+AN94*(D_iC)-MIN(F_CardPayM,AN94+AN94*(D_iC)),AN94)</f>
        <v>0</v>
      </c>
      <c r="AP94" s="1" t="n">
        <f aca="false">IF(AO94&gt;PR_BalDone,AO94+AO94*(D_iC)-MIN(F_CardPayM,AO94+AO94*(D_iC)),AO94)</f>
        <v>0</v>
      </c>
      <c r="AQ94" s="1" t="n">
        <f aca="false">IF(AD94&gt;PR_BalDone,MIN(F_CardPayM,AD94+AD94*(D_iC)),0)</f>
        <v>0</v>
      </c>
      <c r="AR94" s="1" t="n">
        <f aca="false">IF(AE94&gt;PR_BalDone,MIN(F_CardPayM,AE94+AE94*(D_iC)),0)</f>
        <v>0</v>
      </c>
      <c r="AS94" s="1" t="n">
        <f aca="false">IF(AF94&gt;PR_BalDone,MIN(F_CardPayM,AF94+AF94*(D_iC)),0)</f>
        <v>0</v>
      </c>
      <c r="AT94" s="1" t="n">
        <f aca="false">IF(AG94&gt;PR_BalDone,MIN(F_CardPayM,AG94+AG94*(D_iC)),0)</f>
        <v>0</v>
      </c>
      <c r="AU94" s="1" t="n">
        <f aca="false">IF(AH94&gt;PR_BalDone,MIN(F_CardPayM,AH94+AH94*(D_iC)),0)</f>
        <v>0</v>
      </c>
      <c r="AV94" s="1" t="n">
        <f aca="false">IF(AI94&gt;PR_BalDone,MIN(F_CardPayM,AI94+AI94*(D_iC)),0)</f>
        <v>0</v>
      </c>
      <c r="AW94" s="1" t="n">
        <f aca="false">IF(AJ94&gt;PR_BalDone,MIN(F_CardPayM,AJ94+AJ94*(D_iC)),0)</f>
        <v>0</v>
      </c>
      <c r="AX94" s="1" t="n">
        <f aca="false">IF(AK94&gt;PR_BalDone,MIN(F_CardPayM,AK94+AK94*(D_iC)),0)</f>
        <v>0</v>
      </c>
      <c r="AY94" s="1" t="n">
        <f aca="false">IF(AL94&gt;PR_BalDone,MIN(F_CardPayM,AL94+AL94*(D_iC)),0)</f>
        <v>0</v>
      </c>
      <c r="AZ94" s="1" t="n">
        <f aca="false">IF(AM94&gt;PR_BalDone,MIN(F_CardPayM,AM94+AM94*(D_iC)),0)</f>
        <v>0</v>
      </c>
      <c r="BA94" s="1" t="n">
        <f aca="false">IF(AN94&gt;PR_BalDone,MIN(F_CardPayM,AN94+AN94*(D_iC)),0)</f>
        <v>0</v>
      </c>
      <c r="BB94" s="1" t="n">
        <f aca="false">IF(AO94&gt;PR_BalDone,MIN(F_CardPayM,AO94+AO94*(D_iC)),0)</f>
        <v>0</v>
      </c>
      <c r="BC94" s="1" t="n">
        <f aca="false">MAX(0,AP94)</f>
        <v>0</v>
      </c>
      <c r="BD94" s="1" t="n">
        <f aca="false">SUM(AQ94:BB94)</f>
        <v>0</v>
      </c>
      <c r="BE94" s="1" t="n">
        <f aca="false">'Plan cashflow'!O94</f>
        <v>0</v>
      </c>
      <c r="BF94" s="1" t="n">
        <f aca="false">IF(BE94&gt;PR_BalDone,BE94+BE94*(D_iL)-MIN(F_LoanPayM,BE94+BE94*(D_iL)),BE94)</f>
        <v>0</v>
      </c>
      <c r="BG94" s="1" t="n">
        <f aca="false">IF(BF94&gt;PR_BalDone,BF94+BF94*(D_iL)-MIN(F_LoanPayM,BF94+BF94*(D_iL)),BF94)</f>
        <v>0</v>
      </c>
      <c r="BH94" s="1" t="n">
        <f aca="false">IF(BG94&gt;PR_BalDone,BG94+BG94*(D_iL)-MIN(F_LoanPayM,BG94+BG94*(D_iL)),BG94)</f>
        <v>0</v>
      </c>
      <c r="BI94" s="1" t="n">
        <f aca="false">IF(BH94&gt;PR_BalDone,BH94+BH94*(D_iL)-MIN(F_LoanPayM,BH94+BH94*(D_iL)),BH94)</f>
        <v>0</v>
      </c>
      <c r="BJ94" s="1" t="n">
        <f aca="false">IF(BI94&gt;PR_BalDone,BI94+BI94*(D_iL)-MIN(F_LoanPayM,BI94+BI94*(D_iL)),BI94)</f>
        <v>0</v>
      </c>
      <c r="BK94" s="1" t="n">
        <f aca="false">IF(BJ94&gt;PR_BalDone,BJ94+BJ94*(D_iL)-MIN(F_LoanPayM,BJ94+BJ94*(D_iL)),BJ94)</f>
        <v>0</v>
      </c>
      <c r="BL94" s="1" t="n">
        <f aca="false">IF(BK94&gt;PR_BalDone,BK94+BK94*(D_iL)-MIN(F_LoanPayM,BK94+BK94*(D_iL)),BK94)</f>
        <v>0</v>
      </c>
      <c r="BM94" s="1" t="n">
        <f aca="false">IF(BL94&gt;PR_BalDone,BL94+BL94*(D_iL)-MIN(F_LoanPayM,BL94+BL94*(D_iL)),BL94)</f>
        <v>0</v>
      </c>
      <c r="BN94" s="1" t="n">
        <f aca="false">IF(BM94&gt;PR_BalDone,BM94+BM94*(D_iL)-MIN(F_LoanPayM,BM94+BM94*(D_iL)),BM94)</f>
        <v>0</v>
      </c>
      <c r="BO94" s="1" t="n">
        <f aca="false">IF(BN94&gt;PR_BalDone,BN94+BN94*(D_iL)-MIN(F_LoanPayM,BN94+BN94*(D_iL)),BN94)</f>
        <v>0</v>
      </c>
      <c r="BP94" s="1" t="n">
        <f aca="false">IF(BO94&gt;PR_BalDone,BO94+BO94*(D_iL)-MIN(F_LoanPayM,BO94+BO94*(D_iL)),BO94)</f>
        <v>0</v>
      </c>
      <c r="BQ94" s="1" t="n">
        <f aca="false">IF(BP94&gt;PR_BalDone,BP94+BP94*(D_iL)-MIN(F_LoanPayM,BP94+BP94*(D_iL)),BP94)</f>
        <v>0</v>
      </c>
      <c r="BR94" s="1" t="n">
        <f aca="false">IF(BE94&gt;PR_BalDone,MIN(F_LoanPayM,BE94+BE94*(D_iL)),0)</f>
        <v>0</v>
      </c>
      <c r="BS94" s="1" t="n">
        <f aca="false">IF(BF94&gt;PR_BalDone,MIN(F_LoanPayM,BF94+BF94*(D_iL)),0)</f>
        <v>0</v>
      </c>
      <c r="BT94" s="1" t="n">
        <f aca="false">IF(BG94&gt;PR_BalDone,MIN(F_LoanPayM,BG94+BG94*(D_iL)),0)</f>
        <v>0</v>
      </c>
      <c r="BU94" s="1" t="n">
        <f aca="false">IF(BH94&gt;PR_BalDone,MIN(F_LoanPayM,BH94+BH94*(D_iL)),0)</f>
        <v>0</v>
      </c>
      <c r="BV94" s="1" t="n">
        <f aca="false">IF(BI94&gt;PR_BalDone,MIN(F_LoanPayM,BI94+BI94*(D_iL)),0)</f>
        <v>0</v>
      </c>
      <c r="BW94" s="1" t="n">
        <f aca="false">IF(BJ94&gt;PR_BalDone,MIN(F_LoanPayM,BJ94+BJ94*(D_iL)),0)</f>
        <v>0</v>
      </c>
      <c r="BX94" s="1" t="n">
        <f aca="false">IF(BK94&gt;PR_BalDone,MIN(F_LoanPayM,BK94+BK94*(D_iL)),0)</f>
        <v>0</v>
      </c>
      <c r="BY94" s="1" t="n">
        <f aca="false">IF(BL94&gt;PR_BalDone,MIN(F_LoanPayM,BL94+BL94*(D_iL)),0)</f>
        <v>0</v>
      </c>
      <c r="BZ94" s="1" t="n">
        <f aca="false">IF(BM94&gt;PR_BalDone,MIN(F_LoanPayM,BM94+BM94*(D_iL)),0)</f>
        <v>0</v>
      </c>
      <c r="CA94" s="1" t="n">
        <f aca="false">IF(BN94&gt;PR_BalDone,MIN(F_LoanPayM,BN94+BN94*(D_iL)),0)</f>
        <v>0</v>
      </c>
      <c r="CB94" s="1" t="n">
        <f aca="false">IF(BO94&gt;PR_BalDone,MIN(F_LoanPayM,BO94+BO94*(D_iL)),0)</f>
        <v>0</v>
      </c>
      <c r="CC94" s="1" t="n">
        <f aca="false">IF(BP94&gt;PR_BalDone,MIN(F_LoanPayM,BP94+BP94*(D_iL)),0)</f>
        <v>0</v>
      </c>
      <c r="CD94" s="1" t="n">
        <f aca="false">MAX(0,BQ94)</f>
        <v>0</v>
      </c>
      <c r="CE94" s="1" t="n">
        <f aca="false">SUM(BR94:CC94)</f>
        <v>0</v>
      </c>
      <c r="CF94" s="1" t="n">
        <f aca="false">IF(CF93&gt;1,DE93,CF93)</f>
        <v>0</v>
      </c>
      <c r="CG94" s="1" t="n">
        <f aca="false">IF(CF94&gt;PR_BalDone,CF94+CF94*(F_MR/12)-MIN(F_MortPayM,CF94+CF94*(F_MR/12)),CF94)</f>
        <v>0</v>
      </c>
      <c r="CH94" s="1" t="n">
        <f aca="false">IF(CG94&gt;PR_BalDone,CG94+CG94*(F_MR/12)-MIN(F_MortPayM,CG94+CG94*(F_MR/12)),CG94)</f>
        <v>0</v>
      </c>
      <c r="CI94" s="1" t="n">
        <f aca="false">IF(CH94&gt;PR_BalDone,CH94+CH94*(F_MR/12)-MIN(F_MortPayM,CH94+CH94*(F_MR/12)),CH94)</f>
        <v>0</v>
      </c>
      <c r="CJ94" s="1" t="n">
        <f aca="false">IF(CI94&gt;PR_BalDone,CI94+CI94*(F_MR/12)-MIN(F_MortPayM,CI94+CI94*(F_MR/12)),CI94)</f>
        <v>0</v>
      </c>
      <c r="CK94" s="1" t="n">
        <f aca="false">IF(CJ94&gt;PR_BalDone,CJ94+CJ94*(F_MR/12)-MIN(F_MortPayM,CJ94+CJ94*(F_MR/12)),CJ94)</f>
        <v>0</v>
      </c>
      <c r="CL94" s="1" t="n">
        <f aca="false">IF(CK94&gt;PR_BalDone,CK94+CK94*(F_MR/12)-MIN(F_MortPayM,CK94+CK94*(F_MR/12)),CK94)</f>
        <v>0</v>
      </c>
      <c r="CM94" s="1" t="n">
        <f aca="false">IF(CL94&gt;PR_BalDone,CL94+CL94*(F_MR/12)-MIN(F_MortPayM,CL94+CL94*(F_MR/12)),CL94)</f>
        <v>0</v>
      </c>
      <c r="CN94" s="1" t="n">
        <f aca="false">IF(CM94&gt;PR_BalDone,CM94+CM94*(F_MR/12)-MIN(F_MortPayM,CM94+CM94*(F_MR/12)),CM94)</f>
        <v>0</v>
      </c>
      <c r="CO94" s="1" t="n">
        <f aca="false">IF(CN94&gt;PR_BalDone,CN94+CN94*(F_MR/12)-MIN(F_MortPayM,CN94+CN94*(F_MR/12)),CN94)</f>
        <v>0</v>
      </c>
      <c r="CP94" s="1" t="n">
        <f aca="false">IF(CO94&gt;PR_BalDone,CO94+CO94*(F_MR/12)-MIN(F_MortPayM,CO94+CO94*(F_MR/12)),CO94)</f>
        <v>0</v>
      </c>
      <c r="CQ94" s="1" t="n">
        <f aca="false">IF(CP94&gt;PR_BalDone,CP94+CP94*(F_MR/12)-MIN(F_MortPayM,CP94+CP94*(F_MR/12)),CP94)</f>
        <v>0</v>
      </c>
      <c r="CR94" s="1" t="n">
        <f aca="false">IF(CQ94&gt;PR_BalDone,CQ94+CQ94*(F_MR/12)-MIN(F_MortPayM,CQ94+CQ94*(F_MR/12)),CQ94)</f>
        <v>0</v>
      </c>
      <c r="CS94" s="1" t="n">
        <f aca="false">IF(CF94&gt;PR_BalDone,MIN(F_MortPayM,CF94+CF94*(F_MR/12)),0)</f>
        <v>0</v>
      </c>
      <c r="CT94" s="1" t="n">
        <f aca="false">IF(CG94&gt;PR_BalDone,MIN(F_MortPayM,CG94+CG94*(F_MR/12)),0)</f>
        <v>0</v>
      </c>
      <c r="CU94" s="1" t="n">
        <f aca="false">IF(CH94&gt;PR_BalDone,MIN(F_MortPayM,CH94+CH94*(F_MR/12)),0)</f>
        <v>0</v>
      </c>
      <c r="CV94" s="1" t="n">
        <f aca="false">IF(CI94&gt;PR_BalDone,MIN(F_MortPayM,CI94+CI94*(F_MR/12)),0)</f>
        <v>0</v>
      </c>
      <c r="CW94" s="1" t="n">
        <f aca="false">IF(CJ94&gt;PR_BalDone,MIN(F_MortPayM,CJ94+CJ94*(F_MR/12)),0)</f>
        <v>0</v>
      </c>
      <c r="CX94" s="1" t="n">
        <f aca="false">IF(CK94&gt;PR_BalDone,MIN(F_MortPayM,CK94+CK94*(F_MR/12)),0)</f>
        <v>0</v>
      </c>
      <c r="CY94" s="1" t="n">
        <f aca="false">IF(CL94&gt;PR_BalDone,MIN(F_MortPayM,CL94+CL94*(F_MR/12)),0)</f>
        <v>0</v>
      </c>
      <c r="CZ94" s="1" t="n">
        <f aca="false">IF(CM94&gt;PR_BalDone,MIN(F_MortPayM,CM94+CM94*(F_MR/12)),0)</f>
        <v>0</v>
      </c>
      <c r="DA94" s="1" t="n">
        <f aca="false">IF(CN94&gt;PR_BalDone,MIN(F_MortPayM,CN94+CN94*(F_MR/12)),0)</f>
        <v>0</v>
      </c>
      <c r="DB94" s="1" t="n">
        <f aca="false">IF(CO94&gt;PR_BalDone,MIN(F_MortPayM,CO94+CO94*(F_MR/12)),0)</f>
        <v>0</v>
      </c>
      <c r="DC94" s="1" t="n">
        <f aca="false">IF(CP94&gt;PR_BalDone,MIN(F_MortPayM,CP94+CP94*(F_MR/12)),0)</f>
        <v>0</v>
      </c>
      <c r="DD94" s="1" t="n">
        <f aca="false">IF(CQ94&gt;PR_BalDone,MIN(F_MortPayM,CQ94+CQ94*(F_MR/12)),0)</f>
        <v>0</v>
      </c>
      <c r="DE94" s="1" t="n">
        <f aca="false">MAX(0,CR94)</f>
        <v>0</v>
      </c>
      <c r="DF94" s="1" t="n">
        <f aca="false">SUM(CS94:DD94)</f>
        <v>0</v>
      </c>
      <c r="DG94" s="1" t="n">
        <f aca="false">MAX(0,CF94)</f>
        <v>0</v>
      </c>
    </row>
    <row r="95" customFormat="false" ht="15" hidden="false" customHeight="true" outlineLevel="0" collapsed="false">
      <c r="B95" s="1" t="n">
        <v>87</v>
      </c>
      <c r="C95" s="1" t="n">
        <f aca="false">'Plan cashflow'!I95</f>
        <v>0</v>
      </c>
      <c r="D95" s="1" t="n">
        <f aca="false">IF(C95&gt;PR_BalDone,C95+C95*(F_MR/12)-MIN(F_MortPayM,C95+C95*(F_MR/12)),C95)</f>
        <v>0</v>
      </c>
      <c r="E95" s="1" t="n">
        <f aca="false">IF(D95&gt;PR_BalDone,D95+D95*(F_MR/12)-MIN(F_MortPayM,D95+D95*(F_MR/12)),D95)</f>
        <v>0</v>
      </c>
      <c r="F95" s="1" t="n">
        <f aca="false">IF(E95&gt;PR_BalDone,E95+E95*(F_MR/12)-MIN(F_MortPayM,E95+E95*(F_MR/12)),E95)</f>
        <v>0</v>
      </c>
      <c r="G95" s="1" t="n">
        <f aca="false">IF(F95&gt;PR_BalDone,F95+F95*(F_MR/12)-MIN(F_MortPayM,F95+F95*(F_MR/12)),F95)</f>
        <v>0</v>
      </c>
      <c r="H95" s="1" t="n">
        <f aca="false">IF(G95&gt;PR_BalDone,G95+G95*(F_MR/12)-MIN(F_MortPayM,G95+G95*(F_MR/12)),G95)</f>
        <v>0</v>
      </c>
      <c r="I95" s="1" t="n">
        <f aca="false">IF(H95&gt;PR_BalDone,H95+H95*(F_MR/12)-MIN(F_MortPayM,H95+H95*(F_MR/12)),H95)</f>
        <v>0</v>
      </c>
      <c r="J95" s="1" t="n">
        <f aca="false">IF(I95&gt;PR_BalDone,I95+I95*(F_MR/12)-MIN(F_MortPayM,I95+I95*(F_MR/12)),I95)</f>
        <v>0</v>
      </c>
      <c r="K95" s="1" t="n">
        <f aca="false">IF(J95&gt;PR_BalDone,J95+J95*(F_MR/12)-MIN(F_MortPayM,J95+J95*(F_MR/12)),J95)</f>
        <v>0</v>
      </c>
      <c r="L95" s="1" t="n">
        <f aca="false">IF(K95&gt;PR_BalDone,K95+K95*(F_MR/12)-MIN(F_MortPayM,K95+K95*(F_MR/12)),K95)</f>
        <v>0</v>
      </c>
      <c r="M95" s="1" t="n">
        <f aca="false">IF(L95&gt;PR_BalDone,L95+L95*(F_MR/12)-MIN(F_MortPayM,L95+L95*(F_MR/12)),L95)</f>
        <v>0</v>
      </c>
      <c r="N95" s="1" t="n">
        <f aca="false">IF(M95&gt;PR_BalDone,M95+M95*(F_MR/12)-MIN(F_MortPayM,M95+M95*(F_MR/12)),M95)</f>
        <v>0</v>
      </c>
      <c r="O95" s="1" t="n">
        <f aca="false">IF(N95&gt;PR_BalDone,N95+N95*(F_MR/12)-MIN(F_MortPayM,N95+N95*(F_MR/12)),N95)</f>
        <v>0</v>
      </c>
      <c r="P95" s="1" t="n">
        <f aca="false">IF(C95&gt;PR_BalDone,MIN(F_MortPayM,C95+C95*(F_MR/12)),0)</f>
        <v>0</v>
      </c>
      <c r="Q95" s="1" t="n">
        <f aca="false">IF(D95&gt;PR_BalDone,MIN(F_MortPayM,D95+D95*(F_MR/12)),0)</f>
        <v>0</v>
      </c>
      <c r="R95" s="1" t="n">
        <f aca="false">IF(E95&gt;PR_BalDone,MIN(F_MortPayM,E95+E95*(F_MR/12)),0)</f>
        <v>0</v>
      </c>
      <c r="S95" s="1" t="n">
        <f aca="false">IF(F95&gt;PR_BalDone,MIN(F_MortPayM,F95+F95*(F_MR/12)),0)</f>
        <v>0</v>
      </c>
      <c r="T95" s="1" t="n">
        <f aca="false">IF(G95&gt;PR_BalDone,MIN(F_MortPayM,G95+G95*(F_MR/12)),0)</f>
        <v>0</v>
      </c>
      <c r="U95" s="1" t="n">
        <f aca="false">IF(H95&gt;PR_BalDone,MIN(F_MortPayM,H95+H95*(F_MR/12)),0)</f>
        <v>0</v>
      </c>
      <c r="V95" s="1" t="n">
        <f aca="false">IF(I95&gt;PR_BalDone,MIN(F_MortPayM,I95+I95*(F_MR/12)),0)</f>
        <v>0</v>
      </c>
      <c r="W95" s="1" t="n">
        <f aca="false">IF(J95&gt;PR_BalDone,MIN(F_MortPayM,J95+J95*(F_MR/12)),0)</f>
        <v>0</v>
      </c>
      <c r="X95" s="1" t="n">
        <f aca="false">IF(K95&gt;PR_BalDone,MIN(F_MortPayM,K95+K95*(F_MR/12)),0)</f>
        <v>0</v>
      </c>
      <c r="Y95" s="1" t="n">
        <f aca="false">IF(L95&gt;PR_BalDone,MIN(F_MortPayM,L95+L95*(F_MR/12)),0)</f>
        <v>0</v>
      </c>
      <c r="Z95" s="1" t="n">
        <f aca="false">IF(M95&gt;PR_BalDone,MIN(F_MortPayM,M95+M95*(F_MR/12)),0)</f>
        <v>0</v>
      </c>
      <c r="AA95" s="1" t="n">
        <f aca="false">IF(N95&gt;PR_BalDone,MIN(F_MortPayM,N95+N95*(F_MR/12)),0)</f>
        <v>0</v>
      </c>
      <c r="AB95" s="1" t="n">
        <f aca="false">MAX(0,O95)</f>
        <v>0</v>
      </c>
      <c r="AC95" s="1" t="n">
        <f aca="false">SUM(P95:AA95)</f>
        <v>0</v>
      </c>
      <c r="AD95" s="1" t="n">
        <f aca="false">'Plan cashflow'!L95</f>
        <v>0</v>
      </c>
      <c r="AE95" s="1" t="n">
        <f aca="false">IF(AD95&gt;PR_BalDone,AD95+AD95*(D_iC)-MIN(F_CardPayM,AD95+AD95*(D_iC)),AD95)</f>
        <v>0</v>
      </c>
      <c r="AF95" s="1" t="n">
        <f aca="false">IF(AE95&gt;PR_BalDone,AE95+AE95*(D_iC)-MIN(F_CardPayM,AE95+AE95*(D_iC)),AE95)</f>
        <v>0</v>
      </c>
      <c r="AG95" s="1" t="n">
        <f aca="false">IF(AF95&gt;PR_BalDone,AF95+AF95*(D_iC)-MIN(F_CardPayM,AF95+AF95*(D_iC)),AF95)</f>
        <v>0</v>
      </c>
      <c r="AH95" s="1" t="n">
        <f aca="false">IF(AG95&gt;PR_BalDone,AG95+AG95*(D_iC)-MIN(F_CardPayM,AG95+AG95*(D_iC)),AG95)</f>
        <v>0</v>
      </c>
      <c r="AI95" s="1" t="n">
        <f aca="false">IF(AH95&gt;PR_BalDone,AH95+AH95*(D_iC)-MIN(F_CardPayM,AH95+AH95*(D_iC)),AH95)</f>
        <v>0</v>
      </c>
      <c r="AJ95" s="1" t="n">
        <f aca="false">IF(AI95&gt;PR_BalDone,AI95+AI95*(D_iC)-MIN(F_CardPayM,AI95+AI95*(D_iC)),AI95)</f>
        <v>0</v>
      </c>
      <c r="AK95" s="1" t="n">
        <f aca="false">IF(AJ95&gt;PR_BalDone,AJ95+AJ95*(D_iC)-MIN(F_CardPayM,AJ95+AJ95*(D_iC)),AJ95)</f>
        <v>0</v>
      </c>
      <c r="AL95" s="1" t="n">
        <f aca="false">IF(AK95&gt;PR_BalDone,AK95+AK95*(D_iC)-MIN(F_CardPayM,AK95+AK95*(D_iC)),AK95)</f>
        <v>0</v>
      </c>
      <c r="AM95" s="1" t="n">
        <f aca="false">IF(AL95&gt;PR_BalDone,AL95+AL95*(D_iC)-MIN(F_CardPayM,AL95+AL95*(D_iC)),AL95)</f>
        <v>0</v>
      </c>
      <c r="AN95" s="1" t="n">
        <f aca="false">IF(AM95&gt;PR_BalDone,AM95+AM95*(D_iC)-MIN(F_CardPayM,AM95+AM95*(D_iC)),AM95)</f>
        <v>0</v>
      </c>
      <c r="AO95" s="1" t="n">
        <f aca="false">IF(AN95&gt;PR_BalDone,AN95+AN95*(D_iC)-MIN(F_CardPayM,AN95+AN95*(D_iC)),AN95)</f>
        <v>0</v>
      </c>
      <c r="AP95" s="1" t="n">
        <f aca="false">IF(AO95&gt;PR_BalDone,AO95+AO95*(D_iC)-MIN(F_CardPayM,AO95+AO95*(D_iC)),AO95)</f>
        <v>0</v>
      </c>
      <c r="AQ95" s="1" t="n">
        <f aca="false">IF(AD95&gt;PR_BalDone,MIN(F_CardPayM,AD95+AD95*(D_iC)),0)</f>
        <v>0</v>
      </c>
      <c r="AR95" s="1" t="n">
        <f aca="false">IF(AE95&gt;PR_BalDone,MIN(F_CardPayM,AE95+AE95*(D_iC)),0)</f>
        <v>0</v>
      </c>
      <c r="AS95" s="1" t="n">
        <f aca="false">IF(AF95&gt;PR_BalDone,MIN(F_CardPayM,AF95+AF95*(D_iC)),0)</f>
        <v>0</v>
      </c>
      <c r="AT95" s="1" t="n">
        <f aca="false">IF(AG95&gt;PR_BalDone,MIN(F_CardPayM,AG95+AG95*(D_iC)),0)</f>
        <v>0</v>
      </c>
      <c r="AU95" s="1" t="n">
        <f aca="false">IF(AH95&gt;PR_BalDone,MIN(F_CardPayM,AH95+AH95*(D_iC)),0)</f>
        <v>0</v>
      </c>
      <c r="AV95" s="1" t="n">
        <f aca="false">IF(AI95&gt;PR_BalDone,MIN(F_CardPayM,AI95+AI95*(D_iC)),0)</f>
        <v>0</v>
      </c>
      <c r="AW95" s="1" t="n">
        <f aca="false">IF(AJ95&gt;PR_BalDone,MIN(F_CardPayM,AJ95+AJ95*(D_iC)),0)</f>
        <v>0</v>
      </c>
      <c r="AX95" s="1" t="n">
        <f aca="false">IF(AK95&gt;PR_BalDone,MIN(F_CardPayM,AK95+AK95*(D_iC)),0)</f>
        <v>0</v>
      </c>
      <c r="AY95" s="1" t="n">
        <f aca="false">IF(AL95&gt;PR_BalDone,MIN(F_CardPayM,AL95+AL95*(D_iC)),0)</f>
        <v>0</v>
      </c>
      <c r="AZ95" s="1" t="n">
        <f aca="false">IF(AM95&gt;PR_BalDone,MIN(F_CardPayM,AM95+AM95*(D_iC)),0)</f>
        <v>0</v>
      </c>
      <c r="BA95" s="1" t="n">
        <f aca="false">IF(AN95&gt;PR_BalDone,MIN(F_CardPayM,AN95+AN95*(D_iC)),0)</f>
        <v>0</v>
      </c>
      <c r="BB95" s="1" t="n">
        <f aca="false">IF(AO95&gt;PR_BalDone,MIN(F_CardPayM,AO95+AO95*(D_iC)),0)</f>
        <v>0</v>
      </c>
      <c r="BC95" s="1" t="n">
        <f aca="false">MAX(0,AP95)</f>
        <v>0</v>
      </c>
      <c r="BD95" s="1" t="n">
        <f aca="false">SUM(AQ95:BB95)</f>
        <v>0</v>
      </c>
      <c r="BE95" s="1" t="n">
        <f aca="false">'Plan cashflow'!O95</f>
        <v>0</v>
      </c>
      <c r="BF95" s="1" t="n">
        <f aca="false">IF(BE95&gt;PR_BalDone,BE95+BE95*(D_iL)-MIN(F_LoanPayM,BE95+BE95*(D_iL)),BE95)</f>
        <v>0</v>
      </c>
      <c r="BG95" s="1" t="n">
        <f aca="false">IF(BF95&gt;PR_BalDone,BF95+BF95*(D_iL)-MIN(F_LoanPayM,BF95+BF95*(D_iL)),BF95)</f>
        <v>0</v>
      </c>
      <c r="BH95" s="1" t="n">
        <f aca="false">IF(BG95&gt;PR_BalDone,BG95+BG95*(D_iL)-MIN(F_LoanPayM,BG95+BG95*(D_iL)),BG95)</f>
        <v>0</v>
      </c>
      <c r="BI95" s="1" t="n">
        <f aca="false">IF(BH95&gt;PR_BalDone,BH95+BH95*(D_iL)-MIN(F_LoanPayM,BH95+BH95*(D_iL)),BH95)</f>
        <v>0</v>
      </c>
      <c r="BJ95" s="1" t="n">
        <f aca="false">IF(BI95&gt;PR_BalDone,BI95+BI95*(D_iL)-MIN(F_LoanPayM,BI95+BI95*(D_iL)),BI95)</f>
        <v>0</v>
      </c>
      <c r="BK95" s="1" t="n">
        <f aca="false">IF(BJ95&gt;PR_BalDone,BJ95+BJ95*(D_iL)-MIN(F_LoanPayM,BJ95+BJ95*(D_iL)),BJ95)</f>
        <v>0</v>
      </c>
      <c r="BL95" s="1" t="n">
        <f aca="false">IF(BK95&gt;PR_BalDone,BK95+BK95*(D_iL)-MIN(F_LoanPayM,BK95+BK95*(D_iL)),BK95)</f>
        <v>0</v>
      </c>
      <c r="BM95" s="1" t="n">
        <f aca="false">IF(BL95&gt;PR_BalDone,BL95+BL95*(D_iL)-MIN(F_LoanPayM,BL95+BL95*(D_iL)),BL95)</f>
        <v>0</v>
      </c>
      <c r="BN95" s="1" t="n">
        <f aca="false">IF(BM95&gt;PR_BalDone,BM95+BM95*(D_iL)-MIN(F_LoanPayM,BM95+BM95*(D_iL)),BM95)</f>
        <v>0</v>
      </c>
      <c r="BO95" s="1" t="n">
        <f aca="false">IF(BN95&gt;PR_BalDone,BN95+BN95*(D_iL)-MIN(F_LoanPayM,BN95+BN95*(D_iL)),BN95)</f>
        <v>0</v>
      </c>
      <c r="BP95" s="1" t="n">
        <f aca="false">IF(BO95&gt;PR_BalDone,BO95+BO95*(D_iL)-MIN(F_LoanPayM,BO95+BO95*(D_iL)),BO95)</f>
        <v>0</v>
      </c>
      <c r="BQ95" s="1" t="n">
        <f aca="false">IF(BP95&gt;PR_BalDone,BP95+BP95*(D_iL)-MIN(F_LoanPayM,BP95+BP95*(D_iL)),BP95)</f>
        <v>0</v>
      </c>
      <c r="BR95" s="1" t="n">
        <f aca="false">IF(BE95&gt;PR_BalDone,MIN(F_LoanPayM,BE95+BE95*(D_iL)),0)</f>
        <v>0</v>
      </c>
      <c r="BS95" s="1" t="n">
        <f aca="false">IF(BF95&gt;PR_BalDone,MIN(F_LoanPayM,BF95+BF95*(D_iL)),0)</f>
        <v>0</v>
      </c>
      <c r="BT95" s="1" t="n">
        <f aca="false">IF(BG95&gt;PR_BalDone,MIN(F_LoanPayM,BG95+BG95*(D_iL)),0)</f>
        <v>0</v>
      </c>
      <c r="BU95" s="1" t="n">
        <f aca="false">IF(BH95&gt;PR_BalDone,MIN(F_LoanPayM,BH95+BH95*(D_iL)),0)</f>
        <v>0</v>
      </c>
      <c r="BV95" s="1" t="n">
        <f aca="false">IF(BI95&gt;PR_BalDone,MIN(F_LoanPayM,BI95+BI95*(D_iL)),0)</f>
        <v>0</v>
      </c>
      <c r="BW95" s="1" t="n">
        <f aca="false">IF(BJ95&gt;PR_BalDone,MIN(F_LoanPayM,BJ95+BJ95*(D_iL)),0)</f>
        <v>0</v>
      </c>
      <c r="BX95" s="1" t="n">
        <f aca="false">IF(BK95&gt;PR_BalDone,MIN(F_LoanPayM,BK95+BK95*(D_iL)),0)</f>
        <v>0</v>
      </c>
      <c r="BY95" s="1" t="n">
        <f aca="false">IF(BL95&gt;PR_BalDone,MIN(F_LoanPayM,BL95+BL95*(D_iL)),0)</f>
        <v>0</v>
      </c>
      <c r="BZ95" s="1" t="n">
        <f aca="false">IF(BM95&gt;PR_BalDone,MIN(F_LoanPayM,BM95+BM95*(D_iL)),0)</f>
        <v>0</v>
      </c>
      <c r="CA95" s="1" t="n">
        <f aca="false">IF(BN95&gt;PR_BalDone,MIN(F_LoanPayM,BN95+BN95*(D_iL)),0)</f>
        <v>0</v>
      </c>
      <c r="CB95" s="1" t="n">
        <f aca="false">IF(BO95&gt;PR_BalDone,MIN(F_LoanPayM,BO95+BO95*(D_iL)),0)</f>
        <v>0</v>
      </c>
      <c r="CC95" s="1" t="n">
        <f aca="false">IF(BP95&gt;PR_BalDone,MIN(F_LoanPayM,BP95+BP95*(D_iL)),0)</f>
        <v>0</v>
      </c>
      <c r="CD95" s="1" t="n">
        <f aca="false">MAX(0,BQ95)</f>
        <v>0</v>
      </c>
      <c r="CE95" s="1" t="n">
        <f aca="false">SUM(BR95:CC95)</f>
        <v>0</v>
      </c>
      <c r="CF95" s="1" t="n">
        <f aca="false">IF(CF94&gt;1,DE94,CF94)</f>
        <v>0</v>
      </c>
      <c r="CG95" s="1" t="n">
        <f aca="false">IF(CF95&gt;PR_BalDone,CF95+CF95*(F_MR/12)-MIN(F_MortPayM,CF95+CF95*(F_MR/12)),CF95)</f>
        <v>0</v>
      </c>
      <c r="CH95" s="1" t="n">
        <f aca="false">IF(CG95&gt;PR_BalDone,CG95+CG95*(F_MR/12)-MIN(F_MortPayM,CG95+CG95*(F_MR/12)),CG95)</f>
        <v>0</v>
      </c>
      <c r="CI95" s="1" t="n">
        <f aca="false">IF(CH95&gt;PR_BalDone,CH95+CH95*(F_MR/12)-MIN(F_MortPayM,CH95+CH95*(F_MR/12)),CH95)</f>
        <v>0</v>
      </c>
      <c r="CJ95" s="1" t="n">
        <f aca="false">IF(CI95&gt;PR_BalDone,CI95+CI95*(F_MR/12)-MIN(F_MortPayM,CI95+CI95*(F_MR/12)),CI95)</f>
        <v>0</v>
      </c>
      <c r="CK95" s="1" t="n">
        <f aca="false">IF(CJ95&gt;PR_BalDone,CJ95+CJ95*(F_MR/12)-MIN(F_MortPayM,CJ95+CJ95*(F_MR/12)),CJ95)</f>
        <v>0</v>
      </c>
      <c r="CL95" s="1" t="n">
        <f aca="false">IF(CK95&gt;PR_BalDone,CK95+CK95*(F_MR/12)-MIN(F_MortPayM,CK95+CK95*(F_MR/12)),CK95)</f>
        <v>0</v>
      </c>
      <c r="CM95" s="1" t="n">
        <f aca="false">IF(CL95&gt;PR_BalDone,CL95+CL95*(F_MR/12)-MIN(F_MortPayM,CL95+CL95*(F_MR/12)),CL95)</f>
        <v>0</v>
      </c>
      <c r="CN95" s="1" t="n">
        <f aca="false">IF(CM95&gt;PR_BalDone,CM95+CM95*(F_MR/12)-MIN(F_MortPayM,CM95+CM95*(F_MR/12)),CM95)</f>
        <v>0</v>
      </c>
      <c r="CO95" s="1" t="n">
        <f aca="false">IF(CN95&gt;PR_BalDone,CN95+CN95*(F_MR/12)-MIN(F_MortPayM,CN95+CN95*(F_MR/12)),CN95)</f>
        <v>0</v>
      </c>
      <c r="CP95" s="1" t="n">
        <f aca="false">IF(CO95&gt;PR_BalDone,CO95+CO95*(F_MR/12)-MIN(F_MortPayM,CO95+CO95*(F_MR/12)),CO95)</f>
        <v>0</v>
      </c>
      <c r="CQ95" s="1" t="n">
        <f aca="false">IF(CP95&gt;PR_BalDone,CP95+CP95*(F_MR/12)-MIN(F_MortPayM,CP95+CP95*(F_MR/12)),CP95)</f>
        <v>0</v>
      </c>
      <c r="CR95" s="1" t="n">
        <f aca="false">IF(CQ95&gt;PR_BalDone,CQ95+CQ95*(F_MR/12)-MIN(F_MortPayM,CQ95+CQ95*(F_MR/12)),CQ95)</f>
        <v>0</v>
      </c>
      <c r="CS95" s="1" t="n">
        <f aca="false">IF(CF95&gt;PR_BalDone,MIN(F_MortPayM,CF95+CF95*(F_MR/12)),0)</f>
        <v>0</v>
      </c>
      <c r="CT95" s="1" t="n">
        <f aca="false">IF(CG95&gt;PR_BalDone,MIN(F_MortPayM,CG95+CG95*(F_MR/12)),0)</f>
        <v>0</v>
      </c>
      <c r="CU95" s="1" t="n">
        <f aca="false">IF(CH95&gt;PR_BalDone,MIN(F_MortPayM,CH95+CH95*(F_MR/12)),0)</f>
        <v>0</v>
      </c>
      <c r="CV95" s="1" t="n">
        <f aca="false">IF(CI95&gt;PR_BalDone,MIN(F_MortPayM,CI95+CI95*(F_MR/12)),0)</f>
        <v>0</v>
      </c>
      <c r="CW95" s="1" t="n">
        <f aca="false">IF(CJ95&gt;PR_BalDone,MIN(F_MortPayM,CJ95+CJ95*(F_MR/12)),0)</f>
        <v>0</v>
      </c>
      <c r="CX95" s="1" t="n">
        <f aca="false">IF(CK95&gt;PR_BalDone,MIN(F_MortPayM,CK95+CK95*(F_MR/12)),0)</f>
        <v>0</v>
      </c>
      <c r="CY95" s="1" t="n">
        <f aca="false">IF(CL95&gt;PR_BalDone,MIN(F_MortPayM,CL95+CL95*(F_MR/12)),0)</f>
        <v>0</v>
      </c>
      <c r="CZ95" s="1" t="n">
        <f aca="false">IF(CM95&gt;PR_BalDone,MIN(F_MortPayM,CM95+CM95*(F_MR/12)),0)</f>
        <v>0</v>
      </c>
      <c r="DA95" s="1" t="n">
        <f aca="false">IF(CN95&gt;PR_BalDone,MIN(F_MortPayM,CN95+CN95*(F_MR/12)),0)</f>
        <v>0</v>
      </c>
      <c r="DB95" s="1" t="n">
        <f aca="false">IF(CO95&gt;PR_BalDone,MIN(F_MortPayM,CO95+CO95*(F_MR/12)),0)</f>
        <v>0</v>
      </c>
      <c r="DC95" s="1" t="n">
        <f aca="false">IF(CP95&gt;PR_BalDone,MIN(F_MortPayM,CP95+CP95*(F_MR/12)),0)</f>
        <v>0</v>
      </c>
      <c r="DD95" s="1" t="n">
        <f aca="false">IF(CQ95&gt;PR_BalDone,MIN(F_MortPayM,CQ95+CQ95*(F_MR/12)),0)</f>
        <v>0</v>
      </c>
      <c r="DE95" s="1" t="n">
        <f aca="false">MAX(0,CR95)</f>
        <v>0</v>
      </c>
      <c r="DF95" s="1" t="n">
        <f aca="false">SUM(CS95:DD95)</f>
        <v>0</v>
      </c>
      <c r="DG95" s="1" t="n">
        <f aca="false">MAX(0,CF95)</f>
        <v>0</v>
      </c>
    </row>
    <row r="96" customFormat="false" ht="15" hidden="false" customHeight="true" outlineLevel="0" collapsed="false">
      <c r="B96" s="1" t="n">
        <v>88</v>
      </c>
      <c r="C96" s="1" t="n">
        <f aca="false">'Plan cashflow'!I96</f>
        <v>0</v>
      </c>
      <c r="D96" s="1" t="n">
        <f aca="false">IF(C96&gt;PR_BalDone,C96+C96*(F_MR/12)-MIN(F_MortPayM,C96+C96*(F_MR/12)),C96)</f>
        <v>0</v>
      </c>
      <c r="E96" s="1" t="n">
        <f aca="false">IF(D96&gt;PR_BalDone,D96+D96*(F_MR/12)-MIN(F_MortPayM,D96+D96*(F_MR/12)),D96)</f>
        <v>0</v>
      </c>
      <c r="F96" s="1" t="n">
        <f aca="false">IF(E96&gt;PR_BalDone,E96+E96*(F_MR/12)-MIN(F_MortPayM,E96+E96*(F_MR/12)),E96)</f>
        <v>0</v>
      </c>
      <c r="G96" s="1" t="n">
        <f aca="false">IF(F96&gt;PR_BalDone,F96+F96*(F_MR/12)-MIN(F_MortPayM,F96+F96*(F_MR/12)),F96)</f>
        <v>0</v>
      </c>
      <c r="H96" s="1" t="n">
        <f aca="false">IF(G96&gt;PR_BalDone,G96+G96*(F_MR/12)-MIN(F_MortPayM,G96+G96*(F_MR/12)),G96)</f>
        <v>0</v>
      </c>
      <c r="I96" s="1" t="n">
        <f aca="false">IF(H96&gt;PR_BalDone,H96+H96*(F_MR/12)-MIN(F_MortPayM,H96+H96*(F_MR/12)),H96)</f>
        <v>0</v>
      </c>
      <c r="J96" s="1" t="n">
        <f aca="false">IF(I96&gt;PR_BalDone,I96+I96*(F_MR/12)-MIN(F_MortPayM,I96+I96*(F_MR/12)),I96)</f>
        <v>0</v>
      </c>
      <c r="K96" s="1" t="n">
        <f aca="false">IF(J96&gt;PR_BalDone,J96+J96*(F_MR/12)-MIN(F_MortPayM,J96+J96*(F_MR/12)),J96)</f>
        <v>0</v>
      </c>
      <c r="L96" s="1" t="n">
        <f aca="false">IF(K96&gt;PR_BalDone,K96+K96*(F_MR/12)-MIN(F_MortPayM,K96+K96*(F_MR/12)),K96)</f>
        <v>0</v>
      </c>
      <c r="M96" s="1" t="n">
        <f aca="false">IF(L96&gt;PR_BalDone,L96+L96*(F_MR/12)-MIN(F_MortPayM,L96+L96*(F_MR/12)),L96)</f>
        <v>0</v>
      </c>
      <c r="N96" s="1" t="n">
        <f aca="false">IF(M96&gt;PR_BalDone,M96+M96*(F_MR/12)-MIN(F_MortPayM,M96+M96*(F_MR/12)),M96)</f>
        <v>0</v>
      </c>
      <c r="O96" s="1" t="n">
        <f aca="false">IF(N96&gt;PR_BalDone,N96+N96*(F_MR/12)-MIN(F_MortPayM,N96+N96*(F_MR/12)),N96)</f>
        <v>0</v>
      </c>
      <c r="P96" s="1" t="n">
        <f aca="false">IF(C96&gt;PR_BalDone,MIN(F_MortPayM,C96+C96*(F_MR/12)),0)</f>
        <v>0</v>
      </c>
      <c r="Q96" s="1" t="n">
        <f aca="false">IF(D96&gt;PR_BalDone,MIN(F_MortPayM,D96+D96*(F_MR/12)),0)</f>
        <v>0</v>
      </c>
      <c r="R96" s="1" t="n">
        <f aca="false">IF(E96&gt;PR_BalDone,MIN(F_MortPayM,E96+E96*(F_MR/12)),0)</f>
        <v>0</v>
      </c>
      <c r="S96" s="1" t="n">
        <f aca="false">IF(F96&gt;PR_BalDone,MIN(F_MortPayM,F96+F96*(F_MR/12)),0)</f>
        <v>0</v>
      </c>
      <c r="T96" s="1" t="n">
        <f aca="false">IF(G96&gt;PR_BalDone,MIN(F_MortPayM,G96+G96*(F_MR/12)),0)</f>
        <v>0</v>
      </c>
      <c r="U96" s="1" t="n">
        <f aca="false">IF(H96&gt;PR_BalDone,MIN(F_MortPayM,H96+H96*(F_MR/12)),0)</f>
        <v>0</v>
      </c>
      <c r="V96" s="1" t="n">
        <f aca="false">IF(I96&gt;PR_BalDone,MIN(F_MortPayM,I96+I96*(F_MR/12)),0)</f>
        <v>0</v>
      </c>
      <c r="W96" s="1" t="n">
        <f aca="false">IF(J96&gt;PR_BalDone,MIN(F_MortPayM,J96+J96*(F_MR/12)),0)</f>
        <v>0</v>
      </c>
      <c r="X96" s="1" t="n">
        <f aca="false">IF(K96&gt;PR_BalDone,MIN(F_MortPayM,K96+K96*(F_MR/12)),0)</f>
        <v>0</v>
      </c>
      <c r="Y96" s="1" t="n">
        <f aca="false">IF(L96&gt;PR_BalDone,MIN(F_MortPayM,L96+L96*(F_MR/12)),0)</f>
        <v>0</v>
      </c>
      <c r="Z96" s="1" t="n">
        <f aca="false">IF(M96&gt;PR_BalDone,MIN(F_MortPayM,M96+M96*(F_MR/12)),0)</f>
        <v>0</v>
      </c>
      <c r="AA96" s="1" t="n">
        <f aca="false">IF(N96&gt;PR_BalDone,MIN(F_MortPayM,N96+N96*(F_MR/12)),0)</f>
        <v>0</v>
      </c>
      <c r="AB96" s="1" t="n">
        <f aca="false">MAX(0,O96)</f>
        <v>0</v>
      </c>
      <c r="AC96" s="1" t="n">
        <f aca="false">SUM(P96:AA96)</f>
        <v>0</v>
      </c>
      <c r="AD96" s="1" t="n">
        <f aca="false">'Plan cashflow'!L96</f>
        <v>0</v>
      </c>
      <c r="AE96" s="1" t="n">
        <f aca="false">IF(AD96&gt;PR_BalDone,AD96+AD96*(D_iC)-MIN(F_CardPayM,AD96+AD96*(D_iC)),AD96)</f>
        <v>0</v>
      </c>
      <c r="AF96" s="1" t="n">
        <f aca="false">IF(AE96&gt;PR_BalDone,AE96+AE96*(D_iC)-MIN(F_CardPayM,AE96+AE96*(D_iC)),AE96)</f>
        <v>0</v>
      </c>
      <c r="AG96" s="1" t="n">
        <f aca="false">IF(AF96&gt;PR_BalDone,AF96+AF96*(D_iC)-MIN(F_CardPayM,AF96+AF96*(D_iC)),AF96)</f>
        <v>0</v>
      </c>
      <c r="AH96" s="1" t="n">
        <f aca="false">IF(AG96&gt;PR_BalDone,AG96+AG96*(D_iC)-MIN(F_CardPayM,AG96+AG96*(D_iC)),AG96)</f>
        <v>0</v>
      </c>
      <c r="AI96" s="1" t="n">
        <f aca="false">IF(AH96&gt;PR_BalDone,AH96+AH96*(D_iC)-MIN(F_CardPayM,AH96+AH96*(D_iC)),AH96)</f>
        <v>0</v>
      </c>
      <c r="AJ96" s="1" t="n">
        <f aca="false">IF(AI96&gt;PR_BalDone,AI96+AI96*(D_iC)-MIN(F_CardPayM,AI96+AI96*(D_iC)),AI96)</f>
        <v>0</v>
      </c>
      <c r="AK96" s="1" t="n">
        <f aca="false">IF(AJ96&gt;PR_BalDone,AJ96+AJ96*(D_iC)-MIN(F_CardPayM,AJ96+AJ96*(D_iC)),AJ96)</f>
        <v>0</v>
      </c>
      <c r="AL96" s="1" t="n">
        <f aca="false">IF(AK96&gt;PR_BalDone,AK96+AK96*(D_iC)-MIN(F_CardPayM,AK96+AK96*(D_iC)),AK96)</f>
        <v>0</v>
      </c>
      <c r="AM96" s="1" t="n">
        <f aca="false">IF(AL96&gt;PR_BalDone,AL96+AL96*(D_iC)-MIN(F_CardPayM,AL96+AL96*(D_iC)),AL96)</f>
        <v>0</v>
      </c>
      <c r="AN96" s="1" t="n">
        <f aca="false">IF(AM96&gt;PR_BalDone,AM96+AM96*(D_iC)-MIN(F_CardPayM,AM96+AM96*(D_iC)),AM96)</f>
        <v>0</v>
      </c>
      <c r="AO96" s="1" t="n">
        <f aca="false">IF(AN96&gt;PR_BalDone,AN96+AN96*(D_iC)-MIN(F_CardPayM,AN96+AN96*(D_iC)),AN96)</f>
        <v>0</v>
      </c>
      <c r="AP96" s="1" t="n">
        <f aca="false">IF(AO96&gt;PR_BalDone,AO96+AO96*(D_iC)-MIN(F_CardPayM,AO96+AO96*(D_iC)),AO96)</f>
        <v>0</v>
      </c>
      <c r="AQ96" s="1" t="n">
        <f aca="false">IF(AD96&gt;PR_BalDone,MIN(F_CardPayM,AD96+AD96*(D_iC)),0)</f>
        <v>0</v>
      </c>
      <c r="AR96" s="1" t="n">
        <f aca="false">IF(AE96&gt;PR_BalDone,MIN(F_CardPayM,AE96+AE96*(D_iC)),0)</f>
        <v>0</v>
      </c>
      <c r="AS96" s="1" t="n">
        <f aca="false">IF(AF96&gt;PR_BalDone,MIN(F_CardPayM,AF96+AF96*(D_iC)),0)</f>
        <v>0</v>
      </c>
      <c r="AT96" s="1" t="n">
        <f aca="false">IF(AG96&gt;PR_BalDone,MIN(F_CardPayM,AG96+AG96*(D_iC)),0)</f>
        <v>0</v>
      </c>
      <c r="AU96" s="1" t="n">
        <f aca="false">IF(AH96&gt;PR_BalDone,MIN(F_CardPayM,AH96+AH96*(D_iC)),0)</f>
        <v>0</v>
      </c>
      <c r="AV96" s="1" t="n">
        <f aca="false">IF(AI96&gt;PR_BalDone,MIN(F_CardPayM,AI96+AI96*(D_iC)),0)</f>
        <v>0</v>
      </c>
      <c r="AW96" s="1" t="n">
        <f aca="false">IF(AJ96&gt;PR_BalDone,MIN(F_CardPayM,AJ96+AJ96*(D_iC)),0)</f>
        <v>0</v>
      </c>
      <c r="AX96" s="1" t="n">
        <f aca="false">IF(AK96&gt;PR_BalDone,MIN(F_CardPayM,AK96+AK96*(D_iC)),0)</f>
        <v>0</v>
      </c>
      <c r="AY96" s="1" t="n">
        <f aca="false">IF(AL96&gt;PR_BalDone,MIN(F_CardPayM,AL96+AL96*(D_iC)),0)</f>
        <v>0</v>
      </c>
      <c r="AZ96" s="1" t="n">
        <f aca="false">IF(AM96&gt;PR_BalDone,MIN(F_CardPayM,AM96+AM96*(D_iC)),0)</f>
        <v>0</v>
      </c>
      <c r="BA96" s="1" t="n">
        <f aca="false">IF(AN96&gt;PR_BalDone,MIN(F_CardPayM,AN96+AN96*(D_iC)),0)</f>
        <v>0</v>
      </c>
      <c r="BB96" s="1" t="n">
        <f aca="false">IF(AO96&gt;PR_BalDone,MIN(F_CardPayM,AO96+AO96*(D_iC)),0)</f>
        <v>0</v>
      </c>
      <c r="BC96" s="1" t="n">
        <f aca="false">MAX(0,AP96)</f>
        <v>0</v>
      </c>
      <c r="BD96" s="1" t="n">
        <f aca="false">SUM(AQ96:BB96)</f>
        <v>0</v>
      </c>
      <c r="BE96" s="1" t="n">
        <f aca="false">'Plan cashflow'!O96</f>
        <v>0</v>
      </c>
      <c r="BF96" s="1" t="n">
        <f aca="false">IF(BE96&gt;PR_BalDone,BE96+BE96*(D_iL)-MIN(F_LoanPayM,BE96+BE96*(D_iL)),BE96)</f>
        <v>0</v>
      </c>
      <c r="BG96" s="1" t="n">
        <f aca="false">IF(BF96&gt;PR_BalDone,BF96+BF96*(D_iL)-MIN(F_LoanPayM,BF96+BF96*(D_iL)),BF96)</f>
        <v>0</v>
      </c>
      <c r="BH96" s="1" t="n">
        <f aca="false">IF(BG96&gt;PR_BalDone,BG96+BG96*(D_iL)-MIN(F_LoanPayM,BG96+BG96*(D_iL)),BG96)</f>
        <v>0</v>
      </c>
      <c r="BI96" s="1" t="n">
        <f aca="false">IF(BH96&gt;PR_BalDone,BH96+BH96*(D_iL)-MIN(F_LoanPayM,BH96+BH96*(D_iL)),BH96)</f>
        <v>0</v>
      </c>
      <c r="BJ96" s="1" t="n">
        <f aca="false">IF(BI96&gt;PR_BalDone,BI96+BI96*(D_iL)-MIN(F_LoanPayM,BI96+BI96*(D_iL)),BI96)</f>
        <v>0</v>
      </c>
      <c r="BK96" s="1" t="n">
        <f aca="false">IF(BJ96&gt;PR_BalDone,BJ96+BJ96*(D_iL)-MIN(F_LoanPayM,BJ96+BJ96*(D_iL)),BJ96)</f>
        <v>0</v>
      </c>
      <c r="BL96" s="1" t="n">
        <f aca="false">IF(BK96&gt;PR_BalDone,BK96+BK96*(D_iL)-MIN(F_LoanPayM,BK96+BK96*(D_iL)),BK96)</f>
        <v>0</v>
      </c>
      <c r="BM96" s="1" t="n">
        <f aca="false">IF(BL96&gt;PR_BalDone,BL96+BL96*(D_iL)-MIN(F_LoanPayM,BL96+BL96*(D_iL)),BL96)</f>
        <v>0</v>
      </c>
      <c r="BN96" s="1" t="n">
        <f aca="false">IF(BM96&gt;PR_BalDone,BM96+BM96*(D_iL)-MIN(F_LoanPayM,BM96+BM96*(D_iL)),BM96)</f>
        <v>0</v>
      </c>
      <c r="BO96" s="1" t="n">
        <f aca="false">IF(BN96&gt;PR_BalDone,BN96+BN96*(D_iL)-MIN(F_LoanPayM,BN96+BN96*(D_iL)),BN96)</f>
        <v>0</v>
      </c>
      <c r="BP96" s="1" t="n">
        <f aca="false">IF(BO96&gt;PR_BalDone,BO96+BO96*(D_iL)-MIN(F_LoanPayM,BO96+BO96*(D_iL)),BO96)</f>
        <v>0</v>
      </c>
      <c r="BQ96" s="1" t="n">
        <f aca="false">IF(BP96&gt;PR_BalDone,BP96+BP96*(D_iL)-MIN(F_LoanPayM,BP96+BP96*(D_iL)),BP96)</f>
        <v>0</v>
      </c>
      <c r="BR96" s="1" t="n">
        <f aca="false">IF(BE96&gt;PR_BalDone,MIN(F_LoanPayM,BE96+BE96*(D_iL)),0)</f>
        <v>0</v>
      </c>
      <c r="BS96" s="1" t="n">
        <f aca="false">IF(BF96&gt;PR_BalDone,MIN(F_LoanPayM,BF96+BF96*(D_iL)),0)</f>
        <v>0</v>
      </c>
      <c r="BT96" s="1" t="n">
        <f aca="false">IF(BG96&gt;PR_BalDone,MIN(F_LoanPayM,BG96+BG96*(D_iL)),0)</f>
        <v>0</v>
      </c>
      <c r="BU96" s="1" t="n">
        <f aca="false">IF(BH96&gt;PR_BalDone,MIN(F_LoanPayM,BH96+BH96*(D_iL)),0)</f>
        <v>0</v>
      </c>
      <c r="BV96" s="1" t="n">
        <f aca="false">IF(BI96&gt;PR_BalDone,MIN(F_LoanPayM,BI96+BI96*(D_iL)),0)</f>
        <v>0</v>
      </c>
      <c r="BW96" s="1" t="n">
        <f aca="false">IF(BJ96&gt;PR_BalDone,MIN(F_LoanPayM,BJ96+BJ96*(D_iL)),0)</f>
        <v>0</v>
      </c>
      <c r="BX96" s="1" t="n">
        <f aca="false">IF(BK96&gt;PR_BalDone,MIN(F_LoanPayM,BK96+BK96*(D_iL)),0)</f>
        <v>0</v>
      </c>
      <c r="BY96" s="1" t="n">
        <f aca="false">IF(BL96&gt;PR_BalDone,MIN(F_LoanPayM,BL96+BL96*(D_iL)),0)</f>
        <v>0</v>
      </c>
      <c r="BZ96" s="1" t="n">
        <f aca="false">IF(BM96&gt;PR_BalDone,MIN(F_LoanPayM,BM96+BM96*(D_iL)),0)</f>
        <v>0</v>
      </c>
      <c r="CA96" s="1" t="n">
        <f aca="false">IF(BN96&gt;PR_BalDone,MIN(F_LoanPayM,BN96+BN96*(D_iL)),0)</f>
        <v>0</v>
      </c>
      <c r="CB96" s="1" t="n">
        <f aca="false">IF(BO96&gt;PR_BalDone,MIN(F_LoanPayM,BO96+BO96*(D_iL)),0)</f>
        <v>0</v>
      </c>
      <c r="CC96" s="1" t="n">
        <f aca="false">IF(BP96&gt;PR_BalDone,MIN(F_LoanPayM,BP96+BP96*(D_iL)),0)</f>
        <v>0</v>
      </c>
      <c r="CD96" s="1" t="n">
        <f aca="false">MAX(0,BQ96)</f>
        <v>0</v>
      </c>
      <c r="CE96" s="1" t="n">
        <f aca="false">SUM(BR96:CC96)</f>
        <v>0</v>
      </c>
      <c r="CF96" s="1" t="n">
        <f aca="false">IF(CF95&gt;1,DE95,CF95)</f>
        <v>0</v>
      </c>
      <c r="CG96" s="1" t="n">
        <f aca="false">IF(CF96&gt;PR_BalDone,CF96+CF96*(F_MR/12)-MIN(F_MortPayM,CF96+CF96*(F_MR/12)),CF96)</f>
        <v>0</v>
      </c>
      <c r="CH96" s="1" t="n">
        <f aca="false">IF(CG96&gt;PR_BalDone,CG96+CG96*(F_MR/12)-MIN(F_MortPayM,CG96+CG96*(F_MR/12)),CG96)</f>
        <v>0</v>
      </c>
      <c r="CI96" s="1" t="n">
        <f aca="false">IF(CH96&gt;PR_BalDone,CH96+CH96*(F_MR/12)-MIN(F_MortPayM,CH96+CH96*(F_MR/12)),CH96)</f>
        <v>0</v>
      </c>
      <c r="CJ96" s="1" t="n">
        <f aca="false">IF(CI96&gt;PR_BalDone,CI96+CI96*(F_MR/12)-MIN(F_MortPayM,CI96+CI96*(F_MR/12)),CI96)</f>
        <v>0</v>
      </c>
      <c r="CK96" s="1" t="n">
        <f aca="false">IF(CJ96&gt;PR_BalDone,CJ96+CJ96*(F_MR/12)-MIN(F_MortPayM,CJ96+CJ96*(F_MR/12)),CJ96)</f>
        <v>0</v>
      </c>
      <c r="CL96" s="1" t="n">
        <f aca="false">IF(CK96&gt;PR_BalDone,CK96+CK96*(F_MR/12)-MIN(F_MortPayM,CK96+CK96*(F_MR/12)),CK96)</f>
        <v>0</v>
      </c>
      <c r="CM96" s="1" t="n">
        <f aca="false">IF(CL96&gt;PR_BalDone,CL96+CL96*(F_MR/12)-MIN(F_MortPayM,CL96+CL96*(F_MR/12)),CL96)</f>
        <v>0</v>
      </c>
      <c r="CN96" s="1" t="n">
        <f aca="false">IF(CM96&gt;PR_BalDone,CM96+CM96*(F_MR/12)-MIN(F_MortPayM,CM96+CM96*(F_MR/12)),CM96)</f>
        <v>0</v>
      </c>
      <c r="CO96" s="1" t="n">
        <f aca="false">IF(CN96&gt;PR_BalDone,CN96+CN96*(F_MR/12)-MIN(F_MortPayM,CN96+CN96*(F_MR/12)),CN96)</f>
        <v>0</v>
      </c>
      <c r="CP96" s="1" t="n">
        <f aca="false">IF(CO96&gt;PR_BalDone,CO96+CO96*(F_MR/12)-MIN(F_MortPayM,CO96+CO96*(F_MR/12)),CO96)</f>
        <v>0</v>
      </c>
      <c r="CQ96" s="1" t="n">
        <f aca="false">IF(CP96&gt;PR_BalDone,CP96+CP96*(F_MR/12)-MIN(F_MortPayM,CP96+CP96*(F_MR/12)),CP96)</f>
        <v>0</v>
      </c>
      <c r="CR96" s="1" t="n">
        <f aca="false">IF(CQ96&gt;PR_BalDone,CQ96+CQ96*(F_MR/12)-MIN(F_MortPayM,CQ96+CQ96*(F_MR/12)),CQ96)</f>
        <v>0</v>
      </c>
      <c r="CS96" s="1" t="n">
        <f aca="false">IF(CF96&gt;PR_BalDone,MIN(F_MortPayM,CF96+CF96*(F_MR/12)),0)</f>
        <v>0</v>
      </c>
      <c r="CT96" s="1" t="n">
        <f aca="false">IF(CG96&gt;PR_BalDone,MIN(F_MortPayM,CG96+CG96*(F_MR/12)),0)</f>
        <v>0</v>
      </c>
      <c r="CU96" s="1" t="n">
        <f aca="false">IF(CH96&gt;PR_BalDone,MIN(F_MortPayM,CH96+CH96*(F_MR/12)),0)</f>
        <v>0</v>
      </c>
      <c r="CV96" s="1" t="n">
        <f aca="false">IF(CI96&gt;PR_BalDone,MIN(F_MortPayM,CI96+CI96*(F_MR/12)),0)</f>
        <v>0</v>
      </c>
      <c r="CW96" s="1" t="n">
        <f aca="false">IF(CJ96&gt;PR_BalDone,MIN(F_MortPayM,CJ96+CJ96*(F_MR/12)),0)</f>
        <v>0</v>
      </c>
      <c r="CX96" s="1" t="n">
        <f aca="false">IF(CK96&gt;PR_BalDone,MIN(F_MortPayM,CK96+CK96*(F_MR/12)),0)</f>
        <v>0</v>
      </c>
      <c r="CY96" s="1" t="n">
        <f aca="false">IF(CL96&gt;PR_BalDone,MIN(F_MortPayM,CL96+CL96*(F_MR/12)),0)</f>
        <v>0</v>
      </c>
      <c r="CZ96" s="1" t="n">
        <f aca="false">IF(CM96&gt;PR_BalDone,MIN(F_MortPayM,CM96+CM96*(F_MR/12)),0)</f>
        <v>0</v>
      </c>
      <c r="DA96" s="1" t="n">
        <f aca="false">IF(CN96&gt;PR_BalDone,MIN(F_MortPayM,CN96+CN96*(F_MR/12)),0)</f>
        <v>0</v>
      </c>
      <c r="DB96" s="1" t="n">
        <f aca="false">IF(CO96&gt;PR_BalDone,MIN(F_MortPayM,CO96+CO96*(F_MR/12)),0)</f>
        <v>0</v>
      </c>
      <c r="DC96" s="1" t="n">
        <f aca="false">IF(CP96&gt;PR_BalDone,MIN(F_MortPayM,CP96+CP96*(F_MR/12)),0)</f>
        <v>0</v>
      </c>
      <c r="DD96" s="1" t="n">
        <f aca="false">IF(CQ96&gt;PR_BalDone,MIN(F_MortPayM,CQ96+CQ96*(F_MR/12)),0)</f>
        <v>0</v>
      </c>
      <c r="DE96" s="1" t="n">
        <f aca="false">MAX(0,CR96)</f>
        <v>0</v>
      </c>
      <c r="DF96" s="1" t="n">
        <f aca="false">SUM(CS96:DD96)</f>
        <v>0</v>
      </c>
      <c r="DG96" s="1" t="n">
        <f aca="false">MAX(0,CF96)</f>
        <v>0</v>
      </c>
    </row>
    <row r="97" customFormat="false" ht="15" hidden="false" customHeight="true" outlineLevel="0" collapsed="false">
      <c r="B97" s="1" t="n">
        <v>89</v>
      </c>
      <c r="C97" s="1" t="n">
        <f aca="false">'Plan cashflow'!I97</f>
        <v>0</v>
      </c>
      <c r="D97" s="1" t="n">
        <f aca="false">IF(C97&gt;PR_BalDone,C97+C97*(F_MR/12)-MIN(F_MortPayM,C97+C97*(F_MR/12)),C97)</f>
        <v>0</v>
      </c>
      <c r="E97" s="1" t="n">
        <f aca="false">IF(D97&gt;PR_BalDone,D97+D97*(F_MR/12)-MIN(F_MortPayM,D97+D97*(F_MR/12)),D97)</f>
        <v>0</v>
      </c>
      <c r="F97" s="1" t="n">
        <f aca="false">IF(E97&gt;PR_BalDone,E97+E97*(F_MR/12)-MIN(F_MortPayM,E97+E97*(F_MR/12)),E97)</f>
        <v>0</v>
      </c>
      <c r="G97" s="1" t="n">
        <f aca="false">IF(F97&gt;PR_BalDone,F97+F97*(F_MR/12)-MIN(F_MortPayM,F97+F97*(F_MR/12)),F97)</f>
        <v>0</v>
      </c>
      <c r="H97" s="1" t="n">
        <f aca="false">IF(G97&gt;PR_BalDone,G97+G97*(F_MR/12)-MIN(F_MortPayM,G97+G97*(F_MR/12)),G97)</f>
        <v>0</v>
      </c>
      <c r="I97" s="1" t="n">
        <f aca="false">IF(H97&gt;PR_BalDone,H97+H97*(F_MR/12)-MIN(F_MortPayM,H97+H97*(F_MR/12)),H97)</f>
        <v>0</v>
      </c>
      <c r="J97" s="1" t="n">
        <f aca="false">IF(I97&gt;PR_BalDone,I97+I97*(F_MR/12)-MIN(F_MortPayM,I97+I97*(F_MR/12)),I97)</f>
        <v>0</v>
      </c>
      <c r="K97" s="1" t="n">
        <f aca="false">IF(J97&gt;PR_BalDone,J97+J97*(F_MR/12)-MIN(F_MortPayM,J97+J97*(F_MR/12)),J97)</f>
        <v>0</v>
      </c>
      <c r="L97" s="1" t="n">
        <f aca="false">IF(K97&gt;PR_BalDone,K97+K97*(F_MR/12)-MIN(F_MortPayM,K97+K97*(F_MR/12)),K97)</f>
        <v>0</v>
      </c>
      <c r="M97" s="1" t="n">
        <f aca="false">IF(L97&gt;PR_BalDone,L97+L97*(F_MR/12)-MIN(F_MortPayM,L97+L97*(F_MR/12)),L97)</f>
        <v>0</v>
      </c>
      <c r="N97" s="1" t="n">
        <f aca="false">IF(M97&gt;PR_BalDone,M97+M97*(F_MR/12)-MIN(F_MortPayM,M97+M97*(F_MR/12)),M97)</f>
        <v>0</v>
      </c>
      <c r="O97" s="1" t="n">
        <f aca="false">IF(N97&gt;PR_BalDone,N97+N97*(F_MR/12)-MIN(F_MortPayM,N97+N97*(F_MR/12)),N97)</f>
        <v>0</v>
      </c>
      <c r="P97" s="1" t="n">
        <f aca="false">IF(C97&gt;PR_BalDone,MIN(F_MortPayM,C97+C97*(F_MR/12)),0)</f>
        <v>0</v>
      </c>
      <c r="Q97" s="1" t="n">
        <f aca="false">IF(D97&gt;PR_BalDone,MIN(F_MortPayM,D97+D97*(F_MR/12)),0)</f>
        <v>0</v>
      </c>
      <c r="R97" s="1" t="n">
        <f aca="false">IF(E97&gt;PR_BalDone,MIN(F_MortPayM,E97+E97*(F_MR/12)),0)</f>
        <v>0</v>
      </c>
      <c r="S97" s="1" t="n">
        <f aca="false">IF(F97&gt;PR_BalDone,MIN(F_MortPayM,F97+F97*(F_MR/12)),0)</f>
        <v>0</v>
      </c>
      <c r="T97" s="1" t="n">
        <f aca="false">IF(G97&gt;PR_BalDone,MIN(F_MortPayM,G97+G97*(F_MR/12)),0)</f>
        <v>0</v>
      </c>
      <c r="U97" s="1" t="n">
        <f aca="false">IF(H97&gt;PR_BalDone,MIN(F_MortPayM,H97+H97*(F_MR/12)),0)</f>
        <v>0</v>
      </c>
      <c r="V97" s="1" t="n">
        <f aca="false">IF(I97&gt;PR_BalDone,MIN(F_MortPayM,I97+I97*(F_MR/12)),0)</f>
        <v>0</v>
      </c>
      <c r="W97" s="1" t="n">
        <f aca="false">IF(J97&gt;PR_BalDone,MIN(F_MortPayM,J97+J97*(F_MR/12)),0)</f>
        <v>0</v>
      </c>
      <c r="X97" s="1" t="n">
        <f aca="false">IF(K97&gt;PR_BalDone,MIN(F_MortPayM,K97+K97*(F_MR/12)),0)</f>
        <v>0</v>
      </c>
      <c r="Y97" s="1" t="n">
        <f aca="false">IF(L97&gt;PR_BalDone,MIN(F_MortPayM,L97+L97*(F_MR/12)),0)</f>
        <v>0</v>
      </c>
      <c r="Z97" s="1" t="n">
        <f aca="false">IF(M97&gt;PR_BalDone,MIN(F_MortPayM,M97+M97*(F_MR/12)),0)</f>
        <v>0</v>
      </c>
      <c r="AA97" s="1" t="n">
        <f aca="false">IF(N97&gt;PR_BalDone,MIN(F_MortPayM,N97+N97*(F_MR/12)),0)</f>
        <v>0</v>
      </c>
      <c r="AB97" s="1" t="n">
        <f aca="false">MAX(0,O97)</f>
        <v>0</v>
      </c>
      <c r="AC97" s="1" t="n">
        <f aca="false">SUM(P97:AA97)</f>
        <v>0</v>
      </c>
      <c r="AD97" s="1" t="n">
        <f aca="false">'Plan cashflow'!L97</f>
        <v>0</v>
      </c>
      <c r="AE97" s="1" t="n">
        <f aca="false">IF(AD97&gt;PR_BalDone,AD97+AD97*(D_iC)-MIN(F_CardPayM,AD97+AD97*(D_iC)),AD97)</f>
        <v>0</v>
      </c>
      <c r="AF97" s="1" t="n">
        <f aca="false">IF(AE97&gt;PR_BalDone,AE97+AE97*(D_iC)-MIN(F_CardPayM,AE97+AE97*(D_iC)),AE97)</f>
        <v>0</v>
      </c>
      <c r="AG97" s="1" t="n">
        <f aca="false">IF(AF97&gt;PR_BalDone,AF97+AF97*(D_iC)-MIN(F_CardPayM,AF97+AF97*(D_iC)),AF97)</f>
        <v>0</v>
      </c>
      <c r="AH97" s="1" t="n">
        <f aca="false">IF(AG97&gt;PR_BalDone,AG97+AG97*(D_iC)-MIN(F_CardPayM,AG97+AG97*(D_iC)),AG97)</f>
        <v>0</v>
      </c>
      <c r="AI97" s="1" t="n">
        <f aca="false">IF(AH97&gt;PR_BalDone,AH97+AH97*(D_iC)-MIN(F_CardPayM,AH97+AH97*(D_iC)),AH97)</f>
        <v>0</v>
      </c>
      <c r="AJ97" s="1" t="n">
        <f aca="false">IF(AI97&gt;PR_BalDone,AI97+AI97*(D_iC)-MIN(F_CardPayM,AI97+AI97*(D_iC)),AI97)</f>
        <v>0</v>
      </c>
      <c r="AK97" s="1" t="n">
        <f aca="false">IF(AJ97&gt;PR_BalDone,AJ97+AJ97*(D_iC)-MIN(F_CardPayM,AJ97+AJ97*(D_iC)),AJ97)</f>
        <v>0</v>
      </c>
      <c r="AL97" s="1" t="n">
        <f aca="false">IF(AK97&gt;PR_BalDone,AK97+AK97*(D_iC)-MIN(F_CardPayM,AK97+AK97*(D_iC)),AK97)</f>
        <v>0</v>
      </c>
      <c r="AM97" s="1" t="n">
        <f aca="false">IF(AL97&gt;PR_BalDone,AL97+AL97*(D_iC)-MIN(F_CardPayM,AL97+AL97*(D_iC)),AL97)</f>
        <v>0</v>
      </c>
      <c r="AN97" s="1" t="n">
        <f aca="false">IF(AM97&gt;PR_BalDone,AM97+AM97*(D_iC)-MIN(F_CardPayM,AM97+AM97*(D_iC)),AM97)</f>
        <v>0</v>
      </c>
      <c r="AO97" s="1" t="n">
        <f aca="false">IF(AN97&gt;PR_BalDone,AN97+AN97*(D_iC)-MIN(F_CardPayM,AN97+AN97*(D_iC)),AN97)</f>
        <v>0</v>
      </c>
      <c r="AP97" s="1" t="n">
        <f aca="false">IF(AO97&gt;PR_BalDone,AO97+AO97*(D_iC)-MIN(F_CardPayM,AO97+AO97*(D_iC)),AO97)</f>
        <v>0</v>
      </c>
      <c r="AQ97" s="1" t="n">
        <f aca="false">IF(AD97&gt;PR_BalDone,MIN(F_CardPayM,AD97+AD97*(D_iC)),0)</f>
        <v>0</v>
      </c>
      <c r="AR97" s="1" t="n">
        <f aca="false">IF(AE97&gt;PR_BalDone,MIN(F_CardPayM,AE97+AE97*(D_iC)),0)</f>
        <v>0</v>
      </c>
      <c r="AS97" s="1" t="n">
        <f aca="false">IF(AF97&gt;PR_BalDone,MIN(F_CardPayM,AF97+AF97*(D_iC)),0)</f>
        <v>0</v>
      </c>
      <c r="AT97" s="1" t="n">
        <f aca="false">IF(AG97&gt;PR_BalDone,MIN(F_CardPayM,AG97+AG97*(D_iC)),0)</f>
        <v>0</v>
      </c>
      <c r="AU97" s="1" t="n">
        <f aca="false">IF(AH97&gt;PR_BalDone,MIN(F_CardPayM,AH97+AH97*(D_iC)),0)</f>
        <v>0</v>
      </c>
      <c r="AV97" s="1" t="n">
        <f aca="false">IF(AI97&gt;PR_BalDone,MIN(F_CardPayM,AI97+AI97*(D_iC)),0)</f>
        <v>0</v>
      </c>
      <c r="AW97" s="1" t="n">
        <f aca="false">IF(AJ97&gt;PR_BalDone,MIN(F_CardPayM,AJ97+AJ97*(D_iC)),0)</f>
        <v>0</v>
      </c>
      <c r="AX97" s="1" t="n">
        <f aca="false">IF(AK97&gt;PR_BalDone,MIN(F_CardPayM,AK97+AK97*(D_iC)),0)</f>
        <v>0</v>
      </c>
      <c r="AY97" s="1" t="n">
        <f aca="false">IF(AL97&gt;PR_BalDone,MIN(F_CardPayM,AL97+AL97*(D_iC)),0)</f>
        <v>0</v>
      </c>
      <c r="AZ97" s="1" t="n">
        <f aca="false">IF(AM97&gt;PR_BalDone,MIN(F_CardPayM,AM97+AM97*(D_iC)),0)</f>
        <v>0</v>
      </c>
      <c r="BA97" s="1" t="n">
        <f aca="false">IF(AN97&gt;PR_BalDone,MIN(F_CardPayM,AN97+AN97*(D_iC)),0)</f>
        <v>0</v>
      </c>
      <c r="BB97" s="1" t="n">
        <f aca="false">IF(AO97&gt;PR_BalDone,MIN(F_CardPayM,AO97+AO97*(D_iC)),0)</f>
        <v>0</v>
      </c>
      <c r="BC97" s="1" t="n">
        <f aca="false">MAX(0,AP97)</f>
        <v>0</v>
      </c>
      <c r="BD97" s="1" t="n">
        <f aca="false">SUM(AQ97:BB97)</f>
        <v>0</v>
      </c>
      <c r="BE97" s="1" t="n">
        <f aca="false">'Plan cashflow'!O97</f>
        <v>0</v>
      </c>
      <c r="BF97" s="1" t="n">
        <f aca="false">IF(BE97&gt;PR_BalDone,BE97+BE97*(D_iL)-MIN(F_LoanPayM,BE97+BE97*(D_iL)),BE97)</f>
        <v>0</v>
      </c>
      <c r="BG97" s="1" t="n">
        <f aca="false">IF(BF97&gt;PR_BalDone,BF97+BF97*(D_iL)-MIN(F_LoanPayM,BF97+BF97*(D_iL)),BF97)</f>
        <v>0</v>
      </c>
      <c r="BH97" s="1" t="n">
        <f aca="false">IF(BG97&gt;PR_BalDone,BG97+BG97*(D_iL)-MIN(F_LoanPayM,BG97+BG97*(D_iL)),BG97)</f>
        <v>0</v>
      </c>
      <c r="BI97" s="1" t="n">
        <f aca="false">IF(BH97&gt;PR_BalDone,BH97+BH97*(D_iL)-MIN(F_LoanPayM,BH97+BH97*(D_iL)),BH97)</f>
        <v>0</v>
      </c>
      <c r="BJ97" s="1" t="n">
        <f aca="false">IF(BI97&gt;PR_BalDone,BI97+BI97*(D_iL)-MIN(F_LoanPayM,BI97+BI97*(D_iL)),BI97)</f>
        <v>0</v>
      </c>
      <c r="BK97" s="1" t="n">
        <f aca="false">IF(BJ97&gt;PR_BalDone,BJ97+BJ97*(D_iL)-MIN(F_LoanPayM,BJ97+BJ97*(D_iL)),BJ97)</f>
        <v>0</v>
      </c>
      <c r="BL97" s="1" t="n">
        <f aca="false">IF(BK97&gt;PR_BalDone,BK97+BK97*(D_iL)-MIN(F_LoanPayM,BK97+BK97*(D_iL)),BK97)</f>
        <v>0</v>
      </c>
      <c r="BM97" s="1" t="n">
        <f aca="false">IF(BL97&gt;PR_BalDone,BL97+BL97*(D_iL)-MIN(F_LoanPayM,BL97+BL97*(D_iL)),BL97)</f>
        <v>0</v>
      </c>
      <c r="BN97" s="1" t="n">
        <f aca="false">IF(BM97&gt;PR_BalDone,BM97+BM97*(D_iL)-MIN(F_LoanPayM,BM97+BM97*(D_iL)),BM97)</f>
        <v>0</v>
      </c>
      <c r="BO97" s="1" t="n">
        <f aca="false">IF(BN97&gt;PR_BalDone,BN97+BN97*(D_iL)-MIN(F_LoanPayM,BN97+BN97*(D_iL)),BN97)</f>
        <v>0</v>
      </c>
      <c r="BP97" s="1" t="n">
        <f aca="false">IF(BO97&gt;PR_BalDone,BO97+BO97*(D_iL)-MIN(F_LoanPayM,BO97+BO97*(D_iL)),BO97)</f>
        <v>0</v>
      </c>
      <c r="BQ97" s="1" t="n">
        <f aca="false">IF(BP97&gt;PR_BalDone,BP97+BP97*(D_iL)-MIN(F_LoanPayM,BP97+BP97*(D_iL)),BP97)</f>
        <v>0</v>
      </c>
      <c r="BR97" s="1" t="n">
        <f aca="false">IF(BE97&gt;PR_BalDone,MIN(F_LoanPayM,BE97+BE97*(D_iL)),0)</f>
        <v>0</v>
      </c>
      <c r="BS97" s="1" t="n">
        <f aca="false">IF(BF97&gt;PR_BalDone,MIN(F_LoanPayM,BF97+BF97*(D_iL)),0)</f>
        <v>0</v>
      </c>
      <c r="BT97" s="1" t="n">
        <f aca="false">IF(BG97&gt;PR_BalDone,MIN(F_LoanPayM,BG97+BG97*(D_iL)),0)</f>
        <v>0</v>
      </c>
      <c r="BU97" s="1" t="n">
        <f aca="false">IF(BH97&gt;PR_BalDone,MIN(F_LoanPayM,BH97+BH97*(D_iL)),0)</f>
        <v>0</v>
      </c>
      <c r="BV97" s="1" t="n">
        <f aca="false">IF(BI97&gt;PR_BalDone,MIN(F_LoanPayM,BI97+BI97*(D_iL)),0)</f>
        <v>0</v>
      </c>
      <c r="BW97" s="1" t="n">
        <f aca="false">IF(BJ97&gt;PR_BalDone,MIN(F_LoanPayM,BJ97+BJ97*(D_iL)),0)</f>
        <v>0</v>
      </c>
      <c r="BX97" s="1" t="n">
        <f aca="false">IF(BK97&gt;PR_BalDone,MIN(F_LoanPayM,BK97+BK97*(D_iL)),0)</f>
        <v>0</v>
      </c>
      <c r="BY97" s="1" t="n">
        <f aca="false">IF(BL97&gt;PR_BalDone,MIN(F_LoanPayM,BL97+BL97*(D_iL)),0)</f>
        <v>0</v>
      </c>
      <c r="BZ97" s="1" t="n">
        <f aca="false">IF(BM97&gt;PR_BalDone,MIN(F_LoanPayM,BM97+BM97*(D_iL)),0)</f>
        <v>0</v>
      </c>
      <c r="CA97" s="1" t="n">
        <f aca="false">IF(BN97&gt;PR_BalDone,MIN(F_LoanPayM,BN97+BN97*(D_iL)),0)</f>
        <v>0</v>
      </c>
      <c r="CB97" s="1" t="n">
        <f aca="false">IF(BO97&gt;PR_BalDone,MIN(F_LoanPayM,BO97+BO97*(D_iL)),0)</f>
        <v>0</v>
      </c>
      <c r="CC97" s="1" t="n">
        <f aca="false">IF(BP97&gt;PR_BalDone,MIN(F_LoanPayM,BP97+BP97*(D_iL)),0)</f>
        <v>0</v>
      </c>
      <c r="CD97" s="1" t="n">
        <f aca="false">MAX(0,BQ97)</f>
        <v>0</v>
      </c>
      <c r="CE97" s="1" t="n">
        <f aca="false">SUM(BR97:CC97)</f>
        <v>0</v>
      </c>
      <c r="CF97" s="1" t="n">
        <f aca="false">IF(CF96&gt;1,DE96,CF96)</f>
        <v>0</v>
      </c>
      <c r="CG97" s="1" t="n">
        <f aca="false">IF(CF97&gt;PR_BalDone,CF97+CF97*(F_MR/12)-MIN(F_MortPayM,CF97+CF97*(F_MR/12)),CF97)</f>
        <v>0</v>
      </c>
      <c r="CH97" s="1" t="n">
        <f aca="false">IF(CG97&gt;PR_BalDone,CG97+CG97*(F_MR/12)-MIN(F_MortPayM,CG97+CG97*(F_MR/12)),CG97)</f>
        <v>0</v>
      </c>
      <c r="CI97" s="1" t="n">
        <f aca="false">IF(CH97&gt;PR_BalDone,CH97+CH97*(F_MR/12)-MIN(F_MortPayM,CH97+CH97*(F_MR/12)),CH97)</f>
        <v>0</v>
      </c>
      <c r="CJ97" s="1" t="n">
        <f aca="false">IF(CI97&gt;PR_BalDone,CI97+CI97*(F_MR/12)-MIN(F_MortPayM,CI97+CI97*(F_MR/12)),CI97)</f>
        <v>0</v>
      </c>
      <c r="CK97" s="1" t="n">
        <f aca="false">IF(CJ97&gt;PR_BalDone,CJ97+CJ97*(F_MR/12)-MIN(F_MortPayM,CJ97+CJ97*(F_MR/12)),CJ97)</f>
        <v>0</v>
      </c>
      <c r="CL97" s="1" t="n">
        <f aca="false">IF(CK97&gt;PR_BalDone,CK97+CK97*(F_MR/12)-MIN(F_MortPayM,CK97+CK97*(F_MR/12)),CK97)</f>
        <v>0</v>
      </c>
      <c r="CM97" s="1" t="n">
        <f aca="false">IF(CL97&gt;PR_BalDone,CL97+CL97*(F_MR/12)-MIN(F_MortPayM,CL97+CL97*(F_MR/12)),CL97)</f>
        <v>0</v>
      </c>
      <c r="CN97" s="1" t="n">
        <f aca="false">IF(CM97&gt;PR_BalDone,CM97+CM97*(F_MR/12)-MIN(F_MortPayM,CM97+CM97*(F_MR/12)),CM97)</f>
        <v>0</v>
      </c>
      <c r="CO97" s="1" t="n">
        <f aca="false">IF(CN97&gt;PR_BalDone,CN97+CN97*(F_MR/12)-MIN(F_MortPayM,CN97+CN97*(F_MR/12)),CN97)</f>
        <v>0</v>
      </c>
      <c r="CP97" s="1" t="n">
        <f aca="false">IF(CO97&gt;PR_BalDone,CO97+CO97*(F_MR/12)-MIN(F_MortPayM,CO97+CO97*(F_MR/12)),CO97)</f>
        <v>0</v>
      </c>
      <c r="CQ97" s="1" t="n">
        <f aca="false">IF(CP97&gt;PR_BalDone,CP97+CP97*(F_MR/12)-MIN(F_MortPayM,CP97+CP97*(F_MR/12)),CP97)</f>
        <v>0</v>
      </c>
      <c r="CR97" s="1" t="n">
        <f aca="false">IF(CQ97&gt;PR_BalDone,CQ97+CQ97*(F_MR/12)-MIN(F_MortPayM,CQ97+CQ97*(F_MR/12)),CQ97)</f>
        <v>0</v>
      </c>
      <c r="CS97" s="1" t="n">
        <f aca="false">IF(CF97&gt;PR_BalDone,MIN(F_MortPayM,CF97+CF97*(F_MR/12)),0)</f>
        <v>0</v>
      </c>
      <c r="CT97" s="1" t="n">
        <f aca="false">IF(CG97&gt;PR_BalDone,MIN(F_MortPayM,CG97+CG97*(F_MR/12)),0)</f>
        <v>0</v>
      </c>
      <c r="CU97" s="1" t="n">
        <f aca="false">IF(CH97&gt;PR_BalDone,MIN(F_MortPayM,CH97+CH97*(F_MR/12)),0)</f>
        <v>0</v>
      </c>
      <c r="CV97" s="1" t="n">
        <f aca="false">IF(CI97&gt;PR_BalDone,MIN(F_MortPayM,CI97+CI97*(F_MR/12)),0)</f>
        <v>0</v>
      </c>
      <c r="CW97" s="1" t="n">
        <f aca="false">IF(CJ97&gt;PR_BalDone,MIN(F_MortPayM,CJ97+CJ97*(F_MR/12)),0)</f>
        <v>0</v>
      </c>
      <c r="CX97" s="1" t="n">
        <f aca="false">IF(CK97&gt;PR_BalDone,MIN(F_MortPayM,CK97+CK97*(F_MR/12)),0)</f>
        <v>0</v>
      </c>
      <c r="CY97" s="1" t="n">
        <f aca="false">IF(CL97&gt;PR_BalDone,MIN(F_MortPayM,CL97+CL97*(F_MR/12)),0)</f>
        <v>0</v>
      </c>
      <c r="CZ97" s="1" t="n">
        <f aca="false">IF(CM97&gt;PR_BalDone,MIN(F_MortPayM,CM97+CM97*(F_MR/12)),0)</f>
        <v>0</v>
      </c>
      <c r="DA97" s="1" t="n">
        <f aca="false">IF(CN97&gt;PR_BalDone,MIN(F_MortPayM,CN97+CN97*(F_MR/12)),0)</f>
        <v>0</v>
      </c>
      <c r="DB97" s="1" t="n">
        <f aca="false">IF(CO97&gt;PR_BalDone,MIN(F_MortPayM,CO97+CO97*(F_MR/12)),0)</f>
        <v>0</v>
      </c>
      <c r="DC97" s="1" t="n">
        <f aca="false">IF(CP97&gt;PR_BalDone,MIN(F_MortPayM,CP97+CP97*(F_MR/12)),0)</f>
        <v>0</v>
      </c>
      <c r="DD97" s="1" t="n">
        <f aca="false">IF(CQ97&gt;PR_BalDone,MIN(F_MortPayM,CQ97+CQ97*(F_MR/12)),0)</f>
        <v>0</v>
      </c>
      <c r="DE97" s="1" t="n">
        <f aca="false">MAX(0,CR97)</f>
        <v>0</v>
      </c>
      <c r="DF97" s="1" t="n">
        <f aca="false">SUM(CS97:DD97)</f>
        <v>0</v>
      </c>
      <c r="DG97" s="1" t="n">
        <f aca="false">MAX(0,CF97)</f>
        <v>0</v>
      </c>
    </row>
  </sheetData>
  <mergeCells count="1">
    <mergeCell ref="B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C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3" min="3" style="1" width="120"/>
  </cols>
  <sheetData>
    <row r="1" customFormat="false" ht="17.25" hidden="false" customHeight="true" outlineLevel="0" collapsed="false">
      <c r="B1" s="90" t="s">
        <v>3152</v>
      </c>
    </row>
    <row r="3" customFormat="false" ht="105" hidden="false" customHeight="true" outlineLevel="0" collapsed="false">
      <c r="B3" s="113" t="s">
        <v>3153</v>
      </c>
      <c r="C3" s="117" t="s">
        <v>3154</v>
      </c>
    </row>
    <row r="4" customFormat="false" ht="135" hidden="false" customHeight="true" outlineLevel="0" collapsed="false">
      <c r="B4" s="113" t="s">
        <v>3155</v>
      </c>
      <c r="C4" s="117" t="s">
        <v>3156</v>
      </c>
    </row>
    <row r="5" customFormat="false" ht="45" hidden="false" customHeight="true" outlineLevel="0" collapsed="false">
      <c r="B5" s="113" t="s">
        <v>3157</v>
      </c>
      <c r="C5" s="117" t="s">
        <v>3158</v>
      </c>
    </row>
    <row r="6" customFormat="false" ht="120" hidden="false" customHeight="true" outlineLevel="0" collapsed="false">
      <c r="B6" s="113" t="s">
        <v>3159</v>
      </c>
      <c r="C6" s="117" t="s">
        <v>3160</v>
      </c>
    </row>
    <row r="7" customFormat="false" ht="105" hidden="false" customHeight="true" outlineLevel="0" collapsed="false">
      <c r="B7" s="113" t="s">
        <v>3161</v>
      </c>
      <c r="C7" s="117" t="s">
        <v>3162</v>
      </c>
    </row>
    <row r="8" customFormat="false" ht="90" hidden="false" customHeight="true" outlineLevel="0" collapsed="false">
      <c r="B8" s="113" t="s">
        <v>3163</v>
      </c>
      <c r="C8" s="117" t="s">
        <v>3164</v>
      </c>
    </row>
    <row r="9" customFormat="false" ht="90" hidden="false" customHeight="true" outlineLevel="0" collapsed="false">
      <c r="B9" s="113" t="s">
        <v>3165</v>
      </c>
      <c r="C9" s="117" t="s">
        <v>3166</v>
      </c>
    </row>
    <row r="10" customFormat="false" ht="45" hidden="false" customHeight="true" outlineLevel="0" collapsed="false">
      <c r="B10" s="113" t="s">
        <v>3167</v>
      </c>
      <c r="C10" s="117" t="s">
        <v>3168</v>
      </c>
    </row>
    <row r="11" customFormat="false" ht="105" hidden="false" customHeight="true" outlineLevel="0" collapsed="false">
      <c r="B11" s="113" t="s">
        <v>3169</v>
      </c>
      <c r="C11" s="117" t="s">
        <v>3170</v>
      </c>
    </row>
    <row r="12" customFormat="false" ht="75" hidden="false" customHeight="true" outlineLevel="0" collapsed="false">
      <c r="B12" s="113" t="s">
        <v>3171</v>
      </c>
      <c r="C12" s="117" t="s">
        <v>3172</v>
      </c>
    </row>
    <row r="13" customFormat="false" ht="105" hidden="false" customHeight="true" outlineLevel="0" collapsed="false">
      <c r="B13" s="113" t="s">
        <v>3173</v>
      </c>
      <c r="C13" s="117" t="s">
        <v>3174</v>
      </c>
    </row>
    <row r="14" customFormat="false" ht="255" hidden="false" customHeight="true" outlineLevel="0" collapsed="false">
      <c r="B14" s="113" t="s">
        <v>3175</v>
      </c>
      <c r="C14" s="117" t="s">
        <v>3176</v>
      </c>
    </row>
    <row r="15" customFormat="false" ht="135" hidden="false" customHeight="true" outlineLevel="0" collapsed="false">
      <c r="B15" s="113" t="s">
        <v>3177</v>
      </c>
      <c r="C15" s="117" t="s">
        <v>3178</v>
      </c>
    </row>
    <row r="16" customFormat="false" ht="255" hidden="false" customHeight="true" outlineLevel="0" collapsed="false">
      <c r="B16" s="113" t="s">
        <v>3179</v>
      </c>
      <c r="C16" s="117" t="s">
        <v>3180</v>
      </c>
    </row>
    <row r="18" customFormat="false" ht="15" hidden="false" customHeight="true" outlineLevel="0" collapsed="false">
      <c r="B18" s="113" t="s">
        <v>3181</v>
      </c>
    </row>
    <row r="19" customFormat="false" ht="15" hidden="false" customHeight="true" outlineLevel="0" collapsed="false">
      <c r="B19" s="93" t="s">
        <v>3182</v>
      </c>
      <c r="C19" s="93" t="s">
        <v>3183</v>
      </c>
    </row>
    <row r="20" customFormat="false" ht="15" hidden="false" customHeight="true" outlineLevel="0" collapsed="false">
      <c r="B20" s="1" t="s">
        <v>3184</v>
      </c>
      <c r="C20" s="1" t="s">
        <v>3185</v>
      </c>
    </row>
    <row r="21" customFormat="false" ht="15" hidden="false" customHeight="true" outlineLevel="0" collapsed="false">
      <c r="B21" s="1" t="s">
        <v>3186</v>
      </c>
      <c r="C21" s="1" t="s">
        <v>3187</v>
      </c>
    </row>
    <row r="22" customFormat="false" ht="15" hidden="false" customHeight="true" outlineLevel="0" collapsed="false">
      <c r="B22" s="1" t="s">
        <v>3188</v>
      </c>
      <c r="C22" s="1" t="s">
        <v>3189</v>
      </c>
    </row>
    <row r="23" customFormat="false" ht="15" hidden="false" customHeight="true" outlineLevel="0" collapsed="false">
      <c r="B23" s="1" t="s">
        <v>3190</v>
      </c>
      <c r="C23" s="1" t="s">
        <v>3191</v>
      </c>
    </row>
    <row r="24" customFormat="false" ht="15" hidden="false" customHeight="true" outlineLevel="0" collapsed="false">
      <c r="B24" s="1" t="s">
        <v>3192</v>
      </c>
      <c r="C24" s="1" t="s">
        <v>3193</v>
      </c>
    </row>
    <row r="25" customFormat="false" ht="15" hidden="false" customHeight="true" outlineLevel="0" collapsed="false">
      <c r="B25" s="1" t="s">
        <v>3194</v>
      </c>
      <c r="C25" s="1" t="s">
        <v>3195</v>
      </c>
    </row>
    <row r="26" customFormat="false" ht="15" hidden="false" customHeight="true" outlineLevel="0" collapsed="false">
      <c r="B26" s="1" t="s">
        <v>3196</v>
      </c>
      <c r="C26" s="1" t="s">
        <v>3197</v>
      </c>
    </row>
    <row r="27" customFormat="false" ht="15" hidden="false" customHeight="true" outlineLevel="0" collapsed="false">
      <c r="B27" s="1" t="s">
        <v>3198</v>
      </c>
      <c r="C27" s="1" t="s">
        <v>3199</v>
      </c>
    </row>
    <row r="28" customFormat="false" ht="15" hidden="false" customHeight="true" outlineLevel="0" collapsed="false">
      <c r="B28" s="1" t="s">
        <v>3200</v>
      </c>
      <c r="C28" s="1" t="s">
        <v>3201</v>
      </c>
    </row>
    <row r="29" customFormat="false" ht="15" hidden="false" customHeight="true" outlineLevel="0" collapsed="false">
      <c r="B29" s="1" t="s">
        <v>3202</v>
      </c>
      <c r="C29" s="1" t="s">
        <v>3203</v>
      </c>
    </row>
    <row r="30" customFormat="false" ht="15" hidden="false" customHeight="true" outlineLevel="0" collapsed="false">
      <c r="B30" s="1" t="s">
        <v>3204</v>
      </c>
      <c r="C30" s="1" t="s">
        <v>3205</v>
      </c>
    </row>
    <row r="31" customFormat="false" ht="15" hidden="false" customHeight="true" outlineLevel="0" collapsed="false">
      <c r="B31" s="1" t="s">
        <v>3206</v>
      </c>
      <c r="C31" s="1" t="s">
        <v>3207</v>
      </c>
    </row>
    <row r="32" customFormat="false" ht="15" hidden="false" customHeight="true" outlineLevel="0" collapsed="false">
      <c r="B32" s="1" t="s">
        <v>3208</v>
      </c>
      <c r="C32" s="1" t="s">
        <v>3209</v>
      </c>
    </row>
    <row r="33" customFormat="false" ht="15" hidden="false" customHeight="true" outlineLevel="0" collapsed="false">
      <c r="B33" s="1" t="s">
        <v>3210</v>
      </c>
      <c r="C33" s="1" t="s">
        <v>3211</v>
      </c>
    </row>
    <row r="34" customFormat="false" ht="15" hidden="false" customHeight="true" outlineLevel="0" collapsed="false">
      <c r="B34" s="1" t="s">
        <v>3212</v>
      </c>
      <c r="C34" s="1" t="s">
        <v>3213</v>
      </c>
    </row>
    <row r="35" customFormat="false" ht="15" hidden="false" customHeight="true" outlineLevel="0" collapsed="false">
      <c r="B35" s="1" t="s">
        <v>3214</v>
      </c>
      <c r="C35" s="1" t="s">
        <v>3215</v>
      </c>
    </row>
    <row r="36" customFormat="false" ht="15" hidden="false" customHeight="true" outlineLevel="0" collapsed="false">
      <c r="B36" s="1" t="s">
        <v>3216</v>
      </c>
      <c r="C36" s="1" t="s">
        <v>3217</v>
      </c>
    </row>
    <row r="37" customFormat="false" ht="15" hidden="false" customHeight="true" outlineLevel="0" collapsed="false">
      <c r="B37" s="1" t="s">
        <v>3218</v>
      </c>
      <c r="C37" s="1" t="s">
        <v>3219</v>
      </c>
    </row>
    <row r="38" customFormat="false" ht="15" hidden="false" customHeight="true" outlineLevel="0" collapsed="false">
      <c r="B38" s="1" t="s">
        <v>3220</v>
      </c>
      <c r="C38" s="1" t="s">
        <v>3221</v>
      </c>
    </row>
    <row r="39" customFormat="false" ht="15" hidden="false" customHeight="true" outlineLevel="0" collapsed="false">
      <c r="B39" s="1" t="s">
        <v>3222</v>
      </c>
      <c r="C39" s="1" t="s">
        <v>3223</v>
      </c>
    </row>
    <row r="40" customFormat="false" ht="15" hidden="false" customHeight="true" outlineLevel="0" collapsed="false">
      <c r="B40" s="1" t="s">
        <v>3224</v>
      </c>
      <c r="C40" s="1" t="s">
        <v>3225</v>
      </c>
    </row>
    <row r="41" customFormat="false" ht="15" hidden="false" customHeight="true" outlineLevel="0" collapsed="false">
      <c r="B41" s="1" t="s">
        <v>3226</v>
      </c>
      <c r="C41" s="1" t="s">
        <v>3227</v>
      </c>
    </row>
    <row r="42" customFormat="false" ht="15" hidden="false" customHeight="true" outlineLevel="0" collapsed="false">
      <c r="B42" s="1" t="s">
        <v>3228</v>
      </c>
      <c r="C42" s="1" t="s">
        <v>3229</v>
      </c>
    </row>
    <row r="43" customFormat="false" ht="15" hidden="false" customHeight="true" outlineLevel="0" collapsed="false">
      <c r="B43" s="1" t="s">
        <v>3230</v>
      </c>
      <c r="C43" s="1" t="s">
        <v>3231</v>
      </c>
    </row>
    <row r="44" customFormat="false" ht="15" hidden="false" customHeight="true" outlineLevel="0" collapsed="false">
      <c r="B44" s="1" t="s">
        <v>3232</v>
      </c>
      <c r="C44" s="1" t="s">
        <v>3233</v>
      </c>
    </row>
    <row r="45" customFormat="false" ht="15" hidden="false" customHeight="true" outlineLevel="0" collapsed="false">
      <c r="B45" s="1" t="s">
        <v>3234</v>
      </c>
      <c r="C45" s="1" t="s">
        <v>3235</v>
      </c>
    </row>
    <row r="46" customFormat="false" ht="15" hidden="false" customHeight="true" outlineLevel="0" collapsed="false">
      <c r="B46" s="1" t="s">
        <v>3236</v>
      </c>
      <c r="C46" s="1" t="s">
        <v>3237</v>
      </c>
    </row>
    <row r="47" customFormat="false" ht="15" hidden="false" customHeight="true" outlineLevel="0" collapsed="false">
      <c r="B47" s="1" t="s">
        <v>3238</v>
      </c>
      <c r="C47" s="1" t="s">
        <v>3239</v>
      </c>
    </row>
    <row r="48" customFormat="false" ht="15" hidden="false" customHeight="true" outlineLevel="0" collapsed="false">
      <c r="B48" s="1" t="s">
        <v>3240</v>
      </c>
      <c r="C48" s="1" t="s">
        <v>3241</v>
      </c>
    </row>
    <row r="49" customFormat="false" ht="15" hidden="false" customHeight="true" outlineLevel="0" collapsed="false">
      <c r="B49" s="1" t="s">
        <v>3242</v>
      </c>
      <c r="C49" s="1" t="s">
        <v>3243</v>
      </c>
    </row>
    <row r="50" customFormat="false" ht="15" hidden="false" customHeight="true" outlineLevel="0" collapsed="false">
      <c r="B50" s="1" t="s">
        <v>3244</v>
      </c>
      <c r="C50" s="1" t="s">
        <v>3245</v>
      </c>
    </row>
    <row r="51" customFormat="false" ht="15" hidden="false" customHeight="true" outlineLevel="0" collapsed="false">
      <c r="B51" s="1" t="s">
        <v>3246</v>
      </c>
      <c r="C51" s="1" t="s">
        <v>3247</v>
      </c>
    </row>
    <row r="52" customFormat="false" ht="15" hidden="false" customHeight="true" outlineLevel="0" collapsed="false">
      <c r="B52" s="1" t="s">
        <v>3248</v>
      </c>
      <c r="C52" s="1" t="s">
        <v>3249</v>
      </c>
    </row>
    <row r="53" customFormat="false" ht="15" hidden="false" customHeight="true" outlineLevel="0" collapsed="false">
      <c r="B53" s="1" t="s">
        <v>3250</v>
      </c>
      <c r="C53" s="1" t="s">
        <v>3251</v>
      </c>
    </row>
    <row r="54" customFormat="false" ht="15" hidden="false" customHeight="true" outlineLevel="0" collapsed="false">
      <c r="B54" s="1" t="s">
        <v>3252</v>
      </c>
      <c r="C54" s="1" t="s">
        <v>3253</v>
      </c>
    </row>
    <row r="55" customFormat="false" ht="15" hidden="false" customHeight="true" outlineLevel="0" collapsed="false">
      <c r="B55" s="1" t="s">
        <v>3254</v>
      </c>
      <c r="C55" s="1" t="s">
        <v>3255</v>
      </c>
    </row>
    <row r="56" customFormat="false" ht="15" hidden="false" customHeight="true" outlineLevel="0" collapsed="false">
      <c r="B56" s="1" t="s">
        <v>3256</v>
      </c>
      <c r="C56" s="1" t="s">
        <v>3257</v>
      </c>
    </row>
    <row r="57" customFormat="false" ht="15" hidden="false" customHeight="true" outlineLevel="0" collapsed="false">
      <c r="B57" s="1" t="s">
        <v>3258</v>
      </c>
      <c r="C57" s="1" t="s">
        <v>3259</v>
      </c>
    </row>
    <row r="58" customFormat="false" ht="15" hidden="false" customHeight="true" outlineLevel="0" collapsed="false">
      <c r="B58" s="1" t="s">
        <v>3260</v>
      </c>
      <c r="C58" s="1" t="s">
        <v>3261</v>
      </c>
    </row>
    <row r="59" customFormat="false" ht="15" hidden="false" customHeight="true" outlineLevel="0" collapsed="false">
      <c r="B59" s="1" t="s">
        <v>3262</v>
      </c>
      <c r="C59" s="1" t="s">
        <v>3263</v>
      </c>
    </row>
    <row r="60" customFormat="false" ht="15" hidden="false" customHeight="true" outlineLevel="0" collapsed="false">
      <c r="B60" s="1" t="s">
        <v>3264</v>
      </c>
      <c r="C60" s="1" t="s">
        <v>3265</v>
      </c>
    </row>
    <row r="61" customFormat="false" ht="15" hidden="false" customHeight="true" outlineLevel="0" collapsed="false">
      <c r="B61" s="1" t="s">
        <v>3266</v>
      </c>
      <c r="C61" s="1" t="s">
        <v>3267</v>
      </c>
    </row>
    <row r="62" customFormat="false" ht="15" hidden="false" customHeight="true" outlineLevel="0" collapsed="false">
      <c r="B62" s="1" t="s">
        <v>3268</v>
      </c>
      <c r="C62" s="1" t="s">
        <v>3269</v>
      </c>
    </row>
    <row r="63" customFormat="false" ht="15" hidden="false" customHeight="true" outlineLevel="0" collapsed="false">
      <c r="B63" s="1" t="s">
        <v>3270</v>
      </c>
      <c r="C63" s="1" t="s">
        <v>3271</v>
      </c>
    </row>
    <row r="64" customFormat="false" ht="15" hidden="false" customHeight="true" outlineLevel="0" collapsed="false">
      <c r="B64" s="1" t="s">
        <v>3272</v>
      </c>
      <c r="C64" s="1" t="s">
        <v>3273</v>
      </c>
    </row>
    <row r="65" customFormat="false" ht="15" hidden="false" customHeight="true" outlineLevel="0" collapsed="false">
      <c r="B65" s="1" t="s">
        <v>3274</v>
      </c>
      <c r="C65" s="1" t="s">
        <v>3275</v>
      </c>
    </row>
    <row r="66" customFormat="false" ht="15" hidden="false" customHeight="true" outlineLevel="0" collapsed="false">
      <c r="B66" s="1" t="s">
        <v>3276</v>
      </c>
      <c r="C66" s="1" t="s">
        <v>3277</v>
      </c>
    </row>
    <row r="67" customFormat="false" ht="15" hidden="false" customHeight="true" outlineLevel="0" collapsed="false">
      <c r="B67" s="1" t="s">
        <v>3278</v>
      </c>
      <c r="C67" s="1" t="s">
        <v>3279</v>
      </c>
    </row>
    <row r="68" customFormat="false" ht="15" hidden="false" customHeight="true" outlineLevel="0" collapsed="false">
      <c r="B68" s="1" t="s">
        <v>3280</v>
      </c>
      <c r="C68" s="1" t="s">
        <v>3281</v>
      </c>
    </row>
    <row r="69" customFormat="false" ht="15" hidden="false" customHeight="true" outlineLevel="0" collapsed="false">
      <c r="B69" s="1" t="s">
        <v>3282</v>
      </c>
      <c r="C69" s="1" t="s">
        <v>3283</v>
      </c>
    </row>
    <row r="70" customFormat="false" ht="15" hidden="false" customHeight="true" outlineLevel="0" collapsed="false">
      <c r="B70" s="1" t="s">
        <v>3284</v>
      </c>
      <c r="C70" s="1" t="s">
        <v>3285</v>
      </c>
    </row>
    <row r="71" customFormat="false" ht="15" hidden="false" customHeight="true" outlineLevel="0" collapsed="false">
      <c r="B71" s="1" t="s">
        <v>3286</v>
      </c>
      <c r="C71" s="1" t="s">
        <v>3287</v>
      </c>
    </row>
    <row r="72" customFormat="false" ht="15" hidden="false" customHeight="true" outlineLevel="0" collapsed="false">
      <c r="B72" s="1" t="s">
        <v>3288</v>
      </c>
      <c r="C72" s="1" t="s">
        <v>3289</v>
      </c>
    </row>
    <row r="73" customFormat="false" ht="15" hidden="false" customHeight="true" outlineLevel="0" collapsed="false">
      <c r="B73" s="1" t="s">
        <v>3290</v>
      </c>
      <c r="C73" s="1" t="s">
        <v>3291</v>
      </c>
    </row>
    <row r="74" customFormat="false" ht="15" hidden="false" customHeight="true" outlineLevel="0" collapsed="false">
      <c r="B74" s="1" t="s">
        <v>3292</v>
      </c>
      <c r="C74" s="1" t="s">
        <v>3293</v>
      </c>
    </row>
    <row r="75" customFormat="false" ht="15" hidden="false" customHeight="true" outlineLevel="0" collapsed="false">
      <c r="B75" s="1" t="s">
        <v>3294</v>
      </c>
      <c r="C75" s="1" t="s">
        <v>3295</v>
      </c>
    </row>
    <row r="76" customFormat="false" ht="15" hidden="false" customHeight="true" outlineLevel="0" collapsed="false">
      <c r="B76" s="1" t="s">
        <v>3296</v>
      </c>
      <c r="C76" s="1" t="s">
        <v>3297</v>
      </c>
    </row>
    <row r="77" customFormat="false" ht="15" hidden="false" customHeight="true" outlineLevel="0" collapsed="false">
      <c r="B77" s="1" t="s">
        <v>3298</v>
      </c>
      <c r="C77" s="1" t="s">
        <v>3299</v>
      </c>
    </row>
    <row r="78" customFormat="false" ht="15" hidden="false" customHeight="true" outlineLevel="0" collapsed="false">
      <c r="B78" s="1" t="s">
        <v>3300</v>
      </c>
      <c r="C78" s="1" t="s">
        <v>3301</v>
      </c>
    </row>
    <row r="79" customFormat="false" ht="15" hidden="false" customHeight="true" outlineLevel="0" collapsed="false">
      <c r="B79" s="1" t="s">
        <v>3302</v>
      </c>
      <c r="C79" s="1" t="s">
        <v>3303</v>
      </c>
    </row>
    <row r="80" customFormat="false" ht="15" hidden="false" customHeight="true" outlineLevel="0" collapsed="false">
      <c r="B80" s="1" t="s">
        <v>3304</v>
      </c>
      <c r="C80" s="1" t="s">
        <v>3305</v>
      </c>
    </row>
    <row r="81" customFormat="false" ht="15" hidden="false" customHeight="true" outlineLevel="0" collapsed="false">
      <c r="B81" s="1" t="s">
        <v>3306</v>
      </c>
      <c r="C81" s="1" t="s">
        <v>3307</v>
      </c>
    </row>
    <row r="82" customFormat="false" ht="15" hidden="false" customHeight="true" outlineLevel="0" collapsed="false">
      <c r="B82" s="1" t="s">
        <v>3308</v>
      </c>
      <c r="C82" s="1" t="s">
        <v>3309</v>
      </c>
    </row>
    <row r="83" customFormat="false" ht="15" hidden="false" customHeight="true" outlineLevel="0" collapsed="false">
      <c r="B83" s="1" t="s">
        <v>3310</v>
      </c>
      <c r="C83" s="1" t="s">
        <v>3311</v>
      </c>
    </row>
    <row r="84" customFormat="false" ht="15" hidden="false" customHeight="true" outlineLevel="0" collapsed="false">
      <c r="B84" s="1" t="s">
        <v>3312</v>
      </c>
      <c r="C84" s="1" t="s">
        <v>3313</v>
      </c>
    </row>
    <row r="85" customFormat="false" ht="15" hidden="false" customHeight="true" outlineLevel="0" collapsed="false">
      <c r="B85" s="1" t="s">
        <v>3314</v>
      </c>
      <c r="C85" s="1" t="s">
        <v>3315</v>
      </c>
    </row>
    <row r="86" customFormat="false" ht="15" hidden="false" customHeight="true" outlineLevel="0" collapsed="false">
      <c r="B86" s="1" t="s">
        <v>3316</v>
      </c>
      <c r="C86" s="1" t="s">
        <v>3317</v>
      </c>
    </row>
    <row r="87" customFormat="false" ht="15" hidden="false" customHeight="true" outlineLevel="0" collapsed="false">
      <c r="B87" s="1" t="s">
        <v>3318</v>
      </c>
      <c r="C87" s="1" t="s">
        <v>3319</v>
      </c>
    </row>
    <row r="88" customFormat="false" ht="15" hidden="false" customHeight="true" outlineLevel="0" collapsed="false">
      <c r="B88" s="1" t="s">
        <v>3320</v>
      </c>
      <c r="C88" s="1" t="s">
        <v>3321</v>
      </c>
    </row>
    <row r="89" customFormat="false" ht="15" hidden="false" customHeight="true" outlineLevel="0" collapsed="false">
      <c r="B89" s="1" t="s">
        <v>3322</v>
      </c>
      <c r="C89" s="1" t="s">
        <v>3323</v>
      </c>
    </row>
    <row r="90" customFormat="false" ht="15" hidden="false" customHeight="true" outlineLevel="0" collapsed="false">
      <c r="B90" s="1" t="s">
        <v>3324</v>
      </c>
      <c r="C90" s="1" t="s">
        <v>3325</v>
      </c>
    </row>
    <row r="91" customFormat="false" ht="15" hidden="false" customHeight="true" outlineLevel="0" collapsed="false">
      <c r="B91" s="1" t="s">
        <v>3326</v>
      </c>
      <c r="C91" s="1" t="s">
        <v>3327</v>
      </c>
    </row>
    <row r="92" customFormat="false" ht="15" hidden="false" customHeight="true" outlineLevel="0" collapsed="false">
      <c r="B92" s="1" t="s">
        <v>3328</v>
      </c>
      <c r="C92" s="1" t="s">
        <v>3329</v>
      </c>
    </row>
    <row r="93" customFormat="false" ht="15" hidden="false" customHeight="true" outlineLevel="0" collapsed="false">
      <c r="B93" s="1" t="s">
        <v>3330</v>
      </c>
      <c r="C93" s="1" t="s">
        <v>3331</v>
      </c>
    </row>
    <row r="94" customFormat="false" ht="15" hidden="false" customHeight="true" outlineLevel="0" collapsed="false">
      <c r="B94" s="1" t="s">
        <v>3332</v>
      </c>
      <c r="C94" s="1" t="s">
        <v>3333</v>
      </c>
    </row>
    <row r="95" customFormat="false" ht="15" hidden="false" customHeight="true" outlineLevel="0" collapsed="false">
      <c r="B95" s="1" t="s">
        <v>3334</v>
      </c>
      <c r="C95" s="1" t="s">
        <v>3335</v>
      </c>
    </row>
    <row r="96" customFormat="false" ht="15" hidden="false" customHeight="true" outlineLevel="0" collapsed="false">
      <c r="B96" s="1" t="s">
        <v>3336</v>
      </c>
      <c r="C96" s="1" t="s">
        <v>3337</v>
      </c>
    </row>
    <row r="97" customFormat="false" ht="15" hidden="false" customHeight="true" outlineLevel="0" collapsed="false">
      <c r="B97" s="1" t="s">
        <v>3338</v>
      </c>
      <c r="C97" s="1" t="s">
        <v>3339</v>
      </c>
    </row>
    <row r="98" customFormat="false" ht="15" hidden="false" customHeight="true" outlineLevel="0" collapsed="false">
      <c r="B98" s="1" t="s">
        <v>3340</v>
      </c>
      <c r="C98" s="1" t="s">
        <v>3341</v>
      </c>
    </row>
    <row r="99" customFormat="false" ht="15" hidden="false" customHeight="true" outlineLevel="0" collapsed="false">
      <c r="B99" s="1" t="s">
        <v>3342</v>
      </c>
      <c r="C99" s="1" t="s">
        <v>3343</v>
      </c>
    </row>
    <row r="100" customFormat="false" ht="15" hidden="false" customHeight="true" outlineLevel="0" collapsed="false">
      <c r="B100" s="1" t="s">
        <v>3344</v>
      </c>
      <c r="C100" s="1" t="s">
        <v>3345</v>
      </c>
    </row>
    <row r="101" customFormat="false" ht="15" hidden="false" customHeight="true" outlineLevel="0" collapsed="false">
      <c r="B101" s="1" t="s">
        <v>3346</v>
      </c>
      <c r="C101" s="1" t="s">
        <v>3347</v>
      </c>
    </row>
    <row r="102" customFormat="false" ht="15" hidden="false" customHeight="true" outlineLevel="0" collapsed="false">
      <c r="B102" s="1" t="s">
        <v>3348</v>
      </c>
      <c r="C102" s="1" t="s">
        <v>3349</v>
      </c>
    </row>
    <row r="103" customFormat="false" ht="15" hidden="false" customHeight="true" outlineLevel="0" collapsed="false">
      <c r="B103" s="1" t="s">
        <v>3350</v>
      </c>
      <c r="C103" s="1" t="s">
        <v>3351</v>
      </c>
    </row>
    <row r="104" customFormat="false" ht="15" hidden="false" customHeight="true" outlineLevel="0" collapsed="false">
      <c r="B104" s="1" t="s">
        <v>3352</v>
      </c>
      <c r="C104" s="1" t="s">
        <v>3353</v>
      </c>
    </row>
    <row r="105" customFormat="false" ht="15" hidden="false" customHeight="true" outlineLevel="0" collapsed="false">
      <c r="B105" s="1" t="s">
        <v>3354</v>
      </c>
      <c r="C105" s="1" t="s">
        <v>3355</v>
      </c>
    </row>
    <row r="106" customFormat="false" ht="15" hidden="false" customHeight="true" outlineLevel="0" collapsed="false">
      <c r="B106" s="1" t="s">
        <v>3356</v>
      </c>
      <c r="C106" s="1" t="s">
        <v>3357</v>
      </c>
    </row>
    <row r="107" customFormat="false" ht="15" hidden="false" customHeight="true" outlineLevel="0" collapsed="false">
      <c r="B107" s="1" t="s">
        <v>3358</v>
      </c>
      <c r="C107" s="1" t="s">
        <v>3359</v>
      </c>
    </row>
    <row r="108" customFormat="false" ht="15" hidden="false" customHeight="true" outlineLevel="0" collapsed="false">
      <c r="B108" s="1" t="s">
        <v>3360</v>
      </c>
      <c r="C108" s="1" t="s">
        <v>3361</v>
      </c>
    </row>
    <row r="109" customFormat="false" ht="15" hidden="false" customHeight="true" outlineLevel="0" collapsed="false">
      <c r="B109" s="1" t="s">
        <v>3362</v>
      </c>
      <c r="C109" s="1" t="s">
        <v>3363</v>
      </c>
    </row>
    <row r="110" customFormat="false" ht="15" hidden="false" customHeight="true" outlineLevel="0" collapsed="false">
      <c r="B110" s="1" t="s">
        <v>3364</v>
      </c>
      <c r="C110" s="1" t="s">
        <v>3365</v>
      </c>
    </row>
    <row r="111" customFormat="false" ht="15" hidden="false" customHeight="true" outlineLevel="0" collapsed="false">
      <c r="B111" s="1" t="s">
        <v>3366</v>
      </c>
      <c r="C111" s="1" t="s">
        <v>3367</v>
      </c>
    </row>
    <row r="112" customFormat="false" ht="15" hidden="false" customHeight="true" outlineLevel="0" collapsed="false">
      <c r="B112" s="1" t="s">
        <v>3368</v>
      </c>
      <c r="C112" s="1" t="s">
        <v>3369</v>
      </c>
    </row>
    <row r="113" customFormat="false" ht="15" hidden="false" customHeight="true" outlineLevel="0" collapsed="false">
      <c r="B113" s="1" t="s">
        <v>3370</v>
      </c>
      <c r="C113" s="1" t="s">
        <v>3371</v>
      </c>
    </row>
    <row r="114" customFormat="false" ht="15" hidden="false" customHeight="true" outlineLevel="0" collapsed="false">
      <c r="B114" s="1" t="s">
        <v>3372</v>
      </c>
      <c r="C114" s="1" t="s">
        <v>3373</v>
      </c>
    </row>
    <row r="115" customFormat="false" ht="15" hidden="false" customHeight="true" outlineLevel="0" collapsed="false">
      <c r="B115" s="1" t="s">
        <v>3374</v>
      </c>
      <c r="C115" s="1" t="s">
        <v>3375</v>
      </c>
    </row>
    <row r="116" customFormat="false" ht="15" hidden="false" customHeight="true" outlineLevel="0" collapsed="false">
      <c r="B116" s="1" t="s">
        <v>3376</v>
      </c>
      <c r="C116" s="1" t="s">
        <v>3377</v>
      </c>
    </row>
    <row r="117" customFormat="false" ht="15" hidden="false" customHeight="true" outlineLevel="0" collapsed="false">
      <c r="B117" s="1" t="s">
        <v>3378</v>
      </c>
      <c r="C117" s="1" t="s">
        <v>3379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H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26"/>
    <col collapsed="false" customWidth="true" hidden="false" outlineLevel="0" max="4" min="4" style="1" width="44"/>
    <col collapsed="false" customWidth="true" hidden="false" outlineLevel="0" max="5" min="5" style="1" width="30"/>
    <col collapsed="false" customWidth="true" hidden="false" outlineLevel="0" max="6" min="6" style="1" width="62"/>
    <col collapsed="false" customWidth="true" hidden="false" outlineLevel="0" max="7" min="7" style="1" width="52"/>
    <col collapsed="false" customWidth="true" hidden="false" outlineLevel="0" max="8" min="8" style="1" width="36"/>
  </cols>
  <sheetData>
    <row r="1" customFormat="false" ht="17.25" hidden="false" customHeight="true" outlineLevel="0" collapsed="false">
      <c r="B1" s="90" t="s">
        <v>3380</v>
      </c>
    </row>
    <row r="2" customFormat="false" ht="48" hidden="false" customHeight="true" outlineLevel="0" collapsed="false">
      <c r="B2" s="91" t="s">
        <v>3381</v>
      </c>
      <c r="C2" s="91"/>
      <c r="D2" s="91"/>
      <c r="E2" s="91"/>
      <c r="F2" s="91"/>
      <c r="G2" s="91"/>
      <c r="H2" s="91"/>
    </row>
    <row r="4" customFormat="false" ht="15" hidden="false" customHeight="true" outlineLevel="0" collapsed="false">
      <c r="B4" s="93" t="s">
        <v>30</v>
      </c>
      <c r="C4" s="93" t="s">
        <v>3382</v>
      </c>
      <c r="D4" s="93" t="s">
        <v>3383</v>
      </c>
      <c r="E4" s="93" t="s">
        <v>3384</v>
      </c>
      <c r="F4" s="93" t="s">
        <v>3385</v>
      </c>
      <c r="G4" s="93" t="s">
        <v>3386</v>
      </c>
      <c r="H4" s="93" t="s">
        <v>100</v>
      </c>
    </row>
    <row r="5" customFormat="false" ht="27.75" hidden="false" customHeight="true" outlineLevel="0" collapsed="false">
      <c r="B5" s="117" t="n">
        <v>1</v>
      </c>
      <c r="C5" s="117" t="s">
        <v>3387</v>
      </c>
      <c r="D5" s="117" t="s">
        <v>3388</v>
      </c>
      <c r="E5" s="117" t="s">
        <v>3389</v>
      </c>
      <c r="F5" s="117" t="s">
        <v>3390</v>
      </c>
      <c r="G5" s="117" t="s">
        <v>3391</v>
      </c>
      <c r="H5" s="118" t="s">
        <v>3392</v>
      </c>
    </row>
    <row r="6" customFormat="false" ht="15" hidden="false" customHeight="true" outlineLevel="0" collapsed="false">
      <c r="B6" s="117" t="n">
        <v>2</v>
      </c>
      <c r="C6" s="117" t="s">
        <v>3387</v>
      </c>
      <c r="D6" s="117" t="s">
        <v>3393</v>
      </c>
      <c r="E6" s="117" t="s">
        <v>3389</v>
      </c>
      <c r="F6" s="117" t="s">
        <v>3394</v>
      </c>
      <c r="G6" s="117" t="s">
        <v>3395</v>
      </c>
      <c r="H6" s="118" t="s">
        <v>3392</v>
      </c>
    </row>
    <row r="7" customFormat="false" ht="15" hidden="false" customHeight="true" outlineLevel="0" collapsed="false">
      <c r="B7" s="117" t="n">
        <v>3</v>
      </c>
      <c r="C7" s="117" t="s">
        <v>3396</v>
      </c>
      <c r="D7" s="117" t="s">
        <v>3397</v>
      </c>
      <c r="E7" s="117" t="s">
        <v>3398</v>
      </c>
      <c r="F7" s="117" t="s">
        <v>3399</v>
      </c>
      <c r="G7" s="117" t="s">
        <v>3395</v>
      </c>
      <c r="H7" s="118" t="s">
        <v>3392</v>
      </c>
    </row>
    <row r="8" customFormat="false" ht="54.75" hidden="false" customHeight="true" outlineLevel="0" collapsed="false">
      <c r="B8" s="117" t="n">
        <v>4</v>
      </c>
      <c r="C8" s="117" t="s">
        <v>3387</v>
      </c>
      <c r="D8" s="117" t="s">
        <v>3400</v>
      </c>
      <c r="E8" s="117" t="s">
        <v>3401</v>
      </c>
      <c r="F8" s="117" t="s">
        <v>3402</v>
      </c>
      <c r="G8" s="117" t="s">
        <v>3403</v>
      </c>
      <c r="H8" s="118" t="s">
        <v>3404</v>
      </c>
    </row>
    <row r="9" customFormat="false" ht="15" hidden="false" customHeight="true" outlineLevel="0" collapsed="false">
      <c r="B9" s="117" t="n">
        <v>5</v>
      </c>
      <c r="C9" s="117" t="s">
        <v>3387</v>
      </c>
      <c r="D9" s="117" t="s">
        <v>3405</v>
      </c>
      <c r="E9" s="117" t="s">
        <v>3389</v>
      </c>
      <c r="F9" s="117" t="s">
        <v>3406</v>
      </c>
      <c r="G9" s="117" t="s">
        <v>3407</v>
      </c>
      <c r="H9" s="118" t="s">
        <v>3392</v>
      </c>
    </row>
    <row r="10" customFormat="false" ht="41.25" hidden="false" customHeight="true" outlineLevel="0" collapsed="false">
      <c r="B10" s="117" t="n">
        <v>6</v>
      </c>
      <c r="C10" s="117" t="s">
        <v>3387</v>
      </c>
      <c r="D10" s="117" t="s">
        <v>3408</v>
      </c>
      <c r="E10" s="117" t="s">
        <v>3409</v>
      </c>
      <c r="F10" s="117" t="s">
        <v>3410</v>
      </c>
      <c r="G10" s="117" t="s">
        <v>3411</v>
      </c>
      <c r="H10" s="118" t="s">
        <v>3412</v>
      </c>
    </row>
    <row r="11" customFormat="false" ht="41.25" hidden="false" customHeight="true" outlineLevel="0" collapsed="false">
      <c r="B11" s="117" t="n">
        <v>7</v>
      </c>
      <c r="C11" s="117" t="s">
        <v>3413</v>
      </c>
      <c r="D11" s="117" t="s">
        <v>3414</v>
      </c>
      <c r="E11" s="117" t="s">
        <v>3415</v>
      </c>
      <c r="F11" s="117" t="s">
        <v>3416</v>
      </c>
      <c r="G11" s="117" t="s">
        <v>3417</v>
      </c>
      <c r="H11" s="118" t="s">
        <v>3412</v>
      </c>
    </row>
    <row r="12" customFormat="false" ht="27.75" hidden="false" customHeight="true" outlineLevel="0" collapsed="false">
      <c r="B12" s="117" t="n">
        <v>8</v>
      </c>
      <c r="C12" s="117" t="s">
        <v>3413</v>
      </c>
      <c r="D12" s="117" t="s">
        <v>3418</v>
      </c>
      <c r="E12" s="117" t="s">
        <v>3415</v>
      </c>
      <c r="F12" s="117" t="s">
        <v>3419</v>
      </c>
      <c r="G12" s="117" t="s">
        <v>3420</v>
      </c>
      <c r="H12" s="118" t="s">
        <v>3392</v>
      </c>
    </row>
    <row r="13" customFormat="false" ht="27.75" hidden="false" customHeight="true" outlineLevel="0" collapsed="false">
      <c r="B13" s="117" t="n">
        <v>9</v>
      </c>
      <c r="C13" s="117" t="s">
        <v>3413</v>
      </c>
      <c r="D13" s="117" t="s">
        <v>3421</v>
      </c>
      <c r="E13" s="117" t="s">
        <v>3415</v>
      </c>
      <c r="F13" s="117" t="s">
        <v>3422</v>
      </c>
      <c r="G13" s="117" t="s">
        <v>3423</v>
      </c>
      <c r="H13" s="118" t="s">
        <v>3392</v>
      </c>
    </row>
    <row r="14" customFormat="false" ht="27.75" hidden="false" customHeight="true" outlineLevel="0" collapsed="false">
      <c r="B14" s="117" t="n">
        <v>10</v>
      </c>
      <c r="C14" s="117" t="s">
        <v>3387</v>
      </c>
      <c r="D14" s="117" t="s">
        <v>3424</v>
      </c>
      <c r="E14" s="117" t="s">
        <v>3425</v>
      </c>
      <c r="F14" s="117" t="s">
        <v>3426</v>
      </c>
      <c r="G14" s="117" t="s">
        <v>3427</v>
      </c>
      <c r="H14" s="118" t="s">
        <v>3392</v>
      </c>
    </row>
    <row r="15" customFormat="false" ht="27.75" hidden="false" customHeight="true" outlineLevel="0" collapsed="false">
      <c r="B15" s="117" t="n">
        <v>11</v>
      </c>
      <c r="C15" s="117" t="s">
        <v>3387</v>
      </c>
      <c r="D15" s="117" t="s">
        <v>3428</v>
      </c>
      <c r="E15" s="117" t="s">
        <v>3429</v>
      </c>
      <c r="F15" s="117" t="s">
        <v>3430</v>
      </c>
      <c r="G15" s="117" t="s">
        <v>3431</v>
      </c>
      <c r="H15" s="119" t="s">
        <v>3432</v>
      </c>
    </row>
    <row r="16" customFormat="false" ht="54.75" hidden="false" customHeight="true" outlineLevel="0" collapsed="false">
      <c r="B16" s="117" t="n">
        <v>12</v>
      </c>
      <c r="C16" s="117" t="s">
        <v>3433</v>
      </c>
      <c r="D16" s="117" t="s">
        <v>3434</v>
      </c>
      <c r="E16" s="117" t="s">
        <v>3435</v>
      </c>
      <c r="F16" s="117" t="s">
        <v>3436</v>
      </c>
      <c r="G16" s="117" t="s">
        <v>3437</v>
      </c>
      <c r="H16" s="118" t="s">
        <v>3392</v>
      </c>
    </row>
    <row r="17" customFormat="false" ht="41.25" hidden="false" customHeight="true" outlineLevel="0" collapsed="false">
      <c r="B17" s="117" t="n">
        <v>13</v>
      </c>
      <c r="C17" s="117" t="s">
        <v>3438</v>
      </c>
      <c r="D17" s="117" t="s">
        <v>3439</v>
      </c>
      <c r="E17" s="117" t="s">
        <v>3440</v>
      </c>
      <c r="F17" s="117" t="s">
        <v>3441</v>
      </c>
      <c r="G17" s="117" t="s">
        <v>3442</v>
      </c>
      <c r="H17" s="118" t="s">
        <v>3392</v>
      </c>
    </row>
    <row r="18" customFormat="false" ht="27.75" hidden="false" customHeight="true" outlineLevel="0" collapsed="false">
      <c r="B18" s="117" t="n">
        <v>14</v>
      </c>
      <c r="C18" s="117" t="s">
        <v>3443</v>
      </c>
      <c r="D18" s="117" t="s">
        <v>3444</v>
      </c>
      <c r="E18" s="117" t="s">
        <v>3445</v>
      </c>
      <c r="F18" s="117" t="s">
        <v>3446</v>
      </c>
      <c r="G18" s="117" t="s">
        <v>3447</v>
      </c>
      <c r="H18" s="118" t="s">
        <v>3392</v>
      </c>
    </row>
    <row r="19" customFormat="false" ht="27.75" hidden="false" customHeight="true" outlineLevel="0" collapsed="false">
      <c r="B19" s="117" t="n">
        <v>15</v>
      </c>
      <c r="C19" s="117" t="s">
        <v>3448</v>
      </c>
      <c r="D19" s="117" t="s">
        <v>3449</v>
      </c>
      <c r="E19" s="117" t="s">
        <v>3450</v>
      </c>
      <c r="F19" s="117" t="s">
        <v>3451</v>
      </c>
      <c r="G19" s="117" t="s">
        <v>3452</v>
      </c>
      <c r="H19" s="118" t="s">
        <v>3392</v>
      </c>
    </row>
    <row r="20" customFormat="false" ht="27.75" hidden="false" customHeight="true" outlineLevel="0" collapsed="false">
      <c r="B20" s="117" t="n">
        <v>16</v>
      </c>
      <c r="C20" s="117" t="s">
        <v>3453</v>
      </c>
      <c r="D20" s="117" t="s">
        <v>3454</v>
      </c>
      <c r="E20" s="117" t="s">
        <v>3455</v>
      </c>
      <c r="F20" s="117" t="s">
        <v>3456</v>
      </c>
      <c r="G20" s="117" t="s">
        <v>3457</v>
      </c>
      <c r="H20" s="118" t="s">
        <v>3392</v>
      </c>
    </row>
    <row r="21" customFormat="false" ht="27.75" hidden="false" customHeight="true" outlineLevel="0" collapsed="false">
      <c r="B21" s="117" t="n">
        <v>17</v>
      </c>
      <c r="C21" s="117" t="s">
        <v>3458</v>
      </c>
      <c r="D21" s="117" t="s">
        <v>3459</v>
      </c>
      <c r="E21" s="117" t="s">
        <v>3435</v>
      </c>
      <c r="F21" s="117" t="s">
        <v>3460</v>
      </c>
      <c r="G21" s="117" t="s">
        <v>3461</v>
      </c>
      <c r="H21" s="118" t="s">
        <v>3392</v>
      </c>
    </row>
    <row r="22" customFormat="false" ht="27.75" hidden="false" customHeight="true" outlineLevel="0" collapsed="false">
      <c r="B22" s="117" t="n">
        <v>18</v>
      </c>
      <c r="C22" s="117" t="s">
        <v>3462</v>
      </c>
      <c r="D22" s="117" t="s">
        <v>3463</v>
      </c>
      <c r="E22" s="117" t="s">
        <v>3464</v>
      </c>
      <c r="F22" s="117" t="s">
        <v>3465</v>
      </c>
      <c r="G22" s="117" t="s">
        <v>3466</v>
      </c>
      <c r="H22" s="118" t="s">
        <v>3392</v>
      </c>
    </row>
    <row r="23" customFormat="false" ht="27.75" hidden="false" customHeight="true" outlineLevel="0" collapsed="false">
      <c r="B23" s="117" t="n">
        <v>19</v>
      </c>
      <c r="C23" s="117" t="s">
        <v>3467</v>
      </c>
      <c r="D23" s="117" t="s">
        <v>3468</v>
      </c>
      <c r="E23" s="117" t="s">
        <v>3450</v>
      </c>
      <c r="F23" s="117" t="s">
        <v>3469</v>
      </c>
      <c r="G23" s="117" t="s">
        <v>3470</v>
      </c>
      <c r="H23" s="118" t="s">
        <v>3471</v>
      </c>
    </row>
    <row r="24" customFormat="false" ht="41.25" hidden="false" customHeight="true" outlineLevel="0" collapsed="false">
      <c r="B24" s="117" t="n">
        <v>20</v>
      </c>
      <c r="C24" s="117" t="s">
        <v>3472</v>
      </c>
      <c r="D24" s="117" t="s">
        <v>3473</v>
      </c>
      <c r="E24" s="117" t="s">
        <v>3474</v>
      </c>
      <c r="F24" s="117" t="s">
        <v>3475</v>
      </c>
      <c r="G24" s="117" t="s">
        <v>3476</v>
      </c>
      <c r="H24" s="118" t="s">
        <v>3392</v>
      </c>
    </row>
    <row r="25" customFormat="false" ht="27.75" hidden="false" customHeight="true" outlineLevel="0" collapsed="false">
      <c r="B25" s="117" t="n">
        <v>21</v>
      </c>
      <c r="C25" s="117" t="s">
        <v>3472</v>
      </c>
      <c r="D25" s="117" t="s">
        <v>3477</v>
      </c>
      <c r="E25" s="117" t="s">
        <v>3478</v>
      </c>
      <c r="F25" s="117" t="s">
        <v>3479</v>
      </c>
      <c r="G25" s="117" t="s">
        <v>3480</v>
      </c>
      <c r="H25" s="118" t="s">
        <v>3392</v>
      </c>
    </row>
    <row r="26" customFormat="false" ht="27.75" hidden="false" customHeight="true" outlineLevel="0" collapsed="false">
      <c r="B26" s="117" t="n">
        <v>22</v>
      </c>
      <c r="C26" s="117" t="s">
        <v>3481</v>
      </c>
      <c r="D26" s="117" t="s">
        <v>3482</v>
      </c>
      <c r="E26" s="117" t="s">
        <v>3483</v>
      </c>
      <c r="F26" s="117" t="s">
        <v>3484</v>
      </c>
      <c r="G26" s="117" t="s">
        <v>3485</v>
      </c>
      <c r="H26" s="118" t="s">
        <v>3392</v>
      </c>
    </row>
    <row r="27" customFormat="false" ht="27.75" hidden="false" customHeight="true" outlineLevel="0" collapsed="false">
      <c r="B27" s="117" t="n">
        <v>23</v>
      </c>
      <c r="C27" s="117" t="s">
        <v>3481</v>
      </c>
      <c r="D27" s="117" t="s">
        <v>3486</v>
      </c>
      <c r="E27" s="117" t="s">
        <v>3483</v>
      </c>
      <c r="F27" s="117" t="s">
        <v>3487</v>
      </c>
      <c r="G27" s="117" t="s">
        <v>3488</v>
      </c>
      <c r="H27" s="118" t="s">
        <v>3392</v>
      </c>
    </row>
    <row r="28" customFormat="false" ht="27.75" hidden="false" customHeight="true" outlineLevel="0" collapsed="false">
      <c r="B28" s="117" t="n">
        <v>24</v>
      </c>
      <c r="C28" s="117" t="s">
        <v>3489</v>
      </c>
      <c r="D28" s="117" t="s">
        <v>3490</v>
      </c>
      <c r="E28" s="117" t="s">
        <v>3491</v>
      </c>
      <c r="F28" s="117" t="s">
        <v>3492</v>
      </c>
      <c r="G28" s="117" t="s">
        <v>3493</v>
      </c>
      <c r="H28" s="118" t="s">
        <v>3392</v>
      </c>
    </row>
    <row r="29" customFormat="false" ht="27.75" hidden="false" customHeight="true" outlineLevel="0" collapsed="false">
      <c r="B29" s="117" t="n">
        <v>25</v>
      </c>
      <c r="C29" s="117" t="s">
        <v>3489</v>
      </c>
      <c r="D29" s="117" t="s">
        <v>3494</v>
      </c>
      <c r="E29" s="117" t="s">
        <v>3495</v>
      </c>
      <c r="F29" s="117" t="s">
        <v>3496</v>
      </c>
      <c r="G29" s="117" t="s">
        <v>3497</v>
      </c>
      <c r="H29" s="118" t="s">
        <v>3392</v>
      </c>
    </row>
    <row r="30" customFormat="false" ht="54.75" hidden="false" customHeight="true" outlineLevel="0" collapsed="false">
      <c r="B30" s="117" t="n">
        <v>26</v>
      </c>
      <c r="C30" s="117" t="s">
        <v>3489</v>
      </c>
      <c r="D30" s="117" t="s">
        <v>3498</v>
      </c>
      <c r="E30" s="117" t="s">
        <v>3499</v>
      </c>
      <c r="F30" s="117" t="s">
        <v>3500</v>
      </c>
      <c r="G30" s="117" t="s">
        <v>3501</v>
      </c>
      <c r="H30" s="120" t="s">
        <v>3502</v>
      </c>
    </row>
    <row r="31" customFormat="false" ht="41.25" hidden="false" customHeight="true" outlineLevel="0" collapsed="false">
      <c r="B31" s="117" t="n">
        <v>27</v>
      </c>
      <c r="C31" s="117" t="s">
        <v>3489</v>
      </c>
      <c r="D31" s="117" t="s">
        <v>3503</v>
      </c>
      <c r="E31" s="117" t="s">
        <v>3504</v>
      </c>
      <c r="F31" s="117" t="s">
        <v>3505</v>
      </c>
      <c r="G31" s="117" t="s">
        <v>3506</v>
      </c>
      <c r="H31" s="120" t="s">
        <v>3507</v>
      </c>
    </row>
    <row r="32" customFormat="false" ht="27.75" hidden="false" customHeight="true" outlineLevel="0" collapsed="false">
      <c r="B32" s="117" t="n">
        <v>28</v>
      </c>
      <c r="C32" s="117" t="s">
        <v>3508</v>
      </c>
      <c r="D32" s="117" t="s">
        <v>3509</v>
      </c>
      <c r="E32" s="117" t="s">
        <v>3495</v>
      </c>
      <c r="F32" s="117" t="s">
        <v>3510</v>
      </c>
      <c r="G32" s="117" t="s">
        <v>3511</v>
      </c>
      <c r="H32" s="118" t="s">
        <v>3392</v>
      </c>
    </row>
    <row r="33" customFormat="false" ht="27.75" hidden="false" customHeight="true" outlineLevel="0" collapsed="false">
      <c r="B33" s="117" t="n">
        <v>29</v>
      </c>
      <c r="C33" s="117" t="s">
        <v>3462</v>
      </c>
      <c r="D33" s="117" t="s">
        <v>3512</v>
      </c>
      <c r="E33" s="117" t="s">
        <v>3513</v>
      </c>
      <c r="F33" s="117" t="s">
        <v>3514</v>
      </c>
      <c r="G33" s="117" t="s">
        <v>3515</v>
      </c>
      <c r="H33" s="118" t="s">
        <v>3392</v>
      </c>
    </row>
    <row r="34" customFormat="false" ht="41.25" hidden="false" customHeight="true" outlineLevel="0" collapsed="false">
      <c r="B34" s="117" t="n">
        <v>30</v>
      </c>
      <c r="C34" s="117" t="s">
        <v>3462</v>
      </c>
      <c r="D34" s="117" t="s">
        <v>3516</v>
      </c>
      <c r="E34" s="117" t="s">
        <v>3495</v>
      </c>
      <c r="F34" s="117" t="s">
        <v>3517</v>
      </c>
      <c r="G34" s="117" t="s">
        <v>3518</v>
      </c>
      <c r="H34" s="118" t="s">
        <v>3392</v>
      </c>
    </row>
    <row r="35" customFormat="false" ht="27.75" hidden="false" customHeight="true" outlineLevel="0" collapsed="false">
      <c r="B35" s="117" t="n">
        <v>31</v>
      </c>
      <c r="C35" s="117" t="s">
        <v>3462</v>
      </c>
      <c r="D35" s="117" t="s">
        <v>3519</v>
      </c>
      <c r="E35" s="117" t="s">
        <v>3520</v>
      </c>
      <c r="F35" s="117" t="s">
        <v>3521</v>
      </c>
      <c r="G35" s="117" t="s">
        <v>3157</v>
      </c>
      <c r="H35" s="118" t="s">
        <v>3392</v>
      </c>
    </row>
    <row r="36" customFormat="false" ht="41.25" hidden="false" customHeight="true" outlineLevel="0" collapsed="false">
      <c r="B36" s="117" t="n">
        <v>32</v>
      </c>
      <c r="C36" s="117" t="s">
        <v>3462</v>
      </c>
      <c r="D36" s="117" t="s">
        <v>3522</v>
      </c>
      <c r="E36" s="117" t="s">
        <v>3495</v>
      </c>
      <c r="F36" s="117" t="s">
        <v>3523</v>
      </c>
      <c r="G36" s="117" t="s">
        <v>3524</v>
      </c>
      <c r="H36" s="118" t="s">
        <v>3392</v>
      </c>
    </row>
    <row r="37" customFormat="false" ht="27.75" hidden="false" customHeight="true" outlineLevel="0" collapsed="false">
      <c r="B37" s="117" t="n">
        <v>33</v>
      </c>
      <c r="C37" s="117" t="s">
        <v>3525</v>
      </c>
      <c r="D37" s="117" t="s">
        <v>3526</v>
      </c>
      <c r="E37" s="117" t="s">
        <v>3495</v>
      </c>
      <c r="F37" s="117" t="s">
        <v>3527</v>
      </c>
      <c r="G37" s="117" t="s">
        <v>3528</v>
      </c>
      <c r="H37" s="118" t="s">
        <v>3529</v>
      </c>
    </row>
    <row r="38" customFormat="false" ht="27.75" hidden="false" customHeight="true" outlineLevel="0" collapsed="false">
      <c r="B38" s="117" t="n">
        <v>34</v>
      </c>
      <c r="C38" s="117" t="s">
        <v>3525</v>
      </c>
      <c r="D38" s="117" t="s">
        <v>3530</v>
      </c>
      <c r="E38" s="117" t="s">
        <v>3531</v>
      </c>
      <c r="F38" s="117" t="s">
        <v>3532</v>
      </c>
      <c r="G38" s="117" t="s">
        <v>3533</v>
      </c>
      <c r="H38" s="118" t="s">
        <v>3534</v>
      </c>
    </row>
    <row r="39" customFormat="false" ht="15" hidden="false" customHeight="true" outlineLevel="0" collapsed="false">
      <c r="B39" s="117" t="n">
        <v>35</v>
      </c>
      <c r="C39" s="117" t="s">
        <v>3525</v>
      </c>
      <c r="D39" s="117" t="s">
        <v>3535</v>
      </c>
      <c r="E39" s="117" t="s">
        <v>3495</v>
      </c>
      <c r="F39" s="117" t="s">
        <v>3536</v>
      </c>
      <c r="G39" s="117" t="s">
        <v>3537</v>
      </c>
      <c r="H39" s="118" t="s">
        <v>3392</v>
      </c>
    </row>
    <row r="40" customFormat="false" ht="41.25" hidden="false" customHeight="true" outlineLevel="0" collapsed="false">
      <c r="B40" s="117" t="n">
        <v>36</v>
      </c>
      <c r="C40" s="117" t="s">
        <v>3525</v>
      </c>
      <c r="D40" s="117" t="s">
        <v>3538</v>
      </c>
      <c r="E40" s="117" t="s">
        <v>3539</v>
      </c>
      <c r="F40" s="117" t="s">
        <v>3540</v>
      </c>
      <c r="G40" s="117" t="s">
        <v>3541</v>
      </c>
      <c r="H40" s="118" t="s">
        <v>3542</v>
      </c>
    </row>
    <row r="41" customFormat="false" ht="41.25" hidden="false" customHeight="true" outlineLevel="0" collapsed="false">
      <c r="B41" s="117" t="n">
        <v>37</v>
      </c>
      <c r="C41" s="117" t="s">
        <v>3543</v>
      </c>
      <c r="D41" s="117" t="s">
        <v>3544</v>
      </c>
      <c r="E41" s="117" t="s">
        <v>3545</v>
      </c>
      <c r="F41" s="117" t="s">
        <v>3546</v>
      </c>
      <c r="G41" s="117" t="s">
        <v>3547</v>
      </c>
      <c r="H41" s="118" t="s">
        <v>3548</v>
      </c>
    </row>
    <row r="42" customFormat="false" ht="15" hidden="false" customHeight="true" outlineLevel="0" collapsed="false">
      <c r="B42" s="117" t="n">
        <v>38</v>
      </c>
      <c r="C42" s="117" t="s">
        <v>3525</v>
      </c>
      <c r="D42" s="117" t="s">
        <v>3549</v>
      </c>
      <c r="E42" s="117" t="s">
        <v>3539</v>
      </c>
      <c r="F42" s="117" t="s">
        <v>3550</v>
      </c>
      <c r="G42" s="117" t="s">
        <v>3551</v>
      </c>
      <c r="H42" s="118" t="s">
        <v>3392</v>
      </c>
    </row>
    <row r="43" customFormat="false" ht="27.75" hidden="false" customHeight="true" outlineLevel="0" collapsed="false">
      <c r="B43" s="117" t="n">
        <v>39</v>
      </c>
      <c r="C43" s="117" t="s">
        <v>3552</v>
      </c>
      <c r="D43" s="117" t="s">
        <v>3553</v>
      </c>
      <c r="E43" s="117" t="s">
        <v>3554</v>
      </c>
      <c r="F43" s="117" t="s">
        <v>3555</v>
      </c>
      <c r="G43" s="117" t="s">
        <v>3556</v>
      </c>
      <c r="H43" s="118" t="s">
        <v>3392</v>
      </c>
    </row>
    <row r="44" customFormat="false" ht="27.75" hidden="false" customHeight="true" outlineLevel="0" collapsed="false">
      <c r="B44" s="117" t="n">
        <v>40</v>
      </c>
      <c r="C44" s="117" t="s">
        <v>3557</v>
      </c>
      <c r="D44" s="117" t="s">
        <v>3558</v>
      </c>
      <c r="E44" s="117" t="s">
        <v>3559</v>
      </c>
      <c r="F44" s="117" t="s">
        <v>3560</v>
      </c>
      <c r="G44" s="117" t="s">
        <v>3561</v>
      </c>
      <c r="H44" s="118" t="s">
        <v>3392</v>
      </c>
    </row>
    <row r="45" customFormat="false" ht="27.75" hidden="false" customHeight="true" outlineLevel="0" collapsed="false">
      <c r="B45" s="117" t="n">
        <v>41</v>
      </c>
      <c r="C45" s="117" t="s">
        <v>3562</v>
      </c>
      <c r="D45" s="117" t="s">
        <v>3563</v>
      </c>
      <c r="E45" s="117" t="s">
        <v>3564</v>
      </c>
      <c r="F45" s="117" t="s">
        <v>3565</v>
      </c>
      <c r="G45" s="117" t="s">
        <v>3566</v>
      </c>
      <c r="H45" s="118" t="s">
        <v>3392</v>
      </c>
    </row>
    <row r="46" customFormat="false" ht="27.75" hidden="false" customHeight="true" outlineLevel="0" collapsed="false">
      <c r="B46" s="117" t="n">
        <v>42</v>
      </c>
      <c r="C46" s="117" t="s">
        <v>3567</v>
      </c>
      <c r="D46" s="117" t="s">
        <v>3568</v>
      </c>
      <c r="E46" s="117" t="s">
        <v>3569</v>
      </c>
      <c r="F46" s="117" t="s">
        <v>3570</v>
      </c>
      <c r="G46" s="117" t="s">
        <v>3571</v>
      </c>
      <c r="H46" s="118" t="s">
        <v>3392</v>
      </c>
    </row>
    <row r="47" customFormat="false" ht="41.25" hidden="false" customHeight="true" outlineLevel="0" collapsed="false">
      <c r="B47" s="117" t="n">
        <v>43</v>
      </c>
      <c r="C47" s="117" t="s">
        <v>3567</v>
      </c>
      <c r="D47" s="117" t="s">
        <v>3572</v>
      </c>
      <c r="E47" s="117" t="s">
        <v>3573</v>
      </c>
      <c r="F47" s="117" t="s">
        <v>3574</v>
      </c>
      <c r="G47" s="117" t="s">
        <v>3575</v>
      </c>
      <c r="H47" s="118" t="s">
        <v>3576</v>
      </c>
    </row>
    <row r="48" customFormat="false" ht="41.25" hidden="false" customHeight="true" outlineLevel="0" collapsed="false">
      <c r="B48" s="117" t="n">
        <v>44</v>
      </c>
      <c r="C48" s="117" t="s">
        <v>3577</v>
      </c>
      <c r="D48" s="117" t="s">
        <v>3578</v>
      </c>
      <c r="E48" s="117" t="s">
        <v>3573</v>
      </c>
      <c r="F48" s="117" t="s">
        <v>3579</v>
      </c>
      <c r="G48" s="117" t="s">
        <v>3580</v>
      </c>
      <c r="H48" s="118" t="s">
        <v>3392</v>
      </c>
    </row>
    <row r="49" customFormat="false" ht="27.75" hidden="false" customHeight="true" outlineLevel="0" collapsed="false">
      <c r="B49" s="117" t="n">
        <v>45</v>
      </c>
      <c r="C49" s="117" t="s">
        <v>3525</v>
      </c>
      <c r="D49" s="117" t="s">
        <v>3581</v>
      </c>
      <c r="E49" s="117" t="s">
        <v>3582</v>
      </c>
      <c r="F49" s="117" t="s">
        <v>3583</v>
      </c>
      <c r="G49" s="117" t="s">
        <v>3584</v>
      </c>
      <c r="H49" s="118" t="s">
        <v>3392</v>
      </c>
    </row>
    <row r="50" customFormat="false" ht="41.25" hidden="false" customHeight="true" outlineLevel="0" collapsed="false">
      <c r="B50" s="117" t="n">
        <v>46</v>
      </c>
      <c r="C50" s="117" t="s">
        <v>3585</v>
      </c>
      <c r="D50" s="117" t="s">
        <v>3586</v>
      </c>
      <c r="E50" s="117" t="s">
        <v>3587</v>
      </c>
      <c r="F50" s="117" t="s">
        <v>3588</v>
      </c>
      <c r="G50" s="117" t="s">
        <v>3589</v>
      </c>
      <c r="H50" s="118" t="s">
        <v>3392</v>
      </c>
    </row>
    <row r="51" customFormat="false" ht="15" hidden="false" customHeight="true" outlineLevel="0" collapsed="false">
      <c r="B51" s="117" t="n">
        <v>47</v>
      </c>
      <c r="C51" s="117" t="s">
        <v>3590</v>
      </c>
      <c r="D51" s="117" t="s">
        <v>3591</v>
      </c>
      <c r="E51" s="117" t="s">
        <v>3592</v>
      </c>
      <c r="F51" s="117" t="s">
        <v>3593</v>
      </c>
      <c r="G51" s="117" t="s">
        <v>3594</v>
      </c>
      <c r="H51" s="118" t="s">
        <v>3392</v>
      </c>
    </row>
    <row r="52" customFormat="false" ht="27.75" hidden="false" customHeight="true" outlineLevel="0" collapsed="false">
      <c r="B52" s="117" t="n">
        <v>48</v>
      </c>
      <c r="C52" s="117" t="s">
        <v>3590</v>
      </c>
      <c r="D52" s="117" t="s">
        <v>3595</v>
      </c>
      <c r="E52" s="117" t="s">
        <v>3592</v>
      </c>
      <c r="F52" s="117" t="s">
        <v>3596</v>
      </c>
      <c r="G52" s="117" t="s">
        <v>3597</v>
      </c>
      <c r="H52" s="118" t="s">
        <v>3392</v>
      </c>
    </row>
    <row r="53" customFormat="false" ht="41.25" hidden="false" customHeight="true" outlineLevel="0" collapsed="false">
      <c r="B53" s="117" t="n">
        <v>49</v>
      </c>
      <c r="C53" s="117" t="s">
        <v>3590</v>
      </c>
      <c r="D53" s="117" t="s">
        <v>3598</v>
      </c>
      <c r="E53" s="117" t="s">
        <v>3592</v>
      </c>
      <c r="F53" s="117" t="s">
        <v>3599</v>
      </c>
      <c r="G53" s="117" t="s">
        <v>3600</v>
      </c>
      <c r="H53" s="118" t="s">
        <v>3601</v>
      </c>
    </row>
    <row r="54" customFormat="false" ht="15" hidden="false" customHeight="true" outlineLevel="0" collapsed="false">
      <c r="B54" s="117" t="n">
        <v>50</v>
      </c>
      <c r="C54" s="117" t="s">
        <v>3590</v>
      </c>
      <c r="D54" s="117" t="s">
        <v>3602</v>
      </c>
      <c r="E54" s="117" t="s">
        <v>3592</v>
      </c>
      <c r="F54" s="117" t="s">
        <v>3603</v>
      </c>
      <c r="G54" s="117" t="s">
        <v>3604</v>
      </c>
      <c r="H54" s="118" t="s">
        <v>3392</v>
      </c>
    </row>
    <row r="55" customFormat="false" ht="27.75" hidden="false" customHeight="true" outlineLevel="0" collapsed="false">
      <c r="B55" s="117" t="n">
        <v>51</v>
      </c>
      <c r="C55" s="117" t="s">
        <v>3590</v>
      </c>
      <c r="D55" s="117" t="s">
        <v>3605</v>
      </c>
      <c r="E55" s="117" t="s">
        <v>3499</v>
      </c>
      <c r="F55" s="117" t="s">
        <v>3606</v>
      </c>
      <c r="G55" s="117" t="s">
        <v>3607</v>
      </c>
      <c r="H55" s="120" t="s">
        <v>3608</v>
      </c>
    </row>
    <row r="56" customFormat="false" ht="27.75" hidden="false" customHeight="true" outlineLevel="0" collapsed="false">
      <c r="B56" s="117" t="n">
        <v>52</v>
      </c>
      <c r="C56" s="117" t="s">
        <v>3590</v>
      </c>
      <c r="D56" s="117" t="s">
        <v>3609</v>
      </c>
      <c r="E56" s="117" t="s">
        <v>3610</v>
      </c>
      <c r="F56" s="117" t="s">
        <v>3611</v>
      </c>
      <c r="G56" s="117" t="s">
        <v>3470</v>
      </c>
      <c r="H56" s="118" t="s">
        <v>3612</v>
      </c>
    </row>
    <row r="57" customFormat="false" ht="41.25" hidden="false" customHeight="true" outlineLevel="0" collapsed="false">
      <c r="B57" s="117" t="n">
        <v>53</v>
      </c>
      <c r="C57" s="117" t="s">
        <v>3613</v>
      </c>
      <c r="D57" s="117" t="s">
        <v>3614</v>
      </c>
      <c r="E57" s="117" t="s">
        <v>3615</v>
      </c>
      <c r="F57" s="117" t="s">
        <v>3616</v>
      </c>
      <c r="G57" s="117" t="s">
        <v>3617</v>
      </c>
      <c r="H57" s="118" t="s">
        <v>3392</v>
      </c>
    </row>
    <row r="58" customFormat="false" ht="27.75" hidden="false" customHeight="true" outlineLevel="0" collapsed="false">
      <c r="B58" s="117" t="n">
        <v>54</v>
      </c>
      <c r="C58" s="117" t="s">
        <v>3618</v>
      </c>
      <c r="D58" s="117" t="s">
        <v>3619</v>
      </c>
      <c r="E58" s="117" t="s">
        <v>3450</v>
      </c>
      <c r="F58" s="117" t="s">
        <v>3620</v>
      </c>
      <c r="G58" s="117" t="s">
        <v>3621</v>
      </c>
      <c r="H58" s="118" t="s">
        <v>3392</v>
      </c>
    </row>
    <row r="59" customFormat="false" ht="27.75" hidden="false" customHeight="true" outlineLevel="0" collapsed="false">
      <c r="B59" s="117" t="n">
        <v>55</v>
      </c>
      <c r="C59" s="117" t="s">
        <v>3590</v>
      </c>
      <c r="D59" s="117" t="s">
        <v>3622</v>
      </c>
      <c r="E59" s="117" t="s">
        <v>3623</v>
      </c>
      <c r="F59" s="117" t="s">
        <v>3624</v>
      </c>
      <c r="G59" s="117" t="s">
        <v>3625</v>
      </c>
      <c r="H59" s="118" t="s">
        <v>3392</v>
      </c>
    </row>
    <row r="60" customFormat="false" ht="27.75" hidden="false" customHeight="true" outlineLevel="0" collapsed="false">
      <c r="B60" s="117" t="n">
        <v>56</v>
      </c>
      <c r="C60" s="117" t="s">
        <v>3590</v>
      </c>
      <c r="D60" s="117" t="s">
        <v>3626</v>
      </c>
      <c r="E60" s="117" t="s">
        <v>3627</v>
      </c>
      <c r="F60" s="117" t="s">
        <v>3628</v>
      </c>
      <c r="G60" s="117" t="s">
        <v>3629</v>
      </c>
      <c r="H60" s="120" t="s">
        <v>3630</v>
      </c>
    </row>
    <row r="61" customFormat="false" ht="27.75" hidden="false" customHeight="true" outlineLevel="0" collapsed="false">
      <c r="B61" s="117" t="n">
        <v>57</v>
      </c>
      <c r="C61" s="117" t="s">
        <v>3631</v>
      </c>
      <c r="D61" s="117" t="s">
        <v>3632</v>
      </c>
      <c r="E61" s="117" t="s">
        <v>3633</v>
      </c>
      <c r="F61" s="117" t="s">
        <v>3634</v>
      </c>
      <c r="G61" s="117" t="s">
        <v>3635</v>
      </c>
      <c r="H61" s="118" t="s">
        <v>3392</v>
      </c>
    </row>
    <row r="62" customFormat="false" ht="27.75" hidden="false" customHeight="true" outlineLevel="0" collapsed="false">
      <c r="B62" s="117" t="n">
        <v>58</v>
      </c>
      <c r="C62" s="117" t="s">
        <v>3631</v>
      </c>
      <c r="D62" s="117" t="s">
        <v>3636</v>
      </c>
      <c r="E62" s="117" t="s">
        <v>3637</v>
      </c>
      <c r="F62" s="117" t="s">
        <v>3638</v>
      </c>
      <c r="G62" s="117" t="s">
        <v>3639</v>
      </c>
      <c r="H62" s="118" t="s">
        <v>3392</v>
      </c>
    </row>
    <row r="63" customFormat="false" ht="15" hidden="false" customHeight="true" outlineLevel="0" collapsed="false">
      <c r="B63" s="117" t="n">
        <v>59</v>
      </c>
      <c r="C63" s="117" t="s">
        <v>3640</v>
      </c>
      <c r="D63" s="117" t="s">
        <v>3641</v>
      </c>
      <c r="E63" s="117" t="s">
        <v>3642</v>
      </c>
      <c r="F63" s="117" t="s">
        <v>3643</v>
      </c>
      <c r="G63" s="117" t="s">
        <v>3644</v>
      </c>
      <c r="H63" s="118" t="s">
        <v>3392</v>
      </c>
    </row>
    <row r="64" customFormat="false" ht="27.75" hidden="false" customHeight="true" outlineLevel="0" collapsed="false">
      <c r="B64" s="117" t="n">
        <v>60</v>
      </c>
      <c r="C64" s="117" t="s">
        <v>3640</v>
      </c>
      <c r="D64" s="117" t="s">
        <v>3645</v>
      </c>
      <c r="E64" s="117" t="s">
        <v>3623</v>
      </c>
      <c r="F64" s="117" t="s">
        <v>3646</v>
      </c>
      <c r="G64" s="117" t="s">
        <v>3647</v>
      </c>
      <c r="H64" s="118" t="s">
        <v>3392</v>
      </c>
    </row>
    <row r="65" customFormat="false" ht="27.75" hidden="false" customHeight="true" outlineLevel="0" collapsed="false">
      <c r="B65" s="117" t="n">
        <v>61</v>
      </c>
      <c r="C65" s="117" t="s">
        <v>3648</v>
      </c>
      <c r="D65" s="117" t="s">
        <v>3649</v>
      </c>
      <c r="E65" s="117" t="s">
        <v>3650</v>
      </c>
      <c r="F65" s="117" t="s">
        <v>3651</v>
      </c>
      <c r="G65" s="117" t="s">
        <v>3652</v>
      </c>
      <c r="H65" s="118" t="s">
        <v>3392</v>
      </c>
    </row>
    <row r="66" customFormat="false" ht="27.75" hidden="false" customHeight="true" outlineLevel="0" collapsed="false">
      <c r="B66" s="117" t="n">
        <v>62</v>
      </c>
      <c r="C66" s="117" t="s">
        <v>3640</v>
      </c>
      <c r="D66" s="117" t="s">
        <v>3653</v>
      </c>
      <c r="E66" s="117" t="s">
        <v>3654</v>
      </c>
      <c r="F66" s="117" t="s">
        <v>3655</v>
      </c>
      <c r="G66" s="117" t="s">
        <v>3656</v>
      </c>
      <c r="H66" s="118" t="s">
        <v>3392</v>
      </c>
    </row>
    <row r="67" customFormat="false" ht="15" hidden="false" customHeight="true" outlineLevel="0" collapsed="false">
      <c r="B67" s="117" t="n">
        <v>63</v>
      </c>
      <c r="C67" s="117" t="s">
        <v>3640</v>
      </c>
      <c r="D67" s="117" t="s">
        <v>3657</v>
      </c>
      <c r="E67" s="117" t="s">
        <v>3623</v>
      </c>
      <c r="F67" s="117" t="s">
        <v>3658</v>
      </c>
      <c r="G67" s="117" t="s">
        <v>3659</v>
      </c>
      <c r="H67" s="118" t="s">
        <v>3392</v>
      </c>
    </row>
    <row r="68" customFormat="false" ht="27.75" hidden="false" customHeight="true" outlineLevel="0" collapsed="false">
      <c r="B68" s="117" t="n">
        <v>64</v>
      </c>
      <c r="C68" s="117" t="s">
        <v>3467</v>
      </c>
      <c r="D68" s="117" t="s">
        <v>3660</v>
      </c>
      <c r="E68" s="117" t="s">
        <v>3661</v>
      </c>
      <c r="F68" s="117" t="s">
        <v>3662</v>
      </c>
      <c r="G68" s="117" t="s">
        <v>3663</v>
      </c>
      <c r="H68" s="118" t="s">
        <v>3392</v>
      </c>
    </row>
    <row r="69" customFormat="false" ht="27.75" hidden="false" customHeight="true" outlineLevel="0" collapsed="false">
      <c r="B69" s="117" t="n">
        <v>65</v>
      </c>
      <c r="C69" s="117" t="s">
        <v>3472</v>
      </c>
      <c r="D69" s="117" t="s">
        <v>3664</v>
      </c>
      <c r="E69" s="117" t="s">
        <v>3665</v>
      </c>
      <c r="F69" s="117" t="s">
        <v>3666</v>
      </c>
      <c r="G69" s="117" t="s">
        <v>3667</v>
      </c>
      <c r="H69" s="118" t="s">
        <v>3392</v>
      </c>
    </row>
    <row r="70" customFormat="false" ht="15" hidden="false" customHeight="true" outlineLevel="0" collapsed="false">
      <c r="B70" s="117" t="n">
        <v>66</v>
      </c>
      <c r="C70" s="117" t="s">
        <v>3648</v>
      </c>
      <c r="D70" s="117" t="s">
        <v>3668</v>
      </c>
      <c r="E70" s="117" t="s">
        <v>3669</v>
      </c>
      <c r="F70" s="117" t="s">
        <v>3670</v>
      </c>
      <c r="G70" s="117" t="s">
        <v>3671</v>
      </c>
      <c r="H70" s="118" t="s">
        <v>3392</v>
      </c>
    </row>
    <row r="71" customFormat="false" ht="15" hidden="false" customHeight="true" outlineLevel="0" collapsed="false">
      <c r="B71" s="117" t="n">
        <v>67</v>
      </c>
      <c r="C71" s="117" t="s">
        <v>3672</v>
      </c>
      <c r="D71" s="117" t="s">
        <v>3673</v>
      </c>
      <c r="E71" s="117" t="s">
        <v>3674</v>
      </c>
      <c r="F71" s="117" t="s">
        <v>3675</v>
      </c>
      <c r="G71" s="117" t="s">
        <v>3676</v>
      </c>
      <c r="H71" s="118" t="s">
        <v>3392</v>
      </c>
    </row>
    <row r="72" customFormat="false" ht="27.75" hidden="false" customHeight="true" outlineLevel="0" collapsed="false">
      <c r="B72" s="117" t="n">
        <v>68</v>
      </c>
      <c r="C72" s="117" t="s">
        <v>3672</v>
      </c>
      <c r="D72" s="117" t="s">
        <v>3677</v>
      </c>
      <c r="E72" s="117" t="s">
        <v>3678</v>
      </c>
      <c r="F72" s="117" t="s">
        <v>3679</v>
      </c>
      <c r="G72" s="117" t="s">
        <v>3431</v>
      </c>
      <c r="H72" s="119" t="s">
        <v>3680</v>
      </c>
    </row>
    <row r="73" customFormat="false" ht="27.75" hidden="false" customHeight="true" outlineLevel="0" collapsed="false">
      <c r="B73" s="117" t="n">
        <v>69</v>
      </c>
      <c r="C73" s="117" t="s">
        <v>3672</v>
      </c>
      <c r="D73" s="117" t="s">
        <v>3681</v>
      </c>
      <c r="E73" s="117" t="s">
        <v>3682</v>
      </c>
      <c r="F73" s="117" t="s">
        <v>3683</v>
      </c>
      <c r="G73" s="117" t="s">
        <v>3431</v>
      </c>
      <c r="H73" s="119" t="s">
        <v>3684</v>
      </c>
    </row>
    <row r="74" customFormat="false" ht="54.75" hidden="false" customHeight="true" outlineLevel="0" collapsed="false">
      <c r="B74" s="117" t="n">
        <v>70</v>
      </c>
      <c r="C74" s="117" t="s">
        <v>3685</v>
      </c>
      <c r="D74" s="117" t="s">
        <v>3686</v>
      </c>
      <c r="E74" s="117" t="s">
        <v>3687</v>
      </c>
      <c r="F74" s="117" t="s">
        <v>3688</v>
      </c>
      <c r="G74" s="117" t="s">
        <v>3431</v>
      </c>
      <c r="H74" s="118" t="s">
        <v>3689</v>
      </c>
    </row>
    <row r="75" customFormat="false" ht="27.75" hidden="false" customHeight="true" outlineLevel="0" collapsed="false">
      <c r="B75" s="117" t="n">
        <v>71</v>
      </c>
      <c r="C75" s="117" t="s">
        <v>3690</v>
      </c>
      <c r="D75" s="117" t="s">
        <v>3691</v>
      </c>
      <c r="E75" s="117" t="s">
        <v>3592</v>
      </c>
      <c r="F75" s="117" t="s">
        <v>3692</v>
      </c>
      <c r="G75" s="117" t="s">
        <v>3431</v>
      </c>
      <c r="H75" s="118" t="s">
        <v>3693</v>
      </c>
    </row>
    <row r="76" customFormat="false" ht="41.25" hidden="false" customHeight="true" outlineLevel="0" collapsed="false">
      <c r="B76" s="117" t="n">
        <v>72</v>
      </c>
      <c r="C76" s="117" t="s">
        <v>3525</v>
      </c>
      <c r="D76" s="117" t="s">
        <v>3694</v>
      </c>
      <c r="E76" s="117" t="s">
        <v>3504</v>
      </c>
      <c r="F76" s="117" t="s">
        <v>3695</v>
      </c>
      <c r="G76" s="117" t="s">
        <v>3696</v>
      </c>
      <c r="H76" s="120" t="s">
        <v>3697</v>
      </c>
    </row>
    <row r="77" customFormat="false" ht="15" hidden="false" customHeight="true" outlineLevel="0" collapsed="false">
      <c r="B77" s="117" t="n">
        <v>73</v>
      </c>
      <c r="C77" s="117" t="s">
        <v>3698</v>
      </c>
      <c r="D77" s="117" t="s">
        <v>3699</v>
      </c>
      <c r="E77" s="117" t="s">
        <v>3425</v>
      </c>
      <c r="F77" s="117" t="s">
        <v>3700</v>
      </c>
      <c r="G77" s="117" t="s">
        <v>3427</v>
      </c>
      <c r="H77" s="118" t="s">
        <v>3392</v>
      </c>
    </row>
    <row r="78" customFormat="false" ht="54.75" hidden="false" customHeight="true" outlineLevel="0" collapsed="false">
      <c r="B78" s="117" t="n">
        <v>74</v>
      </c>
      <c r="C78" s="117" t="s">
        <v>3698</v>
      </c>
      <c r="D78" s="117" t="s">
        <v>3701</v>
      </c>
      <c r="E78" s="117" t="s">
        <v>3702</v>
      </c>
      <c r="F78" s="117" t="s">
        <v>3703</v>
      </c>
      <c r="G78" s="117" t="s">
        <v>3704</v>
      </c>
      <c r="H78" s="118" t="s">
        <v>3705</v>
      </c>
    </row>
    <row r="79" customFormat="false" ht="27.75" hidden="false" customHeight="true" outlineLevel="0" collapsed="false">
      <c r="B79" s="117" t="n">
        <v>75</v>
      </c>
      <c r="C79" s="117" t="s">
        <v>3706</v>
      </c>
      <c r="D79" s="117" t="s">
        <v>3707</v>
      </c>
      <c r="E79" s="117" t="s">
        <v>3708</v>
      </c>
      <c r="F79" s="117" t="s">
        <v>3709</v>
      </c>
      <c r="G79" s="117" t="s">
        <v>3710</v>
      </c>
      <c r="H79" s="118" t="s">
        <v>3392</v>
      </c>
    </row>
    <row r="80" customFormat="false" ht="27.75" hidden="false" customHeight="true" outlineLevel="0" collapsed="false">
      <c r="B80" s="117" t="n">
        <v>76</v>
      </c>
      <c r="C80" s="117" t="s">
        <v>3711</v>
      </c>
      <c r="D80" s="117" t="s">
        <v>3712</v>
      </c>
      <c r="E80" s="117" t="s">
        <v>3713</v>
      </c>
      <c r="F80" s="117" t="s">
        <v>3714</v>
      </c>
      <c r="G80" s="117" t="s">
        <v>3715</v>
      </c>
      <c r="H80" s="118" t="s">
        <v>3716</v>
      </c>
    </row>
    <row r="81" customFormat="false" ht="27.75" hidden="false" customHeight="true" outlineLevel="0" collapsed="false">
      <c r="B81" s="117" t="n">
        <v>77</v>
      </c>
      <c r="C81" s="117" t="s">
        <v>3717</v>
      </c>
      <c r="D81" s="117" t="s">
        <v>3718</v>
      </c>
      <c r="E81" s="117" t="s">
        <v>3719</v>
      </c>
      <c r="F81" s="117" t="s">
        <v>3720</v>
      </c>
      <c r="G81" s="117" t="s">
        <v>3721</v>
      </c>
      <c r="H81" s="118" t="s">
        <v>3392</v>
      </c>
    </row>
    <row r="82" customFormat="false" ht="41.25" hidden="false" customHeight="true" outlineLevel="0" collapsed="false">
      <c r="B82" s="117" t="n">
        <v>78</v>
      </c>
      <c r="C82" s="117" t="s">
        <v>3722</v>
      </c>
      <c r="D82" s="117" t="s">
        <v>3723</v>
      </c>
      <c r="E82" s="117" t="s">
        <v>3545</v>
      </c>
      <c r="F82" s="117" t="s">
        <v>3724</v>
      </c>
      <c r="G82" s="117" t="s">
        <v>3725</v>
      </c>
      <c r="H82" s="119" t="s">
        <v>3726</v>
      </c>
    </row>
    <row r="83" customFormat="false" ht="27.75" hidden="false" customHeight="true" outlineLevel="0" collapsed="false">
      <c r="B83" s="117" t="n">
        <v>79</v>
      </c>
      <c r="C83" s="117" t="s">
        <v>3722</v>
      </c>
      <c r="D83" s="117" t="s">
        <v>3727</v>
      </c>
      <c r="E83" s="117" t="s">
        <v>3728</v>
      </c>
      <c r="F83" s="117" t="s">
        <v>3729</v>
      </c>
      <c r="G83" s="117" t="s">
        <v>3730</v>
      </c>
      <c r="H83" s="119" t="s">
        <v>3731</v>
      </c>
    </row>
    <row r="84" customFormat="false" ht="27.75" hidden="false" customHeight="true" outlineLevel="0" collapsed="false">
      <c r="B84" s="117" t="n">
        <v>80</v>
      </c>
      <c r="C84" s="117" t="s">
        <v>3732</v>
      </c>
      <c r="D84" s="117" t="s">
        <v>3733</v>
      </c>
      <c r="E84" s="117" t="s">
        <v>3734</v>
      </c>
      <c r="F84" s="117" t="s">
        <v>3735</v>
      </c>
      <c r="G84" s="117" t="s">
        <v>3736</v>
      </c>
      <c r="H84" s="118" t="s">
        <v>3737</v>
      </c>
    </row>
    <row r="85" customFormat="false" ht="27.75" hidden="false" customHeight="true" outlineLevel="0" collapsed="false">
      <c r="B85" s="117" t="n">
        <v>81</v>
      </c>
      <c r="C85" s="117" t="s">
        <v>3738</v>
      </c>
      <c r="D85" s="117" t="s">
        <v>3739</v>
      </c>
      <c r="E85" s="117" t="s">
        <v>3740</v>
      </c>
      <c r="F85" s="117" t="s">
        <v>3741</v>
      </c>
      <c r="G85" s="117" t="s">
        <v>3742</v>
      </c>
      <c r="H85" s="118" t="s">
        <v>3737</v>
      </c>
    </row>
    <row r="86" customFormat="false" ht="27.75" hidden="false" customHeight="true" outlineLevel="0" collapsed="false">
      <c r="B86" s="117" t="n">
        <v>82</v>
      </c>
      <c r="C86" s="117" t="s">
        <v>3743</v>
      </c>
      <c r="D86" s="117" t="s">
        <v>3744</v>
      </c>
      <c r="E86" s="117" t="s">
        <v>3745</v>
      </c>
      <c r="F86" s="117" t="s">
        <v>3746</v>
      </c>
      <c r="G86" s="117" t="s">
        <v>3747</v>
      </c>
      <c r="H86" s="118" t="s">
        <v>3737</v>
      </c>
    </row>
    <row r="87" customFormat="false" ht="27.75" hidden="false" customHeight="true" outlineLevel="0" collapsed="false">
      <c r="B87" s="117" t="n">
        <v>83</v>
      </c>
      <c r="C87" s="117" t="s">
        <v>3748</v>
      </c>
      <c r="D87" s="117" t="s">
        <v>3749</v>
      </c>
      <c r="E87" s="117" t="s">
        <v>3750</v>
      </c>
      <c r="F87" s="117" t="s">
        <v>3751</v>
      </c>
      <c r="G87" s="117" t="s">
        <v>3752</v>
      </c>
      <c r="H87" s="118" t="s">
        <v>3737</v>
      </c>
    </row>
    <row r="88" customFormat="false" ht="27.75" hidden="false" customHeight="true" outlineLevel="0" collapsed="false">
      <c r="B88" s="117" t="n">
        <v>84</v>
      </c>
      <c r="C88" s="117" t="s">
        <v>3753</v>
      </c>
      <c r="D88" s="117" t="s">
        <v>3754</v>
      </c>
      <c r="E88" s="117" t="s">
        <v>3755</v>
      </c>
      <c r="F88" s="117" t="s">
        <v>3756</v>
      </c>
      <c r="G88" s="117" t="s">
        <v>3757</v>
      </c>
      <c r="H88" s="118" t="s">
        <v>3737</v>
      </c>
    </row>
    <row r="89" customFormat="false" ht="27.75" hidden="false" customHeight="true" outlineLevel="0" collapsed="false">
      <c r="B89" s="117" t="n">
        <v>85</v>
      </c>
      <c r="C89" s="117" t="s">
        <v>3758</v>
      </c>
      <c r="D89" s="117" t="s">
        <v>3759</v>
      </c>
      <c r="E89" s="117" t="s">
        <v>3760</v>
      </c>
      <c r="F89" s="117" t="s">
        <v>3761</v>
      </c>
      <c r="G89" s="117" t="s">
        <v>3762</v>
      </c>
      <c r="H89" s="118" t="s">
        <v>3737</v>
      </c>
    </row>
    <row r="90" customFormat="false" ht="27.75" hidden="false" customHeight="true" outlineLevel="0" collapsed="false">
      <c r="B90" s="117" t="n">
        <v>86</v>
      </c>
      <c r="C90" s="117" t="s">
        <v>3763</v>
      </c>
      <c r="D90" s="117" t="s">
        <v>3764</v>
      </c>
      <c r="E90" s="117" t="s">
        <v>3765</v>
      </c>
      <c r="F90" s="117" t="s">
        <v>3766</v>
      </c>
      <c r="G90" s="117" t="s">
        <v>3767</v>
      </c>
      <c r="H90" s="118" t="s">
        <v>3737</v>
      </c>
    </row>
    <row r="91" customFormat="false" ht="27.75" hidden="false" customHeight="true" outlineLevel="0" collapsed="false">
      <c r="B91" s="117" t="n">
        <v>87</v>
      </c>
      <c r="C91" s="117" t="s">
        <v>3768</v>
      </c>
      <c r="D91" s="117" t="s">
        <v>3769</v>
      </c>
      <c r="E91" s="117" t="s">
        <v>3770</v>
      </c>
      <c r="F91" s="117" t="s">
        <v>3771</v>
      </c>
      <c r="G91" s="117" t="s">
        <v>3772</v>
      </c>
      <c r="H91" s="118" t="s">
        <v>3737</v>
      </c>
    </row>
    <row r="92" customFormat="false" ht="27.75" hidden="false" customHeight="true" outlineLevel="0" collapsed="false">
      <c r="B92" s="117" t="n">
        <v>88</v>
      </c>
      <c r="C92" s="117" t="s">
        <v>3773</v>
      </c>
      <c r="D92" s="117" t="s">
        <v>3774</v>
      </c>
      <c r="E92" s="117" t="s">
        <v>3775</v>
      </c>
      <c r="F92" s="117" t="s">
        <v>3776</v>
      </c>
      <c r="G92" s="117" t="s">
        <v>3777</v>
      </c>
      <c r="H92" s="118" t="s">
        <v>3737</v>
      </c>
    </row>
    <row r="93" customFormat="false" ht="27.75" hidden="false" customHeight="true" outlineLevel="0" collapsed="false">
      <c r="B93" s="117" t="n">
        <v>89</v>
      </c>
      <c r="C93" s="117" t="s">
        <v>3778</v>
      </c>
      <c r="D93" s="117" t="s">
        <v>3779</v>
      </c>
      <c r="E93" s="117" t="s">
        <v>3780</v>
      </c>
      <c r="F93" s="117" t="s">
        <v>3781</v>
      </c>
      <c r="G93" s="117" t="s">
        <v>3782</v>
      </c>
      <c r="H93" s="118" t="s">
        <v>3737</v>
      </c>
    </row>
    <row r="94" customFormat="false" ht="27.75" hidden="false" customHeight="true" outlineLevel="0" collapsed="false">
      <c r="B94" s="117" t="n">
        <v>90</v>
      </c>
      <c r="C94" s="117" t="s">
        <v>3783</v>
      </c>
      <c r="D94" s="117" t="s">
        <v>3784</v>
      </c>
      <c r="E94" s="117" t="s">
        <v>3785</v>
      </c>
      <c r="F94" s="117" t="s">
        <v>3786</v>
      </c>
      <c r="G94" s="117" t="s">
        <v>3787</v>
      </c>
      <c r="H94" s="118" t="s">
        <v>3737</v>
      </c>
    </row>
    <row r="95" customFormat="false" ht="27.75" hidden="false" customHeight="true" outlineLevel="0" collapsed="false">
      <c r="B95" s="117" t="n">
        <v>91</v>
      </c>
      <c r="C95" s="117" t="s">
        <v>3788</v>
      </c>
      <c r="D95" s="117" t="s">
        <v>3789</v>
      </c>
      <c r="E95" s="117" t="s">
        <v>3790</v>
      </c>
      <c r="F95" s="117" t="s">
        <v>3791</v>
      </c>
      <c r="G95" s="117" t="s">
        <v>3792</v>
      </c>
      <c r="H95" s="118" t="s">
        <v>3737</v>
      </c>
    </row>
    <row r="96" customFormat="false" ht="27.75" hidden="false" customHeight="true" outlineLevel="0" collapsed="false">
      <c r="B96" s="117" t="n">
        <v>92</v>
      </c>
      <c r="C96" s="117" t="s">
        <v>3793</v>
      </c>
      <c r="D96" s="117" t="s">
        <v>3794</v>
      </c>
      <c r="E96" s="117" t="s">
        <v>3795</v>
      </c>
      <c r="F96" s="117" t="s">
        <v>3796</v>
      </c>
      <c r="G96" s="117" t="s">
        <v>3797</v>
      </c>
      <c r="H96" s="118" t="s">
        <v>3737</v>
      </c>
    </row>
    <row r="97" customFormat="false" ht="27.75" hidden="false" customHeight="true" outlineLevel="0" collapsed="false">
      <c r="B97" s="117" t="n">
        <v>93</v>
      </c>
      <c r="C97" s="117" t="s">
        <v>3798</v>
      </c>
      <c r="D97" s="117" t="s">
        <v>3799</v>
      </c>
      <c r="E97" s="117" t="s">
        <v>3800</v>
      </c>
      <c r="F97" s="117" t="s">
        <v>3801</v>
      </c>
      <c r="G97" s="117" t="s">
        <v>3802</v>
      </c>
      <c r="H97" s="118" t="s">
        <v>3737</v>
      </c>
    </row>
    <row r="98" customFormat="false" ht="27.75" hidden="false" customHeight="true" outlineLevel="0" collapsed="false">
      <c r="B98" s="117" t="n">
        <v>94</v>
      </c>
      <c r="C98" s="117" t="s">
        <v>3803</v>
      </c>
      <c r="D98" s="117" t="s">
        <v>3804</v>
      </c>
      <c r="E98" s="117" t="s">
        <v>3805</v>
      </c>
      <c r="F98" s="117" t="s">
        <v>3806</v>
      </c>
      <c r="G98" s="117" t="s">
        <v>3807</v>
      </c>
      <c r="H98" s="118" t="s">
        <v>3737</v>
      </c>
    </row>
    <row r="99" customFormat="false" ht="27.75" hidden="false" customHeight="true" outlineLevel="0" collapsed="false">
      <c r="B99" s="117" t="n">
        <v>95</v>
      </c>
      <c r="C99" s="117" t="s">
        <v>3808</v>
      </c>
      <c r="D99" s="117" t="s">
        <v>3809</v>
      </c>
      <c r="E99" s="117" t="s">
        <v>3810</v>
      </c>
      <c r="F99" s="117" t="s">
        <v>3811</v>
      </c>
      <c r="G99" s="117" t="s">
        <v>3812</v>
      </c>
      <c r="H99" s="118" t="s">
        <v>3737</v>
      </c>
    </row>
    <row r="100" customFormat="false" ht="27.75" hidden="false" customHeight="true" outlineLevel="0" collapsed="false">
      <c r="B100" s="117" t="n">
        <v>96</v>
      </c>
      <c r="C100" s="117" t="s">
        <v>3813</v>
      </c>
      <c r="D100" s="117" t="s">
        <v>3814</v>
      </c>
      <c r="E100" s="117" t="s">
        <v>3815</v>
      </c>
      <c r="F100" s="117" t="s">
        <v>3816</v>
      </c>
      <c r="G100" s="117" t="s">
        <v>3817</v>
      </c>
      <c r="H100" s="118" t="s">
        <v>3737</v>
      </c>
    </row>
    <row r="101" customFormat="false" ht="27.75" hidden="false" customHeight="true" outlineLevel="0" collapsed="false">
      <c r="B101" s="117" t="n">
        <v>97</v>
      </c>
      <c r="C101" s="117" t="s">
        <v>3818</v>
      </c>
      <c r="D101" s="117" t="s">
        <v>3819</v>
      </c>
      <c r="E101" s="117" t="s">
        <v>3820</v>
      </c>
      <c r="F101" s="117" t="s">
        <v>3821</v>
      </c>
      <c r="G101" s="117" t="s">
        <v>3822</v>
      </c>
      <c r="H101" s="118" t="s">
        <v>3737</v>
      </c>
    </row>
    <row r="102" customFormat="false" ht="27.75" hidden="false" customHeight="true" outlineLevel="0" collapsed="false">
      <c r="B102" s="117" t="n">
        <v>98</v>
      </c>
      <c r="C102" s="117" t="s">
        <v>3823</v>
      </c>
      <c r="D102" s="117" t="s">
        <v>3824</v>
      </c>
      <c r="E102" s="117" t="s">
        <v>3825</v>
      </c>
      <c r="F102" s="117" t="s">
        <v>3826</v>
      </c>
      <c r="G102" s="117" t="s">
        <v>3827</v>
      </c>
      <c r="H102" s="118" t="s">
        <v>3737</v>
      </c>
    </row>
    <row r="103" customFormat="false" ht="27.75" hidden="false" customHeight="true" outlineLevel="0" collapsed="false">
      <c r="B103" s="117" t="n">
        <v>99</v>
      </c>
      <c r="C103" s="117" t="s">
        <v>3828</v>
      </c>
      <c r="D103" s="117" t="s">
        <v>3829</v>
      </c>
      <c r="E103" s="117" t="s">
        <v>3830</v>
      </c>
      <c r="F103" s="117" t="s">
        <v>3831</v>
      </c>
      <c r="G103" s="117" t="s">
        <v>3832</v>
      </c>
      <c r="H103" s="118" t="s">
        <v>3737</v>
      </c>
    </row>
    <row r="104" customFormat="false" ht="27.75" hidden="false" customHeight="true" outlineLevel="0" collapsed="false">
      <c r="B104" s="117" t="n">
        <v>100</v>
      </c>
      <c r="C104" s="117" t="s">
        <v>3833</v>
      </c>
      <c r="D104" s="117" t="s">
        <v>3834</v>
      </c>
      <c r="E104" s="117" t="s">
        <v>3835</v>
      </c>
      <c r="F104" s="117" t="s">
        <v>3836</v>
      </c>
      <c r="G104" s="117" t="s">
        <v>3837</v>
      </c>
      <c r="H104" s="118" t="s">
        <v>3737</v>
      </c>
    </row>
    <row r="105" customFormat="false" ht="27.75" hidden="false" customHeight="true" outlineLevel="0" collapsed="false">
      <c r="B105" s="117" t="n">
        <v>101</v>
      </c>
      <c r="C105" s="117" t="s">
        <v>3838</v>
      </c>
      <c r="D105" s="117" t="s">
        <v>3839</v>
      </c>
      <c r="E105" s="117" t="s">
        <v>3840</v>
      </c>
      <c r="F105" s="117" t="s">
        <v>3841</v>
      </c>
      <c r="G105" s="117" t="s">
        <v>3842</v>
      </c>
      <c r="H105" s="118" t="s">
        <v>3737</v>
      </c>
    </row>
    <row r="106" customFormat="false" ht="27.75" hidden="false" customHeight="true" outlineLevel="0" collapsed="false">
      <c r="B106" s="117" t="n">
        <v>102</v>
      </c>
      <c r="C106" s="117" t="s">
        <v>3843</v>
      </c>
      <c r="D106" s="117" t="s">
        <v>3844</v>
      </c>
      <c r="E106" s="117" t="s">
        <v>3845</v>
      </c>
      <c r="F106" s="117" t="s">
        <v>3846</v>
      </c>
      <c r="G106" s="117" t="s">
        <v>3847</v>
      </c>
      <c r="H106" s="118" t="s">
        <v>3737</v>
      </c>
    </row>
    <row r="107" customFormat="false" ht="27.75" hidden="false" customHeight="true" outlineLevel="0" collapsed="false">
      <c r="B107" s="117" t="n">
        <v>103</v>
      </c>
      <c r="C107" s="117" t="s">
        <v>3848</v>
      </c>
      <c r="D107" s="117" t="s">
        <v>3849</v>
      </c>
      <c r="E107" s="117" t="s">
        <v>3850</v>
      </c>
      <c r="F107" s="117" t="s">
        <v>3851</v>
      </c>
      <c r="G107" s="117" t="s">
        <v>3852</v>
      </c>
      <c r="H107" s="118" t="s">
        <v>3737</v>
      </c>
    </row>
    <row r="108" customFormat="false" ht="27.75" hidden="false" customHeight="true" outlineLevel="0" collapsed="false">
      <c r="B108" s="117" t="n">
        <v>104</v>
      </c>
      <c r="C108" s="117" t="s">
        <v>3853</v>
      </c>
      <c r="D108" s="117" t="s">
        <v>3854</v>
      </c>
      <c r="E108" s="117" t="s">
        <v>3855</v>
      </c>
      <c r="F108" s="117" t="s">
        <v>3856</v>
      </c>
      <c r="G108" s="117" t="s">
        <v>3857</v>
      </c>
      <c r="H108" s="118" t="s">
        <v>3737</v>
      </c>
    </row>
    <row r="109" customFormat="false" ht="27.75" hidden="false" customHeight="true" outlineLevel="0" collapsed="false">
      <c r="B109" s="117" t="n">
        <v>105</v>
      </c>
      <c r="C109" s="117" t="s">
        <v>3858</v>
      </c>
      <c r="D109" s="117" t="s">
        <v>3859</v>
      </c>
      <c r="E109" s="117" t="s">
        <v>3860</v>
      </c>
      <c r="F109" s="117" t="s">
        <v>3861</v>
      </c>
      <c r="G109" s="117" t="s">
        <v>3862</v>
      </c>
      <c r="H109" s="118" t="s">
        <v>3737</v>
      </c>
    </row>
    <row r="110" customFormat="false" ht="27.75" hidden="false" customHeight="true" outlineLevel="0" collapsed="false">
      <c r="B110" s="117" t="n">
        <v>106</v>
      </c>
      <c r="C110" s="117" t="s">
        <v>3863</v>
      </c>
      <c r="D110" s="117" t="s">
        <v>3864</v>
      </c>
      <c r="E110" s="117" t="s">
        <v>3865</v>
      </c>
      <c r="F110" s="117" t="s">
        <v>3866</v>
      </c>
      <c r="G110" s="117" t="s">
        <v>3867</v>
      </c>
      <c r="H110" s="118" t="s">
        <v>3737</v>
      </c>
    </row>
    <row r="111" customFormat="false" ht="27.75" hidden="false" customHeight="true" outlineLevel="0" collapsed="false">
      <c r="B111" s="117" t="n">
        <v>107</v>
      </c>
      <c r="C111" s="117" t="s">
        <v>3868</v>
      </c>
      <c r="D111" s="117" t="s">
        <v>3869</v>
      </c>
      <c r="E111" s="117" t="s">
        <v>3870</v>
      </c>
      <c r="F111" s="117" t="s">
        <v>3871</v>
      </c>
      <c r="G111" s="117" t="s">
        <v>3872</v>
      </c>
      <c r="H111" s="118" t="s">
        <v>3737</v>
      </c>
    </row>
    <row r="113" customFormat="false" ht="15" hidden="false" customHeight="true" outlineLevel="0" collapsed="false">
      <c r="B113" s="113" t="s">
        <v>3873</v>
      </c>
    </row>
    <row r="114" customFormat="false" ht="15" hidden="false" customHeight="true" outlineLevel="0" collapsed="false">
      <c r="C114" s="1" t="s">
        <v>3874</v>
      </c>
      <c r="D114" s="1" t="n">
        <f aca="false">COUNTA(C5:C111)</f>
        <v>107</v>
      </c>
    </row>
    <row r="115" customFormat="false" ht="15" hidden="false" customHeight="true" outlineLevel="0" collapsed="false">
      <c r="C115" s="1" t="s">
        <v>3392</v>
      </c>
      <c r="D115" s="1" t="n">
        <f aca="false">COUNTIF(H5:H111,"Matched in test*")-COUNTIF(H5:H111,"Matched in test when*")</f>
        <v>94</v>
      </c>
    </row>
    <row r="116" customFormat="false" ht="15" hidden="false" customHeight="true" outlineLevel="0" collapsed="false">
      <c r="C116" s="1" t="s">
        <v>3875</v>
      </c>
      <c r="D116" s="1" t="n">
        <f aca="false">COUNTIF(H5:H111,"Matched in test when*")+COUNTIF(H5:H111,"Figures*")+COUNTIF(H5:H111,"Values*")+COUNTIF(H5:H111,"Partly*")</f>
        <v>5</v>
      </c>
    </row>
    <row r="117" customFormat="false" ht="15" hidden="false" customHeight="true" outlineLevel="0" collapsed="false">
      <c r="C117" s="1" t="s">
        <v>3876</v>
      </c>
      <c r="D117" s="1" t="n">
        <f aca="false">D114-D115-D116</f>
        <v>8</v>
      </c>
    </row>
  </sheetData>
  <autoFilter ref="B4:H111"/>
  <mergeCells count="1">
    <mergeCell ref="B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R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3" min="3" style="1" width="18"/>
    <col collapsed="false" customWidth="true" hidden="false" outlineLevel="0" max="4" min="4" style="1" width="20"/>
    <col collapsed="false" customWidth="true" hidden="false" outlineLevel="0" max="5" min="5" style="1" width="90"/>
    <col collapsed="false" customWidth="true" hidden="false" outlineLevel="0" max="7" min="6" style="1" width="18"/>
    <col collapsed="false" customWidth="true" hidden="false" outlineLevel="0" max="18" min="8" style="1" width="13"/>
  </cols>
  <sheetData>
    <row r="1" customFormat="false" ht="19.5" hidden="false" customHeight="true" outlineLevel="0" collapsed="false">
      <c r="B1" s="24" t="s">
        <v>3877</v>
      </c>
    </row>
    <row r="2" customFormat="false" ht="15" hidden="false" customHeight="true" outlineLevel="0" collapsed="false">
      <c r="B2" s="121" t="s">
        <v>3878</v>
      </c>
    </row>
    <row r="4" customFormat="false" ht="15" hidden="false" customHeight="true" outlineLevel="0" collapsed="false">
      <c r="B4" s="15" t="s">
        <v>221</v>
      </c>
      <c r="C4" s="16"/>
      <c r="D4" s="16"/>
      <c r="E4" s="16"/>
      <c r="F4" s="28" t="s">
        <v>3879</v>
      </c>
      <c r="G4" s="28" t="s">
        <v>3880</v>
      </c>
    </row>
    <row r="5" customFormat="false" ht="15" hidden="false" customHeight="true" outlineLevel="0" collapsed="false">
      <c r="B5" s="9" t="s">
        <v>3881</v>
      </c>
      <c r="C5" s="35"/>
      <c r="E5" s="3" t="s">
        <v>3882</v>
      </c>
      <c r="F5" s="36" t="s">
        <v>3883</v>
      </c>
      <c r="G5" s="37" t="str">
        <f aca="false">IF(ISBLANK(C5),IF(Fill_Example="Yes",F5,""),C5)</f>
        <v/>
      </c>
    </row>
    <row r="6" customFormat="false" ht="15" hidden="false" customHeight="true" outlineLevel="0" collapsed="false">
      <c r="B6" s="9" t="s">
        <v>3884</v>
      </c>
      <c r="C6" s="30"/>
      <c r="E6" s="3" t="s">
        <v>3885</v>
      </c>
      <c r="F6" s="33" t="n">
        <v>60000</v>
      </c>
      <c r="G6" s="34" t="str">
        <f aca="false">IF(ISBLANK(C6),IF(Fill_Example="Yes",F6,""),C6)</f>
        <v/>
      </c>
    </row>
    <row r="7" customFormat="false" ht="15" hidden="false" customHeight="true" outlineLevel="0" collapsed="false">
      <c r="B7" s="9" t="s">
        <v>3886</v>
      </c>
      <c r="C7" s="30"/>
      <c r="E7" s="3" t="s">
        <v>3887</v>
      </c>
      <c r="F7" s="33" t="n">
        <v>0</v>
      </c>
      <c r="G7" s="34" t="n">
        <f aca="false">IF(ISBLANK(C7),F7,C7)</f>
        <v>0</v>
      </c>
    </row>
    <row r="8" customFormat="false" ht="15" hidden="false" customHeight="true" outlineLevel="0" collapsed="false">
      <c r="B8" s="9" t="s">
        <v>3888</v>
      </c>
      <c r="C8" s="35"/>
      <c r="E8" s="3" t="s">
        <v>3889</v>
      </c>
      <c r="F8" s="36" t="s">
        <v>3</v>
      </c>
      <c r="G8" s="37" t="str">
        <f aca="false">IF(ISBLANK(C8),IF(Fill_Example="Yes",F8,""),C8)</f>
        <v/>
      </c>
    </row>
    <row r="9" customFormat="false" ht="15" hidden="false" customHeight="true" outlineLevel="0" collapsed="false">
      <c r="B9" s="9" t="s">
        <v>3890</v>
      </c>
      <c r="C9" s="35"/>
      <c r="E9" s="3" t="s">
        <v>3891</v>
      </c>
      <c r="F9" s="36" t="s">
        <v>3</v>
      </c>
      <c r="G9" s="37" t="str">
        <f aca="false">IF(ISBLANK(C9),IF(Fill_Example="Yes",F9,""),C9)</f>
        <v/>
      </c>
    </row>
    <row r="10" customFormat="false" ht="15" hidden="false" customHeight="true" outlineLevel="0" collapsed="false">
      <c r="B10" s="9" t="s">
        <v>3892</v>
      </c>
      <c r="C10" s="35"/>
      <c r="E10" s="3" t="str">
        <f aca="false">"Type 3 · optional: leave blank for none. From 1 Oct 2026 "&amp;"= "&amp;TEXT(PRSI_Rate,"0.00%")&amp;"."&amp;" Calendar 2026 blend "&amp;"= "&amp;TEXT(PRSI_Rate_2026_Blend,"0.0000%")&amp;" (9 months at 4.2%, "&amp;"3 at "&amp;TEXT(PRSI_Rate,"0.00%")&amp;")."</f>
        <v>Type 3 · optional: leave blank for none. From 1 Oct 2026 = 4.35%. Calendar 2026 blend = 4.2375% (9 months at 4.2%, 3 at 4.35%).</v>
      </c>
      <c r="F10" s="36" t="s">
        <v>3893</v>
      </c>
      <c r="G10" s="37" t="str">
        <f aca="false">IF(ISBLANK(C10),F10,C10)</f>
        <v>From 1 Oct 2026</v>
      </c>
    </row>
    <row r="12" customFormat="false" ht="15" hidden="false" customHeight="true" outlineLevel="0" collapsed="false">
      <c r="B12" s="15" t="s">
        <v>3894</v>
      </c>
      <c r="C12" s="16"/>
      <c r="D12" s="16"/>
      <c r="E12" s="16"/>
    </row>
    <row r="13" customFormat="false" ht="15" hidden="false" customHeight="true" outlineLevel="0" collapsed="false">
      <c r="B13" s="9" t="s">
        <v>3895</v>
      </c>
      <c r="C13" s="122" t="n">
        <f aca="false">IF(TE_PRSI_Basis="Calendar 2026 blend",PRSI_Rate_2026_Blend,PRSI_Rate)</f>
        <v>0.0435</v>
      </c>
      <c r="E13" s="123" t="s">
        <v>3896</v>
      </c>
    </row>
    <row r="14" customFormat="false" ht="15" hidden="false" customHeight="true" outlineLevel="0" collapsed="false">
      <c r="B14" s="9" t="s">
        <v>3897</v>
      </c>
      <c r="C14" s="124" t="str">
        <f aca="false">IF(TE_Need&lt;&gt;"",TE_Need,IF(TE_Status="Married two earners",TE_Gross_2,0))</f>
        <v>Choose your tax status to see this</v>
      </c>
      <c r="E14" s="123" t="s">
        <v>3898</v>
      </c>
    </row>
    <row r="15" customFormat="false" ht="30" hidden="false" customHeight="true" outlineLevel="0" collapsed="false">
      <c r="B15" s="9" t="s">
        <v>3899</v>
      </c>
      <c r="C15" s="124" t="str">
        <f aca="false">IF(TE_Need&lt;&gt;"",TE_Need,IF(TE_Status="Single",Band_Single,IF(TE_Status="Single parent",Band_Single_Parent,IF(TE_Status="Married one earner",Band_Married,Band_Married+MIN(MIN(TE_Gross_1,TE_Gross_2),Band_Second_Earner_Max)))))</f>
        <v>Choose your tax status to see this</v>
      </c>
      <c r="E15" s="123" t="s">
        <v>3900</v>
      </c>
    </row>
    <row r="16" customFormat="false" ht="15" hidden="false" customHeight="true" outlineLevel="0" collapsed="false">
      <c r="B16" s="9" t="s">
        <v>3901</v>
      </c>
      <c r="C16" s="124" t="str">
        <f aca="false">IF(TE_Need&lt;&gt;"",TE_Need,TE_Gross_1+TE_Earner_2)</f>
        <v>Choose your tax status to see this</v>
      </c>
      <c r="E16" s="123" t="s">
        <v>3902</v>
      </c>
    </row>
    <row r="17" customFormat="false" ht="15" hidden="false" customHeight="true" outlineLevel="0" collapsed="false">
      <c r="B17" s="9" t="s">
        <v>3903</v>
      </c>
      <c r="C17" s="125" t="str">
        <f aca="false">IF(TE_Need&lt;&gt;"",TE_Need,Rate_Standard*MIN(TE_Taxable,TE_Band)+Rate_Higher*MAX(0,TE_Taxable-TE_Band))</f>
        <v>Choose your tax status to see this</v>
      </c>
      <c r="E17" s="123" t="s">
        <v>3904</v>
      </c>
    </row>
    <row r="18" customFormat="false" ht="30" hidden="false" customHeight="true" outlineLevel="0" collapsed="false">
      <c r="B18" s="9" t="s">
        <v>3905</v>
      </c>
      <c r="C18" s="125" t="str">
        <f aca="false">IF(TE_Need&lt;&gt;"",TE_Need,IF(OR(TE_Status="Single",TE_Status="Single parent"),Credit_Personal_Single,Credit_Personal_Married)+IF(TE_Status="Single parent",Credit_SPCCC,0)+MIN(Credit_PAYE,Credit_PAYE_Cap_Pct*TE_Gross_1)+IF(TE_Earner_2&gt;0,MIN(Credit_PAYE,Credit_PAYE_Cap_Pct*TE_Earner_2),0)+IF(TE_Rent_Credit="Yes",IF(LEFT(TE_Status,7)="Married",Credit_Rent_Joint,Credit_Rent_Single),0)+IF(AND(TE_Home_Carer="Yes",TE_Status="Married one earner"),Credit_Home_Carer,0))</f>
        <v>Choose your tax status to see this</v>
      </c>
      <c r="E18" s="123" t="s">
        <v>3906</v>
      </c>
    </row>
    <row r="19" customFormat="false" ht="15" hidden="false" customHeight="true" outlineLevel="0" collapsed="false">
      <c r="B19" s="12" t="s">
        <v>3907</v>
      </c>
      <c r="C19" s="126" t="str">
        <f aca="false">IF(TE_Need&lt;&gt;"",TE_Need,MAX(0,TE_Tax_Before_Credits-TE_Credits))</f>
        <v>Choose your tax status to see this</v>
      </c>
      <c r="E19" s="123" t="s">
        <v>3908</v>
      </c>
    </row>
    <row r="20" customFormat="false" ht="30" hidden="false" customHeight="true" outlineLevel="0" collapsed="false">
      <c r="B20" s="12" t="s">
        <v>3909</v>
      </c>
      <c r="C20" s="126" t="str">
        <f aca="false">IF(TE_Need&lt;&gt;"",TE_Need,IF(TE_Gross_1&lt;=USC_Exempt,0,USC_Rate_1*MIN(TE_Gross_1,USC_Band_1)+USC_Rate_2*MAX(0,MIN(TE_Gross_1,USC_Band_2)-USC_Band_1)+USC_Rate_3*MAX(0,MIN(TE_Gross_1,USC_Band_3)-USC_Band_2)+USC_Rate_4*MAX(0,TE_Gross_1-USC_Band_3))+IF(TE_Earner_2&lt;=USC_Exempt,0,USC_Rate_1*MIN(TE_Earner_2,USC_Band_1)+USC_Rate_2*MAX(0,MIN(TE_Earner_2,USC_Band_2)-USC_Band_1)+USC_Rate_3*MAX(0,MIN(TE_Earner_2,USC_Band_3)-USC_Band_2)+USC_Rate_4*MAX(0,TE_Earner_2-USC_Band_3)))</f>
        <v>Choose your tax status to see this</v>
      </c>
      <c r="E20" s="123" t="s">
        <v>3910</v>
      </c>
    </row>
    <row r="21" customFormat="false" ht="30" hidden="false" customHeight="true" outlineLevel="0" collapsed="false">
      <c r="B21" s="12" t="s">
        <v>3911</v>
      </c>
      <c r="C21" s="126" t="str">
        <f aca="false">IF(TE_Need&lt;&gt;"",TE_Need,IF(TE_Gross_1/Weeks_Per_Year&lt;=PRSI_Free_Week,0,MAX(0,TE_Gross_1/Weeks_Per_Year*TE_PRSI_Rate_Used-IF(TE_Gross_1/Weeks_Per_Year&lt;=PRSI_Credit_Top,MAX(0,PRSI_Credit_Max-(TE_Gross_1/Weeks_Per_Year-(PRSI_Free_Week+0.01))/PRSI_Credit_Taper),0))*Weeks_Per_Year)+IF(TE_Earner_2/Weeks_Per_Year&lt;=PRSI_Free_Week,0,MAX(0,TE_Earner_2/Weeks_Per_Year*TE_PRSI_Rate_Used-IF(TE_Earner_2/Weeks_Per_Year&lt;=PRSI_Credit_Top,MAX(0,PRSI_Credit_Max-(TE_Earner_2/Weeks_Per_Year-(PRSI_Free_Week+0.01))/PRSI_Credit_Taper),0))*Weeks_Per_Year))</f>
        <v>Choose your tax status to see this</v>
      </c>
      <c r="E21" s="123" t="s">
        <v>3912</v>
      </c>
    </row>
    <row r="22" customFormat="false" ht="15" hidden="false" customHeight="true" outlineLevel="0" collapsed="false">
      <c r="B22" s="12" t="s">
        <v>3913</v>
      </c>
      <c r="C22" s="126" t="str">
        <f aca="false">IF(TE_Need&lt;&gt;"",TE_Need,TE_Taxable-TE_Income_Tax-TE_USC-TE_PRSI)</f>
        <v>Choose your tax status to see this</v>
      </c>
      <c r="E22" s="123" t="s">
        <v>3914</v>
      </c>
    </row>
    <row r="23" customFormat="false" ht="15" hidden="false" customHeight="true" outlineLevel="0" collapsed="false">
      <c r="B23" s="12" t="s">
        <v>3915</v>
      </c>
      <c r="C23" s="126" t="str">
        <f aca="false">IF(TE_Need&lt;&gt;"",TE_Need,TE_Take_Home/12)</f>
        <v>Choose your tax status to see this</v>
      </c>
      <c r="E23" s="123" t="s">
        <v>3916</v>
      </c>
    </row>
    <row r="24" customFormat="false" ht="15" hidden="false" customHeight="true" outlineLevel="0" collapsed="false">
      <c r="B24" s="12" t="s">
        <v>3917</v>
      </c>
      <c r="C24" s="127" t="str">
        <f aca="false">IF(TE_Need&lt;&gt;"",TE_Need,IF(TE_Taxable&gt;TE_Band,Rate_Higher,Rate_Standard))</f>
        <v>Choose your tax status to see this</v>
      </c>
      <c r="E24" s="123" t="s">
        <v>3918</v>
      </c>
    </row>
    <row r="25" customFormat="false" ht="15" hidden="false" customHeight="true" outlineLevel="0" collapsed="false">
      <c r="B25" s="56" t="s">
        <v>3919</v>
      </c>
      <c r="C25" s="56" t="str">
        <f aca="false">IF(TE_Status="","Choose your tax status to see this",IF(TE_Gross_1="","Choose your gross yearly pay to see this",IF(TE_Rent_Credit="","Choose your answer on the Rent Tax Credit to see this",IF(TE_Home_Carer="","Choose your answer on the Home Carer Tax Credit to see this",""))))</f>
        <v>Choose your tax status to see this</v>
      </c>
    </row>
    <row r="27" customFormat="false" ht="15" hidden="false" customHeight="true" outlineLevel="0" collapsed="false">
      <c r="B27" s="15" t="s">
        <v>280</v>
      </c>
      <c r="C27" s="16"/>
      <c r="D27" s="16"/>
      <c r="E27" s="16"/>
    </row>
    <row r="28" customFormat="false" ht="15" hidden="false" customHeight="true" outlineLevel="0" collapsed="false">
      <c r="B28" s="128" t="s">
        <v>3920</v>
      </c>
      <c r="C28" s="128"/>
      <c r="D28" s="128"/>
      <c r="E28" s="128"/>
    </row>
    <row r="29" customFormat="false" ht="15" hidden="false" customHeight="true" outlineLevel="0" collapsed="false">
      <c r="B29" s="128" t="s">
        <v>3921</v>
      </c>
      <c r="C29" s="128"/>
      <c r="D29" s="128"/>
      <c r="E29" s="128"/>
    </row>
    <row r="30" customFormat="false" ht="15" hidden="false" customHeight="true" outlineLevel="0" collapsed="false">
      <c r="B30" s="128" t="s">
        <v>3922</v>
      </c>
      <c r="C30" s="128"/>
      <c r="D30" s="128"/>
      <c r="E30" s="128"/>
    </row>
    <row r="31" customFormat="false" ht="15" hidden="false" customHeight="true" outlineLevel="0" collapsed="false">
      <c r="B31" s="128" t="s">
        <v>3923</v>
      </c>
      <c r="C31" s="128"/>
      <c r="D31" s="128"/>
      <c r="E31" s="128"/>
    </row>
    <row r="33" customFormat="false" ht="15" hidden="false" customHeight="true" outlineLevel="0" collapsed="false">
      <c r="B33" s="15" t="s">
        <v>3924</v>
      </c>
      <c r="C33" s="16"/>
      <c r="D33" s="16"/>
      <c r="E33" s="16"/>
      <c r="F33" s="16"/>
      <c r="G33" s="16"/>
      <c r="H33" s="16"/>
      <c r="I33" s="16"/>
      <c r="J33" s="16"/>
      <c r="K33" s="16"/>
      <c r="L33" s="16"/>
      <c r="M33" s="16"/>
      <c r="N33" s="16"/>
      <c r="O33" s="16"/>
      <c r="P33" s="16"/>
      <c r="Q33" s="16"/>
      <c r="R33" s="16"/>
    </row>
    <row r="34" customFormat="false" ht="30" hidden="false" customHeight="true" outlineLevel="0" collapsed="false">
      <c r="B34" s="129" t="s">
        <v>3925</v>
      </c>
      <c r="C34" s="129" t="s">
        <v>3926</v>
      </c>
      <c r="D34" s="129" t="s">
        <v>100</v>
      </c>
      <c r="E34" s="129" t="s">
        <v>3927</v>
      </c>
      <c r="F34" s="129" t="s">
        <v>3907</v>
      </c>
      <c r="G34" s="129" t="s">
        <v>3928</v>
      </c>
      <c r="H34" s="129" t="str">
        <f aca="false">"PRSI "&amp;TEXT(PRSI_Rate,"0.00%")</f>
        <v>PRSI 4.35%</v>
      </c>
      <c r="I34" s="129" t="s">
        <v>3929</v>
      </c>
      <c r="J34" s="129" t="str">
        <f aca="false">"Take-home "&amp;TEXT(PRSI_Rate,"0.00%")</f>
        <v>Take-home 4.35%</v>
      </c>
      <c r="K34" s="129" t="s">
        <v>3930</v>
      </c>
      <c r="L34" s="129" t="s">
        <v>3931</v>
      </c>
      <c r="M34" s="129" t="s">
        <v>3932</v>
      </c>
      <c r="N34" s="129" t="str">
        <f aca="false">"Expected take-home "&amp;TEXT(PRSI_Rate,"0.00%")</f>
        <v>Expected take-home 4.35%</v>
      </c>
      <c r="O34" s="129" t="s">
        <v>3933</v>
      </c>
      <c r="P34" s="129" t="s">
        <v>3934</v>
      </c>
      <c r="Q34" s="129" t="s">
        <v>248</v>
      </c>
      <c r="R34" s="129"/>
    </row>
    <row r="35" customFormat="false" ht="15" hidden="false" customHeight="true" outlineLevel="0" collapsed="false">
      <c r="B35" s="14" t="s">
        <v>3935</v>
      </c>
      <c r="C35" s="84" t="n">
        <v>25000</v>
      </c>
      <c r="D35" s="14" t="s">
        <v>3883</v>
      </c>
      <c r="E35" s="14" t="s">
        <v>3936</v>
      </c>
      <c r="F35" s="130" t="n">
        <f aca="false">MAX(0,Rate_Standard*MIN(C35,IF(D35="Single",Band_Single,IF(D35="Single parent",Band_Single_Parent,IF(D35="Married one earner",Band_Married,Band_Married+MIN(MIN(C35,0),Band_Second_Earner_Max)))))+Rate_Higher*MAX(0,C35-IF(D35="Single",Band_Single,IF(D35="Single parent",Band_Single_Parent,IF(D35="Married one earner",Band_Married,Band_Married+MIN(MIN(C35,0),Band_Second_Earner_Max)))))-(IF(OR(D35="Single",D35="Single parent"),Credit_Personal_Single,Credit_Personal_Married)+IF(D35="Single parent",Credit_SPCCC,0)+MIN(Credit_PAYE,Credit_PAYE_Cap_Pct*C35)+IF(0&gt;0,MIN(Credit_PAYE,Credit_PAYE_Cap_Pct*0),0)+IF("No"="Yes",IF(LEFT(D35,7)="Married",Credit_Rent_Joint,Credit_Rent_Single),0)+IF(AND("No"="Yes",D35="Married one earner"),Credit_Home_Carer,0)))</f>
        <v>1000</v>
      </c>
      <c r="G35" s="130" t="n">
        <f aca="false">IF(C35&lt;=USC_Exempt,0,USC_Rate_1*MIN(C35,USC_Band_1)+USC_Rate_2*MAX(0,MIN(C35,USC_Band_2)-USC_Band_1)+USC_Rate_3*MAX(0,MIN(C35,USC_Band_3)-USC_Band_2)+USC_Rate_4*MAX(0,C35-USC_Band_3))</f>
        <v>319.82</v>
      </c>
      <c r="H35" s="130" t="n">
        <f aca="false">IF(C35/Weeks_Per_Year&lt;=PRSI_Free_Week,0,MAX(0,C35/Weeks_Per_Year*PRSI_Rate-IF(C35/Weeks_Per_Year&lt;=PRSI_Credit_Top,MAX(0,PRSI_Credit_Max-(C35/Weeks_Per_Year-(PRSI_Free_Week+0.01))/PRSI_Credit_Taper),0))*Weeks_Per_Year)</f>
        <v>1087.5</v>
      </c>
      <c r="I35" s="130" t="n">
        <f aca="false">IF(C35/Weeks_Per_Year&lt;=PRSI_Free_Week,0,MAX(0,C35/Weeks_Per_Year*PRSI_Rate_2026_Blend-IF(C35/Weeks_Per_Year&lt;=PRSI_Credit_Top,MAX(0,PRSI_Credit_Max-(C35/Weeks_Per_Year-(PRSI_Free_Week+0.01))/PRSI_Credit_Taper),0))*Weeks_Per_Year)</f>
        <v>1059.375</v>
      </c>
      <c r="J35" s="130" t="n">
        <f aca="false">C35-F35-G35-H35</f>
        <v>22592.68</v>
      </c>
      <c r="K35" s="130" t="n">
        <f aca="false">C35-F35-G35-I35</f>
        <v>22620.805</v>
      </c>
      <c r="L35" s="130" t="n">
        <v>1000</v>
      </c>
      <c r="M35" s="130" t="n">
        <v>319.82</v>
      </c>
      <c r="N35" s="130" t="n">
        <v>22592.68</v>
      </c>
      <c r="O35" s="130" t="n">
        <v>22620.81</v>
      </c>
      <c r="P35" s="130" t="n">
        <f aca="false">MAX(ABS(ROUND(F35,2)-L35),ABS(ROUND(G35,2)-M35),ABS(ROUND(J35,2)-N35),ABS(ROUND(K35,2)-O35))</f>
        <v>0</v>
      </c>
      <c r="Q35" s="20" t="str">
        <f aca="false">IF(P35&lt;0.005,"PASS","FAIL")</f>
        <v>PASS</v>
      </c>
    </row>
    <row r="36" customFormat="false" ht="15" hidden="false" customHeight="true" outlineLevel="0" collapsed="false">
      <c r="B36" s="14" t="s">
        <v>3937</v>
      </c>
      <c r="C36" s="84" t="n">
        <v>25000</v>
      </c>
      <c r="D36" s="14" t="s">
        <v>3938</v>
      </c>
      <c r="E36" s="14" t="s">
        <v>3936</v>
      </c>
      <c r="F36" s="130" t="n">
        <f aca="false">MAX(0,Rate_Standard*MIN(C36,IF(D36="Single",Band_Single,IF(D36="Single parent",Band_Single_Parent,IF(D36="Married one earner",Band_Married,Band_Married+MIN(MIN(C36,0),Band_Second_Earner_Max)))))+Rate_Higher*MAX(0,C36-IF(D36="Single",Band_Single,IF(D36="Single parent",Band_Single_Parent,IF(D36="Married one earner",Band_Married,Band_Married+MIN(MIN(C36,0),Band_Second_Earner_Max)))))-(IF(OR(D36="Single",D36="Single parent"),Credit_Personal_Single,Credit_Personal_Married)+IF(D36="Single parent",Credit_SPCCC,0)+MIN(Credit_PAYE,Credit_PAYE_Cap_Pct*C36)+IF(0&gt;0,MIN(Credit_PAYE,Credit_PAYE_Cap_Pct*0),0)+IF("No"="Yes",IF(LEFT(D36,7)="Married",Credit_Rent_Joint,Credit_Rent_Single),0)+IF(AND("No"="Yes",D36="Married one earner"),Credit_Home_Carer,0)))</f>
        <v>0</v>
      </c>
      <c r="G36" s="130" t="n">
        <f aca="false">IF(C36&lt;=USC_Exempt,0,USC_Rate_1*MIN(C36,USC_Band_1)+USC_Rate_2*MAX(0,MIN(C36,USC_Band_2)-USC_Band_1)+USC_Rate_3*MAX(0,MIN(C36,USC_Band_3)-USC_Band_2)+USC_Rate_4*MAX(0,C36-USC_Band_3))</f>
        <v>319.82</v>
      </c>
      <c r="H36" s="130" t="n">
        <f aca="false">IF(C36/Weeks_Per_Year&lt;=PRSI_Free_Week,0,MAX(0,C36/Weeks_Per_Year*PRSI_Rate-IF(C36/Weeks_Per_Year&lt;=PRSI_Credit_Top,MAX(0,PRSI_Credit_Max-(C36/Weeks_Per_Year-(PRSI_Free_Week+0.01))/PRSI_Credit_Taper),0))*Weeks_Per_Year)</f>
        <v>1087.5</v>
      </c>
      <c r="I36" s="130" t="n">
        <f aca="false">IF(C36/Weeks_Per_Year&lt;=PRSI_Free_Week,0,MAX(0,C36/Weeks_Per_Year*PRSI_Rate_2026_Blend-IF(C36/Weeks_Per_Year&lt;=PRSI_Credit_Top,MAX(0,PRSI_Credit_Max-(C36/Weeks_Per_Year-(PRSI_Free_Week+0.01))/PRSI_Credit_Taper),0))*Weeks_Per_Year)</f>
        <v>1059.375</v>
      </c>
      <c r="J36" s="130" t="n">
        <f aca="false">C36-F36-G36-H36</f>
        <v>23592.68</v>
      </c>
      <c r="K36" s="130" t="n">
        <f aca="false">C36-F36-G36-I36</f>
        <v>23620.805</v>
      </c>
      <c r="L36" s="130" t="n">
        <v>0</v>
      </c>
      <c r="M36" s="130" t="n">
        <v>319.82</v>
      </c>
      <c r="N36" s="130" t="n">
        <v>23592.68</v>
      </c>
      <c r="O36" s="130" t="n">
        <v>23620.81</v>
      </c>
      <c r="P36" s="130" t="n">
        <f aca="false">MAX(ABS(ROUND(F36,2)-L36),ABS(ROUND(G36,2)-M36),ABS(ROUND(J36,2)-N36),ABS(ROUND(K36,2)-O36))</f>
        <v>0</v>
      </c>
      <c r="Q36" s="20" t="str">
        <f aca="false">IF(P36&lt;0.005,"PASS","FAIL")</f>
        <v>PASS</v>
      </c>
    </row>
    <row r="37" customFormat="false" ht="15" hidden="false" customHeight="true" outlineLevel="0" collapsed="false">
      <c r="B37" s="14" t="s">
        <v>3939</v>
      </c>
      <c r="C37" s="84" t="n">
        <v>45000</v>
      </c>
      <c r="D37" s="14" t="s">
        <v>3883</v>
      </c>
      <c r="E37" s="14" t="s">
        <v>3936</v>
      </c>
      <c r="F37" s="130" t="n">
        <f aca="false">MAX(0,Rate_Standard*MIN(C37,IF(D37="Single",Band_Single,IF(D37="Single parent",Band_Single_Parent,IF(D37="Married one earner",Band_Married,Band_Married+MIN(MIN(C37,0),Band_Second_Earner_Max)))))+Rate_Higher*MAX(0,C37-IF(D37="Single",Band_Single,IF(D37="Single parent",Band_Single_Parent,IF(D37="Married one earner",Band_Married,Band_Married+MIN(MIN(C37,0),Band_Second_Earner_Max)))))-(IF(OR(D37="Single",D37="Single parent"),Credit_Personal_Single,Credit_Personal_Married)+IF(D37="Single parent",Credit_SPCCC,0)+MIN(Credit_PAYE,Credit_PAYE_Cap_Pct*C37)+IF(0&gt;0,MIN(Credit_PAYE,Credit_PAYE_Cap_Pct*0),0)+IF("No"="Yes",IF(LEFT(D37,7)="Married",Credit_Rent_Joint,Credit_Rent_Single),0)+IF(AND("No"="Yes",D37="Married one earner"),Credit_Home_Carer,0)))</f>
        <v>5200</v>
      </c>
      <c r="G37" s="130" t="n">
        <f aca="false">IF(C37&lt;=USC_Exempt,0,USC_Rate_1*MIN(C37,USC_Band_1)+USC_Rate_2*MAX(0,MIN(C37,USC_Band_2)-USC_Band_1)+USC_Rate_3*MAX(0,MIN(C37,USC_Band_3)-USC_Band_2)+USC_Rate_4*MAX(0,C37-USC_Band_3))</f>
        <v>882.82</v>
      </c>
      <c r="H37" s="130" t="n">
        <f aca="false">IF(C37/Weeks_Per_Year&lt;=PRSI_Free_Week,0,MAX(0,C37/Weeks_Per_Year*PRSI_Rate-IF(C37/Weeks_Per_Year&lt;=PRSI_Credit_Top,MAX(0,PRSI_Credit_Max-(C37/Weeks_Per_Year-(PRSI_Free_Week+0.01))/PRSI_Credit_Taper),0))*Weeks_Per_Year)</f>
        <v>1957.5</v>
      </c>
      <c r="I37" s="130" t="n">
        <f aca="false">IF(C37/Weeks_Per_Year&lt;=PRSI_Free_Week,0,MAX(0,C37/Weeks_Per_Year*PRSI_Rate_2026_Blend-IF(C37/Weeks_Per_Year&lt;=PRSI_Credit_Top,MAX(0,PRSI_Credit_Max-(C37/Weeks_Per_Year-(PRSI_Free_Week+0.01))/PRSI_Credit_Taper),0))*Weeks_Per_Year)</f>
        <v>1906.875</v>
      </c>
      <c r="J37" s="130" t="n">
        <f aca="false">C37-F37-G37-H37</f>
        <v>36959.68</v>
      </c>
      <c r="K37" s="130" t="n">
        <f aca="false">C37-F37-G37-I37</f>
        <v>37010.305</v>
      </c>
      <c r="L37" s="130" t="n">
        <v>5200</v>
      </c>
      <c r="M37" s="130" t="n">
        <v>882.82</v>
      </c>
      <c r="N37" s="130" t="n">
        <v>36959.68</v>
      </c>
      <c r="O37" s="130" t="n">
        <v>37010.31</v>
      </c>
      <c r="P37" s="130" t="n">
        <f aca="false">MAX(ABS(ROUND(F37,2)-L37),ABS(ROUND(G37,2)-M37),ABS(ROUND(J37,2)-N37),ABS(ROUND(K37,2)-O37))</f>
        <v>0</v>
      </c>
      <c r="Q37" s="20" t="str">
        <f aca="false">IF(P37&lt;0.005,"PASS","FAIL")</f>
        <v>PASS</v>
      </c>
    </row>
    <row r="38" customFormat="false" ht="15" hidden="false" customHeight="true" outlineLevel="0" collapsed="false">
      <c r="B38" s="14" t="s">
        <v>3940</v>
      </c>
      <c r="C38" s="84" t="n">
        <v>45000</v>
      </c>
      <c r="D38" s="14" t="s">
        <v>3938</v>
      </c>
      <c r="E38" s="14" t="s">
        <v>3936</v>
      </c>
      <c r="F38" s="130" t="n">
        <f aca="false">MAX(0,Rate_Standard*MIN(C38,IF(D38="Single",Band_Single,IF(D38="Single parent",Band_Single_Parent,IF(D38="Married one earner",Band_Married,Band_Married+MIN(MIN(C38,0),Band_Second_Earner_Max)))))+Rate_Higher*MAX(0,C38-IF(D38="Single",Band_Single,IF(D38="Single parent",Band_Single_Parent,IF(D38="Married one earner",Band_Married,Band_Married+MIN(MIN(C38,0),Band_Second_Earner_Max)))))-(IF(OR(D38="Single",D38="Single parent"),Credit_Personal_Single,Credit_Personal_Married)+IF(D38="Single parent",Credit_SPCCC,0)+MIN(Credit_PAYE,Credit_PAYE_Cap_Pct*C38)+IF(0&gt;0,MIN(Credit_PAYE,Credit_PAYE_Cap_Pct*0),0)+IF("No"="Yes",IF(LEFT(D38,7)="Married",Credit_Rent_Joint,Credit_Rent_Single),0)+IF(AND("No"="Yes",D38="Married one earner"),Credit_Home_Carer,0)))</f>
        <v>3000</v>
      </c>
      <c r="G38" s="130" t="n">
        <f aca="false">IF(C38&lt;=USC_Exempt,0,USC_Rate_1*MIN(C38,USC_Band_1)+USC_Rate_2*MAX(0,MIN(C38,USC_Band_2)-USC_Band_1)+USC_Rate_3*MAX(0,MIN(C38,USC_Band_3)-USC_Band_2)+USC_Rate_4*MAX(0,C38-USC_Band_3))</f>
        <v>882.82</v>
      </c>
      <c r="H38" s="130" t="n">
        <f aca="false">IF(C38/Weeks_Per_Year&lt;=PRSI_Free_Week,0,MAX(0,C38/Weeks_Per_Year*PRSI_Rate-IF(C38/Weeks_Per_Year&lt;=PRSI_Credit_Top,MAX(0,PRSI_Credit_Max-(C38/Weeks_Per_Year-(PRSI_Free_Week+0.01))/PRSI_Credit_Taper),0))*Weeks_Per_Year)</f>
        <v>1957.5</v>
      </c>
      <c r="I38" s="130" t="n">
        <f aca="false">IF(C38/Weeks_Per_Year&lt;=PRSI_Free_Week,0,MAX(0,C38/Weeks_Per_Year*PRSI_Rate_2026_Blend-IF(C38/Weeks_Per_Year&lt;=PRSI_Credit_Top,MAX(0,PRSI_Credit_Max-(C38/Weeks_Per_Year-(PRSI_Free_Week+0.01))/PRSI_Credit_Taper),0))*Weeks_Per_Year)</f>
        <v>1906.875</v>
      </c>
      <c r="J38" s="130" t="n">
        <f aca="false">C38-F38-G38-H38</f>
        <v>39159.68</v>
      </c>
      <c r="K38" s="130" t="n">
        <f aca="false">C38-F38-G38-I38</f>
        <v>39210.305</v>
      </c>
      <c r="L38" s="130" t="n">
        <v>3000</v>
      </c>
      <c r="M38" s="130" t="n">
        <v>882.82</v>
      </c>
      <c r="N38" s="130" t="n">
        <v>39159.68</v>
      </c>
      <c r="O38" s="130" t="n">
        <v>39210.31</v>
      </c>
      <c r="P38" s="130" t="n">
        <f aca="false">MAX(ABS(ROUND(F38,2)-L38),ABS(ROUND(G38,2)-M38),ABS(ROUND(J38,2)-N38),ABS(ROUND(K38,2)-O38))</f>
        <v>0</v>
      </c>
      <c r="Q38" s="20" t="str">
        <f aca="false">IF(P38&lt;0.005,"PASS","FAIL")</f>
        <v>PASS</v>
      </c>
    </row>
    <row r="39" customFormat="false" ht="15" hidden="false" customHeight="true" outlineLevel="0" collapsed="false">
      <c r="B39" s="14" t="s">
        <v>3941</v>
      </c>
      <c r="C39" s="84" t="n">
        <v>80000</v>
      </c>
      <c r="D39" s="14" t="s">
        <v>3883</v>
      </c>
      <c r="E39" s="14" t="s">
        <v>3936</v>
      </c>
      <c r="F39" s="130" t="n">
        <f aca="false">MAX(0,Rate_Standard*MIN(C39,IF(D39="Single",Band_Single,IF(D39="Single parent",Band_Single_Parent,IF(D39="Married one earner",Band_Married,Band_Married+MIN(MIN(C39,0),Band_Second_Earner_Max)))))+Rate_Higher*MAX(0,C39-IF(D39="Single",Band_Single,IF(D39="Single parent",Band_Single_Parent,IF(D39="Married one earner",Band_Married,Band_Married+MIN(MIN(C39,0),Band_Second_Earner_Max)))))-(IF(OR(D39="Single",D39="Single parent"),Credit_Personal_Single,Credit_Personal_Married)+IF(D39="Single parent",Credit_SPCCC,0)+MIN(Credit_PAYE,Credit_PAYE_Cap_Pct*C39)+IF(0&gt;0,MIN(Credit_PAYE,Credit_PAYE_Cap_Pct*0),0)+IF("No"="Yes",IF(LEFT(D39,7)="Married",Credit_Rent_Joint,Credit_Rent_Single),0)+IF(AND("No"="Yes",D39="Married one earner"),Credit_Home_Carer,0)))</f>
        <v>19200</v>
      </c>
      <c r="G39" s="130" t="n">
        <f aca="false">IF(C39&lt;=USC_Exempt,0,USC_Rate_1*MIN(C39,USC_Band_1)+USC_Rate_2*MAX(0,MIN(C39,USC_Band_2)-USC_Band_1)+USC_Rate_3*MAX(0,MIN(C39,USC_Band_3)-USC_Band_2)+USC_Rate_4*MAX(0,C39-USC_Band_3))</f>
        <v>2430.62</v>
      </c>
      <c r="H39" s="130" t="n">
        <f aca="false">IF(C39/Weeks_Per_Year&lt;=PRSI_Free_Week,0,MAX(0,C39/Weeks_Per_Year*PRSI_Rate-IF(C39/Weeks_Per_Year&lt;=PRSI_Credit_Top,MAX(0,PRSI_Credit_Max-(C39/Weeks_Per_Year-(PRSI_Free_Week+0.01))/PRSI_Credit_Taper),0))*Weeks_Per_Year)</f>
        <v>3480</v>
      </c>
      <c r="I39" s="130" t="n">
        <f aca="false">IF(C39/Weeks_Per_Year&lt;=PRSI_Free_Week,0,MAX(0,C39/Weeks_Per_Year*PRSI_Rate_2026_Blend-IF(C39/Weeks_Per_Year&lt;=PRSI_Credit_Top,MAX(0,PRSI_Credit_Max-(C39/Weeks_Per_Year-(PRSI_Free_Week+0.01))/PRSI_Credit_Taper),0))*Weeks_Per_Year)</f>
        <v>3390</v>
      </c>
      <c r="J39" s="130" t="n">
        <f aca="false">C39-F39-G39-H39</f>
        <v>54889.38</v>
      </c>
      <c r="K39" s="130" t="n">
        <f aca="false">C39-F39-G39-I39</f>
        <v>54979.38</v>
      </c>
      <c r="L39" s="130" t="n">
        <v>19200</v>
      </c>
      <c r="M39" s="130" t="n">
        <v>2430.62</v>
      </c>
      <c r="N39" s="130" t="n">
        <v>54889.38</v>
      </c>
      <c r="O39" s="130" t="n">
        <v>54979.38</v>
      </c>
      <c r="P39" s="130" t="n">
        <f aca="false">MAX(ABS(ROUND(F39,2)-L39),ABS(ROUND(G39,2)-M39),ABS(ROUND(J39,2)-N39),ABS(ROUND(K39,2)-O39))</f>
        <v>0</v>
      </c>
      <c r="Q39" s="20" t="str">
        <f aca="false">IF(P39&lt;0.005,"PASS","FAIL")</f>
        <v>PASS</v>
      </c>
    </row>
    <row r="40" customFormat="false" ht="15" hidden="false" customHeight="true" outlineLevel="0" collapsed="false">
      <c r="B40" s="14" t="s">
        <v>3942</v>
      </c>
      <c r="C40" s="84" t="n">
        <v>80000</v>
      </c>
      <c r="D40" s="14" t="s">
        <v>3938</v>
      </c>
      <c r="E40" s="14" t="s">
        <v>3936</v>
      </c>
      <c r="F40" s="130" t="n">
        <f aca="false">MAX(0,Rate_Standard*MIN(C40,IF(D40="Single",Band_Single,IF(D40="Single parent",Band_Single_Parent,IF(D40="Married one earner",Band_Married,Band_Married+MIN(MIN(C40,0),Band_Second_Earner_Max)))))+Rate_Higher*MAX(0,C40-IF(D40="Single",Band_Single,IF(D40="Single parent",Band_Single_Parent,IF(D40="Married one earner",Band_Married,Band_Married+MIN(MIN(C40,0),Band_Second_Earner_Max)))))-(IF(OR(D40="Single",D40="Single parent"),Credit_Personal_Single,Credit_Personal_Married)+IF(D40="Single parent",Credit_SPCCC,0)+MIN(Credit_PAYE,Credit_PAYE_Cap_Pct*C40)+IF(0&gt;0,MIN(Credit_PAYE,Credit_PAYE_Cap_Pct*0),0)+IF("No"="Yes",IF(LEFT(D40,7)="Married",Credit_Rent_Joint,Credit_Rent_Single),0)+IF(AND("No"="Yes",D40="Married one earner"),Credit_Home_Carer,0)))</f>
        <v>15400</v>
      </c>
      <c r="G40" s="130" t="n">
        <f aca="false">IF(C40&lt;=USC_Exempt,0,USC_Rate_1*MIN(C40,USC_Band_1)+USC_Rate_2*MAX(0,MIN(C40,USC_Band_2)-USC_Band_1)+USC_Rate_3*MAX(0,MIN(C40,USC_Band_3)-USC_Band_2)+USC_Rate_4*MAX(0,C40-USC_Band_3))</f>
        <v>2430.62</v>
      </c>
      <c r="H40" s="130" t="n">
        <f aca="false">IF(C40/Weeks_Per_Year&lt;=PRSI_Free_Week,0,MAX(0,C40/Weeks_Per_Year*PRSI_Rate-IF(C40/Weeks_Per_Year&lt;=PRSI_Credit_Top,MAX(0,PRSI_Credit_Max-(C40/Weeks_Per_Year-(PRSI_Free_Week+0.01))/PRSI_Credit_Taper),0))*Weeks_Per_Year)</f>
        <v>3480</v>
      </c>
      <c r="I40" s="130" t="n">
        <f aca="false">IF(C40/Weeks_Per_Year&lt;=PRSI_Free_Week,0,MAX(0,C40/Weeks_Per_Year*PRSI_Rate_2026_Blend-IF(C40/Weeks_Per_Year&lt;=PRSI_Credit_Top,MAX(0,PRSI_Credit_Max-(C40/Weeks_Per_Year-(PRSI_Free_Week+0.01))/PRSI_Credit_Taper),0))*Weeks_Per_Year)</f>
        <v>3390</v>
      </c>
      <c r="J40" s="130" t="n">
        <f aca="false">C40-F40-G40-H40</f>
        <v>58689.38</v>
      </c>
      <c r="K40" s="130" t="n">
        <f aca="false">C40-F40-G40-I40</f>
        <v>58779.38</v>
      </c>
      <c r="L40" s="130" t="n">
        <v>15400</v>
      </c>
      <c r="M40" s="130" t="n">
        <v>2430.62</v>
      </c>
      <c r="N40" s="130" t="n">
        <v>58689.38</v>
      </c>
      <c r="O40" s="130" t="n">
        <v>58779.38</v>
      </c>
      <c r="P40" s="130" t="n">
        <f aca="false">MAX(ABS(ROUND(F40,2)-L40),ABS(ROUND(G40,2)-M40),ABS(ROUND(J40,2)-N40),ABS(ROUND(K40,2)-O40))</f>
        <v>0</v>
      </c>
      <c r="Q40" s="20" t="str">
        <f aca="false">IF(P40&lt;0.005,"PASS","FAIL")</f>
        <v>PASS</v>
      </c>
    </row>
    <row r="41" customFormat="false" ht="15" hidden="false" customHeight="true" outlineLevel="0" collapsed="false">
      <c r="B41" s="14" t="s">
        <v>3943</v>
      </c>
      <c r="C41" s="84" t="n">
        <v>150000</v>
      </c>
      <c r="D41" s="14" t="s">
        <v>3883</v>
      </c>
      <c r="E41" s="14" t="s">
        <v>3936</v>
      </c>
      <c r="F41" s="130" t="n">
        <f aca="false">MAX(0,Rate_Standard*MIN(C41,IF(D41="Single",Band_Single,IF(D41="Single parent",Band_Single_Parent,IF(D41="Married one earner",Band_Married,Band_Married+MIN(MIN(C41,0),Band_Second_Earner_Max)))))+Rate_Higher*MAX(0,C41-IF(D41="Single",Band_Single,IF(D41="Single parent",Band_Single_Parent,IF(D41="Married one earner",Band_Married,Band_Married+MIN(MIN(C41,0),Band_Second_Earner_Max)))))-(IF(OR(D41="Single",D41="Single parent"),Credit_Personal_Single,Credit_Personal_Married)+IF(D41="Single parent",Credit_SPCCC,0)+MIN(Credit_PAYE,Credit_PAYE_Cap_Pct*C41)+IF(0&gt;0,MIN(Credit_PAYE,Credit_PAYE_Cap_Pct*0),0)+IF("No"="Yes",IF(LEFT(D41,7)="Married",Credit_Rent_Joint,Credit_Rent_Single),0)+IF(AND("No"="Yes",D41="Married one earner"),Credit_Home_Carer,0)))</f>
        <v>47200</v>
      </c>
      <c r="G41" s="130" t="n">
        <f aca="false">IF(C41&lt;=USC_Exempt,0,USC_Rate_1*MIN(C41,USC_Band_1)+USC_Rate_2*MAX(0,MIN(C41,USC_Band_2)-USC_Band_1)+USC_Rate_3*MAX(0,MIN(C41,USC_Band_3)-USC_Band_2)+USC_Rate_4*MAX(0,C41-USC_Band_3))</f>
        <v>8030.62</v>
      </c>
      <c r="H41" s="130" t="n">
        <f aca="false">IF(C41/Weeks_Per_Year&lt;=PRSI_Free_Week,0,MAX(0,C41/Weeks_Per_Year*PRSI_Rate-IF(C41/Weeks_Per_Year&lt;=PRSI_Credit_Top,MAX(0,PRSI_Credit_Max-(C41/Weeks_Per_Year-(PRSI_Free_Week+0.01))/PRSI_Credit_Taper),0))*Weeks_Per_Year)</f>
        <v>6525</v>
      </c>
      <c r="I41" s="130" t="n">
        <f aca="false">IF(C41/Weeks_Per_Year&lt;=PRSI_Free_Week,0,MAX(0,C41/Weeks_Per_Year*PRSI_Rate_2026_Blend-IF(C41/Weeks_Per_Year&lt;=PRSI_Credit_Top,MAX(0,PRSI_Credit_Max-(C41/Weeks_Per_Year-(PRSI_Free_Week+0.01))/PRSI_Credit_Taper),0))*Weeks_Per_Year)</f>
        <v>6356.25</v>
      </c>
      <c r="J41" s="130" t="n">
        <f aca="false">C41-F41-G41-H41</f>
        <v>88244.38</v>
      </c>
      <c r="K41" s="130" t="n">
        <f aca="false">C41-F41-G41-I41</f>
        <v>88413.13</v>
      </c>
      <c r="L41" s="130" t="n">
        <v>47200</v>
      </c>
      <c r="M41" s="130" t="n">
        <v>8030.62</v>
      </c>
      <c r="N41" s="130" t="n">
        <v>88244.38</v>
      </c>
      <c r="O41" s="130" t="n">
        <v>88413.13</v>
      </c>
      <c r="P41" s="130" t="n">
        <f aca="false">MAX(ABS(ROUND(F41,2)-L41),ABS(ROUND(G41,2)-M41),ABS(ROUND(J41,2)-N41),ABS(ROUND(K41,2)-O41))</f>
        <v>0</v>
      </c>
      <c r="Q41" s="20" t="str">
        <f aca="false">IF(P41&lt;0.005,"PASS","FAIL")</f>
        <v>PASS</v>
      </c>
    </row>
    <row r="42" customFormat="false" ht="15" hidden="false" customHeight="true" outlineLevel="0" collapsed="false">
      <c r="B42" s="14" t="s">
        <v>3944</v>
      </c>
      <c r="C42" s="84" t="n">
        <v>150000</v>
      </c>
      <c r="D42" s="14" t="s">
        <v>3938</v>
      </c>
      <c r="E42" s="14" t="s">
        <v>3936</v>
      </c>
      <c r="F42" s="130" t="n">
        <f aca="false">MAX(0,Rate_Standard*MIN(C42,IF(D42="Single",Band_Single,IF(D42="Single parent",Band_Single_Parent,IF(D42="Married one earner",Band_Married,Band_Married+MIN(MIN(C42,0),Band_Second_Earner_Max)))))+Rate_Higher*MAX(0,C42-IF(D42="Single",Band_Single,IF(D42="Single parent",Band_Single_Parent,IF(D42="Married one earner",Band_Married,Band_Married+MIN(MIN(C42,0),Band_Second_Earner_Max)))))-(IF(OR(D42="Single",D42="Single parent"),Credit_Personal_Single,Credit_Personal_Married)+IF(D42="Single parent",Credit_SPCCC,0)+MIN(Credit_PAYE,Credit_PAYE_Cap_Pct*C42)+IF(0&gt;0,MIN(Credit_PAYE,Credit_PAYE_Cap_Pct*0),0)+IF("No"="Yes",IF(LEFT(D42,7)="Married",Credit_Rent_Joint,Credit_Rent_Single),0)+IF(AND("No"="Yes",D42="Married one earner"),Credit_Home_Carer,0)))</f>
        <v>43400</v>
      </c>
      <c r="G42" s="130" t="n">
        <f aca="false">IF(C42&lt;=USC_Exempt,0,USC_Rate_1*MIN(C42,USC_Band_1)+USC_Rate_2*MAX(0,MIN(C42,USC_Band_2)-USC_Band_1)+USC_Rate_3*MAX(0,MIN(C42,USC_Band_3)-USC_Band_2)+USC_Rate_4*MAX(0,C42-USC_Band_3))</f>
        <v>8030.62</v>
      </c>
      <c r="H42" s="130" t="n">
        <f aca="false">IF(C42/Weeks_Per_Year&lt;=PRSI_Free_Week,0,MAX(0,C42/Weeks_Per_Year*PRSI_Rate-IF(C42/Weeks_Per_Year&lt;=PRSI_Credit_Top,MAX(0,PRSI_Credit_Max-(C42/Weeks_Per_Year-(PRSI_Free_Week+0.01))/PRSI_Credit_Taper),0))*Weeks_Per_Year)</f>
        <v>6525</v>
      </c>
      <c r="I42" s="130" t="n">
        <f aca="false">IF(C42/Weeks_Per_Year&lt;=PRSI_Free_Week,0,MAX(0,C42/Weeks_Per_Year*PRSI_Rate_2026_Blend-IF(C42/Weeks_Per_Year&lt;=PRSI_Credit_Top,MAX(0,PRSI_Credit_Max-(C42/Weeks_Per_Year-(PRSI_Free_Week+0.01))/PRSI_Credit_Taper),0))*Weeks_Per_Year)</f>
        <v>6356.25</v>
      </c>
      <c r="J42" s="130" t="n">
        <f aca="false">C42-F42-G42-H42</f>
        <v>92044.38</v>
      </c>
      <c r="K42" s="130" t="n">
        <f aca="false">C42-F42-G42-I42</f>
        <v>92213.13</v>
      </c>
      <c r="L42" s="130" t="n">
        <v>43400</v>
      </c>
      <c r="M42" s="130" t="n">
        <v>8030.62</v>
      </c>
      <c r="N42" s="130" t="n">
        <v>92044.38</v>
      </c>
      <c r="O42" s="130" t="n">
        <v>92213.13</v>
      </c>
      <c r="P42" s="130" t="n">
        <f aca="false">MAX(ABS(ROUND(F42,2)-L42),ABS(ROUND(G42,2)-M42),ABS(ROUND(J42,2)-N42),ABS(ROUND(K42,2)-O42))</f>
        <v>0</v>
      </c>
      <c r="Q42" s="20" t="str">
        <f aca="false">IF(P42&lt;0.005,"PASS","FAIL")</f>
        <v>PASS</v>
      </c>
    </row>
    <row r="43" customFormat="false" ht="15" hidden="false" customHeight="true" outlineLevel="0" collapsed="false">
      <c r="B43" s="14" t="s">
        <v>3945</v>
      </c>
      <c r="C43" s="84" t="n">
        <v>60000</v>
      </c>
      <c r="D43" s="14" t="s">
        <v>3946</v>
      </c>
      <c r="E43" s="14" t="s">
        <v>3947</v>
      </c>
      <c r="F43" s="130" t="n">
        <f aca="false">MAX(0,Rate_Standard*MIN(C43+R43,IF(D43="Single",Band_Single,IF(D43="Single parent",Band_Single_Parent,IF(D43="Married one earner",Band_Married,Band_Married+MIN(MIN(C43,R43),Band_Second_Earner_Max)))))+Rate_Higher*MAX(0,C43+R43-IF(D43="Single",Band_Single,IF(D43="Single parent",Band_Single_Parent,IF(D43="Married one earner",Band_Married,Band_Married+MIN(MIN(C43,R43),Band_Second_Earner_Max)))))-(IF(OR(D43="Single",D43="Single parent"),Credit_Personal_Single,Credit_Personal_Married)+IF(D43="Single parent",Credit_SPCCC,0)+MIN(Credit_PAYE,Credit_PAYE_Cap_Pct*C43)+IF(R43&gt;0,MIN(Credit_PAYE,Credit_PAYE_Cap_Pct*R43),0)+IF("No"="Yes",IF(LEFT(D43,7)="Married",Credit_Rent_Joint,Credit_Rent_Single),0)+IF(AND("No"="Yes",D43="Married one earner"),Credit_Home_Carer,0)))</f>
        <v>11400</v>
      </c>
      <c r="G43" s="14"/>
      <c r="H43" s="14"/>
      <c r="I43" s="14"/>
      <c r="J43" s="14"/>
      <c r="K43" s="14"/>
      <c r="L43" s="130" t="n">
        <v>11400</v>
      </c>
      <c r="M43" s="14"/>
      <c r="N43" s="14"/>
      <c r="O43" s="14"/>
      <c r="P43" s="130" t="n">
        <f aca="false">ABS(ROUND(F43,2)-L43)</f>
        <v>0</v>
      </c>
      <c r="Q43" s="20" t="str">
        <f aca="false">IF(P43&lt;0.005,"PASS","FAIL")</f>
        <v>PASS</v>
      </c>
      <c r="R43" s="84" t="n">
        <v>30000</v>
      </c>
    </row>
    <row r="44" customFormat="false" ht="15" hidden="false" customHeight="true" outlineLevel="0" collapsed="false">
      <c r="B44" s="14" t="s">
        <v>3948</v>
      </c>
      <c r="C44" s="84" t="n">
        <v>80000</v>
      </c>
      <c r="D44" s="14" t="s">
        <v>3946</v>
      </c>
      <c r="E44" s="14" t="s">
        <v>3949</v>
      </c>
      <c r="F44" s="130" t="n">
        <f aca="false">MAX(0,Rate_Standard*MIN(C44+R44,IF(D44="Single",Band_Single,IF(D44="Single parent",Band_Single_Parent,IF(D44="Married one earner",Band_Married,Band_Married+MIN(MIN(C44,R44),Band_Second_Earner_Max)))))+Rate_Higher*MAX(0,C44+R44-IF(D44="Single",Band_Single,IF(D44="Single parent",Band_Single_Parent,IF(D44="Married one earner",Band_Married,Band_Married+MIN(MIN(C44,R44),Band_Second_Earner_Max)))))-(IF(OR(D44="Single",D44="Single parent"),Credit_Personal_Single,Credit_Personal_Married)+IF(D44="Single parent",Credit_SPCCC,0)+MIN(Credit_PAYE,Credit_PAYE_Cap_Pct*C44)+IF(R44&gt;0,MIN(Credit_PAYE,Credit_PAYE_Cap_Pct*R44),0)+IF("No"="Yes",IF(LEFT(D44,7)="Married",Credit_Rent_Joint,Credit_Rent_Single),0)+IF(AND("No"="Yes",D44="Married one earner"),Credit_Home_Carer,0)))</f>
        <v>26400</v>
      </c>
      <c r="G44" s="14"/>
      <c r="H44" s="14"/>
      <c r="I44" s="14"/>
      <c r="J44" s="14"/>
      <c r="K44" s="14"/>
      <c r="L44" s="130" t="n">
        <v>26400</v>
      </c>
      <c r="M44" s="14"/>
      <c r="N44" s="14"/>
      <c r="O44" s="14"/>
      <c r="P44" s="130" t="n">
        <f aca="false">ABS(ROUND(F44,2)-L44)</f>
        <v>0</v>
      </c>
      <c r="Q44" s="20" t="str">
        <f aca="false">IF(P44&lt;0.005,"PASS","FAIL")</f>
        <v>PASS</v>
      </c>
      <c r="R44" s="84" t="n">
        <v>50000</v>
      </c>
    </row>
    <row r="45" customFormat="false" ht="15" hidden="false" customHeight="true" outlineLevel="0" collapsed="false">
      <c r="B45" s="14" t="s">
        <v>3950</v>
      </c>
      <c r="C45" s="84" t="n">
        <v>45000</v>
      </c>
      <c r="D45" s="14" t="s">
        <v>3946</v>
      </c>
      <c r="E45" s="14" t="s">
        <v>3951</v>
      </c>
      <c r="F45" s="130" t="n">
        <f aca="false">MAX(0,Rate_Standard*MIN(C45+R45,IF(D45="Single",Band_Single,IF(D45="Single parent",Band_Single_Parent,IF(D45="Married one earner",Band_Married,Band_Married+MIN(MIN(C45,R45),Band_Second_Earner_Max)))))+Rate_Higher*MAX(0,C45+R45-IF(D45="Single",Band_Single,IF(D45="Single parent",Band_Single_Parent,IF(D45="Married one earner",Band_Married,Band_Married+MIN(MIN(C45,R45),Band_Second_Earner_Max)))))-(IF(OR(D45="Single",D45="Single parent"),Credit_Personal_Single,Credit_Personal_Married)+IF(D45="Single parent",Credit_SPCCC,0)+MIN(Credit_PAYE,Credit_PAYE_Cap_Pct*C45)+IF(R45&gt;0,MIN(Credit_PAYE,Credit_PAYE_Cap_Pct*R45),0)+IF("No"="Yes",IF(LEFT(D45,7)="Married",Credit_Rent_Joint,Credit_Rent_Single),0)+IF(AND("No"="Yes",D45="Married one earner"),Credit_Home_Carer,0)))</f>
        <v>10400</v>
      </c>
      <c r="G45" s="14"/>
      <c r="H45" s="14"/>
      <c r="I45" s="14"/>
      <c r="J45" s="14"/>
      <c r="K45" s="14"/>
      <c r="L45" s="130" t="n">
        <v>10400</v>
      </c>
      <c r="M45" s="14"/>
      <c r="N45" s="14"/>
      <c r="O45" s="14"/>
      <c r="P45" s="130" t="n">
        <f aca="false">ABS(ROUND(F45,2)-L45)</f>
        <v>0</v>
      </c>
      <c r="Q45" s="20" t="str">
        <f aca="false">IF(P45&lt;0.005,"PASS","FAIL")</f>
        <v>PASS</v>
      </c>
      <c r="R45" s="84" t="n">
        <v>45000</v>
      </c>
    </row>
    <row r="46" customFormat="false" ht="15" hidden="false" customHeight="true" outlineLevel="0" collapsed="false">
      <c r="B46" s="12" t="s">
        <v>3952</v>
      </c>
      <c r="Q46" s="131" t="str">
        <f aca="false">IF(COUNTIF(Q35:Q45,"PASS")=11,"ALL PASS","CHECK")</f>
        <v>ALL PASS</v>
      </c>
    </row>
  </sheetData>
  <mergeCells count="4">
    <mergeCell ref="B28:E28"/>
    <mergeCell ref="B29:E29"/>
    <mergeCell ref="B30:E30"/>
    <mergeCell ref="B31:E31"/>
  </mergeCells>
  <dataValidations count="6">
    <dataValidation allowBlank="true" errorStyle="stop" operator="between" prompt="Type 3 · your figure. Single, Single parent (main carer of a child, no partner), Married one earner, Married two earners (also civil partners)." promptTitle="Tax status" showDropDown="false" showErrorMessage="true" showInputMessage="true" sqref="C5" type="list">
      <formula1>"Single,Single parent,Married one earner,Married two earners"</formula1>
      <formula2>0</formula2>
    </dataValidation>
    <dataValidation allowBlank="true" errorStyle="stop" operator="between" prompt="Type 3 · your figure. Gross pay before tax, € a year." promptTitle="Your gross yearly pay" showDropDown="false" showErrorMessage="true" showInputMessage="true" sqref="C6" type="decimal">
      <formula1>0</formula1>
      <formula2>5000000</formula2>
    </dataValidation>
    <dataValidation allowBlank="true" errorStyle="stop" operator="between" prompt="Type 3 · optional: leave blank for none. Used only when the status is Married two earners." promptTitle="Partner's gross yearly pay (marr" showDropDown="false" showErrorMessage="true" showInputMessage="true" sqref="C7" type="decimal">
      <formula1>0</formula1>
      <formula2>5000000</formula2>
    </dataValidation>
    <dataValidation allowBlank="true" errorStyle="stop" operator="between" prompt="Type 3 · your figure. Rent Tax Credit €1,000 single / €2,000 jointly assessed, to end-2028." promptTitle="Do you pay rent on your home, no" showDropDown="false" showErrorMessage="true" showInputMessage="true" sqref="C8" type="list">
      <formula1>"Yes,No"</formula1>
      <formula2>0</formula2>
    </dataValidation>
    <dataValidation allowBlank="true" errorStyle="stop" operator="between" prompt="Type 3 · your figure. €1,950 (verify the 2026 rate and carer-income limit)." promptTitle="Home Carer Tax Credit applies? (" showDropDown="false" showErrorMessage="true" showInputMessage="true" sqref="C9" type="list">
      <formula1>"Yes,No"</formula1>
      <formula2>0</formula2>
    </dataValidation>
    <dataValidation allowBlank="true" errorStyle="stop" operator="between" prompt="Type 3 · optional: leave blank for none. From 1 Oct 2026 = 4.35%. Calendar 2026 blend = 4.2375% (9 months at 4.2%, 3 at 4.35%)." promptTitle="PRSI rate basis" showDropDown="false" showErrorMessage="true" showInputMessage="true" sqref="C10" type="list">
      <formula1>"From 1 Oct 2026,Calendar 2026 blend"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30"/>
    <col collapsed="false" customWidth="true" hidden="false" outlineLevel="0" max="4" min="4" style="1" width="60"/>
    <col collapsed="false" customWidth="true" hidden="false" outlineLevel="0" max="5" min="5" style="1" width="34"/>
    <col collapsed="false" customWidth="true" hidden="false" outlineLevel="0" max="6" min="6" style="1" width="54"/>
    <col collapsed="false" customWidth="true" hidden="false" outlineLevel="0" max="7" min="7" style="1" width="12"/>
  </cols>
  <sheetData>
    <row r="1" customFormat="false" ht="19.5" hidden="false" customHeight="true" outlineLevel="0" collapsed="false">
      <c r="B1" s="24" t="s">
        <v>3953</v>
      </c>
    </row>
    <row r="3" customFormat="false" ht="15" hidden="false" customHeight="true" outlineLevel="0" collapsed="false">
      <c r="B3" s="8" t="s">
        <v>3954</v>
      </c>
      <c r="C3" s="8"/>
      <c r="D3" s="8"/>
      <c r="E3" s="8"/>
      <c r="F3" s="8"/>
    </row>
    <row r="4" customFormat="false" ht="15" hidden="false" customHeight="true" outlineLevel="0" collapsed="false">
      <c r="B4" s="8" t="s">
        <v>3955</v>
      </c>
      <c r="C4" s="8"/>
      <c r="D4" s="8"/>
      <c r="E4" s="8"/>
      <c r="F4" s="8"/>
    </row>
    <row r="5" customFormat="false" ht="15" hidden="false" customHeight="true" outlineLevel="0" collapsed="false">
      <c r="B5" s="8" t="s">
        <v>3956</v>
      </c>
      <c r="C5" s="8"/>
      <c r="D5" s="8"/>
      <c r="E5" s="8"/>
      <c r="F5" s="8"/>
    </row>
    <row r="6" customFormat="false" ht="15" hidden="false" customHeight="true" outlineLevel="0" collapsed="false">
      <c r="B6" s="8" t="s">
        <v>3957</v>
      </c>
      <c r="C6" s="8"/>
      <c r="D6" s="8"/>
      <c r="E6" s="8"/>
      <c r="F6" s="8"/>
    </row>
    <row r="7" customFormat="false" ht="15" hidden="false" customHeight="true" outlineLevel="0" collapsed="false">
      <c r="B7" s="8" t="s">
        <v>3958</v>
      </c>
      <c r="C7" s="8"/>
      <c r="D7" s="8"/>
      <c r="E7" s="8"/>
      <c r="F7" s="8"/>
    </row>
    <row r="8" customFormat="false" ht="15" hidden="false" customHeight="true" outlineLevel="0" collapsed="false">
      <c r="B8" s="8" t="s">
        <v>3959</v>
      </c>
      <c r="C8" s="8"/>
      <c r="D8" s="8"/>
      <c r="E8" s="8"/>
      <c r="F8" s="8"/>
    </row>
    <row r="10" customFormat="false" ht="23.25" hidden="false" customHeight="true" outlineLevel="0" collapsed="false">
      <c r="B10" s="132" t="s">
        <v>3960</v>
      </c>
      <c r="C10" s="132" t="s">
        <v>3961</v>
      </c>
      <c r="D10" s="132" t="s">
        <v>3962</v>
      </c>
      <c r="E10" s="132" t="s">
        <v>3963</v>
      </c>
      <c r="F10" s="132" t="s">
        <v>3964</v>
      </c>
      <c r="G10" s="132" t="s">
        <v>3965</v>
      </c>
    </row>
    <row r="11" customFormat="false" ht="36" hidden="false" customHeight="true" outlineLevel="0" collapsed="false">
      <c r="B11" s="133" t="s">
        <v>3966</v>
      </c>
      <c r="C11" s="134" t="s">
        <v>710</v>
      </c>
      <c r="D11" s="134" t="s">
        <v>3967</v>
      </c>
      <c r="E11" s="134" t="s">
        <v>3968</v>
      </c>
      <c r="F11" s="134" t="s">
        <v>3969</v>
      </c>
      <c r="G11" s="134" t="s">
        <v>3970</v>
      </c>
    </row>
    <row r="12" customFormat="false" ht="36" hidden="false" customHeight="true" outlineLevel="0" collapsed="false">
      <c r="B12" s="133"/>
      <c r="C12" s="134" t="s">
        <v>3971</v>
      </c>
      <c r="D12" s="134" t="s">
        <v>3972</v>
      </c>
      <c r="E12" s="134" t="s">
        <v>3973</v>
      </c>
      <c r="F12" s="134" t="s">
        <v>3974</v>
      </c>
      <c r="G12" s="134" t="s">
        <v>3970</v>
      </c>
    </row>
    <row r="13" customFormat="false" ht="24" hidden="false" customHeight="true" outlineLevel="0" collapsed="false">
      <c r="B13" s="133"/>
      <c r="C13" s="134" t="s">
        <v>3975</v>
      </c>
      <c r="D13" s="134" t="s">
        <v>3976</v>
      </c>
      <c r="E13" s="134" t="s">
        <v>3977</v>
      </c>
      <c r="F13" s="134" t="s">
        <v>3978</v>
      </c>
      <c r="G13" s="134" t="s">
        <v>3970</v>
      </c>
    </row>
    <row r="14" customFormat="false" ht="24" hidden="false" customHeight="true" outlineLevel="0" collapsed="false">
      <c r="B14" s="133"/>
      <c r="C14" s="134" t="s">
        <v>714</v>
      </c>
      <c r="D14" s="134" t="s">
        <v>3979</v>
      </c>
      <c r="E14" s="134" t="s">
        <v>3980</v>
      </c>
      <c r="F14" s="134" t="s">
        <v>3981</v>
      </c>
      <c r="G14" s="134" t="s">
        <v>3970</v>
      </c>
    </row>
    <row r="15" customFormat="false" ht="60" hidden="false" customHeight="true" outlineLevel="0" collapsed="false">
      <c r="B15" s="133"/>
      <c r="C15" s="134" t="s">
        <v>753</v>
      </c>
      <c r="D15" s="134" t="s">
        <v>3982</v>
      </c>
      <c r="E15" s="134" t="s">
        <v>3977</v>
      </c>
      <c r="F15" s="134" t="s">
        <v>3983</v>
      </c>
      <c r="G15" s="134" t="s">
        <v>3970</v>
      </c>
    </row>
    <row r="16" customFormat="false" ht="36" hidden="false" customHeight="true" outlineLevel="0" collapsed="false">
      <c r="B16" s="133"/>
      <c r="C16" s="134" t="s">
        <v>3984</v>
      </c>
      <c r="D16" s="134" t="s">
        <v>3985</v>
      </c>
      <c r="E16" s="134" t="s">
        <v>3986</v>
      </c>
      <c r="F16" s="134" t="s">
        <v>3987</v>
      </c>
      <c r="G16" s="134" t="s">
        <v>3970</v>
      </c>
    </row>
    <row r="17" customFormat="false" ht="24" hidden="false" customHeight="true" outlineLevel="0" collapsed="false">
      <c r="B17" s="133"/>
      <c r="C17" s="134" t="s">
        <v>3988</v>
      </c>
      <c r="D17" s="134" t="s">
        <v>3989</v>
      </c>
      <c r="E17" s="134" t="s">
        <v>3990</v>
      </c>
      <c r="F17" s="134" t="s">
        <v>3991</v>
      </c>
      <c r="G17" s="134" t="s">
        <v>3970</v>
      </c>
    </row>
    <row r="18" customFormat="false" ht="24" hidden="false" customHeight="true" outlineLevel="0" collapsed="false">
      <c r="B18" s="133"/>
      <c r="C18" s="134" t="s">
        <v>3992</v>
      </c>
      <c r="D18" s="134" t="s">
        <v>3993</v>
      </c>
      <c r="E18" s="134" t="s">
        <v>3994</v>
      </c>
      <c r="F18" s="134" t="s">
        <v>3995</v>
      </c>
      <c r="G18" s="134" t="s">
        <v>3970</v>
      </c>
    </row>
    <row r="19" customFormat="false" ht="24" hidden="false" customHeight="true" outlineLevel="0" collapsed="false">
      <c r="B19" s="133"/>
      <c r="C19" s="134" t="s">
        <v>321</v>
      </c>
      <c r="D19" s="134" t="s">
        <v>3996</v>
      </c>
      <c r="E19" s="134" t="s">
        <v>3997</v>
      </c>
      <c r="F19" s="134" t="s">
        <v>3998</v>
      </c>
      <c r="G19" s="134" t="s">
        <v>3970</v>
      </c>
    </row>
    <row r="20" customFormat="false" ht="36" hidden="false" customHeight="true" outlineLevel="0" collapsed="false">
      <c r="B20" s="133" t="s">
        <v>3999</v>
      </c>
      <c r="C20" s="134" t="s">
        <v>4000</v>
      </c>
      <c r="D20" s="134" t="s">
        <v>4001</v>
      </c>
      <c r="E20" s="134" t="s">
        <v>4002</v>
      </c>
      <c r="F20" s="134" t="s">
        <v>4002</v>
      </c>
      <c r="G20" s="134" t="s">
        <v>3970</v>
      </c>
    </row>
    <row r="21" customFormat="false" ht="24" hidden="false" customHeight="true" outlineLevel="0" collapsed="false">
      <c r="B21" s="133" t="s">
        <v>4003</v>
      </c>
      <c r="C21" s="134" t="s">
        <v>4004</v>
      </c>
      <c r="D21" s="134" t="s">
        <v>4005</v>
      </c>
      <c r="E21" s="134" t="s">
        <v>4006</v>
      </c>
      <c r="F21" s="134" t="s">
        <v>4007</v>
      </c>
      <c r="G21" s="134" t="s">
        <v>3970</v>
      </c>
    </row>
    <row r="22" customFormat="false" ht="24" hidden="false" customHeight="true" outlineLevel="0" collapsed="false">
      <c r="B22" s="133"/>
      <c r="C22" s="134" t="s">
        <v>714</v>
      </c>
      <c r="D22" s="134" t="s">
        <v>4002</v>
      </c>
      <c r="E22" s="134" t="s">
        <v>4008</v>
      </c>
      <c r="F22" s="134" t="s">
        <v>4009</v>
      </c>
      <c r="G22" s="134" t="s">
        <v>3970</v>
      </c>
    </row>
    <row r="23" customFormat="false" ht="36" hidden="false" customHeight="true" outlineLevel="0" collapsed="false">
      <c r="B23" s="133" t="s">
        <v>4010</v>
      </c>
      <c r="C23" s="134" t="s">
        <v>4011</v>
      </c>
      <c r="D23" s="134" t="s">
        <v>4012</v>
      </c>
      <c r="E23" s="134" t="s">
        <v>4013</v>
      </c>
      <c r="F23" s="134" t="s">
        <v>4014</v>
      </c>
      <c r="G23" s="134" t="s">
        <v>3970</v>
      </c>
    </row>
    <row r="24" customFormat="false" ht="24" hidden="false" customHeight="true" outlineLevel="0" collapsed="false">
      <c r="B24" s="133"/>
      <c r="C24" s="134" t="s">
        <v>321</v>
      </c>
      <c r="D24" s="134" t="s">
        <v>4015</v>
      </c>
      <c r="E24" s="134" t="s">
        <v>322</v>
      </c>
      <c r="F24" s="134" t="s">
        <v>4016</v>
      </c>
      <c r="G24" s="134" t="s">
        <v>3970</v>
      </c>
    </row>
    <row r="25" customFormat="false" ht="24" hidden="false" customHeight="true" outlineLevel="0" collapsed="false">
      <c r="B25" s="133" t="s">
        <v>4017</v>
      </c>
      <c r="C25" s="134" t="s">
        <v>312</v>
      </c>
      <c r="D25" s="134" t="s">
        <v>4018</v>
      </c>
      <c r="E25" s="134" t="s">
        <v>4019</v>
      </c>
      <c r="F25" s="134" t="s">
        <v>4020</v>
      </c>
      <c r="G25" s="134" t="s">
        <v>3970</v>
      </c>
    </row>
    <row r="26" customFormat="false" ht="24" hidden="false" customHeight="true" outlineLevel="0" collapsed="false">
      <c r="B26" s="133"/>
      <c r="C26" s="134" t="s">
        <v>315</v>
      </c>
      <c r="D26" s="134" t="s">
        <v>4021</v>
      </c>
      <c r="E26" s="134" t="s">
        <v>4022</v>
      </c>
      <c r="F26" s="134" t="s">
        <v>4023</v>
      </c>
      <c r="G26" s="134" t="s">
        <v>3970</v>
      </c>
    </row>
    <row r="27" customFormat="false" ht="24" hidden="false" customHeight="true" outlineLevel="0" collapsed="false">
      <c r="B27" s="133"/>
      <c r="C27" s="134" t="s">
        <v>4024</v>
      </c>
      <c r="D27" s="134" t="s">
        <v>4025</v>
      </c>
      <c r="E27" s="134" t="s">
        <v>4026</v>
      </c>
      <c r="F27" s="134" t="s">
        <v>4027</v>
      </c>
      <c r="G27" s="134" t="s">
        <v>3970</v>
      </c>
    </row>
    <row r="28" customFormat="false" ht="24" hidden="false" customHeight="true" outlineLevel="0" collapsed="false">
      <c r="B28" s="133"/>
      <c r="C28" s="134" t="s">
        <v>317</v>
      </c>
      <c r="D28" s="134" t="s">
        <v>4028</v>
      </c>
      <c r="E28" s="134" t="s">
        <v>4029</v>
      </c>
      <c r="F28" s="134" t="s">
        <v>4030</v>
      </c>
      <c r="G28" s="134" t="s">
        <v>3970</v>
      </c>
    </row>
    <row r="29" customFormat="false" ht="24" hidden="false" customHeight="true" outlineLevel="0" collapsed="false">
      <c r="B29" s="133"/>
      <c r="C29" s="134" t="s">
        <v>319</v>
      </c>
      <c r="D29" s="134" t="s">
        <v>4031</v>
      </c>
      <c r="E29" s="134" t="s">
        <v>3977</v>
      </c>
      <c r="F29" s="134" t="s">
        <v>4032</v>
      </c>
      <c r="G29" s="134" t="s">
        <v>3970</v>
      </c>
    </row>
    <row r="30" customFormat="false" ht="24" hidden="false" customHeight="true" outlineLevel="0" collapsed="false">
      <c r="B30" s="133"/>
      <c r="C30" s="134" t="s">
        <v>321</v>
      </c>
      <c r="D30" s="134" t="s">
        <v>4033</v>
      </c>
      <c r="E30" s="134" t="s">
        <v>4034</v>
      </c>
      <c r="F30" s="134" t="s">
        <v>4016</v>
      </c>
      <c r="G30" s="134" t="s">
        <v>3970</v>
      </c>
    </row>
    <row r="31" customFormat="false" ht="24" hidden="false" customHeight="true" outlineLevel="0" collapsed="false">
      <c r="B31" s="133" t="s">
        <v>4035</v>
      </c>
      <c r="C31" s="134" t="s">
        <v>4036</v>
      </c>
      <c r="D31" s="134" t="s">
        <v>4037</v>
      </c>
      <c r="E31" s="134" t="s">
        <v>4038</v>
      </c>
      <c r="F31" s="134" t="s">
        <v>4039</v>
      </c>
      <c r="G31" s="134" t="s">
        <v>3970</v>
      </c>
    </row>
    <row r="32" customFormat="false" ht="24" hidden="false" customHeight="true" outlineLevel="0" collapsed="false">
      <c r="B32" s="133" t="s">
        <v>4040</v>
      </c>
      <c r="C32" s="134" t="s">
        <v>633</v>
      </c>
      <c r="D32" s="134" t="s">
        <v>4041</v>
      </c>
      <c r="E32" s="134" t="s">
        <v>3977</v>
      </c>
      <c r="F32" s="134" t="s">
        <v>4042</v>
      </c>
      <c r="G32" s="134" t="s">
        <v>3970</v>
      </c>
    </row>
    <row r="33" customFormat="false" ht="24" hidden="false" customHeight="true" outlineLevel="0" collapsed="false">
      <c r="B33" s="133"/>
      <c r="C33" s="134" t="s">
        <v>957</v>
      </c>
      <c r="D33" s="134" t="s">
        <v>4043</v>
      </c>
      <c r="E33" s="134" t="s">
        <v>3977</v>
      </c>
      <c r="F33" s="134" t="s">
        <v>4044</v>
      </c>
      <c r="G33" s="134" t="s">
        <v>3970</v>
      </c>
    </row>
    <row r="34" customFormat="false" ht="24" hidden="false" customHeight="true" outlineLevel="0" collapsed="false">
      <c r="B34" s="133"/>
      <c r="C34" s="134" t="s">
        <v>3992</v>
      </c>
      <c r="D34" s="134" t="s">
        <v>4045</v>
      </c>
      <c r="E34" s="134" t="s">
        <v>4046</v>
      </c>
      <c r="F34" s="134" t="s">
        <v>4047</v>
      </c>
      <c r="G34" s="134" t="s">
        <v>3970</v>
      </c>
    </row>
    <row r="35" customFormat="false" ht="24" hidden="false" customHeight="true" outlineLevel="0" collapsed="false">
      <c r="B35" s="133"/>
      <c r="C35" s="134" t="s">
        <v>4048</v>
      </c>
      <c r="D35" s="134" t="s">
        <v>4049</v>
      </c>
      <c r="E35" s="134" t="s">
        <v>4050</v>
      </c>
      <c r="F35" s="134" t="s">
        <v>4051</v>
      </c>
      <c r="G35" s="134" t="s">
        <v>3970</v>
      </c>
    </row>
    <row r="36" customFormat="false" ht="24" hidden="false" customHeight="true" outlineLevel="0" collapsed="false">
      <c r="B36" s="133"/>
      <c r="C36" s="134" t="s">
        <v>321</v>
      </c>
      <c r="D36" s="134" t="s">
        <v>4052</v>
      </c>
      <c r="E36" s="134" t="s">
        <v>322</v>
      </c>
      <c r="F36" s="134" t="s">
        <v>4016</v>
      </c>
      <c r="G36" s="134" t="s">
        <v>3970</v>
      </c>
    </row>
    <row r="37" customFormat="false" ht="24" hidden="false" customHeight="true" outlineLevel="0" collapsed="false">
      <c r="B37" s="133" t="s">
        <v>4053</v>
      </c>
      <c r="C37" s="134" t="s">
        <v>4054</v>
      </c>
      <c r="D37" s="134" t="s">
        <v>4055</v>
      </c>
      <c r="E37" s="134" t="s">
        <v>3977</v>
      </c>
      <c r="F37" s="134" t="s">
        <v>4056</v>
      </c>
      <c r="G37" s="134" t="s">
        <v>3970</v>
      </c>
    </row>
    <row r="38" customFormat="false" ht="24" hidden="false" customHeight="true" outlineLevel="0" collapsed="false">
      <c r="B38" s="133"/>
      <c r="C38" s="134" t="s">
        <v>4057</v>
      </c>
      <c r="D38" s="134" t="s">
        <v>4058</v>
      </c>
      <c r="E38" s="134" t="s">
        <v>4059</v>
      </c>
      <c r="F38" s="134" t="s">
        <v>4060</v>
      </c>
      <c r="G38" s="134" t="s">
        <v>3970</v>
      </c>
    </row>
    <row r="39" customFormat="false" ht="24" hidden="false" customHeight="true" outlineLevel="0" collapsed="false">
      <c r="B39" s="133" t="s">
        <v>4061</v>
      </c>
      <c r="C39" s="134" t="s">
        <v>4062</v>
      </c>
      <c r="D39" s="134" t="s">
        <v>4063</v>
      </c>
      <c r="E39" s="134" t="s">
        <v>4064</v>
      </c>
      <c r="F39" s="134" t="s">
        <v>4065</v>
      </c>
      <c r="G39" s="134" t="s">
        <v>3970</v>
      </c>
    </row>
    <row r="40" customFormat="false" ht="24" hidden="false" customHeight="true" outlineLevel="0" collapsed="false">
      <c r="B40" s="133"/>
      <c r="C40" s="134" t="s">
        <v>4066</v>
      </c>
      <c r="D40" s="134" t="s">
        <v>4067</v>
      </c>
      <c r="E40" s="134" t="s">
        <v>227</v>
      </c>
      <c r="F40" s="134" t="s">
        <v>4068</v>
      </c>
      <c r="G40" s="134" t="s">
        <v>3970</v>
      </c>
    </row>
    <row r="41" customFormat="false" ht="24" hidden="false" customHeight="true" outlineLevel="0" collapsed="false">
      <c r="B41" s="133"/>
      <c r="C41" s="134" t="s">
        <v>4069</v>
      </c>
      <c r="D41" s="134" t="s">
        <v>4070</v>
      </c>
      <c r="E41" s="134" t="s">
        <v>227</v>
      </c>
      <c r="F41" s="134" t="s">
        <v>4071</v>
      </c>
      <c r="G41" s="134" t="s">
        <v>3970</v>
      </c>
    </row>
    <row r="42" customFormat="false" ht="24" hidden="false" customHeight="true" outlineLevel="0" collapsed="false">
      <c r="B42" s="133"/>
      <c r="C42" s="134" t="s">
        <v>4072</v>
      </c>
      <c r="D42" s="134" t="s">
        <v>4073</v>
      </c>
      <c r="E42" s="134" t="s">
        <v>4074</v>
      </c>
      <c r="F42" s="134" t="s">
        <v>4016</v>
      </c>
      <c r="G42" s="134" t="s">
        <v>3970</v>
      </c>
    </row>
    <row r="43" customFormat="false" ht="24" hidden="false" customHeight="true" outlineLevel="0" collapsed="false">
      <c r="B43" s="133" t="s">
        <v>4075</v>
      </c>
      <c r="C43" s="134" t="s">
        <v>4076</v>
      </c>
      <c r="D43" s="134" t="s">
        <v>4077</v>
      </c>
      <c r="E43" s="134" t="s">
        <v>3977</v>
      </c>
      <c r="F43" s="134" t="s">
        <v>4065</v>
      </c>
      <c r="G43" s="134" t="s">
        <v>3970</v>
      </c>
    </row>
    <row r="44" customFormat="false" ht="24" hidden="false" customHeight="true" outlineLevel="0" collapsed="false">
      <c r="B44" s="133"/>
      <c r="C44" s="134" t="s">
        <v>4078</v>
      </c>
      <c r="D44" s="134" t="s">
        <v>4079</v>
      </c>
      <c r="E44" s="134" t="s">
        <v>3977</v>
      </c>
      <c r="F44" s="134" t="s">
        <v>4080</v>
      </c>
      <c r="G44" s="134" t="s">
        <v>3970</v>
      </c>
    </row>
    <row r="45" customFormat="false" ht="24" hidden="false" customHeight="true" outlineLevel="0" collapsed="false">
      <c r="B45" s="133"/>
      <c r="C45" s="134" t="s">
        <v>4081</v>
      </c>
      <c r="D45" s="134" t="s">
        <v>4082</v>
      </c>
      <c r="E45" s="134" t="s">
        <v>227</v>
      </c>
      <c r="F45" s="134" t="s">
        <v>4083</v>
      </c>
      <c r="G45" s="134" t="s">
        <v>3970</v>
      </c>
    </row>
    <row r="46" customFormat="false" ht="24" hidden="false" customHeight="true" outlineLevel="0" collapsed="false">
      <c r="B46" s="133"/>
      <c r="C46" s="134" t="s">
        <v>4084</v>
      </c>
      <c r="D46" s="134" t="s">
        <v>4085</v>
      </c>
      <c r="E46" s="134" t="s">
        <v>4086</v>
      </c>
      <c r="F46" s="134" t="s">
        <v>4016</v>
      </c>
      <c r="G46" s="134" t="s">
        <v>3970</v>
      </c>
    </row>
    <row r="47" customFormat="false" ht="24" hidden="false" customHeight="true" outlineLevel="0" collapsed="false">
      <c r="B47" s="133" t="s">
        <v>4087</v>
      </c>
      <c r="C47" s="134" t="s">
        <v>1233</v>
      </c>
      <c r="D47" s="134" t="s">
        <v>4088</v>
      </c>
      <c r="E47" s="134" t="s">
        <v>3977</v>
      </c>
      <c r="F47" s="134" t="s">
        <v>4089</v>
      </c>
      <c r="G47" s="134" t="s">
        <v>3970</v>
      </c>
    </row>
    <row r="48" customFormat="false" ht="24" hidden="false" customHeight="true" outlineLevel="0" collapsed="false">
      <c r="B48" s="133"/>
      <c r="C48" s="134" t="s">
        <v>4090</v>
      </c>
      <c r="D48" s="134" t="s">
        <v>4091</v>
      </c>
      <c r="E48" s="134" t="s">
        <v>4092</v>
      </c>
      <c r="F48" s="134" t="s">
        <v>4093</v>
      </c>
      <c r="G48" s="134" t="s">
        <v>3970</v>
      </c>
    </row>
    <row r="49" customFormat="false" ht="24" hidden="false" customHeight="true" outlineLevel="0" collapsed="false">
      <c r="B49" s="133"/>
      <c r="C49" s="134" t="s">
        <v>4094</v>
      </c>
      <c r="D49" s="134" t="s">
        <v>4095</v>
      </c>
      <c r="E49" s="134" t="s">
        <v>3977</v>
      </c>
      <c r="F49" s="134" t="s">
        <v>4096</v>
      </c>
      <c r="G49" s="134" t="s">
        <v>3970</v>
      </c>
    </row>
    <row r="50" customFormat="false" ht="24" hidden="false" customHeight="true" outlineLevel="0" collapsed="false">
      <c r="B50" s="133" t="s">
        <v>4097</v>
      </c>
      <c r="C50" s="134" t="s">
        <v>1233</v>
      </c>
      <c r="D50" s="134" t="s">
        <v>4098</v>
      </c>
      <c r="E50" s="134" t="s">
        <v>3977</v>
      </c>
      <c r="F50" s="134" t="s">
        <v>4099</v>
      </c>
      <c r="G50" s="134" t="s">
        <v>3970</v>
      </c>
    </row>
    <row r="51" customFormat="false" ht="24" hidden="false" customHeight="true" outlineLevel="0" collapsed="false">
      <c r="B51" s="133"/>
      <c r="C51" s="134" t="s">
        <v>4100</v>
      </c>
      <c r="D51" s="134" t="s">
        <v>4101</v>
      </c>
      <c r="E51" s="134" t="s">
        <v>4102</v>
      </c>
      <c r="F51" s="134" t="s">
        <v>4103</v>
      </c>
      <c r="G51" s="134" t="s">
        <v>3970</v>
      </c>
    </row>
    <row r="52" customFormat="false" ht="24" hidden="false" customHeight="true" outlineLevel="0" collapsed="false">
      <c r="B52" s="133"/>
      <c r="C52" s="134" t="s">
        <v>4104</v>
      </c>
      <c r="D52" s="134" t="s">
        <v>4105</v>
      </c>
      <c r="E52" s="134" t="s">
        <v>4106</v>
      </c>
      <c r="F52" s="134" t="s">
        <v>4107</v>
      </c>
      <c r="G52" s="134" t="s">
        <v>3970</v>
      </c>
    </row>
    <row r="54" customFormat="false" ht="15" hidden="false" customHeight="true" outlineLevel="0" collapsed="false">
      <c r="B54" s="135" t="s">
        <v>4108</v>
      </c>
    </row>
    <row r="55" customFormat="false" ht="15" hidden="false" customHeight="true" outlineLevel="0" collapsed="false">
      <c r="B55" s="14" t="s">
        <v>4109</v>
      </c>
      <c r="D55" s="136" t="s">
        <v>4110</v>
      </c>
    </row>
    <row r="56" customFormat="false" ht="15" hidden="false" customHeight="true" outlineLevel="0" collapsed="false">
      <c r="B56" s="14" t="s">
        <v>4111</v>
      </c>
      <c r="D56" s="136" t="s">
        <v>4112</v>
      </c>
    </row>
    <row r="57" customFormat="false" ht="15" hidden="false" customHeight="true" outlineLevel="0" collapsed="false">
      <c r="B57" s="14" t="s">
        <v>4113</v>
      </c>
      <c r="D57" s="136" t="s">
        <v>4114</v>
      </c>
    </row>
    <row r="58" customFormat="false" ht="15" hidden="false" customHeight="true" outlineLevel="0" collapsed="false">
      <c r="B58" s="14" t="s">
        <v>4115</v>
      </c>
      <c r="D58" s="136" t="s">
        <v>4116</v>
      </c>
    </row>
    <row r="59" customFormat="false" ht="15" hidden="false" customHeight="true" outlineLevel="0" collapsed="false">
      <c r="B59" s="14" t="s">
        <v>4117</v>
      </c>
      <c r="D59" s="136" t="s">
        <v>4118</v>
      </c>
    </row>
    <row r="60" customFormat="false" ht="15" hidden="false" customHeight="true" outlineLevel="0" collapsed="false">
      <c r="B60" s="14" t="s">
        <v>4119</v>
      </c>
      <c r="D60" s="137" t="s">
        <v>4120</v>
      </c>
    </row>
  </sheetData>
  <mergeCells count="6">
    <mergeCell ref="B3:F3"/>
    <mergeCell ref="B4:F4"/>
    <mergeCell ref="B5:F5"/>
    <mergeCell ref="B6:F6"/>
    <mergeCell ref="B7:F7"/>
    <mergeCell ref="B8:F8"/>
  </mergeCells>
  <hyperlinks>
    <hyperlink ref="D55" r:id="rId1" display="https://pensionsauthority.ie/scheme-members-and-prsa-contributors/understanding-pensions/your_right_to_information/statement_of_reasonable_projection/"/>
    <hyperlink ref="D56" r:id="rId2" display="https://pensionsauthority.ie/news_press/news_archive/updated-pension-benefit-statement-projection-assumptions/"/>
    <hyperlink ref="D57" r:id="rId3" display="https://www.centralbank.ie/code"/>
    <hyperlink ref="D58" r:id="rId4" display="https://www.revenue.ie/en/corporate/press-office/press-releases/2019/pr-200619-employees-new-facility-view-current-pay-and-tax-details-through-revenue-myaccount.aspx"/>
    <hyperlink ref="D59" r:id="rId5" display="https://www.gov.ie/en/publication/0fbf7-request-a-contribution-statemen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B1:I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70"/>
    <col collapsed="false" customWidth="true" hidden="false" outlineLevel="0" max="3" min="3" style="1" width="22"/>
    <col collapsed="false" customWidth="true" hidden="false" outlineLevel="0" max="4" min="4" style="1" width="18"/>
    <col collapsed="false" customWidth="true" hidden="false" outlineLevel="0" max="5" min="5" style="1" width="24"/>
    <col collapsed="false" customWidth="true" hidden="false" outlineLevel="0" max="6" min="6" style="1" width="26"/>
    <col collapsed="false" customWidth="true" hidden="false" outlineLevel="0" max="7" min="7" style="1" width="22"/>
  </cols>
  <sheetData>
    <row r="1" customFormat="false" ht="17.25" hidden="false" customHeight="true" outlineLevel="0" collapsed="false">
      <c r="B1" s="90" t="s">
        <v>4121</v>
      </c>
    </row>
    <row r="2" customFormat="false" ht="48" hidden="false" customHeight="true" outlineLevel="0" collapsed="false">
      <c r="B2" s="91" t="s">
        <v>4122</v>
      </c>
      <c r="C2" s="91"/>
      <c r="D2" s="91"/>
      <c r="E2" s="91"/>
      <c r="F2" s="91"/>
      <c r="G2" s="91"/>
    </row>
    <row r="4" customFormat="false" ht="15" hidden="false" customHeight="true" outlineLevel="0" collapsed="false">
      <c r="B4" s="113" t="s">
        <v>4123</v>
      </c>
    </row>
    <row r="5" customFormat="false" ht="15" hidden="false" customHeight="true" outlineLevel="0" collapsed="false">
      <c r="B5" s="138" t="s">
        <v>4124</v>
      </c>
      <c r="C5" s="138" t="s">
        <v>4125</v>
      </c>
      <c r="D5" s="138" t="s">
        <v>4126</v>
      </c>
      <c r="E5" s="138" t="s">
        <v>4127</v>
      </c>
      <c r="F5" s="138" t="s">
        <v>4128</v>
      </c>
    </row>
    <row r="6" customFormat="false" ht="15" hidden="false" customHeight="true" outlineLevel="0" collapsed="false">
      <c r="B6" s="1" t="s">
        <v>4129</v>
      </c>
      <c r="C6" s="94"/>
      <c r="D6" s="139"/>
      <c r="E6" s="139"/>
      <c r="F6" s="140"/>
    </row>
    <row r="7" customFormat="false" ht="15" hidden="false" customHeight="true" outlineLevel="0" collapsed="false">
      <c r="B7" s="1" t="s">
        <v>4130</v>
      </c>
      <c r="C7" s="94"/>
      <c r="D7" s="139"/>
      <c r="E7" s="139"/>
      <c r="F7" s="140"/>
    </row>
    <row r="8" customFormat="false" ht="15" hidden="false" customHeight="true" outlineLevel="0" collapsed="false">
      <c r="B8" s="1" t="s">
        <v>4131</v>
      </c>
      <c r="C8" s="94"/>
      <c r="D8" s="139"/>
      <c r="E8" s="139"/>
      <c r="F8" s="140"/>
    </row>
    <row r="9" customFormat="false" ht="15" hidden="false" customHeight="true" outlineLevel="0" collapsed="false">
      <c r="B9" s="1" t="s">
        <v>4132</v>
      </c>
      <c r="C9" s="94"/>
      <c r="D9" s="139"/>
      <c r="E9" s="139"/>
      <c r="F9" s="140"/>
    </row>
    <row r="10" customFormat="false" ht="15" hidden="false" customHeight="true" outlineLevel="0" collapsed="false">
      <c r="B10" s="1" t="s">
        <v>4133</v>
      </c>
      <c r="C10" s="94"/>
      <c r="D10" s="139"/>
      <c r="E10" s="139"/>
      <c r="F10" s="140"/>
    </row>
    <row r="11" customFormat="false" ht="15" hidden="false" customHeight="true" outlineLevel="0" collapsed="false">
      <c r="B11" s="1" t="s">
        <v>4134</v>
      </c>
      <c r="C11" s="94"/>
      <c r="D11" s="139"/>
      <c r="E11" s="139"/>
      <c r="F11" s="140"/>
    </row>
    <row r="12" customFormat="false" ht="15" hidden="false" customHeight="true" outlineLevel="0" collapsed="false">
      <c r="B12" s="1" t="s">
        <v>4135</v>
      </c>
      <c r="C12" s="94"/>
      <c r="D12" s="139"/>
      <c r="E12" s="139"/>
      <c r="F12" s="140"/>
    </row>
    <row r="13" customFormat="false" ht="15" hidden="false" customHeight="true" outlineLevel="0" collapsed="false">
      <c r="B13" s="1" t="s">
        <v>4136</v>
      </c>
      <c r="C13" s="94"/>
      <c r="D13" s="139"/>
      <c r="E13" s="139"/>
      <c r="F13" s="140"/>
    </row>
    <row r="15" customFormat="false" ht="15" hidden="false" customHeight="true" outlineLevel="0" collapsed="false">
      <c r="B15" s="113" t="s">
        <v>4137</v>
      </c>
      <c r="D15" s="141" t="n">
        <f aca="false">SUM(D6:D13)</f>
        <v>0</v>
      </c>
    </row>
    <row r="16" customFormat="false" ht="15" hidden="false" customHeight="true" outlineLevel="0" collapsed="false">
      <c r="B16" s="1" t="s">
        <v>4138</v>
      </c>
      <c r="D16" s="141" t="n">
        <f aca="false">SUM(E6:E13)</f>
        <v>0</v>
      </c>
    </row>
    <row r="17" customFormat="false" ht="15" hidden="false" customHeight="true" outlineLevel="0" collapsed="false">
      <c r="B17" s="1" t="s">
        <v>4139</v>
      </c>
      <c r="D17" s="142" t="str">
        <f aca="false">IF(COUNT(F6:F13)=0,"",SUMPRODUCT(F6:F13,(D6:D13&gt;0)*D6:D13+(1-(D6:D13&gt;0)))/SUMPRODUCT((F6:F13&lt;&gt;"")*((D6:D13&gt;0)*D6:D13+(1-(D6:D13&gt;0)))))</f>
        <v/>
      </c>
    </row>
    <row r="19" customFormat="false" ht="15" hidden="false" customHeight="true" outlineLevel="0" collapsed="false">
      <c r="B19" s="113" t="s">
        <v>4140</v>
      </c>
    </row>
    <row r="20" customFormat="false" ht="15" hidden="false" customHeight="true" outlineLevel="0" collapsed="false">
      <c r="B20" s="138" t="s">
        <v>4141</v>
      </c>
      <c r="C20" s="138" t="s">
        <v>4125</v>
      </c>
      <c r="D20" s="138" t="s">
        <v>4126</v>
      </c>
      <c r="E20" s="138" t="s">
        <v>4127</v>
      </c>
      <c r="F20" s="138" t="s">
        <v>4128</v>
      </c>
    </row>
    <row r="21" customFormat="false" ht="15" hidden="false" customHeight="true" outlineLevel="0" collapsed="false">
      <c r="B21" s="1" t="s">
        <v>4142</v>
      </c>
      <c r="C21" s="94"/>
      <c r="D21" s="139"/>
      <c r="E21" s="139"/>
      <c r="F21" s="140"/>
    </row>
    <row r="22" customFormat="false" ht="15" hidden="false" customHeight="true" outlineLevel="0" collapsed="false">
      <c r="B22" s="1" t="s">
        <v>4143</v>
      </c>
      <c r="C22" s="94"/>
      <c r="D22" s="139"/>
      <c r="E22" s="139"/>
      <c r="F22" s="140"/>
    </row>
    <row r="23" customFormat="false" ht="15" hidden="false" customHeight="true" outlineLevel="0" collapsed="false">
      <c r="B23" s="1" t="s">
        <v>4144</v>
      </c>
      <c r="C23" s="94"/>
      <c r="D23" s="139"/>
      <c r="E23" s="139"/>
      <c r="F23" s="140"/>
    </row>
    <row r="24" customFormat="false" ht="15" hidden="false" customHeight="true" outlineLevel="0" collapsed="false">
      <c r="B24" s="1" t="s">
        <v>4145</v>
      </c>
      <c r="C24" s="94"/>
      <c r="D24" s="139"/>
      <c r="E24" s="139"/>
      <c r="F24" s="140"/>
    </row>
    <row r="25" customFormat="false" ht="15" hidden="false" customHeight="true" outlineLevel="0" collapsed="false">
      <c r="B25" s="1" t="s">
        <v>4146</v>
      </c>
      <c r="C25" s="94"/>
      <c r="D25" s="139"/>
      <c r="E25" s="139"/>
      <c r="F25" s="140"/>
    </row>
    <row r="26" customFormat="false" ht="15" hidden="false" customHeight="true" outlineLevel="0" collapsed="false">
      <c r="B26" s="1" t="s">
        <v>4147</v>
      </c>
      <c r="C26" s="94"/>
      <c r="D26" s="139"/>
      <c r="E26" s="139"/>
      <c r="F26" s="140"/>
    </row>
    <row r="27" customFormat="false" ht="15" hidden="false" customHeight="true" outlineLevel="0" collapsed="false">
      <c r="B27" s="1" t="s">
        <v>4148</v>
      </c>
      <c r="C27" s="94"/>
      <c r="D27" s="139"/>
      <c r="E27" s="139"/>
      <c r="F27" s="140"/>
    </row>
    <row r="28" customFormat="false" ht="15" hidden="false" customHeight="true" outlineLevel="0" collapsed="false">
      <c r="B28" s="1" t="s">
        <v>4149</v>
      </c>
      <c r="C28" s="94"/>
      <c r="D28" s="139"/>
      <c r="E28" s="139"/>
      <c r="F28" s="140"/>
    </row>
    <row r="30" customFormat="false" ht="15" hidden="false" customHeight="true" outlineLevel="0" collapsed="false">
      <c r="B30" s="1" t="s">
        <v>4150</v>
      </c>
      <c r="D30" s="141" t="n">
        <f aca="false">SUM(D21:D28)</f>
        <v>0</v>
      </c>
    </row>
    <row r="31" customFormat="false" ht="15" hidden="false" customHeight="true" outlineLevel="0" collapsed="false">
      <c r="B31" s="1" t="s">
        <v>4151</v>
      </c>
      <c r="D31" s="141" t="n">
        <f aca="false">SUM(E21:E28)</f>
        <v>0</v>
      </c>
    </row>
    <row r="32" customFormat="false" ht="15" hidden="false" customHeight="true" outlineLevel="0" collapsed="false">
      <c r="B32" s="1" t="s">
        <v>4152</v>
      </c>
      <c r="D32" s="141" t="n">
        <f aca="false">Cards_Owed_Total+Loans_Owed_Total</f>
        <v>0</v>
      </c>
    </row>
    <row r="33" customFormat="false" ht="15" hidden="false" customHeight="true" outlineLevel="0" collapsed="false">
      <c r="B33" s="1" t="s">
        <v>4153</v>
      </c>
      <c r="D33" s="141" t="n">
        <f aca="false">Cards_Pay_Total+Loans_Pay_Total</f>
        <v>0</v>
      </c>
    </row>
    <row r="34" customFormat="false" ht="15" hidden="false" customHeight="true" outlineLevel="0" collapsed="false">
      <c r="B34" s="1" t="s">
        <v>4154</v>
      </c>
      <c r="D34" s="142" t="str">
        <f aca="false">IF(COUNT(F21:F28)=0,"",SUMPRODUCT(F21:F28,(D21:D28&gt;0)*D21:D28+(1-(D21:D28&gt;0)))/SUMPRODUCT((F21:F28&lt;&gt;"")*((D21:D28&gt;0)*D21:D28+(1-(D21:D28&gt;0)))))</f>
        <v/>
      </c>
    </row>
    <row r="35" customFormat="false" ht="15" hidden="false" customHeight="true" outlineLevel="0" collapsed="false">
      <c r="B35" s="113" t="s">
        <v>1160</v>
      </c>
    </row>
    <row r="36" customFormat="false" ht="27.75" hidden="false" customHeight="true" outlineLevel="0" collapsed="false">
      <c r="B36" s="138" t="s">
        <v>4155</v>
      </c>
      <c r="C36" s="138" t="s">
        <v>4156</v>
      </c>
      <c r="D36" s="138" t="s">
        <v>4157</v>
      </c>
      <c r="E36" s="138" t="s">
        <v>4158</v>
      </c>
      <c r="F36" s="138" t="s">
        <v>4159</v>
      </c>
      <c r="G36" s="138" t="s">
        <v>4160</v>
      </c>
    </row>
    <row r="37" customFormat="false" ht="15" hidden="false" customHeight="true" outlineLevel="0" collapsed="false">
      <c r="B37" s="1" t="s">
        <v>4161</v>
      </c>
      <c r="C37" s="94"/>
      <c r="D37" s="139"/>
      <c r="E37" s="139"/>
      <c r="F37" s="139"/>
      <c r="G37" s="143" t="str">
        <f aca="false">IF(E37="","",IF(E37&gt;0,IF(F37&lt;&gt;"",MIN(F37,E37),E37*AS_OwnShare),0))</f>
        <v/>
      </c>
    </row>
    <row r="38" customFormat="false" ht="15" hidden="false" customHeight="true" outlineLevel="0" collapsed="false">
      <c r="B38" s="1" t="s">
        <v>4162</v>
      </c>
      <c r="C38" s="94"/>
      <c r="D38" s="139"/>
      <c r="E38" s="139"/>
      <c r="F38" s="139"/>
      <c r="G38" s="143" t="str">
        <f aca="false">IF(E38="","",IF(E38&gt;0,IF(F38&lt;&gt;"",MIN(F38,E38),E38*AS_OwnShare),0))</f>
        <v/>
      </c>
    </row>
    <row r="39" customFormat="false" ht="15" hidden="false" customHeight="true" outlineLevel="0" collapsed="false">
      <c r="B39" s="1" t="s">
        <v>4163</v>
      </c>
      <c r="C39" s="94"/>
      <c r="D39" s="139"/>
      <c r="E39" s="139"/>
      <c r="F39" s="139"/>
      <c r="G39" s="143" t="str">
        <f aca="false">IF(E39="","",IF(E39&gt;0,IF(F39&lt;&gt;"",MIN(F39,E39),E39*AS_OwnShare),0))</f>
        <v/>
      </c>
    </row>
    <row r="40" customFormat="false" ht="15" hidden="false" customHeight="true" outlineLevel="0" collapsed="false">
      <c r="B40" s="1" t="s">
        <v>4164</v>
      </c>
      <c r="C40" s="94"/>
      <c r="D40" s="139"/>
      <c r="E40" s="139"/>
      <c r="F40" s="139"/>
      <c r="G40" s="143" t="str">
        <f aca="false">IF(E40="","",IF(E40&gt;0,IF(F40&lt;&gt;"",MIN(F40,E40),E40*AS_OwnShare),0))</f>
        <v/>
      </c>
    </row>
    <row r="41" customFormat="false" ht="15" hidden="false" customHeight="true" outlineLevel="0" collapsed="false">
      <c r="B41" s="1" t="s">
        <v>4165</v>
      </c>
      <c r="C41" s="94"/>
      <c r="D41" s="139"/>
      <c r="E41" s="139"/>
      <c r="F41" s="139"/>
      <c r="G41" s="143" t="str">
        <f aca="false">IF(E41="","",IF(E41&gt;0,IF(F41&lt;&gt;"",MIN(F41,E41),E41*AS_OwnShare),0))</f>
        <v/>
      </c>
    </row>
    <row r="42" customFormat="false" ht="15" hidden="false" customHeight="true" outlineLevel="0" collapsed="false">
      <c r="B42" s="1" t="s">
        <v>4166</v>
      </c>
      <c r="C42" s="94"/>
      <c r="D42" s="139"/>
      <c r="E42" s="139"/>
      <c r="F42" s="139"/>
      <c r="G42" s="143" t="str">
        <f aca="false">IF(E42="","",IF(E42&gt;0,IF(F42&lt;&gt;"",MIN(F42,E42),E42*AS_OwnShare),0))</f>
        <v/>
      </c>
    </row>
    <row r="43" customFormat="false" ht="15" hidden="false" customHeight="true" outlineLevel="0" collapsed="false">
      <c r="B43" s="1" t="s">
        <v>4167</v>
      </c>
      <c r="C43" s="94"/>
      <c r="D43" s="139"/>
      <c r="E43" s="139"/>
      <c r="F43" s="139"/>
      <c r="G43" s="143" t="str">
        <f aca="false">IF(E43="","",IF(E43&gt;0,IF(F43&lt;&gt;"",MIN(F43,E43),E43*AS_OwnShare),0))</f>
        <v/>
      </c>
    </row>
    <row r="44" customFormat="false" ht="15" hidden="false" customHeight="true" outlineLevel="0" collapsed="false">
      <c r="B44" s="1" t="s">
        <v>4168</v>
      </c>
      <c r="C44" s="94"/>
      <c r="D44" s="139"/>
      <c r="E44" s="139"/>
      <c r="F44" s="139"/>
      <c r="G44" s="143" t="str">
        <f aca="false">IF(E44="","",IF(E44&gt;0,IF(F44&lt;&gt;"",MIN(F44,E44),E44*AS_OwnShare),0))</f>
        <v/>
      </c>
    </row>
    <row r="46" customFormat="false" ht="15" hidden="false" customHeight="true" outlineLevel="0" collapsed="false">
      <c r="B46" s="1" t="s">
        <v>4169</v>
      </c>
      <c r="D46" s="141" t="n">
        <f aca="false">SUM(D37:D44)</f>
        <v>0</v>
      </c>
    </row>
    <row r="47" customFormat="false" ht="15" hidden="false" customHeight="true" outlineLevel="0" collapsed="false">
      <c r="B47" s="1" t="s">
        <v>4170</v>
      </c>
      <c r="D47" s="141" t="n">
        <f aca="false">SUM(E37:E44)</f>
        <v>0</v>
      </c>
    </row>
    <row r="48" customFormat="false" ht="15" hidden="false" customHeight="true" outlineLevel="0" collapsed="false">
      <c r="B48" s="1" t="s">
        <v>4171</v>
      </c>
      <c r="D48" s="141" t="n">
        <f aca="false">SUM(G37:G44)</f>
        <v>0</v>
      </c>
    </row>
    <row r="49" customFormat="false" ht="15" hidden="false" customHeight="true" outlineLevel="0" collapsed="false">
      <c r="B49" s="1" t="s">
        <v>4172</v>
      </c>
      <c r="D49" s="95" t="n">
        <f aca="false">IF(AND(SUMPRODUCT((E37:E44&gt;0)*ISNUMBER(F37:F44))&gt;0,OR(SUMPRODUCT(--(E37:E44&gt;0))=SUMPRODUCT((E37:E44&gt;0)*ISNUMBER(F37:F44)),Has_a_ownShare=1)),1,0)</f>
        <v>0</v>
      </c>
    </row>
    <row r="50" customFormat="false" ht="15" hidden="false" customHeight="true" outlineLevel="0" collapsed="false">
      <c r="B50" s="113" t="s">
        <v>4173</v>
      </c>
    </row>
    <row r="51" customFormat="false" ht="15" hidden="false" customHeight="true" outlineLevel="0" collapsed="false">
      <c r="B51" s="93" t="s">
        <v>4174</v>
      </c>
      <c r="C51" s="93" t="s">
        <v>4175</v>
      </c>
      <c r="D51" s="93" t="s">
        <v>4176</v>
      </c>
    </row>
    <row r="52" customFormat="false" ht="15" hidden="false" customHeight="true" outlineLevel="0" collapsed="false">
      <c r="B52" s="1" t="s">
        <v>4177</v>
      </c>
      <c r="C52" s="139"/>
      <c r="D52" s="94"/>
    </row>
    <row r="53" customFormat="false" ht="15" hidden="false" customHeight="true" outlineLevel="0" collapsed="false">
      <c r="B53" s="1" t="s">
        <v>4178</v>
      </c>
      <c r="C53" s="139"/>
      <c r="D53" s="94"/>
    </row>
    <row r="54" customFormat="false" ht="15" hidden="false" customHeight="true" outlineLevel="0" collapsed="false">
      <c r="B54" s="1" t="s">
        <v>4179</v>
      </c>
      <c r="C54" s="139"/>
      <c r="D54" s="94"/>
    </row>
    <row r="55" customFormat="false" ht="15" hidden="false" customHeight="true" outlineLevel="0" collapsed="false">
      <c r="B55" s="1" t="s">
        <v>4180</v>
      </c>
      <c r="C55" s="139"/>
      <c r="D55" s="94"/>
    </row>
    <row r="56" customFormat="false" ht="15" hidden="false" customHeight="true" outlineLevel="0" collapsed="false">
      <c r="B56" s="1" t="s">
        <v>4181</v>
      </c>
      <c r="D56" s="141" t="n">
        <f aca="false">SUM(C52:C55)</f>
        <v>0</v>
      </c>
    </row>
    <row r="57" customFormat="false" ht="15" hidden="false" customHeight="true" outlineLevel="0" collapsed="false">
      <c r="B57" s="93" t="s">
        <v>4174</v>
      </c>
      <c r="C57" s="93" t="s">
        <v>4182</v>
      </c>
      <c r="D57" s="93" t="s">
        <v>4183</v>
      </c>
    </row>
    <row r="58" customFormat="false" ht="15" hidden="false" customHeight="true" outlineLevel="0" collapsed="false">
      <c r="B58" s="1" t="s">
        <v>4184</v>
      </c>
      <c r="C58" s="139"/>
      <c r="D58" s="94"/>
    </row>
    <row r="59" customFormat="false" ht="15" hidden="false" customHeight="true" outlineLevel="0" collapsed="false">
      <c r="B59" s="1" t="s">
        <v>4185</v>
      </c>
      <c r="C59" s="139"/>
      <c r="D59" s="94"/>
    </row>
    <row r="60" customFormat="false" ht="15" hidden="false" customHeight="true" outlineLevel="0" collapsed="false">
      <c r="B60" s="1" t="s">
        <v>4186</v>
      </c>
      <c r="C60" s="139"/>
      <c r="D60" s="94"/>
    </row>
    <row r="61" customFormat="false" ht="15" hidden="false" customHeight="true" outlineLevel="0" collapsed="false">
      <c r="B61" s="1" t="s">
        <v>4187</v>
      </c>
      <c r="C61" s="139"/>
      <c r="D61" s="94"/>
    </row>
    <row r="62" customFormat="false" ht="15" hidden="false" customHeight="true" outlineLevel="0" collapsed="false">
      <c r="B62" s="1" t="s">
        <v>4188</v>
      </c>
      <c r="D62" s="141" t="n">
        <f aca="false">SUMPRODUCT((C58:C61&lt;&gt;"")*C58:C61)+IF(N('C21 Life cover'!$G$11)&gt;0,SUMPRODUCT((C58:C61="")*D58:D61)*N('C21 Life cover'!$G$11),0)</f>
        <v>0</v>
      </c>
    </row>
    <row r="63" customFormat="false" ht="15" hidden="false" customHeight="true" outlineLevel="0" collapsed="false">
      <c r="B63" s="1" t="s">
        <v>4189</v>
      </c>
      <c r="D63" s="141" t="n">
        <f aca="false">Cover_Life_Total+Cover_Work_Total</f>
        <v>0</v>
      </c>
    </row>
    <row r="64" customFormat="false" ht="15" hidden="false" customHeight="true" outlineLevel="0" collapsed="false">
      <c r="B64" s="93" t="s">
        <v>4174</v>
      </c>
      <c r="C64" s="93" t="s">
        <v>4190</v>
      </c>
      <c r="D64" s="93" t="s">
        <v>4176</v>
      </c>
    </row>
    <row r="65" customFormat="false" ht="15" hidden="false" customHeight="true" outlineLevel="0" collapsed="false">
      <c r="B65" s="1" t="s">
        <v>4191</v>
      </c>
      <c r="C65" s="139"/>
      <c r="D65" s="94"/>
    </row>
    <row r="66" customFormat="false" ht="15" hidden="false" customHeight="true" outlineLevel="0" collapsed="false">
      <c r="B66" s="1" t="s">
        <v>4192</v>
      </c>
      <c r="C66" s="139"/>
      <c r="D66" s="94"/>
    </row>
    <row r="67" customFormat="false" ht="15" hidden="false" customHeight="true" outlineLevel="0" collapsed="false">
      <c r="B67" s="1" t="s">
        <v>4193</v>
      </c>
      <c r="C67" s="139"/>
      <c r="D67" s="94"/>
    </row>
    <row r="68" customFormat="false" ht="15" hidden="false" customHeight="true" outlineLevel="0" collapsed="false">
      <c r="B68" s="1" t="s">
        <v>4194</v>
      </c>
      <c r="C68" s="139"/>
      <c r="D68" s="94"/>
    </row>
    <row r="69" customFormat="false" ht="15" hidden="false" customHeight="true" outlineLevel="0" collapsed="false">
      <c r="B69" s="1" t="s">
        <v>4195</v>
      </c>
      <c r="D69" s="141" t="n">
        <f aca="false">SUM(C65:C68)</f>
        <v>0</v>
      </c>
    </row>
    <row r="70" customFormat="false" ht="15" hidden="false" customHeight="true" outlineLevel="0" collapsed="false">
      <c r="B70" s="93" t="s">
        <v>4174</v>
      </c>
      <c r="C70" s="93" t="s">
        <v>4175</v>
      </c>
      <c r="D70" s="93" t="s">
        <v>4176</v>
      </c>
    </row>
    <row r="71" customFormat="false" ht="15" hidden="false" customHeight="true" outlineLevel="0" collapsed="false">
      <c r="B71" s="1" t="s">
        <v>4196</v>
      </c>
      <c r="C71" s="139"/>
      <c r="D71" s="94"/>
    </row>
    <row r="72" customFormat="false" ht="15" hidden="false" customHeight="true" outlineLevel="0" collapsed="false">
      <c r="B72" s="1" t="s">
        <v>4197</v>
      </c>
      <c r="C72" s="139"/>
      <c r="D72" s="94"/>
    </row>
    <row r="73" customFormat="false" ht="15" hidden="false" customHeight="true" outlineLevel="0" collapsed="false">
      <c r="B73" s="1" t="s">
        <v>4198</v>
      </c>
      <c r="C73" s="139"/>
      <c r="D73" s="94"/>
    </row>
    <row r="74" customFormat="false" ht="15" hidden="false" customHeight="true" outlineLevel="0" collapsed="false">
      <c r="B74" s="1" t="s">
        <v>4199</v>
      </c>
      <c r="C74" s="139"/>
      <c r="D74" s="94"/>
    </row>
    <row r="75" customFormat="false" ht="15" hidden="false" customHeight="true" outlineLevel="0" collapsed="false">
      <c r="B75" s="1" t="s">
        <v>4200</v>
      </c>
      <c r="D75" s="141" t="n">
        <f aca="false">SUM(C71:C74)</f>
        <v>0</v>
      </c>
    </row>
    <row r="76" customFormat="false" ht="15" hidden="false" customHeight="true" outlineLevel="0" collapsed="false">
      <c r="B76" s="93" t="s">
        <v>3472</v>
      </c>
      <c r="C76" s="93" t="s">
        <v>4201</v>
      </c>
    </row>
    <row r="77" customFormat="false" ht="15" hidden="false" customHeight="true" outlineLevel="0" collapsed="false">
      <c r="B77" s="1" t="s">
        <v>4202</v>
      </c>
      <c r="C77" s="139"/>
    </row>
    <row r="78" customFormat="false" ht="15" hidden="false" customHeight="true" outlineLevel="0" collapsed="false">
      <c r="B78" s="1" t="s">
        <v>4203</v>
      </c>
      <c r="C78" s="139"/>
    </row>
    <row r="79" customFormat="false" ht="15" hidden="false" customHeight="true" outlineLevel="0" collapsed="false">
      <c r="B79" s="1" t="s">
        <v>4204</v>
      </c>
      <c r="C79" s="139"/>
    </row>
    <row r="80" customFormat="false" ht="15" hidden="false" customHeight="true" outlineLevel="0" collapsed="false">
      <c r="B80" s="1" t="s">
        <v>4205</v>
      </c>
      <c r="C80" s="139"/>
    </row>
    <row r="81" customFormat="false" ht="15" hidden="false" customHeight="true" outlineLevel="0" collapsed="false">
      <c r="B81" s="1" t="s">
        <v>4206</v>
      </c>
      <c r="D81" s="141" t="n">
        <f aca="false">SUM(C77:C80)</f>
        <v>0</v>
      </c>
    </row>
    <row r="84" customFormat="false" ht="15" hidden="false" customHeight="true" outlineLevel="0" collapsed="false">
      <c r="B84" s="113" t="s">
        <v>4207</v>
      </c>
    </row>
    <row r="85" customFormat="false" ht="54.75" hidden="false" customHeight="true" outlineLevel="0" collapsed="false">
      <c r="B85" s="138" t="s">
        <v>529</v>
      </c>
      <c r="C85" s="138" t="s">
        <v>4125</v>
      </c>
      <c r="D85" s="138" t="s">
        <v>4208</v>
      </c>
      <c r="E85" s="138" t="s">
        <v>4127</v>
      </c>
      <c r="F85" s="138" t="s">
        <v>416</v>
      </c>
      <c r="G85" s="138" t="s">
        <v>4209</v>
      </c>
      <c r="H85" s="138" t="s">
        <v>4210</v>
      </c>
      <c r="I85" s="138" t="s">
        <v>4211</v>
      </c>
    </row>
    <row r="86" customFormat="false" ht="15" hidden="false" customHeight="true" outlineLevel="0" collapsed="false">
      <c r="B86" s="1" t="s">
        <v>4212</v>
      </c>
      <c r="C86" s="94"/>
      <c r="D86" s="139"/>
      <c r="E86" s="139"/>
      <c r="F86" s="94"/>
      <c r="G86" s="94"/>
      <c r="H86" s="144" t="n">
        <f aca="false">IF(N(G86)&gt;0,G86,AS_MortRate)</f>
        <v>0.0348</v>
      </c>
      <c r="I86" s="143" t="n">
        <f aca="false">IF(N(D86)&gt;0,IF(N(E86)&gt;0,E86,IF(H86/12&lt;&gt;0,D86*(H86/12)/(1-(1+H86/12)^-MAX(1,ROUND(IF(N(F86)&gt;0,F86,PR_FbMortYears)*12,0))),D86/MAX(1,ROUND(IF(N(F86)&gt;0,F86,PR_FbMortYears)*12,0)))),0)</f>
        <v>0</v>
      </c>
    </row>
    <row r="87" customFormat="false" ht="15" hidden="false" customHeight="true" outlineLevel="0" collapsed="false">
      <c r="B87" s="1" t="s">
        <v>4213</v>
      </c>
      <c r="C87" s="94"/>
      <c r="D87" s="139"/>
      <c r="E87" s="139"/>
      <c r="F87" s="94"/>
      <c r="G87" s="94"/>
      <c r="H87" s="144" t="n">
        <f aca="false">IF(N(G87)&gt;0,G87,AS_MortRate)</f>
        <v>0.0348</v>
      </c>
      <c r="I87" s="143" t="n">
        <f aca="false">IF(N(D87)&gt;0,IF(N(E87)&gt;0,E87,IF(H87/12&lt;&gt;0,D87*(H87/12)/(1-(1+H87/12)^-MAX(1,ROUND(IF(N(F87)&gt;0,F87,PR_FbMortYears)*12,0))),D87/MAX(1,ROUND(IF(N(F87)&gt;0,F87,PR_FbMortYears)*12,0)))),0)</f>
        <v>0</v>
      </c>
    </row>
    <row r="88" customFormat="false" ht="15" hidden="false" customHeight="true" outlineLevel="0" collapsed="false">
      <c r="B88" s="1" t="s">
        <v>4214</v>
      </c>
      <c r="C88" s="94"/>
      <c r="D88" s="139"/>
      <c r="E88" s="139"/>
      <c r="F88" s="94"/>
      <c r="G88" s="94"/>
      <c r="H88" s="144" t="n">
        <f aca="false">IF(N(G88)&gt;0,G88,AS_MortRate)</f>
        <v>0.0348</v>
      </c>
      <c r="I88" s="143" t="n">
        <f aca="false">IF(N(D88)&gt;0,IF(N(E88)&gt;0,E88,IF(H88/12&lt;&gt;0,D88*(H88/12)/(1-(1+H88/12)^-MAX(1,ROUND(IF(N(F88)&gt;0,F88,PR_FbMortYears)*12,0))),D88/MAX(1,ROUND(IF(N(F88)&gt;0,F88,PR_FbMortYears)*12,0)))),0)</f>
        <v>0</v>
      </c>
    </row>
    <row r="89" customFormat="false" ht="15" hidden="false" customHeight="true" outlineLevel="0" collapsed="false">
      <c r="B89" s="1" t="s">
        <v>4215</v>
      </c>
      <c r="C89" s="94"/>
      <c r="D89" s="139"/>
      <c r="E89" s="139"/>
      <c r="F89" s="94"/>
      <c r="G89" s="94"/>
      <c r="H89" s="144" t="n">
        <f aca="false">IF(N(G89)&gt;0,G89,AS_MortRate)</f>
        <v>0.0348</v>
      </c>
      <c r="I89" s="143" t="n">
        <f aca="false">IF(N(D89)&gt;0,IF(N(E89)&gt;0,E89,IF(H89/12&lt;&gt;0,D89*(H89/12)/(1-(1+H89/12)^-MAX(1,ROUND(IF(N(F89)&gt;0,F89,PR_FbMortYears)*12,0))),D89/MAX(1,ROUND(IF(N(F89)&gt;0,F89,PR_FbMortYears)*12,0)))),0)</f>
        <v>0</v>
      </c>
    </row>
    <row r="90" customFormat="false" ht="15" hidden="false" customHeight="true" outlineLevel="0" collapsed="false">
      <c r="B90" s="1" t="s">
        <v>4216</v>
      </c>
      <c r="D90" s="95" t="n">
        <f aca="false">SUMIF(D86:D89,"&gt;0")</f>
        <v>0</v>
      </c>
    </row>
    <row r="91" customFormat="false" ht="15" hidden="false" customHeight="true" outlineLevel="0" collapsed="false">
      <c r="B91" s="1" t="s">
        <v>4217</v>
      </c>
      <c r="D91" s="95" t="n">
        <f aca="false">SUM(I86:I89)</f>
        <v>0</v>
      </c>
    </row>
    <row r="92" customFormat="false" ht="15" hidden="false" customHeight="true" outlineLevel="0" collapsed="false">
      <c r="B92" s="1" t="s">
        <v>4218</v>
      </c>
      <c r="D92" s="145" t="n">
        <f aca="false">IF(D90&gt;0,SUMPRODUCT((D86:D89&gt;0)*D86:D89*H86:H89)/D90,0)</f>
        <v>0</v>
      </c>
    </row>
    <row r="93" customFormat="false" ht="15" hidden="false" customHeight="true" outlineLevel="0" collapsed="false">
      <c r="B93" s="1" t="s">
        <v>4219</v>
      </c>
      <c r="D93" s="95" t="n">
        <f aca="false">IF(SUMPRODUCT((N(+D86:D89)&gt;0)*(N(+E86:E89)&lt;=0)*(N(+F86:F89)&lt;=0))&gt;0,1,0)</f>
        <v>0</v>
      </c>
    </row>
    <row r="94" customFormat="false" ht="15" hidden="false" customHeight="true" outlineLevel="0" collapsed="false">
      <c r="B94" s="1" t="s">
        <v>4220</v>
      </c>
      <c r="D94" s="95" t="n">
        <f aca="false">IF(SUMPRODUCT((N(+D86:D89)&gt;0)*(N(+G86:G89)&lt;=0))&gt;0,1,0)</f>
        <v>0</v>
      </c>
    </row>
  </sheetData>
  <mergeCells count="1">
    <mergeCell ref="B2:G2"/>
  </mergeCells>
  <dataValidations count="1">
    <dataValidation allowBlank="true" error="Enter a number of 0 or more (or leave blank)." errorStyle="stop" operator="greaterThanOrEqual" showDropDown="false" showErrorMessage="true" showInputMessage="false" sqref="D6:F13 D21:F28 D37:F44 C52:D55 C58:D61 C65:D68 C71:D74 C77:C80"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B1:M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62"/>
    <col collapsed="false" customWidth="true" hidden="false" outlineLevel="0" max="3" min="3" style="1" width="14"/>
    <col collapsed="false" customWidth="true" hidden="false" outlineLevel="0" max="5" min="4" style="1" width="10"/>
    <col collapsed="false" customWidth="true" hidden="false" outlineLevel="0" max="6" min="6" style="1" width="12"/>
    <col collapsed="false" customWidth="true" hidden="false" outlineLevel="0" max="7" min="7" style="1" width="50"/>
    <col collapsed="false" customWidth="true" hidden="false" outlineLevel="0" max="8" min="8" style="1" width="48"/>
    <col collapsed="false" customWidth="true" hidden="false" outlineLevel="0" max="9" min="9" style="1" width="16"/>
    <col collapsed="false" customWidth="true" hidden="false" outlineLevel="0" max="10" min="10" style="1" width="50"/>
    <col collapsed="false" customWidth="true" hidden="false" outlineLevel="0" max="11" min="11" style="1" width="24"/>
    <col collapsed="false" customWidth="true" hidden="false" outlineLevel="0" max="12" min="12" style="1" width="34"/>
    <col collapsed="false" customWidth="true" hidden="false" outlineLevel="0" max="13" min="13" style="1" width="26"/>
  </cols>
  <sheetData>
    <row r="1" customFormat="false" ht="17.25" hidden="false" customHeight="true" outlineLevel="0" collapsed="false">
      <c r="B1" s="90" t="s">
        <v>4221</v>
      </c>
    </row>
    <row r="2" customFormat="false" ht="75" hidden="false" customHeight="true" outlineLevel="0" collapsed="false">
      <c r="B2" s="91" t="s">
        <v>4222</v>
      </c>
      <c r="C2" s="91"/>
      <c r="D2" s="91"/>
      <c r="E2" s="91"/>
      <c r="F2" s="91"/>
      <c r="G2" s="91"/>
      <c r="H2" s="91"/>
      <c r="I2" s="91"/>
      <c r="J2" s="91"/>
      <c r="K2" s="91"/>
    </row>
    <row r="3" customFormat="false" ht="15" hidden="false" customHeight="true" outlineLevel="0" collapsed="false">
      <c r="B3" s="23" t="s">
        <v>4223</v>
      </c>
    </row>
    <row r="4" customFormat="false" ht="15" hidden="false" customHeight="true" outlineLevel="0" collapsed="false">
      <c r="B4" s="113" t="s">
        <v>4224</v>
      </c>
      <c r="C4" s="94"/>
    </row>
    <row r="6" customFormat="false" ht="81.75" hidden="false" customHeight="true" outlineLevel="0" collapsed="false">
      <c r="B6" s="100" t="s">
        <v>4225</v>
      </c>
      <c r="C6" s="100" t="s">
        <v>4226</v>
      </c>
      <c r="D6" s="100" t="s">
        <v>4227</v>
      </c>
      <c r="E6" s="100" t="s">
        <v>4228</v>
      </c>
      <c r="F6" s="100" t="s">
        <v>4229</v>
      </c>
      <c r="G6" s="100" t="s">
        <v>4230</v>
      </c>
      <c r="H6" s="100" t="s">
        <v>4231</v>
      </c>
      <c r="I6" s="100" t="s">
        <v>4232</v>
      </c>
      <c r="J6" s="100" t="s">
        <v>4233</v>
      </c>
      <c r="K6" s="100" t="s">
        <v>4234</v>
      </c>
      <c r="L6" s="93" t="s">
        <v>4235</v>
      </c>
      <c r="M6" s="93" t="s">
        <v>4236</v>
      </c>
    </row>
    <row r="7" customFormat="false" ht="15" hidden="false" customHeight="true" outlineLevel="0" collapsed="false">
      <c r="B7" s="146" t="s">
        <v>4237</v>
      </c>
    </row>
    <row r="8" customFormat="false" ht="15" hidden="false" customHeight="true" outlineLevel="0" collapsed="false">
      <c r="B8" s="1" t="s">
        <v>4238</v>
      </c>
      <c r="C8" s="140" t="n">
        <v>0.02</v>
      </c>
      <c r="G8" s="94" t="s">
        <v>4239</v>
      </c>
      <c r="H8" s="23" t="s">
        <v>4240</v>
      </c>
      <c r="I8" s="23" t="s">
        <v>4241</v>
      </c>
      <c r="J8" s="23"/>
      <c r="K8" s="23" t="s">
        <v>4242</v>
      </c>
    </row>
    <row r="9" customFormat="false" ht="15" hidden="false" customHeight="true" outlineLevel="0" collapsed="false">
      <c r="B9" s="1" t="s">
        <v>4243</v>
      </c>
      <c r="C9" s="140" t="n">
        <v>0.03</v>
      </c>
      <c r="F9" s="140" t="n">
        <v>0.025</v>
      </c>
      <c r="G9" s="94" t="s">
        <v>4244</v>
      </c>
      <c r="H9" s="23" t="s">
        <v>4245</v>
      </c>
      <c r="I9" s="23" t="s">
        <v>4246</v>
      </c>
      <c r="J9" s="23" t="s">
        <v>4247</v>
      </c>
      <c r="K9" s="23" t="s">
        <v>4242</v>
      </c>
    </row>
    <row r="10" customFormat="false" ht="15" hidden="false" customHeight="true" outlineLevel="0" collapsed="false">
      <c r="B10" s="1" t="s">
        <v>4248</v>
      </c>
      <c r="C10" s="140" t="n">
        <v>0.01</v>
      </c>
      <c r="F10" s="140" t="n">
        <v>0.007</v>
      </c>
      <c r="G10" s="94" t="s">
        <v>4249</v>
      </c>
      <c r="H10" s="23" t="s">
        <v>4250</v>
      </c>
      <c r="I10" s="23" t="s">
        <v>4251</v>
      </c>
      <c r="J10" s="23"/>
      <c r="K10" s="23" t="s">
        <v>4242</v>
      </c>
    </row>
    <row r="11" customFormat="false" ht="15" hidden="false" customHeight="true" outlineLevel="0" collapsed="false">
      <c r="B11" s="1" t="s">
        <v>4252</v>
      </c>
      <c r="C11" s="147" t="n">
        <f aca="false">ROUND(((1+Set_invGross-IF(ISNUMBER(Suggest_Fund_Charges),Suggest_Fund_Charges,0.01))^Deemed_Disposal_Years-Exit_Tax*((1+Set_invGross-IF(ISNUMBER(Suggest_Fund_Charges),Suggest_Fund_Charges,0.01))^Deemed_Disposal_Years-1))^(1/Deemed_Disposal_Years)-1,3)</f>
        <v>0.026</v>
      </c>
      <c r="F11" s="147" t="n">
        <f aca="false">ROUND(((1+Set_invGross-0.01-IF(ISNUMBER(Suggest_Fund_Charges),Suggest_Fund_Charges,0.01))^Deemed_Disposal_Years-Exit_Tax*((1+Set_invGross-0.01-IF(ISNUMBER(Suggest_Fund_Charges),Suggest_Fund_Charges,0.01))^Deemed_Disposal_Years-1))^(1/Deemed_Disposal_Years)-1,3)</f>
        <v>0.019</v>
      </c>
      <c r="G11" s="94" t="str">
        <f aca="false">"a planning assumption, not a prediction: "&amp;ROUND(Set_invGross*1000,0)/10&amp;"% before fees and tax, less about "&amp;ROUND(IF(ISNUMBER(Suggest_Fund_Charges),Suggest_Fund_Charges,0.01)*1000,0)/10&amp;"% charges, less "&amp;ROUND(Exit_Tax*100,0)&amp;"% exit tax taken every "&amp;Deemed_Disposal_Years&amp;" years"</f>
        <v>a planning assumption, not a prediction: 5% before fees and tax, less about 1% charges, less 38% exit tax taken every 8 years</v>
      </c>
      <c r="H11" s="23" t="s">
        <v>4253</v>
      </c>
      <c r="I11" s="23" t="s">
        <v>4246</v>
      </c>
      <c r="J11" s="23" t="s">
        <v>4254</v>
      </c>
      <c r="K11" s="23" t="s">
        <v>4242</v>
      </c>
    </row>
    <row r="12" customFormat="false" ht="15" hidden="false" customHeight="true" outlineLevel="0" collapsed="false">
      <c r="B12" s="1" t="s">
        <v>4255</v>
      </c>
      <c r="C12" s="140" t="n">
        <v>0.05</v>
      </c>
      <c r="G12" s="94" t="s">
        <v>4256</v>
      </c>
      <c r="H12" s="23" t="s">
        <v>4257</v>
      </c>
      <c r="I12" s="23" t="s">
        <v>4246</v>
      </c>
      <c r="J12" s="23" t="s">
        <v>4258</v>
      </c>
      <c r="K12" s="23" t="s">
        <v>4242</v>
      </c>
    </row>
    <row r="13" customFormat="false" ht="15" hidden="false" customHeight="true" outlineLevel="0" collapsed="false">
      <c r="B13" s="1" t="s">
        <v>4259</v>
      </c>
      <c r="C13" s="140" t="n">
        <v>0.045</v>
      </c>
      <c r="F13" s="140" t="n">
        <v>0.04</v>
      </c>
      <c r="G13" s="94" t="s">
        <v>4260</v>
      </c>
      <c r="H13" s="23" t="s">
        <v>4261</v>
      </c>
      <c r="I13" s="23" t="s">
        <v>4246</v>
      </c>
      <c r="J13" s="23" t="s">
        <v>4262</v>
      </c>
      <c r="K13" s="23" t="s">
        <v>4242</v>
      </c>
    </row>
    <row r="14" customFormat="false" ht="15" hidden="false" customHeight="true" outlineLevel="0" collapsed="false">
      <c r="B14" s="1" t="s">
        <v>4263</v>
      </c>
      <c r="C14" s="140" t="n">
        <v>0.0315</v>
      </c>
      <c r="F14" s="140" t="n">
        <v>0.028</v>
      </c>
      <c r="G14" s="94" t="s">
        <v>4264</v>
      </c>
      <c r="H14" s="23" t="s">
        <v>4261</v>
      </c>
      <c r="I14" s="23" t="s">
        <v>4246</v>
      </c>
      <c r="J14" s="23" t="s">
        <v>4265</v>
      </c>
      <c r="K14" s="23" t="s">
        <v>4242</v>
      </c>
    </row>
    <row r="15" customFormat="false" ht="15" hidden="false" customHeight="true" outlineLevel="0" collapsed="false">
      <c r="B15" s="146" t="s">
        <v>3387</v>
      </c>
    </row>
    <row r="16" customFormat="false" ht="15" hidden="false" customHeight="true" outlineLevel="0" collapsed="false">
      <c r="B16" s="1" t="s">
        <v>4266</v>
      </c>
      <c r="C16" s="140" t="n">
        <v>0.03</v>
      </c>
      <c r="G16" s="94" t="s">
        <v>4267</v>
      </c>
      <c r="H16" s="23" t="s">
        <v>4268</v>
      </c>
      <c r="I16" s="23" t="s">
        <v>4246</v>
      </c>
      <c r="J16" s="23" t="s">
        <v>4269</v>
      </c>
      <c r="K16" s="23" t="s">
        <v>4270</v>
      </c>
    </row>
    <row r="17" customFormat="false" ht="15" hidden="false" customHeight="true" outlineLevel="0" collapsed="false">
      <c r="B17" s="1" t="s">
        <v>4271</v>
      </c>
      <c r="C17" s="140" t="n">
        <v>0.02</v>
      </c>
      <c r="G17" s="94" t="s">
        <v>4272</v>
      </c>
      <c r="H17" s="23" t="s">
        <v>4273</v>
      </c>
      <c r="I17" s="23" t="s">
        <v>4246</v>
      </c>
      <c r="J17" s="23" t="s">
        <v>4274</v>
      </c>
      <c r="K17" s="23" t="s">
        <v>4270</v>
      </c>
    </row>
    <row r="18" customFormat="false" ht="15" hidden="false" customHeight="true" outlineLevel="0" collapsed="false">
      <c r="B18" s="1" t="s">
        <v>4275</v>
      </c>
      <c r="C18" s="140" t="n">
        <v>0.01</v>
      </c>
      <c r="G18" s="94" t="s">
        <v>4276</v>
      </c>
      <c r="H18" s="23" t="s">
        <v>4277</v>
      </c>
      <c r="I18" s="23" t="s">
        <v>4246</v>
      </c>
      <c r="J18" s="23"/>
      <c r="K18" s="23" t="s">
        <v>4270</v>
      </c>
    </row>
    <row r="19" customFormat="false" ht="15" hidden="false" customHeight="true" outlineLevel="0" collapsed="false">
      <c r="B19" s="146" t="s">
        <v>4278</v>
      </c>
    </row>
    <row r="20" customFormat="false" ht="15" hidden="false" customHeight="true" outlineLevel="0" collapsed="false">
      <c r="B20" s="1" t="s">
        <v>4279</v>
      </c>
      <c r="C20" s="140" t="n">
        <v>0.5</v>
      </c>
      <c r="G20" s="94" t="s">
        <v>4280</v>
      </c>
      <c r="H20" s="23" t="s">
        <v>4281</v>
      </c>
      <c r="I20" s="23" t="s">
        <v>4246</v>
      </c>
      <c r="J20" s="23" t="s">
        <v>4282</v>
      </c>
      <c r="K20" s="23" t="s">
        <v>4283</v>
      </c>
    </row>
    <row r="21" customFormat="false" ht="15" hidden="false" customHeight="true" outlineLevel="0" collapsed="false">
      <c r="B21" s="1" t="s">
        <v>4284</v>
      </c>
      <c r="C21" s="94" t="n">
        <v>25</v>
      </c>
      <c r="G21" s="94" t="s">
        <v>4285</v>
      </c>
      <c r="H21" s="23" t="s">
        <v>4286</v>
      </c>
      <c r="I21" s="23" t="s">
        <v>4246</v>
      </c>
      <c r="J21" s="23" t="s">
        <v>4287</v>
      </c>
      <c r="K21" s="23" t="s">
        <v>4288</v>
      </c>
    </row>
    <row r="22" customFormat="false" ht="15" hidden="false" customHeight="true" outlineLevel="0" collapsed="false">
      <c r="B22" s="1" t="s">
        <v>4289</v>
      </c>
      <c r="C22" s="140" t="n">
        <v>0.8</v>
      </c>
      <c r="G22" s="94" t="s">
        <v>4290</v>
      </c>
      <c r="H22" s="23" t="s">
        <v>4291</v>
      </c>
      <c r="I22" s="23" t="s">
        <v>4246</v>
      </c>
      <c r="J22" s="23"/>
      <c r="K22" s="23" t="s">
        <v>4283</v>
      </c>
    </row>
    <row r="23" customFormat="false" ht="15" hidden="false" customHeight="true" outlineLevel="0" collapsed="false">
      <c r="B23" s="1" t="s">
        <v>4292</v>
      </c>
      <c r="C23" s="140" t="n">
        <v>0.25</v>
      </c>
      <c r="G23" s="94" t="s">
        <v>4293</v>
      </c>
      <c r="H23" s="23" t="s">
        <v>4294</v>
      </c>
      <c r="I23" s="23" t="s">
        <v>4295</v>
      </c>
      <c r="J23" s="23"/>
      <c r="K23" s="23" t="s">
        <v>4283</v>
      </c>
    </row>
    <row r="24" customFormat="false" ht="15" hidden="false" customHeight="true" outlineLevel="0" collapsed="false">
      <c r="B24" s="146" t="s">
        <v>4296</v>
      </c>
    </row>
    <row r="25" customFormat="false" ht="15" hidden="false" customHeight="true" outlineLevel="0" collapsed="false">
      <c r="B25" s="1" t="s">
        <v>4297</v>
      </c>
      <c r="C25" s="94" t="n">
        <v>6</v>
      </c>
      <c r="G25" s="94" t="s">
        <v>4298</v>
      </c>
      <c r="H25" s="23" t="s">
        <v>4299</v>
      </c>
      <c r="I25" s="23" t="s">
        <v>4246</v>
      </c>
      <c r="J25" s="23" t="s">
        <v>4300</v>
      </c>
      <c r="K25" s="23" t="s">
        <v>4301</v>
      </c>
    </row>
    <row r="26" customFormat="false" ht="15" hidden="false" customHeight="true" outlineLevel="0" collapsed="false">
      <c r="B26" s="1" t="s">
        <v>4302</v>
      </c>
      <c r="C26" s="94" t="n">
        <v>3</v>
      </c>
      <c r="G26" s="94" t="s">
        <v>4303</v>
      </c>
      <c r="H26" s="23" t="s">
        <v>4304</v>
      </c>
      <c r="I26" s="23" t="s">
        <v>4246</v>
      </c>
      <c r="J26" s="23"/>
      <c r="K26" s="23" t="s">
        <v>4301</v>
      </c>
    </row>
    <row r="27" customFormat="false" ht="15" hidden="false" customHeight="true" outlineLevel="0" collapsed="false">
      <c r="B27" s="1" t="s">
        <v>4305</v>
      </c>
      <c r="C27" s="94" t="n">
        <v>5</v>
      </c>
      <c r="G27" s="94" t="s">
        <v>4306</v>
      </c>
      <c r="H27" s="23" t="s">
        <v>4307</v>
      </c>
      <c r="I27" s="23" t="s">
        <v>4246</v>
      </c>
      <c r="J27" s="23" t="s">
        <v>4308</v>
      </c>
      <c r="K27" s="23" t="s">
        <v>4309</v>
      </c>
    </row>
    <row r="28" customFormat="false" ht="15" hidden="false" customHeight="true" outlineLevel="0" collapsed="false">
      <c r="B28" s="1" t="s">
        <v>4310</v>
      </c>
      <c r="C28" s="140" t="n">
        <v>0.4</v>
      </c>
      <c r="G28" s="94" t="s">
        <v>4311</v>
      </c>
      <c r="H28" s="23" t="s">
        <v>4312</v>
      </c>
      <c r="I28" s="23" t="s">
        <v>4246</v>
      </c>
      <c r="J28" s="23"/>
      <c r="K28" s="23" t="s">
        <v>4313</v>
      </c>
    </row>
    <row r="29" customFormat="false" ht="15" hidden="false" customHeight="true" outlineLevel="0" collapsed="false">
      <c r="B29" s="1" t="s">
        <v>4314</v>
      </c>
      <c r="C29" s="140" t="n">
        <v>0.5</v>
      </c>
      <c r="G29" s="94" t="s">
        <v>4315</v>
      </c>
      <c r="H29" s="23" t="s">
        <v>4316</v>
      </c>
      <c r="I29" s="23" t="s">
        <v>4246</v>
      </c>
      <c r="J29" s="23" t="s">
        <v>4317</v>
      </c>
      <c r="K29" s="23" t="s">
        <v>4313</v>
      </c>
    </row>
    <row r="30" customFormat="false" ht="15" hidden="false" customHeight="true" outlineLevel="0" collapsed="false">
      <c r="B30" s="1" t="s">
        <v>4318</v>
      </c>
      <c r="C30" s="139" t="n">
        <v>300</v>
      </c>
      <c r="G30" s="94" t="s">
        <v>4319</v>
      </c>
      <c r="H30" s="23" t="s">
        <v>4316</v>
      </c>
      <c r="I30" s="23" t="s">
        <v>4246</v>
      </c>
      <c r="J30" s="23" t="s">
        <v>4320</v>
      </c>
      <c r="K30" s="23" t="s">
        <v>4321</v>
      </c>
    </row>
    <row r="31" customFormat="false" ht="15" hidden="false" customHeight="true" outlineLevel="0" collapsed="false">
      <c r="B31" s="146" t="s">
        <v>80</v>
      </c>
    </row>
    <row r="32" customFormat="false" ht="15" hidden="false" customHeight="true" outlineLevel="0" collapsed="false">
      <c r="B32" s="1" t="s">
        <v>4322</v>
      </c>
      <c r="C32" s="140" t="n">
        <v>0.6</v>
      </c>
      <c r="G32" s="94" t="s">
        <v>4323</v>
      </c>
      <c r="H32" s="23" t="s">
        <v>4324</v>
      </c>
      <c r="I32" s="23" t="s">
        <v>4246</v>
      </c>
      <c r="J32" s="23"/>
      <c r="K32" s="23" t="s">
        <v>4325</v>
      </c>
    </row>
    <row r="33" customFormat="false" ht="15" hidden="false" customHeight="true" outlineLevel="0" collapsed="false">
      <c r="B33" s="1" t="s">
        <v>4326</v>
      </c>
      <c r="C33" s="94" t="n">
        <v>15</v>
      </c>
      <c r="G33" s="94" t="s">
        <v>4327</v>
      </c>
      <c r="H33" s="23" t="s">
        <v>4324</v>
      </c>
      <c r="I33" s="23" t="s">
        <v>4246</v>
      </c>
      <c r="J33" s="23"/>
      <c r="K33" s="23" t="s">
        <v>4328</v>
      </c>
    </row>
    <row r="34" customFormat="false" ht="15" hidden="false" customHeight="true" outlineLevel="0" collapsed="false">
      <c r="B34" s="146" t="s">
        <v>4329</v>
      </c>
    </row>
    <row r="35" customFormat="false" ht="15" hidden="false" customHeight="true" outlineLevel="0" collapsed="false">
      <c r="B35" s="1" t="s">
        <v>4330</v>
      </c>
      <c r="C35" s="148" t="n">
        <v>0.02</v>
      </c>
      <c r="D35" s="148" t="n">
        <v>0.04</v>
      </c>
      <c r="E35" s="148" t="n">
        <v>0.06</v>
      </c>
      <c r="G35" s="94" t="s">
        <v>4331</v>
      </c>
      <c r="H35" s="23" t="s">
        <v>4332</v>
      </c>
      <c r="I35" s="23" t="s">
        <v>4246</v>
      </c>
      <c r="J35" s="23" t="s">
        <v>4333</v>
      </c>
      <c r="K35" s="23" t="s">
        <v>4334</v>
      </c>
    </row>
    <row r="36" customFormat="false" ht="15" hidden="false" customHeight="true" outlineLevel="0" collapsed="false">
      <c r="B36" s="1" t="s">
        <v>4335</v>
      </c>
      <c r="C36" s="148" t="n">
        <v>0.05</v>
      </c>
      <c r="D36" s="148" t="n">
        <v>0.1</v>
      </c>
      <c r="E36" s="148" t="n">
        <v>0.16</v>
      </c>
      <c r="G36" s="94" t="s">
        <v>4331</v>
      </c>
      <c r="H36" s="23" t="s">
        <v>4332</v>
      </c>
      <c r="I36" s="23" t="s">
        <v>4246</v>
      </c>
      <c r="J36" s="23" t="s">
        <v>4336</v>
      </c>
      <c r="K36" s="23" t="s">
        <v>4334</v>
      </c>
    </row>
    <row r="37" customFormat="false" ht="15" hidden="false" customHeight="true" outlineLevel="0" collapsed="false">
      <c r="B37" s="1" t="s">
        <v>4337</v>
      </c>
      <c r="C37" s="148" t="n">
        <v>0.5</v>
      </c>
      <c r="D37" s="148" t="n">
        <v>0.3</v>
      </c>
      <c r="E37" s="148" t="n">
        <v>0.2</v>
      </c>
      <c r="G37" s="94" t="s">
        <v>4338</v>
      </c>
      <c r="H37" s="23" t="s">
        <v>4339</v>
      </c>
      <c r="I37" s="23" t="s">
        <v>4246</v>
      </c>
      <c r="J37" s="23"/>
      <c r="K37" s="23" t="s">
        <v>4334</v>
      </c>
    </row>
    <row r="38" customFormat="false" ht="15" hidden="false" customHeight="true" outlineLevel="0" collapsed="false">
      <c r="B38" s="146" t="s">
        <v>4340</v>
      </c>
    </row>
    <row r="39" customFormat="false" ht="15" hidden="false" customHeight="true" outlineLevel="0" collapsed="false">
      <c r="B39" s="1" t="s">
        <v>4341</v>
      </c>
      <c r="C39" s="94" t="s">
        <v>4342</v>
      </c>
      <c r="G39" s="94" t="s">
        <v>4343</v>
      </c>
      <c r="H39" s="23" t="s">
        <v>4344</v>
      </c>
      <c r="I39" s="23" t="s">
        <v>4246</v>
      </c>
      <c r="J39" s="23" t="s">
        <v>4345</v>
      </c>
      <c r="K39" s="23" t="s">
        <v>4346</v>
      </c>
    </row>
    <row r="40" customFormat="false" ht="15" hidden="false" customHeight="true" outlineLevel="0" collapsed="false">
      <c r="B40" s="1" t="s">
        <v>4347</v>
      </c>
      <c r="C40" s="94" t="s">
        <v>4342</v>
      </c>
      <c r="G40" s="94" t="s">
        <v>4348</v>
      </c>
      <c r="H40" s="23" t="s">
        <v>4349</v>
      </c>
      <c r="I40" s="23" t="s">
        <v>4246</v>
      </c>
      <c r="J40" s="23" t="s">
        <v>4350</v>
      </c>
      <c r="K40" s="23" t="s">
        <v>4346</v>
      </c>
    </row>
    <row r="41" customFormat="false" ht="15" hidden="false" customHeight="true" outlineLevel="0" collapsed="false">
      <c r="B41" s="1" t="s">
        <v>4351</v>
      </c>
      <c r="C41" s="94" t="s">
        <v>4352</v>
      </c>
      <c r="G41" s="94" t="s">
        <v>4353</v>
      </c>
      <c r="H41" s="23" t="s">
        <v>4354</v>
      </c>
      <c r="I41" s="23" t="s">
        <v>4246</v>
      </c>
      <c r="J41" s="23"/>
      <c r="K41" s="23" t="s">
        <v>4346</v>
      </c>
    </row>
    <row r="42" customFormat="false" ht="15" hidden="false" customHeight="true" outlineLevel="0" collapsed="false">
      <c r="B42" s="1" t="s">
        <v>4355</v>
      </c>
      <c r="C42" s="94" t="s">
        <v>1931</v>
      </c>
      <c r="G42" s="94" t="s">
        <v>4356</v>
      </c>
      <c r="H42" s="23" t="s">
        <v>4357</v>
      </c>
      <c r="I42" s="23" t="s">
        <v>4246</v>
      </c>
      <c r="J42" s="23"/>
      <c r="K42" s="23" t="s">
        <v>4346</v>
      </c>
    </row>
    <row r="43" customFormat="false" ht="15" hidden="false" customHeight="true" outlineLevel="0" collapsed="false">
      <c r="B43" s="1" t="s">
        <v>4358</v>
      </c>
      <c r="C43" s="94" t="n">
        <v>5</v>
      </c>
      <c r="G43" s="94" t="s">
        <v>4359</v>
      </c>
      <c r="H43" s="23" t="s">
        <v>4360</v>
      </c>
      <c r="I43" s="23" t="s">
        <v>4246</v>
      </c>
      <c r="J43" s="23"/>
      <c r="K43" s="23" t="s">
        <v>4361</v>
      </c>
    </row>
    <row r="44" customFormat="false" ht="15" hidden="false" customHeight="true" outlineLevel="0" collapsed="false">
      <c r="B44" s="1" t="s">
        <v>4362</v>
      </c>
      <c r="C44" s="94" t="n">
        <v>2</v>
      </c>
      <c r="G44" s="94" t="s">
        <v>4363</v>
      </c>
      <c r="H44" s="23" t="s">
        <v>4364</v>
      </c>
      <c r="I44" s="23" t="s">
        <v>4246</v>
      </c>
      <c r="J44" s="23"/>
      <c r="K44" s="23" t="s">
        <v>4365</v>
      </c>
    </row>
    <row r="45" customFormat="false" ht="15" hidden="false" customHeight="true" outlineLevel="0" collapsed="false">
      <c r="B45" s="146" t="s">
        <v>4366</v>
      </c>
    </row>
    <row r="46" customFormat="false" ht="15" hidden="false" customHeight="true" outlineLevel="0" collapsed="false">
      <c r="B46" s="1" t="s">
        <v>4367</v>
      </c>
      <c r="C46" s="140" t="n">
        <v>0.0348</v>
      </c>
      <c r="D46" s="140"/>
      <c r="G46" s="94" t="s">
        <v>4368</v>
      </c>
      <c r="H46" s="23" t="s">
        <v>4369</v>
      </c>
      <c r="I46" s="23" t="s">
        <v>4370</v>
      </c>
      <c r="J46" s="23" t="s">
        <v>4371</v>
      </c>
      <c r="K46" s="23" t="s">
        <v>4372</v>
      </c>
      <c r="L46" s="23" t="str">
        <f aca="false">IF(D46&lt;&gt;"","Suggested by "&amp;IF(Partner_Name="","your provider",Partner_Name),G46)</f>
        <v>Central Bank of Ireland: average rate on new mortgages, Jul 2026</v>
      </c>
      <c r="M46" s="98" t="n">
        <f aca="false">IF(D46&lt;&gt;"",D46,IF(C46&lt;&gt;"",C46,""))</f>
        <v>0.0348</v>
      </c>
    </row>
    <row r="47" customFormat="false" ht="15" hidden="false" customHeight="true" outlineLevel="0" collapsed="false">
      <c r="B47" s="1" t="s">
        <v>4373</v>
      </c>
      <c r="C47" s="140" t="n">
        <v>0.0672</v>
      </c>
      <c r="D47" s="140"/>
      <c r="G47" s="94" t="s">
        <v>4374</v>
      </c>
      <c r="H47" s="23" t="s">
        <v>4369</v>
      </c>
      <c r="I47" s="23" t="s">
        <v>4370</v>
      </c>
      <c r="J47" s="23" t="s">
        <v>4375</v>
      </c>
      <c r="K47" s="23" t="s">
        <v>4372</v>
      </c>
      <c r="L47" s="23" t="str">
        <f aca="false">IF(D47&lt;&gt;"","Suggested by "&amp;IF(Partner_Name="","your provider",Partner_Name),G47)</f>
        <v>Central Bank of Ireland: average rate on new consumer loans, Jul 2026</v>
      </c>
      <c r="M47" s="98" t="n">
        <f aca="false">IF(D47&lt;&gt;"",D47,IF(C47&lt;&gt;"",C47,""))</f>
        <v>0.0672</v>
      </c>
    </row>
    <row r="48" customFormat="false" ht="15" hidden="false" customHeight="true" outlineLevel="0" collapsed="false">
      <c r="B48" s="1" t="s">
        <v>4376</v>
      </c>
      <c r="C48" s="140"/>
      <c r="D48" s="140"/>
      <c r="G48" s="94" t="s">
        <v>4377</v>
      </c>
      <c r="H48" s="23" t="s">
        <v>4369</v>
      </c>
      <c r="I48" s="23" t="s">
        <v>4378</v>
      </c>
      <c r="J48" s="23" t="s">
        <v>4379</v>
      </c>
      <c r="K48" s="23" t="s">
        <v>4372</v>
      </c>
      <c r="L48" s="23" t="str">
        <f aca="false">IF(D48&lt;&gt;"","Suggested by "&amp;IF(Partner_Name="","your provider",Partner_Name),G48)</f>
        <v>No published average</v>
      </c>
      <c r="M48" s="98" t="str">
        <f aca="false">IF(D48&lt;&gt;"",D48,IF(C48&lt;&gt;"",C48,""))</f>
        <v/>
      </c>
    </row>
    <row r="49" customFormat="false" ht="15" hidden="false" customHeight="true" outlineLevel="0" collapsed="false">
      <c r="B49" s="1" t="s">
        <v>4380</v>
      </c>
      <c r="C49" s="140" t="n">
        <v>0.0192</v>
      </c>
      <c r="D49" s="140"/>
      <c r="G49" s="94" t="s">
        <v>4381</v>
      </c>
      <c r="H49" s="23" t="s">
        <v>4369</v>
      </c>
      <c r="I49" s="23" t="s">
        <v>4370</v>
      </c>
      <c r="J49" s="23" t="s">
        <v>4382</v>
      </c>
      <c r="K49" s="23" t="s">
        <v>4372</v>
      </c>
      <c r="L49" s="23" t="str">
        <f aca="false">IF(D49&lt;&gt;"","Suggested by "&amp;IF(Partner_Name="","your provider",Partner_Name),G49)</f>
        <v>Central Bank of Ireland: average rate on new fixed-term household deposits, Jul 2026</v>
      </c>
      <c r="M49" s="98" t="n">
        <f aca="false">IF(D49&lt;&gt;"",D49,IF(C49&lt;&gt;"",C49,""))</f>
        <v>0.0192</v>
      </c>
    </row>
    <row r="50" customFormat="false" ht="15" hidden="false" customHeight="true" outlineLevel="0" collapsed="false">
      <c r="B50" s="1" t="s">
        <v>4383</v>
      </c>
      <c r="C50" s="139"/>
      <c r="D50" s="139"/>
      <c r="G50" s="94" t="s">
        <v>4384</v>
      </c>
      <c r="H50" s="23" t="s">
        <v>4384</v>
      </c>
      <c r="I50" s="23" t="s">
        <v>4378</v>
      </c>
      <c r="J50" s="23"/>
      <c r="K50" s="23" t="s">
        <v>4385</v>
      </c>
      <c r="L50" s="23" t="str">
        <f aca="false">IF(D50&lt;&gt;"","Suggested by "&amp;IF(Partner_Name="","your provider",Partner_Name),G50)</f>
        <v>No published figure</v>
      </c>
      <c r="M50" s="99" t="str">
        <f aca="false">IF(D50&lt;&gt;"",D50,IF(C50&lt;&gt;"",C50,""))</f>
        <v/>
      </c>
    </row>
    <row r="51" customFormat="false" ht="15" hidden="false" customHeight="true" outlineLevel="0" collapsed="false">
      <c r="B51" s="1" t="s">
        <v>4386</v>
      </c>
      <c r="C51" s="140" t="n">
        <v>0.01</v>
      </c>
      <c r="D51" s="140"/>
      <c r="G51" s="94" t="s">
        <v>4387</v>
      </c>
      <c r="H51" s="23" t="s">
        <v>4388</v>
      </c>
      <c r="I51" s="23" t="s">
        <v>4246</v>
      </c>
      <c r="J51" s="23" t="s">
        <v>4389</v>
      </c>
      <c r="K51" s="23" t="s">
        <v>4372</v>
      </c>
      <c r="L51" s="23" t="str">
        <f aca="false">IF(D51&lt;&gt;"","Suggested by "&amp;IF(Partner_Name="","your provider",Partner_Name),G51)</f>
        <v>Pensions Authority pension calculator assumption</v>
      </c>
      <c r="M51" s="98" t="n">
        <f aca="false">IF(D51&lt;&gt;"",D51,IF(C51&lt;&gt;"",C51,""))</f>
        <v>0.01</v>
      </c>
    </row>
    <row r="52" customFormat="false" ht="15" hidden="false" customHeight="true" outlineLevel="0" collapsed="false">
      <c r="B52" s="146" t="s">
        <v>4390</v>
      </c>
    </row>
    <row r="53" customFormat="false" ht="15" hidden="false" customHeight="true" outlineLevel="0" collapsed="false">
      <c r="B53" s="1" t="s">
        <v>4391</v>
      </c>
      <c r="C53" s="94" t="n">
        <v>83</v>
      </c>
      <c r="G53" s="94" t="s">
        <v>4392</v>
      </c>
      <c r="H53" s="23" t="s">
        <v>4393</v>
      </c>
      <c r="I53" s="23" t="s">
        <v>4394</v>
      </c>
      <c r="J53" s="23"/>
      <c r="K53" s="23" t="s">
        <v>4395</v>
      </c>
    </row>
    <row r="54" customFormat="false" ht="15" hidden="false" customHeight="true" outlineLevel="0" collapsed="false">
      <c r="B54" s="1" t="s">
        <v>4396</v>
      </c>
      <c r="C54" s="94" t="n">
        <v>86</v>
      </c>
      <c r="G54" s="94" t="s">
        <v>4392</v>
      </c>
      <c r="H54" s="23" t="s">
        <v>4393</v>
      </c>
      <c r="I54" s="23" t="s">
        <v>4397</v>
      </c>
      <c r="J54" s="23"/>
      <c r="K54" s="23" t="s">
        <v>4395</v>
      </c>
    </row>
    <row r="55" customFormat="false" ht="15" hidden="false" customHeight="true" outlineLevel="0" collapsed="false">
      <c r="B55" s="146" t="s">
        <v>4398</v>
      </c>
    </row>
    <row r="56" customFormat="false" ht="15" hidden="false" customHeight="true" outlineLevel="0" collapsed="false">
      <c r="B56" s="1" t="s">
        <v>4399</v>
      </c>
      <c r="C56" s="114" t="n">
        <v>0.039</v>
      </c>
      <c r="G56" s="1" t="s">
        <v>4400</v>
      </c>
    </row>
    <row r="57" customFormat="false" ht="15" hidden="false" customHeight="true" outlineLevel="0" collapsed="false">
      <c r="B57" s="1" t="s">
        <v>4401</v>
      </c>
      <c r="C57" s="149" t="n">
        <v>0.23</v>
      </c>
      <c r="G57" s="1" t="s">
        <v>4402</v>
      </c>
      <c r="H57" s="1" t="s">
        <v>4403</v>
      </c>
      <c r="I57" s="1" t="s">
        <v>4404</v>
      </c>
    </row>
    <row r="59" customFormat="false" ht="15" hidden="false" customHeight="true" outlineLevel="0" collapsed="false">
      <c r="B59" s="1" t="s">
        <v>4405</v>
      </c>
      <c r="C59" s="94" t="n">
        <v>60</v>
      </c>
      <c r="G59" s="94" t="s">
        <v>4406</v>
      </c>
      <c r="H59" s="23" t="s">
        <v>4407</v>
      </c>
      <c r="I59" s="23" t="s">
        <v>4246</v>
      </c>
      <c r="J59" s="23" t="s">
        <v>4408</v>
      </c>
      <c r="K59" s="23" t="s">
        <v>4409</v>
      </c>
    </row>
  </sheetData>
  <mergeCells count="1">
    <mergeCell ref="B2:K2"/>
  </mergeCells>
  <dataValidations count="39">
    <dataValidation allowBlank="true" error="Pay rises (a year): allowed 0 to 0.06" errorStyle="stop" errorTitle="Outside the allowed range" operator="between" showDropDown="false" showErrorMessage="true" showInputMessage="false" sqref="C9 F9" type="decimal">
      <formula1>0</formula1>
      <formula2>0.06</formula2>
    </dataValidation>
    <dataValidation allowBlank="true" error="Money for goals sooner than this is kept as cash (years): allowed 1 to 10 (whole numbers)" errorStyle="stop" errorTitle="Outside the allowed range" operator="between" showDropDown="false" showErrorMessage="true" showInputMessage="false" sqref="C27" type="whole">
      <formula1>1</formula1>
      <formula2>10</formula2>
    </dataValidation>
    <dataValidation allowBlank="true" error="Spare savings: share invested: allowed 0 to 1" errorStyle="stop" errorTitle="Outside the allowed range" operator="between" showDropDown="false" showErrorMessage="true" showInputMessage="false" sqref="C28" type="decimal">
      <formula1>0</formula1>
      <formula2>1</formula2>
    </dataValidation>
    <dataValidation allowBlank="true" error="Share of spare money saved, at most: allowed 0 to 1" errorStyle="stop" errorTitle="Outside the allowed range" operator="between" showDropDown="false" showErrorMessage="true" showInputMessage="false" sqref="C29" type="decimal">
      <formula1>0</formula1>
      <formula2>1</formula2>
    </dataValidation>
    <dataValidation allowBlank="true" error="Choose 50 or 60" errorStyle="stop" errorTitle="Pension access age" operator="between" showDropDown="false" showErrorMessage="true" showInputMessage="false" sqref="C59" type="list">
      <formula1>"50,60"</formula1>
      <formula2>0</formula2>
    </dataValidation>
    <dataValidation allowBlank="true" error="Inflation: prices rise (a year): allowed 0 to 0.1" errorStyle="stop" errorTitle="Outside the allowed range" operator="between" showDropDown="false" showErrorMessage="true" showInputMessage="false" sqref="C8" type="decimal">
      <formula1>0</formula1>
      <formula2>0.1</formula2>
    </dataValidation>
    <dataValidation allowBlank="true" error="Cash savings earn (a year, after DIRT): allowed 0 to 0.04" errorStyle="stop" errorTitle="Outside the allowed range" operator="between" showDropDown="false" showErrorMessage="true" showInputMessage="false" sqref="C10 F10" type="decimal">
      <formula1>0</formula1>
      <formula2>0.04</formula2>
    </dataValidation>
    <dataValidation allowBlank="true" error="Investments grow before fees and tax (a year; growth and fees tools): allowed 0 to 0.1" errorStyle="stop" errorTitle="Outside the allowed range" operator="between" showDropDown="false" showErrorMessage="true" showInputMessage="false" sqref="C12" type="decimal">
      <formula1>0</formula1>
      <formula2>0.1</formula2>
    </dataValidation>
    <dataValidation allowBlank="true" error="Pension grows while you work (a year, after charges): allowed 0 to 0.07" errorStyle="stop" errorTitle="Outside the allowed range" operator="between" showDropDown="false" showErrorMessage="true" showInputMessage="false" sqref="C13 F13" type="decimal">
      <formula1>0</formula1>
      <formula2>0.07</formula2>
    </dataValidation>
    <dataValidation allowBlank="true" error="Pension grows once retired (a year, after charges): allowed 0 to 0.07" errorStyle="stop" errorTitle="Outside the allowed range" operator="between" showDropDown="false" showErrorMessage="true" showInputMessage="false" sqref="C14 F14" type="decimal">
      <formula1>0</formula1>
      <formula2>0.07</formula2>
    </dataValidation>
    <dataValidation allowBlank="true" error="Rent vs buy: rent rises (a year): allowed 0 to 0.08" errorStyle="stop" errorTitle="Outside the allowed range" operator="between" showDropDown="false" showErrorMessage="true" showInputMessage="false" sqref="C16" type="decimal">
      <formula1>0</formula1>
      <formula2>0.08</formula2>
    </dataValidation>
    <dataValidation allowBlank="true" error="Rent vs buy: house prices rise (a year): allowed 0 to 0.06" errorStyle="stop" errorTitle="Outside the allowed range" operator="between" showDropDown="false" showErrorMessage="true" showInputMessage="false" sqref="C17" type="decimal">
      <formula1>0</formula1>
      <formula2>0.06</formula2>
    </dataValidation>
    <dataValidation allowBlank="true" error="Rent vs buy: upkeep a year (share of home value): allowed 0 to 0.03" errorStyle="stop" errorTitle="Outside the allowed range" operator="between" showDropDown="false" showErrorMessage="true" showInputMessage="false" sqref="C18" type="decimal">
      <formula1>0</formula1>
      <formula2>0.03</formula2>
    </dataValidation>
    <dataValidation allowBlank="true" error="Share of pension contributions you pay yourself: allowed 0 to 1" errorStyle="stop" errorTitle="Outside the allowed range" operator="between" showDropDown="false" showErrorMessage="true" showInputMessage="false" sqref="C20" type="decimal">
      <formula1>0</formula1>
      <formula2>1</formula2>
    </dataValidation>
    <dataValidation allowBlank="true" error="Retirement savings target: times the yearly income needed: allowed 20 to 33 (whole numbers)" errorStyle="stop" errorTitle="Outside the allowed range" operator="between" showDropDown="false" showErrorMessage="true" showInputMessage="false" sqref="C21" type="whole">
      <formula1>20</formula1>
      <formula2>33</formula2>
    </dataValidation>
    <dataValidation allowBlank="true" error="Retirement spending if no goal (share of today's spending): allowed 0.5 to 1.2" errorStyle="stop" errorTitle="Outside the allowed range" operator="between" showDropDown="false" showErrorMessage="true" showInputMessage="false" sqref="C22" type="decimal">
      <formula1>0.5</formula1>
      <formula2>1.2</formula2>
    </dataValidation>
    <dataValidation allowBlank="true" error="Tax-free lump sum to take (share of pension; law limit 25%): allowed 0 to 0.25" errorStyle="stop" errorTitle="Outside the allowed range" operator="between" showDropDown="false" showErrorMessage="true" showInputMessage="false" sqref="C23" type="decimal">
      <formula1>0</formula1>
      <formula2>0.25</formula2>
    </dataValidation>
    <dataValidation allowBlank="true" error="Emergency fund: months of essential spending: allowed 1 to 12 (whole numbers)" errorStyle="stop" errorTitle="Outside the allowed range" operator="between" showDropDown="false" showErrorMessage="true" showInputMessage="false" sqref="C25" type="whole">
      <formula1>1</formula1>
      <formula2>12</formula2>
    </dataValidation>
    <dataValidation allowBlank="true" error="Emergency fund: months with two secure incomes: allowed 1 to 12 (whole numbers)" errorStyle="stop" errorTitle="Outside the allowed range" operator="between" showDropDown="false" showErrorMessage="true" showInputMessage="false" sqref="C26" type="whole">
      <formula1>1</formula1>
      <formula2>12</formula2>
    </dataValidation>
    <dataValidation allowBlank="true" error="Monthly saving if not answered: allowed 0 to 5000" errorStyle="stop" errorTitle="Outside the allowed range" operator="between" showDropDown="false" showErrorMessage="true" showInputMessage="false" sqref="C30" type="decimal">
      <formula1>0</formula1>
      <formula2>5000</formula2>
    </dataValidation>
    <dataValidation allowBlank="true" error="Life cover: share of income the family needs: allowed 0.3 to 1" errorStyle="stop" errorTitle="Outside the allowed range" operator="between" showDropDown="false" showErrorMessage="true" showInputMessage="false" sqref="C32" type="decimal">
      <formula1>0.3</formula1>
      <formula2>1</formula2>
    </dataValidation>
    <dataValidation allowBlank="true" error="Life cover: years of support: allowed 1 to 30 (whole numbers)" errorStyle="stop" errorTitle="Outside the allowed range" operator="between" showDropDown="false" showErrorMessage="true" showInputMessage="false" sqref="C33" type="whole">
      <formula1>1</formula1>
      <formula2>30</formula2>
    </dataValidation>
    <dataValidation allowBlank="true" error="Risk and return: growth a year, Cautious / Balanced / Growth: allowed 0 to 0.08" errorStyle="stop" errorTitle="Outside the allowed range" operator="between" showDropDown="false" showErrorMessage="true" showInputMessage="false" sqref="C35:E35" type="decimal">
      <formula1>0</formula1>
      <formula2>0.08</formula2>
    </dataValidation>
    <dataValidation allowBlank="true" error="Risk and return: ups and downs (volatility), Cautious / Balanced / Growth: allowed 0 to 0.25" errorStyle="stop" errorTitle="Outside the allowed range" operator="between" showDropDown="false" showErrorMessage="true" showInputMessage="false" sqref="C36:E36" type="decimal">
      <formula1>0</formula1>
      <formula2>0.25</formula2>
    </dataValidation>
    <dataValidation allowBlank="true" error="Budget split: needs / wants / savings and debt: allowed 0 to 1" errorStyle="stop" errorTitle="Outside the allowed range" operator="between" showDropDown="false" showErrorMessage="true" showInputMessage="false" sqref="C37:E37" type="decimal">
      <formula1>0</formula1>
      <formula2>1</formula2>
    </dataValidation>
    <dataValidation allowBlank="true" error="Choose one of: prices,flat" errorStyle="stop" errorTitle="Not in the list" operator="between" showDropDown="false" showErrorMessage="true" showInputMessage="false" sqref="C39" type="list">
      <formula1>"prices,flat"</formula1>
      <formula2>0</formula2>
    </dataValidation>
    <dataValidation allowBlank="true" error="Choose one of: prices,pay,flat" errorStyle="stop" errorTitle="Not in the list" operator="between" showDropDown="false" showErrorMessage="true" showInputMessage="false" sqref="C40" type="list">
      <formula1>"prices,pay,flat"</formula1>
      <formula2>0</formula2>
    </dataValidation>
    <dataValidation allowBlank="true" error="Choose one of: spread,min,fixed" errorStyle="stop" errorTitle="Not in the list" operator="between" showDropDown="false" showErrorMessage="true" showInputMessage="false" sqref="C41" type="list">
      <formula1>"spread,min,fixed"</formula1>
      <formula2>0</formula2>
    </dataValidation>
    <dataValidation allowBlank="true" error="Choose one of: start,end" errorStyle="stop" errorTitle="Not in the list" operator="between" showDropDown="false" showErrorMessage="true" showInputMessage="false" sqref="C42" type="list">
      <formula1>"start,end"</formula1>
      <formula2>0</formula2>
    </dataValidation>
    <dataValidation allowBlank="true" error="Lump sum tool: years you might wait before investing: allowed 1 to 20 (whole numbers)" errorStyle="stop" errorTitle="Outside the allowed range" operator="between" showDropDown="false" showErrorMessage="true" showInputMessage="false" sqref="C43" type="whole">
      <formula1>1</formula1>
      <formula2>20</formula2>
    </dataValidation>
    <dataValidation allowBlank="true" error="Risk and return tool: investment style (1 Cautious, 2 Balanced, 3 Growth): allowed 1 to 3 (whole numbers)" errorStyle="stop" errorTitle="Outside the allowed range" operator="between" showDropDown="false" showErrorMessage="true" showInputMessage="false" sqref="C44" type="whole">
      <formula1>1</formula1>
      <formula2>3</formula2>
    </dataValidation>
    <dataValidation allowBlank="true" error="Suggested mortgage rate: allowed 0.01 to 0.08" errorStyle="stop" errorTitle="Outside the allowed range" operator="between" showDropDown="false" showErrorMessage="true" showInputMessage="false" sqref="C46:D46" type="decimal">
      <formula1>0.01</formula1>
      <formula2>0.08</formula2>
    </dataValidation>
    <dataValidation allowBlank="true" error="Suggested personal and car loan rate (APR): allowed 0 to 0.25" errorStyle="stop" errorTitle="Outside the allowed range" operator="between" showDropDown="false" showErrorMessage="true" showInputMessage="false" sqref="C47:D47" type="decimal">
      <formula1>0</formula1>
      <formula2>0.25</formula2>
    </dataValidation>
    <dataValidation allowBlank="true" error="Suggested credit card rate (APR): allowed 0 to 0.35" errorStyle="stop" errorTitle="Outside the allowed range" operator="between" showDropDown="false" showErrorMessage="true" showInputMessage="false" sqref="C48:D48" type="decimal">
      <formula1>0</formula1>
      <formula2>0.35</formula2>
    </dataValidation>
    <dataValidation allowBlank="true" error="Suggested deposit rate (fixed term, before 33% DIRT): allowed 0 to 0.06" errorStyle="stop" errorTitle="Outside the allowed range" operator="between" showDropDown="false" showErrorMessage="true" showInputMessage="false" sqref="C49:D49" type="decimal">
      <formula1>0</formula1>
      <formula2>0.06</formula2>
    </dataValidation>
    <dataValidation allowBlank="true" error="Suggested buying fees (legal and survey): allowed 0 to 10000" errorStyle="stop" errorTitle="Outside the allowed range" operator="between" showDropDown="false" showErrorMessage="true" showInputMessage="false" sqref="C50:D50" type="decimal">
      <formula1>0</formula1>
      <formula2>10000</formula2>
    </dataValidation>
    <dataValidation allowBlank="true" error="Suggested fund and pension charges (a year): allowed 0 to 0.025" errorStyle="stop" errorTitle="Outside the allowed range" operator="between" showDropDown="false" showErrorMessage="true" showInputMessage="false" sqref="C51:D51" type="decimal">
      <formula1>0</formula1>
      <formula2>0.025</formula2>
    </dataValidation>
    <dataValidation allowBlank="true" error="Life expectancy at 65, men (years): guidance only: allowed 60 to 110 (whole numbers)" errorStyle="stop" errorTitle="Outside the allowed range" operator="between" showDropDown="false" showErrorMessage="true" showInputMessage="false" sqref="C53" type="whole">
      <formula1>60</formula1>
      <formula2>110</formula2>
    </dataValidation>
    <dataValidation allowBlank="true" error="Life expectancy at 65, women (years): guidance only: allowed 60 to 110 (whole numbers)" errorStyle="stop" errorTitle="Outside the allowed range" operator="between" showDropDown="false" showErrorMessage="true" showInputMessage="false" sqref="C54" type="whole">
      <formula1>60</formula1>
      <formula2>110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66"/>
    <col collapsed="false" customWidth="true" hidden="false" outlineLevel="0" max="3" min="3" style="1" width="14"/>
    <col collapsed="false" customWidth="true" hidden="false" outlineLevel="0" max="4" min="4" style="1" width="26"/>
    <col collapsed="false" customWidth="true" hidden="false" outlineLevel="0" max="5" min="5" style="1" width="64"/>
    <col collapsed="false" customWidth="true" hidden="false" outlineLevel="0" max="6" min="6" style="1" width="16"/>
    <col collapsed="false" customWidth="true" hidden="false" outlineLevel="0" max="7" min="7" style="1" width="26"/>
    <col collapsed="false" customWidth="true" hidden="false" outlineLevel="0" max="8" min="8" style="1" width="8"/>
  </cols>
  <sheetData>
    <row r="1" customFormat="false" ht="19.5" hidden="false" customHeight="true" outlineLevel="0" collapsed="false">
      <c r="B1" s="24" t="s">
        <v>4410</v>
      </c>
    </row>
    <row r="2" customFormat="false" ht="15" hidden="false" customHeight="true" outlineLevel="0" collapsed="false">
      <c r="B2" s="150" t="s">
        <v>4411</v>
      </c>
    </row>
    <row r="3" customFormat="false" ht="39.75" hidden="false" customHeight="true" outlineLevel="0" collapsed="false">
      <c r="B3" s="151" t="s">
        <v>4412</v>
      </c>
      <c r="C3" s="151"/>
      <c r="D3" s="151"/>
      <c r="E3" s="151"/>
      <c r="F3" s="151"/>
      <c r="G3" s="151"/>
    </row>
    <row r="4" customFormat="false" ht="15" hidden="false" customHeight="true" outlineLevel="0" collapsed="false">
      <c r="B4" s="23" t="s">
        <v>4413</v>
      </c>
    </row>
    <row r="5" customFormat="false" ht="15" hidden="false" customHeight="true" outlineLevel="0" collapsed="false">
      <c r="B5" s="15" t="s">
        <v>4414</v>
      </c>
      <c r="C5" s="16"/>
      <c r="D5" s="16"/>
      <c r="E5" s="16"/>
      <c r="F5" s="16"/>
      <c r="G5" s="16"/>
      <c r="H5" s="16"/>
    </row>
    <row r="6" customFormat="false" ht="15" hidden="false" customHeight="true" outlineLevel="0" collapsed="false">
      <c r="B6" s="18" t="s">
        <v>4415</v>
      </c>
      <c r="C6" s="18" t="s">
        <v>1521</v>
      </c>
      <c r="D6" s="18" t="s">
        <v>4416</v>
      </c>
      <c r="E6" s="18" t="s">
        <v>4417</v>
      </c>
      <c r="F6" s="18" t="s">
        <v>4418</v>
      </c>
      <c r="G6" s="18" t="s">
        <v>4419</v>
      </c>
      <c r="H6" s="18" t="s">
        <v>4420</v>
      </c>
    </row>
    <row r="7" customFormat="false" ht="39.75" hidden="false" customHeight="true" outlineLevel="0" collapsed="false">
      <c r="B7" s="17" t="str">
        <f aca="false">"Ireland's prices are rising "&amp;TEXT(Set_inflNow,"0.0%")&amp;" a year right now (CSO HICP flash estimate, September 2026, published 1 Oct 2026), mostly because of energy. HICP Aug 2026: 3.4%; CPI Aug 2026: 3.7%. Over decades, planners usually use 2%–2.5% (ECB target 2%). This is the one Ireland-today "&amp;"figure quoted everywhere (same as the prototype RULES_IE_2026.infl.ie)."</f>
        <v>Ireland's prices are rising 3.9% a year right now (CSO HICP flash estimate, September 2026, published 1 Oct 2026), mostly because of energy. HICP Aug 2026: 3.4%; CPI Aug 2026: 3.7%. Over decades, planners usually use 2%–2.5% (ECB target 2%). This is the one Ireland-today figure quoted everywhere (same as the prototype RULES_IE_2026.infl.ie).</v>
      </c>
      <c r="C7" s="17"/>
      <c r="D7" s="17"/>
      <c r="E7" s="152" t="s">
        <v>4421</v>
      </c>
    </row>
    <row r="8" customFormat="false" ht="15" hidden="false" customHeight="true" outlineLevel="0" collapsed="false">
      <c r="B8" s="15" t="s">
        <v>4422</v>
      </c>
      <c r="C8" s="16"/>
      <c r="D8" s="16"/>
      <c r="E8" s="16"/>
      <c r="F8" s="16"/>
      <c r="G8" s="16"/>
      <c r="H8" s="16"/>
    </row>
    <row r="9" customFormat="false" ht="15" hidden="false" customHeight="true" outlineLevel="0" collapsed="false">
      <c r="B9" s="18" t="s">
        <v>4415</v>
      </c>
      <c r="C9" s="18" t="s">
        <v>1521</v>
      </c>
      <c r="D9" s="18" t="s">
        <v>4416</v>
      </c>
      <c r="E9" s="18" t="s">
        <v>4417</v>
      </c>
      <c r="F9" s="18" t="s">
        <v>4418</v>
      </c>
      <c r="G9" s="18" t="s">
        <v>4419</v>
      </c>
      <c r="H9" s="18" t="s">
        <v>4420</v>
      </c>
    </row>
    <row r="10" customFormat="false" ht="24" hidden="false" customHeight="true" outlineLevel="0" collapsed="false">
      <c r="B10" s="9" t="s">
        <v>4423</v>
      </c>
      <c r="C10" s="153" t="n">
        <v>44000</v>
      </c>
      <c r="D10" s="19" t="s">
        <v>4424</v>
      </c>
      <c r="E10" s="152" t="s">
        <v>4425</v>
      </c>
      <c r="F10" s="19" t="s">
        <v>4426</v>
      </c>
      <c r="G10" s="154" t="s">
        <v>4427</v>
      </c>
      <c r="H10" s="152" t="s">
        <v>4428</v>
      </c>
    </row>
    <row r="11" customFormat="false" ht="24" hidden="false" customHeight="true" outlineLevel="0" collapsed="false">
      <c r="B11" s="9" t="s">
        <v>4429</v>
      </c>
      <c r="C11" s="153" t="n">
        <v>48000</v>
      </c>
      <c r="D11" s="19" t="s">
        <v>4430</v>
      </c>
      <c r="E11" s="152" t="s">
        <v>4431</v>
      </c>
      <c r="F11" s="19" t="s">
        <v>4426</v>
      </c>
      <c r="G11" s="154" t="s">
        <v>4432</v>
      </c>
      <c r="H11" s="152" t="s">
        <v>4433</v>
      </c>
    </row>
    <row r="12" customFormat="false" ht="24" hidden="false" customHeight="true" outlineLevel="0" collapsed="false">
      <c r="B12" s="9" t="s">
        <v>4434</v>
      </c>
      <c r="C12" s="153" t="n">
        <v>53000</v>
      </c>
      <c r="D12" s="19" t="s">
        <v>4430</v>
      </c>
      <c r="E12" s="152" t="s">
        <v>4425</v>
      </c>
      <c r="F12" s="19" t="s">
        <v>4426</v>
      </c>
      <c r="G12" s="154" t="s">
        <v>4427</v>
      </c>
      <c r="H12" s="152" t="s">
        <v>4435</v>
      </c>
    </row>
    <row r="13" customFormat="false" ht="24" hidden="false" customHeight="true" outlineLevel="0" collapsed="false">
      <c r="B13" s="9" t="s">
        <v>4436</v>
      </c>
      <c r="C13" s="153" t="n">
        <v>35000</v>
      </c>
      <c r="D13" s="19" t="s">
        <v>4430</v>
      </c>
      <c r="E13" s="152" t="s">
        <v>4425</v>
      </c>
      <c r="F13" s="19" t="s">
        <v>4426</v>
      </c>
      <c r="G13" s="154" t="s">
        <v>4427</v>
      </c>
      <c r="H13" s="152" t="s">
        <v>4437</v>
      </c>
    </row>
    <row r="14" customFormat="false" ht="24" hidden="false" customHeight="true" outlineLevel="0" collapsed="false">
      <c r="B14" s="9" t="s">
        <v>4438</v>
      </c>
      <c r="C14" s="155" t="n">
        <v>0.2</v>
      </c>
      <c r="D14" s="19" t="s">
        <v>4430</v>
      </c>
      <c r="E14" s="152" t="s">
        <v>4425</v>
      </c>
      <c r="F14" s="19" t="s">
        <v>4246</v>
      </c>
      <c r="G14" s="154" t="s">
        <v>4427</v>
      </c>
      <c r="H14" s="152" t="s">
        <v>4439</v>
      </c>
    </row>
    <row r="15" customFormat="false" ht="24" hidden="false" customHeight="true" outlineLevel="0" collapsed="false">
      <c r="B15" s="9" t="s">
        <v>4440</v>
      </c>
      <c r="C15" s="155" t="n">
        <v>0.4</v>
      </c>
      <c r="D15" s="19" t="s">
        <v>4441</v>
      </c>
      <c r="E15" s="152" t="s">
        <v>4425</v>
      </c>
      <c r="F15" s="19" t="s">
        <v>4246</v>
      </c>
      <c r="G15" s="154" t="s">
        <v>4427</v>
      </c>
      <c r="H15" s="152" t="s">
        <v>4439</v>
      </c>
    </row>
    <row r="16" customFormat="false" ht="24" hidden="false" customHeight="true" outlineLevel="0" collapsed="false">
      <c r="B16" s="9" t="s">
        <v>4442</v>
      </c>
      <c r="C16" s="153" t="n">
        <v>2000</v>
      </c>
      <c r="D16" s="19" t="s">
        <v>4430</v>
      </c>
      <c r="E16" s="152" t="s">
        <v>4425</v>
      </c>
      <c r="F16" s="19" t="s">
        <v>4246</v>
      </c>
      <c r="G16" s="154" t="s">
        <v>4427</v>
      </c>
      <c r="H16" s="152" t="s">
        <v>4443</v>
      </c>
    </row>
    <row r="17" customFormat="false" ht="24" hidden="false" customHeight="true" outlineLevel="0" collapsed="false">
      <c r="B17" s="9" t="s">
        <v>4444</v>
      </c>
      <c r="C17" s="153" t="n">
        <v>4000</v>
      </c>
      <c r="D17" s="19" t="s">
        <v>4430</v>
      </c>
      <c r="E17" s="152" t="s">
        <v>4425</v>
      </c>
      <c r="F17" s="19" t="s">
        <v>4246</v>
      </c>
      <c r="G17" s="154" t="s">
        <v>4427</v>
      </c>
      <c r="H17" s="152" t="s">
        <v>4443</v>
      </c>
    </row>
    <row r="18" customFormat="false" ht="24" hidden="false" customHeight="true" outlineLevel="0" collapsed="false">
      <c r="B18" s="9" t="s">
        <v>4445</v>
      </c>
      <c r="C18" s="153" t="n">
        <v>2000</v>
      </c>
      <c r="D18" s="19" t="s">
        <v>4430</v>
      </c>
      <c r="E18" s="152" t="s">
        <v>4446</v>
      </c>
      <c r="F18" s="19" t="s">
        <v>4246</v>
      </c>
      <c r="G18" s="154" t="s">
        <v>4427</v>
      </c>
      <c r="H18" s="152" t="s">
        <v>4447</v>
      </c>
    </row>
    <row r="19" customFormat="false" ht="24" hidden="false" customHeight="true" outlineLevel="0" collapsed="false">
      <c r="B19" s="9" t="s">
        <v>4448</v>
      </c>
      <c r="C19" s="155" t="n">
        <v>0.2</v>
      </c>
      <c r="D19" s="19" t="s">
        <v>4430</v>
      </c>
      <c r="E19" s="152" t="s">
        <v>4449</v>
      </c>
      <c r="F19" s="19" t="s">
        <v>4246</v>
      </c>
      <c r="G19" s="154" t="s">
        <v>4427</v>
      </c>
      <c r="H19" s="152" t="s">
        <v>4447</v>
      </c>
    </row>
    <row r="20" customFormat="false" ht="24" hidden="false" customHeight="true" outlineLevel="0" collapsed="false">
      <c r="B20" s="9" t="s">
        <v>4450</v>
      </c>
      <c r="C20" s="153" t="n">
        <v>1900</v>
      </c>
      <c r="D20" s="19" t="s">
        <v>4430</v>
      </c>
      <c r="E20" s="152" t="s">
        <v>4431</v>
      </c>
      <c r="F20" s="19" t="s">
        <v>4426</v>
      </c>
      <c r="G20" s="154" t="s">
        <v>4432</v>
      </c>
      <c r="H20" s="152" t="s">
        <v>4433</v>
      </c>
    </row>
    <row r="21" customFormat="false" ht="24" hidden="false" customHeight="true" outlineLevel="0" collapsed="false">
      <c r="B21" s="9" t="s">
        <v>4451</v>
      </c>
      <c r="C21" s="153" t="n">
        <v>1000</v>
      </c>
      <c r="D21" s="19" t="s">
        <v>4430</v>
      </c>
      <c r="E21" s="152" t="s">
        <v>4431</v>
      </c>
      <c r="F21" s="19" t="s">
        <v>4452</v>
      </c>
      <c r="G21" s="154" t="s">
        <v>4432</v>
      </c>
      <c r="H21" s="152" t="s">
        <v>4453</v>
      </c>
    </row>
    <row r="22" customFormat="false" ht="24" hidden="false" customHeight="true" outlineLevel="0" collapsed="false">
      <c r="B22" s="9" t="s">
        <v>4454</v>
      </c>
      <c r="C22" s="153" t="n">
        <v>2000</v>
      </c>
      <c r="D22" s="19" t="s">
        <v>4430</v>
      </c>
      <c r="E22" s="152" t="s">
        <v>4431</v>
      </c>
      <c r="F22" s="19" t="s">
        <v>4452</v>
      </c>
      <c r="G22" s="154" t="s">
        <v>4432</v>
      </c>
      <c r="H22" s="152" t="s">
        <v>4453</v>
      </c>
    </row>
    <row r="23" customFormat="false" ht="24" hidden="false" customHeight="true" outlineLevel="0" collapsed="false">
      <c r="B23" s="9" t="s">
        <v>4455</v>
      </c>
      <c r="C23" s="153" t="n">
        <v>1950</v>
      </c>
      <c r="D23" s="19" t="s">
        <v>4430</v>
      </c>
      <c r="E23" s="152" t="s">
        <v>4431</v>
      </c>
      <c r="F23" s="19" t="s">
        <v>4246</v>
      </c>
      <c r="G23" s="154" t="s">
        <v>4456</v>
      </c>
      <c r="H23" s="152" t="s">
        <v>4457</v>
      </c>
    </row>
    <row r="24" customFormat="false" ht="15" hidden="false" customHeight="true" outlineLevel="0" collapsed="false">
      <c r="B24" s="15" t="s">
        <v>4458</v>
      </c>
      <c r="C24" s="16"/>
      <c r="D24" s="16"/>
      <c r="E24" s="16"/>
      <c r="F24" s="16"/>
      <c r="G24" s="16"/>
      <c r="H24" s="16"/>
    </row>
    <row r="25" customFormat="false" ht="15" hidden="false" customHeight="true" outlineLevel="0" collapsed="false">
      <c r="B25" s="18" t="s">
        <v>4415</v>
      </c>
      <c r="C25" s="18" t="s">
        <v>1521</v>
      </c>
      <c r="D25" s="18" t="s">
        <v>4416</v>
      </c>
      <c r="E25" s="18" t="s">
        <v>4417</v>
      </c>
      <c r="F25" s="18" t="s">
        <v>4418</v>
      </c>
      <c r="G25" s="18" t="s">
        <v>4419</v>
      </c>
      <c r="H25" s="18" t="s">
        <v>4420</v>
      </c>
    </row>
    <row r="26" customFormat="false" ht="24" hidden="false" customHeight="true" outlineLevel="0" collapsed="false">
      <c r="B26" s="9" t="s">
        <v>4459</v>
      </c>
      <c r="C26" s="153" t="n">
        <v>13000</v>
      </c>
      <c r="D26" s="19" t="s">
        <v>4430</v>
      </c>
      <c r="E26" s="152" t="s">
        <v>4425</v>
      </c>
      <c r="F26" s="19" t="s">
        <v>4246</v>
      </c>
      <c r="G26" s="154" t="s">
        <v>4427</v>
      </c>
      <c r="H26" s="152" t="s">
        <v>4460</v>
      </c>
    </row>
    <row r="27" customFormat="false" ht="24" hidden="false" customHeight="true" outlineLevel="0" collapsed="false">
      <c r="B27" s="9" t="s">
        <v>4461</v>
      </c>
      <c r="C27" s="153" t="n">
        <v>12012</v>
      </c>
      <c r="D27" s="19" t="s">
        <v>4430</v>
      </c>
      <c r="E27" s="152" t="s">
        <v>4425</v>
      </c>
      <c r="F27" s="19" t="s">
        <v>4426</v>
      </c>
      <c r="G27" s="154" t="s">
        <v>4427</v>
      </c>
      <c r="H27" s="152" t="s">
        <v>4462</v>
      </c>
    </row>
    <row r="28" customFormat="false" ht="24" hidden="false" customHeight="true" outlineLevel="0" collapsed="false">
      <c r="B28" s="9" t="s">
        <v>4463</v>
      </c>
      <c r="C28" s="153" t="n">
        <v>28700</v>
      </c>
      <c r="D28" s="19" t="s">
        <v>4430</v>
      </c>
      <c r="E28" s="152" t="s">
        <v>4425</v>
      </c>
      <c r="F28" s="19" t="s">
        <v>4426</v>
      </c>
      <c r="G28" s="154" t="s">
        <v>4427</v>
      </c>
      <c r="H28" s="152" t="s">
        <v>4462</v>
      </c>
    </row>
    <row r="29" customFormat="false" ht="24" hidden="false" customHeight="true" outlineLevel="0" collapsed="false">
      <c r="B29" s="9" t="s">
        <v>4464</v>
      </c>
      <c r="C29" s="153" t="n">
        <v>70044</v>
      </c>
      <c r="D29" s="19" t="s">
        <v>4430</v>
      </c>
      <c r="E29" s="152" t="s">
        <v>4425</v>
      </c>
      <c r="F29" s="19" t="s">
        <v>4426</v>
      </c>
      <c r="G29" s="154" t="s">
        <v>4427</v>
      </c>
      <c r="H29" s="152" t="s">
        <v>4462</v>
      </c>
    </row>
    <row r="30" customFormat="false" ht="24" hidden="false" customHeight="true" outlineLevel="0" collapsed="false">
      <c r="B30" s="9" t="s">
        <v>4465</v>
      </c>
      <c r="C30" s="156" t="n">
        <v>0.005</v>
      </c>
      <c r="D30" s="19" t="s">
        <v>4430</v>
      </c>
      <c r="E30" s="152" t="s">
        <v>4425</v>
      </c>
      <c r="F30" s="19" t="s">
        <v>4246</v>
      </c>
      <c r="G30" s="154" t="s">
        <v>4427</v>
      </c>
      <c r="H30" s="152" t="s">
        <v>4462</v>
      </c>
    </row>
    <row r="31" customFormat="false" ht="24" hidden="false" customHeight="true" outlineLevel="0" collapsed="false">
      <c r="B31" s="9" t="s">
        <v>4466</v>
      </c>
      <c r="C31" s="156" t="n">
        <v>0.02</v>
      </c>
      <c r="D31" s="19" t="s">
        <v>4430</v>
      </c>
      <c r="E31" s="152" t="s">
        <v>4425</v>
      </c>
      <c r="F31" s="19" t="s">
        <v>4246</v>
      </c>
      <c r="G31" s="154" t="s">
        <v>4427</v>
      </c>
      <c r="H31" s="152" t="s">
        <v>4462</v>
      </c>
    </row>
    <row r="32" customFormat="false" ht="24" hidden="false" customHeight="true" outlineLevel="0" collapsed="false">
      <c r="B32" s="9" t="s">
        <v>4467</v>
      </c>
      <c r="C32" s="156" t="n">
        <v>0.03</v>
      </c>
      <c r="D32" s="19" t="s">
        <v>4430</v>
      </c>
      <c r="E32" s="152" t="s">
        <v>4425</v>
      </c>
      <c r="F32" s="19" t="s">
        <v>4246</v>
      </c>
      <c r="G32" s="154" t="s">
        <v>4427</v>
      </c>
      <c r="H32" s="152" t="s">
        <v>4462</v>
      </c>
    </row>
    <row r="33" customFormat="false" ht="24" hidden="false" customHeight="true" outlineLevel="0" collapsed="false">
      <c r="B33" s="9" t="s">
        <v>4468</v>
      </c>
      <c r="C33" s="156" t="n">
        <v>0.08</v>
      </c>
      <c r="D33" s="19" t="s">
        <v>4430</v>
      </c>
      <c r="E33" s="152" t="s">
        <v>4425</v>
      </c>
      <c r="F33" s="19" t="s">
        <v>4246</v>
      </c>
      <c r="G33" s="154" t="s">
        <v>4427</v>
      </c>
      <c r="H33" s="152" t="s">
        <v>4462</v>
      </c>
    </row>
    <row r="34" customFormat="false" ht="39.75" hidden="false" customHeight="true" outlineLevel="0" collapsed="false">
      <c r="B34" s="17" t="s">
        <v>4469</v>
      </c>
      <c r="C34" s="17"/>
      <c r="D34" s="17"/>
      <c r="E34" s="152" t="s">
        <v>4425</v>
      </c>
    </row>
    <row r="35" customFormat="false" ht="15" hidden="false" customHeight="true" outlineLevel="0" collapsed="false">
      <c r="B35" s="15" t="s">
        <v>4470</v>
      </c>
      <c r="C35" s="16"/>
      <c r="D35" s="16"/>
      <c r="E35" s="16"/>
      <c r="F35" s="16"/>
      <c r="G35" s="16"/>
      <c r="H35" s="16"/>
    </row>
    <row r="36" customFormat="false" ht="15" hidden="false" customHeight="true" outlineLevel="0" collapsed="false">
      <c r="B36" s="18" t="s">
        <v>4415</v>
      </c>
      <c r="C36" s="18" t="s">
        <v>1521</v>
      </c>
      <c r="D36" s="18" t="s">
        <v>4416</v>
      </c>
      <c r="E36" s="18" t="s">
        <v>4417</v>
      </c>
      <c r="F36" s="18" t="s">
        <v>4418</v>
      </c>
      <c r="G36" s="18" t="s">
        <v>4419</v>
      </c>
      <c r="H36" s="18" t="s">
        <v>4420</v>
      </c>
    </row>
    <row r="37" customFormat="false" ht="24" hidden="false" customHeight="true" outlineLevel="0" collapsed="false">
      <c r="B37" s="9" t="s">
        <v>4471</v>
      </c>
      <c r="C37" s="157" t="n">
        <v>0.0435</v>
      </c>
      <c r="D37" s="19" t="s">
        <v>4430</v>
      </c>
      <c r="E37" s="152" t="s">
        <v>4472</v>
      </c>
      <c r="F37" s="19" t="s">
        <v>4473</v>
      </c>
      <c r="G37" s="154" t="s">
        <v>4427</v>
      </c>
      <c r="H37" s="152" t="s">
        <v>4474</v>
      </c>
    </row>
    <row r="38" customFormat="false" ht="24" hidden="false" customHeight="true" outlineLevel="0" collapsed="false">
      <c r="B38" s="9" t="s">
        <v>4475</v>
      </c>
      <c r="C38" s="158" t="n">
        <v>0.042375</v>
      </c>
      <c r="D38" s="19" t="s">
        <v>4476</v>
      </c>
      <c r="E38" s="152" t="s">
        <v>4472</v>
      </c>
      <c r="F38" s="19" t="s">
        <v>4246</v>
      </c>
      <c r="G38" s="154" t="s">
        <v>4427</v>
      </c>
      <c r="H38" s="152" t="s">
        <v>4477</v>
      </c>
    </row>
    <row r="39" customFormat="false" ht="24" hidden="false" customHeight="true" outlineLevel="0" collapsed="false">
      <c r="B39" s="9" t="s">
        <v>4478</v>
      </c>
      <c r="C39" s="153" t="n">
        <v>352</v>
      </c>
      <c r="D39" s="19" t="s">
        <v>4430</v>
      </c>
      <c r="E39" s="152" t="s">
        <v>4479</v>
      </c>
      <c r="F39" s="19" t="s">
        <v>4246</v>
      </c>
      <c r="G39" s="154" t="s">
        <v>4427</v>
      </c>
      <c r="H39" s="152" t="s">
        <v>4480</v>
      </c>
    </row>
    <row r="40" customFormat="false" ht="24" hidden="false" customHeight="true" outlineLevel="0" collapsed="false">
      <c r="B40" s="9" t="s">
        <v>4481</v>
      </c>
      <c r="C40" s="153" t="n">
        <v>12</v>
      </c>
      <c r="D40" s="19" t="s">
        <v>4430</v>
      </c>
      <c r="E40" s="152" t="s">
        <v>4449</v>
      </c>
      <c r="F40" s="19" t="s">
        <v>4246</v>
      </c>
      <c r="G40" s="154" t="s">
        <v>4427</v>
      </c>
      <c r="H40" s="152" t="s">
        <v>4480</v>
      </c>
    </row>
    <row r="41" customFormat="false" ht="24" hidden="false" customHeight="true" outlineLevel="0" collapsed="false">
      <c r="B41" s="9" t="s">
        <v>4482</v>
      </c>
      <c r="C41" s="153" t="n">
        <v>424</v>
      </c>
      <c r="D41" s="19" t="s">
        <v>4430</v>
      </c>
      <c r="E41" s="152" t="s">
        <v>4449</v>
      </c>
      <c r="F41" s="19" t="s">
        <v>4246</v>
      </c>
      <c r="G41" s="154" t="s">
        <v>4427</v>
      </c>
      <c r="H41" s="152" t="s">
        <v>4480</v>
      </c>
    </row>
    <row r="42" customFormat="false" ht="24" hidden="false" customHeight="true" outlineLevel="0" collapsed="false">
      <c r="B42" s="9" t="s">
        <v>4483</v>
      </c>
      <c r="C42" s="159" t="n">
        <v>6</v>
      </c>
      <c r="D42" s="19" t="s">
        <v>4430</v>
      </c>
      <c r="E42" s="152" t="s">
        <v>4449</v>
      </c>
      <c r="F42" s="19" t="s">
        <v>4246</v>
      </c>
      <c r="G42" s="154" t="s">
        <v>4427</v>
      </c>
      <c r="H42" s="152" t="s">
        <v>4480</v>
      </c>
    </row>
    <row r="43" customFormat="false" ht="39.75" hidden="false" customHeight="true" outlineLevel="0" collapsed="false">
      <c r="B43" s="17" t="s">
        <v>4484</v>
      </c>
      <c r="C43" s="17"/>
      <c r="D43" s="17"/>
      <c r="E43" s="152" t="s">
        <v>4485</v>
      </c>
    </row>
    <row r="44" customFormat="false" ht="15" hidden="false" customHeight="true" outlineLevel="0" collapsed="false">
      <c r="B44" s="15" t="s">
        <v>4486</v>
      </c>
      <c r="C44" s="16"/>
      <c r="D44" s="16"/>
      <c r="E44" s="16"/>
      <c r="F44" s="16"/>
      <c r="G44" s="16"/>
      <c r="H44" s="16"/>
    </row>
    <row r="45" customFormat="false" ht="15" hidden="false" customHeight="true" outlineLevel="0" collapsed="false">
      <c r="B45" s="18" t="s">
        <v>4415</v>
      </c>
      <c r="C45" s="18" t="s">
        <v>1521</v>
      </c>
      <c r="D45" s="18" t="s">
        <v>4416</v>
      </c>
      <c r="E45" s="18" t="s">
        <v>4417</v>
      </c>
      <c r="F45" s="18" t="s">
        <v>4418</v>
      </c>
      <c r="G45" s="18" t="s">
        <v>4419</v>
      </c>
      <c r="H45" s="18" t="s">
        <v>4420</v>
      </c>
    </row>
    <row r="46" customFormat="false" ht="15" hidden="false" customHeight="true" outlineLevel="0" collapsed="false">
      <c r="B46" s="9" t="s">
        <v>4487</v>
      </c>
      <c r="C46" s="160" t="n">
        <v>0</v>
      </c>
      <c r="D46" s="155" t="n">
        <v>0.15</v>
      </c>
      <c r="E46" s="161" t="s">
        <v>4488</v>
      </c>
      <c r="F46" s="14" t="s">
        <v>4489</v>
      </c>
      <c r="G46" s="162" t="s">
        <v>4432</v>
      </c>
      <c r="H46" s="161" t="s">
        <v>4490</v>
      </c>
    </row>
    <row r="47" customFormat="false" ht="15" hidden="false" customHeight="true" outlineLevel="0" collapsed="false">
      <c r="B47" s="9" t="s">
        <v>4491</v>
      </c>
      <c r="C47" s="160" t="n">
        <v>30</v>
      </c>
      <c r="D47" s="155" t="n">
        <v>0.2</v>
      </c>
      <c r="E47" s="161" t="s">
        <v>4488</v>
      </c>
      <c r="F47" s="14" t="s">
        <v>4489</v>
      </c>
      <c r="G47" s="162" t="s">
        <v>4432</v>
      </c>
      <c r="H47" s="161" t="s">
        <v>4490</v>
      </c>
    </row>
    <row r="48" customFormat="false" ht="15" hidden="false" customHeight="true" outlineLevel="0" collapsed="false">
      <c r="B48" s="9" t="s">
        <v>4492</v>
      </c>
      <c r="C48" s="160" t="n">
        <v>40</v>
      </c>
      <c r="D48" s="155" t="n">
        <v>0.25</v>
      </c>
      <c r="E48" s="161" t="s">
        <v>4488</v>
      </c>
      <c r="F48" s="14" t="s">
        <v>4489</v>
      </c>
      <c r="G48" s="162" t="s">
        <v>4432</v>
      </c>
      <c r="H48" s="161" t="s">
        <v>4490</v>
      </c>
    </row>
    <row r="49" customFormat="false" ht="15" hidden="false" customHeight="true" outlineLevel="0" collapsed="false">
      <c r="B49" s="9" t="s">
        <v>4493</v>
      </c>
      <c r="C49" s="160" t="n">
        <v>50</v>
      </c>
      <c r="D49" s="155" t="n">
        <v>0.3</v>
      </c>
      <c r="E49" s="161" t="s">
        <v>4488</v>
      </c>
      <c r="F49" s="14" t="s">
        <v>4489</v>
      </c>
      <c r="G49" s="162" t="s">
        <v>4432</v>
      </c>
      <c r="H49" s="161" t="s">
        <v>4490</v>
      </c>
    </row>
    <row r="50" customFormat="false" ht="15" hidden="false" customHeight="true" outlineLevel="0" collapsed="false">
      <c r="B50" s="9" t="s">
        <v>4494</v>
      </c>
      <c r="C50" s="160" t="n">
        <v>55</v>
      </c>
      <c r="D50" s="155" t="n">
        <v>0.35</v>
      </c>
      <c r="E50" s="161" t="s">
        <v>4488</v>
      </c>
      <c r="F50" s="14" t="s">
        <v>4489</v>
      </c>
      <c r="G50" s="162" t="s">
        <v>4432</v>
      </c>
      <c r="H50" s="161" t="s">
        <v>4490</v>
      </c>
    </row>
    <row r="51" customFormat="false" ht="15" hidden="false" customHeight="true" outlineLevel="0" collapsed="false">
      <c r="B51" s="9" t="s">
        <v>4495</v>
      </c>
      <c r="C51" s="160" t="n">
        <v>60</v>
      </c>
      <c r="D51" s="155" t="n">
        <v>0.4</v>
      </c>
      <c r="E51" s="161" t="s">
        <v>4488</v>
      </c>
      <c r="F51" s="14" t="s">
        <v>4489</v>
      </c>
      <c r="G51" s="162" t="s">
        <v>4432</v>
      </c>
      <c r="H51" s="161" t="s">
        <v>4490</v>
      </c>
    </row>
    <row r="52" customFormat="false" ht="24" hidden="false" customHeight="true" outlineLevel="0" collapsed="false">
      <c r="B52" s="9" t="s">
        <v>4496</v>
      </c>
      <c r="C52" s="153" t="n">
        <v>115000</v>
      </c>
      <c r="D52" s="19" t="s">
        <v>138</v>
      </c>
      <c r="E52" s="152" t="s">
        <v>4488</v>
      </c>
      <c r="F52" s="19" t="s">
        <v>4489</v>
      </c>
      <c r="G52" s="154" t="s">
        <v>4432</v>
      </c>
      <c r="H52" s="152" t="s">
        <v>4497</v>
      </c>
    </row>
    <row r="53" customFormat="false" ht="24" hidden="false" customHeight="true" outlineLevel="0" collapsed="false">
      <c r="B53" s="9" t="s">
        <v>4498</v>
      </c>
      <c r="C53" s="155" t="n">
        <v>0.25</v>
      </c>
      <c r="D53" s="19" t="s">
        <v>59</v>
      </c>
      <c r="E53" s="152" t="s">
        <v>4499</v>
      </c>
      <c r="F53" s="19" t="s">
        <v>4500</v>
      </c>
      <c r="G53" s="154" t="s">
        <v>4432</v>
      </c>
      <c r="H53" s="152" t="s">
        <v>4501</v>
      </c>
    </row>
    <row r="54" customFormat="false" ht="24" hidden="false" customHeight="true" outlineLevel="0" collapsed="false">
      <c r="B54" s="9" t="s">
        <v>4502</v>
      </c>
      <c r="C54" s="153" t="n">
        <v>200000</v>
      </c>
      <c r="D54" s="19" t="s">
        <v>59</v>
      </c>
      <c r="E54" s="152" t="s">
        <v>4499</v>
      </c>
      <c r="F54" s="19" t="s">
        <v>4500</v>
      </c>
      <c r="G54" s="154" t="s">
        <v>4432</v>
      </c>
      <c r="H54" s="152" t="s">
        <v>4501</v>
      </c>
    </row>
    <row r="55" customFormat="false" ht="24" hidden="false" customHeight="true" outlineLevel="0" collapsed="false">
      <c r="B55" s="9" t="s">
        <v>4503</v>
      </c>
      <c r="C55" s="153" t="n">
        <v>500000</v>
      </c>
      <c r="D55" s="19" t="s">
        <v>59</v>
      </c>
      <c r="E55" s="152" t="s">
        <v>4499</v>
      </c>
      <c r="F55" s="19" t="s">
        <v>4500</v>
      </c>
      <c r="G55" s="154" t="s">
        <v>4432</v>
      </c>
      <c r="H55" s="152" t="s">
        <v>4501</v>
      </c>
    </row>
    <row r="56" customFormat="false" ht="24" hidden="false" customHeight="true" outlineLevel="0" collapsed="false">
      <c r="B56" s="9" t="s">
        <v>4504</v>
      </c>
      <c r="C56" s="155" t="n">
        <v>0.2</v>
      </c>
      <c r="D56" s="19" t="s">
        <v>59</v>
      </c>
      <c r="E56" s="152" t="s">
        <v>4499</v>
      </c>
      <c r="F56" s="19" t="s">
        <v>4500</v>
      </c>
      <c r="G56" s="154" t="s">
        <v>4432</v>
      </c>
      <c r="H56" s="152" t="s">
        <v>4501</v>
      </c>
    </row>
    <row r="57" customFormat="false" ht="24" hidden="false" customHeight="true" outlineLevel="0" collapsed="false">
      <c r="B57" s="9" t="s">
        <v>4505</v>
      </c>
      <c r="C57" s="153" t="n">
        <v>2200000</v>
      </c>
      <c r="D57" s="19" t="s">
        <v>4506</v>
      </c>
      <c r="E57" s="152" t="s">
        <v>4499</v>
      </c>
      <c r="F57" s="19" t="s">
        <v>4426</v>
      </c>
      <c r="G57" s="154" t="s">
        <v>4432</v>
      </c>
      <c r="H57" s="152" t="s">
        <v>4507</v>
      </c>
    </row>
    <row r="58" customFormat="false" ht="24" hidden="false" customHeight="true" outlineLevel="0" collapsed="false">
      <c r="B58" s="9" t="s">
        <v>4508</v>
      </c>
      <c r="C58" s="155" t="n">
        <v>0.4</v>
      </c>
      <c r="D58" s="19" t="s">
        <v>4506</v>
      </c>
      <c r="E58" s="152" t="s">
        <v>4499</v>
      </c>
      <c r="F58" s="19" t="s">
        <v>4509</v>
      </c>
      <c r="G58" s="154" t="s">
        <v>4432</v>
      </c>
      <c r="H58" s="152" t="s">
        <v>4507</v>
      </c>
    </row>
    <row r="59" customFormat="false" ht="24" hidden="false" customHeight="true" outlineLevel="0" collapsed="false">
      <c r="B59" s="9" t="s">
        <v>4510</v>
      </c>
      <c r="C59" s="159" t="n">
        <v>60</v>
      </c>
      <c r="D59" s="19" t="s">
        <v>4506</v>
      </c>
      <c r="E59" s="152" t="s">
        <v>4511</v>
      </c>
      <c r="F59" s="19" t="s">
        <v>4509</v>
      </c>
      <c r="G59" s="154" t="s">
        <v>4512</v>
      </c>
      <c r="H59" s="152" t="s">
        <v>4513</v>
      </c>
    </row>
    <row r="60" customFormat="false" ht="39.75" hidden="false" customHeight="true" outlineLevel="0" collapsed="false">
      <c r="B60" s="17" t="s">
        <v>4514</v>
      </c>
      <c r="C60" s="17"/>
      <c r="D60" s="17"/>
      <c r="E60" s="152" t="s">
        <v>4515</v>
      </c>
    </row>
    <row r="61" customFormat="false" ht="15" hidden="false" customHeight="true" outlineLevel="0" collapsed="false">
      <c r="B61" s="15" t="s">
        <v>4516</v>
      </c>
      <c r="C61" s="16"/>
      <c r="D61" s="16"/>
      <c r="E61" s="16"/>
      <c r="F61" s="16"/>
      <c r="G61" s="16"/>
      <c r="H61" s="16"/>
    </row>
    <row r="62" customFormat="false" ht="15" hidden="false" customHeight="true" outlineLevel="0" collapsed="false">
      <c r="B62" s="18" t="s">
        <v>4415</v>
      </c>
      <c r="C62" s="18" t="s">
        <v>1521</v>
      </c>
      <c r="D62" s="18" t="s">
        <v>4416</v>
      </c>
      <c r="E62" s="18" t="s">
        <v>4417</v>
      </c>
      <c r="F62" s="18" t="s">
        <v>4418</v>
      </c>
      <c r="G62" s="18" t="s">
        <v>4419</v>
      </c>
      <c r="H62" s="18" t="s">
        <v>4420</v>
      </c>
    </row>
    <row r="63" customFormat="false" ht="24" hidden="false" customHeight="true" outlineLevel="0" collapsed="false">
      <c r="B63" s="9" t="s">
        <v>4517</v>
      </c>
      <c r="C63" s="163" t="n">
        <v>299.3</v>
      </c>
      <c r="D63" s="19" t="s">
        <v>4518</v>
      </c>
      <c r="E63" s="152" t="s">
        <v>4519</v>
      </c>
      <c r="F63" s="19" t="s">
        <v>4426</v>
      </c>
      <c r="G63" s="154" t="s">
        <v>4427</v>
      </c>
      <c r="H63" s="152" t="s">
        <v>4520</v>
      </c>
    </row>
    <row r="64" customFormat="false" ht="24" hidden="false" customHeight="true" outlineLevel="0" collapsed="false">
      <c r="B64" s="9" t="s">
        <v>4521</v>
      </c>
      <c r="C64" s="163" t="n">
        <f aca="false">State_Pension_Week*Weeks_Per_Year</f>
        <v>15563.6</v>
      </c>
      <c r="D64" s="19" t="s">
        <v>4522</v>
      </c>
      <c r="E64" s="152" t="s">
        <v>4519</v>
      </c>
      <c r="F64" s="19" t="s">
        <v>4426</v>
      </c>
      <c r="G64" s="154" t="s">
        <v>4427</v>
      </c>
      <c r="H64" s="152" t="s">
        <v>4520</v>
      </c>
    </row>
    <row r="65" customFormat="false" ht="24" hidden="false" customHeight="true" outlineLevel="0" collapsed="false">
      <c r="B65" s="9" t="s">
        <v>4523</v>
      </c>
      <c r="C65" s="159" t="n">
        <v>66</v>
      </c>
      <c r="D65" s="19" t="s">
        <v>4524</v>
      </c>
      <c r="E65" s="152" t="s">
        <v>4525</v>
      </c>
      <c r="F65" s="19" t="s">
        <v>4509</v>
      </c>
      <c r="G65" s="154" t="s">
        <v>4427</v>
      </c>
      <c r="H65" s="152" t="s">
        <v>4526</v>
      </c>
    </row>
    <row r="66" customFormat="false" ht="24" hidden="false" customHeight="true" outlineLevel="0" collapsed="false">
      <c r="B66" s="9" t="s">
        <v>4527</v>
      </c>
      <c r="C66" s="163" t="n">
        <v>259.5</v>
      </c>
      <c r="D66" s="19" t="s">
        <v>78</v>
      </c>
      <c r="E66" s="152" t="s">
        <v>4528</v>
      </c>
      <c r="F66" s="19" t="s">
        <v>4426</v>
      </c>
      <c r="G66" s="154" t="s">
        <v>4432</v>
      </c>
      <c r="H66" s="152" t="s">
        <v>4529</v>
      </c>
    </row>
    <row r="67" customFormat="false" ht="24" hidden="false" customHeight="true" outlineLevel="0" collapsed="false">
      <c r="B67" s="9" t="s">
        <v>4530</v>
      </c>
      <c r="C67" s="163" t="n">
        <v>299.3</v>
      </c>
      <c r="D67" s="19" t="s">
        <v>4531</v>
      </c>
      <c r="E67" s="152" t="s">
        <v>4449</v>
      </c>
      <c r="F67" s="19" t="s">
        <v>4426</v>
      </c>
      <c r="G67" s="154" t="s">
        <v>4432</v>
      </c>
      <c r="H67" s="152" t="s">
        <v>4529</v>
      </c>
    </row>
    <row r="68" customFormat="false" ht="24" hidden="false" customHeight="true" outlineLevel="0" collapsed="false">
      <c r="B68" s="9" t="s">
        <v>4532</v>
      </c>
      <c r="C68" s="163" t="n">
        <v>254</v>
      </c>
      <c r="D68" s="19" t="s">
        <v>81</v>
      </c>
      <c r="E68" s="152" t="s">
        <v>4533</v>
      </c>
      <c r="F68" s="19" t="s">
        <v>4426</v>
      </c>
      <c r="G68" s="154" t="s">
        <v>4432</v>
      </c>
      <c r="H68" s="152" t="s">
        <v>4534</v>
      </c>
    </row>
    <row r="69" customFormat="false" ht="24" hidden="false" customHeight="true" outlineLevel="0" collapsed="false">
      <c r="B69" s="9" t="s">
        <v>4535</v>
      </c>
      <c r="C69" s="155" t="n">
        <v>0.75</v>
      </c>
      <c r="D69" s="19" t="s">
        <v>81</v>
      </c>
      <c r="E69" s="152" t="s">
        <v>4536</v>
      </c>
      <c r="F69" s="19" t="s">
        <v>4537</v>
      </c>
      <c r="G69" s="154" t="s">
        <v>4538</v>
      </c>
      <c r="H69" s="152" t="s">
        <v>4539</v>
      </c>
    </row>
    <row r="70" customFormat="false" ht="24" hidden="false" customHeight="true" outlineLevel="0" collapsed="false">
      <c r="B70" s="9" t="s">
        <v>4540</v>
      </c>
      <c r="C70" s="159" t="n">
        <v>52</v>
      </c>
      <c r="D70" s="19" t="s">
        <v>4541</v>
      </c>
      <c r="E70" s="152" t="s">
        <v>4542</v>
      </c>
      <c r="F70" s="19" t="s">
        <v>4378</v>
      </c>
      <c r="G70" s="152" t="s">
        <v>3</v>
      </c>
      <c r="H70" s="152" t="s">
        <v>4378</v>
      </c>
    </row>
    <row r="71" customFormat="false" ht="15" hidden="false" customHeight="true" outlineLevel="0" collapsed="false">
      <c r="B71" s="15" t="s">
        <v>4543</v>
      </c>
      <c r="C71" s="16"/>
      <c r="D71" s="16"/>
      <c r="E71" s="16"/>
      <c r="F71" s="16"/>
      <c r="G71" s="16"/>
      <c r="H71" s="16"/>
    </row>
    <row r="72" customFormat="false" ht="15" hidden="false" customHeight="true" outlineLevel="0" collapsed="false">
      <c r="B72" s="18" t="s">
        <v>4415</v>
      </c>
      <c r="C72" s="18" t="s">
        <v>1521</v>
      </c>
      <c r="D72" s="18" t="s">
        <v>4416</v>
      </c>
      <c r="E72" s="18" t="s">
        <v>4417</v>
      </c>
      <c r="F72" s="18" t="s">
        <v>4418</v>
      </c>
      <c r="G72" s="18" t="s">
        <v>4419</v>
      </c>
      <c r="H72" s="18" t="s">
        <v>4420</v>
      </c>
    </row>
    <row r="73" customFormat="false" ht="24" hidden="false" customHeight="true" outlineLevel="0" collapsed="false">
      <c r="B73" s="9" t="s">
        <v>4544</v>
      </c>
      <c r="C73" s="155" t="n">
        <v>0.33</v>
      </c>
      <c r="D73" s="19" t="s">
        <v>4545</v>
      </c>
      <c r="E73" s="152" t="s">
        <v>4546</v>
      </c>
      <c r="F73" s="19" t="s">
        <v>4246</v>
      </c>
      <c r="G73" s="154" t="s">
        <v>4432</v>
      </c>
      <c r="H73" s="152" t="s">
        <v>4547</v>
      </c>
    </row>
    <row r="74" customFormat="false" ht="24" hidden="false" customHeight="true" outlineLevel="0" collapsed="false">
      <c r="B74" s="9" t="s">
        <v>4548</v>
      </c>
      <c r="C74" s="155" t="n">
        <v>0.38</v>
      </c>
      <c r="D74" s="19" t="s">
        <v>4545</v>
      </c>
      <c r="E74" s="152" t="s">
        <v>4549</v>
      </c>
      <c r="F74" s="19" t="s">
        <v>4426</v>
      </c>
      <c r="G74" s="154" t="s">
        <v>4427</v>
      </c>
      <c r="H74" s="152" t="s">
        <v>4550</v>
      </c>
    </row>
    <row r="75" customFormat="false" ht="24" hidden="false" customHeight="true" outlineLevel="0" collapsed="false">
      <c r="B75" s="9" t="s">
        <v>4551</v>
      </c>
      <c r="C75" s="159" t="n">
        <v>8</v>
      </c>
      <c r="D75" s="19" t="s">
        <v>4552</v>
      </c>
      <c r="E75" s="152" t="s">
        <v>4553</v>
      </c>
      <c r="F75" s="19" t="s">
        <v>4246</v>
      </c>
      <c r="G75" s="154" t="s">
        <v>4432</v>
      </c>
      <c r="H75" s="152" t="s">
        <v>4554</v>
      </c>
    </row>
    <row r="76" customFormat="false" ht="24" hidden="false" customHeight="true" outlineLevel="0" collapsed="false">
      <c r="B76" s="9" t="s">
        <v>4555</v>
      </c>
      <c r="C76" s="155" t="n">
        <v>0.01</v>
      </c>
      <c r="D76" s="19" t="s">
        <v>4556</v>
      </c>
      <c r="E76" s="152" t="s">
        <v>4557</v>
      </c>
      <c r="F76" s="19" t="s">
        <v>4246</v>
      </c>
      <c r="G76" s="154" t="s">
        <v>4427</v>
      </c>
      <c r="H76" s="152" t="s">
        <v>4558</v>
      </c>
    </row>
    <row r="77" customFormat="false" ht="15" hidden="false" customHeight="true" outlineLevel="0" collapsed="false">
      <c r="B77" s="15" t="s">
        <v>4559</v>
      </c>
      <c r="C77" s="16"/>
      <c r="D77" s="16"/>
      <c r="E77" s="16"/>
      <c r="F77" s="16"/>
      <c r="G77" s="16"/>
      <c r="H77" s="16"/>
    </row>
    <row r="78" customFormat="false" ht="15" hidden="false" customHeight="true" outlineLevel="0" collapsed="false">
      <c r="B78" s="18" t="s">
        <v>4415</v>
      </c>
      <c r="C78" s="18" t="s">
        <v>1521</v>
      </c>
      <c r="D78" s="18" t="s">
        <v>4416</v>
      </c>
      <c r="E78" s="18" t="s">
        <v>4417</v>
      </c>
      <c r="F78" s="18" t="s">
        <v>4418</v>
      </c>
      <c r="G78" s="18" t="s">
        <v>4419</v>
      </c>
      <c r="H78" s="18" t="s">
        <v>4420</v>
      </c>
    </row>
    <row r="79" customFormat="false" ht="24" hidden="false" customHeight="true" outlineLevel="0" collapsed="false">
      <c r="B79" s="9" t="s">
        <v>4560</v>
      </c>
      <c r="C79" s="164" t="n">
        <v>4</v>
      </c>
      <c r="D79" s="19" t="s">
        <v>34</v>
      </c>
      <c r="E79" s="152" t="s">
        <v>4561</v>
      </c>
      <c r="F79" s="19" t="s">
        <v>4562</v>
      </c>
      <c r="G79" s="154" t="s">
        <v>4427</v>
      </c>
      <c r="H79" s="152" t="s">
        <v>4563</v>
      </c>
    </row>
    <row r="80" customFormat="false" ht="24" hidden="false" customHeight="true" outlineLevel="0" collapsed="false">
      <c r="B80" s="9" t="s">
        <v>4564</v>
      </c>
      <c r="C80" s="164" t="n">
        <v>3.5</v>
      </c>
      <c r="D80" s="19" t="s">
        <v>34</v>
      </c>
      <c r="E80" s="152" t="s">
        <v>4561</v>
      </c>
      <c r="F80" s="19" t="s">
        <v>4562</v>
      </c>
      <c r="G80" s="154" t="s">
        <v>4427</v>
      </c>
      <c r="H80" s="152" t="s">
        <v>4563</v>
      </c>
    </row>
    <row r="81" customFormat="false" ht="24" hidden="false" customHeight="true" outlineLevel="0" collapsed="false">
      <c r="B81" s="9" t="s">
        <v>4565</v>
      </c>
      <c r="C81" s="155" t="n">
        <v>0.9</v>
      </c>
      <c r="D81" s="19" t="s">
        <v>4566</v>
      </c>
      <c r="E81" s="152" t="s">
        <v>4561</v>
      </c>
      <c r="F81" s="19" t="s">
        <v>4562</v>
      </c>
      <c r="G81" s="154" t="s">
        <v>4427</v>
      </c>
      <c r="H81" s="152" t="s">
        <v>4567</v>
      </c>
    </row>
    <row r="82" customFormat="false" ht="24" hidden="false" customHeight="true" outlineLevel="0" collapsed="false">
      <c r="B82" s="9" t="s">
        <v>4568</v>
      </c>
      <c r="C82" s="155" t="n">
        <f aca="false">1-LTV_Max</f>
        <v>0.1</v>
      </c>
      <c r="D82" s="19" t="s">
        <v>4569</v>
      </c>
      <c r="E82" s="152" t="s">
        <v>4570</v>
      </c>
      <c r="F82" s="19" t="s">
        <v>4562</v>
      </c>
      <c r="G82" s="154" t="s">
        <v>4427</v>
      </c>
      <c r="H82" s="152" t="s">
        <v>4571</v>
      </c>
    </row>
    <row r="83" customFormat="false" ht="39.75" hidden="false" customHeight="true" outlineLevel="0" collapsed="false">
      <c r="B83" s="17" t="s">
        <v>4572</v>
      </c>
      <c r="C83" s="17"/>
      <c r="D83" s="17"/>
      <c r="E83" s="152" t="s">
        <v>4573</v>
      </c>
    </row>
    <row r="84" customFormat="false" ht="24" hidden="false" customHeight="true" outlineLevel="0" collapsed="false">
      <c r="B84" s="9" t="s">
        <v>4574</v>
      </c>
      <c r="C84" s="155" t="n">
        <v>0.01</v>
      </c>
      <c r="D84" s="19" t="s">
        <v>4575</v>
      </c>
      <c r="E84" s="152" t="s">
        <v>4576</v>
      </c>
      <c r="F84" s="19" t="s">
        <v>4577</v>
      </c>
      <c r="G84" s="154" t="s">
        <v>4432</v>
      </c>
      <c r="H84" s="152" t="s">
        <v>4578</v>
      </c>
    </row>
    <row r="85" customFormat="false" ht="24" hidden="false" customHeight="true" outlineLevel="0" collapsed="false">
      <c r="B85" s="9" t="s">
        <v>4579</v>
      </c>
      <c r="C85" s="153" t="n">
        <v>1000000</v>
      </c>
      <c r="D85" s="19" t="s">
        <v>4575</v>
      </c>
      <c r="E85" s="152" t="s">
        <v>4576</v>
      </c>
      <c r="F85" s="19" t="s">
        <v>4577</v>
      </c>
      <c r="G85" s="154" t="s">
        <v>4432</v>
      </c>
      <c r="H85" s="152" t="s">
        <v>4578</v>
      </c>
    </row>
    <row r="86" customFormat="false" ht="24" hidden="false" customHeight="true" outlineLevel="0" collapsed="false">
      <c r="B86" s="9" t="s">
        <v>4580</v>
      </c>
      <c r="C86" s="155" t="n">
        <v>0.02</v>
      </c>
      <c r="D86" s="19" t="s">
        <v>4575</v>
      </c>
      <c r="E86" s="152" t="s">
        <v>4576</v>
      </c>
      <c r="F86" s="19" t="s">
        <v>4577</v>
      </c>
      <c r="G86" s="154" t="s">
        <v>4432</v>
      </c>
      <c r="H86" s="152" t="s">
        <v>4578</v>
      </c>
    </row>
    <row r="87" customFormat="false" ht="24" hidden="false" customHeight="true" outlineLevel="0" collapsed="false">
      <c r="B87" s="9" t="s">
        <v>4581</v>
      </c>
      <c r="C87" s="153" t="n">
        <v>1500000</v>
      </c>
      <c r="D87" s="19" t="s">
        <v>4575</v>
      </c>
      <c r="E87" s="152" t="s">
        <v>4576</v>
      </c>
      <c r="F87" s="19" t="s">
        <v>4577</v>
      </c>
      <c r="G87" s="154" t="s">
        <v>4432</v>
      </c>
      <c r="H87" s="152" t="s">
        <v>4578</v>
      </c>
    </row>
    <row r="88" customFormat="false" ht="24" hidden="false" customHeight="true" outlineLevel="0" collapsed="false">
      <c r="B88" s="9" t="s">
        <v>4582</v>
      </c>
      <c r="C88" s="155" t="n">
        <v>0.06</v>
      </c>
      <c r="D88" s="19" t="s">
        <v>4575</v>
      </c>
      <c r="E88" s="152" t="s">
        <v>4576</v>
      </c>
      <c r="F88" s="19" t="s">
        <v>4577</v>
      </c>
      <c r="G88" s="154" t="s">
        <v>4432</v>
      </c>
      <c r="H88" s="152" t="s">
        <v>4578</v>
      </c>
    </row>
    <row r="89" customFormat="false" ht="39.75" hidden="false" customHeight="true" outlineLevel="0" collapsed="false">
      <c r="B89" s="17" t="s">
        <v>4583</v>
      </c>
      <c r="C89" s="17"/>
      <c r="D89" s="17"/>
      <c r="E89" s="152" t="s">
        <v>4584</v>
      </c>
    </row>
    <row r="90" customFormat="false" ht="15" hidden="false" customHeight="true" outlineLevel="0" collapsed="false">
      <c r="B90" s="15" t="s">
        <v>4585</v>
      </c>
      <c r="C90" s="16"/>
      <c r="D90" s="16"/>
      <c r="E90" s="16"/>
      <c r="F90" s="16"/>
      <c r="G90" s="16"/>
      <c r="H90" s="16"/>
    </row>
    <row r="91" customFormat="false" ht="15" hidden="false" customHeight="true" outlineLevel="0" collapsed="false">
      <c r="B91" s="18" t="s">
        <v>4415</v>
      </c>
      <c r="C91" s="18" t="s">
        <v>1521</v>
      </c>
      <c r="D91" s="18" t="s">
        <v>4416</v>
      </c>
      <c r="E91" s="18" t="s">
        <v>4417</v>
      </c>
      <c r="F91" s="18" t="s">
        <v>4418</v>
      </c>
      <c r="G91" s="18" t="s">
        <v>4419</v>
      </c>
      <c r="H91" s="18" t="s">
        <v>4420</v>
      </c>
    </row>
    <row r="92" customFormat="false" ht="24" hidden="false" customHeight="true" outlineLevel="0" collapsed="false">
      <c r="B92" s="9" t="s">
        <v>4586</v>
      </c>
      <c r="C92" s="155" t="n">
        <v>0.7</v>
      </c>
      <c r="D92" s="19" t="s">
        <v>76</v>
      </c>
      <c r="E92" s="152" t="s">
        <v>4587</v>
      </c>
      <c r="F92" s="19" t="s">
        <v>4378</v>
      </c>
      <c r="G92" s="152" t="s">
        <v>3</v>
      </c>
      <c r="H92" s="152" t="s">
        <v>4378</v>
      </c>
    </row>
    <row r="93" customFormat="false" ht="24" hidden="false" customHeight="true" outlineLevel="0" collapsed="false">
      <c r="B93" s="9" t="s">
        <v>4588</v>
      </c>
      <c r="C93" s="155" t="n">
        <v>0.4</v>
      </c>
      <c r="D93" s="19" t="s">
        <v>76</v>
      </c>
      <c r="E93" s="152" t="s">
        <v>4589</v>
      </c>
      <c r="F93" s="19" t="s">
        <v>4378</v>
      </c>
      <c r="G93" s="152" t="s">
        <v>3</v>
      </c>
      <c r="H93" s="152" t="s">
        <v>4378</v>
      </c>
    </row>
    <row r="94" customFormat="false" ht="24" hidden="false" customHeight="true" outlineLevel="0" collapsed="false">
      <c r="B94" s="9" t="s">
        <v>4590</v>
      </c>
      <c r="C94" s="159" t="n">
        <v>365</v>
      </c>
      <c r="D94" s="19" t="s">
        <v>4591</v>
      </c>
      <c r="E94" s="152" t="s">
        <v>4592</v>
      </c>
      <c r="F94" s="19" t="s">
        <v>4378</v>
      </c>
      <c r="G94" s="152" t="s">
        <v>3</v>
      </c>
      <c r="H94" s="152" t="s">
        <v>4378</v>
      </c>
    </row>
    <row r="95" customFormat="false" ht="24" hidden="false" customHeight="true" outlineLevel="0" collapsed="false">
      <c r="B95" s="9" t="s">
        <v>4593</v>
      </c>
      <c r="C95" s="155" t="n">
        <v>0.8</v>
      </c>
      <c r="D95" s="19" t="s">
        <v>4594</v>
      </c>
      <c r="E95" s="152" t="s">
        <v>4592</v>
      </c>
      <c r="F95" s="19" t="s">
        <v>4378</v>
      </c>
      <c r="G95" s="152" t="s">
        <v>3</v>
      </c>
      <c r="H95" s="152" t="s">
        <v>4378</v>
      </c>
    </row>
    <row r="96" customFormat="false" ht="15" hidden="false" customHeight="true" outlineLevel="0" collapsed="false">
      <c r="B96" s="15" t="s">
        <v>4595</v>
      </c>
      <c r="C96" s="16"/>
      <c r="D96" s="16"/>
      <c r="E96" s="16"/>
      <c r="F96" s="16"/>
      <c r="G96" s="16"/>
      <c r="H96" s="16"/>
    </row>
    <row r="97" customFormat="false" ht="15" hidden="false" customHeight="true" outlineLevel="0" collapsed="false">
      <c r="B97" s="18" t="s">
        <v>4415</v>
      </c>
      <c r="C97" s="18" t="s">
        <v>1521</v>
      </c>
      <c r="D97" s="18" t="s">
        <v>4416</v>
      </c>
      <c r="E97" s="18" t="s">
        <v>4417</v>
      </c>
      <c r="F97" s="18" t="s">
        <v>4418</v>
      </c>
      <c r="G97" s="18" t="s">
        <v>4419</v>
      </c>
      <c r="H97" s="18" t="s">
        <v>4420</v>
      </c>
    </row>
    <row r="98" customFormat="false" ht="24" hidden="false" customHeight="true" outlineLevel="0" collapsed="false">
      <c r="B98" s="9" t="s">
        <v>4596</v>
      </c>
      <c r="C98" s="159" t="n">
        <v>1200</v>
      </c>
      <c r="D98" s="19" t="s">
        <v>4597</v>
      </c>
      <c r="E98" s="152" t="s">
        <v>4598</v>
      </c>
      <c r="F98" s="19" t="s">
        <v>4378</v>
      </c>
      <c r="G98" s="152" t="s">
        <v>3</v>
      </c>
      <c r="H98" s="152" t="s">
        <v>4378</v>
      </c>
    </row>
    <row r="99" customFormat="false" ht="24" hidden="false" customHeight="true" outlineLevel="0" collapsed="false">
      <c r="B99" s="9" t="s">
        <v>4599</v>
      </c>
      <c r="C99" s="159" t="n">
        <v>60</v>
      </c>
      <c r="D99" s="19" t="s">
        <v>150</v>
      </c>
      <c r="E99" s="152" t="s">
        <v>4598</v>
      </c>
      <c r="F99" s="19" t="s">
        <v>4378</v>
      </c>
      <c r="G99" s="152" t="s">
        <v>3</v>
      </c>
      <c r="H99" s="152" t="s">
        <v>4378</v>
      </c>
    </row>
    <row r="100" customFormat="false" ht="24" hidden="false" customHeight="true" outlineLevel="0" collapsed="false">
      <c r="B100" s="9" t="s">
        <v>4600</v>
      </c>
      <c r="C100" s="159" t="n">
        <v>5</v>
      </c>
      <c r="D100" s="19" t="s">
        <v>83</v>
      </c>
      <c r="E100" s="152" t="s">
        <v>4598</v>
      </c>
      <c r="F100" s="19" t="s">
        <v>4378</v>
      </c>
      <c r="G100" s="152" t="s">
        <v>3</v>
      </c>
      <c r="H100" s="152" t="s">
        <v>4378</v>
      </c>
    </row>
    <row r="101" customFormat="false" ht="24" hidden="false" customHeight="true" outlineLevel="0" collapsed="false">
      <c r="B101" s="9" t="s">
        <v>4601</v>
      </c>
      <c r="C101" s="159" t="n">
        <v>10</v>
      </c>
      <c r="D101" s="19" t="s">
        <v>83</v>
      </c>
      <c r="E101" s="152" t="s">
        <v>4598</v>
      </c>
      <c r="F101" s="19" t="s">
        <v>4378</v>
      </c>
      <c r="G101" s="152" t="s">
        <v>3</v>
      </c>
      <c r="H101" s="152" t="s">
        <v>4378</v>
      </c>
    </row>
    <row r="102" customFormat="false" ht="24" hidden="false" customHeight="true" outlineLevel="0" collapsed="false">
      <c r="B102" s="9" t="s">
        <v>4602</v>
      </c>
      <c r="C102" s="159" t="n">
        <v>15</v>
      </c>
      <c r="D102" s="19" t="s">
        <v>83</v>
      </c>
      <c r="E102" s="152" t="s">
        <v>4598</v>
      </c>
      <c r="F102" s="19" t="s">
        <v>4378</v>
      </c>
      <c r="G102" s="152" t="s">
        <v>3</v>
      </c>
      <c r="H102" s="152" t="s">
        <v>4378</v>
      </c>
    </row>
    <row r="103" customFormat="false" ht="24" hidden="false" customHeight="true" outlineLevel="0" collapsed="false">
      <c r="B103" s="9" t="s">
        <v>4603</v>
      </c>
      <c r="C103" s="165" t="n">
        <v>1.645</v>
      </c>
      <c r="D103" s="19" t="s">
        <v>76</v>
      </c>
      <c r="E103" s="152" t="s">
        <v>4604</v>
      </c>
      <c r="F103" s="19" t="s">
        <v>4378</v>
      </c>
      <c r="G103" s="152" t="s">
        <v>3</v>
      </c>
      <c r="H103" s="152" t="s">
        <v>4605</v>
      </c>
    </row>
    <row r="104" customFormat="false" ht="15" hidden="false" customHeight="true" outlineLevel="0" collapsed="false">
      <c r="B104" s="9" t="s">
        <v>4606</v>
      </c>
      <c r="C104" s="160" t="s">
        <v>2936</v>
      </c>
      <c r="D104" s="14" t="s">
        <v>76</v>
      </c>
      <c r="E104" s="161" t="s">
        <v>4607</v>
      </c>
      <c r="G104" s="56" t="s">
        <v>3</v>
      </c>
    </row>
    <row r="105" customFormat="false" ht="15" hidden="false" customHeight="true" outlineLevel="0" collapsed="false">
      <c r="B105" s="9" t="s">
        <v>4608</v>
      </c>
      <c r="C105" s="160" t="s">
        <v>2938</v>
      </c>
      <c r="D105" s="14" t="s">
        <v>76</v>
      </c>
      <c r="E105" s="161" t="s">
        <v>4607</v>
      </c>
      <c r="G105" s="56" t="s">
        <v>3</v>
      </c>
    </row>
    <row r="106" customFormat="false" ht="15" hidden="false" customHeight="true" outlineLevel="0" collapsed="false">
      <c r="B106" s="9" t="s">
        <v>4609</v>
      </c>
      <c r="C106" s="160" t="s">
        <v>4610</v>
      </c>
      <c r="D106" s="14" t="s">
        <v>76</v>
      </c>
      <c r="E106" s="161" t="s">
        <v>4607</v>
      </c>
      <c r="G106" s="56" t="s">
        <v>3</v>
      </c>
    </row>
    <row r="108" customFormat="false" ht="15" hidden="false" customHeight="true" outlineLevel="0" collapsed="false">
      <c r="B108" s="15" t="s">
        <v>96</v>
      </c>
      <c r="C108" s="16"/>
      <c r="D108" s="16"/>
      <c r="E108" s="16"/>
      <c r="F108" s="16"/>
      <c r="G108" s="16"/>
      <c r="H108" s="16"/>
    </row>
    <row r="109" customFormat="false" ht="42" hidden="false" customHeight="true" outlineLevel="0" collapsed="false">
      <c r="B109" s="17" t="s">
        <v>97</v>
      </c>
      <c r="C109" s="17"/>
      <c r="D109" s="17"/>
      <c r="E109" s="17"/>
      <c r="F109" s="17"/>
      <c r="G109" s="17"/>
    </row>
    <row r="110" customFormat="false" ht="15" hidden="false" customHeight="true" outlineLevel="0" collapsed="false">
      <c r="B110" s="18" t="s">
        <v>98</v>
      </c>
      <c r="D110" s="18" t="s">
        <v>99</v>
      </c>
      <c r="E110" s="18" t="s">
        <v>100</v>
      </c>
    </row>
    <row r="111" customFormat="false" ht="25.5" hidden="false" customHeight="true" outlineLevel="0" collapsed="false">
      <c r="B111" s="19" t="s">
        <v>101</v>
      </c>
      <c r="D111" s="19" t="s">
        <v>102</v>
      </c>
      <c r="E111" s="19" t="s">
        <v>103</v>
      </c>
    </row>
    <row r="112" customFormat="false" ht="25.5" hidden="false" customHeight="true" outlineLevel="0" collapsed="false">
      <c r="B112" s="19" t="s">
        <v>104</v>
      </c>
      <c r="D112" s="19" t="s">
        <v>105</v>
      </c>
      <c r="E112" s="19" t="s">
        <v>103</v>
      </c>
    </row>
    <row r="113" customFormat="false" ht="25.5" hidden="false" customHeight="true" outlineLevel="0" collapsed="false">
      <c r="B113" s="19" t="s">
        <v>106</v>
      </c>
      <c r="D113" s="19" t="s">
        <v>107</v>
      </c>
      <c r="E113" s="19" t="s">
        <v>103</v>
      </c>
    </row>
    <row r="114" customFormat="false" ht="25.5" hidden="false" customHeight="true" outlineLevel="0" collapsed="false">
      <c r="B114" s="19" t="s">
        <v>108</v>
      </c>
      <c r="D114" s="19" t="s">
        <v>109</v>
      </c>
      <c r="E114" s="19" t="s">
        <v>103</v>
      </c>
    </row>
    <row r="115" customFormat="false" ht="25.5" hidden="false" customHeight="true" outlineLevel="0" collapsed="false">
      <c r="B115" s="19" t="s">
        <v>110</v>
      </c>
      <c r="D115" s="19" t="s">
        <v>111</v>
      </c>
      <c r="E115" s="19" t="s">
        <v>103</v>
      </c>
    </row>
    <row r="116" customFormat="false" ht="25.5" hidden="false" customHeight="true" outlineLevel="0" collapsed="false">
      <c r="B116" s="19" t="s">
        <v>112</v>
      </c>
      <c r="D116" s="19" t="s">
        <v>113</v>
      </c>
      <c r="E116" s="19" t="s">
        <v>103</v>
      </c>
    </row>
    <row r="117" customFormat="false" ht="25.5" hidden="false" customHeight="true" outlineLevel="0" collapsed="false">
      <c r="B117" s="19" t="s">
        <v>114</v>
      </c>
      <c r="D117" s="19" t="s">
        <v>115</v>
      </c>
      <c r="E117" s="19" t="s">
        <v>103</v>
      </c>
    </row>
    <row r="118" customFormat="false" ht="25.5" hidden="false" customHeight="true" outlineLevel="0" collapsed="false">
      <c r="B118" s="19" t="s">
        <v>116</v>
      </c>
      <c r="D118" s="19" t="s">
        <v>117</v>
      </c>
      <c r="E118" s="19" t="s">
        <v>103</v>
      </c>
    </row>
    <row r="119" customFormat="false" ht="25.5" hidden="false" customHeight="true" outlineLevel="0" collapsed="false">
      <c r="B119" s="19" t="s">
        <v>118</v>
      </c>
      <c r="D119" s="19" t="s">
        <v>119</v>
      </c>
      <c r="E119" s="19" t="s">
        <v>103</v>
      </c>
    </row>
    <row r="120" customFormat="false" ht="25.5" hidden="false" customHeight="true" outlineLevel="0" collapsed="false">
      <c r="B120" s="19" t="s">
        <v>120</v>
      </c>
      <c r="D120" s="19" t="s">
        <v>121</v>
      </c>
      <c r="E120" s="19" t="s">
        <v>103</v>
      </c>
    </row>
    <row r="121" customFormat="false" ht="25.5" hidden="false" customHeight="true" outlineLevel="0" collapsed="false">
      <c r="B121" s="19" t="s">
        <v>4611</v>
      </c>
      <c r="D121" s="19" t="s">
        <v>122</v>
      </c>
      <c r="E121" s="19" t="s">
        <v>123</v>
      </c>
    </row>
    <row r="123" customFormat="false" ht="15" hidden="false" customHeight="true" outlineLevel="0" collapsed="false">
      <c r="B123" s="15" t="s">
        <v>4612</v>
      </c>
    </row>
    <row r="124" customFormat="false" ht="81.75" hidden="false" customHeight="true" outlineLevel="0" collapsed="false">
      <c r="B124" s="117"/>
    </row>
    <row r="125" customFormat="false" ht="15" hidden="false" customHeight="true" outlineLevel="0" collapsed="false">
      <c r="B125" s="9" t="s">
        <v>4613</v>
      </c>
      <c r="C125" s="160" t="n">
        <v>2026</v>
      </c>
      <c r="D125" s="14" t="s">
        <v>4614</v>
      </c>
      <c r="E125" s="161"/>
      <c r="G125" s="56"/>
    </row>
    <row r="126" customFormat="false" ht="15" hidden="false" customHeight="true" outlineLevel="0" collapsed="false">
      <c r="B126" s="9" t="s">
        <v>4615</v>
      </c>
      <c r="C126" s="160" t="n">
        <v>2027</v>
      </c>
      <c r="D126" s="14" t="s">
        <v>4614</v>
      </c>
      <c r="E126" s="161"/>
      <c r="G126" s="56"/>
    </row>
    <row r="127" customFormat="false" ht="15" hidden="false" customHeight="true" outlineLevel="0" collapsed="false">
      <c r="B127" s="9" t="s">
        <v>4616</v>
      </c>
      <c r="C127" s="160" t="n">
        <v>50</v>
      </c>
      <c r="D127" s="14" t="s">
        <v>4617</v>
      </c>
      <c r="E127" s="161"/>
      <c r="G127" s="56"/>
    </row>
    <row r="128" customFormat="false" ht="15" hidden="false" customHeight="true" outlineLevel="0" collapsed="false">
      <c r="B128" s="9" t="s">
        <v>4618</v>
      </c>
      <c r="C128" s="166" t="n">
        <v>200000</v>
      </c>
      <c r="D128" s="14" t="s">
        <v>4619</v>
      </c>
      <c r="E128" s="161"/>
      <c r="G128" s="56"/>
    </row>
    <row r="129" customFormat="false" ht="15" hidden="false" customHeight="true" outlineLevel="0" collapsed="false">
      <c r="C129" s="167"/>
    </row>
    <row r="130" customFormat="false" ht="15" hidden="false" customHeight="true" outlineLevel="0" collapsed="false">
      <c r="C130" s="167"/>
    </row>
    <row r="131" customFormat="false" ht="15" hidden="false" customHeight="true" outlineLevel="0" collapsed="false">
      <c r="C131" s="168"/>
    </row>
    <row r="132" customFormat="false" ht="15" hidden="false" customHeight="true" outlineLevel="0" collapsed="false">
      <c r="C132" s="167"/>
    </row>
    <row r="133" customFormat="false" ht="15" hidden="false" customHeight="true" outlineLevel="0" collapsed="false">
      <c r="C133" s="149"/>
    </row>
  </sheetData>
  <mergeCells count="8">
    <mergeCell ref="B3:G3"/>
    <mergeCell ref="B7:D7"/>
    <mergeCell ref="B34:D34"/>
    <mergeCell ref="B43:D43"/>
    <mergeCell ref="B60:D60"/>
    <mergeCell ref="B83:D83"/>
    <mergeCell ref="B89:D89"/>
    <mergeCell ref="B109:G10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B9BD5"/>
    <pageSetUpPr fitToPage="false"/>
  </sheetPr>
  <dimension ref="B1:H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18"/>
    <col collapsed="false" customWidth="true" hidden="false" outlineLevel="0" max="3" min="3" style="1" width="36"/>
    <col collapsed="false" customWidth="true" hidden="false" outlineLevel="0" max="4" min="4" style="1" width="30"/>
    <col collapsed="false" customWidth="true" hidden="false" outlineLevel="0" max="5" min="5" style="1" width="70"/>
    <col collapsed="false" customWidth="true" hidden="false" outlineLevel="0" max="6" min="6" style="1" width="44"/>
    <col collapsed="false" customWidth="true" hidden="false" outlineLevel="0" max="7" min="7" style="1" width="26"/>
    <col collapsed="false" customWidth="true" hidden="false" outlineLevel="0" max="8" min="8" style="1" width="30"/>
  </cols>
  <sheetData>
    <row r="1" customFormat="false" ht="17.25" hidden="false" customHeight="true" outlineLevel="0" collapsed="false">
      <c r="B1" s="90" t="s">
        <v>4620</v>
      </c>
    </row>
    <row r="2" customFormat="false" ht="63.75" hidden="false" customHeight="true" outlineLevel="0" collapsed="false">
      <c r="B2" s="91" t="s">
        <v>4621</v>
      </c>
      <c r="C2" s="91"/>
      <c r="D2" s="91"/>
      <c r="E2" s="91"/>
      <c r="F2" s="91"/>
      <c r="G2" s="91"/>
      <c r="H2" s="91"/>
    </row>
    <row r="4" customFormat="false" ht="15" hidden="false" customHeight="true" outlineLevel="0" collapsed="false">
      <c r="B4" s="100" t="s">
        <v>4622</v>
      </c>
      <c r="C4" s="100" t="s">
        <v>4623</v>
      </c>
      <c r="D4" s="100" t="s">
        <v>4624</v>
      </c>
      <c r="E4" s="100" t="s">
        <v>1522</v>
      </c>
      <c r="F4" s="100" t="s">
        <v>4625</v>
      </c>
      <c r="G4" s="100" t="s">
        <v>4626</v>
      </c>
      <c r="H4" s="100" t="s">
        <v>4627</v>
      </c>
    </row>
    <row r="5" customFormat="false" ht="27.75" hidden="false" customHeight="true" outlineLevel="0" collapsed="false">
      <c r="B5" s="117" t="s">
        <v>4628</v>
      </c>
      <c r="C5" s="117" t="s">
        <v>4629</v>
      </c>
      <c r="D5" s="117" t="s">
        <v>4630</v>
      </c>
      <c r="E5" s="117" t="s">
        <v>4631</v>
      </c>
      <c r="F5" s="117" t="s">
        <v>4632</v>
      </c>
      <c r="G5" s="117" t="s">
        <v>4633</v>
      </c>
      <c r="H5" s="117" t="s">
        <v>4634</v>
      </c>
    </row>
    <row r="6" customFormat="false" ht="27.75" hidden="false" customHeight="true" outlineLevel="0" collapsed="false">
      <c r="B6" s="117" t="s">
        <v>4628</v>
      </c>
      <c r="C6" s="117" t="s">
        <v>4635</v>
      </c>
      <c r="D6" s="117" t="s">
        <v>4636</v>
      </c>
      <c r="E6" s="117" t="s">
        <v>4637</v>
      </c>
      <c r="F6" s="117" t="s">
        <v>4638</v>
      </c>
      <c r="G6" s="117" t="s">
        <v>4639</v>
      </c>
      <c r="H6" s="117" t="s">
        <v>4634</v>
      </c>
    </row>
    <row r="7" customFormat="false" ht="27.75" hidden="false" customHeight="true" outlineLevel="0" collapsed="false">
      <c r="B7" s="117" t="s">
        <v>4640</v>
      </c>
      <c r="C7" s="117" t="s">
        <v>4641</v>
      </c>
      <c r="D7" s="117" t="s">
        <v>4642</v>
      </c>
      <c r="E7" s="117" t="s">
        <v>4643</v>
      </c>
      <c r="F7" s="117" t="s">
        <v>4644</v>
      </c>
      <c r="G7" s="117" t="s">
        <v>4639</v>
      </c>
      <c r="H7" s="117" t="s">
        <v>4634</v>
      </c>
    </row>
    <row r="8" customFormat="false" ht="27.75" hidden="false" customHeight="true" outlineLevel="0" collapsed="false">
      <c r="B8" s="117" t="s">
        <v>4640</v>
      </c>
      <c r="C8" s="117" t="s">
        <v>4645</v>
      </c>
      <c r="D8" s="117" t="s">
        <v>4646</v>
      </c>
      <c r="E8" s="117" t="s">
        <v>4647</v>
      </c>
      <c r="F8" s="117" t="s">
        <v>4648</v>
      </c>
      <c r="G8" s="117" t="s">
        <v>4639</v>
      </c>
      <c r="H8" s="117" t="s">
        <v>4634</v>
      </c>
    </row>
    <row r="9" customFormat="false" ht="54.75" hidden="false" customHeight="true" outlineLevel="0" collapsed="false">
      <c r="B9" s="117" t="s">
        <v>4640</v>
      </c>
      <c r="C9" s="117" t="s">
        <v>4649</v>
      </c>
      <c r="D9" s="117" t="s">
        <v>4650</v>
      </c>
      <c r="E9" s="117" t="s">
        <v>4651</v>
      </c>
      <c r="F9" s="117" t="s">
        <v>4652</v>
      </c>
      <c r="G9" s="117" t="s">
        <v>4653</v>
      </c>
      <c r="H9" s="117" t="s">
        <v>4634</v>
      </c>
    </row>
    <row r="10" customFormat="false" ht="41.25" hidden="false" customHeight="true" outlineLevel="0" collapsed="false">
      <c r="B10" s="117" t="s">
        <v>4654</v>
      </c>
      <c r="C10" s="117" t="s">
        <v>4655</v>
      </c>
      <c r="D10" s="117" t="s">
        <v>4656</v>
      </c>
      <c r="E10" s="117" t="s">
        <v>4657</v>
      </c>
      <c r="F10" s="117" t="s">
        <v>4658</v>
      </c>
      <c r="G10" s="117" t="s">
        <v>4639</v>
      </c>
      <c r="H10" s="117" t="s">
        <v>4634</v>
      </c>
    </row>
    <row r="11" customFormat="false" ht="41.25" hidden="false" customHeight="true" outlineLevel="0" collapsed="false">
      <c r="B11" s="117" t="s">
        <v>4654</v>
      </c>
      <c r="C11" s="117" t="s">
        <v>4659</v>
      </c>
      <c r="D11" s="117" t="s">
        <v>4660</v>
      </c>
      <c r="E11" s="117" t="s">
        <v>4661</v>
      </c>
      <c r="F11" s="117" t="s">
        <v>4662</v>
      </c>
      <c r="G11" s="117" t="s">
        <v>4653</v>
      </c>
      <c r="H11" s="117" t="s">
        <v>4634</v>
      </c>
    </row>
    <row r="12" customFormat="false" ht="41.25" hidden="false" customHeight="true" outlineLevel="0" collapsed="false">
      <c r="B12" s="117" t="s">
        <v>4654</v>
      </c>
      <c r="C12" s="117" t="s">
        <v>4663</v>
      </c>
      <c r="D12" s="117" t="s">
        <v>4664</v>
      </c>
      <c r="E12" s="117" t="s">
        <v>4665</v>
      </c>
      <c r="F12" s="117" t="s">
        <v>4632</v>
      </c>
      <c r="G12" s="117" t="s">
        <v>4633</v>
      </c>
      <c r="H12" s="117" t="s">
        <v>4634</v>
      </c>
    </row>
    <row r="13" customFormat="false" ht="41.25" hidden="false" customHeight="true" outlineLevel="0" collapsed="false">
      <c r="B13" s="117" t="s">
        <v>4666</v>
      </c>
      <c r="C13" s="117" t="s">
        <v>4667</v>
      </c>
      <c r="D13" s="117" t="s">
        <v>4668</v>
      </c>
      <c r="E13" s="117" t="s">
        <v>4669</v>
      </c>
      <c r="F13" s="117" t="s">
        <v>4670</v>
      </c>
      <c r="G13" s="117" t="s">
        <v>4653</v>
      </c>
      <c r="H13" s="117" t="s">
        <v>4634</v>
      </c>
    </row>
    <row r="14" customFormat="false" ht="41.25" hidden="false" customHeight="true" outlineLevel="0" collapsed="false">
      <c r="B14" s="117" t="s">
        <v>4666</v>
      </c>
      <c r="C14" s="117" t="s">
        <v>4671</v>
      </c>
      <c r="D14" s="117" t="s">
        <v>4672</v>
      </c>
      <c r="E14" s="117" t="s">
        <v>4673</v>
      </c>
      <c r="F14" s="117" t="s">
        <v>4674</v>
      </c>
      <c r="G14" s="117" t="s">
        <v>4653</v>
      </c>
      <c r="H14" s="117" t="s">
        <v>4634</v>
      </c>
    </row>
    <row r="15" customFormat="false" ht="41.25" hidden="false" customHeight="true" outlineLevel="0" collapsed="false">
      <c r="B15" s="117" t="s">
        <v>4666</v>
      </c>
      <c r="C15" s="117" t="s">
        <v>4675</v>
      </c>
      <c r="D15" s="117" t="s">
        <v>4676</v>
      </c>
      <c r="E15" s="117" t="s">
        <v>4677</v>
      </c>
      <c r="F15" s="117" t="s">
        <v>4678</v>
      </c>
      <c r="G15" s="117" t="s">
        <v>4653</v>
      </c>
      <c r="H15" s="117" t="s">
        <v>4634</v>
      </c>
    </row>
    <row r="16" customFormat="false" ht="27.75" hidden="false" customHeight="true" outlineLevel="0" collapsed="false">
      <c r="B16" s="117" t="s">
        <v>4666</v>
      </c>
      <c r="C16" s="117" t="s">
        <v>4679</v>
      </c>
      <c r="D16" s="117" t="s">
        <v>4680</v>
      </c>
      <c r="E16" s="117" t="s">
        <v>4681</v>
      </c>
      <c r="F16" s="117" t="s">
        <v>4682</v>
      </c>
      <c r="G16" s="117" t="s">
        <v>4639</v>
      </c>
      <c r="H16" s="117" t="s">
        <v>4634</v>
      </c>
    </row>
    <row r="17" customFormat="false" ht="41.25" hidden="false" customHeight="true" outlineLevel="0" collapsed="false">
      <c r="B17" s="117" t="s">
        <v>4683</v>
      </c>
      <c r="C17" s="117" t="s">
        <v>4684</v>
      </c>
      <c r="D17" s="117" t="s">
        <v>4685</v>
      </c>
      <c r="E17" s="117" t="s">
        <v>4686</v>
      </c>
      <c r="F17" s="117" t="s">
        <v>4687</v>
      </c>
      <c r="G17" s="117" t="s">
        <v>4653</v>
      </c>
      <c r="H17" s="117" t="s">
        <v>4634</v>
      </c>
    </row>
    <row r="18" customFormat="false" ht="27.75" hidden="false" customHeight="true" outlineLevel="0" collapsed="false">
      <c r="B18" s="117" t="s">
        <v>4688</v>
      </c>
      <c r="C18" s="117" t="s">
        <v>4689</v>
      </c>
      <c r="D18" s="117" t="s">
        <v>4690</v>
      </c>
      <c r="E18" s="117" t="s">
        <v>4691</v>
      </c>
      <c r="F18" s="117" t="s">
        <v>4692</v>
      </c>
      <c r="G18" s="117" t="s">
        <v>4639</v>
      </c>
      <c r="H18" s="117" t="s">
        <v>4634</v>
      </c>
    </row>
    <row r="19" customFormat="false" ht="27.75" hidden="false" customHeight="true" outlineLevel="0" collapsed="false">
      <c r="B19" s="117" t="s">
        <v>4688</v>
      </c>
      <c r="C19" s="117" t="s">
        <v>4693</v>
      </c>
      <c r="D19" s="117" t="s">
        <v>4694</v>
      </c>
      <c r="E19" s="117" t="s">
        <v>4695</v>
      </c>
      <c r="F19" s="117" t="s">
        <v>4696</v>
      </c>
      <c r="G19" s="117" t="s">
        <v>4653</v>
      </c>
      <c r="H19" s="117" t="s">
        <v>4634</v>
      </c>
    </row>
    <row r="20" customFormat="false" ht="41.25" hidden="false" customHeight="true" outlineLevel="0" collapsed="false">
      <c r="B20" s="117" t="s">
        <v>4688</v>
      </c>
      <c r="C20" s="117" t="s">
        <v>4697</v>
      </c>
      <c r="D20" s="117" t="s">
        <v>4698</v>
      </c>
      <c r="E20" s="117" t="s">
        <v>4699</v>
      </c>
      <c r="F20" s="117" t="s">
        <v>4700</v>
      </c>
      <c r="G20" s="117" t="s">
        <v>4653</v>
      </c>
      <c r="H20" s="117" t="s">
        <v>4634</v>
      </c>
    </row>
    <row r="21" customFormat="false" ht="27.75" hidden="false" customHeight="true" outlineLevel="0" collapsed="false">
      <c r="B21" s="117" t="s">
        <v>4688</v>
      </c>
      <c r="C21" s="117" t="s">
        <v>4701</v>
      </c>
      <c r="D21" s="117" t="s">
        <v>4702</v>
      </c>
      <c r="E21" s="117" t="s">
        <v>4703</v>
      </c>
      <c r="F21" s="117" t="s">
        <v>4704</v>
      </c>
      <c r="G21" s="117" t="s">
        <v>4653</v>
      </c>
      <c r="H21" s="117" t="s">
        <v>4634</v>
      </c>
    </row>
    <row r="22" customFormat="false" ht="27.75" hidden="false" customHeight="true" outlineLevel="0" collapsed="false">
      <c r="B22" s="117" t="s">
        <v>4705</v>
      </c>
      <c r="C22" s="117" t="s">
        <v>4706</v>
      </c>
      <c r="D22" s="117" t="s">
        <v>4707</v>
      </c>
      <c r="E22" s="117" t="s">
        <v>4708</v>
      </c>
      <c r="F22" s="117" t="s">
        <v>4709</v>
      </c>
      <c r="G22" s="117" t="s">
        <v>4653</v>
      </c>
      <c r="H22" s="117" t="s">
        <v>4634</v>
      </c>
    </row>
    <row r="23" customFormat="false" ht="27.75" hidden="false" customHeight="true" outlineLevel="0" collapsed="false">
      <c r="B23" s="117" t="s">
        <v>4705</v>
      </c>
      <c r="C23" s="117" t="s">
        <v>4710</v>
      </c>
      <c r="D23" s="117" t="s">
        <v>4711</v>
      </c>
      <c r="E23" s="117" t="s">
        <v>4712</v>
      </c>
      <c r="F23" s="117" t="s">
        <v>4713</v>
      </c>
      <c r="G23" s="117" t="s">
        <v>4653</v>
      </c>
      <c r="H23" s="117" t="s">
        <v>4634</v>
      </c>
    </row>
    <row r="24" customFormat="false" ht="27.75" hidden="false" customHeight="true" outlineLevel="0" collapsed="false">
      <c r="B24" s="117" t="s">
        <v>4714</v>
      </c>
      <c r="C24" s="117" t="s">
        <v>4715</v>
      </c>
      <c r="D24" s="117" t="s">
        <v>4716</v>
      </c>
      <c r="E24" s="117" t="s">
        <v>4717</v>
      </c>
      <c r="F24" s="117" t="s">
        <v>4718</v>
      </c>
      <c r="G24" s="117" t="s">
        <v>4653</v>
      </c>
      <c r="H24" s="117" t="s">
        <v>4634</v>
      </c>
    </row>
    <row r="25" customFormat="false" ht="27.75" hidden="false" customHeight="true" outlineLevel="0" collapsed="false">
      <c r="B25" s="117" t="s">
        <v>4714</v>
      </c>
      <c r="C25" s="117" t="s">
        <v>4719</v>
      </c>
      <c r="D25" s="117" t="s">
        <v>4720</v>
      </c>
      <c r="E25" s="117" t="s">
        <v>4721</v>
      </c>
      <c r="F25" s="117" t="s">
        <v>4632</v>
      </c>
      <c r="G25" s="117" t="s">
        <v>4633</v>
      </c>
      <c r="H25" s="117" t="s">
        <v>4634</v>
      </c>
    </row>
    <row r="26" customFormat="false" ht="41.25" hidden="false" customHeight="true" outlineLevel="0" collapsed="false">
      <c r="B26" s="117" t="s">
        <v>4714</v>
      </c>
      <c r="C26" s="117" t="s">
        <v>4722</v>
      </c>
      <c r="D26" s="117" t="s">
        <v>4723</v>
      </c>
      <c r="E26" s="117" t="s">
        <v>4724</v>
      </c>
      <c r="F26" s="117" t="s">
        <v>4725</v>
      </c>
      <c r="G26" s="117" t="s">
        <v>4653</v>
      </c>
      <c r="H26" s="117" t="s">
        <v>4634</v>
      </c>
    </row>
    <row r="27" customFormat="false" ht="54.75" hidden="false" customHeight="true" outlineLevel="0" collapsed="false">
      <c r="B27" s="117" t="s">
        <v>4714</v>
      </c>
      <c r="C27" s="117" t="s">
        <v>4726</v>
      </c>
      <c r="D27" s="117" t="s">
        <v>4727</v>
      </c>
      <c r="E27" s="117" t="s">
        <v>4728</v>
      </c>
      <c r="F27" s="117" t="s">
        <v>4729</v>
      </c>
      <c r="G27" s="117" t="s">
        <v>4653</v>
      </c>
      <c r="H27" s="117" t="s">
        <v>4634</v>
      </c>
    </row>
    <row r="28" customFormat="false" ht="27.75" hidden="false" customHeight="true" outlineLevel="0" collapsed="false">
      <c r="B28" s="117" t="s">
        <v>4714</v>
      </c>
      <c r="C28" s="117" t="s">
        <v>4730</v>
      </c>
      <c r="D28" s="117" t="s">
        <v>4731</v>
      </c>
      <c r="E28" s="117" t="s">
        <v>4732</v>
      </c>
      <c r="F28" s="117" t="s">
        <v>4733</v>
      </c>
      <c r="G28" s="117" t="s">
        <v>4633</v>
      </c>
      <c r="H28" s="117" t="s">
        <v>4634</v>
      </c>
    </row>
    <row r="29" customFormat="false" ht="27.75" hidden="false" customHeight="true" outlineLevel="0" collapsed="false">
      <c r="B29" s="117" t="s">
        <v>4714</v>
      </c>
      <c r="C29" s="117" t="s">
        <v>4734</v>
      </c>
      <c r="D29" s="117" t="s">
        <v>4735</v>
      </c>
      <c r="E29" s="117" t="s">
        <v>4736</v>
      </c>
      <c r="F29" s="117" t="s">
        <v>4737</v>
      </c>
      <c r="G29" s="117" t="s">
        <v>4653</v>
      </c>
      <c r="H29" s="117" t="s">
        <v>4634</v>
      </c>
    </row>
    <row r="30" customFormat="false" ht="41.25" hidden="false" customHeight="true" outlineLevel="0" collapsed="false">
      <c r="B30" s="117" t="s">
        <v>4714</v>
      </c>
      <c r="C30" s="117" t="s">
        <v>4738</v>
      </c>
      <c r="D30" s="117" t="s">
        <v>4739</v>
      </c>
      <c r="E30" s="117" t="s">
        <v>4740</v>
      </c>
      <c r="F30" s="117" t="s">
        <v>4741</v>
      </c>
      <c r="G30" s="117" t="s">
        <v>4653</v>
      </c>
      <c r="H30" s="117" t="s">
        <v>4634</v>
      </c>
    </row>
    <row r="31" customFormat="false" ht="27.75" hidden="false" customHeight="true" outlineLevel="0" collapsed="false">
      <c r="B31" s="117" t="s">
        <v>4714</v>
      </c>
      <c r="C31" s="117" t="s">
        <v>4742</v>
      </c>
      <c r="D31" s="117" t="s">
        <v>4743</v>
      </c>
      <c r="E31" s="117" t="s">
        <v>4744</v>
      </c>
      <c r="F31" s="117" t="s">
        <v>4632</v>
      </c>
      <c r="G31" s="117" t="s">
        <v>4633</v>
      </c>
      <c r="H31" s="117" t="s">
        <v>4634</v>
      </c>
    </row>
    <row r="32" customFormat="false" ht="27.75" hidden="false" customHeight="true" outlineLevel="0" collapsed="false">
      <c r="B32" s="117" t="s">
        <v>4745</v>
      </c>
      <c r="C32" s="117" t="s">
        <v>4746</v>
      </c>
      <c r="D32" s="117" t="s">
        <v>4747</v>
      </c>
      <c r="E32" s="117" t="s">
        <v>4748</v>
      </c>
      <c r="F32" s="117" t="s">
        <v>4749</v>
      </c>
      <c r="G32" s="117" t="s">
        <v>4639</v>
      </c>
      <c r="H32" s="117" t="s">
        <v>4634</v>
      </c>
    </row>
    <row r="33" customFormat="false" ht="27.75" hidden="false" customHeight="true" outlineLevel="0" collapsed="false">
      <c r="B33" s="117" t="s">
        <v>4745</v>
      </c>
      <c r="C33" s="117" t="s">
        <v>4750</v>
      </c>
      <c r="D33" s="117" t="s">
        <v>4751</v>
      </c>
      <c r="E33" s="117" t="s">
        <v>4752</v>
      </c>
      <c r="F33" s="117" t="s">
        <v>4753</v>
      </c>
      <c r="G33" s="117" t="s">
        <v>4653</v>
      </c>
      <c r="H33" s="117" t="s">
        <v>4634</v>
      </c>
    </row>
    <row r="34" customFormat="false" ht="41.25" hidden="false" customHeight="true" outlineLevel="0" collapsed="false">
      <c r="B34" s="117" t="s">
        <v>4754</v>
      </c>
      <c r="C34" s="117" t="s">
        <v>4755</v>
      </c>
      <c r="D34" s="117" t="s">
        <v>4756</v>
      </c>
      <c r="E34" s="117" t="s">
        <v>4757</v>
      </c>
      <c r="F34" s="117" t="s">
        <v>4758</v>
      </c>
      <c r="G34" s="117" t="s">
        <v>4653</v>
      </c>
      <c r="H34" s="117" t="s">
        <v>4634</v>
      </c>
    </row>
    <row r="35" customFormat="false" ht="41.25" hidden="false" customHeight="true" outlineLevel="0" collapsed="false">
      <c r="B35" s="117" t="s">
        <v>4759</v>
      </c>
      <c r="C35" s="117" t="s">
        <v>4760</v>
      </c>
      <c r="D35" s="117" t="s">
        <v>4761</v>
      </c>
      <c r="E35" s="117" t="s">
        <v>4762</v>
      </c>
      <c r="F35" s="117" t="s">
        <v>4763</v>
      </c>
      <c r="G35" s="117" t="s">
        <v>4639</v>
      </c>
      <c r="H35" s="117" t="s">
        <v>4634</v>
      </c>
    </row>
    <row r="36" customFormat="false" ht="27.75" hidden="false" customHeight="true" outlineLevel="0" collapsed="false">
      <c r="B36" s="117" t="s">
        <v>4764</v>
      </c>
      <c r="C36" s="117" t="s">
        <v>4765</v>
      </c>
      <c r="D36" s="117" t="s">
        <v>4766</v>
      </c>
      <c r="E36" s="117" t="s">
        <v>4767</v>
      </c>
      <c r="F36" s="117" t="s">
        <v>4704</v>
      </c>
      <c r="G36" s="117" t="s">
        <v>4653</v>
      </c>
      <c r="H36" s="117" t="s">
        <v>4634</v>
      </c>
    </row>
    <row r="37" customFormat="false" ht="27.75" hidden="false" customHeight="true" outlineLevel="0" collapsed="false">
      <c r="B37" s="117" t="s">
        <v>4764</v>
      </c>
      <c r="C37" s="117" t="s">
        <v>4768</v>
      </c>
      <c r="D37" s="117" t="s">
        <v>4769</v>
      </c>
      <c r="E37" s="117" t="s">
        <v>4770</v>
      </c>
      <c r="F37" s="117" t="s">
        <v>4771</v>
      </c>
      <c r="G37" s="117" t="s">
        <v>4653</v>
      </c>
      <c r="H37" s="117" t="s">
        <v>4634</v>
      </c>
    </row>
    <row r="38" customFormat="false" ht="27.75" hidden="false" customHeight="true" outlineLevel="0" collapsed="false">
      <c r="B38" s="117" t="s">
        <v>4772</v>
      </c>
      <c r="C38" s="117" t="s">
        <v>4773</v>
      </c>
      <c r="D38" s="117" t="s">
        <v>4774</v>
      </c>
      <c r="E38" s="117" t="s">
        <v>4775</v>
      </c>
      <c r="F38" s="117" t="s">
        <v>4776</v>
      </c>
      <c r="G38" s="117" t="s">
        <v>4639</v>
      </c>
      <c r="H38" s="117" t="s">
        <v>4634</v>
      </c>
    </row>
    <row r="40" customFormat="false" ht="15" hidden="false" customHeight="true" outlineLevel="0" collapsed="false">
      <c r="B40" s="113" t="s">
        <v>4777</v>
      </c>
    </row>
    <row r="41" customFormat="false" ht="15" hidden="false" customHeight="true" outlineLevel="0" collapsed="false">
      <c r="B41" s="1" t="s">
        <v>4778</v>
      </c>
      <c r="D41" s="102" t="n">
        <v>0.18</v>
      </c>
    </row>
    <row r="42" customFormat="false" ht="15" hidden="false" customHeight="true" outlineLevel="0" collapsed="false">
      <c r="B42" s="1" t="s">
        <v>4779</v>
      </c>
      <c r="D42" s="103" t="n">
        <v>50</v>
      </c>
    </row>
    <row r="43" customFormat="false" ht="15" hidden="false" customHeight="true" outlineLevel="0" collapsed="false">
      <c r="B43" s="1" t="s">
        <v>4780</v>
      </c>
      <c r="D43" s="108" t="n">
        <f aca="false">'Plan cashflow'!$G$8/12</f>
        <v>0</v>
      </c>
    </row>
    <row r="44" customFormat="false" ht="15" hidden="false" customHeight="true" outlineLevel="0" collapsed="false">
      <c r="B44" s="1" t="s">
        <v>4781</v>
      </c>
      <c r="D44" s="108" t="n">
        <f aca="false">MAX(Rep_Step,ROUND(Rep_SharePct*Rep_TakeHomeM/Rep_Step,0)*Rep_Step)</f>
        <v>50</v>
      </c>
    </row>
    <row r="45" customFormat="false" ht="15" hidden="false" customHeight="true" outlineLevel="0" collapsed="false">
      <c r="B45" s="1" t="s">
        <v>4782</v>
      </c>
      <c r="D45" s="108" t="n">
        <f aca="false">ROUND(Rep_MoreM/2,0)</f>
        <v>25</v>
      </c>
    </row>
    <row r="46" customFormat="false" ht="15" hidden="false" customHeight="true" outlineLevel="0" collapsed="false">
      <c r="B46" s="1" t="s">
        <v>4783</v>
      </c>
      <c r="D46" s="102" t="n">
        <f aca="false">IF(F_Income&gt;IF(F_Married=1,Band_Married+MIN(In_pIncome,Band_Second_Earner_Max),IF(F_Spccc=1,Band_Single_Parent,Band_Single)),Rate_Higher,Rate_Standard)</f>
        <v>0.2</v>
      </c>
    </row>
    <row r="47" customFormat="false" ht="15" hidden="false" customHeight="true" outlineLevel="0" collapsed="false">
      <c r="B47" s="1" t="s">
        <v>4784</v>
      </c>
      <c r="D47" s="108" t="n">
        <f aca="false">MAX(0,INT((LOOKUP(F_Age,Relief_Age_From,Relief_Age_Pct)*MIN(F_Income,Relief_Earnings_Cap)-12*F_Own)/12))</f>
        <v>0</v>
      </c>
    </row>
    <row r="48" customFormat="false" ht="15" hidden="false" customHeight="true" outlineLevel="0" collapsed="false">
      <c r="B48" s="1" t="s">
        <v>4785</v>
      </c>
      <c r="D48" s="108" t="n">
        <f aca="false">ROUND(Rep_LimitM*(1-Rep_TaxRate),0)</f>
        <v>0</v>
      </c>
    </row>
    <row r="49" customFormat="false" ht="15" hidden="false" customHeight="true" outlineLevel="0" collapsed="false">
      <c r="B49" s="1" t="s">
        <v>4786</v>
      </c>
      <c r="D49" s="108" t="n">
        <f aca="false">ROUND(Rep_MoreM/(1-Rep_TaxRate),0)</f>
        <v>63</v>
      </c>
    </row>
    <row r="50" customFormat="false" ht="15" hidden="false" customHeight="true" outlineLevel="0" collapsed="false">
      <c r="B50" s="1" t="s">
        <v>4787</v>
      </c>
      <c r="D50" s="108" t="n">
        <f aca="false">ROUND(Rep_MoreM2/(1-Rep_TaxRate),0)</f>
        <v>31</v>
      </c>
    </row>
    <row r="52" customFormat="false" ht="15" hidden="false" customHeight="true" outlineLevel="0" collapsed="false">
      <c r="B52" s="113" t="s">
        <v>4788</v>
      </c>
    </row>
    <row r="53" customFormat="false" ht="15" hidden="false" customHeight="true" outlineLevel="0" collapsed="false">
      <c r="B53" s="93" t="s">
        <v>4789</v>
      </c>
      <c r="C53" s="93" t="s">
        <v>4790</v>
      </c>
      <c r="D53" s="93" t="s">
        <v>4791</v>
      </c>
      <c r="E53" s="93" t="s">
        <v>4792</v>
      </c>
    </row>
    <row r="54" customFormat="false" ht="15" hidden="false" customHeight="true" outlineLevel="0" collapsed="false">
      <c r="B54" s="117" t="s">
        <v>4793</v>
      </c>
      <c r="C54" s="117" t="s">
        <v>4794</v>
      </c>
      <c r="D54" s="117" t="s">
        <v>4795</v>
      </c>
      <c r="E54" s="117" t="s">
        <v>4796</v>
      </c>
    </row>
    <row r="55" customFormat="false" ht="54.75" hidden="false" customHeight="true" outlineLevel="0" collapsed="false">
      <c r="B55" s="117" t="s">
        <v>4797</v>
      </c>
      <c r="C55" s="117" t="s">
        <v>4722</v>
      </c>
      <c r="D55" s="117" t="s">
        <v>4798</v>
      </c>
      <c r="E55" s="117" t="s">
        <v>4799</v>
      </c>
    </row>
    <row r="56" customFormat="false" ht="15" hidden="false" customHeight="true" outlineLevel="0" collapsed="false">
      <c r="B56" s="117" t="s">
        <v>4800</v>
      </c>
      <c r="C56" s="117" t="s">
        <v>4801</v>
      </c>
      <c r="D56" s="117" t="s">
        <v>4802</v>
      </c>
      <c r="E56" s="117" t="s">
        <v>4799</v>
      </c>
    </row>
    <row r="57" customFormat="false" ht="41.25" hidden="false" customHeight="true" outlineLevel="0" collapsed="false">
      <c r="B57" s="117" t="s">
        <v>1422</v>
      </c>
      <c r="C57" s="117" t="s">
        <v>4726</v>
      </c>
      <c r="D57" s="117" t="s">
        <v>4803</v>
      </c>
      <c r="E57" s="117" t="s">
        <v>4799</v>
      </c>
    </row>
    <row r="58" customFormat="false" ht="41.25" hidden="false" customHeight="true" outlineLevel="0" collapsed="false">
      <c r="B58" s="117" t="s">
        <v>4804</v>
      </c>
      <c r="C58" s="117" t="s">
        <v>4730</v>
      </c>
      <c r="D58" s="117" t="s">
        <v>4805</v>
      </c>
      <c r="E58" s="117" t="s">
        <v>4799</v>
      </c>
    </row>
    <row r="59" customFormat="false" ht="41.25" hidden="false" customHeight="true" outlineLevel="0" collapsed="false">
      <c r="B59" s="117" t="s">
        <v>4806</v>
      </c>
      <c r="C59" s="117" t="s">
        <v>4807</v>
      </c>
      <c r="D59" s="117" t="s">
        <v>4808</v>
      </c>
      <c r="E59" s="117" t="s">
        <v>4799</v>
      </c>
    </row>
    <row r="60" customFormat="false" ht="41.25" hidden="false" customHeight="true" outlineLevel="0" collapsed="false">
      <c r="B60" s="117" t="s">
        <v>4809</v>
      </c>
      <c r="C60" s="117" t="s">
        <v>4810</v>
      </c>
      <c r="D60" s="117" t="s">
        <v>4811</v>
      </c>
      <c r="E60" s="117" t="s">
        <v>4799</v>
      </c>
    </row>
    <row r="61" customFormat="false" ht="27.75" hidden="false" customHeight="true" outlineLevel="0" collapsed="false">
      <c r="B61" s="117" t="s">
        <v>4812</v>
      </c>
      <c r="C61" s="117" t="s">
        <v>4813</v>
      </c>
      <c r="D61" s="117" t="s">
        <v>4814</v>
      </c>
      <c r="E61" s="117" t="s">
        <v>4799</v>
      </c>
    </row>
    <row r="62" customFormat="false" ht="41.25" hidden="false" customHeight="true" outlineLevel="0" collapsed="false">
      <c r="B62" s="117" t="s">
        <v>4815</v>
      </c>
      <c r="C62" s="117" t="s">
        <v>4816</v>
      </c>
      <c r="D62" s="117" t="s">
        <v>4817</v>
      </c>
      <c r="E62" s="117" t="s">
        <v>4799</v>
      </c>
    </row>
    <row r="64" customFormat="false" ht="33.75" hidden="false" customHeight="true" outlineLevel="0" collapsed="false">
      <c r="B64" s="169" t="s">
        <v>4818</v>
      </c>
      <c r="C64" s="169"/>
      <c r="D64" s="169"/>
      <c r="E64" s="169"/>
      <c r="F64" s="169"/>
      <c r="G64" s="169"/>
      <c r="H64" s="169"/>
    </row>
  </sheetData>
  <mergeCells count="2">
    <mergeCell ref="B2:H2"/>
    <mergeCell ref="B64:H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70"/>
    <pageSetUpPr fitToPage="false"/>
  </sheetPr>
  <dimension ref="A1:D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0"/>
    <col collapsed="false" customWidth="true" hidden="false" outlineLevel="0" max="2" min="2" style="1" width="60"/>
    <col collapsed="false" customWidth="true" hidden="false" outlineLevel="0" max="3" min="3" style="1" width="40"/>
    <col collapsed="false" customWidth="true" hidden="false" outlineLevel="0" max="4" min="4" style="1" width="16"/>
  </cols>
  <sheetData>
    <row r="1" customFormat="false" ht="17.25" hidden="false" customHeight="true" outlineLevel="0" collapsed="false">
      <c r="A1" s="170" t="s">
        <v>4819</v>
      </c>
    </row>
    <row r="3" customFormat="false" ht="60" hidden="false" customHeight="true" outlineLevel="0" collapsed="false">
      <c r="A3" s="171" t="s">
        <v>4820</v>
      </c>
      <c r="B3" s="91" t="s">
        <v>4821</v>
      </c>
      <c r="C3" s="91"/>
      <c r="D3" s="91"/>
    </row>
    <row r="4" customFormat="false" ht="45" hidden="false" customHeight="true" outlineLevel="0" collapsed="false">
      <c r="A4" s="171" t="s">
        <v>4822</v>
      </c>
      <c r="B4" s="91" t="s">
        <v>4823</v>
      </c>
      <c r="C4" s="91"/>
      <c r="D4" s="91"/>
    </row>
    <row r="5" customFormat="false" ht="45" hidden="false" customHeight="true" outlineLevel="0" collapsed="false">
      <c r="A5" s="171" t="s">
        <v>4824</v>
      </c>
      <c r="B5" s="91" t="s">
        <v>4825</v>
      </c>
      <c r="C5" s="91"/>
      <c r="D5" s="91"/>
    </row>
    <row r="6" customFormat="false" ht="45" hidden="false" customHeight="true" outlineLevel="0" collapsed="false">
      <c r="A6" s="171" t="s">
        <v>4826</v>
      </c>
      <c r="B6" s="91" t="s">
        <v>4827</v>
      </c>
      <c r="C6" s="91"/>
      <c r="D6" s="91"/>
    </row>
    <row r="7" customFormat="false" ht="60" hidden="false" customHeight="true" outlineLevel="0" collapsed="false">
      <c r="A7" s="171" t="s">
        <v>4828</v>
      </c>
      <c r="B7" s="91" t="s">
        <v>4829</v>
      </c>
      <c r="C7" s="91"/>
      <c r="D7" s="91"/>
    </row>
    <row r="8" customFormat="false" ht="60" hidden="false" customHeight="true" outlineLevel="0" collapsed="false">
      <c r="A8" s="171" t="s">
        <v>4830</v>
      </c>
      <c r="B8" s="91" t="s">
        <v>4831</v>
      </c>
      <c r="C8" s="91"/>
      <c r="D8" s="91"/>
    </row>
    <row r="9" customFormat="false" ht="135" hidden="false" customHeight="true" outlineLevel="0" collapsed="false">
      <c r="A9" s="171" t="s">
        <v>4832</v>
      </c>
      <c r="B9" s="91" t="s">
        <v>4833</v>
      </c>
      <c r="C9" s="91"/>
      <c r="D9" s="91"/>
    </row>
    <row r="11" customFormat="false" ht="15" hidden="false" customHeight="true" outlineLevel="0" collapsed="false">
      <c r="A11" s="172" t="s">
        <v>4834</v>
      </c>
    </row>
    <row r="12" customFormat="false" ht="30" hidden="false" customHeight="true" outlineLevel="0" collapsed="false">
      <c r="A12" s="173" t="s">
        <v>4835</v>
      </c>
      <c r="B12" s="91" t="s">
        <v>4836</v>
      </c>
      <c r="C12" s="91"/>
      <c r="D12" s="91"/>
    </row>
    <row r="13" customFormat="false" ht="30" hidden="false" customHeight="true" outlineLevel="0" collapsed="false">
      <c r="A13" s="173" t="s">
        <v>4837</v>
      </c>
      <c r="B13" s="91" t="s">
        <v>4838</v>
      </c>
      <c r="C13" s="91"/>
      <c r="D13" s="91"/>
    </row>
    <row r="14" customFormat="false" ht="30" hidden="false" customHeight="true" outlineLevel="0" collapsed="false">
      <c r="A14" s="173" t="s">
        <v>4839</v>
      </c>
      <c r="B14" s="91" t="s">
        <v>4840</v>
      </c>
      <c r="C14" s="91"/>
      <c r="D14" s="91"/>
    </row>
    <row r="15" customFormat="false" ht="30" hidden="false" customHeight="true" outlineLevel="0" collapsed="false">
      <c r="A15" s="173" t="s">
        <v>4841</v>
      </c>
      <c r="B15" s="91" t="s">
        <v>4842</v>
      </c>
      <c r="C15" s="91"/>
      <c r="D15" s="91"/>
    </row>
    <row r="17" customFormat="false" ht="15" hidden="false" customHeight="true" outlineLevel="0" collapsed="false">
      <c r="A17" s="172" t="s">
        <v>4843</v>
      </c>
    </row>
    <row r="18" customFormat="false" ht="30" hidden="false" customHeight="true" outlineLevel="0" collapsed="false">
      <c r="A18" s="174" t="s">
        <v>4844</v>
      </c>
      <c r="B18" s="91" t="s">
        <v>4845</v>
      </c>
      <c r="C18" s="91"/>
      <c r="D18" s="91"/>
    </row>
    <row r="19" customFormat="false" ht="30" hidden="false" customHeight="true" outlineLevel="0" collapsed="false">
      <c r="A19" s="174" t="s">
        <v>4846</v>
      </c>
      <c r="B19" s="91" t="s">
        <v>4847</v>
      </c>
      <c r="C19" s="91"/>
      <c r="D19" s="91"/>
    </row>
    <row r="20" customFormat="false" ht="30" hidden="false" customHeight="true" outlineLevel="0" collapsed="false">
      <c r="A20" s="174" t="s">
        <v>4848</v>
      </c>
      <c r="B20" s="91" t="s">
        <v>4849</v>
      </c>
      <c r="C20" s="91"/>
      <c r="D20" s="91"/>
    </row>
    <row r="21" customFormat="false" ht="30" hidden="false" customHeight="true" outlineLevel="0" collapsed="false">
      <c r="A21" s="175" t="s">
        <v>4850</v>
      </c>
      <c r="B21" s="91" t="s">
        <v>4851</v>
      </c>
      <c r="C21" s="91"/>
      <c r="D21" s="91"/>
    </row>
    <row r="22" customFormat="false" ht="30" hidden="false" customHeight="true" outlineLevel="0" collapsed="false">
      <c r="A22" s="176" t="s">
        <v>4852</v>
      </c>
      <c r="B22" s="91" t="s">
        <v>4853</v>
      </c>
      <c r="C22" s="91"/>
      <c r="D22" s="91"/>
    </row>
    <row r="23" customFormat="false" ht="30" hidden="false" customHeight="true" outlineLevel="0" collapsed="false">
      <c r="A23" s="177" t="s">
        <v>4854</v>
      </c>
      <c r="B23" s="91" t="s">
        <v>4855</v>
      </c>
      <c r="C23" s="91"/>
      <c r="D23" s="91"/>
    </row>
    <row r="24" customFormat="false" ht="30" hidden="false" customHeight="true" outlineLevel="0" collapsed="false">
      <c r="A24" s="178" t="s">
        <v>4856</v>
      </c>
      <c r="B24" s="91" t="s">
        <v>4857</v>
      </c>
      <c r="C24" s="91"/>
      <c r="D24" s="91"/>
    </row>
    <row r="25" customFormat="false" ht="30" hidden="false" customHeight="true" outlineLevel="0" collapsed="false">
      <c r="A25" s="179" t="s">
        <v>4858</v>
      </c>
      <c r="B25" s="91" t="s">
        <v>4859</v>
      </c>
      <c r="C25" s="91"/>
      <c r="D25" s="91"/>
    </row>
    <row r="27" customFormat="false" ht="15" hidden="false" customHeight="true" outlineLevel="0" collapsed="false">
      <c r="A27" s="172" t="s">
        <v>4860</v>
      </c>
    </row>
    <row r="28" customFormat="false" ht="30" hidden="false" customHeight="true" outlineLevel="0" collapsed="false">
      <c r="A28" s="180" t="s">
        <v>3698</v>
      </c>
      <c r="B28" s="91" t="s">
        <v>4861</v>
      </c>
      <c r="C28" s="91"/>
      <c r="D28" s="91"/>
    </row>
    <row r="29" customFormat="false" ht="45" hidden="false" customHeight="true" outlineLevel="0" collapsed="false">
      <c r="A29" s="180" t="s">
        <v>4862</v>
      </c>
      <c r="B29" s="91" t="s">
        <v>4863</v>
      </c>
      <c r="C29" s="91"/>
      <c r="D29" s="91"/>
    </row>
    <row r="30" customFormat="false" ht="18" hidden="false" customHeight="true" outlineLevel="0" collapsed="false">
      <c r="A30" s="180" t="s">
        <v>4864</v>
      </c>
      <c r="B30" s="91" t="s">
        <v>4865</v>
      </c>
      <c r="C30" s="91"/>
      <c r="D30" s="91"/>
    </row>
    <row r="31" customFormat="false" ht="30" hidden="false" customHeight="true" outlineLevel="0" collapsed="false">
      <c r="A31" s="180" t="s">
        <v>4866</v>
      </c>
      <c r="B31" s="91" t="s">
        <v>4867</v>
      </c>
      <c r="C31" s="91"/>
      <c r="D31" s="91"/>
    </row>
    <row r="32" customFormat="false" ht="30" hidden="false" customHeight="true" outlineLevel="0" collapsed="false">
      <c r="A32" s="180" t="s">
        <v>4868</v>
      </c>
      <c r="B32" s="91" t="s">
        <v>4869</v>
      </c>
      <c r="C32" s="91"/>
      <c r="D32" s="91"/>
    </row>
    <row r="33" customFormat="false" ht="18" hidden="false" customHeight="true" outlineLevel="0" collapsed="false">
      <c r="A33" s="180" t="s">
        <v>4870</v>
      </c>
      <c r="B33" s="91" t="s">
        <v>4871</v>
      </c>
      <c r="C33" s="91"/>
      <c r="D33" s="91"/>
    </row>
    <row r="34" customFormat="false" ht="30" hidden="false" customHeight="true" outlineLevel="0" collapsed="false">
      <c r="A34" s="180" t="s">
        <v>4872</v>
      </c>
      <c r="B34" s="91" t="s">
        <v>4873</v>
      </c>
      <c r="C34" s="91"/>
      <c r="D34" s="91"/>
    </row>
    <row r="36" customFormat="false" ht="15" hidden="false" customHeight="true" outlineLevel="0" collapsed="false">
      <c r="A36" s="172" t="s">
        <v>4874</v>
      </c>
    </row>
    <row r="37" customFormat="false" ht="15" hidden="false" customHeight="true" outlineLevel="0" collapsed="false">
      <c r="A37" s="181" t="s">
        <v>3382</v>
      </c>
      <c r="B37" s="181" t="s">
        <v>2530</v>
      </c>
      <c r="C37" s="181" t="s">
        <v>4875</v>
      </c>
      <c r="D37" s="181"/>
    </row>
    <row r="38" customFormat="false" ht="15" hidden="false" customHeight="true" outlineLevel="0" collapsed="false">
      <c r="A38" s="1" t="s">
        <v>4876</v>
      </c>
      <c r="B38" s="1" t="s">
        <v>4877</v>
      </c>
      <c r="C38" s="173" t="s">
        <v>4878</v>
      </c>
    </row>
    <row r="39" customFormat="false" ht="15" hidden="false" customHeight="true" outlineLevel="0" collapsed="false">
      <c r="A39" s="1" t="s">
        <v>4879</v>
      </c>
      <c r="B39" s="1" t="s">
        <v>4880</v>
      </c>
      <c r="C39" s="173" t="s">
        <v>4881</v>
      </c>
    </row>
    <row r="40" customFormat="false" ht="15" hidden="false" customHeight="true" outlineLevel="0" collapsed="false">
      <c r="A40" s="1" t="s">
        <v>4882</v>
      </c>
      <c r="B40" s="1" t="s">
        <v>4883</v>
      </c>
      <c r="C40" s="173" t="s">
        <v>4884</v>
      </c>
    </row>
    <row r="41" customFormat="false" ht="15" hidden="false" customHeight="true" outlineLevel="0" collapsed="false">
      <c r="A41" s="1" t="s">
        <v>4885</v>
      </c>
      <c r="B41" s="1" t="s">
        <v>4886</v>
      </c>
      <c r="C41" s="173" t="s">
        <v>4887</v>
      </c>
    </row>
    <row r="42" customFormat="false" ht="15" hidden="false" customHeight="true" outlineLevel="0" collapsed="false">
      <c r="A42" s="1" t="s">
        <v>4888</v>
      </c>
      <c r="B42" s="1" t="s">
        <v>4889</v>
      </c>
      <c r="C42" s="173" t="s">
        <v>4890</v>
      </c>
    </row>
    <row r="43" customFormat="false" ht="15" hidden="false" customHeight="true" outlineLevel="0" collapsed="false">
      <c r="A43" s="1" t="s">
        <v>4891</v>
      </c>
      <c r="B43" s="1" t="s">
        <v>4892</v>
      </c>
      <c r="C43" s="173" t="s">
        <v>4893</v>
      </c>
    </row>
    <row r="44" customFormat="false" ht="15" hidden="false" customHeight="true" outlineLevel="0" collapsed="false">
      <c r="A44" s="1" t="s">
        <v>4894</v>
      </c>
      <c r="B44" s="1" t="s">
        <v>4895</v>
      </c>
      <c r="C44" s="173" t="s">
        <v>4896</v>
      </c>
    </row>
    <row r="45" customFormat="false" ht="15" hidden="false" customHeight="true" outlineLevel="0" collapsed="false">
      <c r="A45" s="1" t="s">
        <v>4897</v>
      </c>
      <c r="B45" s="1" t="s">
        <v>4898</v>
      </c>
      <c r="C45" s="173" t="s">
        <v>4899</v>
      </c>
    </row>
    <row r="46" customFormat="false" ht="15" hidden="false" customHeight="true" outlineLevel="0" collapsed="false">
      <c r="A46" s="1" t="s">
        <v>4900</v>
      </c>
      <c r="B46" s="1" t="s">
        <v>4901</v>
      </c>
      <c r="C46" s="173" t="s">
        <v>4902</v>
      </c>
    </row>
    <row r="47" customFormat="false" ht="15" hidden="false" customHeight="true" outlineLevel="0" collapsed="false">
      <c r="A47" s="1" t="s">
        <v>4903</v>
      </c>
      <c r="B47" s="1" t="s">
        <v>4904</v>
      </c>
      <c r="C47" s="173" t="s">
        <v>4905</v>
      </c>
    </row>
    <row r="48" customFormat="false" ht="15" hidden="false" customHeight="true" outlineLevel="0" collapsed="false">
      <c r="A48" s="1" t="s">
        <v>4906</v>
      </c>
      <c r="B48" s="1" t="s">
        <v>4907</v>
      </c>
      <c r="C48" s="173" t="s">
        <v>4908</v>
      </c>
    </row>
    <row r="49" customFormat="false" ht="15" hidden="false" customHeight="true" outlineLevel="0" collapsed="false">
      <c r="A49" s="1" t="s">
        <v>4909</v>
      </c>
      <c r="B49" s="1" t="s">
        <v>4910</v>
      </c>
      <c r="C49" s="173" t="s">
        <v>4911</v>
      </c>
    </row>
    <row r="50" customFormat="false" ht="15" hidden="false" customHeight="true" outlineLevel="0" collapsed="false">
      <c r="A50" s="1" t="s">
        <v>4912</v>
      </c>
      <c r="B50" s="1" t="s">
        <v>4913</v>
      </c>
      <c r="C50" s="173" t="s">
        <v>4914</v>
      </c>
    </row>
    <row r="51" customFormat="false" ht="15" hidden="false" customHeight="true" outlineLevel="0" collapsed="false">
      <c r="A51" s="1" t="s">
        <v>4915</v>
      </c>
      <c r="B51" s="1" t="s">
        <v>4916</v>
      </c>
      <c r="C51" s="173" t="s">
        <v>4917</v>
      </c>
    </row>
    <row r="52" customFormat="false" ht="15" hidden="false" customHeight="true" outlineLevel="0" collapsed="false">
      <c r="A52" s="1" t="s">
        <v>4918</v>
      </c>
      <c r="B52" s="1" t="s">
        <v>4919</v>
      </c>
      <c r="C52" s="173" t="s">
        <v>4920</v>
      </c>
    </row>
    <row r="53" customFormat="false" ht="15" hidden="false" customHeight="true" outlineLevel="0" collapsed="false">
      <c r="A53" s="1" t="s">
        <v>4921</v>
      </c>
      <c r="B53" s="1" t="s">
        <v>4922</v>
      </c>
      <c r="C53" s="173" t="s">
        <v>4923</v>
      </c>
    </row>
    <row r="54" customFormat="false" ht="15" hidden="false" customHeight="true" outlineLevel="0" collapsed="false">
      <c r="A54" s="1" t="s">
        <v>4924</v>
      </c>
      <c r="B54" s="1" t="s">
        <v>4925</v>
      </c>
      <c r="C54" s="173" t="s">
        <v>4926</v>
      </c>
    </row>
    <row r="55" customFormat="false" ht="15" hidden="false" customHeight="true" outlineLevel="0" collapsed="false">
      <c r="A55" s="1" t="s">
        <v>4927</v>
      </c>
      <c r="B55" s="1" t="s">
        <v>4928</v>
      </c>
      <c r="C55" s="173" t="s">
        <v>4929</v>
      </c>
    </row>
    <row r="56" customFormat="false" ht="15" hidden="false" customHeight="true" outlineLevel="0" collapsed="false">
      <c r="A56" s="1" t="s">
        <v>4930</v>
      </c>
      <c r="B56" s="1" t="s">
        <v>4931</v>
      </c>
      <c r="C56" s="173" t="s">
        <v>4932</v>
      </c>
    </row>
    <row r="57" customFormat="false" ht="15" hidden="false" customHeight="true" outlineLevel="0" collapsed="false">
      <c r="A57" s="1" t="s">
        <v>4933</v>
      </c>
      <c r="B57" s="1" t="s">
        <v>4934</v>
      </c>
      <c r="C57" s="173" t="s">
        <v>4935</v>
      </c>
    </row>
    <row r="58" customFormat="false" ht="15" hidden="false" customHeight="true" outlineLevel="0" collapsed="false">
      <c r="A58" s="1" t="s">
        <v>4936</v>
      </c>
      <c r="B58" s="1" t="s">
        <v>4937</v>
      </c>
      <c r="C58" s="173" t="s">
        <v>4938</v>
      </c>
    </row>
    <row r="59" customFormat="false" ht="15" hidden="false" customHeight="true" outlineLevel="0" collapsed="false">
      <c r="A59" s="1" t="s">
        <v>4939</v>
      </c>
      <c r="B59" s="1" t="s">
        <v>4940</v>
      </c>
      <c r="C59" s="173" t="s">
        <v>4941</v>
      </c>
    </row>
    <row r="60" customFormat="false" ht="15" hidden="false" customHeight="true" outlineLevel="0" collapsed="false">
      <c r="A60" s="1" t="s">
        <v>4942</v>
      </c>
      <c r="B60" s="1" t="s">
        <v>4943</v>
      </c>
      <c r="C60" s="173" t="s">
        <v>4944</v>
      </c>
    </row>
    <row r="61" customFormat="false" ht="15" hidden="false" customHeight="true" outlineLevel="0" collapsed="false">
      <c r="A61" s="1" t="s">
        <v>4945</v>
      </c>
      <c r="B61" s="1" t="s">
        <v>4946</v>
      </c>
      <c r="C61" s="173" t="s">
        <v>4947</v>
      </c>
    </row>
    <row r="62" customFormat="false" ht="15" hidden="false" customHeight="true" outlineLevel="0" collapsed="false">
      <c r="A62" s="1" t="s">
        <v>4948</v>
      </c>
      <c r="B62" s="1" t="s">
        <v>4949</v>
      </c>
      <c r="C62" s="173" t="s">
        <v>4950</v>
      </c>
    </row>
    <row r="63" customFormat="false" ht="15" hidden="false" customHeight="true" outlineLevel="0" collapsed="false">
      <c r="A63" s="1" t="s">
        <v>4951</v>
      </c>
      <c r="B63" s="1" t="s">
        <v>4952</v>
      </c>
      <c r="C63" s="173" t="s">
        <v>4953</v>
      </c>
    </row>
    <row r="64" customFormat="false" ht="15" hidden="false" customHeight="true" outlineLevel="0" collapsed="false">
      <c r="A64" s="1" t="s">
        <v>4954</v>
      </c>
      <c r="B64" s="1" t="s">
        <v>4955</v>
      </c>
      <c r="C64" s="173" t="s">
        <v>4956</v>
      </c>
    </row>
    <row r="65" customFormat="false" ht="15" hidden="false" customHeight="true" outlineLevel="0" collapsed="false">
      <c r="A65" s="1" t="s">
        <v>4957</v>
      </c>
      <c r="B65" s="1" t="s">
        <v>4958</v>
      </c>
      <c r="C65" s="173" t="s">
        <v>4959</v>
      </c>
    </row>
    <row r="66" customFormat="false" ht="15" hidden="false" customHeight="true" outlineLevel="0" collapsed="false">
      <c r="A66" s="1" t="s">
        <v>4960</v>
      </c>
      <c r="B66" s="1" t="s">
        <v>4961</v>
      </c>
      <c r="C66" s="173" t="s">
        <v>4962</v>
      </c>
    </row>
    <row r="67" customFormat="false" ht="15" hidden="false" customHeight="true" outlineLevel="0" collapsed="false">
      <c r="A67" s="1" t="s">
        <v>4963</v>
      </c>
      <c r="B67" s="1" t="s">
        <v>4964</v>
      </c>
      <c r="C67" s="173" t="s">
        <v>4965</v>
      </c>
    </row>
    <row r="68" customFormat="false" ht="15" hidden="false" customHeight="true" outlineLevel="0" collapsed="false">
      <c r="A68" s="1" t="s">
        <v>4966</v>
      </c>
      <c r="B68" s="1" t="s">
        <v>4967</v>
      </c>
      <c r="C68" s="173" t="s">
        <v>4968</v>
      </c>
    </row>
    <row r="69" customFormat="false" ht="15" hidden="false" customHeight="true" outlineLevel="0" collapsed="false">
      <c r="A69" s="1" t="s">
        <v>4969</v>
      </c>
      <c r="B69" s="1" t="s">
        <v>4970</v>
      </c>
      <c r="C69" s="173" t="s">
        <v>4971</v>
      </c>
    </row>
    <row r="70" customFormat="false" ht="15" hidden="false" customHeight="true" outlineLevel="0" collapsed="false">
      <c r="A70" s="1" t="s">
        <v>4972</v>
      </c>
      <c r="B70" s="1" t="s">
        <v>4973</v>
      </c>
      <c r="C70" s="173" t="s">
        <v>4974</v>
      </c>
    </row>
    <row r="71" customFormat="false" ht="15" hidden="false" customHeight="true" outlineLevel="0" collapsed="false">
      <c r="A71" s="1" t="s">
        <v>4975</v>
      </c>
      <c r="B71" s="1" t="s">
        <v>4976</v>
      </c>
      <c r="C71" s="173" t="s">
        <v>4977</v>
      </c>
    </row>
    <row r="72" customFormat="false" ht="15" hidden="false" customHeight="true" outlineLevel="0" collapsed="false">
      <c r="A72" s="1" t="s">
        <v>4978</v>
      </c>
      <c r="B72" s="1" t="s">
        <v>4979</v>
      </c>
      <c r="C72" s="173" t="s">
        <v>4980</v>
      </c>
    </row>
    <row r="73" customFormat="false" ht="15" hidden="false" customHeight="true" outlineLevel="0" collapsed="false">
      <c r="A73" s="1" t="s">
        <v>4981</v>
      </c>
      <c r="B73" s="1" t="s">
        <v>4982</v>
      </c>
      <c r="C73" s="173" t="s">
        <v>4983</v>
      </c>
    </row>
    <row r="74" customFormat="false" ht="15" hidden="false" customHeight="true" outlineLevel="0" collapsed="false">
      <c r="A74" s="1" t="s">
        <v>4984</v>
      </c>
      <c r="B74" s="1" t="s">
        <v>4985</v>
      </c>
      <c r="C74" s="173" t="s">
        <v>4986</v>
      </c>
    </row>
    <row r="75" customFormat="false" ht="15" hidden="false" customHeight="true" outlineLevel="0" collapsed="false">
      <c r="A75" s="1" t="s">
        <v>4987</v>
      </c>
      <c r="B75" s="1" t="s">
        <v>4988</v>
      </c>
      <c r="C75" s="173" t="s">
        <v>4989</v>
      </c>
    </row>
    <row r="76" customFormat="false" ht="15" hidden="false" customHeight="true" outlineLevel="0" collapsed="false">
      <c r="A76" s="1" t="s">
        <v>4990</v>
      </c>
      <c r="B76" s="1" t="s">
        <v>4991</v>
      </c>
      <c r="C76" s="173" t="s">
        <v>4992</v>
      </c>
    </row>
    <row r="77" customFormat="false" ht="15" hidden="false" customHeight="true" outlineLevel="0" collapsed="false">
      <c r="A77" s="1" t="s">
        <v>4993</v>
      </c>
      <c r="B77" s="1" t="s">
        <v>4994</v>
      </c>
      <c r="C77" s="173" t="s">
        <v>4995</v>
      </c>
    </row>
    <row r="78" customFormat="false" ht="15" hidden="false" customHeight="true" outlineLevel="0" collapsed="false">
      <c r="A78" s="1" t="s">
        <v>4996</v>
      </c>
      <c r="B78" s="1" t="s">
        <v>4997</v>
      </c>
      <c r="C78" s="173" t="s">
        <v>4998</v>
      </c>
    </row>
    <row r="79" customFormat="false" ht="15" hidden="false" customHeight="true" outlineLevel="0" collapsed="false">
      <c r="A79" s="1" t="s">
        <v>4999</v>
      </c>
      <c r="B79" s="1" t="s">
        <v>5000</v>
      </c>
      <c r="C79" s="173" t="s">
        <v>5001</v>
      </c>
    </row>
    <row r="80" customFormat="false" ht="15" hidden="false" customHeight="true" outlineLevel="0" collapsed="false">
      <c r="A80" s="1" t="s">
        <v>5002</v>
      </c>
      <c r="B80" s="1" t="s">
        <v>5003</v>
      </c>
      <c r="C80" s="173" t="s">
        <v>5004</v>
      </c>
    </row>
    <row r="81" customFormat="false" ht="15" hidden="false" customHeight="true" outlineLevel="0" collapsed="false">
      <c r="A81" s="1" t="s">
        <v>5005</v>
      </c>
      <c r="B81" s="1" t="s">
        <v>5006</v>
      </c>
      <c r="C81" s="173" t="s">
        <v>5007</v>
      </c>
    </row>
    <row r="82" customFormat="false" ht="15" hidden="false" customHeight="true" outlineLevel="0" collapsed="false">
      <c r="A82" s="1" t="s">
        <v>5008</v>
      </c>
      <c r="B82" s="1" t="s">
        <v>5009</v>
      </c>
      <c r="C82" s="173" t="s">
        <v>5010</v>
      </c>
    </row>
    <row r="83" customFormat="false" ht="15" hidden="false" customHeight="true" outlineLevel="0" collapsed="false">
      <c r="A83" s="1" t="s">
        <v>5011</v>
      </c>
      <c r="B83" s="1" t="s">
        <v>5012</v>
      </c>
      <c r="C83" s="173" t="s">
        <v>5013</v>
      </c>
    </row>
    <row r="84" customFormat="false" ht="15" hidden="false" customHeight="true" outlineLevel="0" collapsed="false">
      <c r="A84" s="1" t="s">
        <v>5014</v>
      </c>
      <c r="B84" s="1" t="s">
        <v>5015</v>
      </c>
      <c r="C84" s="173" t="s">
        <v>5016</v>
      </c>
    </row>
    <row r="85" customFormat="false" ht="15" hidden="false" customHeight="true" outlineLevel="0" collapsed="false">
      <c r="A85" s="1" t="s">
        <v>5017</v>
      </c>
      <c r="B85" s="1" t="s">
        <v>5018</v>
      </c>
      <c r="C85" s="173" t="s">
        <v>5019</v>
      </c>
    </row>
    <row r="86" customFormat="false" ht="15" hidden="false" customHeight="true" outlineLevel="0" collapsed="false">
      <c r="A86" s="1" t="s">
        <v>5020</v>
      </c>
      <c r="B86" s="1" t="s">
        <v>5021</v>
      </c>
      <c r="C86" s="173" t="s">
        <v>5022</v>
      </c>
    </row>
    <row r="87" customFormat="false" ht="15" hidden="false" customHeight="true" outlineLevel="0" collapsed="false">
      <c r="A87" s="1" t="s">
        <v>5023</v>
      </c>
      <c r="B87" s="1" t="s">
        <v>5024</v>
      </c>
      <c r="C87" s="173" t="s">
        <v>5025</v>
      </c>
    </row>
    <row r="88" customFormat="false" ht="15" hidden="false" customHeight="true" outlineLevel="0" collapsed="false">
      <c r="A88" s="1" t="s">
        <v>5026</v>
      </c>
      <c r="B88" s="1" t="s">
        <v>5027</v>
      </c>
      <c r="C88" s="173" t="s">
        <v>5028</v>
      </c>
    </row>
    <row r="89" customFormat="false" ht="15" hidden="false" customHeight="true" outlineLevel="0" collapsed="false">
      <c r="A89" s="1" t="s">
        <v>5029</v>
      </c>
      <c r="B89" s="1" t="s">
        <v>5030</v>
      </c>
      <c r="C89" s="173" t="s">
        <v>5031</v>
      </c>
    </row>
    <row r="90" customFormat="false" ht="15" hidden="false" customHeight="true" outlineLevel="0" collapsed="false">
      <c r="A90" s="1" t="s">
        <v>5032</v>
      </c>
      <c r="B90" s="1" t="s">
        <v>5033</v>
      </c>
      <c r="C90" s="173" t="s">
        <v>5034</v>
      </c>
    </row>
    <row r="91" customFormat="false" ht="15" hidden="false" customHeight="true" outlineLevel="0" collapsed="false">
      <c r="A91" s="1" t="s">
        <v>5035</v>
      </c>
      <c r="B91" s="1" t="s">
        <v>5036</v>
      </c>
      <c r="C91" s="173" t="s">
        <v>5037</v>
      </c>
    </row>
    <row r="92" customFormat="false" ht="15" hidden="false" customHeight="true" outlineLevel="0" collapsed="false">
      <c r="A92" s="1" t="s">
        <v>5038</v>
      </c>
      <c r="B92" s="1" t="s">
        <v>5039</v>
      </c>
      <c r="C92" s="173" t="s">
        <v>5040</v>
      </c>
    </row>
    <row r="93" customFormat="false" ht="15" hidden="false" customHeight="true" outlineLevel="0" collapsed="false">
      <c r="A93" s="1" t="s">
        <v>5041</v>
      </c>
      <c r="B93" s="1" t="s">
        <v>5042</v>
      </c>
      <c r="C93" s="173" t="s">
        <v>5043</v>
      </c>
    </row>
    <row r="94" customFormat="false" ht="15" hidden="false" customHeight="true" outlineLevel="0" collapsed="false">
      <c r="A94" s="1" t="s">
        <v>5044</v>
      </c>
      <c r="B94" s="1" t="s">
        <v>5045</v>
      </c>
      <c r="C94" s="173" t="s">
        <v>5046</v>
      </c>
    </row>
    <row r="95" customFormat="false" ht="15" hidden="false" customHeight="true" outlineLevel="0" collapsed="false">
      <c r="A95" s="1" t="s">
        <v>5047</v>
      </c>
      <c r="B95" s="1" t="s">
        <v>5048</v>
      </c>
      <c r="C95" s="173" t="s">
        <v>5049</v>
      </c>
    </row>
    <row r="96" customFormat="false" ht="15" hidden="false" customHeight="true" outlineLevel="0" collapsed="false">
      <c r="A96" s="1" t="s">
        <v>5050</v>
      </c>
      <c r="B96" s="1" t="s">
        <v>5051</v>
      </c>
      <c r="C96" s="173" t="s">
        <v>5052</v>
      </c>
    </row>
    <row r="97" customFormat="false" ht="15" hidden="false" customHeight="true" outlineLevel="0" collapsed="false">
      <c r="A97" s="1" t="s">
        <v>5053</v>
      </c>
      <c r="B97" s="1" t="s">
        <v>5054</v>
      </c>
      <c r="C97" s="173" t="s">
        <v>5055</v>
      </c>
    </row>
    <row r="98" customFormat="false" ht="15" hidden="false" customHeight="true" outlineLevel="0" collapsed="false">
      <c r="A98" s="1" t="s">
        <v>5056</v>
      </c>
      <c r="B98" s="1" t="s">
        <v>5057</v>
      </c>
      <c r="C98" s="173" t="s">
        <v>5058</v>
      </c>
    </row>
    <row r="100" customFormat="false" ht="15" hidden="false" customHeight="true" outlineLevel="0" collapsed="false">
      <c r="A100" s="172" t="s">
        <v>5059</v>
      </c>
    </row>
    <row r="101" customFormat="false" ht="15" hidden="false" customHeight="true" outlineLevel="0" collapsed="false">
      <c r="A101" s="181" t="s">
        <v>5060</v>
      </c>
      <c r="B101" s="181" t="s">
        <v>5061</v>
      </c>
      <c r="C101" s="181" t="s">
        <v>5062</v>
      </c>
      <c r="D101" s="181" t="s">
        <v>5063</v>
      </c>
    </row>
    <row r="102" customFormat="false" ht="15" hidden="false" customHeight="true" outlineLevel="0" collapsed="false">
      <c r="A102" s="1" t="s">
        <v>5064</v>
      </c>
      <c r="B102" s="173" t="s">
        <v>5065</v>
      </c>
      <c r="C102" s="173" t="s">
        <v>5066</v>
      </c>
      <c r="D102" s="1" t="s">
        <v>5067</v>
      </c>
    </row>
    <row r="103" customFormat="false" ht="15" hidden="false" customHeight="true" outlineLevel="0" collapsed="false">
      <c r="A103" s="1" t="s">
        <v>5068</v>
      </c>
      <c r="B103" s="173" t="s">
        <v>5069</v>
      </c>
      <c r="C103" s="173" t="s">
        <v>5070</v>
      </c>
      <c r="D103" s="1" t="s">
        <v>5067</v>
      </c>
    </row>
    <row r="104" customFormat="false" ht="15" hidden="false" customHeight="true" outlineLevel="0" collapsed="false">
      <c r="A104" s="1" t="s">
        <v>5071</v>
      </c>
      <c r="B104" s="173" t="s">
        <v>5072</v>
      </c>
      <c r="C104" s="173" t="s">
        <v>5073</v>
      </c>
      <c r="D104" s="1" t="s">
        <v>5067</v>
      </c>
    </row>
    <row r="105" customFormat="false" ht="15" hidden="false" customHeight="true" outlineLevel="0" collapsed="false">
      <c r="A105" s="1" t="s">
        <v>5074</v>
      </c>
      <c r="B105" s="173" t="s">
        <v>5074</v>
      </c>
      <c r="C105" s="173" t="s">
        <v>5075</v>
      </c>
      <c r="D105" s="1" t="s">
        <v>5067</v>
      </c>
    </row>
    <row r="106" customFormat="false" ht="15" hidden="false" customHeight="true" outlineLevel="0" collapsed="false">
      <c r="A106" s="1" t="s">
        <v>5076</v>
      </c>
      <c r="B106" s="173" t="s">
        <v>5077</v>
      </c>
      <c r="C106" s="173" t="s">
        <v>5078</v>
      </c>
      <c r="D106" s="1" t="s">
        <v>5067</v>
      </c>
    </row>
    <row r="107" customFormat="false" ht="15" hidden="false" customHeight="true" outlineLevel="0" collapsed="false">
      <c r="A107" s="1" t="s">
        <v>5079</v>
      </c>
      <c r="B107" s="173" t="s">
        <v>5080</v>
      </c>
      <c r="C107" s="173" t="s">
        <v>5081</v>
      </c>
      <c r="D107" s="1" t="s">
        <v>5067</v>
      </c>
    </row>
    <row r="108" customFormat="false" ht="15" hidden="false" customHeight="true" outlineLevel="0" collapsed="false">
      <c r="A108" s="1" t="s">
        <v>5082</v>
      </c>
      <c r="B108" s="173" t="s">
        <v>5082</v>
      </c>
      <c r="C108" s="173" t="s">
        <v>5083</v>
      </c>
      <c r="D108" s="1" t="s">
        <v>5067</v>
      </c>
    </row>
    <row r="109" customFormat="false" ht="15" hidden="false" customHeight="true" outlineLevel="0" collapsed="false">
      <c r="A109" s="1" t="s">
        <v>5084</v>
      </c>
      <c r="B109" s="173" t="s">
        <v>5084</v>
      </c>
      <c r="C109" s="173" t="s">
        <v>5085</v>
      </c>
      <c r="D109" s="1" t="s">
        <v>5067</v>
      </c>
    </row>
    <row r="110" customFormat="false" ht="15" hidden="false" customHeight="true" outlineLevel="0" collapsed="false">
      <c r="A110" s="1" t="s">
        <v>5086</v>
      </c>
      <c r="B110" s="173" t="s">
        <v>5086</v>
      </c>
      <c r="C110" s="173" t="s">
        <v>5087</v>
      </c>
      <c r="D110" s="1" t="s">
        <v>5067</v>
      </c>
    </row>
    <row r="111" customFormat="false" ht="15" hidden="false" customHeight="true" outlineLevel="0" collapsed="false">
      <c r="A111" s="1" t="s">
        <v>5088</v>
      </c>
      <c r="B111" s="173" t="s">
        <v>5089</v>
      </c>
      <c r="C111" s="173" t="s">
        <v>5090</v>
      </c>
      <c r="D111" s="1" t="s">
        <v>5067</v>
      </c>
    </row>
    <row r="112" customFormat="false" ht="15" hidden="false" customHeight="true" outlineLevel="0" collapsed="false">
      <c r="A112" s="1" t="s">
        <v>5091</v>
      </c>
      <c r="B112" s="173" t="s">
        <v>5091</v>
      </c>
      <c r="C112" s="173" t="s">
        <v>5092</v>
      </c>
      <c r="D112" s="1" t="s">
        <v>5067</v>
      </c>
    </row>
    <row r="113" customFormat="false" ht="15" hidden="false" customHeight="true" outlineLevel="0" collapsed="false">
      <c r="A113" s="1" t="s">
        <v>5093</v>
      </c>
      <c r="B113" s="173" t="s">
        <v>5093</v>
      </c>
      <c r="C113" s="173" t="s">
        <v>5094</v>
      </c>
      <c r="D113" s="1" t="s">
        <v>5067</v>
      </c>
    </row>
    <row r="114" customFormat="false" ht="15" hidden="false" customHeight="true" outlineLevel="0" collapsed="false">
      <c r="A114" s="1" t="s">
        <v>5095</v>
      </c>
      <c r="B114" s="173" t="s">
        <v>5095</v>
      </c>
      <c r="C114" s="173" t="s">
        <v>5096</v>
      </c>
      <c r="D114" s="1" t="s">
        <v>5067</v>
      </c>
    </row>
    <row r="115" customFormat="false" ht="15" hidden="false" customHeight="true" outlineLevel="0" collapsed="false">
      <c r="A115" s="1" t="s">
        <v>5097</v>
      </c>
      <c r="B115" s="173" t="s">
        <v>5097</v>
      </c>
      <c r="C115" s="173" t="s">
        <v>5098</v>
      </c>
      <c r="D115" s="1" t="s">
        <v>5067</v>
      </c>
    </row>
    <row r="116" customFormat="false" ht="15" hidden="false" customHeight="true" outlineLevel="0" collapsed="false">
      <c r="A116" s="1" t="s">
        <v>5099</v>
      </c>
      <c r="B116" s="173" t="s">
        <v>5100</v>
      </c>
      <c r="C116" s="173" t="s">
        <v>5101</v>
      </c>
      <c r="D116" s="1" t="s">
        <v>5067</v>
      </c>
    </row>
    <row r="117" customFormat="false" ht="15" hidden="false" customHeight="true" outlineLevel="0" collapsed="false">
      <c r="A117" s="1" t="s">
        <v>5102</v>
      </c>
      <c r="B117" s="173" t="s">
        <v>5103</v>
      </c>
      <c r="C117" s="173" t="s">
        <v>5104</v>
      </c>
      <c r="D117" s="1" t="s">
        <v>5067</v>
      </c>
    </row>
    <row r="118" customFormat="false" ht="15" hidden="false" customHeight="true" outlineLevel="0" collapsed="false">
      <c r="A118" s="1" t="s">
        <v>5105</v>
      </c>
      <c r="B118" s="173" t="s">
        <v>5106</v>
      </c>
      <c r="C118" s="173" t="s">
        <v>5107</v>
      </c>
      <c r="D118" s="1" t="s">
        <v>5067</v>
      </c>
    </row>
    <row r="119" customFormat="false" ht="15" hidden="false" customHeight="true" outlineLevel="0" collapsed="false">
      <c r="A119" s="1" t="s">
        <v>5108</v>
      </c>
      <c r="B119" s="173" t="s">
        <v>5108</v>
      </c>
      <c r="C119" s="173" t="s">
        <v>5109</v>
      </c>
      <c r="D119" s="1" t="s">
        <v>5067</v>
      </c>
    </row>
    <row r="120" customFormat="false" ht="15" hidden="false" customHeight="true" outlineLevel="0" collapsed="false">
      <c r="A120" s="1" t="s">
        <v>5110</v>
      </c>
      <c r="B120" s="173" t="s">
        <v>5110</v>
      </c>
      <c r="C120" s="173" t="s">
        <v>5111</v>
      </c>
      <c r="D120" s="1" t="s">
        <v>5067</v>
      </c>
    </row>
    <row r="121" customFormat="false" ht="15" hidden="false" customHeight="true" outlineLevel="0" collapsed="false">
      <c r="A121" s="1" t="s">
        <v>5112</v>
      </c>
      <c r="B121" s="173" t="s">
        <v>5113</v>
      </c>
      <c r="C121" s="173" t="s">
        <v>5114</v>
      </c>
      <c r="D121" s="1" t="s">
        <v>5067</v>
      </c>
    </row>
    <row r="122" customFormat="false" ht="15" hidden="false" customHeight="true" outlineLevel="0" collapsed="false">
      <c r="A122" s="1" t="s">
        <v>5115</v>
      </c>
      <c r="B122" s="173" t="s">
        <v>5116</v>
      </c>
      <c r="C122" s="173" t="s">
        <v>5117</v>
      </c>
      <c r="D122" s="1" t="s">
        <v>5067</v>
      </c>
    </row>
    <row r="123" customFormat="false" ht="15" hidden="false" customHeight="true" outlineLevel="0" collapsed="false">
      <c r="A123" s="1" t="s">
        <v>5118</v>
      </c>
      <c r="B123" s="173" t="s">
        <v>5118</v>
      </c>
      <c r="C123" s="173" t="s">
        <v>5119</v>
      </c>
      <c r="D123" s="1" t="s">
        <v>5067</v>
      </c>
    </row>
    <row r="124" customFormat="false" ht="15" hidden="false" customHeight="true" outlineLevel="0" collapsed="false">
      <c r="A124" s="1" t="s">
        <v>5120</v>
      </c>
      <c r="B124" s="173" t="s">
        <v>5120</v>
      </c>
      <c r="C124" s="173" t="s">
        <v>5121</v>
      </c>
      <c r="D124" s="1" t="s">
        <v>5067</v>
      </c>
    </row>
    <row r="125" customFormat="false" ht="15" hidden="false" customHeight="true" outlineLevel="0" collapsed="false">
      <c r="A125" s="1" t="s">
        <v>5122</v>
      </c>
      <c r="B125" s="173" t="s">
        <v>5122</v>
      </c>
      <c r="C125" s="173" t="s">
        <v>5123</v>
      </c>
      <c r="D125" s="1" t="s">
        <v>5067</v>
      </c>
    </row>
    <row r="126" customFormat="false" ht="15" hidden="false" customHeight="true" outlineLevel="0" collapsed="false">
      <c r="A126" s="1" t="s">
        <v>5124</v>
      </c>
      <c r="B126" s="173" t="s">
        <v>5124</v>
      </c>
      <c r="C126" s="173" t="s">
        <v>5125</v>
      </c>
      <c r="D126" s="1" t="s">
        <v>5067</v>
      </c>
    </row>
    <row r="127" customFormat="false" ht="15" hidden="false" customHeight="true" outlineLevel="0" collapsed="false">
      <c r="A127" s="1" t="s">
        <v>5126</v>
      </c>
      <c r="B127" s="173" t="s">
        <v>5127</v>
      </c>
      <c r="C127" s="173" t="s">
        <v>5128</v>
      </c>
      <c r="D127" s="1" t="s">
        <v>5067</v>
      </c>
    </row>
    <row r="128" customFormat="false" ht="15" hidden="false" customHeight="true" outlineLevel="0" collapsed="false">
      <c r="A128" s="1" t="s">
        <v>5129</v>
      </c>
      <c r="B128" s="173" t="s">
        <v>5129</v>
      </c>
      <c r="C128" s="173" t="s">
        <v>5130</v>
      </c>
      <c r="D128" s="1" t="s">
        <v>5067</v>
      </c>
    </row>
    <row r="129" customFormat="false" ht="15" hidden="false" customHeight="true" outlineLevel="0" collapsed="false">
      <c r="A129" s="1" t="s">
        <v>5131</v>
      </c>
      <c r="B129" s="173" t="s">
        <v>5131</v>
      </c>
      <c r="C129" s="173" t="s">
        <v>5132</v>
      </c>
      <c r="D129" s="1" t="s">
        <v>5067</v>
      </c>
    </row>
    <row r="130" customFormat="false" ht="15" hidden="false" customHeight="true" outlineLevel="0" collapsed="false">
      <c r="A130" s="1" t="s">
        <v>4835</v>
      </c>
      <c r="B130" s="173" t="s">
        <v>4835</v>
      </c>
    </row>
    <row r="131" customFormat="false" ht="15" hidden="false" customHeight="true" outlineLevel="0" collapsed="false">
      <c r="A131" s="1" t="s">
        <v>4837</v>
      </c>
      <c r="B131" s="173" t="s">
        <v>4837</v>
      </c>
    </row>
    <row r="132" customFormat="false" ht="15" hidden="false" customHeight="true" outlineLevel="0" collapsed="false">
      <c r="A132" s="1" t="s">
        <v>4839</v>
      </c>
      <c r="B132" s="173" t="s">
        <v>4839</v>
      </c>
    </row>
    <row r="133" customFormat="false" ht="15" hidden="false" customHeight="true" outlineLevel="0" collapsed="false">
      <c r="A133" s="1" t="s">
        <v>4841</v>
      </c>
      <c r="B133" s="173" t="s">
        <v>4841</v>
      </c>
    </row>
    <row r="134" customFormat="false" ht="15" hidden="false" customHeight="true" outlineLevel="0" collapsed="false">
      <c r="A134" s="1" t="s">
        <v>5133</v>
      </c>
      <c r="B134" s="173" t="s">
        <v>5134</v>
      </c>
    </row>
    <row r="135" customFormat="false" ht="15" hidden="false" customHeight="true" outlineLevel="0" collapsed="false">
      <c r="A135" s="1" t="s">
        <v>5135</v>
      </c>
      <c r="B135" s="173" t="s">
        <v>3153</v>
      </c>
    </row>
    <row r="136" customFormat="false" ht="15" hidden="false" customHeight="true" outlineLevel="0" collapsed="false">
      <c r="A136" s="1" t="s">
        <v>5136</v>
      </c>
      <c r="B136" s="173" t="s">
        <v>3155</v>
      </c>
    </row>
    <row r="137" customFormat="false" ht="15" hidden="false" customHeight="true" outlineLevel="0" collapsed="false">
      <c r="A137" s="1" t="s">
        <v>5137</v>
      </c>
      <c r="B137" s="173" t="s">
        <v>3159</v>
      </c>
    </row>
    <row r="138" customFormat="false" ht="15" hidden="false" customHeight="true" outlineLevel="0" collapsed="false">
      <c r="A138" s="1" t="s">
        <v>5138</v>
      </c>
      <c r="B138" s="173" t="s">
        <v>3161</v>
      </c>
    </row>
    <row r="139" customFormat="false" ht="15" hidden="false" customHeight="true" outlineLevel="0" collapsed="false">
      <c r="A139" s="1" t="s">
        <v>5139</v>
      </c>
      <c r="B139" s="173" t="s">
        <v>3163</v>
      </c>
    </row>
    <row r="140" customFormat="false" ht="15" hidden="false" customHeight="true" outlineLevel="0" collapsed="false">
      <c r="A140" s="1" t="s">
        <v>5140</v>
      </c>
      <c r="B140" s="173" t="s">
        <v>3165</v>
      </c>
    </row>
    <row r="141" customFormat="false" ht="15" hidden="false" customHeight="true" outlineLevel="0" collapsed="false">
      <c r="A141" s="1" t="s">
        <v>5141</v>
      </c>
      <c r="B141" s="173" t="s">
        <v>3157</v>
      </c>
    </row>
    <row r="142" customFormat="false" ht="15" hidden="false" customHeight="true" outlineLevel="0" collapsed="false">
      <c r="A142" s="1" t="s">
        <v>5142</v>
      </c>
      <c r="B142" s="173" t="s">
        <v>5143</v>
      </c>
    </row>
    <row r="143" customFormat="false" ht="15" hidden="false" customHeight="true" outlineLevel="0" collapsed="false">
      <c r="A143" s="1" t="s">
        <v>5144</v>
      </c>
      <c r="B143" s="173" t="s">
        <v>3167</v>
      </c>
    </row>
    <row r="144" customFormat="false" ht="15" hidden="false" customHeight="true" outlineLevel="0" collapsed="false">
      <c r="A144" s="1" t="s">
        <v>5145</v>
      </c>
      <c r="B144" s="173" t="s">
        <v>4430</v>
      </c>
    </row>
    <row r="145" customFormat="false" ht="15" hidden="false" customHeight="true" outlineLevel="0" collapsed="false">
      <c r="A145" s="1" t="s">
        <v>5146</v>
      </c>
      <c r="B145" s="173" t="s">
        <v>4594</v>
      </c>
    </row>
    <row r="146" customFormat="false" ht="15" hidden="false" customHeight="true" outlineLevel="0" collapsed="false">
      <c r="A146" s="1" t="s">
        <v>5147</v>
      </c>
      <c r="B146" s="173" t="s">
        <v>5148</v>
      </c>
    </row>
    <row r="147" customFormat="false" ht="15" hidden="false" customHeight="true" outlineLevel="0" collapsed="false">
      <c r="A147" s="1" t="s">
        <v>5149</v>
      </c>
      <c r="B147" s="173" t="s">
        <v>5150</v>
      </c>
    </row>
    <row r="148" customFormat="false" ht="15" hidden="false" customHeight="true" outlineLevel="0" collapsed="false">
      <c r="A148" s="1" t="s">
        <v>5151</v>
      </c>
      <c r="B148" s="173" t="s">
        <v>170</v>
      </c>
    </row>
    <row r="149" customFormat="false" ht="15" hidden="false" customHeight="true" outlineLevel="0" collapsed="false">
      <c r="A149" s="1" t="s">
        <v>5152</v>
      </c>
      <c r="B149" s="173" t="s">
        <v>5153</v>
      </c>
    </row>
  </sheetData>
  <mergeCells count="26">
    <mergeCell ref="B3:D3"/>
    <mergeCell ref="B4:D4"/>
    <mergeCell ref="B5:D5"/>
    <mergeCell ref="B6:D6"/>
    <mergeCell ref="B7:D7"/>
    <mergeCell ref="B8:D8"/>
    <mergeCell ref="B9:D9"/>
    <mergeCell ref="B12:D12"/>
    <mergeCell ref="B13:D13"/>
    <mergeCell ref="B14:D14"/>
    <mergeCell ref="B15:D15"/>
    <mergeCell ref="B18:D18"/>
    <mergeCell ref="B19:D19"/>
    <mergeCell ref="B20:D20"/>
    <mergeCell ref="B21:D21"/>
    <mergeCell ref="B22:D22"/>
    <mergeCell ref="B23:D23"/>
    <mergeCell ref="B24:D24"/>
    <mergeCell ref="B25:D25"/>
    <mergeCell ref="B28:D28"/>
    <mergeCell ref="B29:D29"/>
    <mergeCell ref="B30:D30"/>
    <mergeCell ref="B31:D31"/>
    <mergeCell ref="B32:D32"/>
    <mergeCell ref="B33:D33"/>
    <mergeCell ref="B34:D34"/>
  </mergeCells>
  <hyperlinks>
    <hyperlink ref="A12" location="'UI Guide'!A1" display="UI Guide"/>
    <hyperlink ref="A13" location="'UI Calculators'!A1" display="UI Calculators"/>
    <hyperlink ref="A14" location="'UI Screens'!A1" display="UI Screens"/>
    <hyperlink ref="A15" location="'UI Make my plan'!A1" display="UI Make my plan"/>
    <hyperlink ref="C38" location="'UI Make my plan'!A5" display="rows 5 to 305"/>
    <hyperlink ref="C39" location="'UI Make my plan'!A306" display="rows 306 to 391"/>
    <hyperlink ref="C40" location="'UI Make my plan'!A392" display="rows 392 to 457"/>
    <hyperlink ref="C41" location="'UI Make my plan'!A458" display="rows 458 to 587"/>
    <hyperlink ref="C42" location="'UI Make my plan'!A588" display="rows 588 to 652"/>
    <hyperlink ref="C43" location="'UI Make my plan'!A653" display="rows 653 to 921"/>
    <hyperlink ref="C44" location="'UI Make my plan'!A922" display="rows 922 to 972"/>
    <hyperlink ref="C45" location="'UI Make my plan'!A973" display="rows 973 to 1008"/>
    <hyperlink ref="C46" location="'UI Make my plan'!A1009" display="rows 1009 to 1070"/>
    <hyperlink ref="C47" location="'UI Make my plan'!A1071" display="rows 1071 to 1159"/>
    <hyperlink ref="C48" location="'UI Make my plan'!A1160" display="rows 1160 to 1256"/>
    <hyperlink ref="C49" location="'UI Make my plan'!A1257" display="rows 1257 to 1349"/>
    <hyperlink ref="C50" location="'UI Make my plan'!A1350" display="rows 1350 to 1533"/>
    <hyperlink ref="C51" location="'UI Make my plan'!A1534" display="rows 1534 to 1675"/>
    <hyperlink ref="C52" location="'UI Make my plan'!A1676" display="rows 1676 to 1784"/>
    <hyperlink ref="C53" location="'UI Make my plan'!A1785" display="rows 1785 to 2085"/>
    <hyperlink ref="C54" location="'UI Make my plan'!A2086" display="rows 2086 to 2386"/>
    <hyperlink ref="C55" location="'UI Make my plan'!A2387" display="rows 2387 to 2468"/>
    <hyperlink ref="C56" location="'UI Make my plan'!A2469" display="rows 2469 to 2747"/>
    <hyperlink ref="C57" location="'UI Make my plan'!A2748" display="rows 2748 to 2770"/>
    <hyperlink ref="C58" location="'UI Make my plan'!A2771" display="rows 2771 to 2788"/>
    <hyperlink ref="C59" location="'UI Make my plan'!A2789" display="rows 2789 to 2794"/>
    <hyperlink ref="C60" location="'UI Make my plan'!A2795" display="rows 2795 to 2851"/>
    <hyperlink ref="C61" location="'UI Make my plan'!A2852" display="rows 2852 to 2904"/>
    <hyperlink ref="C62" location="'UI Make my plan'!A2905" display="rows 2905 to 3035"/>
    <hyperlink ref="C63" location="'UI Make my plan'!A3038" display="rows 3038 to 3114"/>
    <hyperlink ref="C64" location="'UI Make my plan'!A3115" display="rows 3115 to 3188"/>
    <hyperlink ref="C65" location="'UI Make my plan'!A3189" display="rows 3189 to 3258"/>
    <hyperlink ref="C66" location="'UI Make my plan'!A3259" display="rows 3259 to 3328"/>
    <hyperlink ref="C67" location="'UI Make my plan'!A3329" display="rows 3329 to 3402"/>
    <hyperlink ref="C68" location="'UI Make my plan'!A3403" display="rows 3403 to 3472"/>
    <hyperlink ref="C69" location="'UI Make my plan'!A3473" display="rows 3473 to 3542"/>
    <hyperlink ref="C70" location="'UI Make my plan'!A3543" display="rows 3543 to 3578"/>
    <hyperlink ref="C71" location="'UI Make my plan'!A3579" display="rows 3579 to 3614"/>
    <hyperlink ref="C72" location="'UI Make my plan'!A3615" display="rows 3615 to 3650"/>
    <hyperlink ref="C73" location="'UI Make my plan'!A3651" display="rows 3651 to 3727"/>
    <hyperlink ref="C74" location="'UI Make my plan'!A3728" display="rows 3728 to 3801"/>
    <hyperlink ref="C75" location="'UI Make my plan'!A3802" display="rows 3802 to 3871"/>
    <hyperlink ref="C76" location="'UI Make my plan'!A3872" display="rows 3872 to 4172"/>
    <hyperlink ref="C77" location="'UI Make my plan'!A4174" display="rows 4174 to 4474"/>
    <hyperlink ref="C78" location="'UI Make my plan'!A4475" display="rows 4475 to 4775"/>
    <hyperlink ref="C79" location="'UI Make my plan'!A4776" display="rows 4776 to 5076"/>
    <hyperlink ref="C80" location="'UI Make my plan'!A5077" display="rows 5077 to 5377"/>
    <hyperlink ref="C81" location="'UI Make my plan'!A5378" display="rows 5378 to 5678"/>
    <hyperlink ref="C82" location="'UI Make my plan'!A5680" display="rows 5680 to 5980"/>
    <hyperlink ref="C83" location="'UI Make my plan'!A5981" display="rows 5981 to 6281"/>
    <hyperlink ref="C84" location="'UI Make my plan'!A6282" display="rows 6282 to 6582"/>
    <hyperlink ref="C85" location="'UI Make my plan'!A6583" display="rows 6583 to 6883"/>
    <hyperlink ref="C86" location="'UI Make my plan'!A6884" display="rows 6884 to 7184"/>
    <hyperlink ref="C87" location="'UI Make my plan'!A7186" display="rows 7186 to 7474"/>
    <hyperlink ref="C88" location="'UI Make my plan'!A7475" display="rows 7475 to 7560"/>
    <hyperlink ref="C89" location="'UI Make my plan'!A7561" display="rows 7561 to 7628"/>
    <hyperlink ref="C90" location="'UI Make my plan'!A7630" display="rows 7630 to 7930"/>
    <hyperlink ref="C91" location="'UI Make my plan'!A7931" display="rows 7931 to 8231"/>
    <hyperlink ref="C92" location="'UI Make my plan'!A8232" display="rows 8232 to 8532"/>
    <hyperlink ref="C93" location="'UI Make my plan'!A8533" display="rows 8533 to 8816"/>
    <hyperlink ref="C94" location="'UI Make my plan'!A8817" display="rows 8817 to 9116"/>
    <hyperlink ref="C95" location="'UI Make my plan'!A9117" display="rows 9117 to 9198"/>
    <hyperlink ref="C96" location="'UI Make my plan'!A9199" display="rows 9199 to 9499"/>
    <hyperlink ref="C97" location="'UI Make my plan'!A9501" display="rows 9501 to 9779"/>
    <hyperlink ref="C98" location="'UI Make my plan'!A9780" display="rows 9780 to 10058"/>
    <hyperlink ref="B102" location="'C01 Borrowing'!A1" display="C01 Borrowing"/>
    <hyperlink ref="C102" location="'UI Calculators'!A5" display="rows 5 to 26"/>
    <hyperlink ref="B103" location="'C02 Mortgage repayment'!A1" display="C02 Mortgage repayment"/>
    <hyperlink ref="C103" location="'UI Calculators'!A27" display="rows 27 to 42"/>
    <hyperlink ref="B104" location="'C03 Deposit'!A1" display="C03 Deposit"/>
    <hyperlink ref="C104" location="'UI Calculators'!A43" display="rows 43 to 60"/>
    <hyperlink ref="B105" location="'C04 Mortgage overpayment'!A1" display="C04 Mortgage overpayment"/>
    <hyperlink ref="C105" location="'UI Calculators'!A61" display="rows 61 to 76"/>
    <hyperlink ref="B106" location="'C05 Interest rate impact'!A1" display="C05 Interest rate impact"/>
    <hyperlink ref="C106" location="'UI Calculators'!A77" display="rows 77 to 92"/>
    <hyperlink ref="B107" location="'C06 Term comparison'!A1" display="C06 Term comparison"/>
    <hyperlink ref="C107" location="'UI Calculators'!A93" display="rows 93 to 109"/>
    <hyperlink ref="B108" location="'C07 Rent vs buy'!A1" display="C07 Rent vs buy"/>
    <hyperlink ref="C108" location="'UI Calculators'!A110" display="rows 110 to 133"/>
    <hyperlink ref="B109" location="'C08 Goal planner'!A1" display="C08 Goal planner"/>
    <hyperlink ref="C109" location="'UI Calculators'!A134" display="rows 134 to 150"/>
    <hyperlink ref="B110" location="'C09 Compound growth'!A1" display="C09 Compound growth"/>
    <hyperlink ref="C110" location="'UI Calculators'!A151" display="rows 151 to 166"/>
    <hyperlink ref="B111" location="'C10 Lump sum growth'!A1" display="C10 Lump sum growth"/>
    <hyperlink ref="C111" location="'UI Calculators'!A167" display="rows 167 to 184"/>
    <hyperlink ref="B112" location="'C11 Emergency fund'!A1" display="C11 Emergency fund"/>
    <hyperlink ref="C112" location="'UI Calculators'!A185" display="rows 185 to 198"/>
    <hyperlink ref="B113" location="'C12 Retirement projection'!A1" display="C12 Retirement projection"/>
    <hyperlink ref="C113" location="'UI Calculators'!A199" display="rows 199 to 233"/>
    <hyperlink ref="B114" location="'C13 Contribution impact'!A1" display="C13 Contribution impact"/>
    <hyperlink ref="C114" location="'UI Calculators'!A234" display="rows 234 to 255"/>
    <hyperlink ref="B115" location="'C14 AVC impact'!A1" display="C14 AVC impact"/>
    <hyperlink ref="C115" location="'UI Calculators'!A256" display="rows 256 to 279"/>
    <hyperlink ref="B116" location="'C15 Will my money last'!A1" display="C15 Will my money last"/>
    <hyperlink ref="C116" location="'UI Calculators'!A280" display="rows 280 to 300"/>
    <hyperlink ref="B117" location="'C16 Drawdown scenarios'!A1" display="C16 Drawdown scenarios"/>
    <hyperlink ref="C117" location="'UI Calculators'!A301" display="rows 301 to 322"/>
    <hyperlink ref="B118" location="'C17 Inflation adjusted return'!A1" display="C17 Inflation adjusted return"/>
    <hyperlink ref="C118" location="'UI Calculators'!A323" display="rows 323 to 337"/>
    <hyperlink ref="B119" location="'C18 Regular investing'!A1" display="C18 Regular investing"/>
    <hyperlink ref="C119" location="'UI Calculators'!A338" display="rows 338 to 354"/>
    <hyperlink ref="B120" location="'C19 Fees impact'!A1" display="C19 Fees impact"/>
    <hyperlink ref="C120" location="'UI Calculators'!A355" display="rows 355 to 370"/>
    <hyperlink ref="B121" location="'C20 Risk and return'!A1" display="C20 Risk and return"/>
    <hyperlink ref="C121" location="'UI Calculators'!A371" display="rows 371 to 390"/>
    <hyperlink ref="B122" location="'C21 Life cover'!A1" display="C21 Life cover"/>
    <hyperlink ref="C122" location="'UI Calculators'!A391" display="rows 391 to 411"/>
    <hyperlink ref="B123" location="'C22 Income protection gap'!A1" display="C22 Income protection gap"/>
    <hyperlink ref="C123" location="'UI Calculators'!A412" display="rows 412 to 429"/>
    <hyperlink ref="B124" location="'C23 Mortgage protection'!A1" display="C23 Mortgage protection"/>
    <hyperlink ref="C124" location="'UI Calculators'!A430" display="rows 430 to 444"/>
    <hyperlink ref="B125" location="'C24 Net worth'!A1" display="C24 Net worth"/>
    <hyperlink ref="C125" location="'UI Calculators'!A445" display="rows 445 to 460"/>
    <hyperlink ref="B126" location="'C25 Monthly surplus'!A1" display="C25 Monthly surplus"/>
    <hyperlink ref="C126" location="'UI Calculators'!A461" display="rows 461 to 474"/>
    <hyperlink ref="B127" location="'C26 Budget 50 30 20'!A1" display="C26 Budget 50 30 20"/>
    <hyperlink ref="C127" location="'UI Calculators'!A475" display="rows 475 to 489"/>
    <hyperlink ref="B128" location="'C27 Debt repayment'!A1" display="C27 Debt repayment"/>
    <hyperlink ref="C128" location="'UI Calculators'!A490" display="rows 490 to 502"/>
    <hyperlink ref="B129" location="'C28 Loan repayment'!A1" display="C28 Loan repayment"/>
    <hyperlink ref="C129" location="'UI Calculators'!A503" display="rows 503 to 516"/>
    <hyperlink ref="B130" location="'UI Guide'!A1" display="UI Guide"/>
    <hyperlink ref="B131" location="'UI Calculators'!A1" display="UI Calculators"/>
    <hyperlink ref="B132" location="'UI Screens'!A1" display="UI Screens"/>
    <hyperlink ref="B133" location="'UI Make my plan'!A1" display="UI Make my plan"/>
    <hyperlink ref="B134" location="'README'!A1" display="README"/>
    <hyperlink ref="B135" location="'Plan inputs'!A1" display="Plan inputs"/>
    <hyperlink ref="B136" location="'Plan pay &amp; tax'!A1" display="Plan pay &amp; tax"/>
    <hyperlink ref="B137" location="'Plan cashflow'!A1" display="Plan cashflow"/>
    <hyperlink ref="B138" location="'Plan goals'!A1" display="Plan goals"/>
    <hyperlink ref="B139" location="'Plan results'!A1" display="Plan results"/>
    <hyperlink ref="B140" location="'Plan profile'!A1" display="Plan profile"/>
    <hyperlink ref="B141" location="'Plan debt months'!A1" display="Plan debt months"/>
    <hyperlink ref="B142" location="'Plan how it works'!A1" display="Plan how it works"/>
    <hyperlink ref="B143" location="'Calculation register'!A1" display="Calculation register"/>
    <hyperlink ref="B144" location="'Tax engine'!A1" display="Tax engine"/>
    <hyperlink ref="B145" location="'Document reader spec'!A1" display="Document reader spec"/>
    <hyperlink ref="B146" location="'Your lists'!A1" display="Your lists"/>
    <hyperlink ref="B147" location="'Settings'!A1" display="Settings"/>
    <hyperlink ref="B148" location="'Assumptions'!A1" display="Assumptions"/>
    <hyperlink ref="B149" location="'Report spec'!A1" display="Report spe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70"/>
    <pageSetUpPr fitToPage="false"/>
  </sheetPr>
  <dimension ref="A1:X5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9" ySplit="4" topLeftCell="J5" activePane="bottomRight" state="frozen"/>
      <selection pane="topLeft" activeCell="A1" activeCellId="0" sqref="A1"/>
      <selection pane="topRight" activeCell="J1" activeCellId="0" sqref="J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16"/>
    <col collapsed="false" customWidth="true" hidden="false" outlineLevel="0" max="4" min="4" style="1" width="24"/>
    <col collapsed="false" customWidth="true" hidden="false" outlineLevel="0" max="5" min="5" style="1" width="28"/>
    <col collapsed="false" customWidth="true" hidden="false" outlineLevel="0" max="6" min="6" style="1" width="5"/>
    <col collapsed="false" customWidth="true" hidden="false" outlineLevel="0" max="7" min="7" style="1" width="16"/>
    <col collapsed="false" customWidth="true" hidden="false" outlineLevel="0" max="8" min="8" style="1" width="15"/>
    <col collapsed="false" customWidth="true" hidden="false" outlineLevel="0" max="9" min="9" style="1" width="34"/>
    <col collapsed="false" customWidth="true" hidden="false" outlineLevel="0" max="10" min="10" style="1" width="7"/>
    <col collapsed="false" customWidth="true" hidden="false" outlineLevel="0" max="12" min="11" style="1" width="9"/>
    <col collapsed="false" customWidth="true" hidden="false" outlineLevel="0" max="13" min="13" style="1" width="7"/>
    <col collapsed="false" customWidth="true" hidden="false" outlineLevel="0" max="15" min="14" style="1" width="24"/>
    <col collapsed="false" customWidth="true" hidden="false" outlineLevel="0" max="16" min="16" style="1" width="30"/>
    <col collapsed="false" customWidth="true" hidden="false" outlineLevel="0" max="17" min="17" style="1" width="34"/>
    <col collapsed="false" customWidth="true" hidden="false" outlineLevel="0" max="18" min="18" style="1" width="46"/>
    <col collapsed="false" customWidth="true" hidden="false" outlineLevel="0" max="19" min="19" style="1" width="18"/>
    <col collapsed="false" customWidth="true" hidden="false" outlineLevel="0" max="20" min="20" style="1" width="30"/>
    <col collapsed="false" customWidth="true" hidden="false" outlineLevel="0" max="21" min="21" style="1" width="9"/>
    <col collapsed="false" customWidth="true" hidden="false" outlineLevel="0" max="22" min="22" style="1" width="11"/>
    <col collapsed="false" customWidth="true" hidden="false" outlineLevel="0" max="23" min="23" style="1" width="22"/>
    <col collapsed="false" customWidth="true" hidden="false" outlineLevel="0" max="24" min="24" style="1" width="40"/>
  </cols>
  <sheetData>
    <row r="1" customFormat="false" ht="15.75" hidden="false" customHeight="true" outlineLevel="0" collapsed="false">
      <c r="A1" s="182" t="s">
        <v>5154</v>
      </c>
    </row>
    <row r="2" customFormat="false" ht="31.5" hidden="false" customHeight="true" outlineLevel="0" collapsed="false">
      <c r="A2" s="91" t="s">
        <v>5155</v>
      </c>
      <c r="B2" s="91"/>
      <c r="C2" s="91"/>
      <c r="D2" s="91"/>
      <c r="E2" s="91"/>
      <c r="F2" s="91"/>
      <c r="G2" s="91"/>
      <c r="H2" s="91"/>
      <c r="I2" s="91"/>
      <c r="J2" s="91"/>
      <c r="K2" s="91"/>
      <c r="L2" s="91"/>
      <c r="M2" s="91"/>
      <c r="N2" s="91"/>
      <c r="O2" s="91"/>
      <c r="P2" s="91"/>
      <c r="Q2" s="91"/>
      <c r="R2" s="91"/>
      <c r="S2" s="91"/>
      <c r="T2" s="91"/>
      <c r="U2" s="91"/>
      <c r="V2" s="91"/>
      <c r="W2" s="91"/>
      <c r="X2" s="91"/>
    </row>
    <row r="4" customFormat="false" ht="68.25" hidden="false" customHeight="true" outlineLevel="0" collapsed="false">
      <c r="A4" s="183" t="s">
        <v>5060</v>
      </c>
      <c r="B4" s="183" t="s">
        <v>5061</v>
      </c>
      <c r="C4" s="183" t="s">
        <v>5156</v>
      </c>
      <c r="D4" s="183" t="s">
        <v>5157</v>
      </c>
      <c r="E4" s="183" t="s">
        <v>32</v>
      </c>
      <c r="F4" s="183" t="s">
        <v>5158</v>
      </c>
      <c r="G4" s="183" t="s">
        <v>5159</v>
      </c>
      <c r="H4" s="183" t="s">
        <v>5160</v>
      </c>
      <c r="I4" s="183" t="s">
        <v>5161</v>
      </c>
      <c r="J4" s="183" t="s">
        <v>223</v>
      </c>
      <c r="K4" s="183" t="s">
        <v>5162</v>
      </c>
      <c r="L4" s="183" t="s">
        <v>5163</v>
      </c>
      <c r="M4" s="183" t="s">
        <v>5164</v>
      </c>
      <c r="N4" s="183" t="s">
        <v>5165</v>
      </c>
      <c r="O4" s="183" t="s">
        <v>5166</v>
      </c>
      <c r="P4" s="183" t="s">
        <v>5167</v>
      </c>
      <c r="Q4" s="183" t="s">
        <v>5168</v>
      </c>
      <c r="R4" s="183" t="s">
        <v>5169</v>
      </c>
      <c r="S4" s="183" t="s">
        <v>5170</v>
      </c>
      <c r="T4" s="183" t="s">
        <v>5171</v>
      </c>
      <c r="U4" s="183" t="s">
        <v>5172</v>
      </c>
      <c r="V4" s="183" t="s">
        <v>5173</v>
      </c>
      <c r="W4" s="183" t="s">
        <v>5174</v>
      </c>
      <c r="X4" s="183" t="s">
        <v>5175</v>
      </c>
    </row>
    <row r="5" customFormat="false" ht="41.25" hidden="false" customHeight="true" outlineLevel="0" collapsed="false">
      <c r="A5" s="184" t="s">
        <v>34</v>
      </c>
      <c r="B5" s="185" t="s">
        <v>5065</v>
      </c>
      <c r="C5" s="184" t="s">
        <v>36</v>
      </c>
      <c r="D5" s="184" t="s">
        <v>5176</v>
      </c>
      <c r="E5" s="184" t="s">
        <v>35</v>
      </c>
      <c r="F5" s="184" t="n">
        <v>1</v>
      </c>
      <c r="G5" s="177" t="s">
        <v>5177</v>
      </c>
      <c r="H5" s="184" t="s">
        <v>5178</v>
      </c>
      <c r="I5" s="184" t="s">
        <v>5179</v>
      </c>
      <c r="J5" s="184"/>
      <c r="K5" s="184"/>
      <c r="L5" s="184"/>
      <c r="M5" s="184"/>
      <c r="N5" s="184" t="s">
        <v>5180</v>
      </c>
      <c r="O5" s="184" t="s">
        <v>5181</v>
      </c>
      <c r="P5" s="184"/>
      <c r="Q5" s="184"/>
      <c r="R5" s="184" t="s">
        <v>5182</v>
      </c>
      <c r="S5" s="184"/>
      <c r="T5" s="184"/>
      <c r="U5" s="184"/>
      <c r="V5" s="184"/>
      <c r="W5" s="184"/>
      <c r="X5" s="184"/>
    </row>
    <row r="6" customFormat="false" ht="27.75" hidden="false" customHeight="true" outlineLevel="0" collapsed="false">
      <c r="A6" s="184" t="s">
        <v>34</v>
      </c>
      <c r="B6" s="185" t="s">
        <v>5065</v>
      </c>
      <c r="C6" s="184" t="s">
        <v>36</v>
      </c>
      <c r="D6" s="184" t="s">
        <v>5176</v>
      </c>
      <c r="E6" s="184" t="s">
        <v>35</v>
      </c>
      <c r="F6" s="184" t="n">
        <v>2</v>
      </c>
      <c r="G6" s="177" t="s">
        <v>5183</v>
      </c>
      <c r="H6" s="184" t="s">
        <v>5178</v>
      </c>
      <c r="I6" s="184" t="s">
        <v>36</v>
      </c>
      <c r="J6" s="184"/>
      <c r="K6" s="184"/>
      <c r="L6" s="184"/>
      <c r="M6" s="184"/>
      <c r="N6" s="184"/>
      <c r="O6" s="184"/>
      <c r="P6" s="184"/>
      <c r="Q6" s="184"/>
      <c r="R6" s="184" t="s">
        <v>5184</v>
      </c>
      <c r="S6" s="184"/>
      <c r="T6" s="184"/>
      <c r="U6" s="184"/>
      <c r="V6" s="184"/>
      <c r="W6" s="184"/>
      <c r="X6" s="184"/>
    </row>
    <row r="7" customFormat="false" ht="27.75" hidden="false" customHeight="true" outlineLevel="0" collapsed="false">
      <c r="A7" s="184" t="s">
        <v>34</v>
      </c>
      <c r="B7" s="185" t="s">
        <v>5065</v>
      </c>
      <c r="C7" s="184" t="s">
        <v>36</v>
      </c>
      <c r="D7" s="184" t="s">
        <v>5176</v>
      </c>
      <c r="E7" s="184" t="s">
        <v>35</v>
      </c>
      <c r="F7" s="184" t="n">
        <v>3</v>
      </c>
      <c r="G7" s="174" t="s">
        <v>4844</v>
      </c>
      <c r="H7" s="184" t="s">
        <v>5185</v>
      </c>
      <c r="I7" s="184" t="s">
        <v>226</v>
      </c>
      <c r="J7" s="184" t="s">
        <v>227</v>
      </c>
      <c r="K7" s="184" t="n">
        <v>15000</v>
      </c>
      <c r="L7" s="184" t="n">
        <v>250000</v>
      </c>
      <c r="M7" s="184" t="n">
        <v>1000</v>
      </c>
      <c r="N7" s="184" t="s">
        <v>5186</v>
      </c>
      <c r="O7" s="184" t="s">
        <v>5187</v>
      </c>
      <c r="P7" s="184" t="s">
        <v>5188</v>
      </c>
      <c r="Q7" s="184"/>
      <c r="R7" s="184"/>
      <c r="S7" s="184"/>
      <c r="T7" s="184" t="s">
        <v>5189</v>
      </c>
      <c r="U7" s="184" t="s">
        <v>5190</v>
      </c>
      <c r="V7" s="184" t="n">
        <v>60000</v>
      </c>
      <c r="W7" s="184" t="s">
        <v>5191</v>
      </c>
      <c r="X7" s="184" t="s">
        <v>5192</v>
      </c>
    </row>
    <row r="8" customFormat="false" ht="27.75" hidden="false" customHeight="true" outlineLevel="0" collapsed="false">
      <c r="A8" s="184" t="s">
        <v>34</v>
      </c>
      <c r="B8" s="185" t="s">
        <v>5065</v>
      </c>
      <c r="C8" s="184" t="s">
        <v>36</v>
      </c>
      <c r="D8" s="184" t="s">
        <v>5176</v>
      </c>
      <c r="E8" s="184" t="s">
        <v>35</v>
      </c>
      <c r="F8" s="184" t="n">
        <v>4</v>
      </c>
      <c r="G8" s="174" t="s">
        <v>4844</v>
      </c>
      <c r="H8" s="184" t="s">
        <v>5185</v>
      </c>
      <c r="I8" s="184" t="s">
        <v>229</v>
      </c>
      <c r="J8" s="184" t="s">
        <v>227</v>
      </c>
      <c r="K8" s="184" t="n">
        <v>0</v>
      </c>
      <c r="L8" s="184" t="n">
        <v>250000</v>
      </c>
      <c r="M8" s="184" t="n">
        <v>1000</v>
      </c>
      <c r="N8" s="184" t="s">
        <v>5193</v>
      </c>
      <c r="O8" s="184" t="s">
        <v>5194</v>
      </c>
      <c r="P8" s="184" t="s">
        <v>5195</v>
      </c>
      <c r="Q8" s="184"/>
      <c r="R8" s="184"/>
      <c r="S8" s="184"/>
      <c r="T8" s="184" t="s">
        <v>5196</v>
      </c>
      <c r="U8" s="184" t="s">
        <v>5197</v>
      </c>
      <c r="V8" s="184" t="n">
        <v>0</v>
      </c>
      <c r="W8" s="184" t="s">
        <v>5198</v>
      </c>
      <c r="X8" s="184" t="s">
        <v>5199</v>
      </c>
    </row>
    <row r="9" customFormat="false" ht="27.75" hidden="false" customHeight="true" outlineLevel="0" collapsed="false">
      <c r="A9" s="184" t="s">
        <v>34</v>
      </c>
      <c r="B9" s="185" t="s">
        <v>5065</v>
      </c>
      <c r="C9" s="184" t="s">
        <v>36</v>
      </c>
      <c r="D9" s="184" t="s">
        <v>5176</v>
      </c>
      <c r="E9" s="184" t="s">
        <v>35</v>
      </c>
      <c r="F9" s="184" t="n">
        <v>5</v>
      </c>
      <c r="G9" s="174" t="s">
        <v>4844</v>
      </c>
      <c r="H9" s="184" t="s">
        <v>5185</v>
      </c>
      <c r="I9" s="184" t="s">
        <v>231</v>
      </c>
      <c r="J9" s="184" t="s">
        <v>227</v>
      </c>
      <c r="K9" s="184" t="n">
        <v>0</v>
      </c>
      <c r="L9" s="184" t="n">
        <v>200000</v>
      </c>
      <c r="M9" s="184" t="n">
        <v>1000</v>
      </c>
      <c r="N9" s="184" t="s">
        <v>5200</v>
      </c>
      <c r="O9" s="184" t="s">
        <v>5200</v>
      </c>
      <c r="P9" s="184" t="s">
        <v>5201</v>
      </c>
      <c r="Q9" s="184"/>
      <c r="R9" s="184"/>
      <c r="S9" s="184"/>
      <c r="T9" s="184" t="s">
        <v>5202</v>
      </c>
      <c r="U9" s="184" t="s">
        <v>5203</v>
      </c>
      <c r="V9" s="184" t="n">
        <v>25000</v>
      </c>
      <c r="W9" s="184" t="s">
        <v>5204</v>
      </c>
      <c r="X9" s="184" t="s">
        <v>5205</v>
      </c>
    </row>
    <row r="10" customFormat="false" ht="81.75" hidden="false" customHeight="true" outlineLevel="0" collapsed="false">
      <c r="A10" s="184" t="s">
        <v>34</v>
      </c>
      <c r="B10" s="185" t="s">
        <v>5065</v>
      </c>
      <c r="C10" s="184" t="s">
        <v>36</v>
      </c>
      <c r="D10" s="184" t="s">
        <v>5176</v>
      </c>
      <c r="E10" s="184" t="s">
        <v>35</v>
      </c>
      <c r="F10" s="184" t="n">
        <v>6</v>
      </c>
      <c r="G10" s="174" t="s">
        <v>4848</v>
      </c>
      <c r="H10" s="184" t="s">
        <v>5185</v>
      </c>
      <c r="I10" s="184" t="s">
        <v>233</v>
      </c>
      <c r="J10" s="184"/>
      <c r="K10" s="184"/>
      <c r="L10" s="184"/>
      <c r="M10" s="184"/>
      <c r="N10" s="184" t="s">
        <v>236</v>
      </c>
      <c r="O10" s="184" t="s">
        <v>3</v>
      </c>
      <c r="P10" s="184" t="s">
        <v>5206</v>
      </c>
      <c r="Q10" s="184" t="s">
        <v>5207</v>
      </c>
      <c r="R10" s="184"/>
      <c r="S10" s="184"/>
      <c r="T10" s="184" t="s">
        <v>5208</v>
      </c>
      <c r="U10" s="184" t="s">
        <v>5209</v>
      </c>
      <c r="V10" s="184" t="s">
        <v>236</v>
      </c>
      <c r="W10" s="184" t="s">
        <v>235</v>
      </c>
      <c r="X10" s="184" t="s">
        <v>5210</v>
      </c>
    </row>
    <row r="11" customFormat="false" ht="41.25" hidden="false" customHeight="true" outlineLevel="0" collapsed="false">
      <c r="A11" s="184" t="s">
        <v>34</v>
      </c>
      <c r="B11" s="185" t="s">
        <v>5065</v>
      </c>
      <c r="C11" s="184" t="s">
        <v>36</v>
      </c>
      <c r="D11" s="184" t="s">
        <v>5176</v>
      </c>
      <c r="E11" s="184" t="s">
        <v>35</v>
      </c>
      <c r="F11" s="184" t="n">
        <v>7</v>
      </c>
      <c r="G11" s="174" t="s">
        <v>4844</v>
      </c>
      <c r="H11" s="184" t="s">
        <v>5185</v>
      </c>
      <c r="I11" s="184" t="s">
        <v>315</v>
      </c>
      <c r="J11" s="184" t="s">
        <v>238</v>
      </c>
      <c r="K11" s="184" t="n">
        <v>1</v>
      </c>
      <c r="L11" s="184" t="n">
        <v>8</v>
      </c>
      <c r="M11" s="184" t="n">
        <v>0.05</v>
      </c>
      <c r="N11" s="184" t="s">
        <v>5211</v>
      </c>
      <c r="O11" s="184" t="s">
        <v>5212</v>
      </c>
      <c r="P11" s="184" t="s">
        <v>5213</v>
      </c>
      <c r="Q11" s="184" t="s">
        <v>5214</v>
      </c>
      <c r="R11" s="184" t="s">
        <v>4371</v>
      </c>
      <c r="S11" s="184" t="s">
        <v>5215</v>
      </c>
      <c r="T11" s="184" t="s">
        <v>5216</v>
      </c>
      <c r="U11" s="184" t="s">
        <v>5217</v>
      </c>
      <c r="V11" s="184" t="s">
        <v>5218</v>
      </c>
      <c r="W11" s="184" t="s">
        <v>5219</v>
      </c>
      <c r="X11" s="184" t="s">
        <v>5220</v>
      </c>
    </row>
    <row r="12" customFormat="false" ht="27.75" hidden="false" customHeight="true" outlineLevel="0" collapsed="false">
      <c r="A12" s="184" t="s">
        <v>34</v>
      </c>
      <c r="B12" s="185" t="s">
        <v>5065</v>
      </c>
      <c r="C12" s="184" t="s">
        <v>36</v>
      </c>
      <c r="D12" s="184" t="s">
        <v>5176</v>
      </c>
      <c r="E12" s="184" t="s">
        <v>35</v>
      </c>
      <c r="F12" s="184" t="n">
        <v>8</v>
      </c>
      <c r="G12" s="174" t="s">
        <v>4844</v>
      </c>
      <c r="H12" s="184" t="s">
        <v>5185</v>
      </c>
      <c r="I12" s="184" t="s">
        <v>327</v>
      </c>
      <c r="J12" s="184" t="s">
        <v>5221</v>
      </c>
      <c r="K12" s="184" t="n">
        <v>10</v>
      </c>
      <c r="L12" s="184" t="n">
        <v>35</v>
      </c>
      <c r="M12" s="184" t="n">
        <v>1</v>
      </c>
      <c r="N12" s="184" t="s">
        <v>5222</v>
      </c>
      <c r="O12" s="184" t="s">
        <v>5222</v>
      </c>
      <c r="P12" s="184" t="s">
        <v>5201</v>
      </c>
      <c r="Q12" s="184"/>
      <c r="R12" s="184"/>
      <c r="S12" s="184"/>
      <c r="T12" s="184" t="s">
        <v>5223</v>
      </c>
      <c r="U12" s="184" t="s">
        <v>5224</v>
      </c>
      <c r="V12" s="184" t="n">
        <v>30</v>
      </c>
      <c r="W12" s="184" t="s">
        <v>5225</v>
      </c>
      <c r="X12" s="184" t="s">
        <v>5226</v>
      </c>
    </row>
    <row r="13" customFormat="false" ht="41.25" hidden="false" customHeight="true" outlineLevel="0" collapsed="false">
      <c r="A13" s="184" t="s">
        <v>34</v>
      </c>
      <c r="B13" s="185" t="s">
        <v>5065</v>
      </c>
      <c r="C13" s="184" t="s">
        <v>36</v>
      </c>
      <c r="D13" s="184" t="s">
        <v>5176</v>
      </c>
      <c r="E13" s="184" t="s">
        <v>35</v>
      </c>
      <c r="F13" s="184" t="n">
        <v>9</v>
      </c>
      <c r="G13" s="174" t="s">
        <v>4846</v>
      </c>
      <c r="H13" s="184" t="s">
        <v>5227</v>
      </c>
      <c r="I13" s="184" t="s">
        <v>5228</v>
      </c>
      <c r="J13" s="184" t="s">
        <v>227</v>
      </c>
      <c r="K13" s="184"/>
      <c r="L13" s="184"/>
      <c r="M13" s="184"/>
      <c r="N13" s="184" t="s">
        <v>5193</v>
      </c>
      <c r="O13" s="184" t="s">
        <v>5229</v>
      </c>
      <c r="P13" s="184" t="s">
        <v>5206</v>
      </c>
      <c r="Q13" s="184"/>
      <c r="R13" s="184" t="s">
        <v>5230</v>
      </c>
      <c r="S13" s="184" t="s">
        <v>5231</v>
      </c>
      <c r="T13" s="184"/>
      <c r="U13" s="184"/>
      <c r="V13" s="184"/>
      <c r="W13" s="184"/>
      <c r="X13" s="184" t="s">
        <v>5232</v>
      </c>
    </row>
    <row r="14" customFormat="false" ht="27.75" hidden="false" customHeight="true" outlineLevel="0" collapsed="false">
      <c r="A14" s="184" t="s">
        <v>34</v>
      </c>
      <c r="B14" s="185" t="s">
        <v>5065</v>
      </c>
      <c r="C14" s="184" t="s">
        <v>36</v>
      </c>
      <c r="D14" s="184" t="s">
        <v>5176</v>
      </c>
      <c r="E14" s="184" t="s">
        <v>35</v>
      </c>
      <c r="F14" s="184" t="n">
        <v>10</v>
      </c>
      <c r="G14" s="174" t="s">
        <v>4844</v>
      </c>
      <c r="H14" s="184" t="s">
        <v>5233</v>
      </c>
      <c r="I14" s="184" t="s">
        <v>5234</v>
      </c>
      <c r="J14" s="184" t="s">
        <v>227</v>
      </c>
      <c r="K14" s="184" t="n">
        <v>0</v>
      </c>
      <c r="L14" s="184" t="n">
        <v>50000</v>
      </c>
      <c r="M14" s="184" t="n">
        <v>1000</v>
      </c>
      <c r="N14" s="184" t="s">
        <v>5193</v>
      </c>
      <c r="O14" s="184" t="s">
        <v>5193</v>
      </c>
      <c r="P14" s="184" t="s">
        <v>5201</v>
      </c>
      <c r="Q14" s="184"/>
      <c r="R14" s="184"/>
      <c r="S14" s="184"/>
      <c r="T14" s="184" t="s">
        <v>5235</v>
      </c>
      <c r="U14" s="184" t="s">
        <v>5236</v>
      </c>
      <c r="V14" s="184" t="n">
        <v>0</v>
      </c>
      <c r="W14" s="184" t="s">
        <v>5237</v>
      </c>
      <c r="X14" s="184" t="s">
        <v>5238</v>
      </c>
    </row>
    <row r="15" customFormat="false" ht="27.75" hidden="false" customHeight="true" outlineLevel="0" collapsed="false">
      <c r="A15" s="184" t="s">
        <v>34</v>
      </c>
      <c r="B15" s="185" t="s">
        <v>5065</v>
      </c>
      <c r="C15" s="184" t="s">
        <v>36</v>
      </c>
      <c r="D15" s="184" t="s">
        <v>5176</v>
      </c>
      <c r="E15" s="184" t="s">
        <v>35</v>
      </c>
      <c r="F15" s="184" t="n">
        <v>11</v>
      </c>
      <c r="G15" s="175" t="s">
        <v>4850</v>
      </c>
      <c r="H15" s="184" t="s">
        <v>248</v>
      </c>
      <c r="I15" s="184" t="s">
        <v>5239</v>
      </c>
      <c r="J15" s="184"/>
      <c r="K15" s="184"/>
      <c r="L15" s="184"/>
      <c r="M15" s="184"/>
      <c r="N15" s="184" t="s">
        <v>5239</v>
      </c>
      <c r="O15" s="184" t="s">
        <v>5240</v>
      </c>
      <c r="P15" s="184"/>
      <c r="Q15" s="184"/>
      <c r="R15" s="184" t="s">
        <v>5241</v>
      </c>
      <c r="S15" s="184"/>
      <c r="T15" s="184"/>
      <c r="U15" s="184"/>
      <c r="V15" s="184"/>
      <c r="W15" s="184"/>
      <c r="X15" s="184"/>
    </row>
    <row r="16" customFormat="false" ht="27.75" hidden="false" customHeight="true" outlineLevel="0" collapsed="false">
      <c r="A16" s="184" t="s">
        <v>34</v>
      </c>
      <c r="B16" s="185" t="s">
        <v>5065</v>
      </c>
      <c r="C16" s="184" t="s">
        <v>36</v>
      </c>
      <c r="D16" s="184" t="s">
        <v>5176</v>
      </c>
      <c r="E16" s="184" t="s">
        <v>35</v>
      </c>
      <c r="F16" s="184" t="n">
        <v>12</v>
      </c>
      <c r="G16" s="176" t="s">
        <v>248</v>
      </c>
      <c r="H16" s="184" t="s">
        <v>248</v>
      </c>
      <c r="I16" s="184" t="s">
        <v>251</v>
      </c>
      <c r="J16" s="184"/>
      <c r="K16" s="184"/>
      <c r="L16" s="184"/>
      <c r="M16" s="184"/>
      <c r="N16" s="184" t="s">
        <v>5242</v>
      </c>
      <c r="O16" s="184" t="s">
        <v>5243</v>
      </c>
      <c r="P16" s="184"/>
      <c r="Q16" s="184"/>
      <c r="R16" s="184"/>
      <c r="S16" s="184"/>
      <c r="T16" s="184" t="s">
        <v>5244</v>
      </c>
      <c r="U16" s="184" t="s">
        <v>70</v>
      </c>
      <c r="V16" s="184"/>
      <c r="W16" s="184"/>
      <c r="X16" s="184"/>
    </row>
    <row r="17" customFormat="false" ht="27.75" hidden="false" customHeight="true" outlineLevel="0" collapsed="false">
      <c r="A17" s="184" t="s">
        <v>34</v>
      </c>
      <c r="B17" s="185" t="s">
        <v>5065</v>
      </c>
      <c r="C17" s="184" t="s">
        <v>36</v>
      </c>
      <c r="D17" s="184" t="s">
        <v>5176</v>
      </c>
      <c r="E17" s="184" t="s">
        <v>35</v>
      </c>
      <c r="F17" s="184" t="n">
        <v>13</v>
      </c>
      <c r="G17" s="177" t="s">
        <v>5245</v>
      </c>
      <c r="H17" s="184" t="s">
        <v>248</v>
      </c>
      <c r="I17" s="184" t="s">
        <v>5179</v>
      </c>
      <c r="J17" s="184"/>
      <c r="K17" s="184"/>
      <c r="L17" s="184"/>
      <c r="M17" s="184"/>
      <c r="N17" s="184" t="s">
        <v>5246</v>
      </c>
      <c r="O17" s="184" t="s">
        <v>5247</v>
      </c>
      <c r="P17" s="184"/>
      <c r="Q17" s="184"/>
      <c r="R17" s="184" t="s">
        <v>5248</v>
      </c>
      <c r="S17" s="184"/>
      <c r="T17" s="184"/>
      <c r="U17" s="184"/>
      <c r="V17" s="184"/>
      <c r="W17" s="184"/>
      <c r="X17" s="184"/>
    </row>
    <row r="18" customFormat="false" ht="283.5" hidden="false" customHeight="true" outlineLevel="0" collapsed="false">
      <c r="A18" s="184" t="s">
        <v>34</v>
      </c>
      <c r="B18" s="185" t="s">
        <v>5065</v>
      </c>
      <c r="C18" s="184" t="s">
        <v>36</v>
      </c>
      <c r="D18" s="184" t="s">
        <v>5176</v>
      </c>
      <c r="E18" s="184" t="s">
        <v>35</v>
      </c>
      <c r="F18" s="184" t="n">
        <v>14</v>
      </c>
      <c r="G18" s="176" t="s">
        <v>5249</v>
      </c>
      <c r="H18" s="184" t="s">
        <v>248</v>
      </c>
      <c r="I18" s="184" t="s">
        <v>5250</v>
      </c>
      <c r="J18" s="184"/>
      <c r="K18" s="184"/>
      <c r="L18" s="184"/>
      <c r="M18" s="184"/>
      <c r="N18" s="184" t="s">
        <v>5251</v>
      </c>
      <c r="O18" s="184" t="s">
        <v>5252</v>
      </c>
      <c r="P18" s="184"/>
      <c r="Q18" s="184"/>
      <c r="R18" s="184"/>
      <c r="S18" s="184"/>
      <c r="T18" s="184"/>
      <c r="U18" s="184"/>
      <c r="V18" s="184"/>
      <c r="W18" s="184"/>
      <c r="X18" s="184"/>
    </row>
    <row r="19" customFormat="false" ht="27.75" hidden="false" customHeight="true" outlineLevel="0" collapsed="false">
      <c r="A19" s="184" t="s">
        <v>34</v>
      </c>
      <c r="B19" s="185" t="s">
        <v>5065</v>
      </c>
      <c r="C19" s="184" t="s">
        <v>36</v>
      </c>
      <c r="D19" s="184" t="s">
        <v>5176</v>
      </c>
      <c r="E19" s="184" t="s">
        <v>35</v>
      </c>
      <c r="F19" s="184" t="n">
        <v>15</v>
      </c>
      <c r="G19" s="176" t="s">
        <v>5253</v>
      </c>
      <c r="H19" s="184" t="s">
        <v>248</v>
      </c>
      <c r="I19" s="184" t="s">
        <v>253</v>
      </c>
      <c r="J19" s="184"/>
      <c r="K19" s="184"/>
      <c r="L19" s="184"/>
      <c r="M19" s="184"/>
      <c r="N19" s="184" t="s">
        <v>5254</v>
      </c>
      <c r="O19" s="184" t="s">
        <v>5255</v>
      </c>
      <c r="P19" s="184"/>
      <c r="Q19" s="184"/>
      <c r="R19" s="184"/>
      <c r="S19" s="184"/>
      <c r="T19" s="184" t="s">
        <v>5256</v>
      </c>
      <c r="U19" s="184" t="s">
        <v>72</v>
      </c>
      <c r="V19" s="184"/>
      <c r="W19" s="184"/>
      <c r="X19" s="184"/>
    </row>
    <row r="20" customFormat="false" ht="27.75" hidden="false" customHeight="true" outlineLevel="0" collapsed="false">
      <c r="A20" s="184" t="s">
        <v>34</v>
      </c>
      <c r="B20" s="185" t="s">
        <v>5065</v>
      </c>
      <c r="C20" s="184" t="s">
        <v>36</v>
      </c>
      <c r="D20" s="184" t="s">
        <v>5176</v>
      </c>
      <c r="E20" s="184" t="s">
        <v>35</v>
      </c>
      <c r="F20" s="184" t="n">
        <v>16</v>
      </c>
      <c r="G20" s="176" t="s">
        <v>5253</v>
      </c>
      <c r="H20" s="184" t="s">
        <v>248</v>
      </c>
      <c r="I20" s="184" t="s">
        <v>5257</v>
      </c>
      <c r="J20" s="184"/>
      <c r="K20" s="184"/>
      <c r="L20" s="184"/>
      <c r="M20" s="184"/>
      <c r="N20" s="184" t="s">
        <v>5258</v>
      </c>
      <c r="O20" s="184" t="s">
        <v>5259</v>
      </c>
      <c r="P20" s="184"/>
      <c r="Q20" s="184"/>
      <c r="R20" s="184"/>
      <c r="S20" s="184"/>
      <c r="T20" s="184" t="s">
        <v>5260</v>
      </c>
      <c r="U20" s="184" t="s">
        <v>78</v>
      </c>
      <c r="V20" s="184"/>
      <c r="W20" s="184"/>
      <c r="X20" s="184"/>
    </row>
    <row r="21" customFormat="false" ht="27.75" hidden="false" customHeight="true" outlineLevel="0" collapsed="false">
      <c r="A21" s="184" t="s">
        <v>34</v>
      </c>
      <c r="B21" s="185" t="s">
        <v>5065</v>
      </c>
      <c r="C21" s="184" t="s">
        <v>36</v>
      </c>
      <c r="D21" s="184" t="s">
        <v>5176</v>
      </c>
      <c r="E21" s="184" t="s">
        <v>35</v>
      </c>
      <c r="F21" s="184" t="n">
        <v>17</v>
      </c>
      <c r="G21" s="176" t="s">
        <v>5253</v>
      </c>
      <c r="H21" s="184" t="s">
        <v>248</v>
      </c>
      <c r="I21" s="184" t="s">
        <v>257</v>
      </c>
      <c r="J21" s="184"/>
      <c r="K21" s="184"/>
      <c r="L21" s="184"/>
      <c r="M21" s="184"/>
      <c r="N21" s="184" t="s">
        <v>5261</v>
      </c>
      <c r="O21" s="184" t="s">
        <v>5262</v>
      </c>
      <c r="P21" s="184"/>
      <c r="Q21" s="184"/>
      <c r="R21" s="184"/>
      <c r="S21" s="184"/>
      <c r="T21" s="184" t="s">
        <v>5263</v>
      </c>
      <c r="U21" s="184" t="s">
        <v>76</v>
      </c>
      <c r="V21" s="184"/>
      <c r="W21" s="184"/>
      <c r="X21" s="184"/>
    </row>
    <row r="22" customFormat="false" ht="27.75" hidden="false" customHeight="true" outlineLevel="0" collapsed="false">
      <c r="A22" s="184" t="s">
        <v>34</v>
      </c>
      <c r="B22" s="185" t="s">
        <v>5065</v>
      </c>
      <c r="C22" s="184" t="s">
        <v>36</v>
      </c>
      <c r="D22" s="184" t="s">
        <v>5176</v>
      </c>
      <c r="E22" s="184" t="s">
        <v>35</v>
      </c>
      <c r="F22" s="184" t="n">
        <v>18</v>
      </c>
      <c r="G22" s="176" t="s">
        <v>5253</v>
      </c>
      <c r="H22" s="184" t="s">
        <v>248</v>
      </c>
      <c r="I22" s="184" t="s">
        <v>5264</v>
      </c>
      <c r="J22" s="184"/>
      <c r="K22" s="184"/>
      <c r="L22" s="184"/>
      <c r="M22" s="184"/>
      <c r="N22" s="184" t="s">
        <v>5200</v>
      </c>
      <c r="O22" s="184" t="s">
        <v>5200</v>
      </c>
      <c r="P22" s="184"/>
      <c r="Q22" s="184"/>
      <c r="R22" s="184"/>
      <c r="S22" s="184"/>
      <c r="T22" s="184" t="s">
        <v>5265</v>
      </c>
      <c r="U22" s="184" t="s">
        <v>83</v>
      </c>
      <c r="V22" s="184"/>
      <c r="W22" s="184"/>
      <c r="X22" s="184"/>
    </row>
    <row r="23" customFormat="false" ht="27.75" hidden="false" customHeight="true" outlineLevel="0" collapsed="false">
      <c r="A23" s="184" t="s">
        <v>34</v>
      </c>
      <c r="B23" s="185" t="s">
        <v>5065</v>
      </c>
      <c r="C23" s="184" t="s">
        <v>36</v>
      </c>
      <c r="D23" s="184" t="s">
        <v>5176</v>
      </c>
      <c r="E23" s="184" t="s">
        <v>35</v>
      </c>
      <c r="F23" s="184" t="n">
        <v>19</v>
      </c>
      <c r="G23" s="176" t="s">
        <v>5253</v>
      </c>
      <c r="H23" s="184" t="s">
        <v>248</v>
      </c>
      <c r="I23" s="184" t="s">
        <v>255</v>
      </c>
      <c r="J23" s="184"/>
      <c r="K23" s="184"/>
      <c r="L23" s="184"/>
      <c r="M23" s="184"/>
      <c r="N23" s="184" t="s">
        <v>5266</v>
      </c>
      <c r="O23" s="184" t="s">
        <v>5267</v>
      </c>
      <c r="P23" s="184"/>
      <c r="Q23" s="184"/>
      <c r="R23" s="184"/>
      <c r="S23" s="184"/>
      <c r="T23" s="184" t="s">
        <v>5268</v>
      </c>
      <c r="U23" s="184" t="s">
        <v>74</v>
      </c>
      <c r="V23" s="184"/>
      <c r="W23" s="184"/>
      <c r="X23" s="184"/>
    </row>
    <row r="24" customFormat="false" ht="135.75" hidden="false" customHeight="true" outlineLevel="0" collapsed="false">
      <c r="A24" s="184" t="s">
        <v>34</v>
      </c>
      <c r="B24" s="185" t="s">
        <v>5065</v>
      </c>
      <c r="C24" s="184" t="s">
        <v>36</v>
      </c>
      <c r="D24" s="184" t="s">
        <v>5176</v>
      </c>
      <c r="E24" s="184" t="s">
        <v>35</v>
      </c>
      <c r="F24" s="184" t="n">
        <v>20</v>
      </c>
      <c r="G24" s="178" t="s">
        <v>5269</v>
      </c>
      <c r="H24" s="184" t="s">
        <v>5270</v>
      </c>
      <c r="I24" s="186" t="s">
        <v>5271</v>
      </c>
      <c r="J24" s="184"/>
      <c r="K24" s="184"/>
      <c r="L24" s="184"/>
      <c r="M24" s="184"/>
      <c r="N24" s="184" t="s">
        <v>5272</v>
      </c>
      <c r="O24" s="184" t="s">
        <v>5272</v>
      </c>
      <c r="P24" s="184"/>
      <c r="Q24" s="184"/>
      <c r="R24" s="184" t="s">
        <v>5273</v>
      </c>
      <c r="S24" s="184"/>
      <c r="T24" s="184"/>
      <c r="U24" s="184"/>
      <c r="V24" s="184"/>
      <c r="W24" s="184"/>
      <c r="X24" s="184"/>
    </row>
    <row r="25" customFormat="false" ht="68.25" hidden="false" customHeight="true" outlineLevel="0" collapsed="false">
      <c r="A25" s="184" t="s">
        <v>34</v>
      </c>
      <c r="B25" s="185" t="s">
        <v>5065</v>
      </c>
      <c r="C25" s="184" t="s">
        <v>36</v>
      </c>
      <c r="D25" s="184" t="s">
        <v>5176</v>
      </c>
      <c r="E25" s="184" t="s">
        <v>35</v>
      </c>
      <c r="F25" s="184" t="n">
        <v>21</v>
      </c>
      <c r="G25" s="178" t="s">
        <v>5269</v>
      </c>
      <c r="H25" s="184" t="s">
        <v>5270</v>
      </c>
      <c r="I25" s="184" t="s">
        <v>5274</v>
      </c>
      <c r="J25" s="184"/>
      <c r="K25" s="184"/>
      <c r="L25" s="184"/>
      <c r="M25" s="184"/>
      <c r="N25" s="184" t="s">
        <v>5272</v>
      </c>
      <c r="O25" s="184" t="s">
        <v>5272</v>
      </c>
      <c r="P25" s="184"/>
      <c r="Q25" s="184"/>
      <c r="R25" s="184" t="s">
        <v>5275</v>
      </c>
      <c r="S25" s="184"/>
      <c r="T25" s="184"/>
      <c r="U25" s="184"/>
      <c r="V25" s="184"/>
      <c r="W25" s="184"/>
      <c r="X25" s="184"/>
    </row>
    <row r="26" customFormat="false" ht="27.75" hidden="false" customHeight="true" outlineLevel="0" collapsed="false">
      <c r="A26" s="184" t="s">
        <v>34</v>
      </c>
      <c r="B26" s="185" t="s">
        <v>5065</v>
      </c>
      <c r="C26" s="184" t="s">
        <v>36</v>
      </c>
      <c r="D26" s="184" t="s">
        <v>5176</v>
      </c>
      <c r="E26" s="184" t="s">
        <v>35</v>
      </c>
      <c r="F26" s="184" t="n">
        <v>22</v>
      </c>
      <c r="G26" s="177" t="s">
        <v>5276</v>
      </c>
      <c r="H26" s="184" t="s">
        <v>5270</v>
      </c>
      <c r="I26" s="184" t="s">
        <v>5277</v>
      </c>
      <c r="J26" s="184"/>
      <c r="K26" s="184"/>
      <c r="L26" s="184"/>
      <c r="M26" s="184"/>
      <c r="N26" s="184"/>
      <c r="O26" s="184"/>
      <c r="P26" s="184"/>
      <c r="Q26" s="184"/>
      <c r="R26" s="184"/>
      <c r="S26" s="184"/>
      <c r="T26" s="184"/>
      <c r="U26" s="184"/>
      <c r="V26" s="184"/>
      <c r="W26" s="184"/>
      <c r="X26" s="184"/>
    </row>
    <row r="27" customFormat="false" ht="41.25" hidden="false" customHeight="true" outlineLevel="0" collapsed="false">
      <c r="A27" s="184" t="s">
        <v>37</v>
      </c>
      <c r="B27" s="185" t="s">
        <v>5069</v>
      </c>
      <c r="C27" s="184" t="s">
        <v>36</v>
      </c>
      <c r="D27" s="184" t="s">
        <v>5278</v>
      </c>
      <c r="E27" s="184" t="s">
        <v>38</v>
      </c>
      <c r="F27" s="184" t="n">
        <v>1</v>
      </c>
      <c r="G27" s="177" t="s">
        <v>5177</v>
      </c>
      <c r="H27" s="184" t="s">
        <v>5178</v>
      </c>
      <c r="I27" s="184" t="s">
        <v>5179</v>
      </c>
      <c r="J27" s="184"/>
      <c r="K27" s="184"/>
      <c r="L27" s="184"/>
      <c r="M27" s="184"/>
      <c r="N27" s="184" t="s">
        <v>5180</v>
      </c>
      <c r="O27" s="184" t="s">
        <v>5181</v>
      </c>
      <c r="P27" s="184"/>
      <c r="Q27" s="184"/>
      <c r="R27" s="184" t="s">
        <v>5182</v>
      </c>
      <c r="S27" s="184"/>
      <c r="T27" s="184"/>
      <c r="U27" s="184"/>
      <c r="V27" s="184"/>
      <c r="W27" s="184"/>
      <c r="X27" s="184"/>
    </row>
    <row r="28" customFormat="false" ht="27.75" hidden="false" customHeight="true" outlineLevel="0" collapsed="false">
      <c r="A28" s="184" t="s">
        <v>37</v>
      </c>
      <c r="B28" s="185" t="s">
        <v>5069</v>
      </c>
      <c r="C28" s="184" t="s">
        <v>36</v>
      </c>
      <c r="D28" s="184" t="s">
        <v>5278</v>
      </c>
      <c r="E28" s="184" t="s">
        <v>38</v>
      </c>
      <c r="F28" s="184" t="n">
        <v>2</v>
      </c>
      <c r="G28" s="177" t="s">
        <v>5183</v>
      </c>
      <c r="H28" s="184" t="s">
        <v>5178</v>
      </c>
      <c r="I28" s="184" t="s">
        <v>36</v>
      </c>
      <c r="J28" s="184"/>
      <c r="K28" s="184"/>
      <c r="L28" s="184"/>
      <c r="M28" s="184"/>
      <c r="N28" s="184"/>
      <c r="O28" s="184"/>
      <c r="P28" s="184"/>
      <c r="Q28" s="184"/>
      <c r="R28" s="184" t="s">
        <v>5184</v>
      </c>
      <c r="S28" s="184"/>
      <c r="T28" s="184"/>
      <c r="U28" s="184"/>
      <c r="V28" s="184"/>
      <c r="W28" s="184"/>
      <c r="X28" s="184"/>
    </row>
    <row r="29" customFormat="false" ht="27.75" hidden="false" customHeight="true" outlineLevel="0" collapsed="false">
      <c r="A29" s="184" t="s">
        <v>37</v>
      </c>
      <c r="B29" s="185" t="s">
        <v>5069</v>
      </c>
      <c r="C29" s="184" t="s">
        <v>36</v>
      </c>
      <c r="D29" s="184" t="s">
        <v>5278</v>
      </c>
      <c r="E29" s="184" t="s">
        <v>38</v>
      </c>
      <c r="F29" s="184" t="n">
        <v>3</v>
      </c>
      <c r="G29" s="174" t="s">
        <v>4844</v>
      </c>
      <c r="H29" s="184" t="s">
        <v>5185</v>
      </c>
      <c r="I29" s="184" t="s">
        <v>325</v>
      </c>
      <c r="J29" s="184" t="s">
        <v>227</v>
      </c>
      <c r="K29" s="184" t="n">
        <v>50000</v>
      </c>
      <c r="L29" s="184" t="n">
        <v>1000000</v>
      </c>
      <c r="M29" s="184" t="n">
        <v>1000</v>
      </c>
      <c r="N29" s="184" t="s">
        <v>5279</v>
      </c>
      <c r="O29" s="184" t="s">
        <v>5280</v>
      </c>
      <c r="P29" s="184" t="s">
        <v>5281</v>
      </c>
      <c r="Q29" s="184"/>
      <c r="R29" s="184"/>
      <c r="S29" s="184"/>
      <c r="T29" s="184" t="s">
        <v>5282</v>
      </c>
      <c r="U29" s="184" t="s">
        <v>5236</v>
      </c>
      <c r="V29" s="184" t="n">
        <v>300000</v>
      </c>
      <c r="W29" s="184" t="s">
        <v>5283</v>
      </c>
      <c r="X29" s="184" t="s">
        <v>5284</v>
      </c>
    </row>
    <row r="30" customFormat="false" ht="41.25" hidden="false" customHeight="true" outlineLevel="0" collapsed="false">
      <c r="A30" s="184" t="s">
        <v>37</v>
      </c>
      <c r="B30" s="185" t="s">
        <v>5069</v>
      </c>
      <c r="C30" s="184" t="s">
        <v>36</v>
      </c>
      <c r="D30" s="184" t="s">
        <v>5278</v>
      </c>
      <c r="E30" s="184" t="s">
        <v>38</v>
      </c>
      <c r="F30" s="184" t="n">
        <v>4</v>
      </c>
      <c r="G30" s="174" t="s">
        <v>4844</v>
      </c>
      <c r="H30" s="184" t="s">
        <v>5185</v>
      </c>
      <c r="I30" s="184" t="s">
        <v>315</v>
      </c>
      <c r="J30" s="184" t="s">
        <v>238</v>
      </c>
      <c r="K30" s="184" t="n">
        <v>1</v>
      </c>
      <c r="L30" s="184" t="n">
        <v>8</v>
      </c>
      <c r="M30" s="184" t="n">
        <v>0.05</v>
      </c>
      <c r="N30" s="184" t="s">
        <v>5211</v>
      </c>
      <c r="O30" s="184" t="s">
        <v>5285</v>
      </c>
      <c r="P30" s="184" t="s">
        <v>5286</v>
      </c>
      <c r="Q30" s="184" t="s">
        <v>5214</v>
      </c>
      <c r="R30" s="184" t="s">
        <v>4371</v>
      </c>
      <c r="S30" s="184" t="s">
        <v>5215</v>
      </c>
      <c r="T30" s="184" t="s">
        <v>5287</v>
      </c>
      <c r="U30" s="184" t="s">
        <v>5288</v>
      </c>
      <c r="V30" s="184" t="s">
        <v>5218</v>
      </c>
      <c r="W30" s="184" t="s">
        <v>5219</v>
      </c>
      <c r="X30" s="184" t="s">
        <v>5220</v>
      </c>
    </row>
    <row r="31" customFormat="false" ht="27.75" hidden="false" customHeight="true" outlineLevel="0" collapsed="false">
      <c r="A31" s="184" t="s">
        <v>37</v>
      </c>
      <c r="B31" s="185" t="s">
        <v>5069</v>
      </c>
      <c r="C31" s="184" t="s">
        <v>36</v>
      </c>
      <c r="D31" s="184" t="s">
        <v>5278</v>
      </c>
      <c r="E31" s="184" t="s">
        <v>38</v>
      </c>
      <c r="F31" s="184" t="n">
        <v>5</v>
      </c>
      <c r="G31" s="174" t="s">
        <v>4844</v>
      </c>
      <c r="H31" s="184" t="s">
        <v>5185</v>
      </c>
      <c r="I31" s="184" t="s">
        <v>327</v>
      </c>
      <c r="J31" s="184" t="s">
        <v>5221</v>
      </c>
      <c r="K31" s="184" t="n">
        <v>5</v>
      </c>
      <c r="L31" s="184" t="n">
        <v>35</v>
      </c>
      <c r="M31" s="184" t="n">
        <v>1</v>
      </c>
      <c r="N31" s="184" t="s">
        <v>5222</v>
      </c>
      <c r="O31" s="184" t="s">
        <v>5289</v>
      </c>
      <c r="P31" s="184" t="s">
        <v>5290</v>
      </c>
      <c r="Q31" s="184"/>
      <c r="R31" s="184"/>
      <c r="S31" s="184"/>
      <c r="T31" s="184" t="s">
        <v>5291</v>
      </c>
      <c r="U31" s="184" t="s">
        <v>5292</v>
      </c>
      <c r="V31" s="184" t="n">
        <v>30</v>
      </c>
      <c r="W31" s="184" t="s">
        <v>5293</v>
      </c>
      <c r="X31" s="184" t="s">
        <v>5294</v>
      </c>
    </row>
    <row r="32" customFormat="false" ht="27.75" hidden="false" customHeight="true" outlineLevel="0" collapsed="false">
      <c r="A32" s="184" t="s">
        <v>37</v>
      </c>
      <c r="B32" s="185" t="s">
        <v>5069</v>
      </c>
      <c r="C32" s="184" t="s">
        <v>36</v>
      </c>
      <c r="D32" s="184" t="s">
        <v>5278</v>
      </c>
      <c r="E32" s="184" t="s">
        <v>38</v>
      </c>
      <c r="F32" s="184" t="n">
        <v>6</v>
      </c>
      <c r="G32" s="174" t="s">
        <v>4844</v>
      </c>
      <c r="H32" s="184" t="s">
        <v>5233</v>
      </c>
      <c r="I32" s="184" t="s">
        <v>5295</v>
      </c>
      <c r="J32" s="184" t="s">
        <v>238</v>
      </c>
      <c r="K32" s="184" t="n">
        <v>-2</v>
      </c>
      <c r="L32" s="184" t="n">
        <v>3</v>
      </c>
      <c r="M32" s="184" t="n">
        <v>0.25</v>
      </c>
      <c r="N32" s="184" t="s">
        <v>5296</v>
      </c>
      <c r="O32" s="184" t="s">
        <v>5296</v>
      </c>
      <c r="P32" s="184" t="s">
        <v>5201</v>
      </c>
      <c r="Q32" s="184"/>
      <c r="R32" s="184"/>
      <c r="S32" s="184"/>
      <c r="T32" s="184" t="s">
        <v>5297</v>
      </c>
      <c r="U32" s="184" t="s">
        <v>5298</v>
      </c>
      <c r="V32" s="184" t="s">
        <v>5296</v>
      </c>
      <c r="W32" s="184" t="s">
        <v>5299</v>
      </c>
      <c r="X32" s="184" t="s">
        <v>5300</v>
      </c>
    </row>
    <row r="33" customFormat="false" ht="27.75" hidden="false" customHeight="true" outlineLevel="0" collapsed="false">
      <c r="A33" s="184" t="s">
        <v>37</v>
      </c>
      <c r="B33" s="185" t="s">
        <v>5069</v>
      </c>
      <c r="C33" s="184" t="s">
        <v>36</v>
      </c>
      <c r="D33" s="184" t="s">
        <v>5278</v>
      </c>
      <c r="E33" s="184" t="s">
        <v>38</v>
      </c>
      <c r="F33" s="184" t="n">
        <v>7</v>
      </c>
      <c r="G33" s="175" t="s">
        <v>4850</v>
      </c>
      <c r="H33" s="184" t="s">
        <v>248</v>
      </c>
      <c r="I33" s="184" t="s">
        <v>5239</v>
      </c>
      <c r="J33" s="184"/>
      <c r="K33" s="184"/>
      <c r="L33" s="184"/>
      <c r="M33" s="184"/>
      <c r="N33" s="184" t="s">
        <v>5239</v>
      </c>
      <c r="O33" s="184" t="s">
        <v>5240</v>
      </c>
      <c r="P33" s="184"/>
      <c r="Q33" s="184"/>
      <c r="R33" s="184" t="s">
        <v>5241</v>
      </c>
      <c r="S33" s="184"/>
      <c r="T33" s="184"/>
      <c r="U33" s="184"/>
      <c r="V33" s="184"/>
      <c r="W33" s="184"/>
      <c r="X33" s="184"/>
    </row>
    <row r="34" customFormat="false" ht="27.75" hidden="false" customHeight="true" outlineLevel="0" collapsed="false">
      <c r="A34" s="184" t="s">
        <v>37</v>
      </c>
      <c r="B34" s="185" t="s">
        <v>5069</v>
      </c>
      <c r="C34" s="184" t="s">
        <v>36</v>
      </c>
      <c r="D34" s="184" t="s">
        <v>5278</v>
      </c>
      <c r="E34" s="184" t="s">
        <v>38</v>
      </c>
      <c r="F34" s="184" t="n">
        <v>8</v>
      </c>
      <c r="G34" s="176" t="s">
        <v>248</v>
      </c>
      <c r="H34" s="184" t="s">
        <v>248</v>
      </c>
      <c r="I34" s="184" t="s">
        <v>5301</v>
      </c>
      <c r="J34" s="184"/>
      <c r="K34" s="184"/>
      <c r="L34" s="184"/>
      <c r="M34" s="184"/>
      <c r="N34" s="184" t="s">
        <v>5302</v>
      </c>
      <c r="O34" s="184" t="s">
        <v>5303</v>
      </c>
      <c r="P34" s="184"/>
      <c r="Q34" s="184"/>
      <c r="R34" s="184"/>
      <c r="S34" s="184"/>
      <c r="T34" s="184"/>
      <c r="U34" s="184"/>
      <c r="V34" s="184"/>
      <c r="W34" s="184"/>
      <c r="X34" s="184"/>
    </row>
    <row r="35" customFormat="false" ht="27.75" hidden="false" customHeight="true" outlineLevel="0" collapsed="false">
      <c r="A35" s="184" t="s">
        <v>37</v>
      </c>
      <c r="B35" s="185" t="s">
        <v>5069</v>
      </c>
      <c r="C35" s="184" t="s">
        <v>36</v>
      </c>
      <c r="D35" s="184" t="s">
        <v>5278</v>
      </c>
      <c r="E35" s="184" t="s">
        <v>38</v>
      </c>
      <c r="F35" s="184" t="n">
        <v>9</v>
      </c>
      <c r="G35" s="177" t="s">
        <v>5245</v>
      </c>
      <c r="H35" s="184" t="s">
        <v>248</v>
      </c>
      <c r="I35" s="184" t="s">
        <v>5179</v>
      </c>
      <c r="J35" s="184"/>
      <c r="K35" s="184"/>
      <c r="L35" s="184"/>
      <c r="M35" s="184"/>
      <c r="N35" s="184" t="s">
        <v>5246</v>
      </c>
      <c r="O35" s="184" t="s">
        <v>5247</v>
      </c>
      <c r="P35" s="184"/>
      <c r="Q35" s="184"/>
      <c r="R35" s="184" t="s">
        <v>5248</v>
      </c>
      <c r="S35" s="184"/>
      <c r="T35" s="184"/>
      <c r="U35" s="184"/>
      <c r="V35" s="184"/>
      <c r="W35" s="184"/>
      <c r="X35" s="184"/>
    </row>
    <row r="36" customFormat="false" ht="95.25" hidden="false" customHeight="true" outlineLevel="0" collapsed="false">
      <c r="A36" s="184" t="s">
        <v>37</v>
      </c>
      <c r="B36" s="185" t="s">
        <v>5069</v>
      </c>
      <c r="C36" s="184" t="s">
        <v>36</v>
      </c>
      <c r="D36" s="184" t="s">
        <v>5278</v>
      </c>
      <c r="E36" s="184" t="s">
        <v>38</v>
      </c>
      <c r="F36" s="184" t="n">
        <v>10</v>
      </c>
      <c r="G36" s="176" t="s">
        <v>5249</v>
      </c>
      <c r="H36" s="184" t="s">
        <v>248</v>
      </c>
      <c r="I36" s="184" t="s">
        <v>5250</v>
      </c>
      <c r="J36" s="184"/>
      <c r="K36" s="184"/>
      <c r="L36" s="184"/>
      <c r="M36" s="184"/>
      <c r="N36" s="184" t="s">
        <v>5304</v>
      </c>
      <c r="O36" s="184" t="s">
        <v>5305</v>
      </c>
      <c r="P36" s="184"/>
      <c r="Q36" s="184"/>
      <c r="R36" s="184"/>
      <c r="S36" s="184"/>
      <c r="T36" s="184"/>
      <c r="U36" s="184"/>
      <c r="V36" s="184"/>
      <c r="W36" s="184"/>
      <c r="X36" s="184"/>
    </row>
    <row r="37" customFormat="false" ht="27.75" hidden="false" customHeight="true" outlineLevel="0" collapsed="false">
      <c r="A37" s="184" t="s">
        <v>37</v>
      </c>
      <c r="B37" s="185" t="s">
        <v>5069</v>
      </c>
      <c r="C37" s="184" t="s">
        <v>36</v>
      </c>
      <c r="D37" s="184" t="s">
        <v>5278</v>
      </c>
      <c r="E37" s="184" t="s">
        <v>38</v>
      </c>
      <c r="F37" s="184" t="n">
        <v>11</v>
      </c>
      <c r="G37" s="176" t="s">
        <v>5253</v>
      </c>
      <c r="H37" s="184" t="s">
        <v>248</v>
      </c>
      <c r="I37" s="184" t="s">
        <v>5306</v>
      </c>
      <c r="J37" s="184"/>
      <c r="K37" s="184"/>
      <c r="L37" s="184"/>
      <c r="M37" s="184"/>
      <c r="N37" s="184" t="s">
        <v>5222</v>
      </c>
      <c r="O37" s="184" t="s">
        <v>5289</v>
      </c>
      <c r="P37" s="184"/>
      <c r="Q37" s="184"/>
      <c r="R37" s="184"/>
      <c r="S37" s="184"/>
      <c r="T37" s="184" t="s">
        <v>5307</v>
      </c>
      <c r="U37" s="184" t="s">
        <v>5308</v>
      </c>
      <c r="V37" s="184"/>
      <c r="W37" s="184"/>
      <c r="X37" s="184"/>
    </row>
    <row r="38" customFormat="false" ht="27.75" hidden="false" customHeight="true" outlineLevel="0" collapsed="false">
      <c r="A38" s="184" t="s">
        <v>37</v>
      </c>
      <c r="B38" s="185" t="s">
        <v>5069</v>
      </c>
      <c r="C38" s="184" t="s">
        <v>36</v>
      </c>
      <c r="D38" s="184" t="s">
        <v>5278</v>
      </c>
      <c r="E38" s="184" t="s">
        <v>38</v>
      </c>
      <c r="F38" s="184" t="n">
        <v>12</v>
      </c>
      <c r="G38" s="176" t="s">
        <v>5253</v>
      </c>
      <c r="H38" s="184" t="s">
        <v>248</v>
      </c>
      <c r="I38" s="184" t="s">
        <v>344</v>
      </c>
      <c r="J38" s="184"/>
      <c r="K38" s="184"/>
      <c r="L38" s="184"/>
      <c r="M38" s="184"/>
      <c r="N38" s="184" t="s">
        <v>5309</v>
      </c>
      <c r="O38" s="184" t="s">
        <v>5310</v>
      </c>
      <c r="P38" s="184"/>
      <c r="Q38" s="184"/>
      <c r="R38" s="184"/>
      <c r="S38" s="184"/>
      <c r="T38" s="184" t="s">
        <v>5311</v>
      </c>
      <c r="U38" s="184" t="s">
        <v>5312</v>
      </c>
      <c r="V38" s="184"/>
      <c r="W38" s="184"/>
      <c r="X38" s="184"/>
    </row>
    <row r="39" customFormat="false" ht="27.75" hidden="false" customHeight="true" outlineLevel="0" collapsed="false">
      <c r="A39" s="184" t="s">
        <v>37</v>
      </c>
      <c r="B39" s="185" t="s">
        <v>5069</v>
      </c>
      <c r="C39" s="184" t="s">
        <v>36</v>
      </c>
      <c r="D39" s="184" t="s">
        <v>5278</v>
      </c>
      <c r="E39" s="184" t="s">
        <v>38</v>
      </c>
      <c r="F39" s="184" t="n">
        <v>13</v>
      </c>
      <c r="G39" s="176" t="s">
        <v>5253</v>
      </c>
      <c r="H39" s="184" t="s">
        <v>248</v>
      </c>
      <c r="I39" s="184" t="s">
        <v>346</v>
      </c>
      <c r="J39" s="184"/>
      <c r="K39" s="184"/>
      <c r="L39" s="184"/>
      <c r="M39" s="184"/>
      <c r="N39" s="184" t="s">
        <v>5313</v>
      </c>
      <c r="O39" s="184" t="s">
        <v>5314</v>
      </c>
      <c r="P39" s="184"/>
      <c r="Q39" s="184"/>
      <c r="R39" s="184"/>
      <c r="S39" s="184"/>
      <c r="T39" s="184" t="s">
        <v>5315</v>
      </c>
      <c r="U39" s="184" t="s">
        <v>5316</v>
      </c>
      <c r="V39" s="184"/>
      <c r="W39" s="184"/>
      <c r="X39" s="184"/>
    </row>
    <row r="40" customFormat="false" ht="135.75" hidden="false" customHeight="true" outlineLevel="0" collapsed="false">
      <c r="A40" s="184" t="s">
        <v>37</v>
      </c>
      <c r="B40" s="185" t="s">
        <v>5069</v>
      </c>
      <c r="C40" s="184" t="s">
        <v>36</v>
      </c>
      <c r="D40" s="184" t="s">
        <v>5278</v>
      </c>
      <c r="E40" s="184" t="s">
        <v>38</v>
      </c>
      <c r="F40" s="184" t="n">
        <v>14</v>
      </c>
      <c r="G40" s="178" t="s">
        <v>5269</v>
      </c>
      <c r="H40" s="184" t="s">
        <v>5270</v>
      </c>
      <c r="I40" s="186" t="s">
        <v>5271</v>
      </c>
      <c r="J40" s="184"/>
      <c r="K40" s="184"/>
      <c r="L40" s="184"/>
      <c r="M40" s="184"/>
      <c r="N40" s="184" t="s">
        <v>5272</v>
      </c>
      <c r="O40" s="184" t="s">
        <v>5272</v>
      </c>
      <c r="P40" s="184"/>
      <c r="Q40" s="184"/>
      <c r="R40" s="184" t="s">
        <v>5317</v>
      </c>
      <c r="S40" s="184"/>
      <c r="T40" s="184"/>
      <c r="U40" s="184"/>
      <c r="V40" s="184"/>
      <c r="W40" s="184"/>
      <c r="X40" s="184"/>
    </row>
    <row r="41" customFormat="false" ht="68.25" hidden="false" customHeight="true" outlineLevel="0" collapsed="false">
      <c r="A41" s="184" t="s">
        <v>37</v>
      </c>
      <c r="B41" s="185" t="s">
        <v>5069</v>
      </c>
      <c r="C41" s="184" t="s">
        <v>36</v>
      </c>
      <c r="D41" s="184" t="s">
        <v>5278</v>
      </c>
      <c r="E41" s="184" t="s">
        <v>38</v>
      </c>
      <c r="F41" s="184" t="n">
        <v>15</v>
      </c>
      <c r="G41" s="178" t="s">
        <v>5269</v>
      </c>
      <c r="H41" s="184" t="s">
        <v>5270</v>
      </c>
      <c r="I41" s="184" t="s">
        <v>5274</v>
      </c>
      <c r="J41" s="184"/>
      <c r="K41" s="184"/>
      <c r="L41" s="184"/>
      <c r="M41" s="184"/>
      <c r="N41" s="184" t="s">
        <v>5272</v>
      </c>
      <c r="O41" s="184" t="s">
        <v>5272</v>
      </c>
      <c r="P41" s="184"/>
      <c r="Q41" s="184"/>
      <c r="R41" s="184" t="s">
        <v>5275</v>
      </c>
      <c r="S41" s="184"/>
      <c r="T41" s="184"/>
      <c r="U41" s="184"/>
      <c r="V41" s="184"/>
      <c r="W41" s="184"/>
      <c r="X41" s="184"/>
    </row>
    <row r="42" customFormat="false" ht="27.75" hidden="false" customHeight="true" outlineLevel="0" collapsed="false">
      <c r="A42" s="184" t="s">
        <v>37</v>
      </c>
      <c r="B42" s="185" t="s">
        <v>5069</v>
      </c>
      <c r="C42" s="184" t="s">
        <v>36</v>
      </c>
      <c r="D42" s="184" t="s">
        <v>5278</v>
      </c>
      <c r="E42" s="184" t="s">
        <v>38</v>
      </c>
      <c r="F42" s="184" t="n">
        <v>16</v>
      </c>
      <c r="G42" s="177" t="s">
        <v>5276</v>
      </c>
      <c r="H42" s="184" t="s">
        <v>5270</v>
      </c>
      <c r="I42" s="184" t="s">
        <v>5277</v>
      </c>
      <c r="J42" s="184"/>
      <c r="K42" s="184"/>
      <c r="L42" s="184"/>
      <c r="M42" s="184"/>
      <c r="N42" s="184"/>
      <c r="O42" s="184"/>
      <c r="P42" s="184"/>
      <c r="Q42" s="184"/>
      <c r="R42" s="184"/>
      <c r="S42" s="184"/>
      <c r="T42" s="184"/>
      <c r="U42" s="184"/>
      <c r="V42" s="184"/>
      <c r="W42" s="184"/>
      <c r="X42" s="184"/>
    </row>
    <row r="43" customFormat="false" ht="41.25" hidden="false" customHeight="true" outlineLevel="0" collapsed="false">
      <c r="A43" s="184" t="s">
        <v>39</v>
      </c>
      <c r="B43" s="185" t="s">
        <v>5072</v>
      </c>
      <c r="C43" s="184" t="s">
        <v>36</v>
      </c>
      <c r="D43" s="184" t="s">
        <v>5318</v>
      </c>
      <c r="E43" s="184" t="s">
        <v>40</v>
      </c>
      <c r="F43" s="184" t="n">
        <v>1</v>
      </c>
      <c r="G43" s="177" t="s">
        <v>5177</v>
      </c>
      <c r="H43" s="184" t="s">
        <v>5178</v>
      </c>
      <c r="I43" s="184" t="s">
        <v>5179</v>
      </c>
      <c r="J43" s="184"/>
      <c r="K43" s="184"/>
      <c r="L43" s="184"/>
      <c r="M43" s="184"/>
      <c r="N43" s="184" t="s">
        <v>5180</v>
      </c>
      <c r="O43" s="184" t="s">
        <v>5181</v>
      </c>
      <c r="P43" s="184"/>
      <c r="Q43" s="184"/>
      <c r="R43" s="184" t="s">
        <v>5182</v>
      </c>
      <c r="S43" s="184"/>
      <c r="T43" s="184"/>
      <c r="U43" s="184"/>
      <c r="V43" s="184"/>
      <c r="W43" s="184"/>
      <c r="X43" s="184"/>
    </row>
    <row r="44" customFormat="false" ht="27.75" hidden="false" customHeight="true" outlineLevel="0" collapsed="false">
      <c r="A44" s="184" t="s">
        <v>39</v>
      </c>
      <c r="B44" s="185" t="s">
        <v>5072</v>
      </c>
      <c r="C44" s="184" t="s">
        <v>36</v>
      </c>
      <c r="D44" s="184" t="s">
        <v>5318</v>
      </c>
      <c r="E44" s="184" t="s">
        <v>40</v>
      </c>
      <c r="F44" s="184" t="n">
        <v>2</v>
      </c>
      <c r="G44" s="177" t="s">
        <v>5183</v>
      </c>
      <c r="H44" s="184" t="s">
        <v>5178</v>
      </c>
      <c r="I44" s="184" t="s">
        <v>36</v>
      </c>
      <c r="J44" s="184"/>
      <c r="K44" s="184"/>
      <c r="L44" s="184"/>
      <c r="M44" s="184"/>
      <c r="N44" s="184"/>
      <c r="O44" s="184"/>
      <c r="P44" s="184"/>
      <c r="Q44" s="184"/>
      <c r="R44" s="184" t="s">
        <v>5184</v>
      </c>
      <c r="S44" s="184"/>
      <c r="T44" s="184"/>
      <c r="U44" s="184"/>
      <c r="V44" s="184"/>
      <c r="W44" s="184"/>
      <c r="X44" s="184"/>
    </row>
    <row r="45" customFormat="false" ht="27.75" hidden="false" customHeight="true" outlineLevel="0" collapsed="false">
      <c r="A45" s="184" t="s">
        <v>39</v>
      </c>
      <c r="B45" s="185" t="s">
        <v>5072</v>
      </c>
      <c r="C45" s="184" t="s">
        <v>36</v>
      </c>
      <c r="D45" s="184" t="s">
        <v>5318</v>
      </c>
      <c r="E45" s="184" t="s">
        <v>40</v>
      </c>
      <c r="F45" s="184" t="n">
        <v>3</v>
      </c>
      <c r="G45" s="174" t="s">
        <v>4844</v>
      </c>
      <c r="H45" s="184" t="s">
        <v>5185</v>
      </c>
      <c r="I45" s="184" t="s">
        <v>377</v>
      </c>
      <c r="J45" s="184" t="s">
        <v>227</v>
      </c>
      <c r="K45" s="184" t="n">
        <v>100000</v>
      </c>
      <c r="L45" s="184" t="n">
        <v>1000000</v>
      </c>
      <c r="M45" s="184" t="n">
        <v>5000</v>
      </c>
      <c r="N45" s="184" t="s">
        <v>5319</v>
      </c>
      <c r="O45" s="184" t="s">
        <v>5319</v>
      </c>
      <c r="P45" s="184" t="s">
        <v>5201</v>
      </c>
      <c r="Q45" s="184"/>
      <c r="R45" s="184"/>
      <c r="S45" s="184"/>
      <c r="T45" s="184" t="s">
        <v>5320</v>
      </c>
      <c r="U45" s="184" t="s">
        <v>5190</v>
      </c>
      <c r="V45" s="184" t="n">
        <v>350000</v>
      </c>
      <c r="W45" s="184" t="s">
        <v>5321</v>
      </c>
      <c r="X45" s="184" t="s">
        <v>5322</v>
      </c>
    </row>
    <row r="46" customFormat="false" ht="27.75" hidden="false" customHeight="true" outlineLevel="0" collapsed="false">
      <c r="A46" s="184" t="s">
        <v>39</v>
      </c>
      <c r="B46" s="185" t="s">
        <v>5072</v>
      </c>
      <c r="C46" s="184" t="s">
        <v>36</v>
      </c>
      <c r="D46" s="184" t="s">
        <v>5318</v>
      </c>
      <c r="E46" s="184" t="s">
        <v>40</v>
      </c>
      <c r="F46" s="184" t="n">
        <v>4</v>
      </c>
      <c r="G46" s="174" t="s">
        <v>4844</v>
      </c>
      <c r="H46" s="184" t="s">
        <v>5185</v>
      </c>
      <c r="I46" s="184" t="s">
        <v>379</v>
      </c>
      <c r="J46" s="184" t="s">
        <v>238</v>
      </c>
      <c r="K46" s="184" t="n">
        <v>10</v>
      </c>
      <c r="L46" s="184" t="n">
        <v>30</v>
      </c>
      <c r="M46" s="184" t="n">
        <v>1</v>
      </c>
      <c r="N46" s="184" t="s">
        <v>5323</v>
      </c>
      <c r="O46" s="184" t="s">
        <v>5323</v>
      </c>
      <c r="P46" s="184" t="s">
        <v>5201</v>
      </c>
      <c r="Q46" s="184"/>
      <c r="R46" s="184"/>
      <c r="S46" s="184"/>
      <c r="T46" s="184" t="s">
        <v>5324</v>
      </c>
      <c r="U46" s="184" t="s">
        <v>5197</v>
      </c>
      <c r="V46" s="184" t="s">
        <v>5323</v>
      </c>
      <c r="W46" s="184" t="s">
        <v>5325</v>
      </c>
      <c r="X46" s="184" t="s">
        <v>5326</v>
      </c>
    </row>
    <row r="47" customFormat="false" ht="27.75" hidden="false" customHeight="true" outlineLevel="0" collapsed="false">
      <c r="A47" s="184" t="s">
        <v>39</v>
      </c>
      <c r="B47" s="185" t="s">
        <v>5072</v>
      </c>
      <c r="C47" s="184" t="s">
        <v>36</v>
      </c>
      <c r="D47" s="184" t="s">
        <v>5318</v>
      </c>
      <c r="E47" s="184" t="s">
        <v>40</v>
      </c>
      <c r="F47" s="184" t="n">
        <v>5</v>
      </c>
      <c r="G47" s="174" t="s">
        <v>4844</v>
      </c>
      <c r="H47" s="184" t="s">
        <v>5185</v>
      </c>
      <c r="I47" s="184" t="s">
        <v>380</v>
      </c>
      <c r="J47" s="184" t="s">
        <v>227</v>
      </c>
      <c r="K47" s="184" t="n">
        <v>0</v>
      </c>
      <c r="L47" s="184" t="n">
        <v>200000</v>
      </c>
      <c r="M47" s="184" t="n">
        <v>500</v>
      </c>
      <c r="N47" s="184" t="s">
        <v>5327</v>
      </c>
      <c r="O47" s="184" t="s">
        <v>5327</v>
      </c>
      <c r="P47" s="184" t="s">
        <v>5201</v>
      </c>
      <c r="Q47" s="184"/>
      <c r="R47" s="184"/>
      <c r="S47" s="184"/>
      <c r="T47" s="184" t="s">
        <v>5328</v>
      </c>
      <c r="U47" s="184" t="s">
        <v>5209</v>
      </c>
      <c r="V47" s="184" t="n">
        <v>12000</v>
      </c>
      <c r="W47" s="184" t="s">
        <v>5204</v>
      </c>
      <c r="X47" s="184" t="s">
        <v>5329</v>
      </c>
    </row>
    <row r="48" customFormat="false" ht="27.75" hidden="false" customHeight="true" outlineLevel="0" collapsed="false">
      <c r="A48" s="184" t="s">
        <v>39</v>
      </c>
      <c r="B48" s="185" t="s">
        <v>5072</v>
      </c>
      <c r="C48" s="184" t="s">
        <v>36</v>
      </c>
      <c r="D48" s="184" t="s">
        <v>5318</v>
      </c>
      <c r="E48" s="184" t="s">
        <v>40</v>
      </c>
      <c r="F48" s="184" t="n">
        <v>6</v>
      </c>
      <c r="G48" s="174" t="s">
        <v>4844</v>
      </c>
      <c r="H48" s="184" t="s">
        <v>5185</v>
      </c>
      <c r="I48" s="184" t="s">
        <v>382</v>
      </c>
      <c r="J48" s="184" t="s">
        <v>227</v>
      </c>
      <c r="K48" s="184" t="n">
        <v>50</v>
      </c>
      <c r="L48" s="184" t="n">
        <v>5000</v>
      </c>
      <c r="M48" s="184" t="n">
        <v>50</v>
      </c>
      <c r="N48" s="184" t="s">
        <v>5330</v>
      </c>
      <c r="O48" s="184" t="s">
        <v>5330</v>
      </c>
      <c r="P48" s="184" t="s">
        <v>5201</v>
      </c>
      <c r="Q48" s="184"/>
      <c r="R48" s="184"/>
      <c r="S48" s="184"/>
      <c r="T48" s="184" t="s">
        <v>5331</v>
      </c>
      <c r="U48" s="184" t="s">
        <v>5217</v>
      </c>
      <c r="V48" s="184" t="n">
        <v>800</v>
      </c>
      <c r="W48" s="184" t="s">
        <v>5332</v>
      </c>
      <c r="X48" s="184" t="s">
        <v>5333</v>
      </c>
    </row>
    <row r="49" customFormat="false" ht="41.25" hidden="false" customHeight="true" outlineLevel="0" collapsed="false">
      <c r="A49" s="184" t="s">
        <v>39</v>
      </c>
      <c r="B49" s="185" t="s">
        <v>5072</v>
      </c>
      <c r="C49" s="184" t="s">
        <v>36</v>
      </c>
      <c r="D49" s="184" t="s">
        <v>5318</v>
      </c>
      <c r="E49" s="184" t="s">
        <v>40</v>
      </c>
      <c r="F49" s="184" t="n">
        <v>7</v>
      </c>
      <c r="G49" s="174" t="s">
        <v>4846</v>
      </c>
      <c r="H49" s="184" t="s">
        <v>5227</v>
      </c>
      <c r="I49" s="184" t="s">
        <v>5228</v>
      </c>
      <c r="J49" s="184" t="s">
        <v>227</v>
      </c>
      <c r="K49" s="184"/>
      <c r="L49" s="184"/>
      <c r="M49" s="184"/>
      <c r="N49" s="184" t="s">
        <v>5193</v>
      </c>
      <c r="O49" s="184" t="s">
        <v>5229</v>
      </c>
      <c r="P49" s="184" t="s">
        <v>5206</v>
      </c>
      <c r="Q49" s="184"/>
      <c r="R49" s="184" t="s">
        <v>5230</v>
      </c>
      <c r="S49" s="184" t="s">
        <v>5231</v>
      </c>
      <c r="T49" s="184"/>
      <c r="U49" s="184"/>
      <c r="V49" s="184"/>
      <c r="W49" s="184"/>
      <c r="X49" s="184" t="s">
        <v>5232</v>
      </c>
    </row>
    <row r="50" customFormat="false" ht="27.75" hidden="false" customHeight="true" outlineLevel="0" collapsed="false">
      <c r="A50" s="184" t="s">
        <v>39</v>
      </c>
      <c r="B50" s="185" t="s">
        <v>5072</v>
      </c>
      <c r="C50" s="184" t="s">
        <v>36</v>
      </c>
      <c r="D50" s="184" t="s">
        <v>5318</v>
      </c>
      <c r="E50" s="184" t="s">
        <v>40</v>
      </c>
      <c r="F50" s="184" t="n">
        <v>8</v>
      </c>
      <c r="G50" s="174" t="s">
        <v>4844</v>
      </c>
      <c r="H50" s="184" t="s">
        <v>5233</v>
      </c>
      <c r="I50" s="184" t="s">
        <v>5334</v>
      </c>
      <c r="J50" s="184" t="s">
        <v>227</v>
      </c>
      <c r="K50" s="184" t="n">
        <v>0</v>
      </c>
      <c r="L50" s="184" t="n">
        <v>1500</v>
      </c>
      <c r="M50" s="184" t="n">
        <v>50</v>
      </c>
      <c r="N50" s="184" t="s">
        <v>5193</v>
      </c>
      <c r="O50" s="184" t="s">
        <v>5193</v>
      </c>
      <c r="P50" s="184" t="s">
        <v>5201</v>
      </c>
      <c r="Q50" s="184"/>
      <c r="R50" s="184"/>
      <c r="S50" s="184"/>
      <c r="T50" s="184" t="s">
        <v>5335</v>
      </c>
      <c r="U50" s="184" t="s">
        <v>5224</v>
      </c>
      <c r="V50" s="184" t="n">
        <v>0</v>
      </c>
      <c r="W50" s="184" t="s">
        <v>5336</v>
      </c>
      <c r="X50" s="184" t="s">
        <v>5337</v>
      </c>
    </row>
    <row r="51" customFormat="false" ht="27.75" hidden="false" customHeight="true" outlineLevel="0" collapsed="false">
      <c r="A51" s="184" t="s">
        <v>39</v>
      </c>
      <c r="B51" s="185" t="s">
        <v>5072</v>
      </c>
      <c r="C51" s="184" t="s">
        <v>36</v>
      </c>
      <c r="D51" s="184" t="s">
        <v>5318</v>
      </c>
      <c r="E51" s="184" t="s">
        <v>40</v>
      </c>
      <c r="F51" s="184" t="n">
        <v>9</v>
      </c>
      <c r="G51" s="176" t="s">
        <v>248</v>
      </c>
      <c r="H51" s="184" t="s">
        <v>248</v>
      </c>
      <c r="I51" s="184" t="s">
        <v>5338</v>
      </c>
      <c r="J51" s="184"/>
      <c r="K51" s="184"/>
      <c r="L51" s="184"/>
      <c r="M51" s="184"/>
      <c r="N51" s="184" t="s">
        <v>5339</v>
      </c>
      <c r="O51" s="184" t="s">
        <v>5340</v>
      </c>
      <c r="P51" s="184"/>
      <c r="Q51" s="184"/>
      <c r="R51" s="184"/>
      <c r="S51" s="184"/>
      <c r="T51" s="184" t="s">
        <v>5341</v>
      </c>
      <c r="U51" s="184" t="s">
        <v>64</v>
      </c>
      <c r="V51" s="184"/>
      <c r="W51" s="184"/>
      <c r="X51" s="184"/>
    </row>
    <row r="52" customFormat="false" ht="27.75" hidden="false" customHeight="true" outlineLevel="0" collapsed="false">
      <c r="A52" s="184" t="s">
        <v>39</v>
      </c>
      <c r="B52" s="185" t="s">
        <v>5072</v>
      </c>
      <c r="C52" s="184" t="s">
        <v>36</v>
      </c>
      <c r="D52" s="184" t="s">
        <v>5318</v>
      </c>
      <c r="E52" s="184" t="s">
        <v>40</v>
      </c>
      <c r="F52" s="184" t="n">
        <v>10</v>
      </c>
      <c r="G52" s="177" t="s">
        <v>5245</v>
      </c>
      <c r="H52" s="184" t="s">
        <v>248</v>
      </c>
      <c r="I52" s="184" t="s">
        <v>5179</v>
      </c>
      <c r="J52" s="184"/>
      <c r="K52" s="184"/>
      <c r="L52" s="184"/>
      <c r="M52" s="184"/>
      <c r="N52" s="184" t="s">
        <v>5246</v>
      </c>
      <c r="O52" s="184" t="s">
        <v>5247</v>
      </c>
      <c r="P52" s="184"/>
      <c r="Q52" s="184"/>
      <c r="R52" s="184" t="s">
        <v>5248</v>
      </c>
      <c r="S52" s="184"/>
      <c r="T52" s="184"/>
      <c r="U52" s="184"/>
      <c r="V52" s="184"/>
      <c r="W52" s="184"/>
      <c r="X52" s="184"/>
    </row>
    <row r="53" customFormat="false" ht="189" hidden="false" customHeight="true" outlineLevel="0" collapsed="false">
      <c r="A53" s="184" t="s">
        <v>39</v>
      </c>
      <c r="B53" s="185" t="s">
        <v>5072</v>
      </c>
      <c r="C53" s="184" t="s">
        <v>36</v>
      </c>
      <c r="D53" s="184" t="s">
        <v>5318</v>
      </c>
      <c r="E53" s="184" t="s">
        <v>40</v>
      </c>
      <c r="F53" s="184" t="n">
        <v>11</v>
      </c>
      <c r="G53" s="176" t="s">
        <v>5249</v>
      </c>
      <c r="H53" s="184" t="s">
        <v>248</v>
      </c>
      <c r="I53" s="184" t="s">
        <v>5250</v>
      </c>
      <c r="J53" s="184"/>
      <c r="K53" s="184"/>
      <c r="L53" s="184"/>
      <c r="M53" s="184"/>
      <c r="N53" s="184" t="s">
        <v>5342</v>
      </c>
      <c r="O53" s="184" t="s">
        <v>5343</v>
      </c>
      <c r="P53" s="184"/>
      <c r="Q53" s="184"/>
      <c r="R53" s="184"/>
      <c r="S53" s="184"/>
      <c r="T53" s="184"/>
      <c r="U53" s="184"/>
      <c r="V53" s="184"/>
      <c r="W53" s="184"/>
      <c r="X53" s="184"/>
    </row>
    <row r="54" customFormat="false" ht="27.75" hidden="false" customHeight="true" outlineLevel="0" collapsed="false">
      <c r="A54" s="184" t="s">
        <v>39</v>
      </c>
      <c r="B54" s="185" t="s">
        <v>5072</v>
      </c>
      <c r="C54" s="184" t="s">
        <v>36</v>
      </c>
      <c r="D54" s="184" t="s">
        <v>5318</v>
      </c>
      <c r="E54" s="184" t="s">
        <v>40</v>
      </c>
      <c r="F54" s="184" t="n">
        <v>12</v>
      </c>
      <c r="G54" s="176" t="s">
        <v>5253</v>
      </c>
      <c r="H54" s="184" t="s">
        <v>248</v>
      </c>
      <c r="I54" s="184" t="s">
        <v>5344</v>
      </c>
      <c r="J54" s="184"/>
      <c r="K54" s="184"/>
      <c r="L54" s="184"/>
      <c r="M54" s="184"/>
      <c r="N54" s="184" t="s">
        <v>5345</v>
      </c>
      <c r="O54" s="184" t="s">
        <v>5346</v>
      </c>
      <c r="P54" s="184"/>
      <c r="Q54" s="184"/>
      <c r="R54" s="184"/>
      <c r="S54" s="184"/>
      <c r="T54" s="184" t="s">
        <v>5347</v>
      </c>
      <c r="U54" s="184" t="s">
        <v>66</v>
      </c>
      <c r="V54" s="184"/>
      <c r="W54" s="184"/>
      <c r="X54" s="184"/>
    </row>
    <row r="55" customFormat="false" ht="27.75" hidden="false" customHeight="true" outlineLevel="0" collapsed="false">
      <c r="A55" s="184" t="s">
        <v>39</v>
      </c>
      <c r="B55" s="185" t="s">
        <v>5072</v>
      </c>
      <c r="C55" s="184" t="s">
        <v>36</v>
      </c>
      <c r="D55" s="184" t="s">
        <v>5318</v>
      </c>
      <c r="E55" s="184" t="s">
        <v>40</v>
      </c>
      <c r="F55" s="184" t="n">
        <v>13</v>
      </c>
      <c r="G55" s="176" t="s">
        <v>5253</v>
      </c>
      <c r="H55" s="184" t="s">
        <v>248</v>
      </c>
      <c r="I55" s="184" t="s">
        <v>392</v>
      </c>
      <c r="J55" s="184"/>
      <c r="K55" s="184"/>
      <c r="L55" s="184"/>
      <c r="M55" s="184"/>
      <c r="N55" s="184" t="s">
        <v>5348</v>
      </c>
      <c r="O55" s="184" t="s">
        <v>5348</v>
      </c>
      <c r="P55" s="184"/>
      <c r="Q55" s="184"/>
      <c r="R55" s="184"/>
      <c r="S55" s="184"/>
      <c r="T55" s="184" t="s">
        <v>5349</v>
      </c>
      <c r="U55" s="184" t="s">
        <v>70</v>
      </c>
      <c r="V55" s="184"/>
      <c r="W55" s="184"/>
      <c r="X55" s="184"/>
    </row>
    <row r="56" customFormat="false" ht="27.75" hidden="false" customHeight="true" outlineLevel="0" collapsed="false">
      <c r="A56" s="184" t="s">
        <v>39</v>
      </c>
      <c r="B56" s="185" t="s">
        <v>5072</v>
      </c>
      <c r="C56" s="184" t="s">
        <v>36</v>
      </c>
      <c r="D56" s="184" t="s">
        <v>5318</v>
      </c>
      <c r="E56" s="184" t="s">
        <v>40</v>
      </c>
      <c r="F56" s="184" t="n">
        <v>14</v>
      </c>
      <c r="G56" s="176" t="s">
        <v>5253</v>
      </c>
      <c r="H56" s="184" t="s">
        <v>248</v>
      </c>
      <c r="I56" s="184" t="s">
        <v>394</v>
      </c>
      <c r="J56" s="184"/>
      <c r="K56" s="184"/>
      <c r="L56" s="184"/>
      <c r="M56" s="184"/>
      <c r="N56" s="184" t="s">
        <v>5350</v>
      </c>
      <c r="O56" s="184" t="s">
        <v>5350</v>
      </c>
      <c r="P56" s="184"/>
      <c r="Q56" s="184"/>
      <c r="R56" s="184"/>
      <c r="S56" s="184"/>
      <c r="T56" s="184" t="s">
        <v>5351</v>
      </c>
      <c r="U56" s="184" t="s">
        <v>72</v>
      </c>
      <c r="V56" s="184"/>
      <c r="W56" s="184"/>
      <c r="X56" s="184"/>
    </row>
    <row r="57" customFormat="false" ht="27.75" hidden="false" customHeight="true" outlineLevel="0" collapsed="false">
      <c r="A57" s="184" t="s">
        <v>39</v>
      </c>
      <c r="B57" s="185" t="s">
        <v>5072</v>
      </c>
      <c r="C57" s="184" t="s">
        <v>36</v>
      </c>
      <c r="D57" s="184" t="s">
        <v>5318</v>
      </c>
      <c r="E57" s="184" t="s">
        <v>40</v>
      </c>
      <c r="F57" s="184" t="n">
        <v>15</v>
      </c>
      <c r="G57" s="176" t="s">
        <v>5253</v>
      </c>
      <c r="H57" s="184" t="s">
        <v>248</v>
      </c>
      <c r="I57" s="184" t="s">
        <v>390</v>
      </c>
      <c r="J57" s="184"/>
      <c r="K57" s="184"/>
      <c r="L57" s="184"/>
      <c r="M57" s="184"/>
      <c r="N57" s="184" t="s">
        <v>5352</v>
      </c>
      <c r="O57" s="184" t="s">
        <v>5353</v>
      </c>
      <c r="P57" s="184"/>
      <c r="Q57" s="184"/>
      <c r="R57" s="184"/>
      <c r="S57" s="184"/>
      <c r="T57" s="184" t="s">
        <v>5354</v>
      </c>
      <c r="U57" s="184" t="s">
        <v>68</v>
      </c>
      <c r="V57" s="184"/>
      <c r="W57" s="184"/>
      <c r="X57" s="184"/>
    </row>
    <row r="58" customFormat="false" ht="122.25" hidden="false" customHeight="true" outlineLevel="0" collapsed="false">
      <c r="A58" s="184" t="s">
        <v>39</v>
      </c>
      <c r="B58" s="185" t="s">
        <v>5072</v>
      </c>
      <c r="C58" s="184" t="s">
        <v>36</v>
      </c>
      <c r="D58" s="184" t="s">
        <v>5318</v>
      </c>
      <c r="E58" s="184" t="s">
        <v>40</v>
      </c>
      <c r="F58" s="184" t="n">
        <v>16</v>
      </c>
      <c r="G58" s="178" t="s">
        <v>5269</v>
      </c>
      <c r="H58" s="184" t="s">
        <v>5270</v>
      </c>
      <c r="I58" s="186" t="s">
        <v>5271</v>
      </c>
      <c r="J58" s="184"/>
      <c r="K58" s="184"/>
      <c r="L58" s="184"/>
      <c r="M58" s="184"/>
      <c r="N58" s="184" t="s">
        <v>5272</v>
      </c>
      <c r="O58" s="184" t="s">
        <v>5272</v>
      </c>
      <c r="P58" s="184"/>
      <c r="Q58" s="184"/>
      <c r="R58" s="184" t="s">
        <v>5355</v>
      </c>
      <c r="S58" s="184"/>
      <c r="T58" s="184"/>
      <c r="U58" s="184"/>
      <c r="V58" s="184"/>
      <c r="W58" s="184"/>
      <c r="X58" s="184"/>
    </row>
    <row r="59" customFormat="false" ht="68.25" hidden="false" customHeight="true" outlineLevel="0" collapsed="false">
      <c r="A59" s="184" t="s">
        <v>39</v>
      </c>
      <c r="B59" s="185" t="s">
        <v>5072</v>
      </c>
      <c r="C59" s="184" t="s">
        <v>36</v>
      </c>
      <c r="D59" s="184" t="s">
        <v>5318</v>
      </c>
      <c r="E59" s="184" t="s">
        <v>40</v>
      </c>
      <c r="F59" s="184" t="n">
        <v>17</v>
      </c>
      <c r="G59" s="178" t="s">
        <v>5269</v>
      </c>
      <c r="H59" s="184" t="s">
        <v>5270</v>
      </c>
      <c r="I59" s="184" t="s">
        <v>5274</v>
      </c>
      <c r="J59" s="184"/>
      <c r="K59" s="184"/>
      <c r="L59" s="184"/>
      <c r="M59" s="184"/>
      <c r="N59" s="184" t="s">
        <v>5272</v>
      </c>
      <c r="O59" s="184" t="s">
        <v>5272</v>
      </c>
      <c r="P59" s="184"/>
      <c r="Q59" s="184"/>
      <c r="R59" s="184" t="s">
        <v>5275</v>
      </c>
      <c r="S59" s="184"/>
      <c r="T59" s="184"/>
      <c r="U59" s="184"/>
      <c r="V59" s="184"/>
      <c r="W59" s="184"/>
      <c r="X59" s="184"/>
    </row>
    <row r="60" customFormat="false" ht="27.75" hidden="false" customHeight="true" outlineLevel="0" collapsed="false">
      <c r="A60" s="184" t="s">
        <v>39</v>
      </c>
      <c r="B60" s="185" t="s">
        <v>5072</v>
      </c>
      <c r="C60" s="184" t="s">
        <v>36</v>
      </c>
      <c r="D60" s="184" t="s">
        <v>5318</v>
      </c>
      <c r="E60" s="184" t="s">
        <v>40</v>
      </c>
      <c r="F60" s="184" t="n">
        <v>18</v>
      </c>
      <c r="G60" s="177" t="s">
        <v>5276</v>
      </c>
      <c r="H60" s="184" t="s">
        <v>5270</v>
      </c>
      <c r="I60" s="184" t="s">
        <v>5277</v>
      </c>
      <c r="J60" s="184"/>
      <c r="K60" s="184"/>
      <c r="L60" s="184"/>
      <c r="M60" s="184"/>
      <c r="N60" s="184"/>
      <c r="O60" s="184"/>
      <c r="P60" s="184"/>
      <c r="Q60" s="184"/>
      <c r="R60" s="184"/>
      <c r="S60" s="184"/>
      <c r="T60" s="184"/>
      <c r="U60" s="184"/>
      <c r="V60" s="184"/>
      <c r="W60" s="184"/>
      <c r="X60" s="184"/>
    </row>
    <row r="61" customFormat="false" ht="41.25" hidden="false" customHeight="true" outlineLevel="0" collapsed="false">
      <c r="A61" s="184" t="s">
        <v>41</v>
      </c>
      <c r="B61" s="185" t="s">
        <v>5074</v>
      </c>
      <c r="C61" s="184" t="s">
        <v>36</v>
      </c>
      <c r="D61" s="184" t="s">
        <v>5356</v>
      </c>
      <c r="E61" s="184" t="s">
        <v>42</v>
      </c>
      <c r="F61" s="184" t="n">
        <v>1</v>
      </c>
      <c r="G61" s="177" t="s">
        <v>5177</v>
      </c>
      <c r="H61" s="184" t="s">
        <v>5178</v>
      </c>
      <c r="I61" s="184" t="s">
        <v>5179</v>
      </c>
      <c r="J61" s="184"/>
      <c r="K61" s="184"/>
      <c r="L61" s="184"/>
      <c r="M61" s="184"/>
      <c r="N61" s="184" t="s">
        <v>5180</v>
      </c>
      <c r="O61" s="184" t="s">
        <v>5181</v>
      </c>
      <c r="P61" s="184"/>
      <c r="Q61" s="184"/>
      <c r="R61" s="184" t="s">
        <v>5182</v>
      </c>
      <c r="S61" s="184"/>
      <c r="T61" s="184"/>
      <c r="U61" s="184"/>
      <c r="V61" s="184"/>
      <c r="W61" s="184"/>
      <c r="X61" s="184"/>
    </row>
    <row r="62" customFormat="false" ht="27.75" hidden="false" customHeight="true" outlineLevel="0" collapsed="false">
      <c r="A62" s="184" t="s">
        <v>41</v>
      </c>
      <c r="B62" s="185" t="s">
        <v>5074</v>
      </c>
      <c r="C62" s="184" t="s">
        <v>36</v>
      </c>
      <c r="D62" s="184" t="s">
        <v>5356</v>
      </c>
      <c r="E62" s="184" t="s">
        <v>42</v>
      </c>
      <c r="F62" s="184" t="n">
        <v>2</v>
      </c>
      <c r="G62" s="177" t="s">
        <v>5183</v>
      </c>
      <c r="H62" s="184" t="s">
        <v>5178</v>
      </c>
      <c r="I62" s="184" t="s">
        <v>36</v>
      </c>
      <c r="J62" s="184"/>
      <c r="K62" s="184"/>
      <c r="L62" s="184"/>
      <c r="M62" s="184"/>
      <c r="N62" s="184"/>
      <c r="O62" s="184"/>
      <c r="P62" s="184"/>
      <c r="Q62" s="184"/>
      <c r="R62" s="184" t="s">
        <v>5184</v>
      </c>
      <c r="S62" s="184"/>
      <c r="T62" s="184"/>
      <c r="U62" s="184"/>
      <c r="V62" s="184"/>
      <c r="W62" s="184"/>
      <c r="X62" s="184"/>
    </row>
    <row r="63" customFormat="false" ht="27.75" hidden="false" customHeight="true" outlineLevel="0" collapsed="false">
      <c r="A63" s="184" t="s">
        <v>41</v>
      </c>
      <c r="B63" s="185" t="s">
        <v>5074</v>
      </c>
      <c r="C63" s="184" t="s">
        <v>36</v>
      </c>
      <c r="D63" s="184" t="s">
        <v>5356</v>
      </c>
      <c r="E63" s="184" t="s">
        <v>42</v>
      </c>
      <c r="F63" s="184" t="n">
        <v>3</v>
      </c>
      <c r="G63" s="174" t="s">
        <v>4844</v>
      </c>
      <c r="H63" s="184" t="s">
        <v>5185</v>
      </c>
      <c r="I63" s="184" t="s">
        <v>414</v>
      </c>
      <c r="J63" s="184" t="s">
        <v>227</v>
      </c>
      <c r="K63" s="184" t="n">
        <v>20000</v>
      </c>
      <c r="L63" s="184" t="n">
        <v>1000000</v>
      </c>
      <c r="M63" s="184" t="n">
        <v>1000</v>
      </c>
      <c r="N63" s="184" t="s">
        <v>5357</v>
      </c>
      <c r="O63" s="184" t="s">
        <v>5280</v>
      </c>
      <c r="P63" s="184" t="s">
        <v>5281</v>
      </c>
      <c r="Q63" s="184"/>
      <c r="R63" s="184"/>
      <c r="S63" s="184"/>
      <c r="T63" s="184" t="s">
        <v>5358</v>
      </c>
      <c r="U63" s="184" t="s">
        <v>5236</v>
      </c>
      <c r="V63" s="184" t="n">
        <v>250000</v>
      </c>
      <c r="W63" s="184" t="s">
        <v>5359</v>
      </c>
      <c r="X63" s="184" t="s">
        <v>5360</v>
      </c>
    </row>
    <row r="64" customFormat="false" ht="41.25" hidden="false" customHeight="true" outlineLevel="0" collapsed="false">
      <c r="A64" s="184" t="s">
        <v>41</v>
      </c>
      <c r="B64" s="185" t="s">
        <v>5074</v>
      </c>
      <c r="C64" s="184" t="s">
        <v>36</v>
      </c>
      <c r="D64" s="184" t="s">
        <v>5356</v>
      </c>
      <c r="E64" s="184" t="s">
        <v>42</v>
      </c>
      <c r="F64" s="184" t="n">
        <v>4</v>
      </c>
      <c r="G64" s="174" t="s">
        <v>4844</v>
      </c>
      <c r="H64" s="184" t="s">
        <v>5185</v>
      </c>
      <c r="I64" s="184" t="s">
        <v>315</v>
      </c>
      <c r="J64" s="184" t="s">
        <v>238</v>
      </c>
      <c r="K64" s="184" t="n">
        <v>1</v>
      </c>
      <c r="L64" s="184" t="n">
        <v>8</v>
      </c>
      <c r="M64" s="184" t="n">
        <v>0.05</v>
      </c>
      <c r="N64" s="184" t="s">
        <v>5211</v>
      </c>
      <c r="O64" s="184" t="s">
        <v>5285</v>
      </c>
      <c r="P64" s="184" t="s">
        <v>5286</v>
      </c>
      <c r="Q64" s="184" t="s">
        <v>5214</v>
      </c>
      <c r="R64" s="184" t="s">
        <v>4371</v>
      </c>
      <c r="S64" s="184" t="s">
        <v>5215</v>
      </c>
      <c r="T64" s="184" t="s">
        <v>5361</v>
      </c>
      <c r="U64" s="184" t="s">
        <v>5288</v>
      </c>
      <c r="V64" s="184" t="s">
        <v>5218</v>
      </c>
      <c r="W64" s="184" t="s">
        <v>5219</v>
      </c>
      <c r="X64" s="184" t="s">
        <v>5220</v>
      </c>
    </row>
    <row r="65" customFormat="false" ht="27.75" hidden="false" customHeight="true" outlineLevel="0" collapsed="false">
      <c r="A65" s="184" t="s">
        <v>41</v>
      </c>
      <c r="B65" s="185" t="s">
        <v>5074</v>
      </c>
      <c r="C65" s="184" t="s">
        <v>36</v>
      </c>
      <c r="D65" s="184" t="s">
        <v>5356</v>
      </c>
      <c r="E65" s="184" t="s">
        <v>42</v>
      </c>
      <c r="F65" s="184" t="n">
        <v>5</v>
      </c>
      <c r="G65" s="174" t="s">
        <v>4844</v>
      </c>
      <c r="H65" s="184" t="s">
        <v>5185</v>
      </c>
      <c r="I65" s="184" t="s">
        <v>416</v>
      </c>
      <c r="J65" s="184" t="s">
        <v>5221</v>
      </c>
      <c r="K65" s="184" t="n">
        <v>3</v>
      </c>
      <c r="L65" s="184" t="n">
        <v>35</v>
      </c>
      <c r="M65" s="184" t="n">
        <v>1</v>
      </c>
      <c r="N65" s="184" t="s">
        <v>5362</v>
      </c>
      <c r="O65" s="184" t="s">
        <v>5289</v>
      </c>
      <c r="P65" s="184" t="s">
        <v>5290</v>
      </c>
      <c r="Q65" s="184"/>
      <c r="R65" s="184"/>
      <c r="S65" s="184"/>
      <c r="T65" s="184" t="s">
        <v>5363</v>
      </c>
      <c r="U65" s="184" t="s">
        <v>5292</v>
      </c>
      <c r="V65" s="184" t="n">
        <v>25</v>
      </c>
      <c r="W65" s="184" t="s">
        <v>5364</v>
      </c>
      <c r="X65" s="184" t="s">
        <v>5365</v>
      </c>
    </row>
    <row r="66" customFormat="false" ht="27.75" hidden="false" customHeight="true" outlineLevel="0" collapsed="false">
      <c r="A66" s="184" t="s">
        <v>41</v>
      </c>
      <c r="B66" s="185" t="s">
        <v>5074</v>
      </c>
      <c r="C66" s="184" t="s">
        <v>36</v>
      </c>
      <c r="D66" s="184" t="s">
        <v>5356</v>
      </c>
      <c r="E66" s="184" t="s">
        <v>42</v>
      </c>
      <c r="F66" s="184" t="n">
        <v>6</v>
      </c>
      <c r="G66" s="174" t="s">
        <v>4844</v>
      </c>
      <c r="H66" s="184" t="s">
        <v>5185</v>
      </c>
      <c r="I66" s="184" t="s">
        <v>418</v>
      </c>
      <c r="J66" s="184" t="s">
        <v>227</v>
      </c>
      <c r="K66" s="184" t="n">
        <v>0</v>
      </c>
      <c r="L66" s="184" t="n">
        <v>2000</v>
      </c>
      <c r="M66" s="184" t="n">
        <v>25</v>
      </c>
      <c r="N66" s="184" t="s">
        <v>5366</v>
      </c>
      <c r="O66" s="184" t="s">
        <v>5366</v>
      </c>
      <c r="P66" s="184" t="s">
        <v>5201</v>
      </c>
      <c r="Q66" s="184"/>
      <c r="R66" s="184"/>
      <c r="S66" s="184"/>
      <c r="T66" s="184" t="s">
        <v>5367</v>
      </c>
      <c r="U66" s="184" t="s">
        <v>5368</v>
      </c>
      <c r="V66" s="184" t="n">
        <v>200</v>
      </c>
      <c r="W66" s="184" t="s">
        <v>5369</v>
      </c>
      <c r="X66" s="184" t="s">
        <v>5370</v>
      </c>
    </row>
    <row r="67" customFormat="false" ht="27.75" hidden="false" customHeight="true" outlineLevel="0" collapsed="false">
      <c r="A67" s="184" t="s">
        <v>41</v>
      </c>
      <c r="B67" s="185" t="s">
        <v>5074</v>
      </c>
      <c r="C67" s="184" t="s">
        <v>36</v>
      </c>
      <c r="D67" s="184" t="s">
        <v>5356</v>
      </c>
      <c r="E67" s="184" t="s">
        <v>42</v>
      </c>
      <c r="F67" s="184" t="n">
        <v>7</v>
      </c>
      <c r="G67" s="175" t="s">
        <v>4850</v>
      </c>
      <c r="H67" s="184" t="s">
        <v>248</v>
      </c>
      <c r="I67" s="184" t="s">
        <v>5239</v>
      </c>
      <c r="J67" s="184"/>
      <c r="K67" s="184"/>
      <c r="L67" s="184"/>
      <c r="M67" s="184"/>
      <c r="N67" s="184" t="s">
        <v>5239</v>
      </c>
      <c r="O67" s="184" t="s">
        <v>5240</v>
      </c>
      <c r="P67" s="184"/>
      <c r="Q67" s="184"/>
      <c r="R67" s="184" t="s">
        <v>5241</v>
      </c>
      <c r="S67" s="184"/>
      <c r="T67" s="184"/>
      <c r="U67" s="184"/>
      <c r="V67" s="184"/>
      <c r="W67" s="184"/>
      <c r="X67" s="184"/>
    </row>
    <row r="68" customFormat="false" ht="27.75" hidden="false" customHeight="true" outlineLevel="0" collapsed="false">
      <c r="A68" s="184" t="s">
        <v>41</v>
      </c>
      <c r="B68" s="185" t="s">
        <v>5074</v>
      </c>
      <c r="C68" s="184" t="s">
        <v>36</v>
      </c>
      <c r="D68" s="184" t="s">
        <v>5356</v>
      </c>
      <c r="E68" s="184" t="s">
        <v>42</v>
      </c>
      <c r="F68" s="184" t="n">
        <v>8</v>
      </c>
      <c r="G68" s="176" t="s">
        <v>248</v>
      </c>
      <c r="H68" s="184" t="s">
        <v>248</v>
      </c>
      <c r="I68" s="184" t="s">
        <v>5371</v>
      </c>
      <c r="J68" s="184"/>
      <c r="K68" s="184"/>
      <c r="L68" s="184"/>
      <c r="M68" s="184"/>
      <c r="N68" s="184" t="s">
        <v>5372</v>
      </c>
      <c r="O68" s="184" t="s">
        <v>5373</v>
      </c>
      <c r="P68" s="184"/>
      <c r="Q68" s="184"/>
      <c r="R68" s="184"/>
      <c r="S68" s="184"/>
      <c r="T68" s="184" t="s">
        <v>5374</v>
      </c>
      <c r="U68" s="184" t="s">
        <v>94</v>
      </c>
      <c r="V68" s="184"/>
      <c r="W68" s="184"/>
      <c r="X68" s="184"/>
    </row>
    <row r="69" customFormat="false" ht="27.75" hidden="false" customHeight="true" outlineLevel="0" collapsed="false">
      <c r="A69" s="184" t="s">
        <v>41</v>
      </c>
      <c r="B69" s="185" t="s">
        <v>5074</v>
      </c>
      <c r="C69" s="184" t="s">
        <v>36</v>
      </c>
      <c r="D69" s="184" t="s">
        <v>5356</v>
      </c>
      <c r="E69" s="184" t="s">
        <v>42</v>
      </c>
      <c r="F69" s="184" t="n">
        <v>9</v>
      </c>
      <c r="G69" s="177" t="s">
        <v>5245</v>
      </c>
      <c r="H69" s="184" t="s">
        <v>248</v>
      </c>
      <c r="I69" s="184" t="s">
        <v>5179</v>
      </c>
      <c r="J69" s="184"/>
      <c r="K69" s="184"/>
      <c r="L69" s="184"/>
      <c r="M69" s="184"/>
      <c r="N69" s="184" t="s">
        <v>5246</v>
      </c>
      <c r="O69" s="184" t="s">
        <v>5247</v>
      </c>
      <c r="P69" s="184"/>
      <c r="Q69" s="184"/>
      <c r="R69" s="184" t="s">
        <v>5248</v>
      </c>
      <c r="S69" s="184"/>
      <c r="T69" s="184"/>
      <c r="U69" s="184"/>
      <c r="V69" s="184"/>
      <c r="W69" s="184"/>
      <c r="X69" s="184"/>
    </row>
    <row r="70" customFormat="false" ht="95.25" hidden="false" customHeight="true" outlineLevel="0" collapsed="false">
      <c r="A70" s="184" t="s">
        <v>41</v>
      </c>
      <c r="B70" s="185" t="s">
        <v>5074</v>
      </c>
      <c r="C70" s="184" t="s">
        <v>36</v>
      </c>
      <c r="D70" s="184" t="s">
        <v>5356</v>
      </c>
      <c r="E70" s="184" t="s">
        <v>42</v>
      </c>
      <c r="F70" s="184" t="n">
        <v>10</v>
      </c>
      <c r="G70" s="176" t="s">
        <v>5249</v>
      </c>
      <c r="H70" s="184" t="s">
        <v>248</v>
      </c>
      <c r="I70" s="184" t="s">
        <v>5250</v>
      </c>
      <c r="J70" s="184"/>
      <c r="K70" s="184"/>
      <c r="L70" s="184"/>
      <c r="M70" s="184"/>
      <c r="N70" s="184" t="s">
        <v>5375</v>
      </c>
      <c r="O70" s="184" t="s">
        <v>5376</v>
      </c>
      <c r="P70" s="184"/>
      <c r="Q70" s="184"/>
      <c r="R70" s="184"/>
      <c r="S70" s="184"/>
      <c r="T70" s="184"/>
      <c r="U70" s="184"/>
      <c r="V70" s="184"/>
      <c r="W70" s="184"/>
      <c r="X70" s="184"/>
    </row>
    <row r="71" customFormat="false" ht="27.75" hidden="false" customHeight="true" outlineLevel="0" collapsed="false">
      <c r="A71" s="184" t="s">
        <v>41</v>
      </c>
      <c r="B71" s="185" t="s">
        <v>5074</v>
      </c>
      <c r="C71" s="184" t="s">
        <v>36</v>
      </c>
      <c r="D71" s="184" t="s">
        <v>5356</v>
      </c>
      <c r="E71" s="184" t="s">
        <v>42</v>
      </c>
      <c r="F71" s="184" t="n">
        <v>11</v>
      </c>
      <c r="G71" s="176" t="s">
        <v>5253</v>
      </c>
      <c r="H71" s="184" t="s">
        <v>248</v>
      </c>
      <c r="I71" s="184" t="s">
        <v>5377</v>
      </c>
      <c r="J71" s="184"/>
      <c r="K71" s="184"/>
      <c r="L71" s="184"/>
      <c r="M71" s="184"/>
      <c r="N71" s="184" t="s">
        <v>5362</v>
      </c>
      <c r="O71" s="184" t="s">
        <v>5289</v>
      </c>
      <c r="P71" s="184"/>
      <c r="Q71" s="184"/>
      <c r="R71" s="184"/>
      <c r="S71" s="184"/>
      <c r="T71" s="184" t="s">
        <v>5378</v>
      </c>
      <c r="U71" s="184" t="s">
        <v>5308</v>
      </c>
      <c r="V71" s="184"/>
      <c r="W71" s="184"/>
      <c r="X71" s="184"/>
    </row>
    <row r="72" customFormat="false" ht="27.75" hidden="false" customHeight="true" outlineLevel="0" collapsed="false">
      <c r="A72" s="184" t="s">
        <v>41</v>
      </c>
      <c r="B72" s="185" t="s">
        <v>5074</v>
      </c>
      <c r="C72" s="184" t="s">
        <v>36</v>
      </c>
      <c r="D72" s="184" t="s">
        <v>5356</v>
      </c>
      <c r="E72" s="184" t="s">
        <v>42</v>
      </c>
      <c r="F72" s="184" t="n">
        <v>12</v>
      </c>
      <c r="G72" s="176" t="s">
        <v>5253</v>
      </c>
      <c r="H72" s="184" t="s">
        <v>248</v>
      </c>
      <c r="I72" s="184" t="s">
        <v>5379</v>
      </c>
      <c r="J72" s="184"/>
      <c r="K72" s="184"/>
      <c r="L72" s="184"/>
      <c r="M72" s="184"/>
      <c r="N72" s="184" t="s">
        <v>5380</v>
      </c>
      <c r="O72" s="184" t="s">
        <v>5381</v>
      </c>
      <c r="P72" s="184"/>
      <c r="Q72" s="184"/>
      <c r="R72" s="184"/>
      <c r="S72" s="184"/>
      <c r="T72" s="184" t="s">
        <v>5382</v>
      </c>
      <c r="U72" s="184" t="s">
        <v>5312</v>
      </c>
      <c r="V72" s="184"/>
      <c r="W72" s="184"/>
      <c r="X72" s="184"/>
    </row>
    <row r="73" customFormat="false" ht="27.75" hidden="false" customHeight="true" outlineLevel="0" collapsed="false">
      <c r="A73" s="184" t="s">
        <v>41</v>
      </c>
      <c r="B73" s="185" t="s">
        <v>5074</v>
      </c>
      <c r="C73" s="184" t="s">
        <v>36</v>
      </c>
      <c r="D73" s="184" t="s">
        <v>5356</v>
      </c>
      <c r="E73" s="184" t="s">
        <v>42</v>
      </c>
      <c r="F73" s="184" t="n">
        <v>13</v>
      </c>
      <c r="G73" s="176" t="s">
        <v>5253</v>
      </c>
      <c r="H73" s="184" t="s">
        <v>248</v>
      </c>
      <c r="I73" s="184" t="s">
        <v>424</v>
      </c>
      <c r="J73" s="184"/>
      <c r="K73" s="184"/>
      <c r="L73" s="184"/>
      <c r="M73" s="184"/>
      <c r="N73" s="184" t="s">
        <v>5383</v>
      </c>
      <c r="O73" s="184" t="s">
        <v>5384</v>
      </c>
      <c r="P73" s="184"/>
      <c r="Q73" s="184"/>
      <c r="R73" s="184"/>
      <c r="S73" s="184"/>
      <c r="T73" s="184" t="s">
        <v>5385</v>
      </c>
      <c r="U73" s="184" t="s">
        <v>5386</v>
      </c>
      <c r="V73" s="184"/>
      <c r="W73" s="184"/>
      <c r="X73" s="184"/>
    </row>
    <row r="74" customFormat="false" ht="149.25" hidden="false" customHeight="true" outlineLevel="0" collapsed="false">
      <c r="A74" s="184" t="s">
        <v>41</v>
      </c>
      <c r="B74" s="185" t="s">
        <v>5074</v>
      </c>
      <c r="C74" s="184" t="s">
        <v>36</v>
      </c>
      <c r="D74" s="184" t="s">
        <v>5356</v>
      </c>
      <c r="E74" s="184" t="s">
        <v>42</v>
      </c>
      <c r="F74" s="184" t="n">
        <v>14</v>
      </c>
      <c r="G74" s="178" t="s">
        <v>5269</v>
      </c>
      <c r="H74" s="184" t="s">
        <v>5270</v>
      </c>
      <c r="I74" s="186" t="s">
        <v>5271</v>
      </c>
      <c r="J74" s="184"/>
      <c r="K74" s="184"/>
      <c r="L74" s="184"/>
      <c r="M74" s="184"/>
      <c r="N74" s="184" t="s">
        <v>5272</v>
      </c>
      <c r="O74" s="184" t="s">
        <v>5272</v>
      </c>
      <c r="P74" s="184"/>
      <c r="Q74" s="184"/>
      <c r="R74" s="184" t="s">
        <v>5387</v>
      </c>
      <c r="S74" s="184"/>
      <c r="T74" s="184"/>
      <c r="U74" s="184"/>
      <c r="V74" s="184"/>
      <c r="W74" s="184"/>
      <c r="X74" s="184"/>
    </row>
    <row r="75" customFormat="false" ht="68.25" hidden="false" customHeight="true" outlineLevel="0" collapsed="false">
      <c r="A75" s="184" t="s">
        <v>41</v>
      </c>
      <c r="B75" s="185" t="s">
        <v>5074</v>
      </c>
      <c r="C75" s="184" t="s">
        <v>36</v>
      </c>
      <c r="D75" s="184" t="s">
        <v>5356</v>
      </c>
      <c r="E75" s="184" t="s">
        <v>42</v>
      </c>
      <c r="F75" s="184" t="n">
        <v>15</v>
      </c>
      <c r="G75" s="178" t="s">
        <v>5269</v>
      </c>
      <c r="H75" s="184" t="s">
        <v>5270</v>
      </c>
      <c r="I75" s="184" t="s">
        <v>5274</v>
      </c>
      <c r="J75" s="184"/>
      <c r="K75" s="184"/>
      <c r="L75" s="184"/>
      <c r="M75" s="184"/>
      <c r="N75" s="184" t="s">
        <v>5272</v>
      </c>
      <c r="O75" s="184" t="s">
        <v>5272</v>
      </c>
      <c r="P75" s="184"/>
      <c r="Q75" s="184"/>
      <c r="R75" s="184" t="s">
        <v>5275</v>
      </c>
      <c r="S75" s="184"/>
      <c r="T75" s="184"/>
      <c r="U75" s="184"/>
      <c r="V75" s="184"/>
      <c r="W75" s="184"/>
      <c r="X75" s="184"/>
    </row>
    <row r="76" customFormat="false" ht="27.75" hidden="false" customHeight="true" outlineLevel="0" collapsed="false">
      <c r="A76" s="184" t="s">
        <v>41</v>
      </c>
      <c r="B76" s="185" t="s">
        <v>5074</v>
      </c>
      <c r="C76" s="184" t="s">
        <v>36</v>
      </c>
      <c r="D76" s="184" t="s">
        <v>5356</v>
      </c>
      <c r="E76" s="184" t="s">
        <v>42</v>
      </c>
      <c r="F76" s="184" t="n">
        <v>16</v>
      </c>
      <c r="G76" s="177" t="s">
        <v>5276</v>
      </c>
      <c r="H76" s="184" t="s">
        <v>5270</v>
      </c>
      <c r="I76" s="184" t="s">
        <v>5277</v>
      </c>
      <c r="J76" s="184"/>
      <c r="K76" s="184"/>
      <c r="L76" s="184"/>
      <c r="M76" s="184"/>
      <c r="N76" s="184"/>
      <c r="O76" s="184"/>
      <c r="P76" s="184"/>
      <c r="Q76" s="184"/>
      <c r="R76" s="184"/>
      <c r="S76" s="184"/>
      <c r="T76" s="184"/>
      <c r="U76" s="184"/>
      <c r="V76" s="184"/>
      <c r="W76" s="184"/>
      <c r="X76" s="184"/>
    </row>
    <row r="77" customFormat="false" ht="41.25" hidden="false" customHeight="true" outlineLevel="0" collapsed="false">
      <c r="A77" s="184" t="s">
        <v>43</v>
      </c>
      <c r="B77" s="185" t="s">
        <v>5077</v>
      </c>
      <c r="C77" s="184" t="s">
        <v>36</v>
      </c>
      <c r="D77" s="184" t="s">
        <v>5388</v>
      </c>
      <c r="E77" s="184" t="s">
        <v>44</v>
      </c>
      <c r="F77" s="184" t="n">
        <v>1</v>
      </c>
      <c r="G77" s="177" t="s">
        <v>5177</v>
      </c>
      <c r="H77" s="184" t="s">
        <v>5178</v>
      </c>
      <c r="I77" s="184" t="s">
        <v>5179</v>
      </c>
      <c r="J77" s="184"/>
      <c r="K77" s="184"/>
      <c r="L77" s="184"/>
      <c r="M77" s="184"/>
      <c r="N77" s="184" t="s">
        <v>5180</v>
      </c>
      <c r="O77" s="184" t="s">
        <v>5181</v>
      </c>
      <c r="P77" s="184"/>
      <c r="Q77" s="184"/>
      <c r="R77" s="184" t="s">
        <v>5182</v>
      </c>
      <c r="S77" s="184"/>
      <c r="T77" s="184"/>
      <c r="U77" s="184"/>
      <c r="V77" s="184"/>
      <c r="W77" s="184"/>
      <c r="X77" s="184"/>
    </row>
    <row r="78" customFormat="false" ht="27.75" hidden="false" customHeight="true" outlineLevel="0" collapsed="false">
      <c r="A78" s="184" t="s">
        <v>43</v>
      </c>
      <c r="B78" s="185" t="s">
        <v>5077</v>
      </c>
      <c r="C78" s="184" t="s">
        <v>36</v>
      </c>
      <c r="D78" s="184" t="s">
        <v>5388</v>
      </c>
      <c r="E78" s="184" t="s">
        <v>44</v>
      </c>
      <c r="F78" s="184" t="n">
        <v>2</v>
      </c>
      <c r="G78" s="177" t="s">
        <v>5183</v>
      </c>
      <c r="H78" s="184" t="s">
        <v>5178</v>
      </c>
      <c r="I78" s="184" t="s">
        <v>36</v>
      </c>
      <c r="J78" s="184"/>
      <c r="K78" s="184"/>
      <c r="L78" s="184"/>
      <c r="M78" s="184"/>
      <c r="N78" s="184"/>
      <c r="O78" s="184"/>
      <c r="P78" s="184"/>
      <c r="Q78" s="184"/>
      <c r="R78" s="184" t="s">
        <v>5184</v>
      </c>
      <c r="S78" s="184"/>
      <c r="T78" s="184"/>
      <c r="U78" s="184"/>
      <c r="V78" s="184"/>
      <c r="W78" s="184"/>
      <c r="X78" s="184"/>
    </row>
    <row r="79" customFormat="false" ht="27.75" hidden="false" customHeight="true" outlineLevel="0" collapsed="false">
      <c r="A79" s="184" t="s">
        <v>43</v>
      </c>
      <c r="B79" s="185" t="s">
        <v>5077</v>
      </c>
      <c r="C79" s="184" t="s">
        <v>36</v>
      </c>
      <c r="D79" s="184" t="s">
        <v>5388</v>
      </c>
      <c r="E79" s="184" t="s">
        <v>44</v>
      </c>
      <c r="F79" s="184" t="n">
        <v>3</v>
      </c>
      <c r="G79" s="174" t="s">
        <v>4844</v>
      </c>
      <c r="H79" s="184" t="s">
        <v>5185</v>
      </c>
      <c r="I79" s="184" t="s">
        <v>414</v>
      </c>
      <c r="J79" s="184" t="s">
        <v>227</v>
      </c>
      <c r="K79" s="184" t="n">
        <v>50000</v>
      </c>
      <c r="L79" s="184" t="n">
        <v>1000000</v>
      </c>
      <c r="M79" s="184" t="n">
        <v>1000</v>
      </c>
      <c r="N79" s="184" t="s">
        <v>5279</v>
      </c>
      <c r="O79" s="184" t="s">
        <v>5280</v>
      </c>
      <c r="P79" s="184" t="s">
        <v>5281</v>
      </c>
      <c r="Q79" s="184"/>
      <c r="R79" s="184"/>
      <c r="S79" s="184"/>
      <c r="T79" s="184" t="s">
        <v>5389</v>
      </c>
      <c r="U79" s="184" t="s">
        <v>5236</v>
      </c>
      <c r="V79" s="184" t="n">
        <v>300000</v>
      </c>
      <c r="W79" s="184" t="s">
        <v>5283</v>
      </c>
      <c r="X79" s="184" t="s">
        <v>5284</v>
      </c>
    </row>
    <row r="80" customFormat="false" ht="41.25" hidden="false" customHeight="true" outlineLevel="0" collapsed="false">
      <c r="A80" s="184" t="s">
        <v>43</v>
      </c>
      <c r="B80" s="185" t="s">
        <v>5077</v>
      </c>
      <c r="C80" s="184" t="s">
        <v>36</v>
      </c>
      <c r="D80" s="184" t="s">
        <v>5388</v>
      </c>
      <c r="E80" s="184" t="s">
        <v>44</v>
      </c>
      <c r="F80" s="184" t="n">
        <v>4</v>
      </c>
      <c r="G80" s="174" t="s">
        <v>4844</v>
      </c>
      <c r="H80" s="184" t="s">
        <v>5185</v>
      </c>
      <c r="I80" s="184" t="s">
        <v>457</v>
      </c>
      <c r="J80" s="184" t="s">
        <v>238</v>
      </c>
      <c r="K80" s="184" t="n">
        <v>1</v>
      </c>
      <c r="L80" s="184" t="n">
        <v>8</v>
      </c>
      <c r="M80" s="184" t="n">
        <v>0.05</v>
      </c>
      <c r="N80" s="184" t="s">
        <v>5211</v>
      </c>
      <c r="O80" s="184" t="s">
        <v>5285</v>
      </c>
      <c r="P80" s="184" t="s">
        <v>5286</v>
      </c>
      <c r="Q80" s="184" t="s">
        <v>5214</v>
      </c>
      <c r="R80" s="184" t="s">
        <v>4371</v>
      </c>
      <c r="S80" s="184" t="s">
        <v>5215</v>
      </c>
      <c r="T80" s="184" t="s">
        <v>5390</v>
      </c>
      <c r="U80" s="184" t="s">
        <v>5288</v>
      </c>
      <c r="V80" s="184" t="s">
        <v>5218</v>
      </c>
      <c r="W80" s="184" t="s">
        <v>5219</v>
      </c>
      <c r="X80" s="184" t="s">
        <v>5220</v>
      </c>
    </row>
    <row r="81" customFormat="false" ht="27.75" hidden="false" customHeight="true" outlineLevel="0" collapsed="false">
      <c r="A81" s="184" t="s">
        <v>43</v>
      </c>
      <c r="B81" s="185" t="s">
        <v>5077</v>
      </c>
      <c r="C81" s="184" t="s">
        <v>36</v>
      </c>
      <c r="D81" s="184" t="s">
        <v>5388</v>
      </c>
      <c r="E81" s="184" t="s">
        <v>44</v>
      </c>
      <c r="F81" s="184" t="n">
        <v>5</v>
      </c>
      <c r="G81" s="174" t="s">
        <v>4844</v>
      </c>
      <c r="H81" s="184" t="s">
        <v>5185</v>
      </c>
      <c r="I81" s="184" t="s">
        <v>416</v>
      </c>
      <c r="J81" s="184" t="s">
        <v>5221</v>
      </c>
      <c r="K81" s="184" t="n">
        <v>5</v>
      </c>
      <c r="L81" s="184" t="n">
        <v>35</v>
      </c>
      <c r="M81" s="184" t="n">
        <v>1</v>
      </c>
      <c r="N81" s="184" t="s">
        <v>5362</v>
      </c>
      <c r="O81" s="184" t="s">
        <v>5289</v>
      </c>
      <c r="P81" s="184" t="s">
        <v>5290</v>
      </c>
      <c r="Q81" s="184"/>
      <c r="R81" s="184"/>
      <c r="S81" s="184"/>
      <c r="T81" s="184" t="s">
        <v>5391</v>
      </c>
      <c r="U81" s="184" t="s">
        <v>5292</v>
      </c>
      <c r="V81" s="184" t="n">
        <v>25</v>
      </c>
      <c r="W81" s="184" t="s">
        <v>5293</v>
      </c>
      <c r="X81" s="184" t="s">
        <v>5392</v>
      </c>
    </row>
    <row r="82" customFormat="false" ht="27.75" hidden="false" customHeight="true" outlineLevel="0" collapsed="false">
      <c r="A82" s="184" t="s">
        <v>43</v>
      </c>
      <c r="B82" s="185" t="s">
        <v>5077</v>
      </c>
      <c r="C82" s="184" t="s">
        <v>36</v>
      </c>
      <c r="D82" s="184" t="s">
        <v>5388</v>
      </c>
      <c r="E82" s="184" t="s">
        <v>44</v>
      </c>
      <c r="F82" s="184" t="n">
        <v>6</v>
      </c>
      <c r="G82" s="174" t="s">
        <v>4844</v>
      </c>
      <c r="H82" s="184" t="s">
        <v>5185</v>
      </c>
      <c r="I82" s="184" t="s">
        <v>458</v>
      </c>
      <c r="J82" s="184" t="s">
        <v>238</v>
      </c>
      <c r="K82" s="184" t="n">
        <v>-2</v>
      </c>
      <c r="L82" s="184" t="n">
        <v>3</v>
      </c>
      <c r="M82" s="184" t="n">
        <v>0.25</v>
      </c>
      <c r="N82" s="184" t="s">
        <v>5393</v>
      </c>
      <c r="O82" s="184" t="s">
        <v>5393</v>
      </c>
      <c r="P82" s="184" t="s">
        <v>5201</v>
      </c>
      <c r="Q82" s="184"/>
      <c r="R82" s="184"/>
      <c r="S82" s="184"/>
      <c r="T82" s="184" t="s">
        <v>5394</v>
      </c>
      <c r="U82" s="184" t="s">
        <v>5368</v>
      </c>
      <c r="V82" s="184" t="s">
        <v>5393</v>
      </c>
      <c r="W82" s="184" t="s">
        <v>5299</v>
      </c>
      <c r="X82" s="184" t="s">
        <v>5395</v>
      </c>
    </row>
    <row r="83" customFormat="false" ht="27.75" hidden="false" customHeight="true" outlineLevel="0" collapsed="false">
      <c r="A83" s="184" t="s">
        <v>43</v>
      </c>
      <c r="B83" s="185" t="s">
        <v>5077</v>
      </c>
      <c r="C83" s="184" t="s">
        <v>36</v>
      </c>
      <c r="D83" s="184" t="s">
        <v>5388</v>
      </c>
      <c r="E83" s="184" t="s">
        <v>44</v>
      </c>
      <c r="F83" s="184" t="n">
        <v>7</v>
      </c>
      <c r="G83" s="175" t="s">
        <v>4850</v>
      </c>
      <c r="H83" s="184" t="s">
        <v>248</v>
      </c>
      <c r="I83" s="184" t="s">
        <v>5239</v>
      </c>
      <c r="J83" s="184"/>
      <c r="K83" s="184"/>
      <c r="L83" s="184"/>
      <c r="M83" s="184"/>
      <c r="N83" s="184" t="s">
        <v>5239</v>
      </c>
      <c r="O83" s="184" t="s">
        <v>5240</v>
      </c>
      <c r="P83" s="184"/>
      <c r="Q83" s="184"/>
      <c r="R83" s="184" t="s">
        <v>5241</v>
      </c>
      <c r="S83" s="184"/>
      <c r="T83" s="184"/>
      <c r="U83" s="184"/>
      <c r="V83" s="184"/>
      <c r="W83" s="184"/>
      <c r="X83" s="184"/>
    </row>
    <row r="84" customFormat="false" ht="27.75" hidden="false" customHeight="true" outlineLevel="0" collapsed="false">
      <c r="A84" s="184" t="s">
        <v>43</v>
      </c>
      <c r="B84" s="185" t="s">
        <v>5077</v>
      </c>
      <c r="C84" s="184" t="s">
        <v>36</v>
      </c>
      <c r="D84" s="184" t="s">
        <v>5388</v>
      </c>
      <c r="E84" s="184" t="s">
        <v>44</v>
      </c>
      <c r="F84" s="184" t="n">
        <v>8</v>
      </c>
      <c r="G84" s="176" t="s">
        <v>248</v>
      </c>
      <c r="H84" s="184" t="s">
        <v>248</v>
      </c>
      <c r="I84" s="184" t="s">
        <v>461</v>
      </c>
      <c r="J84" s="184"/>
      <c r="K84" s="184"/>
      <c r="L84" s="184"/>
      <c r="M84" s="184"/>
      <c r="N84" s="184" t="s">
        <v>5396</v>
      </c>
      <c r="O84" s="184" t="s">
        <v>5397</v>
      </c>
      <c r="P84" s="184"/>
      <c r="Q84" s="184"/>
      <c r="R84" s="184"/>
      <c r="S84" s="184"/>
      <c r="T84" s="184" t="s">
        <v>5398</v>
      </c>
      <c r="U84" s="184" t="s">
        <v>94</v>
      </c>
      <c r="V84" s="184"/>
      <c r="W84" s="184"/>
      <c r="X84" s="184"/>
    </row>
    <row r="85" customFormat="false" ht="27.75" hidden="false" customHeight="true" outlineLevel="0" collapsed="false">
      <c r="A85" s="184" t="s">
        <v>43</v>
      </c>
      <c r="B85" s="185" t="s">
        <v>5077</v>
      </c>
      <c r="C85" s="184" t="s">
        <v>36</v>
      </c>
      <c r="D85" s="184" t="s">
        <v>5388</v>
      </c>
      <c r="E85" s="184" t="s">
        <v>44</v>
      </c>
      <c r="F85" s="184" t="n">
        <v>9</v>
      </c>
      <c r="G85" s="177" t="s">
        <v>5245</v>
      </c>
      <c r="H85" s="184" t="s">
        <v>248</v>
      </c>
      <c r="I85" s="184" t="s">
        <v>5179</v>
      </c>
      <c r="J85" s="184"/>
      <c r="K85" s="184"/>
      <c r="L85" s="184"/>
      <c r="M85" s="184"/>
      <c r="N85" s="184" t="s">
        <v>5246</v>
      </c>
      <c r="O85" s="184" t="s">
        <v>5247</v>
      </c>
      <c r="P85" s="184"/>
      <c r="Q85" s="184"/>
      <c r="R85" s="184" t="s">
        <v>5248</v>
      </c>
      <c r="S85" s="184"/>
      <c r="T85" s="184"/>
      <c r="U85" s="184"/>
      <c r="V85" s="184"/>
      <c r="W85" s="184"/>
      <c r="X85" s="184"/>
    </row>
    <row r="86" customFormat="false" ht="81.75" hidden="false" customHeight="true" outlineLevel="0" collapsed="false">
      <c r="A86" s="184" t="s">
        <v>43</v>
      </c>
      <c r="B86" s="185" t="s">
        <v>5077</v>
      </c>
      <c r="C86" s="184" t="s">
        <v>36</v>
      </c>
      <c r="D86" s="184" t="s">
        <v>5388</v>
      </c>
      <c r="E86" s="184" t="s">
        <v>44</v>
      </c>
      <c r="F86" s="184" t="n">
        <v>10</v>
      </c>
      <c r="G86" s="176" t="s">
        <v>5249</v>
      </c>
      <c r="H86" s="184" t="s">
        <v>248</v>
      </c>
      <c r="I86" s="184" t="s">
        <v>5250</v>
      </c>
      <c r="J86" s="184"/>
      <c r="K86" s="184"/>
      <c r="L86" s="184"/>
      <c r="M86" s="184"/>
      <c r="N86" s="184" t="s">
        <v>5399</v>
      </c>
      <c r="O86" s="184" t="s">
        <v>5400</v>
      </c>
      <c r="P86" s="184"/>
      <c r="Q86" s="184"/>
      <c r="R86" s="184"/>
      <c r="S86" s="184"/>
      <c r="T86" s="184"/>
      <c r="U86" s="184"/>
      <c r="V86" s="184"/>
      <c r="W86" s="184"/>
      <c r="X86" s="184"/>
    </row>
    <row r="87" customFormat="false" ht="27.75" hidden="false" customHeight="true" outlineLevel="0" collapsed="false">
      <c r="A87" s="184" t="s">
        <v>43</v>
      </c>
      <c r="B87" s="185" t="s">
        <v>5077</v>
      </c>
      <c r="C87" s="184" t="s">
        <v>36</v>
      </c>
      <c r="D87" s="184" t="s">
        <v>5388</v>
      </c>
      <c r="E87" s="184" t="s">
        <v>44</v>
      </c>
      <c r="F87" s="184" t="n">
        <v>11</v>
      </c>
      <c r="G87" s="176" t="s">
        <v>5253</v>
      </c>
      <c r="H87" s="184" t="s">
        <v>248</v>
      </c>
      <c r="I87" s="184" t="s">
        <v>5401</v>
      </c>
      <c r="J87" s="184"/>
      <c r="K87" s="184"/>
      <c r="L87" s="184"/>
      <c r="M87" s="184"/>
      <c r="N87" s="184" t="s">
        <v>5402</v>
      </c>
      <c r="O87" s="184" t="s">
        <v>5303</v>
      </c>
      <c r="P87" s="184"/>
      <c r="Q87" s="184"/>
      <c r="R87" s="184"/>
      <c r="S87" s="184"/>
      <c r="T87" s="184"/>
      <c r="U87" s="184"/>
      <c r="V87" s="184"/>
      <c r="W87" s="184"/>
      <c r="X87" s="184"/>
    </row>
    <row r="88" customFormat="false" ht="27.75" hidden="false" customHeight="true" outlineLevel="0" collapsed="false">
      <c r="A88" s="184" t="s">
        <v>43</v>
      </c>
      <c r="B88" s="185" t="s">
        <v>5077</v>
      </c>
      <c r="C88" s="184" t="s">
        <v>36</v>
      </c>
      <c r="D88" s="184" t="s">
        <v>5388</v>
      </c>
      <c r="E88" s="184" t="s">
        <v>44</v>
      </c>
      <c r="F88" s="184" t="n">
        <v>12</v>
      </c>
      <c r="G88" s="176" t="s">
        <v>5253</v>
      </c>
      <c r="H88" s="184" t="s">
        <v>248</v>
      </c>
      <c r="I88" s="184" t="s">
        <v>5403</v>
      </c>
      <c r="J88" s="184"/>
      <c r="K88" s="184"/>
      <c r="L88" s="184"/>
      <c r="M88" s="184"/>
      <c r="N88" s="184" t="s">
        <v>5404</v>
      </c>
      <c r="O88" s="184" t="s">
        <v>5405</v>
      </c>
      <c r="P88" s="184"/>
      <c r="Q88" s="184"/>
      <c r="R88" s="184"/>
      <c r="S88" s="184"/>
      <c r="T88" s="184" t="s">
        <v>5406</v>
      </c>
      <c r="U88" s="184" t="s">
        <v>5308</v>
      </c>
      <c r="V88" s="184"/>
      <c r="W88" s="184"/>
      <c r="X88" s="184"/>
    </row>
    <row r="89" customFormat="false" ht="27.75" hidden="false" customHeight="true" outlineLevel="0" collapsed="false">
      <c r="A89" s="184" t="s">
        <v>43</v>
      </c>
      <c r="B89" s="185" t="s">
        <v>5077</v>
      </c>
      <c r="C89" s="184" t="s">
        <v>36</v>
      </c>
      <c r="D89" s="184" t="s">
        <v>5388</v>
      </c>
      <c r="E89" s="184" t="s">
        <v>44</v>
      </c>
      <c r="F89" s="184" t="n">
        <v>13</v>
      </c>
      <c r="G89" s="176" t="s">
        <v>5253</v>
      </c>
      <c r="H89" s="184" t="s">
        <v>248</v>
      </c>
      <c r="I89" s="184" t="s">
        <v>466</v>
      </c>
      <c r="J89" s="184"/>
      <c r="K89" s="184"/>
      <c r="L89" s="184"/>
      <c r="M89" s="184"/>
      <c r="N89" s="184" t="s">
        <v>5407</v>
      </c>
      <c r="O89" s="184" t="s">
        <v>5408</v>
      </c>
      <c r="P89" s="184"/>
      <c r="Q89" s="184"/>
      <c r="R89" s="184"/>
      <c r="S89" s="184"/>
      <c r="T89" s="184" t="s">
        <v>5409</v>
      </c>
      <c r="U89" s="184" t="s">
        <v>5312</v>
      </c>
      <c r="V89" s="184"/>
      <c r="W89" s="184"/>
      <c r="X89" s="184"/>
    </row>
    <row r="90" customFormat="false" ht="108.75" hidden="false" customHeight="true" outlineLevel="0" collapsed="false">
      <c r="A90" s="184" t="s">
        <v>43</v>
      </c>
      <c r="B90" s="185" t="s">
        <v>5077</v>
      </c>
      <c r="C90" s="184" t="s">
        <v>36</v>
      </c>
      <c r="D90" s="184" t="s">
        <v>5388</v>
      </c>
      <c r="E90" s="184" t="s">
        <v>44</v>
      </c>
      <c r="F90" s="184" t="n">
        <v>14</v>
      </c>
      <c r="G90" s="178" t="s">
        <v>5269</v>
      </c>
      <c r="H90" s="184" t="s">
        <v>5270</v>
      </c>
      <c r="I90" s="186" t="s">
        <v>5271</v>
      </c>
      <c r="J90" s="184"/>
      <c r="K90" s="184"/>
      <c r="L90" s="184"/>
      <c r="M90" s="184"/>
      <c r="N90" s="184" t="s">
        <v>5272</v>
      </c>
      <c r="O90" s="184" t="s">
        <v>5272</v>
      </c>
      <c r="P90" s="184"/>
      <c r="Q90" s="184"/>
      <c r="R90" s="184" t="s">
        <v>5410</v>
      </c>
      <c r="S90" s="184"/>
      <c r="T90" s="184"/>
      <c r="U90" s="184"/>
      <c r="V90" s="184"/>
      <c r="W90" s="184"/>
      <c r="X90" s="184"/>
    </row>
    <row r="91" customFormat="false" ht="68.25" hidden="false" customHeight="true" outlineLevel="0" collapsed="false">
      <c r="A91" s="184" t="s">
        <v>43</v>
      </c>
      <c r="B91" s="185" t="s">
        <v>5077</v>
      </c>
      <c r="C91" s="184" t="s">
        <v>36</v>
      </c>
      <c r="D91" s="184" t="s">
        <v>5388</v>
      </c>
      <c r="E91" s="184" t="s">
        <v>44</v>
      </c>
      <c r="F91" s="184" t="n">
        <v>15</v>
      </c>
      <c r="G91" s="178" t="s">
        <v>5269</v>
      </c>
      <c r="H91" s="184" t="s">
        <v>5270</v>
      </c>
      <c r="I91" s="184" t="s">
        <v>5274</v>
      </c>
      <c r="J91" s="184"/>
      <c r="K91" s="184"/>
      <c r="L91" s="184"/>
      <c r="M91" s="184"/>
      <c r="N91" s="184" t="s">
        <v>5272</v>
      </c>
      <c r="O91" s="184" t="s">
        <v>5272</v>
      </c>
      <c r="P91" s="184"/>
      <c r="Q91" s="184"/>
      <c r="R91" s="184" t="s">
        <v>5275</v>
      </c>
      <c r="S91" s="184"/>
      <c r="T91" s="184"/>
      <c r="U91" s="184"/>
      <c r="V91" s="184"/>
      <c r="W91" s="184"/>
      <c r="X91" s="184"/>
    </row>
    <row r="92" customFormat="false" ht="27.75" hidden="false" customHeight="true" outlineLevel="0" collapsed="false">
      <c r="A92" s="184" t="s">
        <v>43</v>
      </c>
      <c r="B92" s="185" t="s">
        <v>5077</v>
      </c>
      <c r="C92" s="184" t="s">
        <v>36</v>
      </c>
      <c r="D92" s="184" t="s">
        <v>5388</v>
      </c>
      <c r="E92" s="184" t="s">
        <v>44</v>
      </c>
      <c r="F92" s="184" t="n">
        <v>16</v>
      </c>
      <c r="G92" s="177" t="s">
        <v>5276</v>
      </c>
      <c r="H92" s="184" t="s">
        <v>5270</v>
      </c>
      <c r="I92" s="184" t="s">
        <v>5277</v>
      </c>
      <c r="J92" s="184"/>
      <c r="K92" s="184"/>
      <c r="L92" s="184"/>
      <c r="M92" s="184"/>
      <c r="N92" s="184"/>
      <c r="O92" s="184"/>
      <c r="P92" s="184"/>
      <c r="Q92" s="184"/>
      <c r="R92" s="184"/>
      <c r="S92" s="184"/>
      <c r="T92" s="184"/>
      <c r="U92" s="184"/>
      <c r="V92" s="184"/>
      <c r="W92" s="184"/>
      <c r="X92" s="184"/>
    </row>
    <row r="93" customFormat="false" ht="41.25" hidden="false" customHeight="true" outlineLevel="0" collapsed="false">
      <c r="A93" s="184" t="s">
        <v>45</v>
      </c>
      <c r="B93" s="185" t="s">
        <v>5080</v>
      </c>
      <c r="C93" s="184" t="s">
        <v>36</v>
      </c>
      <c r="D93" s="184" t="s">
        <v>5411</v>
      </c>
      <c r="E93" s="184" t="s">
        <v>46</v>
      </c>
      <c r="F93" s="184" t="n">
        <v>1</v>
      </c>
      <c r="G93" s="177" t="s">
        <v>5177</v>
      </c>
      <c r="H93" s="184" t="s">
        <v>5178</v>
      </c>
      <c r="I93" s="184" t="s">
        <v>5179</v>
      </c>
      <c r="J93" s="184"/>
      <c r="K93" s="184"/>
      <c r="L93" s="184"/>
      <c r="M93" s="184"/>
      <c r="N93" s="184" t="s">
        <v>5180</v>
      </c>
      <c r="O93" s="184" t="s">
        <v>5181</v>
      </c>
      <c r="P93" s="184"/>
      <c r="Q93" s="184"/>
      <c r="R93" s="184" t="s">
        <v>5182</v>
      </c>
      <c r="S93" s="184"/>
      <c r="T93" s="184"/>
      <c r="U93" s="184"/>
      <c r="V93" s="184"/>
      <c r="W93" s="184"/>
      <c r="X93" s="184"/>
    </row>
    <row r="94" customFormat="false" ht="27.75" hidden="false" customHeight="true" outlineLevel="0" collapsed="false">
      <c r="A94" s="184" t="s">
        <v>45</v>
      </c>
      <c r="B94" s="185" t="s">
        <v>5080</v>
      </c>
      <c r="C94" s="184" t="s">
        <v>36</v>
      </c>
      <c r="D94" s="184" t="s">
        <v>5411</v>
      </c>
      <c r="E94" s="184" t="s">
        <v>46</v>
      </c>
      <c r="F94" s="184" t="n">
        <v>2</v>
      </c>
      <c r="G94" s="177" t="s">
        <v>5183</v>
      </c>
      <c r="H94" s="184" t="s">
        <v>5178</v>
      </c>
      <c r="I94" s="184" t="s">
        <v>36</v>
      </c>
      <c r="J94" s="184"/>
      <c r="K94" s="184"/>
      <c r="L94" s="184"/>
      <c r="M94" s="184"/>
      <c r="N94" s="184"/>
      <c r="O94" s="184"/>
      <c r="P94" s="184"/>
      <c r="Q94" s="184"/>
      <c r="R94" s="184" t="s">
        <v>5184</v>
      </c>
      <c r="S94" s="184"/>
      <c r="T94" s="184"/>
      <c r="U94" s="184"/>
      <c r="V94" s="184"/>
      <c r="W94" s="184"/>
      <c r="X94" s="184"/>
    </row>
    <row r="95" customFormat="false" ht="27.75" hidden="false" customHeight="true" outlineLevel="0" collapsed="false">
      <c r="A95" s="184" t="s">
        <v>45</v>
      </c>
      <c r="B95" s="185" t="s">
        <v>5080</v>
      </c>
      <c r="C95" s="184" t="s">
        <v>36</v>
      </c>
      <c r="D95" s="184" t="s">
        <v>5411</v>
      </c>
      <c r="E95" s="184" t="s">
        <v>46</v>
      </c>
      <c r="F95" s="184" t="n">
        <v>3</v>
      </c>
      <c r="G95" s="174" t="s">
        <v>4844</v>
      </c>
      <c r="H95" s="184" t="s">
        <v>5185</v>
      </c>
      <c r="I95" s="184" t="s">
        <v>325</v>
      </c>
      <c r="J95" s="184" t="s">
        <v>227</v>
      </c>
      <c r="K95" s="184" t="n">
        <v>50000</v>
      </c>
      <c r="L95" s="184" t="n">
        <v>1000000</v>
      </c>
      <c r="M95" s="184" t="n">
        <v>1000</v>
      </c>
      <c r="N95" s="184" t="s">
        <v>5279</v>
      </c>
      <c r="O95" s="184" t="s">
        <v>5280</v>
      </c>
      <c r="P95" s="184" t="s">
        <v>5281</v>
      </c>
      <c r="Q95" s="184"/>
      <c r="R95" s="184"/>
      <c r="S95" s="184"/>
      <c r="T95" s="184" t="s">
        <v>5412</v>
      </c>
      <c r="U95" s="184" t="s">
        <v>5413</v>
      </c>
      <c r="V95" s="184" t="n">
        <v>300000</v>
      </c>
      <c r="W95" s="184" t="s">
        <v>5283</v>
      </c>
      <c r="X95" s="184" t="s">
        <v>5284</v>
      </c>
    </row>
    <row r="96" customFormat="false" ht="41.25" hidden="false" customHeight="true" outlineLevel="0" collapsed="false">
      <c r="A96" s="184" t="s">
        <v>45</v>
      </c>
      <c r="B96" s="185" t="s">
        <v>5080</v>
      </c>
      <c r="C96" s="184" t="s">
        <v>36</v>
      </c>
      <c r="D96" s="184" t="s">
        <v>5411</v>
      </c>
      <c r="E96" s="184" t="s">
        <v>46</v>
      </c>
      <c r="F96" s="184" t="n">
        <v>4</v>
      </c>
      <c r="G96" s="174" t="s">
        <v>4844</v>
      </c>
      <c r="H96" s="184" t="s">
        <v>5185</v>
      </c>
      <c r="I96" s="184" t="s">
        <v>315</v>
      </c>
      <c r="J96" s="184" t="s">
        <v>238</v>
      </c>
      <c r="K96" s="184" t="n">
        <v>1</v>
      </c>
      <c r="L96" s="184" t="n">
        <v>8</v>
      </c>
      <c r="M96" s="184" t="n">
        <v>0.05</v>
      </c>
      <c r="N96" s="184" t="s">
        <v>5211</v>
      </c>
      <c r="O96" s="184" t="s">
        <v>5285</v>
      </c>
      <c r="P96" s="184" t="s">
        <v>5286</v>
      </c>
      <c r="Q96" s="184" t="s">
        <v>5214</v>
      </c>
      <c r="R96" s="184" t="s">
        <v>4371</v>
      </c>
      <c r="S96" s="184" t="s">
        <v>5215</v>
      </c>
      <c r="T96" s="184" t="s">
        <v>5414</v>
      </c>
      <c r="U96" s="184" t="s">
        <v>5236</v>
      </c>
      <c r="V96" s="184" t="s">
        <v>5218</v>
      </c>
      <c r="W96" s="184" t="s">
        <v>5219</v>
      </c>
      <c r="X96" s="184" t="s">
        <v>5220</v>
      </c>
    </row>
    <row r="97" customFormat="false" ht="27.75" hidden="false" customHeight="true" outlineLevel="0" collapsed="false">
      <c r="A97" s="184" t="s">
        <v>45</v>
      </c>
      <c r="B97" s="185" t="s">
        <v>5080</v>
      </c>
      <c r="C97" s="184" t="s">
        <v>36</v>
      </c>
      <c r="D97" s="184" t="s">
        <v>5411</v>
      </c>
      <c r="E97" s="184" t="s">
        <v>46</v>
      </c>
      <c r="F97" s="184" t="n">
        <v>5</v>
      </c>
      <c r="G97" s="174" t="s">
        <v>4844</v>
      </c>
      <c r="H97" s="184" t="s">
        <v>5185</v>
      </c>
      <c r="I97" s="184" t="s">
        <v>484</v>
      </c>
      <c r="J97" s="184" t="s">
        <v>5221</v>
      </c>
      <c r="K97" s="184" t="n">
        <v>5</v>
      </c>
      <c r="L97" s="184" t="n">
        <v>35</v>
      </c>
      <c r="M97" s="184" t="n">
        <v>1</v>
      </c>
      <c r="N97" s="184" t="s">
        <v>5362</v>
      </c>
      <c r="O97" s="184" t="s">
        <v>5289</v>
      </c>
      <c r="P97" s="184" t="s">
        <v>5290</v>
      </c>
      <c r="Q97" s="184"/>
      <c r="R97" s="184"/>
      <c r="S97" s="184"/>
      <c r="T97" s="184" t="s">
        <v>5415</v>
      </c>
      <c r="U97" s="184" t="s">
        <v>5288</v>
      </c>
      <c r="V97" s="184" t="n">
        <v>25</v>
      </c>
      <c r="W97" s="184" t="s">
        <v>5293</v>
      </c>
      <c r="X97" s="184" t="s">
        <v>5392</v>
      </c>
    </row>
    <row r="98" customFormat="false" ht="27.75" hidden="false" customHeight="true" outlineLevel="0" collapsed="false">
      <c r="A98" s="184" t="s">
        <v>45</v>
      </c>
      <c r="B98" s="185" t="s">
        <v>5080</v>
      </c>
      <c r="C98" s="184" t="s">
        <v>36</v>
      </c>
      <c r="D98" s="184" t="s">
        <v>5411</v>
      </c>
      <c r="E98" s="184" t="s">
        <v>46</v>
      </c>
      <c r="F98" s="184" t="n">
        <v>6</v>
      </c>
      <c r="G98" s="174" t="s">
        <v>4844</v>
      </c>
      <c r="H98" s="184" t="s">
        <v>5185</v>
      </c>
      <c r="I98" s="184" t="s">
        <v>485</v>
      </c>
      <c r="J98" s="184" t="s">
        <v>5221</v>
      </c>
      <c r="K98" s="184" t="n">
        <v>5</v>
      </c>
      <c r="L98" s="184" t="n">
        <v>35</v>
      </c>
      <c r="M98" s="184" t="n">
        <v>1</v>
      </c>
      <c r="N98" s="184" t="s">
        <v>5416</v>
      </c>
      <c r="O98" s="184" t="s">
        <v>5416</v>
      </c>
      <c r="P98" s="184" t="s">
        <v>5201</v>
      </c>
      <c r="Q98" s="184"/>
      <c r="R98" s="184"/>
      <c r="S98" s="184"/>
      <c r="T98" s="184" t="s">
        <v>5417</v>
      </c>
      <c r="U98" s="184" t="s">
        <v>5292</v>
      </c>
      <c r="V98" s="184" t="n">
        <v>35</v>
      </c>
      <c r="W98" s="184" t="s">
        <v>5293</v>
      </c>
      <c r="X98" s="184" t="s">
        <v>5418</v>
      </c>
    </row>
    <row r="99" customFormat="false" ht="27.75" hidden="false" customHeight="true" outlineLevel="0" collapsed="false">
      <c r="A99" s="184" t="s">
        <v>45</v>
      </c>
      <c r="B99" s="185" t="s">
        <v>5080</v>
      </c>
      <c r="C99" s="184" t="s">
        <v>36</v>
      </c>
      <c r="D99" s="184" t="s">
        <v>5411</v>
      </c>
      <c r="E99" s="184" t="s">
        <v>46</v>
      </c>
      <c r="F99" s="184" t="n">
        <v>7</v>
      </c>
      <c r="G99" s="175" t="s">
        <v>4850</v>
      </c>
      <c r="H99" s="184" t="s">
        <v>248</v>
      </c>
      <c r="I99" s="184" t="s">
        <v>5239</v>
      </c>
      <c r="J99" s="184"/>
      <c r="K99" s="184"/>
      <c r="L99" s="184"/>
      <c r="M99" s="184"/>
      <c r="N99" s="184" t="s">
        <v>5239</v>
      </c>
      <c r="O99" s="184" t="s">
        <v>5240</v>
      </c>
      <c r="P99" s="184"/>
      <c r="Q99" s="184"/>
      <c r="R99" s="184" t="s">
        <v>5241</v>
      </c>
      <c r="S99" s="184"/>
      <c r="T99" s="184"/>
      <c r="U99" s="184"/>
      <c r="V99" s="184"/>
      <c r="W99" s="184"/>
      <c r="X99" s="184"/>
    </row>
    <row r="100" customFormat="false" ht="27.75" hidden="false" customHeight="true" outlineLevel="0" collapsed="false">
      <c r="A100" s="184" t="s">
        <v>45</v>
      </c>
      <c r="B100" s="185" t="s">
        <v>5080</v>
      </c>
      <c r="C100" s="184" t="s">
        <v>36</v>
      </c>
      <c r="D100" s="184" t="s">
        <v>5411</v>
      </c>
      <c r="E100" s="184" t="s">
        <v>46</v>
      </c>
      <c r="F100" s="184" t="n">
        <v>8</v>
      </c>
      <c r="G100" s="176" t="s">
        <v>248</v>
      </c>
      <c r="H100" s="184" t="s">
        <v>248</v>
      </c>
      <c r="I100" s="184" t="s">
        <v>488</v>
      </c>
      <c r="J100" s="184"/>
      <c r="K100" s="184"/>
      <c r="L100" s="184"/>
      <c r="M100" s="184"/>
      <c r="N100" s="184" t="s">
        <v>5419</v>
      </c>
      <c r="O100" s="184" t="s">
        <v>5420</v>
      </c>
      <c r="P100" s="184"/>
      <c r="Q100" s="184"/>
      <c r="R100" s="184"/>
      <c r="S100" s="184"/>
      <c r="T100" s="184" t="s">
        <v>5421</v>
      </c>
      <c r="U100" s="184" t="s">
        <v>88</v>
      </c>
      <c r="V100" s="184"/>
      <c r="W100" s="184"/>
      <c r="X100" s="184"/>
    </row>
    <row r="101" customFormat="false" ht="27.75" hidden="false" customHeight="true" outlineLevel="0" collapsed="false">
      <c r="A101" s="184" t="s">
        <v>45</v>
      </c>
      <c r="B101" s="185" t="s">
        <v>5080</v>
      </c>
      <c r="C101" s="184" t="s">
        <v>36</v>
      </c>
      <c r="D101" s="184" t="s">
        <v>5411</v>
      </c>
      <c r="E101" s="184" t="s">
        <v>46</v>
      </c>
      <c r="F101" s="184" t="n">
        <v>9</v>
      </c>
      <c r="G101" s="177" t="s">
        <v>5245</v>
      </c>
      <c r="H101" s="184" t="s">
        <v>248</v>
      </c>
      <c r="I101" s="184" t="s">
        <v>5179</v>
      </c>
      <c r="J101" s="184"/>
      <c r="K101" s="184"/>
      <c r="L101" s="184"/>
      <c r="M101" s="184"/>
      <c r="N101" s="184" t="s">
        <v>5246</v>
      </c>
      <c r="O101" s="184" t="s">
        <v>5247</v>
      </c>
      <c r="P101" s="184"/>
      <c r="Q101" s="184"/>
      <c r="R101" s="184" t="s">
        <v>5248</v>
      </c>
      <c r="S101" s="184"/>
      <c r="T101" s="184"/>
      <c r="U101" s="184"/>
      <c r="V101" s="184"/>
      <c r="W101" s="184"/>
      <c r="X101" s="184"/>
    </row>
    <row r="102" customFormat="false" ht="41.25" hidden="false" customHeight="true" outlineLevel="0" collapsed="false">
      <c r="A102" s="184" t="s">
        <v>45</v>
      </c>
      <c r="B102" s="185" t="s">
        <v>5080</v>
      </c>
      <c r="C102" s="184" t="s">
        <v>36</v>
      </c>
      <c r="D102" s="184" t="s">
        <v>5411</v>
      </c>
      <c r="E102" s="184" t="s">
        <v>46</v>
      </c>
      <c r="F102" s="184" t="n">
        <v>10</v>
      </c>
      <c r="G102" s="176" t="s">
        <v>5249</v>
      </c>
      <c r="H102" s="184" t="s">
        <v>248</v>
      </c>
      <c r="I102" s="184" t="s">
        <v>5250</v>
      </c>
      <c r="J102" s="184"/>
      <c r="K102" s="184"/>
      <c r="L102" s="184"/>
      <c r="M102" s="184"/>
      <c r="N102" s="184" t="s">
        <v>5422</v>
      </c>
      <c r="O102" s="184" t="s">
        <v>5423</v>
      </c>
      <c r="P102" s="184"/>
      <c r="Q102" s="184"/>
      <c r="R102" s="184"/>
      <c r="S102" s="184"/>
      <c r="T102" s="184"/>
      <c r="U102" s="184"/>
      <c r="V102" s="184"/>
      <c r="W102" s="184"/>
      <c r="X102" s="184"/>
    </row>
    <row r="103" customFormat="false" ht="27.75" hidden="false" customHeight="true" outlineLevel="0" collapsed="false">
      <c r="A103" s="184" t="s">
        <v>45</v>
      </c>
      <c r="B103" s="185" t="s">
        <v>5080</v>
      </c>
      <c r="C103" s="184" t="s">
        <v>36</v>
      </c>
      <c r="D103" s="184" t="s">
        <v>5411</v>
      </c>
      <c r="E103" s="184" t="s">
        <v>46</v>
      </c>
      <c r="F103" s="184" t="n">
        <v>11</v>
      </c>
      <c r="G103" s="176" t="s">
        <v>5253</v>
      </c>
      <c r="H103" s="184" t="s">
        <v>248</v>
      </c>
      <c r="I103" s="184" t="s">
        <v>5424</v>
      </c>
      <c r="J103" s="184"/>
      <c r="K103" s="184"/>
      <c r="L103" s="184"/>
      <c r="M103" s="184"/>
      <c r="N103" s="184" t="s">
        <v>5402</v>
      </c>
      <c r="O103" s="184" t="s">
        <v>5303</v>
      </c>
      <c r="P103" s="184"/>
      <c r="Q103" s="184"/>
      <c r="R103" s="184"/>
      <c r="S103" s="184"/>
      <c r="T103" s="184" t="s">
        <v>5425</v>
      </c>
      <c r="U103" s="184" t="s">
        <v>90</v>
      </c>
      <c r="V103" s="184"/>
      <c r="W103" s="184"/>
      <c r="X103" s="184"/>
    </row>
    <row r="104" customFormat="false" ht="27.75" hidden="false" customHeight="true" outlineLevel="0" collapsed="false">
      <c r="A104" s="184" t="s">
        <v>45</v>
      </c>
      <c r="B104" s="185" t="s">
        <v>5080</v>
      </c>
      <c r="C104" s="184" t="s">
        <v>36</v>
      </c>
      <c r="D104" s="184" t="s">
        <v>5411</v>
      </c>
      <c r="E104" s="184" t="s">
        <v>46</v>
      </c>
      <c r="F104" s="184" t="n">
        <v>12</v>
      </c>
      <c r="G104" s="176" t="s">
        <v>5253</v>
      </c>
      <c r="H104" s="184" t="s">
        <v>248</v>
      </c>
      <c r="I104" s="184" t="s">
        <v>5426</v>
      </c>
      <c r="J104" s="184"/>
      <c r="K104" s="184"/>
      <c r="L104" s="184"/>
      <c r="M104" s="184"/>
      <c r="N104" s="184" t="s">
        <v>5427</v>
      </c>
      <c r="O104" s="184" t="s">
        <v>5428</v>
      </c>
      <c r="P104" s="184"/>
      <c r="Q104" s="184"/>
      <c r="R104" s="184"/>
      <c r="S104" s="184"/>
      <c r="T104" s="184" t="s">
        <v>5429</v>
      </c>
      <c r="U104" s="184" t="s">
        <v>92</v>
      </c>
      <c r="V104" s="184"/>
      <c r="W104" s="184"/>
      <c r="X104" s="184"/>
    </row>
    <row r="105" customFormat="false" ht="27.75" hidden="false" customHeight="true" outlineLevel="0" collapsed="false">
      <c r="A105" s="184" t="s">
        <v>45</v>
      </c>
      <c r="B105" s="185" t="s">
        <v>5080</v>
      </c>
      <c r="C105" s="184" t="s">
        <v>36</v>
      </c>
      <c r="D105" s="184" t="s">
        <v>5411</v>
      </c>
      <c r="E105" s="184" t="s">
        <v>46</v>
      </c>
      <c r="F105" s="184" t="n">
        <v>13</v>
      </c>
      <c r="G105" s="176" t="s">
        <v>5253</v>
      </c>
      <c r="H105" s="184" t="s">
        <v>248</v>
      </c>
      <c r="I105" s="184" t="s">
        <v>5430</v>
      </c>
      <c r="J105" s="184"/>
      <c r="K105" s="184"/>
      <c r="L105" s="184"/>
      <c r="M105" s="184"/>
      <c r="N105" s="184" t="s">
        <v>5431</v>
      </c>
      <c r="O105" s="184" t="s">
        <v>5432</v>
      </c>
      <c r="P105" s="184"/>
      <c r="Q105" s="184"/>
      <c r="R105" s="184"/>
      <c r="S105" s="184"/>
      <c r="T105" s="184" t="s">
        <v>5433</v>
      </c>
      <c r="U105" s="184" t="s">
        <v>94</v>
      </c>
      <c r="V105" s="184"/>
      <c r="W105" s="184"/>
      <c r="X105" s="184"/>
    </row>
    <row r="106" customFormat="false" ht="27.75" hidden="false" customHeight="true" outlineLevel="0" collapsed="false">
      <c r="A106" s="184" t="s">
        <v>45</v>
      </c>
      <c r="B106" s="185" t="s">
        <v>5080</v>
      </c>
      <c r="C106" s="184" t="s">
        <v>36</v>
      </c>
      <c r="D106" s="184" t="s">
        <v>5411</v>
      </c>
      <c r="E106" s="184" t="s">
        <v>46</v>
      </c>
      <c r="F106" s="184" t="n">
        <v>14</v>
      </c>
      <c r="G106" s="176" t="s">
        <v>5253</v>
      </c>
      <c r="H106" s="184" t="s">
        <v>248</v>
      </c>
      <c r="I106" s="184" t="s">
        <v>5434</v>
      </c>
      <c r="J106" s="184"/>
      <c r="K106" s="184"/>
      <c r="L106" s="184"/>
      <c r="M106" s="184"/>
      <c r="N106" s="184" t="s">
        <v>5435</v>
      </c>
      <c r="O106" s="184" t="s">
        <v>5436</v>
      </c>
      <c r="P106" s="184"/>
      <c r="Q106" s="184"/>
      <c r="R106" s="184"/>
      <c r="S106" s="184"/>
      <c r="T106" s="184" t="s">
        <v>5437</v>
      </c>
      <c r="U106" s="184" t="s">
        <v>5386</v>
      </c>
      <c r="V106" s="184"/>
      <c r="W106" s="184"/>
      <c r="X106" s="184"/>
    </row>
    <row r="107" customFormat="false" ht="108.75" hidden="false" customHeight="true" outlineLevel="0" collapsed="false">
      <c r="A107" s="184" t="s">
        <v>45</v>
      </c>
      <c r="B107" s="185" t="s">
        <v>5080</v>
      </c>
      <c r="C107" s="184" t="s">
        <v>36</v>
      </c>
      <c r="D107" s="184" t="s">
        <v>5411</v>
      </c>
      <c r="E107" s="184" t="s">
        <v>46</v>
      </c>
      <c r="F107" s="184" t="n">
        <v>15</v>
      </c>
      <c r="G107" s="178" t="s">
        <v>5269</v>
      </c>
      <c r="H107" s="184" t="s">
        <v>5270</v>
      </c>
      <c r="I107" s="186" t="s">
        <v>5271</v>
      </c>
      <c r="J107" s="184"/>
      <c r="K107" s="184"/>
      <c r="L107" s="184"/>
      <c r="M107" s="184"/>
      <c r="N107" s="184" t="s">
        <v>5272</v>
      </c>
      <c r="O107" s="184" t="s">
        <v>5272</v>
      </c>
      <c r="P107" s="184"/>
      <c r="Q107" s="184"/>
      <c r="R107" s="184" t="s">
        <v>5410</v>
      </c>
      <c r="S107" s="184"/>
      <c r="T107" s="184"/>
      <c r="U107" s="184"/>
      <c r="V107" s="184"/>
      <c r="W107" s="184"/>
      <c r="X107" s="184"/>
    </row>
    <row r="108" customFormat="false" ht="68.25" hidden="false" customHeight="true" outlineLevel="0" collapsed="false">
      <c r="A108" s="184" t="s">
        <v>45</v>
      </c>
      <c r="B108" s="185" t="s">
        <v>5080</v>
      </c>
      <c r="C108" s="184" t="s">
        <v>36</v>
      </c>
      <c r="D108" s="184" t="s">
        <v>5411</v>
      </c>
      <c r="E108" s="184" t="s">
        <v>46</v>
      </c>
      <c r="F108" s="184" t="n">
        <v>16</v>
      </c>
      <c r="G108" s="178" t="s">
        <v>5269</v>
      </c>
      <c r="H108" s="184" t="s">
        <v>5270</v>
      </c>
      <c r="I108" s="184" t="s">
        <v>5274</v>
      </c>
      <c r="J108" s="184"/>
      <c r="K108" s="184"/>
      <c r="L108" s="184"/>
      <c r="M108" s="184"/>
      <c r="N108" s="184" t="s">
        <v>5272</v>
      </c>
      <c r="O108" s="184" t="s">
        <v>5272</v>
      </c>
      <c r="P108" s="184"/>
      <c r="Q108" s="184"/>
      <c r="R108" s="184" t="s">
        <v>5275</v>
      </c>
      <c r="S108" s="184"/>
      <c r="T108" s="184"/>
      <c r="U108" s="184"/>
      <c r="V108" s="184"/>
      <c r="W108" s="184"/>
      <c r="X108" s="184"/>
    </row>
    <row r="109" customFormat="false" ht="27.75" hidden="false" customHeight="true" outlineLevel="0" collapsed="false">
      <c r="A109" s="184" t="s">
        <v>45</v>
      </c>
      <c r="B109" s="185" t="s">
        <v>5080</v>
      </c>
      <c r="C109" s="184" t="s">
        <v>36</v>
      </c>
      <c r="D109" s="184" t="s">
        <v>5411</v>
      </c>
      <c r="E109" s="184" t="s">
        <v>46</v>
      </c>
      <c r="F109" s="184" t="n">
        <v>17</v>
      </c>
      <c r="G109" s="177" t="s">
        <v>5276</v>
      </c>
      <c r="H109" s="184" t="s">
        <v>5270</v>
      </c>
      <c r="I109" s="184" t="s">
        <v>5277</v>
      </c>
      <c r="J109" s="184"/>
      <c r="K109" s="184"/>
      <c r="L109" s="184"/>
      <c r="M109" s="184"/>
      <c r="N109" s="184"/>
      <c r="O109" s="184"/>
      <c r="P109" s="184"/>
      <c r="Q109" s="184"/>
      <c r="R109" s="184"/>
      <c r="S109" s="184"/>
      <c r="T109" s="184"/>
      <c r="U109" s="184"/>
      <c r="V109" s="184"/>
      <c r="W109" s="184"/>
      <c r="X109" s="184"/>
    </row>
    <row r="110" customFormat="false" ht="41.25" hidden="false" customHeight="true" outlineLevel="0" collapsed="false">
      <c r="A110" s="184" t="s">
        <v>47</v>
      </c>
      <c r="B110" s="185" t="s">
        <v>5082</v>
      </c>
      <c r="C110" s="184" t="s">
        <v>36</v>
      </c>
      <c r="D110" s="184" t="s">
        <v>5438</v>
      </c>
      <c r="E110" s="184" t="s">
        <v>48</v>
      </c>
      <c r="F110" s="184" t="n">
        <v>1</v>
      </c>
      <c r="G110" s="177" t="s">
        <v>5177</v>
      </c>
      <c r="H110" s="184" t="s">
        <v>5178</v>
      </c>
      <c r="I110" s="184" t="s">
        <v>5179</v>
      </c>
      <c r="J110" s="184"/>
      <c r="K110" s="184"/>
      <c r="L110" s="184"/>
      <c r="M110" s="184"/>
      <c r="N110" s="184" t="s">
        <v>5180</v>
      </c>
      <c r="O110" s="184" t="s">
        <v>5181</v>
      </c>
      <c r="P110" s="184"/>
      <c r="Q110" s="184"/>
      <c r="R110" s="184" t="s">
        <v>5182</v>
      </c>
      <c r="S110" s="184"/>
      <c r="T110" s="184"/>
      <c r="U110" s="184"/>
      <c r="V110" s="184"/>
      <c r="W110" s="184"/>
      <c r="X110" s="184"/>
    </row>
    <row r="111" customFormat="false" ht="27.75" hidden="false" customHeight="true" outlineLevel="0" collapsed="false">
      <c r="A111" s="184" t="s">
        <v>47</v>
      </c>
      <c r="B111" s="185" t="s">
        <v>5082</v>
      </c>
      <c r="C111" s="184" t="s">
        <v>36</v>
      </c>
      <c r="D111" s="184" t="s">
        <v>5438</v>
      </c>
      <c r="E111" s="184" t="s">
        <v>48</v>
      </c>
      <c r="F111" s="184" t="n">
        <v>2</v>
      </c>
      <c r="G111" s="177" t="s">
        <v>5183</v>
      </c>
      <c r="H111" s="184" t="s">
        <v>5178</v>
      </c>
      <c r="I111" s="184" t="s">
        <v>36</v>
      </c>
      <c r="J111" s="184"/>
      <c r="K111" s="184"/>
      <c r="L111" s="184"/>
      <c r="M111" s="184"/>
      <c r="N111" s="184"/>
      <c r="O111" s="184"/>
      <c r="P111" s="184"/>
      <c r="Q111" s="184"/>
      <c r="R111" s="184" t="s">
        <v>5184</v>
      </c>
      <c r="S111" s="184"/>
      <c r="T111" s="184"/>
      <c r="U111" s="184"/>
      <c r="V111" s="184"/>
      <c r="W111" s="184"/>
      <c r="X111" s="184"/>
    </row>
    <row r="112" customFormat="false" ht="27.75" hidden="false" customHeight="true" outlineLevel="0" collapsed="false">
      <c r="A112" s="184" t="s">
        <v>47</v>
      </c>
      <c r="B112" s="185" t="s">
        <v>5082</v>
      </c>
      <c r="C112" s="184" t="s">
        <v>36</v>
      </c>
      <c r="D112" s="184" t="s">
        <v>5438</v>
      </c>
      <c r="E112" s="184" t="s">
        <v>48</v>
      </c>
      <c r="F112" s="184" t="n">
        <v>3</v>
      </c>
      <c r="G112" s="174" t="s">
        <v>4844</v>
      </c>
      <c r="H112" s="184" t="s">
        <v>5185</v>
      </c>
      <c r="I112" s="184" t="s">
        <v>508</v>
      </c>
      <c r="J112" s="184" t="s">
        <v>227</v>
      </c>
      <c r="K112" s="184" t="n">
        <v>500</v>
      </c>
      <c r="L112" s="184" t="n">
        <v>5000</v>
      </c>
      <c r="M112" s="184" t="n">
        <v>50</v>
      </c>
      <c r="N112" s="184" t="s">
        <v>5439</v>
      </c>
      <c r="O112" s="184" t="s">
        <v>5439</v>
      </c>
      <c r="P112" s="184" t="s">
        <v>5201</v>
      </c>
      <c r="Q112" s="184"/>
      <c r="R112" s="184"/>
      <c r="S112" s="184"/>
      <c r="T112" s="184" t="s">
        <v>5440</v>
      </c>
      <c r="U112" s="184" t="s">
        <v>5190</v>
      </c>
      <c r="V112" s="184" t="n">
        <v>1800</v>
      </c>
      <c r="W112" s="184" t="s">
        <v>5441</v>
      </c>
      <c r="X112" s="184" t="s">
        <v>5442</v>
      </c>
    </row>
    <row r="113" customFormat="false" ht="27.75" hidden="false" customHeight="true" outlineLevel="0" collapsed="false">
      <c r="A113" s="184" t="s">
        <v>47</v>
      </c>
      <c r="B113" s="185" t="s">
        <v>5082</v>
      </c>
      <c r="C113" s="184" t="s">
        <v>36</v>
      </c>
      <c r="D113" s="184" t="s">
        <v>5438</v>
      </c>
      <c r="E113" s="184" t="s">
        <v>48</v>
      </c>
      <c r="F113" s="184" t="n">
        <v>4</v>
      </c>
      <c r="G113" s="174" t="s">
        <v>4844</v>
      </c>
      <c r="H113" s="184" t="s">
        <v>5185</v>
      </c>
      <c r="I113" s="184" t="s">
        <v>377</v>
      </c>
      <c r="J113" s="184" t="s">
        <v>227</v>
      </c>
      <c r="K113" s="184" t="n">
        <v>100000</v>
      </c>
      <c r="L113" s="184" t="n">
        <v>1000000</v>
      </c>
      <c r="M113" s="184" t="n">
        <v>5000</v>
      </c>
      <c r="N113" s="184" t="s">
        <v>5319</v>
      </c>
      <c r="O113" s="184" t="s">
        <v>5319</v>
      </c>
      <c r="P113" s="184" t="s">
        <v>5201</v>
      </c>
      <c r="Q113" s="184"/>
      <c r="R113" s="184"/>
      <c r="S113" s="184"/>
      <c r="T113" s="184" t="s">
        <v>5443</v>
      </c>
      <c r="U113" s="184" t="s">
        <v>5197</v>
      </c>
      <c r="V113" s="184" t="n">
        <v>350000</v>
      </c>
      <c r="W113" s="184" t="s">
        <v>5321</v>
      </c>
      <c r="X113" s="184" t="s">
        <v>5322</v>
      </c>
    </row>
    <row r="114" customFormat="false" ht="68.25" hidden="false" customHeight="true" outlineLevel="0" collapsed="false">
      <c r="A114" s="184" t="s">
        <v>47</v>
      </c>
      <c r="B114" s="185" t="s">
        <v>5082</v>
      </c>
      <c r="C114" s="184" t="s">
        <v>36</v>
      </c>
      <c r="D114" s="184" t="s">
        <v>5438</v>
      </c>
      <c r="E114" s="184" t="s">
        <v>48</v>
      </c>
      <c r="F114" s="184" t="n">
        <v>5</v>
      </c>
      <c r="G114" s="174" t="s">
        <v>4844</v>
      </c>
      <c r="H114" s="184" t="s">
        <v>5185</v>
      </c>
      <c r="I114" s="184" t="s">
        <v>392</v>
      </c>
      <c r="J114" s="184" t="s">
        <v>227</v>
      </c>
      <c r="K114" s="184" t="n">
        <v>0</v>
      </c>
      <c r="L114" s="184" t="n">
        <v>300000</v>
      </c>
      <c r="M114" s="184" t="n">
        <v>1000</v>
      </c>
      <c r="N114" s="184" t="s">
        <v>5348</v>
      </c>
      <c r="O114" s="184" t="s">
        <v>5348</v>
      </c>
      <c r="P114" s="184" t="s">
        <v>5201</v>
      </c>
      <c r="Q114" s="184"/>
      <c r="R114" s="184"/>
      <c r="S114" s="184"/>
      <c r="T114" s="184" t="s">
        <v>5444</v>
      </c>
      <c r="U114" s="184" t="s">
        <v>5203</v>
      </c>
      <c r="V114" s="184" t="n">
        <v>35000</v>
      </c>
      <c r="W114" s="184" t="s">
        <v>510</v>
      </c>
      <c r="X114" s="184" t="s">
        <v>5445</v>
      </c>
    </row>
    <row r="115" customFormat="false" ht="41.25" hidden="false" customHeight="true" outlineLevel="0" collapsed="false">
      <c r="A115" s="184" t="s">
        <v>47</v>
      </c>
      <c r="B115" s="185" t="s">
        <v>5082</v>
      </c>
      <c r="C115" s="184" t="s">
        <v>36</v>
      </c>
      <c r="D115" s="184" t="s">
        <v>5438</v>
      </c>
      <c r="E115" s="184" t="s">
        <v>48</v>
      </c>
      <c r="F115" s="184" t="n">
        <v>6</v>
      </c>
      <c r="G115" s="174" t="s">
        <v>4844</v>
      </c>
      <c r="H115" s="184" t="s">
        <v>5185</v>
      </c>
      <c r="I115" s="184" t="s">
        <v>511</v>
      </c>
      <c r="J115" s="184" t="s">
        <v>238</v>
      </c>
      <c r="K115" s="184" t="n">
        <v>1</v>
      </c>
      <c r="L115" s="184" t="n">
        <v>8</v>
      </c>
      <c r="M115" s="184" t="n">
        <v>0.05</v>
      </c>
      <c r="N115" s="184" t="s">
        <v>5211</v>
      </c>
      <c r="O115" s="184" t="s">
        <v>5212</v>
      </c>
      <c r="P115" s="184" t="s">
        <v>5213</v>
      </c>
      <c r="Q115" s="184" t="s">
        <v>5214</v>
      </c>
      <c r="R115" s="184" t="s">
        <v>4371</v>
      </c>
      <c r="S115" s="184" t="s">
        <v>5215</v>
      </c>
      <c r="T115" s="184" t="s">
        <v>5446</v>
      </c>
      <c r="U115" s="184" t="s">
        <v>5209</v>
      </c>
      <c r="V115" s="184" t="s">
        <v>5218</v>
      </c>
      <c r="W115" s="184" t="s">
        <v>5219</v>
      </c>
      <c r="X115" s="184" t="s">
        <v>5220</v>
      </c>
    </row>
    <row r="116" customFormat="false" ht="27.75" hidden="false" customHeight="true" outlineLevel="0" collapsed="false">
      <c r="A116" s="184" t="s">
        <v>47</v>
      </c>
      <c r="B116" s="185" t="s">
        <v>5082</v>
      </c>
      <c r="C116" s="184" t="s">
        <v>36</v>
      </c>
      <c r="D116" s="184" t="s">
        <v>5438</v>
      </c>
      <c r="E116" s="184" t="s">
        <v>48</v>
      </c>
      <c r="F116" s="184" t="n">
        <v>7</v>
      </c>
      <c r="G116" s="174" t="s">
        <v>4844</v>
      </c>
      <c r="H116" s="184" t="s">
        <v>5185</v>
      </c>
      <c r="I116" s="184" t="s">
        <v>239</v>
      </c>
      <c r="J116" s="184" t="s">
        <v>5221</v>
      </c>
      <c r="K116" s="184" t="n">
        <v>5</v>
      </c>
      <c r="L116" s="184" t="n">
        <v>35</v>
      </c>
      <c r="M116" s="184" t="n">
        <v>1</v>
      </c>
      <c r="N116" s="184" t="s">
        <v>5222</v>
      </c>
      <c r="O116" s="184" t="s">
        <v>5222</v>
      </c>
      <c r="P116" s="184" t="s">
        <v>5201</v>
      </c>
      <c r="Q116" s="184"/>
      <c r="R116" s="184"/>
      <c r="S116" s="184"/>
      <c r="T116" s="184" t="s">
        <v>5447</v>
      </c>
      <c r="U116" s="184" t="s">
        <v>5217</v>
      </c>
      <c r="V116" s="184" t="n">
        <v>30</v>
      </c>
      <c r="W116" s="184" t="s">
        <v>5293</v>
      </c>
      <c r="X116" s="184" t="s">
        <v>5294</v>
      </c>
    </row>
    <row r="117" customFormat="false" ht="27.75" hidden="false" customHeight="true" outlineLevel="0" collapsed="false">
      <c r="A117" s="184" t="s">
        <v>47</v>
      </c>
      <c r="B117" s="185" t="s">
        <v>5082</v>
      </c>
      <c r="C117" s="184" t="s">
        <v>36</v>
      </c>
      <c r="D117" s="184" t="s">
        <v>5438</v>
      </c>
      <c r="E117" s="184" t="s">
        <v>48</v>
      </c>
      <c r="F117" s="184" t="n">
        <v>8</v>
      </c>
      <c r="G117" s="174" t="s">
        <v>4844</v>
      </c>
      <c r="H117" s="184" t="s">
        <v>5185</v>
      </c>
      <c r="I117" s="184" t="s">
        <v>512</v>
      </c>
      <c r="J117" s="184" t="s">
        <v>5221</v>
      </c>
      <c r="K117" s="184" t="n">
        <v>1</v>
      </c>
      <c r="L117" s="184" t="n">
        <v>30</v>
      </c>
      <c r="M117" s="184" t="n">
        <v>1</v>
      </c>
      <c r="N117" s="184" t="s">
        <v>5448</v>
      </c>
      <c r="O117" s="184" t="s">
        <v>5448</v>
      </c>
      <c r="P117" s="184" t="s">
        <v>5201</v>
      </c>
      <c r="Q117" s="184"/>
      <c r="R117" s="184"/>
      <c r="S117" s="184"/>
      <c r="T117" s="184" t="s">
        <v>5449</v>
      </c>
      <c r="U117" s="184" t="s">
        <v>5224</v>
      </c>
      <c r="V117" s="184" t="n">
        <v>10</v>
      </c>
      <c r="W117" s="184" t="s">
        <v>5450</v>
      </c>
      <c r="X117" s="184" t="s">
        <v>5451</v>
      </c>
    </row>
    <row r="118" customFormat="false" ht="41.25" hidden="false" customHeight="true" outlineLevel="0" collapsed="false">
      <c r="A118" s="184" t="s">
        <v>47</v>
      </c>
      <c r="B118" s="185" t="s">
        <v>5082</v>
      </c>
      <c r="C118" s="184" t="s">
        <v>36</v>
      </c>
      <c r="D118" s="184" t="s">
        <v>5438</v>
      </c>
      <c r="E118" s="184" t="s">
        <v>48</v>
      </c>
      <c r="F118" s="184" t="n">
        <v>9</v>
      </c>
      <c r="G118" s="174" t="s">
        <v>4844</v>
      </c>
      <c r="H118" s="184" t="s">
        <v>5185</v>
      </c>
      <c r="I118" s="184" t="s">
        <v>513</v>
      </c>
      <c r="J118" s="184" t="s">
        <v>238</v>
      </c>
      <c r="K118" s="184" t="n">
        <v>0</v>
      </c>
      <c r="L118" s="184" t="n">
        <v>6</v>
      </c>
      <c r="M118" s="184" t="n">
        <v>0.5</v>
      </c>
      <c r="N118" s="184" t="s">
        <v>5452</v>
      </c>
      <c r="O118" s="184" t="s">
        <v>5452</v>
      </c>
      <c r="P118" s="184" t="s">
        <v>5453</v>
      </c>
      <c r="Q118" s="184"/>
      <c r="R118" s="184"/>
      <c r="S118" s="184" t="s">
        <v>5454</v>
      </c>
      <c r="T118" s="184" t="s">
        <v>5455</v>
      </c>
      <c r="U118" s="184" t="s">
        <v>5456</v>
      </c>
      <c r="V118" s="184" t="s">
        <v>5452</v>
      </c>
      <c r="W118" s="184" t="s">
        <v>5457</v>
      </c>
      <c r="X118" s="184" t="s">
        <v>5458</v>
      </c>
    </row>
    <row r="119" customFormat="false" ht="95.25" hidden="false" customHeight="true" outlineLevel="0" collapsed="false">
      <c r="A119" s="184" t="s">
        <v>47</v>
      </c>
      <c r="B119" s="185" t="s">
        <v>5082</v>
      </c>
      <c r="C119" s="184" t="s">
        <v>36</v>
      </c>
      <c r="D119" s="184" t="s">
        <v>5438</v>
      </c>
      <c r="E119" s="184" t="s">
        <v>48</v>
      </c>
      <c r="F119" s="184" t="n">
        <v>10</v>
      </c>
      <c r="G119" s="174" t="s">
        <v>4846</v>
      </c>
      <c r="H119" s="184" t="s">
        <v>5227</v>
      </c>
      <c r="I119" s="184" t="s">
        <v>5459</v>
      </c>
      <c r="J119" s="184" t="s">
        <v>238</v>
      </c>
      <c r="K119" s="184"/>
      <c r="L119" s="184"/>
      <c r="M119" s="184"/>
      <c r="N119" s="184" t="s">
        <v>5460</v>
      </c>
      <c r="O119" s="184" t="s">
        <v>5460</v>
      </c>
      <c r="P119" s="184" t="s">
        <v>5206</v>
      </c>
      <c r="Q119" s="184" t="s">
        <v>5461</v>
      </c>
      <c r="R119" s="184" t="s">
        <v>5462</v>
      </c>
      <c r="S119" s="184" t="s">
        <v>5454</v>
      </c>
      <c r="T119" s="184"/>
      <c r="U119" s="184"/>
      <c r="V119" s="184"/>
      <c r="W119" s="184"/>
      <c r="X119" s="184" t="s">
        <v>5232</v>
      </c>
    </row>
    <row r="120" customFormat="false" ht="54.75" hidden="false" customHeight="true" outlineLevel="0" collapsed="false">
      <c r="A120" s="184" t="s">
        <v>47</v>
      </c>
      <c r="B120" s="185" t="s">
        <v>5082</v>
      </c>
      <c r="C120" s="184" t="s">
        <v>36</v>
      </c>
      <c r="D120" s="184" t="s">
        <v>5438</v>
      </c>
      <c r="E120" s="184" t="s">
        <v>48</v>
      </c>
      <c r="F120" s="184" t="n">
        <v>11</v>
      </c>
      <c r="G120" s="174" t="s">
        <v>4846</v>
      </c>
      <c r="H120" s="184" t="s">
        <v>5227</v>
      </c>
      <c r="I120" s="184" t="s">
        <v>5463</v>
      </c>
      <c r="J120" s="184" t="s">
        <v>238</v>
      </c>
      <c r="K120" s="184"/>
      <c r="L120" s="184"/>
      <c r="M120" s="184"/>
      <c r="N120" s="184" t="s">
        <v>5464</v>
      </c>
      <c r="O120" s="184" t="s">
        <v>5464</v>
      </c>
      <c r="P120" s="184" t="s">
        <v>5206</v>
      </c>
      <c r="Q120" s="184" t="s">
        <v>5465</v>
      </c>
      <c r="R120" s="184" t="s">
        <v>5466</v>
      </c>
      <c r="S120" s="184" t="s">
        <v>5454</v>
      </c>
      <c r="T120" s="184"/>
      <c r="U120" s="184"/>
      <c r="V120" s="184"/>
      <c r="W120" s="184"/>
      <c r="X120" s="184" t="s">
        <v>5232</v>
      </c>
    </row>
    <row r="121" customFormat="false" ht="41.25" hidden="false" customHeight="true" outlineLevel="0" collapsed="false">
      <c r="A121" s="184" t="s">
        <v>47</v>
      </c>
      <c r="B121" s="185" t="s">
        <v>5082</v>
      </c>
      <c r="C121" s="184" t="s">
        <v>36</v>
      </c>
      <c r="D121" s="184" t="s">
        <v>5438</v>
      </c>
      <c r="E121" s="184" t="s">
        <v>48</v>
      </c>
      <c r="F121" s="184" t="n">
        <v>12</v>
      </c>
      <c r="G121" s="174" t="s">
        <v>4846</v>
      </c>
      <c r="H121" s="184" t="s">
        <v>5227</v>
      </c>
      <c r="I121" s="184" t="s">
        <v>5228</v>
      </c>
      <c r="J121" s="184" t="s">
        <v>227</v>
      </c>
      <c r="K121" s="184"/>
      <c r="L121" s="184"/>
      <c r="M121" s="184"/>
      <c r="N121" s="184" t="s">
        <v>5193</v>
      </c>
      <c r="O121" s="184" t="s">
        <v>5229</v>
      </c>
      <c r="P121" s="184" t="s">
        <v>5206</v>
      </c>
      <c r="Q121" s="184"/>
      <c r="R121" s="184" t="s">
        <v>5230</v>
      </c>
      <c r="S121" s="184" t="s">
        <v>5231</v>
      </c>
      <c r="T121" s="184"/>
      <c r="U121" s="184"/>
      <c r="V121" s="184"/>
      <c r="W121" s="184"/>
      <c r="X121" s="184" t="s">
        <v>5232</v>
      </c>
    </row>
    <row r="122" customFormat="false" ht="68.25" hidden="false" customHeight="true" outlineLevel="0" collapsed="false">
      <c r="A122" s="184" t="s">
        <v>47</v>
      </c>
      <c r="B122" s="185" t="s">
        <v>5082</v>
      </c>
      <c r="C122" s="184" t="s">
        <v>36</v>
      </c>
      <c r="D122" s="184" t="s">
        <v>5438</v>
      </c>
      <c r="E122" s="184" t="s">
        <v>48</v>
      </c>
      <c r="F122" s="184" t="n">
        <v>13</v>
      </c>
      <c r="G122" s="174" t="s">
        <v>4846</v>
      </c>
      <c r="H122" s="184" t="s">
        <v>5227</v>
      </c>
      <c r="I122" s="184" t="s">
        <v>5467</v>
      </c>
      <c r="J122" s="184" t="s">
        <v>238</v>
      </c>
      <c r="K122" s="184"/>
      <c r="L122" s="184"/>
      <c r="M122" s="184"/>
      <c r="N122" s="184" t="s">
        <v>5468</v>
      </c>
      <c r="O122" s="184" t="s">
        <v>5464</v>
      </c>
      <c r="P122" s="184" t="s">
        <v>5206</v>
      </c>
      <c r="Q122" s="184" t="s">
        <v>5469</v>
      </c>
      <c r="R122" s="184" t="s">
        <v>5470</v>
      </c>
      <c r="S122" s="184" t="s">
        <v>5471</v>
      </c>
      <c r="T122" s="184"/>
      <c r="U122" s="184"/>
      <c r="V122" s="184"/>
      <c r="W122" s="184"/>
      <c r="X122" s="184" t="s">
        <v>5232</v>
      </c>
    </row>
    <row r="123" customFormat="false" ht="27.75" hidden="false" customHeight="true" outlineLevel="0" collapsed="false">
      <c r="A123" s="184" t="s">
        <v>47</v>
      </c>
      <c r="B123" s="185" t="s">
        <v>5082</v>
      </c>
      <c r="C123" s="184" t="s">
        <v>36</v>
      </c>
      <c r="D123" s="184" t="s">
        <v>5438</v>
      </c>
      <c r="E123" s="184" t="s">
        <v>48</v>
      </c>
      <c r="F123" s="184" t="n">
        <v>14</v>
      </c>
      <c r="G123" s="175" t="s">
        <v>4850</v>
      </c>
      <c r="H123" s="184" t="s">
        <v>248</v>
      </c>
      <c r="I123" s="184" t="s">
        <v>5239</v>
      </c>
      <c r="J123" s="184"/>
      <c r="K123" s="184"/>
      <c r="L123" s="184"/>
      <c r="M123" s="184"/>
      <c r="N123" s="184" t="s">
        <v>5239</v>
      </c>
      <c r="O123" s="184" t="s">
        <v>5240</v>
      </c>
      <c r="P123" s="184"/>
      <c r="Q123" s="184"/>
      <c r="R123" s="184" t="s">
        <v>5241</v>
      </c>
      <c r="S123" s="184"/>
      <c r="T123" s="184"/>
      <c r="U123" s="184"/>
      <c r="V123" s="184"/>
      <c r="W123" s="184"/>
      <c r="X123" s="184"/>
    </row>
    <row r="124" customFormat="false" ht="27.75" hidden="false" customHeight="true" outlineLevel="0" collapsed="false">
      <c r="A124" s="184" t="s">
        <v>47</v>
      </c>
      <c r="B124" s="185" t="s">
        <v>5082</v>
      </c>
      <c r="C124" s="184" t="s">
        <v>36</v>
      </c>
      <c r="D124" s="184" t="s">
        <v>5438</v>
      </c>
      <c r="E124" s="184" t="s">
        <v>48</v>
      </c>
      <c r="F124" s="184" t="n">
        <v>15</v>
      </c>
      <c r="G124" s="176" t="s">
        <v>248</v>
      </c>
      <c r="H124" s="184" t="s">
        <v>248</v>
      </c>
      <c r="I124" s="184" t="s">
        <v>5472</v>
      </c>
      <c r="J124" s="184"/>
      <c r="K124" s="184"/>
      <c r="L124" s="184"/>
      <c r="M124" s="184"/>
      <c r="N124" s="184" t="s">
        <v>5473</v>
      </c>
      <c r="O124" s="184" t="s">
        <v>5474</v>
      </c>
      <c r="P124" s="184"/>
      <c r="Q124" s="184"/>
      <c r="R124" s="184"/>
      <c r="S124" s="184"/>
      <c r="T124" s="184" t="s">
        <v>5475</v>
      </c>
      <c r="U124" s="184" t="s">
        <v>76</v>
      </c>
      <c r="V124" s="184"/>
      <c r="W124" s="184"/>
      <c r="X124" s="184"/>
    </row>
    <row r="125" customFormat="false" ht="27.75" hidden="false" customHeight="true" outlineLevel="0" collapsed="false">
      <c r="A125" s="184" t="s">
        <v>47</v>
      </c>
      <c r="B125" s="185" t="s">
        <v>5082</v>
      </c>
      <c r="C125" s="184" t="s">
        <v>36</v>
      </c>
      <c r="D125" s="184" t="s">
        <v>5438</v>
      </c>
      <c r="E125" s="184" t="s">
        <v>48</v>
      </c>
      <c r="F125" s="184" t="n">
        <v>16</v>
      </c>
      <c r="G125" s="177" t="s">
        <v>5245</v>
      </c>
      <c r="H125" s="184" t="s">
        <v>248</v>
      </c>
      <c r="I125" s="184" t="s">
        <v>5179</v>
      </c>
      <c r="J125" s="184"/>
      <c r="K125" s="184"/>
      <c r="L125" s="184"/>
      <c r="M125" s="184"/>
      <c r="N125" s="184" t="s">
        <v>5246</v>
      </c>
      <c r="O125" s="184" t="s">
        <v>5247</v>
      </c>
      <c r="P125" s="184"/>
      <c r="Q125" s="184"/>
      <c r="R125" s="184" t="s">
        <v>5248</v>
      </c>
      <c r="S125" s="184"/>
      <c r="T125" s="184"/>
      <c r="U125" s="184"/>
      <c r="V125" s="184"/>
      <c r="W125" s="184"/>
      <c r="X125" s="184"/>
    </row>
    <row r="126" customFormat="false" ht="243" hidden="false" customHeight="true" outlineLevel="0" collapsed="false">
      <c r="A126" s="184" t="s">
        <v>47</v>
      </c>
      <c r="B126" s="185" t="s">
        <v>5082</v>
      </c>
      <c r="C126" s="184" t="s">
        <v>36</v>
      </c>
      <c r="D126" s="184" t="s">
        <v>5438</v>
      </c>
      <c r="E126" s="184" t="s">
        <v>48</v>
      </c>
      <c r="F126" s="184" t="n">
        <v>17</v>
      </c>
      <c r="G126" s="176" t="s">
        <v>5249</v>
      </c>
      <c r="H126" s="184" t="s">
        <v>248</v>
      </c>
      <c r="I126" s="184" t="s">
        <v>5250</v>
      </c>
      <c r="J126" s="184"/>
      <c r="K126" s="184"/>
      <c r="L126" s="184"/>
      <c r="M126" s="184"/>
      <c r="N126" s="184" t="s">
        <v>5476</v>
      </c>
      <c r="O126" s="184" t="s">
        <v>5477</v>
      </c>
      <c r="P126" s="184"/>
      <c r="Q126" s="184"/>
      <c r="R126" s="184"/>
      <c r="S126" s="184"/>
      <c r="T126" s="184"/>
      <c r="U126" s="184"/>
      <c r="V126" s="184"/>
      <c r="W126" s="184"/>
      <c r="X126" s="184"/>
    </row>
    <row r="127" customFormat="false" ht="27.75" hidden="false" customHeight="true" outlineLevel="0" collapsed="false">
      <c r="A127" s="184" t="s">
        <v>47</v>
      </c>
      <c r="B127" s="185" t="s">
        <v>5082</v>
      </c>
      <c r="C127" s="184" t="s">
        <v>36</v>
      </c>
      <c r="D127" s="184" t="s">
        <v>5438</v>
      </c>
      <c r="E127" s="184" t="s">
        <v>48</v>
      </c>
      <c r="F127" s="184" t="n">
        <v>18</v>
      </c>
      <c r="G127" s="176" t="s">
        <v>5253</v>
      </c>
      <c r="H127" s="184" t="s">
        <v>248</v>
      </c>
      <c r="I127" s="184" t="s">
        <v>523</v>
      </c>
      <c r="J127" s="184"/>
      <c r="K127" s="184"/>
      <c r="L127" s="184"/>
      <c r="M127" s="184"/>
      <c r="N127" s="184" t="s">
        <v>5478</v>
      </c>
      <c r="O127" s="184" t="s">
        <v>5478</v>
      </c>
      <c r="P127" s="184"/>
      <c r="Q127" s="184"/>
      <c r="R127" s="184"/>
      <c r="S127" s="184"/>
      <c r="T127" s="184" t="s">
        <v>5479</v>
      </c>
      <c r="U127" s="184" t="s">
        <v>78</v>
      </c>
      <c r="V127" s="184"/>
      <c r="W127" s="184"/>
      <c r="X127" s="184"/>
    </row>
    <row r="128" customFormat="false" ht="27.75" hidden="false" customHeight="true" outlineLevel="0" collapsed="false">
      <c r="A128" s="184" t="s">
        <v>47</v>
      </c>
      <c r="B128" s="185" t="s">
        <v>5082</v>
      </c>
      <c r="C128" s="184" t="s">
        <v>36</v>
      </c>
      <c r="D128" s="184" t="s">
        <v>5438</v>
      </c>
      <c r="E128" s="184" t="s">
        <v>48</v>
      </c>
      <c r="F128" s="184" t="n">
        <v>19</v>
      </c>
      <c r="G128" s="176" t="s">
        <v>5253</v>
      </c>
      <c r="H128" s="184" t="s">
        <v>248</v>
      </c>
      <c r="I128" s="184" t="s">
        <v>525</v>
      </c>
      <c r="J128" s="184"/>
      <c r="K128" s="184"/>
      <c r="L128" s="184"/>
      <c r="M128" s="184"/>
      <c r="N128" s="184" t="s">
        <v>5480</v>
      </c>
      <c r="O128" s="184" t="s">
        <v>5481</v>
      </c>
      <c r="P128" s="184"/>
      <c r="Q128" s="184"/>
      <c r="R128" s="184"/>
      <c r="S128" s="184"/>
      <c r="T128" s="184" t="s">
        <v>5482</v>
      </c>
      <c r="U128" s="184" t="s">
        <v>81</v>
      </c>
      <c r="V128" s="184"/>
      <c r="W128" s="184"/>
      <c r="X128" s="184"/>
    </row>
    <row r="129" customFormat="false" ht="27.75" hidden="false" customHeight="true" outlineLevel="0" collapsed="false">
      <c r="A129" s="184" t="s">
        <v>47</v>
      </c>
      <c r="B129" s="185" t="s">
        <v>5082</v>
      </c>
      <c r="C129" s="184" t="s">
        <v>36</v>
      </c>
      <c r="D129" s="184" t="s">
        <v>5438</v>
      </c>
      <c r="E129" s="184" t="s">
        <v>48</v>
      </c>
      <c r="F129" s="184" t="n">
        <v>20</v>
      </c>
      <c r="G129" s="176" t="s">
        <v>5253</v>
      </c>
      <c r="H129" s="184" t="s">
        <v>248</v>
      </c>
      <c r="I129" s="184" t="s">
        <v>527</v>
      </c>
      <c r="J129" s="184"/>
      <c r="K129" s="184"/>
      <c r="L129" s="184"/>
      <c r="M129" s="184"/>
      <c r="N129" s="184" t="s">
        <v>5483</v>
      </c>
      <c r="O129" s="184" t="s">
        <v>5483</v>
      </c>
      <c r="P129" s="184"/>
      <c r="Q129" s="184"/>
      <c r="R129" s="184"/>
      <c r="S129" s="184"/>
      <c r="T129" s="184" t="s">
        <v>5484</v>
      </c>
      <c r="U129" s="184" t="s">
        <v>83</v>
      </c>
      <c r="V129" s="184"/>
      <c r="W129" s="184"/>
      <c r="X129" s="184"/>
    </row>
    <row r="130" customFormat="false" ht="27.75" hidden="false" customHeight="true" outlineLevel="0" collapsed="false">
      <c r="A130" s="184" t="s">
        <v>47</v>
      </c>
      <c r="B130" s="185" t="s">
        <v>5082</v>
      </c>
      <c r="C130" s="184" t="s">
        <v>36</v>
      </c>
      <c r="D130" s="184" t="s">
        <v>5438</v>
      </c>
      <c r="E130" s="184" t="s">
        <v>48</v>
      </c>
      <c r="F130" s="184" t="n">
        <v>21</v>
      </c>
      <c r="G130" s="176" t="s">
        <v>5253</v>
      </c>
      <c r="H130" s="184" t="s">
        <v>248</v>
      </c>
      <c r="I130" s="184" t="s">
        <v>532</v>
      </c>
      <c r="J130" s="184"/>
      <c r="K130" s="184"/>
      <c r="L130" s="184"/>
      <c r="M130" s="184"/>
      <c r="N130" s="184" t="s">
        <v>5485</v>
      </c>
      <c r="O130" s="184" t="s">
        <v>5486</v>
      </c>
      <c r="P130" s="184"/>
      <c r="Q130" s="184"/>
      <c r="R130" s="184"/>
      <c r="S130" s="184"/>
      <c r="T130" s="184" t="s">
        <v>5487</v>
      </c>
      <c r="U130" s="184" t="s">
        <v>90</v>
      </c>
      <c r="V130" s="184"/>
      <c r="W130" s="184"/>
      <c r="X130" s="184"/>
    </row>
    <row r="131" customFormat="false" ht="135.75" hidden="false" customHeight="true" outlineLevel="0" collapsed="false">
      <c r="A131" s="184" t="s">
        <v>47</v>
      </c>
      <c r="B131" s="185" t="s">
        <v>5082</v>
      </c>
      <c r="C131" s="184" t="s">
        <v>36</v>
      </c>
      <c r="D131" s="184" t="s">
        <v>5438</v>
      </c>
      <c r="E131" s="184" t="s">
        <v>48</v>
      </c>
      <c r="F131" s="184" t="n">
        <v>22</v>
      </c>
      <c r="G131" s="178" t="s">
        <v>5269</v>
      </c>
      <c r="H131" s="184" t="s">
        <v>5270</v>
      </c>
      <c r="I131" s="186" t="s">
        <v>5271</v>
      </c>
      <c r="J131" s="184"/>
      <c r="K131" s="184"/>
      <c r="L131" s="184"/>
      <c r="M131" s="184"/>
      <c r="N131" s="184" t="s">
        <v>5272</v>
      </c>
      <c r="O131" s="184" t="s">
        <v>5272</v>
      </c>
      <c r="P131" s="184"/>
      <c r="Q131" s="184"/>
      <c r="R131" s="184" t="s">
        <v>5488</v>
      </c>
      <c r="S131" s="184"/>
      <c r="T131" s="184"/>
      <c r="U131" s="184"/>
      <c r="V131" s="184"/>
      <c r="W131" s="184"/>
      <c r="X131" s="184"/>
    </row>
    <row r="132" customFormat="false" ht="68.25" hidden="false" customHeight="true" outlineLevel="0" collapsed="false">
      <c r="A132" s="184" t="s">
        <v>47</v>
      </c>
      <c r="B132" s="185" t="s">
        <v>5082</v>
      </c>
      <c r="C132" s="184" t="s">
        <v>36</v>
      </c>
      <c r="D132" s="184" t="s">
        <v>5438</v>
      </c>
      <c r="E132" s="184" t="s">
        <v>48</v>
      </c>
      <c r="F132" s="184" t="n">
        <v>23</v>
      </c>
      <c r="G132" s="178" t="s">
        <v>5269</v>
      </c>
      <c r="H132" s="184" t="s">
        <v>5270</v>
      </c>
      <c r="I132" s="184" t="s">
        <v>5274</v>
      </c>
      <c r="J132" s="184"/>
      <c r="K132" s="184"/>
      <c r="L132" s="184"/>
      <c r="M132" s="184"/>
      <c r="N132" s="184" t="s">
        <v>5272</v>
      </c>
      <c r="O132" s="184" t="s">
        <v>5272</v>
      </c>
      <c r="P132" s="184"/>
      <c r="Q132" s="184"/>
      <c r="R132" s="184" t="s">
        <v>5275</v>
      </c>
      <c r="S132" s="184"/>
      <c r="T132" s="184"/>
      <c r="U132" s="184"/>
      <c r="V132" s="184"/>
      <c r="W132" s="184"/>
      <c r="X132" s="184"/>
    </row>
    <row r="133" customFormat="false" ht="27.75" hidden="false" customHeight="true" outlineLevel="0" collapsed="false">
      <c r="A133" s="184" t="s">
        <v>47</v>
      </c>
      <c r="B133" s="185" t="s">
        <v>5082</v>
      </c>
      <c r="C133" s="184" t="s">
        <v>36</v>
      </c>
      <c r="D133" s="184" t="s">
        <v>5438</v>
      </c>
      <c r="E133" s="184" t="s">
        <v>48</v>
      </c>
      <c r="F133" s="184" t="n">
        <v>24</v>
      </c>
      <c r="G133" s="177" t="s">
        <v>5276</v>
      </c>
      <c r="H133" s="184" t="s">
        <v>5270</v>
      </c>
      <c r="I133" s="184" t="s">
        <v>5277</v>
      </c>
      <c r="J133" s="184"/>
      <c r="K133" s="184"/>
      <c r="L133" s="184"/>
      <c r="M133" s="184"/>
      <c r="N133" s="184"/>
      <c r="O133" s="184"/>
      <c r="P133" s="184"/>
      <c r="Q133" s="184"/>
      <c r="R133" s="184"/>
      <c r="S133" s="184"/>
      <c r="T133" s="184"/>
      <c r="U133" s="184"/>
      <c r="V133" s="184"/>
      <c r="W133" s="184"/>
      <c r="X133" s="184"/>
    </row>
    <row r="134" customFormat="false" ht="41.25" hidden="false" customHeight="true" outlineLevel="0" collapsed="false">
      <c r="A134" s="184" t="s">
        <v>49</v>
      </c>
      <c r="B134" s="185" t="s">
        <v>5084</v>
      </c>
      <c r="C134" s="184" t="s">
        <v>51</v>
      </c>
      <c r="D134" s="184" t="s">
        <v>5489</v>
      </c>
      <c r="E134" s="184" t="s">
        <v>50</v>
      </c>
      <c r="F134" s="184" t="n">
        <v>1</v>
      </c>
      <c r="G134" s="177" t="s">
        <v>5177</v>
      </c>
      <c r="H134" s="184" t="s">
        <v>5178</v>
      </c>
      <c r="I134" s="184" t="s">
        <v>5179</v>
      </c>
      <c r="J134" s="184"/>
      <c r="K134" s="184"/>
      <c r="L134" s="184"/>
      <c r="M134" s="184"/>
      <c r="N134" s="184" t="s">
        <v>5180</v>
      </c>
      <c r="O134" s="184" t="s">
        <v>5181</v>
      </c>
      <c r="P134" s="184"/>
      <c r="Q134" s="184"/>
      <c r="R134" s="184" t="s">
        <v>5182</v>
      </c>
      <c r="S134" s="184"/>
      <c r="T134" s="184"/>
      <c r="U134" s="184"/>
      <c r="V134" s="184"/>
      <c r="W134" s="184"/>
      <c r="X134" s="184"/>
    </row>
    <row r="135" customFormat="false" ht="27.75" hidden="false" customHeight="true" outlineLevel="0" collapsed="false">
      <c r="A135" s="184" t="s">
        <v>49</v>
      </c>
      <c r="B135" s="185" t="s">
        <v>5084</v>
      </c>
      <c r="C135" s="184" t="s">
        <v>51</v>
      </c>
      <c r="D135" s="184" t="s">
        <v>5489</v>
      </c>
      <c r="E135" s="184" t="s">
        <v>50</v>
      </c>
      <c r="F135" s="184" t="n">
        <v>2</v>
      </c>
      <c r="G135" s="177" t="s">
        <v>5183</v>
      </c>
      <c r="H135" s="184" t="s">
        <v>5178</v>
      </c>
      <c r="I135" s="184" t="s">
        <v>51</v>
      </c>
      <c r="J135" s="184"/>
      <c r="K135" s="184"/>
      <c r="L135" s="184"/>
      <c r="M135" s="184"/>
      <c r="N135" s="184"/>
      <c r="O135" s="184"/>
      <c r="P135" s="184"/>
      <c r="Q135" s="184"/>
      <c r="R135" s="184" t="s">
        <v>5184</v>
      </c>
      <c r="S135" s="184"/>
      <c r="T135" s="184"/>
      <c r="U135" s="184"/>
      <c r="V135" s="184"/>
      <c r="W135" s="184"/>
      <c r="X135" s="184"/>
    </row>
    <row r="136" customFormat="false" ht="27.75" hidden="false" customHeight="true" outlineLevel="0" collapsed="false">
      <c r="A136" s="184" t="s">
        <v>49</v>
      </c>
      <c r="B136" s="185" t="s">
        <v>5084</v>
      </c>
      <c r="C136" s="184" t="s">
        <v>51</v>
      </c>
      <c r="D136" s="184" t="s">
        <v>5489</v>
      </c>
      <c r="E136" s="184" t="s">
        <v>50</v>
      </c>
      <c r="F136" s="184" t="n">
        <v>3</v>
      </c>
      <c r="G136" s="174" t="s">
        <v>4844</v>
      </c>
      <c r="H136" s="184" t="s">
        <v>5185</v>
      </c>
      <c r="I136" s="184" t="s">
        <v>563</v>
      </c>
      <c r="J136" s="184" t="s">
        <v>227</v>
      </c>
      <c r="K136" s="184" t="n">
        <v>500</v>
      </c>
      <c r="L136" s="184" t="n">
        <v>500000</v>
      </c>
      <c r="M136" s="184" t="n">
        <v>500</v>
      </c>
      <c r="N136" s="184" t="s">
        <v>5490</v>
      </c>
      <c r="O136" s="184" t="s">
        <v>5490</v>
      </c>
      <c r="P136" s="184" t="s">
        <v>5201</v>
      </c>
      <c r="Q136" s="184"/>
      <c r="R136" s="184"/>
      <c r="S136" s="184"/>
      <c r="T136" s="184" t="s">
        <v>5491</v>
      </c>
      <c r="U136" s="184" t="s">
        <v>5217</v>
      </c>
      <c r="V136" s="184" t="n">
        <v>15000</v>
      </c>
      <c r="W136" s="184" t="s">
        <v>5492</v>
      </c>
      <c r="X136" s="184" t="s">
        <v>5493</v>
      </c>
    </row>
    <row r="137" customFormat="false" ht="27.75" hidden="false" customHeight="true" outlineLevel="0" collapsed="false">
      <c r="A137" s="184" t="s">
        <v>49</v>
      </c>
      <c r="B137" s="185" t="s">
        <v>5084</v>
      </c>
      <c r="C137" s="184" t="s">
        <v>51</v>
      </c>
      <c r="D137" s="184" t="s">
        <v>5489</v>
      </c>
      <c r="E137" s="184" t="s">
        <v>50</v>
      </c>
      <c r="F137" s="184" t="n">
        <v>4</v>
      </c>
      <c r="G137" s="174" t="s">
        <v>4844</v>
      </c>
      <c r="H137" s="184" t="s">
        <v>5185</v>
      </c>
      <c r="I137" s="184" t="s">
        <v>565</v>
      </c>
      <c r="J137" s="184" t="s">
        <v>5221</v>
      </c>
      <c r="K137" s="184" t="n">
        <v>1</v>
      </c>
      <c r="L137" s="184" t="n">
        <v>30</v>
      </c>
      <c r="M137" s="184" t="n">
        <v>1</v>
      </c>
      <c r="N137" s="184" t="s">
        <v>5494</v>
      </c>
      <c r="O137" s="184" t="s">
        <v>5494</v>
      </c>
      <c r="P137" s="184" t="s">
        <v>5201</v>
      </c>
      <c r="Q137" s="184"/>
      <c r="R137" s="184"/>
      <c r="S137" s="184"/>
      <c r="T137" s="184" t="s">
        <v>5495</v>
      </c>
      <c r="U137" s="184" t="s">
        <v>5224</v>
      </c>
      <c r="V137" s="184" t="n">
        <v>3</v>
      </c>
      <c r="W137" s="184" t="s">
        <v>5450</v>
      </c>
      <c r="X137" s="184" t="s">
        <v>5496</v>
      </c>
    </row>
    <row r="138" customFormat="false" ht="27.75" hidden="false" customHeight="true" outlineLevel="0" collapsed="false">
      <c r="A138" s="184" t="s">
        <v>49</v>
      </c>
      <c r="B138" s="185" t="s">
        <v>5084</v>
      </c>
      <c r="C138" s="184" t="s">
        <v>51</v>
      </c>
      <c r="D138" s="184" t="s">
        <v>5489</v>
      </c>
      <c r="E138" s="184" t="s">
        <v>50</v>
      </c>
      <c r="F138" s="184" t="n">
        <v>5</v>
      </c>
      <c r="G138" s="174" t="s">
        <v>4844</v>
      </c>
      <c r="H138" s="184" t="s">
        <v>5185</v>
      </c>
      <c r="I138" s="184" t="s">
        <v>293</v>
      </c>
      <c r="J138" s="184" t="s">
        <v>227</v>
      </c>
      <c r="K138" s="184" t="n">
        <v>0</v>
      </c>
      <c r="L138" s="184" t="n">
        <v>200000</v>
      </c>
      <c r="M138" s="184" t="n">
        <v>500</v>
      </c>
      <c r="N138" s="184" t="s">
        <v>5262</v>
      </c>
      <c r="O138" s="184" t="s">
        <v>5262</v>
      </c>
      <c r="P138" s="184" t="s">
        <v>5201</v>
      </c>
      <c r="Q138" s="184"/>
      <c r="R138" s="184"/>
      <c r="S138" s="184"/>
      <c r="T138" s="184" t="s">
        <v>5497</v>
      </c>
      <c r="U138" s="184" t="s">
        <v>5456</v>
      </c>
      <c r="V138" s="184" t="n">
        <v>2000</v>
      </c>
      <c r="W138" s="184" t="s">
        <v>5204</v>
      </c>
      <c r="X138" s="184" t="s">
        <v>5498</v>
      </c>
    </row>
    <row r="139" customFormat="false" ht="27.75" hidden="false" customHeight="true" outlineLevel="0" collapsed="false">
      <c r="A139" s="184" t="s">
        <v>49</v>
      </c>
      <c r="B139" s="185" t="s">
        <v>5084</v>
      </c>
      <c r="C139" s="184" t="s">
        <v>51</v>
      </c>
      <c r="D139" s="184" t="s">
        <v>5489</v>
      </c>
      <c r="E139" s="184" t="s">
        <v>50</v>
      </c>
      <c r="F139" s="184" t="n">
        <v>6</v>
      </c>
      <c r="G139" s="174" t="s">
        <v>4844</v>
      </c>
      <c r="H139" s="184" t="s">
        <v>5185</v>
      </c>
      <c r="I139" s="184" t="s">
        <v>5499</v>
      </c>
      <c r="J139" s="184" t="s">
        <v>238</v>
      </c>
      <c r="K139" s="184" t="n">
        <v>0</v>
      </c>
      <c r="L139" s="184" t="n">
        <v>7</v>
      </c>
      <c r="M139" s="184" t="n">
        <v>0.5</v>
      </c>
      <c r="N139" s="184" t="s">
        <v>5393</v>
      </c>
      <c r="O139" s="184" t="s">
        <v>5393</v>
      </c>
      <c r="P139" s="184" t="s">
        <v>5500</v>
      </c>
      <c r="Q139" s="184"/>
      <c r="R139" s="184"/>
      <c r="S139" s="184" t="s">
        <v>5454</v>
      </c>
      <c r="T139" s="184" t="s">
        <v>5501</v>
      </c>
      <c r="U139" s="184" t="s">
        <v>5413</v>
      </c>
      <c r="V139" s="184" t="s">
        <v>5393</v>
      </c>
      <c r="W139" s="184" t="s">
        <v>5502</v>
      </c>
      <c r="X139" s="184" t="s">
        <v>5503</v>
      </c>
    </row>
    <row r="140" customFormat="false" ht="27.75" hidden="false" customHeight="true" outlineLevel="0" collapsed="false">
      <c r="A140" s="184" t="s">
        <v>49</v>
      </c>
      <c r="B140" s="185" t="s">
        <v>5084</v>
      </c>
      <c r="C140" s="184" t="s">
        <v>51</v>
      </c>
      <c r="D140" s="184" t="s">
        <v>5489</v>
      </c>
      <c r="E140" s="184" t="s">
        <v>50</v>
      </c>
      <c r="F140" s="184" t="n">
        <v>7</v>
      </c>
      <c r="G140" s="177" t="s">
        <v>5183</v>
      </c>
      <c r="H140" s="184" t="s">
        <v>5504</v>
      </c>
      <c r="I140" s="184" t="s">
        <v>5505</v>
      </c>
      <c r="J140" s="184"/>
      <c r="K140" s="184"/>
      <c r="L140" s="184"/>
      <c r="M140" s="184"/>
      <c r="N140" s="184"/>
      <c r="O140" s="184"/>
      <c r="P140" s="184"/>
      <c r="Q140" s="184"/>
      <c r="R140" s="184"/>
      <c r="S140" s="184"/>
      <c r="T140" s="184"/>
      <c r="U140" s="184"/>
      <c r="V140" s="184"/>
      <c r="W140" s="184"/>
      <c r="X140" s="184"/>
    </row>
    <row r="141" customFormat="false" ht="27.75" hidden="false" customHeight="true" outlineLevel="0" collapsed="false">
      <c r="A141" s="184" t="s">
        <v>49</v>
      </c>
      <c r="B141" s="185" t="s">
        <v>5084</v>
      </c>
      <c r="C141" s="184" t="s">
        <v>51</v>
      </c>
      <c r="D141" s="184" t="s">
        <v>5489</v>
      </c>
      <c r="E141" s="184" t="s">
        <v>50</v>
      </c>
      <c r="F141" s="184" t="n">
        <v>8</v>
      </c>
      <c r="G141" s="176" t="s">
        <v>248</v>
      </c>
      <c r="H141" s="184" t="s">
        <v>248</v>
      </c>
      <c r="I141" s="184" t="s">
        <v>569</v>
      </c>
      <c r="J141" s="184"/>
      <c r="K141" s="184"/>
      <c r="L141" s="184"/>
      <c r="M141" s="184"/>
      <c r="N141" s="184" t="s">
        <v>5506</v>
      </c>
      <c r="O141" s="184" t="s">
        <v>5506</v>
      </c>
      <c r="P141" s="184"/>
      <c r="Q141" s="184"/>
      <c r="R141" s="184"/>
      <c r="S141" s="184"/>
      <c r="T141" s="184" t="s">
        <v>5507</v>
      </c>
      <c r="U141" s="184" t="s">
        <v>68</v>
      </c>
      <c r="V141" s="184"/>
      <c r="W141" s="184"/>
      <c r="X141" s="184"/>
    </row>
    <row r="142" customFormat="false" ht="27.75" hidden="false" customHeight="true" outlineLevel="0" collapsed="false">
      <c r="A142" s="184" t="s">
        <v>49</v>
      </c>
      <c r="B142" s="185" t="s">
        <v>5084</v>
      </c>
      <c r="C142" s="184" t="s">
        <v>51</v>
      </c>
      <c r="D142" s="184" t="s">
        <v>5489</v>
      </c>
      <c r="E142" s="184" t="s">
        <v>50</v>
      </c>
      <c r="F142" s="184" t="n">
        <v>9</v>
      </c>
      <c r="G142" s="177" t="s">
        <v>5245</v>
      </c>
      <c r="H142" s="184" t="s">
        <v>248</v>
      </c>
      <c r="I142" s="184" t="s">
        <v>5179</v>
      </c>
      <c r="J142" s="184"/>
      <c r="K142" s="184"/>
      <c r="L142" s="184"/>
      <c r="M142" s="184"/>
      <c r="N142" s="184" t="s">
        <v>5246</v>
      </c>
      <c r="O142" s="184" t="s">
        <v>5247</v>
      </c>
      <c r="P142" s="184"/>
      <c r="Q142" s="184"/>
      <c r="R142" s="184" t="s">
        <v>5248</v>
      </c>
      <c r="S142" s="184"/>
      <c r="T142" s="184"/>
      <c r="U142" s="184"/>
      <c r="V142" s="184"/>
      <c r="W142" s="184"/>
      <c r="X142" s="184"/>
    </row>
    <row r="143" customFormat="false" ht="162" hidden="false" customHeight="true" outlineLevel="0" collapsed="false">
      <c r="A143" s="184" t="s">
        <v>49</v>
      </c>
      <c r="B143" s="185" t="s">
        <v>5084</v>
      </c>
      <c r="C143" s="184" t="s">
        <v>51</v>
      </c>
      <c r="D143" s="184" t="s">
        <v>5489</v>
      </c>
      <c r="E143" s="184" t="s">
        <v>50</v>
      </c>
      <c r="F143" s="184" t="n">
        <v>10</v>
      </c>
      <c r="G143" s="176" t="s">
        <v>5249</v>
      </c>
      <c r="H143" s="184" t="s">
        <v>248</v>
      </c>
      <c r="I143" s="184" t="s">
        <v>5250</v>
      </c>
      <c r="J143" s="184"/>
      <c r="K143" s="184"/>
      <c r="L143" s="184"/>
      <c r="M143" s="184"/>
      <c r="N143" s="184" t="s">
        <v>5508</v>
      </c>
      <c r="O143" s="184" t="s">
        <v>5508</v>
      </c>
      <c r="P143" s="184"/>
      <c r="Q143" s="184"/>
      <c r="R143" s="184"/>
      <c r="S143" s="184"/>
      <c r="T143" s="184"/>
      <c r="U143" s="184"/>
      <c r="V143" s="184"/>
      <c r="W143" s="184"/>
      <c r="X143" s="184"/>
    </row>
    <row r="144" customFormat="false" ht="27.75" hidden="false" customHeight="true" outlineLevel="0" collapsed="false">
      <c r="A144" s="184" t="s">
        <v>49</v>
      </c>
      <c r="B144" s="185" t="s">
        <v>5084</v>
      </c>
      <c r="C144" s="184" t="s">
        <v>51</v>
      </c>
      <c r="D144" s="184" t="s">
        <v>5489</v>
      </c>
      <c r="E144" s="184" t="s">
        <v>50</v>
      </c>
      <c r="F144" s="184" t="n">
        <v>11</v>
      </c>
      <c r="G144" s="176" t="s">
        <v>5253</v>
      </c>
      <c r="H144" s="184" t="s">
        <v>248</v>
      </c>
      <c r="I144" s="184" t="s">
        <v>5509</v>
      </c>
      <c r="J144" s="184"/>
      <c r="K144" s="184"/>
      <c r="L144" s="184"/>
      <c r="M144" s="184"/>
      <c r="N144" s="184" t="s">
        <v>5490</v>
      </c>
      <c r="O144" s="184" t="s">
        <v>5490</v>
      </c>
      <c r="P144" s="184"/>
      <c r="Q144" s="184"/>
      <c r="R144" s="184"/>
      <c r="S144" s="184"/>
      <c r="T144" s="184" t="s">
        <v>5510</v>
      </c>
      <c r="U144" s="184" t="s">
        <v>5511</v>
      </c>
      <c r="V144" s="184"/>
      <c r="W144" s="184"/>
      <c r="X144" s="184"/>
    </row>
    <row r="145" customFormat="false" ht="27.75" hidden="false" customHeight="true" outlineLevel="0" collapsed="false">
      <c r="A145" s="184" t="s">
        <v>49</v>
      </c>
      <c r="B145" s="185" t="s">
        <v>5084</v>
      </c>
      <c r="C145" s="184" t="s">
        <v>51</v>
      </c>
      <c r="D145" s="184" t="s">
        <v>5489</v>
      </c>
      <c r="E145" s="184" t="s">
        <v>50</v>
      </c>
      <c r="F145" s="184" t="n">
        <v>12</v>
      </c>
      <c r="G145" s="176" t="s">
        <v>5253</v>
      </c>
      <c r="H145" s="184" t="s">
        <v>248</v>
      </c>
      <c r="I145" s="184" t="s">
        <v>5512</v>
      </c>
      <c r="J145" s="184"/>
      <c r="K145" s="184"/>
      <c r="L145" s="184"/>
      <c r="M145" s="184"/>
      <c r="N145" s="184" t="s">
        <v>5513</v>
      </c>
      <c r="O145" s="184" t="s">
        <v>5513</v>
      </c>
      <c r="P145" s="184"/>
      <c r="Q145" s="184"/>
      <c r="R145" s="184"/>
      <c r="S145" s="184"/>
      <c r="T145" s="184" t="s">
        <v>5514</v>
      </c>
      <c r="U145" s="184" t="s">
        <v>70</v>
      </c>
      <c r="V145" s="184"/>
      <c r="W145" s="184"/>
      <c r="X145" s="184"/>
    </row>
    <row r="146" customFormat="false" ht="27.75" hidden="false" customHeight="true" outlineLevel="0" collapsed="false">
      <c r="A146" s="184" t="s">
        <v>49</v>
      </c>
      <c r="B146" s="185" t="s">
        <v>5084</v>
      </c>
      <c r="C146" s="184" t="s">
        <v>51</v>
      </c>
      <c r="D146" s="184" t="s">
        <v>5489</v>
      </c>
      <c r="E146" s="184" t="s">
        <v>50</v>
      </c>
      <c r="F146" s="184" t="n">
        <v>13</v>
      </c>
      <c r="G146" s="176" t="s">
        <v>5253</v>
      </c>
      <c r="H146" s="184" t="s">
        <v>248</v>
      </c>
      <c r="I146" s="184" t="s">
        <v>573</v>
      </c>
      <c r="J146" s="184"/>
      <c r="K146" s="184"/>
      <c r="L146" s="184"/>
      <c r="M146" s="184"/>
      <c r="N146" s="184" t="s">
        <v>5515</v>
      </c>
      <c r="O146" s="184" t="s">
        <v>5515</v>
      </c>
      <c r="P146" s="184"/>
      <c r="Q146" s="184"/>
      <c r="R146" s="184"/>
      <c r="S146" s="184"/>
      <c r="T146" s="184" t="s">
        <v>5516</v>
      </c>
      <c r="U146" s="184" t="s">
        <v>72</v>
      </c>
      <c r="V146" s="184"/>
      <c r="W146" s="184"/>
      <c r="X146" s="184"/>
    </row>
    <row r="147" customFormat="false" ht="27.75" hidden="false" customHeight="true" outlineLevel="0" collapsed="false">
      <c r="A147" s="184" t="s">
        <v>49</v>
      </c>
      <c r="B147" s="185" t="s">
        <v>5084</v>
      </c>
      <c r="C147" s="184" t="s">
        <v>51</v>
      </c>
      <c r="D147" s="184" t="s">
        <v>5489</v>
      </c>
      <c r="E147" s="184" t="s">
        <v>50</v>
      </c>
      <c r="F147" s="184" t="n">
        <v>14</v>
      </c>
      <c r="G147" s="176" t="s">
        <v>5253</v>
      </c>
      <c r="H147" s="184" t="s">
        <v>248</v>
      </c>
      <c r="I147" s="184" t="s">
        <v>575</v>
      </c>
      <c r="J147" s="184"/>
      <c r="K147" s="184"/>
      <c r="L147" s="184"/>
      <c r="M147" s="184"/>
      <c r="N147" s="184" t="s">
        <v>5517</v>
      </c>
      <c r="O147" s="184" t="s">
        <v>5517</v>
      </c>
      <c r="P147" s="184"/>
      <c r="Q147" s="184"/>
      <c r="R147" s="184"/>
      <c r="S147" s="184"/>
      <c r="T147" s="184" t="s">
        <v>5518</v>
      </c>
      <c r="U147" s="184" t="s">
        <v>74</v>
      </c>
      <c r="V147" s="184"/>
      <c r="W147" s="184"/>
      <c r="X147" s="184"/>
    </row>
    <row r="148" customFormat="false" ht="122.25" hidden="false" customHeight="true" outlineLevel="0" collapsed="false">
      <c r="A148" s="184" t="s">
        <v>49</v>
      </c>
      <c r="B148" s="185" t="s">
        <v>5084</v>
      </c>
      <c r="C148" s="184" t="s">
        <v>51</v>
      </c>
      <c r="D148" s="184" t="s">
        <v>5489</v>
      </c>
      <c r="E148" s="184" t="s">
        <v>50</v>
      </c>
      <c r="F148" s="184" t="n">
        <v>15</v>
      </c>
      <c r="G148" s="178" t="s">
        <v>5269</v>
      </c>
      <c r="H148" s="184" t="s">
        <v>5270</v>
      </c>
      <c r="I148" s="186" t="s">
        <v>5271</v>
      </c>
      <c r="J148" s="184"/>
      <c r="K148" s="184"/>
      <c r="L148" s="184"/>
      <c r="M148" s="184"/>
      <c r="N148" s="184" t="s">
        <v>5272</v>
      </c>
      <c r="O148" s="184" t="s">
        <v>5272</v>
      </c>
      <c r="P148" s="184"/>
      <c r="Q148" s="184"/>
      <c r="R148" s="184" t="s">
        <v>5519</v>
      </c>
      <c r="S148" s="184"/>
      <c r="T148" s="184"/>
      <c r="U148" s="184"/>
      <c r="V148" s="184"/>
      <c r="W148" s="184"/>
      <c r="X148" s="184"/>
    </row>
    <row r="149" customFormat="false" ht="68.25" hidden="false" customHeight="true" outlineLevel="0" collapsed="false">
      <c r="A149" s="184" t="s">
        <v>49</v>
      </c>
      <c r="B149" s="185" t="s">
        <v>5084</v>
      </c>
      <c r="C149" s="184" t="s">
        <v>51</v>
      </c>
      <c r="D149" s="184" t="s">
        <v>5489</v>
      </c>
      <c r="E149" s="184" t="s">
        <v>50</v>
      </c>
      <c r="F149" s="184" t="n">
        <v>16</v>
      </c>
      <c r="G149" s="178" t="s">
        <v>5269</v>
      </c>
      <c r="H149" s="184" t="s">
        <v>5270</v>
      </c>
      <c r="I149" s="184" t="s">
        <v>5274</v>
      </c>
      <c r="J149" s="184"/>
      <c r="K149" s="184"/>
      <c r="L149" s="184"/>
      <c r="M149" s="184"/>
      <c r="N149" s="184" t="s">
        <v>5272</v>
      </c>
      <c r="O149" s="184" t="s">
        <v>5272</v>
      </c>
      <c r="P149" s="184"/>
      <c r="Q149" s="184"/>
      <c r="R149" s="184" t="s">
        <v>5520</v>
      </c>
      <c r="S149" s="184"/>
      <c r="T149" s="184"/>
      <c r="U149" s="184"/>
      <c r="V149" s="184"/>
      <c r="W149" s="184"/>
      <c r="X149" s="184"/>
    </row>
    <row r="150" customFormat="false" ht="27.75" hidden="false" customHeight="true" outlineLevel="0" collapsed="false">
      <c r="A150" s="184" t="s">
        <v>49</v>
      </c>
      <c r="B150" s="185" t="s">
        <v>5084</v>
      </c>
      <c r="C150" s="184" t="s">
        <v>51</v>
      </c>
      <c r="D150" s="184" t="s">
        <v>5489</v>
      </c>
      <c r="E150" s="184" t="s">
        <v>50</v>
      </c>
      <c r="F150" s="184" t="n">
        <v>17</v>
      </c>
      <c r="G150" s="177" t="s">
        <v>5276</v>
      </c>
      <c r="H150" s="184" t="s">
        <v>5270</v>
      </c>
      <c r="I150" s="184" t="s">
        <v>5277</v>
      </c>
      <c r="J150" s="184"/>
      <c r="K150" s="184"/>
      <c r="L150" s="184"/>
      <c r="M150" s="184"/>
      <c r="N150" s="184"/>
      <c r="O150" s="184"/>
      <c r="P150" s="184"/>
      <c r="Q150" s="184"/>
      <c r="R150" s="184"/>
      <c r="S150" s="184"/>
      <c r="T150" s="184"/>
      <c r="U150" s="184"/>
      <c r="V150" s="184"/>
      <c r="W150" s="184"/>
      <c r="X150" s="184"/>
    </row>
    <row r="151" customFormat="false" ht="41.25" hidden="false" customHeight="true" outlineLevel="0" collapsed="false">
      <c r="A151" s="184" t="s">
        <v>52</v>
      </c>
      <c r="B151" s="185" t="s">
        <v>5086</v>
      </c>
      <c r="C151" s="184" t="s">
        <v>51</v>
      </c>
      <c r="D151" s="184" t="s">
        <v>5521</v>
      </c>
      <c r="E151" s="184" t="s">
        <v>53</v>
      </c>
      <c r="F151" s="184" t="n">
        <v>1</v>
      </c>
      <c r="G151" s="177" t="s">
        <v>5177</v>
      </c>
      <c r="H151" s="184" t="s">
        <v>5178</v>
      </c>
      <c r="I151" s="184" t="s">
        <v>5179</v>
      </c>
      <c r="J151" s="184"/>
      <c r="K151" s="184"/>
      <c r="L151" s="184"/>
      <c r="M151" s="184"/>
      <c r="N151" s="184" t="s">
        <v>5180</v>
      </c>
      <c r="O151" s="184" t="s">
        <v>5181</v>
      </c>
      <c r="P151" s="184"/>
      <c r="Q151" s="184"/>
      <c r="R151" s="184" t="s">
        <v>5182</v>
      </c>
      <c r="S151" s="184"/>
      <c r="T151" s="184"/>
      <c r="U151" s="184"/>
      <c r="V151" s="184"/>
      <c r="W151" s="184"/>
      <c r="X151" s="184"/>
    </row>
    <row r="152" customFormat="false" ht="27.75" hidden="false" customHeight="true" outlineLevel="0" collapsed="false">
      <c r="A152" s="184" t="s">
        <v>52</v>
      </c>
      <c r="B152" s="185" t="s">
        <v>5086</v>
      </c>
      <c r="C152" s="184" t="s">
        <v>51</v>
      </c>
      <c r="D152" s="184" t="s">
        <v>5521</v>
      </c>
      <c r="E152" s="184" t="s">
        <v>53</v>
      </c>
      <c r="F152" s="184" t="n">
        <v>2</v>
      </c>
      <c r="G152" s="177" t="s">
        <v>5183</v>
      </c>
      <c r="H152" s="184" t="s">
        <v>5178</v>
      </c>
      <c r="I152" s="184" t="s">
        <v>51</v>
      </c>
      <c r="J152" s="184"/>
      <c r="K152" s="184"/>
      <c r="L152" s="184"/>
      <c r="M152" s="184"/>
      <c r="N152" s="184"/>
      <c r="O152" s="184"/>
      <c r="P152" s="184"/>
      <c r="Q152" s="184"/>
      <c r="R152" s="184" t="s">
        <v>5184</v>
      </c>
      <c r="S152" s="184"/>
      <c r="T152" s="184"/>
      <c r="U152" s="184"/>
      <c r="V152" s="184"/>
      <c r="W152" s="184"/>
      <c r="X152" s="184"/>
    </row>
    <row r="153" customFormat="false" ht="27.75" hidden="false" customHeight="true" outlineLevel="0" collapsed="false">
      <c r="A153" s="184" t="s">
        <v>52</v>
      </c>
      <c r="B153" s="185" t="s">
        <v>5086</v>
      </c>
      <c r="C153" s="184" t="s">
        <v>51</v>
      </c>
      <c r="D153" s="184" t="s">
        <v>5521</v>
      </c>
      <c r="E153" s="184" t="s">
        <v>53</v>
      </c>
      <c r="F153" s="184" t="n">
        <v>3</v>
      </c>
      <c r="G153" s="174" t="s">
        <v>4844</v>
      </c>
      <c r="H153" s="184" t="s">
        <v>5185</v>
      </c>
      <c r="I153" s="184" t="s">
        <v>601</v>
      </c>
      <c r="J153" s="184" t="s">
        <v>227</v>
      </c>
      <c r="K153" s="184" t="n">
        <v>0</v>
      </c>
      <c r="L153" s="184" t="n">
        <v>200000</v>
      </c>
      <c r="M153" s="184" t="n">
        <v>500</v>
      </c>
      <c r="N153" s="184" t="s">
        <v>5522</v>
      </c>
      <c r="O153" s="184" t="s">
        <v>5522</v>
      </c>
      <c r="P153" s="184" t="s">
        <v>5201</v>
      </c>
      <c r="Q153" s="184"/>
      <c r="R153" s="184"/>
      <c r="S153" s="184"/>
      <c r="T153" s="184" t="s">
        <v>5523</v>
      </c>
      <c r="U153" s="184" t="s">
        <v>5217</v>
      </c>
      <c r="V153" s="184" t="n">
        <v>5000</v>
      </c>
      <c r="W153" s="184" t="s">
        <v>5204</v>
      </c>
      <c r="X153" s="184" t="s">
        <v>5524</v>
      </c>
    </row>
    <row r="154" customFormat="false" ht="27.75" hidden="false" customHeight="true" outlineLevel="0" collapsed="false">
      <c r="A154" s="184" t="s">
        <v>52</v>
      </c>
      <c r="B154" s="185" t="s">
        <v>5086</v>
      </c>
      <c r="C154" s="184" t="s">
        <v>51</v>
      </c>
      <c r="D154" s="184" t="s">
        <v>5521</v>
      </c>
      <c r="E154" s="184" t="s">
        <v>53</v>
      </c>
      <c r="F154" s="184" t="n">
        <v>4</v>
      </c>
      <c r="G154" s="174" t="s">
        <v>4844</v>
      </c>
      <c r="H154" s="184" t="s">
        <v>5185</v>
      </c>
      <c r="I154" s="184" t="s">
        <v>602</v>
      </c>
      <c r="J154" s="184" t="s">
        <v>227</v>
      </c>
      <c r="K154" s="184" t="n">
        <v>0</v>
      </c>
      <c r="L154" s="184" t="n">
        <v>3000</v>
      </c>
      <c r="M154" s="184" t="n">
        <v>25</v>
      </c>
      <c r="N154" s="184" t="s">
        <v>5366</v>
      </c>
      <c r="O154" s="184" t="s">
        <v>5366</v>
      </c>
      <c r="P154" s="184" t="s">
        <v>5201</v>
      </c>
      <c r="Q154" s="184"/>
      <c r="R154" s="184"/>
      <c r="S154" s="184"/>
      <c r="T154" s="184" t="s">
        <v>5525</v>
      </c>
      <c r="U154" s="184" t="s">
        <v>5224</v>
      </c>
      <c r="V154" s="184" t="n">
        <v>200</v>
      </c>
      <c r="W154" s="184" t="s">
        <v>5526</v>
      </c>
      <c r="X154" s="184" t="s">
        <v>5527</v>
      </c>
    </row>
    <row r="155" customFormat="false" ht="41.25" hidden="false" customHeight="true" outlineLevel="0" collapsed="false">
      <c r="A155" s="184" t="s">
        <v>52</v>
      </c>
      <c r="B155" s="185" t="s">
        <v>5086</v>
      </c>
      <c r="C155" s="184" t="s">
        <v>51</v>
      </c>
      <c r="D155" s="184" t="s">
        <v>5521</v>
      </c>
      <c r="E155" s="184" t="s">
        <v>53</v>
      </c>
      <c r="F155" s="184" t="n">
        <v>5</v>
      </c>
      <c r="G155" s="174" t="s">
        <v>4844</v>
      </c>
      <c r="H155" s="184" t="s">
        <v>5185</v>
      </c>
      <c r="I155" s="184" t="s">
        <v>604</v>
      </c>
      <c r="J155" s="184" t="s">
        <v>238</v>
      </c>
      <c r="K155" s="184" t="n">
        <v>0</v>
      </c>
      <c r="L155" s="184" t="n">
        <v>8</v>
      </c>
      <c r="M155" s="184" t="n">
        <v>0.5</v>
      </c>
      <c r="N155" s="184" t="s">
        <v>5528</v>
      </c>
      <c r="O155" s="184" t="s">
        <v>5528</v>
      </c>
      <c r="P155" s="184" t="s">
        <v>5529</v>
      </c>
      <c r="Q155" s="184"/>
      <c r="R155" s="184"/>
      <c r="S155" s="184" t="s">
        <v>5454</v>
      </c>
      <c r="T155" s="184" t="s">
        <v>5530</v>
      </c>
      <c r="U155" s="184" t="s">
        <v>5456</v>
      </c>
      <c r="V155" s="184" t="s">
        <v>5528</v>
      </c>
      <c r="W155" s="184" t="s">
        <v>5531</v>
      </c>
      <c r="X155" s="184" t="s">
        <v>5532</v>
      </c>
    </row>
    <row r="156" customFormat="false" ht="27.75" hidden="false" customHeight="true" outlineLevel="0" collapsed="false">
      <c r="A156" s="184" t="s">
        <v>52</v>
      </c>
      <c r="B156" s="185" t="s">
        <v>5086</v>
      </c>
      <c r="C156" s="184" t="s">
        <v>51</v>
      </c>
      <c r="D156" s="184" t="s">
        <v>5521</v>
      </c>
      <c r="E156" s="184" t="s">
        <v>53</v>
      </c>
      <c r="F156" s="184" t="n">
        <v>6</v>
      </c>
      <c r="G156" s="174" t="s">
        <v>4844</v>
      </c>
      <c r="H156" s="184" t="s">
        <v>5185</v>
      </c>
      <c r="I156" s="184" t="s">
        <v>606</v>
      </c>
      <c r="J156" s="184" t="s">
        <v>5221</v>
      </c>
      <c r="K156" s="184" t="n">
        <v>1</v>
      </c>
      <c r="L156" s="184" t="n">
        <v>40</v>
      </c>
      <c r="M156" s="184" t="n">
        <v>1</v>
      </c>
      <c r="N156" s="184" t="s">
        <v>5380</v>
      </c>
      <c r="O156" s="184" t="s">
        <v>5380</v>
      </c>
      <c r="P156" s="184" t="s">
        <v>5201</v>
      </c>
      <c r="Q156" s="184"/>
      <c r="R156" s="184"/>
      <c r="S156" s="184"/>
      <c r="T156" s="184" t="s">
        <v>5533</v>
      </c>
      <c r="U156" s="184" t="s">
        <v>5413</v>
      </c>
      <c r="V156" s="184" t="n">
        <v>20</v>
      </c>
      <c r="W156" s="184" t="s">
        <v>5534</v>
      </c>
      <c r="X156" s="184" t="s">
        <v>5535</v>
      </c>
    </row>
    <row r="157" customFormat="false" ht="27.75" hidden="false" customHeight="true" outlineLevel="0" collapsed="false">
      <c r="A157" s="184" t="s">
        <v>52</v>
      </c>
      <c r="B157" s="185" t="s">
        <v>5086</v>
      </c>
      <c r="C157" s="184" t="s">
        <v>51</v>
      </c>
      <c r="D157" s="184" t="s">
        <v>5521</v>
      </c>
      <c r="E157" s="184" t="s">
        <v>53</v>
      </c>
      <c r="F157" s="184" t="n">
        <v>7</v>
      </c>
      <c r="G157" s="177" t="s">
        <v>5183</v>
      </c>
      <c r="H157" s="184" t="s">
        <v>5504</v>
      </c>
      <c r="I157" s="184" t="s">
        <v>5505</v>
      </c>
      <c r="J157" s="184"/>
      <c r="K157" s="184"/>
      <c r="L157" s="184"/>
      <c r="M157" s="184"/>
      <c r="N157" s="184"/>
      <c r="O157" s="184"/>
      <c r="P157" s="184"/>
      <c r="Q157" s="184"/>
      <c r="R157" s="184"/>
      <c r="S157" s="184"/>
      <c r="T157" s="184"/>
      <c r="U157" s="184"/>
      <c r="V157" s="184"/>
      <c r="W157" s="184"/>
      <c r="X157" s="184"/>
    </row>
    <row r="158" customFormat="false" ht="27.75" hidden="false" customHeight="true" outlineLevel="0" collapsed="false">
      <c r="A158" s="184" t="s">
        <v>52</v>
      </c>
      <c r="B158" s="185" t="s">
        <v>5086</v>
      </c>
      <c r="C158" s="184" t="s">
        <v>51</v>
      </c>
      <c r="D158" s="184" t="s">
        <v>5521</v>
      </c>
      <c r="E158" s="184" t="s">
        <v>53</v>
      </c>
      <c r="F158" s="184" t="n">
        <v>8</v>
      </c>
      <c r="G158" s="176" t="s">
        <v>248</v>
      </c>
      <c r="H158" s="184" t="s">
        <v>248</v>
      </c>
      <c r="I158" s="184" t="s">
        <v>608</v>
      </c>
      <c r="J158" s="184"/>
      <c r="K158" s="184"/>
      <c r="L158" s="184"/>
      <c r="M158" s="184"/>
      <c r="N158" s="184" t="s">
        <v>5536</v>
      </c>
      <c r="O158" s="184" t="s">
        <v>5536</v>
      </c>
      <c r="P158" s="184"/>
      <c r="Q158" s="184"/>
      <c r="R158" s="184"/>
      <c r="S158" s="184"/>
      <c r="T158" s="184" t="s">
        <v>5537</v>
      </c>
      <c r="U158" s="184" t="s">
        <v>68</v>
      </c>
      <c r="V158" s="184"/>
      <c r="W158" s="184"/>
      <c r="X158" s="184"/>
    </row>
    <row r="159" customFormat="false" ht="27.75" hidden="false" customHeight="true" outlineLevel="0" collapsed="false">
      <c r="A159" s="184" t="s">
        <v>52</v>
      </c>
      <c r="B159" s="185" t="s">
        <v>5086</v>
      </c>
      <c r="C159" s="184" t="s">
        <v>51</v>
      </c>
      <c r="D159" s="184" t="s">
        <v>5521</v>
      </c>
      <c r="E159" s="184" t="s">
        <v>53</v>
      </c>
      <c r="F159" s="184" t="n">
        <v>9</v>
      </c>
      <c r="G159" s="177" t="s">
        <v>5245</v>
      </c>
      <c r="H159" s="184" t="s">
        <v>248</v>
      </c>
      <c r="I159" s="184" t="s">
        <v>5179</v>
      </c>
      <c r="J159" s="184"/>
      <c r="K159" s="184"/>
      <c r="L159" s="184"/>
      <c r="M159" s="184"/>
      <c r="N159" s="184" t="s">
        <v>5246</v>
      </c>
      <c r="O159" s="184" t="s">
        <v>5247</v>
      </c>
      <c r="P159" s="184"/>
      <c r="Q159" s="184"/>
      <c r="R159" s="184" t="s">
        <v>5248</v>
      </c>
      <c r="S159" s="184"/>
      <c r="T159" s="184"/>
      <c r="U159" s="184"/>
      <c r="V159" s="184"/>
      <c r="W159" s="184"/>
      <c r="X159" s="184"/>
    </row>
    <row r="160" customFormat="false" ht="175.5" hidden="false" customHeight="true" outlineLevel="0" collapsed="false">
      <c r="A160" s="184" t="s">
        <v>52</v>
      </c>
      <c r="B160" s="185" t="s">
        <v>5086</v>
      </c>
      <c r="C160" s="184" t="s">
        <v>51</v>
      </c>
      <c r="D160" s="184" t="s">
        <v>5521</v>
      </c>
      <c r="E160" s="184" t="s">
        <v>53</v>
      </c>
      <c r="F160" s="184" t="n">
        <v>10</v>
      </c>
      <c r="G160" s="176" t="s">
        <v>5249</v>
      </c>
      <c r="H160" s="184" t="s">
        <v>248</v>
      </c>
      <c r="I160" s="184" t="s">
        <v>5250</v>
      </c>
      <c r="J160" s="184"/>
      <c r="K160" s="184"/>
      <c r="L160" s="184"/>
      <c r="M160" s="184"/>
      <c r="N160" s="184" t="s">
        <v>5538</v>
      </c>
      <c r="O160" s="184" t="s">
        <v>5538</v>
      </c>
      <c r="P160" s="184"/>
      <c r="Q160" s="184"/>
      <c r="R160" s="184"/>
      <c r="S160" s="184"/>
      <c r="T160" s="184"/>
      <c r="U160" s="184"/>
      <c r="V160" s="184"/>
      <c r="W160" s="184"/>
      <c r="X160" s="184"/>
    </row>
    <row r="161" customFormat="false" ht="27.75" hidden="false" customHeight="true" outlineLevel="0" collapsed="false">
      <c r="A161" s="184" t="s">
        <v>52</v>
      </c>
      <c r="B161" s="185" t="s">
        <v>5086</v>
      </c>
      <c r="C161" s="184" t="s">
        <v>51</v>
      </c>
      <c r="D161" s="184" t="s">
        <v>5521</v>
      </c>
      <c r="E161" s="184" t="s">
        <v>53</v>
      </c>
      <c r="F161" s="184" t="n">
        <v>11</v>
      </c>
      <c r="G161" s="176" t="s">
        <v>5253</v>
      </c>
      <c r="H161" s="184" t="s">
        <v>248</v>
      </c>
      <c r="I161" s="184" t="s">
        <v>612</v>
      </c>
      <c r="J161" s="184"/>
      <c r="K161" s="184"/>
      <c r="L161" s="184"/>
      <c r="M161" s="184"/>
      <c r="N161" s="184" t="s">
        <v>5539</v>
      </c>
      <c r="O161" s="184" t="s">
        <v>5539</v>
      </c>
      <c r="P161" s="184"/>
      <c r="Q161" s="184"/>
      <c r="R161" s="184"/>
      <c r="S161" s="184"/>
      <c r="T161" s="184" t="s">
        <v>5540</v>
      </c>
      <c r="U161" s="184" t="s">
        <v>72</v>
      </c>
      <c r="V161" s="184"/>
      <c r="W161" s="184"/>
      <c r="X161" s="184"/>
    </row>
    <row r="162" customFormat="false" ht="27.75" hidden="false" customHeight="true" outlineLevel="0" collapsed="false">
      <c r="A162" s="184" t="s">
        <v>52</v>
      </c>
      <c r="B162" s="185" t="s">
        <v>5086</v>
      </c>
      <c r="C162" s="184" t="s">
        <v>51</v>
      </c>
      <c r="D162" s="184" t="s">
        <v>5521</v>
      </c>
      <c r="E162" s="184" t="s">
        <v>53</v>
      </c>
      <c r="F162" s="184" t="n">
        <v>12</v>
      </c>
      <c r="G162" s="176" t="s">
        <v>5253</v>
      </c>
      <c r="H162" s="184" t="s">
        <v>248</v>
      </c>
      <c r="I162" s="184" t="s">
        <v>614</v>
      </c>
      <c r="J162" s="184"/>
      <c r="K162" s="184"/>
      <c r="L162" s="184"/>
      <c r="M162" s="184"/>
      <c r="N162" s="184" t="s">
        <v>5541</v>
      </c>
      <c r="O162" s="184" t="s">
        <v>5541</v>
      </c>
      <c r="P162" s="184"/>
      <c r="Q162" s="184"/>
      <c r="R162" s="184"/>
      <c r="S162" s="184"/>
      <c r="T162" s="184" t="s">
        <v>5542</v>
      </c>
      <c r="U162" s="184" t="s">
        <v>74</v>
      </c>
      <c r="V162" s="184"/>
      <c r="W162" s="184"/>
      <c r="X162" s="184"/>
    </row>
    <row r="163" customFormat="false" ht="27.75" hidden="false" customHeight="true" outlineLevel="0" collapsed="false">
      <c r="A163" s="184" t="s">
        <v>52</v>
      </c>
      <c r="B163" s="185" t="s">
        <v>5086</v>
      </c>
      <c r="C163" s="184" t="s">
        <v>51</v>
      </c>
      <c r="D163" s="184" t="s">
        <v>5521</v>
      </c>
      <c r="E163" s="184" t="s">
        <v>53</v>
      </c>
      <c r="F163" s="184" t="n">
        <v>13</v>
      </c>
      <c r="G163" s="176" t="s">
        <v>5253</v>
      </c>
      <c r="H163" s="184" t="s">
        <v>248</v>
      </c>
      <c r="I163" s="184" t="s">
        <v>610</v>
      </c>
      <c r="J163" s="184"/>
      <c r="K163" s="184"/>
      <c r="L163" s="184"/>
      <c r="M163" s="184"/>
      <c r="N163" s="184" t="s">
        <v>5543</v>
      </c>
      <c r="O163" s="184" t="s">
        <v>5543</v>
      </c>
      <c r="P163" s="184"/>
      <c r="Q163" s="184"/>
      <c r="R163" s="184"/>
      <c r="S163" s="184"/>
      <c r="T163" s="184" t="s">
        <v>5544</v>
      </c>
      <c r="U163" s="184" t="s">
        <v>70</v>
      </c>
      <c r="V163" s="184"/>
      <c r="W163" s="184"/>
      <c r="X163" s="184"/>
    </row>
    <row r="164" customFormat="false" ht="122.25" hidden="false" customHeight="true" outlineLevel="0" collapsed="false">
      <c r="A164" s="184" t="s">
        <v>52</v>
      </c>
      <c r="B164" s="185" t="s">
        <v>5086</v>
      </c>
      <c r="C164" s="184" t="s">
        <v>51</v>
      </c>
      <c r="D164" s="184" t="s">
        <v>5521</v>
      </c>
      <c r="E164" s="184" t="s">
        <v>53</v>
      </c>
      <c r="F164" s="184" t="n">
        <v>14</v>
      </c>
      <c r="G164" s="178" t="s">
        <v>5269</v>
      </c>
      <c r="H164" s="184" t="s">
        <v>5270</v>
      </c>
      <c r="I164" s="186" t="s">
        <v>5271</v>
      </c>
      <c r="J164" s="184"/>
      <c r="K164" s="184"/>
      <c r="L164" s="184"/>
      <c r="M164" s="184"/>
      <c r="N164" s="184" t="s">
        <v>5272</v>
      </c>
      <c r="O164" s="184" t="s">
        <v>5272</v>
      </c>
      <c r="P164" s="184"/>
      <c r="Q164" s="184"/>
      <c r="R164" s="184" t="s">
        <v>5545</v>
      </c>
      <c r="S164" s="184"/>
      <c r="T164" s="184"/>
      <c r="U164" s="184"/>
      <c r="V164" s="184"/>
      <c r="W164" s="184"/>
      <c r="X164" s="184"/>
    </row>
    <row r="165" customFormat="false" ht="68.25" hidden="false" customHeight="true" outlineLevel="0" collapsed="false">
      <c r="A165" s="184" t="s">
        <v>52</v>
      </c>
      <c r="B165" s="185" t="s">
        <v>5086</v>
      </c>
      <c r="C165" s="184" t="s">
        <v>51</v>
      </c>
      <c r="D165" s="184" t="s">
        <v>5521</v>
      </c>
      <c r="E165" s="184" t="s">
        <v>53</v>
      </c>
      <c r="F165" s="184" t="n">
        <v>15</v>
      </c>
      <c r="G165" s="178" t="s">
        <v>5269</v>
      </c>
      <c r="H165" s="184" t="s">
        <v>5270</v>
      </c>
      <c r="I165" s="184" t="s">
        <v>5274</v>
      </c>
      <c r="J165" s="184"/>
      <c r="K165" s="184"/>
      <c r="L165" s="184"/>
      <c r="M165" s="184"/>
      <c r="N165" s="184" t="s">
        <v>5272</v>
      </c>
      <c r="O165" s="184" t="s">
        <v>5272</v>
      </c>
      <c r="P165" s="184"/>
      <c r="Q165" s="184"/>
      <c r="R165" s="184" t="s">
        <v>5520</v>
      </c>
      <c r="S165" s="184"/>
      <c r="T165" s="184"/>
      <c r="U165" s="184"/>
      <c r="V165" s="184"/>
      <c r="W165" s="184"/>
      <c r="X165" s="184"/>
    </row>
    <row r="166" customFormat="false" ht="27.75" hidden="false" customHeight="true" outlineLevel="0" collapsed="false">
      <c r="A166" s="184" t="s">
        <v>52</v>
      </c>
      <c r="B166" s="185" t="s">
        <v>5086</v>
      </c>
      <c r="C166" s="184" t="s">
        <v>51</v>
      </c>
      <c r="D166" s="184" t="s">
        <v>5521</v>
      </c>
      <c r="E166" s="184" t="s">
        <v>53</v>
      </c>
      <c r="F166" s="184" t="n">
        <v>16</v>
      </c>
      <c r="G166" s="177" t="s">
        <v>5276</v>
      </c>
      <c r="H166" s="184" t="s">
        <v>5270</v>
      </c>
      <c r="I166" s="184" t="s">
        <v>5277</v>
      </c>
      <c r="J166" s="184"/>
      <c r="K166" s="184"/>
      <c r="L166" s="184"/>
      <c r="M166" s="184"/>
      <c r="N166" s="184"/>
      <c r="O166" s="184"/>
      <c r="P166" s="184"/>
      <c r="Q166" s="184"/>
      <c r="R166" s="184"/>
      <c r="S166" s="184"/>
      <c r="T166" s="184"/>
      <c r="U166" s="184"/>
      <c r="V166" s="184"/>
      <c r="W166" s="184"/>
      <c r="X166" s="184"/>
    </row>
    <row r="167" customFormat="false" ht="41.25" hidden="false" customHeight="true" outlineLevel="0" collapsed="false">
      <c r="A167" s="184" t="s">
        <v>54</v>
      </c>
      <c r="B167" s="185" t="s">
        <v>5089</v>
      </c>
      <c r="C167" s="184" t="s">
        <v>56</v>
      </c>
      <c r="D167" s="184" t="s">
        <v>5546</v>
      </c>
      <c r="E167" s="184" t="s">
        <v>55</v>
      </c>
      <c r="F167" s="184" t="n">
        <v>1</v>
      </c>
      <c r="G167" s="177" t="s">
        <v>5177</v>
      </c>
      <c r="H167" s="184" t="s">
        <v>5178</v>
      </c>
      <c r="I167" s="184" t="s">
        <v>5179</v>
      </c>
      <c r="J167" s="184"/>
      <c r="K167" s="184"/>
      <c r="L167" s="184"/>
      <c r="M167" s="184"/>
      <c r="N167" s="184" t="s">
        <v>5180</v>
      </c>
      <c r="O167" s="184" t="s">
        <v>5181</v>
      </c>
      <c r="P167" s="184"/>
      <c r="Q167" s="184"/>
      <c r="R167" s="184" t="s">
        <v>5182</v>
      </c>
      <c r="S167" s="184"/>
      <c r="T167" s="184"/>
      <c r="U167" s="184"/>
      <c r="V167" s="184"/>
      <c r="W167" s="184"/>
      <c r="X167" s="184"/>
    </row>
    <row r="168" customFormat="false" ht="27.75" hidden="false" customHeight="true" outlineLevel="0" collapsed="false">
      <c r="A168" s="184" t="s">
        <v>54</v>
      </c>
      <c r="B168" s="185" t="s">
        <v>5089</v>
      </c>
      <c r="C168" s="184" t="s">
        <v>56</v>
      </c>
      <c r="D168" s="184" t="s">
        <v>5546</v>
      </c>
      <c r="E168" s="184" t="s">
        <v>55</v>
      </c>
      <c r="F168" s="184" t="n">
        <v>2</v>
      </c>
      <c r="G168" s="177" t="s">
        <v>5183</v>
      </c>
      <c r="H168" s="184" t="s">
        <v>5178</v>
      </c>
      <c r="I168" s="184" t="s">
        <v>56</v>
      </c>
      <c r="J168" s="184"/>
      <c r="K168" s="184"/>
      <c r="L168" s="184"/>
      <c r="M168" s="184"/>
      <c r="N168" s="184"/>
      <c r="O168" s="184"/>
      <c r="P168" s="184"/>
      <c r="Q168" s="184"/>
      <c r="R168" s="184" t="s">
        <v>5184</v>
      </c>
      <c r="S168" s="184"/>
      <c r="T168" s="184"/>
      <c r="U168" s="184"/>
      <c r="V168" s="184"/>
      <c r="W168" s="184"/>
      <c r="X168" s="184"/>
    </row>
    <row r="169" customFormat="false" ht="27.75" hidden="false" customHeight="true" outlineLevel="0" collapsed="false">
      <c r="A169" s="184" t="s">
        <v>54</v>
      </c>
      <c r="B169" s="185" t="s">
        <v>5089</v>
      </c>
      <c r="C169" s="184" t="s">
        <v>56</v>
      </c>
      <c r="D169" s="184" t="s">
        <v>5546</v>
      </c>
      <c r="E169" s="184" t="s">
        <v>55</v>
      </c>
      <c r="F169" s="184" t="n">
        <v>3</v>
      </c>
      <c r="G169" s="174" t="s">
        <v>5547</v>
      </c>
      <c r="H169" s="184" t="s">
        <v>5178</v>
      </c>
      <c r="I169" s="184" t="s">
        <v>5548</v>
      </c>
      <c r="J169" s="184"/>
      <c r="K169" s="184"/>
      <c r="L169" s="184"/>
      <c r="M169" s="184"/>
      <c r="N169" s="184" t="s">
        <v>5549</v>
      </c>
      <c r="O169" s="184" t="s">
        <v>5549</v>
      </c>
      <c r="P169" s="184"/>
      <c r="Q169" s="184"/>
      <c r="R169" s="184" t="s">
        <v>5550</v>
      </c>
      <c r="S169" s="184"/>
      <c r="T169" s="184"/>
      <c r="U169" s="184"/>
      <c r="V169" s="184"/>
      <c r="W169" s="184"/>
      <c r="X169" s="184"/>
    </row>
    <row r="170" customFormat="false" ht="27.75" hidden="false" customHeight="true" outlineLevel="0" collapsed="false">
      <c r="A170" s="184" t="s">
        <v>54</v>
      </c>
      <c r="B170" s="185" t="s">
        <v>5089</v>
      </c>
      <c r="C170" s="184" t="s">
        <v>56</v>
      </c>
      <c r="D170" s="184" t="s">
        <v>5546</v>
      </c>
      <c r="E170" s="184" t="s">
        <v>55</v>
      </c>
      <c r="F170" s="184" t="n">
        <v>4</v>
      </c>
      <c r="G170" s="174" t="s">
        <v>4844</v>
      </c>
      <c r="H170" s="184" t="s">
        <v>5185</v>
      </c>
      <c r="I170" s="184" t="s">
        <v>637</v>
      </c>
      <c r="J170" s="184" t="s">
        <v>227</v>
      </c>
      <c r="K170" s="184" t="n">
        <v>500</v>
      </c>
      <c r="L170" s="184" t="n">
        <v>500000</v>
      </c>
      <c r="M170" s="184" t="n">
        <v>100</v>
      </c>
      <c r="N170" s="184" t="s">
        <v>5551</v>
      </c>
      <c r="O170" s="184" t="s">
        <v>5552</v>
      </c>
      <c r="P170" s="184" t="s">
        <v>5553</v>
      </c>
      <c r="Q170" s="184"/>
      <c r="R170" s="184"/>
      <c r="S170" s="184"/>
      <c r="T170" s="184" t="s">
        <v>5554</v>
      </c>
      <c r="U170" s="184" t="s">
        <v>5292</v>
      </c>
      <c r="V170" s="184" t="n">
        <v>10000</v>
      </c>
      <c r="W170" s="184" t="s">
        <v>5492</v>
      </c>
      <c r="X170" s="184" t="s">
        <v>5555</v>
      </c>
    </row>
    <row r="171" customFormat="false" ht="41.25" hidden="false" customHeight="true" outlineLevel="0" collapsed="false">
      <c r="A171" s="184" t="s">
        <v>54</v>
      </c>
      <c r="B171" s="185" t="s">
        <v>5089</v>
      </c>
      <c r="C171" s="184" t="s">
        <v>56</v>
      </c>
      <c r="D171" s="184" t="s">
        <v>5546</v>
      </c>
      <c r="E171" s="184" t="s">
        <v>55</v>
      </c>
      <c r="F171" s="184" t="n">
        <v>5</v>
      </c>
      <c r="G171" s="174" t="s">
        <v>4844</v>
      </c>
      <c r="H171" s="184" t="s">
        <v>5185</v>
      </c>
      <c r="I171" s="184" t="s">
        <v>639</v>
      </c>
      <c r="J171" s="184" t="s">
        <v>238</v>
      </c>
      <c r="K171" s="184" t="n">
        <v>0</v>
      </c>
      <c r="L171" s="184" t="n">
        <v>8</v>
      </c>
      <c r="M171" s="184" t="n">
        <v>0.5</v>
      </c>
      <c r="N171" s="184" t="s">
        <v>5528</v>
      </c>
      <c r="O171" s="184" t="s">
        <v>5528</v>
      </c>
      <c r="P171" s="184" t="s">
        <v>5529</v>
      </c>
      <c r="Q171" s="184"/>
      <c r="R171" s="184"/>
      <c r="S171" s="184" t="s">
        <v>5454</v>
      </c>
      <c r="T171" s="184" t="s">
        <v>5556</v>
      </c>
      <c r="U171" s="184" t="s">
        <v>5368</v>
      </c>
      <c r="V171" s="184" t="s">
        <v>5528</v>
      </c>
      <c r="W171" s="184" t="s">
        <v>5531</v>
      </c>
      <c r="X171" s="184" t="s">
        <v>5532</v>
      </c>
    </row>
    <row r="172" customFormat="false" ht="27.75" hidden="false" customHeight="true" outlineLevel="0" collapsed="false">
      <c r="A172" s="184" t="s">
        <v>54</v>
      </c>
      <c r="B172" s="185" t="s">
        <v>5089</v>
      </c>
      <c r="C172" s="184" t="s">
        <v>56</v>
      </c>
      <c r="D172" s="184" t="s">
        <v>5546</v>
      </c>
      <c r="E172" s="184" t="s">
        <v>55</v>
      </c>
      <c r="F172" s="184" t="n">
        <v>6</v>
      </c>
      <c r="G172" s="174" t="s">
        <v>4844</v>
      </c>
      <c r="H172" s="184" t="s">
        <v>5185</v>
      </c>
      <c r="I172" s="184" t="s">
        <v>606</v>
      </c>
      <c r="J172" s="184" t="s">
        <v>5221</v>
      </c>
      <c r="K172" s="184" t="n">
        <v>1</v>
      </c>
      <c r="L172" s="184" t="n">
        <v>40</v>
      </c>
      <c r="M172" s="184" t="n">
        <v>1</v>
      </c>
      <c r="N172" s="184" t="s">
        <v>5557</v>
      </c>
      <c r="O172" s="184" t="s">
        <v>5557</v>
      </c>
      <c r="P172" s="184" t="s">
        <v>5201</v>
      </c>
      <c r="Q172" s="184"/>
      <c r="R172" s="184"/>
      <c r="S172" s="184"/>
      <c r="T172" s="184" t="s">
        <v>5558</v>
      </c>
      <c r="U172" s="184" t="s">
        <v>5559</v>
      </c>
      <c r="V172" s="184" t="n">
        <v>15</v>
      </c>
      <c r="W172" s="184" t="s">
        <v>5534</v>
      </c>
      <c r="X172" s="184" t="s">
        <v>5560</v>
      </c>
    </row>
    <row r="173" customFormat="false" ht="27.75" hidden="false" customHeight="true" outlineLevel="0" collapsed="false">
      <c r="A173" s="184" t="s">
        <v>54</v>
      </c>
      <c r="B173" s="185" t="s">
        <v>5089</v>
      </c>
      <c r="C173" s="184" t="s">
        <v>56</v>
      </c>
      <c r="D173" s="184" t="s">
        <v>5546</v>
      </c>
      <c r="E173" s="184" t="s">
        <v>55</v>
      </c>
      <c r="F173" s="184" t="n">
        <v>7</v>
      </c>
      <c r="G173" s="174" t="s">
        <v>4844</v>
      </c>
      <c r="H173" s="184" t="s">
        <v>5185</v>
      </c>
      <c r="I173" s="184" t="s">
        <v>640</v>
      </c>
      <c r="J173" s="184" t="s">
        <v>238</v>
      </c>
      <c r="K173" s="184" t="n">
        <v>0</v>
      </c>
      <c r="L173" s="184" t="n">
        <v>3</v>
      </c>
      <c r="M173" s="184" t="n">
        <v>0.05</v>
      </c>
      <c r="N173" s="184" t="s">
        <v>5211</v>
      </c>
      <c r="O173" s="184" t="s">
        <v>5296</v>
      </c>
      <c r="P173" s="184" t="s">
        <v>5561</v>
      </c>
      <c r="Q173" s="184" t="s">
        <v>5562</v>
      </c>
      <c r="R173" s="184" t="s">
        <v>5563</v>
      </c>
      <c r="S173" s="184" t="s">
        <v>5215</v>
      </c>
      <c r="T173" s="184" t="s">
        <v>5564</v>
      </c>
      <c r="U173" s="184" t="s">
        <v>5298</v>
      </c>
      <c r="V173" s="184" t="s">
        <v>5393</v>
      </c>
      <c r="W173" s="184" t="s">
        <v>5565</v>
      </c>
      <c r="X173" s="184" t="s">
        <v>5566</v>
      </c>
    </row>
    <row r="174" customFormat="false" ht="41.25" hidden="false" customHeight="true" outlineLevel="0" collapsed="false">
      <c r="A174" s="184" t="s">
        <v>54</v>
      </c>
      <c r="B174" s="185" t="s">
        <v>5089</v>
      </c>
      <c r="C174" s="184" t="s">
        <v>56</v>
      </c>
      <c r="D174" s="184" t="s">
        <v>5546</v>
      </c>
      <c r="E174" s="184" t="s">
        <v>55</v>
      </c>
      <c r="F174" s="184" t="n">
        <v>8</v>
      </c>
      <c r="G174" s="174" t="s">
        <v>4844</v>
      </c>
      <c r="H174" s="184" t="s">
        <v>5185</v>
      </c>
      <c r="I174" s="184" t="s">
        <v>641</v>
      </c>
      <c r="J174" s="184" t="s">
        <v>5221</v>
      </c>
      <c r="K174" s="184" t="n">
        <v>1</v>
      </c>
      <c r="L174" s="184" t="n">
        <v>20</v>
      </c>
      <c r="M174" s="184" t="n">
        <v>1</v>
      </c>
      <c r="N174" s="184" t="s">
        <v>5372</v>
      </c>
      <c r="O174" s="184" t="s">
        <v>5372</v>
      </c>
      <c r="P174" s="184" t="s">
        <v>5567</v>
      </c>
      <c r="Q174" s="184"/>
      <c r="R174" s="184"/>
      <c r="S174" s="184" t="s">
        <v>5568</v>
      </c>
      <c r="T174" s="184" t="s">
        <v>5569</v>
      </c>
      <c r="U174" s="184" t="s">
        <v>5570</v>
      </c>
      <c r="V174" s="184" t="n">
        <v>5</v>
      </c>
      <c r="W174" s="184" t="s">
        <v>5571</v>
      </c>
      <c r="X174" s="184" t="s">
        <v>5572</v>
      </c>
    </row>
    <row r="175" customFormat="false" ht="27.75" hidden="false" customHeight="true" outlineLevel="0" collapsed="false">
      <c r="A175" s="184" t="s">
        <v>54</v>
      </c>
      <c r="B175" s="185" t="s">
        <v>5089</v>
      </c>
      <c r="C175" s="184" t="s">
        <v>56</v>
      </c>
      <c r="D175" s="184" t="s">
        <v>5546</v>
      </c>
      <c r="E175" s="184" t="s">
        <v>55</v>
      </c>
      <c r="F175" s="184" t="n">
        <v>9</v>
      </c>
      <c r="G175" s="175" t="s">
        <v>4850</v>
      </c>
      <c r="H175" s="184" t="s">
        <v>248</v>
      </c>
      <c r="I175" s="184" t="s">
        <v>5573</v>
      </c>
      <c r="J175" s="184"/>
      <c r="K175" s="184"/>
      <c r="L175" s="184"/>
      <c r="M175" s="184"/>
      <c r="N175" s="184" t="s">
        <v>5573</v>
      </c>
      <c r="O175" s="184" t="s">
        <v>5240</v>
      </c>
      <c r="P175" s="184"/>
      <c r="Q175" s="184"/>
      <c r="R175" s="184" t="s">
        <v>5241</v>
      </c>
      <c r="S175" s="184"/>
      <c r="T175" s="184"/>
      <c r="U175" s="184"/>
      <c r="V175" s="184"/>
      <c r="W175" s="184"/>
      <c r="X175" s="184"/>
    </row>
    <row r="176" customFormat="false" ht="27.75" hidden="false" customHeight="true" outlineLevel="0" collapsed="false">
      <c r="A176" s="184" t="s">
        <v>54</v>
      </c>
      <c r="B176" s="185" t="s">
        <v>5089</v>
      </c>
      <c r="C176" s="184" t="s">
        <v>56</v>
      </c>
      <c r="D176" s="184" t="s">
        <v>5546</v>
      </c>
      <c r="E176" s="184" t="s">
        <v>55</v>
      </c>
      <c r="F176" s="184" t="n">
        <v>10</v>
      </c>
      <c r="G176" s="176" t="s">
        <v>248</v>
      </c>
      <c r="H176" s="184" t="s">
        <v>248</v>
      </c>
      <c r="I176" s="184" t="s">
        <v>608</v>
      </c>
      <c r="J176" s="184"/>
      <c r="K176" s="184"/>
      <c r="L176" s="184"/>
      <c r="M176" s="184"/>
      <c r="N176" s="184" t="s">
        <v>5574</v>
      </c>
      <c r="O176" s="184" t="s">
        <v>5575</v>
      </c>
      <c r="P176" s="184"/>
      <c r="Q176" s="184"/>
      <c r="R176" s="184"/>
      <c r="S176" s="184"/>
      <c r="T176" s="184" t="s">
        <v>5576</v>
      </c>
      <c r="U176" s="184" t="s">
        <v>5308</v>
      </c>
      <c r="V176" s="184"/>
      <c r="W176" s="184"/>
      <c r="X176" s="184"/>
    </row>
    <row r="177" customFormat="false" ht="27.75" hidden="false" customHeight="true" outlineLevel="0" collapsed="false">
      <c r="A177" s="184" t="s">
        <v>54</v>
      </c>
      <c r="B177" s="185" t="s">
        <v>5089</v>
      </c>
      <c r="C177" s="184" t="s">
        <v>56</v>
      </c>
      <c r="D177" s="184" t="s">
        <v>5546</v>
      </c>
      <c r="E177" s="184" t="s">
        <v>55</v>
      </c>
      <c r="F177" s="184" t="n">
        <v>11</v>
      </c>
      <c r="G177" s="177" t="s">
        <v>5245</v>
      </c>
      <c r="H177" s="184" t="s">
        <v>248</v>
      </c>
      <c r="I177" s="184" t="s">
        <v>5179</v>
      </c>
      <c r="J177" s="184"/>
      <c r="K177" s="184"/>
      <c r="L177" s="184"/>
      <c r="M177" s="184"/>
      <c r="N177" s="184" t="s">
        <v>5246</v>
      </c>
      <c r="O177" s="184" t="s">
        <v>5247</v>
      </c>
      <c r="P177" s="184"/>
      <c r="Q177" s="184"/>
      <c r="R177" s="184" t="s">
        <v>5248</v>
      </c>
      <c r="S177" s="184"/>
      <c r="T177" s="184"/>
      <c r="U177" s="184"/>
      <c r="V177" s="184"/>
      <c r="W177" s="184"/>
      <c r="X177" s="184"/>
    </row>
    <row r="178" customFormat="false" ht="162" hidden="false" customHeight="true" outlineLevel="0" collapsed="false">
      <c r="A178" s="184" t="s">
        <v>54</v>
      </c>
      <c r="B178" s="185" t="s">
        <v>5089</v>
      </c>
      <c r="C178" s="184" t="s">
        <v>56</v>
      </c>
      <c r="D178" s="184" t="s">
        <v>5546</v>
      </c>
      <c r="E178" s="184" t="s">
        <v>55</v>
      </c>
      <c r="F178" s="184" t="n">
        <v>12</v>
      </c>
      <c r="G178" s="176" t="s">
        <v>5249</v>
      </c>
      <c r="H178" s="184" t="s">
        <v>248</v>
      </c>
      <c r="I178" s="184" t="s">
        <v>5250</v>
      </c>
      <c r="J178" s="184"/>
      <c r="K178" s="184"/>
      <c r="L178" s="184"/>
      <c r="M178" s="184"/>
      <c r="N178" s="184" t="s">
        <v>5577</v>
      </c>
      <c r="O178" s="184" t="s">
        <v>5578</v>
      </c>
      <c r="P178" s="184"/>
      <c r="Q178" s="184"/>
      <c r="R178" s="184"/>
      <c r="S178" s="184"/>
      <c r="T178" s="184"/>
      <c r="U178" s="184"/>
      <c r="V178" s="184"/>
      <c r="W178" s="184"/>
      <c r="X178" s="184"/>
    </row>
    <row r="179" customFormat="false" ht="27.75" hidden="false" customHeight="true" outlineLevel="0" collapsed="false">
      <c r="A179" s="184" t="s">
        <v>54</v>
      </c>
      <c r="B179" s="185" t="s">
        <v>5089</v>
      </c>
      <c r="C179" s="184" t="s">
        <v>56</v>
      </c>
      <c r="D179" s="184" t="s">
        <v>5546</v>
      </c>
      <c r="E179" s="184" t="s">
        <v>55</v>
      </c>
      <c r="F179" s="184" t="n">
        <v>13</v>
      </c>
      <c r="G179" s="176" t="s">
        <v>5253</v>
      </c>
      <c r="H179" s="184" t="s">
        <v>248</v>
      </c>
      <c r="I179" s="184" t="s">
        <v>651</v>
      </c>
      <c r="J179" s="184"/>
      <c r="K179" s="184"/>
      <c r="L179" s="184"/>
      <c r="M179" s="184"/>
      <c r="N179" s="184" t="s">
        <v>5574</v>
      </c>
      <c r="O179" s="184" t="s">
        <v>5575</v>
      </c>
      <c r="P179" s="184"/>
      <c r="Q179" s="184"/>
      <c r="R179" s="184"/>
      <c r="S179" s="184"/>
      <c r="T179" s="184" t="s">
        <v>5579</v>
      </c>
      <c r="U179" s="184" t="s">
        <v>5312</v>
      </c>
      <c r="V179" s="184"/>
      <c r="W179" s="184"/>
      <c r="X179" s="184"/>
    </row>
    <row r="180" customFormat="false" ht="27.75" hidden="false" customHeight="true" outlineLevel="0" collapsed="false">
      <c r="A180" s="184" t="s">
        <v>54</v>
      </c>
      <c r="B180" s="185" t="s">
        <v>5089</v>
      </c>
      <c r="C180" s="184" t="s">
        <v>56</v>
      </c>
      <c r="D180" s="184" t="s">
        <v>5546</v>
      </c>
      <c r="E180" s="184" t="s">
        <v>55</v>
      </c>
      <c r="F180" s="184" t="n">
        <v>14</v>
      </c>
      <c r="G180" s="176" t="s">
        <v>5253</v>
      </c>
      <c r="H180" s="184" t="s">
        <v>248</v>
      </c>
      <c r="I180" s="184" t="s">
        <v>5580</v>
      </c>
      <c r="J180" s="184"/>
      <c r="K180" s="184"/>
      <c r="L180" s="184"/>
      <c r="M180" s="184"/>
      <c r="N180" s="184" t="s">
        <v>5581</v>
      </c>
      <c r="O180" s="184" t="s">
        <v>5582</v>
      </c>
      <c r="P180" s="184"/>
      <c r="Q180" s="184"/>
      <c r="R180" s="184"/>
      <c r="S180" s="184"/>
      <c r="T180" s="184" t="s">
        <v>5583</v>
      </c>
      <c r="U180" s="184" t="s">
        <v>5511</v>
      </c>
      <c r="V180" s="184"/>
      <c r="W180" s="184"/>
      <c r="X180" s="184"/>
    </row>
    <row r="181" customFormat="false" ht="27.75" hidden="false" customHeight="true" outlineLevel="0" collapsed="false">
      <c r="A181" s="184" t="s">
        <v>54</v>
      </c>
      <c r="B181" s="185" t="s">
        <v>5089</v>
      </c>
      <c r="C181" s="184" t="s">
        <v>56</v>
      </c>
      <c r="D181" s="184" t="s">
        <v>5546</v>
      </c>
      <c r="E181" s="184" t="s">
        <v>55</v>
      </c>
      <c r="F181" s="184" t="n">
        <v>15</v>
      </c>
      <c r="G181" s="176" t="s">
        <v>5253</v>
      </c>
      <c r="H181" s="184" t="s">
        <v>248</v>
      </c>
      <c r="I181" s="184" t="s">
        <v>657</v>
      </c>
      <c r="J181" s="184"/>
      <c r="K181" s="184"/>
      <c r="L181" s="184"/>
      <c r="M181" s="184"/>
      <c r="N181" s="184" t="s">
        <v>5584</v>
      </c>
      <c r="O181" s="184"/>
      <c r="P181" s="184"/>
      <c r="Q181" s="184"/>
      <c r="R181" s="184"/>
      <c r="S181" s="184"/>
      <c r="T181" s="184" t="s">
        <v>5585</v>
      </c>
      <c r="U181" s="184" t="s">
        <v>5586</v>
      </c>
      <c r="V181" s="184"/>
      <c r="W181" s="184"/>
      <c r="X181" s="184"/>
    </row>
    <row r="182" customFormat="false" ht="135.75" hidden="false" customHeight="true" outlineLevel="0" collapsed="false">
      <c r="A182" s="184" t="s">
        <v>54</v>
      </c>
      <c r="B182" s="185" t="s">
        <v>5089</v>
      </c>
      <c r="C182" s="184" t="s">
        <v>56</v>
      </c>
      <c r="D182" s="184" t="s">
        <v>5546</v>
      </c>
      <c r="E182" s="184" t="s">
        <v>55</v>
      </c>
      <c r="F182" s="184" t="n">
        <v>16</v>
      </c>
      <c r="G182" s="178" t="s">
        <v>5269</v>
      </c>
      <c r="H182" s="184" t="s">
        <v>5270</v>
      </c>
      <c r="I182" s="186" t="s">
        <v>5271</v>
      </c>
      <c r="J182" s="184"/>
      <c r="K182" s="184"/>
      <c r="L182" s="184"/>
      <c r="M182" s="184"/>
      <c r="N182" s="184" t="s">
        <v>5272</v>
      </c>
      <c r="O182" s="184" t="s">
        <v>5272</v>
      </c>
      <c r="P182" s="184"/>
      <c r="Q182" s="184"/>
      <c r="R182" s="184" t="s">
        <v>5587</v>
      </c>
      <c r="S182" s="184"/>
      <c r="T182" s="184"/>
      <c r="U182" s="184"/>
      <c r="V182" s="184"/>
      <c r="W182" s="184"/>
      <c r="X182" s="184"/>
    </row>
    <row r="183" customFormat="false" ht="68.25" hidden="false" customHeight="true" outlineLevel="0" collapsed="false">
      <c r="A183" s="184" t="s">
        <v>54</v>
      </c>
      <c r="B183" s="185" t="s">
        <v>5089</v>
      </c>
      <c r="C183" s="184" t="s">
        <v>56</v>
      </c>
      <c r="D183" s="184" t="s">
        <v>5546</v>
      </c>
      <c r="E183" s="184" t="s">
        <v>55</v>
      </c>
      <c r="F183" s="184" t="n">
        <v>17</v>
      </c>
      <c r="G183" s="178" t="s">
        <v>5269</v>
      </c>
      <c r="H183" s="184" t="s">
        <v>5270</v>
      </c>
      <c r="I183" s="184" t="s">
        <v>5274</v>
      </c>
      <c r="J183" s="184"/>
      <c r="K183" s="184"/>
      <c r="L183" s="184"/>
      <c r="M183" s="184"/>
      <c r="N183" s="184" t="s">
        <v>5272</v>
      </c>
      <c r="O183" s="184" t="s">
        <v>5272</v>
      </c>
      <c r="P183" s="184"/>
      <c r="Q183" s="184"/>
      <c r="R183" s="184" t="s">
        <v>5588</v>
      </c>
      <c r="S183" s="184"/>
      <c r="T183" s="184"/>
      <c r="U183" s="184"/>
      <c r="V183" s="184"/>
      <c r="W183" s="184"/>
      <c r="X183" s="184"/>
    </row>
    <row r="184" customFormat="false" ht="27.75" hidden="false" customHeight="true" outlineLevel="0" collapsed="false">
      <c r="A184" s="184" t="s">
        <v>54</v>
      </c>
      <c r="B184" s="185" t="s">
        <v>5089</v>
      </c>
      <c r="C184" s="184" t="s">
        <v>56</v>
      </c>
      <c r="D184" s="184" t="s">
        <v>5546</v>
      </c>
      <c r="E184" s="184" t="s">
        <v>55</v>
      </c>
      <c r="F184" s="184" t="n">
        <v>18</v>
      </c>
      <c r="G184" s="177" t="s">
        <v>5276</v>
      </c>
      <c r="H184" s="184" t="s">
        <v>5270</v>
      </c>
      <c r="I184" s="184" t="s">
        <v>5277</v>
      </c>
      <c r="J184" s="184"/>
      <c r="K184" s="184"/>
      <c r="L184" s="184"/>
      <c r="M184" s="184"/>
      <c r="N184" s="184"/>
      <c r="O184" s="184"/>
      <c r="P184" s="184"/>
      <c r="Q184" s="184"/>
      <c r="R184" s="184"/>
      <c r="S184" s="184"/>
      <c r="T184" s="184"/>
      <c r="U184" s="184"/>
      <c r="V184" s="184"/>
      <c r="W184" s="184"/>
      <c r="X184" s="184"/>
    </row>
    <row r="185" customFormat="false" ht="41.25" hidden="false" customHeight="true" outlineLevel="0" collapsed="false">
      <c r="A185" s="184" t="s">
        <v>57</v>
      </c>
      <c r="B185" s="185" t="s">
        <v>5091</v>
      </c>
      <c r="C185" s="184" t="s">
        <v>51</v>
      </c>
      <c r="D185" s="184" t="s">
        <v>2511</v>
      </c>
      <c r="E185" s="184" t="s">
        <v>58</v>
      </c>
      <c r="F185" s="184" t="n">
        <v>1</v>
      </c>
      <c r="G185" s="177" t="s">
        <v>5177</v>
      </c>
      <c r="H185" s="184" t="s">
        <v>5178</v>
      </c>
      <c r="I185" s="184" t="s">
        <v>5179</v>
      </c>
      <c r="J185" s="184"/>
      <c r="K185" s="184"/>
      <c r="L185" s="184"/>
      <c r="M185" s="184"/>
      <c r="N185" s="184" t="s">
        <v>5180</v>
      </c>
      <c r="O185" s="184" t="s">
        <v>5181</v>
      </c>
      <c r="P185" s="184"/>
      <c r="Q185" s="184"/>
      <c r="R185" s="184" t="s">
        <v>5182</v>
      </c>
      <c r="S185" s="184"/>
      <c r="T185" s="184"/>
      <c r="U185" s="184"/>
      <c r="V185" s="184"/>
      <c r="W185" s="184"/>
      <c r="X185" s="184"/>
    </row>
    <row r="186" customFormat="false" ht="27.75" hidden="false" customHeight="true" outlineLevel="0" collapsed="false">
      <c r="A186" s="184" t="s">
        <v>57</v>
      </c>
      <c r="B186" s="185" t="s">
        <v>5091</v>
      </c>
      <c r="C186" s="184" t="s">
        <v>51</v>
      </c>
      <c r="D186" s="184" t="s">
        <v>2511</v>
      </c>
      <c r="E186" s="184" t="s">
        <v>58</v>
      </c>
      <c r="F186" s="184" t="n">
        <v>2</v>
      </c>
      <c r="G186" s="177" t="s">
        <v>5589</v>
      </c>
      <c r="H186" s="184" t="s">
        <v>5590</v>
      </c>
      <c r="I186" s="184" t="s">
        <v>5591</v>
      </c>
      <c r="J186" s="184"/>
      <c r="K186" s="184"/>
      <c r="L186" s="184"/>
      <c r="M186" s="184"/>
      <c r="N186" s="184"/>
      <c r="O186" s="184"/>
      <c r="P186" s="184"/>
      <c r="Q186" s="184"/>
      <c r="R186" s="184" t="s">
        <v>5592</v>
      </c>
      <c r="S186" s="184"/>
      <c r="T186" s="184"/>
      <c r="U186" s="184"/>
      <c r="V186" s="184"/>
      <c r="W186" s="184"/>
      <c r="X186" s="184"/>
    </row>
    <row r="187" customFormat="false" ht="27.75" hidden="false" customHeight="true" outlineLevel="0" collapsed="false">
      <c r="A187" s="184" t="s">
        <v>57</v>
      </c>
      <c r="B187" s="185" t="s">
        <v>5091</v>
      </c>
      <c r="C187" s="184" t="s">
        <v>51</v>
      </c>
      <c r="D187" s="184" t="s">
        <v>2511</v>
      </c>
      <c r="E187" s="184" t="s">
        <v>58</v>
      </c>
      <c r="F187" s="184" t="n">
        <v>3</v>
      </c>
      <c r="G187" s="177" t="s">
        <v>5183</v>
      </c>
      <c r="H187" s="184" t="s">
        <v>5178</v>
      </c>
      <c r="I187" s="184" t="s">
        <v>51</v>
      </c>
      <c r="J187" s="184"/>
      <c r="K187" s="184"/>
      <c r="L187" s="184"/>
      <c r="M187" s="184"/>
      <c r="N187" s="184"/>
      <c r="O187" s="184"/>
      <c r="P187" s="184"/>
      <c r="Q187" s="184"/>
      <c r="R187" s="184" t="s">
        <v>5184</v>
      </c>
      <c r="S187" s="184"/>
      <c r="T187" s="184"/>
      <c r="U187" s="184"/>
      <c r="V187" s="184"/>
      <c r="W187" s="184"/>
      <c r="X187" s="184"/>
    </row>
    <row r="188" customFormat="false" ht="54.75" hidden="false" customHeight="true" outlineLevel="0" collapsed="false">
      <c r="A188" s="184" t="s">
        <v>57</v>
      </c>
      <c r="B188" s="185" t="s">
        <v>5091</v>
      </c>
      <c r="C188" s="184" t="s">
        <v>51</v>
      </c>
      <c r="D188" s="184" t="s">
        <v>2511</v>
      </c>
      <c r="E188" s="184" t="s">
        <v>58</v>
      </c>
      <c r="F188" s="184" t="n">
        <v>4</v>
      </c>
      <c r="G188" s="174" t="s">
        <v>4844</v>
      </c>
      <c r="H188" s="184" t="s">
        <v>5185</v>
      </c>
      <c r="I188" s="184" t="s">
        <v>679</v>
      </c>
      <c r="J188" s="184" t="s">
        <v>227</v>
      </c>
      <c r="K188" s="184" t="n">
        <v>500</v>
      </c>
      <c r="L188" s="184" t="n">
        <v>10000</v>
      </c>
      <c r="M188" s="184" t="n">
        <v>100</v>
      </c>
      <c r="N188" s="184" t="s">
        <v>5593</v>
      </c>
      <c r="O188" s="184" t="s">
        <v>5594</v>
      </c>
      <c r="P188" s="184" t="s">
        <v>5595</v>
      </c>
      <c r="Q188" s="184"/>
      <c r="R188" s="184"/>
      <c r="S188" s="184"/>
      <c r="T188" s="184" t="s">
        <v>5596</v>
      </c>
      <c r="U188" s="184" t="s">
        <v>5190</v>
      </c>
      <c r="V188" s="184" t="n">
        <v>2500</v>
      </c>
      <c r="W188" s="184" t="s">
        <v>5597</v>
      </c>
      <c r="X188" s="184" t="s">
        <v>5598</v>
      </c>
    </row>
    <row r="189" customFormat="false" ht="41.25" hidden="false" customHeight="true" outlineLevel="0" collapsed="false">
      <c r="A189" s="184" t="s">
        <v>57</v>
      </c>
      <c r="B189" s="185" t="s">
        <v>5091</v>
      </c>
      <c r="C189" s="184" t="s">
        <v>51</v>
      </c>
      <c r="D189" s="184" t="s">
        <v>2511</v>
      </c>
      <c r="E189" s="184" t="s">
        <v>58</v>
      </c>
      <c r="F189" s="184" t="n">
        <v>5</v>
      </c>
      <c r="G189" s="174" t="s">
        <v>4844</v>
      </c>
      <c r="H189" s="184" t="s">
        <v>5185</v>
      </c>
      <c r="I189" s="184" t="s">
        <v>5599</v>
      </c>
      <c r="J189" s="184" t="s">
        <v>5600</v>
      </c>
      <c r="K189" s="184" t="n">
        <v>1</v>
      </c>
      <c r="L189" s="184" t="n">
        <v>12</v>
      </c>
      <c r="M189" s="184" t="n">
        <v>1</v>
      </c>
      <c r="N189" s="184" t="s">
        <v>5601</v>
      </c>
      <c r="O189" s="184" t="s">
        <v>5602</v>
      </c>
      <c r="P189" s="184" t="s">
        <v>5603</v>
      </c>
      <c r="Q189" s="184"/>
      <c r="R189" s="184"/>
      <c r="S189" s="184" t="s">
        <v>5454</v>
      </c>
      <c r="T189" s="184" t="s">
        <v>5604</v>
      </c>
      <c r="U189" s="184" t="s">
        <v>5197</v>
      </c>
      <c r="V189" s="184" t="n">
        <v>6</v>
      </c>
      <c r="W189" s="184" t="s">
        <v>5605</v>
      </c>
      <c r="X189" s="184" t="s">
        <v>5606</v>
      </c>
    </row>
    <row r="190" customFormat="false" ht="27.75" hidden="false" customHeight="true" outlineLevel="0" collapsed="false">
      <c r="A190" s="184" t="s">
        <v>57</v>
      </c>
      <c r="B190" s="185" t="s">
        <v>5091</v>
      </c>
      <c r="C190" s="184" t="s">
        <v>51</v>
      </c>
      <c r="D190" s="184" t="s">
        <v>2511</v>
      </c>
      <c r="E190" s="184" t="s">
        <v>58</v>
      </c>
      <c r="F190" s="184" t="n">
        <v>6</v>
      </c>
      <c r="G190" s="174" t="s">
        <v>4844</v>
      </c>
      <c r="H190" s="184" t="s">
        <v>5185</v>
      </c>
      <c r="I190" s="184" t="s">
        <v>686</v>
      </c>
      <c r="J190" s="184" t="s">
        <v>227</v>
      </c>
      <c r="K190" s="184" t="n">
        <v>0</v>
      </c>
      <c r="L190" s="184" t="n">
        <v>100000</v>
      </c>
      <c r="M190" s="184" t="n">
        <v>250</v>
      </c>
      <c r="N190" s="184" t="s">
        <v>5607</v>
      </c>
      <c r="O190" s="184" t="s">
        <v>5608</v>
      </c>
      <c r="P190" s="184" t="s">
        <v>5609</v>
      </c>
      <c r="Q190" s="184"/>
      <c r="R190" s="184"/>
      <c r="S190" s="184"/>
      <c r="T190" s="184" t="s">
        <v>5610</v>
      </c>
      <c r="U190" s="184" t="s">
        <v>5209</v>
      </c>
      <c r="V190" s="184" t="n">
        <v>6250</v>
      </c>
      <c r="W190" s="184" t="s">
        <v>5611</v>
      </c>
      <c r="X190" s="184" t="s">
        <v>5612</v>
      </c>
    </row>
    <row r="191" customFormat="false" ht="27.75" hidden="false" customHeight="true" outlineLevel="0" collapsed="false">
      <c r="A191" s="184" t="s">
        <v>57</v>
      </c>
      <c r="B191" s="185" t="s">
        <v>5091</v>
      </c>
      <c r="C191" s="184" t="s">
        <v>51</v>
      </c>
      <c r="D191" s="184" t="s">
        <v>2511</v>
      </c>
      <c r="E191" s="184" t="s">
        <v>58</v>
      </c>
      <c r="F191" s="184" t="n">
        <v>7</v>
      </c>
      <c r="G191" s="176" t="s">
        <v>248</v>
      </c>
      <c r="H191" s="184" t="s">
        <v>248</v>
      </c>
      <c r="I191" s="184" t="s">
        <v>5613</v>
      </c>
      <c r="J191" s="184"/>
      <c r="K191" s="184"/>
      <c r="L191" s="184"/>
      <c r="M191" s="184"/>
      <c r="N191" s="184" t="s">
        <v>5614</v>
      </c>
      <c r="O191" s="184" t="s">
        <v>5615</v>
      </c>
      <c r="P191" s="184"/>
      <c r="Q191" s="184"/>
      <c r="R191" s="184"/>
      <c r="S191" s="184"/>
      <c r="T191" s="184" t="s">
        <v>5616</v>
      </c>
      <c r="U191" s="184" t="s">
        <v>59</v>
      </c>
      <c r="V191" s="184"/>
      <c r="W191" s="184"/>
      <c r="X191" s="184"/>
    </row>
    <row r="192" customFormat="false" ht="27.75" hidden="false" customHeight="true" outlineLevel="0" collapsed="false">
      <c r="A192" s="184" t="s">
        <v>57</v>
      </c>
      <c r="B192" s="185" t="s">
        <v>5091</v>
      </c>
      <c r="C192" s="184" t="s">
        <v>51</v>
      </c>
      <c r="D192" s="184" t="s">
        <v>2511</v>
      </c>
      <c r="E192" s="184" t="s">
        <v>58</v>
      </c>
      <c r="F192" s="184" t="n">
        <v>8</v>
      </c>
      <c r="G192" s="177" t="s">
        <v>5245</v>
      </c>
      <c r="H192" s="184" t="s">
        <v>248</v>
      </c>
      <c r="I192" s="184" t="s">
        <v>5179</v>
      </c>
      <c r="J192" s="184"/>
      <c r="K192" s="184"/>
      <c r="L192" s="184"/>
      <c r="M192" s="184"/>
      <c r="N192" s="184" t="s">
        <v>5246</v>
      </c>
      <c r="O192" s="184" t="s">
        <v>5247</v>
      </c>
      <c r="P192" s="184"/>
      <c r="Q192" s="184"/>
      <c r="R192" s="184" t="s">
        <v>5248</v>
      </c>
      <c r="S192" s="184"/>
      <c r="T192" s="184"/>
      <c r="U192" s="184"/>
      <c r="V192" s="184"/>
      <c r="W192" s="184"/>
      <c r="X192" s="184"/>
    </row>
    <row r="193" customFormat="false" ht="41.25" hidden="false" customHeight="true" outlineLevel="0" collapsed="false">
      <c r="A193" s="184" t="s">
        <v>57</v>
      </c>
      <c r="B193" s="185" t="s">
        <v>5091</v>
      </c>
      <c r="C193" s="184" t="s">
        <v>51</v>
      </c>
      <c r="D193" s="184" t="s">
        <v>2511</v>
      </c>
      <c r="E193" s="184" t="s">
        <v>58</v>
      </c>
      <c r="F193" s="184" t="n">
        <v>9</v>
      </c>
      <c r="G193" s="176" t="s">
        <v>5249</v>
      </c>
      <c r="H193" s="184" t="s">
        <v>248</v>
      </c>
      <c r="I193" s="184" t="s">
        <v>5250</v>
      </c>
      <c r="J193" s="184"/>
      <c r="K193" s="184"/>
      <c r="L193" s="184"/>
      <c r="M193" s="184"/>
      <c r="N193" s="184" t="s">
        <v>5617</v>
      </c>
      <c r="O193" s="184" t="s">
        <v>5618</v>
      </c>
      <c r="P193" s="184"/>
      <c r="Q193" s="184"/>
      <c r="R193" s="184"/>
      <c r="S193" s="184"/>
      <c r="T193" s="184"/>
      <c r="U193" s="184"/>
      <c r="V193" s="184"/>
      <c r="W193" s="184"/>
      <c r="X193" s="184"/>
    </row>
    <row r="194" customFormat="false" ht="27.75" hidden="false" customHeight="true" outlineLevel="0" collapsed="false">
      <c r="A194" s="184" t="s">
        <v>57</v>
      </c>
      <c r="B194" s="185" t="s">
        <v>5091</v>
      </c>
      <c r="C194" s="184" t="s">
        <v>51</v>
      </c>
      <c r="D194" s="184" t="s">
        <v>2511</v>
      </c>
      <c r="E194" s="184" t="s">
        <v>58</v>
      </c>
      <c r="F194" s="184" t="n">
        <v>10</v>
      </c>
      <c r="G194" s="176" t="s">
        <v>5253</v>
      </c>
      <c r="H194" s="184" t="s">
        <v>248</v>
      </c>
      <c r="I194" s="184" t="s">
        <v>690</v>
      </c>
      <c r="J194" s="184"/>
      <c r="K194" s="184"/>
      <c r="L194" s="184"/>
      <c r="M194" s="184"/>
      <c r="N194" s="184" t="s">
        <v>5490</v>
      </c>
      <c r="O194" s="184" t="s">
        <v>5619</v>
      </c>
      <c r="P194" s="184"/>
      <c r="Q194" s="184"/>
      <c r="R194" s="184"/>
      <c r="S194" s="184"/>
      <c r="T194" s="184" t="s">
        <v>5620</v>
      </c>
      <c r="U194" s="184" t="s">
        <v>62</v>
      </c>
      <c r="V194" s="184"/>
      <c r="W194" s="184"/>
      <c r="X194" s="184"/>
    </row>
    <row r="195" customFormat="false" ht="27.75" hidden="false" customHeight="true" outlineLevel="0" collapsed="false">
      <c r="A195" s="184" t="s">
        <v>57</v>
      </c>
      <c r="B195" s="185" t="s">
        <v>5091</v>
      </c>
      <c r="C195" s="184" t="s">
        <v>51</v>
      </c>
      <c r="D195" s="184" t="s">
        <v>2511</v>
      </c>
      <c r="E195" s="184" t="s">
        <v>58</v>
      </c>
      <c r="F195" s="184" t="n">
        <v>11</v>
      </c>
      <c r="G195" s="176" t="s">
        <v>5253</v>
      </c>
      <c r="H195" s="184" t="s">
        <v>248</v>
      </c>
      <c r="I195" s="184" t="s">
        <v>692</v>
      </c>
      <c r="J195" s="184"/>
      <c r="K195" s="184"/>
      <c r="L195" s="184"/>
      <c r="M195" s="184"/>
      <c r="N195" s="184" t="s">
        <v>5621</v>
      </c>
      <c r="O195" s="184" t="s">
        <v>5622</v>
      </c>
      <c r="P195" s="184"/>
      <c r="Q195" s="184"/>
      <c r="R195" s="184"/>
      <c r="S195" s="184"/>
      <c r="T195" s="184" t="s">
        <v>5623</v>
      </c>
      <c r="U195" s="184" t="s">
        <v>64</v>
      </c>
      <c r="V195" s="184"/>
      <c r="W195" s="184"/>
      <c r="X195" s="184"/>
    </row>
    <row r="196" customFormat="false" ht="135.75" hidden="false" customHeight="true" outlineLevel="0" collapsed="false">
      <c r="A196" s="184" t="s">
        <v>57</v>
      </c>
      <c r="B196" s="185" t="s">
        <v>5091</v>
      </c>
      <c r="C196" s="184" t="s">
        <v>51</v>
      </c>
      <c r="D196" s="184" t="s">
        <v>2511</v>
      </c>
      <c r="E196" s="184" t="s">
        <v>58</v>
      </c>
      <c r="F196" s="184" t="n">
        <v>12</v>
      </c>
      <c r="G196" s="178" t="s">
        <v>5269</v>
      </c>
      <c r="H196" s="184" t="s">
        <v>5270</v>
      </c>
      <c r="I196" s="186" t="s">
        <v>5271</v>
      </c>
      <c r="J196" s="184"/>
      <c r="K196" s="184"/>
      <c r="L196" s="184"/>
      <c r="M196" s="184"/>
      <c r="N196" s="184" t="s">
        <v>5272</v>
      </c>
      <c r="O196" s="184" t="s">
        <v>5272</v>
      </c>
      <c r="P196" s="184"/>
      <c r="Q196" s="184"/>
      <c r="R196" s="184" t="s">
        <v>5624</v>
      </c>
      <c r="S196" s="184"/>
      <c r="T196" s="184"/>
      <c r="U196" s="184"/>
      <c r="V196" s="184"/>
      <c r="W196" s="184"/>
      <c r="X196" s="184"/>
    </row>
    <row r="197" customFormat="false" ht="68.25" hidden="false" customHeight="true" outlineLevel="0" collapsed="false">
      <c r="A197" s="184" t="s">
        <v>57</v>
      </c>
      <c r="B197" s="185" t="s">
        <v>5091</v>
      </c>
      <c r="C197" s="184" t="s">
        <v>51</v>
      </c>
      <c r="D197" s="184" t="s">
        <v>2511</v>
      </c>
      <c r="E197" s="184" t="s">
        <v>58</v>
      </c>
      <c r="F197" s="184" t="n">
        <v>13</v>
      </c>
      <c r="G197" s="178" t="s">
        <v>5269</v>
      </c>
      <c r="H197" s="184" t="s">
        <v>5270</v>
      </c>
      <c r="I197" s="184" t="s">
        <v>5274</v>
      </c>
      <c r="J197" s="184"/>
      <c r="K197" s="184"/>
      <c r="L197" s="184"/>
      <c r="M197" s="184"/>
      <c r="N197" s="184" t="s">
        <v>5272</v>
      </c>
      <c r="O197" s="184" t="s">
        <v>5272</v>
      </c>
      <c r="P197" s="184"/>
      <c r="Q197" s="184"/>
      <c r="R197" s="184" t="s">
        <v>5520</v>
      </c>
      <c r="S197" s="184"/>
      <c r="T197" s="184"/>
      <c r="U197" s="184"/>
      <c r="V197" s="184"/>
      <c r="W197" s="184"/>
      <c r="X197" s="184"/>
    </row>
    <row r="198" customFormat="false" ht="27.75" hidden="false" customHeight="true" outlineLevel="0" collapsed="false">
      <c r="A198" s="184" t="s">
        <v>57</v>
      </c>
      <c r="B198" s="185" t="s">
        <v>5091</v>
      </c>
      <c r="C198" s="184" t="s">
        <v>51</v>
      </c>
      <c r="D198" s="184" t="s">
        <v>2511</v>
      </c>
      <c r="E198" s="184" t="s">
        <v>58</v>
      </c>
      <c r="F198" s="184" t="n">
        <v>14</v>
      </c>
      <c r="G198" s="177" t="s">
        <v>5276</v>
      </c>
      <c r="H198" s="184" t="s">
        <v>5270</v>
      </c>
      <c r="I198" s="184" t="s">
        <v>5277</v>
      </c>
      <c r="J198" s="184"/>
      <c r="K198" s="184"/>
      <c r="L198" s="184"/>
      <c r="M198" s="184"/>
      <c r="N198" s="184"/>
      <c r="O198" s="184"/>
      <c r="P198" s="184"/>
      <c r="Q198" s="184"/>
      <c r="R198" s="184"/>
      <c r="S198" s="184"/>
      <c r="T198" s="184"/>
      <c r="U198" s="184"/>
      <c r="V198" s="184"/>
      <c r="W198" s="184"/>
      <c r="X198" s="184"/>
    </row>
    <row r="199" customFormat="false" ht="41.25" hidden="false" customHeight="true" outlineLevel="0" collapsed="false">
      <c r="A199" s="184" t="s">
        <v>59</v>
      </c>
      <c r="B199" s="185" t="s">
        <v>5093</v>
      </c>
      <c r="C199" s="184" t="s">
        <v>61</v>
      </c>
      <c r="D199" s="184" t="s">
        <v>5625</v>
      </c>
      <c r="E199" s="184" t="s">
        <v>60</v>
      </c>
      <c r="F199" s="184" t="n">
        <v>1</v>
      </c>
      <c r="G199" s="177" t="s">
        <v>5177</v>
      </c>
      <c r="H199" s="184" t="s">
        <v>5178</v>
      </c>
      <c r="I199" s="184" t="s">
        <v>5179</v>
      </c>
      <c r="J199" s="184"/>
      <c r="K199" s="184"/>
      <c r="L199" s="184"/>
      <c r="M199" s="184"/>
      <c r="N199" s="184" t="s">
        <v>5180</v>
      </c>
      <c r="O199" s="184" t="s">
        <v>5181</v>
      </c>
      <c r="P199" s="184"/>
      <c r="Q199" s="184"/>
      <c r="R199" s="184" t="s">
        <v>5182</v>
      </c>
      <c r="S199" s="184"/>
      <c r="T199" s="184"/>
      <c r="U199" s="184"/>
      <c r="V199" s="184"/>
      <c r="W199" s="184"/>
      <c r="X199" s="184"/>
    </row>
    <row r="200" customFormat="false" ht="27.75" hidden="false" customHeight="true" outlineLevel="0" collapsed="false">
      <c r="A200" s="184" t="s">
        <v>59</v>
      </c>
      <c r="B200" s="185" t="s">
        <v>5093</v>
      </c>
      <c r="C200" s="184" t="s">
        <v>61</v>
      </c>
      <c r="D200" s="184" t="s">
        <v>5625</v>
      </c>
      <c r="E200" s="184" t="s">
        <v>60</v>
      </c>
      <c r="F200" s="184" t="n">
        <v>2</v>
      </c>
      <c r="G200" s="177" t="s">
        <v>5183</v>
      </c>
      <c r="H200" s="184" t="s">
        <v>5178</v>
      </c>
      <c r="I200" s="184" t="s">
        <v>61</v>
      </c>
      <c r="J200" s="184"/>
      <c r="K200" s="184"/>
      <c r="L200" s="184"/>
      <c r="M200" s="184"/>
      <c r="N200" s="184"/>
      <c r="O200" s="184"/>
      <c r="P200" s="184"/>
      <c r="Q200" s="184"/>
      <c r="R200" s="184" t="s">
        <v>5184</v>
      </c>
      <c r="S200" s="184"/>
      <c r="T200" s="184"/>
      <c r="U200" s="184"/>
      <c r="V200" s="184"/>
      <c r="W200" s="184"/>
      <c r="X200" s="184"/>
    </row>
    <row r="201" customFormat="false" ht="27.75" hidden="false" customHeight="true" outlineLevel="0" collapsed="false">
      <c r="A201" s="184" t="s">
        <v>59</v>
      </c>
      <c r="B201" s="185" t="s">
        <v>5093</v>
      </c>
      <c r="C201" s="184" t="s">
        <v>61</v>
      </c>
      <c r="D201" s="184" t="s">
        <v>5625</v>
      </c>
      <c r="E201" s="184" t="s">
        <v>60</v>
      </c>
      <c r="F201" s="184" t="n">
        <v>3</v>
      </c>
      <c r="G201" s="174" t="s">
        <v>4844</v>
      </c>
      <c r="H201" s="184" t="s">
        <v>5185</v>
      </c>
      <c r="I201" s="184" t="s">
        <v>720</v>
      </c>
      <c r="J201" s="184" t="s">
        <v>715</v>
      </c>
      <c r="K201" s="184" t="n">
        <v>20</v>
      </c>
      <c r="L201" s="184" t="n">
        <v>70</v>
      </c>
      <c r="M201" s="184" t="n">
        <v>1</v>
      </c>
      <c r="N201" s="184" t="s">
        <v>5626</v>
      </c>
      <c r="O201" s="184" t="s">
        <v>5627</v>
      </c>
      <c r="P201" s="184" t="s">
        <v>5628</v>
      </c>
      <c r="Q201" s="184"/>
      <c r="R201" s="184"/>
      <c r="S201" s="184"/>
      <c r="T201" s="184" t="s">
        <v>5629</v>
      </c>
      <c r="U201" s="184" t="s">
        <v>5630</v>
      </c>
      <c r="V201" s="184" t="n">
        <v>40</v>
      </c>
      <c r="W201" s="184" t="s">
        <v>5631</v>
      </c>
      <c r="X201" s="184" t="s">
        <v>5632</v>
      </c>
    </row>
    <row r="202" customFormat="false" ht="41.25" hidden="false" customHeight="true" outlineLevel="0" collapsed="false">
      <c r="A202" s="184" t="s">
        <v>59</v>
      </c>
      <c r="B202" s="185" t="s">
        <v>5093</v>
      </c>
      <c r="C202" s="184" t="s">
        <v>61</v>
      </c>
      <c r="D202" s="184" t="s">
        <v>5625</v>
      </c>
      <c r="E202" s="184" t="s">
        <v>60</v>
      </c>
      <c r="F202" s="184" t="n">
        <v>4</v>
      </c>
      <c r="G202" s="174" t="s">
        <v>4844</v>
      </c>
      <c r="H202" s="184" t="s">
        <v>5185</v>
      </c>
      <c r="I202" s="184" t="s">
        <v>722</v>
      </c>
      <c r="J202" s="184" t="s">
        <v>715</v>
      </c>
      <c r="K202" s="184" t="n">
        <v>21</v>
      </c>
      <c r="L202" s="184" t="n">
        <v>104</v>
      </c>
      <c r="M202" s="184" t="n">
        <v>1</v>
      </c>
      <c r="N202" s="184" t="s">
        <v>5211</v>
      </c>
      <c r="O202" s="184" t="s">
        <v>5633</v>
      </c>
      <c r="P202" s="184" t="s">
        <v>5634</v>
      </c>
      <c r="Q202" s="184"/>
      <c r="R202" s="184" t="s">
        <v>5635</v>
      </c>
      <c r="S202" s="184" t="s">
        <v>5215</v>
      </c>
      <c r="T202" s="184" t="s">
        <v>5636</v>
      </c>
      <c r="U202" s="184" t="s">
        <v>5637</v>
      </c>
      <c r="V202" s="184" t="n">
        <v>65</v>
      </c>
      <c r="W202" s="184" t="s">
        <v>5638</v>
      </c>
      <c r="X202" s="184" t="s">
        <v>5639</v>
      </c>
    </row>
    <row r="203" customFormat="false" ht="27.75" hidden="false" customHeight="true" outlineLevel="0" collapsed="false">
      <c r="A203" s="184" t="s">
        <v>59</v>
      </c>
      <c r="B203" s="185" t="s">
        <v>5093</v>
      </c>
      <c r="C203" s="184" t="s">
        <v>61</v>
      </c>
      <c r="D203" s="184" t="s">
        <v>5625</v>
      </c>
      <c r="E203" s="184" t="s">
        <v>60</v>
      </c>
      <c r="F203" s="184" t="n">
        <v>5</v>
      </c>
      <c r="G203" s="174" t="s">
        <v>4844</v>
      </c>
      <c r="H203" s="184" t="s">
        <v>5185</v>
      </c>
      <c r="I203" s="184" t="s">
        <v>724</v>
      </c>
      <c r="J203" s="184" t="s">
        <v>227</v>
      </c>
      <c r="K203" s="184" t="n">
        <v>0</v>
      </c>
      <c r="L203" s="184" t="n">
        <v>1500000</v>
      </c>
      <c r="M203" s="184" t="n">
        <v>1000</v>
      </c>
      <c r="N203" s="184" t="s">
        <v>5186</v>
      </c>
      <c r="O203" s="184" t="s">
        <v>5640</v>
      </c>
      <c r="P203" s="184" t="s">
        <v>5641</v>
      </c>
      <c r="Q203" s="184"/>
      <c r="R203" s="184"/>
      <c r="S203" s="184"/>
      <c r="T203" s="184" t="s">
        <v>5642</v>
      </c>
      <c r="U203" s="184" t="s">
        <v>5643</v>
      </c>
      <c r="V203" s="184" t="n">
        <v>60000</v>
      </c>
      <c r="W203" s="184" t="s">
        <v>5644</v>
      </c>
      <c r="X203" s="184" t="s">
        <v>5645</v>
      </c>
    </row>
    <row r="204" customFormat="false" ht="27.75" hidden="false" customHeight="true" outlineLevel="0" collapsed="false">
      <c r="A204" s="184" t="s">
        <v>59</v>
      </c>
      <c r="B204" s="185" t="s">
        <v>5093</v>
      </c>
      <c r="C204" s="184" t="s">
        <v>61</v>
      </c>
      <c r="D204" s="184" t="s">
        <v>5625</v>
      </c>
      <c r="E204" s="184" t="s">
        <v>60</v>
      </c>
      <c r="F204" s="184" t="n">
        <v>6</v>
      </c>
      <c r="G204" s="174" t="s">
        <v>4844</v>
      </c>
      <c r="H204" s="184" t="s">
        <v>5185</v>
      </c>
      <c r="I204" s="184" t="s">
        <v>726</v>
      </c>
      <c r="J204" s="184" t="s">
        <v>227</v>
      </c>
      <c r="K204" s="184" t="n">
        <v>0</v>
      </c>
      <c r="L204" s="184" t="n">
        <v>5000</v>
      </c>
      <c r="M204" s="184" t="n">
        <v>10</v>
      </c>
      <c r="N204" s="184" t="s">
        <v>5646</v>
      </c>
      <c r="O204" s="184" t="s">
        <v>5647</v>
      </c>
      <c r="P204" s="184" t="s">
        <v>5648</v>
      </c>
      <c r="Q204" s="184"/>
      <c r="R204" s="184"/>
      <c r="S204" s="184"/>
      <c r="T204" s="184" t="s">
        <v>5649</v>
      </c>
      <c r="U204" s="184" t="s">
        <v>5650</v>
      </c>
      <c r="V204" s="184" t="n">
        <v>500</v>
      </c>
      <c r="W204" s="184" t="s">
        <v>5651</v>
      </c>
      <c r="X204" s="184" t="s">
        <v>5652</v>
      </c>
    </row>
    <row r="205" customFormat="false" ht="27.75" hidden="false" customHeight="true" outlineLevel="0" collapsed="false">
      <c r="A205" s="184" t="s">
        <v>59</v>
      </c>
      <c r="B205" s="185" t="s">
        <v>5093</v>
      </c>
      <c r="C205" s="184" t="s">
        <v>61</v>
      </c>
      <c r="D205" s="184" t="s">
        <v>5625</v>
      </c>
      <c r="E205" s="184" t="s">
        <v>60</v>
      </c>
      <c r="F205" s="184" t="n">
        <v>7</v>
      </c>
      <c r="G205" s="174" t="s">
        <v>4844</v>
      </c>
      <c r="H205" s="184" t="s">
        <v>5185</v>
      </c>
      <c r="I205" s="184" t="s">
        <v>5653</v>
      </c>
      <c r="J205" s="184" t="s">
        <v>227</v>
      </c>
      <c r="K205" s="184" t="n">
        <v>10000</v>
      </c>
      <c r="L205" s="184" t="n">
        <v>150000</v>
      </c>
      <c r="M205" s="184" t="n">
        <v>1000</v>
      </c>
      <c r="N205" s="184" t="s">
        <v>5654</v>
      </c>
      <c r="O205" s="184" t="s">
        <v>5655</v>
      </c>
      <c r="P205" s="184" t="s">
        <v>5206</v>
      </c>
      <c r="Q205" s="184"/>
      <c r="R205" s="184"/>
      <c r="S205" s="184"/>
      <c r="T205" s="184" t="s">
        <v>5656</v>
      </c>
      <c r="U205" s="184" t="s">
        <v>5657</v>
      </c>
      <c r="V205" s="184" t="n">
        <v>40000</v>
      </c>
      <c r="W205" s="184" t="s">
        <v>5658</v>
      </c>
      <c r="X205" s="184" t="s">
        <v>5659</v>
      </c>
    </row>
    <row r="206" customFormat="false" ht="41.25" hidden="false" customHeight="true" outlineLevel="0" collapsed="false">
      <c r="A206" s="184" t="s">
        <v>59</v>
      </c>
      <c r="B206" s="185" t="s">
        <v>5093</v>
      </c>
      <c r="C206" s="184" t="s">
        <v>61</v>
      </c>
      <c r="D206" s="184" t="s">
        <v>5625</v>
      </c>
      <c r="E206" s="184" t="s">
        <v>60</v>
      </c>
      <c r="F206" s="184" t="n">
        <v>8</v>
      </c>
      <c r="G206" s="174" t="s">
        <v>4844</v>
      </c>
      <c r="H206" s="184" t="s">
        <v>5185</v>
      </c>
      <c r="I206" s="184" t="s">
        <v>5660</v>
      </c>
      <c r="J206" s="184" t="s">
        <v>227</v>
      </c>
      <c r="K206" s="184" t="n">
        <v>0</v>
      </c>
      <c r="L206" s="184" t="n">
        <v>50000</v>
      </c>
      <c r="M206" s="184" t="n">
        <v>500</v>
      </c>
      <c r="N206" s="184" t="s">
        <v>5211</v>
      </c>
      <c r="O206" s="184" t="s">
        <v>5661</v>
      </c>
      <c r="P206" s="184" t="s">
        <v>5662</v>
      </c>
      <c r="Q206" s="184"/>
      <c r="R206" s="184" t="s">
        <v>5663</v>
      </c>
      <c r="S206" s="184" t="s">
        <v>5215</v>
      </c>
      <c r="T206" s="184" t="s">
        <v>5664</v>
      </c>
      <c r="U206" s="184" t="s">
        <v>5665</v>
      </c>
      <c r="V206" s="184" t="n">
        <v>15564</v>
      </c>
      <c r="W206" s="184" t="s">
        <v>5237</v>
      </c>
      <c r="X206" s="184" t="s">
        <v>5666</v>
      </c>
    </row>
    <row r="207" customFormat="false" ht="27.75" hidden="false" customHeight="true" outlineLevel="0" collapsed="false">
      <c r="A207" s="184" t="s">
        <v>59</v>
      </c>
      <c r="B207" s="185" t="s">
        <v>5093</v>
      </c>
      <c r="C207" s="184" t="s">
        <v>61</v>
      </c>
      <c r="D207" s="184" t="s">
        <v>5625</v>
      </c>
      <c r="E207" s="184" t="s">
        <v>60</v>
      </c>
      <c r="F207" s="184" t="n">
        <v>9</v>
      </c>
      <c r="G207" s="174" t="s">
        <v>4844</v>
      </c>
      <c r="H207" s="184" t="s">
        <v>5185</v>
      </c>
      <c r="I207" s="184" t="s">
        <v>747</v>
      </c>
      <c r="J207" s="184" t="s">
        <v>238</v>
      </c>
      <c r="K207" s="184" t="n">
        <v>1</v>
      </c>
      <c r="L207" s="184" t="n">
        <v>7</v>
      </c>
      <c r="M207" s="184" t="n">
        <v>0.25</v>
      </c>
      <c r="N207" s="184" t="s">
        <v>5667</v>
      </c>
      <c r="O207" s="184" t="s">
        <v>5667</v>
      </c>
      <c r="P207" s="184" t="s">
        <v>5668</v>
      </c>
      <c r="Q207" s="184"/>
      <c r="R207" s="184"/>
      <c r="S207" s="184" t="s">
        <v>5454</v>
      </c>
      <c r="T207" s="184" t="s">
        <v>5669</v>
      </c>
      <c r="U207" s="184" t="s">
        <v>5670</v>
      </c>
      <c r="V207" s="184" t="s">
        <v>5667</v>
      </c>
      <c r="W207" s="184" t="s">
        <v>5671</v>
      </c>
      <c r="X207" s="184" t="s">
        <v>5672</v>
      </c>
    </row>
    <row r="208" customFormat="false" ht="68.25" hidden="false" customHeight="true" outlineLevel="0" collapsed="false">
      <c r="A208" s="184" t="s">
        <v>59</v>
      </c>
      <c r="B208" s="185" t="s">
        <v>5093</v>
      </c>
      <c r="C208" s="184" t="s">
        <v>61</v>
      </c>
      <c r="D208" s="184" t="s">
        <v>5625</v>
      </c>
      <c r="E208" s="184" t="s">
        <v>60</v>
      </c>
      <c r="F208" s="184" t="n">
        <v>10</v>
      </c>
      <c r="G208" s="174" t="s">
        <v>4846</v>
      </c>
      <c r="H208" s="184" t="s">
        <v>5227</v>
      </c>
      <c r="I208" s="184" t="s">
        <v>1434</v>
      </c>
      <c r="J208" s="184" t="s">
        <v>238</v>
      </c>
      <c r="K208" s="184"/>
      <c r="L208" s="184"/>
      <c r="M208" s="184"/>
      <c r="N208" s="184" t="s">
        <v>5460</v>
      </c>
      <c r="O208" s="184" t="s">
        <v>5460</v>
      </c>
      <c r="P208" s="184" t="s">
        <v>5206</v>
      </c>
      <c r="Q208" s="184" t="s">
        <v>5461</v>
      </c>
      <c r="R208" s="184" t="s">
        <v>5673</v>
      </c>
      <c r="S208" s="184" t="s">
        <v>5454</v>
      </c>
      <c r="T208" s="184"/>
      <c r="U208" s="184"/>
      <c r="V208" s="184"/>
      <c r="W208" s="184"/>
      <c r="X208" s="184" t="s">
        <v>5232</v>
      </c>
    </row>
    <row r="209" customFormat="false" ht="95.25" hidden="false" customHeight="true" outlineLevel="0" collapsed="false">
      <c r="A209" s="184" t="s">
        <v>59</v>
      </c>
      <c r="B209" s="185" t="s">
        <v>5093</v>
      </c>
      <c r="C209" s="184" t="s">
        <v>61</v>
      </c>
      <c r="D209" s="184" t="s">
        <v>5625</v>
      </c>
      <c r="E209" s="184" t="s">
        <v>60</v>
      </c>
      <c r="F209" s="184" t="n">
        <v>11</v>
      </c>
      <c r="G209" s="174" t="s">
        <v>4846</v>
      </c>
      <c r="H209" s="184" t="s">
        <v>5227</v>
      </c>
      <c r="I209" s="184" t="s">
        <v>5674</v>
      </c>
      <c r="J209" s="184"/>
      <c r="K209" s="184"/>
      <c r="L209" s="184"/>
      <c r="M209" s="184"/>
      <c r="N209" s="184" t="s">
        <v>5675</v>
      </c>
      <c r="O209" s="184" t="s">
        <v>5675</v>
      </c>
      <c r="P209" s="184" t="s">
        <v>5206</v>
      </c>
      <c r="Q209" s="184" t="s">
        <v>5676</v>
      </c>
      <c r="R209" s="184" t="s">
        <v>5677</v>
      </c>
      <c r="S209" s="184" t="s">
        <v>5454</v>
      </c>
      <c r="T209" s="184"/>
      <c r="U209" s="184"/>
      <c r="V209" s="184"/>
      <c r="W209" s="184"/>
      <c r="X209" s="184" t="s">
        <v>5232</v>
      </c>
    </row>
    <row r="210" customFormat="false" ht="122.25" hidden="false" customHeight="true" outlineLevel="0" collapsed="false">
      <c r="A210" s="184" t="s">
        <v>59</v>
      </c>
      <c r="B210" s="185" t="s">
        <v>5093</v>
      </c>
      <c r="C210" s="184" t="s">
        <v>61</v>
      </c>
      <c r="D210" s="184" t="s">
        <v>5625</v>
      </c>
      <c r="E210" s="184" t="s">
        <v>60</v>
      </c>
      <c r="F210" s="184" t="n">
        <v>12</v>
      </c>
      <c r="G210" s="174" t="s">
        <v>4846</v>
      </c>
      <c r="H210" s="184" t="s">
        <v>5227</v>
      </c>
      <c r="I210" s="184" t="s">
        <v>5678</v>
      </c>
      <c r="J210" s="184" t="s">
        <v>238</v>
      </c>
      <c r="K210" s="184"/>
      <c r="L210" s="184"/>
      <c r="M210" s="184"/>
      <c r="N210" s="184" t="s">
        <v>5679</v>
      </c>
      <c r="O210" s="184" t="s">
        <v>5679</v>
      </c>
      <c r="P210" s="184" t="s">
        <v>5206</v>
      </c>
      <c r="Q210" s="184" t="s">
        <v>5680</v>
      </c>
      <c r="R210" s="184" t="s">
        <v>5681</v>
      </c>
      <c r="S210" s="184" t="s">
        <v>5454</v>
      </c>
      <c r="T210" s="184"/>
      <c r="U210" s="184"/>
      <c r="V210" s="184"/>
      <c r="W210" s="184"/>
      <c r="X210" s="184" t="s">
        <v>5232</v>
      </c>
    </row>
    <row r="211" customFormat="false" ht="162" hidden="false" customHeight="true" outlineLevel="0" collapsed="false">
      <c r="A211" s="184" t="s">
        <v>59</v>
      </c>
      <c r="B211" s="185" t="s">
        <v>5093</v>
      </c>
      <c r="C211" s="184" t="s">
        <v>61</v>
      </c>
      <c r="D211" s="184" t="s">
        <v>5625</v>
      </c>
      <c r="E211" s="184" t="s">
        <v>60</v>
      </c>
      <c r="F211" s="184" t="n">
        <v>13</v>
      </c>
      <c r="G211" s="174" t="s">
        <v>4848</v>
      </c>
      <c r="H211" s="184" t="s">
        <v>5227</v>
      </c>
      <c r="I211" s="184" t="s">
        <v>5682</v>
      </c>
      <c r="J211" s="184"/>
      <c r="K211" s="184"/>
      <c r="L211" s="184"/>
      <c r="M211" s="184"/>
      <c r="N211" s="184" t="s">
        <v>5683</v>
      </c>
      <c r="O211" s="184" t="s">
        <v>5683</v>
      </c>
      <c r="P211" s="184" t="s">
        <v>5206</v>
      </c>
      <c r="Q211" s="184" t="s">
        <v>5684</v>
      </c>
      <c r="R211" s="184" t="s">
        <v>5685</v>
      </c>
      <c r="S211" s="184" t="s">
        <v>5454</v>
      </c>
      <c r="T211" s="184"/>
      <c r="U211" s="184"/>
      <c r="V211" s="184"/>
      <c r="W211" s="184"/>
      <c r="X211" s="184" t="s">
        <v>5232</v>
      </c>
    </row>
    <row r="212" customFormat="false" ht="27.75" hidden="false" customHeight="true" outlineLevel="0" collapsed="false">
      <c r="A212" s="184" t="s">
        <v>59</v>
      </c>
      <c r="B212" s="185" t="s">
        <v>5093</v>
      </c>
      <c r="C212" s="184" t="s">
        <v>61</v>
      </c>
      <c r="D212" s="184" t="s">
        <v>5625</v>
      </c>
      <c r="E212" s="184" t="s">
        <v>60</v>
      </c>
      <c r="F212" s="184" t="n">
        <v>14</v>
      </c>
      <c r="G212" s="174" t="s">
        <v>4844</v>
      </c>
      <c r="H212" s="184" t="s">
        <v>5233</v>
      </c>
      <c r="I212" s="184" t="s">
        <v>5686</v>
      </c>
      <c r="J212" s="184" t="s">
        <v>5221</v>
      </c>
      <c r="K212" s="184" t="n">
        <v>0</v>
      </c>
      <c r="L212" s="184" t="n">
        <v>5</v>
      </c>
      <c r="M212" s="184" t="n">
        <v>1</v>
      </c>
      <c r="N212" s="184" t="s">
        <v>5687</v>
      </c>
      <c r="O212" s="184" t="s">
        <v>5687</v>
      </c>
      <c r="P212" s="184" t="s">
        <v>5201</v>
      </c>
      <c r="Q212" s="184"/>
      <c r="R212" s="184"/>
      <c r="S212" s="184"/>
      <c r="T212" s="184" t="s">
        <v>5688</v>
      </c>
      <c r="U212" s="184" t="s">
        <v>5689</v>
      </c>
      <c r="V212" s="184" t="n">
        <v>0</v>
      </c>
      <c r="W212" s="184" t="s">
        <v>5690</v>
      </c>
      <c r="X212" s="184" t="s">
        <v>5691</v>
      </c>
    </row>
    <row r="213" customFormat="false" ht="27.75" hidden="false" customHeight="true" outlineLevel="0" collapsed="false">
      <c r="A213" s="184" t="s">
        <v>59</v>
      </c>
      <c r="B213" s="185" t="s">
        <v>5093</v>
      </c>
      <c r="C213" s="184" t="s">
        <v>61</v>
      </c>
      <c r="D213" s="184" t="s">
        <v>5625</v>
      </c>
      <c r="E213" s="184" t="s">
        <v>60</v>
      </c>
      <c r="F213" s="184" t="n">
        <v>15</v>
      </c>
      <c r="G213" s="174" t="s">
        <v>4844</v>
      </c>
      <c r="H213" s="184" t="s">
        <v>5233</v>
      </c>
      <c r="I213" s="184" t="s">
        <v>5692</v>
      </c>
      <c r="J213" s="184" t="s">
        <v>227</v>
      </c>
      <c r="K213" s="184" t="n">
        <v>0</v>
      </c>
      <c r="L213" s="184" t="n">
        <v>1500</v>
      </c>
      <c r="M213" s="184" t="n">
        <v>50</v>
      </c>
      <c r="N213" s="184" t="s">
        <v>5193</v>
      </c>
      <c r="O213" s="184" t="s">
        <v>5193</v>
      </c>
      <c r="P213" s="184" t="s">
        <v>5201</v>
      </c>
      <c r="Q213" s="184"/>
      <c r="R213" s="184"/>
      <c r="S213" s="184"/>
      <c r="T213" s="184" t="s">
        <v>5693</v>
      </c>
      <c r="U213" s="184" t="s">
        <v>5694</v>
      </c>
      <c r="V213" s="184" t="n">
        <v>0</v>
      </c>
      <c r="W213" s="184" t="s">
        <v>5336</v>
      </c>
      <c r="X213" s="184" t="s">
        <v>5337</v>
      </c>
    </row>
    <row r="214" customFormat="false" ht="54.75" hidden="false" customHeight="true" outlineLevel="0" collapsed="false">
      <c r="A214" s="184" t="s">
        <v>59</v>
      </c>
      <c r="B214" s="185" t="s">
        <v>5093</v>
      </c>
      <c r="C214" s="184" t="s">
        <v>61</v>
      </c>
      <c r="D214" s="184" t="s">
        <v>5625</v>
      </c>
      <c r="E214" s="184" t="s">
        <v>60</v>
      </c>
      <c r="F214" s="184" t="n">
        <v>16</v>
      </c>
      <c r="G214" s="174" t="s">
        <v>4844</v>
      </c>
      <c r="H214" s="184" t="s">
        <v>5233</v>
      </c>
      <c r="I214" s="184" t="s">
        <v>5695</v>
      </c>
      <c r="J214" s="184" t="s">
        <v>227</v>
      </c>
      <c r="K214" s="184" t="n">
        <v>0</v>
      </c>
      <c r="L214" s="184" t="n">
        <v>20000</v>
      </c>
      <c r="M214" s="184" t="n">
        <v>500</v>
      </c>
      <c r="N214" s="184" t="s">
        <v>5193</v>
      </c>
      <c r="O214" s="184" t="s">
        <v>5193</v>
      </c>
      <c r="P214" s="184" t="s">
        <v>5201</v>
      </c>
      <c r="Q214" s="184"/>
      <c r="R214" s="184"/>
      <c r="S214" s="184"/>
      <c r="T214" s="184" t="s">
        <v>5696</v>
      </c>
      <c r="U214" s="184" t="s">
        <v>5697</v>
      </c>
      <c r="V214" s="184" t="n">
        <v>0</v>
      </c>
      <c r="W214" s="184" t="s">
        <v>5698</v>
      </c>
      <c r="X214" s="184" t="s">
        <v>5699</v>
      </c>
    </row>
    <row r="215" customFormat="false" ht="27.75" hidden="false" customHeight="true" outlineLevel="0" collapsed="false">
      <c r="A215" s="184" t="s">
        <v>59</v>
      </c>
      <c r="B215" s="185" t="s">
        <v>5093</v>
      </c>
      <c r="C215" s="184" t="s">
        <v>61</v>
      </c>
      <c r="D215" s="184" t="s">
        <v>5625</v>
      </c>
      <c r="E215" s="184" t="s">
        <v>60</v>
      </c>
      <c r="F215" s="184" t="n">
        <v>17</v>
      </c>
      <c r="G215" s="177" t="s">
        <v>5183</v>
      </c>
      <c r="H215" s="184" t="s">
        <v>5504</v>
      </c>
      <c r="I215" s="184" t="s">
        <v>5505</v>
      </c>
      <c r="J215" s="184"/>
      <c r="K215" s="184"/>
      <c r="L215" s="184"/>
      <c r="M215" s="184"/>
      <c r="N215" s="184"/>
      <c r="O215" s="184"/>
      <c r="P215" s="184"/>
      <c r="Q215" s="184"/>
      <c r="R215" s="184"/>
      <c r="S215" s="184"/>
      <c r="T215" s="184"/>
      <c r="U215" s="184"/>
      <c r="V215" s="184"/>
      <c r="W215" s="184"/>
      <c r="X215" s="184"/>
    </row>
    <row r="216" customFormat="false" ht="54.75" hidden="false" customHeight="true" outlineLevel="0" collapsed="false">
      <c r="A216" s="184" t="s">
        <v>59</v>
      </c>
      <c r="B216" s="185" t="s">
        <v>5093</v>
      </c>
      <c r="C216" s="184" t="s">
        <v>61</v>
      </c>
      <c r="D216" s="184" t="s">
        <v>5625</v>
      </c>
      <c r="E216" s="184" t="s">
        <v>60</v>
      </c>
      <c r="F216" s="184" t="n">
        <v>18</v>
      </c>
      <c r="G216" s="175" t="s">
        <v>4850</v>
      </c>
      <c r="H216" s="184" t="s">
        <v>248</v>
      </c>
      <c r="I216" s="184" t="s">
        <v>5700</v>
      </c>
      <c r="J216" s="184"/>
      <c r="K216" s="184"/>
      <c r="L216" s="184"/>
      <c r="M216" s="184"/>
      <c r="N216" s="184" t="s">
        <v>5701</v>
      </c>
      <c r="O216" s="184" t="s">
        <v>5240</v>
      </c>
      <c r="P216" s="184"/>
      <c r="Q216" s="184"/>
      <c r="R216" s="184" t="s">
        <v>5241</v>
      </c>
      <c r="S216" s="184"/>
      <c r="T216" s="184"/>
      <c r="U216" s="184"/>
      <c r="V216" s="184"/>
      <c r="W216" s="184"/>
      <c r="X216" s="184"/>
    </row>
    <row r="217" customFormat="false" ht="27.75" hidden="false" customHeight="true" outlineLevel="0" collapsed="false">
      <c r="A217" s="184" t="s">
        <v>59</v>
      </c>
      <c r="B217" s="185" t="s">
        <v>5093</v>
      </c>
      <c r="C217" s="184" t="s">
        <v>61</v>
      </c>
      <c r="D217" s="184" t="s">
        <v>5625</v>
      </c>
      <c r="E217" s="184" t="s">
        <v>60</v>
      </c>
      <c r="F217" s="184" t="n">
        <v>19</v>
      </c>
      <c r="G217" s="176" t="s">
        <v>248</v>
      </c>
      <c r="H217" s="184" t="s">
        <v>248</v>
      </c>
      <c r="I217" s="184" t="s">
        <v>751</v>
      </c>
      <c r="J217" s="184"/>
      <c r="K217" s="184"/>
      <c r="L217" s="184"/>
      <c r="M217" s="184"/>
      <c r="N217" s="184" t="s">
        <v>5702</v>
      </c>
      <c r="O217" s="184" t="s">
        <v>5703</v>
      </c>
      <c r="P217" s="184"/>
      <c r="Q217" s="184"/>
      <c r="R217" s="184"/>
      <c r="S217" s="184"/>
      <c r="T217" s="184" t="s">
        <v>5704</v>
      </c>
      <c r="U217" s="184" t="s">
        <v>5705</v>
      </c>
      <c r="V217" s="184"/>
      <c r="W217" s="184"/>
      <c r="X217" s="184"/>
    </row>
    <row r="218" customFormat="false" ht="350.25" hidden="false" customHeight="true" outlineLevel="0" collapsed="false">
      <c r="A218" s="184" t="s">
        <v>59</v>
      </c>
      <c r="B218" s="185" t="s">
        <v>5093</v>
      </c>
      <c r="C218" s="184" t="s">
        <v>61</v>
      </c>
      <c r="D218" s="184" t="s">
        <v>5625</v>
      </c>
      <c r="E218" s="184" t="s">
        <v>60</v>
      </c>
      <c r="F218" s="184" t="n">
        <v>20</v>
      </c>
      <c r="G218" s="176" t="s">
        <v>5249</v>
      </c>
      <c r="H218" s="184" t="s">
        <v>248</v>
      </c>
      <c r="I218" s="184" t="s">
        <v>5250</v>
      </c>
      <c r="J218" s="184"/>
      <c r="K218" s="184"/>
      <c r="L218" s="184"/>
      <c r="M218" s="184"/>
      <c r="N218" s="184"/>
      <c r="O218" s="184" t="s">
        <v>5706</v>
      </c>
      <c r="P218" s="184"/>
      <c r="Q218" s="184"/>
      <c r="R218" s="184"/>
      <c r="S218" s="184"/>
      <c r="T218" s="184"/>
      <c r="U218" s="184"/>
      <c r="V218" s="184"/>
      <c r="W218" s="184"/>
      <c r="X218" s="184"/>
    </row>
    <row r="219" customFormat="false" ht="27.75" hidden="false" customHeight="true" outlineLevel="0" collapsed="false">
      <c r="A219" s="184" t="s">
        <v>59</v>
      </c>
      <c r="B219" s="185" t="s">
        <v>5093</v>
      </c>
      <c r="C219" s="184" t="s">
        <v>61</v>
      </c>
      <c r="D219" s="184" t="s">
        <v>5625</v>
      </c>
      <c r="E219" s="184" t="s">
        <v>60</v>
      </c>
      <c r="F219" s="184" t="n">
        <v>21</v>
      </c>
      <c r="G219" s="176" t="s">
        <v>5253</v>
      </c>
      <c r="H219" s="184" t="s">
        <v>248</v>
      </c>
      <c r="I219" s="184" t="s">
        <v>753</v>
      </c>
      <c r="J219" s="184"/>
      <c r="K219" s="184"/>
      <c r="L219" s="184"/>
      <c r="M219" s="184"/>
      <c r="N219" s="184"/>
      <c r="O219" s="184" t="s">
        <v>5707</v>
      </c>
      <c r="P219" s="184"/>
      <c r="Q219" s="184"/>
      <c r="R219" s="184"/>
      <c r="S219" s="184"/>
      <c r="T219" s="184" t="s">
        <v>5708</v>
      </c>
      <c r="U219" s="184" t="s">
        <v>5709</v>
      </c>
      <c r="V219" s="184"/>
      <c r="W219" s="184"/>
      <c r="X219" s="184"/>
    </row>
    <row r="220" customFormat="false" ht="27.75" hidden="false" customHeight="true" outlineLevel="0" collapsed="false">
      <c r="A220" s="184" t="s">
        <v>59</v>
      </c>
      <c r="B220" s="185" t="s">
        <v>5093</v>
      </c>
      <c r="C220" s="184" t="s">
        <v>61</v>
      </c>
      <c r="D220" s="184" t="s">
        <v>5625</v>
      </c>
      <c r="E220" s="184" t="s">
        <v>60</v>
      </c>
      <c r="F220" s="184" t="n">
        <v>22</v>
      </c>
      <c r="G220" s="176" t="s">
        <v>5253</v>
      </c>
      <c r="H220" s="184" t="s">
        <v>248</v>
      </c>
      <c r="I220" s="184" t="s">
        <v>755</v>
      </c>
      <c r="J220" s="184"/>
      <c r="K220" s="184"/>
      <c r="L220" s="184"/>
      <c r="M220" s="184"/>
      <c r="N220" s="184"/>
      <c r="O220" s="184" t="s">
        <v>5710</v>
      </c>
      <c r="P220" s="184"/>
      <c r="Q220" s="184"/>
      <c r="R220" s="184"/>
      <c r="S220" s="184"/>
      <c r="T220" s="184" t="s">
        <v>5711</v>
      </c>
      <c r="U220" s="184" t="s">
        <v>5712</v>
      </c>
      <c r="V220" s="184"/>
      <c r="W220" s="184"/>
      <c r="X220" s="184"/>
    </row>
    <row r="221" customFormat="false" ht="41.25" hidden="false" customHeight="true" outlineLevel="0" collapsed="false">
      <c r="A221" s="184" t="s">
        <v>59</v>
      </c>
      <c r="B221" s="185" t="s">
        <v>5093</v>
      </c>
      <c r="C221" s="184" t="s">
        <v>61</v>
      </c>
      <c r="D221" s="184" t="s">
        <v>5625</v>
      </c>
      <c r="E221" s="184" t="s">
        <v>60</v>
      </c>
      <c r="F221" s="184" t="n">
        <v>23</v>
      </c>
      <c r="G221" s="176" t="s">
        <v>5253</v>
      </c>
      <c r="H221" s="184" t="s">
        <v>248</v>
      </c>
      <c r="I221" s="184" t="s">
        <v>5713</v>
      </c>
      <c r="J221" s="184"/>
      <c r="K221" s="184"/>
      <c r="L221" s="184"/>
      <c r="M221" s="184"/>
      <c r="N221" s="184"/>
      <c r="O221" s="184" t="s">
        <v>5714</v>
      </c>
      <c r="P221" s="184"/>
      <c r="Q221" s="184"/>
      <c r="R221" s="184"/>
      <c r="S221" s="184"/>
      <c r="T221" s="184" t="s">
        <v>5715</v>
      </c>
      <c r="U221" s="184" t="s">
        <v>5716</v>
      </c>
      <c r="V221" s="184"/>
      <c r="W221" s="184"/>
      <c r="X221" s="184"/>
    </row>
    <row r="222" customFormat="false" ht="27.75" hidden="false" customHeight="true" outlineLevel="0" collapsed="false">
      <c r="A222" s="184" t="s">
        <v>59</v>
      </c>
      <c r="B222" s="185" t="s">
        <v>5093</v>
      </c>
      <c r="C222" s="184" t="s">
        <v>61</v>
      </c>
      <c r="D222" s="184" t="s">
        <v>5625</v>
      </c>
      <c r="E222" s="184" t="s">
        <v>60</v>
      </c>
      <c r="F222" s="184" t="n">
        <v>24</v>
      </c>
      <c r="G222" s="176" t="s">
        <v>5253</v>
      </c>
      <c r="H222" s="184" t="s">
        <v>248</v>
      </c>
      <c r="I222" s="184" t="s">
        <v>5717</v>
      </c>
      <c r="J222" s="184"/>
      <c r="K222" s="184"/>
      <c r="L222" s="184"/>
      <c r="M222" s="184"/>
      <c r="N222" s="184"/>
      <c r="O222" s="184" t="s">
        <v>5718</v>
      </c>
      <c r="P222" s="184"/>
      <c r="Q222" s="184"/>
      <c r="R222" s="184"/>
      <c r="S222" s="184"/>
      <c r="T222" s="184"/>
      <c r="U222" s="184"/>
      <c r="V222" s="184"/>
      <c r="W222" s="184"/>
      <c r="X222" s="184"/>
    </row>
    <row r="223" customFormat="false" ht="27.75" hidden="false" customHeight="true" outlineLevel="0" collapsed="false">
      <c r="A223" s="184" t="s">
        <v>59</v>
      </c>
      <c r="B223" s="185" t="s">
        <v>5093</v>
      </c>
      <c r="C223" s="184" t="s">
        <v>61</v>
      </c>
      <c r="D223" s="184" t="s">
        <v>5625</v>
      </c>
      <c r="E223" s="184" t="s">
        <v>60</v>
      </c>
      <c r="F223" s="184" t="n">
        <v>25</v>
      </c>
      <c r="G223" s="176" t="s">
        <v>5253</v>
      </c>
      <c r="H223" s="184" t="s">
        <v>248</v>
      </c>
      <c r="I223" s="184" t="s">
        <v>5719</v>
      </c>
      <c r="J223" s="184"/>
      <c r="K223" s="184"/>
      <c r="L223" s="184"/>
      <c r="M223" s="184"/>
      <c r="N223" s="184"/>
      <c r="O223" s="184" t="s">
        <v>5720</v>
      </c>
      <c r="P223" s="184"/>
      <c r="Q223" s="184"/>
      <c r="R223" s="184"/>
      <c r="S223" s="184"/>
      <c r="T223" s="184" t="s">
        <v>5721</v>
      </c>
      <c r="U223" s="184" t="s">
        <v>5722</v>
      </c>
      <c r="V223" s="184"/>
      <c r="W223" s="184"/>
      <c r="X223" s="184"/>
    </row>
    <row r="224" customFormat="false" ht="54.75" hidden="false" customHeight="true" outlineLevel="0" collapsed="false">
      <c r="A224" s="184" t="s">
        <v>59</v>
      </c>
      <c r="B224" s="185" t="s">
        <v>5093</v>
      </c>
      <c r="C224" s="184" t="s">
        <v>61</v>
      </c>
      <c r="D224" s="184" t="s">
        <v>5625</v>
      </c>
      <c r="E224" s="184" t="s">
        <v>60</v>
      </c>
      <c r="F224" s="184" t="n">
        <v>26</v>
      </c>
      <c r="G224" s="176" t="s">
        <v>5723</v>
      </c>
      <c r="H224" s="184" t="s">
        <v>248</v>
      </c>
      <c r="I224" s="184" t="s">
        <v>751</v>
      </c>
      <c r="J224" s="184"/>
      <c r="K224" s="184"/>
      <c r="L224" s="184"/>
      <c r="M224" s="184"/>
      <c r="N224" s="184"/>
      <c r="O224" s="184" t="s">
        <v>5724</v>
      </c>
      <c r="P224" s="184" t="s">
        <v>5725</v>
      </c>
      <c r="Q224" s="184"/>
      <c r="R224" s="184" t="s">
        <v>5726</v>
      </c>
      <c r="S224" s="184"/>
      <c r="T224" s="184"/>
      <c r="U224" s="184"/>
      <c r="V224" s="184"/>
      <c r="W224" s="184"/>
      <c r="X224" s="184"/>
    </row>
    <row r="225" customFormat="false" ht="68.25" hidden="false" customHeight="true" outlineLevel="0" collapsed="false">
      <c r="A225" s="184" t="s">
        <v>59</v>
      </c>
      <c r="B225" s="185" t="s">
        <v>5093</v>
      </c>
      <c r="C225" s="184" t="s">
        <v>61</v>
      </c>
      <c r="D225" s="184" t="s">
        <v>5625</v>
      </c>
      <c r="E225" s="184" t="s">
        <v>60</v>
      </c>
      <c r="F225" s="184" t="n">
        <v>27</v>
      </c>
      <c r="G225" s="177" t="s">
        <v>5183</v>
      </c>
      <c r="H225" s="184" t="s">
        <v>248</v>
      </c>
      <c r="I225" s="184" t="s">
        <v>5727</v>
      </c>
      <c r="J225" s="184"/>
      <c r="K225" s="184"/>
      <c r="L225" s="184"/>
      <c r="M225" s="184"/>
      <c r="N225" s="184" t="s">
        <v>5247</v>
      </c>
      <c r="O225" s="184" t="s">
        <v>5728</v>
      </c>
      <c r="P225" s="184"/>
      <c r="Q225" s="184"/>
      <c r="R225" s="184" t="s">
        <v>5729</v>
      </c>
      <c r="S225" s="184"/>
      <c r="T225" s="184"/>
      <c r="U225" s="184"/>
      <c r="V225" s="184"/>
      <c r="W225" s="184"/>
      <c r="X225" s="184"/>
    </row>
    <row r="226" customFormat="false" ht="27.75" hidden="false" customHeight="true" outlineLevel="0" collapsed="false">
      <c r="A226" s="184" t="s">
        <v>59</v>
      </c>
      <c r="B226" s="185" t="s">
        <v>5093</v>
      </c>
      <c r="C226" s="184" t="s">
        <v>61</v>
      </c>
      <c r="D226" s="184" t="s">
        <v>5625</v>
      </c>
      <c r="E226" s="184" t="s">
        <v>60</v>
      </c>
      <c r="F226" s="184" t="n">
        <v>28</v>
      </c>
      <c r="G226" s="176" t="s">
        <v>5730</v>
      </c>
      <c r="H226" s="184" t="s">
        <v>248</v>
      </c>
      <c r="I226" s="184" t="s">
        <v>753</v>
      </c>
      <c r="J226" s="184"/>
      <c r="K226" s="184"/>
      <c r="L226" s="184"/>
      <c r="M226" s="184"/>
      <c r="N226" s="184"/>
      <c r="O226" s="184" t="s">
        <v>5731</v>
      </c>
      <c r="P226" s="184" t="s">
        <v>5725</v>
      </c>
      <c r="Q226" s="184"/>
      <c r="R226" s="184"/>
      <c r="S226" s="184"/>
      <c r="T226" s="184"/>
      <c r="U226" s="184"/>
      <c r="V226" s="184"/>
      <c r="W226" s="184"/>
      <c r="X226" s="184"/>
    </row>
    <row r="227" customFormat="false" ht="27.75" hidden="false" customHeight="true" outlineLevel="0" collapsed="false">
      <c r="A227" s="184" t="s">
        <v>59</v>
      </c>
      <c r="B227" s="185" t="s">
        <v>5093</v>
      </c>
      <c r="C227" s="184" t="s">
        <v>61</v>
      </c>
      <c r="D227" s="184" t="s">
        <v>5625</v>
      </c>
      <c r="E227" s="184" t="s">
        <v>60</v>
      </c>
      <c r="F227" s="184" t="n">
        <v>29</v>
      </c>
      <c r="G227" s="176" t="s">
        <v>5730</v>
      </c>
      <c r="H227" s="184" t="s">
        <v>248</v>
      </c>
      <c r="I227" s="184" t="s">
        <v>755</v>
      </c>
      <c r="J227" s="184"/>
      <c r="K227" s="184"/>
      <c r="L227" s="184"/>
      <c r="M227" s="184"/>
      <c r="N227" s="184"/>
      <c r="O227" s="184" t="s">
        <v>5732</v>
      </c>
      <c r="P227" s="184" t="s">
        <v>5725</v>
      </c>
      <c r="Q227" s="184"/>
      <c r="R227" s="184"/>
      <c r="S227" s="184"/>
      <c r="T227" s="184"/>
      <c r="U227" s="184"/>
      <c r="V227" s="184"/>
      <c r="W227" s="184"/>
      <c r="X227" s="184"/>
    </row>
    <row r="228" customFormat="false" ht="41.25" hidden="false" customHeight="true" outlineLevel="0" collapsed="false">
      <c r="A228" s="184" t="s">
        <v>59</v>
      </c>
      <c r="B228" s="185" t="s">
        <v>5093</v>
      </c>
      <c r="C228" s="184" t="s">
        <v>61</v>
      </c>
      <c r="D228" s="184" t="s">
        <v>5625</v>
      </c>
      <c r="E228" s="184" t="s">
        <v>60</v>
      </c>
      <c r="F228" s="184" t="n">
        <v>30</v>
      </c>
      <c r="G228" s="176" t="s">
        <v>5730</v>
      </c>
      <c r="H228" s="184" t="s">
        <v>248</v>
      </c>
      <c r="I228" s="184" t="s">
        <v>5733</v>
      </c>
      <c r="J228" s="184"/>
      <c r="K228" s="184"/>
      <c r="L228" s="184"/>
      <c r="M228" s="184"/>
      <c r="N228" s="184"/>
      <c r="O228" s="184" t="s">
        <v>5734</v>
      </c>
      <c r="P228" s="184" t="s">
        <v>5725</v>
      </c>
      <c r="Q228" s="184"/>
      <c r="R228" s="184"/>
      <c r="S228" s="184"/>
      <c r="T228" s="184"/>
      <c r="U228" s="184"/>
      <c r="V228" s="184"/>
      <c r="W228" s="184"/>
      <c r="X228" s="184"/>
    </row>
    <row r="229" customFormat="false" ht="27.75" hidden="false" customHeight="true" outlineLevel="0" collapsed="false">
      <c r="A229" s="184" t="s">
        <v>59</v>
      </c>
      <c r="B229" s="185" t="s">
        <v>5093</v>
      </c>
      <c r="C229" s="184" t="s">
        <v>61</v>
      </c>
      <c r="D229" s="184" t="s">
        <v>5625</v>
      </c>
      <c r="E229" s="184" t="s">
        <v>60</v>
      </c>
      <c r="F229" s="184" t="n">
        <v>31</v>
      </c>
      <c r="G229" s="176" t="s">
        <v>5730</v>
      </c>
      <c r="H229" s="184" t="s">
        <v>248</v>
      </c>
      <c r="I229" s="184" t="s">
        <v>5717</v>
      </c>
      <c r="J229" s="184"/>
      <c r="K229" s="184"/>
      <c r="L229" s="184"/>
      <c r="M229" s="184"/>
      <c r="N229" s="184"/>
      <c r="O229" s="184" t="s">
        <v>5735</v>
      </c>
      <c r="P229" s="184" t="s">
        <v>5725</v>
      </c>
      <c r="Q229" s="184"/>
      <c r="R229" s="184"/>
      <c r="S229" s="184"/>
      <c r="T229" s="184"/>
      <c r="U229" s="184"/>
      <c r="V229" s="184"/>
      <c r="W229" s="184"/>
      <c r="X229" s="184"/>
    </row>
    <row r="230" customFormat="false" ht="27.75" hidden="false" customHeight="true" outlineLevel="0" collapsed="false">
      <c r="A230" s="184" t="s">
        <v>59</v>
      </c>
      <c r="B230" s="185" t="s">
        <v>5093</v>
      </c>
      <c r="C230" s="184" t="s">
        <v>61</v>
      </c>
      <c r="D230" s="184" t="s">
        <v>5625</v>
      </c>
      <c r="E230" s="184" t="s">
        <v>60</v>
      </c>
      <c r="F230" s="184" t="n">
        <v>32</v>
      </c>
      <c r="G230" s="176" t="s">
        <v>5730</v>
      </c>
      <c r="H230" s="184" t="s">
        <v>248</v>
      </c>
      <c r="I230" s="184" t="s">
        <v>5719</v>
      </c>
      <c r="J230" s="184"/>
      <c r="K230" s="184"/>
      <c r="L230" s="184"/>
      <c r="M230" s="184"/>
      <c r="N230" s="184"/>
      <c r="O230" s="184" t="s">
        <v>5736</v>
      </c>
      <c r="P230" s="184" t="s">
        <v>5725</v>
      </c>
      <c r="Q230" s="184"/>
      <c r="R230" s="184"/>
      <c r="S230" s="184"/>
      <c r="T230" s="184"/>
      <c r="U230" s="184"/>
      <c r="V230" s="184"/>
      <c r="W230" s="184"/>
      <c r="X230" s="184"/>
    </row>
    <row r="231" customFormat="false" ht="81.75" hidden="false" customHeight="true" outlineLevel="0" collapsed="false">
      <c r="A231" s="184" t="s">
        <v>59</v>
      </c>
      <c r="B231" s="185" t="s">
        <v>5093</v>
      </c>
      <c r="C231" s="184" t="s">
        <v>61</v>
      </c>
      <c r="D231" s="184" t="s">
        <v>5625</v>
      </c>
      <c r="E231" s="184" t="s">
        <v>60</v>
      </c>
      <c r="F231" s="184" t="n">
        <v>33</v>
      </c>
      <c r="G231" s="178" t="s">
        <v>5269</v>
      </c>
      <c r="H231" s="184" t="s">
        <v>5270</v>
      </c>
      <c r="I231" s="186" t="s">
        <v>5271</v>
      </c>
      <c r="J231" s="184"/>
      <c r="K231" s="184"/>
      <c r="L231" s="184"/>
      <c r="M231" s="184"/>
      <c r="N231" s="184" t="s">
        <v>5272</v>
      </c>
      <c r="O231" s="184" t="s">
        <v>5272</v>
      </c>
      <c r="P231" s="184"/>
      <c r="Q231" s="184"/>
      <c r="R231" s="184" t="s">
        <v>5737</v>
      </c>
      <c r="S231" s="184"/>
      <c r="T231" s="184"/>
      <c r="U231" s="184"/>
      <c r="V231" s="184"/>
      <c r="W231" s="184"/>
      <c r="X231" s="184"/>
    </row>
    <row r="232" customFormat="false" ht="68.25" hidden="false" customHeight="true" outlineLevel="0" collapsed="false">
      <c r="A232" s="184" t="s">
        <v>59</v>
      </c>
      <c r="B232" s="185" t="s">
        <v>5093</v>
      </c>
      <c r="C232" s="184" t="s">
        <v>61</v>
      </c>
      <c r="D232" s="184" t="s">
        <v>5625</v>
      </c>
      <c r="E232" s="184" t="s">
        <v>60</v>
      </c>
      <c r="F232" s="184" t="n">
        <v>34</v>
      </c>
      <c r="G232" s="178" t="s">
        <v>5269</v>
      </c>
      <c r="H232" s="184" t="s">
        <v>5270</v>
      </c>
      <c r="I232" s="184" t="s">
        <v>5274</v>
      </c>
      <c r="J232" s="184"/>
      <c r="K232" s="184"/>
      <c r="L232" s="184"/>
      <c r="M232" s="184"/>
      <c r="N232" s="184" t="s">
        <v>5272</v>
      </c>
      <c r="O232" s="184" t="s">
        <v>5272</v>
      </c>
      <c r="P232" s="184"/>
      <c r="Q232" s="184"/>
      <c r="R232" s="184" t="s">
        <v>5738</v>
      </c>
      <c r="S232" s="184"/>
      <c r="T232" s="184"/>
      <c r="U232" s="184"/>
      <c r="V232" s="184"/>
      <c r="W232" s="184"/>
      <c r="X232" s="184"/>
    </row>
    <row r="233" customFormat="false" ht="27.75" hidden="false" customHeight="true" outlineLevel="0" collapsed="false">
      <c r="A233" s="184" t="s">
        <v>59</v>
      </c>
      <c r="B233" s="185" t="s">
        <v>5093</v>
      </c>
      <c r="C233" s="184" t="s">
        <v>61</v>
      </c>
      <c r="D233" s="184" t="s">
        <v>5625</v>
      </c>
      <c r="E233" s="184" t="s">
        <v>60</v>
      </c>
      <c r="F233" s="184" t="n">
        <v>35</v>
      </c>
      <c r="G233" s="177" t="s">
        <v>5276</v>
      </c>
      <c r="H233" s="184" t="s">
        <v>5270</v>
      </c>
      <c r="I233" s="184" t="s">
        <v>5277</v>
      </c>
      <c r="J233" s="184"/>
      <c r="K233" s="184"/>
      <c r="L233" s="184"/>
      <c r="M233" s="184"/>
      <c r="N233" s="184"/>
      <c r="O233" s="184"/>
      <c r="P233" s="184"/>
      <c r="Q233" s="184"/>
      <c r="R233" s="184"/>
      <c r="S233" s="184"/>
      <c r="T233" s="184"/>
      <c r="U233" s="184"/>
      <c r="V233" s="184"/>
      <c r="W233" s="184"/>
      <c r="X233" s="184"/>
    </row>
    <row r="234" customFormat="false" ht="41.25" hidden="false" customHeight="true" outlineLevel="0" collapsed="false">
      <c r="A234" s="184" t="s">
        <v>62</v>
      </c>
      <c r="B234" s="185" t="s">
        <v>5095</v>
      </c>
      <c r="C234" s="184" t="s">
        <v>61</v>
      </c>
      <c r="D234" s="184" t="s">
        <v>5739</v>
      </c>
      <c r="E234" s="184" t="s">
        <v>63</v>
      </c>
      <c r="F234" s="184" t="n">
        <v>1</v>
      </c>
      <c r="G234" s="177" t="s">
        <v>5177</v>
      </c>
      <c r="H234" s="184" t="s">
        <v>5178</v>
      </c>
      <c r="I234" s="184" t="s">
        <v>5179</v>
      </c>
      <c r="J234" s="184"/>
      <c r="K234" s="184"/>
      <c r="L234" s="184"/>
      <c r="M234" s="184"/>
      <c r="N234" s="184" t="s">
        <v>5180</v>
      </c>
      <c r="O234" s="184" t="s">
        <v>5181</v>
      </c>
      <c r="P234" s="184"/>
      <c r="Q234" s="184"/>
      <c r="R234" s="184" t="s">
        <v>5182</v>
      </c>
      <c r="S234" s="184"/>
      <c r="T234" s="184"/>
      <c r="U234" s="184"/>
      <c r="V234" s="184"/>
      <c r="W234" s="184"/>
      <c r="X234" s="184"/>
    </row>
    <row r="235" customFormat="false" ht="27.75" hidden="false" customHeight="true" outlineLevel="0" collapsed="false">
      <c r="A235" s="184" t="s">
        <v>62</v>
      </c>
      <c r="B235" s="185" t="s">
        <v>5095</v>
      </c>
      <c r="C235" s="184" t="s">
        <v>61</v>
      </c>
      <c r="D235" s="184" t="s">
        <v>5739</v>
      </c>
      <c r="E235" s="184" t="s">
        <v>63</v>
      </c>
      <c r="F235" s="184" t="n">
        <v>2</v>
      </c>
      <c r="G235" s="177" t="s">
        <v>5183</v>
      </c>
      <c r="H235" s="184" t="s">
        <v>5178</v>
      </c>
      <c r="I235" s="184" t="s">
        <v>61</v>
      </c>
      <c r="J235" s="184"/>
      <c r="K235" s="184"/>
      <c r="L235" s="184"/>
      <c r="M235" s="184"/>
      <c r="N235" s="184"/>
      <c r="O235" s="184"/>
      <c r="P235" s="184"/>
      <c r="Q235" s="184"/>
      <c r="R235" s="184" t="s">
        <v>5184</v>
      </c>
      <c r="S235" s="184"/>
      <c r="T235" s="184"/>
      <c r="U235" s="184"/>
      <c r="V235" s="184"/>
      <c r="W235" s="184"/>
      <c r="X235" s="184"/>
    </row>
    <row r="236" customFormat="false" ht="27.75" hidden="false" customHeight="true" outlineLevel="0" collapsed="false">
      <c r="A236" s="184" t="s">
        <v>62</v>
      </c>
      <c r="B236" s="185" t="s">
        <v>5095</v>
      </c>
      <c r="C236" s="184" t="s">
        <v>61</v>
      </c>
      <c r="D236" s="184" t="s">
        <v>5739</v>
      </c>
      <c r="E236" s="184" t="s">
        <v>63</v>
      </c>
      <c r="F236" s="184" t="n">
        <v>3</v>
      </c>
      <c r="G236" s="174" t="s">
        <v>4844</v>
      </c>
      <c r="H236" s="184" t="s">
        <v>5185</v>
      </c>
      <c r="I236" s="184" t="s">
        <v>801</v>
      </c>
      <c r="J236" s="184" t="s">
        <v>227</v>
      </c>
      <c r="K236" s="184" t="n">
        <v>15000</v>
      </c>
      <c r="L236" s="184" t="n">
        <v>250000</v>
      </c>
      <c r="M236" s="184" t="n">
        <v>1000</v>
      </c>
      <c r="N236" s="184" t="s">
        <v>5186</v>
      </c>
      <c r="O236" s="184" t="s">
        <v>5187</v>
      </c>
      <c r="P236" s="184" t="s">
        <v>5188</v>
      </c>
      <c r="Q236" s="184"/>
      <c r="R236" s="184"/>
      <c r="S236" s="184"/>
      <c r="T236" s="184" t="s">
        <v>5740</v>
      </c>
      <c r="U236" s="184" t="s">
        <v>5288</v>
      </c>
      <c r="V236" s="184" t="n">
        <v>60000</v>
      </c>
      <c r="W236" s="184" t="s">
        <v>5191</v>
      </c>
      <c r="X236" s="184" t="s">
        <v>5192</v>
      </c>
    </row>
    <row r="237" customFormat="false" ht="27.75" hidden="false" customHeight="true" outlineLevel="0" collapsed="false">
      <c r="A237" s="184" t="s">
        <v>62</v>
      </c>
      <c r="B237" s="185" t="s">
        <v>5095</v>
      </c>
      <c r="C237" s="184" t="s">
        <v>61</v>
      </c>
      <c r="D237" s="184" t="s">
        <v>5739</v>
      </c>
      <c r="E237" s="184" t="s">
        <v>63</v>
      </c>
      <c r="F237" s="184" t="n">
        <v>4</v>
      </c>
      <c r="G237" s="174" t="s">
        <v>4844</v>
      </c>
      <c r="H237" s="184" t="s">
        <v>5185</v>
      </c>
      <c r="I237" s="184" t="s">
        <v>802</v>
      </c>
      <c r="J237" s="184" t="s">
        <v>238</v>
      </c>
      <c r="K237" s="184" t="n">
        <v>0.5</v>
      </c>
      <c r="L237" s="184" t="n">
        <v>10</v>
      </c>
      <c r="M237" s="184" t="n">
        <v>0.5</v>
      </c>
      <c r="N237" s="184" t="s">
        <v>5452</v>
      </c>
      <c r="O237" s="184" t="s">
        <v>5452</v>
      </c>
      <c r="P237" s="184" t="s">
        <v>5201</v>
      </c>
      <c r="Q237" s="184"/>
      <c r="R237" s="184"/>
      <c r="S237" s="184"/>
      <c r="T237" s="184" t="s">
        <v>5741</v>
      </c>
      <c r="U237" s="184" t="s">
        <v>5292</v>
      </c>
      <c r="V237" s="184" t="s">
        <v>5452</v>
      </c>
      <c r="W237" s="184" t="s">
        <v>5742</v>
      </c>
      <c r="X237" s="184" t="s">
        <v>5743</v>
      </c>
    </row>
    <row r="238" customFormat="false" ht="27.75" hidden="false" customHeight="true" outlineLevel="0" collapsed="false">
      <c r="A238" s="184" t="s">
        <v>62</v>
      </c>
      <c r="B238" s="185" t="s">
        <v>5095</v>
      </c>
      <c r="C238" s="184" t="s">
        <v>61</v>
      </c>
      <c r="D238" s="184" t="s">
        <v>5739</v>
      </c>
      <c r="E238" s="184" t="s">
        <v>63</v>
      </c>
      <c r="F238" s="184" t="n">
        <v>5</v>
      </c>
      <c r="G238" s="174" t="s">
        <v>4844</v>
      </c>
      <c r="H238" s="184" t="s">
        <v>5185</v>
      </c>
      <c r="I238" s="184" t="s">
        <v>769</v>
      </c>
      <c r="J238" s="184" t="s">
        <v>5221</v>
      </c>
      <c r="K238" s="184" t="n">
        <v>1</v>
      </c>
      <c r="L238" s="184" t="n">
        <v>45</v>
      </c>
      <c r="M238" s="184" t="n">
        <v>1</v>
      </c>
      <c r="N238" s="184" t="s">
        <v>5362</v>
      </c>
      <c r="O238" s="184" t="s">
        <v>5362</v>
      </c>
      <c r="P238" s="184" t="s">
        <v>5744</v>
      </c>
      <c r="Q238" s="184"/>
      <c r="R238" s="184"/>
      <c r="S238" s="184"/>
      <c r="T238" s="184" t="s">
        <v>5745</v>
      </c>
      <c r="U238" s="184" t="s">
        <v>5368</v>
      </c>
      <c r="V238" s="184" t="n">
        <v>25</v>
      </c>
      <c r="W238" s="184" t="s">
        <v>5746</v>
      </c>
      <c r="X238" s="184" t="s">
        <v>5747</v>
      </c>
    </row>
    <row r="239" customFormat="false" ht="27.75" hidden="false" customHeight="true" outlineLevel="0" collapsed="false">
      <c r="A239" s="184" t="s">
        <v>62</v>
      </c>
      <c r="B239" s="185" t="s">
        <v>5095</v>
      </c>
      <c r="C239" s="184" t="s">
        <v>61</v>
      </c>
      <c r="D239" s="184" t="s">
        <v>5739</v>
      </c>
      <c r="E239" s="184" t="s">
        <v>63</v>
      </c>
      <c r="F239" s="184" t="n">
        <v>6</v>
      </c>
      <c r="G239" s="174" t="s">
        <v>4844</v>
      </c>
      <c r="H239" s="184" t="s">
        <v>5185</v>
      </c>
      <c r="I239" s="184" t="s">
        <v>813</v>
      </c>
      <c r="J239" s="184" t="s">
        <v>238</v>
      </c>
      <c r="K239" s="184" t="n">
        <v>1</v>
      </c>
      <c r="L239" s="184" t="n">
        <v>7</v>
      </c>
      <c r="M239" s="184" t="n">
        <v>0.25</v>
      </c>
      <c r="N239" s="184" t="s">
        <v>5667</v>
      </c>
      <c r="O239" s="184" t="s">
        <v>5667</v>
      </c>
      <c r="P239" s="184" t="s">
        <v>5668</v>
      </c>
      <c r="Q239" s="184"/>
      <c r="R239" s="184"/>
      <c r="S239" s="184" t="s">
        <v>5454</v>
      </c>
      <c r="T239" s="184" t="s">
        <v>5748</v>
      </c>
      <c r="U239" s="184" t="s">
        <v>5559</v>
      </c>
      <c r="V239" s="184" t="s">
        <v>5667</v>
      </c>
      <c r="W239" s="184" t="s">
        <v>5671</v>
      </c>
      <c r="X239" s="184" t="s">
        <v>5672</v>
      </c>
    </row>
    <row r="240" customFormat="false" ht="175.5" hidden="false" customHeight="true" outlineLevel="0" collapsed="false">
      <c r="A240" s="184" t="s">
        <v>62</v>
      </c>
      <c r="B240" s="185" t="s">
        <v>5095</v>
      </c>
      <c r="C240" s="184" t="s">
        <v>61</v>
      </c>
      <c r="D240" s="184" t="s">
        <v>5739</v>
      </c>
      <c r="E240" s="184" t="s">
        <v>63</v>
      </c>
      <c r="F240" s="184" t="n">
        <v>7</v>
      </c>
      <c r="G240" s="174" t="s">
        <v>4848</v>
      </c>
      <c r="H240" s="184" t="s">
        <v>5185</v>
      </c>
      <c r="I240" s="184" t="s">
        <v>5749</v>
      </c>
      <c r="J240" s="184"/>
      <c r="K240" s="184"/>
      <c r="L240" s="184"/>
      <c r="M240" s="184"/>
      <c r="N240" s="184" t="s">
        <v>5750</v>
      </c>
      <c r="O240" s="184" t="s">
        <v>5750</v>
      </c>
      <c r="P240" s="184" t="s">
        <v>5201</v>
      </c>
      <c r="Q240" s="184" t="s">
        <v>5751</v>
      </c>
      <c r="R240" s="184"/>
      <c r="S240" s="184"/>
      <c r="T240" s="184" t="s">
        <v>5752</v>
      </c>
      <c r="U240" s="184" t="s">
        <v>5570</v>
      </c>
      <c r="V240" s="184" t="s">
        <v>5753</v>
      </c>
      <c r="W240" s="184" t="s">
        <v>808</v>
      </c>
      <c r="X240" s="184" t="s">
        <v>5754</v>
      </c>
    </row>
    <row r="241" customFormat="false" ht="27.75" hidden="false" customHeight="true" outlineLevel="0" collapsed="false">
      <c r="A241" s="184" t="s">
        <v>62</v>
      </c>
      <c r="B241" s="185" t="s">
        <v>5095</v>
      </c>
      <c r="C241" s="184" t="s">
        <v>61</v>
      </c>
      <c r="D241" s="184" t="s">
        <v>5739</v>
      </c>
      <c r="E241" s="184" t="s">
        <v>63</v>
      </c>
      <c r="F241" s="184" t="n">
        <v>8</v>
      </c>
      <c r="G241" s="174" t="s">
        <v>4844</v>
      </c>
      <c r="H241" s="184" t="s">
        <v>5185</v>
      </c>
      <c r="I241" s="184" t="s">
        <v>5755</v>
      </c>
      <c r="J241" s="184" t="s">
        <v>715</v>
      </c>
      <c r="K241" s="184" t="n">
        <v>18</v>
      </c>
      <c r="L241" s="184" t="n">
        <v>75</v>
      </c>
      <c r="M241" s="184" t="n">
        <v>1</v>
      </c>
      <c r="N241" s="184" t="s">
        <v>5626</v>
      </c>
      <c r="O241" s="184" t="s">
        <v>5627</v>
      </c>
      <c r="P241" s="184" t="s">
        <v>5628</v>
      </c>
      <c r="Q241" s="184"/>
      <c r="R241" s="184"/>
      <c r="S241" s="184"/>
      <c r="T241" s="184" t="s">
        <v>5756</v>
      </c>
      <c r="U241" s="184" t="s">
        <v>5630</v>
      </c>
      <c r="V241" s="184" t="n">
        <v>40</v>
      </c>
      <c r="W241" s="184" t="s">
        <v>5757</v>
      </c>
      <c r="X241" s="184" t="s">
        <v>5758</v>
      </c>
    </row>
    <row r="242" customFormat="false" ht="27.75" hidden="false" customHeight="true" outlineLevel="0" collapsed="false">
      <c r="A242" s="184" t="s">
        <v>62</v>
      </c>
      <c r="B242" s="185" t="s">
        <v>5095</v>
      </c>
      <c r="C242" s="184" t="s">
        <v>61</v>
      </c>
      <c r="D242" s="184" t="s">
        <v>5739</v>
      </c>
      <c r="E242" s="184" t="s">
        <v>63</v>
      </c>
      <c r="F242" s="184" t="n">
        <v>9</v>
      </c>
      <c r="G242" s="174" t="s">
        <v>4844</v>
      </c>
      <c r="H242" s="184" t="s">
        <v>5185</v>
      </c>
      <c r="I242" s="184" t="s">
        <v>5759</v>
      </c>
      <c r="J242" s="184" t="s">
        <v>227</v>
      </c>
      <c r="K242" s="184" t="n">
        <v>0</v>
      </c>
      <c r="L242" s="184" t="n">
        <v>100000</v>
      </c>
      <c r="M242" s="184" t="n">
        <v>100</v>
      </c>
      <c r="N242" s="184" t="s">
        <v>5193</v>
      </c>
      <c r="O242" s="184" t="s">
        <v>5760</v>
      </c>
      <c r="P242" s="184" t="s">
        <v>5648</v>
      </c>
      <c r="Q242" s="184"/>
      <c r="R242" s="184"/>
      <c r="S242" s="184"/>
      <c r="T242" s="184" t="s">
        <v>5761</v>
      </c>
      <c r="U242" s="184" t="s">
        <v>5637</v>
      </c>
      <c r="V242" s="184" t="n">
        <v>0</v>
      </c>
      <c r="W242" s="184" t="s">
        <v>5611</v>
      </c>
      <c r="X242" s="184" t="s">
        <v>5762</v>
      </c>
    </row>
    <row r="243" customFormat="false" ht="27.75" hidden="false" customHeight="true" outlineLevel="0" collapsed="false">
      <c r="A243" s="184" t="s">
        <v>62</v>
      </c>
      <c r="B243" s="185" t="s">
        <v>5095</v>
      </c>
      <c r="C243" s="184" t="s">
        <v>61</v>
      </c>
      <c r="D243" s="184" t="s">
        <v>5739</v>
      </c>
      <c r="E243" s="184" t="s">
        <v>63</v>
      </c>
      <c r="F243" s="184" t="n">
        <v>10</v>
      </c>
      <c r="G243" s="177" t="s">
        <v>5183</v>
      </c>
      <c r="H243" s="184" t="s">
        <v>5504</v>
      </c>
      <c r="I243" s="184" t="s">
        <v>5505</v>
      </c>
      <c r="J243" s="184"/>
      <c r="K243" s="184"/>
      <c r="L243" s="184"/>
      <c r="M243" s="184"/>
      <c r="N243" s="184"/>
      <c r="O243" s="184"/>
      <c r="P243" s="184"/>
      <c r="Q243" s="184"/>
      <c r="R243" s="184"/>
      <c r="S243" s="184"/>
      <c r="T243" s="184"/>
      <c r="U243" s="184"/>
      <c r="V243" s="184"/>
      <c r="W243" s="184"/>
      <c r="X243" s="184"/>
    </row>
    <row r="244" customFormat="false" ht="27.75" hidden="false" customHeight="true" outlineLevel="0" collapsed="false">
      <c r="A244" s="184" t="s">
        <v>62</v>
      </c>
      <c r="B244" s="185" t="s">
        <v>5095</v>
      </c>
      <c r="C244" s="184" t="s">
        <v>61</v>
      </c>
      <c r="D244" s="184" t="s">
        <v>5739</v>
      </c>
      <c r="E244" s="184" t="s">
        <v>63</v>
      </c>
      <c r="F244" s="184" t="n">
        <v>11</v>
      </c>
      <c r="G244" s="176" t="s">
        <v>248</v>
      </c>
      <c r="H244" s="184" t="s">
        <v>248</v>
      </c>
      <c r="I244" s="184" t="s">
        <v>814</v>
      </c>
      <c r="J244" s="184"/>
      <c r="K244" s="184"/>
      <c r="L244" s="184"/>
      <c r="M244" s="184"/>
      <c r="N244" s="184" t="s">
        <v>5763</v>
      </c>
      <c r="O244" s="184" t="s">
        <v>5764</v>
      </c>
      <c r="P244" s="184"/>
      <c r="Q244" s="184"/>
      <c r="R244" s="184"/>
      <c r="S244" s="184"/>
      <c r="T244" s="184" t="s">
        <v>5765</v>
      </c>
      <c r="U244" s="184" t="s">
        <v>5386</v>
      </c>
      <c r="V244" s="184"/>
      <c r="W244" s="184"/>
      <c r="X244" s="184"/>
    </row>
    <row r="245" customFormat="false" ht="27.75" hidden="false" customHeight="true" outlineLevel="0" collapsed="false">
      <c r="A245" s="184" t="s">
        <v>62</v>
      </c>
      <c r="B245" s="185" t="s">
        <v>5095</v>
      </c>
      <c r="C245" s="184" t="s">
        <v>61</v>
      </c>
      <c r="D245" s="184" t="s">
        <v>5739</v>
      </c>
      <c r="E245" s="184" t="s">
        <v>63</v>
      </c>
      <c r="F245" s="184" t="n">
        <v>12</v>
      </c>
      <c r="G245" s="177" t="s">
        <v>5245</v>
      </c>
      <c r="H245" s="184" t="s">
        <v>248</v>
      </c>
      <c r="I245" s="184" t="s">
        <v>5179</v>
      </c>
      <c r="J245" s="184"/>
      <c r="K245" s="184"/>
      <c r="L245" s="184"/>
      <c r="M245" s="184"/>
      <c r="N245" s="184" t="s">
        <v>5246</v>
      </c>
      <c r="O245" s="184" t="s">
        <v>5247</v>
      </c>
      <c r="P245" s="184"/>
      <c r="Q245" s="184"/>
      <c r="R245" s="184" t="s">
        <v>5248</v>
      </c>
      <c r="S245" s="184"/>
      <c r="T245" s="184"/>
      <c r="U245" s="184"/>
      <c r="V245" s="184"/>
      <c r="W245" s="184"/>
      <c r="X245" s="184"/>
    </row>
    <row r="246" customFormat="false" ht="202.5" hidden="false" customHeight="true" outlineLevel="0" collapsed="false">
      <c r="A246" s="184" t="s">
        <v>62</v>
      </c>
      <c r="B246" s="185" t="s">
        <v>5095</v>
      </c>
      <c r="C246" s="184" t="s">
        <v>61</v>
      </c>
      <c r="D246" s="184" t="s">
        <v>5739</v>
      </c>
      <c r="E246" s="184" t="s">
        <v>63</v>
      </c>
      <c r="F246" s="184" t="n">
        <v>13</v>
      </c>
      <c r="G246" s="176" t="s">
        <v>5249</v>
      </c>
      <c r="H246" s="184" t="s">
        <v>248</v>
      </c>
      <c r="I246" s="184" t="s">
        <v>5250</v>
      </c>
      <c r="J246" s="184"/>
      <c r="K246" s="184"/>
      <c r="L246" s="184"/>
      <c r="M246" s="184"/>
      <c r="N246" s="184" t="s">
        <v>5766</v>
      </c>
      <c r="O246" s="184" t="s">
        <v>5767</v>
      </c>
      <c r="P246" s="184"/>
      <c r="Q246" s="184"/>
      <c r="R246" s="184"/>
      <c r="S246" s="184"/>
      <c r="T246" s="184"/>
      <c r="U246" s="184"/>
      <c r="V246" s="184"/>
      <c r="W246" s="184"/>
      <c r="X246" s="184"/>
    </row>
    <row r="247" customFormat="false" ht="27.75" hidden="false" customHeight="true" outlineLevel="0" collapsed="false">
      <c r="A247" s="184" t="s">
        <v>62</v>
      </c>
      <c r="B247" s="185" t="s">
        <v>5095</v>
      </c>
      <c r="C247" s="184" t="s">
        <v>61</v>
      </c>
      <c r="D247" s="184" t="s">
        <v>5739</v>
      </c>
      <c r="E247" s="184" t="s">
        <v>63</v>
      </c>
      <c r="F247" s="184" t="n">
        <v>14</v>
      </c>
      <c r="G247" s="176" t="s">
        <v>5253</v>
      </c>
      <c r="H247" s="184" t="s">
        <v>248</v>
      </c>
      <c r="I247" s="184" t="s">
        <v>816</v>
      </c>
      <c r="J247" s="184"/>
      <c r="K247" s="184"/>
      <c r="L247" s="184"/>
      <c r="M247" s="184"/>
      <c r="N247" s="184" t="s">
        <v>5768</v>
      </c>
      <c r="O247" s="184" t="s">
        <v>5769</v>
      </c>
      <c r="P247" s="184"/>
      <c r="Q247" s="184"/>
      <c r="R247" s="184"/>
      <c r="S247" s="184"/>
      <c r="T247" s="184" t="s">
        <v>5770</v>
      </c>
      <c r="U247" s="184" t="s">
        <v>5312</v>
      </c>
      <c r="V247" s="184"/>
      <c r="W247" s="184"/>
      <c r="X247" s="184"/>
    </row>
    <row r="248" customFormat="false" ht="27.75" hidden="false" customHeight="true" outlineLevel="0" collapsed="false">
      <c r="A248" s="184" t="s">
        <v>62</v>
      </c>
      <c r="B248" s="185" t="s">
        <v>5095</v>
      </c>
      <c r="C248" s="184" t="s">
        <v>61</v>
      </c>
      <c r="D248" s="184" t="s">
        <v>5739</v>
      </c>
      <c r="E248" s="184" t="s">
        <v>63</v>
      </c>
      <c r="F248" s="184" t="n">
        <v>15</v>
      </c>
      <c r="G248" s="176" t="s">
        <v>5253</v>
      </c>
      <c r="H248" s="184" t="s">
        <v>248</v>
      </c>
      <c r="I248" s="184" t="s">
        <v>818</v>
      </c>
      <c r="J248" s="184"/>
      <c r="K248" s="184"/>
      <c r="L248" s="184"/>
      <c r="M248" s="184"/>
      <c r="N248" s="184" t="s">
        <v>5771</v>
      </c>
      <c r="O248" s="184" t="s">
        <v>5772</v>
      </c>
      <c r="P248" s="184"/>
      <c r="Q248" s="184"/>
      <c r="R248" s="184"/>
      <c r="S248" s="184"/>
      <c r="T248" s="184" t="s">
        <v>5773</v>
      </c>
      <c r="U248" s="184" t="s">
        <v>5316</v>
      </c>
      <c r="V248" s="184"/>
      <c r="W248" s="184"/>
      <c r="X248" s="184"/>
    </row>
    <row r="249" customFormat="false" ht="27.75" hidden="false" customHeight="true" outlineLevel="0" collapsed="false">
      <c r="A249" s="184" t="s">
        <v>62</v>
      </c>
      <c r="B249" s="185" t="s">
        <v>5095</v>
      </c>
      <c r="C249" s="184" t="s">
        <v>61</v>
      </c>
      <c r="D249" s="184" t="s">
        <v>5739</v>
      </c>
      <c r="E249" s="184" t="s">
        <v>63</v>
      </c>
      <c r="F249" s="184" t="n">
        <v>16</v>
      </c>
      <c r="G249" s="176" t="s">
        <v>5253</v>
      </c>
      <c r="H249" s="184" t="s">
        <v>248</v>
      </c>
      <c r="I249" s="184" t="s">
        <v>825</v>
      </c>
      <c r="J249" s="184"/>
      <c r="K249" s="184"/>
      <c r="L249" s="184"/>
      <c r="M249" s="184"/>
      <c r="N249" s="184" t="s">
        <v>5774</v>
      </c>
      <c r="O249" s="184" t="s">
        <v>5775</v>
      </c>
      <c r="P249" s="184"/>
      <c r="Q249" s="184"/>
      <c r="R249" s="184"/>
      <c r="S249" s="184"/>
      <c r="T249" s="184" t="s">
        <v>5776</v>
      </c>
      <c r="U249" s="184" t="s">
        <v>5777</v>
      </c>
      <c r="V249" s="184"/>
      <c r="W249" s="184"/>
      <c r="X249" s="184"/>
    </row>
    <row r="250" customFormat="false" ht="27.75" hidden="false" customHeight="true" outlineLevel="0" collapsed="false">
      <c r="A250" s="184" t="s">
        <v>62</v>
      </c>
      <c r="B250" s="185" t="s">
        <v>5095</v>
      </c>
      <c r="C250" s="184" t="s">
        <v>61</v>
      </c>
      <c r="D250" s="184" t="s">
        <v>5739</v>
      </c>
      <c r="E250" s="184" t="s">
        <v>63</v>
      </c>
      <c r="F250" s="184" t="n">
        <v>17</v>
      </c>
      <c r="G250" s="176" t="s">
        <v>5253</v>
      </c>
      <c r="H250" s="184" t="s">
        <v>248</v>
      </c>
      <c r="I250" s="184" t="s">
        <v>610</v>
      </c>
      <c r="J250" s="184"/>
      <c r="K250" s="184"/>
      <c r="L250" s="184"/>
      <c r="M250" s="184"/>
      <c r="N250" s="184" t="s">
        <v>5778</v>
      </c>
      <c r="O250" s="184" t="s">
        <v>5779</v>
      </c>
      <c r="P250" s="184"/>
      <c r="Q250" s="184"/>
      <c r="R250" s="184"/>
      <c r="S250" s="184"/>
      <c r="T250" s="184" t="s">
        <v>5780</v>
      </c>
      <c r="U250" s="184" t="s">
        <v>5308</v>
      </c>
      <c r="V250" s="184"/>
      <c r="W250" s="184"/>
      <c r="X250" s="184"/>
    </row>
    <row r="251" customFormat="false" ht="54.75" hidden="false" customHeight="true" outlineLevel="0" collapsed="false">
      <c r="A251" s="184" t="s">
        <v>62</v>
      </c>
      <c r="B251" s="185" t="s">
        <v>5095</v>
      </c>
      <c r="C251" s="184" t="s">
        <v>61</v>
      </c>
      <c r="D251" s="184" t="s">
        <v>5739</v>
      </c>
      <c r="E251" s="184" t="s">
        <v>63</v>
      </c>
      <c r="F251" s="184" t="n">
        <v>18</v>
      </c>
      <c r="G251" s="176" t="s">
        <v>5723</v>
      </c>
      <c r="H251" s="184" t="s">
        <v>248</v>
      </c>
      <c r="I251" s="184" t="s">
        <v>814</v>
      </c>
      <c r="J251" s="184"/>
      <c r="K251" s="184"/>
      <c r="L251" s="184"/>
      <c r="M251" s="184"/>
      <c r="N251" s="184"/>
      <c r="O251" s="184" t="s">
        <v>5781</v>
      </c>
      <c r="P251" s="184" t="s">
        <v>5725</v>
      </c>
      <c r="Q251" s="184"/>
      <c r="R251" s="184" t="s">
        <v>5726</v>
      </c>
      <c r="S251" s="184"/>
      <c r="T251" s="184"/>
      <c r="U251" s="184"/>
      <c r="V251" s="184"/>
      <c r="W251" s="184"/>
      <c r="X251" s="184"/>
    </row>
    <row r="252" customFormat="false" ht="27.75" hidden="false" customHeight="true" outlineLevel="0" collapsed="false">
      <c r="A252" s="184" t="s">
        <v>62</v>
      </c>
      <c r="B252" s="185" t="s">
        <v>5095</v>
      </c>
      <c r="C252" s="184" t="s">
        <v>61</v>
      </c>
      <c r="D252" s="184" t="s">
        <v>5739</v>
      </c>
      <c r="E252" s="184" t="s">
        <v>63</v>
      </c>
      <c r="F252" s="184" t="n">
        <v>19</v>
      </c>
      <c r="G252" s="176" t="s">
        <v>5730</v>
      </c>
      <c r="H252" s="184" t="s">
        <v>248</v>
      </c>
      <c r="I252" s="184" t="s">
        <v>610</v>
      </c>
      <c r="J252" s="184"/>
      <c r="K252" s="184"/>
      <c r="L252" s="184"/>
      <c r="M252" s="184"/>
      <c r="N252" s="184"/>
      <c r="O252" s="184" t="s">
        <v>5782</v>
      </c>
      <c r="P252" s="184" t="s">
        <v>5725</v>
      </c>
      <c r="Q252" s="184"/>
      <c r="R252" s="184"/>
      <c r="S252" s="184"/>
      <c r="T252" s="184"/>
      <c r="U252" s="184"/>
      <c r="V252" s="184"/>
      <c r="W252" s="184"/>
      <c r="X252" s="184"/>
    </row>
    <row r="253" customFormat="false" ht="135.75" hidden="false" customHeight="true" outlineLevel="0" collapsed="false">
      <c r="A253" s="184" t="s">
        <v>62</v>
      </c>
      <c r="B253" s="185" t="s">
        <v>5095</v>
      </c>
      <c r="C253" s="184" t="s">
        <v>61</v>
      </c>
      <c r="D253" s="184" t="s">
        <v>5739</v>
      </c>
      <c r="E253" s="184" t="s">
        <v>63</v>
      </c>
      <c r="F253" s="184" t="n">
        <v>20</v>
      </c>
      <c r="G253" s="178" t="s">
        <v>5269</v>
      </c>
      <c r="H253" s="184" t="s">
        <v>5270</v>
      </c>
      <c r="I253" s="186" t="s">
        <v>5271</v>
      </c>
      <c r="J253" s="184"/>
      <c r="K253" s="184"/>
      <c r="L253" s="184"/>
      <c r="M253" s="184"/>
      <c r="N253" s="184" t="s">
        <v>5272</v>
      </c>
      <c r="O253" s="184" t="s">
        <v>5272</v>
      </c>
      <c r="P253" s="184"/>
      <c r="Q253" s="184"/>
      <c r="R253" s="184" t="s">
        <v>5783</v>
      </c>
      <c r="S253" s="184"/>
      <c r="T253" s="184"/>
      <c r="U253" s="184"/>
      <c r="V253" s="184"/>
      <c r="W253" s="184"/>
      <c r="X253" s="184"/>
    </row>
    <row r="254" customFormat="false" ht="68.25" hidden="false" customHeight="true" outlineLevel="0" collapsed="false">
      <c r="A254" s="184" t="s">
        <v>62</v>
      </c>
      <c r="B254" s="185" t="s">
        <v>5095</v>
      </c>
      <c r="C254" s="184" t="s">
        <v>61</v>
      </c>
      <c r="D254" s="184" t="s">
        <v>5739</v>
      </c>
      <c r="E254" s="184" t="s">
        <v>63</v>
      </c>
      <c r="F254" s="184" t="n">
        <v>21</v>
      </c>
      <c r="G254" s="178" t="s">
        <v>5269</v>
      </c>
      <c r="H254" s="184" t="s">
        <v>5270</v>
      </c>
      <c r="I254" s="184" t="s">
        <v>5274</v>
      </c>
      <c r="J254" s="184"/>
      <c r="K254" s="184"/>
      <c r="L254" s="184"/>
      <c r="M254" s="184"/>
      <c r="N254" s="184" t="s">
        <v>5272</v>
      </c>
      <c r="O254" s="184" t="s">
        <v>5272</v>
      </c>
      <c r="P254" s="184"/>
      <c r="Q254" s="184"/>
      <c r="R254" s="184" t="s">
        <v>5738</v>
      </c>
      <c r="S254" s="184"/>
      <c r="T254" s="184"/>
      <c r="U254" s="184"/>
      <c r="V254" s="184"/>
      <c r="W254" s="184"/>
      <c r="X254" s="184"/>
    </row>
    <row r="255" customFormat="false" ht="27.75" hidden="false" customHeight="true" outlineLevel="0" collapsed="false">
      <c r="A255" s="184" t="s">
        <v>62</v>
      </c>
      <c r="B255" s="185" t="s">
        <v>5095</v>
      </c>
      <c r="C255" s="184" t="s">
        <v>61</v>
      </c>
      <c r="D255" s="184" t="s">
        <v>5739</v>
      </c>
      <c r="E255" s="184" t="s">
        <v>63</v>
      </c>
      <c r="F255" s="184" t="n">
        <v>22</v>
      </c>
      <c r="G255" s="177" t="s">
        <v>5276</v>
      </c>
      <c r="H255" s="184" t="s">
        <v>5270</v>
      </c>
      <c r="I255" s="184" t="s">
        <v>5277</v>
      </c>
      <c r="J255" s="184"/>
      <c r="K255" s="184"/>
      <c r="L255" s="184"/>
      <c r="M255" s="184"/>
      <c r="N255" s="184"/>
      <c r="O255" s="184"/>
      <c r="P255" s="184"/>
      <c r="Q255" s="184"/>
      <c r="R255" s="184"/>
      <c r="S255" s="184"/>
      <c r="T255" s="184"/>
      <c r="U255" s="184"/>
      <c r="V255" s="184"/>
      <c r="W255" s="184"/>
      <c r="X255" s="184"/>
    </row>
    <row r="256" customFormat="false" ht="41.25" hidden="false" customHeight="true" outlineLevel="0" collapsed="false">
      <c r="A256" s="184" t="s">
        <v>64</v>
      </c>
      <c r="B256" s="185" t="s">
        <v>5097</v>
      </c>
      <c r="C256" s="184" t="s">
        <v>61</v>
      </c>
      <c r="D256" s="184" t="s">
        <v>5784</v>
      </c>
      <c r="E256" s="184" t="s">
        <v>65</v>
      </c>
      <c r="F256" s="184" t="n">
        <v>1</v>
      </c>
      <c r="G256" s="177" t="s">
        <v>5177</v>
      </c>
      <c r="H256" s="184" t="s">
        <v>5178</v>
      </c>
      <c r="I256" s="184" t="s">
        <v>5179</v>
      </c>
      <c r="J256" s="184"/>
      <c r="K256" s="184"/>
      <c r="L256" s="184"/>
      <c r="M256" s="184"/>
      <c r="N256" s="184" t="s">
        <v>5180</v>
      </c>
      <c r="O256" s="184" t="s">
        <v>5181</v>
      </c>
      <c r="P256" s="184"/>
      <c r="Q256" s="184"/>
      <c r="R256" s="184" t="s">
        <v>5182</v>
      </c>
      <c r="S256" s="184"/>
      <c r="T256" s="184"/>
      <c r="U256" s="184"/>
      <c r="V256" s="184"/>
      <c r="W256" s="184"/>
      <c r="X256" s="184"/>
    </row>
    <row r="257" customFormat="false" ht="27.75" hidden="false" customHeight="true" outlineLevel="0" collapsed="false">
      <c r="A257" s="184" t="s">
        <v>64</v>
      </c>
      <c r="B257" s="185" t="s">
        <v>5097</v>
      </c>
      <c r="C257" s="184" t="s">
        <v>61</v>
      </c>
      <c r="D257" s="184" t="s">
        <v>5784</v>
      </c>
      <c r="E257" s="184" t="s">
        <v>65</v>
      </c>
      <c r="F257" s="184" t="n">
        <v>2</v>
      </c>
      <c r="G257" s="177" t="s">
        <v>5183</v>
      </c>
      <c r="H257" s="184" t="s">
        <v>5178</v>
      </c>
      <c r="I257" s="184" t="s">
        <v>61</v>
      </c>
      <c r="J257" s="184"/>
      <c r="K257" s="184"/>
      <c r="L257" s="184"/>
      <c r="M257" s="184"/>
      <c r="N257" s="184"/>
      <c r="O257" s="184"/>
      <c r="P257" s="184"/>
      <c r="Q257" s="184"/>
      <c r="R257" s="184" t="s">
        <v>5184</v>
      </c>
      <c r="S257" s="184"/>
      <c r="T257" s="184"/>
      <c r="U257" s="184"/>
      <c r="V257" s="184"/>
      <c r="W257" s="184"/>
      <c r="X257" s="184"/>
    </row>
    <row r="258" customFormat="false" ht="27.75" hidden="false" customHeight="true" outlineLevel="0" collapsed="false">
      <c r="A258" s="184" t="s">
        <v>64</v>
      </c>
      <c r="B258" s="185" t="s">
        <v>5097</v>
      </c>
      <c r="C258" s="184" t="s">
        <v>61</v>
      </c>
      <c r="D258" s="184" t="s">
        <v>5784</v>
      </c>
      <c r="E258" s="184" t="s">
        <v>65</v>
      </c>
      <c r="F258" s="184" t="n">
        <v>3</v>
      </c>
      <c r="G258" s="174" t="s">
        <v>4844</v>
      </c>
      <c r="H258" s="184" t="s">
        <v>5185</v>
      </c>
      <c r="I258" s="184" t="s">
        <v>846</v>
      </c>
      <c r="J258" s="184" t="s">
        <v>227</v>
      </c>
      <c r="K258" s="184" t="n">
        <v>25</v>
      </c>
      <c r="L258" s="184" t="n">
        <v>2000</v>
      </c>
      <c r="M258" s="184" t="n">
        <v>25</v>
      </c>
      <c r="N258" s="184" t="s">
        <v>5366</v>
      </c>
      <c r="O258" s="184" t="s">
        <v>5366</v>
      </c>
      <c r="P258" s="184" t="s">
        <v>5201</v>
      </c>
      <c r="Q258" s="184"/>
      <c r="R258" s="184"/>
      <c r="S258" s="184"/>
      <c r="T258" s="184" t="s">
        <v>5785</v>
      </c>
      <c r="U258" s="184" t="s">
        <v>5288</v>
      </c>
      <c r="V258" s="184" t="n">
        <v>200</v>
      </c>
      <c r="W258" s="184" t="s">
        <v>5786</v>
      </c>
      <c r="X258" s="184" t="s">
        <v>5787</v>
      </c>
    </row>
    <row r="259" customFormat="false" ht="27.75" hidden="false" customHeight="true" outlineLevel="0" collapsed="false">
      <c r="A259" s="184" t="s">
        <v>64</v>
      </c>
      <c r="B259" s="185" t="s">
        <v>5097</v>
      </c>
      <c r="C259" s="184" t="s">
        <v>61</v>
      </c>
      <c r="D259" s="184" t="s">
        <v>5784</v>
      </c>
      <c r="E259" s="184" t="s">
        <v>65</v>
      </c>
      <c r="F259" s="184" t="n">
        <v>4</v>
      </c>
      <c r="G259" s="174" t="s">
        <v>4844</v>
      </c>
      <c r="H259" s="184" t="s">
        <v>5185</v>
      </c>
      <c r="I259" s="184" t="s">
        <v>848</v>
      </c>
      <c r="J259" s="184" t="s">
        <v>227</v>
      </c>
      <c r="K259" s="184" t="n">
        <v>15000</v>
      </c>
      <c r="L259" s="184" t="n">
        <v>250000</v>
      </c>
      <c r="M259" s="184" t="n">
        <v>1000</v>
      </c>
      <c r="N259" s="184" t="s">
        <v>5186</v>
      </c>
      <c r="O259" s="184" t="s">
        <v>5187</v>
      </c>
      <c r="P259" s="184" t="s">
        <v>5188</v>
      </c>
      <c r="Q259" s="184"/>
      <c r="R259" s="184"/>
      <c r="S259" s="184"/>
      <c r="T259" s="184" t="s">
        <v>5788</v>
      </c>
      <c r="U259" s="184" t="s">
        <v>5292</v>
      </c>
      <c r="V259" s="184" t="n">
        <v>60000</v>
      </c>
      <c r="W259" s="184" t="s">
        <v>5191</v>
      </c>
      <c r="X259" s="184" t="s">
        <v>5192</v>
      </c>
    </row>
    <row r="260" customFormat="false" ht="27.75" hidden="false" customHeight="true" outlineLevel="0" collapsed="false">
      <c r="A260" s="184" t="s">
        <v>64</v>
      </c>
      <c r="B260" s="185" t="s">
        <v>5097</v>
      </c>
      <c r="C260" s="184" t="s">
        <v>61</v>
      </c>
      <c r="D260" s="184" t="s">
        <v>5784</v>
      </c>
      <c r="E260" s="184" t="s">
        <v>65</v>
      </c>
      <c r="F260" s="184" t="n">
        <v>5</v>
      </c>
      <c r="G260" s="174" t="s">
        <v>4844</v>
      </c>
      <c r="H260" s="184" t="s">
        <v>5185</v>
      </c>
      <c r="I260" s="184" t="s">
        <v>769</v>
      </c>
      <c r="J260" s="184" t="s">
        <v>5221</v>
      </c>
      <c r="K260" s="184" t="n">
        <v>1</v>
      </c>
      <c r="L260" s="184" t="n">
        <v>40</v>
      </c>
      <c r="M260" s="184" t="n">
        <v>1</v>
      </c>
      <c r="N260" s="184" t="s">
        <v>5557</v>
      </c>
      <c r="O260" s="184" t="s">
        <v>5362</v>
      </c>
      <c r="P260" s="184" t="s">
        <v>5744</v>
      </c>
      <c r="Q260" s="184"/>
      <c r="R260" s="184"/>
      <c r="S260" s="184"/>
      <c r="T260" s="184" t="s">
        <v>5789</v>
      </c>
      <c r="U260" s="184" t="s">
        <v>5368</v>
      </c>
      <c r="V260" s="184" t="n">
        <v>15</v>
      </c>
      <c r="W260" s="184" t="s">
        <v>5534</v>
      </c>
      <c r="X260" s="184" t="s">
        <v>5560</v>
      </c>
    </row>
    <row r="261" customFormat="false" ht="27.75" hidden="false" customHeight="true" outlineLevel="0" collapsed="false">
      <c r="A261" s="184" t="s">
        <v>64</v>
      </c>
      <c r="B261" s="185" t="s">
        <v>5097</v>
      </c>
      <c r="C261" s="184" t="s">
        <v>61</v>
      </c>
      <c r="D261" s="184" t="s">
        <v>5784</v>
      </c>
      <c r="E261" s="184" t="s">
        <v>65</v>
      </c>
      <c r="F261" s="184" t="n">
        <v>6</v>
      </c>
      <c r="G261" s="174" t="s">
        <v>4844</v>
      </c>
      <c r="H261" s="184" t="s">
        <v>5185</v>
      </c>
      <c r="I261" s="184" t="s">
        <v>813</v>
      </c>
      <c r="J261" s="184" t="s">
        <v>238</v>
      </c>
      <c r="K261" s="184" t="n">
        <v>1</v>
      </c>
      <c r="L261" s="184" t="n">
        <v>7</v>
      </c>
      <c r="M261" s="184" t="n">
        <v>0.25</v>
      </c>
      <c r="N261" s="184" t="s">
        <v>5667</v>
      </c>
      <c r="O261" s="184" t="s">
        <v>5667</v>
      </c>
      <c r="P261" s="184" t="s">
        <v>5668</v>
      </c>
      <c r="Q261" s="184"/>
      <c r="R261" s="184"/>
      <c r="S261" s="184" t="s">
        <v>5454</v>
      </c>
      <c r="T261" s="184" t="s">
        <v>5790</v>
      </c>
      <c r="U261" s="184" t="s">
        <v>5559</v>
      </c>
      <c r="V261" s="184" t="s">
        <v>5667</v>
      </c>
      <c r="W261" s="184" t="s">
        <v>5671</v>
      </c>
      <c r="X261" s="184" t="s">
        <v>5672</v>
      </c>
    </row>
    <row r="262" customFormat="false" ht="175.5" hidden="false" customHeight="true" outlineLevel="0" collapsed="false">
      <c r="A262" s="184" t="s">
        <v>64</v>
      </c>
      <c r="B262" s="185" t="s">
        <v>5097</v>
      </c>
      <c r="C262" s="184" t="s">
        <v>61</v>
      </c>
      <c r="D262" s="184" t="s">
        <v>5784</v>
      </c>
      <c r="E262" s="184" t="s">
        <v>65</v>
      </c>
      <c r="F262" s="184" t="n">
        <v>7</v>
      </c>
      <c r="G262" s="174" t="s">
        <v>4848</v>
      </c>
      <c r="H262" s="184" t="s">
        <v>5185</v>
      </c>
      <c r="I262" s="184" t="s">
        <v>5749</v>
      </c>
      <c r="J262" s="184"/>
      <c r="K262" s="184"/>
      <c r="L262" s="184"/>
      <c r="M262" s="184"/>
      <c r="N262" s="184" t="s">
        <v>5750</v>
      </c>
      <c r="O262" s="184" t="s">
        <v>5750</v>
      </c>
      <c r="P262" s="184" t="s">
        <v>5201</v>
      </c>
      <c r="Q262" s="184" t="s">
        <v>5751</v>
      </c>
      <c r="R262" s="184"/>
      <c r="S262" s="184"/>
      <c r="T262" s="184" t="s">
        <v>5791</v>
      </c>
      <c r="U262" s="184" t="s">
        <v>5570</v>
      </c>
      <c r="V262" s="184" t="s">
        <v>5753</v>
      </c>
      <c r="W262" s="184" t="s">
        <v>808</v>
      </c>
      <c r="X262" s="184" t="s">
        <v>5754</v>
      </c>
    </row>
    <row r="263" customFormat="false" ht="27.75" hidden="false" customHeight="true" outlineLevel="0" collapsed="false">
      <c r="A263" s="184" t="s">
        <v>64</v>
      </c>
      <c r="B263" s="185" t="s">
        <v>5097</v>
      </c>
      <c r="C263" s="184" t="s">
        <v>61</v>
      </c>
      <c r="D263" s="184" t="s">
        <v>5784</v>
      </c>
      <c r="E263" s="184" t="s">
        <v>65</v>
      </c>
      <c r="F263" s="184" t="n">
        <v>8</v>
      </c>
      <c r="G263" s="174" t="s">
        <v>4844</v>
      </c>
      <c r="H263" s="184" t="s">
        <v>5185</v>
      </c>
      <c r="I263" s="184" t="s">
        <v>5755</v>
      </c>
      <c r="J263" s="184" t="s">
        <v>715</v>
      </c>
      <c r="K263" s="184" t="n">
        <v>18</v>
      </c>
      <c r="L263" s="184" t="n">
        <v>75</v>
      </c>
      <c r="M263" s="184" t="n">
        <v>1</v>
      </c>
      <c r="N263" s="184" t="s">
        <v>5626</v>
      </c>
      <c r="O263" s="184" t="s">
        <v>5627</v>
      </c>
      <c r="P263" s="184" t="s">
        <v>5628</v>
      </c>
      <c r="Q263" s="184"/>
      <c r="R263" s="184"/>
      <c r="S263" s="184"/>
      <c r="T263" s="184" t="s">
        <v>5792</v>
      </c>
      <c r="U263" s="184" t="s">
        <v>5630</v>
      </c>
      <c r="V263" s="184" t="n">
        <v>40</v>
      </c>
      <c r="W263" s="184" t="s">
        <v>5757</v>
      </c>
      <c r="X263" s="184" t="s">
        <v>5758</v>
      </c>
    </row>
    <row r="264" customFormat="false" ht="27.75" hidden="false" customHeight="true" outlineLevel="0" collapsed="false">
      <c r="A264" s="184" t="s">
        <v>64</v>
      </c>
      <c r="B264" s="185" t="s">
        <v>5097</v>
      </c>
      <c r="C264" s="184" t="s">
        <v>61</v>
      </c>
      <c r="D264" s="184" t="s">
        <v>5784</v>
      </c>
      <c r="E264" s="184" t="s">
        <v>65</v>
      </c>
      <c r="F264" s="184" t="n">
        <v>9</v>
      </c>
      <c r="G264" s="174" t="s">
        <v>4844</v>
      </c>
      <c r="H264" s="184" t="s">
        <v>5185</v>
      </c>
      <c r="I264" s="184" t="s">
        <v>5759</v>
      </c>
      <c r="J264" s="184" t="s">
        <v>227</v>
      </c>
      <c r="K264" s="184" t="n">
        <v>0</v>
      </c>
      <c r="L264" s="184" t="n">
        <v>100000</v>
      </c>
      <c r="M264" s="184" t="n">
        <v>100</v>
      </c>
      <c r="N264" s="184" t="s">
        <v>5193</v>
      </c>
      <c r="O264" s="184" t="s">
        <v>5760</v>
      </c>
      <c r="P264" s="184" t="s">
        <v>5648</v>
      </c>
      <c r="Q264" s="184"/>
      <c r="R264" s="184"/>
      <c r="S264" s="184"/>
      <c r="T264" s="184" t="s">
        <v>5793</v>
      </c>
      <c r="U264" s="184" t="s">
        <v>5637</v>
      </c>
      <c r="V264" s="184" t="n">
        <v>0</v>
      </c>
      <c r="W264" s="184" t="s">
        <v>5611</v>
      </c>
      <c r="X264" s="184" t="s">
        <v>5762</v>
      </c>
    </row>
    <row r="265" customFormat="false" ht="27.75" hidden="false" customHeight="true" outlineLevel="0" collapsed="false">
      <c r="A265" s="184" t="s">
        <v>64</v>
      </c>
      <c r="B265" s="185" t="s">
        <v>5097</v>
      </c>
      <c r="C265" s="184" t="s">
        <v>61</v>
      </c>
      <c r="D265" s="184" t="s">
        <v>5784</v>
      </c>
      <c r="E265" s="184" t="s">
        <v>65</v>
      </c>
      <c r="F265" s="184" t="n">
        <v>10</v>
      </c>
      <c r="G265" s="177" t="s">
        <v>5183</v>
      </c>
      <c r="H265" s="184" t="s">
        <v>5504</v>
      </c>
      <c r="I265" s="184" t="s">
        <v>5505</v>
      </c>
      <c r="J265" s="184"/>
      <c r="K265" s="184"/>
      <c r="L265" s="184"/>
      <c r="M265" s="184"/>
      <c r="N265" s="184"/>
      <c r="O265" s="184"/>
      <c r="P265" s="184"/>
      <c r="Q265" s="184"/>
      <c r="R265" s="184"/>
      <c r="S265" s="184"/>
      <c r="T265" s="184"/>
      <c r="U265" s="184"/>
      <c r="V265" s="184"/>
      <c r="W265" s="184"/>
      <c r="X265" s="184"/>
    </row>
    <row r="266" customFormat="false" ht="27.75" hidden="false" customHeight="true" outlineLevel="0" collapsed="false">
      <c r="A266" s="184" t="s">
        <v>64</v>
      </c>
      <c r="B266" s="185" t="s">
        <v>5097</v>
      </c>
      <c r="C266" s="184" t="s">
        <v>61</v>
      </c>
      <c r="D266" s="184" t="s">
        <v>5784</v>
      </c>
      <c r="E266" s="184" t="s">
        <v>65</v>
      </c>
      <c r="F266" s="184" t="n">
        <v>11</v>
      </c>
      <c r="G266" s="176" t="s">
        <v>248</v>
      </c>
      <c r="H266" s="184" t="s">
        <v>248</v>
      </c>
      <c r="I266" s="184" t="s">
        <v>850</v>
      </c>
      <c r="J266" s="184"/>
      <c r="K266" s="184"/>
      <c r="L266" s="184"/>
      <c r="M266" s="184"/>
      <c r="N266" s="184" t="s">
        <v>5794</v>
      </c>
      <c r="O266" s="184" t="s">
        <v>5795</v>
      </c>
      <c r="P266" s="184"/>
      <c r="Q266" s="184"/>
      <c r="R266" s="184"/>
      <c r="S266" s="184"/>
      <c r="T266" s="184" t="s">
        <v>5796</v>
      </c>
      <c r="U266" s="184" t="s">
        <v>5386</v>
      </c>
      <c r="V266" s="184"/>
      <c r="W266" s="184"/>
      <c r="X266" s="184"/>
    </row>
    <row r="267" customFormat="false" ht="27.75" hidden="false" customHeight="true" outlineLevel="0" collapsed="false">
      <c r="A267" s="184" t="s">
        <v>64</v>
      </c>
      <c r="B267" s="185" t="s">
        <v>5097</v>
      </c>
      <c r="C267" s="184" t="s">
        <v>61</v>
      </c>
      <c r="D267" s="184" t="s">
        <v>5784</v>
      </c>
      <c r="E267" s="184" t="s">
        <v>65</v>
      </c>
      <c r="F267" s="184" t="n">
        <v>12</v>
      </c>
      <c r="G267" s="177" t="s">
        <v>5245</v>
      </c>
      <c r="H267" s="184" t="s">
        <v>248</v>
      </c>
      <c r="I267" s="184" t="s">
        <v>5179</v>
      </c>
      <c r="J267" s="184"/>
      <c r="K267" s="184"/>
      <c r="L267" s="184"/>
      <c r="M267" s="184"/>
      <c r="N267" s="184" t="s">
        <v>5246</v>
      </c>
      <c r="O267" s="184" t="s">
        <v>5247</v>
      </c>
      <c r="P267" s="184"/>
      <c r="Q267" s="184"/>
      <c r="R267" s="184" t="s">
        <v>5248</v>
      </c>
      <c r="S267" s="184"/>
      <c r="T267" s="184"/>
      <c r="U267" s="184"/>
      <c r="V267" s="184"/>
      <c r="W267" s="184"/>
      <c r="X267" s="184"/>
    </row>
    <row r="268" customFormat="false" ht="175.5" hidden="false" customHeight="true" outlineLevel="0" collapsed="false">
      <c r="A268" s="184" t="s">
        <v>64</v>
      </c>
      <c r="B268" s="185" t="s">
        <v>5097</v>
      </c>
      <c r="C268" s="184" t="s">
        <v>61</v>
      </c>
      <c r="D268" s="184" t="s">
        <v>5784</v>
      </c>
      <c r="E268" s="184" t="s">
        <v>65</v>
      </c>
      <c r="F268" s="184" t="n">
        <v>13</v>
      </c>
      <c r="G268" s="176" t="s">
        <v>5249</v>
      </c>
      <c r="H268" s="184" t="s">
        <v>248</v>
      </c>
      <c r="I268" s="184" t="s">
        <v>5250</v>
      </c>
      <c r="J268" s="184"/>
      <c r="K268" s="184"/>
      <c r="L268" s="184"/>
      <c r="M268" s="184"/>
      <c r="N268" s="184" t="s">
        <v>5797</v>
      </c>
      <c r="O268" s="184" t="s">
        <v>5798</v>
      </c>
      <c r="P268" s="184"/>
      <c r="Q268" s="184"/>
      <c r="R268" s="184"/>
      <c r="S268" s="184"/>
      <c r="T268" s="184"/>
      <c r="U268" s="184"/>
      <c r="V268" s="184"/>
      <c r="W268" s="184"/>
      <c r="X268" s="184"/>
    </row>
    <row r="269" customFormat="false" ht="27.75" hidden="false" customHeight="true" outlineLevel="0" collapsed="false">
      <c r="A269" s="184" t="s">
        <v>64</v>
      </c>
      <c r="B269" s="185" t="s">
        <v>5097</v>
      </c>
      <c r="C269" s="184" t="s">
        <v>61</v>
      </c>
      <c r="D269" s="184" t="s">
        <v>5784</v>
      </c>
      <c r="E269" s="184" t="s">
        <v>65</v>
      </c>
      <c r="F269" s="184" t="n">
        <v>14</v>
      </c>
      <c r="G269" s="176" t="s">
        <v>5253</v>
      </c>
      <c r="H269" s="184" t="s">
        <v>248</v>
      </c>
      <c r="I269" s="184" t="s">
        <v>612</v>
      </c>
      <c r="J269" s="184"/>
      <c r="K269" s="184"/>
      <c r="L269" s="184"/>
      <c r="M269" s="184"/>
      <c r="N269" s="184" t="s">
        <v>5799</v>
      </c>
      <c r="O269" s="184" t="s">
        <v>5186</v>
      </c>
      <c r="P269" s="184"/>
      <c r="Q269" s="184"/>
      <c r="R269" s="184"/>
      <c r="S269" s="184"/>
      <c r="T269" s="184" t="s">
        <v>5800</v>
      </c>
      <c r="U269" s="184" t="s">
        <v>5312</v>
      </c>
      <c r="V269" s="184"/>
      <c r="W269" s="184"/>
      <c r="X269" s="184"/>
    </row>
    <row r="270" customFormat="false" ht="27.75" hidden="false" customHeight="true" outlineLevel="0" collapsed="false">
      <c r="A270" s="184" t="s">
        <v>64</v>
      </c>
      <c r="B270" s="185" t="s">
        <v>5097</v>
      </c>
      <c r="C270" s="184" t="s">
        <v>61</v>
      </c>
      <c r="D270" s="184" t="s">
        <v>5784</v>
      </c>
      <c r="E270" s="184" t="s">
        <v>65</v>
      </c>
      <c r="F270" s="184" t="n">
        <v>15</v>
      </c>
      <c r="G270" s="176" t="s">
        <v>5253</v>
      </c>
      <c r="H270" s="184" t="s">
        <v>248</v>
      </c>
      <c r="I270" s="184" t="s">
        <v>853</v>
      </c>
      <c r="J270" s="184"/>
      <c r="K270" s="184"/>
      <c r="L270" s="184"/>
      <c r="M270" s="184"/>
      <c r="N270" s="184" t="s">
        <v>5801</v>
      </c>
      <c r="O270" s="184" t="s">
        <v>5802</v>
      </c>
      <c r="P270" s="184"/>
      <c r="Q270" s="184"/>
      <c r="R270" s="184"/>
      <c r="S270" s="184"/>
      <c r="T270" s="184" t="s">
        <v>5803</v>
      </c>
      <c r="U270" s="184" t="s">
        <v>5316</v>
      </c>
      <c r="V270" s="184"/>
      <c r="W270" s="184"/>
      <c r="X270" s="184"/>
    </row>
    <row r="271" customFormat="false" ht="27.75" hidden="false" customHeight="true" outlineLevel="0" collapsed="false">
      <c r="A271" s="184" t="s">
        <v>64</v>
      </c>
      <c r="B271" s="185" t="s">
        <v>5097</v>
      </c>
      <c r="C271" s="184" t="s">
        <v>61</v>
      </c>
      <c r="D271" s="184" t="s">
        <v>5784</v>
      </c>
      <c r="E271" s="184" t="s">
        <v>65</v>
      </c>
      <c r="F271" s="184" t="n">
        <v>16</v>
      </c>
      <c r="G271" s="176" t="s">
        <v>5253</v>
      </c>
      <c r="H271" s="184" t="s">
        <v>248</v>
      </c>
      <c r="I271" s="184" t="s">
        <v>825</v>
      </c>
      <c r="J271" s="184"/>
      <c r="K271" s="184"/>
      <c r="L271" s="184"/>
      <c r="M271" s="184"/>
      <c r="N271" s="184" t="s">
        <v>5804</v>
      </c>
      <c r="O271" s="184" t="s">
        <v>5804</v>
      </c>
      <c r="P271" s="184"/>
      <c r="Q271" s="184"/>
      <c r="R271" s="184"/>
      <c r="S271" s="184"/>
      <c r="T271" s="184" t="s">
        <v>5805</v>
      </c>
      <c r="U271" s="184" t="s">
        <v>5806</v>
      </c>
      <c r="V271" s="184"/>
      <c r="W271" s="184"/>
      <c r="X271" s="184"/>
    </row>
    <row r="272" customFormat="false" ht="27.75" hidden="false" customHeight="true" outlineLevel="0" collapsed="false">
      <c r="A272" s="184" t="s">
        <v>64</v>
      </c>
      <c r="B272" s="185" t="s">
        <v>5097</v>
      </c>
      <c r="C272" s="184" t="s">
        <v>61</v>
      </c>
      <c r="D272" s="184" t="s">
        <v>5784</v>
      </c>
      <c r="E272" s="184" t="s">
        <v>65</v>
      </c>
      <c r="F272" s="184" t="n">
        <v>17</v>
      </c>
      <c r="G272" s="176" t="s">
        <v>5253</v>
      </c>
      <c r="H272" s="184" t="s">
        <v>248</v>
      </c>
      <c r="I272" s="184" t="s">
        <v>610</v>
      </c>
      <c r="J272" s="184"/>
      <c r="K272" s="184"/>
      <c r="L272" s="184"/>
      <c r="M272" s="184"/>
      <c r="N272" s="184" t="s">
        <v>5807</v>
      </c>
      <c r="O272" s="184" t="s">
        <v>5808</v>
      </c>
      <c r="P272" s="184"/>
      <c r="Q272" s="184"/>
      <c r="R272" s="184"/>
      <c r="S272" s="184"/>
      <c r="T272" s="184" t="s">
        <v>5809</v>
      </c>
      <c r="U272" s="184" t="s">
        <v>5308</v>
      </c>
      <c r="V272" s="184"/>
      <c r="W272" s="184"/>
      <c r="X272" s="184"/>
    </row>
    <row r="273" customFormat="false" ht="54.75" hidden="false" customHeight="true" outlineLevel="0" collapsed="false">
      <c r="A273" s="184" t="s">
        <v>64</v>
      </c>
      <c r="B273" s="185" t="s">
        <v>5097</v>
      </c>
      <c r="C273" s="184" t="s">
        <v>61</v>
      </c>
      <c r="D273" s="184" t="s">
        <v>5784</v>
      </c>
      <c r="E273" s="184" t="s">
        <v>65</v>
      </c>
      <c r="F273" s="184" t="n">
        <v>18</v>
      </c>
      <c r="G273" s="176" t="s">
        <v>5723</v>
      </c>
      <c r="H273" s="184" t="s">
        <v>248</v>
      </c>
      <c r="I273" s="184" t="s">
        <v>850</v>
      </c>
      <c r="J273" s="184"/>
      <c r="K273" s="184"/>
      <c r="L273" s="184"/>
      <c r="M273" s="184"/>
      <c r="N273" s="184"/>
      <c r="O273" s="184" t="s">
        <v>5810</v>
      </c>
      <c r="P273" s="184" t="s">
        <v>5725</v>
      </c>
      <c r="Q273" s="184"/>
      <c r="R273" s="184" t="s">
        <v>5726</v>
      </c>
      <c r="S273" s="184"/>
      <c r="T273" s="184"/>
      <c r="U273" s="184"/>
      <c r="V273" s="184"/>
      <c r="W273" s="184"/>
      <c r="X273" s="184"/>
    </row>
    <row r="274" customFormat="false" ht="27.75" hidden="false" customHeight="true" outlineLevel="0" collapsed="false">
      <c r="A274" s="184" t="s">
        <v>64</v>
      </c>
      <c r="B274" s="185" t="s">
        <v>5097</v>
      </c>
      <c r="C274" s="184" t="s">
        <v>61</v>
      </c>
      <c r="D274" s="184" t="s">
        <v>5784</v>
      </c>
      <c r="E274" s="184" t="s">
        <v>65</v>
      </c>
      <c r="F274" s="184" t="n">
        <v>19</v>
      </c>
      <c r="G274" s="176" t="s">
        <v>5730</v>
      </c>
      <c r="H274" s="184" t="s">
        <v>248</v>
      </c>
      <c r="I274" s="184" t="s">
        <v>612</v>
      </c>
      <c r="J274" s="184"/>
      <c r="K274" s="184"/>
      <c r="L274" s="184"/>
      <c r="M274" s="184"/>
      <c r="N274" s="184"/>
      <c r="O274" s="184" t="s">
        <v>5811</v>
      </c>
      <c r="P274" s="184" t="s">
        <v>5725</v>
      </c>
      <c r="Q274" s="184"/>
      <c r="R274" s="184"/>
      <c r="S274" s="184"/>
      <c r="T274" s="184"/>
      <c r="U274" s="184"/>
      <c r="V274" s="184"/>
      <c r="W274" s="184"/>
      <c r="X274" s="184"/>
    </row>
    <row r="275" customFormat="false" ht="27.75" hidden="false" customHeight="true" outlineLevel="0" collapsed="false">
      <c r="A275" s="184" t="s">
        <v>64</v>
      </c>
      <c r="B275" s="185" t="s">
        <v>5097</v>
      </c>
      <c r="C275" s="184" t="s">
        <v>61</v>
      </c>
      <c r="D275" s="184" t="s">
        <v>5784</v>
      </c>
      <c r="E275" s="184" t="s">
        <v>65</v>
      </c>
      <c r="F275" s="184" t="n">
        <v>20</v>
      </c>
      <c r="G275" s="176" t="s">
        <v>5730</v>
      </c>
      <c r="H275" s="184" t="s">
        <v>248</v>
      </c>
      <c r="I275" s="184" t="s">
        <v>853</v>
      </c>
      <c r="J275" s="184"/>
      <c r="K275" s="184"/>
      <c r="L275" s="184"/>
      <c r="M275" s="184"/>
      <c r="N275" s="184"/>
      <c r="O275" s="184" t="s">
        <v>5812</v>
      </c>
      <c r="P275" s="184" t="s">
        <v>5725</v>
      </c>
      <c r="Q275" s="184"/>
      <c r="R275" s="184"/>
      <c r="S275" s="184"/>
      <c r="T275" s="184"/>
      <c r="U275" s="184"/>
      <c r="V275" s="184"/>
      <c r="W275" s="184"/>
      <c r="X275" s="184"/>
    </row>
    <row r="276" customFormat="false" ht="27.75" hidden="false" customHeight="true" outlineLevel="0" collapsed="false">
      <c r="A276" s="184" t="s">
        <v>64</v>
      </c>
      <c r="B276" s="185" t="s">
        <v>5097</v>
      </c>
      <c r="C276" s="184" t="s">
        <v>61</v>
      </c>
      <c r="D276" s="184" t="s">
        <v>5784</v>
      </c>
      <c r="E276" s="184" t="s">
        <v>65</v>
      </c>
      <c r="F276" s="184" t="n">
        <v>21</v>
      </c>
      <c r="G276" s="176" t="s">
        <v>5730</v>
      </c>
      <c r="H276" s="184" t="s">
        <v>248</v>
      </c>
      <c r="I276" s="184" t="s">
        <v>610</v>
      </c>
      <c r="J276" s="184"/>
      <c r="K276" s="184"/>
      <c r="L276" s="184"/>
      <c r="M276" s="184"/>
      <c r="N276" s="184"/>
      <c r="O276" s="184" t="s">
        <v>5813</v>
      </c>
      <c r="P276" s="184" t="s">
        <v>5725</v>
      </c>
      <c r="Q276" s="184"/>
      <c r="R276" s="184"/>
      <c r="S276" s="184"/>
      <c r="T276" s="184"/>
      <c r="U276" s="184"/>
      <c r="V276" s="184"/>
      <c r="W276" s="184"/>
      <c r="X276" s="184"/>
    </row>
    <row r="277" customFormat="false" ht="135.75" hidden="false" customHeight="true" outlineLevel="0" collapsed="false">
      <c r="A277" s="184" t="s">
        <v>64</v>
      </c>
      <c r="B277" s="185" t="s">
        <v>5097</v>
      </c>
      <c r="C277" s="184" t="s">
        <v>61</v>
      </c>
      <c r="D277" s="184" t="s">
        <v>5784</v>
      </c>
      <c r="E277" s="184" t="s">
        <v>65</v>
      </c>
      <c r="F277" s="184" t="n">
        <v>22</v>
      </c>
      <c r="G277" s="178" t="s">
        <v>5269</v>
      </c>
      <c r="H277" s="184" t="s">
        <v>5270</v>
      </c>
      <c r="I277" s="186" t="s">
        <v>5271</v>
      </c>
      <c r="J277" s="184"/>
      <c r="K277" s="184"/>
      <c r="L277" s="184"/>
      <c r="M277" s="184"/>
      <c r="N277" s="184" t="s">
        <v>5272</v>
      </c>
      <c r="O277" s="184" t="s">
        <v>5272</v>
      </c>
      <c r="P277" s="184"/>
      <c r="Q277" s="184"/>
      <c r="R277" s="184" t="s">
        <v>5814</v>
      </c>
      <c r="S277" s="184"/>
      <c r="T277" s="184"/>
      <c r="U277" s="184"/>
      <c r="V277" s="184"/>
      <c r="W277" s="184"/>
      <c r="X277" s="184"/>
    </row>
    <row r="278" customFormat="false" ht="68.25" hidden="false" customHeight="true" outlineLevel="0" collapsed="false">
      <c r="A278" s="184" t="s">
        <v>64</v>
      </c>
      <c r="B278" s="185" t="s">
        <v>5097</v>
      </c>
      <c r="C278" s="184" t="s">
        <v>61</v>
      </c>
      <c r="D278" s="184" t="s">
        <v>5784</v>
      </c>
      <c r="E278" s="184" t="s">
        <v>65</v>
      </c>
      <c r="F278" s="184" t="n">
        <v>23</v>
      </c>
      <c r="G278" s="178" t="s">
        <v>5269</v>
      </c>
      <c r="H278" s="184" t="s">
        <v>5270</v>
      </c>
      <c r="I278" s="184" t="s">
        <v>5274</v>
      </c>
      <c r="J278" s="184"/>
      <c r="K278" s="184"/>
      <c r="L278" s="184"/>
      <c r="M278" s="184"/>
      <c r="N278" s="184" t="s">
        <v>5272</v>
      </c>
      <c r="O278" s="184" t="s">
        <v>5272</v>
      </c>
      <c r="P278" s="184"/>
      <c r="Q278" s="184"/>
      <c r="R278" s="184" t="s">
        <v>5738</v>
      </c>
      <c r="S278" s="184"/>
      <c r="T278" s="184"/>
      <c r="U278" s="184"/>
      <c r="V278" s="184"/>
      <c r="W278" s="184"/>
      <c r="X278" s="184"/>
    </row>
    <row r="279" customFormat="false" ht="27.75" hidden="false" customHeight="true" outlineLevel="0" collapsed="false">
      <c r="A279" s="184" t="s">
        <v>64</v>
      </c>
      <c r="B279" s="185" t="s">
        <v>5097</v>
      </c>
      <c r="C279" s="184" t="s">
        <v>61</v>
      </c>
      <c r="D279" s="184" t="s">
        <v>5784</v>
      </c>
      <c r="E279" s="184" t="s">
        <v>65</v>
      </c>
      <c r="F279" s="184" t="n">
        <v>24</v>
      </c>
      <c r="G279" s="177" t="s">
        <v>5276</v>
      </c>
      <c r="H279" s="184" t="s">
        <v>5270</v>
      </c>
      <c r="I279" s="184" t="s">
        <v>5277</v>
      </c>
      <c r="J279" s="184"/>
      <c r="K279" s="184"/>
      <c r="L279" s="184"/>
      <c r="M279" s="184"/>
      <c r="N279" s="184"/>
      <c r="O279" s="184"/>
      <c r="P279" s="184"/>
      <c r="Q279" s="184"/>
      <c r="R279" s="184"/>
      <c r="S279" s="184"/>
      <c r="T279" s="184"/>
      <c r="U279" s="184"/>
      <c r="V279" s="184"/>
      <c r="W279" s="184"/>
      <c r="X279" s="184"/>
    </row>
    <row r="280" customFormat="false" ht="41.25" hidden="false" customHeight="true" outlineLevel="0" collapsed="false">
      <c r="A280" s="184" t="s">
        <v>66</v>
      </c>
      <c r="B280" s="185" t="s">
        <v>5100</v>
      </c>
      <c r="C280" s="184" t="s">
        <v>61</v>
      </c>
      <c r="D280" s="184" t="s">
        <v>5815</v>
      </c>
      <c r="E280" s="184" t="s">
        <v>67</v>
      </c>
      <c r="F280" s="184" t="n">
        <v>1</v>
      </c>
      <c r="G280" s="177" t="s">
        <v>5177</v>
      </c>
      <c r="H280" s="184" t="s">
        <v>5178</v>
      </c>
      <c r="I280" s="184" t="s">
        <v>5179</v>
      </c>
      <c r="J280" s="184"/>
      <c r="K280" s="184"/>
      <c r="L280" s="184"/>
      <c r="M280" s="184"/>
      <c r="N280" s="184" t="s">
        <v>5180</v>
      </c>
      <c r="O280" s="184" t="s">
        <v>5181</v>
      </c>
      <c r="P280" s="184"/>
      <c r="Q280" s="184"/>
      <c r="R280" s="184" t="s">
        <v>5182</v>
      </c>
      <c r="S280" s="184"/>
      <c r="T280" s="184"/>
      <c r="U280" s="184"/>
      <c r="V280" s="184"/>
      <c r="W280" s="184"/>
      <c r="X280" s="184"/>
    </row>
    <row r="281" customFormat="false" ht="27.75" hidden="false" customHeight="true" outlineLevel="0" collapsed="false">
      <c r="A281" s="184" t="s">
        <v>66</v>
      </c>
      <c r="B281" s="185" t="s">
        <v>5100</v>
      </c>
      <c r="C281" s="184" t="s">
        <v>61</v>
      </c>
      <c r="D281" s="184" t="s">
        <v>5815</v>
      </c>
      <c r="E281" s="184" t="s">
        <v>67</v>
      </c>
      <c r="F281" s="184" t="n">
        <v>2</v>
      </c>
      <c r="G281" s="177" t="s">
        <v>5183</v>
      </c>
      <c r="H281" s="184" t="s">
        <v>5178</v>
      </c>
      <c r="I281" s="184" t="s">
        <v>61</v>
      </c>
      <c r="J281" s="184"/>
      <c r="K281" s="184"/>
      <c r="L281" s="184"/>
      <c r="M281" s="184"/>
      <c r="N281" s="184"/>
      <c r="O281" s="184"/>
      <c r="P281" s="184"/>
      <c r="Q281" s="184"/>
      <c r="R281" s="184" t="s">
        <v>5184</v>
      </c>
      <c r="S281" s="184"/>
      <c r="T281" s="184"/>
      <c r="U281" s="184"/>
      <c r="V281" s="184"/>
      <c r="W281" s="184"/>
      <c r="X281" s="184"/>
    </row>
    <row r="282" customFormat="false" ht="41.25" hidden="false" customHeight="true" outlineLevel="0" collapsed="false">
      <c r="A282" s="184" t="s">
        <v>66</v>
      </c>
      <c r="B282" s="185" t="s">
        <v>5100</v>
      </c>
      <c r="C282" s="184" t="s">
        <v>61</v>
      </c>
      <c r="D282" s="184" t="s">
        <v>5815</v>
      </c>
      <c r="E282" s="184" t="s">
        <v>67</v>
      </c>
      <c r="F282" s="184" t="n">
        <v>3</v>
      </c>
      <c r="G282" s="174" t="s">
        <v>4844</v>
      </c>
      <c r="H282" s="184" t="s">
        <v>5185</v>
      </c>
      <c r="I282" s="184" t="s">
        <v>873</v>
      </c>
      <c r="J282" s="184" t="s">
        <v>227</v>
      </c>
      <c r="K282" s="184" t="n">
        <v>10000</v>
      </c>
      <c r="L282" s="184" t="n">
        <v>3000000</v>
      </c>
      <c r="M282" s="184" t="n">
        <v>10000</v>
      </c>
      <c r="N282" s="184" t="s">
        <v>5816</v>
      </c>
      <c r="O282" s="184" t="s">
        <v>5707</v>
      </c>
      <c r="P282" s="184" t="s">
        <v>5817</v>
      </c>
      <c r="Q282" s="184"/>
      <c r="R282" s="184"/>
      <c r="S282" s="184"/>
      <c r="T282" s="184" t="s">
        <v>5818</v>
      </c>
      <c r="U282" s="184" t="s">
        <v>5292</v>
      </c>
      <c r="V282" s="184" t="n">
        <v>400000</v>
      </c>
      <c r="W282" s="184" t="s">
        <v>5819</v>
      </c>
      <c r="X282" s="184" t="s">
        <v>5820</v>
      </c>
    </row>
    <row r="283" customFormat="false" ht="27.75" hidden="false" customHeight="true" outlineLevel="0" collapsed="false">
      <c r="A283" s="184" t="s">
        <v>66</v>
      </c>
      <c r="B283" s="185" t="s">
        <v>5100</v>
      </c>
      <c r="C283" s="184" t="s">
        <v>61</v>
      </c>
      <c r="D283" s="184" t="s">
        <v>5815</v>
      </c>
      <c r="E283" s="184" t="s">
        <v>67</v>
      </c>
      <c r="F283" s="184" t="n">
        <v>4</v>
      </c>
      <c r="G283" s="174" t="s">
        <v>4844</v>
      </c>
      <c r="H283" s="184" t="s">
        <v>5185</v>
      </c>
      <c r="I283" s="184" t="s">
        <v>875</v>
      </c>
      <c r="J283" s="184" t="s">
        <v>227</v>
      </c>
      <c r="K283" s="184" t="n">
        <v>1000</v>
      </c>
      <c r="L283" s="184" t="n">
        <v>200000</v>
      </c>
      <c r="M283" s="184" t="n">
        <v>1000</v>
      </c>
      <c r="N283" s="184" t="s">
        <v>5821</v>
      </c>
      <c r="O283" s="184" t="s">
        <v>5821</v>
      </c>
      <c r="P283" s="184" t="s">
        <v>5201</v>
      </c>
      <c r="Q283" s="184"/>
      <c r="R283" s="184"/>
      <c r="S283" s="184"/>
      <c r="T283" s="184" t="s">
        <v>5822</v>
      </c>
      <c r="U283" s="184" t="s">
        <v>5368</v>
      </c>
      <c r="V283" s="184" t="n">
        <v>24000</v>
      </c>
      <c r="W283" s="184" t="s">
        <v>5823</v>
      </c>
      <c r="X283" s="184" t="s">
        <v>5824</v>
      </c>
    </row>
    <row r="284" customFormat="false" ht="41.25" hidden="false" customHeight="true" outlineLevel="0" collapsed="false">
      <c r="A284" s="184" t="s">
        <v>66</v>
      </c>
      <c r="B284" s="185" t="s">
        <v>5100</v>
      </c>
      <c r="C284" s="184" t="s">
        <v>61</v>
      </c>
      <c r="D284" s="184" t="s">
        <v>5815</v>
      </c>
      <c r="E284" s="184" t="s">
        <v>67</v>
      </c>
      <c r="F284" s="184" t="n">
        <v>5</v>
      </c>
      <c r="G284" s="174" t="s">
        <v>4844</v>
      </c>
      <c r="H284" s="184" t="s">
        <v>5185</v>
      </c>
      <c r="I284" s="184" t="s">
        <v>877</v>
      </c>
      <c r="J284" s="184" t="s">
        <v>238</v>
      </c>
      <c r="K284" s="184" t="n">
        <v>0</v>
      </c>
      <c r="L284" s="184" t="n">
        <v>7</v>
      </c>
      <c r="M284" s="184" t="n">
        <v>0.05</v>
      </c>
      <c r="N284" s="184" t="s">
        <v>5825</v>
      </c>
      <c r="O284" s="184" t="s">
        <v>5825</v>
      </c>
      <c r="P284" s="184" t="s">
        <v>5826</v>
      </c>
      <c r="Q284" s="184"/>
      <c r="R284" s="184"/>
      <c r="S284" s="184" t="s">
        <v>5454</v>
      </c>
      <c r="T284" s="184" t="s">
        <v>5827</v>
      </c>
      <c r="U284" s="184" t="s">
        <v>5559</v>
      </c>
      <c r="V284" s="184" t="s">
        <v>5825</v>
      </c>
      <c r="W284" s="184" t="s">
        <v>5828</v>
      </c>
      <c r="X284" s="184" t="s">
        <v>5829</v>
      </c>
    </row>
    <row r="285" customFormat="false" ht="41.25" hidden="false" customHeight="true" outlineLevel="0" collapsed="false">
      <c r="A285" s="184" t="s">
        <v>66</v>
      </c>
      <c r="B285" s="185" t="s">
        <v>5100</v>
      </c>
      <c r="C285" s="184" t="s">
        <v>61</v>
      </c>
      <c r="D285" s="184" t="s">
        <v>5815</v>
      </c>
      <c r="E285" s="184" t="s">
        <v>67</v>
      </c>
      <c r="F285" s="184" t="n">
        <v>6</v>
      </c>
      <c r="G285" s="174" t="s">
        <v>4844</v>
      </c>
      <c r="H285" s="184" t="s">
        <v>5185</v>
      </c>
      <c r="I285" s="184" t="s">
        <v>881</v>
      </c>
      <c r="J285" s="184" t="s">
        <v>715</v>
      </c>
      <c r="K285" s="184" t="n">
        <v>50</v>
      </c>
      <c r="L285" s="184" t="n">
        <v>90</v>
      </c>
      <c r="M285" s="184" t="n">
        <v>1</v>
      </c>
      <c r="N285" s="184" t="s">
        <v>5211</v>
      </c>
      <c r="O285" s="184" t="s">
        <v>5633</v>
      </c>
      <c r="P285" s="184" t="s">
        <v>5634</v>
      </c>
      <c r="Q285" s="184"/>
      <c r="R285" s="184" t="s">
        <v>5635</v>
      </c>
      <c r="S285" s="184" t="s">
        <v>5215</v>
      </c>
      <c r="T285" s="184" t="s">
        <v>5830</v>
      </c>
      <c r="U285" s="184" t="s">
        <v>5570</v>
      </c>
      <c r="V285" s="184" t="n">
        <v>66</v>
      </c>
      <c r="W285" s="184" t="s">
        <v>5831</v>
      </c>
      <c r="X285" s="184" t="s">
        <v>5832</v>
      </c>
    </row>
    <row r="286" customFormat="false" ht="68.25" hidden="false" customHeight="true" outlineLevel="0" collapsed="false">
      <c r="A286" s="184" t="s">
        <v>66</v>
      </c>
      <c r="B286" s="185" t="s">
        <v>5100</v>
      </c>
      <c r="C286" s="184" t="s">
        <v>61</v>
      </c>
      <c r="D286" s="184" t="s">
        <v>5815</v>
      </c>
      <c r="E286" s="184" t="s">
        <v>67</v>
      </c>
      <c r="F286" s="184" t="n">
        <v>7</v>
      </c>
      <c r="G286" s="174" t="s">
        <v>4848</v>
      </c>
      <c r="H286" s="184" t="s">
        <v>5227</v>
      </c>
      <c r="I286" s="184" t="s">
        <v>5833</v>
      </c>
      <c r="J286" s="184"/>
      <c r="K286" s="184"/>
      <c r="L286" s="184"/>
      <c r="M286" s="184"/>
      <c r="N286" s="184" t="s">
        <v>5834</v>
      </c>
      <c r="O286" s="184" t="s">
        <v>5834</v>
      </c>
      <c r="P286" s="184" t="s">
        <v>5206</v>
      </c>
      <c r="Q286" s="184" t="s">
        <v>5835</v>
      </c>
      <c r="R286" s="184" t="s">
        <v>5836</v>
      </c>
      <c r="S286" s="184" t="s">
        <v>5454</v>
      </c>
      <c r="T286" s="184"/>
      <c r="U286" s="184"/>
      <c r="V286" s="184"/>
      <c r="W286" s="184"/>
      <c r="X286" s="184" t="s">
        <v>5232</v>
      </c>
    </row>
    <row r="287" customFormat="false" ht="41.25" hidden="false" customHeight="true" outlineLevel="0" collapsed="false">
      <c r="A287" s="184" t="s">
        <v>66</v>
      </c>
      <c r="B287" s="185" t="s">
        <v>5100</v>
      </c>
      <c r="C287" s="184" t="s">
        <v>61</v>
      </c>
      <c r="D287" s="184" t="s">
        <v>5815</v>
      </c>
      <c r="E287" s="184" t="s">
        <v>67</v>
      </c>
      <c r="F287" s="184" t="n">
        <v>8</v>
      </c>
      <c r="G287" s="174" t="s">
        <v>4846</v>
      </c>
      <c r="H287" s="184" t="s">
        <v>5227</v>
      </c>
      <c r="I287" s="184" t="s">
        <v>5837</v>
      </c>
      <c r="J287" s="184" t="s">
        <v>715</v>
      </c>
      <c r="K287" s="184"/>
      <c r="L287" s="184"/>
      <c r="M287" s="184"/>
      <c r="N287" s="184" t="s">
        <v>5211</v>
      </c>
      <c r="O287" s="184" t="s">
        <v>5838</v>
      </c>
      <c r="P287" s="184" t="s">
        <v>5206</v>
      </c>
      <c r="Q287" s="184"/>
      <c r="R287" s="184" t="s">
        <v>5839</v>
      </c>
      <c r="S287" s="184" t="s">
        <v>5840</v>
      </c>
      <c r="T287" s="184"/>
      <c r="U287" s="184"/>
      <c r="V287" s="184"/>
      <c r="W287" s="184"/>
      <c r="X287" s="184" t="s">
        <v>5232</v>
      </c>
    </row>
    <row r="288" customFormat="false" ht="27.75" hidden="false" customHeight="true" outlineLevel="0" collapsed="false">
      <c r="A288" s="184" t="s">
        <v>66</v>
      </c>
      <c r="B288" s="185" t="s">
        <v>5100</v>
      </c>
      <c r="C288" s="184" t="s">
        <v>61</v>
      </c>
      <c r="D288" s="184" t="s">
        <v>5815</v>
      </c>
      <c r="E288" s="184" t="s">
        <v>67</v>
      </c>
      <c r="F288" s="184" t="n">
        <v>9</v>
      </c>
      <c r="G288" s="177" t="s">
        <v>5183</v>
      </c>
      <c r="H288" s="184" t="s">
        <v>5504</v>
      </c>
      <c r="I288" s="184" t="s">
        <v>5505</v>
      </c>
      <c r="J288" s="184"/>
      <c r="K288" s="184"/>
      <c r="L288" s="184"/>
      <c r="M288" s="184"/>
      <c r="N288" s="184"/>
      <c r="O288" s="184"/>
      <c r="P288" s="184"/>
      <c r="Q288" s="184"/>
      <c r="R288" s="184"/>
      <c r="S288" s="184"/>
      <c r="T288" s="184"/>
      <c r="U288" s="184"/>
      <c r="V288" s="184"/>
      <c r="W288" s="184"/>
      <c r="X288" s="184"/>
    </row>
    <row r="289" customFormat="false" ht="54.75" hidden="false" customHeight="true" outlineLevel="0" collapsed="false">
      <c r="A289" s="184" t="s">
        <v>66</v>
      </c>
      <c r="B289" s="185" t="s">
        <v>5100</v>
      </c>
      <c r="C289" s="184" t="s">
        <v>61</v>
      </c>
      <c r="D289" s="184" t="s">
        <v>5815</v>
      </c>
      <c r="E289" s="184" t="s">
        <v>67</v>
      </c>
      <c r="F289" s="184" t="n">
        <v>10</v>
      </c>
      <c r="G289" s="175" t="s">
        <v>4850</v>
      </c>
      <c r="H289" s="184" t="s">
        <v>248</v>
      </c>
      <c r="I289" s="184" t="s">
        <v>5841</v>
      </c>
      <c r="J289" s="184"/>
      <c r="K289" s="184"/>
      <c r="L289" s="184"/>
      <c r="M289" s="184"/>
      <c r="N289" s="184" t="s">
        <v>5842</v>
      </c>
      <c r="O289" s="184" t="s">
        <v>5240</v>
      </c>
      <c r="P289" s="184"/>
      <c r="Q289" s="184"/>
      <c r="R289" s="184" t="s">
        <v>5241</v>
      </c>
      <c r="S289" s="184"/>
      <c r="T289" s="184"/>
      <c r="U289" s="184"/>
      <c r="V289" s="184"/>
      <c r="W289" s="184"/>
      <c r="X289" s="184"/>
    </row>
    <row r="290" customFormat="false" ht="27.75" hidden="false" customHeight="true" outlineLevel="0" collapsed="false">
      <c r="A290" s="184" t="s">
        <v>66</v>
      </c>
      <c r="B290" s="185" t="s">
        <v>5100</v>
      </c>
      <c r="C290" s="184" t="s">
        <v>61</v>
      </c>
      <c r="D290" s="184" t="s">
        <v>5815</v>
      </c>
      <c r="E290" s="184" t="s">
        <v>67</v>
      </c>
      <c r="F290" s="184" t="n">
        <v>11</v>
      </c>
      <c r="G290" s="176" t="s">
        <v>248</v>
      </c>
      <c r="H290" s="184" t="s">
        <v>248</v>
      </c>
      <c r="I290" s="184" t="s">
        <v>5843</v>
      </c>
      <c r="J290" s="184"/>
      <c r="K290" s="184"/>
      <c r="L290" s="184"/>
      <c r="M290" s="184"/>
      <c r="N290" s="184" t="s">
        <v>5844</v>
      </c>
      <c r="O290" s="184" t="s">
        <v>5845</v>
      </c>
      <c r="P290" s="184"/>
      <c r="Q290" s="184"/>
      <c r="R290" s="184"/>
      <c r="S290" s="184"/>
      <c r="T290" s="184" t="s">
        <v>5846</v>
      </c>
      <c r="U290" s="184" t="s">
        <v>94</v>
      </c>
      <c r="V290" s="184"/>
      <c r="W290" s="184"/>
      <c r="X290" s="184"/>
    </row>
    <row r="291" customFormat="false" ht="27.75" hidden="false" customHeight="true" outlineLevel="0" collapsed="false">
      <c r="A291" s="184" t="s">
        <v>66</v>
      </c>
      <c r="B291" s="185" t="s">
        <v>5100</v>
      </c>
      <c r="C291" s="184" t="s">
        <v>61</v>
      </c>
      <c r="D291" s="184" t="s">
        <v>5815</v>
      </c>
      <c r="E291" s="184" t="s">
        <v>67</v>
      </c>
      <c r="F291" s="184" t="n">
        <v>12</v>
      </c>
      <c r="G291" s="177" t="s">
        <v>5245</v>
      </c>
      <c r="H291" s="184" t="s">
        <v>248</v>
      </c>
      <c r="I291" s="184" t="s">
        <v>5179</v>
      </c>
      <c r="J291" s="184"/>
      <c r="K291" s="184"/>
      <c r="L291" s="184"/>
      <c r="M291" s="184"/>
      <c r="N291" s="184" t="s">
        <v>5246</v>
      </c>
      <c r="O291" s="184" t="s">
        <v>5247</v>
      </c>
      <c r="P291" s="184"/>
      <c r="Q291" s="184"/>
      <c r="R291" s="184" t="s">
        <v>5248</v>
      </c>
      <c r="S291" s="184"/>
      <c r="T291" s="184"/>
      <c r="U291" s="184"/>
      <c r="V291" s="184"/>
      <c r="W291" s="184"/>
      <c r="X291" s="184"/>
    </row>
    <row r="292" customFormat="false" ht="175.5" hidden="false" customHeight="true" outlineLevel="0" collapsed="false">
      <c r="A292" s="184" t="s">
        <v>66</v>
      </c>
      <c r="B292" s="185" t="s">
        <v>5100</v>
      </c>
      <c r="C292" s="184" t="s">
        <v>61</v>
      </c>
      <c r="D292" s="184" t="s">
        <v>5815</v>
      </c>
      <c r="E292" s="184" t="s">
        <v>67</v>
      </c>
      <c r="F292" s="184" t="n">
        <v>13</v>
      </c>
      <c r="G292" s="176" t="s">
        <v>5249</v>
      </c>
      <c r="H292" s="184" t="s">
        <v>248</v>
      </c>
      <c r="I292" s="184" t="s">
        <v>5250</v>
      </c>
      <c r="J292" s="184"/>
      <c r="K292" s="184"/>
      <c r="L292" s="184"/>
      <c r="M292" s="184"/>
      <c r="N292" s="184" t="s">
        <v>5847</v>
      </c>
      <c r="O292" s="184" t="s">
        <v>5848</v>
      </c>
      <c r="P292" s="184"/>
      <c r="Q292" s="184"/>
      <c r="R292" s="184"/>
      <c r="S292" s="184"/>
      <c r="T292" s="184"/>
      <c r="U292" s="184"/>
      <c r="V292" s="184"/>
      <c r="W292" s="184"/>
      <c r="X292" s="184"/>
    </row>
    <row r="293" customFormat="false" ht="27.75" hidden="false" customHeight="true" outlineLevel="0" collapsed="false">
      <c r="A293" s="184" t="s">
        <v>66</v>
      </c>
      <c r="B293" s="185" t="s">
        <v>5100</v>
      </c>
      <c r="C293" s="184" t="s">
        <v>61</v>
      </c>
      <c r="D293" s="184" t="s">
        <v>5815</v>
      </c>
      <c r="E293" s="184" t="s">
        <v>67</v>
      </c>
      <c r="F293" s="184" t="n">
        <v>14</v>
      </c>
      <c r="G293" s="176" t="s">
        <v>5253</v>
      </c>
      <c r="H293" s="184" t="s">
        <v>248</v>
      </c>
      <c r="I293" s="184" t="s">
        <v>888</v>
      </c>
      <c r="J293" s="184"/>
      <c r="K293" s="184"/>
      <c r="L293" s="184"/>
      <c r="M293" s="184"/>
      <c r="N293" s="184" t="s">
        <v>5849</v>
      </c>
      <c r="O293" s="184" t="s">
        <v>5850</v>
      </c>
      <c r="P293" s="184"/>
      <c r="Q293" s="184"/>
      <c r="R293" s="184"/>
      <c r="S293" s="184"/>
      <c r="T293" s="184" t="s">
        <v>5851</v>
      </c>
      <c r="U293" s="184" t="s">
        <v>5386</v>
      </c>
      <c r="V293" s="184"/>
      <c r="W293" s="184"/>
      <c r="X293" s="184"/>
    </row>
    <row r="294" customFormat="false" ht="27.75" hidden="false" customHeight="true" outlineLevel="0" collapsed="false">
      <c r="A294" s="184" t="s">
        <v>66</v>
      </c>
      <c r="B294" s="185" t="s">
        <v>5100</v>
      </c>
      <c r="C294" s="184" t="s">
        <v>61</v>
      </c>
      <c r="D294" s="184" t="s">
        <v>5815</v>
      </c>
      <c r="E294" s="184" t="s">
        <v>67</v>
      </c>
      <c r="F294" s="184" t="n">
        <v>15</v>
      </c>
      <c r="G294" s="176" t="s">
        <v>5253</v>
      </c>
      <c r="H294" s="184" t="s">
        <v>248</v>
      </c>
      <c r="I294" s="184" t="s">
        <v>890</v>
      </c>
      <c r="J294" s="184"/>
      <c r="K294" s="184"/>
      <c r="L294" s="184"/>
      <c r="M294" s="184"/>
      <c r="N294" s="184" t="s">
        <v>5852</v>
      </c>
      <c r="O294" s="184" t="s">
        <v>5853</v>
      </c>
      <c r="P294" s="184"/>
      <c r="Q294" s="184"/>
      <c r="R294" s="184"/>
      <c r="S294" s="184"/>
      <c r="T294" s="184" t="s">
        <v>5854</v>
      </c>
      <c r="U294" s="184" t="s">
        <v>5308</v>
      </c>
      <c r="V294" s="184"/>
      <c r="W294" s="184"/>
      <c r="X294" s="184"/>
    </row>
    <row r="295" customFormat="false" ht="54.75" hidden="false" customHeight="true" outlineLevel="0" collapsed="false">
      <c r="A295" s="184" t="s">
        <v>66</v>
      </c>
      <c r="B295" s="185" t="s">
        <v>5100</v>
      </c>
      <c r="C295" s="184" t="s">
        <v>61</v>
      </c>
      <c r="D295" s="184" t="s">
        <v>5815</v>
      </c>
      <c r="E295" s="184" t="s">
        <v>67</v>
      </c>
      <c r="F295" s="184" t="n">
        <v>16</v>
      </c>
      <c r="G295" s="176" t="s">
        <v>5723</v>
      </c>
      <c r="H295" s="184" t="s">
        <v>248</v>
      </c>
      <c r="I295" s="184" t="s">
        <v>5843</v>
      </c>
      <c r="J295" s="184"/>
      <c r="K295" s="184"/>
      <c r="L295" s="184"/>
      <c r="M295" s="184"/>
      <c r="N295" s="184"/>
      <c r="O295" s="184" t="s">
        <v>5855</v>
      </c>
      <c r="P295" s="184" t="s">
        <v>5725</v>
      </c>
      <c r="Q295" s="184"/>
      <c r="R295" s="184" t="s">
        <v>5726</v>
      </c>
      <c r="S295" s="184"/>
      <c r="T295" s="184"/>
      <c r="U295" s="184"/>
      <c r="V295" s="184"/>
      <c r="W295" s="184"/>
      <c r="X295" s="184"/>
    </row>
    <row r="296" customFormat="false" ht="27.75" hidden="false" customHeight="true" outlineLevel="0" collapsed="false">
      <c r="A296" s="184" t="s">
        <v>66</v>
      </c>
      <c r="B296" s="185" t="s">
        <v>5100</v>
      </c>
      <c r="C296" s="184" t="s">
        <v>61</v>
      </c>
      <c r="D296" s="184" t="s">
        <v>5815</v>
      </c>
      <c r="E296" s="184" t="s">
        <v>67</v>
      </c>
      <c r="F296" s="184" t="n">
        <v>17</v>
      </c>
      <c r="G296" s="176" t="s">
        <v>5730</v>
      </c>
      <c r="H296" s="184" t="s">
        <v>248</v>
      </c>
      <c r="I296" s="184" t="s">
        <v>888</v>
      </c>
      <c r="J296" s="184"/>
      <c r="K296" s="184"/>
      <c r="L296" s="184"/>
      <c r="M296" s="184"/>
      <c r="N296" s="184"/>
      <c r="O296" s="184" t="s">
        <v>5856</v>
      </c>
      <c r="P296" s="184" t="s">
        <v>5725</v>
      </c>
      <c r="Q296" s="184"/>
      <c r="R296" s="184"/>
      <c r="S296" s="184"/>
      <c r="T296" s="184"/>
      <c r="U296" s="184"/>
      <c r="V296" s="184"/>
      <c r="W296" s="184"/>
      <c r="X296" s="184"/>
    </row>
    <row r="297" customFormat="false" ht="27.75" hidden="false" customHeight="true" outlineLevel="0" collapsed="false">
      <c r="A297" s="184" t="s">
        <v>66</v>
      </c>
      <c r="B297" s="185" t="s">
        <v>5100</v>
      </c>
      <c r="C297" s="184" t="s">
        <v>61</v>
      </c>
      <c r="D297" s="184" t="s">
        <v>5815</v>
      </c>
      <c r="E297" s="184" t="s">
        <v>67</v>
      </c>
      <c r="F297" s="184" t="n">
        <v>18</v>
      </c>
      <c r="G297" s="176" t="s">
        <v>5730</v>
      </c>
      <c r="H297" s="184" t="s">
        <v>248</v>
      </c>
      <c r="I297" s="184" t="s">
        <v>890</v>
      </c>
      <c r="J297" s="184"/>
      <c r="K297" s="184"/>
      <c r="L297" s="184"/>
      <c r="M297" s="184"/>
      <c r="N297" s="184"/>
      <c r="O297" s="184" t="s">
        <v>5857</v>
      </c>
      <c r="P297" s="184" t="s">
        <v>5725</v>
      </c>
      <c r="Q297" s="184"/>
      <c r="R297" s="184"/>
      <c r="S297" s="184"/>
      <c r="T297" s="184"/>
      <c r="U297" s="184"/>
      <c r="V297" s="184"/>
      <c r="W297" s="184"/>
      <c r="X297" s="184"/>
    </row>
    <row r="298" customFormat="false" ht="108.75" hidden="false" customHeight="true" outlineLevel="0" collapsed="false">
      <c r="A298" s="184" t="s">
        <v>66</v>
      </c>
      <c r="B298" s="185" t="s">
        <v>5100</v>
      </c>
      <c r="C298" s="184" t="s">
        <v>61</v>
      </c>
      <c r="D298" s="184" t="s">
        <v>5815</v>
      </c>
      <c r="E298" s="184" t="s">
        <v>67</v>
      </c>
      <c r="F298" s="184" t="n">
        <v>19</v>
      </c>
      <c r="G298" s="178" t="s">
        <v>5269</v>
      </c>
      <c r="H298" s="184" t="s">
        <v>5270</v>
      </c>
      <c r="I298" s="186" t="s">
        <v>5271</v>
      </c>
      <c r="J298" s="184"/>
      <c r="K298" s="184"/>
      <c r="L298" s="184"/>
      <c r="M298" s="184"/>
      <c r="N298" s="184" t="s">
        <v>5272</v>
      </c>
      <c r="O298" s="184" t="s">
        <v>5272</v>
      </c>
      <c r="P298" s="184"/>
      <c r="Q298" s="184"/>
      <c r="R298" s="184" t="s">
        <v>5858</v>
      </c>
      <c r="S298" s="184"/>
      <c r="T298" s="184"/>
      <c r="U298" s="184"/>
      <c r="V298" s="184"/>
      <c r="W298" s="184"/>
      <c r="X298" s="184"/>
    </row>
    <row r="299" customFormat="false" ht="68.25" hidden="false" customHeight="true" outlineLevel="0" collapsed="false">
      <c r="A299" s="184" t="s">
        <v>66</v>
      </c>
      <c r="B299" s="185" t="s">
        <v>5100</v>
      </c>
      <c r="C299" s="184" t="s">
        <v>61</v>
      </c>
      <c r="D299" s="184" t="s">
        <v>5815</v>
      </c>
      <c r="E299" s="184" t="s">
        <v>67</v>
      </c>
      <c r="F299" s="184" t="n">
        <v>20</v>
      </c>
      <c r="G299" s="178" t="s">
        <v>5269</v>
      </c>
      <c r="H299" s="184" t="s">
        <v>5270</v>
      </c>
      <c r="I299" s="184" t="s">
        <v>5274</v>
      </c>
      <c r="J299" s="184"/>
      <c r="K299" s="184"/>
      <c r="L299" s="184"/>
      <c r="M299" s="184"/>
      <c r="N299" s="184" t="s">
        <v>5272</v>
      </c>
      <c r="O299" s="184" t="s">
        <v>5272</v>
      </c>
      <c r="P299" s="184"/>
      <c r="Q299" s="184"/>
      <c r="R299" s="184" t="s">
        <v>5738</v>
      </c>
      <c r="S299" s="184"/>
      <c r="T299" s="184"/>
      <c r="U299" s="184"/>
      <c r="V299" s="184"/>
      <c r="W299" s="184"/>
      <c r="X299" s="184"/>
    </row>
    <row r="300" customFormat="false" ht="27.75" hidden="false" customHeight="true" outlineLevel="0" collapsed="false">
      <c r="A300" s="184" t="s">
        <v>66</v>
      </c>
      <c r="B300" s="185" t="s">
        <v>5100</v>
      </c>
      <c r="C300" s="184" t="s">
        <v>61</v>
      </c>
      <c r="D300" s="184" t="s">
        <v>5815</v>
      </c>
      <c r="E300" s="184" t="s">
        <v>67</v>
      </c>
      <c r="F300" s="184" t="n">
        <v>21</v>
      </c>
      <c r="G300" s="177" t="s">
        <v>5276</v>
      </c>
      <c r="H300" s="184" t="s">
        <v>5270</v>
      </c>
      <c r="I300" s="184" t="s">
        <v>5277</v>
      </c>
      <c r="J300" s="184"/>
      <c r="K300" s="184"/>
      <c r="L300" s="184"/>
      <c r="M300" s="184"/>
      <c r="N300" s="184"/>
      <c r="O300" s="184"/>
      <c r="P300" s="184"/>
      <c r="Q300" s="184"/>
      <c r="R300" s="184"/>
      <c r="S300" s="184"/>
      <c r="T300" s="184"/>
      <c r="U300" s="184"/>
      <c r="V300" s="184"/>
      <c r="W300" s="184"/>
      <c r="X300" s="184"/>
    </row>
    <row r="301" customFormat="false" ht="41.25" hidden="false" customHeight="true" outlineLevel="0" collapsed="false">
      <c r="A301" s="184" t="s">
        <v>68</v>
      </c>
      <c r="B301" s="185" t="s">
        <v>5103</v>
      </c>
      <c r="C301" s="184" t="s">
        <v>61</v>
      </c>
      <c r="D301" s="184" t="s">
        <v>5859</v>
      </c>
      <c r="E301" s="184" t="s">
        <v>69</v>
      </c>
      <c r="F301" s="184" t="n">
        <v>1</v>
      </c>
      <c r="G301" s="177" t="s">
        <v>5177</v>
      </c>
      <c r="H301" s="184" t="s">
        <v>5178</v>
      </c>
      <c r="I301" s="184" t="s">
        <v>5179</v>
      </c>
      <c r="J301" s="184"/>
      <c r="K301" s="184"/>
      <c r="L301" s="184"/>
      <c r="M301" s="184"/>
      <c r="N301" s="184" t="s">
        <v>5180</v>
      </c>
      <c r="O301" s="184" t="s">
        <v>5181</v>
      </c>
      <c r="P301" s="184"/>
      <c r="Q301" s="184"/>
      <c r="R301" s="184" t="s">
        <v>5182</v>
      </c>
      <c r="S301" s="184"/>
      <c r="T301" s="184"/>
      <c r="U301" s="184"/>
      <c r="V301" s="184"/>
      <c r="W301" s="184"/>
      <c r="X301" s="184"/>
    </row>
    <row r="302" customFormat="false" ht="27.75" hidden="false" customHeight="true" outlineLevel="0" collapsed="false">
      <c r="A302" s="184" t="s">
        <v>68</v>
      </c>
      <c r="B302" s="185" t="s">
        <v>5103</v>
      </c>
      <c r="C302" s="184" t="s">
        <v>61</v>
      </c>
      <c r="D302" s="184" t="s">
        <v>5859</v>
      </c>
      <c r="E302" s="184" t="s">
        <v>69</v>
      </c>
      <c r="F302" s="184" t="n">
        <v>2</v>
      </c>
      <c r="G302" s="177" t="s">
        <v>5183</v>
      </c>
      <c r="H302" s="184" t="s">
        <v>5178</v>
      </c>
      <c r="I302" s="184" t="s">
        <v>61</v>
      </c>
      <c r="J302" s="184"/>
      <c r="K302" s="184"/>
      <c r="L302" s="184"/>
      <c r="M302" s="184"/>
      <c r="N302" s="184"/>
      <c r="O302" s="184"/>
      <c r="P302" s="184"/>
      <c r="Q302" s="184"/>
      <c r="R302" s="184" t="s">
        <v>5184</v>
      </c>
      <c r="S302" s="184"/>
      <c r="T302" s="184"/>
      <c r="U302" s="184"/>
      <c r="V302" s="184"/>
      <c r="W302" s="184"/>
      <c r="X302" s="184"/>
    </row>
    <row r="303" customFormat="false" ht="41.25" hidden="false" customHeight="true" outlineLevel="0" collapsed="false">
      <c r="A303" s="184" t="s">
        <v>68</v>
      </c>
      <c r="B303" s="185" t="s">
        <v>5103</v>
      </c>
      <c r="C303" s="184" t="s">
        <v>61</v>
      </c>
      <c r="D303" s="184" t="s">
        <v>5859</v>
      </c>
      <c r="E303" s="184" t="s">
        <v>69</v>
      </c>
      <c r="F303" s="184" t="n">
        <v>3</v>
      </c>
      <c r="G303" s="174" t="s">
        <v>4844</v>
      </c>
      <c r="H303" s="184" t="s">
        <v>5185</v>
      </c>
      <c r="I303" s="184" t="s">
        <v>873</v>
      </c>
      <c r="J303" s="184" t="s">
        <v>227</v>
      </c>
      <c r="K303" s="184" t="n">
        <v>10000</v>
      </c>
      <c r="L303" s="184" t="n">
        <v>3000000</v>
      </c>
      <c r="M303" s="184" t="n">
        <v>10000</v>
      </c>
      <c r="N303" s="184" t="s">
        <v>5816</v>
      </c>
      <c r="O303" s="184" t="s">
        <v>5707</v>
      </c>
      <c r="P303" s="184" t="s">
        <v>5817</v>
      </c>
      <c r="Q303" s="184"/>
      <c r="R303" s="184"/>
      <c r="S303" s="184"/>
      <c r="T303" s="184" t="s">
        <v>5860</v>
      </c>
      <c r="U303" s="184" t="s">
        <v>5292</v>
      </c>
      <c r="V303" s="184" t="n">
        <v>400000</v>
      </c>
      <c r="W303" s="184" t="s">
        <v>5819</v>
      </c>
      <c r="X303" s="184" t="s">
        <v>5820</v>
      </c>
    </row>
    <row r="304" customFormat="false" ht="27.75" hidden="false" customHeight="true" outlineLevel="0" collapsed="false">
      <c r="A304" s="184" t="s">
        <v>68</v>
      </c>
      <c r="B304" s="185" t="s">
        <v>5103</v>
      </c>
      <c r="C304" s="184" t="s">
        <v>61</v>
      </c>
      <c r="D304" s="184" t="s">
        <v>5859</v>
      </c>
      <c r="E304" s="184" t="s">
        <v>69</v>
      </c>
      <c r="F304" s="184" t="n">
        <v>4</v>
      </c>
      <c r="G304" s="174" t="s">
        <v>4844</v>
      </c>
      <c r="H304" s="184" t="s">
        <v>5185</v>
      </c>
      <c r="I304" s="184" t="s">
        <v>875</v>
      </c>
      <c r="J304" s="184" t="s">
        <v>227</v>
      </c>
      <c r="K304" s="184" t="n">
        <v>1000</v>
      </c>
      <c r="L304" s="184" t="n">
        <v>200000</v>
      </c>
      <c r="M304" s="184" t="n">
        <v>1000</v>
      </c>
      <c r="N304" s="184" t="s">
        <v>5861</v>
      </c>
      <c r="O304" s="184" t="s">
        <v>5861</v>
      </c>
      <c r="P304" s="184" t="s">
        <v>5201</v>
      </c>
      <c r="Q304" s="184"/>
      <c r="R304" s="184"/>
      <c r="S304" s="184"/>
      <c r="T304" s="184" t="s">
        <v>5862</v>
      </c>
      <c r="U304" s="184" t="s">
        <v>5368</v>
      </c>
      <c r="V304" s="184" t="n">
        <v>20000</v>
      </c>
      <c r="W304" s="184" t="s">
        <v>5823</v>
      </c>
      <c r="X304" s="184" t="s">
        <v>5863</v>
      </c>
    </row>
    <row r="305" customFormat="false" ht="68.25" hidden="false" customHeight="true" outlineLevel="0" collapsed="false">
      <c r="A305" s="184" t="s">
        <v>68</v>
      </c>
      <c r="B305" s="185" t="s">
        <v>5103</v>
      </c>
      <c r="C305" s="184" t="s">
        <v>61</v>
      </c>
      <c r="D305" s="184" t="s">
        <v>5859</v>
      </c>
      <c r="E305" s="184" t="s">
        <v>69</v>
      </c>
      <c r="F305" s="184" t="n">
        <v>5</v>
      </c>
      <c r="G305" s="174" t="s">
        <v>4848</v>
      </c>
      <c r="H305" s="184" t="s">
        <v>5227</v>
      </c>
      <c r="I305" s="184" t="s">
        <v>5833</v>
      </c>
      <c r="J305" s="184"/>
      <c r="K305" s="184"/>
      <c r="L305" s="184"/>
      <c r="M305" s="184"/>
      <c r="N305" s="184" t="s">
        <v>5834</v>
      </c>
      <c r="O305" s="184" t="s">
        <v>5834</v>
      </c>
      <c r="P305" s="184" t="s">
        <v>5206</v>
      </c>
      <c r="Q305" s="184" t="s">
        <v>5835</v>
      </c>
      <c r="R305" s="184" t="s">
        <v>5836</v>
      </c>
      <c r="S305" s="184" t="s">
        <v>5454</v>
      </c>
      <c r="T305" s="184"/>
      <c r="U305" s="184"/>
      <c r="V305" s="184"/>
      <c r="W305" s="184"/>
      <c r="X305" s="184" t="s">
        <v>5232</v>
      </c>
    </row>
    <row r="306" customFormat="false" ht="68.25" hidden="false" customHeight="true" outlineLevel="0" collapsed="false">
      <c r="A306" s="184" t="s">
        <v>68</v>
      </c>
      <c r="B306" s="185" t="s">
        <v>5103</v>
      </c>
      <c r="C306" s="184" t="s">
        <v>61</v>
      </c>
      <c r="D306" s="184" t="s">
        <v>5859</v>
      </c>
      <c r="E306" s="184" t="s">
        <v>69</v>
      </c>
      <c r="F306" s="184" t="n">
        <v>6</v>
      </c>
      <c r="G306" s="174" t="s">
        <v>4846</v>
      </c>
      <c r="H306" s="184" t="s">
        <v>5227</v>
      </c>
      <c r="I306" s="184" t="s">
        <v>5864</v>
      </c>
      <c r="J306" s="184" t="s">
        <v>238</v>
      </c>
      <c r="K306" s="184"/>
      <c r="L306" s="184"/>
      <c r="M306" s="184"/>
      <c r="N306" s="184" t="s">
        <v>5865</v>
      </c>
      <c r="O306" s="184" t="s">
        <v>5865</v>
      </c>
      <c r="P306" s="184" t="s">
        <v>5206</v>
      </c>
      <c r="Q306" s="184" t="s">
        <v>5866</v>
      </c>
      <c r="R306" s="184" t="s">
        <v>5867</v>
      </c>
      <c r="S306" s="184" t="s">
        <v>5454</v>
      </c>
      <c r="T306" s="184"/>
      <c r="U306" s="184"/>
      <c r="V306" s="184"/>
      <c r="W306" s="184"/>
      <c r="X306" s="184" t="s">
        <v>5232</v>
      </c>
    </row>
    <row r="307" customFormat="false" ht="68.25" hidden="false" customHeight="true" outlineLevel="0" collapsed="false">
      <c r="A307" s="184" t="s">
        <v>68</v>
      </c>
      <c r="B307" s="185" t="s">
        <v>5103</v>
      </c>
      <c r="C307" s="184" t="s">
        <v>61</v>
      </c>
      <c r="D307" s="184" t="s">
        <v>5859</v>
      </c>
      <c r="E307" s="184" t="s">
        <v>69</v>
      </c>
      <c r="F307" s="184" t="n">
        <v>7</v>
      </c>
      <c r="G307" s="174" t="s">
        <v>4846</v>
      </c>
      <c r="H307" s="184" t="s">
        <v>5227</v>
      </c>
      <c r="I307" s="184" t="s">
        <v>5868</v>
      </c>
      <c r="J307" s="184" t="s">
        <v>238</v>
      </c>
      <c r="K307" s="184"/>
      <c r="L307" s="184"/>
      <c r="M307" s="184"/>
      <c r="N307" s="184" t="s">
        <v>5869</v>
      </c>
      <c r="O307" s="184" t="s">
        <v>5869</v>
      </c>
      <c r="P307" s="184" t="s">
        <v>5206</v>
      </c>
      <c r="Q307" s="184" t="s">
        <v>5870</v>
      </c>
      <c r="R307" s="184" t="s">
        <v>5871</v>
      </c>
      <c r="S307" s="184" t="s">
        <v>5454</v>
      </c>
      <c r="T307" s="184"/>
      <c r="U307" s="184"/>
      <c r="V307" s="184"/>
      <c r="W307" s="184"/>
      <c r="X307" s="184" t="s">
        <v>5232</v>
      </c>
    </row>
    <row r="308" customFormat="false" ht="68.25" hidden="false" customHeight="true" outlineLevel="0" collapsed="false">
      <c r="A308" s="184" t="s">
        <v>68</v>
      </c>
      <c r="B308" s="185" t="s">
        <v>5103</v>
      </c>
      <c r="C308" s="184" t="s">
        <v>61</v>
      </c>
      <c r="D308" s="184" t="s">
        <v>5859</v>
      </c>
      <c r="E308" s="184" t="s">
        <v>69</v>
      </c>
      <c r="F308" s="184" t="n">
        <v>8</v>
      </c>
      <c r="G308" s="174" t="s">
        <v>4846</v>
      </c>
      <c r="H308" s="184" t="s">
        <v>5227</v>
      </c>
      <c r="I308" s="184" t="s">
        <v>5872</v>
      </c>
      <c r="J308" s="184" t="s">
        <v>238</v>
      </c>
      <c r="K308" s="184"/>
      <c r="L308" s="184"/>
      <c r="M308" s="184"/>
      <c r="N308" s="184" t="s">
        <v>5873</v>
      </c>
      <c r="O308" s="184" t="s">
        <v>5873</v>
      </c>
      <c r="P308" s="184" t="s">
        <v>5206</v>
      </c>
      <c r="Q308" s="184" t="s">
        <v>5874</v>
      </c>
      <c r="R308" s="184" t="s">
        <v>5875</v>
      </c>
      <c r="S308" s="184" t="s">
        <v>5454</v>
      </c>
      <c r="T308" s="184"/>
      <c r="U308" s="184"/>
      <c r="V308" s="184"/>
      <c r="W308" s="184"/>
      <c r="X308" s="184" t="s">
        <v>5232</v>
      </c>
    </row>
    <row r="309" customFormat="false" ht="27.75" hidden="false" customHeight="true" outlineLevel="0" collapsed="false">
      <c r="A309" s="184" t="s">
        <v>68</v>
      </c>
      <c r="B309" s="185" t="s">
        <v>5103</v>
      </c>
      <c r="C309" s="184" t="s">
        <v>61</v>
      </c>
      <c r="D309" s="184" t="s">
        <v>5859</v>
      </c>
      <c r="E309" s="184" t="s">
        <v>69</v>
      </c>
      <c r="F309" s="184" t="n">
        <v>9</v>
      </c>
      <c r="G309" s="177" t="s">
        <v>5183</v>
      </c>
      <c r="H309" s="184" t="s">
        <v>5504</v>
      </c>
      <c r="I309" s="184" t="s">
        <v>5505</v>
      </c>
      <c r="J309" s="184"/>
      <c r="K309" s="184"/>
      <c r="L309" s="184"/>
      <c r="M309" s="184"/>
      <c r="N309" s="184"/>
      <c r="O309" s="184"/>
      <c r="P309" s="184"/>
      <c r="Q309" s="184"/>
      <c r="R309" s="184"/>
      <c r="S309" s="184"/>
      <c r="T309" s="184"/>
      <c r="U309" s="184"/>
      <c r="V309" s="184"/>
      <c r="W309" s="184"/>
      <c r="X309" s="184"/>
    </row>
    <row r="310" customFormat="false" ht="27.75" hidden="false" customHeight="true" outlineLevel="0" collapsed="false">
      <c r="A310" s="184" t="s">
        <v>68</v>
      </c>
      <c r="B310" s="185" t="s">
        <v>5103</v>
      </c>
      <c r="C310" s="184" t="s">
        <v>61</v>
      </c>
      <c r="D310" s="184" t="s">
        <v>5859</v>
      </c>
      <c r="E310" s="184" t="s">
        <v>69</v>
      </c>
      <c r="F310" s="184" t="n">
        <v>10</v>
      </c>
      <c r="G310" s="176" t="s">
        <v>248</v>
      </c>
      <c r="H310" s="184" t="s">
        <v>248</v>
      </c>
      <c r="I310" s="184" t="s">
        <v>5876</v>
      </c>
      <c r="J310" s="184"/>
      <c r="K310" s="184"/>
      <c r="L310" s="184"/>
      <c r="M310" s="184"/>
      <c r="N310" s="184" t="s">
        <v>5877</v>
      </c>
      <c r="O310" s="184" t="s">
        <v>5878</v>
      </c>
      <c r="P310" s="184"/>
      <c r="Q310" s="184"/>
      <c r="R310" s="184"/>
      <c r="S310" s="184"/>
      <c r="T310" s="184" t="s">
        <v>5879</v>
      </c>
      <c r="U310" s="184" t="s">
        <v>94</v>
      </c>
      <c r="V310" s="184"/>
      <c r="W310" s="184"/>
      <c r="X310" s="184"/>
    </row>
    <row r="311" customFormat="false" ht="27.75" hidden="false" customHeight="true" outlineLevel="0" collapsed="false">
      <c r="A311" s="184" t="s">
        <v>68</v>
      </c>
      <c r="B311" s="185" t="s">
        <v>5103</v>
      </c>
      <c r="C311" s="184" t="s">
        <v>61</v>
      </c>
      <c r="D311" s="184" t="s">
        <v>5859</v>
      </c>
      <c r="E311" s="184" t="s">
        <v>69</v>
      </c>
      <c r="F311" s="184" t="n">
        <v>11</v>
      </c>
      <c r="G311" s="177" t="s">
        <v>5245</v>
      </c>
      <c r="H311" s="184" t="s">
        <v>248</v>
      </c>
      <c r="I311" s="184" t="s">
        <v>5179</v>
      </c>
      <c r="J311" s="184"/>
      <c r="K311" s="184"/>
      <c r="L311" s="184"/>
      <c r="M311" s="184"/>
      <c r="N311" s="184" t="s">
        <v>5246</v>
      </c>
      <c r="O311" s="184" t="s">
        <v>5247</v>
      </c>
      <c r="P311" s="184"/>
      <c r="Q311" s="184"/>
      <c r="R311" s="184" t="s">
        <v>5248</v>
      </c>
      <c r="S311" s="184"/>
      <c r="T311" s="184"/>
      <c r="U311" s="184"/>
      <c r="V311" s="184"/>
      <c r="W311" s="184"/>
      <c r="X311" s="184"/>
    </row>
    <row r="312" customFormat="false" ht="95.25" hidden="false" customHeight="true" outlineLevel="0" collapsed="false">
      <c r="A312" s="184" t="s">
        <v>68</v>
      </c>
      <c r="B312" s="185" t="s">
        <v>5103</v>
      </c>
      <c r="C312" s="184" t="s">
        <v>61</v>
      </c>
      <c r="D312" s="184" t="s">
        <v>5859</v>
      </c>
      <c r="E312" s="184" t="s">
        <v>69</v>
      </c>
      <c r="F312" s="184" t="n">
        <v>12</v>
      </c>
      <c r="G312" s="176" t="s">
        <v>5249</v>
      </c>
      <c r="H312" s="184" t="s">
        <v>248</v>
      </c>
      <c r="I312" s="184" t="s">
        <v>5250</v>
      </c>
      <c r="J312" s="184"/>
      <c r="K312" s="184"/>
      <c r="L312" s="184"/>
      <c r="M312" s="184"/>
      <c r="N312" s="184" t="s">
        <v>5880</v>
      </c>
      <c r="O312" s="184" t="s">
        <v>5880</v>
      </c>
      <c r="P312" s="184"/>
      <c r="Q312" s="184"/>
      <c r="R312" s="184"/>
      <c r="S312" s="184"/>
      <c r="T312" s="184"/>
      <c r="U312" s="184"/>
      <c r="V312" s="184"/>
      <c r="W312" s="184"/>
      <c r="X312" s="184"/>
    </row>
    <row r="313" customFormat="false" ht="27.75" hidden="false" customHeight="true" outlineLevel="0" collapsed="false">
      <c r="A313" s="184" t="s">
        <v>68</v>
      </c>
      <c r="B313" s="185" t="s">
        <v>5103</v>
      </c>
      <c r="C313" s="184" t="s">
        <v>61</v>
      </c>
      <c r="D313" s="184" t="s">
        <v>5859</v>
      </c>
      <c r="E313" s="184" t="s">
        <v>69</v>
      </c>
      <c r="F313" s="184" t="n">
        <v>13</v>
      </c>
      <c r="G313" s="176" t="s">
        <v>5253</v>
      </c>
      <c r="H313" s="184" t="s">
        <v>248</v>
      </c>
      <c r="I313" s="184" t="s">
        <v>5881</v>
      </c>
      <c r="J313" s="184"/>
      <c r="K313" s="184"/>
      <c r="L313" s="184"/>
      <c r="M313" s="184"/>
      <c r="N313" s="184" t="s">
        <v>5882</v>
      </c>
      <c r="O313" s="184" t="s">
        <v>5883</v>
      </c>
      <c r="P313" s="184"/>
      <c r="Q313" s="184"/>
      <c r="R313" s="184"/>
      <c r="S313" s="184"/>
      <c r="T313" s="184" t="s">
        <v>5884</v>
      </c>
      <c r="U313" s="184" t="s">
        <v>5386</v>
      </c>
      <c r="V313" s="184"/>
      <c r="W313" s="184"/>
      <c r="X313" s="184"/>
    </row>
    <row r="314" customFormat="false" ht="27.75" hidden="false" customHeight="true" outlineLevel="0" collapsed="false">
      <c r="A314" s="184" t="s">
        <v>68</v>
      </c>
      <c r="B314" s="185" t="s">
        <v>5103</v>
      </c>
      <c r="C314" s="184" t="s">
        <v>61</v>
      </c>
      <c r="D314" s="184" t="s">
        <v>5859</v>
      </c>
      <c r="E314" s="184" t="s">
        <v>69</v>
      </c>
      <c r="F314" s="184" t="n">
        <v>14</v>
      </c>
      <c r="G314" s="176" t="s">
        <v>5253</v>
      </c>
      <c r="H314" s="184" t="s">
        <v>248</v>
      </c>
      <c r="I314" s="184" t="s">
        <v>5885</v>
      </c>
      <c r="J314" s="184"/>
      <c r="K314" s="184"/>
      <c r="L314" s="184"/>
      <c r="M314" s="184"/>
      <c r="N314" s="184" t="s">
        <v>5877</v>
      </c>
      <c r="O314" s="184" t="s">
        <v>5878</v>
      </c>
      <c r="P314" s="184"/>
      <c r="Q314" s="184"/>
      <c r="R314" s="184"/>
      <c r="S314" s="184"/>
      <c r="T314" s="184" t="s">
        <v>5879</v>
      </c>
      <c r="U314" s="184" t="s">
        <v>94</v>
      </c>
      <c r="V314" s="184"/>
      <c r="W314" s="184"/>
      <c r="X314" s="184"/>
    </row>
    <row r="315" customFormat="false" ht="27.75" hidden="false" customHeight="true" outlineLevel="0" collapsed="false">
      <c r="A315" s="184" t="s">
        <v>68</v>
      </c>
      <c r="B315" s="185" t="s">
        <v>5103</v>
      </c>
      <c r="C315" s="184" t="s">
        <v>61</v>
      </c>
      <c r="D315" s="184" t="s">
        <v>5859</v>
      </c>
      <c r="E315" s="184" t="s">
        <v>69</v>
      </c>
      <c r="F315" s="184" t="n">
        <v>15</v>
      </c>
      <c r="G315" s="176" t="s">
        <v>5253</v>
      </c>
      <c r="H315" s="184" t="s">
        <v>248</v>
      </c>
      <c r="I315" s="184" t="s">
        <v>5886</v>
      </c>
      <c r="J315" s="184"/>
      <c r="K315" s="184"/>
      <c r="L315" s="184"/>
      <c r="M315" s="184"/>
      <c r="N315" s="184" t="s">
        <v>5887</v>
      </c>
      <c r="O315" s="184" t="s">
        <v>5888</v>
      </c>
      <c r="P315" s="184"/>
      <c r="Q315" s="184"/>
      <c r="R315" s="184"/>
      <c r="S315" s="184"/>
      <c r="T315" s="184" t="s">
        <v>5889</v>
      </c>
      <c r="U315" s="184" t="s">
        <v>5308</v>
      </c>
      <c r="V315" s="184"/>
      <c r="W315" s="184"/>
      <c r="X315" s="184"/>
    </row>
    <row r="316" customFormat="false" ht="54.75" hidden="false" customHeight="true" outlineLevel="0" collapsed="false">
      <c r="A316" s="184" t="s">
        <v>68</v>
      </c>
      <c r="B316" s="185" t="s">
        <v>5103</v>
      </c>
      <c r="C316" s="184" t="s">
        <v>61</v>
      </c>
      <c r="D316" s="184" t="s">
        <v>5859</v>
      </c>
      <c r="E316" s="184" t="s">
        <v>69</v>
      </c>
      <c r="F316" s="184" t="n">
        <v>16</v>
      </c>
      <c r="G316" s="176" t="s">
        <v>5723</v>
      </c>
      <c r="H316" s="184" t="s">
        <v>248</v>
      </c>
      <c r="I316" s="184" t="s">
        <v>5876</v>
      </c>
      <c r="J316" s="184"/>
      <c r="K316" s="184"/>
      <c r="L316" s="184"/>
      <c r="M316" s="184"/>
      <c r="N316" s="184"/>
      <c r="O316" s="184" t="s">
        <v>5890</v>
      </c>
      <c r="P316" s="184" t="s">
        <v>5725</v>
      </c>
      <c r="Q316" s="184"/>
      <c r="R316" s="184" t="s">
        <v>5726</v>
      </c>
      <c r="S316" s="184"/>
      <c r="T316" s="184"/>
      <c r="U316" s="184"/>
      <c r="V316" s="184"/>
      <c r="W316" s="184"/>
      <c r="X316" s="184"/>
    </row>
    <row r="317" customFormat="false" ht="27.75" hidden="false" customHeight="true" outlineLevel="0" collapsed="false">
      <c r="A317" s="184" t="s">
        <v>68</v>
      </c>
      <c r="B317" s="185" t="s">
        <v>5103</v>
      </c>
      <c r="C317" s="184" t="s">
        <v>61</v>
      </c>
      <c r="D317" s="184" t="s">
        <v>5859</v>
      </c>
      <c r="E317" s="184" t="s">
        <v>69</v>
      </c>
      <c r="F317" s="184" t="n">
        <v>17</v>
      </c>
      <c r="G317" s="176" t="s">
        <v>5730</v>
      </c>
      <c r="H317" s="184" t="s">
        <v>248</v>
      </c>
      <c r="I317" s="184" t="s">
        <v>5881</v>
      </c>
      <c r="J317" s="184"/>
      <c r="K317" s="184"/>
      <c r="L317" s="184"/>
      <c r="M317" s="184"/>
      <c r="N317" s="184"/>
      <c r="O317" s="184" t="s">
        <v>5891</v>
      </c>
      <c r="P317" s="184" t="s">
        <v>5725</v>
      </c>
      <c r="Q317" s="184"/>
      <c r="R317" s="184"/>
      <c r="S317" s="184"/>
      <c r="T317" s="184"/>
      <c r="U317" s="184"/>
      <c r="V317" s="184"/>
      <c r="W317" s="184"/>
      <c r="X317" s="184"/>
    </row>
    <row r="318" customFormat="false" ht="27.75" hidden="false" customHeight="true" outlineLevel="0" collapsed="false">
      <c r="A318" s="184" t="s">
        <v>68</v>
      </c>
      <c r="B318" s="185" t="s">
        <v>5103</v>
      </c>
      <c r="C318" s="184" t="s">
        <v>61</v>
      </c>
      <c r="D318" s="184" t="s">
        <v>5859</v>
      </c>
      <c r="E318" s="184" t="s">
        <v>69</v>
      </c>
      <c r="F318" s="184" t="n">
        <v>18</v>
      </c>
      <c r="G318" s="176" t="s">
        <v>5730</v>
      </c>
      <c r="H318" s="184" t="s">
        <v>248</v>
      </c>
      <c r="I318" s="184" t="s">
        <v>5885</v>
      </c>
      <c r="J318" s="184"/>
      <c r="K318" s="184"/>
      <c r="L318" s="184"/>
      <c r="M318" s="184"/>
      <c r="N318" s="184"/>
      <c r="O318" s="184" t="s">
        <v>5890</v>
      </c>
      <c r="P318" s="184" t="s">
        <v>5725</v>
      </c>
      <c r="Q318" s="184"/>
      <c r="R318" s="184"/>
      <c r="S318" s="184"/>
      <c r="T318" s="184"/>
      <c r="U318" s="184"/>
      <c r="V318" s="184"/>
      <c r="W318" s="184"/>
      <c r="X318" s="184"/>
    </row>
    <row r="319" customFormat="false" ht="27.75" hidden="false" customHeight="true" outlineLevel="0" collapsed="false">
      <c r="A319" s="184" t="s">
        <v>68</v>
      </c>
      <c r="B319" s="185" t="s">
        <v>5103</v>
      </c>
      <c r="C319" s="184" t="s">
        <v>61</v>
      </c>
      <c r="D319" s="184" t="s">
        <v>5859</v>
      </c>
      <c r="E319" s="184" t="s">
        <v>69</v>
      </c>
      <c r="F319" s="184" t="n">
        <v>19</v>
      </c>
      <c r="G319" s="176" t="s">
        <v>5730</v>
      </c>
      <c r="H319" s="184" t="s">
        <v>248</v>
      </c>
      <c r="I319" s="184" t="s">
        <v>5886</v>
      </c>
      <c r="J319" s="184"/>
      <c r="K319" s="184"/>
      <c r="L319" s="184"/>
      <c r="M319" s="184"/>
      <c r="N319" s="184"/>
      <c r="O319" s="184" t="s">
        <v>5892</v>
      </c>
      <c r="P319" s="184" t="s">
        <v>5725</v>
      </c>
      <c r="Q319" s="184"/>
      <c r="R319" s="184"/>
      <c r="S319" s="184"/>
      <c r="T319" s="184"/>
      <c r="U319" s="184"/>
      <c r="V319" s="184"/>
      <c r="W319" s="184"/>
      <c r="X319" s="184"/>
    </row>
    <row r="320" customFormat="false" ht="95.25" hidden="false" customHeight="true" outlineLevel="0" collapsed="false">
      <c r="A320" s="184" t="s">
        <v>68</v>
      </c>
      <c r="B320" s="185" t="s">
        <v>5103</v>
      </c>
      <c r="C320" s="184" t="s">
        <v>61</v>
      </c>
      <c r="D320" s="184" t="s">
        <v>5859</v>
      </c>
      <c r="E320" s="184" t="s">
        <v>69</v>
      </c>
      <c r="F320" s="184" t="n">
        <v>20</v>
      </c>
      <c r="G320" s="178" t="s">
        <v>5269</v>
      </c>
      <c r="H320" s="184" t="s">
        <v>5270</v>
      </c>
      <c r="I320" s="186" t="s">
        <v>5271</v>
      </c>
      <c r="J320" s="184"/>
      <c r="K320" s="184"/>
      <c r="L320" s="184"/>
      <c r="M320" s="184"/>
      <c r="N320" s="184" t="s">
        <v>5272</v>
      </c>
      <c r="O320" s="184" t="s">
        <v>5272</v>
      </c>
      <c r="P320" s="184"/>
      <c r="Q320" s="184"/>
      <c r="R320" s="184" t="s">
        <v>5893</v>
      </c>
      <c r="S320" s="184"/>
      <c r="T320" s="184"/>
      <c r="U320" s="184"/>
      <c r="V320" s="184"/>
      <c r="W320" s="184"/>
      <c r="X320" s="184"/>
    </row>
    <row r="321" customFormat="false" ht="68.25" hidden="false" customHeight="true" outlineLevel="0" collapsed="false">
      <c r="A321" s="184" t="s">
        <v>68</v>
      </c>
      <c r="B321" s="185" t="s">
        <v>5103</v>
      </c>
      <c r="C321" s="184" t="s">
        <v>61</v>
      </c>
      <c r="D321" s="184" t="s">
        <v>5859</v>
      </c>
      <c r="E321" s="184" t="s">
        <v>69</v>
      </c>
      <c r="F321" s="184" t="n">
        <v>21</v>
      </c>
      <c r="G321" s="178" t="s">
        <v>5269</v>
      </c>
      <c r="H321" s="184" t="s">
        <v>5270</v>
      </c>
      <c r="I321" s="184" t="s">
        <v>5274</v>
      </c>
      <c r="J321" s="184"/>
      <c r="K321" s="184"/>
      <c r="L321" s="184"/>
      <c r="M321" s="184"/>
      <c r="N321" s="184" t="s">
        <v>5272</v>
      </c>
      <c r="O321" s="184" t="s">
        <v>5272</v>
      </c>
      <c r="P321" s="184"/>
      <c r="Q321" s="184"/>
      <c r="R321" s="184" t="s">
        <v>5738</v>
      </c>
      <c r="S321" s="184"/>
      <c r="T321" s="184"/>
      <c r="U321" s="184"/>
      <c r="V321" s="184"/>
      <c r="W321" s="184"/>
      <c r="X321" s="184"/>
    </row>
    <row r="322" customFormat="false" ht="27.75" hidden="false" customHeight="true" outlineLevel="0" collapsed="false">
      <c r="A322" s="184" t="s">
        <v>68</v>
      </c>
      <c r="B322" s="185" t="s">
        <v>5103</v>
      </c>
      <c r="C322" s="184" t="s">
        <v>61</v>
      </c>
      <c r="D322" s="184" t="s">
        <v>5859</v>
      </c>
      <c r="E322" s="184" t="s">
        <v>69</v>
      </c>
      <c r="F322" s="184" t="n">
        <v>22</v>
      </c>
      <c r="G322" s="177" t="s">
        <v>5276</v>
      </c>
      <c r="H322" s="184" t="s">
        <v>5270</v>
      </c>
      <c r="I322" s="184" t="s">
        <v>5277</v>
      </c>
      <c r="J322" s="184"/>
      <c r="K322" s="184"/>
      <c r="L322" s="184"/>
      <c r="M322" s="184"/>
      <c r="N322" s="184"/>
      <c r="O322" s="184"/>
      <c r="P322" s="184"/>
      <c r="Q322" s="184"/>
      <c r="R322" s="184"/>
      <c r="S322" s="184"/>
      <c r="T322" s="184"/>
      <c r="U322" s="184"/>
      <c r="V322" s="184"/>
      <c r="W322" s="184"/>
      <c r="X322" s="184"/>
    </row>
    <row r="323" customFormat="false" ht="41.25" hidden="false" customHeight="true" outlineLevel="0" collapsed="false">
      <c r="A323" s="184" t="s">
        <v>70</v>
      </c>
      <c r="B323" s="185" t="s">
        <v>5106</v>
      </c>
      <c r="C323" s="184" t="s">
        <v>56</v>
      </c>
      <c r="D323" s="184" t="s">
        <v>5894</v>
      </c>
      <c r="E323" s="184" t="s">
        <v>71</v>
      </c>
      <c r="F323" s="184" t="n">
        <v>1</v>
      </c>
      <c r="G323" s="177" t="s">
        <v>5177</v>
      </c>
      <c r="H323" s="184" t="s">
        <v>5178</v>
      </c>
      <c r="I323" s="184" t="s">
        <v>5179</v>
      </c>
      <c r="J323" s="184"/>
      <c r="K323" s="184"/>
      <c r="L323" s="184"/>
      <c r="M323" s="184"/>
      <c r="N323" s="184" t="s">
        <v>5180</v>
      </c>
      <c r="O323" s="184" t="s">
        <v>5181</v>
      </c>
      <c r="P323" s="184"/>
      <c r="Q323" s="184"/>
      <c r="R323" s="184" t="s">
        <v>5182</v>
      </c>
      <c r="S323" s="184"/>
      <c r="T323" s="184"/>
      <c r="U323" s="184"/>
      <c r="V323" s="184"/>
      <c r="W323" s="184"/>
      <c r="X323" s="184"/>
    </row>
    <row r="324" customFormat="false" ht="27.75" hidden="false" customHeight="true" outlineLevel="0" collapsed="false">
      <c r="A324" s="184" t="s">
        <v>70</v>
      </c>
      <c r="B324" s="185" t="s">
        <v>5106</v>
      </c>
      <c r="C324" s="184" t="s">
        <v>56</v>
      </c>
      <c r="D324" s="184" t="s">
        <v>5894</v>
      </c>
      <c r="E324" s="184" t="s">
        <v>71</v>
      </c>
      <c r="F324" s="184" t="n">
        <v>2</v>
      </c>
      <c r="G324" s="177" t="s">
        <v>5183</v>
      </c>
      <c r="H324" s="184" t="s">
        <v>5178</v>
      </c>
      <c r="I324" s="184" t="s">
        <v>56</v>
      </c>
      <c r="J324" s="184"/>
      <c r="K324" s="184"/>
      <c r="L324" s="184"/>
      <c r="M324" s="184"/>
      <c r="N324" s="184"/>
      <c r="O324" s="184"/>
      <c r="P324" s="184"/>
      <c r="Q324" s="184"/>
      <c r="R324" s="184" t="s">
        <v>5184</v>
      </c>
      <c r="S324" s="184"/>
      <c r="T324" s="184"/>
      <c r="U324" s="184"/>
      <c r="V324" s="184"/>
      <c r="W324" s="184"/>
      <c r="X324" s="184"/>
    </row>
    <row r="325" customFormat="false" ht="27.75" hidden="false" customHeight="true" outlineLevel="0" collapsed="false">
      <c r="A325" s="184" t="s">
        <v>70</v>
      </c>
      <c r="B325" s="185" t="s">
        <v>5106</v>
      </c>
      <c r="C325" s="184" t="s">
        <v>56</v>
      </c>
      <c r="D325" s="184" t="s">
        <v>5894</v>
      </c>
      <c r="E325" s="184" t="s">
        <v>71</v>
      </c>
      <c r="F325" s="184" t="n">
        <v>3</v>
      </c>
      <c r="G325" s="174" t="s">
        <v>4844</v>
      </c>
      <c r="H325" s="184" t="s">
        <v>5185</v>
      </c>
      <c r="I325" s="184" t="s">
        <v>637</v>
      </c>
      <c r="J325" s="184" t="s">
        <v>227</v>
      </c>
      <c r="K325" s="184" t="n">
        <v>500</v>
      </c>
      <c r="L325" s="184" t="n">
        <v>500000</v>
      </c>
      <c r="M325" s="184" t="n">
        <v>100</v>
      </c>
      <c r="N325" s="184" t="s">
        <v>5861</v>
      </c>
      <c r="O325" s="184" t="s">
        <v>5552</v>
      </c>
      <c r="P325" s="184" t="s">
        <v>5553</v>
      </c>
      <c r="Q325" s="184"/>
      <c r="R325" s="184"/>
      <c r="S325" s="184"/>
      <c r="T325" s="184" t="s">
        <v>5895</v>
      </c>
      <c r="U325" s="184" t="s">
        <v>5288</v>
      </c>
      <c r="V325" s="184" t="n">
        <v>20000</v>
      </c>
      <c r="W325" s="184" t="s">
        <v>5492</v>
      </c>
      <c r="X325" s="184" t="s">
        <v>5896</v>
      </c>
    </row>
    <row r="326" customFormat="false" ht="41.25" hidden="false" customHeight="true" outlineLevel="0" collapsed="false">
      <c r="A326" s="184" t="s">
        <v>70</v>
      </c>
      <c r="B326" s="185" t="s">
        <v>5106</v>
      </c>
      <c r="C326" s="184" t="s">
        <v>56</v>
      </c>
      <c r="D326" s="184" t="s">
        <v>5894</v>
      </c>
      <c r="E326" s="184" t="s">
        <v>71</v>
      </c>
      <c r="F326" s="184" t="n">
        <v>4</v>
      </c>
      <c r="G326" s="174" t="s">
        <v>4844</v>
      </c>
      <c r="H326" s="184" t="s">
        <v>5185</v>
      </c>
      <c r="I326" s="184" t="s">
        <v>939</v>
      </c>
      <c r="J326" s="184" t="s">
        <v>238</v>
      </c>
      <c r="K326" s="184" t="n">
        <v>0</v>
      </c>
      <c r="L326" s="184" t="n">
        <v>10</v>
      </c>
      <c r="M326" s="184" t="n">
        <v>0.25</v>
      </c>
      <c r="N326" s="184" t="s">
        <v>5528</v>
      </c>
      <c r="O326" s="184" t="s">
        <v>5528</v>
      </c>
      <c r="P326" s="184" t="s">
        <v>5529</v>
      </c>
      <c r="Q326" s="184"/>
      <c r="R326" s="184"/>
      <c r="S326" s="184" t="s">
        <v>5454</v>
      </c>
      <c r="T326" s="184" t="s">
        <v>5897</v>
      </c>
      <c r="U326" s="184" t="s">
        <v>5292</v>
      </c>
      <c r="V326" s="184" t="s">
        <v>5528</v>
      </c>
      <c r="W326" s="184" t="s">
        <v>5898</v>
      </c>
      <c r="X326" s="184" t="s">
        <v>5899</v>
      </c>
    </row>
    <row r="327" customFormat="false" ht="27.75" hidden="false" customHeight="true" outlineLevel="0" collapsed="false">
      <c r="A327" s="184" t="s">
        <v>70</v>
      </c>
      <c r="B327" s="185" t="s">
        <v>5106</v>
      </c>
      <c r="C327" s="184" t="s">
        <v>56</v>
      </c>
      <c r="D327" s="184" t="s">
        <v>5894</v>
      </c>
      <c r="E327" s="184" t="s">
        <v>71</v>
      </c>
      <c r="F327" s="184" t="n">
        <v>5</v>
      </c>
      <c r="G327" s="174" t="s">
        <v>4844</v>
      </c>
      <c r="H327" s="184" t="s">
        <v>5185</v>
      </c>
      <c r="I327" s="184" t="s">
        <v>606</v>
      </c>
      <c r="J327" s="184" t="s">
        <v>5221</v>
      </c>
      <c r="K327" s="184" t="n">
        <v>1</v>
      </c>
      <c r="L327" s="184" t="n">
        <v>40</v>
      </c>
      <c r="M327" s="184" t="n">
        <v>1</v>
      </c>
      <c r="N327" s="184" t="s">
        <v>5557</v>
      </c>
      <c r="O327" s="184" t="s">
        <v>5557</v>
      </c>
      <c r="P327" s="184" t="s">
        <v>5201</v>
      </c>
      <c r="Q327" s="184"/>
      <c r="R327" s="184"/>
      <c r="S327" s="184"/>
      <c r="T327" s="184" t="s">
        <v>5900</v>
      </c>
      <c r="U327" s="184" t="s">
        <v>5368</v>
      </c>
      <c r="V327" s="184" t="n">
        <v>15</v>
      </c>
      <c r="W327" s="184" t="s">
        <v>5534</v>
      </c>
      <c r="X327" s="184" t="s">
        <v>5560</v>
      </c>
    </row>
    <row r="328" customFormat="false" ht="27.75" hidden="false" customHeight="true" outlineLevel="0" collapsed="false">
      <c r="A328" s="184" t="s">
        <v>70</v>
      </c>
      <c r="B328" s="185" t="s">
        <v>5106</v>
      </c>
      <c r="C328" s="184" t="s">
        <v>56</v>
      </c>
      <c r="D328" s="184" t="s">
        <v>5894</v>
      </c>
      <c r="E328" s="184" t="s">
        <v>71</v>
      </c>
      <c r="F328" s="184" t="n">
        <v>6</v>
      </c>
      <c r="G328" s="177" t="s">
        <v>5183</v>
      </c>
      <c r="H328" s="184" t="s">
        <v>5504</v>
      </c>
      <c r="I328" s="184" t="s">
        <v>5505</v>
      </c>
      <c r="J328" s="184"/>
      <c r="K328" s="184"/>
      <c r="L328" s="184"/>
      <c r="M328" s="184"/>
      <c r="N328" s="184"/>
      <c r="O328" s="184"/>
      <c r="P328" s="184"/>
      <c r="Q328" s="184"/>
      <c r="R328" s="184"/>
      <c r="S328" s="184"/>
      <c r="T328" s="184"/>
      <c r="U328" s="184"/>
      <c r="V328" s="184"/>
      <c r="W328" s="184"/>
      <c r="X328" s="184"/>
    </row>
    <row r="329" customFormat="false" ht="27.75" hidden="false" customHeight="true" outlineLevel="0" collapsed="false">
      <c r="A329" s="184" t="s">
        <v>70</v>
      </c>
      <c r="B329" s="185" t="s">
        <v>5106</v>
      </c>
      <c r="C329" s="184" t="s">
        <v>56</v>
      </c>
      <c r="D329" s="184" t="s">
        <v>5894</v>
      </c>
      <c r="E329" s="184" t="s">
        <v>71</v>
      </c>
      <c r="F329" s="184" t="n">
        <v>7</v>
      </c>
      <c r="G329" s="176" t="s">
        <v>248</v>
      </c>
      <c r="H329" s="184" t="s">
        <v>248</v>
      </c>
      <c r="I329" s="184" t="s">
        <v>941</v>
      </c>
      <c r="J329" s="184"/>
      <c r="K329" s="184"/>
      <c r="L329" s="184"/>
      <c r="M329" s="184"/>
      <c r="N329" s="184" t="s">
        <v>5901</v>
      </c>
      <c r="O329" s="184" t="s">
        <v>5902</v>
      </c>
      <c r="P329" s="184"/>
      <c r="Q329" s="184"/>
      <c r="R329" s="184"/>
      <c r="S329" s="184"/>
      <c r="T329" s="184" t="s">
        <v>5903</v>
      </c>
      <c r="U329" s="184" t="s">
        <v>85</v>
      </c>
      <c r="V329" s="184"/>
      <c r="W329" s="184"/>
      <c r="X329" s="184"/>
    </row>
    <row r="330" customFormat="false" ht="27.75" hidden="false" customHeight="true" outlineLevel="0" collapsed="false">
      <c r="A330" s="184" t="s">
        <v>70</v>
      </c>
      <c r="B330" s="185" t="s">
        <v>5106</v>
      </c>
      <c r="C330" s="184" t="s">
        <v>56</v>
      </c>
      <c r="D330" s="184" t="s">
        <v>5894</v>
      </c>
      <c r="E330" s="184" t="s">
        <v>71</v>
      </c>
      <c r="F330" s="184" t="n">
        <v>8</v>
      </c>
      <c r="G330" s="177" t="s">
        <v>5245</v>
      </c>
      <c r="H330" s="184" t="s">
        <v>248</v>
      </c>
      <c r="I330" s="184" t="s">
        <v>5179</v>
      </c>
      <c r="J330" s="184"/>
      <c r="K330" s="184"/>
      <c r="L330" s="184"/>
      <c r="M330" s="184"/>
      <c r="N330" s="184" t="s">
        <v>5246</v>
      </c>
      <c r="O330" s="184" t="s">
        <v>5247</v>
      </c>
      <c r="P330" s="184"/>
      <c r="Q330" s="184"/>
      <c r="R330" s="184" t="s">
        <v>5248</v>
      </c>
      <c r="S330" s="184"/>
      <c r="T330" s="184"/>
      <c r="U330" s="184"/>
      <c r="V330" s="184"/>
      <c r="W330" s="184"/>
      <c r="X330" s="184"/>
    </row>
    <row r="331" customFormat="false" ht="122.25" hidden="false" customHeight="true" outlineLevel="0" collapsed="false">
      <c r="A331" s="184" t="s">
        <v>70</v>
      </c>
      <c r="B331" s="185" t="s">
        <v>5106</v>
      </c>
      <c r="C331" s="184" t="s">
        <v>56</v>
      </c>
      <c r="D331" s="184" t="s">
        <v>5894</v>
      </c>
      <c r="E331" s="184" t="s">
        <v>71</v>
      </c>
      <c r="F331" s="184" t="n">
        <v>9</v>
      </c>
      <c r="G331" s="176" t="s">
        <v>5249</v>
      </c>
      <c r="H331" s="184" t="s">
        <v>248</v>
      </c>
      <c r="I331" s="184" t="s">
        <v>5250</v>
      </c>
      <c r="J331" s="184"/>
      <c r="K331" s="184"/>
      <c r="L331" s="184"/>
      <c r="M331" s="184"/>
      <c r="N331" s="184" t="s">
        <v>5904</v>
      </c>
      <c r="O331" s="184" t="s">
        <v>5904</v>
      </c>
      <c r="P331" s="184"/>
      <c r="Q331" s="184"/>
      <c r="R331" s="184"/>
      <c r="S331" s="184"/>
      <c r="T331" s="184"/>
      <c r="U331" s="184"/>
      <c r="V331" s="184"/>
      <c r="W331" s="184"/>
      <c r="X331" s="184"/>
    </row>
    <row r="332" customFormat="false" ht="27.75" hidden="false" customHeight="true" outlineLevel="0" collapsed="false">
      <c r="A332" s="184" t="s">
        <v>70</v>
      </c>
      <c r="B332" s="185" t="s">
        <v>5106</v>
      </c>
      <c r="C332" s="184" t="s">
        <v>56</v>
      </c>
      <c r="D332" s="184" t="s">
        <v>5894</v>
      </c>
      <c r="E332" s="184" t="s">
        <v>71</v>
      </c>
      <c r="F332" s="184" t="n">
        <v>10</v>
      </c>
      <c r="G332" s="176" t="s">
        <v>5253</v>
      </c>
      <c r="H332" s="184" t="s">
        <v>248</v>
      </c>
      <c r="I332" s="184" t="s">
        <v>943</v>
      </c>
      <c r="J332" s="184"/>
      <c r="K332" s="184"/>
      <c r="L332" s="184"/>
      <c r="M332" s="184"/>
      <c r="N332" s="184" t="s">
        <v>5905</v>
      </c>
      <c r="O332" s="184" t="s">
        <v>5575</v>
      </c>
      <c r="P332" s="184"/>
      <c r="Q332" s="184"/>
      <c r="R332" s="184"/>
      <c r="S332" s="184"/>
      <c r="T332" s="184" t="s">
        <v>5906</v>
      </c>
      <c r="U332" s="184" t="s">
        <v>88</v>
      </c>
      <c r="V332" s="184"/>
      <c r="W332" s="184"/>
      <c r="X332" s="184"/>
    </row>
    <row r="333" customFormat="false" ht="27.75" hidden="false" customHeight="true" outlineLevel="0" collapsed="false">
      <c r="A333" s="184" t="s">
        <v>70</v>
      </c>
      <c r="B333" s="185" t="s">
        <v>5106</v>
      </c>
      <c r="C333" s="184" t="s">
        <v>56</v>
      </c>
      <c r="D333" s="184" t="s">
        <v>5894</v>
      </c>
      <c r="E333" s="184" t="s">
        <v>71</v>
      </c>
      <c r="F333" s="184" t="n">
        <v>11</v>
      </c>
      <c r="G333" s="176" t="s">
        <v>5253</v>
      </c>
      <c r="H333" s="184" t="s">
        <v>248</v>
      </c>
      <c r="I333" s="184" t="s">
        <v>945</v>
      </c>
      <c r="J333" s="184"/>
      <c r="K333" s="184"/>
      <c r="L333" s="184"/>
      <c r="M333" s="184"/>
      <c r="N333" s="184" t="s">
        <v>5907</v>
      </c>
      <c r="O333" s="184" t="s">
        <v>5907</v>
      </c>
      <c r="P333" s="184"/>
      <c r="Q333" s="184"/>
      <c r="R333" s="184"/>
      <c r="S333" s="184"/>
      <c r="T333" s="184" t="s">
        <v>5908</v>
      </c>
      <c r="U333" s="184" t="s">
        <v>90</v>
      </c>
      <c r="V333" s="184"/>
      <c r="W333" s="184"/>
      <c r="X333" s="184"/>
    </row>
    <row r="334" customFormat="false" ht="27.75" hidden="false" customHeight="true" outlineLevel="0" collapsed="false">
      <c r="A334" s="184" t="s">
        <v>70</v>
      </c>
      <c r="B334" s="185" t="s">
        <v>5106</v>
      </c>
      <c r="C334" s="184" t="s">
        <v>56</v>
      </c>
      <c r="D334" s="184" t="s">
        <v>5894</v>
      </c>
      <c r="E334" s="184" t="s">
        <v>71</v>
      </c>
      <c r="F334" s="184" t="n">
        <v>12</v>
      </c>
      <c r="G334" s="176" t="s">
        <v>5253</v>
      </c>
      <c r="H334" s="184" t="s">
        <v>248</v>
      </c>
      <c r="I334" s="184" t="s">
        <v>5909</v>
      </c>
      <c r="J334" s="184"/>
      <c r="K334" s="184"/>
      <c r="L334" s="184"/>
      <c r="M334" s="184"/>
      <c r="N334" s="184" t="s">
        <v>5901</v>
      </c>
      <c r="O334" s="184" t="s">
        <v>5902</v>
      </c>
      <c r="P334" s="184"/>
      <c r="Q334" s="184"/>
      <c r="R334" s="184"/>
      <c r="S334" s="184"/>
      <c r="T334" s="184" t="s">
        <v>5903</v>
      </c>
      <c r="U334" s="184" t="s">
        <v>85</v>
      </c>
      <c r="V334" s="184"/>
      <c r="W334" s="184"/>
      <c r="X334" s="184"/>
    </row>
    <row r="335" customFormat="false" ht="95.25" hidden="false" customHeight="true" outlineLevel="0" collapsed="false">
      <c r="A335" s="184" t="s">
        <v>70</v>
      </c>
      <c r="B335" s="185" t="s">
        <v>5106</v>
      </c>
      <c r="C335" s="184" t="s">
        <v>56</v>
      </c>
      <c r="D335" s="184" t="s">
        <v>5894</v>
      </c>
      <c r="E335" s="184" t="s">
        <v>71</v>
      </c>
      <c r="F335" s="184" t="n">
        <v>13</v>
      </c>
      <c r="G335" s="178" t="s">
        <v>5269</v>
      </c>
      <c r="H335" s="184" t="s">
        <v>5270</v>
      </c>
      <c r="I335" s="186" t="s">
        <v>5271</v>
      </c>
      <c r="J335" s="184"/>
      <c r="K335" s="184"/>
      <c r="L335" s="184"/>
      <c r="M335" s="184"/>
      <c r="N335" s="184" t="s">
        <v>5272</v>
      </c>
      <c r="O335" s="184" t="s">
        <v>5272</v>
      </c>
      <c r="P335" s="184"/>
      <c r="Q335" s="184"/>
      <c r="R335" s="184" t="s">
        <v>5893</v>
      </c>
      <c r="S335" s="184"/>
      <c r="T335" s="184"/>
      <c r="U335" s="184"/>
      <c r="V335" s="184"/>
      <c r="W335" s="184"/>
      <c r="X335" s="184"/>
    </row>
    <row r="336" customFormat="false" ht="68.25" hidden="false" customHeight="true" outlineLevel="0" collapsed="false">
      <c r="A336" s="184" t="s">
        <v>70</v>
      </c>
      <c r="B336" s="185" t="s">
        <v>5106</v>
      </c>
      <c r="C336" s="184" t="s">
        <v>56</v>
      </c>
      <c r="D336" s="184" t="s">
        <v>5894</v>
      </c>
      <c r="E336" s="184" t="s">
        <v>71</v>
      </c>
      <c r="F336" s="184" t="n">
        <v>14</v>
      </c>
      <c r="G336" s="178" t="s">
        <v>5269</v>
      </c>
      <c r="H336" s="184" t="s">
        <v>5270</v>
      </c>
      <c r="I336" s="184" t="s">
        <v>5274</v>
      </c>
      <c r="J336" s="184"/>
      <c r="K336" s="184"/>
      <c r="L336" s="184"/>
      <c r="M336" s="184"/>
      <c r="N336" s="184" t="s">
        <v>5272</v>
      </c>
      <c r="O336" s="184" t="s">
        <v>5272</v>
      </c>
      <c r="P336" s="184"/>
      <c r="Q336" s="184"/>
      <c r="R336" s="184" t="s">
        <v>5588</v>
      </c>
      <c r="S336" s="184"/>
      <c r="T336" s="184"/>
      <c r="U336" s="184"/>
      <c r="V336" s="184"/>
      <c r="W336" s="184"/>
      <c r="X336" s="184"/>
    </row>
    <row r="337" customFormat="false" ht="27.75" hidden="false" customHeight="true" outlineLevel="0" collapsed="false">
      <c r="A337" s="184" t="s">
        <v>70</v>
      </c>
      <c r="B337" s="185" t="s">
        <v>5106</v>
      </c>
      <c r="C337" s="184" t="s">
        <v>56</v>
      </c>
      <c r="D337" s="184" t="s">
        <v>5894</v>
      </c>
      <c r="E337" s="184" t="s">
        <v>71</v>
      </c>
      <c r="F337" s="184" t="n">
        <v>15</v>
      </c>
      <c r="G337" s="177" t="s">
        <v>5276</v>
      </c>
      <c r="H337" s="184" t="s">
        <v>5270</v>
      </c>
      <c r="I337" s="184" t="s">
        <v>5277</v>
      </c>
      <c r="J337" s="184"/>
      <c r="K337" s="184"/>
      <c r="L337" s="184"/>
      <c r="M337" s="184"/>
      <c r="N337" s="184"/>
      <c r="O337" s="184"/>
      <c r="P337" s="184"/>
      <c r="Q337" s="184"/>
      <c r="R337" s="184"/>
      <c r="S337" s="184"/>
      <c r="T337" s="184"/>
      <c r="U337" s="184"/>
      <c r="V337" s="184"/>
      <c r="W337" s="184"/>
      <c r="X337" s="184"/>
    </row>
    <row r="338" customFormat="false" ht="41.25" hidden="false" customHeight="true" outlineLevel="0" collapsed="false">
      <c r="A338" s="184" t="s">
        <v>72</v>
      </c>
      <c r="B338" s="185" t="s">
        <v>5108</v>
      </c>
      <c r="C338" s="184" t="s">
        <v>56</v>
      </c>
      <c r="D338" s="184" t="s">
        <v>5910</v>
      </c>
      <c r="E338" s="184" t="s">
        <v>73</v>
      </c>
      <c r="F338" s="184" t="n">
        <v>1</v>
      </c>
      <c r="G338" s="177" t="s">
        <v>5177</v>
      </c>
      <c r="H338" s="184" t="s">
        <v>5178</v>
      </c>
      <c r="I338" s="184" t="s">
        <v>5179</v>
      </c>
      <c r="J338" s="184"/>
      <c r="K338" s="184"/>
      <c r="L338" s="184"/>
      <c r="M338" s="184"/>
      <c r="N338" s="184" t="s">
        <v>5180</v>
      </c>
      <c r="O338" s="184" t="s">
        <v>5181</v>
      </c>
      <c r="P338" s="184"/>
      <c r="Q338" s="184"/>
      <c r="R338" s="184" t="s">
        <v>5182</v>
      </c>
      <c r="S338" s="184"/>
      <c r="T338" s="184"/>
      <c r="U338" s="184"/>
      <c r="V338" s="184"/>
      <c r="W338" s="184"/>
      <c r="X338" s="184"/>
    </row>
    <row r="339" customFormat="false" ht="27.75" hidden="false" customHeight="true" outlineLevel="0" collapsed="false">
      <c r="A339" s="184" t="s">
        <v>72</v>
      </c>
      <c r="B339" s="185" t="s">
        <v>5108</v>
      </c>
      <c r="C339" s="184" t="s">
        <v>56</v>
      </c>
      <c r="D339" s="184" t="s">
        <v>5910</v>
      </c>
      <c r="E339" s="184" t="s">
        <v>73</v>
      </c>
      <c r="F339" s="184" t="n">
        <v>2</v>
      </c>
      <c r="G339" s="177" t="s">
        <v>5183</v>
      </c>
      <c r="H339" s="184" t="s">
        <v>5178</v>
      </c>
      <c r="I339" s="184" t="s">
        <v>56</v>
      </c>
      <c r="J339" s="184"/>
      <c r="K339" s="184"/>
      <c r="L339" s="184"/>
      <c r="M339" s="184"/>
      <c r="N339" s="184"/>
      <c r="O339" s="184"/>
      <c r="P339" s="184"/>
      <c r="Q339" s="184"/>
      <c r="R339" s="184" t="s">
        <v>5184</v>
      </c>
      <c r="S339" s="184"/>
      <c r="T339" s="184"/>
      <c r="U339" s="184"/>
      <c r="V339" s="184"/>
      <c r="W339" s="184"/>
      <c r="X339" s="184"/>
    </row>
    <row r="340" customFormat="false" ht="27.75" hidden="false" customHeight="true" outlineLevel="0" collapsed="false">
      <c r="A340" s="184" t="s">
        <v>72</v>
      </c>
      <c r="B340" s="185" t="s">
        <v>5108</v>
      </c>
      <c r="C340" s="184" t="s">
        <v>56</v>
      </c>
      <c r="D340" s="184" t="s">
        <v>5910</v>
      </c>
      <c r="E340" s="184" t="s">
        <v>73</v>
      </c>
      <c r="F340" s="184" t="n">
        <v>3</v>
      </c>
      <c r="G340" s="174" t="s">
        <v>5547</v>
      </c>
      <c r="H340" s="184" t="s">
        <v>5178</v>
      </c>
      <c r="I340" s="184" t="s">
        <v>5548</v>
      </c>
      <c r="J340" s="184"/>
      <c r="K340" s="184"/>
      <c r="L340" s="184"/>
      <c r="M340" s="184"/>
      <c r="N340" s="184" t="s">
        <v>5549</v>
      </c>
      <c r="O340" s="184" t="s">
        <v>5549</v>
      </c>
      <c r="P340" s="184"/>
      <c r="Q340" s="184"/>
      <c r="R340" s="184" t="s">
        <v>5550</v>
      </c>
      <c r="S340" s="184"/>
      <c r="T340" s="184"/>
      <c r="U340" s="184"/>
      <c r="V340" s="184"/>
      <c r="W340" s="184"/>
      <c r="X340" s="184"/>
    </row>
    <row r="341" customFormat="false" ht="27.75" hidden="false" customHeight="true" outlineLevel="0" collapsed="false">
      <c r="A341" s="184" t="s">
        <v>72</v>
      </c>
      <c r="B341" s="185" t="s">
        <v>5108</v>
      </c>
      <c r="C341" s="184" t="s">
        <v>56</v>
      </c>
      <c r="D341" s="184" t="s">
        <v>5910</v>
      </c>
      <c r="E341" s="184" t="s">
        <v>73</v>
      </c>
      <c r="F341" s="184" t="n">
        <v>4</v>
      </c>
      <c r="G341" s="174" t="s">
        <v>4844</v>
      </c>
      <c r="H341" s="184" t="s">
        <v>5185</v>
      </c>
      <c r="I341" s="184" t="s">
        <v>959</v>
      </c>
      <c r="J341" s="184" t="s">
        <v>227</v>
      </c>
      <c r="K341" s="184" t="n">
        <v>25</v>
      </c>
      <c r="L341" s="184" t="n">
        <v>5000</v>
      </c>
      <c r="M341" s="184" t="n">
        <v>25</v>
      </c>
      <c r="N341" s="184" t="s">
        <v>5911</v>
      </c>
      <c r="O341" s="184" t="s">
        <v>5911</v>
      </c>
      <c r="P341" s="184" t="s">
        <v>5201</v>
      </c>
      <c r="Q341" s="184"/>
      <c r="R341" s="184"/>
      <c r="S341" s="184"/>
      <c r="T341" s="184" t="s">
        <v>5912</v>
      </c>
      <c r="U341" s="184" t="s">
        <v>5292</v>
      </c>
      <c r="V341" s="184" t="n">
        <v>300</v>
      </c>
      <c r="W341" s="184" t="s">
        <v>5913</v>
      </c>
      <c r="X341" s="184" t="s">
        <v>5914</v>
      </c>
    </row>
    <row r="342" customFormat="false" ht="27.75" hidden="false" customHeight="true" outlineLevel="0" collapsed="false">
      <c r="A342" s="184" t="s">
        <v>72</v>
      </c>
      <c r="B342" s="185" t="s">
        <v>5108</v>
      </c>
      <c r="C342" s="184" t="s">
        <v>56</v>
      </c>
      <c r="D342" s="184" t="s">
        <v>5910</v>
      </c>
      <c r="E342" s="184" t="s">
        <v>73</v>
      </c>
      <c r="F342" s="184" t="n">
        <v>5</v>
      </c>
      <c r="G342" s="174" t="s">
        <v>4844</v>
      </c>
      <c r="H342" s="184" t="s">
        <v>5185</v>
      </c>
      <c r="I342" s="184" t="s">
        <v>606</v>
      </c>
      <c r="J342" s="184" t="s">
        <v>5221</v>
      </c>
      <c r="K342" s="184" t="n">
        <v>1</v>
      </c>
      <c r="L342" s="184" t="n">
        <v>40</v>
      </c>
      <c r="M342" s="184" t="n">
        <v>1</v>
      </c>
      <c r="N342" s="184" t="s">
        <v>5557</v>
      </c>
      <c r="O342" s="184" t="s">
        <v>5557</v>
      </c>
      <c r="P342" s="184" t="s">
        <v>5201</v>
      </c>
      <c r="Q342" s="184"/>
      <c r="R342" s="184"/>
      <c r="S342" s="184"/>
      <c r="T342" s="184" t="s">
        <v>5915</v>
      </c>
      <c r="U342" s="184" t="s">
        <v>5368</v>
      </c>
      <c r="V342" s="184" t="n">
        <v>15</v>
      </c>
      <c r="W342" s="184" t="s">
        <v>5534</v>
      </c>
      <c r="X342" s="184" t="s">
        <v>5560</v>
      </c>
    </row>
    <row r="343" customFormat="false" ht="41.25" hidden="false" customHeight="true" outlineLevel="0" collapsed="false">
      <c r="A343" s="184" t="s">
        <v>72</v>
      </c>
      <c r="B343" s="185" t="s">
        <v>5108</v>
      </c>
      <c r="C343" s="184" t="s">
        <v>56</v>
      </c>
      <c r="D343" s="184" t="s">
        <v>5910</v>
      </c>
      <c r="E343" s="184" t="s">
        <v>73</v>
      </c>
      <c r="F343" s="184" t="n">
        <v>6</v>
      </c>
      <c r="G343" s="174" t="s">
        <v>4844</v>
      </c>
      <c r="H343" s="184" t="s">
        <v>5185</v>
      </c>
      <c r="I343" s="184" t="s">
        <v>961</v>
      </c>
      <c r="J343" s="184" t="s">
        <v>238</v>
      </c>
      <c r="K343" s="184" t="n">
        <v>0</v>
      </c>
      <c r="L343" s="184" t="n">
        <v>8</v>
      </c>
      <c r="M343" s="184" t="n">
        <v>0.5</v>
      </c>
      <c r="N343" s="184" t="s">
        <v>5528</v>
      </c>
      <c r="O343" s="184" t="s">
        <v>5528</v>
      </c>
      <c r="P343" s="184" t="s">
        <v>5529</v>
      </c>
      <c r="Q343" s="184"/>
      <c r="R343" s="184"/>
      <c r="S343" s="184" t="s">
        <v>5454</v>
      </c>
      <c r="T343" s="184" t="s">
        <v>5916</v>
      </c>
      <c r="U343" s="184" t="s">
        <v>5559</v>
      </c>
      <c r="V343" s="184" t="s">
        <v>5528</v>
      </c>
      <c r="W343" s="184" t="s">
        <v>5531</v>
      </c>
      <c r="X343" s="184" t="s">
        <v>5532</v>
      </c>
    </row>
    <row r="344" customFormat="false" ht="27.75" hidden="false" customHeight="true" outlineLevel="0" collapsed="false">
      <c r="A344" s="184" t="s">
        <v>72</v>
      </c>
      <c r="B344" s="185" t="s">
        <v>5108</v>
      </c>
      <c r="C344" s="184" t="s">
        <v>56</v>
      </c>
      <c r="D344" s="184" t="s">
        <v>5910</v>
      </c>
      <c r="E344" s="184" t="s">
        <v>73</v>
      </c>
      <c r="F344" s="184" t="n">
        <v>7</v>
      </c>
      <c r="G344" s="174" t="s">
        <v>4844</v>
      </c>
      <c r="H344" s="184" t="s">
        <v>5185</v>
      </c>
      <c r="I344" s="184" t="s">
        <v>640</v>
      </c>
      <c r="J344" s="184" t="s">
        <v>238</v>
      </c>
      <c r="K344" s="184" t="n">
        <v>0</v>
      </c>
      <c r="L344" s="184" t="n">
        <v>3</v>
      </c>
      <c r="M344" s="184" t="n">
        <v>0.05</v>
      </c>
      <c r="N344" s="184" t="s">
        <v>5211</v>
      </c>
      <c r="O344" s="184" t="s">
        <v>5393</v>
      </c>
      <c r="P344" s="184" t="s">
        <v>5561</v>
      </c>
      <c r="Q344" s="184" t="s">
        <v>5562</v>
      </c>
      <c r="R344" s="184" t="s">
        <v>5563</v>
      </c>
      <c r="S344" s="184" t="s">
        <v>5215</v>
      </c>
      <c r="T344" s="184" t="s">
        <v>5917</v>
      </c>
      <c r="U344" s="184" t="s">
        <v>5298</v>
      </c>
      <c r="V344" s="184" t="s">
        <v>5393</v>
      </c>
      <c r="W344" s="184" t="s">
        <v>5565</v>
      </c>
      <c r="X344" s="184" t="s">
        <v>5566</v>
      </c>
    </row>
    <row r="345" customFormat="false" ht="27.75" hidden="false" customHeight="true" outlineLevel="0" collapsed="false">
      <c r="A345" s="184" t="s">
        <v>72</v>
      </c>
      <c r="B345" s="185" t="s">
        <v>5108</v>
      </c>
      <c r="C345" s="184" t="s">
        <v>56</v>
      </c>
      <c r="D345" s="184" t="s">
        <v>5910</v>
      </c>
      <c r="E345" s="184" t="s">
        <v>73</v>
      </c>
      <c r="F345" s="184" t="n">
        <v>8</v>
      </c>
      <c r="G345" s="175" t="s">
        <v>4850</v>
      </c>
      <c r="H345" s="184" t="s">
        <v>248</v>
      </c>
      <c r="I345" s="184" t="s">
        <v>5573</v>
      </c>
      <c r="J345" s="184"/>
      <c r="K345" s="184"/>
      <c r="L345" s="184"/>
      <c r="M345" s="184"/>
      <c r="N345" s="184" t="s">
        <v>5573</v>
      </c>
      <c r="O345" s="184" t="s">
        <v>5240</v>
      </c>
      <c r="P345" s="184"/>
      <c r="Q345" s="184"/>
      <c r="R345" s="184" t="s">
        <v>5241</v>
      </c>
      <c r="S345" s="184"/>
      <c r="T345" s="184"/>
      <c r="U345" s="184"/>
      <c r="V345" s="184"/>
      <c r="W345" s="184"/>
      <c r="X345" s="184"/>
    </row>
    <row r="346" customFormat="false" ht="27.75" hidden="false" customHeight="true" outlineLevel="0" collapsed="false">
      <c r="A346" s="184" t="s">
        <v>72</v>
      </c>
      <c r="B346" s="185" t="s">
        <v>5108</v>
      </c>
      <c r="C346" s="184" t="s">
        <v>56</v>
      </c>
      <c r="D346" s="184" t="s">
        <v>5910</v>
      </c>
      <c r="E346" s="184" t="s">
        <v>73</v>
      </c>
      <c r="F346" s="184" t="n">
        <v>9</v>
      </c>
      <c r="G346" s="176" t="s">
        <v>248</v>
      </c>
      <c r="H346" s="184" t="s">
        <v>248</v>
      </c>
      <c r="I346" s="184" t="s">
        <v>5918</v>
      </c>
      <c r="J346" s="184"/>
      <c r="K346" s="184"/>
      <c r="L346" s="184"/>
      <c r="M346" s="184"/>
      <c r="N346" s="184" t="s">
        <v>5919</v>
      </c>
      <c r="O346" s="184" t="s">
        <v>5919</v>
      </c>
      <c r="P346" s="184"/>
      <c r="Q346" s="184"/>
      <c r="R346" s="184"/>
      <c r="S346" s="184"/>
      <c r="T346" s="184" t="s">
        <v>5920</v>
      </c>
      <c r="U346" s="184" t="s">
        <v>5386</v>
      </c>
      <c r="V346" s="184"/>
      <c r="W346" s="184"/>
      <c r="X346" s="184"/>
    </row>
    <row r="347" customFormat="false" ht="27.75" hidden="false" customHeight="true" outlineLevel="0" collapsed="false">
      <c r="A347" s="184" t="s">
        <v>72</v>
      </c>
      <c r="B347" s="185" t="s">
        <v>5108</v>
      </c>
      <c r="C347" s="184" t="s">
        <v>56</v>
      </c>
      <c r="D347" s="184" t="s">
        <v>5910</v>
      </c>
      <c r="E347" s="184" t="s">
        <v>73</v>
      </c>
      <c r="F347" s="184" t="n">
        <v>10</v>
      </c>
      <c r="G347" s="177" t="s">
        <v>5245</v>
      </c>
      <c r="H347" s="184" t="s">
        <v>248</v>
      </c>
      <c r="I347" s="184" t="s">
        <v>5179</v>
      </c>
      <c r="J347" s="184"/>
      <c r="K347" s="184"/>
      <c r="L347" s="184"/>
      <c r="M347" s="184"/>
      <c r="N347" s="184" t="s">
        <v>5246</v>
      </c>
      <c r="O347" s="184" t="s">
        <v>5247</v>
      </c>
      <c r="P347" s="184"/>
      <c r="Q347" s="184"/>
      <c r="R347" s="184" t="s">
        <v>5248</v>
      </c>
      <c r="S347" s="184"/>
      <c r="T347" s="184"/>
      <c r="U347" s="184"/>
      <c r="V347" s="184"/>
      <c r="W347" s="184"/>
      <c r="X347" s="184"/>
    </row>
    <row r="348" customFormat="false" ht="122.25" hidden="false" customHeight="true" outlineLevel="0" collapsed="false">
      <c r="A348" s="184" t="s">
        <v>72</v>
      </c>
      <c r="B348" s="185" t="s">
        <v>5108</v>
      </c>
      <c r="C348" s="184" t="s">
        <v>56</v>
      </c>
      <c r="D348" s="184" t="s">
        <v>5910</v>
      </c>
      <c r="E348" s="184" t="s">
        <v>73</v>
      </c>
      <c r="F348" s="184" t="n">
        <v>11</v>
      </c>
      <c r="G348" s="176" t="s">
        <v>5249</v>
      </c>
      <c r="H348" s="184" t="s">
        <v>248</v>
      </c>
      <c r="I348" s="184" t="s">
        <v>5250</v>
      </c>
      <c r="J348" s="184"/>
      <c r="K348" s="184"/>
      <c r="L348" s="184"/>
      <c r="M348" s="184"/>
      <c r="N348" s="184" t="s">
        <v>5921</v>
      </c>
      <c r="O348" s="184" t="s">
        <v>5921</v>
      </c>
      <c r="P348" s="184"/>
      <c r="Q348" s="184"/>
      <c r="R348" s="184"/>
      <c r="S348" s="184"/>
      <c r="T348" s="184"/>
      <c r="U348" s="184"/>
      <c r="V348" s="184"/>
      <c r="W348" s="184"/>
      <c r="X348" s="184"/>
    </row>
    <row r="349" customFormat="false" ht="27.75" hidden="false" customHeight="true" outlineLevel="0" collapsed="false">
      <c r="A349" s="184" t="s">
        <v>72</v>
      </c>
      <c r="B349" s="185" t="s">
        <v>5108</v>
      </c>
      <c r="C349" s="184" t="s">
        <v>56</v>
      </c>
      <c r="D349" s="184" t="s">
        <v>5910</v>
      </c>
      <c r="E349" s="184" t="s">
        <v>73</v>
      </c>
      <c r="F349" s="184" t="n">
        <v>12</v>
      </c>
      <c r="G349" s="176" t="s">
        <v>5253</v>
      </c>
      <c r="H349" s="184" t="s">
        <v>248</v>
      </c>
      <c r="I349" s="184" t="s">
        <v>612</v>
      </c>
      <c r="J349" s="184"/>
      <c r="K349" s="184"/>
      <c r="L349" s="184"/>
      <c r="M349" s="184"/>
      <c r="N349" s="184" t="s">
        <v>5922</v>
      </c>
      <c r="O349" s="184" t="s">
        <v>5922</v>
      </c>
      <c r="P349" s="184"/>
      <c r="Q349" s="184"/>
      <c r="R349" s="184"/>
      <c r="S349" s="184"/>
      <c r="T349" s="184" t="s">
        <v>5923</v>
      </c>
      <c r="U349" s="184" t="s">
        <v>5511</v>
      </c>
      <c r="V349" s="184"/>
      <c r="W349" s="184"/>
      <c r="X349" s="184"/>
    </row>
    <row r="350" customFormat="false" ht="27.75" hidden="false" customHeight="true" outlineLevel="0" collapsed="false">
      <c r="A350" s="184" t="s">
        <v>72</v>
      </c>
      <c r="B350" s="185" t="s">
        <v>5108</v>
      </c>
      <c r="C350" s="184" t="s">
        <v>56</v>
      </c>
      <c r="D350" s="184" t="s">
        <v>5910</v>
      </c>
      <c r="E350" s="184" t="s">
        <v>73</v>
      </c>
      <c r="F350" s="184" t="n">
        <v>13</v>
      </c>
      <c r="G350" s="176" t="s">
        <v>5253</v>
      </c>
      <c r="H350" s="184" t="s">
        <v>248</v>
      </c>
      <c r="I350" s="184" t="s">
        <v>968</v>
      </c>
      <c r="J350" s="184"/>
      <c r="K350" s="184"/>
      <c r="L350" s="184"/>
      <c r="M350" s="184"/>
      <c r="N350" s="184" t="s">
        <v>5924</v>
      </c>
      <c r="O350" s="184" t="s">
        <v>5924</v>
      </c>
      <c r="P350" s="184"/>
      <c r="Q350" s="184"/>
      <c r="R350" s="184"/>
      <c r="S350" s="184"/>
      <c r="T350" s="184" t="s">
        <v>5925</v>
      </c>
      <c r="U350" s="184" t="s">
        <v>5312</v>
      </c>
      <c r="V350" s="184"/>
      <c r="W350" s="184"/>
      <c r="X350" s="184"/>
    </row>
    <row r="351" customFormat="false" ht="27.75" hidden="false" customHeight="true" outlineLevel="0" collapsed="false">
      <c r="A351" s="184" t="s">
        <v>72</v>
      </c>
      <c r="B351" s="185" t="s">
        <v>5108</v>
      </c>
      <c r="C351" s="184" t="s">
        <v>56</v>
      </c>
      <c r="D351" s="184" t="s">
        <v>5910</v>
      </c>
      <c r="E351" s="184" t="s">
        <v>73</v>
      </c>
      <c r="F351" s="184" t="n">
        <v>14</v>
      </c>
      <c r="G351" s="176" t="s">
        <v>5253</v>
      </c>
      <c r="H351" s="184" t="s">
        <v>248</v>
      </c>
      <c r="I351" s="184" t="s">
        <v>657</v>
      </c>
      <c r="J351" s="184"/>
      <c r="K351" s="184"/>
      <c r="L351" s="184"/>
      <c r="M351" s="184"/>
      <c r="N351" s="184" t="s">
        <v>5926</v>
      </c>
      <c r="O351" s="184" t="s">
        <v>5926</v>
      </c>
      <c r="P351" s="184"/>
      <c r="Q351" s="184"/>
      <c r="R351" s="184"/>
      <c r="S351" s="184"/>
      <c r="T351" s="184" t="s">
        <v>5927</v>
      </c>
      <c r="U351" s="184" t="s">
        <v>5316</v>
      </c>
      <c r="V351" s="184"/>
      <c r="W351" s="184"/>
      <c r="X351" s="184"/>
    </row>
    <row r="352" customFormat="false" ht="135.75" hidden="false" customHeight="true" outlineLevel="0" collapsed="false">
      <c r="A352" s="184" t="s">
        <v>72</v>
      </c>
      <c r="B352" s="185" t="s">
        <v>5108</v>
      </c>
      <c r="C352" s="184" t="s">
        <v>56</v>
      </c>
      <c r="D352" s="184" t="s">
        <v>5910</v>
      </c>
      <c r="E352" s="184" t="s">
        <v>73</v>
      </c>
      <c r="F352" s="184" t="n">
        <v>15</v>
      </c>
      <c r="G352" s="178" t="s">
        <v>5269</v>
      </c>
      <c r="H352" s="184" t="s">
        <v>5270</v>
      </c>
      <c r="I352" s="186" t="s">
        <v>5271</v>
      </c>
      <c r="J352" s="184"/>
      <c r="K352" s="184"/>
      <c r="L352" s="184"/>
      <c r="M352" s="184"/>
      <c r="N352" s="184" t="s">
        <v>5272</v>
      </c>
      <c r="O352" s="184" t="s">
        <v>5272</v>
      </c>
      <c r="P352" s="184"/>
      <c r="Q352" s="184"/>
      <c r="R352" s="184" t="s">
        <v>5928</v>
      </c>
      <c r="S352" s="184"/>
      <c r="T352" s="184"/>
      <c r="U352" s="184"/>
      <c r="V352" s="184"/>
      <c r="W352" s="184"/>
      <c r="X352" s="184"/>
    </row>
    <row r="353" customFormat="false" ht="68.25" hidden="false" customHeight="true" outlineLevel="0" collapsed="false">
      <c r="A353" s="184" t="s">
        <v>72</v>
      </c>
      <c r="B353" s="185" t="s">
        <v>5108</v>
      </c>
      <c r="C353" s="184" t="s">
        <v>56</v>
      </c>
      <c r="D353" s="184" t="s">
        <v>5910</v>
      </c>
      <c r="E353" s="184" t="s">
        <v>73</v>
      </c>
      <c r="F353" s="184" t="n">
        <v>16</v>
      </c>
      <c r="G353" s="178" t="s">
        <v>5269</v>
      </c>
      <c r="H353" s="184" t="s">
        <v>5270</v>
      </c>
      <c r="I353" s="184" t="s">
        <v>5274</v>
      </c>
      <c r="J353" s="184"/>
      <c r="K353" s="184"/>
      <c r="L353" s="184"/>
      <c r="M353" s="184"/>
      <c r="N353" s="184" t="s">
        <v>5272</v>
      </c>
      <c r="O353" s="184" t="s">
        <v>5272</v>
      </c>
      <c r="P353" s="184"/>
      <c r="Q353" s="184"/>
      <c r="R353" s="184" t="s">
        <v>5588</v>
      </c>
      <c r="S353" s="184"/>
      <c r="T353" s="184"/>
      <c r="U353" s="184"/>
      <c r="V353" s="184"/>
      <c r="W353" s="184"/>
      <c r="X353" s="184"/>
    </row>
    <row r="354" customFormat="false" ht="27.75" hidden="false" customHeight="true" outlineLevel="0" collapsed="false">
      <c r="A354" s="184" t="s">
        <v>72</v>
      </c>
      <c r="B354" s="185" t="s">
        <v>5108</v>
      </c>
      <c r="C354" s="184" t="s">
        <v>56</v>
      </c>
      <c r="D354" s="184" t="s">
        <v>5910</v>
      </c>
      <c r="E354" s="184" t="s">
        <v>73</v>
      </c>
      <c r="F354" s="184" t="n">
        <v>17</v>
      </c>
      <c r="G354" s="177" t="s">
        <v>5276</v>
      </c>
      <c r="H354" s="184" t="s">
        <v>5270</v>
      </c>
      <c r="I354" s="184" t="s">
        <v>5277</v>
      </c>
      <c r="J354" s="184"/>
      <c r="K354" s="184"/>
      <c r="L354" s="184"/>
      <c r="M354" s="184"/>
      <c r="N354" s="184"/>
      <c r="O354" s="184"/>
      <c r="P354" s="184"/>
      <c r="Q354" s="184"/>
      <c r="R354" s="184"/>
      <c r="S354" s="184"/>
      <c r="T354" s="184"/>
      <c r="U354" s="184"/>
      <c r="V354" s="184"/>
      <c r="W354" s="184"/>
      <c r="X354" s="184"/>
    </row>
    <row r="355" customFormat="false" ht="41.25" hidden="false" customHeight="true" outlineLevel="0" collapsed="false">
      <c r="A355" s="184" t="s">
        <v>74</v>
      </c>
      <c r="B355" s="185" t="s">
        <v>5110</v>
      </c>
      <c r="C355" s="184" t="s">
        <v>56</v>
      </c>
      <c r="D355" s="184" t="s">
        <v>5929</v>
      </c>
      <c r="E355" s="184" t="s">
        <v>75</v>
      </c>
      <c r="F355" s="184" t="n">
        <v>1</v>
      </c>
      <c r="G355" s="177" t="s">
        <v>5177</v>
      </c>
      <c r="H355" s="184" t="s">
        <v>5178</v>
      </c>
      <c r="I355" s="184" t="s">
        <v>5179</v>
      </c>
      <c r="J355" s="184"/>
      <c r="K355" s="184"/>
      <c r="L355" s="184"/>
      <c r="M355" s="184"/>
      <c r="N355" s="184" t="s">
        <v>5180</v>
      </c>
      <c r="O355" s="184" t="s">
        <v>5181</v>
      </c>
      <c r="P355" s="184"/>
      <c r="Q355" s="184"/>
      <c r="R355" s="184" t="s">
        <v>5182</v>
      </c>
      <c r="S355" s="184"/>
      <c r="T355" s="184"/>
      <c r="U355" s="184"/>
      <c r="V355" s="184"/>
      <c r="W355" s="184"/>
      <c r="X355" s="184"/>
    </row>
    <row r="356" customFormat="false" ht="27.75" hidden="false" customHeight="true" outlineLevel="0" collapsed="false">
      <c r="A356" s="184" t="s">
        <v>74</v>
      </c>
      <c r="B356" s="185" t="s">
        <v>5110</v>
      </c>
      <c r="C356" s="184" t="s">
        <v>56</v>
      </c>
      <c r="D356" s="184" t="s">
        <v>5929</v>
      </c>
      <c r="E356" s="184" t="s">
        <v>75</v>
      </c>
      <c r="F356" s="184" t="n">
        <v>2</v>
      </c>
      <c r="G356" s="177" t="s">
        <v>5183</v>
      </c>
      <c r="H356" s="184" t="s">
        <v>5178</v>
      </c>
      <c r="I356" s="184" t="s">
        <v>56</v>
      </c>
      <c r="J356" s="184"/>
      <c r="K356" s="184"/>
      <c r="L356" s="184"/>
      <c r="M356" s="184"/>
      <c r="N356" s="184"/>
      <c r="O356" s="184"/>
      <c r="P356" s="184"/>
      <c r="Q356" s="184"/>
      <c r="R356" s="184" t="s">
        <v>5184</v>
      </c>
      <c r="S356" s="184"/>
      <c r="T356" s="184"/>
      <c r="U356" s="184"/>
      <c r="V356" s="184"/>
      <c r="W356" s="184"/>
      <c r="X356" s="184"/>
    </row>
    <row r="357" customFormat="false" ht="27.75" hidden="false" customHeight="true" outlineLevel="0" collapsed="false">
      <c r="A357" s="184" t="s">
        <v>74</v>
      </c>
      <c r="B357" s="185" t="s">
        <v>5110</v>
      </c>
      <c r="C357" s="184" t="s">
        <v>56</v>
      </c>
      <c r="D357" s="184" t="s">
        <v>5929</v>
      </c>
      <c r="E357" s="184" t="s">
        <v>75</v>
      </c>
      <c r="F357" s="184" t="n">
        <v>3</v>
      </c>
      <c r="G357" s="174" t="s">
        <v>4844</v>
      </c>
      <c r="H357" s="184" t="s">
        <v>5185</v>
      </c>
      <c r="I357" s="184" t="s">
        <v>985</v>
      </c>
      <c r="J357" s="184" t="s">
        <v>227</v>
      </c>
      <c r="K357" s="184" t="n">
        <v>1000</v>
      </c>
      <c r="L357" s="184" t="n">
        <v>1000000</v>
      </c>
      <c r="M357" s="184" t="n">
        <v>100</v>
      </c>
      <c r="N357" s="184" t="s">
        <v>5930</v>
      </c>
      <c r="O357" s="184" t="s">
        <v>5552</v>
      </c>
      <c r="P357" s="184" t="s">
        <v>5553</v>
      </c>
      <c r="Q357" s="184"/>
      <c r="R357" s="184"/>
      <c r="S357" s="184"/>
      <c r="T357" s="184" t="s">
        <v>5931</v>
      </c>
      <c r="U357" s="184" t="s">
        <v>5456</v>
      </c>
      <c r="V357" s="184" t="n">
        <v>50000</v>
      </c>
      <c r="W357" s="184" t="s">
        <v>5932</v>
      </c>
      <c r="X357" s="184" t="s">
        <v>5933</v>
      </c>
    </row>
    <row r="358" customFormat="false" ht="27.75" hidden="false" customHeight="true" outlineLevel="0" collapsed="false">
      <c r="A358" s="184" t="s">
        <v>74</v>
      </c>
      <c r="B358" s="185" t="s">
        <v>5110</v>
      </c>
      <c r="C358" s="184" t="s">
        <v>56</v>
      </c>
      <c r="D358" s="184" t="s">
        <v>5929</v>
      </c>
      <c r="E358" s="184" t="s">
        <v>75</v>
      </c>
      <c r="F358" s="184" t="n">
        <v>4</v>
      </c>
      <c r="G358" s="174" t="s">
        <v>4844</v>
      </c>
      <c r="H358" s="184" t="s">
        <v>5185</v>
      </c>
      <c r="I358" s="184" t="s">
        <v>606</v>
      </c>
      <c r="J358" s="184" t="s">
        <v>5221</v>
      </c>
      <c r="K358" s="184" t="n">
        <v>1</v>
      </c>
      <c r="L358" s="184" t="n">
        <v>40</v>
      </c>
      <c r="M358" s="184" t="n">
        <v>1</v>
      </c>
      <c r="N358" s="184" t="s">
        <v>5380</v>
      </c>
      <c r="O358" s="184" t="s">
        <v>5380</v>
      </c>
      <c r="P358" s="184" t="s">
        <v>5201</v>
      </c>
      <c r="Q358" s="184"/>
      <c r="R358" s="184"/>
      <c r="S358" s="184"/>
      <c r="T358" s="184" t="s">
        <v>5934</v>
      </c>
      <c r="U358" s="184" t="s">
        <v>5413</v>
      </c>
      <c r="V358" s="184" t="n">
        <v>20</v>
      </c>
      <c r="W358" s="184" t="s">
        <v>5534</v>
      </c>
      <c r="X358" s="184" t="s">
        <v>5535</v>
      </c>
    </row>
    <row r="359" customFormat="false" ht="41.25" hidden="false" customHeight="true" outlineLevel="0" collapsed="false">
      <c r="A359" s="184" t="s">
        <v>74</v>
      </c>
      <c r="B359" s="185" t="s">
        <v>5110</v>
      </c>
      <c r="C359" s="184" t="s">
        <v>56</v>
      </c>
      <c r="D359" s="184" t="s">
        <v>5929</v>
      </c>
      <c r="E359" s="184" t="s">
        <v>75</v>
      </c>
      <c r="F359" s="184" t="n">
        <v>5</v>
      </c>
      <c r="G359" s="174" t="s">
        <v>4844</v>
      </c>
      <c r="H359" s="184" t="s">
        <v>5185</v>
      </c>
      <c r="I359" s="184" t="s">
        <v>961</v>
      </c>
      <c r="J359" s="184" t="s">
        <v>238</v>
      </c>
      <c r="K359" s="184" t="n">
        <v>0</v>
      </c>
      <c r="L359" s="184" t="n">
        <v>8</v>
      </c>
      <c r="M359" s="184" t="n">
        <v>0.5</v>
      </c>
      <c r="N359" s="184" t="s">
        <v>5528</v>
      </c>
      <c r="O359" s="184" t="s">
        <v>5528</v>
      </c>
      <c r="P359" s="184" t="s">
        <v>5529</v>
      </c>
      <c r="Q359" s="184"/>
      <c r="R359" s="184"/>
      <c r="S359" s="184" t="s">
        <v>5454</v>
      </c>
      <c r="T359" s="184" t="s">
        <v>5935</v>
      </c>
      <c r="U359" s="184" t="s">
        <v>5236</v>
      </c>
      <c r="V359" s="184" t="s">
        <v>5528</v>
      </c>
      <c r="W359" s="184" t="s">
        <v>5531</v>
      </c>
      <c r="X359" s="184" t="s">
        <v>5532</v>
      </c>
    </row>
    <row r="360" customFormat="false" ht="27.75" hidden="false" customHeight="true" outlineLevel="0" collapsed="false">
      <c r="A360" s="184" t="s">
        <v>74</v>
      </c>
      <c r="B360" s="185" t="s">
        <v>5110</v>
      </c>
      <c r="C360" s="184" t="s">
        <v>56</v>
      </c>
      <c r="D360" s="184" t="s">
        <v>5929</v>
      </c>
      <c r="E360" s="184" t="s">
        <v>75</v>
      </c>
      <c r="F360" s="184" t="n">
        <v>6</v>
      </c>
      <c r="G360" s="174" t="s">
        <v>4844</v>
      </c>
      <c r="H360" s="184" t="s">
        <v>5185</v>
      </c>
      <c r="I360" s="184" t="s">
        <v>987</v>
      </c>
      <c r="J360" s="184" t="s">
        <v>238</v>
      </c>
      <c r="K360" s="184" t="n">
        <v>0</v>
      </c>
      <c r="L360" s="184" t="n">
        <v>3</v>
      </c>
      <c r="M360" s="184" t="n">
        <v>0.05</v>
      </c>
      <c r="N360" s="184" t="s">
        <v>5211</v>
      </c>
      <c r="O360" s="184" t="s">
        <v>5936</v>
      </c>
      <c r="P360" s="184" t="s">
        <v>5561</v>
      </c>
      <c r="Q360" s="184" t="s">
        <v>5562</v>
      </c>
      <c r="R360" s="184" t="s">
        <v>5563</v>
      </c>
      <c r="S360" s="184" t="s">
        <v>5215</v>
      </c>
      <c r="T360" s="184" t="s">
        <v>5937</v>
      </c>
      <c r="U360" s="184" t="s">
        <v>5288</v>
      </c>
      <c r="V360" s="184" t="s">
        <v>5393</v>
      </c>
      <c r="W360" s="184" t="s">
        <v>5565</v>
      </c>
      <c r="X360" s="184" t="s">
        <v>5566</v>
      </c>
    </row>
    <row r="361" customFormat="false" ht="27.75" hidden="false" customHeight="true" outlineLevel="0" collapsed="false">
      <c r="A361" s="184" t="s">
        <v>74</v>
      </c>
      <c r="B361" s="185" t="s">
        <v>5110</v>
      </c>
      <c r="C361" s="184" t="s">
        <v>56</v>
      </c>
      <c r="D361" s="184" t="s">
        <v>5929</v>
      </c>
      <c r="E361" s="184" t="s">
        <v>75</v>
      </c>
      <c r="F361" s="184" t="n">
        <v>7</v>
      </c>
      <c r="G361" s="174" t="s">
        <v>4844</v>
      </c>
      <c r="H361" s="184" t="s">
        <v>5185</v>
      </c>
      <c r="I361" s="184" t="s">
        <v>988</v>
      </c>
      <c r="J361" s="184" t="s">
        <v>238</v>
      </c>
      <c r="K361" s="184" t="n">
        <v>0</v>
      </c>
      <c r="L361" s="184" t="n">
        <v>3</v>
      </c>
      <c r="M361" s="184" t="n">
        <v>0.05</v>
      </c>
      <c r="N361" s="184" t="s">
        <v>5211</v>
      </c>
      <c r="O361" s="184" t="s">
        <v>5938</v>
      </c>
      <c r="P361" s="184" t="s">
        <v>5561</v>
      </c>
      <c r="Q361" s="184" t="s">
        <v>5562</v>
      </c>
      <c r="R361" s="184" t="s">
        <v>5563</v>
      </c>
      <c r="S361" s="184" t="s">
        <v>5215</v>
      </c>
      <c r="T361" s="184" t="s">
        <v>5939</v>
      </c>
      <c r="U361" s="184" t="s">
        <v>5292</v>
      </c>
      <c r="V361" s="184" t="s">
        <v>5393</v>
      </c>
      <c r="W361" s="184" t="s">
        <v>5565</v>
      </c>
      <c r="X361" s="184" t="s">
        <v>5566</v>
      </c>
    </row>
    <row r="362" customFormat="false" ht="54.75" hidden="false" customHeight="true" outlineLevel="0" collapsed="false">
      <c r="A362" s="184" t="s">
        <v>74</v>
      </c>
      <c r="B362" s="185" t="s">
        <v>5110</v>
      </c>
      <c r="C362" s="184" t="s">
        <v>56</v>
      </c>
      <c r="D362" s="184" t="s">
        <v>5929</v>
      </c>
      <c r="E362" s="184" t="s">
        <v>75</v>
      </c>
      <c r="F362" s="184" t="n">
        <v>8</v>
      </c>
      <c r="G362" s="175" t="s">
        <v>4850</v>
      </c>
      <c r="H362" s="184" t="s">
        <v>248</v>
      </c>
      <c r="I362" s="184" t="s">
        <v>5940</v>
      </c>
      <c r="J362" s="184"/>
      <c r="K362" s="184"/>
      <c r="L362" s="184"/>
      <c r="M362" s="184"/>
      <c r="N362" s="184" t="s">
        <v>5941</v>
      </c>
      <c r="O362" s="184" t="s">
        <v>5240</v>
      </c>
      <c r="P362" s="184"/>
      <c r="Q362" s="184"/>
      <c r="R362" s="184" t="s">
        <v>5241</v>
      </c>
      <c r="S362" s="184"/>
      <c r="T362" s="184"/>
      <c r="U362" s="184"/>
      <c r="V362" s="184"/>
      <c r="W362" s="184"/>
      <c r="X362" s="184"/>
    </row>
    <row r="363" customFormat="false" ht="27.75" hidden="false" customHeight="true" outlineLevel="0" collapsed="false">
      <c r="A363" s="184" t="s">
        <v>74</v>
      </c>
      <c r="B363" s="185" t="s">
        <v>5110</v>
      </c>
      <c r="C363" s="184" t="s">
        <v>56</v>
      </c>
      <c r="D363" s="184" t="s">
        <v>5929</v>
      </c>
      <c r="E363" s="184" t="s">
        <v>75</v>
      </c>
      <c r="F363" s="184" t="n">
        <v>9</v>
      </c>
      <c r="G363" s="176" t="s">
        <v>248</v>
      </c>
      <c r="H363" s="184" t="s">
        <v>248</v>
      </c>
      <c r="I363" s="184" t="s">
        <v>992</v>
      </c>
      <c r="J363" s="184"/>
      <c r="K363" s="184"/>
      <c r="L363" s="184"/>
      <c r="M363" s="184"/>
      <c r="N363" s="184" t="s">
        <v>5193</v>
      </c>
      <c r="O363" s="184" t="s">
        <v>5942</v>
      </c>
      <c r="P363" s="184"/>
      <c r="Q363" s="184"/>
      <c r="R363" s="184"/>
      <c r="S363" s="184"/>
      <c r="T363" s="184" t="s">
        <v>5943</v>
      </c>
      <c r="U363" s="184" t="s">
        <v>88</v>
      </c>
      <c r="V363" s="184"/>
      <c r="W363" s="184"/>
      <c r="X363" s="184"/>
    </row>
    <row r="364" customFormat="false" ht="27.75" hidden="false" customHeight="true" outlineLevel="0" collapsed="false">
      <c r="A364" s="184" t="s">
        <v>74</v>
      </c>
      <c r="B364" s="185" t="s">
        <v>5110</v>
      </c>
      <c r="C364" s="184" t="s">
        <v>56</v>
      </c>
      <c r="D364" s="184" t="s">
        <v>5929</v>
      </c>
      <c r="E364" s="184" t="s">
        <v>75</v>
      </c>
      <c r="F364" s="184" t="n">
        <v>10</v>
      </c>
      <c r="G364" s="177" t="s">
        <v>5245</v>
      </c>
      <c r="H364" s="184" t="s">
        <v>248</v>
      </c>
      <c r="I364" s="184" t="s">
        <v>5179</v>
      </c>
      <c r="J364" s="184"/>
      <c r="K364" s="184"/>
      <c r="L364" s="184"/>
      <c r="M364" s="184"/>
      <c r="N364" s="184" t="s">
        <v>5246</v>
      </c>
      <c r="O364" s="184" t="s">
        <v>5247</v>
      </c>
      <c r="P364" s="184"/>
      <c r="Q364" s="184"/>
      <c r="R364" s="184" t="s">
        <v>5248</v>
      </c>
      <c r="S364" s="184"/>
      <c r="T364" s="184"/>
      <c r="U364" s="184"/>
      <c r="V364" s="184"/>
      <c r="W364" s="184"/>
      <c r="X364" s="184"/>
    </row>
    <row r="365" customFormat="false" ht="54.75" hidden="false" customHeight="true" outlineLevel="0" collapsed="false">
      <c r="A365" s="184" t="s">
        <v>74</v>
      </c>
      <c r="B365" s="185" t="s">
        <v>5110</v>
      </c>
      <c r="C365" s="184" t="s">
        <v>56</v>
      </c>
      <c r="D365" s="184" t="s">
        <v>5929</v>
      </c>
      <c r="E365" s="184" t="s">
        <v>75</v>
      </c>
      <c r="F365" s="184" t="n">
        <v>11</v>
      </c>
      <c r="G365" s="176" t="s">
        <v>5249</v>
      </c>
      <c r="H365" s="184" t="s">
        <v>248</v>
      </c>
      <c r="I365" s="184" t="s">
        <v>5250</v>
      </c>
      <c r="J365" s="184"/>
      <c r="K365" s="184"/>
      <c r="L365" s="184"/>
      <c r="M365" s="184"/>
      <c r="N365" s="184" t="s">
        <v>5944</v>
      </c>
      <c r="O365" s="184" t="s">
        <v>5945</v>
      </c>
      <c r="P365" s="184"/>
      <c r="Q365" s="184"/>
      <c r="R365" s="184"/>
      <c r="S365" s="184"/>
      <c r="T365" s="184"/>
      <c r="U365" s="184"/>
      <c r="V365" s="184"/>
      <c r="W365" s="184"/>
      <c r="X365" s="184"/>
    </row>
    <row r="366" customFormat="false" ht="27.75" hidden="false" customHeight="true" outlineLevel="0" collapsed="false">
      <c r="A366" s="184" t="s">
        <v>74</v>
      </c>
      <c r="B366" s="185" t="s">
        <v>5110</v>
      </c>
      <c r="C366" s="184" t="s">
        <v>56</v>
      </c>
      <c r="D366" s="184" t="s">
        <v>5929</v>
      </c>
      <c r="E366" s="184" t="s">
        <v>75</v>
      </c>
      <c r="F366" s="184" t="n">
        <v>12</v>
      </c>
      <c r="G366" s="176" t="s">
        <v>5253</v>
      </c>
      <c r="H366" s="184" t="s">
        <v>248</v>
      </c>
      <c r="I366" s="184" t="s">
        <v>5946</v>
      </c>
      <c r="J366" s="184"/>
      <c r="K366" s="184"/>
      <c r="L366" s="184"/>
      <c r="M366" s="184"/>
      <c r="N366" s="184" t="s">
        <v>5947</v>
      </c>
      <c r="O366" s="184" t="s">
        <v>5948</v>
      </c>
      <c r="P366" s="184"/>
      <c r="Q366" s="184"/>
      <c r="R366" s="184"/>
      <c r="S366" s="184"/>
      <c r="T366" s="184" t="s">
        <v>5949</v>
      </c>
      <c r="U366" s="184" t="s">
        <v>90</v>
      </c>
      <c r="V366" s="184"/>
      <c r="W366" s="184"/>
      <c r="X366" s="184"/>
    </row>
    <row r="367" customFormat="false" ht="27.75" hidden="false" customHeight="true" outlineLevel="0" collapsed="false">
      <c r="A367" s="184" t="s">
        <v>74</v>
      </c>
      <c r="B367" s="185" t="s">
        <v>5110</v>
      </c>
      <c r="C367" s="184" t="s">
        <v>56</v>
      </c>
      <c r="D367" s="184" t="s">
        <v>5929</v>
      </c>
      <c r="E367" s="184" t="s">
        <v>75</v>
      </c>
      <c r="F367" s="184" t="n">
        <v>13</v>
      </c>
      <c r="G367" s="176" t="s">
        <v>5253</v>
      </c>
      <c r="H367" s="184" t="s">
        <v>248</v>
      </c>
      <c r="I367" s="184" t="s">
        <v>5950</v>
      </c>
      <c r="J367" s="184"/>
      <c r="K367" s="184"/>
      <c r="L367" s="184"/>
      <c r="M367" s="184"/>
      <c r="N367" s="184" t="s">
        <v>5947</v>
      </c>
      <c r="O367" s="184" t="s">
        <v>5951</v>
      </c>
      <c r="P367" s="184"/>
      <c r="Q367" s="184"/>
      <c r="R367" s="184"/>
      <c r="S367" s="184"/>
      <c r="T367" s="184" t="s">
        <v>5952</v>
      </c>
      <c r="U367" s="184" t="s">
        <v>92</v>
      </c>
      <c r="V367" s="184"/>
      <c r="W367" s="184"/>
      <c r="X367" s="184"/>
    </row>
    <row r="368" customFormat="false" ht="108.75" hidden="false" customHeight="true" outlineLevel="0" collapsed="false">
      <c r="A368" s="184" t="s">
        <v>74</v>
      </c>
      <c r="B368" s="185" t="s">
        <v>5110</v>
      </c>
      <c r="C368" s="184" t="s">
        <v>56</v>
      </c>
      <c r="D368" s="184" t="s">
        <v>5929</v>
      </c>
      <c r="E368" s="184" t="s">
        <v>75</v>
      </c>
      <c r="F368" s="184" t="n">
        <v>14</v>
      </c>
      <c r="G368" s="178" t="s">
        <v>5269</v>
      </c>
      <c r="H368" s="184" t="s">
        <v>5270</v>
      </c>
      <c r="I368" s="186" t="s">
        <v>5271</v>
      </c>
      <c r="J368" s="184"/>
      <c r="K368" s="184"/>
      <c r="L368" s="184"/>
      <c r="M368" s="184"/>
      <c r="N368" s="184" t="s">
        <v>5272</v>
      </c>
      <c r="O368" s="184" t="s">
        <v>5272</v>
      </c>
      <c r="P368" s="184"/>
      <c r="Q368" s="184"/>
      <c r="R368" s="184" t="s">
        <v>5953</v>
      </c>
      <c r="S368" s="184"/>
      <c r="T368" s="184"/>
      <c r="U368" s="184"/>
      <c r="V368" s="184"/>
      <c r="W368" s="184"/>
      <c r="X368" s="184"/>
    </row>
    <row r="369" customFormat="false" ht="68.25" hidden="false" customHeight="true" outlineLevel="0" collapsed="false">
      <c r="A369" s="184" t="s">
        <v>74</v>
      </c>
      <c r="B369" s="185" t="s">
        <v>5110</v>
      </c>
      <c r="C369" s="184" t="s">
        <v>56</v>
      </c>
      <c r="D369" s="184" t="s">
        <v>5929</v>
      </c>
      <c r="E369" s="184" t="s">
        <v>75</v>
      </c>
      <c r="F369" s="184" t="n">
        <v>15</v>
      </c>
      <c r="G369" s="178" t="s">
        <v>5269</v>
      </c>
      <c r="H369" s="184" t="s">
        <v>5270</v>
      </c>
      <c r="I369" s="184" t="s">
        <v>5274</v>
      </c>
      <c r="J369" s="184"/>
      <c r="K369" s="184"/>
      <c r="L369" s="184"/>
      <c r="M369" s="184"/>
      <c r="N369" s="184" t="s">
        <v>5272</v>
      </c>
      <c r="O369" s="184" t="s">
        <v>5272</v>
      </c>
      <c r="P369" s="184"/>
      <c r="Q369" s="184"/>
      <c r="R369" s="184" t="s">
        <v>5588</v>
      </c>
      <c r="S369" s="184"/>
      <c r="T369" s="184"/>
      <c r="U369" s="184"/>
      <c r="V369" s="184"/>
      <c r="W369" s="184"/>
      <c r="X369" s="184"/>
    </row>
    <row r="370" customFormat="false" ht="27.75" hidden="false" customHeight="true" outlineLevel="0" collapsed="false">
      <c r="A370" s="184" t="s">
        <v>74</v>
      </c>
      <c r="B370" s="185" t="s">
        <v>5110</v>
      </c>
      <c r="C370" s="184" t="s">
        <v>56</v>
      </c>
      <c r="D370" s="184" t="s">
        <v>5929</v>
      </c>
      <c r="E370" s="184" t="s">
        <v>75</v>
      </c>
      <c r="F370" s="184" t="n">
        <v>16</v>
      </c>
      <c r="G370" s="177" t="s">
        <v>5276</v>
      </c>
      <c r="H370" s="184" t="s">
        <v>5270</v>
      </c>
      <c r="I370" s="184" t="s">
        <v>5277</v>
      </c>
      <c r="J370" s="184"/>
      <c r="K370" s="184"/>
      <c r="L370" s="184"/>
      <c r="M370" s="184"/>
      <c r="N370" s="184"/>
      <c r="O370" s="184"/>
      <c r="P370" s="184"/>
      <c r="Q370" s="184"/>
      <c r="R370" s="184"/>
      <c r="S370" s="184"/>
      <c r="T370" s="184"/>
      <c r="U370" s="184"/>
      <c r="V370" s="184"/>
      <c r="W370" s="184"/>
      <c r="X370" s="184"/>
    </row>
    <row r="371" customFormat="false" ht="41.25" hidden="false" customHeight="true" outlineLevel="0" collapsed="false">
      <c r="A371" s="184" t="s">
        <v>76</v>
      </c>
      <c r="B371" s="185" t="s">
        <v>5113</v>
      </c>
      <c r="C371" s="184" t="s">
        <v>56</v>
      </c>
      <c r="D371" s="184" t="s">
        <v>5954</v>
      </c>
      <c r="E371" s="184" t="s">
        <v>77</v>
      </c>
      <c r="F371" s="184" t="n">
        <v>1</v>
      </c>
      <c r="G371" s="177" t="s">
        <v>5177</v>
      </c>
      <c r="H371" s="184" t="s">
        <v>5178</v>
      </c>
      <c r="I371" s="184" t="s">
        <v>5179</v>
      </c>
      <c r="J371" s="184"/>
      <c r="K371" s="184"/>
      <c r="L371" s="184"/>
      <c r="M371" s="184"/>
      <c r="N371" s="184" t="s">
        <v>5180</v>
      </c>
      <c r="O371" s="184" t="s">
        <v>5181</v>
      </c>
      <c r="P371" s="184"/>
      <c r="Q371" s="184"/>
      <c r="R371" s="184" t="s">
        <v>5182</v>
      </c>
      <c r="S371" s="184"/>
      <c r="T371" s="184"/>
      <c r="U371" s="184"/>
      <c r="V371" s="184"/>
      <c r="W371" s="184"/>
      <c r="X371" s="184"/>
    </row>
    <row r="372" customFormat="false" ht="27.75" hidden="false" customHeight="true" outlineLevel="0" collapsed="false">
      <c r="A372" s="184" t="s">
        <v>76</v>
      </c>
      <c r="B372" s="185" t="s">
        <v>5113</v>
      </c>
      <c r="C372" s="184" t="s">
        <v>56</v>
      </c>
      <c r="D372" s="184" t="s">
        <v>5954</v>
      </c>
      <c r="E372" s="184" t="s">
        <v>77</v>
      </c>
      <c r="F372" s="184" t="n">
        <v>2</v>
      </c>
      <c r="G372" s="177" t="s">
        <v>5183</v>
      </c>
      <c r="H372" s="184" t="s">
        <v>5178</v>
      </c>
      <c r="I372" s="184" t="s">
        <v>56</v>
      </c>
      <c r="J372" s="184"/>
      <c r="K372" s="184"/>
      <c r="L372" s="184"/>
      <c r="M372" s="184"/>
      <c r="N372" s="184"/>
      <c r="O372" s="184"/>
      <c r="P372" s="184"/>
      <c r="Q372" s="184"/>
      <c r="R372" s="184" t="s">
        <v>5184</v>
      </c>
      <c r="S372" s="184"/>
      <c r="T372" s="184"/>
      <c r="U372" s="184"/>
      <c r="V372" s="184"/>
      <c r="W372" s="184"/>
      <c r="X372" s="184"/>
    </row>
    <row r="373" customFormat="false" ht="27.75" hidden="false" customHeight="true" outlineLevel="0" collapsed="false">
      <c r="A373" s="184" t="s">
        <v>76</v>
      </c>
      <c r="B373" s="185" t="s">
        <v>5113</v>
      </c>
      <c r="C373" s="184" t="s">
        <v>56</v>
      </c>
      <c r="D373" s="184" t="s">
        <v>5954</v>
      </c>
      <c r="E373" s="184" t="s">
        <v>77</v>
      </c>
      <c r="F373" s="184" t="n">
        <v>3</v>
      </c>
      <c r="G373" s="174" t="s">
        <v>4844</v>
      </c>
      <c r="H373" s="184" t="s">
        <v>5185</v>
      </c>
      <c r="I373" s="184" t="s">
        <v>637</v>
      </c>
      <c r="J373" s="184" t="s">
        <v>227</v>
      </c>
      <c r="K373" s="184" t="n">
        <v>1000</v>
      </c>
      <c r="L373" s="184" t="n">
        <v>1000000</v>
      </c>
      <c r="M373" s="184" t="n">
        <v>100</v>
      </c>
      <c r="N373" s="184" t="s">
        <v>5861</v>
      </c>
      <c r="O373" s="184" t="s">
        <v>5552</v>
      </c>
      <c r="P373" s="184" t="s">
        <v>5553</v>
      </c>
      <c r="Q373" s="184"/>
      <c r="R373" s="184"/>
      <c r="S373" s="184"/>
      <c r="T373" s="184" t="s">
        <v>5955</v>
      </c>
      <c r="U373" s="184" t="s">
        <v>5456</v>
      </c>
      <c r="V373" s="184" t="n">
        <v>20000</v>
      </c>
      <c r="W373" s="184" t="s">
        <v>5932</v>
      </c>
      <c r="X373" s="184" t="s">
        <v>5956</v>
      </c>
    </row>
    <row r="374" customFormat="false" ht="27.75" hidden="false" customHeight="true" outlineLevel="0" collapsed="false">
      <c r="A374" s="184" t="s">
        <v>76</v>
      </c>
      <c r="B374" s="185" t="s">
        <v>5113</v>
      </c>
      <c r="C374" s="184" t="s">
        <v>56</v>
      </c>
      <c r="D374" s="184" t="s">
        <v>5954</v>
      </c>
      <c r="E374" s="184" t="s">
        <v>77</v>
      </c>
      <c r="F374" s="184" t="n">
        <v>4</v>
      </c>
      <c r="G374" s="174" t="s">
        <v>4844</v>
      </c>
      <c r="H374" s="184" t="s">
        <v>5185</v>
      </c>
      <c r="I374" s="184" t="s">
        <v>606</v>
      </c>
      <c r="J374" s="184" t="s">
        <v>5221</v>
      </c>
      <c r="K374" s="184" t="n">
        <v>1</v>
      </c>
      <c r="L374" s="184" t="n">
        <v>30</v>
      </c>
      <c r="M374" s="184" t="n">
        <v>1</v>
      </c>
      <c r="N374" s="184" t="s">
        <v>5448</v>
      </c>
      <c r="O374" s="184" t="s">
        <v>5448</v>
      </c>
      <c r="P374" s="184" t="s">
        <v>5201</v>
      </c>
      <c r="Q374" s="184"/>
      <c r="R374" s="184"/>
      <c r="S374" s="184"/>
      <c r="T374" s="184" t="s">
        <v>5957</v>
      </c>
      <c r="U374" s="184" t="s">
        <v>5413</v>
      </c>
      <c r="V374" s="184" t="n">
        <v>10</v>
      </c>
      <c r="W374" s="184" t="s">
        <v>5450</v>
      </c>
      <c r="X374" s="184" t="s">
        <v>5451</v>
      </c>
    </row>
    <row r="375" customFormat="false" ht="81.75" hidden="false" customHeight="true" outlineLevel="0" collapsed="false">
      <c r="A375" s="184" t="s">
        <v>76</v>
      </c>
      <c r="B375" s="185" t="s">
        <v>5113</v>
      </c>
      <c r="C375" s="184" t="s">
        <v>56</v>
      </c>
      <c r="D375" s="184" t="s">
        <v>5954</v>
      </c>
      <c r="E375" s="184" t="s">
        <v>77</v>
      </c>
      <c r="F375" s="184" t="n">
        <v>5</v>
      </c>
      <c r="G375" s="174" t="s">
        <v>4848</v>
      </c>
      <c r="H375" s="184" t="s">
        <v>5185</v>
      </c>
      <c r="I375" s="184" t="s">
        <v>1027</v>
      </c>
      <c r="J375" s="184"/>
      <c r="K375" s="184"/>
      <c r="L375" s="184"/>
      <c r="M375" s="184"/>
      <c r="N375" s="184" t="s">
        <v>5958</v>
      </c>
      <c r="O375" s="184" t="s">
        <v>5958</v>
      </c>
      <c r="P375" s="184" t="s">
        <v>5959</v>
      </c>
      <c r="Q375" s="184" t="s">
        <v>5960</v>
      </c>
      <c r="R375" s="184"/>
      <c r="S375" s="184" t="s">
        <v>5568</v>
      </c>
      <c r="T375" s="184" t="s">
        <v>5961</v>
      </c>
      <c r="U375" s="184" t="s">
        <v>5236</v>
      </c>
      <c r="V375" s="184" t="n">
        <v>2</v>
      </c>
      <c r="W375" s="184" t="s">
        <v>1014</v>
      </c>
      <c r="X375" s="184" t="s">
        <v>5962</v>
      </c>
    </row>
    <row r="376" customFormat="false" ht="68.25" hidden="false" customHeight="true" outlineLevel="0" collapsed="false">
      <c r="A376" s="184" t="s">
        <v>76</v>
      </c>
      <c r="B376" s="185" t="s">
        <v>5113</v>
      </c>
      <c r="C376" s="184" t="s">
        <v>56</v>
      </c>
      <c r="D376" s="184" t="s">
        <v>5954</v>
      </c>
      <c r="E376" s="184" t="s">
        <v>77</v>
      </c>
      <c r="F376" s="184" t="n">
        <v>6</v>
      </c>
      <c r="G376" s="174" t="s">
        <v>4846</v>
      </c>
      <c r="H376" s="184" t="s">
        <v>5227</v>
      </c>
      <c r="I376" s="184" t="s">
        <v>5864</v>
      </c>
      <c r="J376" s="184" t="s">
        <v>238</v>
      </c>
      <c r="K376" s="184"/>
      <c r="L376" s="184"/>
      <c r="M376" s="184"/>
      <c r="N376" s="184" t="s">
        <v>5865</v>
      </c>
      <c r="O376" s="184" t="s">
        <v>5865</v>
      </c>
      <c r="P376" s="184" t="s">
        <v>5206</v>
      </c>
      <c r="Q376" s="184" t="s">
        <v>5866</v>
      </c>
      <c r="R376" s="184" t="s">
        <v>5867</v>
      </c>
      <c r="S376" s="184" t="s">
        <v>5454</v>
      </c>
      <c r="T376" s="184"/>
      <c r="U376" s="184"/>
      <c r="V376" s="184"/>
      <c r="W376" s="184"/>
      <c r="X376" s="184" t="s">
        <v>5232</v>
      </c>
    </row>
    <row r="377" customFormat="false" ht="68.25" hidden="false" customHeight="true" outlineLevel="0" collapsed="false">
      <c r="A377" s="184" t="s">
        <v>76</v>
      </c>
      <c r="B377" s="185" t="s">
        <v>5113</v>
      </c>
      <c r="C377" s="184" t="s">
        <v>56</v>
      </c>
      <c r="D377" s="184" t="s">
        <v>5954</v>
      </c>
      <c r="E377" s="184" t="s">
        <v>77</v>
      </c>
      <c r="F377" s="184" t="n">
        <v>7</v>
      </c>
      <c r="G377" s="174" t="s">
        <v>4846</v>
      </c>
      <c r="H377" s="184" t="s">
        <v>5227</v>
      </c>
      <c r="I377" s="184" t="s">
        <v>5868</v>
      </c>
      <c r="J377" s="184" t="s">
        <v>238</v>
      </c>
      <c r="K377" s="184"/>
      <c r="L377" s="184"/>
      <c r="M377" s="184"/>
      <c r="N377" s="184" t="s">
        <v>5869</v>
      </c>
      <c r="O377" s="184" t="s">
        <v>5869</v>
      </c>
      <c r="P377" s="184" t="s">
        <v>5206</v>
      </c>
      <c r="Q377" s="184" t="s">
        <v>5870</v>
      </c>
      <c r="R377" s="184" t="s">
        <v>5871</v>
      </c>
      <c r="S377" s="184" t="s">
        <v>5454</v>
      </c>
      <c r="T377" s="184"/>
      <c r="U377" s="184"/>
      <c r="V377" s="184"/>
      <c r="W377" s="184"/>
      <c r="X377" s="184" t="s">
        <v>5232</v>
      </c>
    </row>
    <row r="378" customFormat="false" ht="68.25" hidden="false" customHeight="true" outlineLevel="0" collapsed="false">
      <c r="A378" s="184" t="s">
        <v>76</v>
      </c>
      <c r="B378" s="185" t="s">
        <v>5113</v>
      </c>
      <c r="C378" s="184" t="s">
        <v>56</v>
      </c>
      <c r="D378" s="184" t="s">
        <v>5954</v>
      </c>
      <c r="E378" s="184" t="s">
        <v>77</v>
      </c>
      <c r="F378" s="184" t="n">
        <v>8</v>
      </c>
      <c r="G378" s="174" t="s">
        <v>4846</v>
      </c>
      <c r="H378" s="184" t="s">
        <v>5227</v>
      </c>
      <c r="I378" s="184" t="s">
        <v>5872</v>
      </c>
      <c r="J378" s="184" t="s">
        <v>238</v>
      </c>
      <c r="K378" s="184"/>
      <c r="L378" s="184"/>
      <c r="M378" s="184"/>
      <c r="N378" s="184" t="s">
        <v>5873</v>
      </c>
      <c r="O378" s="184" t="s">
        <v>5873</v>
      </c>
      <c r="P378" s="184" t="s">
        <v>5206</v>
      </c>
      <c r="Q378" s="184" t="s">
        <v>5874</v>
      </c>
      <c r="R378" s="184" t="s">
        <v>5875</v>
      </c>
      <c r="S378" s="184" t="s">
        <v>5454</v>
      </c>
      <c r="T378" s="184"/>
      <c r="U378" s="184"/>
      <c r="V378" s="184"/>
      <c r="W378" s="184"/>
      <c r="X378" s="184" t="s">
        <v>5232</v>
      </c>
    </row>
    <row r="379" customFormat="false" ht="54.75" hidden="false" customHeight="true" outlineLevel="0" collapsed="false">
      <c r="A379" s="184" t="s">
        <v>76</v>
      </c>
      <c r="B379" s="185" t="s">
        <v>5113</v>
      </c>
      <c r="C379" s="184" t="s">
        <v>56</v>
      </c>
      <c r="D379" s="184" t="s">
        <v>5954</v>
      </c>
      <c r="E379" s="184" t="s">
        <v>77</v>
      </c>
      <c r="F379" s="184" t="n">
        <v>9</v>
      </c>
      <c r="G379" s="174" t="s">
        <v>4846</v>
      </c>
      <c r="H379" s="184" t="s">
        <v>5227</v>
      </c>
      <c r="I379" s="184" t="s">
        <v>5963</v>
      </c>
      <c r="J379" s="184" t="s">
        <v>238</v>
      </c>
      <c r="K379" s="184"/>
      <c r="L379" s="184"/>
      <c r="M379" s="184"/>
      <c r="N379" s="184" t="s">
        <v>5964</v>
      </c>
      <c r="O379" s="184" t="s">
        <v>5964</v>
      </c>
      <c r="P379" s="184" t="s">
        <v>5206</v>
      </c>
      <c r="Q379" s="184" t="s">
        <v>5965</v>
      </c>
      <c r="R379" s="184" t="s">
        <v>5966</v>
      </c>
      <c r="S379" s="184" t="s">
        <v>5454</v>
      </c>
      <c r="T379" s="184"/>
      <c r="U379" s="184"/>
      <c r="V379" s="184"/>
      <c r="W379" s="184"/>
      <c r="X379" s="184" t="s">
        <v>5232</v>
      </c>
    </row>
    <row r="380" customFormat="false" ht="54.75" hidden="false" customHeight="true" outlineLevel="0" collapsed="false">
      <c r="A380" s="184" t="s">
        <v>76</v>
      </c>
      <c r="B380" s="185" t="s">
        <v>5113</v>
      </c>
      <c r="C380" s="184" t="s">
        <v>56</v>
      </c>
      <c r="D380" s="184" t="s">
        <v>5954</v>
      </c>
      <c r="E380" s="184" t="s">
        <v>77</v>
      </c>
      <c r="F380" s="184" t="n">
        <v>10</v>
      </c>
      <c r="G380" s="174" t="s">
        <v>4846</v>
      </c>
      <c r="H380" s="184" t="s">
        <v>5227</v>
      </c>
      <c r="I380" s="184" t="s">
        <v>5967</v>
      </c>
      <c r="J380" s="184" t="s">
        <v>238</v>
      </c>
      <c r="K380" s="184"/>
      <c r="L380" s="184"/>
      <c r="M380" s="184"/>
      <c r="N380" s="184" t="s">
        <v>5968</v>
      </c>
      <c r="O380" s="184" t="s">
        <v>5968</v>
      </c>
      <c r="P380" s="184" t="s">
        <v>5206</v>
      </c>
      <c r="Q380" s="184" t="s">
        <v>5969</v>
      </c>
      <c r="R380" s="184" t="s">
        <v>5970</v>
      </c>
      <c r="S380" s="184" t="s">
        <v>5454</v>
      </c>
      <c r="T380" s="184"/>
      <c r="U380" s="184"/>
      <c r="V380" s="184"/>
      <c r="W380" s="184"/>
      <c r="X380" s="184" t="s">
        <v>5232</v>
      </c>
    </row>
    <row r="381" customFormat="false" ht="54.75" hidden="false" customHeight="true" outlineLevel="0" collapsed="false">
      <c r="A381" s="184" t="s">
        <v>76</v>
      </c>
      <c r="B381" s="185" t="s">
        <v>5113</v>
      </c>
      <c r="C381" s="184" t="s">
        <v>56</v>
      </c>
      <c r="D381" s="184" t="s">
        <v>5954</v>
      </c>
      <c r="E381" s="184" t="s">
        <v>77</v>
      </c>
      <c r="F381" s="184" t="n">
        <v>11</v>
      </c>
      <c r="G381" s="174" t="s">
        <v>4846</v>
      </c>
      <c r="H381" s="184" t="s">
        <v>5227</v>
      </c>
      <c r="I381" s="184" t="s">
        <v>5971</v>
      </c>
      <c r="J381" s="184" t="s">
        <v>238</v>
      </c>
      <c r="K381" s="184"/>
      <c r="L381" s="184"/>
      <c r="M381" s="184"/>
      <c r="N381" s="184" t="s">
        <v>5972</v>
      </c>
      <c r="O381" s="184" t="s">
        <v>5972</v>
      </c>
      <c r="P381" s="184" t="s">
        <v>5206</v>
      </c>
      <c r="Q381" s="184" t="s">
        <v>5973</v>
      </c>
      <c r="R381" s="184" t="s">
        <v>5974</v>
      </c>
      <c r="S381" s="184" t="s">
        <v>5454</v>
      </c>
      <c r="T381" s="184"/>
      <c r="U381" s="184"/>
      <c r="V381" s="184"/>
      <c r="W381" s="184"/>
      <c r="X381" s="184" t="s">
        <v>5232</v>
      </c>
    </row>
    <row r="382" customFormat="false" ht="27.75" hidden="false" customHeight="true" outlineLevel="0" collapsed="false">
      <c r="A382" s="184" t="s">
        <v>76</v>
      </c>
      <c r="B382" s="185" t="s">
        <v>5113</v>
      </c>
      <c r="C382" s="184" t="s">
        <v>56</v>
      </c>
      <c r="D382" s="184" t="s">
        <v>5954</v>
      </c>
      <c r="E382" s="184" t="s">
        <v>77</v>
      </c>
      <c r="F382" s="184" t="n">
        <v>12</v>
      </c>
      <c r="G382" s="176" t="s">
        <v>248</v>
      </c>
      <c r="H382" s="184" t="s">
        <v>248</v>
      </c>
      <c r="I382" s="184" t="s">
        <v>5975</v>
      </c>
      <c r="J382" s="184"/>
      <c r="K382" s="184"/>
      <c r="L382" s="184"/>
      <c r="M382" s="184"/>
      <c r="N382" s="184" t="s">
        <v>5976</v>
      </c>
      <c r="O382" s="184" t="s">
        <v>5977</v>
      </c>
      <c r="P382" s="184"/>
      <c r="Q382" s="184"/>
      <c r="R382" s="184"/>
      <c r="S382" s="184"/>
      <c r="T382" s="184" t="s">
        <v>5978</v>
      </c>
      <c r="U382" s="184" t="s">
        <v>94</v>
      </c>
      <c r="V382" s="184"/>
      <c r="W382" s="184"/>
      <c r="X382" s="184"/>
    </row>
    <row r="383" customFormat="false" ht="27.75" hidden="false" customHeight="true" outlineLevel="0" collapsed="false">
      <c r="A383" s="184" t="s">
        <v>76</v>
      </c>
      <c r="B383" s="185" t="s">
        <v>5113</v>
      </c>
      <c r="C383" s="184" t="s">
        <v>56</v>
      </c>
      <c r="D383" s="184" t="s">
        <v>5954</v>
      </c>
      <c r="E383" s="184" t="s">
        <v>77</v>
      </c>
      <c r="F383" s="184" t="n">
        <v>13</v>
      </c>
      <c r="G383" s="177" t="s">
        <v>5245</v>
      </c>
      <c r="H383" s="184" t="s">
        <v>248</v>
      </c>
      <c r="I383" s="184" t="s">
        <v>5179</v>
      </c>
      <c r="J383" s="184"/>
      <c r="K383" s="184"/>
      <c r="L383" s="184"/>
      <c r="M383" s="184"/>
      <c r="N383" s="184" t="s">
        <v>5246</v>
      </c>
      <c r="O383" s="184" t="s">
        <v>5247</v>
      </c>
      <c r="P383" s="184"/>
      <c r="Q383" s="184"/>
      <c r="R383" s="184" t="s">
        <v>5248</v>
      </c>
      <c r="S383" s="184"/>
      <c r="T383" s="184"/>
      <c r="U383" s="184"/>
      <c r="V383" s="184"/>
      <c r="W383" s="184"/>
      <c r="X383" s="184"/>
    </row>
    <row r="384" customFormat="false" ht="149.25" hidden="false" customHeight="true" outlineLevel="0" collapsed="false">
      <c r="A384" s="184" t="s">
        <v>76</v>
      </c>
      <c r="B384" s="185" t="s">
        <v>5113</v>
      </c>
      <c r="C384" s="184" t="s">
        <v>56</v>
      </c>
      <c r="D384" s="184" t="s">
        <v>5954</v>
      </c>
      <c r="E384" s="184" t="s">
        <v>77</v>
      </c>
      <c r="F384" s="184" t="n">
        <v>14</v>
      </c>
      <c r="G384" s="176" t="s">
        <v>5249</v>
      </c>
      <c r="H384" s="184" t="s">
        <v>248</v>
      </c>
      <c r="I384" s="184" t="s">
        <v>5250</v>
      </c>
      <c r="J384" s="184"/>
      <c r="K384" s="184"/>
      <c r="L384" s="184"/>
      <c r="M384" s="184"/>
      <c r="N384" s="184" t="s">
        <v>5979</v>
      </c>
      <c r="O384" s="184" t="s">
        <v>5979</v>
      </c>
      <c r="P384" s="184"/>
      <c r="Q384" s="184"/>
      <c r="R384" s="184"/>
      <c r="S384" s="184"/>
      <c r="T384" s="184"/>
      <c r="U384" s="184"/>
      <c r="V384" s="184"/>
      <c r="W384" s="184"/>
      <c r="X384" s="184"/>
    </row>
    <row r="385" customFormat="false" ht="27.75" hidden="false" customHeight="true" outlineLevel="0" collapsed="false">
      <c r="A385" s="184" t="s">
        <v>76</v>
      </c>
      <c r="B385" s="185" t="s">
        <v>5113</v>
      </c>
      <c r="C385" s="184" t="s">
        <v>56</v>
      </c>
      <c r="D385" s="184" t="s">
        <v>5954</v>
      </c>
      <c r="E385" s="184" t="s">
        <v>77</v>
      </c>
      <c r="F385" s="184" t="n">
        <v>15</v>
      </c>
      <c r="G385" s="176" t="s">
        <v>5253</v>
      </c>
      <c r="H385" s="184" t="s">
        <v>248</v>
      </c>
      <c r="I385" s="184" t="s">
        <v>1031</v>
      </c>
      <c r="J385" s="184"/>
      <c r="K385" s="184"/>
      <c r="L385" s="184"/>
      <c r="M385" s="184"/>
      <c r="N385" s="184" t="s">
        <v>5980</v>
      </c>
      <c r="O385" s="184" t="s">
        <v>5981</v>
      </c>
      <c r="P385" s="184"/>
      <c r="Q385" s="184"/>
      <c r="R385" s="184"/>
      <c r="S385" s="184"/>
      <c r="T385" s="184" t="s">
        <v>5982</v>
      </c>
      <c r="U385" s="184" t="s">
        <v>5386</v>
      </c>
      <c r="V385" s="184"/>
      <c r="W385" s="184"/>
      <c r="X385" s="184"/>
    </row>
    <row r="386" customFormat="false" ht="27.75" hidden="false" customHeight="true" outlineLevel="0" collapsed="false">
      <c r="A386" s="184" t="s">
        <v>76</v>
      </c>
      <c r="B386" s="185" t="s">
        <v>5113</v>
      </c>
      <c r="C386" s="184" t="s">
        <v>56</v>
      </c>
      <c r="D386" s="184" t="s">
        <v>5954</v>
      </c>
      <c r="E386" s="184" t="s">
        <v>77</v>
      </c>
      <c r="F386" s="184" t="n">
        <v>16</v>
      </c>
      <c r="G386" s="176" t="s">
        <v>5253</v>
      </c>
      <c r="H386" s="184" t="s">
        <v>248</v>
      </c>
      <c r="I386" s="184" t="s">
        <v>1029</v>
      </c>
      <c r="J386" s="184"/>
      <c r="K386" s="184"/>
      <c r="L386" s="184"/>
      <c r="M386" s="184"/>
      <c r="N386" s="184" t="s">
        <v>5976</v>
      </c>
      <c r="O386" s="184" t="s">
        <v>5977</v>
      </c>
      <c r="P386" s="184"/>
      <c r="Q386" s="184"/>
      <c r="R386" s="184"/>
      <c r="S386" s="184"/>
      <c r="T386" s="184" t="s">
        <v>5978</v>
      </c>
      <c r="U386" s="184" t="s">
        <v>94</v>
      </c>
      <c r="V386" s="184"/>
      <c r="W386" s="184"/>
      <c r="X386" s="184"/>
    </row>
    <row r="387" customFormat="false" ht="27.75" hidden="false" customHeight="true" outlineLevel="0" collapsed="false">
      <c r="A387" s="184" t="s">
        <v>76</v>
      </c>
      <c r="B387" s="185" t="s">
        <v>5113</v>
      </c>
      <c r="C387" s="184" t="s">
        <v>56</v>
      </c>
      <c r="D387" s="184" t="s">
        <v>5954</v>
      </c>
      <c r="E387" s="184" t="s">
        <v>77</v>
      </c>
      <c r="F387" s="184" t="n">
        <v>17</v>
      </c>
      <c r="G387" s="176" t="s">
        <v>5253</v>
      </c>
      <c r="H387" s="184" t="s">
        <v>248</v>
      </c>
      <c r="I387" s="184" t="s">
        <v>1033</v>
      </c>
      <c r="J387" s="184"/>
      <c r="K387" s="184"/>
      <c r="L387" s="184"/>
      <c r="M387" s="184"/>
      <c r="N387" s="184" t="s">
        <v>5983</v>
      </c>
      <c r="O387" s="184" t="s">
        <v>5984</v>
      </c>
      <c r="P387" s="184"/>
      <c r="Q387" s="184"/>
      <c r="R387" s="184"/>
      <c r="S387" s="184"/>
      <c r="T387" s="184" t="s">
        <v>5985</v>
      </c>
      <c r="U387" s="184" t="s">
        <v>5308</v>
      </c>
      <c r="V387" s="184"/>
      <c r="W387" s="184"/>
      <c r="X387" s="184"/>
    </row>
    <row r="388" customFormat="false" ht="95.25" hidden="false" customHeight="true" outlineLevel="0" collapsed="false">
      <c r="A388" s="184" t="s">
        <v>76</v>
      </c>
      <c r="B388" s="185" t="s">
        <v>5113</v>
      </c>
      <c r="C388" s="184" t="s">
        <v>56</v>
      </c>
      <c r="D388" s="184" t="s">
        <v>5954</v>
      </c>
      <c r="E388" s="184" t="s">
        <v>77</v>
      </c>
      <c r="F388" s="184" t="n">
        <v>18</v>
      </c>
      <c r="G388" s="178" t="s">
        <v>5269</v>
      </c>
      <c r="H388" s="184" t="s">
        <v>5270</v>
      </c>
      <c r="I388" s="186" t="s">
        <v>5271</v>
      </c>
      <c r="J388" s="184"/>
      <c r="K388" s="184"/>
      <c r="L388" s="184"/>
      <c r="M388" s="184"/>
      <c r="N388" s="184" t="s">
        <v>5272</v>
      </c>
      <c r="O388" s="184" t="s">
        <v>5272</v>
      </c>
      <c r="P388" s="184"/>
      <c r="Q388" s="184"/>
      <c r="R388" s="184" t="s">
        <v>5893</v>
      </c>
      <c r="S388" s="184"/>
      <c r="T388" s="184"/>
      <c r="U388" s="184"/>
      <c r="V388" s="184"/>
      <c r="W388" s="184"/>
      <c r="X388" s="184"/>
    </row>
    <row r="389" customFormat="false" ht="68.25" hidden="false" customHeight="true" outlineLevel="0" collapsed="false">
      <c r="A389" s="184" t="s">
        <v>76</v>
      </c>
      <c r="B389" s="185" t="s">
        <v>5113</v>
      </c>
      <c r="C389" s="184" t="s">
        <v>56</v>
      </c>
      <c r="D389" s="184" t="s">
        <v>5954</v>
      </c>
      <c r="E389" s="184" t="s">
        <v>77</v>
      </c>
      <c r="F389" s="184" t="n">
        <v>19</v>
      </c>
      <c r="G389" s="178" t="s">
        <v>5269</v>
      </c>
      <c r="H389" s="184" t="s">
        <v>5270</v>
      </c>
      <c r="I389" s="184" t="s">
        <v>5274</v>
      </c>
      <c r="J389" s="184"/>
      <c r="K389" s="184"/>
      <c r="L389" s="184"/>
      <c r="M389" s="184"/>
      <c r="N389" s="184" t="s">
        <v>5272</v>
      </c>
      <c r="O389" s="184" t="s">
        <v>5272</v>
      </c>
      <c r="P389" s="184"/>
      <c r="Q389" s="184"/>
      <c r="R389" s="184" t="s">
        <v>5588</v>
      </c>
      <c r="S389" s="184"/>
      <c r="T389" s="184"/>
      <c r="U389" s="184"/>
      <c r="V389" s="184"/>
      <c r="W389" s="184"/>
      <c r="X389" s="184"/>
    </row>
    <row r="390" customFormat="false" ht="27.75" hidden="false" customHeight="true" outlineLevel="0" collapsed="false">
      <c r="A390" s="184" t="s">
        <v>76</v>
      </c>
      <c r="B390" s="185" t="s">
        <v>5113</v>
      </c>
      <c r="C390" s="184" t="s">
        <v>56</v>
      </c>
      <c r="D390" s="184" t="s">
        <v>5954</v>
      </c>
      <c r="E390" s="184" t="s">
        <v>77</v>
      </c>
      <c r="F390" s="184" t="n">
        <v>20</v>
      </c>
      <c r="G390" s="177" t="s">
        <v>5276</v>
      </c>
      <c r="H390" s="184" t="s">
        <v>5270</v>
      </c>
      <c r="I390" s="184" t="s">
        <v>5277</v>
      </c>
      <c r="J390" s="184"/>
      <c r="K390" s="184"/>
      <c r="L390" s="184"/>
      <c r="M390" s="184"/>
      <c r="N390" s="184"/>
      <c r="O390" s="184"/>
      <c r="P390" s="184"/>
      <c r="Q390" s="184"/>
      <c r="R390" s="184"/>
      <c r="S390" s="184"/>
      <c r="T390" s="184"/>
      <c r="U390" s="184"/>
      <c r="V390" s="184"/>
      <c r="W390" s="184"/>
      <c r="X390" s="184"/>
    </row>
    <row r="391" customFormat="false" ht="41.25" hidden="false" customHeight="true" outlineLevel="0" collapsed="false">
      <c r="A391" s="184" t="s">
        <v>78</v>
      </c>
      <c r="B391" s="185" t="s">
        <v>5116</v>
      </c>
      <c r="C391" s="184" t="s">
        <v>80</v>
      </c>
      <c r="D391" s="184" t="s">
        <v>5986</v>
      </c>
      <c r="E391" s="184" t="s">
        <v>79</v>
      </c>
      <c r="F391" s="184" t="n">
        <v>1</v>
      </c>
      <c r="G391" s="177" t="s">
        <v>5177</v>
      </c>
      <c r="H391" s="184" t="s">
        <v>5178</v>
      </c>
      <c r="I391" s="184" t="s">
        <v>5179</v>
      </c>
      <c r="J391" s="184"/>
      <c r="K391" s="184"/>
      <c r="L391" s="184"/>
      <c r="M391" s="184"/>
      <c r="N391" s="184" t="s">
        <v>5180</v>
      </c>
      <c r="O391" s="184" t="s">
        <v>5181</v>
      </c>
      <c r="P391" s="184"/>
      <c r="Q391" s="184"/>
      <c r="R391" s="184" t="s">
        <v>5182</v>
      </c>
      <c r="S391" s="184"/>
      <c r="T391" s="184"/>
      <c r="U391" s="184"/>
      <c r="V391" s="184"/>
      <c r="W391" s="184"/>
      <c r="X391" s="184"/>
    </row>
    <row r="392" customFormat="false" ht="27.75" hidden="false" customHeight="true" outlineLevel="0" collapsed="false">
      <c r="A392" s="184" t="s">
        <v>78</v>
      </c>
      <c r="B392" s="185" t="s">
        <v>5116</v>
      </c>
      <c r="C392" s="184" t="s">
        <v>80</v>
      </c>
      <c r="D392" s="184" t="s">
        <v>5986</v>
      </c>
      <c r="E392" s="184" t="s">
        <v>79</v>
      </c>
      <c r="F392" s="184" t="n">
        <v>2</v>
      </c>
      <c r="G392" s="177" t="s">
        <v>5183</v>
      </c>
      <c r="H392" s="184" t="s">
        <v>5178</v>
      </c>
      <c r="I392" s="184" t="s">
        <v>80</v>
      </c>
      <c r="J392" s="184"/>
      <c r="K392" s="184"/>
      <c r="L392" s="184"/>
      <c r="M392" s="184"/>
      <c r="N392" s="184"/>
      <c r="O392" s="184"/>
      <c r="P392" s="184"/>
      <c r="Q392" s="184"/>
      <c r="R392" s="184" t="s">
        <v>5184</v>
      </c>
      <c r="S392" s="184"/>
      <c r="T392" s="184"/>
      <c r="U392" s="184"/>
      <c r="V392" s="184"/>
      <c r="W392" s="184"/>
      <c r="X392" s="184"/>
    </row>
    <row r="393" customFormat="false" ht="27.75" hidden="false" customHeight="true" outlineLevel="0" collapsed="false">
      <c r="A393" s="184" t="s">
        <v>78</v>
      </c>
      <c r="B393" s="185" t="s">
        <v>5116</v>
      </c>
      <c r="C393" s="184" t="s">
        <v>80</v>
      </c>
      <c r="D393" s="184" t="s">
        <v>5986</v>
      </c>
      <c r="E393" s="184" t="s">
        <v>79</v>
      </c>
      <c r="F393" s="184" t="n">
        <v>3</v>
      </c>
      <c r="G393" s="174" t="s">
        <v>4844</v>
      </c>
      <c r="H393" s="184" t="s">
        <v>5185</v>
      </c>
      <c r="I393" s="184" t="s">
        <v>226</v>
      </c>
      <c r="J393" s="184" t="s">
        <v>227</v>
      </c>
      <c r="K393" s="184" t="n">
        <v>0</v>
      </c>
      <c r="L393" s="184" t="n">
        <v>300000</v>
      </c>
      <c r="M393" s="184" t="n">
        <v>1000</v>
      </c>
      <c r="N393" s="184" t="s">
        <v>5186</v>
      </c>
      <c r="O393" s="184" t="s">
        <v>5187</v>
      </c>
      <c r="P393" s="184" t="s">
        <v>5188</v>
      </c>
      <c r="Q393" s="184"/>
      <c r="R393" s="184"/>
      <c r="S393" s="184"/>
      <c r="T393" s="184" t="s">
        <v>5987</v>
      </c>
      <c r="U393" s="184" t="s">
        <v>5224</v>
      </c>
      <c r="V393" s="184" t="n">
        <v>60000</v>
      </c>
      <c r="W393" s="184" t="s">
        <v>5988</v>
      </c>
      <c r="X393" s="184" t="s">
        <v>5989</v>
      </c>
    </row>
    <row r="394" customFormat="false" ht="41.25" hidden="false" customHeight="true" outlineLevel="0" collapsed="false">
      <c r="A394" s="184" t="s">
        <v>78</v>
      </c>
      <c r="B394" s="185" t="s">
        <v>5116</v>
      </c>
      <c r="C394" s="184" t="s">
        <v>80</v>
      </c>
      <c r="D394" s="184" t="s">
        <v>5986</v>
      </c>
      <c r="E394" s="184" t="s">
        <v>79</v>
      </c>
      <c r="F394" s="184" t="n">
        <v>4</v>
      </c>
      <c r="G394" s="174" t="s">
        <v>4844</v>
      </c>
      <c r="H394" s="184" t="s">
        <v>5185</v>
      </c>
      <c r="I394" s="184" t="s">
        <v>1061</v>
      </c>
      <c r="J394" s="184" t="s">
        <v>5221</v>
      </c>
      <c r="K394" s="184" t="n">
        <v>1</v>
      </c>
      <c r="L394" s="184" t="n">
        <v>30</v>
      </c>
      <c r="M394" s="184" t="n">
        <v>1</v>
      </c>
      <c r="N394" s="184" t="s">
        <v>5557</v>
      </c>
      <c r="O394" s="184" t="s">
        <v>5557</v>
      </c>
      <c r="P394" s="184" t="s">
        <v>5990</v>
      </c>
      <c r="Q394" s="184"/>
      <c r="R394" s="184"/>
      <c r="S394" s="184" t="s">
        <v>5454</v>
      </c>
      <c r="T394" s="184" t="s">
        <v>5991</v>
      </c>
      <c r="U394" s="184" t="s">
        <v>5456</v>
      </c>
      <c r="V394" s="184" t="n">
        <v>15</v>
      </c>
      <c r="W394" s="184" t="s">
        <v>5450</v>
      </c>
      <c r="X394" s="184" t="s">
        <v>5992</v>
      </c>
    </row>
    <row r="395" customFormat="false" ht="27.75" hidden="false" customHeight="true" outlineLevel="0" collapsed="false">
      <c r="A395" s="184" t="s">
        <v>78</v>
      </c>
      <c r="B395" s="185" t="s">
        <v>5116</v>
      </c>
      <c r="C395" s="184" t="s">
        <v>80</v>
      </c>
      <c r="D395" s="184" t="s">
        <v>5986</v>
      </c>
      <c r="E395" s="184" t="s">
        <v>79</v>
      </c>
      <c r="F395" s="184" t="n">
        <v>5</v>
      </c>
      <c r="G395" s="174" t="s">
        <v>4844</v>
      </c>
      <c r="H395" s="184" t="s">
        <v>5185</v>
      </c>
      <c r="I395" s="184" t="s">
        <v>414</v>
      </c>
      <c r="J395" s="184" t="s">
        <v>227</v>
      </c>
      <c r="K395" s="184" t="n">
        <v>0</v>
      </c>
      <c r="L395" s="184" t="n">
        <v>1000000</v>
      </c>
      <c r="M395" s="184" t="n">
        <v>5000</v>
      </c>
      <c r="N395" s="184" t="s">
        <v>5357</v>
      </c>
      <c r="O395" s="184" t="s">
        <v>5280</v>
      </c>
      <c r="P395" s="184" t="s">
        <v>5281</v>
      </c>
      <c r="Q395" s="184"/>
      <c r="R395" s="184"/>
      <c r="S395" s="184"/>
      <c r="T395" s="184" t="s">
        <v>5993</v>
      </c>
      <c r="U395" s="184" t="s">
        <v>5236</v>
      </c>
      <c r="V395" s="184" t="n">
        <v>250000</v>
      </c>
      <c r="W395" s="184" t="s">
        <v>5994</v>
      </c>
      <c r="X395" s="184" t="s">
        <v>5995</v>
      </c>
    </row>
    <row r="396" customFormat="false" ht="41.25" hidden="false" customHeight="true" outlineLevel="0" collapsed="false">
      <c r="A396" s="184" t="s">
        <v>78</v>
      </c>
      <c r="B396" s="185" t="s">
        <v>5116</v>
      </c>
      <c r="C396" s="184" t="s">
        <v>80</v>
      </c>
      <c r="D396" s="184" t="s">
        <v>5986</v>
      </c>
      <c r="E396" s="184" t="s">
        <v>79</v>
      </c>
      <c r="F396" s="184" t="n">
        <v>6</v>
      </c>
      <c r="G396" s="174" t="s">
        <v>4848</v>
      </c>
      <c r="H396" s="184" t="s">
        <v>5185</v>
      </c>
      <c r="I396" s="184" t="s">
        <v>1066</v>
      </c>
      <c r="J396" s="184"/>
      <c r="K396" s="184"/>
      <c r="L396" s="184"/>
      <c r="M396" s="184"/>
      <c r="N396" s="184" t="s">
        <v>236</v>
      </c>
      <c r="O396" s="184" t="s">
        <v>236</v>
      </c>
      <c r="P396" s="184" t="s">
        <v>5206</v>
      </c>
      <c r="Q396" s="184" t="s">
        <v>5207</v>
      </c>
      <c r="R396" s="184"/>
      <c r="S396" s="184"/>
      <c r="T396" s="184" t="s">
        <v>5996</v>
      </c>
      <c r="U396" s="184" t="s">
        <v>5288</v>
      </c>
      <c r="V396" s="184" t="s">
        <v>236</v>
      </c>
      <c r="W396" s="184" t="s">
        <v>1067</v>
      </c>
      <c r="X396" s="184" t="s">
        <v>5210</v>
      </c>
    </row>
    <row r="397" customFormat="false" ht="41.25" hidden="false" customHeight="true" outlineLevel="0" collapsed="false">
      <c r="A397" s="184" t="s">
        <v>78</v>
      </c>
      <c r="B397" s="185" t="s">
        <v>5116</v>
      </c>
      <c r="C397" s="184" t="s">
        <v>80</v>
      </c>
      <c r="D397" s="184" t="s">
        <v>5986</v>
      </c>
      <c r="E397" s="184" t="s">
        <v>79</v>
      </c>
      <c r="F397" s="184" t="n">
        <v>7</v>
      </c>
      <c r="G397" s="174" t="s">
        <v>4844</v>
      </c>
      <c r="H397" s="184" t="s">
        <v>5185</v>
      </c>
      <c r="I397" s="184" t="s">
        <v>1068</v>
      </c>
      <c r="J397" s="184" t="s">
        <v>227</v>
      </c>
      <c r="K397" s="184" t="n">
        <v>0</v>
      </c>
      <c r="L397" s="184" t="n">
        <v>200000</v>
      </c>
      <c r="M397" s="184" t="n">
        <v>1000</v>
      </c>
      <c r="N397" s="184" t="s">
        <v>5551</v>
      </c>
      <c r="O397" s="184" t="s">
        <v>5997</v>
      </c>
      <c r="P397" s="184" t="s">
        <v>5998</v>
      </c>
      <c r="Q397" s="184"/>
      <c r="R397" s="184"/>
      <c r="S397" s="184"/>
      <c r="T397" s="184" t="s">
        <v>5999</v>
      </c>
      <c r="U397" s="184" t="s">
        <v>5292</v>
      </c>
      <c r="V397" s="184" t="n">
        <v>10000</v>
      </c>
      <c r="W397" s="184" t="s">
        <v>5204</v>
      </c>
      <c r="X397" s="184" t="s">
        <v>6000</v>
      </c>
    </row>
    <row r="398" customFormat="false" ht="27.75" hidden="false" customHeight="true" outlineLevel="0" collapsed="false">
      <c r="A398" s="184" t="s">
        <v>78</v>
      </c>
      <c r="B398" s="185" t="s">
        <v>5116</v>
      </c>
      <c r="C398" s="184" t="s">
        <v>80</v>
      </c>
      <c r="D398" s="184" t="s">
        <v>5986</v>
      </c>
      <c r="E398" s="184" t="s">
        <v>79</v>
      </c>
      <c r="F398" s="184" t="n">
        <v>8</v>
      </c>
      <c r="G398" s="174" t="s">
        <v>4844</v>
      </c>
      <c r="H398" s="184" t="s">
        <v>5185</v>
      </c>
      <c r="I398" s="184" t="s">
        <v>1070</v>
      </c>
      <c r="J398" s="184" t="s">
        <v>227</v>
      </c>
      <c r="K398" s="184" t="n">
        <v>0</v>
      </c>
      <c r="L398" s="184" t="n">
        <v>1000000</v>
      </c>
      <c r="M398" s="184" t="n">
        <v>1000</v>
      </c>
      <c r="N398" s="184" t="s">
        <v>5861</v>
      </c>
      <c r="O398" s="184" t="s">
        <v>6001</v>
      </c>
      <c r="P398" s="184" t="s">
        <v>6002</v>
      </c>
      <c r="Q398" s="184"/>
      <c r="R398" s="184"/>
      <c r="S398" s="184"/>
      <c r="T398" s="184" t="s">
        <v>6003</v>
      </c>
      <c r="U398" s="184" t="s">
        <v>5368</v>
      </c>
      <c r="V398" s="184" t="n">
        <v>20000</v>
      </c>
      <c r="W398" s="184" t="s">
        <v>5994</v>
      </c>
      <c r="X398" s="184" t="s">
        <v>6004</v>
      </c>
    </row>
    <row r="399" customFormat="false" ht="27.75" hidden="false" customHeight="true" outlineLevel="0" collapsed="false">
      <c r="A399" s="184" t="s">
        <v>78</v>
      </c>
      <c r="B399" s="185" t="s">
        <v>5116</v>
      </c>
      <c r="C399" s="184" t="s">
        <v>80</v>
      </c>
      <c r="D399" s="184" t="s">
        <v>5986</v>
      </c>
      <c r="E399" s="184" t="s">
        <v>79</v>
      </c>
      <c r="F399" s="184" t="n">
        <v>9</v>
      </c>
      <c r="G399" s="174" t="s">
        <v>4844</v>
      </c>
      <c r="H399" s="184" t="s">
        <v>5185</v>
      </c>
      <c r="I399" s="184" t="s">
        <v>1072</v>
      </c>
      <c r="J399" s="184" t="s">
        <v>227</v>
      </c>
      <c r="K399" s="184" t="n">
        <v>0</v>
      </c>
      <c r="L399" s="184" t="n">
        <v>2000000</v>
      </c>
      <c r="M399" s="184" t="n">
        <v>10000</v>
      </c>
      <c r="N399" s="184" t="s">
        <v>6005</v>
      </c>
      <c r="O399" s="184" t="s">
        <v>6006</v>
      </c>
      <c r="P399" s="184" t="s">
        <v>5188</v>
      </c>
      <c r="Q399" s="184"/>
      <c r="R399" s="184"/>
      <c r="S399" s="184"/>
      <c r="T399" s="184" t="s">
        <v>6007</v>
      </c>
      <c r="U399" s="184" t="s">
        <v>5559</v>
      </c>
      <c r="V399" s="184" t="n">
        <v>100000</v>
      </c>
      <c r="W399" s="184" t="s">
        <v>6008</v>
      </c>
      <c r="X399" s="184" t="s">
        <v>6009</v>
      </c>
    </row>
    <row r="400" customFormat="false" ht="41.25" hidden="false" customHeight="true" outlineLevel="0" collapsed="false">
      <c r="A400" s="184" t="s">
        <v>78</v>
      </c>
      <c r="B400" s="185" t="s">
        <v>5116</v>
      </c>
      <c r="C400" s="184" t="s">
        <v>80</v>
      </c>
      <c r="D400" s="184" t="s">
        <v>5986</v>
      </c>
      <c r="E400" s="184" t="s">
        <v>79</v>
      </c>
      <c r="F400" s="184" t="n">
        <v>10</v>
      </c>
      <c r="G400" s="174" t="s">
        <v>4844</v>
      </c>
      <c r="H400" s="184" t="s">
        <v>5185</v>
      </c>
      <c r="I400" s="184" t="s">
        <v>1074</v>
      </c>
      <c r="J400" s="184" t="s">
        <v>227</v>
      </c>
      <c r="K400" s="184" t="n">
        <v>0</v>
      </c>
      <c r="L400" s="184" t="n">
        <v>400</v>
      </c>
      <c r="M400" s="184" t="n">
        <v>0.5</v>
      </c>
      <c r="N400" s="184" t="s">
        <v>5211</v>
      </c>
      <c r="O400" s="184" t="s">
        <v>6010</v>
      </c>
      <c r="P400" s="184" t="s">
        <v>6011</v>
      </c>
      <c r="Q400" s="184"/>
      <c r="R400" s="184" t="s">
        <v>6012</v>
      </c>
      <c r="S400" s="184" t="s">
        <v>5215</v>
      </c>
      <c r="T400" s="184" t="s">
        <v>6013</v>
      </c>
      <c r="U400" s="184" t="s">
        <v>5298</v>
      </c>
      <c r="V400" s="184" t="n">
        <v>259.5</v>
      </c>
      <c r="W400" s="184" t="s">
        <v>6014</v>
      </c>
      <c r="X400" s="184" t="s">
        <v>6015</v>
      </c>
    </row>
    <row r="401" customFormat="false" ht="68.25" hidden="false" customHeight="true" outlineLevel="0" collapsed="false">
      <c r="A401" s="184" t="s">
        <v>78</v>
      </c>
      <c r="B401" s="185" t="s">
        <v>5116</v>
      </c>
      <c r="C401" s="184" t="s">
        <v>80</v>
      </c>
      <c r="D401" s="184" t="s">
        <v>5986</v>
      </c>
      <c r="E401" s="184" t="s">
        <v>79</v>
      </c>
      <c r="F401" s="184" t="n">
        <v>11</v>
      </c>
      <c r="G401" s="174" t="s">
        <v>4846</v>
      </c>
      <c r="H401" s="184" t="s">
        <v>5227</v>
      </c>
      <c r="I401" s="184" t="s">
        <v>6016</v>
      </c>
      <c r="J401" s="184" t="s">
        <v>238</v>
      </c>
      <c r="K401" s="184"/>
      <c r="L401" s="184"/>
      <c r="M401" s="184"/>
      <c r="N401" s="184" t="s">
        <v>6017</v>
      </c>
      <c r="O401" s="184" t="s">
        <v>6017</v>
      </c>
      <c r="P401" s="184" t="s">
        <v>5206</v>
      </c>
      <c r="Q401" s="184" t="s">
        <v>6018</v>
      </c>
      <c r="R401" s="184" t="s">
        <v>6019</v>
      </c>
      <c r="S401" s="184" t="s">
        <v>5454</v>
      </c>
      <c r="T401" s="184"/>
      <c r="U401" s="184"/>
      <c r="V401" s="184"/>
      <c r="W401" s="184"/>
      <c r="X401" s="184" t="s">
        <v>5232</v>
      </c>
    </row>
    <row r="402" customFormat="false" ht="27.75" hidden="false" customHeight="true" outlineLevel="0" collapsed="false">
      <c r="A402" s="184" t="s">
        <v>78</v>
      </c>
      <c r="B402" s="185" t="s">
        <v>5116</v>
      </c>
      <c r="C402" s="184" t="s">
        <v>80</v>
      </c>
      <c r="D402" s="184" t="s">
        <v>5986</v>
      </c>
      <c r="E402" s="184" t="s">
        <v>79</v>
      </c>
      <c r="F402" s="184" t="n">
        <v>12</v>
      </c>
      <c r="G402" s="175" t="s">
        <v>4850</v>
      </c>
      <c r="H402" s="184" t="s">
        <v>248</v>
      </c>
      <c r="I402" s="184" t="s">
        <v>6020</v>
      </c>
      <c r="J402" s="184"/>
      <c r="K402" s="184"/>
      <c r="L402" s="184"/>
      <c r="M402" s="184"/>
      <c r="N402" s="184" t="s">
        <v>6020</v>
      </c>
      <c r="O402" s="184" t="s">
        <v>5240</v>
      </c>
      <c r="P402" s="184"/>
      <c r="Q402" s="184"/>
      <c r="R402" s="184" t="s">
        <v>5241</v>
      </c>
      <c r="S402" s="184"/>
      <c r="T402" s="184"/>
      <c r="U402" s="184"/>
      <c r="V402" s="184"/>
      <c r="W402" s="184"/>
      <c r="X402" s="184"/>
    </row>
    <row r="403" customFormat="false" ht="27.75" hidden="false" customHeight="true" outlineLevel="0" collapsed="false">
      <c r="A403" s="184" t="s">
        <v>78</v>
      </c>
      <c r="B403" s="185" t="s">
        <v>5116</v>
      </c>
      <c r="C403" s="184" t="s">
        <v>80</v>
      </c>
      <c r="D403" s="184" t="s">
        <v>5986</v>
      </c>
      <c r="E403" s="184" t="s">
        <v>79</v>
      </c>
      <c r="F403" s="184" t="n">
        <v>13</v>
      </c>
      <c r="G403" s="176" t="s">
        <v>248</v>
      </c>
      <c r="H403" s="184" t="s">
        <v>248</v>
      </c>
      <c r="I403" s="184" t="s">
        <v>1076</v>
      </c>
      <c r="J403" s="184"/>
      <c r="K403" s="184"/>
      <c r="L403" s="184"/>
      <c r="M403" s="184"/>
      <c r="N403" s="184" t="s">
        <v>5702</v>
      </c>
      <c r="O403" s="184" t="s">
        <v>5193</v>
      </c>
      <c r="P403" s="184"/>
      <c r="Q403" s="184"/>
      <c r="R403" s="184"/>
      <c r="S403" s="184"/>
      <c r="T403" s="184" t="s">
        <v>6021</v>
      </c>
      <c r="U403" s="184" t="s">
        <v>90</v>
      </c>
      <c r="V403" s="184"/>
      <c r="W403" s="184"/>
      <c r="X403" s="184"/>
    </row>
    <row r="404" customFormat="false" ht="41.25" hidden="false" customHeight="true" outlineLevel="0" collapsed="false">
      <c r="A404" s="184" t="s">
        <v>78</v>
      </c>
      <c r="B404" s="185" t="s">
        <v>5116</v>
      </c>
      <c r="C404" s="184" t="s">
        <v>80</v>
      </c>
      <c r="D404" s="184" t="s">
        <v>5986</v>
      </c>
      <c r="E404" s="184" t="s">
        <v>79</v>
      </c>
      <c r="F404" s="184" t="n">
        <v>14</v>
      </c>
      <c r="G404" s="176" t="s">
        <v>5249</v>
      </c>
      <c r="H404" s="184" t="s">
        <v>248</v>
      </c>
      <c r="I404" s="184" t="s">
        <v>5250</v>
      </c>
      <c r="J404" s="184"/>
      <c r="K404" s="184"/>
      <c r="L404" s="184"/>
      <c r="M404" s="184"/>
      <c r="N404" s="184"/>
      <c r="O404" s="184" t="s">
        <v>6022</v>
      </c>
      <c r="P404" s="184"/>
      <c r="Q404" s="184"/>
      <c r="R404" s="184"/>
      <c r="S404" s="184"/>
      <c r="T404" s="184"/>
      <c r="U404" s="184"/>
      <c r="V404" s="184"/>
      <c r="W404" s="184"/>
      <c r="X404" s="184"/>
    </row>
    <row r="405" customFormat="false" ht="27.75" hidden="false" customHeight="true" outlineLevel="0" collapsed="false">
      <c r="A405" s="184" t="s">
        <v>78</v>
      </c>
      <c r="B405" s="185" t="s">
        <v>5116</v>
      </c>
      <c r="C405" s="184" t="s">
        <v>80</v>
      </c>
      <c r="D405" s="184" t="s">
        <v>5986</v>
      </c>
      <c r="E405" s="184" t="s">
        <v>79</v>
      </c>
      <c r="F405" s="184" t="n">
        <v>15</v>
      </c>
      <c r="G405" s="176" t="s">
        <v>5253</v>
      </c>
      <c r="H405" s="184" t="s">
        <v>248</v>
      </c>
      <c r="I405" s="184" t="s">
        <v>6023</v>
      </c>
      <c r="J405" s="184"/>
      <c r="K405" s="184"/>
      <c r="L405" s="184"/>
      <c r="M405" s="184"/>
      <c r="N405" s="184"/>
      <c r="O405" s="184" t="s">
        <v>6024</v>
      </c>
      <c r="P405" s="184"/>
      <c r="Q405" s="184"/>
      <c r="R405" s="184"/>
      <c r="S405" s="184"/>
      <c r="T405" s="184" t="s">
        <v>6025</v>
      </c>
      <c r="U405" s="184" t="s">
        <v>92</v>
      </c>
      <c r="V405" s="184"/>
      <c r="W405" s="184"/>
      <c r="X405" s="184"/>
    </row>
    <row r="406" customFormat="false" ht="27.75" hidden="false" customHeight="true" outlineLevel="0" collapsed="false">
      <c r="A406" s="184" t="s">
        <v>78</v>
      </c>
      <c r="B406" s="185" t="s">
        <v>5116</v>
      </c>
      <c r="C406" s="184" t="s">
        <v>80</v>
      </c>
      <c r="D406" s="184" t="s">
        <v>5986</v>
      </c>
      <c r="E406" s="184" t="s">
        <v>79</v>
      </c>
      <c r="F406" s="184" t="n">
        <v>16</v>
      </c>
      <c r="G406" s="176" t="s">
        <v>5253</v>
      </c>
      <c r="H406" s="184" t="s">
        <v>248</v>
      </c>
      <c r="I406" s="184" t="s">
        <v>1080</v>
      </c>
      <c r="J406" s="184"/>
      <c r="K406" s="184"/>
      <c r="L406" s="184"/>
      <c r="M406" s="184"/>
      <c r="N406" s="184"/>
      <c r="O406" s="184" t="s">
        <v>5997</v>
      </c>
      <c r="P406" s="184"/>
      <c r="Q406" s="184"/>
      <c r="R406" s="184"/>
      <c r="S406" s="184"/>
      <c r="T406" s="184" t="s">
        <v>6026</v>
      </c>
      <c r="U406" s="184" t="s">
        <v>94</v>
      </c>
      <c r="V406" s="184"/>
      <c r="W406" s="184"/>
      <c r="X406" s="184"/>
    </row>
    <row r="407" customFormat="false" ht="27.75" hidden="false" customHeight="true" outlineLevel="0" collapsed="false">
      <c r="A407" s="184" t="s">
        <v>78</v>
      </c>
      <c r="B407" s="185" t="s">
        <v>5116</v>
      </c>
      <c r="C407" s="184" t="s">
        <v>80</v>
      </c>
      <c r="D407" s="184" t="s">
        <v>5986</v>
      </c>
      <c r="E407" s="184" t="s">
        <v>79</v>
      </c>
      <c r="F407" s="184" t="n">
        <v>17</v>
      </c>
      <c r="G407" s="176" t="s">
        <v>5253</v>
      </c>
      <c r="H407" s="184" t="s">
        <v>248</v>
      </c>
      <c r="I407" s="184" t="s">
        <v>1082</v>
      </c>
      <c r="J407" s="184"/>
      <c r="K407" s="184"/>
      <c r="L407" s="184"/>
      <c r="M407" s="184"/>
      <c r="N407" s="184"/>
      <c r="O407" s="184" t="s">
        <v>6027</v>
      </c>
      <c r="P407" s="184"/>
      <c r="Q407" s="184"/>
      <c r="R407" s="184"/>
      <c r="S407" s="184"/>
      <c r="T407" s="184" t="s">
        <v>6028</v>
      </c>
      <c r="U407" s="184" t="s">
        <v>5386</v>
      </c>
      <c r="V407" s="184"/>
      <c r="W407" s="184"/>
      <c r="X407" s="184"/>
    </row>
    <row r="408" customFormat="false" ht="27.75" hidden="false" customHeight="true" outlineLevel="0" collapsed="false">
      <c r="A408" s="184" t="s">
        <v>78</v>
      </c>
      <c r="B408" s="185" t="s">
        <v>5116</v>
      </c>
      <c r="C408" s="184" t="s">
        <v>80</v>
      </c>
      <c r="D408" s="184" t="s">
        <v>5986</v>
      </c>
      <c r="E408" s="184" t="s">
        <v>79</v>
      </c>
      <c r="F408" s="184" t="n">
        <v>18</v>
      </c>
      <c r="G408" s="176" t="s">
        <v>5253</v>
      </c>
      <c r="H408" s="184" t="s">
        <v>248</v>
      </c>
      <c r="I408" s="184" t="s">
        <v>1084</v>
      </c>
      <c r="J408" s="184"/>
      <c r="K408" s="184"/>
      <c r="L408" s="184"/>
      <c r="M408" s="184"/>
      <c r="N408" s="184"/>
      <c r="O408" s="184" t="s">
        <v>6029</v>
      </c>
      <c r="P408" s="184"/>
      <c r="Q408" s="184"/>
      <c r="R408" s="184"/>
      <c r="S408" s="184"/>
      <c r="T408" s="184" t="s">
        <v>6030</v>
      </c>
      <c r="U408" s="184" t="s">
        <v>5308</v>
      </c>
      <c r="V408" s="184"/>
      <c r="W408" s="184"/>
      <c r="X408" s="184"/>
    </row>
    <row r="409" customFormat="false" ht="54.75" hidden="false" customHeight="true" outlineLevel="0" collapsed="false">
      <c r="A409" s="184" t="s">
        <v>78</v>
      </c>
      <c r="B409" s="185" t="s">
        <v>5116</v>
      </c>
      <c r="C409" s="184" t="s">
        <v>80</v>
      </c>
      <c r="D409" s="184" t="s">
        <v>5986</v>
      </c>
      <c r="E409" s="184" t="s">
        <v>79</v>
      </c>
      <c r="F409" s="184" t="n">
        <v>19</v>
      </c>
      <c r="G409" s="178" t="s">
        <v>5269</v>
      </c>
      <c r="H409" s="184" t="s">
        <v>5270</v>
      </c>
      <c r="I409" s="186" t="s">
        <v>5271</v>
      </c>
      <c r="J409" s="184"/>
      <c r="K409" s="184"/>
      <c r="L409" s="184"/>
      <c r="M409" s="184"/>
      <c r="N409" s="184" t="s">
        <v>5272</v>
      </c>
      <c r="O409" s="184" t="s">
        <v>5272</v>
      </c>
      <c r="P409" s="184"/>
      <c r="Q409" s="184"/>
      <c r="R409" s="184" t="s">
        <v>6031</v>
      </c>
      <c r="S409" s="184"/>
      <c r="T409" s="184"/>
      <c r="U409" s="184"/>
      <c r="V409" s="184"/>
      <c r="W409" s="184"/>
      <c r="X409" s="184"/>
    </row>
    <row r="410" customFormat="false" ht="68.25" hidden="false" customHeight="true" outlineLevel="0" collapsed="false">
      <c r="A410" s="184" t="s">
        <v>78</v>
      </c>
      <c r="B410" s="185" t="s">
        <v>5116</v>
      </c>
      <c r="C410" s="184" t="s">
        <v>80</v>
      </c>
      <c r="D410" s="184" t="s">
        <v>5986</v>
      </c>
      <c r="E410" s="184" t="s">
        <v>79</v>
      </c>
      <c r="F410" s="184" t="n">
        <v>20</v>
      </c>
      <c r="G410" s="178" t="s">
        <v>5269</v>
      </c>
      <c r="H410" s="184" t="s">
        <v>5270</v>
      </c>
      <c r="I410" s="184" t="s">
        <v>5274</v>
      </c>
      <c r="J410" s="184"/>
      <c r="K410" s="184"/>
      <c r="L410" s="184"/>
      <c r="M410" s="184"/>
      <c r="N410" s="184" t="s">
        <v>5272</v>
      </c>
      <c r="O410" s="184" t="s">
        <v>5272</v>
      </c>
      <c r="P410" s="184"/>
      <c r="Q410" s="184"/>
      <c r="R410" s="184" t="s">
        <v>6032</v>
      </c>
      <c r="S410" s="184"/>
      <c r="T410" s="184"/>
      <c r="U410" s="184"/>
      <c r="V410" s="184"/>
      <c r="W410" s="184"/>
      <c r="X410" s="184"/>
    </row>
    <row r="411" customFormat="false" ht="27.75" hidden="false" customHeight="true" outlineLevel="0" collapsed="false">
      <c r="A411" s="184" t="s">
        <v>78</v>
      </c>
      <c r="B411" s="185" t="s">
        <v>5116</v>
      </c>
      <c r="C411" s="184" t="s">
        <v>80</v>
      </c>
      <c r="D411" s="184" t="s">
        <v>5986</v>
      </c>
      <c r="E411" s="184" t="s">
        <v>79</v>
      </c>
      <c r="F411" s="184" t="n">
        <v>21</v>
      </c>
      <c r="G411" s="177" t="s">
        <v>5276</v>
      </c>
      <c r="H411" s="184" t="s">
        <v>5270</v>
      </c>
      <c r="I411" s="184" t="s">
        <v>5277</v>
      </c>
      <c r="J411" s="184"/>
      <c r="K411" s="184"/>
      <c r="L411" s="184"/>
      <c r="M411" s="184"/>
      <c r="N411" s="184"/>
      <c r="O411" s="184"/>
      <c r="P411" s="184"/>
      <c r="Q411" s="184"/>
      <c r="R411" s="184"/>
      <c r="S411" s="184"/>
      <c r="T411" s="184"/>
      <c r="U411" s="184"/>
      <c r="V411" s="184"/>
      <c r="W411" s="184"/>
      <c r="X411" s="184"/>
    </row>
    <row r="412" customFormat="false" ht="41.25" hidden="false" customHeight="true" outlineLevel="0" collapsed="false">
      <c r="A412" s="184" t="s">
        <v>81</v>
      </c>
      <c r="B412" s="185" t="s">
        <v>5118</v>
      </c>
      <c r="C412" s="184" t="s">
        <v>80</v>
      </c>
      <c r="D412" s="184" t="s">
        <v>6033</v>
      </c>
      <c r="E412" s="184" t="s">
        <v>82</v>
      </c>
      <c r="F412" s="184" t="n">
        <v>1</v>
      </c>
      <c r="G412" s="177" t="s">
        <v>5177</v>
      </c>
      <c r="H412" s="184" t="s">
        <v>5178</v>
      </c>
      <c r="I412" s="184" t="s">
        <v>5179</v>
      </c>
      <c r="J412" s="184"/>
      <c r="K412" s="184"/>
      <c r="L412" s="184"/>
      <c r="M412" s="184"/>
      <c r="N412" s="184" t="s">
        <v>5180</v>
      </c>
      <c r="O412" s="184" t="s">
        <v>5181</v>
      </c>
      <c r="P412" s="184"/>
      <c r="Q412" s="184"/>
      <c r="R412" s="184" t="s">
        <v>5182</v>
      </c>
      <c r="S412" s="184"/>
      <c r="T412" s="184"/>
      <c r="U412" s="184"/>
      <c r="V412" s="184"/>
      <c r="W412" s="184"/>
      <c r="X412" s="184"/>
    </row>
    <row r="413" customFormat="false" ht="27.75" hidden="false" customHeight="true" outlineLevel="0" collapsed="false">
      <c r="A413" s="184" t="s">
        <v>81</v>
      </c>
      <c r="B413" s="185" t="s">
        <v>5118</v>
      </c>
      <c r="C413" s="184" t="s">
        <v>80</v>
      </c>
      <c r="D413" s="184" t="s">
        <v>6033</v>
      </c>
      <c r="E413" s="184" t="s">
        <v>82</v>
      </c>
      <c r="F413" s="184" t="n">
        <v>2</v>
      </c>
      <c r="G413" s="177" t="s">
        <v>5183</v>
      </c>
      <c r="H413" s="184" t="s">
        <v>5178</v>
      </c>
      <c r="I413" s="184" t="s">
        <v>80</v>
      </c>
      <c r="J413" s="184"/>
      <c r="K413" s="184"/>
      <c r="L413" s="184"/>
      <c r="M413" s="184"/>
      <c r="N413" s="184"/>
      <c r="O413" s="184"/>
      <c r="P413" s="184"/>
      <c r="Q413" s="184"/>
      <c r="R413" s="184" t="s">
        <v>5184</v>
      </c>
      <c r="S413" s="184"/>
      <c r="T413" s="184"/>
      <c r="U413" s="184"/>
      <c r="V413" s="184"/>
      <c r="W413" s="184"/>
      <c r="X413" s="184"/>
    </row>
    <row r="414" customFormat="false" ht="54.75" hidden="false" customHeight="true" outlineLevel="0" collapsed="false">
      <c r="A414" s="184" t="s">
        <v>81</v>
      </c>
      <c r="B414" s="185" t="s">
        <v>5118</v>
      </c>
      <c r="C414" s="184" t="s">
        <v>80</v>
      </c>
      <c r="D414" s="184" t="s">
        <v>6033</v>
      </c>
      <c r="E414" s="184" t="s">
        <v>82</v>
      </c>
      <c r="F414" s="184" t="n">
        <v>3</v>
      </c>
      <c r="G414" s="174" t="s">
        <v>4844</v>
      </c>
      <c r="H414" s="184" t="s">
        <v>5185</v>
      </c>
      <c r="I414" s="184" t="s">
        <v>679</v>
      </c>
      <c r="J414" s="184" t="s">
        <v>227</v>
      </c>
      <c r="K414" s="184" t="n">
        <v>500</v>
      </c>
      <c r="L414" s="184" t="n">
        <v>10000</v>
      </c>
      <c r="M414" s="184" t="n">
        <v>100</v>
      </c>
      <c r="N414" s="184" t="s">
        <v>5593</v>
      </c>
      <c r="O414" s="184" t="s">
        <v>5594</v>
      </c>
      <c r="P414" s="184" t="s">
        <v>5595</v>
      </c>
      <c r="Q414" s="184"/>
      <c r="R414" s="184"/>
      <c r="S414" s="184"/>
      <c r="T414" s="184" t="s">
        <v>6034</v>
      </c>
      <c r="U414" s="184" t="s">
        <v>5190</v>
      </c>
      <c r="V414" s="184" t="n">
        <v>2500</v>
      </c>
      <c r="W414" s="184" t="s">
        <v>5597</v>
      </c>
      <c r="X414" s="184" t="s">
        <v>5598</v>
      </c>
    </row>
    <row r="415" customFormat="false" ht="27.75" hidden="false" customHeight="true" outlineLevel="0" collapsed="false">
      <c r="A415" s="184" t="s">
        <v>81</v>
      </c>
      <c r="B415" s="185" t="s">
        <v>5118</v>
      </c>
      <c r="C415" s="184" t="s">
        <v>80</v>
      </c>
      <c r="D415" s="184" t="s">
        <v>6033</v>
      </c>
      <c r="E415" s="184" t="s">
        <v>82</v>
      </c>
      <c r="F415" s="184" t="n">
        <v>4</v>
      </c>
      <c r="G415" s="174" t="s">
        <v>4844</v>
      </c>
      <c r="H415" s="184" t="s">
        <v>5185</v>
      </c>
      <c r="I415" s="184" t="s">
        <v>1103</v>
      </c>
      <c r="J415" s="184" t="s">
        <v>5600</v>
      </c>
      <c r="K415" s="184" t="n">
        <v>0</v>
      </c>
      <c r="L415" s="184" t="n">
        <v>12</v>
      </c>
      <c r="M415" s="184" t="n">
        <v>1</v>
      </c>
      <c r="N415" s="184" t="s">
        <v>5602</v>
      </c>
      <c r="O415" s="184" t="s">
        <v>5602</v>
      </c>
      <c r="P415" s="184" t="s">
        <v>5201</v>
      </c>
      <c r="Q415" s="184"/>
      <c r="R415" s="184"/>
      <c r="S415" s="184"/>
      <c r="T415" s="184" t="s">
        <v>6035</v>
      </c>
      <c r="U415" s="184" t="s">
        <v>5197</v>
      </c>
      <c r="V415" s="184" t="n">
        <v>3</v>
      </c>
      <c r="W415" s="184" t="s">
        <v>6036</v>
      </c>
      <c r="X415" s="184" t="s">
        <v>6037</v>
      </c>
    </row>
    <row r="416" customFormat="false" ht="27.75" hidden="false" customHeight="true" outlineLevel="0" collapsed="false">
      <c r="A416" s="184" t="s">
        <v>81</v>
      </c>
      <c r="B416" s="185" t="s">
        <v>5118</v>
      </c>
      <c r="C416" s="184" t="s">
        <v>80</v>
      </c>
      <c r="D416" s="184" t="s">
        <v>6033</v>
      </c>
      <c r="E416" s="184" t="s">
        <v>82</v>
      </c>
      <c r="F416" s="184" t="n">
        <v>5</v>
      </c>
      <c r="G416" s="174" t="s">
        <v>4844</v>
      </c>
      <c r="H416" s="184" t="s">
        <v>5185</v>
      </c>
      <c r="I416" s="184" t="s">
        <v>686</v>
      </c>
      <c r="J416" s="184" t="s">
        <v>227</v>
      </c>
      <c r="K416" s="184" t="n">
        <v>0</v>
      </c>
      <c r="L416" s="184" t="n">
        <v>200000</v>
      </c>
      <c r="M416" s="184" t="n">
        <v>500</v>
      </c>
      <c r="N416" s="184" t="s">
        <v>6038</v>
      </c>
      <c r="O416" s="184" t="s">
        <v>5608</v>
      </c>
      <c r="P416" s="184" t="s">
        <v>5609</v>
      </c>
      <c r="Q416" s="184"/>
      <c r="R416" s="184"/>
      <c r="S416" s="184"/>
      <c r="T416" s="184" t="s">
        <v>6039</v>
      </c>
      <c r="U416" s="184" t="s">
        <v>5203</v>
      </c>
      <c r="V416" s="184" t="n">
        <v>8000</v>
      </c>
      <c r="W416" s="184" t="s">
        <v>5204</v>
      </c>
      <c r="X416" s="184" t="s">
        <v>6040</v>
      </c>
    </row>
    <row r="417" customFormat="false" ht="27.75" hidden="false" customHeight="true" outlineLevel="0" collapsed="false">
      <c r="A417" s="184" t="s">
        <v>81</v>
      </c>
      <c r="B417" s="185" t="s">
        <v>5118</v>
      </c>
      <c r="C417" s="184" t="s">
        <v>80</v>
      </c>
      <c r="D417" s="184" t="s">
        <v>6033</v>
      </c>
      <c r="E417" s="184" t="s">
        <v>82</v>
      </c>
      <c r="F417" s="184" t="n">
        <v>6</v>
      </c>
      <c r="G417" s="174" t="s">
        <v>4844</v>
      </c>
      <c r="H417" s="184" t="s">
        <v>5185</v>
      </c>
      <c r="I417" s="184" t="s">
        <v>226</v>
      </c>
      <c r="J417" s="184" t="s">
        <v>227</v>
      </c>
      <c r="K417" s="184" t="n">
        <v>0</v>
      </c>
      <c r="L417" s="184" t="n">
        <v>300000</v>
      </c>
      <c r="M417" s="184" t="n">
        <v>1000</v>
      </c>
      <c r="N417" s="184" t="s">
        <v>5186</v>
      </c>
      <c r="O417" s="184" t="s">
        <v>5187</v>
      </c>
      <c r="P417" s="184" t="s">
        <v>5188</v>
      </c>
      <c r="Q417" s="184"/>
      <c r="R417" s="184"/>
      <c r="S417" s="184"/>
      <c r="T417" s="184" t="s">
        <v>6041</v>
      </c>
      <c r="U417" s="184" t="s">
        <v>5209</v>
      </c>
      <c r="V417" s="184" t="n">
        <v>60000</v>
      </c>
      <c r="W417" s="184" t="s">
        <v>5988</v>
      </c>
      <c r="X417" s="184" t="s">
        <v>5989</v>
      </c>
    </row>
    <row r="418" customFormat="false" ht="41.25" hidden="false" customHeight="true" outlineLevel="0" collapsed="false">
      <c r="A418" s="184" t="s">
        <v>81</v>
      </c>
      <c r="B418" s="185" t="s">
        <v>5118</v>
      </c>
      <c r="C418" s="184" t="s">
        <v>80</v>
      </c>
      <c r="D418" s="184" t="s">
        <v>6033</v>
      </c>
      <c r="E418" s="184" t="s">
        <v>82</v>
      </c>
      <c r="F418" s="184" t="n">
        <v>7</v>
      </c>
      <c r="G418" s="174" t="s">
        <v>4844</v>
      </c>
      <c r="H418" s="184" t="s">
        <v>5185</v>
      </c>
      <c r="I418" s="184" t="s">
        <v>1106</v>
      </c>
      <c r="J418" s="184" t="s">
        <v>227</v>
      </c>
      <c r="K418" s="184" t="n">
        <v>0</v>
      </c>
      <c r="L418" s="184" t="n">
        <v>500</v>
      </c>
      <c r="M418" s="184" t="n">
        <v>0.5</v>
      </c>
      <c r="N418" s="184" t="s">
        <v>5211</v>
      </c>
      <c r="O418" s="184" t="s">
        <v>6042</v>
      </c>
      <c r="P418" s="184" t="s">
        <v>6043</v>
      </c>
      <c r="Q418" s="184"/>
      <c r="R418" s="184" t="s">
        <v>6044</v>
      </c>
      <c r="S418" s="184" t="s">
        <v>5215</v>
      </c>
      <c r="T418" s="184" t="s">
        <v>6045</v>
      </c>
      <c r="U418" s="184" t="s">
        <v>5217</v>
      </c>
      <c r="V418" s="184" t="n">
        <v>254</v>
      </c>
      <c r="W418" s="184" t="s">
        <v>6046</v>
      </c>
      <c r="X418" s="184" t="s">
        <v>6047</v>
      </c>
    </row>
    <row r="419" customFormat="false" ht="27.75" hidden="false" customHeight="true" outlineLevel="0" collapsed="false">
      <c r="A419" s="184" t="s">
        <v>81</v>
      </c>
      <c r="B419" s="185" t="s">
        <v>5118</v>
      </c>
      <c r="C419" s="184" t="s">
        <v>80</v>
      </c>
      <c r="D419" s="184" t="s">
        <v>6033</v>
      </c>
      <c r="E419" s="184" t="s">
        <v>82</v>
      </c>
      <c r="F419" s="184" t="n">
        <v>8</v>
      </c>
      <c r="G419" s="175" t="s">
        <v>4850</v>
      </c>
      <c r="H419" s="184" t="s">
        <v>248</v>
      </c>
      <c r="I419" s="184" t="s">
        <v>6048</v>
      </c>
      <c r="J419" s="184"/>
      <c r="K419" s="184"/>
      <c r="L419" s="184"/>
      <c r="M419" s="184"/>
      <c r="N419" s="184" t="s">
        <v>6048</v>
      </c>
      <c r="O419" s="184" t="s">
        <v>5240</v>
      </c>
      <c r="P419" s="184"/>
      <c r="Q419" s="184"/>
      <c r="R419" s="184" t="s">
        <v>5241</v>
      </c>
      <c r="S419" s="184"/>
      <c r="T419" s="184"/>
      <c r="U419" s="184"/>
      <c r="V419" s="184"/>
      <c r="W419" s="184"/>
      <c r="X419" s="184"/>
    </row>
    <row r="420" customFormat="false" ht="27.75" hidden="false" customHeight="true" outlineLevel="0" collapsed="false">
      <c r="A420" s="184" t="s">
        <v>81</v>
      </c>
      <c r="B420" s="185" t="s">
        <v>5118</v>
      </c>
      <c r="C420" s="184" t="s">
        <v>80</v>
      </c>
      <c r="D420" s="184" t="s">
        <v>6033</v>
      </c>
      <c r="E420" s="184" t="s">
        <v>82</v>
      </c>
      <c r="F420" s="184" t="n">
        <v>9</v>
      </c>
      <c r="G420" s="176" t="s">
        <v>248</v>
      </c>
      <c r="H420" s="184" t="s">
        <v>248</v>
      </c>
      <c r="I420" s="184" t="s">
        <v>6049</v>
      </c>
      <c r="J420" s="184"/>
      <c r="K420" s="184"/>
      <c r="L420" s="184"/>
      <c r="M420" s="184"/>
      <c r="N420" s="184" t="s">
        <v>5702</v>
      </c>
      <c r="O420" s="184" t="s">
        <v>6050</v>
      </c>
      <c r="P420" s="184"/>
      <c r="Q420" s="184"/>
      <c r="R420" s="184"/>
      <c r="S420" s="184"/>
      <c r="T420" s="184" t="s">
        <v>6051</v>
      </c>
      <c r="U420" s="184" t="s">
        <v>62</v>
      </c>
      <c r="V420" s="184"/>
      <c r="W420" s="184"/>
      <c r="X420" s="184"/>
    </row>
    <row r="421" customFormat="false" ht="189" hidden="false" customHeight="true" outlineLevel="0" collapsed="false">
      <c r="A421" s="184" t="s">
        <v>81</v>
      </c>
      <c r="B421" s="185" t="s">
        <v>5118</v>
      </c>
      <c r="C421" s="184" t="s">
        <v>80</v>
      </c>
      <c r="D421" s="184" t="s">
        <v>6033</v>
      </c>
      <c r="E421" s="184" t="s">
        <v>82</v>
      </c>
      <c r="F421" s="184" t="n">
        <v>10</v>
      </c>
      <c r="G421" s="176" t="s">
        <v>5249</v>
      </c>
      <c r="H421" s="184" t="s">
        <v>248</v>
      </c>
      <c r="I421" s="184" t="s">
        <v>5250</v>
      </c>
      <c r="J421" s="184"/>
      <c r="K421" s="184"/>
      <c r="L421" s="184"/>
      <c r="M421" s="184"/>
      <c r="N421" s="184"/>
      <c r="O421" s="184" t="s">
        <v>6052</v>
      </c>
      <c r="P421" s="184"/>
      <c r="Q421" s="184"/>
      <c r="R421" s="184"/>
      <c r="S421" s="184"/>
      <c r="T421" s="184"/>
      <c r="U421" s="184"/>
      <c r="V421" s="184"/>
      <c r="W421" s="184"/>
      <c r="X421" s="184"/>
    </row>
    <row r="422" customFormat="false" ht="27.75" hidden="false" customHeight="true" outlineLevel="0" collapsed="false">
      <c r="A422" s="184" t="s">
        <v>81</v>
      </c>
      <c r="B422" s="185" t="s">
        <v>5118</v>
      </c>
      <c r="C422" s="184" t="s">
        <v>80</v>
      </c>
      <c r="D422" s="184" t="s">
        <v>6033</v>
      </c>
      <c r="E422" s="184" t="s">
        <v>82</v>
      </c>
      <c r="F422" s="184" t="n">
        <v>11</v>
      </c>
      <c r="G422" s="176" t="s">
        <v>5253</v>
      </c>
      <c r="H422" s="184" t="s">
        <v>248</v>
      </c>
      <c r="I422" s="184" t="s">
        <v>1109</v>
      </c>
      <c r="J422" s="184"/>
      <c r="K422" s="184"/>
      <c r="L422" s="184"/>
      <c r="M422" s="184"/>
      <c r="N422" s="184"/>
      <c r="O422" s="184" t="s">
        <v>6053</v>
      </c>
      <c r="P422" s="184"/>
      <c r="Q422" s="184"/>
      <c r="R422" s="184"/>
      <c r="S422" s="184"/>
      <c r="T422" s="184" t="s">
        <v>6054</v>
      </c>
      <c r="U422" s="184" t="s">
        <v>64</v>
      </c>
      <c r="V422" s="184"/>
      <c r="W422" s="184"/>
      <c r="X422" s="184"/>
    </row>
    <row r="423" customFormat="false" ht="27.75" hidden="false" customHeight="true" outlineLevel="0" collapsed="false">
      <c r="A423" s="184" t="s">
        <v>81</v>
      </c>
      <c r="B423" s="185" t="s">
        <v>5118</v>
      </c>
      <c r="C423" s="184" t="s">
        <v>80</v>
      </c>
      <c r="D423" s="184" t="s">
        <v>6033</v>
      </c>
      <c r="E423" s="184" t="s">
        <v>82</v>
      </c>
      <c r="F423" s="184" t="n">
        <v>12</v>
      </c>
      <c r="G423" s="176" t="s">
        <v>5253</v>
      </c>
      <c r="H423" s="184" t="s">
        <v>248</v>
      </c>
      <c r="I423" s="184" t="s">
        <v>1111</v>
      </c>
      <c r="J423" s="184"/>
      <c r="K423" s="184"/>
      <c r="L423" s="184"/>
      <c r="M423" s="184"/>
      <c r="N423" s="184"/>
      <c r="O423" s="184" t="s">
        <v>6055</v>
      </c>
      <c r="P423" s="184"/>
      <c r="Q423" s="184"/>
      <c r="R423" s="184"/>
      <c r="S423" s="184"/>
      <c r="T423" s="184" t="s">
        <v>6056</v>
      </c>
      <c r="U423" s="184" t="s">
        <v>66</v>
      </c>
      <c r="V423" s="184"/>
      <c r="W423" s="184"/>
      <c r="X423" s="184"/>
    </row>
    <row r="424" customFormat="false" ht="27.75" hidden="false" customHeight="true" outlineLevel="0" collapsed="false">
      <c r="A424" s="184" t="s">
        <v>81</v>
      </c>
      <c r="B424" s="185" t="s">
        <v>5118</v>
      </c>
      <c r="C424" s="184" t="s">
        <v>80</v>
      </c>
      <c r="D424" s="184" t="s">
        <v>6033</v>
      </c>
      <c r="E424" s="184" t="s">
        <v>82</v>
      </c>
      <c r="F424" s="184" t="n">
        <v>13</v>
      </c>
      <c r="G424" s="176" t="s">
        <v>5253</v>
      </c>
      <c r="H424" s="184" t="s">
        <v>248</v>
      </c>
      <c r="I424" s="184" t="s">
        <v>6057</v>
      </c>
      <c r="J424" s="184"/>
      <c r="K424" s="184"/>
      <c r="L424" s="184"/>
      <c r="M424" s="184"/>
      <c r="N424" s="184"/>
      <c r="O424" s="184" t="s">
        <v>6058</v>
      </c>
      <c r="P424" s="184"/>
      <c r="Q424" s="184"/>
      <c r="R424" s="184"/>
      <c r="S424" s="184"/>
      <c r="T424" s="184" t="s">
        <v>6059</v>
      </c>
      <c r="U424" s="184" t="s">
        <v>70</v>
      </c>
      <c r="V424" s="184"/>
      <c r="W424" s="184"/>
      <c r="X424" s="184"/>
    </row>
    <row r="425" customFormat="false" ht="27.75" hidden="false" customHeight="true" outlineLevel="0" collapsed="false">
      <c r="A425" s="184" t="s">
        <v>81</v>
      </c>
      <c r="B425" s="185" t="s">
        <v>5118</v>
      </c>
      <c r="C425" s="184" t="s">
        <v>80</v>
      </c>
      <c r="D425" s="184" t="s">
        <v>6033</v>
      </c>
      <c r="E425" s="184" t="s">
        <v>82</v>
      </c>
      <c r="F425" s="184" t="n">
        <v>14</v>
      </c>
      <c r="G425" s="176" t="s">
        <v>5253</v>
      </c>
      <c r="H425" s="184" t="s">
        <v>248</v>
      </c>
      <c r="I425" s="184" t="s">
        <v>6060</v>
      </c>
      <c r="J425" s="184"/>
      <c r="K425" s="184"/>
      <c r="L425" s="184"/>
      <c r="M425" s="184"/>
      <c r="N425" s="184"/>
      <c r="O425" s="184" t="s">
        <v>6061</v>
      </c>
      <c r="P425" s="184"/>
      <c r="Q425" s="184"/>
      <c r="R425" s="184"/>
      <c r="S425" s="184"/>
      <c r="T425" s="184"/>
      <c r="U425" s="184"/>
      <c r="V425" s="184"/>
      <c r="W425" s="184"/>
      <c r="X425" s="184"/>
    </row>
    <row r="426" customFormat="false" ht="27.75" hidden="false" customHeight="true" outlineLevel="0" collapsed="false">
      <c r="A426" s="184" t="s">
        <v>81</v>
      </c>
      <c r="B426" s="185" t="s">
        <v>5118</v>
      </c>
      <c r="C426" s="184" t="s">
        <v>80</v>
      </c>
      <c r="D426" s="184" t="s">
        <v>6033</v>
      </c>
      <c r="E426" s="184" t="s">
        <v>82</v>
      </c>
      <c r="F426" s="184" t="n">
        <v>15</v>
      </c>
      <c r="G426" s="176" t="s">
        <v>5253</v>
      </c>
      <c r="H426" s="184" t="s">
        <v>248</v>
      </c>
      <c r="I426" s="184" t="s">
        <v>6062</v>
      </c>
      <c r="J426" s="184"/>
      <c r="K426" s="184"/>
      <c r="L426" s="184"/>
      <c r="M426" s="184"/>
      <c r="N426" s="184"/>
      <c r="O426" s="184" t="s">
        <v>6042</v>
      </c>
      <c r="P426" s="184"/>
      <c r="Q426" s="184"/>
      <c r="R426" s="184"/>
      <c r="S426" s="184"/>
      <c r="T426" s="184"/>
      <c r="U426" s="184"/>
      <c r="V426" s="184"/>
      <c r="W426" s="184"/>
      <c r="X426" s="184"/>
    </row>
    <row r="427" customFormat="false" ht="108.75" hidden="false" customHeight="true" outlineLevel="0" collapsed="false">
      <c r="A427" s="184" t="s">
        <v>81</v>
      </c>
      <c r="B427" s="185" t="s">
        <v>5118</v>
      </c>
      <c r="C427" s="184" t="s">
        <v>80</v>
      </c>
      <c r="D427" s="184" t="s">
        <v>6033</v>
      </c>
      <c r="E427" s="184" t="s">
        <v>82</v>
      </c>
      <c r="F427" s="184" t="n">
        <v>16</v>
      </c>
      <c r="G427" s="178" t="s">
        <v>5269</v>
      </c>
      <c r="H427" s="184" t="s">
        <v>5270</v>
      </c>
      <c r="I427" s="186" t="s">
        <v>5271</v>
      </c>
      <c r="J427" s="184"/>
      <c r="K427" s="184"/>
      <c r="L427" s="184"/>
      <c r="M427" s="184"/>
      <c r="N427" s="184" t="s">
        <v>5272</v>
      </c>
      <c r="O427" s="184" t="s">
        <v>5272</v>
      </c>
      <c r="P427" s="184"/>
      <c r="Q427" s="184"/>
      <c r="R427" s="184" t="s">
        <v>6063</v>
      </c>
      <c r="S427" s="184"/>
      <c r="T427" s="184"/>
      <c r="U427" s="184"/>
      <c r="V427" s="184"/>
      <c r="W427" s="184"/>
      <c r="X427" s="184"/>
    </row>
    <row r="428" customFormat="false" ht="68.25" hidden="false" customHeight="true" outlineLevel="0" collapsed="false">
      <c r="A428" s="184" t="s">
        <v>81</v>
      </c>
      <c r="B428" s="185" t="s">
        <v>5118</v>
      </c>
      <c r="C428" s="184" t="s">
        <v>80</v>
      </c>
      <c r="D428" s="184" t="s">
        <v>6033</v>
      </c>
      <c r="E428" s="184" t="s">
        <v>82</v>
      </c>
      <c r="F428" s="184" t="n">
        <v>17</v>
      </c>
      <c r="G428" s="178" t="s">
        <v>5269</v>
      </c>
      <c r="H428" s="184" t="s">
        <v>5270</v>
      </c>
      <c r="I428" s="184" t="s">
        <v>5274</v>
      </c>
      <c r="J428" s="184"/>
      <c r="K428" s="184"/>
      <c r="L428" s="184"/>
      <c r="M428" s="184"/>
      <c r="N428" s="184" t="s">
        <v>5272</v>
      </c>
      <c r="O428" s="184" t="s">
        <v>5272</v>
      </c>
      <c r="P428" s="184"/>
      <c r="Q428" s="184"/>
      <c r="R428" s="184" t="s">
        <v>6032</v>
      </c>
      <c r="S428" s="184"/>
      <c r="T428" s="184"/>
      <c r="U428" s="184"/>
      <c r="V428" s="184"/>
      <c r="W428" s="184"/>
      <c r="X428" s="184"/>
    </row>
    <row r="429" customFormat="false" ht="27.75" hidden="false" customHeight="true" outlineLevel="0" collapsed="false">
      <c r="A429" s="184" t="s">
        <v>81</v>
      </c>
      <c r="B429" s="185" t="s">
        <v>5118</v>
      </c>
      <c r="C429" s="184" t="s">
        <v>80</v>
      </c>
      <c r="D429" s="184" t="s">
        <v>6033</v>
      </c>
      <c r="E429" s="184" t="s">
        <v>82</v>
      </c>
      <c r="F429" s="184" t="n">
        <v>18</v>
      </c>
      <c r="G429" s="177" t="s">
        <v>5276</v>
      </c>
      <c r="H429" s="184" t="s">
        <v>5270</v>
      </c>
      <c r="I429" s="184" t="s">
        <v>5277</v>
      </c>
      <c r="J429" s="184"/>
      <c r="K429" s="184"/>
      <c r="L429" s="184"/>
      <c r="M429" s="184"/>
      <c r="N429" s="184"/>
      <c r="O429" s="184"/>
      <c r="P429" s="184"/>
      <c r="Q429" s="184"/>
      <c r="R429" s="184"/>
      <c r="S429" s="184"/>
      <c r="T429" s="184"/>
      <c r="U429" s="184"/>
      <c r="V429" s="184"/>
      <c r="W429" s="184"/>
      <c r="X429" s="184"/>
    </row>
    <row r="430" customFormat="false" ht="41.25" hidden="false" customHeight="true" outlineLevel="0" collapsed="false">
      <c r="A430" s="184" t="s">
        <v>83</v>
      </c>
      <c r="B430" s="185" t="s">
        <v>5120</v>
      </c>
      <c r="C430" s="184" t="s">
        <v>80</v>
      </c>
      <c r="D430" s="184" t="s">
        <v>6064</v>
      </c>
      <c r="E430" s="184" t="s">
        <v>84</v>
      </c>
      <c r="F430" s="184" t="n">
        <v>1</v>
      </c>
      <c r="G430" s="177" t="s">
        <v>5177</v>
      </c>
      <c r="H430" s="184" t="s">
        <v>5178</v>
      </c>
      <c r="I430" s="184" t="s">
        <v>5179</v>
      </c>
      <c r="J430" s="184"/>
      <c r="K430" s="184"/>
      <c r="L430" s="184"/>
      <c r="M430" s="184"/>
      <c r="N430" s="184" t="s">
        <v>5180</v>
      </c>
      <c r="O430" s="184" t="s">
        <v>5181</v>
      </c>
      <c r="P430" s="184"/>
      <c r="Q430" s="184"/>
      <c r="R430" s="184" t="s">
        <v>5182</v>
      </c>
      <c r="S430" s="184"/>
      <c r="T430" s="184"/>
      <c r="U430" s="184"/>
      <c r="V430" s="184"/>
      <c r="W430" s="184"/>
      <c r="X430" s="184"/>
    </row>
    <row r="431" customFormat="false" ht="27.75" hidden="false" customHeight="true" outlineLevel="0" collapsed="false">
      <c r="A431" s="184" t="s">
        <v>83</v>
      </c>
      <c r="B431" s="185" t="s">
        <v>5120</v>
      </c>
      <c r="C431" s="184" t="s">
        <v>80</v>
      </c>
      <c r="D431" s="184" t="s">
        <v>6064</v>
      </c>
      <c r="E431" s="184" t="s">
        <v>84</v>
      </c>
      <c r="F431" s="184" t="n">
        <v>2</v>
      </c>
      <c r="G431" s="177" t="s">
        <v>5183</v>
      </c>
      <c r="H431" s="184" t="s">
        <v>5178</v>
      </c>
      <c r="I431" s="184" t="s">
        <v>80</v>
      </c>
      <c r="J431" s="184"/>
      <c r="K431" s="184"/>
      <c r="L431" s="184"/>
      <c r="M431" s="184"/>
      <c r="N431" s="184"/>
      <c r="O431" s="184"/>
      <c r="P431" s="184"/>
      <c r="Q431" s="184"/>
      <c r="R431" s="184" t="s">
        <v>5184</v>
      </c>
      <c r="S431" s="184"/>
      <c r="T431" s="184"/>
      <c r="U431" s="184"/>
      <c r="V431" s="184"/>
      <c r="W431" s="184"/>
      <c r="X431" s="184"/>
    </row>
    <row r="432" customFormat="false" ht="27.75" hidden="false" customHeight="true" outlineLevel="0" collapsed="false">
      <c r="A432" s="184" t="s">
        <v>83</v>
      </c>
      <c r="B432" s="185" t="s">
        <v>5120</v>
      </c>
      <c r="C432" s="184" t="s">
        <v>80</v>
      </c>
      <c r="D432" s="184" t="s">
        <v>6064</v>
      </c>
      <c r="E432" s="184" t="s">
        <v>84</v>
      </c>
      <c r="F432" s="184" t="n">
        <v>3</v>
      </c>
      <c r="G432" s="174" t="s">
        <v>4844</v>
      </c>
      <c r="H432" s="184" t="s">
        <v>5185</v>
      </c>
      <c r="I432" s="184" t="s">
        <v>414</v>
      </c>
      <c r="J432" s="184" t="s">
        <v>227</v>
      </c>
      <c r="K432" s="184" t="n">
        <v>20000</v>
      </c>
      <c r="L432" s="184" t="n">
        <v>1000000</v>
      </c>
      <c r="M432" s="184" t="n">
        <v>5000</v>
      </c>
      <c r="N432" s="184" t="s">
        <v>5357</v>
      </c>
      <c r="O432" s="184" t="s">
        <v>5280</v>
      </c>
      <c r="P432" s="184" t="s">
        <v>5281</v>
      </c>
      <c r="Q432" s="184"/>
      <c r="R432" s="184"/>
      <c r="S432" s="184"/>
      <c r="T432" s="184" t="s">
        <v>6065</v>
      </c>
      <c r="U432" s="184" t="s">
        <v>5236</v>
      </c>
      <c r="V432" s="184" t="n">
        <v>250000</v>
      </c>
      <c r="W432" s="184" t="s">
        <v>5359</v>
      </c>
      <c r="X432" s="184" t="s">
        <v>5360</v>
      </c>
    </row>
    <row r="433" customFormat="false" ht="41.25" hidden="false" customHeight="true" outlineLevel="0" collapsed="false">
      <c r="A433" s="184" t="s">
        <v>83</v>
      </c>
      <c r="B433" s="185" t="s">
        <v>5120</v>
      </c>
      <c r="C433" s="184" t="s">
        <v>80</v>
      </c>
      <c r="D433" s="184" t="s">
        <v>6064</v>
      </c>
      <c r="E433" s="184" t="s">
        <v>84</v>
      </c>
      <c r="F433" s="184" t="n">
        <v>4</v>
      </c>
      <c r="G433" s="174" t="s">
        <v>4844</v>
      </c>
      <c r="H433" s="184" t="s">
        <v>5185</v>
      </c>
      <c r="I433" s="184" t="s">
        <v>315</v>
      </c>
      <c r="J433" s="184" t="s">
        <v>238</v>
      </c>
      <c r="K433" s="184" t="n">
        <v>1</v>
      </c>
      <c r="L433" s="184" t="n">
        <v>8</v>
      </c>
      <c r="M433" s="184" t="n">
        <v>0.05</v>
      </c>
      <c r="N433" s="184" t="s">
        <v>5211</v>
      </c>
      <c r="O433" s="184" t="s">
        <v>5285</v>
      </c>
      <c r="P433" s="184" t="s">
        <v>5286</v>
      </c>
      <c r="Q433" s="184" t="s">
        <v>5214</v>
      </c>
      <c r="R433" s="184" t="s">
        <v>4371</v>
      </c>
      <c r="S433" s="184" t="s">
        <v>5215</v>
      </c>
      <c r="T433" s="184" t="s">
        <v>6066</v>
      </c>
      <c r="U433" s="184" t="s">
        <v>5288</v>
      </c>
      <c r="V433" s="184" t="s">
        <v>5218</v>
      </c>
      <c r="W433" s="184" t="s">
        <v>5219</v>
      </c>
      <c r="X433" s="184" t="s">
        <v>5220</v>
      </c>
    </row>
    <row r="434" customFormat="false" ht="27.75" hidden="false" customHeight="true" outlineLevel="0" collapsed="false">
      <c r="A434" s="184" t="s">
        <v>83</v>
      </c>
      <c r="B434" s="185" t="s">
        <v>5120</v>
      </c>
      <c r="C434" s="184" t="s">
        <v>80</v>
      </c>
      <c r="D434" s="184" t="s">
        <v>6064</v>
      </c>
      <c r="E434" s="184" t="s">
        <v>84</v>
      </c>
      <c r="F434" s="184" t="n">
        <v>5</v>
      </c>
      <c r="G434" s="174" t="s">
        <v>4844</v>
      </c>
      <c r="H434" s="184" t="s">
        <v>5185</v>
      </c>
      <c r="I434" s="184" t="s">
        <v>416</v>
      </c>
      <c r="J434" s="184" t="s">
        <v>5221</v>
      </c>
      <c r="K434" s="184" t="n">
        <v>5</v>
      </c>
      <c r="L434" s="184" t="n">
        <v>35</v>
      </c>
      <c r="M434" s="184" t="n">
        <v>1</v>
      </c>
      <c r="N434" s="184" t="s">
        <v>5362</v>
      </c>
      <c r="O434" s="184" t="s">
        <v>5289</v>
      </c>
      <c r="P434" s="184" t="s">
        <v>5290</v>
      </c>
      <c r="Q434" s="184"/>
      <c r="R434" s="184"/>
      <c r="S434" s="184"/>
      <c r="T434" s="184" t="s">
        <v>6067</v>
      </c>
      <c r="U434" s="184" t="s">
        <v>5292</v>
      </c>
      <c r="V434" s="184" t="n">
        <v>25</v>
      </c>
      <c r="W434" s="184" t="s">
        <v>5293</v>
      </c>
      <c r="X434" s="184" t="s">
        <v>5392</v>
      </c>
    </row>
    <row r="435" customFormat="false" ht="27.75" hidden="false" customHeight="true" outlineLevel="0" collapsed="false">
      <c r="A435" s="184" t="s">
        <v>83</v>
      </c>
      <c r="B435" s="185" t="s">
        <v>5120</v>
      </c>
      <c r="C435" s="184" t="s">
        <v>80</v>
      </c>
      <c r="D435" s="184" t="s">
        <v>6064</v>
      </c>
      <c r="E435" s="184" t="s">
        <v>84</v>
      </c>
      <c r="F435" s="184" t="n">
        <v>6</v>
      </c>
      <c r="G435" s="175" t="s">
        <v>4850</v>
      </c>
      <c r="H435" s="184" t="s">
        <v>248</v>
      </c>
      <c r="I435" s="184" t="s">
        <v>5239</v>
      </c>
      <c r="J435" s="184"/>
      <c r="K435" s="184"/>
      <c r="L435" s="184"/>
      <c r="M435" s="184"/>
      <c r="N435" s="184" t="s">
        <v>5239</v>
      </c>
      <c r="O435" s="184" t="s">
        <v>5240</v>
      </c>
      <c r="P435" s="184"/>
      <c r="Q435" s="184"/>
      <c r="R435" s="184" t="s">
        <v>5241</v>
      </c>
      <c r="S435" s="184"/>
      <c r="T435" s="184"/>
      <c r="U435" s="184"/>
      <c r="V435" s="184"/>
      <c r="W435" s="184"/>
      <c r="X435" s="184"/>
    </row>
    <row r="436" customFormat="false" ht="27.75" hidden="false" customHeight="true" outlineLevel="0" collapsed="false">
      <c r="A436" s="184" t="s">
        <v>83</v>
      </c>
      <c r="B436" s="185" t="s">
        <v>5120</v>
      </c>
      <c r="C436" s="184" t="s">
        <v>80</v>
      </c>
      <c r="D436" s="184" t="s">
        <v>6064</v>
      </c>
      <c r="E436" s="184" t="s">
        <v>84</v>
      </c>
      <c r="F436" s="184" t="n">
        <v>7</v>
      </c>
      <c r="G436" s="176" t="s">
        <v>248</v>
      </c>
      <c r="H436" s="184" t="s">
        <v>248</v>
      </c>
      <c r="I436" s="184" t="s">
        <v>1139</v>
      </c>
      <c r="J436" s="184"/>
      <c r="K436" s="184"/>
      <c r="L436" s="184"/>
      <c r="M436" s="184"/>
      <c r="N436" s="184" t="s">
        <v>5357</v>
      </c>
      <c r="O436" s="184" t="s">
        <v>5280</v>
      </c>
      <c r="P436" s="184"/>
      <c r="Q436" s="184"/>
      <c r="R436" s="184"/>
      <c r="S436" s="184"/>
      <c r="T436" s="184" t="s">
        <v>6068</v>
      </c>
      <c r="U436" s="184" t="s">
        <v>92</v>
      </c>
      <c r="V436" s="184"/>
      <c r="W436" s="184"/>
      <c r="X436" s="184"/>
    </row>
    <row r="437" customFormat="false" ht="27.75" hidden="false" customHeight="true" outlineLevel="0" collapsed="false">
      <c r="A437" s="184" t="s">
        <v>83</v>
      </c>
      <c r="B437" s="185" t="s">
        <v>5120</v>
      </c>
      <c r="C437" s="184" t="s">
        <v>80</v>
      </c>
      <c r="D437" s="184" t="s">
        <v>6064</v>
      </c>
      <c r="E437" s="184" t="s">
        <v>84</v>
      </c>
      <c r="F437" s="184" t="n">
        <v>8</v>
      </c>
      <c r="G437" s="177" t="s">
        <v>5245</v>
      </c>
      <c r="H437" s="184" t="s">
        <v>248</v>
      </c>
      <c r="I437" s="184" t="s">
        <v>5179</v>
      </c>
      <c r="J437" s="184"/>
      <c r="K437" s="184"/>
      <c r="L437" s="184"/>
      <c r="M437" s="184"/>
      <c r="N437" s="184" t="s">
        <v>5246</v>
      </c>
      <c r="O437" s="184" t="s">
        <v>5247</v>
      </c>
      <c r="P437" s="184"/>
      <c r="Q437" s="184"/>
      <c r="R437" s="184" t="s">
        <v>5248</v>
      </c>
      <c r="S437" s="184"/>
      <c r="T437" s="184"/>
      <c r="U437" s="184"/>
      <c r="V437" s="184"/>
      <c r="W437" s="184"/>
      <c r="X437" s="184"/>
    </row>
    <row r="438" customFormat="false" ht="68.25" hidden="false" customHeight="true" outlineLevel="0" collapsed="false">
      <c r="A438" s="184" t="s">
        <v>83</v>
      </c>
      <c r="B438" s="185" t="s">
        <v>5120</v>
      </c>
      <c r="C438" s="184" t="s">
        <v>80</v>
      </c>
      <c r="D438" s="184" t="s">
        <v>6064</v>
      </c>
      <c r="E438" s="184" t="s">
        <v>84</v>
      </c>
      <c r="F438" s="184" t="n">
        <v>9</v>
      </c>
      <c r="G438" s="176" t="s">
        <v>5249</v>
      </c>
      <c r="H438" s="184" t="s">
        <v>248</v>
      </c>
      <c r="I438" s="184" t="s">
        <v>5250</v>
      </c>
      <c r="J438" s="184"/>
      <c r="K438" s="184"/>
      <c r="L438" s="184"/>
      <c r="M438" s="184"/>
      <c r="N438" s="184" t="s">
        <v>6069</v>
      </c>
      <c r="O438" s="184" t="s">
        <v>6070</v>
      </c>
      <c r="P438" s="184"/>
      <c r="Q438" s="184"/>
      <c r="R438" s="184"/>
      <c r="S438" s="184"/>
      <c r="T438" s="184"/>
      <c r="U438" s="184"/>
      <c r="V438" s="184"/>
      <c r="W438" s="184"/>
      <c r="X438" s="184"/>
    </row>
    <row r="439" customFormat="false" ht="27.75" hidden="false" customHeight="true" outlineLevel="0" collapsed="false">
      <c r="A439" s="184" t="s">
        <v>83</v>
      </c>
      <c r="B439" s="185" t="s">
        <v>5120</v>
      </c>
      <c r="C439" s="184" t="s">
        <v>80</v>
      </c>
      <c r="D439" s="184" t="s">
        <v>6064</v>
      </c>
      <c r="E439" s="184" t="s">
        <v>84</v>
      </c>
      <c r="F439" s="184" t="n">
        <v>10</v>
      </c>
      <c r="G439" s="176" t="s">
        <v>5253</v>
      </c>
      <c r="H439" s="184" t="s">
        <v>248</v>
      </c>
      <c r="I439" s="184" t="s">
        <v>6071</v>
      </c>
      <c r="J439" s="184"/>
      <c r="K439" s="184"/>
      <c r="L439" s="184"/>
      <c r="M439" s="184"/>
      <c r="N439" s="184" t="s">
        <v>6072</v>
      </c>
      <c r="O439" s="184" t="s">
        <v>6073</v>
      </c>
      <c r="P439" s="184"/>
      <c r="Q439" s="184"/>
      <c r="R439" s="184"/>
      <c r="S439" s="184"/>
      <c r="T439" s="184" t="s">
        <v>6074</v>
      </c>
      <c r="U439" s="184" t="s">
        <v>5386</v>
      </c>
      <c r="V439" s="184"/>
      <c r="W439" s="184"/>
      <c r="X439" s="184"/>
    </row>
    <row r="440" customFormat="false" ht="27.75" hidden="false" customHeight="true" outlineLevel="0" collapsed="false">
      <c r="A440" s="184" t="s">
        <v>83</v>
      </c>
      <c r="B440" s="185" t="s">
        <v>5120</v>
      </c>
      <c r="C440" s="184" t="s">
        <v>80</v>
      </c>
      <c r="D440" s="184" t="s">
        <v>6064</v>
      </c>
      <c r="E440" s="184" t="s">
        <v>84</v>
      </c>
      <c r="F440" s="184" t="n">
        <v>11</v>
      </c>
      <c r="G440" s="176" t="s">
        <v>5253</v>
      </c>
      <c r="H440" s="184" t="s">
        <v>248</v>
      </c>
      <c r="I440" s="184" t="s">
        <v>6075</v>
      </c>
      <c r="J440" s="184"/>
      <c r="K440" s="184"/>
      <c r="L440" s="184"/>
      <c r="M440" s="184"/>
      <c r="N440" s="184" t="s">
        <v>6076</v>
      </c>
      <c r="O440" s="184" t="s">
        <v>6077</v>
      </c>
      <c r="P440" s="184"/>
      <c r="Q440" s="184"/>
      <c r="R440" s="184"/>
      <c r="S440" s="184"/>
      <c r="T440" s="184" t="s">
        <v>6078</v>
      </c>
      <c r="U440" s="184" t="s">
        <v>5308</v>
      </c>
      <c r="V440" s="184"/>
      <c r="W440" s="184"/>
      <c r="X440" s="184"/>
    </row>
    <row r="441" customFormat="false" ht="27.75" hidden="false" customHeight="true" outlineLevel="0" collapsed="false">
      <c r="A441" s="184" t="s">
        <v>83</v>
      </c>
      <c r="B441" s="185" t="s">
        <v>5120</v>
      </c>
      <c r="C441" s="184" t="s">
        <v>80</v>
      </c>
      <c r="D441" s="184" t="s">
        <v>6064</v>
      </c>
      <c r="E441" s="184" t="s">
        <v>84</v>
      </c>
      <c r="F441" s="184" t="n">
        <v>12</v>
      </c>
      <c r="G441" s="176" t="s">
        <v>5253</v>
      </c>
      <c r="H441" s="184" t="s">
        <v>248</v>
      </c>
      <c r="I441" s="184" t="s">
        <v>6079</v>
      </c>
      <c r="J441" s="184"/>
      <c r="K441" s="184"/>
      <c r="L441" s="184"/>
      <c r="M441" s="184"/>
      <c r="N441" s="184" t="s">
        <v>6080</v>
      </c>
      <c r="O441" s="184" t="s">
        <v>6081</v>
      </c>
      <c r="P441" s="184"/>
      <c r="Q441" s="184"/>
      <c r="R441" s="184"/>
      <c r="S441" s="184"/>
      <c r="T441" s="184" t="s">
        <v>6082</v>
      </c>
      <c r="U441" s="184" t="s">
        <v>5312</v>
      </c>
      <c r="V441" s="184"/>
      <c r="W441" s="184"/>
      <c r="X441" s="184"/>
    </row>
    <row r="442" customFormat="false" ht="108.75" hidden="false" customHeight="true" outlineLevel="0" collapsed="false">
      <c r="A442" s="184" t="s">
        <v>83</v>
      </c>
      <c r="B442" s="185" t="s">
        <v>5120</v>
      </c>
      <c r="C442" s="184" t="s">
        <v>80</v>
      </c>
      <c r="D442" s="184" t="s">
        <v>6064</v>
      </c>
      <c r="E442" s="184" t="s">
        <v>84</v>
      </c>
      <c r="F442" s="184" t="n">
        <v>13</v>
      </c>
      <c r="G442" s="178" t="s">
        <v>5269</v>
      </c>
      <c r="H442" s="184" t="s">
        <v>5270</v>
      </c>
      <c r="I442" s="186" t="s">
        <v>5271</v>
      </c>
      <c r="J442" s="184"/>
      <c r="K442" s="184"/>
      <c r="L442" s="184"/>
      <c r="M442" s="184"/>
      <c r="N442" s="184" t="s">
        <v>5272</v>
      </c>
      <c r="O442" s="184" t="s">
        <v>5272</v>
      </c>
      <c r="P442" s="184"/>
      <c r="Q442" s="184"/>
      <c r="R442" s="184" t="s">
        <v>5410</v>
      </c>
      <c r="S442" s="184"/>
      <c r="T442" s="184"/>
      <c r="U442" s="184"/>
      <c r="V442" s="184"/>
      <c r="W442" s="184"/>
      <c r="X442" s="184"/>
    </row>
    <row r="443" customFormat="false" ht="68.25" hidden="false" customHeight="true" outlineLevel="0" collapsed="false">
      <c r="A443" s="184" t="s">
        <v>83</v>
      </c>
      <c r="B443" s="185" t="s">
        <v>5120</v>
      </c>
      <c r="C443" s="184" t="s">
        <v>80</v>
      </c>
      <c r="D443" s="184" t="s">
        <v>6064</v>
      </c>
      <c r="E443" s="184" t="s">
        <v>84</v>
      </c>
      <c r="F443" s="184" t="n">
        <v>14</v>
      </c>
      <c r="G443" s="178" t="s">
        <v>5269</v>
      </c>
      <c r="H443" s="184" t="s">
        <v>5270</v>
      </c>
      <c r="I443" s="184" t="s">
        <v>5274</v>
      </c>
      <c r="J443" s="184"/>
      <c r="K443" s="184"/>
      <c r="L443" s="184"/>
      <c r="M443" s="184"/>
      <c r="N443" s="184" t="s">
        <v>5272</v>
      </c>
      <c r="O443" s="184" t="s">
        <v>5272</v>
      </c>
      <c r="P443" s="184"/>
      <c r="Q443" s="184"/>
      <c r="R443" s="184" t="s">
        <v>6032</v>
      </c>
      <c r="S443" s="184"/>
      <c r="T443" s="184"/>
      <c r="U443" s="184"/>
      <c r="V443" s="184"/>
      <c r="W443" s="184"/>
      <c r="X443" s="184"/>
    </row>
    <row r="444" customFormat="false" ht="27.75" hidden="false" customHeight="true" outlineLevel="0" collapsed="false">
      <c r="A444" s="184" t="s">
        <v>83</v>
      </c>
      <c r="B444" s="185" t="s">
        <v>5120</v>
      </c>
      <c r="C444" s="184" t="s">
        <v>80</v>
      </c>
      <c r="D444" s="184" t="s">
        <v>6064</v>
      </c>
      <c r="E444" s="184" t="s">
        <v>84</v>
      </c>
      <c r="F444" s="184" t="n">
        <v>15</v>
      </c>
      <c r="G444" s="177" t="s">
        <v>5276</v>
      </c>
      <c r="H444" s="184" t="s">
        <v>5270</v>
      </c>
      <c r="I444" s="184" t="s">
        <v>5277</v>
      </c>
      <c r="J444" s="184"/>
      <c r="K444" s="184"/>
      <c r="L444" s="184"/>
      <c r="M444" s="184"/>
      <c r="N444" s="184"/>
      <c r="O444" s="184"/>
      <c r="P444" s="184"/>
      <c r="Q444" s="184"/>
      <c r="R444" s="184"/>
      <c r="S444" s="184"/>
      <c r="T444" s="184"/>
      <c r="U444" s="184"/>
      <c r="V444" s="184"/>
      <c r="W444" s="184"/>
      <c r="X444" s="184"/>
    </row>
    <row r="445" customFormat="false" ht="41.25" hidden="false" customHeight="true" outlineLevel="0" collapsed="false">
      <c r="A445" s="184" t="s">
        <v>85</v>
      </c>
      <c r="B445" s="185" t="s">
        <v>5122</v>
      </c>
      <c r="C445" s="184" t="s">
        <v>87</v>
      </c>
      <c r="D445" s="184" t="s">
        <v>6083</v>
      </c>
      <c r="E445" s="184" t="s">
        <v>86</v>
      </c>
      <c r="F445" s="184" t="n">
        <v>1</v>
      </c>
      <c r="G445" s="177" t="s">
        <v>5177</v>
      </c>
      <c r="H445" s="184" t="s">
        <v>5178</v>
      </c>
      <c r="I445" s="184" t="s">
        <v>5179</v>
      </c>
      <c r="J445" s="184"/>
      <c r="K445" s="184"/>
      <c r="L445" s="184"/>
      <c r="M445" s="184"/>
      <c r="N445" s="184" t="s">
        <v>5180</v>
      </c>
      <c r="O445" s="184" t="s">
        <v>5181</v>
      </c>
      <c r="P445" s="184"/>
      <c r="Q445" s="184"/>
      <c r="R445" s="184" t="s">
        <v>5182</v>
      </c>
      <c r="S445" s="184"/>
      <c r="T445" s="184"/>
      <c r="U445" s="184"/>
      <c r="V445" s="184"/>
      <c r="W445" s="184"/>
      <c r="X445" s="184"/>
    </row>
    <row r="446" customFormat="false" ht="15" hidden="false" customHeight="true" outlineLevel="0" collapsed="false">
      <c r="A446" s="184" t="s">
        <v>85</v>
      </c>
      <c r="B446" s="185" t="s">
        <v>5122</v>
      </c>
      <c r="C446" s="184" t="s">
        <v>87</v>
      </c>
      <c r="D446" s="184" t="s">
        <v>6083</v>
      </c>
      <c r="E446" s="184" t="s">
        <v>86</v>
      </c>
      <c r="F446" s="184" t="n">
        <v>2</v>
      </c>
      <c r="G446" s="177" t="s">
        <v>5183</v>
      </c>
      <c r="H446" s="184" t="s">
        <v>5178</v>
      </c>
      <c r="I446" s="184" t="s">
        <v>87</v>
      </c>
      <c r="J446" s="184"/>
      <c r="K446" s="184"/>
      <c r="L446" s="184"/>
      <c r="M446" s="184"/>
      <c r="N446" s="184"/>
      <c r="O446" s="184"/>
      <c r="P446" s="184"/>
      <c r="Q446" s="184"/>
      <c r="R446" s="184" t="s">
        <v>5184</v>
      </c>
      <c r="S446" s="184"/>
      <c r="T446" s="184"/>
      <c r="U446" s="184"/>
      <c r="V446" s="184"/>
      <c r="W446" s="184"/>
      <c r="X446" s="184"/>
    </row>
    <row r="447" customFormat="false" ht="27.75" hidden="false" customHeight="true" outlineLevel="0" collapsed="false">
      <c r="A447" s="184" t="s">
        <v>85</v>
      </c>
      <c r="B447" s="185" t="s">
        <v>5122</v>
      </c>
      <c r="C447" s="184" t="s">
        <v>87</v>
      </c>
      <c r="D447" s="184" t="s">
        <v>6083</v>
      </c>
      <c r="E447" s="184" t="s">
        <v>86</v>
      </c>
      <c r="F447" s="184" t="n">
        <v>3</v>
      </c>
      <c r="G447" s="174" t="s">
        <v>4844</v>
      </c>
      <c r="H447" s="184" t="s">
        <v>5185</v>
      </c>
      <c r="I447" s="184" t="s">
        <v>1157</v>
      </c>
      <c r="J447" s="184" t="s">
        <v>227</v>
      </c>
      <c r="K447" s="184" t="n">
        <v>0</v>
      </c>
      <c r="L447" s="184" t="n">
        <v>1000000</v>
      </c>
      <c r="M447" s="184" t="n">
        <v>500</v>
      </c>
      <c r="N447" s="184" t="s">
        <v>5490</v>
      </c>
      <c r="O447" s="184" t="s">
        <v>5608</v>
      </c>
      <c r="P447" s="184" t="s">
        <v>5609</v>
      </c>
      <c r="Q447" s="184"/>
      <c r="R447" s="184"/>
      <c r="S447" s="184"/>
      <c r="T447" s="184" t="s">
        <v>6084</v>
      </c>
      <c r="U447" s="184" t="s">
        <v>5413</v>
      </c>
      <c r="V447" s="184" t="n">
        <v>15000</v>
      </c>
      <c r="W447" s="184" t="s">
        <v>5994</v>
      </c>
      <c r="X447" s="184" t="s">
        <v>6085</v>
      </c>
    </row>
    <row r="448" customFormat="false" ht="27.75" hidden="false" customHeight="true" outlineLevel="0" collapsed="false">
      <c r="A448" s="184" t="s">
        <v>85</v>
      </c>
      <c r="B448" s="185" t="s">
        <v>5122</v>
      </c>
      <c r="C448" s="184" t="s">
        <v>87</v>
      </c>
      <c r="D448" s="184" t="s">
        <v>6083</v>
      </c>
      <c r="E448" s="184" t="s">
        <v>86</v>
      </c>
      <c r="F448" s="184" t="n">
        <v>4</v>
      </c>
      <c r="G448" s="174" t="s">
        <v>4844</v>
      </c>
      <c r="H448" s="184" t="s">
        <v>5185</v>
      </c>
      <c r="I448" s="184" t="s">
        <v>56</v>
      </c>
      <c r="J448" s="184" t="s">
        <v>227</v>
      </c>
      <c r="K448" s="184" t="n">
        <v>0</v>
      </c>
      <c r="L448" s="184" t="n">
        <v>2000000</v>
      </c>
      <c r="M448" s="184" t="n">
        <v>1000</v>
      </c>
      <c r="N448" s="184" t="s">
        <v>5551</v>
      </c>
      <c r="O448" s="184" t="s">
        <v>5552</v>
      </c>
      <c r="P448" s="184" t="s">
        <v>5553</v>
      </c>
      <c r="Q448" s="184"/>
      <c r="R448" s="184"/>
      <c r="S448" s="184"/>
      <c r="T448" s="184" t="s">
        <v>6086</v>
      </c>
      <c r="U448" s="184" t="s">
        <v>5236</v>
      </c>
      <c r="V448" s="184" t="n">
        <v>10000</v>
      </c>
      <c r="W448" s="184" t="s">
        <v>6008</v>
      </c>
      <c r="X448" s="184" t="s">
        <v>6087</v>
      </c>
    </row>
    <row r="449" customFormat="false" ht="27.75" hidden="false" customHeight="true" outlineLevel="0" collapsed="false">
      <c r="A449" s="184" t="s">
        <v>85</v>
      </c>
      <c r="B449" s="185" t="s">
        <v>5122</v>
      </c>
      <c r="C449" s="184" t="s">
        <v>87</v>
      </c>
      <c r="D449" s="184" t="s">
        <v>6083</v>
      </c>
      <c r="E449" s="184" t="s">
        <v>86</v>
      </c>
      <c r="F449" s="184" t="n">
        <v>5</v>
      </c>
      <c r="G449" s="174" t="s">
        <v>4844</v>
      </c>
      <c r="H449" s="184" t="s">
        <v>5185</v>
      </c>
      <c r="I449" s="184" t="s">
        <v>1160</v>
      </c>
      <c r="J449" s="184" t="s">
        <v>227</v>
      </c>
      <c r="K449" s="184" t="n">
        <v>0</v>
      </c>
      <c r="L449" s="184" t="n">
        <v>3000000</v>
      </c>
      <c r="M449" s="184" t="n">
        <v>1000</v>
      </c>
      <c r="N449" s="184" t="s">
        <v>5186</v>
      </c>
      <c r="O449" s="184" t="s">
        <v>5640</v>
      </c>
      <c r="P449" s="184" t="s">
        <v>5641</v>
      </c>
      <c r="Q449" s="184"/>
      <c r="R449" s="184"/>
      <c r="S449" s="184"/>
      <c r="T449" s="184" t="s">
        <v>6088</v>
      </c>
      <c r="U449" s="184" t="s">
        <v>5288</v>
      </c>
      <c r="V449" s="184" t="n">
        <v>60000</v>
      </c>
      <c r="W449" s="184" t="s">
        <v>6089</v>
      </c>
      <c r="X449" s="184" t="s">
        <v>6090</v>
      </c>
    </row>
    <row r="450" customFormat="false" ht="27.75" hidden="false" customHeight="true" outlineLevel="0" collapsed="false">
      <c r="A450" s="184" t="s">
        <v>85</v>
      </c>
      <c r="B450" s="185" t="s">
        <v>5122</v>
      </c>
      <c r="C450" s="184" t="s">
        <v>87</v>
      </c>
      <c r="D450" s="184" t="s">
        <v>6083</v>
      </c>
      <c r="E450" s="184" t="s">
        <v>86</v>
      </c>
      <c r="F450" s="184" t="n">
        <v>6</v>
      </c>
      <c r="G450" s="174" t="s">
        <v>4844</v>
      </c>
      <c r="H450" s="184" t="s">
        <v>5185</v>
      </c>
      <c r="I450" s="184" t="s">
        <v>1162</v>
      </c>
      <c r="J450" s="184" t="s">
        <v>227</v>
      </c>
      <c r="K450" s="184" t="n">
        <v>0</v>
      </c>
      <c r="L450" s="184" t="n">
        <v>5000000</v>
      </c>
      <c r="M450" s="184" t="n">
        <v>5000</v>
      </c>
      <c r="N450" s="184" t="s">
        <v>5319</v>
      </c>
      <c r="O450" s="184" t="s">
        <v>6091</v>
      </c>
      <c r="P450" s="184" t="s">
        <v>6092</v>
      </c>
      <c r="Q450" s="184"/>
      <c r="R450" s="184"/>
      <c r="S450" s="184"/>
      <c r="T450" s="184" t="s">
        <v>6093</v>
      </c>
      <c r="U450" s="184" t="s">
        <v>5292</v>
      </c>
      <c r="V450" s="184" t="n">
        <v>350000</v>
      </c>
      <c r="W450" s="184" t="s">
        <v>6094</v>
      </c>
      <c r="X450" s="184" t="s">
        <v>6095</v>
      </c>
    </row>
    <row r="451" customFormat="false" ht="27.75" hidden="false" customHeight="true" outlineLevel="0" collapsed="false">
      <c r="A451" s="184" t="s">
        <v>85</v>
      </c>
      <c r="B451" s="185" t="s">
        <v>5122</v>
      </c>
      <c r="C451" s="184" t="s">
        <v>87</v>
      </c>
      <c r="D451" s="184" t="s">
        <v>6083</v>
      </c>
      <c r="E451" s="184" t="s">
        <v>86</v>
      </c>
      <c r="F451" s="184" t="n">
        <v>7</v>
      </c>
      <c r="G451" s="174" t="s">
        <v>4844</v>
      </c>
      <c r="H451" s="184" t="s">
        <v>5185</v>
      </c>
      <c r="I451" s="184" t="s">
        <v>529</v>
      </c>
      <c r="J451" s="184" t="s">
        <v>227</v>
      </c>
      <c r="K451" s="184" t="n">
        <v>0</v>
      </c>
      <c r="L451" s="184" t="n">
        <v>3000000</v>
      </c>
      <c r="M451" s="184" t="n">
        <v>5000</v>
      </c>
      <c r="N451" s="184" t="s">
        <v>5357</v>
      </c>
      <c r="O451" s="184" t="s">
        <v>5280</v>
      </c>
      <c r="P451" s="184" t="s">
        <v>5281</v>
      </c>
      <c r="Q451" s="184"/>
      <c r="R451" s="184"/>
      <c r="S451" s="184"/>
      <c r="T451" s="184" t="s">
        <v>6096</v>
      </c>
      <c r="U451" s="184" t="s">
        <v>5368</v>
      </c>
      <c r="V451" s="184" t="n">
        <v>250000</v>
      </c>
      <c r="W451" s="184" t="s">
        <v>6089</v>
      </c>
      <c r="X451" s="184" t="s">
        <v>6097</v>
      </c>
    </row>
    <row r="452" customFormat="false" ht="41.25" hidden="false" customHeight="true" outlineLevel="0" collapsed="false">
      <c r="A452" s="184" t="s">
        <v>85</v>
      </c>
      <c r="B452" s="185" t="s">
        <v>5122</v>
      </c>
      <c r="C452" s="184" t="s">
        <v>87</v>
      </c>
      <c r="D452" s="184" t="s">
        <v>6083</v>
      </c>
      <c r="E452" s="184" t="s">
        <v>86</v>
      </c>
      <c r="F452" s="184" t="n">
        <v>8</v>
      </c>
      <c r="G452" s="174" t="s">
        <v>4844</v>
      </c>
      <c r="H452" s="184" t="s">
        <v>5185</v>
      </c>
      <c r="I452" s="184" t="s">
        <v>1165</v>
      </c>
      <c r="J452" s="184" t="s">
        <v>227</v>
      </c>
      <c r="K452" s="184" t="n">
        <v>0</v>
      </c>
      <c r="L452" s="184" t="n">
        <v>500000</v>
      </c>
      <c r="M452" s="184" t="n">
        <v>500</v>
      </c>
      <c r="N452" s="184" t="s">
        <v>6038</v>
      </c>
      <c r="O452" s="184" t="s">
        <v>5997</v>
      </c>
      <c r="P452" s="184" t="s">
        <v>5998</v>
      </c>
      <c r="Q452" s="184"/>
      <c r="R452" s="184"/>
      <c r="S452" s="184"/>
      <c r="T452" s="184" t="s">
        <v>6098</v>
      </c>
      <c r="U452" s="184" t="s">
        <v>5559</v>
      </c>
      <c r="V452" s="184" t="n">
        <v>8000</v>
      </c>
      <c r="W452" s="184" t="s">
        <v>6099</v>
      </c>
      <c r="X452" s="184" t="s">
        <v>6100</v>
      </c>
    </row>
    <row r="453" customFormat="false" ht="15" hidden="false" customHeight="true" outlineLevel="0" collapsed="false">
      <c r="A453" s="184" t="s">
        <v>85</v>
      </c>
      <c r="B453" s="185" t="s">
        <v>5122</v>
      </c>
      <c r="C453" s="184" t="s">
        <v>87</v>
      </c>
      <c r="D453" s="184" t="s">
        <v>6083</v>
      </c>
      <c r="E453" s="184" t="s">
        <v>86</v>
      </c>
      <c r="F453" s="184" t="n">
        <v>9</v>
      </c>
      <c r="G453" s="176" t="s">
        <v>248</v>
      </c>
      <c r="H453" s="184" t="s">
        <v>248</v>
      </c>
      <c r="I453" s="184" t="s">
        <v>1171</v>
      </c>
      <c r="J453" s="184"/>
      <c r="K453" s="184"/>
      <c r="L453" s="184"/>
      <c r="M453" s="184"/>
      <c r="N453" s="184" t="s">
        <v>6101</v>
      </c>
      <c r="O453" s="184" t="s">
        <v>6102</v>
      </c>
      <c r="P453" s="184"/>
      <c r="Q453" s="184"/>
      <c r="R453" s="184"/>
      <c r="S453" s="184"/>
      <c r="T453" s="184" t="s">
        <v>6103</v>
      </c>
      <c r="U453" s="184" t="s">
        <v>92</v>
      </c>
      <c r="V453" s="184"/>
      <c r="W453" s="184"/>
      <c r="X453" s="184"/>
    </row>
    <row r="454" customFormat="false" ht="27.75" hidden="false" customHeight="true" outlineLevel="0" collapsed="false">
      <c r="A454" s="184" t="s">
        <v>85</v>
      </c>
      <c r="B454" s="185" t="s">
        <v>5122</v>
      </c>
      <c r="C454" s="184" t="s">
        <v>87</v>
      </c>
      <c r="D454" s="184" t="s">
        <v>6083</v>
      </c>
      <c r="E454" s="184" t="s">
        <v>86</v>
      </c>
      <c r="F454" s="184" t="n">
        <v>10</v>
      </c>
      <c r="G454" s="177" t="s">
        <v>5245</v>
      </c>
      <c r="H454" s="184" t="s">
        <v>248</v>
      </c>
      <c r="I454" s="184" t="s">
        <v>5179</v>
      </c>
      <c r="J454" s="184"/>
      <c r="K454" s="184"/>
      <c r="L454" s="184"/>
      <c r="M454" s="184"/>
      <c r="N454" s="184" t="s">
        <v>5246</v>
      </c>
      <c r="O454" s="184" t="s">
        <v>5247</v>
      </c>
      <c r="P454" s="184"/>
      <c r="Q454" s="184"/>
      <c r="R454" s="184" t="s">
        <v>5248</v>
      </c>
      <c r="S454" s="184"/>
      <c r="T454" s="184"/>
      <c r="U454" s="184"/>
      <c r="V454" s="184"/>
      <c r="W454" s="184"/>
      <c r="X454" s="184"/>
    </row>
    <row r="455" customFormat="false" ht="81.75" hidden="false" customHeight="true" outlineLevel="0" collapsed="false">
      <c r="A455" s="184" t="s">
        <v>85</v>
      </c>
      <c r="B455" s="185" t="s">
        <v>5122</v>
      </c>
      <c r="C455" s="184" t="s">
        <v>87</v>
      </c>
      <c r="D455" s="184" t="s">
        <v>6083</v>
      </c>
      <c r="E455" s="184" t="s">
        <v>86</v>
      </c>
      <c r="F455" s="184" t="n">
        <v>11</v>
      </c>
      <c r="G455" s="176" t="s">
        <v>5249</v>
      </c>
      <c r="H455" s="184" t="s">
        <v>248</v>
      </c>
      <c r="I455" s="184" t="s">
        <v>5250</v>
      </c>
      <c r="J455" s="184"/>
      <c r="K455" s="184"/>
      <c r="L455" s="184"/>
      <c r="M455" s="184"/>
      <c r="N455" s="184" t="s">
        <v>6104</v>
      </c>
      <c r="O455" s="184" t="s">
        <v>6104</v>
      </c>
      <c r="P455" s="184"/>
      <c r="Q455" s="184"/>
      <c r="R455" s="184"/>
      <c r="S455" s="184"/>
      <c r="T455" s="184"/>
      <c r="U455" s="184"/>
      <c r="V455" s="184"/>
      <c r="W455" s="184"/>
      <c r="X455" s="184"/>
    </row>
    <row r="456" customFormat="false" ht="15" hidden="false" customHeight="true" outlineLevel="0" collapsed="false">
      <c r="A456" s="184" t="s">
        <v>85</v>
      </c>
      <c r="B456" s="185" t="s">
        <v>5122</v>
      </c>
      <c r="C456" s="184" t="s">
        <v>87</v>
      </c>
      <c r="D456" s="184" t="s">
        <v>6083</v>
      </c>
      <c r="E456" s="184" t="s">
        <v>86</v>
      </c>
      <c r="F456" s="184" t="n">
        <v>12</v>
      </c>
      <c r="G456" s="176" t="s">
        <v>5253</v>
      </c>
      <c r="H456" s="184" t="s">
        <v>248</v>
      </c>
      <c r="I456" s="184" t="s">
        <v>1173</v>
      </c>
      <c r="J456" s="184"/>
      <c r="K456" s="184"/>
      <c r="L456" s="184"/>
      <c r="M456" s="184"/>
      <c r="N456" s="184" t="s">
        <v>6105</v>
      </c>
      <c r="O456" s="184" t="s">
        <v>6106</v>
      </c>
      <c r="P456" s="184"/>
      <c r="Q456" s="184"/>
      <c r="R456" s="184"/>
      <c r="S456" s="184"/>
      <c r="T456" s="184" t="s">
        <v>6107</v>
      </c>
      <c r="U456" s="184" t="s">
        <v>94</v>
      </c>
      <c r="V456" s="184"/>
      <c r="W456" s="184"/>
      <c r="X456" s="184"/>
    </row>
    <row r="457" customFormat="false" ht="15" hidden="false" customHeight="true" outlineLevel="0" collapsed="false">
      <c r="A457" s="184" t="s">
        <v>85</v>
      </c>
      <c r="B457" s="185" t="s">
        <v>5122</v>
      </c>
      <c r="C457" s="184" t="s">
        <v>87</v>
      </c>
      <c r="D457" s="184" t="s">
        <v>6083</v>
      </c>
      <c r="E457" s="184" t="s">
        <v>86</v>
      </c>
      <c r="F457" s="184" t="n">
        <v>13</v>
      </c>
      <c r="G457" s="176" t="s">
        <v>5253</v>
      </c>
      <c r="H457" s="184" t="s">
        <v>248</v>
      </c>
      <c r="I457" s="184" t="s">
        <v>1175</v>
      </c>
      <c r="J457" s="184"/>
      <c r="K457" s="184"/>
      <c r="L457" s="184"/>
      <c r="M457" s="184"/>
      <c r="N457" s="184" t="s">
        <v>6108</v>
      </c>
      <c r="O457" s="184" t="s">
        <v>6109</v>
      </c>
      <c r="P457" s="184"/>
      <c r="Q457" s="184"/>
      <c r="R457" s="184"/>
      <c r="S457" s="184"/>
      <c r="T457" s="184" t="s">
        <v>6110</v>
      </c>
      <c r="U457" s="184" t="s">
        <v>5386</v>
      </c>
      <c r="V457" s="184"/>
      <c r="W457" s="184"/>
      <c r="X457" s="184"/>
    </row>
    <row r="458" customFormat="false" ht="95.25" hidden="false" customHeight="true" outlineLevel="0" collapsed="false">
      <c r="A458" s="184" t="s">
        <v>85</v>
      </c>
      <c r="B458" s="185" t="s">
        <v>5122</v>
      </c>
      <c r="C458" s="184" t="s">
        <v>87</v>
      </c>
      <c r="D458" s="184" t="s">
        <v>6083</v>
      </c>
      <c r="E458" s="184" t="s">
        <v>86</v>
      </c>
      <c r="F458" s="184" t="n">
        <v>14</v>
      </c>
      <c r="G458" s="178" t="s">
        <v>5269</v>
      </c>
      <c r="H458" s="184" t="s">
        <v>5270</v>
      </c>
      <c r="I458" s="186" t="s">
        <v>5271</v>
      </c>
      <c r="J458" s="184"/>
      <c r="K458" s="184"/>
      <c r="L458" s="184"/>
      <c r="M458" s="184"/>
      <c r="N458" s="184" t="s">
        <v>5272</v>
      </c>
      <c r="O458" s="184" t="s">
        <v>5272</v>
      </c>
      <c r="P458" s="184"/>
      <c r="Q458" s="184"/>
      <c r="R458" s="184" t="s">
        <v>5893</v>
      </c>
      <c r="S458" s="184"/>
      <c r="T458" s="184"/>
      <c r="U458" s="184"/>
      <c r="V458" s="184"/>
      <c r="W458" s="184"/>
      <c r="X458" s="184"/>
    </row>
    <row r="459" customFormat="false" ht="68.25" hidden="false" customHeight="true" outlineLevel="0" collapsed="false">
      <c r="A459" s="184" t="s">
        <v>85</v>
      </c>
      <c r="B459" s="185" t="s">
        <v>5122</v>
      </c>
      <c r="C459" s="184" t="s">
        <v>87</v>
      </c>
      <c r="D459" s="184" t="s">
        <v>6083</v>
      </c>
      <c r="E459" s="184" t="s">
        <v>86</v>
      </c>
      <c r="F459" s="184" t="n">
        <v>15</v>
      </c>
      <c r="G459" s="178" t="s">
        <v>5269</v>
      </c>
      <c r="H459" s="184" t="s">
        <v>5270</v>
      </c>
      <c r="I459" s="184" t="s">
        <v>5274</v>
      </c>
      <c r="J459" s="184"/>
      <c r="K459" s="184"/>
      <c r="L459" s="184"/>
      <c r="M459" s="184"/>
      <c r="N459" s="184" t="s">
        <v>5272</v>
      </c>
      <c r="O459" s="184" t="s">
        <v>5272</v>
      </c>
      <c r="P459" s="184"/>
      <c r="Q459" s="184"/>
      <c r="R459" s="184" t="s">
        <v>5520</v>
      </c>
      <c r="S459" s="184"/>
      <c r="T459" s="184"/>
      <c r="U459" s="184"/>
      <c r="V459" s="184"/>
      <c r="W459" s="184"/>
      <c r="X459" s="184"/>
    </row>
    <row r="460" customFormat="false" ht="27.75" hidden="false" customHeight="true" outlineLevel="0" collapsed="false">
      <c r="A460" s="184" t="s">
        <v>85</v>
      </c>
      <c r="B460" s="185" t="s">
        <v>5122</v>
      </c>
      <c r="C460" s="184" t="s">
        <v>87</v>
      </c>
      <c r="D460" s="184" t="s">
        <v>6083</v>
      </c>
      <c r="E460" s="184" t="s">
        <v>86</v>
      </c>
      <c r="F460" s="184" t="n">
        <v>16</v>
      </c>
      <c r="G460" s="177" t="s">
        <v>5276</v>
      </c>
      <c r="H460" s="184" t="s">
        <v>5270</v>
      </c>
      <c r="I460" s="184" t="s">
        <v>5277</v>
      </c>
      <c r="J460" s="184"/>
      <c r="K460" s="184"/>
      <c r="L460" s="184"/>
      <c r="M460" s="184"/>
      <c r="N460" s="184"/>
      <c r="O460" s="184"/>
      <c r="P460" s="184"/>
      <c r="Q460" s="184"/>
      <c r="R460" s="184"/>
      <c r="S460" s="184"/>
      <c r="T460" s="184"/>
      <c r="U460" s="184"/>
      <c r="V460" s="184"/>
      <c r="W460" s="184"/>
      <c r="X460" s="184"/>
    </row>
    <row r="461" customFormat="false" ht="41.25" hidden="false" customHeight="true" outlineLevel="0" collapsed="false">
      <c r="A461" s="184" t="s">
        <v>88</v>
      </c>
      <c r="B461" s="185" t="s">
        <v>5124</v>
      </c>
      <c r="C461" s="184" t="s">
        <v>87</v>
      </c>
      <c r="D461" s="184" t="s">
        <v>1195</v>
      </c>
      <c r="E461" s="184" t="s">
        <v>89</v>
      </c>
      <c r="F461" s="184" t="n">
        <v>1</v>
      </c>
      <c r="G461" s="177" t="s">
        <v>5177</v>
      </c>
      <c r="H461" s="184" t="s">
        <v>5178</v>
      </c>
      <c r="I461" s="184" t="s">
        <v>5179</v>
      </c>
      <c r="J461" s="184"/>
      <c r="K461" s="184"/>
      <c r="L461" s="184"/>
      <c r="M461" s="184"/>
      <c r="N461" s="184" t="s">
        <v>5180</v>
      </c>
      <c r="O461" s="184" t="s">
        <v>5181</v>
      </c>
      <c r="P461" s="184"/>
      <c r="Q461" s="184"/>
      <c r="R461" s="184" t="s">
        <v>5182</v>
      </c>
      <c r="S461" s="184"/>
      <c r="T461" s="184"/>
      <c r="U461" s="184"/>
      <c r="V461" s="184"/>
      <c r="W461" s="184"/>
      <c r="X461" s="184"/>
    </row>
    <row r="462" customFormat="false" ht="27.75" hidden="false" customHeight="true" outlineLevel="0" collapsed="false">
      <c r="A462" s="184" t="s">
        <v>88</v>
      </c>
      <c r="B462" s="185" t="s">
        <v>5124</v>
      </c>
      <c r="C462" s="184" t="s">
        <v>87</v>
      </c>
      <c r="D462" s="184" t="s">
        <v>1195</v>
      </c>
      <c r="E462" s="184" t="s">
        <v>89</v>
      </c>
      <c r="F462" s="184" t="n">
        <v>2</v>
      </c>
      <c r="G462" s="177" t="s">
        <v>5183</v>
      </c>
      <c r="H462" s="184" t="s">
        <v>5178</v>
      </c>
      <c r="I462" s="184" t="s">
        <v>87</v>
      </c>
      <c r="J462" s="184"/>
      <c r="K462" s="184"/>
      <c r="L462" s="184"/>
      <c r="M462" s="184"/>
      <c r="N462" s="184"/>
      <c r="O462" s="184"/>
      <c r="P462" s="184"/>
      <c r="Q462" s="184"/>
      <c r="R462" s="184" t="s">
        <v>5184</v>
      </c>
      <c r="S462" s="184"/>
      <c r="T462" s="184"/>
      <c r="U462" s="184"/>
      <c r="V462" s="184"/>
      <c r="W462" s="184"/>
      <c r="X462" s="184"/>
    </row>
    <row r="463" customFormat="false" ht="68.25" hidden="false" customHeight="true" outlineLevel="0" collapsed="false">
      <c r="A463" s="184" t="s">
        <v>88</v>
      </c>
      <c r="B463" s="185" t="s">
        <v>5124</v>
      </c>
      <c r="C463" s="184" t="s">
        <v>87</v>
      </c>
      <c r="D463" s="184" t="s">
        <v>1195</v>
      </c>
      <c r="E463" s="184" t="s">
        <v>89</v>
      </c>
      <c r="F463" s="184" t="n">
        <v>3</v>
      </c>
      <c r="G463" s="174" t="s">
        <v>4844</v>
      </c>
      <c r="H463" s="184" t="s">
        <v>5185</v>
      </c>
      <c r="I463" s="184" t="s">
        <v>1193</v>
      </c>
      <c r="J463" s="184" t="s">
        <v>227</v>
      </c>
      <c r="K463" s="184" t="n">
        <v>500</v>
      </c>
      <c r="L463" s="184" t="n">
        <v>20000</v>
      </c>
      <c r="M463" s="184" t="n">
        <v>50</v>
      </c>
      <c r="N463" s="184" t="s">
        <v>5350</v>
      </c>
      <c r="O463" s="184" t="s">
        <v>6111</v>
      </c>
      <c r="P463" s="184" t="s">
        <v>6112</v>
      </c>
      <c r="Q463" s="184"/>
      <c r="R463" s="184"/>
      <c r="S463" s="184"/>
      <c r="T463" s="184" t="s">
        <v>6113</v>
      </c>
      <c r="U463" s="184" t="s">
        <v>5190</v>
      </c>
      <c r="V463" s="184" t="n">
        <v>3500</v>
      </c>
      <c r="W463" s="184" t="s">
        <v>6114</v>
      </c>
      <c r="X463" s="184" t="s">
        <v>6115</v>
      </c>
    </row>
    <row r="464" customFormat="false" ht="41.25" hidden="false" customHeight="true" outlineLevel="0" collapsed="false">
      <c r="A464" s="184" t="s">
        <v>88</v>
      </c>
      <c r="B464" s="185" t="s">
        <v>5124</v>
      </c>
      <c r="C464" s="184" t="s">
        <v>87</v>
      </c>
      <c r="D464" s="184" t="s">
        <v>1195</v>
      </c>
      <c r="E464" s="184" t="s">
        <v>89</v>
      </c>
      <c r="F464" s="184" t="n">
        <v>4</v>
      </c>
      <c r="G464" s="174" t="s">
        <v>4844</v>
      </c>
      <c r="H464" s="184" t="s">
        <v>5185</v>
      </c>
      <c r="I464" s="184" t="s">
        <v>1187</v>
      </c>
      <c r="J464" s="184" t="s">
        <v>227</v>
      </c>
      <c r="K464" s="184" t="n">
        <v>0</v>
      </c>
      <c r="L464" s="184" t="n">
        <v>15000</v>
      </c>
      <c r="M464" s="184" t="n">
        <v>50</v>
      </c>
      <c r="N464" s="184" t="s">
        <v>5262</v>
      </c>
      <c r="O464" s="184" t="s">
        <v>6116</v>
      </c>
      <c r="P464" s="184" t="s">
        <v>6117</v>
      </c>
      <c r="Q464" s="184"/>
      <c r="R464" s="184"/>
      <c r="S464" s="184"/>
      <c r="T464" s="184" t="s">
        <v>6118</v>
      </c>
      <c r="U464" s="184" t="s">
        <v>5197</v>
      </c>
      <c r="V464" s="184" t="n">
        <v>2000</v>
      </c>
      <c r="W464" s="184" t="s">
        <v>6119</v>
      </c>
      <c r="X464" s="184" t="s">
        <v>6120</v>
      </c>
    </row>
    <row r="465" customFormat="false" ht="27.75" hidden="false" customHeight="true" outlineLevel="0" collapsed="false">
      <c r="A465" s="184" t="s">
        <v>88</v>
      </c>
      <c r="B465" s="185" t="s">
        <v>5124</v>
      </c>
      <c r="C465" s="184" t="s">
        <v>87</v>
      </c>
      <c r="D465" s="184" t="s">
        <v>1195</v>
      </c>
      <c r="E465" s="184" t="s">
        <v>89</v>
      </c>
      <c r="F465" s="184" t="n">
        <v>5</v>
      </c>
      <c r="G465" s="174" t="s">
        <v>4844</v>
      </c>
      <c r="H465" s="184" t="s">
        <v>5185</v>
      </c>
      <c r="I465" s="184" t="s">
        <v>1189</v>
      </c>
      <c r="J465" s="184" t="s">
        <v>227</v>
      </c>
      <c r="K465" s="184" t="n">
        <v>0</v>
      </c>
      <c r="L465" s="184" t="n">
        <v>10000</v>
      </c>
      <c r="M465" s="184" t="n">
        <v>50</v>
      </c>
      <c r="N465" s="184" t="s">
        <v>5330</v>
      </c>
      <c r="O465" s="184" t="s">
        <v>5193</v>
      </c>
      <c r="P465" s="184" t="s">
        <v>5206</v>
      </c>
      <c r="Q465" s="184"/>
      <c r="R465" s="184"/>
      <c r="S465" s="184"/>
      <c r="T465" s="184" t="s">
        <v>6121</v>
      </c>
      <c r="U465" s="184" t="s">
        <v>5203</v>
      </c>
      <c r="V465" s="184" t="n">
        <v>800</v>
      </c>
      <c r="W465" s="184" t="s">
        <v>6122</v>
      </c>
      <c r="X465" s="184" t="s">
        <v>6123</v>
      </c>
    </row>
    <row r="466" customFormat="false" ht="41.25" hidden="false" customHeight="true" outlineLevel="0" collapsed="false">
      <c r="A466" s="184" t="s">
        <v>88</v>
      </c>
      <c r="B466" s="185" t="s">
        <v>5124</v>
      </c>
      <c r="C466" s="184" t="s">
        <v>87</v>
      </c>
      <c r="D466" s="184" t="s">
        <v>1195</v>
      </c>
      <c r="E466" s="184" t="s">
        <v>89</v>
      </c>
      <c r="F466" s="184" t="n">
        <v>6</v>
      </c>
      <c r="G466" s="174" t="s">
        <v>4844</v>
      </c>
      <c r="H466" s="184" t="s">
        <v>5185</v>
      </c>
      <c r="I466" s="184" t="s">
        <v>1191</v>
      </c>
      <c r="J466" s="184" t="s">
        <v>227</v>
      </c>
      <c r="K466" s="184" t="n">
        <v>0</v>
      </c>
      <c r="L466" s="184" t="n">
        <v>5000</v>
      </c>
      <c r="M466" s="184" t="n">
        <v>25</v>
      </c>
      <c r="N466" s="184" t="s">
        <v>5366</v>
      </c>
      <c r="O466" s="184" t="s">
        <v>6124</v>
      </c>
      <c r="P466" s="184" t="s">
        <v>6125</v>
      </c>
      <c r="Q466" s="184"/>
      <c r="R466" s="184"/>
      <c r="S466" s="184"/>
      <c r="T466" s="184" t="s">
        <v>6126</v>
      </c>
      <c r="U466" s="184" t="s">
        <v>5209</v>
      </c>
      <c r="V466" s="184" t="n">
        <v>200</v>
      </c>
      <c r="W466" s="184" t="s">
        <v>5651</v>
      </c>
      <c r="X466" s="184" t="s">
        <v>6127</v>
      </c>
    </row>
    <row r="467" customFormat="false" ht="27.75" hidden="false" customHeight="true" outlineLevel="0" collapsed="false">
      <c r="A467" s="184" t="s">
        <v>88</v>
      </c>
      <c r="B467" s="185" t="s">
        <v>5124</v>
      </c>
      <c r="C467" s="184" t="s">
        <v>87</v>
      </c>
      <c r="D467" s="184" t="s">
        <v>1195</v>
      </c>
      <c r="E467" s="184" t="s">
        <v>89</v>
      </c>
      <c r="F467" s="184" t="n">
        <v>7</v>
      </c>
      <c r="G467" s="176" t="s">
        <v>248</v>
      </c>
      <c r="H467" s="184" t="s">
        <v>248</v>
      </c>
      <c r="I467" s="184" t="s">
        <v>1195</v>
      </c>
      <c r="J467" s="184"/>
      <c r="K467" s="184"/>
      <c r="L467" s="184"/>
      <c r="M467" s="184"/>
      <c r="N467" s="184" t="s">
        <v>5646</v>
      </c>
      <c r="O467" s="184" t="s">
        <v>6128</v>
      </c>
      <c r="P467" s="184"/>
      <c r="Q467" s="184"/>
      <c r="R467" s="184"/>
      <c r="S467" s="184"/>
      <c r="T467" s="184" t="s">
        <v>6129</v>
      </c>
      <c r="U467" s="184" t="s">
        <v>66</v>
      </c>
      <c r="V467" s="184"/>
      <c r="W467" s="184"/>
      <c r="X467" s="184"/>
    </row>
    <row r="468" customFormat="false" ht="27.75" hidden="false" customHeight="true" outlineLevel="0" collapsed="false">
      <c r="A468" s="184" t="s">
        <v>88</v>
      </c>
      <c r="B468" s="185" t="s">
        <v>5124</v>
      </c>
      <c r="C468" s="184" t="s">
        <v>87</v>
      </c>
      <c r="D468" s="184" t="s">
        <v>1195</v>
      </c>
      <c r="E468" s="184" t="s">
        <v>89</v>
      </c>
      <c r="F468" s="184" t="n">
        <v>8</v>
      </c>
      <c r="G468" s="177" t="s">
        <v>5245</v>
      </c>
      <c r="H468" s="184" t="s">
        <v>248</v>
      </c>
      <c r="I468" s="184" t="s">
        <v>5179</v>
      </c>
      <c r="J468" s="184"/>
      <c r="K468" s="184"/>
      <c r="L468" s="184"/>
      <c r="M468" s="184"/>
      <c r="N468" s="184" t="s">
        <v>5246</v>
      </c>
      <c r="O468" s="184" t="s">
        <v>5247</v>
      </c>
      <c r="P468" s="184"/>
      <c r="Q468" s="184"/>
      <c r="R468" s="184" t="s">
        <v>5248</v>
      </c>
      <c r="S468" s="184"/>
      <c r="T468" s="184"/>
      <c r="U468" s="184"/>
      <c r="V468" s="184"/>
      <c r="W468" s="184"/>
      <c r="X468" s="184"/>
    </row>
    <row r="469" customFormat="false" ht="27.75" hidden="false" customHeight="true" outlineLevel="0" collapsed="false">
      <c r="A469" s="184" t="s">
        <v>88</v>
      </c>
      <c r="B469" s="185" t="s">
        <v>5124</v>
      </c>
      <c r="C469" s="184" t="s">
        <v>87</v>
      </c>
      <c r="D469" s="184" t="s">
        <v>1195</v>
      </c>
      <c r="E469" s="184" t="s">
        <v>89</v>
      </c>
      <c r="F469" s="184" t="n">
        <v>9</v>
      </c>
      <c r="G469" s="176" t="s">
        <v>5249</v>
      </c>
      <c r="H469" s="184" t="s">
        <v>248</v>
      </c>
      <c r="I469" s="184" t="s">
        <v>5250</v>
      </c>
      <c r="J469" s="184"/>
      <c r="K469" s="184"/>
      <c r="L469" s="184"/>
      <c r="M469" s="184"/>
      <c r="N469" s="184" t="s">
        <v>6130</v>
      </c>
      <c r="O469" s="184" t="s">
        <v>6131</v>
      </c>
      <c r="P469" s="184"/>
      <c r="Q469" s="184"/>
      <c r="R469" s="184"/>
      <c r="S469" s="184"/>
      <c r="T469" s="184"/>
      <c r="U469" s="184"/>
      <c r="V469" s="184"/>
      <c r="W469" s="184"/>
      <c r="X469" s="184"/>
    </row>
    <row r="470" customFormat="false" ht="27.75" hidden="false" customHeight="true" outlineLevel="0" collapsed="false">
      <c r="A470" s="184" t="s">
        <v>88</v>
      </c>
      <c r="B470" s="185" t="s">
        <v>5124</v>
      </c>
      <c r="C470" s="184" t="s">
        <v>87</v>
      </c>
      <c r="D470" s="184" t="s">
        <v>1195</v>
      </c>
      <c r="E470" s="184" t="s">
        <v>89</v>
      </c>
      <c r="F470" s="184" t="n">
        <v>10</v>
      </c>
      <c r="G470" s="176" t="s">
        <v>5253</v>
      </c>
      <c r="H470" s="184" t="s">
        <v>248</v>
      </c>
      <c r="I470" s="184" t="s">
        <v>6132</v>
      </c>
      <c r="J470" s="184"/>
      <c r="K470" s="184"/>
      <c r="L470" s="184"/>
      <c r="M470" s="184"/>
      <c r="N470" s="184" t="s">
        <v>5350</v>
      </c>
      <c r="O470" s="184" t="s">
        <v>6111</v>
      </c>
      <c r="P470" s="184"/>
      <c r="Q470" s="184"/>
      <c r="R470" s="184"/>
      <c r="S470" s="184"/>
      <c r="T470" s="184"/>
      <c r="U470" s="184"/>
      <c r="V470" s="184"/>
      <c r="W470" s="184"/>
      <c r="X470" s="184"/>
    </row>
    <row r="471" customFormat="false" ht="27.75" hidden="false" customHeight="true" outlineLevel="0" collapsed="false">
      <c r="A471" s="184" t="s">
        <v>88</v>
      </c>
      <c r="B471" s="185" t="s">
        <v>5124</v>
      </c>
      <c r="C471" s="184" t="s">
        <v>87</v>
      </c>
      <c r="D471" s="184" t="s">
        <v>1195</v>
      </c>
      <c r="E471" s="184" t="s">
        <v>89</v>
      </c>
      <c r="F471" s="184" t="n">
        <v>11</v>
      </c>
      <c r="G471" s="176" t="s">
        <v>5253</v>
      </c>
      <c r="H471" s="184" t="s">
        <v>248</v>
      </c>
      <c r="I471" s="184" t="s">
        <v>1197</v>
      </c>
      <c r="J471" s="184"/>
      <c r="K471" s="184"/>
      <c r="L471" s="184"/>
      <c r="M471" s="184"/>
      <c r="N471" s="184" t="s">
        <v>5229</v>
      </c>
      <c r="O471" s="184" t="s">
        <v>6133</v>
      </c>
      <c r="P471" s="184"/>
      <c r="Q471" s="184"/>
      <c r="R471" s="184"/>
      <c r="S471" s="184"/>
      <c r="T471" s="184" t="s">
        <v>6134</v>
      </c>
      <c r="U471" s="184" t="s">
        <v>68</v>
      </c>
      <c r="V471" s="184"/>
      <c r="W471" s="184"/>
      <c r="X471" s="184"/>
    </row>
    <row r="472" customFormat="false" ht="122.25" hidden="false" customHeight="true" outlineLevel="0" collapsed="false">
      <c r="A472" s="184" t="s">
        <v>88</v>
      </c>
      <c r="B472" s="185" t="s">
        <v>5124</v>
      </c>
      <c r="C472" s="184" t="s">
        <v>87</v>
      </c>
      <c r="D472" s="184" t="s">
        <v>1195</v>
      </c>
      <c r="E472" s="184" t="s">
        <v>89</v>
      </c>
      <c r="F472" s="184" t="n">
        <v>12</v>
      </c>
      <c r="G472" s="178" t="s">
        <v>5269</v>
      </c>
      <c r="H472" s="184" t="s">
        <v>5270</v>
      </c>
      <c r="I472" s="186" t="s">
        <v>5271</v>
      </c>
      <c r="J472" s="184"/>
      <c r="K472" s="184"/>
      <c r="L472" s="184"/>
      <c r="M472" s="184"/>
      <c r="N472" s="184" t="s">
        <v>5272</v>
      </c>
      <c r="O472" s="184" t="s">
        <v>5272</v>
      </c>
      <c r="P472" s="184"/>
      <c r="Q472" s="184"/>
      <c r="R472" s="184" t="s">
        <v>6135</v>
      </c>
      <c r="S472" s="184"/>
      <c r="T472" s="184"/>
      <c r="U472" s="184"/>
      <c r="V472" s="184"/>
      <c r="W472" s="184"/>
      <c r="X472" s="184"/>
    </row>
    <row r="473" customFormat="false" ht="68.25" hidden="false" customHeight="true" outlineLevel="0" collapsed="false">
      <c r="A473" s="184" t="s">
        <v>88</v>
      </c>
      <c r="B473" s="185" t="s">
        <v>5124</v>
      </c>
      <c r="C473" s="184" t="s">
        <v>87</v>
      </c>
      <c r="D473" s="184" t="s">
        <v>1195</v>
      </c>
      <c r="E473" s="184" t="s">
        <v>89</v>
      </c>
      <c r="F473" s="184" t="n">
        <v>13</v>
      </c>
      <c r="G473" s="178" t="s">
        <v>5269</v>
      </c>
      <c r="H473" s="184" t="s">
        <v>5270</v>
      </c>
      <c r="I473" s="184" t="s">
        <v>5274</v>
      </c>
      <c r="J473" s="184"/>
      <c r="K473" s="184"/>
      <c r="L473" s="184"/>
      <c r="M473" s="184"/>
      <c r="N473" s="184" t="s">
        <v>5272</v>
      </c>
      <c r="O473" s="184" t="s">
        <v>5272</v>
      </c>
      <c r="P473" s="184"/>
      <c r="Q473" s="184"/>
      <c r="R473" s="184" t="s">
        <v>5520</v>
      </c>
      <c r="S473" s="184"/>
      <c r="T473" s="184"/>
      <c r="U473" s="184"/>
      <c r="V473" s="184"/>
      <c r="W473" s="184"/>
      <c r="X473" s="184"/>
    </row>
    <row r="474" customFormat="false" ht="27.75" hidden="false" customHeight="true" outlineLevel="0" collapsed="false">
      <c r="A474" s="184" t="s">
        <v>88</v>
      </c>
      <c r="B474" s="185" t="s">
        <v>5124</v>
      </c>
      <c r="C474" s="184" t="s">
        <v>87</v>
      </c>
      <c r="D474" s="184" t="s">
        <v>1195</v>
      </c>
      <c r="E474" s="184" t="s">
        <v>89</v>
      </c>
      <c r="F474" s="184" t="n">
        <v>14</v>
      </c>
      <c r="G474" s="177" t="s">
        <v>5276</v>
      </c>
      <c r="H474" s="184" t="s">
        <v>5270</v>
      </c>
      <c r="I474" s="184" t="s">
        <v>5277</v>
      </c>
      <c r="J474" s="184"/>
      <c r="K474" s="184"/>
      <c r="L474" s="184"/>
      <c r="M474" s="184"/>
      <c r="N474" s="184"/>
      <c r="O474" s="184"/>
      <c r="P474" s="184"/>
      <c r="Q474" s="184"/>
      <c r="R474" s="184"/>
      <c r="S474" s="184"/>
      <c r="T474" s="184"/>
      <c r="U474" s="184"/>
      <c r="V474" s="184"/>
      <c r="W474" s="184"/>
      <c r="X474" s="184"/>
    </row>
    <row r="475" customFormat="false" ht="41.25" hidden="false" customHeight="true" outlineLevel="0" collapsed="false">
      <c r="A475" s="184" t="s">
        <v>90</v>
      </c>
      <c r="B475" s="185" t="s">
        <v>5127</v>
      </c>
      <c r="C475" s="184" t="s">
        <v>87</v>
      </c>
      <c r="D475" s="184" t="s">
        <v>6136</v>
      </c>
      <c r="E475" s="184" t="s">
        <v>91</v>
      </c>
      <c r="F475" s="184" t="n">
        <v>1</v>
      </c>
      <c r="G475" s="177" t="s">
        <v>5177</v>
      </c>
      <c r="H475" s="184" t="s">
        <v>5178</v>
      </c>
      <c r="I475" s="184" t="s">
        <v>5179</v>
      </c>
      <c r="J475" s="184"/>
      <c r="K475" s="184"/>
      <c r="L475" s="184"/>
      <c r="M475" s="184"/>
      <c r="N475" s="184" t="s">
        <v>5180</v>
      </c>
      <c r="O475" s="184" t="s">
        <v>5181</v>
      </c>
      <c r="P475" s="184"/>
      <c r="Q475" s="184"/>
      <c r="R475" s="184" t="s">
        <v>5182</v>
      </c>
      <c r="S475" s="184"/>
      <c r="T475" s="184"/>
      <c r="U475" s="184"/>
      <c r="V475" s="184"/>
      <c r="W475" s="184"/>
      <c r="X475" s="184"/>
    </row>
    <row r="476" customFormat="false" ht="15" hidden="false" customHeight="true" outlineLevel="0" collapsed="false">
      <c r="A476" s="184" t="s">
        <v>90</v>
      </c>
      <c r="B476" s="185" t="s">
        <v>5127</v>
      </c>
      <c r="C476" s="184" t="s">
        <v>87</v>
      </c>
      <c r="D476" s="184" t="s">
        <v>6136</v>
      </c>
      <c r="E476" s="184" t="s">
        <v>91</v>
      </c>
      <c r="F476" s="184" t="n">
        <v>2</v>
      </c>
      <c r="G476" s="177" t="s">
        <v>5183</v>
      </c>
      <c r="H476" s="184" t="s">
        <v>5178</v>
      </c>
      <c r="I476" s="184" t="s">
        <v>87</v>
      </c>
      <c r="J476" s="184"/>
      <c r="K476" s="184"/>
      <c r="L476" s="184"/>
      <c r="M476" s="184"/>
      <c r="N476" s="184"/>
      <c r="O476" s="184"/>
      <c r="P476" s="184"/>
      <c r="Q476" s="184"/>
      <c r="R476" s="184" t="s">
        <v>5184</v>
      </c>
      <c r="S476" s="184"/>
      <c r="T476" s="184"/>
      <c r="U476" s="184"/>
      <c r="V476" s="184"/>
      <c r="W476" s="184"/>
      <c r="X476" s="184"/>
    </row>
    <row r="477" customFormat="false" ht="68.25" hidden="false" customHeight="true" outlineLevel="0" collapsed="false">
      <c r="A477" s="184" t="s">
        <v>90</v>
      </c>
      <c r="B477" s="185" t="s">
        <v>5127</v>
      </c>
      <c r="C477" s="184" t="s">
        <v>87</v>
      </c>
      <c r="D477" s="184" t="s">
        <v>6136</v>
      </c>
      <c r="E477" s="184" t="s">
        <v>91</v>
      </c>
      <c r="F477" s="184" t="n">
        <v>3</v>
      </c>
      <c r="G477" s="174" t="s">
        <v>4844</v>
      </c>
      <c r="H477" s="184" t="s">
        <v>5185</v>
      </c>
      <c r="I477" s="184" t="s">
        <v>1193</v>
      </c>
      <c r="J477" s="184" t="s">
        <v>227</v>
      </c>
      <c r="K477" s="184" t="n">
        <v>500</v>
      </c>
      <c r="L477" s="184" t="n">
        <v>20000</v>
      </c>
      <c r="M477" s="184" t="n">
        <v>50</v>
      </c>
      <c r="N477" s="184" t="s">
        <v>5350</v>
      </c>
      <c r="O477" s="184" t="s">
        <v>6111</v>
      </c>
      <c r="P477" s="184" t="s">
        <v>6112</v>
      </c>
      <c r="Q477" s="184"/>
      <c r="R477" s="184"/>
      <c r="S477" s="184"/>
      <c r="T477" s="184" t="s">
        <v>6137</v>
      </c>
      <c r="U477" s="184" t="s">
        <v>5190</v>
      </c>
      <c r="V477" s="184" t="n">
        <v>3500</v>
      </c>
      <c r="W477" s="184" t="s">
        <v>6114</v>
      </c>
      <c r="X477" s="184" t="s">
        <v>6115</v>
      </c>
    </row>
    <row r="478" customFormat="false" ht="54.75" hidden="false" customHeight="true" outlineLevel="0" collapsed="false">
      <c r="A478" s="184" t="s">
        <v>90</v>
      </c>
      <c r="B478" s="185" t="s">
        <v>5127</v>
      </c>
      <c r="C478" s="184" t="s">
        <v>87</v>
      </c>
      <c r="D478" s="184" t="s">
        <v>6136</v>
      </c>
      <c r="E478" s="184" t="s">
        <v>91</v>
      </c>
      <c r="F478" s="184" t="n">
        <v>4</v>
      </c>
      <c r="G478" s="174" t="s">
        <v>4846</v>
      </c>
      <c r="H478" s="184" t="s">
        <v>5227</v>
      </c>
      <c r="I478" s="184" t="s">
        <v>6138</v>
      </c>
      <c r="J478" s="184" t="s">
        <v>238</v>
      </c>
      <c r="K478" s="184"/>
      <c r="L478" s="184"/>
      <c r="M478" s="184"/>
      <c r="N478" s="184" t="s">
        <v>6139</v>
      </c>
      <c r="O478" s="184" t="s">
        <v>6139</v>
      </c>
      <c r="P478" s="184" t="s">
        <v>5206</v>
      </c>
      <c r="Q478" s="184" t="s">
        <v>6140</v>
      </c>
      <c r="R478" s="184" t="s">
        <v>6141</v>
      </c>
      <c r="S478" s="184" t="s">
        <v>5454</v>
      </c>
      <c r="T478" s="184"/>
      <c r="U478" s="184"/>
      <c r="V478" s="184"/>
      <c r="W478" s="184"/>
      <c r="X478" s="184" t="s">
        <v>5232</v>
      </c>
    </row>
    <row r="479" customFormat="false" ht="54.75" hidden="false" customHeight="true" outlineLevel="0" collapsed="false">
      <c r="A479" s="184" t="s">
        <v>90</v>
      </c>
      <c r="B479" s="185" t="s">
        <v>5127</v>
      </c>
      <c r="C479" s="184" t="s">
        <v>87</v>
      </c>
      <c r="D479" s="184" t="s">
        <v>6136</v>
      </c>
      <c r="E479" s="184" t="s">
        <v>91</v>
      </c>
      <c r="F479" s="184" t="n">
        <v>5</v>
      </c>
      <c r="G479" s="174" t="s">
        <v>4846</v>
      </c>
      <c r="H479" s="184" t="s">
        <v>5227</v>
      </c>
      <c r="I479" s="184" t="s">
        <v>6142</v>
      </c>
      <c r="J479" s="184" t="s">
        <v>238</v>
      </c>
      <c r="K479" s="184"/>
      <c r="L479" s="184"/>
      <c r="M479" s="184"/>
      <c r="N479" s="184" t="s">
        <v>6143</v>
      </c>
      <c r="O479" s="184" t="s">
        <v>6143</v>
      </c>
      <c r="P479" s="184" t="s">
        <v>5206</v>
      </c>
      <c r="Q479" s="184" t="s">
        <v>6144</v>
      </c>
      <c r="R479" s="184" t="s">
        <v>6145</v>
      </c>
      <c r="S479" s="184" t="s">
        <v>5454</v>
      </c>
      <c r="T479" s="184"/>
      <c r="U479" s="184"/>
      <c r="V479" s="184"/>
      <c r="W479" s="184"/>
      <c r="X479" s="184" t="s">
        <v>5232</v>
      </c>
    </row>
    <row r="480" customFormat="false" ht="54.75" hidden="false" customHeight="true" outlineLevel="0" collapsed="false">
      <c r="A480" s="184" t="s">
        <v>90</v>
      </c>
      <c r="B480" s="185" t="s">
        <v>5127</v>
      </c>
      <c r="C480" s="184" t="s">
        <v>87</v>
      </c>
      <c r="D480" s="184" t="s">
        <v>6136</v>
      </c>
      <c r="E480" s="184" t="s">
        <v>91</v>
      </c>
      <c r="F480" s="184" t="n">
        <v>6</v>
      </c>
      <c r="G480" s="174" t="s">
        <v>4846</v>
      </c>
      <c r="H480" s="184" t="s">
        <v>5227</v>
      </c>
      <c r="I480" s="184" t="s">
        <v>6146</v>
      </c>
      <c r="J480" s="184" t="s">
        <v>238</v>
      </c>
      <c r="K480" s="184"/>
      <c r="L480" s="184"/>
      <c r="M480" s="184"/>
      <c r="N480" s="184" t="s">
        <v>6147</v>
      </c>
      <c r="O480" s="184" t="s">
        <v>6147</v>
      </c>
      <c r="P480" s="184" t="s">
        <v>5206</v>
      </c>
      <c r="Q480" s="184" t="s">
        <v>6148</v>
      </c>
      <c r="R480" s="184" t="s">
        <v>6149</v>
      </c>
      <c r="S480" s="184" t="s">
        <v>5454</v>
      </c>
      <c r="T480" s="184"/>
      <c r="U480" s="184"/>
      <c r="V480" s="184"/>
      <c r="W480" s="184"/>
      <c r="X480" s="184" t="s">
        <v>5232</v>
      </c>
    </row>
    <row r="481" customFormat="false" ht="15" hidden="false" customHeight="true" outlineLevel="0" collapsed="false">
      <c r="A481" s="184" t="s">
        <v>90</v>
      </c>
      <c r="B481" s="185" t="s">
        <v>5127</v>
      </c>
      <c r="C481" s="184" t="s">
        <v>87</v>
      </c>
      <c r="D481" s="184" t="s">
        <v>6136</v>
      </c>
      <c r="E481" s="184" t="s">
        <v>91</v>
      </c>
      <c r="F481" s="184" t="n">
        <v>7</v>
      </c>
      <c r="G481" s="176" t="s">
        <v>248</v>
      </c>
      <c r="H481" s="184" t="s">
        <v>248</v>
      </c>
      <c r="I481" s="184" t="s">
        <v>1217</v>
      </c>
      <c r="J481" s="184"/>
      <c r="K481" s="184"/>
      <c r="L481" s="184"/>
      <c r="M481" s="184"/>
      <c r="N481" s="184" t="s">
        <v>6150</v>
      </c>
      <c r="O481" s="184" t="s">
        <v>6151</v>
      </c>
      <c r="P481" s="184"/>
      <c r="Q481" s="184"/>
      <c r="R481" s="184"/>
      <c r="S481" s="184"/>
      <c r="T481" s="184" t="s">
        <v>6152</v>
      </c>
      <c r="U481" s="184" t="s">
        <v>68</v>
      </c>
      <c r="V481" s="184"/>
      <c r="W481" s="184"/>
      <c r="X481" s="184"/>
    </row>
    <row r="482" customFormat="false" ht="27.75" hidden="false" customHeight="true" outlineLevel="0" collapsed="false">
      <c r="A482" s="184" t="s">
        <v>90</v>
      </c>
      <c r="B482" s="185" t="s">
        <v>5127</v>
      </c>
      <c r="C482" s="184" t="s">
        <v>87</v>
      </c>
      <c r="D482" s="184" t="s">
        <v>6136</v>
      </c>
      <c r="E482" s="184" t="s">
        <v>91</v>
      </c>
      <c r="F482" s="184" t="n">
        <v>8</v>
      </c>
      <c r="G482" s="177" t="s">
        <v>5245</v>
      </c>
      <c r="H482" s="184" t="s">
        <v>248</v>
      </c>
      <c r="I482" s="184" t="s">
        <v>5179</v>
      </c>
      <c r="J482" s="184"/>
      <c r="K482" s="184"/>
      <c r="L482" s="184"/>
      <c r="M482" s="184"/>
      <c r="N482" s="184" t="s">
        <v>5246</v>
      </c>
      <c r="O482" s="184" t="s">
        <v>5247</v>
      </c>
      <c r="P482" s="184"/>
      <c r="Q482" s="184"/>
      <c r="R482" s="184" t="s">
        <v>5248</v>
      </c>
      <c r="S482" s="184"/>
      <c r="T482" s="184"/>
      <c r="U482" s="184"/>
      <c r="V482" s="184"/>
      <c r="W482" s="184"/>
      <c r="X482" s="184"/>
    </row>
    <row r="483" customFormat="false" ht="68.25" hidden="false" customHeight="true" outlineLevel="0" collapsed="false">
      <c r="A483" s="184" t="s">
        <v>90</v>
      </c>
      <c r="B483" s="185" t="s">
        <v>5127</v>
      </c>
      <c r="C483" s="184" t="s">
        <v>87</v>
      </c>
      <c r="D483" s="184" t="s">
        <v>6136</v>
      </c>
      <c r="E483" s="184" t="s">
        <v>91</v>
      </c>
      <c r="F483" s="184" t="n">
        <v>9</v>
      </c>
      <c r="G483" s="176" t="s">
        <v>5249</v>
      </c>
      <c r="H483" s="184" t="s">
        <v>248</v>
      </c>
      <c r="I483" s="184" t="s">
        <v>5250</v>
      </c>
      <c r="J483" s="184"/>
      <c r="K483" s="184"/>
      <c r="L483" s="184"/>
      <c r="M483" s="184"/>
      <c r="N483" s="184" t="s">
        <v>6153</v>
      </c>
      <c r="O483" s="184" t="s">
        <v>6153</v>
      </c>
      <c r="P483" s="184"/>
      <c r="Q483" s="184"/>
      <c r="R483" s="184"/>
      <c r="S483" s="184"/>
      <c r="T483" s="184"/>
      <c r="U483" s="184"/>
      <c r="V483" s="184"/>
      <c r="W483" s="184"/>
      <c r="X483" s="184"/>
    </row>
    <row r="484" customFormat="false" ht="15" hidden="false" customHeight="true" outlineLevel="0" collapsed="false">
      <c r="A484" s="184" t="s">
        <v>90</v>
      </c>
      <c r="B484" s="185" t="s">
        <v>5127</v>
      </c>
      <c r="C484" s="184" t="s">
        <v>87</v>
      </c>
      <c r="D484" s="184" t="s">
        <v>6136</v>
      </c>
      <c r="E484" s="184" t="s">
        <v>91</v>
      </c>
      <c r="F484" s="184" t="n">
        <v>10</v>
      </c>
      <c r="G484" s="176" t="s">
        <v>5253</v>
      </c>
      <c r="H484" s="184" t="s">
        <v>248</v>
      </c>
      <c r="I484" s="184" t="s">
        <v>6154</v>
      </c>
      <c r="J484" s="184"/>
      <c r="K484" s="184"/>
      <c r="L484" s="184"/>
      <c r="M484" s="184"/>
      <c r="N484" s="184" t="s">
        <v>6155</v>
      </c>
      <c r="O484" s="184" t="s">
        <v>6156</v>
      </c>
      <c r="P484" s="184"/>
      <c r="Q484" s="184"/>
      <c r="R484" s="184"/>
      <c r="S484" s="184"/>
      <c r="T484" s="184" t="s">
        <v>6157</v>
      </c>
      <c r="U484" s="184" t="s">
        <v>70</v>
      </c>
      <c r="V484" s="184"/>
      <c r="W484" s="184"/>
      <c r="X484" s="184"/>
    </row>
    <row r="485" customFormat="false" ht="15" hidden="false" customHeight="true" outlineLevel="0" collapsed="false">
      <c r="A485" s="184" t="s">
        <v>90</v>
      </c>
      <c r="B485" s="185" t="s">
        <v>5127</v>
      </c>
      <c r="C485" s="184" t="s">
        <v>87</v>
      </c>
      <c r="D485" s="184" t="s">
        <v>6136</v>
      </c>
      <c r="E485" s="184" t="s">
        <v>91</v>
      </c>
      <c r="F485" s="184" t="n">
        <v>11</v>
      </c>
      <c r="G485" s="176" t="s">
        <v>5253</v>
      </c>
      <c r="H485" s="184" t="s">
        <v>248</v>
      </c>
      <c r="I485" s="184" t="s">
        <v>6158</v>
      </c>
      <c r="J485" s="184"/>
      <c r="K485" s="184"/>
      <c r="L485" s="184"/>
      <c r="M485" s="184"/>
      <c r="N485" s="184" t="s">
        <v>6159</v>
      </c>
      <c r="O485" s="184" t="s">
        <v>6160</v>
      </c>
      <c r="P485" s="184"/>
      <c r="Q485" s="184"/>
      <c r="R485" s="184"/>
      <c r="S485" s="184"/>
      <c r="T485" s="184" t="s">
        <v>6161</v>
      </c>
      <c r="U485" s="184" t="s">
        <v>72</v>
      </c>
      <c r="V485" s="184"/>
      <c r="W485" s="184"/>
      <c r="X485" s="184"/>
    </row>
    <row r="486" customFormat="false" ht="15" hidden="false" customHeight="true" outlineLevel="0" collapsed="false">
      <c r="A486" s="184" t="s">
        <v>90</v>
      </c>
      <c r="B486" s="185" t="s">
        <v>5127</v>
      </c>
      <c r="C486" s="184" t="s">
        <v>87</v>
      </c>
      <c r="D486" s="184" t="s">
        <v>6136</v>
      </c>
      <c r="E486" s="184" t="s">
        <v>91</v>
      </c>
      <c r="F486" s="184" t="n">
        <v>12</v>
      </c>
      <c r="G486" s="176" t="s">
        <v>5253</v>
      </c>
      <c r="H486" s="184" t="s">
        <v>248</v>
      </c>
      <c r="I486" s="184" t="s">
        <v>6162</v>
      </c>
      <c r="J486" s="184"/>
      <c r="K486" s="184"/>
      <c r="L486" s="184"/>
      <c r="M486" s="184"/>
      <c r="N486" s="184" t="s">
        <v>6150</v>
      </c>
      <c r="O486" s="184" t="s">
        <v>6151</v>
      </c>
      <c r="P486" s="184"/>
      <c r="Q486" s="184"/>
      <c r="R486" s="184"/>
      <c r="S486" s="184"/>
      <c r="T486" s="184" t="s">
        <v>6152</v>
      </c>
      <c r="U486" s="184" t="s">
        <v>68</v>
      </c>
      <c r="V486" s="184"/>
      <c r="W486" s="184"/>
      <c r="X486" s="184"/>
    </row>
    <row r="487" customFormat="false" ht="95.25" hidden="false" customHeight="true" outlineLevel="0" collapsed="false">
      <c r="A487" s="184" t="s">
        <v>90</v>
      </c>
      <c r="B487" s="185" t="s">
        <v>5127</v>
      </c>
      <c r="C487" s="184" t="s">
        <v>87</v>
      </c>
      <c r="D487" s="184" t="s">
        <v>6136</v>
      </c>
      <c r="E487" s="184" t="s">
        <v>91</v>
      </c>
      <c r="F487" s="184" t="n">
        <v>13</v>
      </c>
      <c r="G487" s="178" t="s">
        <v>5269</v>
      </c>
      <c r="H487" s="184" t="s">
        <v>5270</v>
      </c>
      <c r="I487" s="186" t="s">
        <v>5271</v>
      </c>
      <c r="J487" s="184"/>
      <c r="K487" s="184"/>
      <c r="L487" s="184"/>
      <c r="M487" s="184"/>
      <c r="N487" s="184" t="s">
        <v>5272</v>
      </c>
      <c r="O487" s="184" t="s">
        <v>5272</v>
      </c>
      <c r="P487" s="184"/>
      <c r="Q487" s="184"/>
      <c r="R487" s="184" t="s">
        <v>5893</v>
      </c>
      <c r="S487" s="184"/>
      <c r="T487" s="184"/>
      <c r="U487" s="184"/>
      <c r="V487" s="184"/>
      <c r="W487" s="184"/>
      <c r="X487" s="184"/>
    </row>
    <row r="488" customFormat="false" ht="68.25" hidden="false" customHeight="true" outlineLevel="0" collapsed="false">
      <c r="A488" s="184" t="s">
        <v>90</v>
      </c>
      <c r="B488" s="185" t="s">
        <v>5127</v>
      </c>
      <c r="C488" s="184" t="s">
        <v>87</v>
      </c>
      <c r="D488" s="184" t="s">
        <v>6136</v>
      </c>
      <c r="E488" s="184" t="s">
        <v>91</v>
      </c>
      <c r="F488" s="184" t="n">
        <v>14</v>
      </c>
      <c r="G488" s="178" t="s">
        <v>5269</v>
      </c>
      <c r="H488" s="184" t="s">
        <v>5270</v>
      </c>
      <c r="I488" s="184" t="s">
        <v>5274</v>
      </c>
      <c r="J488" s="184"/>
      <c r="K488" s="184"/>
      <c r="L488" s="184"/>
      <c r="M488" s="184"/>
      <c r="N488" s="184" t="s">
        <v>5272</v>
      </c>
      <c r="O488" s="184" t="s">
        <v>5272</v>
      </c>
      <c r="P488" s="184"/>
      <c r="Q488" s="184"/>
      <c r="R488" s="184" t="s">
        <v>5520</v>
      </c>
      <c r="S488" s="184"/>
      <c r="T488" s="184"/>
      <c r="U488" s="184"/>
      <c r="V488" s="184"/>
      <c r="W488" s="184"/>
      <c r="X488" s="184"/>
    </row>
    <row r="489" customFormat="false" ht="27.75" hidden="false" customHeight="true" outlineLevel="0" collapsed="false">
      <c r="A489" s="184" t="s">
        <v>90</v>
      </c>
      <c r="B489" s="185" t="s">
        <v>5127</v>
      </c>
      <c r="C489" s="184" t="s">
        <v>87</v>
      </c>
      <c r="D489" s="184" t="s">
        <v>6136</v>
      </c>
      <c r="E489" s="184" t="s">
        <v>91</v>
      </c>
      <c r="F489" s="184" t="n">
        <v>15</v>
      </c>
      <c r="G489" s="177" t="s">
        <v>5276</v>
      </c>
      <c r="H489" s="184" t="s">
        <v>5270</v>
      </c>
      <c r="I489" s="184" t="s">
        <v>5277</v>
      </c>
      <c r="J489" s="184"/>
      <c r="K489" s="184"/>
      <c r="L489" s="184"/>
      <c r="M489" s="184"/>
      <c r="N489" s="184"/>
      <c r="O489" s="184"/>
      <c r="P489" s="184"/>
      <c r="Q489" s="184"/>
      <c r="R489" s="184"/>
      <c r="S489" s="184"/>
      <c r="T489" s="184"/>
      <c r="U489" s="184"/>
      <c r="V489" s="184"/>
      <c r="W489" s="184"/>
      <c r="X489" s="184"/>
    </row>
    <row r="490" customFormat="false" ht="41.25" hidden="false" customHeight="true" outlineLevel="0" collapsed="false">
      <c r="A490" s="184" t="s">
        <v>92</v>
      </c>
      <c r="B490" s="185" t="s">
        <v>5129</v>
      </c>
      <c r="C490" s="184" t="s">
        <v>87</v>
      </c>
      <c r="D490" s="184" t="s">
        <v>6163</v>
      </c>
      <c r="E490" s="184" t="s">
        <v>93</v>
      </c>
      <c r="F490" s="184" t="n">
        <v>1</v>
      </c>
      <c r="G490" s="177" t="s">
        <v>5177</v>
      </c>
      <c r="H490" s="184" t="s">
        <v>5178</v>
      </c>
      <c r="I490" s="184" t="s">
        <v>5179</v>
      </c>
      <c r="J490" s="184"/>
      <c r="K490" s="184"/>
      <c r="L490" s="184"/>
      <c r="M490" s="184"/>
      <c r="N490" s="184" t="s">
        <v>5180</v>
      </c>
      <c r="O490" s="184" t="s">
        <v>5181</v>
      </c>
      <c r="P490" s="184"/>
      <c r="Q490" s="184"/>
      <c r="R490" s="184" t="s">
        <v>5182</v>
      </c>
      <c r="S490" s="184"/>
      <c r="T490" s="184"/>
      <c r="U490" s="184"/>
      <c r="V490" s="184"/>
      <c r="W490" s="184"/>
      <c r="X490" s="184"/>
    </row>
    <row r="491" customFormat="false" ht="15" hidden="false" customHeight="true" outlineLevel="0" collapsed="false">
      <c r="A491" s="184" t="s">
        <v>92</v>
      </c>
      <c r="B491" s="185" t="s">
        <v>5129</v>
      </c>
      <c r="C491" s="184" t="s">
        <v>87</v>
      </c>
      <c r="D491" s="184" t="s">
        <v>6163</v>
      </c>
      <c r="E491" s="184" t="s">
        <v>93</v>
      </c>
      <c r="F491" s="184" t="n">
        <v>2</v>
      </c>
      <c r="G491" s="177" t="s">
        <v>5183</v>
      </c>
      <c r="H491" s="184" t="s">
        <v>5178</v>
      </c>
      <c r="I491" s="184" t="s">
        <v>87</v>
      </c>
      <c r="J491" s="184"/>
      <c r="K491" s="184"/>
      <c r="L491" s="184"/>
      <c r="M491" s="184"/>
      <c r="N491" s="184"/>
      <c r="O491" s="184"/>
      <c r="P491" s="184"/>
      <c r="Q491" s="184"/>
      <c r="R491" s="184" t="s">
        <v>5184</v>
      </c>
      <c r="S491" s="184"/>
      <c r="T491" s="184"/>
      <c r="U491" s="184"/>
      <c r="V491" s="184"/>
      <c r="W491" s="184"/>
      <c r="X491" s="184"/>
    </row>
    <row r="492" customFormat="false" ht="54.75" hidden="false" customHeight="true" outlineLevel="0" collapsed="false">
      <c r="A492" s="184" t="s">
        <v>92</v>
      </c>
      <c r="B492" s="185" t="s">
        <v>5129</v>
      </c>
      <c r="C492" s="184" t="s">
        <v>87</v>
      </c>
      <c r="D492" s="184" t="s">
        <v>6163</v>
      </c>
      <c r="E492" s="184" t="s">
        <v>93</v>
      </c>
      <c r="F492" s="184" t="n">
        <v>3</v>
      </c>
      <c r="G492" s="174" t="s">
        <v>4844</v>
      </c>
      <c r="H492" s="184" t="s">
        <v>5185</v>
      </c>
      <c r="I492" s="184" t="s">
        <v>1233</v>
      </c>
      <c r="J492" s="184" t="s">
        <v>227</v>
      </c>
      <c r="K492" s="184" t="n">
        <v>100</v>
      </c>
      <c r="L492" s="184" t="n">
        <v>100000</v>
      </c>
      <c r="M492" s="184" t="n">
        <v>100</v>
      </c>
      <c r="N492" s="184" t="s">
        <v>5522</v>
      </c>
      <c r="O492" s="184" t="s">
        <v>5350</v>
      </c>
      <c r="P492" s="184" t="s">
        <v>6164</v>
      </c>
      <c r="Q492" s="184"/>
      <c r="R492" s="184"/>
      <c r="S492" s="184"/>
      <c r="T492" s="184" t="s">
        <v>6165</v>
      </c>
      <c r="U492" s="184" t="s">
        <v>5190</v>
      </c>
      <c r="V492" s="184" t="n">
        <v>5000</v>
      </c>
      <c r="W492" s="184" t="s">
        <v>6166</v>
      </c>
      <c r="X492" s="184" t="s">
        <v>6167</v>
      </c>
    </row>
    <row r="493" customFormat="false" ht="41.25" hidden="false" customHeight="true" outlineLevel="0" collapsed="false">
      <c r="A493" s="184" t="s">
        <v>92</v>
      </c>
      <c r="B493" s="185" t="s">
        <v>5129</v>
      </c>
      <c r="C493" s="184" t="s">
        <v>87</v>
      </c>
      <c r="D493" s="184" t="s">
        <v>6163</v>
      </c>
      <c r="E493" s="184" t="s">
        <v>93</v>
      </c>
      <c r="F493" s="184" t="n">
        <v>4</v>
      </c>
      <c r="G493" s="174" t="s">
        <v>4844</v>
      </c>
      <c r="H493" s="184" t="s">
        <v>5185</v>
      </c>
      <c r="I493" s="184" t="s">
        <v>1235</v>
      </c>
      <c r="J493" s="184" t="s">
        <v>238</v>
      </c>
      <c r="K493" s="184" t="n">
        <v>0</v>
      </c>
      <c r="L493" s="184" t="n">
        <v>35</v>
      </c>
      <c r="M493" s="184" t="n">
        <v>0.5</v>
      </c>
      <c r="N493" s="184" t="s">
        <v>5211</v>
      </c>
      <c r="O493" s="184" t="s">
        <v>6168</v>
      </c>
      <c r="P493" s="184" t="s">
        <v>6169</v>
      </c>
      <c r="Q493" s="184"/>
      <c r="R493" s="184" t="s">
        <v>6170</v>
      </c>
      <c r="S493" s="184" t="s">
        <v>5215</v>
      </c>
      <c r="T493" s="184" t="s">
        <v>6171</v>
      </c>
      <c r="U493" s="184" t="s">
        <v>5197</v>
      </c>
      <c r="V493" s="184"/>
      <c r="W493" s="184" t="s">
        <v>6172</v>
      </c>
      <c r="X493" s="184" t="s">
        <v>6173</v>
      </c>
    </row>
    <row r="494" customFormat="false" ht="41.25" hidden="false" customHeight="true" outlineLevel="0" collapsed="false">
      <c r="A494" s="184" t="s">
        <v>92</v>
      </c>
      <c r="B494" s="185" t="s">
        <v>5129</v>
      </c>
      <c r="C494" s="184" t="s">
        <v>87</v>
      </c>
      <c r="D494" s="184" t="s">
        <v>6163</v>
      </c>
      <c r="E494" s="184" t="s">
        <v>93</v>
      </c>
      <c r="F494" s="184" t="n">
        <v>5</v>
      </c>
      <c r="G494" s="174" t="s">
        <v>4844</v>
      </c>
      <c r="H494" s="184" t="s">
        <v>5185</v>
      </c>
      <c r="I494" s="184" t="s">
        <v>1236</v>
      </c>
      <c r="J494" s="184" t="s">
        <v>227</v>
      </c>
      <c r="K494" s="184" t="n">
        <v>10</v>
      </c>
      <c r="L494" s="184" t="n">
        <v>5000</v>
      </c>
      <c r="M494" s="184" t="n">
        <v>10</v>
      </c>
      <c r="N494" s="184" t="s">
        <v>6174</v>
      </c>
      <c r="O494" s="184" t="s">
        <v>5768</v>
      </c>
      <c r="P494" s="184" t="s">
        <v>6169</v>
      </c>
      <c r="Q494" s="184"/>
      <c r="R494" s="184"/>
      <c r="S494" s="184"/>
      <c r="T494" s="184" t="s">
        <v>6175</v>
      </c>
      <c r="U494" s="184" t="s">
        <v>5203</v>
      </c>
      <c r="V494" s="184" t="n">
        <v>250</v>
      </c>
      <c r="W494" s="184" t="s">
        <v>6176</v>
      </c>
      <c r="X494" s="184" t="s">
        <v>6177</v>
      </c>
    </row>
    <row r="495" customFormat="false" ht="27.75" hidden="false" customHeight="true" outlineLevel="0" collapsed="false">
      <c r="A495" s="184" t="s">
        <v>92</v>
      </c>
      <c r="B495" s="185" t="s">
        <v>5129</v>
      </c>
      <c r="C495" s="184" t="s">
        <v>87</v>
      </c>
      <c r="D495" s="184" t="s">
        <v>6163</v>
      </c>
      <c r="E495" s="184" t="s">
        <v>93</v>
      </c>
      <c r="F495" s="184" t="n">
        <v>6</v>
      </c>
      <c r="G495" s="174" t="s">
        <v>4844</v>
      </c>
      <c r="H495" s="184" t="s">
        <v>5233</v>
      </c>
      <c r="I495" s="184" t="s">
        <v>6178</v>
      </c>
      <c r="J495" s="184" t="s">
        <v>227</v>
      </c>
      <c r="K495" s="184" t="n">
        <v>0</v>
      </c>
      <c r="L495" s="184" t="n">
        <v>1000</v>
      </c>
      <c r="M495" s="184" t="n">
        <v>10</v>
      </c>
      <c r="N495" s="184" t="s">
        <v>5193</v>
      </c>
      <c r="O495" s="184" t="s">
        <v>5193</v>
      </c>
      <c r="P495" s="184" t="s">
        <v>5201</v>
      </c>
      <c r="Q495" s="184"/>
      <c r="R495" s="184"/>
      <c r="S495" s="184"/>
      <c r="T495" s="184" t="s">
        <v>6179</v>
      </c>
      <c r="U495" s="184" t="s">
        <v>5209</v>
      </c>
      <c r="V495" s="184" t="n">
        <v>0</v>
      </c>
      <c r="W495" s="184" t="s">
        <v>6180</v>
      </c>
      <c r="X495" s="184" t="s">
        <v>6181</v>
      </c>
    </row>
    <row r="496" customFormat="false" ht="27.75" hidden="false" customHeight="true" outlineLevel="0" collapsed="false">
      <c r="A496" s="184" t="s">
        <v>92</v>
      </c>
      <c r="B496" s="185" t="s">
        <v>5129</v>
      </c>
      <c r="C496" s="184" t="s">
        <v>87</v>
      </c>
      <c r="D496" s="184" t="s">
        <v>6163</v>
      </c>
      <c r="E496" s="184" t="s">
        <v>93</v>
      </c>
      <c r="F496" s="184" t="n">
        <v>7</v>
      </c>
      <c r="G496" s="175" t="s">
        <v>4850</v>
      </c>
      <c r="H496" s="184" t="s">
        <v>248</v>
      </c>
      <c r="I496" s="184" t="s">
        <v>6182</v>
      </c>
      <c r="J496" s="184"/>
      <c r="K496" s="184"/>
      <c r="L496" s="184"/>
      <c r="M496" s="184"/>
      <c r="N496" s="184" t="s">
        <v>6182</v>
      </c>
      <c r="O496" s="184" t="s">
        <v>5240</v>
      </c>
      <c r="P496" s="184"/>
      <c r="Q496" s="184"/>
      <c r="R496" s="184" t="s">
        <v>5241</v>
      </c>
      <c r="S496" s="184"/>
      <c r="T496" s="184"/>
      <c r="U496" s="184"/>
      <c r="V496" s="184"/>
      <c r="W496" s="184"/>
      <c r="X496" s="184"/>
    </row>
    <row r="497" customFormat="false" ht="27.75" hidden="false" customHeight="true" outlineLevel="0" collapsed="false">
      <c r="A497" s="184" t="s">
        <v>92</v>
      </c>
      <c r="B497" s="185" t="s">
        <v>5129</v>
      </c>
      <c r="C497" s="184" t="s">
        <v>87</v>
      </c>
      <c r="D497" s="184" t="s">
        <v>6163</v>
      </c>
      <c r="E497" s="184" t="s">
        <v>93</v>
      </c>
      <c r="F497" s="184" t="n">
        <v>8</v>
      </c>
      <c r="G497" s="176" t="s">
        <v>248</v>
      </c>
      <c r="H497" s="184" t="s">
        <v>248</v>
      </c>
      <c r="I497" s="184" t="s">
        <v>6183</v>
      </c>
      <c r="J497" s="184"/>
      <c r="K497" s="184"/>
      <c r="L497" s="184"/>
      <c r="M497" s="184"/>
      <c r="N497" s="184" t="s">
        <v>5702</v>
      </c>
      <c r="O497" s="184" t="s">
        <v>6184</v>
      </c>
      <c r="P497" s="184"/>
      <c r="Q497" s="184"/>
      <c r="R497" s="184"/>
      <c r="S497" s="184"/>
      <c r="T497" s="184" t="s">
        <v>6185</v>
      </c>
      <c r="U497" s="184" t="s">
        <v>59</v>
      </c>
      <c r="V497" s="184"/>
      <c r="W497" s="184"/>
      <c r="X497" s="184"/>
    </row>
    <row r="498" customFormat="false" ht="54.75" hidden="false" customHeight="true" outlineLevel="0" collapsed="false">
      <c r="A498" s="184" t="s">
        <v>92</v>
      </c>
      <c r="B498" s="185" t="s">
        <v>5129</v>
      </c>
      <c r="C498" s="184" t="s">
        <v>87</v>
      </c>
      <c r="D498" s="184" t="s">
        <v>6163</v>
      </c>
      <c r="E498" s="184" t="s">
        <v>93</v>
      </c>
      <c r="F498" s="184" t="n">
        <v>9</v>
      </c>
      <c r="G498" s="176" t="s">
        <v>5249</v>
      </c>
      <c r="H498" s="184" t="s">
        <v>248</v>
      </c>
      <c r="I498" s="184" t="s">
        <v>5250</v>
      </c>
      <c r="J498" s="184"/>
      <c r="K498" s="184"/>
      <c r="L498" s="184"/>
      <c r="M498" s="184"/>
      <c r="N498" s="184"/>
      <c r="O498" s="184" t="s">
        <v>6186</v>
      </c>
      <c r="P498" s="184"/>
      <c r="Q498" s="184"/>
      <c r="R498" s="184"/>
      <c r="S498" s="184"/>
      <c r="T498" s="184"/>
      <c r="U498" s="184"/>
      <c r="V498" s="184"/>
      <c r="W498" s="184"/>
      <c r="X498" s="184"/>
    </row>
    <row r="499" customFormat="false" ht="15" hidden="false" customHeight="true" outlineLevel="0" collapsed="false">
      <c r="A499" s="184" t="s">
        <v>92</v>
      </c>
      <c r="B499" s="185" t="s">
        <v>5129</v>
      </c>
      <c r="C499" s="184" t="s">
        <v>87</v>
      </c>
      <c r="D499" s="184" t="s">
        <v>6163</v>
      </c>
      <c r="E499" s="184" t="s">
        <v>93</v>
      </c>
      <c r="F499" s="184" t="n">
        <v>10</v>
      </c>
      <c r="G499" s="176" t="s">
        <v>5253</v>
      </c>
      <c r="H499" s="184" t="s">
        <v>248</v>
      </c>
      <c r="I499" s="184" t="s">
        <v>344</v>
      </c>
      <c r="J499" s="184"/>
      <c r="K499" s="184"/>
      <c r="L499" s="184"/>
      <c r="M499" s="184"/>
      <c r="N499" s="184"/>
      <c r="O499" s="184" t="s">
        <v>6187</v>
      </c>
      <c r="P499" s="184"/>
      <c r="Q499" s="184"/>
      <c r="R499" s="184"/>
      <c r="S499" s="184"/>
      <c r="T499" s="184" t="s">
        <v>6188</v>
      </c>
      <c r="U499" s="184" t="s">
        <v>62</v>
      </c>
      <c r="V499" s="184"/>
      <c r="W499" s="184"/>
      <c r="X499" s="184"/>
    </row>
    <row r="500" customFormat="false" ht="54.75" hidden="false" customHeight="true" outlineLevel="0" collapsed="false">
      <c r="A500" s="184" t="s">
        <v>92</v>
      </c>
      <c r="B500" s="185" t="s">
        <v>5129</v>
      </c>
      <c r="C500" s="184" t="s">
        <v>87</v>
      </c>
      <c r="D500" s="184" t="s">
        <v>6163</v>
      </c>
      <c r="E500" s="184" t="s">
        <v>93</v>
      </c>
      <c r="F500" s="184" t="n">
        <v>11</v>
      </c>
      <c r="G500" s="178" t="s">
        <v>5269</v>
      </c>
      <c r="H500" s="184" t="s">
        <v>5270</v>
      </c>
      <c r="I500" s="186" t="s">
        <v>5271</v>
      </c>
      <c r="J500" s="184"/>
      <c r="K500" s="184"/>
      <c r="L500" s="184"/>
      <c r="M500" s="184"/>
      <c r="N500" s="184" t="s">
        <v>5272</v>
      </c>
      <c r="O500" s="184" t="s">
        <v>5272</v>
      </c>
      <c r="P500" s="184"/>
      <c r="Q500" s="184"/>
      <c r="R500" s="184" t="s">
        <v>6189</v>
      </c>
      <c r="S500" s="184"/>
      <c r="T500" s="184"/>
      <c r="U500" s="184"/>
      <c r="V500" s="184"/>
      <c r="W500" s="184"/>
      <c r="X500" s="184"/>
    </row>
    <row r="501" customFormat="false" ht="68.25" hidden="false" customHeight="true" outlineLevel="0" collapsed="false">
      <c r="A501" s="184" t="s">
        <v>92</v>
      </c>
      <c r="B501" s="185" t="s">
        <v>5129</v>
      </c>
      <c r="C501" s="184" t="s">
        <v>87</v>
      </c>
      <c r="D501" s="184" t="s">
        <v>6163</v>
      </c>
      <c r="E501" s="184" t="s">
        <v>93</v>
      </c>
      <c r="F501" s="184" t="n">
        <v>12</v>
      </c>
      <c r="G501" s="178" t="s">
        <v>5269</v>
      </c>
      <c r="H501" s="184" t="s">
        <v>5270</v>
      </c>
      <c r="I501" s="184" t="s">
        <v>5274</v>
      </c>
      <c r="J501" s="184"/>
      <c r="K501" s="184"/>
      <c r="L501" s="184"/>
      <c r="M501" s="184"/>
      <c r="N501" s="184" t="s">
        <v>5272</v>
      </c>
      <c r="O501" s="184" t="s">
        <v>5272</v>
      </c>
      <c r="P501" s="184"/>
      <c r="Q501" s="184"/>
      <c r="R501" s="184" t="s">
        <v>5520</v>
      </c>
      <c r="S501" s="184"/>
      <c r="T501" s="184"/>
      <c r="U501" s="184"/>
      <c r="V501" s="184"/>
      <c r="W501" s="184"/>
      <c r="X501" s="184"/>
    </row>
    <row r="502" customFormat="false" ht="27.75" hidden="false" customHeight="true" outlineLevel="0" collapsed="false">
      <c r="A502" s="184" t="s">
        <v>92</v>
      </c>
      <c r="B502" s="185" t="s">
        <v>5129</v>
      </c>
      <c r="C502" s="184" t="s">
        <v>87</v>
      </c>
      <c r="D502" s="184" t="s">
        <v>6163</v>
      </c>
      <c r="E502" s="184" t="s">
        <v>93</v>
      </c>
      <c r="F502" s="184" t="n">
        <v>13</v>
      </c>
      <c r="G502" s="177" t="s">
        <v>5276</v>
      </c>
      <c r="H502" s="184" t="s">
        <v>5270</v>
      </c>
      <c r="I502" s="184" t="s">
        <v>5277</v>
      </c>
      <c r="J502" s="184"/>
      <c r="K502" s="184"/>
      <c r="L502" s="184"/>
      <c r="M502" s="184"/>
      <c r="N502" s="184"/>
      <c r="O502" s="184"/>
      <c r="P502" s="184"/>
      <c r="Q502" s="184"/>
      <c r="R502" s="184"/>
      <c r="S502" s="184"/>
      <c r="T502" s="184"/>
      <c r="U502" s="184"/>
      <c r="V502" s="184"/>
      <c r="W502" s="184"/>
      <c r="X502" s="184"/>
    </row>
    <row r="503" customFormat="false" ht="41.25" hidden="false" customHeight="true" outlineLevel="0" collapsed="false">
      <c r="A503" s="184" t="s">
        <v>94</v>
      </c>
      <c r="B503" s="185" t="s">
        <v>5131</v>
      </c>
      <c r="C503" s="184" t="s">
        <v>87</v>
      </c>
      <c r="D503" s="184" t="s">
        <v>6190</v>
      </c>
      <c r="E503" s="184" t="s">
        <v>95</v>
      </c>
      <c r="F503" s="184" t="n">
        <v>1</v>
      </c>
      <c r="G503" s="177" t="s">
        <v>5177</v>
      </c>
      <c r="H503" s="184" t="s">
        <v>5178</v>
      </c>
      <c r="I503" s="184" t="s">
        <v>5179</v>
      </c>
      <c r="J503" s="184"/>
      <c r="K503" s="184"/>
      <c r="L503" s="184"/>
      <c r="M503" s="184"/>
      <c r="N503" s="184" t="s">
        <v>5180</v>
      </c>
      <c r="O503" s="184" t="s">
        <v>5181</v>
      </c>
      <c r="P503" s="184"/>
      <c r="Q503" s="184"/>
      <c r="R503" s="184" t="s">
        <v>5182</v>
      </c>
      <c r="S503" s="184"/>
      <c r="T503" s="184"/>
      <c r="U503" s="184"/>
      <c r="V503" s="184"/>
      <c r="W503" s="184"/>
      <c r="X503" s="184"/>
    </row>
    <row r="504" customFormat="false" ht="15" hidden="false" customHeight="true" outlineLevel="0" collapsed="false">
      <c r="A504" s="184" t="s">
        <v>94</v>
      </c>
      <c r="B504" s="185" t="s">
        <v>5131</v>
      </c>
      <c r="C504" s="184" t="s">
        <v>87</v>
      </c>
      <c r="D504" s="184" t="s">
        <v>6190</v>
      </c>
      <c r="E504" s="184" t="s">
        <v>95</v>
      </c>
      <c r="F504" s="184" t="n">
        <v>2</v>
      </c>
      <c r="G504" s="177" t="s">
        <v>5183</v>
      </c>
      <c r="H504" s="184" t="s">
        <v>5178</v>
      </c>
      <c r="I504" s="184" t="s">
        <v>87</v>
      </c>
      <c r="J504" s="184"/>
      <c r="K504" s="184"/>
      <c r="L504" s="184"/>
      <c r="M504" s="184"/>
      <c r="N504" s="184"/>
      <c r="O504" s="184"/>
      <c r="P504" s="184"/>
      <c r="Q504" s="184"/>
      <c r="R504" s="184" t="s">
        <v>5184</v>
      </c>
      <c r="S504" s="184"/>
      <c r="T504" s="184"/>
      <c r="U504" s="184"/>
      <c r="V504" s="184"/>
      <c r="W504" s="184"/>
      <c r="X504" s="184"/>
    </row>
    <row r="505" customFormat="false" ht="27.75" hidden="false" customHeight="true" outlineLevel="0" collapsed="false">
      <c r="A505" s="184" t="s">
        <v>94</v>
      </c>
      <c r="B505" s="185" t="s">
        <v>5131</v>
      </c>
      <c r="C505" s="184" t="s">
        <v>87</v>
      </c>
      <c r="D505" s="184" t="s">
        <v>6190</v>
      </c>
      <c r="E505" s="184" t="s">
        <v>95</v>
      </c>
      <c r="F505" s="184" t="n">
        <v>3</v>
      </c>
      <c r="G505" s="174" t="s">
        <v>4844</v>
      </c>
      <c r="H505" s="184" t="s">
        <v>5185</v>
      </c>
      <c r="I505" s="184" t="s">
        <v>1260</v>
      </c>
      <c r="J505" s="184" t="s">
        <v>227</v>
      </c>
      <c r="K505" s="184" t="n">
        <v>500</v>
      </c>
      <c r="L505" s="184" t="n">
        <v>100000</v>
      </c>
      <c r="M505" s="184" t="n">
        <v>500</v>
      </c>
      <c r="N505" s="184" t="s">
        <v>5490</v>
      </c>
      <c r="O505" s="184" t="s">
        <v>5490</v>
      </c>
      <c r="P505" s="184" t="s">
        <v>5201</v>
      </c>
      <c r="Q505" s="184"/>
      <c r="R505" s="184"/>
      <c r="S505" s="184"/>
      <c r="T505" s="184" t="s">
        <v>6191</v>
      </c>
      <c r="U505" s="184" t="s">
        <v>5190</v>
      </c>
      <c r="V505" s="184" t="n">
        <v>15000</v>
      </c>
      <c r="W505" s="184" t="s">
        <v>6192</v>
      </c>
      <c r="X505" s="184" t="s">
        <v>6193</v>
      </c>
    </row>
    <row r="506" customFormat="false" ht="41.25" hidden="false" customHeight="true" outlineLevel="0" collapsed="false">
      <c r="A506" s="184" t="s">
        <v>94</v>
      </c>
      <c r="B506" s="185" t="s">
        <v>5131</v>
      </c>
      <c r="C506" s="184" t="s">
        <v>87</v>
      </c>
      <c r="D506" s="184" t="s">
        <v>6190</v>
      </c>
      <c r="E506" s="184" t="s">
        <v>95</v>
      </c>
      <c r="F506" s="184" t="n">
        <v>4</v>
      </c>
      <c r="G506" s="174" t="s">
        <v>4844</v>
      </c>
      <c r="H506" s="184" t="s">
        <v>5185</v>
      </c>
      <c r="I506" s="184" t="s">
        <v>1235</v>
      </c>
      <c r="J506" s="184" t="s">
        <v>238</v>
      </c>
      <c r="K506" s="184" t="n">
        <v>0</v>
      </c>
      <c r="L506" s="184" t="n">
        <v>25</v>
      </c>
      <c r="M506" s="184" t="n">
        <v>0.25</v>
      </c>
      <c r="N506" s="184" t="s">
        <v>5211</v>
      </c>
      <c r="O506" s="184" t="s">
        <v>6168</v>
      </c>
      <c r="P506" s="184" t="s">
        <v>6194</v>
      </c>
      <c r="Q506" s="184" t="s">
        <v>6195</v>
      </c>
      <c r="R506" s="184" t="s">
        <v>4375</v>
      </c>
      <c r="S506" s="184" t="s">
        <v>5215</v>
      </c>
      <c r="T506" s="184" t="s">
        <v>6196</v>
      </c>
      <c r="U506" s="184" t="s">
        <v>5197</v>
      </c>
      <c r="V506" s="184" t="s">
        <v>6197</v>
      </c>
      <c r="W506" s="184" t="s">
        <v>6198</v>
      </c>
      <c r="X506" s="184" t="s">
        <v>6199</v>
      </c>
    </row>
    <row r="507" customFormat="false" ht="27.75" hidden="false" customHeight="true" outlineLevel="0" collapsed="false">
      <c r="A507" s="184" t="s">
        <v>94</v>
      </c>
      <c r="B507" s="185" t="s">
        <v>5131</v>
      </c>
      <c r="C507" s="184" t="s">
        <v>87</v>
      </c>
      <c r="D507" s="184" t="s">
        <v>6190</v>
      </c>
      <c r="E507" s="184" t="s">
        <v>95</v>
      </c>
      <c r="F507" s="184" t="n">
        <v>5</v>
      </c>
      <c r="G507" s="174" t="s">
        <v>4844</v>
      </c>
      <c r="H507" s="184" t="s">
        <v>5185</v>
      </c>
      <c r="I507" s="184" t="s">
        <v>606</v>
      </c>
      <c r="J507" s="184" t="s">
        <v>5221</v>
      </c>
      <c r="K507" s="184" t="n">
        <v>1</v>
      </c>
      <c r="L507" s="184" t="n">
        <v>10</v>
      </c>
      <c r="M507" s="184" t="n">
        <v>1</v>
      </c>
      <c r="N507" s="184" t="s">
        <v>5372</v>
      </c>
      <c r="O507" s="184" t="s">
        <v>5372</v>
      </c>
      <c r="P507" s="184" t="s">
        <v>5201</v>
      </c>
      <c r="Q507" s="184"/>
      <c r="R507" s="184"/>
      <c r="S507" s="184"/>
      <c r="T507" s="184" t="s">
        <v>6200</v>
      </c>
      <c r="U507" s="184" t="s">
        <v>5203</v>
      </c>
      <c r="V507" s="184" t="n">
        <v>5</v>
      </c>
      <c r="W507" s="184" t="s">
        <v>6201</v>
      </c>
      <c r="X507" s="184" t="s">
        <v>6202</v>
      </c>
    </row>
    <row r="508" customFormat="false" ht="27.75" hidden="false" customHeight="true" outlineLevel="0" collapsed="false">
      <c r="A508" s="184" t="s">
        <v>94</v>
      </c>
      <c r="B508" s="185" t="s">
        <v>5131</v>
      </c>
      <c r="C508" s="184" t="s">
        <v>87</v>
      </c>
      <c r="D508" s="184" t="s">
        <v>6190</v>
      </c>
      <c r="E508" s="184" t="s">
        <v>95</v>
      </c>
      <c r="F508" s="184" t="n">
        <v>6</v>
      </c>
      <c r="G508" s="175" t="s">
        <v>4850</v>
      </c>
      <c r="H508" s="184" t="s">
        <v>248</v>
      </c>
      <c r="I508" s="184" t="s">
        <v>6203</v>
      </c>
      <c r="J508" s="184"/>
      <c r="K508" s="184"/>
      <c r="L508" s="184"/>
      <c r="M508" s="184"/>
      <c r="N508" s="184" t="s">
        <v>6203</v>
      </c>
      <c r="O508" s="184" t="s">
        <v>5240</v>
      </c>
      <c r="P508" s="184"/>
      <c r="Q508" s="184"/>
      <c r="R508" s="184" t="s">
        <v>5241</v>
      </c>
      <c r="S508" s="184"/>
      <c r="T508" s="184"/>
      <c r="U508" s="184"/>
      <c r="V508" s="184"/>
      <c r="W508" s="184"/>
      <c r="X508" s="184"/>
    </row>
    <row r="509" customFormat="false" ht="27.75" hidden="false" customHeight="true" outlineLevel="0" collapsed="false">
      <c r="A509" s="184" t="s">
        <v>94</v>
      </c>
      <c r="B509" s="185" t="s">
        <v>5131</v>
      </c>
      <c r="C509" s="184" t="s">
        <v>87</v>
      </c>
      <c r="D509" s="184" t="s">
        <v>6190</v>
      </c>
      <c r="E509" s="184" t="s">
        <v>95</v>
      </c>
      <c r="F509" s="184" t="n">
        <v>7</v>
      </c>
      <c r="G509" s="176" t="s">
        <v>248</v>
      </c>
      <c r="H509" s="184" t="s">
        <v>248</v>
      </c>
      <c r="I509" s="184" t="s">
        <v>319</v>
      </c>
      <c r="J509" s="184"/>
      <c r="K509" s="184"/>
      <c r="L509" s="184"/>
      <c r="M509" s="184"/>
      <c r="N509" s="184" t="s">
        <v>6204</v>
      </c>
      <c r="O509" s="184" t="s">
        <v>6205</v>
      </c>
      <c r="P509" s="184"/>
      <c r="Q509" s="184"/>
      <c r="R509" s="184"/>
      <c r="S509" s="184"/>
      <c r="T509" s="184" t="s">
        <v>6206</v>
      </c>
      <c r="U509" s="184" t="s">
        <v>57</v>
      </c>
      <c r="V509" s="184"/>
      <c r="W509" s="184"/>
      <c r="X509" s="184"/>
    </row>
    <row r="510" customFormat="false" ht="27.75" hidden="false" customHeight="true" outlineLevel="0" collapsed="false">
      <c r="A510" s="184" t="s">
        <v>94</v>
      </c>
      <c r="B510" s="185" t="s">
        <v>5131</v>
      </c>
      <c r="C510" s="184" t="s">
        <v>87</v>
      </c>
      <c r="D510" s="184" t="s">
        <v>6190</v>
      </c>
      <c r="E510" s="184" t="s">
        <v>95</v>
      </c>
      <c r="F510" s="184" t="n">
        <v>8</v>
      </c>
      <c r="G510" s="177" t="s">
        <v>5245</v>
      </c>
      <c r="H510" s="184" t="s">
        <v>248</v>
      </c>
      <c r="I510" s="184" t="s">
        <v>5179</v>
      </c>
      <c r="J510" s="184"/>
      <c r="K510" s="184"/>
      <c r="L510" s="184"/>
      <c r="M510" s="184"/>
      <c r="N510" s="184" t="s">
        <v>5246</v>
      </c>
      <c r="O510" s="184" t="s">
        <v>5247</v>
      </c>
      <c r="P510" s="184"/>
      <c r="Q510" s="184"/>
      <c r="R510" s="184" t="s">
        <v>5248</v>
      </c>
      <c r="S510" s="184"/>
      <c r="T510" s="184"/>
      <c r="U510" s="184"/>
      <c r="V510" s="184"/>
      <c r="W510" s="184"/>
      <c r="X510" s="184"/>
    </row>
    <row r="511" customFormat="false" ht="122.25" hidden="false" customHeight="true" outlineLevel="0" collapsed="false">
      <c r="A511" s="184" t="s">
        <v>94</v>
      </c>
      <c r="B511" s="185" t="s">
        <v>5131</v>
      </c>
      <c r="C511" s="184" t="s">
        <v>87</v>
      </c>
      <c r="D511" s="184" t="s">
        <v>6190</v>
      </c>
      <c r="E511" s="184" t="s">
        <v>95</v>
      </c>
      <c r="F511" s="184" t="n">
        <v>9</v>
      </c>
      <c r="G511" s="176" t="s">
        <v>5249</v>
      </c>
      <c r="H511" s="184" t="s">
        <v>248</v>
      </c>
      <c r="I511" s="184" t="s">
        <v>5250</v>
      </c>
      <c r="J511" s="184"/>
      <c r="K511" s="184"/>
      <c r="L511" s="184"/>
      <c r="M511" s="184"/>
      <c r="N511" s="184" t="s">
        <v>6207</v>
      </c>
      <c r="O511" s="184" t="s">
        <v>6208</v>
      </c>
      <c r="P511" s="184"/>
      <c r="Q511" s="184"/>
      <c r="R511" s="184"/>
      <c r="S511" s="184"/>
      <c r="T511" s="184"/>
      <c r="U511" s="184"/>
      <c r="V511" s="184"/>
      <c r="W511" s="184"/>
      <c r="X511" s="184"/>
    </row>
    <row r="512" customFormat="false" ht="15" hidden="false" customHeight="true" outlineLevel="0" collapsed="false">
      <c r="A512" s="184" t="s">
        <v>94</v>
      </c>
      <c r="B512" s="185" t="s">
        <v>5131</v>
      </c>
      <c r="C512" s="184" t="s">
        <v>87</v>
      </c>
      <c r="D512" s="184" t="s">
        <v>6190</v>
      </c>
      <c r="E512" s="184" t="s">
        <v>95</v>
      </c>
      <c r="F512" s="184" t="n">
        <v>10</v>
      </c>
      <c r="G512" s="176" t="s">
        <v>5253</v>
      </c>
      <c r="H512" s="184" t="s">
        <v>248</v>
      </c>
      <c r="I512" s="184" t="s">
        <v>346</v>
      </c>
      <c r="J512" s="184"/>
      <c r="K512" s="184"/>
      <c r="L512" s="184"/>
      <c r="M512" s="184"/>
      <c r="N512" s="184" t="s">
        <v>6209</v>
      </c>
      <c r="O512" s="184" t="s">
        <v>6210</v>
      </c>
      <c r="P512" s="184"/>
      <c r="Q512" s="184"/>
      <c r="R512" s="184"/>
      <c r="S512" s="184"/>
      <c r="T512" s="184" t="s">
        <v>6211</v>
      </c>
      <c r="U512" s="184" t="s">
        <v>62</v>
      </c>
      <c r="V512" s="184"/>
      <c r="W512" s="184"/>
      <c r="X512" s="184"/>
    </row>
    <row r="513" customFormat="false" ht="15" hidden="false" customHeight="true" outlineLevel="0" collapsed="false">
      <c r="A513" s="184" t="s">
        <v>94</v>
      </c>
      <c r="B513" s="185" t="s">
        <v>5131</v>
      </c>
      <c r="C513" s="184" t="s">
        <v>87</v>
      </c>
      <c r="D513" s="184" t="s">
        <v>6190</v>
      </c>
      <c r="E513" s="184" t="s">
        <v>95</v>
      </c>
      <c r="F513" s="184" t="n">
        <v>11</v>
      </c>
      <c r="G513" s="176" t="s">
        <v>5253</v>
      </c>
      <c r="H513" s="184" t="s">
        <v>248</v>
      </c>
      <c r="I513" s="184" t="s">
        <v>344</v>
      </c>
      <c r="J513" s="184"/>
      <c r="K513" s="184"/>
      <c r="L513" s="184"/>
      <c r="M513" s="184"/>
      <c r="N513" s="184" t="s">
        <v>6212</v>
      </c>
      <c r="O513" s="184" t="s">
        <v>6213</v>
      </c>
      <c r="P513" s="184"/>
      <c r="Q513" s="184"/>
      <c r="R513" s="184"/>
      <c r="S513" s="184"/>
      <c r="T513" s="184" t="s">
        <v>6214</v>
      </c>
      <c r="U513" s="184" t="s">
        <v>59</v>
      </c>
      <c r="V513" s="184"/>
      <c r="W513" s="184"/>
      <c r="X513" s="184"/>
    </row>
    <row r="514" customFormat="false" ht="108.75" hidden="false" customHeight="true" outlineLevel="0" collapsed="false">
      <c r="A514" s="184" t="s">
        <v>94</v>
      </c>
      <c r="B514" s="185" t="s">
        <v>5131</v>
      </c>
      <c r="C514" s="184" t="s">
        <v>87</v>
      </c>
      <c r="D514" s="184" t="s">
        <v>6190</v>
      </c>
      <c r="E514" s="184" t="s">
        <v>95</v>
      </c>
      <c r="F514" s="184" t="n">
        <v>12</v>
      </c>
      <c r="G514" s="178" t="s">
        <v>5269</v>
      </c>
      <c r="H514" s="184" t="s">
        <v>5270</v>
      </c>
      <c r="I514" s="186" t="s">
        <v>5271</v>
      </c>
      <c r="J514" s="184"/>
      <c r="K514" s="184"/>
      <c r="L514" s="184"/>
      <c r="M514" s="184"/>
      <c r="N514" s="184" t="s">
        <v>5272</v>
      </c>
      <c r="O514" s="184" t="s">
        <v>5272</v>
      </c>
      <c r="P514" s="184"/>
      <c r="Q514" s="184"/>
      <c r="R514" s="184" t="s">
        <v>6215</v>
      </c>
      <c r="S514" s="184"/>
      <c r="T514" s="184"/>
      <c r="U514" s="184"/>
      <c r="V514" s="184"/>
      <c r="W514" s="184"/>
      <c r="X514" s="184"/>
    </row>
    <row r="515" customFormat="false" ht="68.25" hidden="false" customHeight="true" outlineLevel="0" collapsed="false">
      <c r="A515" s="184" t="s">
        <v>94</v>
      </c>
      <c r="B515" s="185" t="s">
        <v>5131</v>
      </c>
      <c r="C515" s="184" t="s">
        <v>87</v>
      </c>
      <c r="D515" s="184" t="s">
        <v>6190</v>
      </c>
      <c r="E515" s="184" t="s">
        <v>95</v>
      </c>
      <c r="F515" s="184" t="n">
        <v>13</v>
      </c>
      <c r="G515" s="178" t="s">
        <v>5269</v>
      </c>
      <c r="H515" s="184" t="s">
        <v>5270</v>
      </c>
      <c r="I515" s="184" t="s">
        <v>5274</v>
      </c>
      <c r="J515" s="184"/>
      <c r="K515" s="184"/>
      <c r="L515" s="184"/>
      <c r="M515" s="184"/>
      <c r="N515" s="184" t="s">
        <v>5272</v>
      </c>
      <c r="O515" s="184" t="s">
        <v>5272</v>
      </c>
      <c r="P515" s="184"/>
      <c r="Q515" s="184"/>
      <c r="R515" s="184" t="s">
        <v>5520</v>
      </c>
      <c r="S515" s="184"/>
      <c r="T515" s="184"/>
      <c r="U515" s="184"/>
      <c r="V515" s="184"/>
      <c r="W515" s="184"/>
      <c r="X515" s="184"/>
    </row>
    <row r="516" customFormat="false" ht="27.75" hidden="false" customHeight="true" outlineLevel="0" collapsed="false">
      <c r="A516" s="184" t="s">
        <v>94</v>
      </c>
      <c r="B516" s="185" t="s">
        <v>5131</v>
      </c>
      <c r="C516" s="184" t="s">
        <v>87</v>
      </c>
      <c r="D516" s="184" t="s">
        <v>6190</v>
      </c>
      <c r="E516" s="184" t="s">
        <v>95</v>
      </c>
      <c r="F516" s="184" t="n">
        <v>14</v>
      </c>
      <c r="G516" s="177" t="s">
        <v>5276</v>
      </c>
      <c r="H516" s="184" t="s">
        <v>5270</v>
      </c>
      <c r="I516" s="184" t="s">
        <v>5277</v>
      </c>
      <c r="J516" s="184"/>
      <c r="K516" s="184"/>
      <c r="L516" s="184"/>
      <c r="M516" s="184"/>
      <c r="N516" s="184"/>
      <c r="O516" s="184"/>
      <c r="P516" s="184"/>
      <c r="Q516" s="184"/>
      <c r="R516" s="184"/>
      <c r="S516" s="184"/>
      <c r="T516" s="184"/>
      <c r="U516" s="184"/>
      <c r="V516" s="184"/>
      <c r="W516" s="184"/>
      <c r="X516" s="184"/>
    </row>
  </sheetData>
  <autoFilter ref="A4:X516"/>
  <mergeCells count="1">
    <mergeCell ref="A2:X2"/>
  </mergeCells>
  <hyperlinks>
    <hyperlink ref="B5" location="'C01 Borrowing'!A1" display="C01 Borrowing"/>
    <hyperlink ref="B6" location="'C01 Borrowing'!A1" display="C01 Borrowing"/>
    <hyperlink ref="B7" location="'C01 Borrowing'!G6" display="C01 Borrowing"/>
    <hyperlink ref="B8" location="'C01 Borrowing'!G7" display="C01 Borrowing"/>
    <hyperlink ref="B9" location="'C01 Borrowing'!G8" display="C01 Borrowing"/>
    <hyperlink ref="B10" location="'C01 Borrowing'!G9" display="C01 Borrowing"/>
    <hyperlink ref="B11" location="'C01 Borrowing'!G10" display="C01 Borrowing"/>
    <hyperlink ref="B12" location="'C01 Borrowing'!G11" display="C01 Borrowing"/>
    <hyperlink ref="B13" location="'C01 Borrowing'!A1" display="C01 Borrowing"/>
    <hyperlink ref="B14" location="'C01 Borrowing'!G14" display="C01 Borrowing"/>
    <hyperlink ref="B15" location="'C01 Borrowing'!A1" display="C01 Borrowing"/>
    <hyperlink ref="B16" location="'C01 Borrowing'!C17" display="C01 Borrowing"/>
    <hyperlink ref="B17" location="'C01 Borrowing'!A1" display="C01 Borrowing"/>
    <hyperlink ref="B18" location="'C01 Borrowing'!A1" display="C01 Borrowing"/>
    <hyperlink ref="B19" location="'C01 Borrowing'!C18" display="C01 Borrowing"/>
    <hyperlink ref="B20" location="'C01 Borrowing'!C21" display="C01 Borrowing"/>
    <hyperlink ref="B21" location="'C01 Borrowing'!C20" display="C01 Borrowing"/>
    <hyperlink ref="B22" location="'C01 Borrowing'!C23" display="C01 Borrowing"/>
    <hyperlink ref="B23" location="'C01 Borrowing'!C19" display="C01 Borrowing"/>
    <hyperlink ref="B24" location="'C01 Borrowing'!A1" display="C01 Borrowing"/>
    <hyperlink ref="B25" location="'C01 Borrowing'!A1" display="C01 Borrowing"/>
    <hyperlink ref="B26" location="'C01 Borrowing'!A1" display="C01 Borrowing"/>
    <hyperlink ref="B27" location="'C02 Mortgage repayment'!A1" display="C02 Mortgage repayment"/>
    <hyperlink ref="B28" location="'C02 Mortgage repayment'!A1" display="C02 Mortgage repayment"/>
    <hyperlink ref="B29" location="'C02 Mortgage repayment'!G14" display="C02 Mortgage repayment"/>
    <hyperlink ref="B30" location="'C02 Mortgage repayment'!G15" display="C02 Mortgage repayment"/>
    <hyperlink ref="B31" location="'C02 Mortgage repayment'!G16" display="C02 Mortgage repayment"/>
    <hyperlink ref="B32" location="'C02 Mortgage repayment'!G19" display="C02 Mortgage repayment"/>
    <hyperlink ref="B33" location="'C02 Mortgage repayment'!A1" display="C02 Mortgage repayment"/>
    <hyperlink ref="B34" location="'C02 Mortgage repayment'!A1" display="C02 Mortgage repayment"/>
    <hyperlink ref="B35" location="'C02 Mortgage repayment'!A1" display="C02 Mortgage repayment"/>
    <hyperlink ref="B36" location="'C02 Mortgage repayment'!A1" display="C02 Mortgage repayment"/>
    <hyperlink ref="B37" location="'C02 Mortgage repayment'!C30" display="C02 Mortgage repayment"/>
    <hyperlink ref="B38" location="'C02 Mortgage repayment'!C31" display="C02 Mortgage repayment"/>
    <hyperlink ref="B39" location="'C02 Mortgage repayment'!C32" display="C02 Mortgage repayment"/>
    <hyperlink ref="B40" location="'C02 Mortgage repayment'!A1" display="C02 Mortgage repayment"/>
    <hyperlink ref="B41" location="'C02 Mortgage repayment'!A1" display="C02 Mortgage repayment"/>
    <hyperlink ref="B42" location="'C02 Mortgage repayment'!A1" display="C02 Mortgage repayment"/>
    <hyperlink ref="B43" location="'C03 Deposit'!A1" display="C03 Deposit"/>
    <hyperlink ref="B44" location="'C03 Deposit'!A1" display="C03 Deposit"/>
    <hyperlink ref="B45" location="'C03 Deposit'!G6" display="C03 Deposit"/>
    <hyperlink ref="B46" location="'C03 Deposit'!G7" display="C03 Deposit"/>
    <hyperlink ref="B47" location="'C03 Deposit'!G9" display="C03 Deposit"/>
    <hyperlink ref="B48" location="'C03 Deposit'!G10" display="C03 Deposit"/>
    <hyperlink ref="B49" location="'C03 Deposit'!A1" display="C03 Deposit"/>
    <hyperlink ref="B50" location="'C03 Deposit'!G11" display="C03 Deposit"/>
    <hyperlink ref="B51" location="'C03 Deposit'!C14" display="C03 Deposit"/>
    <hyperlink ref="B52" location="'C03 Deposit'!A1" display="C03 Deposit"/>
    <hyperlink ref="B53" location="'C03 Deposit'!A1" display="C03 Deposit"/>
    <hyperlink ref="B54" location="'C03 Deposit'!C15" display="C03 Deposit"/>
    <hyperlink ref="B55" location="'C03 Deposit'!C17" display="C03 Deposit"/>
    <hyperlink ref="B56" location="'C03 Deposit'!C18" display="C03 Deposit"/>
    <hyperlink ref="B57" location="'C03 Deposit'!C16" display="C03 Deposit"/>
    <hyperlink ref="B58" location="'C03 Deposit'!A1" display="C03 Deposit"/>
    <hyperlink ref="B59" location="'C03 Deposit'!A1" display="C03 Deposit"/>
    <hyperlink ref="B60" location="'C03 Deposit'!A1" display="C03 Deposit"/>
    <hyperlink ref="B61" location="'C04 Mortgage overpayment'!A1" display="C04 Mortgage overpayment"/>
    <hyperlink ref="B62" location="'C04 Mortgage overpayment'!A1" display="C04 Mortgage overpayment"/>
    <hyperlink ref="B63" location="'C04 Mortgage overpayment'!G14" display="C04 Mortgage overpayment"/>
    <hyperlink ref="B64" location="'C04 Mortgage overpayment'!G15" display="C04 Mortgage overpayment"/>
    <hyperlink ref="B65" location="'C04 Mortgage overpayment'!G16" display="C04 Mortgage overpayment"/>
    <hyperlink ref="B66" location="'C04 Mortgage overpayment'!G17" display="C04 Mortgage overpayment"/>
    <hyperlink ref="B67" location="'C04 Mortgage overpayment'!A1" display="C04 Mortgage overpayment"/>
    <hyperlink ref="B68" location="'C04 Mortgage overpayment'!C28" display="C04 Mortgage overpayment"/>
    <hyperlink ref="B69" location="'C04 Mortgage overpayment'!A1" display="C04 Mortgage overpayment"/>
    <hyperlink ref="B70" location="'C04 Mortgage overpayment'!A1" display="C04 Mortgage overpayment"/>
    <hyperlink ref="B71" location="'C04 Mortgage overpayment'!C30" display="C04 Mortgage overpayment"/>
    <hyperlink ref="B72" location="'C04 Mortgage overpayment'!C31" display="C04 Mortgage overpayment"/>
    <hyperlink ref="B73" location="'C04 Mortgage overpayment'!C29" display="C04 Mortgage overpayment"/>
    <hyperlink ref="B74" location="'C04 Mortgage overpayment'!A1" display="C04 Mortgage overpayment"/>
    <hyperlink ref="B75" location="'C04 Mortgage overpayment'!A1" display="C04 Mortgage overpayment"/>
    <hyperlink ref="B76" location="'C04 Mortgage overpayment'!A1" display="C04 Mortgage overpayment"/>
    <hyperlink ref="B77" location="'C05 Interest rate impact'!A1" display="C05 Interest rate impact"/>
    <hyperlink ref="B78" location="'C05 Interest rate impact'!A1" display="C05 Interest rate impact"/>
    <hyperlink ref="B79" location="'C05 Interest rate impact'!G14" display="C05 Interest rate impact"/>
    <hyperlink ref="B80" location="'C05 Interest rate impact'!G15" display="C05 Interest rate impact"/>
    <hyperlink ref="B81" location="'C05 Interest rate impact'!G16" display="C05 Interest rate impact"/>
    <hyperlink ref="B82" location="'C05 Interest rate impact'!G17" display="C05 Interest rate impact"/>
    <hyperlink ref="B83" location="'C05 Interest rate impact'!A1" display="C05 Interest rate impact"/>
    <hyperlink ref="B84" location="'C05 Interest rate impact'!C28" display="C05 Interest rate impact"/>
    <hyperlink ref="B85" location="'C05 Interest rate impact'!A1" display="C05 Interest rate impact"/>
    <hyperlink ref="B86" location="'C05 Interest rate impact'!A1" display="C05 Interest rate impact"/>
    <hyperlink ref="B87" location="'C05 Interest rate impact'!A1" display="C05 Interest rate impact"/>
    <hyperlink ref="B88" location="'C05 Interest rate impact'!C30" display="C05 Interest rate impact"/>
    <hyperlink ref="B89" location="'C05 Interest rate impact'!C31" display="C05 Interest rate impact"/>
    <hyperlink ref="B90" location="'C05 Interest rate impact'!A1" display="C05 Interest rate impact"/>
    <hyperlink ref="B91" location="'C05 Interest rate impact'!A1" display="C05 Interest rate impact"/>
    <hyperlink ref="B92" location="'C05 Interest rate impact'!A1" display="C05 Interest rate impact"/>
    <hyperlink ref="B93" location="'C06 Term comparison'!A1" display="C06 Term comparison"/>
    <hyperlink ref="B94" location="'C06 Term comparison'!A1" display="C06 Term comparison"/>
    <hyperlink ref="B95" location="'C06 Term comparison'!G13" display="C06 Term comparison"/>
    <hyperlink ref="B96" location="'C06 Term comparison'!G14" display="C06 Term comparison"/>
    <hyperlink ref="B97" location="'C06 Term comparison'!G15" display="C06 Term comparison"/>
    <hyperlink ref="B98" location="'C06 Term comparison'!G16" display="C06 Term comparison"/>
    <hyperlink ref="B99" location="'C06 Term comparison'!A1" display="C06 Term comparison"/>
    <hyperlink ref="B100" location="'C06 Term comparison'!C25" display="C06 Term comparison"/>
    <hyperlink ref="B101" location="'C06 Term comparison'!A1" display="C06 Term comparison"/>
    <hyperlink ref="B102" location="'C06 Term comparison'!A1" display="C06 Term comparison"/>
    <hyperlink ref="B103" location="'C06 Term comparison'!C26" display="C06 Term comparison"/>
    <hyperlink ref="B104" location="'C06 Term comparison'!C27" display="C06 Term comparison"/>
    <hyperlink ref="B105" location="'C06 Term comparison'!C28" display="C06 Term comparison"/>
    <hyperlink ref="B106" location="'C06 Term comparison'!C29" display="C06 Term comparison"/>
    <hyperlink ref="B107" location="'C06 Term comparison'!A1" display="C06 Term comparison"/>
    <hyperlink ref="B108" location="'C06 Term comparison'!A1" display="C06 Term comparison"/>
    <hyperlink ref="B109" location="'C06 Term comparison'!A1" display="C06 Term comparison"/>
    <hyperlink ref="B110" location="'C07 Rent vs buy'!A1" display="C07 Rent vs buy"/>
    <hyperlink ref="B111" location="'C07 Rent vs buy'!A1" display="C07 Rent vs buy"/>
    <hyperlink ref="B112" location="'C07 Rent vs buy'!G6" display="C07 Rent vs buy"/>
    <hyperlink ref="B113" location="'C07 Rent vs buy'!G7" display="C07 Rent vs buy"/>
    <hyperlink ref="B114" location="'C07 Rent vs buy'!G8" display="C07 Rent vs buy"/>
    <hyperlink ref="B115" location="'C07 Rent vs buy'!G9" display="C07 Rent vs buy"/>
    <hyperlink ref="B116" location="'C07 Rent vs buy'!G10" display="C07 Rent vs buy"/>
    <hyperlink ref="B117" location="'C07 Rent vs buy'!G11" display="C07 Rent vs buy"/>
    <hyperlink ref="B118" location="'C07 Rent vs buy'!G12" display="C07 Rent vs buy"/>
    <hyperlink ref="B119" location="'C07 Rent vs buy'!A1" display="C07 Rent vs buy"/>
    <hyperlink ref="B120" location="'C07 Rent vs buy'!A1" display="C07 Rent vs buy"/>
    <hyperlink ref="B121" location="'C07 Rent vs buy'!A1" display="C07 Rent vs buy"/>
    <hyperlink ref="B122" location="'C07 Rent vs buy'!A1" display="C07 Rent vs buy"/>
    <hyperlink ref="B123" location="'C07 Rent vs buy'!A1" display="C07 Rent vs buy"/>
    <hyperlink ref="B124" location="'C07 Rent vs buy'!C20" display="C07 Rent vs buy"/>
    <hyperlink ref="B125" location="'C07 Rent vs buy'!A1" display="C07 Rent vs buy"/>
    <hyperlink ref="B126" location="'C07 Rent vs buy'!A1" display="C07 Rent vs buy"/>
    <hyperlink ref="B127" location="'C07 Rent vs buy'!C21" display="C07 Rent vs buy"/>
    <hyperlink ref="B128" location="'C07 Rent vs buy'!C22" display="C07 Rent vs buy"/>
    <hyperlink ref="B129" location="'C07 Rent vs buy'!C23" display="C07 Rent vs buy"/>
    <hyperlink ref="B130" location="'C07 Rent vs buy'!C26" display="C07 Rent vs buy"/>
    <hyperlink ref="B131" location="'C07 Rent vs buy'!A1" display="C07 Rent vs buy"/>
    <hyperlink ref="B132" location="'C07 Rent vs buy'!A1" display="C07 Rent vs buy"/>
    <hyperlink ref="B133" location="'C07 Rent vs buy'!A1" display="C07 Rent vs buy"/>
    <hyperlink ref="B134" location="'C08 Goal planner'!A1" display="C08 Goal planner"/>
    <hyperlink ref="B135" location="'C08 Goal planner'!A1" display="C08 Goal planner"/>
    <hyperlink ref="B136" location="'C08 Goal planner'!G10" display="C08 Goal planner"/>
    <hyperlink ref="B137" location="'C08 Goal planner'!G11" display="C08 Goal planner"/>
    <hyperlink ref="B138" location="'C08 Goal planner'!G12" display="C08 Goal planner"/>
    <hyperlink ref="B139" location="'C08 Goal planner'!G13" display="C08 Goal planner"/>
    <hyperlink ref="B140" location="'C08 Goal planner'!A1" display="C08 Goal planner"/>
    <hyperlink ref="B141" location="'C08 Goal planner'!C16" display="C08 Goal planner"/>
    <hyperlink ref="B142" location="'C08 Goal planner'!A1" display="C08 Goal planner"/>
    <hyperlink ref="B143" location="'C08 Goal planner'!A1" display="C08 Goal planner"/>
    <hyperlink ref="B144" location="'C08 Goal planner'!C33" display="C08 Goal planner"/>
    <hyperlink ref="B145" location="'C08 Goal planner'!C17" display="C08 Goal planner"/>
    <hyperlink ref="B146" location="'C08 Goal planner'!C18" display="C08 Goal planner"/>
    <hyperlink ref="B147" location="'C08 Goal planner'!C19" display="C08 Goal planner"/>
    <hyperlink ref="B148" location="'C08 Goal planner'!A1" display="C08 Goal planner"/>
    <hyperlink ref="B149" location="'C08 Goal planner'!A1" display="C08 Goal planner"/>
    <hyperlink ref="B150" location="'C08 Goal planner'!A1" display="C08 Goal planner"/>
    <hyperlink ref="B151" location="'C09 Compound growth'!A1" display="C09 Compound growth"/>
    <hyperlink ref="B152" location="'C09 Compound growth'!A1" display="C09 Compound growth"/>
    <hyperlink ref="B153" location="'C09 Compound growth'!G10" display="C09 Compound growth"/>
    <hyperlink ref="B154" location="'C09 Compound growth'!G11" display="C09 Compound growth"/>
    <hyperlink ref="B155" location="'C09 Compound growth'!G12" display="C09 Compound growth"/>
    <hyperlink ref="B156" location="'C09 Compound growth'!G13" display="C09 Compound growth"/>
    <hyperlink ref="B157" location="'C09 Compound growth'!A1" display="C09 Compound growth"/>
    <hyperlink ref="B158" location="'C09 Compound growth'!C16" display="C09 Compound growth"/>
    <hyperlink ref="B159" location="'C09 Compound growth'!A1" display="C09 Compound growth"/>
    <hyperlink ref="B160" location="'C09 Compound growth'!A1" display="C09 Compound growth"/>
    <hyperlink ref="B161" location="'C09 Compound growth'!C18" display="C09 Compound growth"/>
    <hyperlink ref="B162" location="'C09 Compound growth'!C19" display="C09 Compound growth"/>
    <hyperlink ref="B163" location="'C09 Compound growth'!C17" display="C09 Compound growth"/>
    <hyperlink ref="B164" location="'C09 Compound growth'!A1" display="C09 Compound growth"/>
    <hyperlink ref="B165" location="'C09 Compound growth'!A1" display="C09 Compound growth"/>
    <hyperlink ref="B166" location="'C09 Compound growth'!A1" display="C09 Compound growth"/>
    <hyperlink ref="B167" location="'C10 Lump sum growth'!A1" display="C10 Lump sum growth"/>
    <hyperlink ref="B168" location="'C10 Lump sum growth'!A1" display="C10 Lump sum growth"/>
    <hyperlink ref="B169" location="'C10 Lump sum growth'!A1" display="C10 Lump sum growth"/>
    <hyperlink ref="B170" location="'C10 Lump sum growth'!G16" display="C10 Lump sum growth"/>
    <hyperlink ref="B171" location="'C10 Lump sum growth'!G17" display="C10 Lump sum growth"/>
    <hyperlink ref="B172" location="'C10 Lump sum growth'!G18" display="C10 Lump sum growth"/>
    <hyperlink ref="B173" location="'C10 Lump sum growth'!G19" display="C10 Lump sum growth"/>
    <hyperlink ref="B174" location="'C10 Lump sum growth'!G20" display="C10 Lump sum growth"/>
    <hyperlink ref="B175" location="'C10 Lump sum growth'!A1" display="C10 Lump sum growth"/>
    <hyperlink ref="B176" location="'C10 Lump sum growth'!C30" display="C10 Lump sum growth"/>
    <hyperlink ref="B177" location="'C10 Lump sum growth'!A1" display="C10 Lump sum growth"/>
    <hyperlink ref="B178" location="'C10 Lump sum growth'!A1" display="C10 Lump sum growth"/>
    <hyperlink ref="B179" location="'C10 Lump sum growth'!C31" display="C10 Lump sum growth"/>
    <hyperlink ref="B180" location="'C10 Lump sum growth'!C33" display="C10 Lump sum growth"/>
    <hyperlink ref="B181" location="'C10 Lump sum growth'!C35" display="C10 Lump sum growth"/>
    <hyperlink ref="B182" location="'C10 Lump sum growth'!A1" display="C10 Lump sum growth"/>
    <hyperlink ref="B183" location="'C10 Lump sum growth'!A1" display="C10 Lump sum growth"/>
    <hyperlink ref="B184" location="'C10 Lump sum growth'!A1" display="C10 Lump sum growth"/>
    <hyperlink ref="B185" location="'C11 Emergency fund'!A1" display="C11 Emergency fund"/>
    <hyperlink ref="B186" location="'C11 Emergency fund'!A1" display="C11 Emergency fund"/>
    <hyperlink ref="B187" location="'C11 Emergency fund'!A1" display="C11 Emergency fund"/>
    <hyperlink ref="B188" location="'C11 Emergency fund'!G6" display="C11 Emergency fund"/>
    <hyperlink ref="B189" location="'C11 Emergency fund'!G7" display="C11 Emergency fund"/>
    <hyperlink ref="B190" location="'C11 Emergency fund'!G9" display="C11 Emergency fund"/>
    <hyperlink ref="B191" location="'C11 Emergency fund'!C12" display="C11 Emergency fund"/>
    <hyperlink ref="B192" location="'C11 Emergency fund'!A1" display="C11 Emergency fund"/>
    <hyperlink ref="B193" location="'C11 Emergency fund'!A1" display="C11 Emergency fund"/>
    <hyperlink ref="B194" location="'C11 Emergency fund'!C13" display="C11 Emergency fund"/>
    <hyperlink ref="B195" location="'C11 Emergency fund'!C14" display="C11 Emergency fund"/>
    <hyperlink ref="B196" location="'C11 Emergency fund'!A1" display="C11 Emergency fund"/>
    <hyperlink ref="B197" location="'C11 Emergency fund'!A1" display="C11 Emergency fund"/>
    <hyperlink ref="B198" location="'C11 Emergency fund'!A1" display="C11 Emergency fund"/>
    <hyperlink ref="B199" location="'C12 Retirement projection'!A1" display="C12 Retirement projection"/>
    <hyperlink ref="B200" location="'C12 Retirement projection'!A1" display="C12 Retirement projection"/>
    <hyperlink ref="B201" location="'C12 Retirement projection'!G21" display="C12 Retirement projection"/>
    <hyperlink ref="B202" location="'C12 Retirement projection'!G22" display="C12 Retirement projection"/>
    <hyperlink ref="B203" location="'C12 Retirement projection'!G23" display="C12 Retirement projection"/>
    <hyperlink ref="B204" location="'C12 Retirement projection'!G24" display="C12 Retirement projection"/>
    <hyperlink ref="B205" location="'C12 Retirement projection'!G25" display="C12 Retirement projection"/>
    <hyperlink ref="B206" location="'C12 Retirement projection'!G26" display="C12 Retirement projection"/>
    <hyperlink ref="B207" location="'C12 Retirement projection'!G27" display="C12 Retirement projection"/>
    <hyperlink ref="B208" location="'C12 Retirement projection'!A1" display="C12 Retirement projection"/>
    <hyperlink ref="B209" location="'C12 Retirement projection'!A1" display="C12 Retirement projection"/>
    <hyperlink ref="B210" location="'C12 Retirement projection'!A1" display="C12 Retirement projection"/>
    <hyperlink ref="B211" location="'C12 Retirement projection'!A1" display="C12 Retirement projection"/>
    <hyperlink ref="B212" location="'C12 Retirement projection'!G32" display="C12 Retirement projection"/>
    <hyperlink ref="B213" location="'C12 Retirement projection'!G33" display="C12 Retirement projection"/>
    <hyperlink ref="B214" location="'C12 Retirement projection'!G34" display="C12 Retirement projection"/>
    <hyperlink ref="B215" location="'C12 Retirement projection'!A1" display="C12 Retirement projection"/>
    <hyperlink ref="B216" location="'C12 Retirement projection'!A1" display="C12 Retirement projection"/>
    <hyperlink ref="B217" location="'C12 Retirement projection'!C44" display="C12 Retirement projection"/>
    <hyperlink ref="B218" location="'C12 Retirement projection'!A1" display="C12 Retirement projection"/>
    <hyperlink ref="B219" location="'C12 Retirement projection'!C45" display="C12 Retirement projection"/>
    <hyperlink ref="B220" location="'C12 Retirement projection'!C46" display="C12 Retirement projection"/>
    <hyperlink ref="B221" location="'C12 Retirement projection'!C48" display="C12 Retirement projection"/>
    <hyperlink ref="B222" location="'C12 Retirement projection'!A1" display="C12 Retirement projection"/>
    <hyperlink ref="B223" location="'C12 Retirement projection'!C72" display="C12 Retirement projection"/>
    <hyperlink ref="B224" location="'C12 Retirement projection'!A1" display="C12 Retirement projection"/>
    <hyperlink ref="B225" location="'C12 Retirement projection'!A1" display="C12 Retirement projection"/>
    <hyperlink ref="B226" location="'C12 Retirement projection'!A1" display="C12 Retirement projection"/>
    <hyperlink ref="B227" location="'C12 Retirement projection'!A1" display="C12 Retirement projection"/>
    <hyperlink ref="B228" location="'C12 Retirement projection'!A1" display="C12 Retirement projection"/>
    <hyperlink ref="B229" location="'C12 Retirement projection'!A1" display="C12 Retirement projection"/>
    <hyperlink ref="B230" location="'C12 Retirement projection'!A1" display="C12 Retirement projection"/>
    <hyperlink ref="B231" location="'C12 Retirement projection'!A1" display="C12 Retirement projection"/>
    <hyperlink ref="B232" location="'C12 Retirement projection'!A1" display="C12 Retirement projection"/>
    <hyperlink ref="B233" location="'C12 Retirement projection'!A1" display="C12 Retirement projection"/>
    <hyperlink ref="B234" location="'C13 Contribution impact'!A1" display="C13 Contribution impact"/>
    <hyperlink ref="B235" location="'C13 Contribution impact'!A1" display="C13 Contribution impact"/>
    <hyperlink ref="B236" location="'C13 Contribution impact'!G15" display="C13 Contribution impact"/>
    <hyperlink ref="B237" location="'C13 Contribution impact'!G16" display="C13 Contribution impact"/>
    <hyperlink ref="B238" location="'C13 Contribution impact'!G17" display="C13 Contribution impact"/>
    <hyperlink ref="B239" location="'C13 Contribution impact'!G18" display="C13 Contribution impact"/>
    <hyperlink ref="B240" location="'C13 Contribution impact'!G20" display="C13 Contribution impact"/>
    <hyperlink ref="B241" location="'C13 Contribution impact'!G21" display="C13 Contribution impact"/>
    <hyperlink ref="B242" location="'C13 Contribution impact'!G22" display="C13 Contribution impact"/>
    <hyperlink ref="B243" location="'C13 Contribution impact'!A1" display="C13 Contribution impact"/>
    <hyperlink ref="B244" location="'C13 Contribution impact'!C29" display="C13 Contribution impact"/>
    <hyperlink ref="B245" location="'C13 Contribution impact'!A1" display="C13 Contribution impact"/>
    <hyperlink ref="B246" location="'C13 Contribution impact'!A1" display="C13 Contribution impact"/>
    <hyperlink ref="B247" location="'C13 Contribution impact'!C31" display="C13 Contribution impact"/>
    <hyperlink ref="B248" location="'C13 Contribution impact'!C32" display="C13 Contribution impact"/>
    <hyperlink ref="B249" location="'C13 Contribution impact'!C36" display="C13 Contribution impact"/>
    <hyperlink ref="B250" location="'C13 Contribution impact'!C30" display="C13 Contribution impact"/>
    <hyperlink ref="B251" location="'C13 Contribution impact'!A1" display="C13 Contribution impact"/>
    <hyperlink ref="B252" location="'C13 Contribution impact'!A1" display="C13 Contribution impact"/>
    <hyperlink ref="B253" location="'C13 Contribution impact'!A1" display="C13 Contribution impact"/>
    <hyperlink ref="B254" location="'C13 Contribution impact'!A1" display="C13 Contribution impact"/>
    <hyperlink ref="B255" location="'C13 Contribution impact'!A1" display="C13 Contribution impact"/>
    <hyperlink ref="B256" location="'C14 AVC impact'!A1" display="C14 AVC impact"/>
    <hyperlink ref="B257" location="'C14 AVC impact'!A1" display="C14 AVC impact"/>
    <hyperlink ref="B258" location="'C14 AVC impact'!G15" display="C14 AVC impact"/>
    <hyperlink ref="B259" location="'C14 AVC impact'!G16" display="C14 AVC impact"/>
    <hyperlink ref="B260" location="'C14 AVC impact'!G17" display="C14 AVC impact"/>
    <hyperlink ref="B261" location="'C14 AVC impact'!G18" display="C14 AVC impact"/>
    <hyperlink ref="B262" location="'C14 AVC impact'!G20" display="C14 AVC impact"/>
    <hyperlink ref="B263" location="'C14 AVC impact'!G21" display="C14 AVC impact"/>
    <hyperlink ref="B264" location="'C14 AVC impact'!G22" display="C14 AVC impact"/>
    <hyperlink ref="B265" location="'C14 AVC impact'!A1" display="C14 AVC impact"/>
    <hyperlink ref="B266" location="'C14 AVC impact'!C29" display="C14 AVC impact"/>
    <hyperlink ref="B267" location="'C14 AVC impact'!A1" display="C14 AVC impact"/>
    <hyperlink ref="B268" location="'C14 AVC impact'!A1" display="C14 AVC impact"/>
    <hyperlink ref="B269" location="'C14 AVC impact'!C31" display="C14 AVC impact"/>
    <hyperlink ref="B270" location="'C14 AVC impact'!C32" display="C14 AVC impact"/>
    <hyperlink ref="B271" location="'C14 AVC impact'!C37" display="C14 AVC impact"/>
    <hyperlink ref="B272" location="'C14 AVC impact'!C30" display="C14 AVC impact"/>
    <hyperlink ref="B273" location="'C14 AVC impact'!A1" display="C14 AVC impact"/>
    <hyperlink ref="B274" location="'C14 AVC impact'!A1" display="C14 AVC impact"/>
    <hyperlink ref="B275" location="'C14 AVC impact'!A1" display="C14 AVC impact"/>
    <hyperlink ref="B276" location="'C14 AVC impact'!A1" display="C14 AVC impact"/>
    <hyperlink ref="B277" location="'C14 AVC impact'!A1" display="C14 AVC impact"/>
    <hyperlink ref="B278" location="'C14 AVC impact'!A1" display="C14 AVC impact"/>
    <hyperlink ref="B279" location="'C14 AVC impact'!A1" display="C14 AVC impact"/>
    <hyperlink ref="B280" location="'C15 Will my money last'!A1" display="C15 Will my money last"/>
    <hyperlink ref="B281" location="'C15 Will my money last'!A1" display="C15 Will my money last"/>
    <hyperlink ref="B282" location="'C15 Will my money last'!G16" display="C15 Will my money last"/>
    <hyperlink ref="B283" location="'C15 Will my money last'!G17" display="C15 Will my money last"/>
    <hyperlink ref="B284" location="'C15 Will my money last'!G18" display="C15 Will my money last"/>
    <hyperlink ref="B285" location="'C15 Will my money last'!G20" display="C15 Will my money last"/>
    <hyperlink ref="B286" location="'C15 Will my money last'!A1" display="C15 Will my money last"/>
    <hyperlink ref="B287" location="'C15 Will my money last'!A1" display="C15 Will my money last"/>
    <hyperlink ref="B288" location="'C15 Will my money last'!A1" display="C15 Will my money last"/>
    <hyperlink ref="B289" location="'C15 Will my money last'!A1" display="C15 Will my money last"/>
    <hyperlink ref="B290" location="'C15 Will my money last'!C28" display="C15 Will my money last"/>
    <hyperlink ref="B291" location="'C15 Will my money last'!A1" display="C15 Will my money last"/>
    <hyperlink ref="B292" location="'C15 Will my money last'!A1" display="C15 Will my money last"/>
    <hyperlink ref="B293" location="'C15 Will my money last'!C29" display="C15 Will my money last"/>
    <hyperlink ref="B294" location="'C15 Will my money last'!C30" display="C15 Will my money last"/>
    <hyperlink ref="B295" location="'C15 Will my money last'!A1" display="C15 Will my money last"/>
    <hyperlink ref="B296" location="'C15 Will my money last'!A1" display="C15 Will my money last"/>
    <hyperlink ref="B297" location="'C15 Will my money last'!A1" display="C15 Will my money last"/>
    <hyperlink ref="B298" location="'C15 Will my money last'!A1" display="C15 Will my money last"/>
    <hyperlink ref="B299" location="'C15 Will my money last'!A1" display="C15 Will my money last"/>
    <hyperlink ref="B300" location="'C15 Will my money last'!A1" display="C15 Will my money last"/>
    <hyperlink ref="B301" location="'C16 Drawdown scenarios'!A1" display="C16 Drawdown scenarios"/>
    <hyperlink ref="B302" location="'C16 Drawdown scenarios'!A1" display="C16 Drawdown scenarios"/>
    <hyperlink ref="B303" location="'C16 Drawdown scenarios'!G16" display="C16 Drawdown scenarios"/>
    <hyperlink ref="B304" location="'C16 Drawdown scenarios'!G17" display="C16 Drawdown scenarios"/>
    <hyperlink ref="B305" location="'C16 Drawdown scenarios'!A1" display="C16 Drawdown scenarios"/>
    <hyperlink ref="B306" location="'C16 Drawdown scenarios'!A1" display="C16 Drawdown scenarios"/>
    <hyperlink ref="B307" location="'C16 Drawdown scenarios'!A1" display="C16 Drawdown scenarios"/>
    <hyperlink ref="B308" location="'C16 Drawdown scenarios'!A1" display="C16 Drawdown scenarios"/>
    <hyperlink ref="B309" location="'C16 Drawdown scenarios'!A1" display="C16 Drawdown scenarios"/>
    <hyperlink ref="B310" location="'C16 Drawdown scenarios'!C28" display="C16 Drawdown scenarios"/>
    <hyperlink ref="B311" location="'C16 Drawdown scenarios'!A1" display="C16 Drawdown scenarios"/>
    <hyperlink ref="B312" location="'C16 Drawdown scenarios'!A1" display="C16 Drawdown scenarios"/>
    <hyperlink ref="B313" location="'C16 Drawdown scenarios'!C29" display="C16 Drawdown scenarios"/>
    <hyperlink ref="B314" location="'C16 Drawdown scenarios'!C28" display="C16 Drawdown scenarios"/>
    <hyperlink ref="B315" location="'C16 Drawdown scenarios'!C30" display="C16 Drawdown scenarios"/>
    <hyperlink ref="B316" location="'C16 Drawdown scenarios'!A1" display="C16 Drawdown scenarios"/>
    <hyperlink ref="B317" location="'C16 Drawdown scenarios'!A1" display="C16 Drawdown scenarios"/>
    <hyperlink ref="B318" location="'C16 Drawdown scenarios'!A1" display="C16 Drawdown scenarios"/>
    <hyperlink ref="B319" location="'C16 Drawdown scenarios'!A1" display="C16 Drawdown scenarios"/>
    <hyperlink ref="B320" location="'C16 Drawdown scenarios'!A1" display="C16 Drawdown scenarios"/>
    <hyperlink ref="B321" location="'C16 Drawdown scenarios'!A1" display="C16 Drawdown scenarios"/>
    <hyperlink ref="B322" location="'C16 Drawdown scenarios'!A1" display="C16 Drawdown scenarios"/>
    <hyperlink ref="B323" location="'C17 Inflation adjusted return'!A1" display="C17 Inflation adjusted return"/>
    <hyperlink ref="B324" location="'C17 Inflation adjusted return'!A1" display="C17 Inflation adjusted return"/>
    <hyperlink ref="B325" location="'C17 Inflation adjusted return'!G15" display="C17 Inflation adjusted return"/>
    <hyperlink ref="B326" location="'C17 Inflation adjusted return'!G16" display="C17 Inflation adjusted return"/>
    <hyperlink ref="B327" location="'C17 Inflation adjusted return'!G17" display="C17 Inflation adjusted return"/>
    <hyperlink ref="B328" location="'C17 Inflation adjusted return'!A1" display="C17 Inflation adjusted return"/>
    <hyperlink ref="B329" location="'C17 Inflation adjusted return'!C24" display="C17 Inflation adjusted return"/>
    <hyperlink ref="B330" location="'C17 Inflation adjusted return'!A1" display="C17 Inflation adjusted return"/>
    <hyperlink ref="B331" location="'C17 Inflation adjusted return'!A1" display="C17 Inflation adjusted return"/>
    <hyperlink ref="B332" location="'C17 Inflation adjusted return'!C25" display="C17 Inflation adjusted return"/>
    <hyperlink ref="B333" location="'C17 Inflation adjusted return'!C26" display="C17 Inflation adjusted return"/>
    <hyperlink ref="B334" location="'C17 Inflation adjusted return'!C24" display="C17 Inflation adjusted return"/>
    <hyperlink ref="B335" location="'C17 Inflation adjusted return'!A1" display="C17 Inflation adjusted return"/>
    <hyperlink ref="B336" location="'C17 Inflation adjusted return'!A1" display="C17 Inflation adjusted return"/>
    <hyperlink ref="B337" location="'C17 Inflation adjusted return'!A1" display="C17 Inflation adjusted return"/>
    <hyperlink ref="B338" location="'C18 Regular investing'!A1" display="C18 Regular investing"/>
    <hyperlink ref="B339" location="'C18 Regular investing'!A1" display="C18 Regular investing"/>
    <hyperlink ref="B340" location="'C18 Regular investing'!A1" display="C18 Regular investing"/>
    <hyperlink ref="B341" location="'C18 Regular investing'!G16" display="C18 Regular investing"/>
    <hyperlink ref="B342" location="'C18 Regular investing'!G17" display="C18 Regular investing"/>
    <hyperlink ref="B343" location="'C18 Regular investing'!G18" display="C18 Regular investing"/>
    <hyperlink ref="B344" location="'C18 Regular investing'!G19" display="C18 Regular investing"/>
    <hyperlink ref="B345" location="'C18 Regular investing'!A1" display="C18 Regular investing"/>
    <hyperlink ref="B346" location="'C18 Regular investing'!C29" display="C18 Regular investing"/>
    <hyperlink ref="B347" location="'C18 Regular investing'!A1" display="C18 Regular investing"/>
    <hyperlink ref="B348" location="'C18 Regular investing'!A1" display="C18 Regular investing"/>
    <hyperlink ref="B349" location="'C18 Regular investing'!C33" display="C18 Regular investing"/>
    <hyperlink ref="B350" location="'C18 Regular investing'!C31" display="C18 Regular investing"/>
    <hyperlink ref="B351" location="'C18 Regular investing'!C32" display="C18 Regular investing"/>
    <hyperlink ref="B352" location="'C18 Regular investing'!A1" display="C18 Regular investing"/>
    <hyperlink ref="B353" location="'C18 Regular investing'!A1" display="C18 Regular investing"/>
    <hyperlink ref="B354" location="'C18 Regular investing'!A1" display="C18 Regular investing"/>
    <hyperlink ref="B355" location="'C19 Fees impact'!A1" display="C19 Fees impact"/>
    <hyperlink ref="B356" location="'C19 Fees impact'!A1" display="C19 Fees impact"/>
    <hyperlink ref="B357" location="'C19 Fees impact'!G12" display="C19 Fees impact"/>
    <hyperlink ref="B358" location="'C19 Fees impact'!G13" display="C19 Fees impact"/>
    <hyperlink ref="B359" location="'C19 Fees impact'!G14" display="C19 Fees impact"/>
    <hyperlink ref="B360" location="'C19 Fees impact'!G15" display="C19 Fees impact"/>
    <hyperlink ref="B361" location="'C19 Fees impact'!G16" display="C19 Fees impact"/>
    <hyperlink ref="B362" location="'C19 Fees impact'!A1" display="C19 Fees impact"/>
    <hyperlink ref="B363" location="'C19 Fees impact'!C25" display="C19 Fees impact"/>
    <hyperlink ref="B364" location="'C19 Fees impact'!A1" display="C19 Fees impact"/>
    <hyperlink ref="B365" location="'C19 Fees impact'!A1" display="C19 Fees impact"/>
    <hyperlink ref="B366" location="'C19 Fees impact'!C26" display="C19 Fees impact"/>
    <hyperlink ref="B367" location="'C19 Fees impact'!C27" display="C19 Fees impact"/>
    <hyperlink ref="B368" location="'C19 Fees impact'!A1" display="C19 Fees impact"/>
    <hyperlink ref="B369" location="'C19 Fees impact'!A1" display="C19 Fees impact"/>
    <hyperlink ref="B370" location="'C19 Fees impact'!A1" display="C19 Fees impact"/>
    <hyperlink ref="B371" location="'C20 Risk and return'!A1" display="C20 Risk and return"/>
    <hyperlink ref="B372" location="'C20 Risk and return'!A1" display="C20 Risk and return"/>
    <hyperlink ref="B373" location="'C20 Risk and return'!G12" display="C20 Risk and return"/>
    <hyperlink ref="B374" location="'C20 Risk and return'!G13" display="C20 Risk and return"/>
    <hyperlink ref="B375" location="'C20 Risk and return'!G14" display="C20 Risk and return"/>
    <hyperlink ref="B376" location="'C20 Risk and return'!A1" display="C20 Risk and return"/>
    <hyperlink ref="B377" location="'C20 Risk and return'!A1" display="C20 Risk and return"/>
    <hyperlink ref="B378" location="'C20 Risk and return'!A1" display="C20 Risk and return"/>
    <hyperlink ref="B379" location="'C20 Risk and return'!A1" display="C20 Risk and return"/>
    <hyperlink ref="B380" location="'C20 Risk and return'!A1" display="C20 Risk and return"/>
    <hyperlink ref="B381" location="'C20 Risk and return'!A1" display="C20 Risk and return"/>
    <hyperlink ref="B382" location="'C20 Risk and return'!C28" display="C20 Risk and return"/>
    <hyperlink ref="B383" location="'C20 Risk and return'!A1" display="C20 Risk and return"/>
    <hyperlink ref="B384" location="'C20 Risk and return'!A1" display="C20 Risk and return"/>
    <hyperlink ref="B385" location="'C20 Risk and return'!C29" display="C20 Risk and return"/>
    <hyperlink ref="B386" location="'C20 Risk and return'!C28" display="C20 Risk and return"/>
    <hyperlink ref="B387" location="'C20 Risk and return'!C30" display="C20 Risk and return"/>
    <hyperlink ref="B388" location="'C20 Risk and return'!A1" display="C20 Risk and return"/>
    <hyperlink ref="B389" location="'C20 Risk and return'!A1" display="C20 Risk and return"/>
    <hyperlink ref="B390" location="'C20 Risk and return'!A1" display="C20 Risk and return"/>
    <hyperlink ref="B391" location="'C21 Life cover'!A1" display="C21 Life cover"/>
    <hyperlink ref="B392" location="'C21 Life cover'!A1" display="C21 Life cover"/>
    <hyperlink ref="B393" location="'C21 Life cover'!G11" display="C21 Life cover"/>
    <hyperlink ref="B394" location="'C21 Life cover'!G12" display="C21 Life cover"/>
    <hyperlink ref="B395" location="'C21 Life cover'!G14" display="C21 Life cover"/>
    <hyperlink ref="B396" location="'C21 Life cover'!G15" display="C21 Life cover"/>
    <hyperlink ref="B397" location="'C21 Life cover'!G16" display="C21 Life cover"/>
    <hyperlink ref="B398" location="'C21 Life cover'!G17" display="C21 Life cover"/>
    <hyperlink ref="B399" location="'C21 Life cover'!G18" display="C21 Life cover"/>
    <hyperlink ref="B400" location="'C21 Life cover'!G19" display="C21 Life cover"/>
    <hyperlink ref="B401" location="'C21 Life cover'!A1" display="C21 Life cover"/>
    <hyperlink ref="B402" location="'C21 Life cover'!A1" display="C21 Life cover"/>
    <hyperlink ref="B403" location="'C21 Life cover'!C26" display="C21 Life cover"/>
    <hyperlink ref="B404" location="'C21 Life cover'!A1" display="C21 Life cover"/>
    <hyperlink ref="B405" location="'C21 Life cover'!C27" display="C21 Life cover"/>
    <hyperlink ref="B406" location="'C21 Life cover'!C28" display="C21 Life cover"/>
    <hyperlink ref="B407" location="'C21 Life cover'!C29" display="C21 Life cover"/>
    <hyperlink ref="B408" location="'C21 Life cover'!C30" display="C21 Life cover"/>
    <hyperlink ref="B409" location="'C21 Life cover'!A1" display="C21 Life cover"/>
    <hyperlink ref="B410" location="'C21 Life cover'!A1" display="C21 Life cover"/>
    <hyperlink ref="B411" location="'C21 Life cover'!A1" display="C21 Life cover"/>
    <hyperlink ref="B412" location="'C22 Income protection gap'!A1" display="C22 Income protection gap"/>
    <hyperlink ref="B413" location="'C22 Income protection gap'!A1" display="C22 Income protection gap"/>
    <hyperlink ref="B414" location="'C22 Income protection gap'!G6" display="C22 Income protection gap"/>
    <hyperlink ref="B415" location="'C22 Income protection gap'!G7" display="C22 Income protection gap"/>
    <hyperlink ref="B416" location="'C22 Income protection gap'!G8" display="C22 Income protection gap"/>
    <hyperlink ref="B417" location="'C22 Income protection gap'!G9" display="C22 Income protection gap"/>
    <hyperlink ref="B418" location="'C22 Income protection gap'!G10" display="C22 Income protection gap"/>
    <hyperlink ref="B419" location="'C22 Income protection gap'!A1" display="C22 Income protection gap"/>
    <hyperlink ref="B420" location="'C22 Income protection gap'!C13" display="C22 Income protection gap"/>
    <hyperlink ref="B421" location="'C22 Income protection gap'!A1" display="C22 Income protection gap"/>
    <hyperlink ref="B422" location="'C22 Income protection gap'!C14" display="C22 Income protection gap"/>
    <hyperlink ref="B423" location="'C22 Income protection gap'!C15" display="C22 Income protection gap"/>
    <hyperlink ref="B424" location="'C22 Income protection gap'!C17" display="C22 Income protection gap"/>
    <hyperlink ref="B425" location="'C22 Income protection gap'!A1" display="C22 Income protection gap"/>
    <hyperlink ref="B426" location="'C22 Income protection gap'!A1" display="C22 Income protection gap"/>
    <hyperlink ref="B427" location="'C22 Income protection gap'!A1" display="C22 Income protection gap"/>
    <hyperlink ref="B428" location="'C22 Income protection gap'!A1" display="C22 Income protection gap"/>
    <hyperlink ref="B429" location="'C22 Income protection gap'!A1" display="C22 Income protection gap"/>
    <hyperlink ref="B430" location="'C23 Mortgage protection'!A1" display="C23 Mortgage protection"/>
    <hyperlink ref="B431" location="'C23 Mortgage protection'!A1" display="C23 Mortgage protection"/>
    <hyperlink ref="B432" location="'C23 Mortgage protection'!G14" display="C23 Mortgage protection"/>
    <hyperlink ref="B433" location="'C23 Mortgage protection'!G15" display="C23 Mortgage protection"/>
    <hyperlink ref="B434" location="'C23 Mortgage protection'!G16" display="C23 Mortgage protection"/>
    <hyperlink ref="B435" location="'C23 Mortgage protection'!A1" display="C23 Mortgage protection"/>
    <hyperlink ref="B436" location="'C23 Mortgage protection'!C27" display="C23 Mortgage protection"/>
    <hyperlink ref="B437" location="'C23 Mortgage protection'!A1" display="C23 Mortgage protection"/>
    <hyperlink ref="B438" location="'C23 Mortgage protection'!A1" display="C23 Mortgage protection"/>
    <hyperlink ref="B439" location="'C23 Mortgage protection'!C29" display="C23 Mortgage protection"/>
    <hyperlink ref="B440" location="'C23 Mortgage protection'!C30" display="C23 Mortgage protection"/>
    <hyperlink ref="B441" location="'C23 Mortgage protection'!C31" display="C23 Mortgage protection"/>
    <hyperlink ref="B442" location="'C23 Mortgage protection'!A1" display="C23 Mortgage protection"/>
    <hyperlink ref="B443" location="'C23 Mortgage protection'!A1" display="C23 Mortgage protection"/>
    <hyperlink ref="B444" location="'C23 Mortgage protection'!A1" display="C23 Mortgage protection"/>
    <hyperlink ref="B445" location="'C24 Net worth'!A1" display="C24 Net worth"/>
    <hyperlink ref="B446" location="'C24 Net worth'!A1" display="C24 Net worth"/>
    <hyperlink ref="B447" location="'C24 Net worth'!G13" display="C24 Net worth"/>
    <hyperlink ref="B448" location="'C24 Net worth'!G14" display="C24 Net worth"/>
    <hyperlink ref="B449" location="'C24 Net worth'!G15" display="C24 Net worth"/>
    <hyperlink ref="B450" location="'C24 Net worth'!G16" display="C24 Net worth"/>
    <hyperlink ref="B451" location="'C24 Net worth'!G17" display="C24 Net worth"/>
    <hyperlink ref="B452" location="'C24 Net worth'!G18" display="C24 Net worth"/>
    <hyperlink ref="B453" location="'C24 Net worth'!C27" display="C24 Net worth"/>
    <hyperlink ref="B454" location="'C24 Net worth'!A1" display="C24 Net worth"/>
    <hyperlink ref="B455" location="'C24 Net worth'!A1" display="C24 Net worth"/>
    <hyperlink ref="B456" location="'C24 Net worth'!C28" display="C24 Net worth"/>
    <hyperlink ref="B457" location="'C24 Net worth'!C29" display="C24 Net worth"/>
    <hyperlink ref="B458" location="'C24 Net worth'!A1" display="C24 Net worth"/>
    <hyperlink ref="B459" location="'C24 Net worth'!A1" display="C24 Net worth"/>
    <hyperlink ref="B460" location="'C24 Net worth'!A1" display="C24 Net worth"/>
    <hyperlink ref="B461" location="'C25 Monthly surplus'!A1" display="C25 Monthly surplus"/>
    <hyperlink ref="B462" location="'C25 Monthly surplus'!A1" display="C25 Monthly surplus"/>
    <hyperlink ref="B463" location="'C25 Monthly surplus'!G6" display="C25 Monthly surplus"/>
    <hyperlink ref="B464" location="'C25 Monthly surplus'!G7" display="C25 Monthly surplus"/>
    <hyperlink ref="B465" location="'C25 Monthly surplus'!G8" display="C25 Monthly surplus"/>
    <hyperlink ref="B466" location="'C25 Monthly surplus'!G9" display="C25 Monthly surplus"/>
    <hyperlink ref="B467" location="'C25 Monthly surplus'!C15" display="C25 Monthly surplus"/>
    <hyperlink ref="B468" location="'C25 Monthly surplus'!A1" display="C25 Monthly surplus"/>
    <hyperlink ref="B469" location="'C25 Monthly surplus'!A1" display="C25 Monthly surplus"/>
    <hyperlink ref="B470" location="'C25 Monthly surplus'!A1" display="C25 Monthly surplus"/>
    <hyperlink ref="B471" location="'C25 Monthly surplus'!C16" display="C25 Monthly surplus"/>
    <hyperlink ref="B472" location="'C25 Monthly surplus'!A1" display="C25 Monthly surplus"/>
    <hyperlink ref="B473" location="'C25 Monthly surplus'!A1" display="C25 Monthly surplus"/>
    <hyperlink ref="B474" location="'C25 Monthly surplus'!A1" display="C25 Monthly surplus"/>
    <hyperlink ref="B475" location="'C26 Budget 50 30 20'!A1" display="C26 Budget 50 30 20"/>
    <hyperlink ref="B476" location="'C26 Budget 50 30 20'!A1" display="C26 Budget 50 30 20"/>
    <hyperlink ref="B477" location="'C26 Budget 50 30 20'!G6" display="C26 Budget 50 30 20"/>
    <hyperlink ref="B478" location="'C26 Budget 50 30 20'!A1" display="C26 Budget 50 30 20"/>
    <hyperlink ref="B479" location="'C26 Budget 50 30 20'!A1" display="C26 Budget 50 30 20"/>
    <hyperlink ref="B480" location="'C26 Budget 50 30 20'!A1" display="C26 Budget 50 30 20"/>
    <hyperlink ref="B481" location="'C26 Budget 50 30 20'!C16" display="C26 Budget 50 30 20"/>
    <hyperlink ref="B482" location="'C26 Budget 50 30 20'!A1" display="C26 Budget 50 30 20"/>
    <hyperlink ref="B483" location="'C26 Budget 50 30 20'!A1" display="C26 Budget 50 30 20"/>
    <hyperlink ref="B484" location="'C26 Budget 50 30 20'!C17" display="C26 Budget 50 30 20"/>
    <hyperlink ref="B485" location="'C26 Budget 50 30 20'!C18" display="C26 Budget 50 30 20"/>
    <hyperlink ref="B486" location="'C26 Budget 50 30 20'!C16" display="C26 Budget 50 30 20"/>
    <hyperlink ref="B487" location="'C26 Budget 50 30 20'!A1" display="C26 Budget 50 30 20"/>
    <hyperlink ref="B488" location="'C26 Budget 50 30 20'!A1" display="C26 Budget 50 30 20"/>
    <hyperlink ref="B489" location="'C26 Budget 50 30 20'!A1" display="C26 Budget 50 30 20"/>
    <hyperlink ref="B490" location="'C27 Debt repayment'!A1" display="C27 Debt repayment"/>
    <hyperlink ref="B491" location="'C27 Debt repayment'!A1" display="C27 Debt repayment"/>
    <hyperlink ref="B492" location="'C27 Debt repayment'!G6" display="C27 Debt repayment"/>
    <hyperlink ref="B493" location="'C27 Debt repayment'!G7" display="C27 Debt repayment"/>
    <hyperlink ref="B494" location="'C27 Debt repayment'!G8" display="C27 Debt repayment"/>
    <hyperlink ref="B495" location="'C27 Debt repayment'!G9" display="C27 Debt repayment"/>
    <hyperlink ref="B496" location="'C27 Debt repayment'!A1" display="C27 Debt repayment"/>
    <hyperlink ref="B497" location="'C27 Debt repayment'!C12" display="C27 Debt repayment"/>
    <hyperlink ref="B498" location="'C27 Debt repayment'!A1" display="C27 Debt repayment"/>
    <hyperlink ref="B499" location="'C27 Debt repayment'!C13" display="C27 Debt repayment"/>
    <hyperlink ref="B500" location="'C27 Debt repayment'!A1" display="C27 Debt repayment"/>
    <hyperlink ref="B501" location="'C27 Debt repayment'!A1" display="C27 Debt repayment"/>
    <hyperlink ref="B502" location="'C27 Debt repayment'!A1" display="C27 Debt repayment"/>
    <hyperlink ref="B503" location="'C28 Loan repayment'!A1" display="C28 Loan repayment"/>
    <hyperlink ref="B504" location="'C28 Loan repayment'!A1" display="C28 Loan repayment"/>
    <hyperlink ref="B505" location="'C28 Loan repayment'!G6" display="C28 Loan repayment"/>
    <hyperlink ref="B506" location="'C28 Loan repayment'!G7" display="C28 Loan repayment"/>
    <hyperlink ref="B507" location="'C28 Loan repayment'!G8" display="C28 Loan repayment"/>
    <hyperlink ref="B508" location="'C28 Loan repayment'!A1" display="C28 Loan repayment"/>
    <hyperlink ref="B509" location="'C28 Loan repayment'!C11" display="C28 Loan repayment"/>
    <hyperlink ref="B510" location="'C28 Loan repayment'!A1" display="C28 Loan repayment"/>
    <hyperlink ref="B511" location="'C28 Loan repayment'!A1" display="C28 Loan repayment"/>
    <hyperlink ref="B512" location="'C28 Loan repayment'!C13" display="C28 Loan repayment"/>
    <hyperlink ref="B513" location="'C28 Loan repayment'!C12" display="C28 Loan repayment"/>
    <hyperlink ref="B514" location="'C28 Loan repayment'!A1" display="C28 Loan repayment"/>
    <hyperlink ref="B515" location="'C28 Loan repayment'!A1" display="C28 Loan repayment"/>
    <hyperlink ref="B516" location="'C28 Loan repayment'!A1" display="C28 Loan repaymen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70"/>
    <pageSetUpPr fitToPage="false"/>
  </sheetPr>
  <dimension ref="A1:D28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
    <col collapsed="false" customWidth="true" hidden="false" outlineLevel="0" max="2" min="2" style="1" width="58"/>
    <col collapsed="false" customWidth="true" hidden="false" outlineLevel="0" max="3" min="3" style="1" width="3"/>
    <col collapsed="false" customWidth="true" hidden="false" outlineLevel="0" max="4" min="4" style="1" width="58"/>
  </cols>
  <sheetData>
    <row r="1" customFormat="false" ht="15.75" hidden="false" customHeight="true" outlineLevel="0" collapsed="false">
      <c r="A1" s="182" t="s">
        <v>6216</v>
      </c>
    </row>
    <row r="3" customFormat="false" ht="15" hidden="false" customHeight="true" outlineLevel="0" collapsed="false">
      <c r="B3" s="187" t="s">
        <v>6217</v>
      </c>
      <c r="C3" s="188"/>
      <c r="D3" s="189" t="s">
        <v>6218</v>
      </c>
    </row>
    <row r="4" customFormat="false" ht="15" hidden="false" customHeight="true" outlineLevel="0" collapsed="false">
      <c r="B4" s="190" t="s">
        <v>6219</v>
      </c>
      <c r="D4" s="190" t="s">
        <v>6220</v>
      </c>
    </row>
    <row r="107" customFormat="false" ht="15" hidden="false" customHeight="true" outlineLevel="0" collapsed="false">
      <c r="B107" s="187" t="s">
        <v>6221</v>
      </c>
      <c r="C107" s="188"/>
      <c r="D107" s="189" t="s">
        <v>6222</v>
      </c>
    </row>
    <row r="108" customFormat="false" ht="15" hidden="false" customHeight="true" outlineLevel="0" collapsed="false">
      <c r="B108" s="190" t="s">
        <v>6219</v>
      </c>
      <c r="D108" s="190" t="s">
        <v>6220</v>
      </c>
    </row>
    <row r="174" customFormat="false" ht="15" hidden="false" customHeight="true" outlineLevel="0" collapsed="false">
      <c r="B174" s="187" t="s">
        <v>6223</v>
      </c>
      <c r="C174" s="188"/>
      <c r="D174" s="189" t="s">
        <v>6224</v>
      </c>
    </row>
    <row r="175" customFormat="false" ht="15" hidden="false" customHeight="true" outlineLevel="0" collapsed="false">
      <c r="B175" s="190" t="s">
        <v>6219</v>
      </c>
      <c r="D175" s="190" t="s">
        <v>6220</v>
      </c>
    </row>
    <row r="260" customFormat="false" ht="15" hidden="false" customHeight="true" outlineLevel="0" collapsed="false">
      <c r="B260" s="187" t="s">
        <v>6225</v>
      </c>
      <c r="C260" s="188"/>
      <c r="D260" s="189" t="s">
        <v>6226</v>
      </c>
    </row>
    <row r="261" customFormat="false" ht="15" hidden="false" customHeight="true" outlineLevel="0" collapsed="false">
      <c r="B261" s="190" t="s">
        <v>6219</v>
      </c>
      <c r="D261" s="190" t="s">
        <v>6220</v>
      </c>
    </row>
    <row r="327" customFormat="false" ht="15" hidden="false" customHeight="true" outlineLevel="0" collapsed="false">
      <c r="B327" s="187" t="s">
        <v>6227</v>
      </c>
      <c r="C327" s="188"/>
      <c r="D327" s="189" t="s">
        <v>6228</v>
      </c>
    </row>
    <row r="328" customFormat="false" ht="15" hidden="false" customHeight="true" outlineLevel="0" collapsed="false">
      <c r="B328" s="190" t="s">
        <v>6219</v>
      </c>
      <c r="D328" s="190" t="s">
        <v>6220</v>
      </c>
    </row>
    <row r="391" customFormat="false" ht="15" hidden="false" customHeight="true" outlineLevel="0" collapsed="false">
      <c r="B391" s="187" t="s">
        <v>6229</v>
      </c>
      <c r="C391" s="188"/>
      <c r="D391" s="189" t="s">
        <v>6230</v>
      </c>
    </row>
    <row r="392" customFormat="false" ht="15" hidden="false" customHeight="true" outlineLevel="0" collapsed="false">
      <c r="B392" s="190" t="s">
        <v>6219</v>
      </c>
      <c r="D392" s="190" t="s">
        <v>6220</v>
      </c>
    </row>
    <row r="458" customFormat="false" ht="15" hidden="false" customHeight="true" outlineLevel="0" collapsed="false">
      <c r="B458" s="187" t="s">
        <v>6231</v>
      </c>
      <c r="C458" s="188"/>
      <c r="D458" s="189" t="s">
        <v>6232</v>
      </c>
    </row>
    <row r="459" customFormat="false" ht="15" hidden="false" customHeight="true" outlineLevel="0" collapsed="false">
      <c r="B459" s="190" t="s">
        <v>6219</v>
      </c>
      <c r="D459" s="190" t="s">
        <v>6220</v>
      </c>
    </row>
    <row r="580" customFormat="false" ht="15" hidden="false" customHeight="true" outlineLevel="0" collapsed="false">
      <c r="B580" s="187" t="s">
        <v>6233</v>
      </c>
      <c r="C580" s="188"/>
      <c r="D580" s="189" t="s">
        <v>6234</v>
      </c>
    </row>
    <row r="581" customFormat="false" ht="15" hidden="false" customHeight="true" outlineLevel="0" collapsed="false">
      <c r="B581" s="190" t="s">
        <v>6219</v>
      </c>
      <c r="D581" s="190" t="s">
        <v>6220</v>
      </c>
    </row>
    <row r="674" customFormat="false" ht="15" hidden="false" customHeight="true" outlineLevel="0" collapsed="false">
      <c r="B674" s="187" t="s">
        <v>6235</v>
      </c>
      <c r="C674" s="188"/>
      <c r="D674" s="189" t="s">
        <v>6236</v>
      </c>
    </row>
    <row r="675" customFormat="false" ht="15" hidden="false" customHeight="true" outlineLevel="0" collapsed="false">
      <c r="B675" s="190" t="s">
        <v>6219</v>
      </c>
      <c r="D675" s="190" t="s">
        <v>6220</v>
      </c>
    </row>
    <row r="762" customFormat="false" ht="15" hidden="false" customHeight="true" outlineLevel="0" collapsed="false">
      <c r="B762" s="187" t="s">
        <v>6237</v>
      </c>
      <c r="C762" s="188"/>
      <c r="D762" s="189" t="s">
        <v>6238</v>
      </c>
    </row>
    <row r="763" customFormat="false" ht="15" hidden="false" customHeight="true" outlineLevel="0" collapsed="false">
      <c r="B763" s="190" t="s">
        <v>6219</v>
      </c>
      <c r="D763" s="190" t="s">
        <v>6220</v>
      </c>
    </row>
    <row r="840" customFormat="false" ht="15" hidden="false" customHeight="true" outlineLevel="0" collapsed="false">
      <c r="B840" s="187" t="s">
        <v>6239</v>
      </c>
      <c r="C840" s="188"/>
      <c r="D840" s="189" t="s">
        <v>6240</v>
      </c>
    </row>
    <row r="841" customFormat="false" ht="15" hidden="false" customHeight="true" outlineLevel="0" collapsed="false">
      <c r="B841" s="190" t="s">
        <v>6219</v>
      </c>
      <c r="D841" s="190" t="s">
        <v>6220</v>
      </c>
    </row>
    <row r="902" customFormat="false" ht="15" hidden="false" customHeight="true" outlineLevel="0" collapsed="false">
      <c r="B902" s="187" t="s">
        <v>6241</v>
      </c>
      <c r="C902" s="188"/>
      <c r="D902" s="189" t="s">
        <v>6242</v>
      </c>
    </row>
    <row r="903" customFormat="false" ht="15" hidden="false" customHeight="true" outlineLevel="0" collapsed="false">
      <c r="B903" s="190" t="s">
        <v>6219</v>
      </c>
      <c r="D903" s="190" t="s">
        <v>6220</v>
      </c>
    </row>
    <row r="1063" customFormat="false" ht="15" hidden="false" customHeight="true" outlineLevel="0" collapsed="false">
      <c r="B1063" s="190" t="s">
        <v>6243</v>
      </c>
    </row>
    <row r="1205" customFormat="false" ht="15" hidden="false" customHeight="true" outlineLevel="0" collapsed="false">
      <c r="B1205" s="187" t="s">
        <v>6244</v>
      </c>
      <c r="C1205" s="188"/>
      <c r="D1205" s="189" t="s">
        <v>6245</v>
      </c>
    </row>
    <row r="1206" customFormat="false" ht="15" hidden="false" customHeight="true" outlineLevel="0" collapsed="false">
      <c r="B1206" s="190" t="s">
        <v>6219</v>
      </c>
      <c r="D1206" s="190" t="s">
        <v>6220</v>
      </c>
    </row>
    <row r="1312" customFormat="false" ht="15" hidden="false" customHeight="true" outlineLevel="0" collapsed="false">
      <c r="B1312" s="190" t="s">
        <v>6246</v>
      </c>
    </row>
    <row r="1402" customFormat="false" ht="15" hidden="false" customHeight="true" outlineLevel="0" collapsed="false">
      <c r="B1402" s="187" t="s">
        <v>6247</v>
      </c>
      <c r="C1402" s="188"/>
      <c r="D1402" s="189" t="s">
        <v>6248</v>
      </c>
    </row>
    <row r="1403" customFormat="false" ht="15" hidden="false" customHeight="true" outlineLevel="0" collapsed="false">
      <c r="B1403" s="190" t="s">
        <v>6219</v>
      </c>
      <c r="D1403" s="190" t="s">
        <v>6220</v>
      </c>
    </row>
    <row r="1506" customFormat="false" ht="15" hidden="false" customHeight="true" outlineLevel="0" collapsed="false">
      <c r="B1506" s="190" t="s">
        <v>6249</v>
      </c>
    </row>
    <row r="1593" customFormat="false" ht="15" hidden="false" customHeight="true" outlineLevel="0" collapsed="false">
      <c r="B1593" s="187" t="s">
        <v>6250</v>
      </c>
      <c r="C1593" s="188"/>
      <c r="D1593" s="189" t="s">
        <v>6251</v>
      </c>
    </row>
    <row r="1594" customFormat="false" ht="15" hidden="false" customHeight="true" outlineLevel="0" collapsed="false">
      <c r="B1594" s="190" t="s">
        <v>6219</v>
      </c>
      <c r="D1594" s="190" t="s">
        <v>6220</v>
      </c>
    </row>
    <row r="1701" customFormat="false" ht="15" hidden="false" customHeight="true" outlineLevel="0" collapsed="false">
      <c r="B1701" s="190" t="s">
        <v>6252</v>
      </c>
    </row>
    <row r="1777" customFormat="false" ht="15" hidden="false" customHeight="true" outlineLevel="0" collapsed="false">
      <c r="B1777" s="187" t="s">
        <v>6253</v>
      </c>
      <c r="C1777" s="188"/>
      <c r="D1777" s="189" t="s">
        <v>6254</v>
      </c>
    </row>
    <row r="1778" customFormat="false" ht="15" hidden="false" customHeight="true" outlineLevel="0" collapsed="false">
      <c r="B1778" s="190" t="s">
        <v>6219</v>
      </c>
      <c r="D1778" s="190" t="s">
        <v>6220</v>
      </c>
    </row>
    <row r="1885" customFormat="false" ht="15" hidden="false" customHeight="true" outlineLevel="0" collapsed="false">
      <c r="B1885" s="190" t="s">
        <v>6255</v>
      </c>
    </row>
    <row r="1974" customFormat="false" ht="15" hidden="false" customHeight="true" outlineLevel="0" collapsed="false">
      <c r="B1974" s="187" t="s">
        <v>6256</v>
      </c>
      <c r="C1974" s="188"/>
      <c r="D1974" s="189" t="s">
        <v>6257</v>
      </c>
    </row>
    <row r="1975" customFormat="false" ht="15" hidden="false" customHeight="true" outlineLevel="0" collapsed="false">
      <c r="B1975" s="190" t="s">
        <v>6219</v>
      </c>
      <c r="D1975" s="190" t="s">
        <v>6220</v>
      </c>
    </row>
    <row r="2058" customFormat="false" ht="15" hidden="false" customHeight="true" outlineLevel="0" collapsed="false">
      <c r="B2058" s="187" t="s">
        <v>6258</v>
      </c>
      <c r="C2058" s="188"/>
      <c r="D2058" s="189" t="s">
        <v>6259</v>
      </c>
    </row>
    <row r="2059" customFormat="false" ht="15" hidden="false" customHeight="true" outlineLevel="0" collapsed="false">
      <c r="B2059" s="190" t="s">
        <v>6219</v>
      </c>
      <c r="D2059" s="190" t="s">
        <v>6220</v>
      </c>
    </row>
    <row r="2129" customFormat="false" ht="15" hidden="false" customHeight="true" outlineLevel="0" collapsed="false">
      <c r="B2129" s="187" t="s">
        <v>6260</v>
      </c>
      <c r="C2129" s="188"/>
      <c r="D2129" s="189" t="s">
        <v>6261</v>
      </c>
    </row>
    <row r="2130" customFormat="false" ht="15" hidden="false" customHeight="true" outlineLevel="0" collapsed="false">
      <c r="B2130" s="190" t="s">
        <v>6219</v>
      </c>
      <c r="D2130" s="190" t="s">
        <v>6220</v>
      </c>
    </row>
    <row r="2200" customFormat="false" ht="15" hidden="false" customHeight="true" outlineLevel="0" collapsed="false">
      <c r="B2200" s="187" t="s">
        <v>6262</v>
      </c>
      <c r="C2200" s="188"/>
      <c r="D2200" s="189" t="s">
        <v>6263</v>
      </c>
    </row>
    <row r="2201" customFormat="false" ht="15" hidden="false" customHeight="true" outlineLevel="0" collapsed="false">
      <c r="B2201" s="190" t="s">
        <v>6219</v>
      </c>
      <c r="D2201" s="190" t="s">
        <v>6220</v>
      </c>
    </row>
    <row r="2321" customFormat="false" ht="15" hidden="false" customHeight="true" outlineLevel="0" collapsed="false">
      <c r="B2321" s="187" t="s">
        <v>6264</v>
      </c>
      <c r="C2321" s="188"/>
      <c r="D2321" s="189" t="s">
        <v>6265</v>
      </c>
    </row>
    <row r="2322" customFormat="false" ht="15" hidden="false" customHeight="true" outlineLevel="0" collapsed="false">
      <c r="B2322" s="190" t="s">
        <v>6219</v>
      </c>
      <c r="D2322" s="190" t="s">
        <v>6220</v>
      </c>
    </row>
    <row r="2418" customFormat="false" ht="15" hidden="false" customHeight="true" outlineLevel="0" collapsed="false">
      <c r="B2418" s="187" t="s">
        <v>6266</v>
      </c>
      <c r="C2418" s="188"/>
      <c r="D2418" s="189" t="s">
        <v>6267</v>
      </c>
    </row>
    <row r="2419" customFormat="false" ht="15" hidden="false" customHeight="true" outlineLevel="0" collapsed="false">
      <c r="B2419" s="190" t="s">
        <v>6219</v>
      </c>
      <c r="D2419" s="190" t="s">
        <v>6220</v>
      </c>
    </row>
    <row r="2503" customFormat="false" ht="15" hidden="false" customHeight="true" outlineLevel="0" collapsed="false">
      <c r="B2503" s="187" t="s">
        <v>6268</v>
      </c>
      <c r="C2503" s="188"/>
      <c r="D2503" s="189" t="s">
        <v>6269</v>
      </c>
    </row>
    <row r="2504" customFormat="false" ht="15" hidden="false" customHeight="true" outlineLevel="0" collapsed="false">
      <c r="B2504" s="190" t="s">
        <v>6219</v>
      </c>
      <c r="D2504" s="190" t="s">
        <v>6220</v>
      </c>
    </row>
    <row r="2562" customFormat="false" ht="15" hidden="false" customHeight="true" outlineLevel="0" collapsed="false">
      <c r="B2562" s="187" t="s">
        <v>6270</v>
      </c>
      <c r="C2562" s="188"/>
      <c r="D2562" s="189" t="s">
        <v>6271</v>
      </c>
    </row>
    <row r="2563" customFormat="false" ht="15" hidden="false" customHeight="true" outlineLevel="0" collapsed="false">
      <c r="B2563" s="190" t="s">
        <v>6219</v>
      </c>
      <c r="D2563" s="190" t="s">
        <v>6220</v>
      </c>
    </row>
    <row r="2636" customFormat="false" ht="15" hidden="false" customHeight="true" outlineLevel="0" collapsed="false">
      <c r="B2636" s="187" t="s">
        <v>6272</v>
      </c>
      <c r="C2636" s="188"/>
      <c r="D2636" s="189" t="s">
        <v>6273</v>
      </c>
    </row>
    <row r="2637" customFormat="false" ht="15" hidden="false" customHeight="true" outlineLevel="0" collapsed="false">
      <c r="B2637" s="190" t="s">
        <v>6219</v>
      </c>
      <c r="D2637" s="190" t="s">
        <v>6220</v>
      </c>
    </row>
    <row r="2699" customFormat="false" ht="15" hidden="false" customHeight="true" outlineLevel="0" collapsed="false">
      <c r="B2699" s="187" t="s">
        <v>6274</v>
      </c>
      <c r="C2699" s="188"/>
      <c r="D2699" s="189" t="s">
        <v>6275</v>
      </c>
    </row>
    <row r="2700" customFormat="false" ht="15" hidden="false" customHeight="true" outlineLevel="0" collapsed="false">
      <c r="B2700" s="190" t="s">
        <v>6219</v>
      </c>
      <c r="D2700" s="190" t="s">
        <v>6220</v>
      </c>
    </row>
    <row r="2766" customFormat="false" ht="15" hidden="false" customHeight="true" outlineLevel="0" collapsed="false">
      <c r="B2766" s="187" t="s">
        <v>6276</v>
      </c>
      <c r="C2766" s="188"/>
      <c r="D2766" s="189" t="s">
        <v>6277</v>
      </c>
    </row>
    <row r="2767" customFormat="false" ht="15" hidden="false" customHeight="true" outlineLevel="0" collapsed="false">
      <c r="B2767" s="190" t="s">
        <v>6219</v>
      </c>
      <c r="D2767" s="190" t="s">
        <v>6220</v>
      </c>
    </row>
    <row r="2829" customFormat="false" ht="15" hidden="false" customHeight="true" outlineLevel="0" collapsed="false">
      <c r="B2829" s="187" t="s">
        <v>6278</v>
      </c>
      <c r="C2829" s="188"/>
      <c r="D2829" s="189" t="s">
        <v>6279</v>
      </c>
    </row>
    <row r="2830" customFormat="false" ht="15" hidden="false" customHeight="true" outlineLevel="0" collapsed="false">
      <c r="B2830" s="190" t="s">
        <v>6219</v>
      </c>
      <c r="D2830" s="190" t="s">
        <v>6220</v>
      </c>
    </row>
  </sheetData>
  <hyperlinks>
    <hyperlink ref="D3" location="'UI Calculators'!A5" display="Rows 5 to 26 in UI Calculators (22 elements)"/>
    <hyperlink ref="D107" location="'UI Calculators'!A27" display="Rows 27 to 42 in UI Calculators (16 elements)"/>
    <hyperlink ref="D174" location="'UI Calculators'!A43" display="Rows 43 to 60 in UI Calculators (18 elements)"/>
    <hyperlink ref="D260" location="'UI Calculators'!A61" display="Rows 61 to 76 in UI Calculators (16 elements)"/>
    <hyperlink ref="D327" location="'UI Calculators'!A77" display="Rows 77 to 92 in UI Calculators (16 elements)"/>
    <hyperlink ref="D391" location="'UI Calculators'!A93" display="Rows 93 to 109 in UI Calculators (17 elements)"/>
    <hyperlink ref="D458" location="'UI Calculators'!A110" display="Rows 110 to 133 in UI Calculators (24 elements)"/>
    <hyperlink ref="D580" location="'UI Calculators'!A134" display="Rows 134 to 150 in UI Calculators (17 elements)"/>
    <hyperlink ref="D674" location="'UI Calculators'!A151" display="Rows 151 to 166 in UI Calculators (16 elements)"/>
    <hyperlink ref="D762" location="'UI Calculators'!A167" display="Rows 167 to 184 in UI Calculators (18 elements)"/>
    <hyperlink ref="D840" location="'UI Calculators'!A185" display="Rows 185 to 198 in UI Calculators (14 elements)"/>
    <hyperlink ref="D902" location="'UI Calculators'!A199" display="Rows 199 to 233 in UI Calculators (35 elements)"/>
    <hyperlink ref="D1205" location="'UI Calculators'!A234" display="Rows 234 to 255 in UI Calculators (22 elements)"/>
    <hyperlink ref="D1402" location="'UI Calculators'!A256" display="Rows 256 to 279 in UI Calculators (24 elements)"/>
    <hyperlink ref="D1593" location="'UI Calculators'!A280" display="Rows 280 to 300 in UI Calculators (21 elements)"/>
    <hyperlink ref="D1777" location="'UI Calculators'!A301" display="Rows 301 to 322 in UI Calculators (22 elements)"/>
    <hyperlink ref="D1974" location="'UI Calculators'!A323" display="Rows 323 to 337 in UI Calculators (15 elements)"/>
    <hyperlink ref="D2058" location="'UI Calculators'!A338" display="Rows 338 to 354 in UI Calculators (17 elements)"/>
    <hyperlink ref="D2129" location="'UI Calculators'!A355" display="Rows 355 to 370 in UI Calculators (16 elements)"/>
    <hyperlink ref="D2200" location="'UI Calculators'!A371" display="Rows 371 to 390 in UI Calculators (20 elements)"/>
    <hyperlink ref="D2321" location="'UI Calculators'!A391" display="Rows 391 to 411 in UI Calculators (21 elements)"/>
    <hyperlink ref="D2418" location="'UI Calculators'!A412" display="Rows 412 to 429 in UI Calculators (18 elements)"/>
    <hyperlink ref="D2503" location="'UI Calculators'!A430" display="Rows 430 to 444 in UI Calculators (15 elements)"/>
    <hyperlink ref="D2562" location="'UI Calculators'!A445" display="Rows 445 to 460 in UI Calculators (16 elements)"/>
    <hyperlink ref="D2636" location="'UI Calculators'!A461" display="Rows 461 to 474 in UI Calculators (14 elements)"/>
    <hyperlink ref="D2699" location="'UI Calculators'!A475" display="Rows 475 to 489 in UI Calculators (15 elements)"/>
    <hyperlink ref="D2766" location="'UI Calculators'!A490" display="Rows 490 to 502 in UI Calculators (13 elements)"/>
    <hyperlink ref="D2829" location="'UI Calculators'!A503" display="Rows 503 to 516 in UI Calculators (14 elemen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7A70"/>
    <pageSetUpPr fitToPage="false"/>
  </sheetPr>
  <dimension ref="A1:P10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1" width="10"/>
    <col collapsed="false" customWidth="true" hidden="false" outlineLevel="0" max="2" min="2" style="1" width="26"/>
    <col collapsed="false" customWidth="true" hidden="false" outlineLevel="0" max="3" min="3" style="1" width="4"/>
    <col collapsed="false" customWidth="true" hidden="false" outlineLevel="0" max="4" min="4" style="1" width="18"/>
    <col collapsed="false" customWidth="true" hidden="false" outlineLevel="0" max="5" min="5" style="1" width="46"/>
    <col collapsed="false" customWidth="true" hidden="false" outlineLevel="0" max="6" min="6" style="1" width="6"/>
    <col collapsed="false" customWidth="true" hidden="false" outlineLevel="0" max="8" min="7" style="1" width="8"/>
    <col collapsed="false" customWidth="true" hidden="false" outlineLevel="0" max="9" min="9" style="1" width="6"/>
    <col collapsed="false" customWidth="true" hidden="false" outlineLevel="0" max="10" min="10" style="1" width="24"/>
    <col collapsed="false" customWidth="true" hidden="false" outlineLevel="0" max="11" min="11" style="1" width="28"/>
    <col collapsed="false" customWidth="true" hidden="false" outlineLevel="0" max="13" min="12" style="1" width="44"/>
    <col collapsed="false" customWidth="true" hidden="false" outlineLevel="0" max="14" min="14" style="1" width="52"/>
    <col collapsed="false" customWidth="true" hidden="false" outlineLevel="0" max="15" min="15" style="1" width="56"/>
    <col collapsed="false" customWidth="true" hidden="false" outlineLevel="0" max="16" min="16" style="1" width="36"/>
  </cols>
  <sheetData>
    <row r="1" customFormat="false" ht="15.75" hidden="false" customHeight="true" outlineLevel="0" collapsed="false">
      <c r="A1" s="182" t="s">
        <v>6280</v>
      </c>
    </row>
    <row r="2" customFormat="false" ht="31.5" hidden="false" customHeight="true" outlineLevel="0" collapsed="false">
      <c r="A2" s="91" t="s">
        <v>6281</v>
      </c>
      <c r="B2" s="91"/>
      <c r="C2" s="91"/>
      <c r="D2" s="91"/>
      <c r="E2" s="91"/>
      <c r="F2" s="91"/>
      <c r="G2" s="91"/>
      <c r="H2" s="91"/>
      <c r="I2" s="91"/>
      <c r="J2" s="91"/>
      <c r="K2" s="91"/>
      <c r="L2" s="91"/>
      <c r="M2" s="91"/>
      <c r="N2" s="91"/>
      <c r="O2" s="91"/>
    </row>
    <row r="4" customFormat="false" ht="27.75" hidden="false" customHeight="true" outlineLevel="0" collapsed="false">
      <c r="A4" s="183" t="s">
        <v>3382</v>
      </c>
      <c r="B4" s="183" t="s">
        <v>6282</v>
      </c>
      <c r="C4" s="183" t="s">
        <v>5158</v>
      </c>
      <c r="D4" s="183" t="s">
        <v>5159</v>
      </c>
      <c r="E4" s="183" t="s">
        <v>6283</v>
      </c>
      <c r="F4" s="183" t="s">
        <v>223</v>
      </c>
      <c r="G4" s="183" t="s">
        <v>5162</v>
      </c>
      <c r="H4" s="183" t="s">
        <v>5163</v>
      </c>
      <c r="I4" s="183" t="s">
        <v>5164</v>
      </c>
      <c r="J4" s="183" t="s">
        <v>6284</v>
      </c>
      <c r="K4" s="183" t="s">
        <v>6285</v>
      </c>
      <c r="L4" s="183" t="s">
        <v>6286</v>
      </c>
      <c r="M4" s="183" t="s">
        <v>5169</v>
      </c>
      <c r="N4" s="183" t="s">
        <v>6287</v>
      </c>
      <c r="O4" s="183" t="s">
        <v>6288</v>
      </c>
    </row>
    <row r="5" customFormat="false" ht="27.75" hidden="false" customHeight="true" outlineLevel="0" collapsed="false">
      <c r="A5" s="184" t="s">
        <v>4876</v>
      </c>
      <c r="B5" s="184" t="s">
        <v>4877</v>
      </c>
      <c r="C5" s="184" t="n">
        <v>1</v>
      </c>
      <c r="D5" s="178" t="s">
        <v>5269</v>
      </c>
      <c r="E5" s="184" t="s">
        <v>6289</v>
      </c>
      <c r="F5" s="184"/>
      <c r="G5" s="184"/>
      <c r="H5" s="184"/>
      <c r="I5" s="184"/>
      <c r="J5" s="184"/>
      <c r="K5" s="184"/>
      <c r="L5" s="184"/>
      <c r="M5" s="184" t="s">
        <v>6290</v>
      </c>
      <c r="N5" s="184"/>
      <c r="O5" s="184"/>
    </row>
    <row r="6" customFormat="false" ht="27.75" hidden="false" customHeight="true" outlineLevel="0" collapsed="false">
      <c r="A6" s="184" t="s">
        <v>4876</v>
      </c>
      <c r="B6" s="184" t="s">
        <v>4877</v>
      </c>
      <c r="C6" s="184" t="n">
        <v>2</v>
      </c>
      <c r="D6" s="178" t="s">
        <v>5269</v>
      </c>
      <c r="E6" s="184" t="s">
        <v>2895</v>
      </c>
      <c r="F6" s="184"/>
      <c r="G6" s="184"/>
      <c r="H6" s="184"/>
      <c r="I6" s="184"/>
      <c r="J6" s="184"/>
      <c r="K6" s="184"/>
      <c r="L6" s="184"/>
      <c r="M6" s="184" t="s">
        <v>6291</v>
      </c>
      <c r="N6" s="184"/>
      <c r="O6" s="184"/>
    </row>
    <row r="7" customFormat="false" ht="27.75" hidden="false" customHeight="true" outlineLevel="0" collapsed="false">
      <c r="A7" s="184" t="s">
        <v>4876</v>
      </c>
      <c r="B7" s="184" t="s">
        <v>4877</v>
      </c>
      <c r="C7" s="184" t="n">
        <v>3</v>
      </c>
      <c r="D7" s="179" t="s">
        <v>6292</v>
      </c>
      <c r="E7" s="184" t="s">
        <v>6293</v>
      </c>
      <c r="F7" s="184"/>
      <c r="G7" s="184"/>
      <c r="H7" s="184"/>
      <c r="I7" s="184"/>
      <c r="J7" s="184"/>
      <c r="K7" s="184"/>
      <c r="L7" s="184"/>
      <c r="M7" s="184"/>
      <c r="N7" s="184"/>
      <c r="O7" s="184"/>
    </row>
    <row r="8" customFormat="false" ht="27.75" hidden="false" customHeight="true" outlineLevel="0" collapsed="false">
      <c r="A8" s="184" t="s">
        <v>4876</v>
      </c>
      <c r="B8" s="184" t="s">
        <v>4877</v>
      </c>
      <c r="C8" s="184" t="n">
        <v>4</v>
      </c>
      <c r="D8" s="184" t="s">
        <v>6294</v>
      </c>
      <c r="E8" s="184" t="s">
        <v>6295</v>
      </c>
      <c r="F8" s="184"/>
      <c r="G8" s="184"/>
      <c r="H8" s="184"/>
      <c r="I8" s="184"/>
      <c r="J8" s="184"/>
      <c r="K8" s="184"/>
      <c r="L8" s="184"/>
      <c r="M8" s="184"/>
      <c r="N8" s="184"/>
      <c r="O8" s="184"/>
    </row>
    <row r="9" customFormat="false" ht="27.75" hidden="false" customHeight="true" outlineLevel="0" collapsed="false">
      <c r="A9" s="184" t="s">
        <v>4876</v>
      </c>
      <c r="B9" s="184" t="s">
        <v>4877</v>
      </c>
      <c r="C9" s="184" t="n">
        <v>5</v>
      </c>
      <c r="D9" s="184" t="s">
        <v>6296</v>
      </c>
      <c r="E9" s="184" t="s">
        <v>6297</v>
      </c>
      <c r="F9" s="184"/>
      <c r="G9" s="184"/>
      <c r="H9" s="184"/>
      <c r="I9" s="184"/>
      <c r="J9" s="184"/>
      <c r="K9" s="184"/>
      <c r="L9" s="184"/>
      <c r="M9" s="184"/>
      <c r="N9" s="184"/>
      <c r="O9" s="184"/>
    </row>
    <row r="10" customFormat="false" ht="68.25" hidden="false" customHeight="true" outlineLevel="0" collapsed="false">
      <c r="A10" s="184" t="s">
        <v>4876</v>
      </c>
      <c r="B10" s="184" t="s">
        <v>4877</v>
      </c>
      <c r="C10" s="184" t="n">
        <v>6</v>
      </c>
      <c r="D10" s="177" t="s">
        <v>6298</v>
      </c>
      <c r="E10" s="184" t="s">
        <v>6299</v>
      </c>
      <c r="F10" s="184"/>
      <c r="G10" s="184"/>
      <c r="H10" s="184"/>
      <c r="I10" s="184"/>
      <c r="J10" s="184"/>
      <c r="K10" s="184"/>
      <c r="L10" s="184"/>
      <c r="M10" s="184"/>
      <c r="N10" s="184"/>
      <c r="O10" s="184"/>
    </row>
    <row r="11" customFormat="false" ht="27.75" hidden="false" customHeight="true" outlineLevel="0" collapsed="false">
      <c r="A11" s="184" t="s">
        <v>4876</v>
      </c>
      <c r="B11" s="184" t="s">
        <v>4877</v>
      </c>
      <c r="C11" s="184" t="n">
        <v>7</v>
      </c>
      <c r="D11" s="179" t="s">
        <v>6300</v>
      </c>
      <c r="E11" s="184" t="s">
        <v>4237</v>
      </c>
      <c r="F11" s="184"/>
      <c r="G11" s="184"/>
      <c r="H11" s="184"/>
      <c r="I11" s="184"/>
      <c r="J11" s="184"/>
      <c r="K11" s="184"/>
      <c r="L11" s="184"/>
      <c r="M11" s="184"/>
      <c r="N11" s="184"/>
      <c r="O11" s="184"/>
    </row>
    <row r="12" customFormat="false" ht="54.75" hidden="false" customHeight="true" outlineLevel="0" collapsed="false">
      <c r="A12" s="184" t="s">
        <v>4876</v>
      </c>
      <c r="B12" s="184" t="s">
        <v>4877</v>
      </c>
      <c r="C12" s="184" t="n">
        <v>8</v>
      </c>
      <c r="D12" s="174" t="s">
        <v>4848</v>
      </c>
      <c r="E12" s="184"/>
      <c r="F12" s="184"/>
      <c r="G12" s="184"/>
      <c r="H12" s="184"/>
      <c r="I12" s="184"/>
      <c r="J12" s="184" t="s">
        <v>6301</v>
      </c>
      <c r="K12" s="184"/>
      <c r="L12" s="184" t="s">
        <v>6302</v>
      </c>
      <c r="M12" s="184" t="s">
        <v>6303</v>
      </c>
      <c r="N12" s="184"/>
      <c r="O12" s="184"/>
    </row>
    <row r="13" customFormat="false" ht="68.25" hidden="false" customHeight="true" outlineLevel="0" collapsed="false">
      <c r="A13" s="184" t="s">
        <v>4876</v>
      </c>
      <c r="B13" s="184" t="s">
        <v>4877</v>
      </c>
      <c r="C13" s="184" t="n">
        <v>9</v>
      </c>
      <c r="D13" s="174" t="s">
        <v>4848</v>
      </c>
      <c r="E13" s="184" t="s">
        <v>6304</v>
      </c>
      <c r="F13" s="184"/>
      <c r="G13" s="184"/>
      <c r="H13" s="184"/>
      <c r="I13" s="184"/>
      <c r="J13" s="184" t="s">
        <v>1297</v>
      </c>
      <c r="K13" s="184"/>
      <c r="L13" s="184" t="s">
        <v>6305</v>
      </c>
      <c r="M13" s="184" t="s">
        <v>6306</v>
      </c>
      <c r="N13" s="184"/>
      <c r="O13" s="184"/>
    </row>
    <row r="14" customFormat="false" ht="175.5" hidden="false" customHeight="true" outlineLevel="0" collapsed="false">
      <c r="A14" s="184" t="s">
        <v>4876</v>
      </c>
      <c r="B14" s="184" t="s">
        <v>4877</v>
      </c>
      <c r="C14" s="184" t="n">
        <v>10</v>
      </c>
      <c r="D14" s="174" t="s">
        <v>4846</v>
      </c>
      <c r="E14" s="184" t="s">
        <v>6307</v>
      </c>
      <c r="F14" s="184" t="s">
        <v>238</v>
      </c>
      <c r="G14" s="184"/>
      <c r="H14" s="184"/>
      <c r="I14" s="184"/>
      <c r="J14" s="184" t="s">
        <v>6308</v>
      </c>
      <c r="K14" s="184" t="s">
        <v>5568</v>
      </c>
      <c r="L14" s="184"/>
      <c r="M14" s="184" t="s">
        <v>6309</v>
      </c>
      <c r="N14" s="184"/>
      <c r="O14" s="184"/>
    </row>
    <row r="15" customFormat="false" ht="122.25" hidden="false" customHeight="true" outlineLevel="0" collapsed="false">
      <c r="A15" s="184" t="s">
        <v>4876</v>
      </c>
      <c r="B15" s="184" t="s">
        <v>4877</v>
      </c>
      <c r="C15" s="184" t="n">
        <v>11</v>
      </c>
      <c r="D15" s="174" t="s">
        <v>4846</v>
      </c>
      <c r="E15" s="184" t="s">
        <v>6310</v>
      </c>
      <c r="F15" s="184" t="s">
        <v>238</v>
      </c>
      <c r="G15" s="184"/>
      <c r="H15" s="184"/>
      <c r="I15" s="184"/>
      <c r="J15" s="184" t="s">
        <v>6311</v>
      </c>
      <c r="K15" s="184" t="s">
        <v>5568</v>
      </c>
      <c r="L15" s="184"/>
      <c r="M15" s="184" t="s">
        <v>6312</v>
      </c>
      <c r="N15" s="184"/>
      <c r="O15" s="184"/>
    </row>
    <row r="16" customFormat="false" ht="81.75" hidden="false" customHeight="true" outlineLevel="0" collapsed="false">
      <c r="A16" s="184" t="s">
        <v>4876</v>
      </c>
      <c r="B16" s="184" t="s">
        <v>4877</v>
      </c>
      <c r="C16" s="184" t="n">
        <v>12</v>
      </c>
      <c r="D16" s="174" t="s">
        <v>4846</v>
      </c>
      <c r="E16" s="184" t="s">
        <v>6313</v>
      </c>
      <c r="F16" s="184" t="s">
        <v>238</v>
      </c>
      <c r="G16" s="184"/>
      <c r="H16" s="184"/>
      <c r="I16" s="184"/>
      <c r="J16" s="184" t="s">
        <v>6314</v>
      </c>
      <c r="K16" s="184" t="s">
        <v>5568</v>
      </c>
      <c r="L16" s="184"/>
      <c r="M16" s="184" t="s">
        <v>6315</v>
      </c>
      <c r="N16" s="184"/>
      <c r="O16" s="184"/>
    </row>
    <row r="17" customFormat="false" ht="108.75" hidden="false" customHeight="true" outlineLevel="0" collapsed="false">
      <c r="A17" s="184" t="s">
        <v>4876</v>
      </c>
      <c r="B17" s="184" t="s">
        <v>4877</v>
      </c>
      <c r="C17" s="184" t="n">
        <v>13</v>
      </c>
      <c r="D17" s="174" t="s">
        <v>4846</v>
      </c>
      <c r="E17" s="184" t="s">
        <v>6316</v>
      </c>
      <c r="F17" s="184" t="s">
        <v>238</v>
      </c>
      <c r="G17" s="184"/>
      <c r="H17" s="184"/>
      <c r="I17" s="184"/>
      <c r="J17" s="184" t="s">
        <v>6317</v>
      </c>
      <c r="K17" s="184" t="s">
        <v>5568</v>
      </c>
      <c r="L17" s="184"/>
      <c r="M17" s="184" t="s">
        <v>6318</v>
      </c>
      <c r="N17" s="184"/>
      <c r="O17" s="184"/>
    </row>
    <row r="18" customFormat="false" ht="108.75" hidden="false" customHeight="true" outlineLevel="0" collapsed="false">
      <c r="A18" s="184" t="s">
        <v>4876</v>
      </c>
      <c r="B18" s="184" t="s">
        <v>4877</v>
      </c>
      <c r="C18" s="184" t="n">
        <v>14</v>
      </c>
      <c r="D18" s="174" t="s">
        <v>4846</v>
      </c>
      <c r="E18" s="184" t="s">
        <v>6319</v>
      </c>
      <c r="F18" s="184" t="s">
        <v>238</v>
      </c>
      <c r="G18" s="184"/>
      <c r="H18" s="184"/>
      <c r="I18" s="184"/>
      <c r="J18" s="184" t="s">
        <v>6320</v>
      </c>
      <c r="K18" s="184" t="s">
        <v>5568</v>
      </c>
      <c r="L18" s="184"/>
      <c r="M18" s="184" t="s">
        <v>6321</v>
      </c>
      <c r="N18" s="184"/>
      <c r="O18" s="184"/>
    </row>
    <row r="19" customFormat="false" ht="68.25" hidden="false" customHeight="true" outlineLevel="0" collapsed="false">
      <c r="A19" s="184" t="s">
        <v>4876</v>
      </c>
      <c r="B19" s="184" t="s">
        <v>4877</v>
      </c>
      <c r="C19" s="184" t="n">
        <v>15</v>
      </c>
      <c r="D19" s="174" t="s">
        <v>4846</v>
      </c>
      <c r="E19" s="184" t="s">
        <v>6322</v>
      </c>
      <c r="F19" s="184" t="s">
        <v>238</v>
      </c>
      <c r="G19" s="184"/>
      <c r="H19" s="184"/>
      <c r="I19" s="184"/>
      <c r="J19" s="184" t="s">
        <v>6314</v>
      </c>
      <c r="K19" s="184" t="s">
        <v>6323</v>
      </c>
      <c r="L19" s="184"/>
      <c r="M19" s="184" t="s">
        <v>6324</v>
      </c>
      <c r="N19" s="184"/>
      <c r="O19" s="184"/>
    </row>
    <row r="20" customFormat="false" ht="81.75" hidden="false" customHeight="true" outlineLevel="0" collapsed="false">
      <c r="A20" s="184" t="s">
        <v>4876</v>
      </c>
      <c r="B20" s="184" t="s">
        <v>4877</v>
      </c>
      <c r="C20" s="184" t="n">
        <v>16</v>
      </c>
      <c r="D20" s="174" t="s">
        <v>4846</v>
      </c>
      <c r="E20" s="184" t="s">
        <v>1434</v>
      </c>
      <c r="F20" s="184" t="s">
        <v>238</v>
      </c>
      <c r="G20" s="184"/>
      <c r="H20" s="184"/>
      <c r="I20" s="184"/>
      <c r="J20" s="184" t="s">
        <v>6325</v>
      </c>
      <c r="K20" s="184" t="s">
        <v>5568</v>
      </c>
      <c r="L20" s="184"/>
      <c r="M20" s="184" t="s">
        <v>5673</v>
      </c>
      <c r="N20" s="184"/>
      <c r="O20" s="184"/>
    </row>
    <row r="21" customFormat="false" ht="108.75" hidden="false" customHeight="true" outlineLevel="0" collapsed="false">
      <c r="A21" s="184" t="s">
        <v>4876</v>
      </c>
      <c r="B21" s="184" t="s">
        <v>4877</v>
      </c>
      <c r="C21" s="184" t="n">
        <v>17</v>
      </c>
      <c r="D21" s="174" t="s">
        <v>4848</v>
      </c>
      <c r="E21" s="184" t="s">
        <v>1789</v>
      </c>
      <c r="F21" s="184"/>
      <c r="G21" s="184"/>
      <c r="H21" s="184"/>
      <c r="I21" s="184"/>
      <c r="J21" s="184" t="s">
        <v>6326</v>
      </c>
      <c r="K21" s="184" t="s">
        <v>5568</v>
      </c>
      <c r="L21" s="184" t="s">
        <v>6327</v>
      </c>
      <c r="M21" s="184" t="s">
        <v>6328</v>
      </c>
      <c r="N21" s="184"/>
      <c r="O21" s="184"/>
    </row>
    <row r="22" customFormat="false" ht="108.75" hidden="false" customHeight="true" outlineLevel="0" collapsed="false">
      <c r="A22" s="184" t="s">
        <v>4876</v>
      </c>
      <c r="B22" s="184" t="s">
        <v>4877</v>
      </c>
      <c r="C22" s="184" t="n">
        <v>18</v>
      </c>
      <c r="D22" s="174" t="s">
        <v>4846</v>
      </c>
      <c r="E22" s="184" t="s">
        <v>5459</v>
      </c>
      <c r="F22" s="184" t="s">
        <v>238</v>
      </c>
      <c r="G22" s="184"/>
      <c r="H22" s="184"/>
      <c r="I22" s="184"/>
      <c r="J22" s="184" t="s">
        <v>6325</v>
      </c>
      <c r="K22" s="184" t="s">
        <v>5568</v>
      </c>
      <c r="L22" s="184"/>
      <c r="M22" s="184" t="s">
        <v>5462</v>
      </c>
      <c r="N22" s="184"/>
      <c r="O22" s="184"/>
    </row>
    <row r="23" customFormat="false" ht="81.75" hidden="false" customHeight="true" outlineLevel="0" collapsed="false">
      <c r="A23" s="184" t="s">
        <v>4876</v>
      </c>
      <c r="B23" s="184" t="s">
        <v>4877</v>
      </c>
      <c r="C23" s="184" t="n">
        <v>19</v>
      </c>
      <c r="D23" s="174" t="s">
        <v>4846</v>
      </c>
      <c r="E23" s="184" t="s">
        <v>6329</v>
      </c>
      <c r="F23" s="184" t="s">
        <v>238</v>
      </c>
      <c r="G23" s="184"/>
      <c r="H23" s="184"/>
      <c r="I23" s="184"/>
      <c r="J23" s="184" t="s">
        <v>6330</v>
      </c>
      <c r="K23" s="184" t="s">
        <v>5568</v>
      </c>
      <c r="L23" s="184"/>
      <c r="M23" s="184" t="s">
        <v>6331</v>
      </c>
      <c r="N23" s="184"/>
      <c r="O23" s="184"/>
    </row>
    <row r="24" customFormat="false" ht="68.25" hidden="false" customHeight="true" outlineLevel="0" collapsed="false">
      <c r="A24" s="184" t="s">
        <v>4876</v>
      </c>
      <c r="B24" s="184" t="s">
        <v>4877</v>
      </c>
      <c r="C24" s="184" t="n">
        <v>20</v>
      </c>
      <c r="D24" s="174" t="s">
        <v>4846</v>
      </c>
      <c r="E24" s="184" t="s">
        <v>5463</v>
      </c>
      <c r="F24" s="184" t="s">
        <v>238</v>
      </c>
      <c r="G24" s="184"/>
      <c r="H24" s="184"/>
      <c r="I24" s="184"/>
      <c r="J24" s="184" t="s">
        <v>6314</v>
      </c>
      <c r="K24" s="184" t="s">
        <v>5568</v>
      </c>
      <c r="L24" s="184"/>
      <c r="M24" s="184" t="s">
        <v>5466</v>
      </c>
      <c r="N24" s="184"/>
      <c r="O24" s="184"/>
    </row>
    <row r="25" customFormat="false" ht="41.25" hidden="false" customHeight="true" outlineLevel="0" collapsed="false">
      <c r="A25" s="184" t="s">
        <v>4876</v>
      </c>
      <c r="B25" s="184" t="s">
        <v>4877</v>
      </c>
      <c r="C25" s="184" t="n">
        <v>21</v>
      </c>
      <c r="D25" s="174" t="s">
        <v>4846</v>
      </c>
      <c r="E25" s="184" t="s">
        <v>5228</v>
      </c>
      <c r="F25" s="184" t="s">
        <v>227</v>
      </c>
      <c r="G25" s="184"/>
      <c r="H25" s="184"/>
      <c r="I25" s="184"/>
      <c r="J25" s="184" t="s">
        <v>6332</v>
      </c>
      <c r="K25" s="184" t="s">
        <v>6333</v>
      </c>
      <c r="L25" s="184"/>
      <c r="M25" s="184" t="s">
        <v>5230</v>
      </c>
      <c r="N25" s="184"/>
      <c r="O25" s="184"/>
    </row>
    <row r="26" customFormat="false" ht="41.25" hidden="false" customHeight="true" outlineLevel="0" collapsed="false">
      <c r="A26" s="184" t="s">
        <v>4876</v>
      </c>
      <c r="B26" s="184" t="s">
        <v>4877</v>
      </c>
      <c r="C26" s="184" t="n">
        <v>22</v>
      </c>
      <c r="D26" s="174" t="s">
        <v>4846</v>
      </c>
      <c r="E26" s="184" t="s">
        <v>5467</v>
      </c>
      <c r="F26" s="184" t="s">
        <v>238</v>
      </c>
      <c r="G26" s="184"/>
      <c r="H26" s="184"/>
      <c r="I26" s="184"/>
      <c r="J26" s="184" t="s">
        <v>6314</v>
      </c>
      <c r="K26" s="184" t="s">
        <v>6333</v>
      </c>
      <c r="L26" s="184" t="s">
        <v>5469</v>
      </c>
      <c r="M26" s="184" t="s">
        <v>6334</v>
      </c>
      <c r="N26" s="184"/>
      <c r="O26" s="184"/>
    </row>
    <row r="27" customFormat="false" ht="68.25" hidden="false" customHeight="true" outlineLevel="0" collapsed="false">
      <c r="A27" s="184" t="s">
        <v>4876</v>
      </c>
      <c r="B27" s="184" t="s">
        <v>4877</v>
      </c>
      <c r="C27" s="184" t="n">
        <v>23</v>
      </c>
      <c r="D27" s="174" t="s">
        <v>4846</v>
      </c>
      <c r="E27" s="184" t="s">
        <v>5864</v>
      </c>
      <c r="F27" s="184" t="s">
        <v>238</v>
      </c>
      <c r="G27" s="184"/>
      <c r="H27" s="184"/>
      <c r="I27" s="184"/>
      <c r="J27" s="184" t="s">
        <v>6330</v>
      </c>
      <c r="K27" s="184" t="s">
        <v>5568</v>
      </c>
      <c r="L27" s="184"/>
      <c r="M27" s="184" t="s">
        <v>5867</v>
      </c>
      <c r="N27" s="184"/>
      <c r="O27" s="184"/>
    </row>
    <row r="28" customFormat="false" ht="68.25" hidden="false" customHeight="true" outlineLevel="0" collapsed="false">
      <c r="A28" s="184" t="s">
        <v>4876</v>
      </c>
      <c r="B28" s="184" t="s">
        <v>4877</v>
      </c>
      <c r="C28" s="184" t="n">
        <v>24</v>
      </c>
      <c r="D28" s="174" t="s">
        <v>4846</v>
      </c>
      <c r="E28" s="184" t="s">
        <v>5868</v>
      </c>
      <c r="F28" s="184" t="s">
        <v>238</v>
      </c>
      <c r="G28" s="184"/>
      <c r="H28" s="184"/>
      <c r="I28" s="184"/>
      <c r="J28" s="184" t="s">
        <v>6335</v>
      </c>
      <c r="K28" s="184" t="s">
        <v>5568</v>
      </c>
      <c r="L28" s="184"/>
      <c r="M28" s="184" t="s">
        <v>5871</v>
      </c>
      <c r="N28" s="184"/>
      <c r="O28" s="184"/>
    </row>
    <row r="29" customFormat="false" ht="68.25" hidden="false" customHeight="true" outlineLevel="0" collapsed="false">
      <c r="A29" s="184" t="s">
        <v>4876</v>
      </c>
      <c r="B29" s="184" t="s">
        <v>4877</v>
      </c>
      <c r="C29" s="184" t="n">
        <v>25</v>
      </c>
      <c r="D29" s="174" t="s">
        <v>4846</v>
      </c>
      <c r="E29" s="184" t="s">
        <v>5872</v>
      </c>
      <c r="F29" s="184" t="s">
        <v>238</v>
      </c>
      <c r="G29" s="184"/>
      <c r="H29" s="184"/>
      <c r="I29" s="184"/>
      <c r="J29" s="184" t="s">
        <v>6336</v>
      </c>
      <c r="K29" s="184" t="s">
        <v>5568</v>
      </c>
      <c r="L29" s="184"/>
      <c r="M29" s="184" t="s">
        <v>5875</v>
      </c>
      <c r="N29" s="184"/>
      <c r="O29" s="184"/>
    </row>
    <row r="30" customFormat="false" ht="54.75" hidden="false" customHeight="true" outlineLevel="0" collapsed="false">
      <c r="A30" s="184" t="s">
        <v>4876</v>
      </c>
      <c r="B30" s="184" t="s">
        <v>4877</v>
      </c>
      <c r="C30" s="184" t="n">
        <v>26</v>
      </c>
      <c r="D30" s="174" t="s">
        <v>4846</v>
      </c>
      <c r="E30" s="184" t="s">
        <v>5963</v>
      </c>
      <c r="F30" s="184" t="s">
        <v>238</v>
      </c>
      <c r="G30" s="184"/>
      <c r="H30" s="184"/>
      <c r="I30" s="184"/>
      <c r="J30" s="184" t="s">
        <v>6311</v>
      </c>
      <c r="K30" s="184" t="s">
        <v>5568</v>
      </c>
      <c r="L30" s="184"/>
      <c r="M30" s="184" t="s">
        <v>5966</v>
      </c>
      <c r="N30" s="184"/>
      <c r="O30" s="184"/>
    </row>
    <row r="31" customFormat="false" ht="54.75" hidden="false" customHeight="true" outlineLevel="0" collapsed="false">
      <c r="A31" s="184" t="s">
        <v>4876</v>
      </c>
      <c r="B31" s="184" t="s">
        <v>4877</v>
      </c>
      <c r="C31" s="184" t="n">
        <v>27</v>
      </c>
      <c r="D31" s="174" t="s">
        <v>4846</v>
      </c>
      <c r="E31" s="184" t="s">
        <v>5967</v>
      </c>
      <c r="F31" s="184" t="s">
        <v>238</v>
      </c>
      <c r="G31" s="184"/>
      <c r="H31" s="184"/>
      <c r="I31" s="184"/>
      <c r="J31" s="184" t="s">
        <v>6337</v>
      </c>
      <c r="K31" s="184" t="s">
        <v>5568</v>
      </c>
      <c r="L31" s="184"/>
      <c r="M31" s="184" t="s">
        <v>5970</v>
      </c>
      <c r="N31" s="184"/>
      <c r="O31" s="184"/>
    </row>
    <row r="32" customFormat="false" ht="54.75" hidden="false" customHeight="true" outlineLevel="0" collapsed="false">
      <c r="A32" s="184" t="s">
        <v>4876</v>
      </c>
      <c r="B32" s="184" t="s">
        <v>4877</v>
      </c>
      <c r="C32" s="184" t="n">
        <v>28</v>
      </c>
      <c r="D32" s="174" t="s">
        <v>4846</v>
      </c>
      <c r="E32" s="184" t="s">
        <v>5971</v>
      </c>
      <c r="F32" s="184" t="s">
        <v>238</v>
      </c>
      <c r="G32" s="184"/>
      <c r="H32" s="184"/>
      <c r="I32" s="184"/>
      <c r="J32" s="184" t="s">
        <v>6338</v>
      </c>
      <c r="K32" s="184" t="s">
        <v>5568</v>
      </c>
      <c r="L32" s="184"/>
      <c r="M32" s="184" t="s">
        <v>5974</v>
      </c>
      <c r="N32" s="184"/>
      <c r="O32" s="184"/>
    </row>
    <row r="33" customFormat="false" ht="27.75" hidden="false" customHeight="true" outlineLevel="0" collapsed="false">
      <c r="A33" s="184" t="s">
        <v>4876</v>
      </c>
      <c r="B33" s="184" t="s">
        <v>4877</v>
      </c>
      <c r="C33" s="184" t="n">
        <v>29</v>
      </c>
      <c r="D33" s="179" t="s">
        <v>6300</v>
      </c>
      <c r="E33" s="184" t="s">
        <v>4278</v>
      </c>
      <c r="F33" s="184"/>
      <c r="G33" s="184"/>
      <c r="H33" s="184"/>
      <c r="I33" s="184"/>
      <c r="J33" s="184"/>
      <c r="K33" s="184"/>
      <c r="L33" s="184"/>
      <c r="M33" s="184"/>
      <c r="N33" s="184"/>
      <c r="O33" s="184"/>
    </row>
    <row r="34" customFormat="false" ht="81.75" hidden="false" customHeight="true" outlineLevel="0" collapsed="false">
      <c r="A34" s="184" t="s">
        <v>4876</v>
      </c>
      <c r="B34" s="184" t="s">
        <v>4877</v>
      </c>
      <c r="C34" s="184" t="n">
        <v>30</v>
      </c>
      <c r="D34" s="174" t="s">
        <v>4848</v>
      </c>
      <c r="E34" s="184" t="s">
        <v>1790</v>
      </c>
      <c r="F34" s="184"/>
      <c r="G34" s="184"/>
      <c r="H34" s="184"/>
      <c r="I34" s="184"/>
      <c r="J34" s="184" t="s">
        <v>6339</v>
      </c>
      <c r="K34" s="184" t="s">
        <v>5568</v>
      </c>
      <c r="L34" s="184" t="s">
        <v>6340</v>
      </c>
      <c r="M34" s="184" t="s">
        <v>6341</v>
      </c>
      <c r="N34" s="184"/>
      <c r="O34" s="184"/>
    </row>
    <row r="35" customFormat="false" ht="54.75" hidden="false" customHeight="true" outlineLevel="0" collapsed="false">
      <c r="A35" s="184" t="s">
        <v>4876</v>
      </c>
      <c r="B35" s="184" t="s">
        <v>4877</v>
      </c>
      <c r="C35" s="184" t="n">
        <v>31</v>
      </c>
      <c r="D35" s="174" t="s">
        <v>4846</v>
      </c>
      <c r="E35" s="184" t="s">
        <v>6342</v>
      </c>
      <c r="F35" s="184" t="s">
        <v>5221</v>
      </c>
      <c r="G35" s="184"/>
      <c r="H35" s="184"/>
      <c r="I35" s="184"/>
      <c r="J35" s="184"/>
      <c r="K35" s="184" t="s">
        <v>6343</v>
      </c>
      <c r="L35" s="184"/>
      <c r="M35" s="184" t="s">
        <v>6344</v>
      </c>
      <c r="N35" s="184"/>
      <c r="O35" s="184"/>
    </row>
    <row r="36" customFormat="false" ht="81.75" hidden="false" customHeight="true" outlineLevel="0" collapsed="false">
      <c r="A36" s="184" t="s">
        <v>4876</v>
      </c>
      <c r="B36" s="184" t="s">
        <v>4877</v>
      </c>
      <c r="C36" s="184" t="n">
        <v>32</v>
      </c>
      <c r="D36" s="174" t="s">
        <v>4846</v>
      </c>
      <c r="E36" s="184" t="s">
        <v>6345</v>
      </c>
      <c r="F36" s="184" t="s">
        <v>227</v>
      </c>
      <c r="G36" s="184"/>
      <c r="H36" s="184"/>
      <c r="I36" s="184"/>
      <c r="J36" s="184" t="s">
        <v>6346</v>
      </c>
      <c r="K36" s="184" t="s">
        <v>6323</v>
      </c>
      <c r="L36" s="184"/>
      <c r="M36" s="184" t="s">
        <v>6347</v>
      </c>
      <c r="N36" s="184"/>
      <c r="O36" s="184"/>
    </row>
    <row r="37" customFormat="false" ht="27.75" hidden="false" customHeight="true" outlineLevel="0" collapsed="false">
      <c r="A37" s="184" t="s">
        <v>4876</v>
      </c>
      <c r="B37" s="184" t="s">
        <v>4877</v>
      </c>
      <c r="C37" s="184" t="n">
        <v>33</v>
      </c>
      <c r="D37" s="174" t="s">
        <v>4846</v>
      </c>
      <c r="E37" s="184" t="s">
        <v>6348</v>
      </c>
      <c r="F37" s="184" t="s">
        <v>227</v>
      </c>
      <c r="G37" s="184"/>
      <c r="H37" s="184"/>
      <c r="I37" s="184"/>
      <c r="J37" s="184" t="s">
        <v>6346</v>
      </c>
      <c r="K37" s="184" t="s">
        <v>6333</v>
      </c>
      <c r="L37" s="184"/>
      <c r="M37" s="184" t="s">
        <v>6349</v>
      </c>
      <c r="N37" s="184"/>
      <c r="O37" s="184"/>
    </row>
    <row r="38" customFormat="false" ht="122.25" hidden="false" customHeight="true" outlineLevel="0" collapsed="false">
      <c r="A38" s="184" t="s">
        <v>4876</v>
      </c>
      <c r="B38" s="184" t="s">
        <v>4877</v>
      </c>
      <c r="C38" s="184" t="n">
        <v>34</v>
      </c>
      <c r="D38" s="174" t="s">
        <v>4846</v>
      </c>
      <c r="E38" s="184" t="s">
        <v>6350</v>
      </c>
      <c r="F38" s="184" t="s">
        <v>238</v>
      </c>
      <c r="G38" s="184"/>
      <c r="H38" s="184"/>
      <c r="I38" s="184"/>
      <c r="J38" s="184" t="s">
        <v>5736</v>
      </c>
      <c r="K38" s="184" t="s">
        <v>5568</v>
      </c>
      <c r="L38" s="184"/>
      <c r="M38" s="184" t="s">
        <v>6351</v>
      </c>
      <c r="N38" s="184"/>
      <c r="O38" s="184"/>
    </row>
    <row r="39" customFormat="false" ht="95.25" hidden="false" customHeight="true" outlineLevel="0" collapsed="false">
      <c r="A39" s="184" t="s">
        <v>4876</v>
      </c>
      <c r="B39" s="184" t="s">
        <v>4877</v>
      </c>
      <c r="C39" s="184" t="n">
        <v>35</v>
      </c>
      <c r="D39" s="174" t="s">
        <v>4846</v>
      </c>
      <c r="E39" s="184" t="s">
        <v>5674</v>
      </c>
      <c r="F39" s="184"/>
      <c r="G39" s="184"/>
      <c r="H39" s="184"/>
      <c r="I39" s="184"/>
      <c r="J39" s="184" t="s">
        <v>5675</v>
      </c>
      <c r="K39" s="184" t="s">
        <v>5568</v>
      </c>
      <c r="L39" s="184"/>
      <c r="M39" s="184" t="s">
        <v>5677</v>
      </c>
      <c r="N39" s="184"/>
      <c r="O39" s="184"/>
    </row>
    <row r="40" customFormat="false" ht="95.25" hidden="false" customHeight="true" outlineLevel="0" collapsed="false">
      <c r="A40" s="184" t="s">
        <v>4876</v>
      </c>
      <c r="B40" s="184" t="s">
        <v>4877</v>
      </c>
      <c r="C40" s="184" t="n">
        <v>36</v>
      </c>
      <c r="D40" s="174" t="s">
        <v>4846</v>
      </c>
      <c r="E40" s="184" t="s">
        <v>6352</v>
      </c>
      <c r="F40" s="184" t="s">
        <v>238</v>
      </c>
      <c r="G40" s="184"/>
      <c r="H40" s="184"/>
      <c r="I40" s="184"/>
      <c r="J40" s="184" t="s">
        <v>6353</v>
      </c>
      <c r="K40" s="184" t="s">
        <v>5568</v>
      </c>
      <c r="L40" s="184"/>
      <c r="M40" s="184" t="s">
        <v>6354</v>
      </c>
      <c r="N40" s="184"/>
      <c r="O40" s="184"/>
    </row>
    <row r="41" customFormat="false" ht="135.75" hidden="false" customHeight="true" outlineLevel="0" collapsed="false">
      <c r="A41" s="184" t="s">
        <v>4876</v>
      </c>
      <c r="B41" s="184" t="s">
        <v>4877</v>
      </c>
      <c r="C41" s="184" t="n">
        <v>37</v>
      </c>
      <c r="D41" s="174" t="s">
        <v>4846</v>
      </c>
      <c r="E41" s="184" t="s">
        <v>5678</v>
      </c>
      <c r="F41" s="184" t="s">
        <v>238</v>
      </c>
      <c r="G41" s="184"/>
      <c r="H41" s="184"/>
      <c r="I41" s="184"/>
      <c r="J41" s="184" t="s">
        <v>5675</v>
      </c>
      <c r="K41" s="184" t="s">
        <v>5568</v>
      </c>
      <c r="L41" s="184"/>
      <c r="M41" s="184" t="s">
        <v>5681</v>
      </c>
      <c r="N41" s="184"/>
      <c r="O41" s="184"/>
    </row>
    <row r="42" customFormat="false" ht="162" hidden="false" customHeight="true" outlineLevel="0" collapsed="false">
      <c r="A42" s="184" t="s">
        <v>4876</v>
      </c>
      <c r="B42" s="184" t="s">
        <v>4877</v>
      </c>
      <c r="C42" s="184" t="n">
        <v>38</v>
      </c>
      <c r="D42" s="174" t="s">
        <v>4848</v>
      </c>
      <c r="E42" s="184" t="s">
        <v>5682</v>
      </c>
      <c r="F42" s="184"/>
      <c r="G42" s="184"/>
      <c r="H42" s="184"/>
      <c r="I42" s="184"/>
      <c r="J42" s="184" t="s">
        <v>5683</v>
      </c>
      <c r="K42" s="184" t="s">
        <v>5568</v>
      </c>
      <c r="L42" s="184" t="s">
        <v>6355</v>
      </c>
      <c r="M42" s="184" t="s">
        <v>5685</v>
      </c>
      <c r="N42" s="184"/>
      <c r="O42" s="184"/>
    </row>
    <row r="43" customFormat="false" ht="108.75" hidden="false" customHeight="true" outlineLevel="0" collapsed="false">
      <c r="A43" s="184" t="s">
        <v>4876</v>
      </c>
      <c r="B43" s="184" t="s">
        <v>4877</v>
      </c>
      <c r="C43" s="184" t="n">
        <v>39</v>
      </c>
      <c r="D43" s="174" t="s">
        <v>4848</v>
      </c>
      <c r="E43" s="184" t="s">
        <v>6356</v>
      </c>
      <c r="F43" s="184"/>
      <c r="G43" s="184"/>
      <c r="H43" s="184"/>
      <c r="I43" s="184"/>
      <c r="J43" s="184" t="s">
        <v>6357</v>
      </c>
      <c r="K43" s="184" t="s">
        <v>5568</v>
      </c>
      <c r="L43" s="184" t="s">
        <v>6358</v>
      </c>
      <c r="M43" s="184" t="s">
        <v>6359</v>
      </c>
      <c r="N43" s="184"/>
      <c r="O43" s="184"/>
    </row>
    <row r="44" customFormat="false" ht="81.75" hidden="false" customHeight="true" outlineLevel="0" collapsed="false">
      <c r="A44" s="184" t="s">
        <v>4876</v>
      </c>
      <c r="B44" s="184" t="s">
        <v>4877</v>
      </c>
      <c r="C44" s="184" t="n">
        <v>40</v>
      </c>
      <c r="D44" s="174" t="s">
        <v>4848</v>
      </c>
      <c r="E44" s="184" t="s">
        <v>5833</v>
      </c>
      <c r="F44" s="184"/>
      <c r="G44" s="184"/>
      <c r="H44" s="184"/>
      <c r="I44" s="184"/>
      <c r="J44" s="184" t="s">
        <v>5834</v>
      </c>
      <c r="K44" s="184" t="s">
        <v>5568</v>
      </c>
      <c r="L44" s="184" t="s">
        <v>6360</v>
      </c>
      <c r="M44" s="184" t="s">
        <v>5836</v>
      </c>
      <c r="N44" s="184"/>
      <c r="O44" s="184"/>
    </row>
    <row r="45" customFormat="false" ht="41.25" hidden="false" customHeight="true" outlineLevel="0" collapsed="false">
      <c r="A45" s="184" t="s">
        <v>4876</v>
      </c>
      <c r="B45" s="184" t="s">
        <v>4877</v>
      </c>
      <c r="C45" s="184" t="n">
        <v>41</v>
      </c>
      <c r="D45" s="174" t="s">
        <v>4846</v>
      </c>
      <c r="E45" s="184" t="s">
        <v>6361</v>
      </c>
      <c r="F45" s="184" t="s">
        <v>227</v>
      </c>
      <c r="G45" s="184"/>
      <c r="H45" s="184"/>
      <c r="I45" s="184"/>
      <c r="J45" s="184" t="s">
        <v>6362</v>
      </c>
      <c r="K45" s="184" t="s">
        <v>6323</v>
      </c>
      <c r="L45" s="184"/>
      <c r="M45" s="184" t="s">
        <v>6363</v>
      </c>
      <c r="N45" s="184"/>
      <c r="O45" s="184"/>
    </row>
    <row r="46" customFormat="false" ht="27.75" hidden="false" customHeight="true" outlineLevel="0" collapsed="false">
      <c r="A46" s="184" t="s">
        <v>4876</v>
      </c>
      <c r="B46" s="184" t="s">
        <v>4877</v>
      </c>
      <c r="C46" s="184" t="n">
        <v>42</v>
      </c>
      <c r="D46" s="179" t="s">
        <v>6300</v>
      </c>
      <c r="E46" s="184" t="s">
        <v>6364</v>
      </c>
      <c r="F46" s="184"/>
      <c r="G46" s="184"/>
      <c r="H46" s="184"/>
      <c r="I46" s="184"/>
      <c r="J46" s="184"/>
      <c r="K46" s="184"/>
      <c r="L46" s="184"/>
      <c r="M46" s="184"/>
      <c r="N46" s="184"/>
      <c r="O46" s="184"/>
    </row>
    <row r="47" customFormat="false" ht="149.25" hidden="false" customHeight="true" outlineLevel="0" collapsed="false">
      <c r="A47" s="184" t="s">
        <v>4876</v>
      </c>
      <c r="B47" s="184" t="s">
        <v>4877</v>
      </c>
      <c r="C47" s="184" t="n">
        <v>43</v>
      </c>
      <c r="D47" s="174" t="s">
        <v>4846</v>
      </c>
      <c r="E47" s="184" t="s">
        <v>681</v>
      </c>
      <c r="F47" s="184"/>
      <c r="G47" s="184"/>
      <c r="H47" s="184"/>
      <c r="I47" s="184"/>
      <c r="J47" s="184" t="s">
        <v>6325</v>
      </c>
      <c r="K47" s="184" t="s">
        <v>5568</v>
      </c>
      <c r="L47" s="184"/>
      <c r="M47" s="184" t="s">
        <v>6365</v>
      </c>
      <c r="N47" s="184"/>
      <c r="O47" s="184"/>
    </row>
    <row r="48" customFormat="false" ht="27.75" hidden="false" customHeight="true" outlineLevel="0" collapsed="false">
      <c r="A48" s="184" t="s">
        <v>4876</v>
      </c>
      <c r="B48" s="184" t="s">
        <v>4877</v>
      </c>
      <c r="C48" s="184" t="n">
        <v>44</v>
      </c>
      <c r="D48" s="174" t="s">
        <v>4846</v>
      </c>
      <c r="E48" s="184" t="s">
        <v>6366</v>
      </c>
      <c r="F48" s="184" t="s">
        <v>238</v>
      </c>
      <c r="G48" s="184"/>
      <c r="H48" s="184"/>
      <c r="I48" s="184"/>
      <c r="J48" s="184" t="s">
        <v>6367</v>
      </c>
      <c r="K48" s="184" t="s">
        <v>6333</v>
      </c>
      <c r="L48" s="184" t="s">
        <v>6368</v>
      </c>
      <c r="M48" s="184" t="s">
        <v>4371</v>
      </c>
      <c r="N48" s="184"/>
      <c r="O48" s="184"/>
    </row>
    <row r="49" customFormat="false" ht="41.25" hidden="false" customHeight="true" outlineLevel="0" collapsed="false">
      <c r="A49" s="184" t="s">
        <v>4876</v>
      </c>
      <c r="B49" s="184" t="s">
        <v>4877</v>
      </c>
      <c r="C49" s="184" t="n">
        <v>45</v>
      </c>
      <c r="D49" s="174" t="s">
        <v>4846</v>
      </c>
      <c r="E49" s="184" t="s">
        <v>6369</v>
      </c>
      <c r="F49" s="184" t="s">
        <v>238</v>
      </c>
      <c r="G49" s="184"/>
      <c r="H49" s="184"/>
      <c r="I49" s="184"/>
      <c r="J49" s="184" t="s">
        <v>6370</v>
      </c>
      <c r="K49" s="184" t="s">
        <v>6333</v>
      </c>
      <c r="L49" s="184"/>
      <c r="M49" s="184" t="s">
        <v>6170</v>
      </c>
      <c r="N49" s="184"/>
      <c r="O49" s="184"/>
    </row>
    <row r="50" customFormat="false" ht="27.75" hidden="false" customHeight="true" outlineLevel="0" collapsed="false">
      <c r="A50" s="184" t="s">
        <v>4876</v>
      </c>
      <c r="B50" s="184" t="s">
        <v>4877</v>
      </c>
      <c r="C50" s="184" t="n">
        <v>46</v>
      </c>
      <c r="D50" s="174" t="s">
        <v>4846</v>
      </c>
      <c r="E50" s="184" t="s">
        <v>6371</v>
      </c>
      <c r="F50" s="184" t="s">
        <v>238</v>
      </c>
      <c r="G50" s="184"/>
      <c r="H50" s="184"/>
      <c r="I50" s="184"/>
      <c r="J50" s="184" t="s">
        <v>6372</v>
      </c>
      <c r="K50" s="184" t="s">
        <v>6333</v>
      </c>
      <c r="L50" s="184" t="s">
        <v>6373</v>
      </c>
      <c r="M50" s="184" t="s">
        <v>4375</v>
      </c>
      <c r="N50" s="184"/>
      <c r="O50" s="184"/>
    </row>
    <row r="51" customFormat="false" ht="108.75" hidden="false" customHeight="true" outlineLevel="0" collapsed="false">
      <c r="A51" s="184" t="s">
        <v>4876</v>
      </c>
      <c r="B51" s="184" t="s">
        <v>4877</v>
      </c>
      <c r="C51" s="184" t="n">
        <v>47</v>
      </c>
      <c r="D51" s="174" t="s">
        <v>4846</v>
      </c>
      <c r="E51" s="184" t="s">
        <v>1454</v>
      </c>
      <c r="F51" s="184" t="s">
        <v>5221</v>
      </c>
      <c r="G51" s="184"/>
      <c r="H51" s="184"/>
      <c r="I51" s="184"/>
      <c r="J51" s="184" t="s">
        <v>6311</v>
      </c>
      <c r="K51" s="184" t="s">
        <v>5568</v>
      </c>
      <c r="L51" s="184"/>
      <c r="M51" s="184" t="s">
        <v>6374</v>
      </c>
      <c r="N51" s="184"/>
      <c r="O51" s="184"/>
    </row>
    <row r="52" customFormat="false" ht="68.25" hidden="false" customHeight="true" outlineLevel="0" collapsed="false">
      <c r="A52" s="184" t="s">
        <v>4876</v>
      </c>
      <c r="B52" s="184" t="s">
        <v>4877</v>
      </c>
      <c r="C52" s="184" t="n">
        <v>48</v>
      </c>
      <c r="D52" s="174" t="s">
        <v>4846</v>
      </c>
      <c r="E52" s="184" t="s">
        <v>6375</v>
      </c>
      <c r="F52" s="184" t="s">
        <v>238</v>
      </c>
      <c r="G52" s="184"/>
      <c r="H52" s="184"/>
      <c r="I52" s="184"/>
      <c r="J52" s="184" t="s">
        <v>6376</v>
      </c>
      <c r="K52" s="184" t="s">
        <v>5568</v>
      </c>
      <c r="L52" s="184"/>
      <c r="M52" s="184" t="s">
        <v>6377</v>
      </c>
      <c r="N52" s="184"/>
      <c r="O52" s="184"/>
    </row>
    <row r="53" customFormat="false" ht="81.75" hidden="false" customHeight="true" outlineLevel="0" collapsed="false">
      <c r="A53" s="184" t="s">
        <v>4876</v>
      </c>
      <c r="B53" s="184" t="s">
        <v>4877</v>
      </c>
      <c r="C53" s="184" t="n">
        <v>49</v>
      </c>
      <c r="D53" s="174" t="s">
        <v>4846</v>
      </c>
      <c r="E53" s="184" t="s">
        <v>6378</v>
      </c>
      <c r="F53" s="184" t="s">
        <v>238</v>
      </c>
      <c r="G53" s="184"/>
      <c r="H53" s="184"/>
      <c r="I53" s="184"/>
      <c r="J53" s="184" t="s">
        <v>5736</v>
      </c>
      <c r="K53" s="184" t="s">
        <v>5568</v>
      </c>
      <c r="L53" s="184"/>
      <c r="M53" s="184" t="s">
        <v>6379</v>
      </c>
      <c r="N53" s="184"/>
      <c r="O53" s="184"/>
    </row>
    <row r="54" customFormat="false" ht="68.25" hidden="false" customHeight="true" outlineLevel="0" collapsed="false">
      <c r="A54" s="184" t="s">
        <v>4876</v>
      </c>
      <c r="B54" s="184" t="s">
        <v>4877</v>
      </c>
      <c r="C54" s="184" t="n">
        <v>50</v>
      </c>
      <c r="D54" s="174" t="s">
        <v>4846</v>
      </c>
      <c r="E54" s="184" t="s">
        <v>6380</v>
      </c>
      <c r="F54" s="184" t="s">
        <v>227</v>
      </c>
      <c r="G54" s="184"/>
      <c r="H54" s="184"/>
      <c r="I54" s="184"/>
      <c r="J54" s="184" t="s">
        <v>6381</v>
      </c>
      <c r="K54" s="184" t="s">
        <v>5568</v>
      </c>
      <c r="L54" s="184"/>
      <c r="M54" s="184" t="s">
        <v>6382</v>
      </c>
      <c r="N54" s="184"/>
      <c r="O54" s="184"/>
    </row>
    <row r="55" customFormat="false" ht="68.25" hidden="false" customHeight="true" outlineLevel="0" collapsed="false">
      <c r="A55" s="184" t="s">
        <v>4876</v>
      </c>
      <c r="B55" s="184" t="s">
        <v>4877</v>
      </c>
      <c r="C55" s="184" t="n">
        <v>51</v>
      </c>
      <c r="D55" s="174" t="s">
        <v>4846</v>
      </c>
      <c r="E55" s="184" t="s">
        <v>6016</v>
      </c>
      <c r="F55" s="184" t="s">
        <v>238</v>
      </c>
      <c r="G55" s="184"/>
      <c r="H55" s="184"/>
      <c r="I55" s="184"/>
      <c r="J55" s="184" t="s">
        <v>6383</v>
      </c>
      <c r="K55" s="184" t="s">
        <v>5568</v>
      </c>
      <c r="L55" s="184"/>
      <c r="M55" s="184" t="s">
        <v>6019</v>
      </c>
      <c r="N55" s="184"/>
      <c r="O55" s="184"/>
    </row>
    <row r="56" customFormat="false" ht="68.25" hidden="false" customHeight="true" outlineLevel="0" collapsed="false">
      <c r="A56" s="184" t="s">
        <v>4876</v>
      </c>
      <c r="B56" s="184" t="s">
        <v>4877</v>
      </c>
      <c r="C56" s="184" t="n">
        <v>52</v>
      </c>
      <c r="D56" s="174" t="s">
        <v>4846</v>
      </c>
      <c r="E56" s="184" t="s">
        <v>6384</v>
      </c>
      <c r="F56" s="184" t="s">
        <v>5221</v>
      </c>
      <c r="G56" s="184"/>
      <c r="H56" s="184"/>
      <c r="I56" s="184"/>
      <c r="J56" s="184" t="s">
        <v>6385</v>
      </c>
      <c r="K56" s="184" t="s">
        <v>5568</v>
      </c>
      <c r="L56" s="184"/>
      <c r="M56" s="184" t="s">
        <v>6386</v>
      </c>
      <c r="N56" s="184"/>
      <c r="O56" s="184"/>
    </row>
    <row r="57" customFormat="false" ht="54.75" hidden="false" customHeight="true" outlineLevel="0" collapsed="false">
      <c r="A57" s="184" t="s">
        <v>4876</v>
      </c>
      <c r="B57" s="184" t="s">
        <v>4877</v>
      </c>
      <c r="C57" s="184" t="n">
        <v>53</v>
      </c>
      <c r="D57" s="174" t="s">
        <v>4846</v>
      </c>
      <c r="E57" s="184" t="s">
        <v>6387</v>
      </c>
      <c r="F57" s="184" t="s">
        <v>227</v>
      </c>
      <c r="G57" s="184"/>
      <c r="H57" s="184"/>
      <c r="I57" s="184"/>
      <c r="J57" s="184" t="s">
        <v>6388</v>
      </c>
      <c r="K57" s="184" t="s">
        <v>6333</v>
      </c>
      <c r="L57" s="184"/>
      <c r="M57" s="184" t="s">
        <v>6389</v>
      </c>
      <c r="N57" s="184"/>
      <c r="O57" s="184"/>
    </row>
    <row r="58" customFormat="false" ht="54.75" hidden="false" customHeight="true" outlineLevel="0" collapsed="false">
      <c r="A58" s="184" t="s">
        <v>4876</v>
      </c>
      <c r="B58" s="184" t="s">
        <v>4877</v>
      </c>
      <c r="C58" s="184" t="n">
        <v>54</v>
      </c>
      <c r="D58" s="174" t="s">
        <v>4846</v>
      </c>
      <c r="E58" s="184" t="s">
        <v>6138</v>
      </c>
      <c r="F58" s="184" t="s">
        <v>238</v>
      </c>
      <c r="G58" s="184"/>
      <c r="H58" s="184"/>
      <c r="I58" s="184"/>
      <c r="J58" s="184" t="s">
        <v>5736</v>
      </c>
      <c r="K58" s="184" t="s">
        <v>5568</v>
      </c>
      <c r="L58" s="184"/>
      <c r="M58" s="184" t="s">
        <v>6141</v>
      </c>
      <c r="N58" s="184"/>
      <c r="O58" s="184"/>
    </row>
    <row r="59" customFormat="false" ht="54.75" hidden="false" customHeight="true" outlineLevel="0" collapsed="false">
      <c r="A59" s="184" t="s">
        <v>4876</v>
      </c>
      <c r="B59" s="184" t="s">
        <v>4877</v>
      </c>
      <c r="C59" s="184" t="n">
        <v>55</v>
      </c>
      <c r="D59" s="174" t="s">
        <v>4846</v>
      </c>
      <c r="E59" s="184" t="s">
        <v>6142</v>
      </c>
      <c r="F59" s="184" t="s">
        <v>238</v>
      </c>
      <c r="G59" s="184"/>
      <c r="H59" s="184"/>
      <c r="I59" s="184"/>
      <c r="J59" s="184" t="s">
        <v>6390</v>
      </c>
      <c r="K59" s="184" t="s">
        <v>5568</v>
      </c>
      <c r="L59" s="184"/>
      <c r="M59" s="184" t="s">
        <v>6145</v>
      </c>
      <c r="N59" s="184"/>
      <c r="O59" s="184"/>
    </row>
    <row r="60" customFormat="false" ht="54.75" hidden="false" customHeight="true" outlineLevel="0" collapsed="false">
      <c r="A60" s="184" t="s">
        <v>4876</v>
      </c>
      <c r="B60" s="184" t="s">
        <v>4877</v>
      </c>
      <c r="C60" s="184" t="n">
        <v>56</v>
      </c>
      <c r="D60" s="174" t="s">
        <v>4846</v>
      </c>
      <c r="E60" s="184" t="s">
        <v>6146</v>
      </c>
      <c r="F60" s="184" t="s">
        <v>238</v>
      </c>
      <c r="G60" s="184"/>
      <c r="H60" s="184"/>
      <c r="I60" s="184"/>
      <c r="J60" s="184" t="s">
        <v>6370</v>
      </c>
      <c r="K60" s="184" t="s">
        <v>5568</v>
      </c>
      <c r="L60" s="184"/>
      <c r="M60" s="184" t="s">
        <v>6149</v>
      </c>
      <c r="N60" s="184"/>
      <c r="O60" s="184"/>
    </row>
    <row r="61" customFormat="false" ht="27.75" hidden="false" customHeight="true" outlineLevel="0" collapsed="false">
      <c r="A61" s="184" t="s">
        <v>4876</v>
      </c>
      <c r="B61" s="184" t="s">
        <v>4877</v>
      </c>
      <c r="C61" s="184" t="n">
        <v>57</v>
      </c>
      <c r="D61" s="179" t="s">
        <v>6300</v>
      </c>
      <c r="E61" s="184" t="s">
        <v>6391</v>
      </c>
      <c r="F61" s="184"/>
      <c r="G61" s="184"/>
      <c r="H61" s="184"/>
      <c r="I61" s="184"/>
      <c r="J61" s="184"/>
      <c r="K61" s="184"/>
      <c r="L61" s="184"/>
      <c r="M61" s="184"/>
      <c r="N61" s="184"/>
      <c r="O61" s="184"/>
    </row>
    <row r="62" customFormat="false" ht="54.75" hidden="false" customHeight="true" outlineLevel="0" collapsed="false">
      <c r="A62" s="184" t="s">
        <v>4876</v>
      </c>
      <c r="B62" s="184" t="s">
        <v>4877</v>
      </c>
      <c r="C62" s="184" t="n">
        <v>58</v>
      </c>
      <c r="D62" s="174" t="s">
        <v>4846</v>
      </c>
      <c r="E62" s="184" t="s">
        <v>784</v>
      </c>
      <c r="F62" s="184" t="s">
        <v>715</v>
      </c>
      <c r="G62" s="184"/>
      <c r="H62" s="184"/>
      <c r="I62" s="184"/>
      <c r="J62" s="184" t="s">
        <v>5720</v>
      </c>
      <c r="K62" s="184" t="s">
        <v>6333</v>
      </c>
      <c r="L62" s="184"/>
      <c r="M62" s="184" t="s">
        <v>6392</v>
      </c>
      <c r="N62" s="184"/>
      <c r="O62" s="184"/>
    </row>
    <row r="63" customFormat="false" ht="41.25" hidden="false" customHeight="true" outlineLevel="0" collapsed="false">
      <c r="A63" s="184" t="s">
        <v>4876</v>
      </c>
      <c r="B63" s="184" t="s">
        <v>4877</v>
      </c>
      <c r="C63" s="184" t="n">
        <v>59</v>
      </c>
      <c r="D63" s="174" t="s">
        <v>4846</v>
      </c>
      <c r="E63" s="184" t="s">
        <v>6393</v>
      </c>
      <c r="F63" s="184" t="s">
        <v>715</v>
      </c>
      <c r="G63" s="184"/>
      <c r="H63" s="184"/>
      <c r="I63" s="184"/>
      <c r="J63" s="184" t="s">
        <v>6394</v>
      </c>
      <c r="K63" s="184" t="s">
        <v>6333</v>
      </c>
      <c r="L63" s="184"/>
      <c r="M63" s="184" t="s">
        <v>6395</v>
      </c>
      <c r="N63" s="184"/>
      <c r="O63" s="184"/>
    </row>
    <row r="64" customFormat="false" ht="54.75" hidden="false" customHeight="true" outlineLevel="0" collapsed="false">
      <c r="A64" s="184" t="s">
        <v>4876</v>
      </c>
      <c r="B64" s="184" t="s">
        <v>4877</v>
      </c>
      <c r="C64" s="184" t="n">
        <v>60</v>
      </c>
      <c r="D64" s="174" t="s">
        <v>4846</v>
      </c>
      <c r="E64" s="184" t="s">
        <v>5837</v>
      </c>
      <c r="F64" s="184" t="s">
        <v>715</v>
      </c>
      <c r="G64" s="184"/>
      <c r="H64" s="184"/>
      <c r="I64" s="184"/>
      <c r="J64" s="184" t="s">
        <v>6396</v>
      </c>
      <c r="K64" s="184" t="s">
        <v>6333</v>
      </c>
      <c r="L64" s="184"/>
      <c r="M64" s="184" t="s">
        <v>5839</v>
      </c>
      <c r="N64" s="184"/>
      <c r="O64" s="184"/>
    </row>
    <row r="65" customFormat="false" ht="27.75" hidden="false" customHeight="true" outlineLevel="0" collapsed="false">
      <c r="A65" s="184" t="s">
        <v>4876</v>
      </c>
      <c r="B65" s="184" t="s">
        <v>4877</v>
      </c>
      <c r="C65" s="184" t="n">
        <v>61</v>
      </c>
      <c r="D65" s="174" t="s">
        <v>4848</v>
      </c>
      <c r="E65" s="184" t="s">
        <v>6397</v>
      </c>
      <c r="F65" s="184"/>
      <c r="G65" s="184"/>
      <c r="H65" s="184"/>
      <c r="I65" s="184"/>
      <c r="J65" s="184" t="s">
        <v>1654</v>
      </c>
      <c r="K65" s="184" t="s">
        <v>5568</v>
      </c>
      <c r="L65" s="184" t="s">
        <v>6398</v>
      </c>
      <c r="M65" s="184" t="s">
        <v>6399</v>
      </c>
      <c r="N65" s="184"/>
      <c r="O65" s="184"/>
    </row>
    <row r="66" customFormat="false" ht="27.75" hidden="false" customHeight="true" outlineLevel="0" collapsed="false">
      <c r="A66" s="184" t="s">
        <v>4876</v>
      </c>
      <c r="B66" s="184" t="s">
        <v>4877</v>
      </c>
      <c r="C66" s="184" t="n">
        <v>62</v>
      </c>
      <c r="D66" s="179" t="s">
        <v>6300</v>
      </c>
      <c r="E66" s="184" t="s">
        <v>6400</v>
      </c>
      <c r="F66" s="184"/>
      <c r="G66" s="184"/>
      <c r="H66" s="184"/>
      <c r="I66" s="184"/>
      <c r="J66" s="184"/>
      <c r="K66" s="184"/>
      <c r="L66" s="184"/>
      <c r="M66" s="184"/>
      <c r="N66" s="184"/>
      <c r="O66" s="184"/>
    </row>
    <row r="67" customFormat="false" ht="54.75" hidden="false" customHeight="true" outlineLevel="0" collapsed="false">
      <c r="A67" s="184" t="s">
        <v>4876</v>
      </c>
      <c r="B67" s="184" t="s">
        <v>4877</v>
      </c>
      <c r="C67" s="184" t="n">
        <v>63</v>
      </c>
      <c r="D67" s="184" t="s">
        <v>4790</v>
      </c>
      <c r="E67" s="184" t="s">
        <v>6401</v>
      </c>
      <c r="F67" s="184"/>
      <c r="G67" s="184"/>
      <c r="H67" s="184"/>
      <c r="I67" s="184"/>
      <c r="J67" s="184"/>
      <c r="K67" s="184"/>
      <c r="L67" s="184"/>
      <c r="M67" s="184" t="s">
        <v>6402</v>
      </c>
      <c r="N67" s="184"/>
      <c r="O67" s="184"/>
    </row>
    <row r="68" customFormat="false" ht="41.25" hidden="false" customHeight="true" outlineLevel="0" collapsed="false">
      <c r="A68" s="184" t="s">
        <v>4876</v>
      </c>
      <c r="B68" s="184" t="s">
        <v>4877</v>
      </c>
      <c r="C68" s="184" t="n">
        <v>64</v>
      </c>
      <c r="D68" s="184" t="s">
        <v>4790</v>
      </c>
      <c r="E68" s="184" t="s">
        <v>6403</v>
      </c>
      <c r="F68" s="184"/>
      <c r="G68" s="184"/>
      <c r="H68" s="184"/>
      <c r="I68" s="184"/>
      <c r="J68" s="184"/>
      <c r="K68" s="184"/>
      <c r="L68" s="184"/>
      <c r="M68" s="184" t="s">
        <v>6404</v>
      </c>
      <c r="N68" s="184"/>
      <c r="O68" s="184"/>
    </row>
    <row r="69" customFormat="false" ht="41.25" hidden="false" customHeight="true" outlineLevel="0" collapsed="false">
      <c r="A69" s="184" t="s">
        <v>4876</v>
      </c>
      <c r="B69" s="184" t="s">
        <v>4877</v>
      </c>
      <c r="C69" s="184" t="n">
        <v>65</v>
      </c>
      <c r="D69" s="184" t="s">
        <v>4790</v>
      </c>
      <c r="E69" s="184" t="s">
        <v>6405</v>
      </c>
      <c r="F69" s="184"/>
      <c r="G69" s="184"/>
      <c r="H69" s="184"/>
      <c r="I69" s="184"/>
      <c r="J69" s="184"/>
      <c r="K69" s="184"/>
      <c r="L69" s="184"/>
      <c r="M69" s="184" t="s">
        <v>6406</v>
      </c>
      <c r="N69" s="184"/>
      <c r="O69" s="184"/>
    </row>
    <row r="70" customFormat="false" ht="27.75" hidden="false" customHeight="true" outlineLevel="0" collapsed="false">
      <c r="A70" s="184" t="s">
        <v>4876</v>
      </c>
      <c r="B70" s="184" t="s">
        <v>4877</v>
      </c>
      <c r="C70" s="184" t="n">
        <v>66</v>
      </c>
      <c r="D70" s="184" t="s">
        <v>4790</v>
      </c>
      <c r="E70" s="184" t="s">
        <v>6407</v>
      </c>
      <c r="F70" s="184"/>
      <c r="G70" s="184"/>
      <c r="H70" s="184"/>
      <c r="I70" s="184"/>
      <c r="J70" s="184"/>
      <c r="K70" s="184"/>
      <c r="L70" s="184"/>
      <c r="M70" s="184" t="s">
        <v>6408</v>
      </c>
      <c r="N70" s="184"/>
      <c r="O70" s="184"/>
    </row>
    <row r="71" customFormat="false" ht="54.75" hidden="false" customHeight="true" outlineLevel="0" collapsed="false">
      <c r="A71" s="184" t="s">
        <v>4876</v>
      </c>
      <c r="B71" s="184" t="s">
        <v>4877</v>
      </c>
      <c r="C71" s="184" t="n">
        <v>67</v>
      </c>
      <c r="D71" s="184" t="s">
        <v>4790</v>
      </c>
      <c r="E71" s="184" t="s">
        <v>6409</v>
      </c>
      <c r="F71" s="184"/>
      <c r="G71" s="184"/>
      <c r="H71" s="184"/>
      <c r="I71" s="184"/>
      <c r="J71" s="184"/>
      <c r="K71" s="184"/>
      <c r="L71" s="184"/>
      <c r="M71" s="184" t="s">
        <v>6410</v>
      </c>
      <c r="N71" s="184"/>
      <c r="O71" s="184"/>
    </row>
    <row r="72" customFormat="false" ht="27.75" hidden="false" customHeight="true" outlineLevel="0" collapsed="false">
      <c r="A72" s="184" t="s">
        <v>4876</v>
      </c>
      <c r="B72" s="184" t="s">
        <v>4877</v>
      </c>
      <c r="C72" s="184" t="n">
        <v>68</v>
      </c>
      <c r="D72" s="184" t="s">
        <v>4790</v>
      </c>
      <c r="E72" s="184" t="s">
        <v>6411</v>
      </c>
      <c r="F72" s="184"/>
      <c r="G72" s="184"/>
      <c r="H72" s="184"/>
      <c r="I72" s="184"/>
      <c r="J72" s="184"/>
      <c r="K72" s="184"/>
      <c r="L72" s="184"/>
      <c r="M72" s="184" t="s">
        <v>6412</v>
      </c>
      <c r="N72" s="184"/>
      <c r="O72" s="184"/>
    </row>
    <row r="73" customFormat="false" ht="41.25" hidden="false" customHeight="true" outlineLevel="0" collapsed="false">
      <c r="A73" s="184" t="s">
        <v>4876</v>
      </c>
      <c r="B73" s="184" t="s">
        <v>4877</v>
      </c>
      <c r="C73" s="184" t="n">
        <v>69</v>
      </c>
      <c r="D73" s="184" t="s">
        <v>4790</v>
      </c>
      <c r="E73" s="184" t="s">
        <v>6413</v>
      </c>
      <c r="F73" s="184"/>
      <c r="G73" s="184"/>
      <c r="H73" s="184"/>
      <c r="I73" s="184"/>
      <c r="J73" s="184"/>
      <c r="K73" s="184"/>
      <c r="L73" s="184"/>
      <c r="M73" s="184" t="s">
        <v>6414</v>
      </c>
      <c r="N73" s="184"/>
      <c r="O73" s="184"/>
    </row>
    <row r="74" customFormat="false" ht="27.75" hidden="false" customHeight="true" outlineLevel="0" collapsed="false">
      <c r="A74" s="184" t="s">
        <v>4876</v>
      </c>
      <c r="B74" s="184" t="s">
        <v>4877</v>
      </c>
      <c r="C74" s="184" t="n">
        <v>70</v>
      </c>
      <c r="D74" s="184" t="s">
        <v>4790</v>
      </c>
      <c r="E74" s="184" t="s">
        <v>6415</v>
      </c>
      <c r="F74" s="184"/>
      <c r="G74" s="184"/>
      <c r="H74" s="184"/>
      <c r="I74" s="184"/>
      <c r="J74" s="184"/>
      <c r="K74" s="184"/>
      <c r="L74" s="184"/>
      <c r="M74" s="184" t="s">
        <v>6416</v>
      </c>
      <c r="N74" s="184"/>
      <c r="O74" s="184"/>
    </row>
    <row r="75" customFormat="false" ht="41.25" hidden="false" customHeight="true" outlineLevel="0" collapsed="false">
      <c r="A75" s="184" t="s">
        <v>4876</v>
      </c>
      <c r="B75" s="184" t="s">
        <v>4877</v>
      </c>
      <c r="C75" s="184" t="n">
        <v>71</v>
      </c>
      <c r="D75" s="184" t="s">
        <v>4790</v>
      </c>
      <c r="E75" s="184" t="s">
        <v>6417</v>
      </c>
      <c r="F75" s="184"/>
      <c r="G75" s="184"/>
      <c r="H75" s="184"/>
      <c r="I75" s="184"/>
      <c r="J75" s="184"/>
      <c r="K75" s="184"/>
      <c r="L75" s="184"/>
      <c r="M75" s="184" t="s">
        <v>6418</v>
      </c>
      <c r="N75" s="184"/>
      <c r="O75" s="184"/>
    </row>
    <row r="76" customFormat="false" ht="27.75" hidden="false" customHeight="true" outlineLevel="0" collapsed="false">
      <c r="A76" s="184" t="s">
        <v>4876</v>
      </c>
      <c r="B76" s="184" t="s">
        <v>4877</v>
      </c>
      <c r="C76" s="184" t="n">
        <v>72</v>
      </c>
      <c r="D76" s="184" t="s">
        <v>4790</v>
      </c>
      <c r="E76" s="184" t="s">
        <v>6419</v>
      </c>
      <c r="F76" s="184"/>
      <c r="G76" s="184"/>
      <c r="H76" s="184"/>
      <c r="I76" s="184"/>
      <c r="J76" s="184"/>
      <c r="K76" s="184"/>
      <c r="L76" s="184"/>
      <c r="M76" s="184" t="s">
        <v>6420</v>
      </c>
      <c r="N76" s="184"/>
      <c r="O76" s="184"/>
    </row>
    <row r="77" customFormat="false" ht="27.75" hidden="false" customHeight="true" outlineLevel="0" collapsed="false">
      <c r="A77" s="184" t="s">
        <v>4876</v>
      </c>
      <c r="B77" s="184" t="s">
        <v>4877</v>
      </c>
      <c r="C77" s="184" t="n">
        <v>73</v>
      </c>
      <c r="D77" s="184" t="s">
        <v>4790</v>
      </c>
      <c r="E77" s="184" t="s">
        <v>6421</v>
      </c>
      <c r="F77" s="184"/>
      <c r="G77" s="184"/>
      <c r="H77" s="184"/>
      <c r="I77" s="184"/>
      <c r="J77" s="184"/>
      <c r="K77" s="184"/>
      <c r="L77" s="184"/>
      <c r="M77" s="184" t="s">
        <v>6422</v>
      </c>
      <c r="N77" s="184"/>
      <c r="O77" s="184"/>
    </row>
    <row r="78" customFormat="false" ht="27.75" hidden="false" customHeight="true" outlineLevel="0" collapsed="false">
      <c r="A78" s="184" t="s">
        <v>4876</v>
      </c>
      <c r="B78" s="184" t="s">
        <v>4877</v>
      </c>
      <c r="C78" s="184" t="n">
        <v>74</v>
      </c>
      <c r="D78" s="184" t="s">
        <v>4790</v>
      </c>
      <c r="E78" s="184" t="s">
        <v>6423</v>
      </c>
      <c r="F78" s="184"/>
      <c r="G78" s="184"/>
      <c r="H78" s="184"/>
      <c r="I78" s="184"/>
      <c r="J78" s="184"/>
      <c r="K78" s="184"/>
      <c r="L78" s="184"/>
      <c r="M78" s="184" t="s">
        <v>6424</v>
      </c>
      <c r="N78" s="184"/>
      <c r="O78" s="184"/>
    </row>
    <row r="79" customFormat="false" ht="27.75" hidden="false" customHeight="true" outlineLevel="0" collapsed="false">
      <c r="A79" s="184" t="s">
        <v>4876</v>
      </c>
      <c r="B79" s="184" t="s">
        <v>4877</v>
      </c>
      <c r="C79" s="184" t="n">
        <v>75</v>
      </c>
      <c r="D79" s="184" t="s">
        <v>4790</v>
      </c>
      <c r="E79" s="184" t="s">
        <v>6425</v>
      </c>
      <c r="F79" s="184"/>
      <c r="G79" s="184"/>
      <c r="H79" s="184"/>
      <c r="I79" s="184"/>
      <c r="J79" s="184"/>
      <c r="K79" s="184"/>
      <c r="L79" s="184"/>
      <c r="M79" s="184" t="s">
        <v>6426</v>
      </c>
      <c r="N79" s="184"/>
      <c r="O79" s="184"/>
    </row>
    <row r="80" customFormat="false" ht="27.75" hidden="false" customHeight="true" outlineLevel="0" collapsed="false">
      <c r="A80" s="184" t="s">
        <v>4876</v>
      </c>
      <c r="B80" s="184" t="s">
        <v>4877</v>
      </c>
      <c r="C80" s="184" t="n">
        <v>76</v>
      </c>
      <c r="D80" s="177" t="s">
        <v>6298</v>
      </c>
      <c r="E80" s="184" t="s">
        <v>6427</v>
      </c>
      <c r="F80" s="184"/>
      <c r="G80" s="184"/>
      <c r="H80" s="184"/>
      <c r="I80" s="184"/>
      <c r="J80" s="184"/>
      <c r="K80" s="184"/>
      <c r="L80" s="184"/>
      <c r="M80" s="184"/>
      <c r="N80" s="184"/>
      <c r="O80" s="184"/>
    </row>
    <row r="81" customFormat="false" ht="15" hidden="false" customHeight="true" outlineLevel="0" collapsed="false">
      <c r="A81" s="184"/>
      <c r="B81" s="184"/>
      <c r="C81" s="184"/>
      <c r="D81" s="184"/>
      <c r="E81" s="184"/>
      <c r="F81" s="184"/>
      <c r="G81" s="184"/>
      <c r="H81" s="184"/>
      <c r="I81" s="184"/>
      <c r="J81" s="184"/>
      <c r="K81" s="184"/>
      <c r="L81" s="184"/>
      <c r="M81" s="184"/>
      <c r="N81" s="184"/>
      <c r="O81" s="184"/>
    </row>
    <row r="82" customFormat="false" ht="15" hidden="false" customHeight="true" outlineLevel="0" collapsed="false">
      <c r="A82" s="184"/>
      <c r="B82" s="184"/>
      <c r="C82" s="184"/>
      <c r="D82" s="184"/>
      <c r="E82" s="184"/>
      <c r="F82" s="184"/>
      <c r="G82" s="184"/>
      <c r="H82" s="184"/>
      <c r="I82" s="184"/>
      <c r="J82" s="184"/>
      <c r="K82" s="184"/>
      <c r="L82" s="184"/>
      <c r="M82" s="184"/>
      <c r="N82" s="184"/>
      <c r="O82" s="184"/>
    </row>
    <row r="83" customFormat="false" ht="15" hidden="false" customHeight="true" outlineLevel="0" collapsed="false">
      <c r="A83" s="184"/>
      <c r="B83" s="184"/>
      <c r="C83" s="184"/>
      <c r="D83" s="184"/>
      <c r="E83" s="184"/>
      <c r="F83" s="184"/>
      <c r="G83" s="184"/>
      <c r="H83" s="184"/>
      <c r="I83" s="184"/>
      <c r="J83" s="184"/>
      <c r="K83" s="184"/>
      <c r="L83" s="184"/>
      <c r="M83" s="184"/>
      <c r="N83" s="184"/>
      <c r="O83" s="184"/>
    </row>
    <row r="84" customFormat="false" ht="15" hidden="false" customHeight="true" outlineLevel="0" collapsed="false">
      <c r="A84" s="184"/>
      <c r="B84" s="184"/>
      <c r="C84" s="184"/>
      <c r="D84" s="184"/>
      <c r="E84" s="184"/>
      <c r="F84" s="184"/>
      <c r="G84" s="184"/>
      <c r="H84" s="184"/>
      <c r="I84" s="184"/>
      <c r="J84" s="184"/>
      <c r="K84" s="184"/>
      <c r="L84" s="184"/>
      <c r="M84" s="184"/>
      <c r="N84" s="184"/>
      <c r="O84" s="184"/>
    </row>
    <row r="85" customFormat="false" ht="15" hidden="false" customHeight="true" outlineLevel="0" collapsed="false">
      <c r="A85" s="184"/>
      <c r="B85" s="184"/>
      <c r="C85" s="184"/>
      <c r="D85" s="184"/>
      <c r="E85" s="184"/>
      <c r="F85" s="184"/>
      <c r="G85" s="184"/>
      <c r="H85" s="184"/>
      <c r="I85" s="184"/>
      <c r="J85" s="184"/>
      <c r="K85" s="184"/>
      <c r="L85" s="184"/>
      <c r="M85" s="184"/>
      <c r="N85" s="184"/>
      <c r="O85" s="184"/>
    </row>
    <row r="86" customFormat="false" ht="15" hidden="false" customHeight="true" outlineLevel="0" collapsed="false">
      <c r="A86" s="184"/>
      <c r="B86" s="184"/>
      <c r="C86" s="184"/>
      <c r="D86" s="184"/>
      <c r="E86" s="184"/>
      <c r="F86" s="184"/>
      <c r="G86" s="184"/>
      <c r="H86" s="184"/>
      <c r="I86" s="184"/>
      <c r="J86" s="184"/>
      <c r="K86" s="184"/>
      <c r="L86" s="184"/>
      <c r="M86" s="184"/>
      <c r="N86" s="184"/>
      <c r="O86" s="184"/>
    </row>
    <row r="87" customFormat="false" ht="15" hidden="false" customHeight="true" outlineLevel="0" collapsed="false">
      <c r="A87" s="184"/>
      <c r="B87" s="184"/>
      <c r="C87" s="184"/>
      <c r="D87" s="184"/>
      <c r="E87" s="184"/>
      <c r="F87" s="184"/>
      <c r="G87" s="184"/>
      <c r="H87" s="184"/>
      <c r="I87" s="184"/>
      <c r="J87" s="184"/>
      <c r="K87" s="184"/>
      <c r="L87" s="184"/>
      <c r="M87" s="184"/>
      <c r="N87" s="184"/>
      <c r="O87" s="184"/>
    </row>
    <row r="88" customFormat="false" ht="15" hidden="false" customHeight="true" outlineLevel="0" collapsed="false">
      <c r="A88" s="184"/>
      <c r="B88" s="184"/>
      <c r="C88" s="184"/>
      <c r="D88" s="184"/>
      <c r="E88" s="184"/>
      <c r="F88" s="184"/>
      <c r="G88" s="184"/>
      <c r="H88" s="184"/>
      <c r="I88" s="184"/>
      <c r="J88" s="184"/>
      <c r="K88" s="184"/>
      <c r="L88" s="184"/>
      <c r="M88" s="184"/>
      <c r="N88" s="184"/>
      <c r="O88" s="184"/>
    </row>
    <row r="89" customFormat="false" ht="15" hidden="false" customHeight="true" outlineLevel="0" collapsed="false">
      <c r="A89" s="184"/>
      <c r="B89" s="184"/>
      <c r="C89" s="184"/>
      <c r="D89" s="184"/>
      <c r="E89" s="184"/>
      <c r="F89" s="184"/>
      <c r="G89" s="184"/>
      <c r="H89" s="184"/>
      <c r="I89" s="184"/>
      <c r="J89" s="184"/>
      <c r="K89" s="184"/>
      <c r="L89" s="184"/>
      <c r="M89" s="184"/>
      <c r="N89" s="184"/>
      <c r="O89" s="184"/>
    </row>
    <row r="90" customFormat="false" ht="15" hidden="false" customHeight="true" outlineLevel="0" collapsed="false">
      <c r="A90" s="184"/>
      <c r="B90" s="184"/>
      <c r="C90" s="184"/>
      <c r="D90" s="184"/>
      <c r="E90" s="184"/>
      <c r="F90" s="184"/>
      <c r="G90" s="184"/>
      <c r="H90" s="184"/>
      <c r="I90" s="184"/>
      <c r="J90" s="184"/>
      <c r="K90" s="184"/>
      <c r="L90" s="184"/>
      <c r="M90" s="184"/>
      <c r="N90" s="184"/>
      <c r="O90" s="184"/>
    </row>
    <row r="91" customFormat="false" ht="15" hidden="false" customHeight="true" outlineLevel="0" collapsed="false">
      <c r="A91" s="184"/>
      <c r="B91" s="184"/>
      <c r="C91" s="184"/>
      <c r="D91" s="184"/>
      <c r="E91" s="184"/>
      <c r="F91" s="184"/>
      <c r="G91" s="184"/>
      <c r="H91" s="184"/>
      <c r="I91" s="184"/>
      <c r="J91" s="184"/>
      <c r="K91" s="184"/>
      <c r="L91" s="184"/>
      <c r="M91" s="184"/>
      <c r="N91" s="184"/>
      <c r="O91" s="184"/>
    </row>
    <row r="92" customFormat="false" ht="15" hidden="false" customHeight="true" outlineLevel="0" collapsed="false">
      <c r="A92" s="184"/>
      <c r="B92" s="184"/>
      <c r="C92" s="184"/>
      <c r="D92" s="184"/>
      <c r="E92" s="184"/>
      <c r="F92" s="184"/>
      <c r="G92" s="184"/>
      <c r="H92" s="184"/>
      <c r="I92" s="184"/>
      <c r="J92" s="184"/>
      <c r="K92" s="184"/>
      <c r="L92" s="184"/>
      <c r="M92" s="184"/>
      <c r="N92" s="184"/>
      <c r="O92" s="184"/>
    </row>
    <row r="93" customFormat="false" ht="15" hidden="false" customHeight="true" outlineLevel="0" collapsed="false">
      <c r="A93" s="184"/>
      <c r="B93" s="184"/>
      <c r="C93" s="184"/>
      <c r="D93" s="184"/>
      <c r="E93" s="184"/>
      <c r="F93" s="184"/>
      <c r="G93" s="184"/>
      <c r="H93" s="184"/>
      <c r="I93" s="184"/>
      <c r="J93" s="184"/>
      <c r="K93" s="184"/>
      <c r="L93" s="184"/>
      <c r="M93" s="184"/>
      <c r="N93" s="184"/>
      <c r="O93" s="184"/>
    </row>
    <row r="94" customFormat="false" ht="15" hidden="false" customHeight="true" outlineLevel="0" collapsed="false">
      <c r="A94" s="184"/>
      <c r="B94" s="184"/>
      <c r="C94" s="184"/>
      <c r="D94" s="184"/>
      <c r="E94" s="184"/>
      <c r="F94" s="184"/>
      <c r="G94" s="184"/>
      <c r="H94" s="184"/>
      <c r="I94" s="184"/>
      <c r="J94" s="184"/>
      <c r="K94" s="184"/>
      <c r="L94" s="184"/>
      <c r="M94" s="184"/>
      <c r="N94" s="184"/>
      <c r="O94" s="184"/>
    </row>
    <row r="95" customFormat="false" ht="15" hidden="false" customHeight="true" outlineLevel="0" collapsed="false">
      <c r="A95" s="184"/>
      <c r="B95" s="184"/>
      <c r="C95" s="184"/>
      <c r="D95" s="184"/>
      <c r="E95" s="184"/>
      <c r="F95" s="184"/>
      <c r="G95" s="184"/>
      <c r="H95" s="184"/>
      <c r="I95" s="184"/>
      <c r="J95" s="184"/>
      <c r="K95" s="184"/>
      <c r="L95" s="184"/>
      <c r="M95" s="184"/>
      <c r="N95" s="184"/>
      <c r="O95" s="184"/>
    </row>
    <row r="96" customFormat="false" ht="15" hidden="false" customHeight="true" outlineLevel="0" collapsed="false">
      <c r="A96" s="184"/>
      <c r="B96" s="184"/>
      <c r="C96" s="184"/>
      <c r="D96" s="184"/>
      <c r="E96" s="184"/>
      <c r="F96" s="184"/>
      <c r="G96" s="184"/>
      <c r="H96" s="184"/>
      <c r="I96" s="184"/>
      <c r="J96" s="184"/>
      <c r="K96" s="184"/>
      <c r="L96" s="184"/>
      <c r="M96" s="184"/>
      <c r="N96" s="184"/>
      <c r="O96" s="184"/>
    </row>
    <row r="97" customFormat="false" ht="15" hidden="false" customHeight="true" outlineLevel="0" collapsed="false">
      <c r="A97" s="184"/>
      <c r="B97" s="184"/>
      <c r="C97" s="184"/>
      <c r="D97" s="184"/>
      <c r="E97" s="184"/>
      <c r="F97" s="184"/>
      <c r="G97" s="184"/>
      <c r="H97" s="184"/>
      <c r="I97" s="184"/>
      <c r="J97" s="184"/>
      <c r="K97" s="184"/>
      <c r="L97" s="184"/>
      <c r="M97" s="184"/>
      <c r="N97" s="184"/>
      <c r="O97" s="184"/>
    </row>
    <row r="98" customFormat="false" ht="15" hidden="false" customHeight="true" outlineLevel="0" collapsed="false">
      <c r="A98" s="184"/>
      <c r="B98" s="184"/>
      <c r="C98" s="184"/>
      <c r="D98" s="184"/>
      <c r="E98" s="184"/>
      <c r="F98" s="184"/>
      <c r="G98" s="184"/>
      <c r="H98" s="184"/>
      <c r="I98" s="184"/>
      <c r="J98" s="184"/>
      <c r="K98" s="184"/>
      <c r="L98" s="184"/>
      <c r="M98" s="184"/>
      <c r="N98" s="184"/>
      <c r="O98" s="184"/>
    </row>
    <row r="99" customFormat="false" ht="15" hidden="false" customHeight="true" outlineLevel="0" collapsed="false">
      <c r="A99" s="184"/>
      <c r="B99" s="184"/>
      <c r="C99" s="184"/>
      <c r="D99" s="184"/>
      <c r="E99" s="184"/>
      <c r="F99" s="184"/>
      <c r="G99" s="184"/>
      <c r="H99" s="184"/>
      <c r="I99" s="184"/>
      <c r="J99" s="184"/>
      <c r="K99" s="184"/>
      <c r="L99" s="184"/>
      <c r="M99" s="184"/>
      <c r="N99" s="184"/>
      <c r="O99" s="184"/>
    </row>
    <row r="100" customFormat="false" ht="15" hidden="false" customHeight="true" outlineLevel="0" collapsed="false">
      <c r="A100" s="184"/>
      <c r="B100" s="184"/>
      <c r="C100" s="184"/>
      <c r="D100" s="184"/>
      <c r="E100" s="184"/>
      <c r="F100" s="184"/>
      <c r="G100" s="184"/>
      <c r="H100" s="184"/>
      <c r="I100" s="184"/>
      <c r="J100" s="184"/>
      <c r="K100" s="184"/>
      <c r="L100" s="184"/>
      <c r="M100" s="184"/>
      <c r="N100" s="184"/>
      <c r="O100" s="184"/>
    </row>
    <row r="101" customFormat="false" ht="15" hidden="false" customHeight="true" outlineLevel="0" collapsed="false">
      <c r="A101" s="184"/>
      <c r="B101" s="184"/>
      <c r="C101" s="184"/>
      <c r="D101" s="184"/>
      <c r="E101" s="184"/>
      <c r="F101" s="184"/>
      <c r="G101" s="184"/>
      <c r="H101" s="184"/>
      <c r="I101" s="184"/>
      <c r="J101" s="184"/>
      <c r="K101" s="184"/>
      <c r="L101" s="184"/>
      <c r="M101" s="184"/>
      <c r="N101" s="184"/>
      <c r="O101" s="184"/>
    </row>
    <row r="102" customFormat="false" ht="15" hidden="false" customHeight="true" outlineLevel="0" collapsed="false">
      <c r="A102" s="184"/>
      <c r="B102" s="184"/>
      <c r="C102" s="184"/>
      <c r="D102" s="184"/>
      <c r="E102" s="184"/>
      <c r="F102" s="184"/>
      <c r="G102" s="184"/>
      <c r="H102" s="184"/>
      <c r="I102" s="184"/>
      <c r="J102" s="184"/>
      <c r="K102" s="184"/>
      <c r="L102" s="184"/>
      <c r="M102" s="184"/>
      <c r="N102" s="184"/>
      <c r="O102" s="184"/>
    </row>
    <row r="103" customFormat="false" ht="15" hidden="false" customHeight="true" outlineLevel="0" collapsed="false">
      <c r="A103" s="184"/>
      <c r="B103" s="184"/>
      <c r="C103" s="184"/>
      <c r="D103" s="184"/>
      <c r="E103" s="184"/>
      <c r="F103" s="184"/>
      <c r="G103" s="184"/>
      <c r="H103" s="184"/>
      <c r="I103" s="184"/>
      <c r="J103" s="184"/>
      <c r="K103" s="184"/>
      <c r="L103" s="184"/>
      <c r="M103" s="184"/>
      <c r="N103" s="184"/>
      <c r="O103" s="184"/>
    </row>
    <row r="104" customFormat="false" ht="15" hidden="false" customHeight="true" outlineLevel="0" collapsed="false">
      <c r="A104" s="184"/>
      <c r="B104" s="184"/>
      <c r="C104" s="184"/>
      <c r="D104" s="184"/>
      <c r="E104" s="184"/>
      <c r="F104" s="184"/>
      <c r="G104" s="184"/>
      <c r="H104" s="184"/>
      <c r="I104" s="184"/>
      <c r="J104" s="184"/>
      <c r="K104" s="184"/>
      <c r="L104" s="184"/>
      <c r="M104" s="184"/>
      <c r="N104" s="184"/>
      <c r="O104" s="184"/>
    </row>
    <row r="105" customFormat="false" ht="15" hidden="false" customHeight="true" outlineLevel="0" collapsed="false">
      <c r="A105" s="184"/>
      <c r="B105" s="184"/>
      <c r="C105" s="184"/>
      <c r="D105" s="184"/>
      <c r="E105" s="184"/>
      <c r="F105" s="184"/>
      <c r="G105" s="184"/>
      <c r="H105" s="184"/>
      <c r="I105" s="184"/>
      <c r="J105" s="184"/>
      <c r="K105" s="184"/>
      <c r="L105" s="184"/>
      <c r="M105" s="184"/>
      <c r="N105" s="184"/>
      <c r="O105" s="184"/>
    </row>
    <row r="106" customFormat="false" ht="15" hidden="false" customHeight="true" outlineLevel="0" collapsed="false">
      <c r="A106" s="184"/>
      <c r="B106" s="184"/>
      <c r="C106" s="184"/>
      <c r="D106" s="184"/>
      <c r="E106" s="184"/>
      <c r="F106" s="184"/>
      <c r="G106" s="184"/>
      <c r="H106" s="184"/>
      <c r="I106" s="184"/>
      <c r="J106" s="184"/>
      <c r="K106" s="184"/>
      <c r="L106" s="184"/>
      <c r="M106" s="184"/>
      <c r="N106" s="184"/>
      <c r="O106" s="184"/>
    </row>
    <row r="107" customFormat="false" ht="15" hidden="false" customHeight="true" outlineLevel="0" collapsed="false">
      <c r="A107" s="184"/>
      <c r="B107" s="184"/>
      <c r="C107" s="184"/>
      <c r="D107" s="184"/>
      <c r="E107" s="184"/>
      <c r="F107" s="184"/>
      <c r="G107" s="184"/>
      <c r="H107" s="184"/>
      <c r="I107" s="184"/>
      <c r="J107" s="184"/>
      <c r="K107" s="184"/>
      <c r="L107" s="184"/>
      <c r="M107" s="184"/>
      <c r="N107" s="184"/>
      <c r="O107" s="184"/>
    </row>
    <row r="108" customFormat="false" ht="15" hidden="false" customHeight="true" outlineLevel="0" collapsed="false">
      <c r="A108" s="184"/>
      <c r="B108" s="184"/>
      <c r="C108" s="184"/>
      <c r="D108" s="184"/>
      <c r="E108" s="184"/>
      <c r="F108" s="184"/>
      <c r="G108" s="184"/>
      <c r="H108" s="184"/>
      <c r="I108" s="184"/>
      <c r="J108" s="184"/>
      <c r="K108" s="184"/>
      <c r="L108" s="184"/>
      <c r="M108" s="184"/>
      <c r="N108" s="184"/>
      <c r="O108" s="184"/>
    </row>
    <row r="109" customFormat="false" ht="15" hidden="false" customHeight="true" outlineLevel="0" collapsed="false">
      <c r="A109" s="184"/>
      <c r="B109" s="184"/>
      <c r="C109" s="184"/>
      <c r="D109" s="184"/>
      <c r="E109" s="184"/>
      <c r="F109" s="184"/>
      <c r="G109" s="184"/>
      <c r="H109" s="184"/>
      <c r="I109" s="184"/>
      <c r="J109" s="184"/>
      <c r="K109" s="184"/>
      <c r="L109" s="184"/>
      <c r="M109" s="184"/>
      <c r="N109" s="184"/>
      <c r="O109" s="184"/>
    </row>
    <row r="110" customFormat="false" ht="15" hidden="false" customHeight="true" outlineLevel="0" collapsed="false">
      <c r="A110" s="184"/>
      <c r="B110" s="184"/>
      <c r="C110" s="184"/>
      <c r="D110" s="184"/>
      <c r="E110" s="184"/>
      <c r="F110" s="184"/>
      <c r="G110" s="184"/>
      <c r="H110" s="184"/>
      <c r="I110" s="184"/>
      <c r="J110" s="184"/>
      <c r="K110" s="184"/>
      <c r="L110" s="184"/>
      <c r="M110" s="184"/>
      <c r="N110" s="184"/>
      <c r="O110" s="184"/>
    </row>
    <row r="111" customFormat="false" ht="15" hidden="false" customHeight="true" outlineLevel="0" collapsed="false">
      <c r="A111" s="184"/>
      <c r="B111" s="184"/>
      <c r="C111" s="184"/>
      <c r="D111" s="184"/>
      <c r="E111" s="184"/>
      <c r="F111" s="184"/>
      <c r="G111" s="184"/>
      <c r="H111" s="184"/>
      <c r="I111" s="184"/>
      <c r="J111" s="184"/>
      <c r="K111" s="184"/>
      <c r="L111" s="184"/>
      <c r="M111" s="184"/>
      <c r="N111" s="184"/>
      <c r="O111" s="184"/>
    </row>
    <row r="112" customFormat="false" ht="15" hidden="false" customHeight="true" outlineLevel="0" collapsed="false">
      <c r="A112" s="184"/>
      <c r="B112" s="184"/>
      <c r="C112" s="184"/>
      <c r="D112" s="184"/>
      <c r="E112" s="184"/>
      <c r="F112" s="184"/>
      <c r="G112" s="184"/>
      <c r="H112" s="184"/>
      <c r="I112" s="184"/>
      <c r="J112" s="184"/>
      <c r="K112" s="184"/>
      <c r="L112" s="184"/>
      <c r="M112" s="184"/>
      <c r="N112" s="184"/>
      <c r="O112" s="184"/>
    </row>
    <row r="113" customFormat="false" ht="15" hidden="false" customHeight="true" outlineLevel="0" collapsed="false">
      <c r="A113" s="184"/>
      <c r="B113" s="184"/>
      <c r="C113" s="184"/>
      <c r="D113" s="184"/>
      <c r="E113" s="184"/>
      <c r="F113" s="184"/>
      <c r="G113" s="184"/>
      <c r="H113" s="184"/>
      <c r="I113" s="184"/>
      <c r="J113" s="184"/>
      <c r="K113" s="184"/>
      <c r="L113" s="184"/>
      <c r="M113" s="184"/>
      <c r="N113" s="184"/>
      <c r="O113" s="184"/>
    </row>
    <row r="114" customFormat="false" ht="15" hidden="false" customHeight="true" outlineLevel="0" collapsed="false">
      <c r="A114" s="184"/>
      <c r="B114" s="184"/>
      <c r="C114" s="184"/>
      <c r="D114" s="184"/>
      <c r="E114" s="184"/>
      <c r="F114" s="184"/>
      <c r="G114" s="184"/>
      <c r="H114" s="184"/>
      <c r="I114" s="184"/>
      <c r="J114" s="184"/>
      <c r="K114" s="184"/>
      <c r="L114" s="184"/>
      <c r="M114" s="184"/>
      <c r="N114" s="184"/>
      <c r="O114" s="184"/>
    </row>
    <row r="115" customFormat="false" ht="15" hidden="false" customHeight="true" outlineLevel="0" collapsed="false">
      <c r="A115" s="184"/>
      <c r="B115" s="184"/>
      <c r="C115" s="184"/>
      <c r="D115" s="184"/>
      <c r="E115" s="184"/>
      <c r="F115" s="184"/>
      <c r="G115" s="184"/>
      <c r="H115" s="184"/>
      <c r="I115" s="184"/>
      <c r="J115" s="184"/>
      <c r="K115" s="184"/>
      <c r="L115" s="184"/>
      <c r="M115" s="184"/>
      <c r="N115" s="184"/>
      <c r="O115" s="184"/>
    </row>
    <row r="116" customFormat="false" ht="15" hidden="false" customHeight="true" outlineLevel="0" collapsed="false">
      <c r="A116" s="184"/>
      <c r="B116" s="184"/>
      <c r="C116" s="184"/>
      <c r="D116" s="184"/>
      <c r="E116" s="184"/>
      <c r="F116" s="184"/>
      <c r="G116" s="184"/>
      <c r="H116" s="184"/>
      <c r="I116" s="184"/>
      <c r="J116" s="184"/>
      <c r="K116" s="184"/>
      <c r="L116" s="184"/>
      <c r="M116" s="184"/>
      <c r="N116" s="184"/>
      <c r="O116" s="184"/>
    </row>
    <row r="117" customFormat="false" ht="15" hidden="false" customHeight="true" outlineLevel="0" collapsed="false">
      <c r="A117" s="184"/>
      <c r="B117" s="184"/>
      <c r="C117" s="184"/>
      <c r="D117" s="184"/>
      <c r="E117" s="184"/>
      <c r="F117" s="184"/>
      <c r="G117" s="184"/>
      <c r="H117" s="184"/>
      <c r="I117" s="184"/>
      <c r="J117" s="184"/>
      <c r="K117" s="184"/>
      <c r="L117" s="184"/>
      <c r="M117" s="184"/>
      <c r="N117" s="184"/>
      <c r="O117" s="184"/>
    </row>
    <row r="118" customFormat="false" ht="15" hidden="false" customHeight="true" outlineLevel="0" collapsed="false">
      <c r="A118" s="184"/>
      <c r="B118" s="184"/>
      <c r="C118" s="184"/>
      <c r="D118" s="184"/>
      <c r="E118" s="184"/>
      <c r="F118" s="184"/>
      <c r="G118" s="184"/>
      <c r="H118" s="184"/>
      <c r="I118" s="184"/>
      <c r="J118" s="184"/>
      <c r="K118" s="184"/>
      <c r="L118" s="184"/>
      <c r="M118" s="184"/>
      <c r="N118" s="184"/>
      <c r="O118" s="184"/>
    </row>
    <row r="119" customFormat="false" ht="15" hidden="false" customHeight="true" outlineLevel="0" collapsed="false">
      <c r="A119" s="184"/>
      <c r="B119" s="184"/>
      <c r="C119" s="184"/>
      <c r="D119" s="184"/>
      <c r="E119" s="184"/>
      <c r="F119" s="184"/>
      <c r="G119" s="184"/>
      <c r="H119" s="184"/>
      <c r="I119" s="184"/>
      <c r="J119" s="184"/>
      <c r="K119" s="184"/>
      <c r="L119" s="184"/>
      <c r="M119" s="184"/>
      <c r="N119" s="184"/>
      <c r="O119" s="184"/>
    </row>
    <row r="120" customFormat="false" ht="15" hidden="false" customHeight="true" outlineLevel="0" collapsed="false">
      <c r="A120" s="184"/>
      <c r="B120" s="184"/>
      <c r="C120" s="184"/>
      <c r="D120" s="184"/>
      <c r="E120" s="184"/>
      <c r="F120" s="184"/>
      <c r="G120" s="184"/>
      <c r="H120" s="184"/>
      <c r="I120" s="184"/>
      <c r="J120" s="184"/>
      <c r="K120" s="184"/>
      <c r="L120" s="184"/>
      <c r="M120" s="184"/>
      <c r="N120" s="184"/>
      <c r="O120" s="184"/>
    </row>
    <row r="121" customFormat="false" ht="15" hidden="false" customHeight="true" outlineLevel="0" collapsed="false">
      <c r="A121" s="184"/>
      <c r="B121" s="184"/>
      <c r="C121" s="184"/>
      <c r="D121" s="184"/>
      <c r="E121" s="184"/>
      <c r="F121" s="184"/>
      <c r="G121" s="184"/>
      <c r="H121" s="184"/>
      <c r="I121" s="184"/>
      <c r="J121" s="184"/>
      <c r="K121" s="184"/>
      <c r="L121" s="184"/>
      <c r="M121" s="184"/>
      <c r="N121" s="184"/>
      <c r="O121" s="184"/>
    </row>
    <row r="122" customFormat="false" ht="15" hidden="false" customHeight="true" outlineLevel="0" collapsed="false">
      <c r="A122" s="184"/>
      <c r="B122" s="184"/>
      <c r="C122" s="184"/>
      <c r="D122" s="184"/>
      <c r="E122" s="184"/>
      <c r="F122" s="184"/>
      <c r="G122" s="184"/>
      <c r="H122" s="184"/>
      <c r="I122" s="184"/>
      <c r="J122" s="184"/>
      <c r="K122" s="184"/>
      <c r="L122" s="184"/>
      <c r="M122" s="184"/>
      <c r="N122" s="184"/>
      <c r="O122" s="184"/>
    </row>
    <row r="123" customFormat="false" ht="15" hidden="false" customHeight="true" outlineLevel="0" collapsed="false">
      <c r="A123" s="184"/>
      <c r="B123" s="184"/>
      <c r="C123" s="184"/>
      <c r="D123" s="184"/>
      <c r="E123" s="184"/>
      <c r="F123" s="184"/>
      <c r="G123" s="184"/>
      <c r="H123" s="184"/>
      <c r="I123" s="184"/>
      <c r="J123" s="184"/>
      <c r="K123" s="184"/>
      <c r="L123" s="184"/>
      <c r="M123" s="184"/>
      <c r="N123" s="184"/>
      <c r="O123" s="184"/>
    </row>
    <row r="124" customFormat="false" ht="15" hidden="false" customHeight="true" outlineLevel="0" collapsed="false">
      <c r="A124" s="184"/>
      <c r="B124" s="184"/>
      <c r="C124" s="184"/>
      <c r="D124" s="184"/>
      <c r="E124" s="184"/>
      <c r="F124" s="184"/>
      <c r="G124" s="184"/>
      <c r="H124" s="184"/>
      <c r="I124" s="184"/>
      <c r="J124" s="184"/>
      <c r="K124" s="184"/>
      <c r="L124" s="184"/>
      <c r="M124" s="184"/>
      <c r="N124" s="184"/>
      <c r="O124" s="184"/>
    </row>
    <row r="125" customFormat="false" ht="15" hidden="false" customHeight="true" outlineLevel="0" collapsed="false">
      <c r="A125" s="184"/>
      <c r="B125" s="184"/>
      <c r="C125" s="184"/>
      <c r="D125" s="184"/>
      <c r="E125" s="184"/>
      <c r="F125" s="184"/>
      <c r="G125" s="184"/>
      <c r="H125" s="184"/>
      <c r="I125" s="184"/>
      <c r="J125" s="184"/>
      <c r="K125" s="184"/>
      <c r="L125" s="184"/>
      <c r="M125" s="184"/>
      <c r="N125" s="184"/>
      <c r="O125" s="184"/>
    </row>
    <row r="126" customFormat="false" ht="15" hidden="false" customHeight="true" outlineLevel="0" collapsed="false">
      <c r="A126" s="184"/>
      <c r="B126" s="184"/>
      <c r="C126" s="184"/>
      <c r="D126" s="184"/>
      <c r="E126" s="184"/>
      <c r="F126" s="184"/>
      <c r="G126" s="184"/>
      <c r="H126" s="184"/>
      <c r="I126" s="184"/>
      <c r="J126" s="184"/>
      <c r="K126" s="184"/>
      <c r="L126" s="184"/>
      <c r="M126" s="184"/>
      <c r="N126" s="184"/>
      <c r="O126" s="184"/>
    </row>
    <row r="127" customFormat="false" ht="15" hidden="false" customHeight="true" outlineLevel="0" collapsed="false">
      <c r="A127" s="184"/>
      <c r="B127" s="184"/>
      <c r="C127" s="184"/>
      <c r="D127" s="184"/>
      <c r="E127" s="184"/>
      <c r="F127" s="184"/>
      <c r="G127" s="184"/>
      <c r="H127" s="184"/>
      <c r="I127" s="184"/>
      <c r="J127" s="184"/>
      <c r="K127" s="184"/>
      <c r="L127" s="184"/>
      <c r="M127" s="184"/>
      <c r="N127" s="184"/>
      <c r="O127" s="184"/>
    </row>
    <row r="128" customFormat="false" ht="15" hidden="false" customHeight="true" outlineLevel="0" collapsed="false">
      <c r="A128" s="184"/>
      <c r="B128" s="184"/>
      <c r="C128" s="184"/>
      <c r="D128" s="184"/>
      <c r="E128" s="184"/>
      <c r="F128" s="184"/>
      <c r="G128" s="184"/>
      <c r="H128" s="184"/>
      <c r="I128" s="184"/>
      <c r="J128" s="184"/>
      <c r="K128" s="184"/>
      <c r="L128" s="184"/>
      <c r="M128" s="184"/>
      <c r="N128" s="184"/>
      <c r="O128" s="184"/>
    </row>
    <row r="129" customFormat="false" ht="15" hidden="false" customHeight="true" outlineLevel="0" collapsed="false">
      <c r="A129" s="184"/>
      <c r="B129" s="184"/>
      <c r="C129" s="184"/>
      <c r="D129" s="184"/>
      <c r="E129" s="184"/>
      <c r="F129" s="184"/>
      <c r="G129" s="184"/>
      <c r="H129" s="184"/>
      <c r="I129" s="184"/>
      <c r="J129" s="184"/>
      <c r="K129" s="184"/>
      <c r="L129" s="184"/>
      <c r="M129" s="184"/>
      <c r="N129" s="184"/>
      <c r="O129" s="184"/>
    </row>
    <row r="130" customFormat="false" ht="15" hidden="false" customHeight="true" outlineLevel="0" collapsed="false">
      <c r="A130" s="184"/>
      <c r="B130" s="184"/>
      <c r="C130" s="184"/>
      <c r="D130" s="184"/>
      <c r="E130" s="184"/>
      <c r="F130" s="184"/>
      <c r="G130" s="184"/>
      <c r="H130" s="184"/>
      <c r="I130" s="184"/>
      <c r="J130" s="184"/>
      <c r="K130" s="184"/>
      <c r="L130" s="184"/>
      <c r="M130" s="184"/>
      <c r="N130" s="184"/>
      <c r="O130" s="184"/>
    </row>
    <row r="131" customFormat="false" ht="15" hidden="false" customHeight="true" outlineLevel="0" collapsed="false">
      <c r="A131" s="184"/>
      <c r="B131" s="184"/>
      <c r="C131" s="184"/>
      <c r="D131" s="184"/>
      <c r="E131" s="184"/>
      <c r="F131" s="184"/>
      <c r="G131" s="184"/>
      <c r="H131" s="184"/>
      <c r="I131" s="184"/>
      <c r="J131" s="184"/>
      <c r="K131" s="184"/>
      <c r="L131" s="184"/>
      <c r="M131" s="184"/>
      <c r="N131" s="184"/>
      <c r="O131" s="184"/>
    </row>
    <row r="132" customFormat="false" ht="15" hidden="false" customHeight="true" outlineLevel="0" collapsed="false">
      <c r="A132" s="184"/>
      <c r="B132" s="184"/>
      <c r="C132" s="184"/>
      <c r="D132" s="184"/>
      <c r="E132" s="184"/>
      <c r="F132" s="184"/>
      <c r="G132" s="184"/>
      <c r="H132" s="184"/>
      <c r="I132" s="184"/>
      <c r="J132" s="184"/>
      <c r="K132" s="184"/>
      <c r="L132" s="184"/>
      <c r="M132" s="184"/>
      <c r="N132" s="184"/>
      <c r="O132" s="184"/>
    </row>
    <row r="133" customFormat="false" ht="15" hidden="false" customHeight="true" outlineLevel="0" collapsed="false">
      <c r="A133" s="184"/>
      <c r="B133" s="184"/>
      <c r="C133" s="184"/>
      <c r="D133" s="184"/>
      <c r="E133" s="184"/>
      <c r="F133" s="184"/>
      <c r="G133" s="184"/>
      <c r="H133" s="184"/>
      <c r="I133" s="184"/>
      <c r="J133" s="184"/>
      <c r="K133" s="184"/>
      <c r="L133" s="184"/>
      <c r="M133" s="184"/>
      <c r="N133" s="184"/>
      <c r="O133" s="184"/>
    </row>
    <row r="134" customFormat="false" ht="15" hidden="false" customHeight="true" outlineLevel="0" collapsed="false">
      <c r="A134" s="184"/>
      <c r="B134" s="184"/>
      <c r="C134" s="184"/>
      <c r="D134" s="184"/>
      <c r="E134" s="184"/>
      <c r="F134" s="184"/>
      <c r="G134" s="184"/>
      <c r="H134" s="184"/>
      <c r="I134" s="184"/>
      <c r="J134" s="184"/>
      <c r="K134" s="184"/>
      <c r="L134" s="184"/>
      <c r="M134" s="184"/>
      <c r="N134" s="184"/>
      <c r="O134" s="184"/>
    </row>
    <row r="135" customFormat="false" ht="15" hidden="false" customHeight="true" outlineLevel="0" collapsed="false">
      <c r="A135" s="184"/>
      <c r="B135" s="184"/>
      <c r="C135" s="184"/>
      <c r="D135" s="184"/>
      <c r="E135" s="184"/>
      <c r="F135" s="184"/>
      <c r="G135" s="184"/>
      <c r="H135" s="184"/>
      <c r="I135" s="184"/>
      <c r="J135" s="184"/>
      <c r="K135" s="184"/>
      <c r="L135" s="184"/>
      <c r="M135" s="184"/>
      <c r="N135" s="184"/>
      <c r="O135" s="184"/>
    </row>
    <row r="136" customFormat="false" ht="15" hidden="false" customHeight="true" outlineLevel="0" collapsed="false">
      <c r="A136" s="184"/>
      <c r="B136" s="184"/>
      <c r="C136" s="184"/>
      <c r="D136" s="184"/>
      <c r="E136" s="184"/>
      <c r="F136" s="184"/>
      <c r="G136" s="184"/>
      <c r="H136" s="184"/>
      <c r="I136" s="184"/>
      <c r="J136" s="184"/>
      <c r="K136" s="184"/>
      <c r="L136" s="184"/>
      <c r="M136" s="184"/>
      <c r="N136" s="184"/>
      <c r="O136" s="184"/>
    </row>
    <row r="137" customFormat="false" ht="15" hidden="false" customHeight="true" outlineLevel="0" collapsed="false">
      <c r="A137" s="184"/>
      <c r="B137" s="184"/>
      <c r="C137" s="184"/>
      <c r="D137" s="184"/>
      <c r="E137" s="184"/>
      <c r="F137" s="184"/>
      <c r="G137" s="184"/>
      <c r="H137" s="184"/>
      <c r="I137" s="184"/>
      <c r="J137" s="184"/>
      <c r="K137" s="184"/>
      <c r="L137" s="184"/>
      <c r="M137" s="184"/>
      <c r="N137" s="184"/>
      <c r="O137" s="184"/>
    </row>
    <row r="138" customFormat="false" ht="15" hidden="false" customHeight="true" outlineLevel="0" collapsed="false">
      <c r="A138" s="184"/>
      <c r="B138" s="184"/>
      <c r="C138" s="184"/>
      <c r="D138" s="184"/>
      <c r="E138" s="184"/>
      <c r="F138" s="184"/>
      <c r="G138" s="184"/>
      <c r="H138" s="184"/>
      <c r="I138" s="184"/>
      <c r="J138" s="184"/>
      <c r="K138" s="184"/>
      <c r="L138" s="184"/>
      <c r="M138" s="184"/>
      <c r="N138" s="184"/>
      <c r="O138" s="184"/>
    </row>
    <row r="139" customFormat="false" ht="15" hidden="false" customHeight="true" outlineLevel="0" collapsed="false">
      <c r="A139" s="184"/>
      <c r="B139" s="184"/>
      <c r="C139" s="184"/>
      <c r="D139" s="184"/>
      <c r="E139" s="184"/>
      <c r="F139" s="184"/>
      <c r="G139" s="184"/>
      <c r="H139" s="184"/>
      <c r="I139" s="184"/>
      <c r="J139" s="184"/>
      <c r="K139" s="184"/>
      <c r="L139" s="184"/>
      <c r="M139" s="184"/>
      <c r="N139" s="184"/>
      <c r="O139" s="184"/>
    </row>
    <row r="140" customFormat="false" ht="15" hidden="false" customHeight="true" outlineLevel="0" collapsed="false">
      <c r="A140" s="184"/>
      <c r="B140" s="184"/>
      <c r="C140" s="184"/>
      <c r="D140" s="184"/>
      <c r="E140" s="184"/>
      <c r="F140" s="184"/>
      <c r="G140" s="184"/>
      <c r="H140" s="184"/>
      <c r="I140" s="184"/>
      <c r="J140" s="184"/>
      <c r="K140" s="184"/>
      <c r="L140" s="184"/>
      <c r="M140" s="184"/>
      <c r="N140" s="184"/>
      <c r="O140" s="184"/>
    </row>
    <row r="141" customFormat="false" ht="15" hidden="false" customHeight="true" outlineLevel="0" collapsed="false">
      <c r="A141" s="184"/>
      <c r="B141" s="184"/>
      <c r="C141" s="184"/>
      <c r="D141" s="184"/>
      <c r="E141" s="184"/>
      <c r="F141" s="184"/>
      <c r="G141" s="184"/>
      <c r="H141" s="184"/>
      <c r="I141" s="184"/>
      <c r="J141" s="184"/>
      <c r="K141" s="184"/>
      <c r="L141" s="184"/>
      <c r="M141" s="184"/>
      <c r="N141" s="184"/>
      <c r="O141" s="184"/>
    </row>
    <row r="142" customFormat="false" ht="15" hidden="false" customHeight="true" outlineLevel="0" collapsed="false">
      <c r="A142" s="184"/>
      <c r="B142" s="184"/>
      <c r="C142" s="184"/>
      <c r="D142" s="184"/>
      <c r="E142" s="184"/>
      <c r="F142" s="184"/>
      <c r="G142" s="184"/>
      <c r="H142" s="184"/>
      <c r="I142" s="184"/>
      <c r="J142" s="184"/>
      <c r="K142" s="184"/>
      <c r="L142" s="184"/>
      <c r="M142" s="184"/>
      <c r="N142" s="184"/>
      <c r="O142" s="184"/>
    </row>
    <row r="143" customFormat="false" ht="15" hidden="false" customHeight="true" outlineLevel="0" collapsed="false">
      <c r="A143" s="184"/>
      <c r="B143" s="184"/>
      <c r="C143" s="184"/>
      <c r="D143" s="184"/>
      <c r="E143" s="184"/>
      <c r="F143" s="184"/>
      <c r="G143" s="184"/>
      <c r="H143" s="184"/>
      <c r="I143" s="184"/>
      <c r="J143" s="184"/>
      <c r="K143" s="184"/>
      <c r="L143" s="184"/>
      <c r="M143" s="184"/>
      <c r="N143" s="184"/>
      <c r="O143" s="184"/>
    </row>
    <row r="144" customFormat="false" ht="15" hidden="false" customHeight="true" outlineLevel="0" collapsed="false">
      <c r="A144" s="184"/>
      <c r="B144" s="184"/>
      <c r="C144" s="184"/>
      <c r="D144" s="184"/>
      <c r="E144" s="184"/>
      <c r="F144" s="184"/>
      <c r="G144" s="184"/>
      <c r="H144" s="184"/>
      <c r="I144" s="184"/>
      <c r="J144" s="184"/>
      <c r="K144" s="184"/>
      <c r="L144" s="184"/>
      <c r="M144" s="184"/>
      <c r="N144" s="184"/>
      <c r="O144" s="184"/>
    </row>
    <row r="145" customFormat="false" ht="15" hidden="false" customHeight="true" outlineLevel="0" collapsed="false">
      <c r="A145" s="184"/>
      <c r="B145" s="184"/>
      <c r="C145" s="184"/>
      <c r="D145" s="184"/>
      <c r="E145" s="184"/>
      <c r="F145" s="184"/>
      <c r="G145" s="184"/>
      <c r="H145" s="184"/>
      <c r="I145" s="184"/>
      <c r="J145" s="184"/>
      <c r="K145" s="184"/>
      <c r="L145" s="184"/>
      <c r="M145" s="184"/>
      <c r="N145" s="184"/>
      <c r="O145" s="184"/>
    </row>
    <row r="146" customFormat="false" ht="15" hidden="false" customHeight="true" outlineLevel="0" collapsed="false">
      <c r="A146" s="184"/>
      <c r="B146" s="184"/>
      <c r="C146" s="184"/>
      <c r="D146" s="184"/>
      <c r="E146" s="184"/>
      <c r="F146" s="184"/>
      <c r="G146" s="184"/>
      <c r="H146" s="184"/>
      <c r="I146" s="184"/>
      <c r="J146" s="184"/>
      <c r="K146" s="184"/>
      <c r="L146" s="184"/>
      <c r="M146" s="184"/>
      <c r="N146" s="184"/>
      <c r="O146" s="184"/>
    </row>
    <row r="147" customFormat="false" ht="15" hidden="false" customHeight="true" outlineLevel="0" collapsed="false">
      <c r="A147" s="184"/>
      <c r="B147" s="184"/>
      <c r="C147" s="184"/>
      <c r="D147" s="184"/>
      <c r="E147" s="184"/>
      <c r="F147" s="184"/>
      <c r="G147" s="184"/>
      <c r="H147" s="184"/>
      <c r="I147" s="184"/>
      <c r="J147" s="184"/>
      <c r="K147" s="184"/>
      <c r="L147" s="184"/>
      <c r="M147" s="184"/>
      <c r="N147" s="184"/>
      <c r="O147" s="184"/>
    </row>
    <row r="148" customFormat="false" ht="15" hidden="false" customHeight="true" outlineLevel="0" collapsed="false">
      <c r="A148" s="184"/>
      <c r="B148" s="184"/>
      <c r="C148" s="184"/>
      <c r="D148" s="184"/>
      <c r="E148" s="184"/>
      <c r="F148" s="184"/>
      <c r="G148" s="184"/>
      <c r="H148" s="184"/>
      <c r="I148" s="184"/>
      <c r="J148" s="184"/>
      <c r="K148" s="184"/>
      <c r="L148" s="184"/>
      <c r="M148" s="184"/>
      <c r="N148" s="184"/>
      <c r="O148" s="184"/>
    </row>
    <row r="149" customFormat="false" ht="15" hidden="false" customHeight="true" outlineLevel="0" collapsed="false">
      <c r="A149" s="184"/>
      <c r="B149" s="184"/>
      <c r="C149" s="184"/>
      <c r="D149" s="184"/>
      <c r="E149" s="184"/>
      <c r="F149" s="184"/>
      <c r="G149" s="184"/>
      <c r="H149" s="184"/>
      <c r="I149" s="184"/>
      <c r="J149" s="184"/>
      <c r="K149" s="184"/>
      <c r="L149" s="184"/>
      <c r="M149" s="184"/>
      <c r="N149" s="184"/>
      <c r="O149" s="184"/>
    </row>
    <row r="150" customFormat="false" ht="15" hidden="false" customHeight="true" outlineLevel="0" collapsed="false">
      <c r="A150" s="184"/>
      <c r="B150" s="184"/>
      <c r="C150" s="184"/>
      <c r="D150" s="184"/>
      <c r="E150" s="184"/>
      <c r="F150" s="184"/>
      <c r="G150" s="184"/>
      <c r="H150" s="184"/>
      <c r="I150" s="184"/>
      <c r="J150" s="184"/>
      <c r="K150" s="184"/>
      <c r="L150" s="184"/>
      <c r="M150" s="184"/>
      <c r="N150" s="184"/>
      <c r="O150" s="184"/>
    </row>
    <row r="151" customFormat="false" ht="15" hidden="false" customHeight="true" outlineLevel="0" collapsed="false">
      <c r="A151" s="184"/>
      <c r="B151" s="184"/>
      <c r="C151" s="184"/>
      <c r="D151" s="184"/>
      <c r="E151" s="184"/>
      <c r="F151" s="184"/>
      <c r="G151" s="184"/>
      <c r="H151" s="184"/>
      <c r="I151" s="184"/>
      <c r="J151" s="184"/>
      <c r="K151" s="184"/>
      <c r="L151" s="184"/>
      <c r="M151" s="184"/>
      <c r="N151" s="184"/>
      <c r="O151" s="184"/>
    </row>
    <row r="152" customFormat="false" ht="15" hidden="false" customHeight="true" outlineLevel="0" collapsed="false">
      <c r="A152" s="184"/>
      <c r="B152" s="184"/>
      <c r="C152" s="184"/>
      <c r="D152" s="184"/>
      <c r="E152" s="184"/>
      <c r="F152" s="184"/>
      <c r="G152" s="184"/>
      <c r="H152" s="184"/>
      <c r="I152" s="184"/>
      <c r="J152" s="184"/>
      <c r="K152" s="184"/>
      <c r="L152" s="184"/>
      <c r="M152" s="184"/>
      <c r="N152" s="184"/>
      <c r="O152" s="184"/>
    </row>
    <row r="153" customFormat="false" ht="15" hidden="false" customHeight="true" outlineLevel="0" collapsed="false">
      <c r="A153" s="184"/>
      <c r="B153" s="184"/>
      <c r="C153" s="184"/>
      <c r="D153" s="184"/>
      <c r="E153" s="184"/>
      <c r="F153" s="184"/>
      <c r="G153" s="184"/>
      <c r="H153" s="184"/>
      <c r="I153" s="184"/>
      <c r="J153" s="184"/>
      <c r="K153" s="184"/>
      <c r="L153" s="184"/>
      <c r="M153" s="184"/>
      <c r="N153" s="184"/>
      <c r="O153" s="184"/>
    </row>
    <row r="154" customFormat="false" ht="15" hidden="false" customHeight="true" outlineLevel="0" collapsed="false">
      <c r="A154" s="184"/>
      <c r="B154" s="184"/>
      <c r="C154" s="184"/>
      <c r="D154" s="184"/>
      <c r="E154" s="184"/>
      <c r="F154" s="184"/>
      <c r="G154" s="184"/>
      <c r="H154" s="184"/>
      <c r="I154" s="184"/>
      <c r="J154" s="184"/>
      <c r="K154" s="184"/>
      <c r="L154" s="184"/>
      <c r="M154" s="184"/>
      <c r="N154" s="184"/>
      <c r="O154" s="184"/>
    </row>
    <row r="155" customFormat="false" ht="15" hidden="false" customHeight="true" outlineLevel="0" collapsed="false">
      <c r="A155" s="184"/>
      <c r="B155" s="184"/>
      <c r="C155" s="184"/>
      <c r="D155" s="184"/>
      <c r="E155" s="184"/>
      <c r="F155" s="184"/>
      <c r="G155" s="184"/>
      <c r="H155" s="184"/>
      <c r="I155" s="184"/>
      <c r="J155" s="184"/>
      <c r="K155" s="184"/>
      <c r="L155" s="184"/>
      <c r="M155" s="184"/>
      <c r="N155" s="184"/>
      <c r="O155" s="184"/>
    </row>
    <row r="156" customFormat="false" ht="15" hidden="false" customHeight="true" outlineLevel="0" collapsed="false">
      <c r="A156" s="184"/>
      <c r="B156" s="184"/>
      <c r="C156" s="184"/>
      <c r="D156" s="184"/>
      <c r="E156" s="184"/>
      <c r="F156" s="184"/>
      <c r="G156" s="184"/>
      <c r="H156" s="184"/>
      <c r="I156" s="184"/>
      <c r="J156" s="184"/>
      <c r="K156" s="184"/>
      <c r="L156" s="184"/>
      <c r="M156" s="184"/>
      <c r="N156" s="184"/>
      <c r="O156" s="184"/>
    </row>
    <row r="157" customFormat="false" ht="15" hidden="false" customHeight="true" outlineLevel="0" collapsed="false">
      <c r="A157" s="184"/>
      <c r="B157" s="184"/>
      <c r="C157" s="184"/>
      <c r="D157" s="184"/>
      <c r="E157" s="184"/>
      <c r="F157" s="184"/>
      <c r="G157" s="184"/>
      <c r="H157" s="184"/>
      <c r="I157" s="184"/>
      <c r="J157" s="184"/>
      <c r="K157" s="184"/>
      <c r="L157" s="184"/>
      <c r="M157" s="184"/>
      <c r="N157" s="184"/>
      <c r="O157" s="184"/>
    </row>
    <row r="158" customFormat="false" ht="15" hidden="false" customHeight="true" outlineLevel="0" collapsed="false">
      <c r="A158" s="184"/>
      <c r="B158" s="184"/>
      <c r="C158" s="184"/>
      <c r="D158" s="184"/>
      <c r="E158" s="184"/>
      <c r="F158" s="184"/>
      <c r="G158" s="184"/>
      <c r="H158" s="184"/>
      <c r="I158" s="184"/>
      <c r="J158" s="184"/>
      <c r="K158" s="184"/>
      <c r="L158" s="184"/>
      <c r="M158" s="184"/>
      <c r="N158" s="184"/>
      <c r="O158" s="184"/>
    </row>
    <row r="159" customFormat="false" ht="15" hidden="false" customHeight="true" outlineLevel="0" collapsed="false">
      <c r="A159" s="184"/>
      <c r="B159" s="184"/>
      <c r="C159" s="184"/>
      <c r="D159" s="184"/>
      <c r="E159" s="184"/>
      <c r="F159" s="184"/>
      <c r="G159" s="184"/>
      <c r="H159" s="184"/>
      <c r="I159" s="184"/>
      <c r="J159" s="184"/>
      <c r="K159" s="184"/>
      <c r="L159" s="184"/>
      <c r="M159" s="184"/>
      <c r="N159" s="184"/>
      <c r="O159" s="184"/>
    </row>
    <row r="160" customFormat="false" ht="15" hidden="false" customHeight="true" outlineLevel="0" collapsed="false">
      <c r="A160" s="184"/>
      <c r="B160" s="184"/>
      <c r="C160" s="184"/>
      <c r="D160" s="184"/>
      <c r="E160" s="184"/>
      <c r="F160" s="184"/>
      <c r="G160" s="184"/>
      <c r="H160" s="184"/>
      <c r="I160" s="184"/>
      <c r="J160" s="184"/>
      <c r="K160" s="184"/>
      <c r="L160" s="184"/>
      <c r="M160" s="184"/>
      <c r="N160" s="184"/>
      <c r="O160" s="184"/>
    </row>
    <row r="161" customFormat="false" ht="15" hidden="false" customHeight="true" outlineLevel="0" collapsed="false">
      <c r="A161" s="184"/>
      <c r="B161" s="184"/>
      <c r="C161" s="184"/>
      <c r="D161" s="184"/>
      <c r="E161" s="184"/>
      <c r="F161" s="184"/>
      <c r="G161" s="184"/>
      <c r="H161" s="184"/>
      <c r="I161" s="184"/>
      <c r="J161" s="184"/>
      <c r="K161" s="184"/>
      <c r="L161" s="184"/>
      <c r="M161" s="184"/>
      <c r="N161" s="184"/>
      <c r="O161" s="184"/>
    </row>
    <row r="162" customFormat="false" ht="15" hidden="false" customHeight="true" outlineLevel="0" collapsed="false">
      <c r="A162" s="184"/>
      <c r="B162" s="184"/>
      <c r="C162" s="184"/>
      <c r="D162" s="184"/>
      <c r="E162" s="184"/>
      <c r="F162" s="184"/>
      <c r="G162" s="184"/>
      <c r="H162" s="184"/>
      <c r="I162" s="184"/>
      <c r="J162" s="184"/>
      <c r="K162" s="184"/>
      <c r="L162" s="184"/>
      <c r="M162" s="184"/>
      <c r="N162" s="184"/>
      <c r="O162" s="184"/>
    </row>
    <row r="163" customFormat="false" ht="15" hidden="false" customHeight="true" outlineLevel="0" collapsed="false">
      <c r="A163" s="184"/>
      <c r="B163" s="184"/>
      <c r="C163" s="184"/>
      <c r="D163" s="184"/>
      <c r="E163" s="184"/>
      <c r="F163" s="184"/>
      <c r="G163" s="184"/>
      <c r="H163" s="184"/>
      <c r="I163" s="184"/>
      <c r="J163" s="184"/>
      <c r="K163" s="184"/>
      <c r="L163" s="184"/>
      <c r="M163" s="184"/>
      <c r="N163" s="184"/>
      <c r="O163" s="184"/>
    </row>
    <row r="164" customFormat="false" ht="15" hidden="false" customHeight="true" outlineLevel="0" collapsed="false">
      <c r="A164" s="184"/>
      <c r="B164" s="184"/>
      <c r="C164" s="184"/>
      <c r="D164" s="184"/>
      <c r="E164" s="184"/>
      <c r="F164" s="184"/>
      <c r="G164" s="184"/>
      <c r="H164" s="184"/>
      <c r="I164" s="184"/>
      <c r="J164" s="184"/>
      <c r="K164" s="184"/>
      <c r="L164" s="184"/>
      <c r="M164" s="184"/>
      <c r="N164" s="184"/>
      <c r="O164" s="184"/>
    </row>
    <row r="165" customFormat="false" ht="15" hidden="false" customHeight="true" outlineLevel="0" collapsed="false">
      <c r="A165" s="184"/>
      <c r="B165" s="184"/>
      <c r="C165" s="184"/>
      <c r="D165" s="184"/>
      <c r="E165" s="184"/>
      <c r="F165" s="184"/>
      <c r="G165" s="184"/>
      <c r="H165" s="184"/>
      <c r="I165" s="184"/>
      <c r="J165" s="184"/>
      <c r="K165" s="184"/>
      <c r="L165" s="184"/>
      <c r="M165" s="184"/>
      <c r="N165" s="184"/>
      <c r="O165" s="184"/>
    </row>
    <row r="166" customFormat="false" ht="15" hidden="false" customHeight="true" outlineLevel="0" collapsed="false">
      <c r="A166" s="184"/>
      <c r="B166" s="184"/>
      <c r="C166" s="184"/>
      <c r="D166" s="184"/>
      <c r="E166" s="184"/>
      <c r="F166" s="184"/>
      <c r="G166" s="184"/>
      <c r="H166" s="184"/>
      <c r="I166" s="184"/>
      <c r="J166" s="184"/>
      <c r="K166" s="184"/>
      <c r="L166" s="184"/>
      <c r="M166" s="184"/>
      <c r="N166" s="184"/>
      <c r="O166" s="184"/>
    </row>
    <row r="167" customFormat="false" ht="15" hidden="false" customHeight="true" outlineLevel="0" collapsed="false">
      <c r="A167" s="184"/>
      <c r="B167" s="184"/>
      <c r="C167" s="184"/>
      <c r="D167" s="184"/>
      <c r="E167" s="184"/>
      <c r="F167" s="184"/>
      <c r="G167" s="184"/>
      <c r="H167" s="184"/>
      <c r="I167" s="184"/>
      <c r="J167" s="184"/>
      <c r="K167" s="184"/>
      <c r="L167" s="184"/>
      <c r="M167" s="184"/>
      <c r="N167" s="184"/>
      <c r="O167" s="184"/>
    </row>
    <row r="168" customFormat="false" ht="15" hidden="false" customHeight="true" outlineLevel="0" collapsed="false">
      <c r="A168" s="184"/>
      <c r="B168" s="184"/>
      <c r="C168" s="184"/>
      <c r="D168" s="184"/>
      <c r="E168" s="184"/>
      <c r="F168" s="184"/>
      <c r="G168" s="184"/>
      <c r="H168" s="184"/>
      <c r="I168" s="184"/>
      <c r="J168" s="184"/>
      <c r="K168" s="184"/>
      <c r="L168" s="184"/>
      <c r="M168" s="184"/>
      <c r="N168" s="184"/>
      <c r="O168" s="184"/>
    </row>
    <row r="169" customFormat="false" ht="15" hidden="false" customHeight="true" outlineLevel="0" collapsed="false">
      <c r="A169" s="184"/>
      <c r="B169" s="184"/>
      <c r="C169" s="184"/>
      <c r="D169" s="184"/>
      <c r="E169" s="184"/>
      <c r="F169" s="184"/>
      <c r="G169" s="184"/>
      <c r="H169" s="184"/>
      <c r="I169" s="184"/>
      <c r="J169" s="184"/>
      <c r="K169" s="184"/>
      <c r="L169" s="184"/>
      <c r="M169" s="184"/>
      <c r="N169" s="184"/>
      <c r="O169" s="184"/>
    </row>
    <row r="170" customFormat="false" ht="15" hidden="false" customHeight="true" outlineLevel="0" collapsed="false">
      <c r="A170" s="184"/>
      <c r="B170" s="184"/>
      <c r="C170" s="184"/>
      <c r="D170" s="184"/>
      <c r="E170" s="184"/>
      <c r="F170" s="184"/>
      <c r="G170" s="184"/>
      <c r="H170" s="184"/>
      <c r="I170" s="184"/>
      <c r="J170" s="184"/>
      <c r="K170" s="184"/>
      <c r="L170" s="184"/>
      <c r="M170" s="184"/>
      <c r="N170" s="184"/>
      <c r="O170" s="184"/>
    </row>
    <row r="171" customFormat="false" ht="15" hidden="false" customHeight="true" outlineLevel="0" collapsed="false">
      <c r="A171" s="184"/>
      <c r="B171" s="184"/>
      <c r="C171" s="184"/>
      <c r="D171" s="184"/>
      <c r="E171" s="184"/>
      <c r="F171" s="184"/>
      <c r="G171" s="184"/>
      <c r="H171" s="184"/>
      <c r="I171" s="184"/>
      <c r="J171" s="184"/>
      <c r="K171" s="184"/>
      <c r="L171" s="184"/>
      <c r="M171" s="184"/>
      <c r="N171" s="184"/>
      <c r="O171" s="184"/>
    </row>
    <row r="172" customFormat="false" ht="15" hidden="false" customHeight="true" outlineLevel="0" collapsed="false">
      <c r="A172" s="184"/>
      <c r="B172" s="184"/>
      <c r="C172" s="184"/>
      <c r="D172" s="184"/>
      <c r="E172" s="184"/>
      <c r="F172" s="184"/>
      <c r="G172" s="184"/>
      <c r="H172" s="184"/>
      <c r="I172" s="184"/>
      <c r="J172" s="184"/>
      <c r="K172" s="184"/>
      <c r="L172" s="184"/>
      <c r="M172" s="184"/>
      <c r="N172" s="184"/>
      <c r="O172" s="184"/>
    </row>
    <row r="173" customFormat="false" ht="15" hidden="false" customHeight="true" outlineLevel="0" collapsed="false">
      <c r="A173" s="184"/>
      <c r="B173" s="184"/>
      <c r="C173" s="184"/>
      <c r="D173" s="184"/>
      <c r="E173" s="184"/>
      <c r="F173" s="184"/>
      <c r="G173" s="184"/>
      <c r="H173" s="184"/>
      <c r="I173" s="184"/>
      <c r="J173" s="184"/>
      <c r="K173" s="184"/>
      <c r="L173" s="184"/>
      <c r="M173" s="184"/>
      <c r="N173" s="184"/>
      <c r="O173" s="184"/>
    </row>
    <row r="174" customFormat="false" ht="15" hidden="false" customHeight="true" outlineLevel="0" collapsed="false">
      <c r="A174" s="184"/>
      <c r="B174" s="184"/>
      <c r="C174" s="184"/>
      <c r="D174" s="184"/>
      <c r="E174" s="184"/>
      <c r="F174" s="184"/>
      <c r="G174" s="184"/>
      <c r="H174" s="184"/>
      <c r="I174" s="184"/>
      <c r="J174" s="184"/>
      <c r="K174" s="184"/>
      <c r="L174" s="184"/>
      <c r="M174" s="184"/>
      <c r="N174" s="184"/>
      <c r="O174" s="184"/>
    </row>
    <row r="175" customFormat="false" ht="15" hidden="false" customHeight="true" outlineLevel="0" collapsed="false">
      <c r="A175" s="184"/>
      <c r="B175" s="184"/>
      <c r="C175" s="184"/>
      <c r="D175" s="184"/>
      <c r="E175" s="184"/>
      <c r="F175" s="184"/>
      <c r="G175" s="184"/>
      <c r="H175" s="184"/>
      <c r="I175" s="184"/>
      <c r="J175" s="184"/>
      <c r="K175" s="184"/>
      <c r="L175" s="184"/>
      <c r="M175" s="184"/>
      <c r="N175" s="184"/>
      <c r="O175" s="184"/>
    </row>
    <row r="176" customFormat="false" ht="15" hidden="false" customHeight="true" outlineLevel="0" collapsed="false">
      <c r="A176" s="184"/>
      <c r="B176" s="184"/>
      <c r="C176" s="184"/>
      <c r="D176" s="184"/>
      <c r="E176" s="184"/>
      <c r="F176" s="184"/>
      <c r="G176" s="184"/>
      <c r="H176" s="184"/>
      <c r="I176" s="184"/>
      <c r="J176" s="184"/>
      <c r="K176" s="184"/>
      <c r="L176" s="184"/>
      <c r="M176" s="184"/>
      <c r="N176" s="184"/>
      <c r="O176" s="184"/>
    </row>
    <row r="177" customFormat="false" ht="15" hidden="false" customHeight="true" outlineLevel="0" collapsed="false">
      <c r="A177" s="184"/>
      <c r="B177" s="184"/>
      <c r="C177" s="184"/>
      <c r="D177" s="184"/>
      <c r="E177" s="184"/>
      <c r="F177" s="184"/>
      <c r="G177" s="184"/>
      <c r="H177" s="184"/>
      <c r="I177" s="184"/>
      <c r="J177" s="184"/>
      <c r="K177" s="184"/>
      <c r="L177" s="184"/>
      <c r="M177" s="184"/>
      <c r="N177" s="184"/>
      <c r="O177" s="184"/>
    </row>
    <row r="178" customFormat="false" ht="15" hidden="false" customHeight="true" outlineLevel="0" collapsed="false">
      <c r="A178" s="184"/>
      <c r="B178" s="184"/>
      <c r="C178" s="184"/>
      <c r="D178" s="184"/>
      <c r="E178" s="184"/>
      <c r="F178" s="184"/>
      <c r="G178" s="184"/>
      <c r="H178" s="184"/>
      <c r="I178" s="184"/>
      <c r="J178" s="184"/>
      <c r="K178" s="184"/>
      <c r="L178" s="184"/>
      <c r="M178" s="184"/>
      <c r="N178" s="184"/>
      <c r="O178" s="184"/>
    </row>
    <row r="179" customFormat="false" ht="15" hidden="false" customHeight="true" outlineLevel="0" collapsed="false">
      <c r="A179" s="184"/>
      <c r="B179" s="184"/>
      <c r="C179" s="184"/>
      <c r="D179" s="184"/>
      <c r="E179" s="184"/>
      <c r="F179" s="184"/>
      <c r="G179" s="184"/>
      <c r="H179" s="184"/>
      <c r="I179" s="184"/>
      <c r="J179" s="184"/>
      <c r="K179" s="184"/>
      <c r="L179" s="184"/>
      <c r="M179" s="184"/>
      <c r="N179" s="184"/>
      <c r="O179" s="184"/>
    </row>
    <row r="180" customFormat="false" ht="15" hidden="false" customHeight="true" outlineLevel="0" collapsed="false">
      <c r="A180" s="184"/>
      <c r="B180" s="184"/>
      <c r="C180" s="184"/>
      <c r="D180" s="184"/>
      <c r="E180" s="184"/>
      <c r="F180" s="184"/>
      <c r="G180" s="184"/>
      <c r="H180" s="184"/>
      <c r="I180" s="184"/>
      <c r="J180" s="184"/>
      <c r="K180" s="184"/>
      <c r="L180" s="184"/>
      <c r="M180" s="184"/>
      <c r="N180" s="184"/>
      <c r="O180" s="184"/>
    </row>
    <row r="181" customFormat="false" ht="15" hidden="false" customHeight="true" outlineLevel="0" collapsed="false">
      <c r="A181" s="184"/>
      <c r="B181" s="184"/>
      <c r="C181" s="184"/>
      <c r="D181" s="184"/>
      <c r="E181" s="184"/>
      <c r="F181" s="184"/>
      <c r="G181" s="184"/>
      <c r="H181" s="184"/>
      <c r="I181" s="184"/>
      <c r="J181" s="184"/>
      <c r="K181" s="184"/>
      <c r="L181" s="184"/>
      <c r="M181" s="184"/>
      <c r="N181" s="184"/>
      <c r="O181" s="184"/>
    </row>
    <row r="182" customFormat="false" ht="15" hidden="false" customHeight="true" outlineLevel="0" collapsed="false">
      <c r="A182" s="184"/>
      <c r="B182" s="184"/>
      <c r="C182" s="184"/>
      <c r="D182" s="184"/>
      <c r="E182" s="184"/>
      <c r="F182" s="184"/>
      <c r="G182" s="184"/>
      <c r="H182" s="184"/>
      <c r="I182" s="184"/>
      <c r="J182" s="184"/>
      <c r="K182" s="184"/>
      <c r="L182" s="184"/>
      <c r="M182" s="184"/>
      <c r="N182" s="184"/>
      <c r="O182" s="184"/>
    </row>
    <row r="183" customFormat="false" ht="15" hidden="false" customHeight="true" outlineLevel="0" collapsed="false">
      <c r="A183" s="184"/>
      <c r="B183" s="184"/>
      <c r="C183" s="184"/>
      <c r="D183" s="184"/>
      <c r="E183" s="184"/>
      <c r="F183" s="184"/>
      <c r="G183" s="184"/>
      <c r="H183" s="184"/>
      <c r="I183" s="184"/>
      <c r="J183" s="184"/>
      <c r="K183" s="184"/>
      <c r="L183" s="184"/>
      <c r="M183" s="184"/>
      <c r="N183" s="184"/>
      <c r="O183" s="184"/>
    </row>
    <row r="184" customFormat="false" ht="15" hidden="false" customHeight="true" outlineLevel="0" collapsed="false">
      <c r="A184" s="184"/>
      <c r="B184" s="184"/>
      <c r="C184" s="184"/>
      <c r="D184" s="184"/>
      <c r="E184" s="184"/>
      <c r="F184" s="184"/>
      <c r="G184" s="184"/>
      <c r="H184" s="184"/>
      <c r="I184" s="184"/>
      <c r="J184" s="184"/>
      <c r="K184" s="184"/>
      <c r="L184" s="184"/>
      <c r="M184" s="184"/>
      <c r="N184" s="184"/>
      <c r="O184" s="184"/>
    </row>
    <row r="185" customFormat="false" ht="15" hidden="false" customHeight="true" outlineLevel="0" collapsed="false">
      <c r="A185" s="184"/>
      <c r="B185" s="184"/>
      <c r="C185" s="184"/>
      <c r="D185" s="184"/>
      <c r="E185" s="184"/>
      <c r="F185" s="184"/>
      <c r="G185" s="184"/>
      <c r="H185" s="184"/>
      <c r="I185" s="184"/>
      <c r="J185" s="184"/>
      <c r="K185" s="184"/>
      <c r="L185" s="184"/>
      <c r="M185" s="184"/>
      <c r="N185" s="184"/>
      <c r="O185" s="184"/>
    </row>
    <row r="186" customFormat="false" ht="15" hidden="false" customHeight="true" outlineLevel="0" collapsed="false">
      <c r="A186" s="184"/>
      <c r="B186" s="184"/>
      <c r="C186" s="184"/>
      <c r="D186" s="184"/>
      <c r="E186" s="184"/>
      <c r="F186" s="184"/>
      <c r="G186" s="184"/>
      <c r="H186" s="184"/>
      <c r="I186" s="184"/>
      <c r="J186" s="184"/>
      <c r="K186" s="184"/>
      <c r="L186" s="184"/>
      <c r="M186" s="184"/>
      <c r="N186" s="184"/>
      <c r="O186" s="184"/>
    </row>
    <row r="187" customFormat="false" ht="15" hidden="false" customHeight="true" outlineLevel="0" collapsed="false">
      <c r="A187" s="184"/>
      <c r="B187" s="184"/>
      <c r="C187" s="184"/>
      <c r="D187" s="184"/>
      <c r="E187" s="184"/>
      <c r="F187" s="184"/>
      <c r="G187" s="184"/>
      <c r="H187" s="184"/>
      <c r="I187" s="184"/>
      <c r="J187" s="184"/>
      <c r="K187" s="184"/>
      <c r="L187" s="184"/>
      <c r="M187" s="184"/>
      <c r="N187" s="184"/>
      <c r="O187" s="184"/>
    </row>
    <row r="188" customFormat="false" ht="15" hidden="false" customHeight="true" outlineLevel="0" collapsed="false">
      <c r="A188" s="184"/>
      <c r="B188" s="184"/>
      <c r="C188" s="184"/>
      <c r="D188" s="184"/>
      <c r="E188" s="184"/>
      <c r="F188" s="184"/>
      <c r="G188" s="184"/>
      <c r="H188" s="184"/>
      <c r="I188" s="184"/>
      <c r="J188" s="184"/>
      <c r="K188" s="184"/>
      <c r="L188" s="184"/>
      <c r="M188" s="184"/>
      <c r="N188" s="184"/>
      <c r="O188" s="184"/>
    </row>
    <row r="189" customFormat="false" ht="15" hidden="false" customHeight="true" outlineLevel="0" collapsed="false">
      <c r="A189" s="184"/>
      <c r="B189" s="184"/>
      <c r="C189" s="184"/>
      <c r="D189" s="184"/>
      <c r="E189" s="184"/>
      <c r="F189" s="184"/>
      <c r="G189" s="184"/>
      <c r="H189" s="184"/>
      <c r="I189" s="184"/>
      <c r="J189" s="184"/>
      <c r="K189" s="184"/>
      <c r="L189" s="184"/>
      <c r="M189" s="184"/>
      <c r="N189" s="184"/>
      <c r="O189" s="184"/>
    </row>
    <row r="190" customFormat="false" ht="15" hidden="false" customHeight="true" outlineLevel="0" collapsed="false">
      <c r="A190" s="184"/>
      <c r="B190" s="184"/>
      <c r="C190" s="184"/>
      <c r="D190" s="184"/>
      <c r="E190" s="184"/>
      <c r="F190" s="184"/>
      <c r="G190" s="184"/>
      <c r="H190" s="184"/>
      <c r="I190" s="184"/>
      <c r="J190" s="184"/>
      <c r="K190" s="184"/>
      <c r="L190" s="184"/>
      <c r="M190" s="184"/>
      <c r="N190" s="184"/>
      <c r="O190" s="184"/>
    </row>
    <row r="191" customFormat="false" ht="15" hidden="false" customHeight="true" outlineLevel="0" collapsed="false">
      <c r="A191" s="184"/>
      <c r="B191" s="184"/>
      <c r="C191" s="184"/>
      <c r="D191" s="184"/>
      <c r="E191" s="184"/>
      <c r="F191" s="184"/>
      <c r="G191" s="184"/>
      <c r="H191" s="184"/>
      <c r="I191" s="184"/>
      <c r="J191" s="184"/>
      <c r="K191" s="184"/>
      <c r="L191" s="184"/>
      <c r="M191" s="184"/>
      <c r="N191" s="184"/>
      <c r="O191" s="184"/>
    </row>
    <row r="192" customFormat="false" ht="15" hidden="false" customHeight="true" outlineLevel="0" collapsed="false">
      <c r="A192" s="184"/>
      <c r="B192" s="184"/>
      <c r="C192" s="184"/>
      <c r="D192" s="184"/>
      <c r="E192" s="184"/>
      <c r="F192" s="184"/>
      <c r="G192" s="184"/>
      <c r="H192" s="184"/>
      <c r="I192" s="184"/>
      <c r="J192" s="184"/>
      <c r="K192" s="184"/>
      <c r="L192" s="184"/>
      <c r="M192" s="184"/>
      <c r="N192" s="184"/>
      <c r="O192" s="184"/>
    </row>
    <row r="193" customFormat="false" ht="15" hidden="false" customHeight="true" outlineLevel="0" collapsed="false">
      <c r="A193" s="184"/>
      <c r="B193" s="184"/>
      <c r="C193" s="184"/>
      <c r="D193" s="184"/>
      <c r="E193" s="184"/>
      <c r="F193" s="184"/>
      <c r="G193" s="184"/>
      <c r="H193" s="184"/>
      <c r="I193" s="184"/>
      <c r="J193" s="184"/>
      <c r="K193" s="184"/>
      <c r="L193" s="184"/>
      <c r="M193" s="184"/>
      <c r="N193" s="184"/>
      <c r="O193" s="184"/>
    </row>
    <row r="194" customFormat="false" ht="15" hidden="false" customHeight="true" outlineLevel="0" collapsed="false">
      <c r="A194" s="184"/>
      <c r="B194" s="184"/>
      <c r="C194" s="184"/>
      <c r="D194" s="184"/>
      <c r="E194" s="184"/>
      <c r="F194" s="184"/>
      <c r="G194" s="184"/>
      <c r="H194" s="184"/>
      <c r="I194" s="184"/>
      <c r="J194" s="184"/>
      <c r="K194" s="184"/>
      <c r="L194" s="184"/>
      <c r="M194" s="184"/>
      <c r="N194" s="184"/>
      <c r="O194" s="184"/>
    </row>
    <row r="195" customFormat="false" ht="15" hidden="false" customHeight="true" outlineLevel="0" collapsed="false">
      <c r="A195" s="184"/>
      <c r="B195" s="184"/>
      <c r="C195" s="184"/>
      <c r="D195" s="184"/>
      <c r="E195" s="184"/>
      <c r="F195" s="184"/>
      <c r="G195" s="184"/>
      <c r="H195" s="184"/>
      <c r="I195" s="184"/>
      <c r="J195" s="184"/>
      <c r="K195" s="184"/>
      <c r="L195" s="184"/>
      <c r="M195" s="184"/>
      <c r="N195" s="184"/>
      <c r="O195" s="184"/>
    </row>
    <row r="196" customFormat="false" ht="15" hidden="false" customHeight="true" outlineLevel="0" collapsed="false">
      <c r="A196" s="184"/>
      <c r="B196" s="184"/>
      <c r="C196" s="184"/>
      <c r="D196" s="184"/>
      <c r="E196" s="184"/>
      <c r="F196" s="184"/>
      <c r="G196" s="184"/>
      <c r="H196" s="184"/>
      <c r="I196" s="184"/>
      <c r="J196" s="184"/>
      <c r="K196" s="184"/>
      <c r="L196" s="184"/>
      <c r="M196" s="184"/>
      <c r="N196" s="184"/>
      <c r="O196" s="184"/>
    </row>
    <row r="197" customFormat="false" ht="15" hidden="false" customHeight="true" outlineLevel="0" collapsed="false">
      <c r="A197" s="184"/>
      <c r="B197" s="184"/>
      <c r="C197" s="184"/>
      <c r="D197" s="184"/>
      <c r="E197" s="184"/>
      <c r="F197" s="184"/>
      <c r="G197" s="184"/>
      <c r="H197" s="184"/>
      <c r="I197" s="184"/>
      <c r="J197" s="184"/>
      <c r="K197" s="184"/>
      <c r="L197" s="184"/>
      <c r="M197" s="184"/>
      <c r="N197" s="184"/>
      <c r="O197" s="184"/>
    </row>
    <row r="198" customFormat="false" ht="15" hidden="false" customHeight="true" outlineLevel="0" collapsed="false">
      <c r="A198" s="184"/>
      <c r="B198" s="184"/>
      <c r="C198" s="184"/>
      <c r="D198" s="184"/>
      <c r="E198" s="184"/>
      <c r="F198" s="184"/>
      <c r="G198" s="184"/>
      <c r="H198" s="184"/>
      <c r="I198" s="184"/>
      <c r="J198" s="184"/>
      <c r="K198" s="184"/>
      <c r="L198" s="184"/>
      <c r="M198" s="184"/>
      <c r="N198" s="184"/>
      <c r="O198" s="184"/>
    </row>
    <row r="199" customFormat="false" ht="15" hidden="false" customHeight="true" outlineLevel="0" collapsed="false">
      <c r="A199" s="184"/>
      <c r="B199" s="184"/>
      <c r="C199" s="184"/>
      <c r="D199" s="184"/>
      <c r="E199" s="184"/>
      <c r="F199" s="184"/>
      <c r="G199" s="184"/>
      <c r="H199" s="184"/>
      <c r="I199" s="184"/>
      <c r="J199" s="184"/>
      <c r="K199" s="184"/>
      <c r="L199" s="184"/>
      <c r="M199" s="184"/>
      <c r="N199" s="184"/>
      <c r="O199" s="184"/>
    </row>
    <row r="200" customFormat="false" ht="15" hidden="false" customHeight="true" outlineLevel="0" collapsed="false">
      <c r="A200" s="184"/>
      <c r="B200" s="184"/>
      <c r="C200" s="184"/>
      <c r="D200" s="184"/>
      <c r="E200" s="184"/>
      <c r="F200" s="184"/>
      <c r="G200" s="184"/>
      <c r="H200" s="184"/>
      <c r="I200" s="184"/>
      <c r="J200" s="184"/>
      <c r="K200" s="184"/>
      <c r="L200" s="184"/>
      <c r="M200" s="184"/>
      <c r="N200" s="184"/>
      <c r="O200" s="184"/>
    </row>
    <row r="201" customFormat="false" ht="15" hidden="false" customHeight="true" outlineLevel="0" collapsed="false">
      <c r="A201" s="184"/>
      <c r="B201" s="184"/>
      <c r="C201" s="184"/>
      <c r="D201" s="184"/>
      <c r="E201" s="184"/>
      <c r="F201" s="184"/>
      <c r="G201" s="184"/>
      <c r="H201" s="184"/>
      <c r="I201" s="184"/>
      <c r="J201" s="184"/>
      <c r="K201" s="184"/>
      <c r="L201" s="184"/>
      <c r="M201" s="184"/>
      <c r="N201" s="184"/>
      <c r="O201" s="184"/>
    </row>
    <row r="202" customFormat="false" ht="15" hidden="false" customHeight="true" outlineLevel="0" collapsed="false">
      <c r="A202" s="184"/>
      <c r="B202" s="184"/>
      <c r="C202" s="184"/>
      <c r="D202" s="184"/>
      <c r="E202" s="184"/>
      <c r="F202" s="184"/>
      <c r="G202" s="184"/>
      <c r="H202" s="184"/>
      <c r="I202" s="184"/>
      <c r="J202" s="184"/>
      <c r="K202" s="184"/>
      <c r="L202" s="184"/>
      <c r="M202" s="184"/>
      <c r="N202" s="184"/>
      <c r="O202" s="184"/>
    </row>
    <row r="203" customFormat="false" ht="15" hidden="false" customHeight="true" outlineLevel="0" collapsed="false">
      <c r="A203" s="184"/>
      <c r="B203" s="184"/>
      <c r="C203" s="184"/>
      <c r="D203" s="184"/>
      <c r="E203" s="184"/>
      <c r="F203" s="184"/>
      <c r="G203" s="184"/>
      <c r="H203" s="184"/>
      <c r="I203" s="184"/>
      <c r="J203" s="184"/>
      <c r="K203" s="184"/>
      <c r="L203" s="184"/>
      <c r="M203" s="184"/>
      <c r="N203" s="184"/>
      <c r="O203" s="184"/>
    </row>
    <row r="204" customFormat="false" ht="15" hidden="false" customHeight="true" outlineLevel="0" collapsed="false">
      <c r="A204" s="184"/>
      <c r="B204" s="184"/>
      <c r="C204" s="184"/>
      <c r="D204" s="184"/>
      <c r="E204" s="184"/>
      <c r="F204" s="184"/>
      <c r="G204" s="184"/>
      <c r="H204" s="184"/>
      <c r="I204" s="184"/>
      <c r="J204" s="184"/>
      <c r="K204" s="184"/>
      <c r="L204" s="184"/>
      <c r="M204" s="184"/>
      <c r="N204" s="184"/>
      <c r="O204" s="184"/>
    </row>
    <row r="205" customFormat="false" ht="15" hidden="false" customHeight="true" outlineLevel="0" collapsed="false">
      <c r="A205" s="184"/>
      <c r="B205" s="184"/>
      <c r="C205" s="184"/>
      <c r="D205" s="184"/>
      <c r="E205" s="184"/>
      <c r="F205" s="184"/>
      <c r="G205" s="184"/>
      <c r="H205" s="184"/>
      <c r="I205" s="184"/>
      <c r="J205" s="184"/>
      <c r="K205" s="184"/>
      <c r="L205" s="184"/>
      <c r="M205" s="184"/>
      <c r="N205" s="184"/>
      <c r="O205" s="184"/>
    </row>
    <row r="206" customFormat="false" ht="15" hidden="false" customHeight="true" outlineLevel="0" collapsed="false">
      <c r="A206" s="184"/>
      <c r="B206" s="184"/>
      <c r="C206" s="184"/>
      <c r="D206" s="184"/>
      <c r="E206" s="184"/>
      <c r="F206" s="184"/>
      <c r="G206" s="184"/>
      <c r="H206" s="184"/>
      <c r="I206" s="184"/>
      <c r="J206" s="184"/>
      <c r="K206" s="184"/>
      <c r="L206" s="184"/>
      <c r="M206" s="184"/>
      <c r="N206" s="184"/>
      <c r="O206" s="184"/>
    </row>
    <row r="207" customFormat="false" ht="15" hidden="false" customHeight="true" outlineLevel="0" collapsed="false">
      <c r="A207" s="184"/>
      <c r="B207" s="184"/>
      <c r="C207" s="184"/>
      <c r="D207" s="184"/>
      <c r="E207" s="184"/>
      <c r="F207" s="184"/>
      <c r="G207" s="184"/>
      <c r="H207" s="184"/>
      <c r="I207" s="184"/>
      <c r="J207" s="184"/>
      <c r="K207" s="184"/>
      <c r="L207" s="184"/>
      <c r="M207" s="184"/>
      <c r="N207" s="184"/>
      <c r="O207" s="184"/>
    </row>
    <row r="208" customFormat="false" ht="15" hidden="false" customHeight="true" outlineLevel="0" collapsed="false">
      <c r="A208" s="184"/>
      <c r="B208" s="184"/>
      <c r="C208" s="184"/>
      <c r="D208" s="184"/>
      <c r="E208" s="184"/>
      <c r="F208" s="184"/>
      <c r="G208" s="184"/>
      <c r="H208" s="184"/>
      <c r="I208" s="184"/>
      <c r="J208" s="184"/>
      <c r="K208" s="184"/>
      <c r="L208" s="184"/>
      <c r="M208" s="184"/>
      <c r="N208" s="184"/>
      <c r="O208" s="184"/>
    </row>
    <row r="209" customFormat="false" ht="15" hidden="false" customHeight="true" outlineLevel="0" collapsed="false">
      <c r="A209" s="184"/>
      <c r="B209" s="184"/>
      <c r="C209" s="184"/>
      <c r="D209" s="184"/>
      <c r="E209" s="184"/>
      <c r="F209" s="184"/>
      <c r="G209" s="184"/>
      <c r="H209" s="184"/>
      <c r="I209" s="184"/>
      <c r="J209" s="184"/>
      <c r="K209" s="184"/>
      <c r="L209" s="184"/>
      <c r="M209" s="184"/>
      <c r="N209" s="184"/>
      <c r="O209" s="184"/>
    </row>
    <row r="210" customFormat="false" ht="15" hidden="false" customHeight="true" outlineLevel="0" collapsed="false">
      <c r="A210" s="184"/>
      <c r="B210" s="184"/>
      <c r="C210" s="184"/>
      <c r="D210" s="184"/>
      <c r="E210" s="184"/>
      <c r="F210" s="184"/>
      <c r="G210" s="184"/>
      <c r="H210" s="184"/>
      <c r="I210" s="184"/>
      <c r="J210" s="184"/>
      <c r="K210" s="184"/>
      <c r="L210" s="184"/>
      <c r="M210" s="184"/>
      <c r="N210" s="184"/>
      <c r="O210" s="184"/>
    </row>
    <row r="211" customFormat="false" ht="15" hidden="false" customHeight="true" outlineLevel="0" collapsed="false">
      <c r="A211" s="184"/>
      <c r="B211" s="184"/>
      <c r="C211" s="184"/>
      <c r="D211" s="184"/>
      <c r="E211" s="184"/>
      <c r="F211" s="184"/>
      <c r="G211" s="184"/>
      <c r="H211" s="184"/>
      <c r="I211" s="184"/>
      <c r="J211" s="184"/>
      <c r="K211" s="184"/>
      <c r="L211" s="184"/>
      <c r="M211" s="184"/>
      <c r="N211" s="184"/>
      <c r="O211" s="184"/>
    </row>
    <row r="212" customFormat="false" ht="15" hidden="false" customHeight="true" outlineLevel="0" collapsed="false">
      <c r="A212" s="184"/>
      <c r="B212" s="184"/>
      <c r="C212" s="184"/>
      <c r="D212" s="184"/>
      <c r="E212" s="184"/>
      <c r="F212" s="184"/>
      <c r="G212" s="184"/>
      <c r="H212" s="184"/>
      <c r="I212" s="184"/>
      <c r="J212" s="184"/>
      <c r="K212" s="184"/>
      <c r="L212" s="184"/>
      <c r="M212" s="184"/>
      <c r="N212" s="184"/>
      <c r="O212" s="184"/>
    </row>
    <row r="213" customFormat="false" ht="15" hidden="false" customHeight="true" outlineLevel="0" collapsed="false">
      <c r="A213" s="184"/>
      <c r="B213" s="184"/>
      <c r="C213" s="184"/>
      <c r="D213" s="184"/>
      <c r="E213" s="184"/>
      <c r="F213" s="184"/>
      <c r="G213" s="184"/>
      <c r="H213" s="184"/>
      <c r="I213" s="184"/>
      <c r="J213" s="184"/>
      <c r="K213" s="184"/>
      <c r="L213" s="184"/>
      <c r="M213" s="184"/>
      <c r="N213" s="184"/>
      <c r="O213" s="184"/>
    </row>
    <row r="214" customFormat="false" ht="15" hidden="false" customHeight="true" outlineLevel="0" collapsed="false">
      <c r="A214" s="184"/>
      <c r="B214" s="184"/>
      <c r="C214" s="184"/>
      <c r="D214" s="184"/>
      <c r="E214" s="184"/>
      <c r="F214" s="184"/>
      <c r="G214" s="184"/>
      <c r="H214" s="184"/>
      <c r="I214" s="184"/>
      <c r="J214" s="184"/>
      <c r="K214" s="184"/>
      <c r="L214" s="184"/>
      <c r="M214" s="184"/>
      <c r="N214" s="184"/>
      <c r="O214" s="184"/>
    </row>
    <row r="215" customFormat="false" ht="15" hidden="false" customHeight="true" outlineLevel="0" collapsed="false">
      <c r="A215" s="184"/>
      <c r="B215" s="184"/>
      <c r="C215" s="184"/>
      <c r="D215" s="184"/>
      <c r="E215" s="184"/>
      <c r="F215" s="184"/>
      <c r="G215" s="184"/>
      <c r="H215" s="184"/>
      <c r="I215" s="184"/>
      <c r="J215" s="184"/>
      <c r="K215" s="184"/>
      <c r="L215" s="184"/>
      <c r="M215" s="184"/>
      <c r="N215" s="184"/>
      <c r="O215" s="184"/>
    </row>
    <row r="216" customFormat="false" ht="15" hidden="false" customHeight="true" outlineLevel="0" collapsed="false">
      <c r="A216" s="184"/>
      <c r="B216" s="184"/>
      <c r="C216" s="184"/>
      <c r="D216" s="184"/>
      <c r="E216" s="184"/>
      <c r="F216" s="184"/>
      <c r="G216" s="184"/>
      <c r="H216" s="184"/>
      <c r="I216" s="184"/>
      <c r="J216" s="184"/>
      <c r="K216" s="184"/>
      <c r="L216" s="184"/>
      <c r="M216" s="184"/>
      <c r="N216" s="184"/>
      <c r="O216" s="184"/>
    </row>
    <row r="217" customFormat="false" ht="15" hidden="false" customHeight="true" outlineLevel="0" collapsed="false">
      <c r="A217" s="184"/>
      <c r="B217" s="184"/>
      <c r="C217" s="184"/>
      <c r="D217" s="184"/>
      <c r="E217" s="184"/>
      <c r="F217" s="184"/>
      <c r="G217" s="184"/>
      <c r="H217" s="184"/>
      <c r="I217" s="184"/>
      <c r="J217" s="184"/>
      <c r="K217" s="184"/>
      <c r="L217" s="184"/>
      <c r="M217" s="184"/>
      <c r="N217" s="184"/>
      <c r="O217" s="184"/>
    </row>
    <row r="218" customFormat="false" ht="15" hidden="false" customHeight="true" outlineLevel="0" collapsed="false">
      <c r="A218" s="184"/>
      <c r="B218" s="184"/>
      <c r="C218" s="184"/>
      <c r="D218" s="184"/>
      <c r="E218" s="184"/>
      <c r="F218" s="184"/>
      <c r="G218" s="184"/>
      <c r="H218" s="184"/>
      <c r="I218" s="184"/>
      <c r="J218" s="184"/>
      <c r="K218" s="184"/>
      <c r="L218" s="184"/>
      <c r="M218" s="184"/>
      <c r="N218" s="184"/>
      <c r="O218" s="184"/>
    </row>
    <row r="219" customFormat="false" ht="15" hidden="false" customHeight="true" outlineLevel="0" collapsed="false">
      <c r="A219" s="184"/>
      <c r="B219" s="184"/>
      <c r="C219" s="184"/>
      <c r="D219" s="184"/>
      <c r="E219" s="184"/>
      <c r="F219" s="184"/>
      <c r="G219" s="184"/>
      <c r="H219" s="184"/>
      <c r="I219" s="184"/>
      <c r="J219" s="184"/>
      <c r="K219" s="184"/>
      <c r="L219" s="184"/>
      <c r="M219" s="184"/>
      <c r="N219" s="184"/>
      <c r="O219" s="184"/>
    </row>
    <row r="220" customFormat="false" ht="15" hidden="false" customHeight="true" outlineLevel="0" collapsed="false">
      <c r="A220" s="184"/>
      <c r="B220" s="184"/>
      <c r="C220" s="184"/>
      <c r="D220" s="184"/>
      <c r="E220" s="184"/>
      <c r="F220" s="184"/>
      <c r="G220" s="184"/>
      <c r="H220" s="184"/>
      <c r="I220" s="184"/>
      <c r="J220" s="184"/>
      <c r="K220" s="184"/>
      <c r="L220" s="184"/>
      <c r="M220" s="184"/>
      <c r="N220" s="184"/>
      <c r="O220" s="184"/>
    </row>
    <row r="221" customFormat="false" ht="15" hidden="false" customHeight="true" outlineLevel="0" collapsed="false">
      <c r="A221" s="184"/>
      <c r="B221" s="184"/>
      <c r="C221" s="184"/>
      <c r="D221" s="184"/>
      <c r="E221" s="184"/>
      <c r="F221" s="184"/>
      <c r="G221" s="184"/>
      <c r="H221" s="184"/>
      <c r="I221" s="184"/>
      <c r="J221" s="184"/>
      <c r="K221" s="184"/>
      <c r="L221" s="184"/>
      <c r="M221" s="184"/>
      <c r="N221" s="184"/>
      <c r="O221" s="184"/>
    </row>
    <row r="222" customFormat="false" ht="15" hidden="false" customHeight="true" outlineLevel="0" collapsed="false">
      <c r="A222" s="184"/>
      <c r="B222" s="184"/>
      <c r="C222" s="184"/>
      <c r="D222" s="184"/>
      <c r="E222" s="184"/>
      <c r="F222" s="184"/>
      <c r="G222" s="184"/>
      <c r="H222" s="184"/>
      <c r="I222" s="184"/>
      <c r="J222" s="184"/>
      <c r="K222" s="184"/>
      <c r="L222" s="184"/>
      <c r="M222" s="184"/>
      <c r="N222" s="184"/>
      <c r="O222" s="184"/>
    </row>
    <row r="223" customFormat="false" ht="15" hidden="false" customHeight="true" outlineLevel="0" collapsed="false">
      <c r="A223" s="184"/>
      <c r="B223" s="184"/>
      <c r="C223" s="184"/>
      <c r="D223" s="184"/>
      <c r="E223" s="184"/>
      <c r="F223" s="184"/>
      <c r="G223" s="184"/>
      <c r="H223" s="184"/>
      <c r="I223" s="184"/>
      <c r="J223" s="184"/>
      <c r="K223" s="184"/>
      <c r="L223" s="184"/>
      <c r="M223" s="184"/>
      <c r="N223" s="184"/>
      <c r="O223" s="184"/>
    </row>
    <row r="224" customFormat="false" ht="15" hidden="false" customHeight="true" outlineLevel="0" collapsed="false">
      <c r="A224" s="184"/>
      <c r="B224" s="184"/>
      <c r="C224" s="184"/>
      <c r="D224" s="184"/>
      <c r="E224" s="184"/>
      <c r="F224" s="184"/>
      <c r="G224" s="184"/>
      <c r="H224" s="184"/>
      <c r="I224" s="184"/>
      <c r="J224" s="184"/>
      <c r="K224" s="184"/>
      <c r="L224" s="184"/>
      <c r="M224" s="184"/>
      <c r="N224" s="184"/>
      <c r="O224" s="184"/>
    </row>
    <row r="225" customFormat="false" ht="15" hidden="false" customHeight="true" outlineLevel="0" collapsed="false">
      <c r="A225" s="184"/>
      <c r="B225" s="184"/>
      <c r="C225" s="184"/>
      <c r="D225" s="184"/>
      <c r="E225" s="184"/>
      <c r="F225" s="184"/>
      <c r="G225" s="184"/>
      <c r="H225" s="184"/>
      <c r="I225" s="184"/>
      <c r="J225" s="184"/>
      <c r="K225" s="184"/>
      <c r="L225" s="184"/>
      <c r="M225" s="184"/>
      <c r="N225" s="184"/>
      <c r="O225" s="184"/>
    </row>
    <row r="226" customFormat="false" ht="15" hidden="false" customHeight="true" outlineLevel="0" collapsed="false">
      <c r="A226" s="184"/>
      <c r="B226" s="184"/>
      <c r="C226" s="184"/>
      <c r="D226" s="184"/>
      <c r="E226" s="184"/>
      <c r="F226" s="184"/>
      <c r="G226" s="184"/>
      <c r="H226" s="184"/>
      <c r="I226" s="184"/>
      <c r="J226" s="184"/>
      <c r="K226" s="184"/>
      <c r="L226" s="184"/>
      <c r="M226" s="184"/>
      <c r="N226" s="184"/>
      <c r="O226" s="184"/>
    </row>
    <row r="227" customFormat="false" ht="15" hidden="false" customHeight="true" outlineLevel="0" collapsed="false">
      <c r="A227" s="184"/>
      <c r="B227" s="184"/>
      <c r="C227" s="184"/>
      <c r="D227" s="184"/>
      <c r="E227" s="184"/>
      <c r="F227" s="184"/>
      <c r="G227" s="184"/>
      <c r="H227" s="184"/>
      <c r="I227" s="184"/>
      <c r="J227" s="184"/>
      <c r="K227" s="184"/>
      <c r="L227" s="184"/>
      <c r="M227" s="184"/>
      <c r="N227" s="184"/>
      <c r="O227" s="184"/>
    </row>
    <row r="228" customFormat="false" ht="15" hidden="false" customHeight="true" outlineLevel="0" collapsed="false">
      <c r="A228" s="184"/>
      <c r="B228" s="184"/>
      <c r="C228" s="184"/>
      <c r="D228" s="184"/>
      <c r="E228" s="184"/>
      <c r="F228" s="184"/>
      <c r="G228" s="184"/>
      <c r="H228" s="184"/>
      <c r="I228" s="184"/>
      <c r="J228" s="184"/>
      <c r="K228" s="184"/>
      <c r="L228" s="184"/>
      <c r="M228" s="184"/>
      <c r="N228" s="184"/>
      <c r="O228" s="184"/>
    </row>
    <row r="229" customFormat="false" ht="15" hidden="false" customHeight="true" outlineLevel="0" collapsed="false">
      <c r="A229" s="184"/>
      <c r="B229" s="184"/>
      <c r="C229" s="184"/>
      <c r="D229" s="184"/>
      <c r="E229" s="184"/>
      <c r="F229" s="184"/>
      <c r="G229" s="184"/>
      <c r="H229" s="184"/>
      <c r="I229" s="184"/>
      <c r="J229" s="184"/>
      <c r="K229" s="184"/>
      <c r="L229" s="184"/>
      <c r="M229" s="184"/>
      <c r="N229" s="184"/>
      <c r="O229" s="184"/>
    </row>
    <row r="230" customFormat="false" ht="15" hidden="false" customHeight="true" outlineLevel="0" collapsed="false">
      <c r="A230" s="184"/>
      <c r="B230" s="184"/>
      <c r="C230" s="184"/>
      <c r="D230" s="184"/>
      <c r="E230" s="184"/>
      <c r="F230" s="184"/>
      <c r="G230" s="184"/>
      <c r="H230" s="184"/>
      <c r="I230" s="184"/>
      <c r="J230" s="184"/>
      <c r="K230" s="184"/>
      <c r="L230" s="184"/>
      <c r="M230" s="184"/>
      <c r="N230" s="184"/>
      <c r="O230" s="184"/>
    </row>
    <row r="231" customFormat="false" ht="15" hidden="false" customHeight="true" outlineLevel="0" collapsed="false">
      <c r="A231" s="184"/>
      <c r="B231" s="184"/>
      <c r="C231" s="184"/>
      <c r="D231" s="184"/>
      <c r="E231" s="184"/>
      <c r="F231" s="184"/>
      <c r="G231" s="184"/>
      <c r="H231" s="184"/>
      <c r="I231" s="184"/>
      <c r="J231" s="184"/>
      <c r="K231" s="184"/>
      <c r="L231" s="184"/>
      <c r="M231" s="184"/>
      <c r="N231" s="184"/>
      <c r="O231" s="184"/>
    </row>
    <row r="232" customFormat="false" ht="15" hidden="false" customHeight="true" outlineLevel="0" collapsed="false">
      <c r="A232" s="184"/>
      <c r="B232" s="184"/>
      <c r="C232" s="184"/>
      <c r="D232" s="184"/>
      <c r="E232" s="184"/>
      <c r="F232" s="184"/>
      <c r="G232" s="184"/>
      <c r="H232" s="184"/>
      <c r="I232" s="184"/>
      <c r="J232" s="184"/>
      <c r="K232" s="184"/>
      <c r="L232" s="184"/>
      <c r="M232" s="184"/>
      <c r="N232" s="184"/>
      <c r="O232" s="184"/>
    </row>
    <row r="233" customFormat="false" ht="15" hidden="false" customHeight="true" outlineLevel="0" collapsed="false">
      <c r="A233" s="184"/>
      <c r="B233" s="184"/>
      <c r="C233" s="184"/>
      <c r="D233" s="184"/>
      <c r="E233" s="184"/>
      <c r="F233" s="184"/>
      <c r="G233" s="184"/>
      <c r="H233" s="184"/>
      <c r="I233" s="184"/>
      <c r="J233" s="184"/>
      <c r="K233" s="184"/>
      <c r="L233" s="184"/>
      <c r="M233" s="184"/>
      <c r="N233" s="184"/>
      <c r="O233" s="184"/>
    </row>
    <row r="234" customFormat="false" ht="15" hidden="false" customHeight="true" outlineLevel="0" collapsed="false">
      <c r="A234" s="184"/>
      <c r="B234" s="184"/>
      <c r="C234" s="184"/>
      <c r="D234" s="184"/>
      <c r="E234" s="184"/>
      <c r="F234" s="184"/>
      <c r="G234" s="184"/>
      <c r="H234" s="184"/>
      <c r="I234" s="184"/>
      <c r="J234" s="184"/>
      <c r="K234" s="184"/>
      <c r="L234" s="184"/>
      <c r="M234" s="184"/>
      <c r="N234" s="184"/>
      <c r="O234" s="184"/>
    </row>
    <row r="235" customFormat="false" ht="15" hidden="false" customHeight="true" outlineLevel="0" collapsed="false">
      <c r="A235" s="184"/>
      <c r="B235" s="184"/>
      <c r="C235" s="184"/>
      <c r="D235" s="184"/>
      <c r="E235" s="184"/>
      <c r="F235" s="184"/>
      <c r="G235" s="184"/>
      <c r="H235" s="184"/>
      <c r="I235" s="184"/>
      <c r="J235" s="184"/>
      <c r="K235" s="184"/>
      <c r="L235" s="184"/>
      <c r="M235" s="184"/>
      <c r="N235" s="184"/>
      <c r="O235" s="184"/>
    </row>
    <row r="236" customFormat="false" ht="15" hidden="false" customHeight="true" outlineLevel="0" collapsed="false">
      <c r="A236" s="184"/>
      <c r="B236" s="184"/>
      <c r="C236" s="184"/>
      <c r="D236" s="184"/>
      <c r="E236" s="184"/>
      <c r="F236" s="184"/>
      <c r="G236" s="184"/>
      <c r="H236" s="184"/>
      <c r="I236" s="184"/>
      <c r="J236" s="184"/>
      <c r="K236" s="184"/>
      <c r="L236" s="184"/>
      <c r="M236" s="184"/>
      <c r="N236" s="184"/>
      <c r="O236" s="184"/>
    </row>
    <row r="237" customFormat="false" ht="15" hidden="false" customHeight="true" outlineLevel="0" collapsed="false">
      <c r="A237" s="184"/>
      <c r="B237" s="184"/>
      <c r="C237" s="184"/>
      <c r="D237" s="184"/>
      <c r="E237" s="184"/>
      <c r="F237" s="184"/>
      <c r="G237" s="184"/>
      <c r="H237" s="184"/>
      <c r="I237" s="184"/>
      <c r="J237" s="184"/>
      <c r="K237" s="184"/>
      <c r="L237" s="184"/>
      <c r="M237" s="184"/>
      <c r="N237" s="184"/>
      <c r="O237" s="184"/>
    </row>
    <row r="238" customFormat="false" ht="15" hidden="false" customHeight="true" outlineLevel="0" collapsed="false">
      <c r="A238" s="184"/>
      <c r="B238" s="184"/>
      <c r="C238" s="184"/>
      <c r="D238" s="184"/>
      <c r="E238" s="184"/>
      <c r="F238" s="184"/>
      <c r="G238" s="184"/>
      <c r="H238" s="184"/>
      <c r="I238" s="184"/>
      <c r="J238" s="184"/>
      <c r="K238" s="184"/>
      <c r="L238" s="184"/>
      <c r="M238" s="184"/>
      <c r="N238" s="184"/>
      <c r="O238" s="184"/>
    </row>
    <row r="239" customFormat="false" ht="15" hidden="false" customHeight="true" outlineLevel="0" collapsed="false">
      <c r="A239" s="184"/>
      <c r="B239" s="184"/>
      <c r="C239" s="184"/>
      <c r="D239" s="184"/>
      <c r="E239" s="184"/>
      <c r="F239" s="184"/>
      <c r="G239" s="184"/>
      <c r="H239" s="184"/>
      <c r="I239" s="184"/>
      <c r="J239" s="184"/>
      <c r="K239" s="184"/>
      <c r="L239" s="184"/>
      <c r="M239" s="184"/>
      <c r="N239" s="184"/>
      <c r="O239" s="184"/>
    </row>
    <row r="240" customFormat="false" ht="15" hidden="false" customHeight="true" outlineLevel="0" collapsed="false">
      <c r="A240" s="184"/>
      <c r="B240" s="184"/>
      <c r="C240" s="184"/>
      <c r="D240" s="184"/>
      <c r="E240" s="184"/>
      <c r="F240" s="184"/>
      <c r="G240" s="184"/>
      <c r="H240" s="184"/>
      <c r="I240" s="184"/>
      <c r="J240" s="184"/>
      <c r="K240" s="184"/>
      <c r="L240" s="184"/>
      <c r="M240" s="184"/>
      <c r="N240" s="184"/>
      <c r="O240" s="184"/>
    </row>
    <row r="241" customFormat="false" ht="15" hidden="false" customHeight="true" outlineLevel="0" collapsed="false">
      <c r="A241" s="184"/>
      <c r="B241" s="184"/>
      <c r="C241" s="184"/>
      <c r="D241" s="184"/>
      <c r="E241" s="184"/>
      <c r="F241" s="184"/>
      <c r="G241" s="184"/>
      <c r="H241" s="184"/>
      <c r="I241" s="184"/>
      <c r="J241" s="184"/>
      <c r="K241" s="184"/>
      <c r="L241" s="184"/>
      <c r="M241" s="184"/>
      <c r="N241" s="184"/>
      <c r="O241" s="184"/>
    </row>
    <row r="242" customFormat="false" ht="15" hidden="false" customHeight="true" outlineLevel="0" collapsed="false">
      <c r="A242" s="184"/>
      <c r="B242" s="184"/>
      <c r="C242" s="184"/>
      <c r="D242" s="184"/>
      <c r="E242" s="184"/>
      <c r="F242" s="184"/>
      <c r="G242" s="184"/>
      <c r="H242" s="184"/>
      <c r="I242" s="184"/>
      <c r="J242" s="184"/>
      <c r="K242" s="184"/>
      <c r="L242" s="184"/>
      <c r="M242" s="184"/>
      <c r="N242" s="184"/>
      <c r="O242" s="184"/>
    </row>
    <row r="243" customFormat="false" ht="15" hidden="false" customHeight="true" outlineLevel="0" collapsed="false">
      <c r="A243" s="184"/>
      <c r="B243" s="184"/>
      <c r="C243" s="184"/>
      <c r="D243" s="184"/>
      <c r="E243" s="184"/>
      <c r="F243" s="184"/>
      <c r="G243" s="184"/>
      <c r="H243" s="184"/>
      <c r="I243" s="184"/>
      <c r="J243" s="184"/>
      <c r="K243" s="184"/>
      <c r="L243" s="184"/>
      <c r="M243" s="184"/>
      <c r="N243" s="184"/>
      <c r="O243" s="184"/>
    </row>
    <row r="244" customFormat="false" ht="15" hidden="false" customHeight="true" outlineLevel="0" collapsed="false">
      <c r="A244" s="184"/>
      <c r="B244" s="184"/>
      <c r="C244" s="184"/>
      <c r="D244" s="184"/>
      <c r="E244" s="184"/>
      <c r="F244" s="184"/>
      <c r="G244" s="184"/>
      <c r="H244" s="184"/>
      <c r="I244" s="184"/>
      <c r="J244" s="184"/>
      <c r="K244" s="184"/>
      <c r="L244" s="184"/>
      <c r="M244" s="184"/>
      <c r="N244" s="184"/>
      <c r="O244" s="184"/>
    </row>
    <row r="245" customFormat="false" ht="15" hidden="false" customHeight="true" outlineLevel="0" collapsed="false">
      <c r="A245" s="184"/>
      <c r="B245" s="184"/>
      <c r="C245" s="184"/>
      <c r="D245" s="184"/>
      <c r="E245" s="184"/>
      <c r="F245" s="184"/>
      <c r="G245" s="184"/>
      <c r="H245" s="184"/>
      <c r="I245" s="184"/>
      <c r="J245" s="184"/>
      <c r="K245" s="184"/>
      <c r="L245" s="184"/>
      <c r="M245" s="184"/>
      <c r="N245" s="184"/>
      <c r="O245" s="184"/>
    </row>
    <row r="246" customFormat="false" ht="15" hidden="false" customHeight="true" outlineLevel="0" collapsed="false">
      <c r="A246" s="184"/>
      <c r="B246" s="184"/>
      <c r="C246" s="184"/>
      <c r="D246" s="184"/>
      <c r="E246" s="184"/>
      <c r="F246" s="184"/>
      <c r="G246" s="184"/>
      <c r="H246" s="184"/>
      <c r="I246" s="184"/>
      <c r="J246" s="184"/>
      <c r="K246" s="184"/>
      <c r="L246" s="184"/>
      <c r="M246" s="184"/>
      <c r="N246" s="184"/>
      <c r="O246" s="184"/>
    </row>
    <row r="247" customFormat="false" ht="15" hidden="false" customHeight="true" outlineLevel="0" collapsed="false">
      <c r="A247" s="184"/>
      <c r="B247" s="184"/>
      <c r="C247" s="184"/>
      <c r="D247" s="184"/>
      <c r="E247" s="184"/>
      <c r="F247" s="184"/>
      <c r="G247" s="184"/>
      <c r="H247" s="184"/>
      <c r="I247" s="184"/>
      <c r="J247" s="184"/>
      <c r="K247" s="184"/>
      <c r="L247" s="184"/>
      <c r="M247" s="184"/>
      <c r="N247" s="184"/>
      <c r="O247" s="184"/>
    </row>
    <row r="248" customFormat="false" ht="15" hidden="false" customHeight="true" outlineLevel="0" collapsed="false">
      <c r="A248" s="184"/>
      <c r="B248" s="184"/>
      <c r="C248" s="184"/>
      <c r="D248" s="184"/>
      <c r="E248" s="184"/>
      <c r="F248" s="184"/>
      <c r="G248" s="184"/>
      <c r="H248" s="184"/>
      <c r="I248" s="184"/>
      <c r="J248" s="184"/>
      <c r="K248" s="184"/>
      <c r="L248" s="184"/>
      <c r="M248" s="184"/>
      <c r="N248" s="184"/>
      <c r="O248" s="184"/>
    </row>
    <row r="249" customFormat="false" ht="15" hidden="false" customHeight="true" outlineLevel="0" collapsed="false">
      <c r="A249" s="184"/>
      <c r="B249" s="184"/>
      <c r="C249" s="184"/>
      <c r="D249" s="184"/>
      <c r="E249" s="184"/>
      <c r="F249" s="184"/>
      <c r="G249" s="184"/>
      <c r="H249" s="184"/>
      <c r="I249" s="184"/>
      <c r="J249" s="184"/>
      <c r="K249" s="184"/>
      <c r="L249" s="184"/>
      <c r="M249" s="184"/>
      <c r="N249" s="184"/>
      <c r="O249" s="184"/>
    </row>
    <row r="250" customFormat="false" ht="15" hidden="false" customHeight="true" outlineLevel="0" collapsed="false">
      <c r="A250" s="184"/>
      <c r="B250" s="184"/>
      <c r="C250" s="184"/>
      <c r="D250" s="184"/>
      <c r="E250" s="184"/>
      <c r="F250" s="184"/>
      <c r="G250" s="184"/>
      <c r="H250" s="184"/>
      <c r="I250" s="184"/>
      <c r="J250" s="184"/>
      <c r="K250" s="184"/>
      <c r="L250" s="184"/>
      <c r="M250" s="184"/>
      <c r="N250" s="184"/>
      <c r="O250" s="184"/>
    </row>
    <row r="251" customFormat="false" ht="15" hidden="false" customHeight="true" outlineLevel="0" collapsed="false">
      <c r="A251" s="184"/>
      <c r="B251" s="184"/>
      <c r="C251" s="184"/>
      <c r="D251" s="184"/>
      <c r="E251" s="184"/>
      <c r="F251" s="184"/>
      <c r="G251" s="184"/>
      <c r="H251" s="184"/>
      <c r="I251" s="184"/>
      <c r="J251" s="184"/>
      <c r="K251" s="184"/>
      <c r="L251" s="184"/>
      <c r="M251" s="184"/>
      <c r="N251" s="184"/>
      <c r="O251" s="184"/>
    </row>
    <row r="252" customFormat="false" ht="15" hidden="false" customHeight="true" outlineLevel="0" collapsed="false">
      <c r="A252" s="184"/>
      <c r="B252" s="184"/>
      <c r="C252" s="184"/>
      <c r="D252" s="184"/>
      <c r="E252" s="184"/>
      <c r="F252" s="184"/>
      <c r="G252" s="184"/>
      <c r="H252" s="184"/>
      <c r="I252" s="184"/>
      <c r="J252" s="184"/>
      <c r="K252" s="184"/>
      <c r="L252" s="184"/>
      <c r="M252" s="184"/>
      <c r="N252" s="184"/>
      <c r="O252" s="184"/>
    </row>
    <row r="253" customFormat="false" ht="15" hidden="false" customHeight="true" outlineLevel="0" collapsed="false">
      <c r="A253" s="184"/>
      <c r="B253" s="184"/>
      <c r="C253" s="184"/>
      <c r="D253" s="184"/>
      <c r="E253" s="184"/>
      <c r="F253" s="184"/>
      <c r="G253" s="184"/>
      <c r="H253" s="184"/>
      <c r="I253" s="184"/>
      <c r="J253" s="184"/>
      <c r="K253" s="184"/>
      <c r="L253" s="184"/>
      <c r="M253" s="184"/>
      <c r="N253" s="184"/>
      <c r="O253" s="184"/>
    </row>
    <row r="254" customFormat="false" ht="15" hidden="false" customHeight="true" outlineLevel="0" collapsed="false">
      <c r="A254" s="184"/>
      <c r="B254" s="184"/>
      <c r="C254" s="184"/>
      <c r="D254" s="184"/>
      <c r="E254" s="184"/>
      <c r="F254" s="184"/>
      <c r="G254" s="184"/>
      <c r="H254" s="184"/>
      <c r="I254" s="184"/>
      <c r="J254" s="184"/>
      <c r="K254" s="184"/>
      <c r="L254" s="184"/>
      <c r="M254" s="184"/>
      <c r="N254" s="184"/>
      <c r="O254" s="184"/>
    </row>
    <row r="255" customFormat="false" ht="15" hidden="false" customHeight="true" outlineLevel="0" collapsed="false">
      <c r="A255" s="184"/>
      <c r="B255" s="184"/>
      <c r="C255" s="184"/>
      <c r="D255" s="184"/>
      <c r="E255" s="184"/>
      <c r="F255" s="184"/>
      <c r="G255" s="184"/>
      <c r="H255" s="184"/>
      <c r="I255" s="184"/>
      <c r="J255" s="184"/>
      <c r="K255" s="184"/>
      <c r="L255" s="184"/>
      <c r="M255" s="184"/>
      <c r="N255" s="184"/>
      <c r="O255" s="184"/>
    </row>
    <row r="256" customFormat="false" ht="15" hidden="false" customHeight="true" outlineLevel="0" collapsed="false">
      <c r="A256" s="184"/>
      <c r="B256" s="184"/>
      <c r="C256" s="184"/>
      <c r="D256" s="184"/>
      <c r="E256" s="184"/>
      <c r="F256" s="184"/>
      <c r="G256" s="184"/>
      <c r="H256" s="184"/>
      <c r="I256" s="184"/>
      <c r="J256" s="184"/>
      <c r="K256" s="184"/>
      <c r="L256" s="184"/>
      <c r="M256" s="184"/>
      <c r="N256" s="184"/>
      <c r="O256" s="184"/>
    </row>
    <row r="257" customFormat="false" ht="15" hidden="false" customHeight="true" outlineLevel="0" collapsed="false">
      <c r="A257" s="184"/>
      <c r="B257" s="184"/>
      <c r="C257" s="184"/>
      <c r="D257" s="184"/>
      <c r="E257" s="184"/>
      <c r="F257" s="184"/>
      <c r="G257" s="184"/>
      <c r="H257" s="184"/>
      <c r="I257" s="184"/>
      <c r="J257" s="184"/>
      <c r="K257" s="184"/>
      <c r="L257" s="184"/>
      <c r="M257" s="184"/>
      <c r="N257" s="184"/>
      <c r="O257" s="184"/>
    </row>
    <row r="258" customFormat="false" ht="15" hidden="false" customHeight="true" outlineLevel="0" collapsed="false">
      <c r="A258" s="184"/>
      <c r="B258" s="184"/>
      <c r="C258" s="184"/>
      <c r="D258" s="184"/>
      <c r="E258" s="184"/>
      <c r="F258" s="184"/>
      <c r="G258" s="184"/>
      <c r="H258" s="184"/>
      <c r="I258" s="184"/>
      <c r="J258" s="184"/>
      <c r="K258" s="184"/>
      <c r="L258" s="184"/>
      <c r="M258" s="184"/>
      <c r="N258" s="184"/>
      <c r="O258" s="184"/>
    </row>
    <row r="259" customFormat="false" ht="15" hidden="false" customHeight="true" outlineLevel="0" collapsed="false">
      <c r="A259" s="184"/>
      <c r="B259" s="184"/>
      <c r="C259" s="184"/>
      <c r="D259" s="184"/>
      <c r="E259" s="184"/>
      <c r="F259" s="184"/>
      <c r="G259" s="184"/>
      <c r="H259" s="184"/>
      <c r="I259" s="184"/>
      <c r="J259" s="184"/>
      <c r="K259" s="184"/>
      <c r="L259" s="184"/>
      <c r="M259" s="184"/>
      <c r="N259" s="184"/>
      <c r="O259" s="184"/>
    </row>
    <row r="260" customFormat="false" ht="15" hidden="false" customHeight="true" outlineLevel="0" collapsed="false">
      <c r="A260" s="184"/>
      <c r="B260" s="184"/>
      <c r="C260" s="184"/>
      <c r="D260" s="184"/>
      <c r="E260" s="184"/>
      <c r="F260" s="184"/>
      <c r="G260" s="184"/>
      <c r="H260" s="184"/>
      <c r="I260" s="184"/>
      <c r="J260" s="184"/>
      <c r="K260" s="184"/>
      <c r="L260" s="184"/>
      <c r="M260" s="184"/>
      <c r="N260" s="184"/>
      <c r="O260" s="184"/>
    </row>
    <row r="261" customFormat="false" ht="15" hidden="false" customHeight="true" outlineLevel="0" collapsed="false">
      <c r="A261" s="184"/>
      <c r="B261" s="184"/>
      <c r="C261" s="184"/>
      <c r="D261" s="184"/>
      <c r="E261" s="184"/>
      <c r="F261" s="184"/>
      <c r="G261" s="184"/>
      <c r="H261" s="184"/>
      <c r="I261" s="184"/>
      <c r="J261" s="184"/>
      <c r="K261" s="184"/>
      <c r="L261" s="184"/>
      <c r="M261" s="184"/>
      <c r="N261" s="184"/>
      <c r="O261" s="184"/>
    </row>
    <row r="262" customFormat="false" ht="15" hidden="false" customHeight="true" outlineLevel="0" collapsed="false">
      <c r="A262" s="184"/>
      <c r="B262" s="184"/>
      <c r="C262" s="184"/>
      <c r="D262" s="184"/>
      <c r="E262" s="184"/>
      <c r="F262" s="184"/>
      <c r="G262" s="184"/>
      <c r="H262" s="184"/>
      <c r="I262" s="184"/>
      <c r="J262" s="184"/>
      <c r="K262" s="184"/>
      <c r="L262" s="184"/>
      <c r="M262" s="184"/>
      <c r="N262" s="184"/>
      <c r="O262" s="184"/>
    </row>
    <row r="263" customFormat="false" ht="15" hidden="false" customHeight="true" outlineLevel="0" collapsed="false">
      <c r="A263" s="184"/>
      <c r="B263" s="184"/>
      <c r="C263" s="184"/>
      <c r="D263" s="184"/>
      <c r="E263" s="184"/>
      <c r="F263" s="184"/>
      <c r="G263" s="184"/>
      <c r="H263" s="184"/>
      <c r="I263" s="184"/>
      <c r="J263" s="184"/>
      <c r="K263" s="184"/>
      <c r="L263" s="184"/>
      <c r="M263" s="184"/>
      <c r="N263" s="184"/>
      <c r="O263" s="184"/>
    </row>
    <row r="264" customFormat="false" ht="15" hidden="false" customHeight="true" outlineLevel="0" collapsed="false">
      <c r="A264" s="184"/>
      <c r="B264" s="184"/>
      <c r="C264" s="184"/>
      <c r="D264" s="184"/>
      <c r="E264" s="184"/>
      <c r="F264" s="184"/>
      <c r="G264" s="184"/>
      <c r="H264" s="184"/>
      <c r="I264" s="184"/>
      <c r="J264" s="184"/>
      <c r="K264" s="184"/>
      <c r="L264" s="184"/>
      <c r="M264" s="184"/>
      <c r="N264" s="184"/>
      <c r="O264" s="184"/>
    </row>
    <row r="265" customFormat="false" ht="15" hidden="false" customHeight="true" outlineLevel="0" collapsed="false">
      <c r="A265" s="184"/>
      <c r="B265" s="184"/>
      <c r="C265" s="184"/>
      <c r="D265" s="184"/>
      <c r="E265" s="184"/>
      <c r="F265" s="184"/>
      <c r="G265" s="184"/>
      <c r="H265" s="184"/>
      <c r="I265" s="184"/>
      <c r="J265" s="184"/>
      <c r="K265" s="184"/>
      <c r="L265" s="184"/>
      <c r="M265" s="184"/>
      <c r="N265" s="184"/>
      <c r="O265" s="184"/>
    </row>
    <row r="266" customFormat="false" ht="15" hidden="false" customHeight="true" outlineLevel="0" collapsed="false">
      <c r="A266" s="184"/>
      <c r="B266" s="184"/>
      <c r="C266" s="184"/>
      <c r="D266" s="184"/>
      <c r="E266" s="184"/>
      <c r="F266" s="184"/>
      <c r="G266" s="184"/>
      <c r="H266" s="184"/>
      <c r="I266" s="184"/>
      <c r="J266" s="184"/>
      <c r="K266" s="184"/>
      <c r="L266" s="184"/>
      <c r="M266" s="184"/>
      <c r="N266" s="184"/>
      <c r="O266" s="184"/>
    </row>
    <row r="267" customFormat="false" ht="15" hidden="false" customHeight="true" outlineLevel="0" collapsed="false">
      <c r="A267" s="184"/>
      <c r="B267" s="184"/>
      <c r="C267" s="184"/>
      <c r="D267" s="184"/>
      <c r="E267" s="184"/>
      <c r="F267" s="184"/>
      <c r="G267" s="184"/>
      <c r="H267" s="184"/>
      <c r="I267" s="184"/>
      <c r="J267" s="184"/>
      <c r="K267" s="184"/>
      <c r="L267" s="184"/>
      <c r="M267" s="184"/>
      <c r="N267" s="184"/>
      <c r="O267" s="184"/>
    </row>
    <row r="268" customFormat="false" ht="15" hidden="false" customHeight="true" outlineLevel="0" collapsed="false">
      <c r="A268" s="184"/>
      <c r="B268" s="184"/>
      <c r="C268" s="184"/>
      <c r="D268" s="184"/>
      <c r="E268" s="184"/>
      <c r="F268" s="184"/>
      <c r="G268" s="184"/>
      <c r="H268" s="184"/>
      <c r="I268" s="184"/>
      <c r="J268" s="184"/>
      <c r="K268" s="184"/>
      <c r="L268" s="184"/>
      <c r="M268" s="184"/>
      <c r="N268" s="184"/>
      <c r="O268" s="184"/>
    </row>
    <row r="269" customFormat="false" ht="15" hidden="false" customHeight="true" outlineLevel="0" collapsed="false">
      <c r="A269" s="184"/>
      <c r="B269" s="184"/>
      <c r="C269" s="184"/>
      <c r="D269" s="184"/>
      <c r="E269" s="184"/>
      <c r="F269" s="184"/>
      <c r="G269" s="184"/>
      <c r="H269" s="184"/>
      <c r="I269" s="184"/>
      <c r="J269" s="184"/>
      <c r="K269" s="184"/>
      <c r="L269" s="184"/>
      <c r="M269" s="184"/>
      <c r="N269" s="184"/>
      <c r="O269" s="184"/>
    </row>
    <row r="270" customFormat="false" ht="15" hidden="false" customHeight="true" outlineLevel="0" collapsed="false">
      <c r="A270" s="184"/>
      <c r="B270" s="184"/>
      <c r="C270" s="184"/>
      <c r="D270" s="184"/>
      <c r="E270" s="184"/>
      <c r="F270" s="184"/>
      <c r="G270" s="184"/>
      <c r="H270" s="184"/>
      <c r="I270" s="184"/>
      <c r="J270" s="184"/>
      <c r="K270" s="184"/>
      <c r="L270" s="184"/>
      <c r="M270" s="184"/>
      <c r="N270" s="184"/>
      <c r="O270" s="184"/>
    </row>
    <row r="271" customFormat="false" ht="15" hidden="false" customHeight="true" outlineLevel="0" collapsed="false">
      <c r="A271" s="184"/>
      <c r="B271" s="184"/>
      <c r="C271" s="184"/>
      <c r="D271" s="184"/>
      <c r="E271" s="184"/>
      <c r="F271" s="184"/>
      <c r="G271" s="184"/>
      <c r="H271" s="184"/>
      <c r="I271" s="184"/>
      <c r="J271" s="184"/>
      <c r="K271" s="184"/>
      <c r="L271" s="184"/>
      <c r="M271" s="184"/>
      <c r="N271" s="184"/>
      <c r="O271" s="184"/>
    </row>
    <row r="272" customFormat="false" ht="15" hidden="false" customHeight="true" outlineLevel="0" collapsed="false">
      <c r="A272" s="184"/>
      <c r="B272" s="184"/>
      <c r="C272" s="184"/>
      <c r="D272" s="184"/>
      <c r="E272" s="184"/>
      <c r="F272" s="184"/>
      <c r="G272" s="184"/>
      <c r="H272" s="184"/>
      <c r="I272" s="184"/>
      <c r="J272" s="184"/>
      <c r="K272" s="184"/>
      <c r="L272" s="184"/>
      <c r="M272" s="184"/>
      <c r="N272" s="184"/>
      <c r="O272" s="184"/>
    </row>
    <row r="273" customFormat="false" ht="15" hidden="false" customHeight="true" outlineLevel="0" collapsed="false">
      <c r="A273" s="184"/>
      <c r="B273" s="184"/>
      <c r="C273" s="184"/>
      <c r="D273" s="184"/>
      <c r="E273" s="184"/>
      <c r="F273" s="184"/>
      <c r="G273" s="184"/>
      <c r="H273" s="184"/>
      <c r="I273" s="184"/>
      <c r="J273" s="184"/>
      <c r="K273" s="184"/>
      <c r="L273" s="184"/>
      <c r="M273" s="184"/>
      <c r="N273" s="184"/>
      <c r="O273" s="184"/>
    </row>
    <row r="274" customFormat="false" ht="15" hidden="false" customHeight="true" outlineLevel="0" collapsed="false">
      <c r="A274" s="184"/>
      <c r="B274" s="184"/>
      <c r="C274" s="184"/>
      <c r="D274" s="184"/>
      <c r="E274" s="184"/>
      <c r="F274" s="184"/>
      <c r="G274" s="184"/>
      <c r="H274" s="184"/>
      <c r="I274" s="184"/>
      <c r="J274" s="184"/>
      <c r="K274" s="184"/>
      <c r="L274" s="184"/>
      <c r="M274" s="184"/>
      <c r="N274" s="184"/>
      <c r="O274" s="184"/>
    </row>
    <row r="275" customFormat="false" ht="15" hidden="false" customHeight="true" outlineLevel="0" collapsed="false">
      <c r="A275" s="184"/>
      <c r="B275" s="184"/>
      <c r="C275" s="184"/>
      <c r="D275" s="184"/>
      <c r="E275" s="184"/>
      <c r="F275" s="184"/>
      <c r="G275" s="184"/>
      <c r="H275" s="184"/>
      <c r="I275" s="184"/>
      <c r="J275" s="184"/>
      <c r="K275" s="184"/>
      <c r="L275" s="184"/>
      <c r="M275" s="184"/>
      <c r="N275" s="184"/>
      <c r="O275" s="184"/>
    </row>
    <row r="276" customFormat="false" ht="15" hidden="false" customHeight="true" outlineLevel="0" collapsed="false">
      <c r="A276" s="184"/>
      <c r="B276" s="184"/>
      <c r="C276" s="184"/>
      <c r="D276" s="184"/>
      <c r="E276" s="184"/>
      <c r="F276" s="184"/>
      <c r="G276" s="184"/>
      <c r="H276" s="184"/>
      <c r="I276" s="184"/>
      <c r="J276" s="184"/>
      <c r="K276" s="184"/>
      <c r="L276" s="184"/>
      <c r="M276" s="184"/>
      <c r="N276" s="184"/>
      <c r="O276" s="184"/>
    </row>
    <row r="277" customFormat="false" ht="15" hidden="false" customHeight="true" outlineLevel="0" collapsed="false">
      <c r="A277" s="184"/>
      <c r="B277" s="184"/>
      <c r="C277" s="184"/>
      <c r="D277" s="184"/>
      <c r="E277" s="184"/>
      <c r="F277" s="184"/>
      <c r="G277" s="184"/>
      <c r="H277" s="184"/>
      <c r="I277" s="184"/>
      <c r="J277" s="184"/>
      <c r="K277" s="184"/>
      <c r="L277" s="184"/>
      <c r="M277" s="184"/>
      <c r="N277" s="184"/>
      <c r="O277" s="184"/>
    </row>
    <row r="278" customFormat="false" ht="15" hidden="false" customHeight="true" outlineLevel="0" collapsed="false">
      <c r="A278" s="184"/>
      <c r="B278" s="184"/>
      <c r="C278" s="184"/>
      <c r="D278" s="184"/>
      <c r="E278" s="184"/>
      <c r="F278" s="184"/>
      <c r="G278" s="184"/>
      <c r="H278" s="184"/>
      <c r="I278" s="184"/>
      <c r="J278" s="184"/>
      <c r="K278" s="184"/>
      <c r="L278" s="184"/>
      <c r="M278" s="184"/>
      <c r="N278" s="184"/>
      <c r="O278" s="184"/>
    </row>
    <row r="279" customFormat="false" ht="15" hidden="false" customHeight="true" outlineLevel="0" collapsed="false">
      <c r="A279" s="184"/>
      <c r="B279" s="184"/>
      <c r="C279" s="184"/>
      <c r="D279" s="184"/>
      <c r="E279" s="184"/>
      <c r="F279" s="184"/>
      <c r="G279" s="184"/>
      <c r="H279" s="184"/>
      <c r="I279" s="184"/>
      <c r="J279" s="184"/>
      <c r="K279" s="184"/>
      <c r="L279" s="184"/>
      <c r="M279" s="184"/>
      <c r="N279" s="184"/>
      <c r="O279" s="184"/>
    </row>
    <row r="280" customFormat="false" ht="15" hidden="false" customHeight="true" outlineLevel="0" collapsed="false">
      <c r="A280" s="184"/>
      <c r="B280" s="184"/>
      <c r="C280" s="184"/>
      <c r="D280" s="184"/>
      <c r="E280" s="184"/>
      <c r="F280" s="184"/>
      <c r="G280" s="184"/>
      <c r="H280" s="184"/>
      <c r="I280" s="184"/>
      <c r="J280" s="184"/>
      <c r="K280" s="184"/>
      <c r="L280" s="184"/>
      <c r="M280" s="184"/>
      <c r="N280" s="184"/>
      <c r="O280" s="184"/>
    </row>
    <row r="281" customFormat="false" ht="15" hidden="false" customHeight="true" outlineLevel="0" collapsed="false">
      <c r="A281" s="184"/>
      <c r="B281" s="184"/>
      <c r="C281" s="184"/>
      <c r="D281" s="184"/>
      <c r="E281" s="184"/>
      <c r="F281" s="184"/>
      <c r="G281" s="184"/>
      <c r="H281" s="184"/>
      <c r="I281" s="184"/>
      <c r="J281" s="184"/>
      <c r="K281" s="184"/>
      <c r="L281" s="184"/>
      <c r="M281" s="184"/>
      <c r="N281" s="184"/>
      <c r="O281" s="184"/>
    </row>
    <row r="282" customFormat="false" ht="15" hidden="false" customHeight="true" outlineLevel="0" collapsed="false">
      <c r="A282" s="184"/>
      <c r="B282" s="184"/>
      <c r="C282" s="184"/>
      <c r="D282" s="184"/>
      <c r="E282" s="184"/>
      <c r="F282" s="184"/>
      <c r="G282" s="184"/>
      <c r="H282" s="184"/>
      <c r="I282" s="184"/>
      <c r="J282" s="184"/>
      <c r="K282" s="184"/>
      <c r="L282" s="184"/>
      <c r="M282" s="184"/>
      <c r="N282" s="184"/>
      <c r="O282" s="184"/>
    </row>
    <row r="283" customFormat="false" ht="15" hidden="false" customHeight="true" outlineLevel="0" collapsed="false">
      <c r="A283" s="184"/>
      <c r="B283" s="184"/>
      <c r="C283" s="184"/>
      <c r="D283" s="184"/>
      <c r="E283" s="184"/>
      <c r="F283" s="184"/>
      <c r="G283" s="184"/>
      <c r="H283" s="184"/>
      <c r="I283" s="184"/>
      <c r="J283" s="184"/>
      <c r="K283" s="184"/>
      <c r="L283" s="184"/>
      <c r="M283" s="184"/>
      <c r="N283" s="184"/>
      <c r="O283" s="184"/>
    </row>
    <row r="284" customFormat="false" ht="15" hidden="false" customHeight="true" outlineLevel="0" collapsed="false">
      <c r="A284" s="184"/>
      <c r="B284" s="184"/>
      <c r="C284" s="184"/>
      <c r="D284" s="184"/>
      <c r="E284" s="184"/>
      <c r="F284" s="184"/>
      <c r="G284" s="184"/>
      <c r="H284" s="184"/>
      <c r="I284" s="184"/>
      <c r="J284" s="184"/>
      <c r="K284" s="184"/>
      <c r="L284" s="184"/>
      <c r="M284" s="184"/>
      <c r="N284" s="184"/>
      <c r="O284" s="184"/>
    </row>
    <row r="285" customFormat="false" ht="15" hidden="false" customHeight="true" outlineLevel="0" collapsed="false">
      <c r="A285" s="184"/>
      <c r="B285" s="184"/>
      <c r="C285" s="184"/>
      <c r="D285" s="184"/>
      <c r="E285" s="184"/>
      <c r="F285" s="184"/>
      <c r="G285" s="184"/>
      <c r="H285" s="184"/>
      <c r="I285" s="184"/>
      <c r="J285" s="184"/>
      <c r="K285" s="184"/>
      <c r="L285" s="184"/>
      <c r="M285" s="184"/>
      <c r="N285" s="184"/>
      <c r="O285" s="184"/>
    </row>
    <row r="286" customFormat="false" ht="15" hidden="false" customHeight="true" outlineLevel="0" collapsed="false">
      <c r="A286" s="184"/>
      <c r="B286" s="184"/>
      <c r="C286" s="184"/>
      <c r="D286" s="184"/>
      <c r="E286" s="184"/>
      <c r="F286" s="184"/>
      <c r="G286" s="184"/>
      <c r="H286" s="184"/>
      <c r="I286" s="184"/>
      <c r="J286" s="184"/>
      <c r="K286" s="184"/>
      <c r="L286" s="184"/>
      <c r="M286" s="184"/>
      <c r="N286" s="184"/>
      <c r="O286" s="184"/>
    </row>
    <row r="287" customFormat="false" ht="15" hidden="false" customHeight="true" outlineLevel="0" collapsed="false">
      <c r="A287" s="184"/>
      <c r="B287" s="184"/>
      <c r="C287" s="184"/>
      <c r="D287" s="184"/>
      <c r="E287" s="184"/>
      <c r="F287" s="184"/>
      <c r="G287" s="184"/>
      <c r="H287" s="184"/>
      <c r="I287" s="184"/>
      <c r="J287" s="184"/>
      <c r="K287" s="184"/>
      <c r="L287" s="184"/>
      <c r="M287" s="184"/>
      <c r="N287" s="184"/>
      <c r="O287" s="184"/>
    </row>
    <row r="288" customFormat="false" ht="15" hidden="false" customHeight="true" outlineLevel="0" collapsed="false">
      <c r="A288" s="184"/>
      <c r="B288" s="184"/>
      <c r="C288" s="184"/>
      <c r="D288" s="184"/>
      <c r="E288" s="184"/>
      <c r="F288" s="184"/>
      <c r="G288" s="184"/>
      <c r="H288" s="184"/>
      <c r="I288" s="184"/>
      <c r="J288" s="184"/>
      <c r="K288" s="184"/>
      <c r="L288" s="184"/>
      <c r="M288" s="184"/>
      <c r="N288" s="184"/>
      <c r="O288" s="184"/>
    </row>
    <row r="289" customFormat="false" ht="15" hidden="false" customHeight="true" outlineLevel="0" collapsed="false">
      <c r="A289" s="184"/>
      <c r="B289" s="184"/>
      <c r="C289" s="184"/>
      <c r="D289" s="184"/>
      <c r="E289" s="184"/>
      <c r="F289" s="184"/>
      <c r="G289" s="184"/>
      <c r="H289" s="184"/>
      <c r="I289" s="184"/>
      <c r="J289" s="184"/>
      <c r="K289" s="184"/>
      <c r="L289" s="184"/>
      <c r="M289" s="184"/>
      <c r="N289" s="184"/>
      <c r="O289" s="184"/>
    </row>
    <row r="290" customFormat="false" ht="15" hidden="false" customHeight="true" outlineLevel="0" collapsed="false">
      <c r="A290" s="184"/>
      <c r="B290" s="184"/>
      <c r="C290" s="184"/>
      <c r="D290" s="184"/>
      <c r="E290" s="184"/>
      <c r="F290" s="184"/>
      <c r="G290" s="184"/>
      <c r="H290" s="184"/>
      <c r="I290" s="184"/>
      <c r="J290" s="184"/>
      <c r="K290" s="184"/>
      <c r="L290" s="184"/>
      <c r="M290" s="184"/>
      <c r="N290" s="184"/>
      <c r="O290" s="184"/>
    </row>
    <row r="291" customFormat="false" ht="15" hidden="false" customHeight="true" outlineLevel="0" collapsed="false">
      <c r="A291" s="184"/>
      <c r="B291" s="184"/>
      <c r="C291" s="184"/>
      <c r="D291" s="184"/>
      <c r="E291" s="184"/>
      <c r="F291" s="184"/>
      <c r="G291" s="184"/>
      <c r="H291" s="184"/>
      <c r="I291" s="184"/>
      <c r="J291" s="184"/>
      <c r="K291" s="184"/>
      <c r="L291" s="184"/>
      <c r="M291" s="184"/>
      <c r="N291" s="184"/>
      <c r="O291" s="184"/>
    </row>
    <row r="292" customFormat="false" ht="15" hidden="false" customHeight="true" outlineLevel="0" collapsed="false">
      <c r="A292" s="184"/>
      <c r="B292" s="184"/>
      <c r="C292" s="184"/>
      <c r="D292" s="184"/>
      <c r="E292" s="184"/>
      <c r="F292" s="184"/>
      <c r="G292" s="184"/>
      <c r="H292" s="184"/>
      <c r="I292" s="184"/>
      <c r="J292" s="184"/>
      <c r="K292" s="184"/>
      <c r="L292" s="184"/>
      <c r="M292" s="184"/>
      <c r="N292" s="184"/>
      <c r="O292" s="184"/>
    </row>
    <row r="293" customFormat="false" ht="15" hidden="false" customHeight="true" outlineLevel="0" collapsed="false">
      <c r="A293" s="184"/>
      <c r="B293" s="184"/>
      <c r="C293" s="184"/>
      <c r="D293" s="184"/>
      <c r="E293" s="184"/>
      <c r="F293" s="184"/>
      <c r="G293" s="184"/>
      <c r="H293" s="184"/>
      <c r="I293" s="184"/>
      <c r="J293" s="184"/>
      <c r="K293" s="184"/>
      <c r="L293" s="184"/>
      <c r="M293" s="184"/>
      <c r="N293" s="184"/>
      <c r="O293" s="184"/>
    </row>
    <row r="294" customFormat="false" ht="15" hidden="false" customHeight="true" outlineLevel="0" collapsed="false">
      <c r="A294" s="184"/>
      <c r="B294" s="184"/>
      <c r="C294" s="184"/>
      <c r="D294" s="184"/>
      <c r="E294" s="184"/>
      <c r="F294" s="184"/>
      <c r="G294" s="184"/>
      <c r="H294" s="184"/>
      <c r="I294" s="184"/>
      <c r="J294" s="184"/>
      <c r="K294" s="184"/>
      <c r="L294" s="184"/>
      <c r="M294" s="184"/>
      <c r="N294" s="184"/>
      <c r="O294" s="184"/>
    </row>
    <row r="295" customFormat="false" ht="15" hidden="false" customHeight="true" outlineLevel="0" collapsed="false">
      <c r="A295" s="184"/>
      <c r="B295" s="184"/>
      <c r="C295" s="184"/>
      <c r="D295" s="184"/>
      <c r="E295" s="184"/>
      <c r="F295" s="184"/>
      <c r="G295" s="184"/>
      <c r="H295" s="184"/>
      <c r="I295" s="184"/>
      <c r="J295" s="184"/>
      <c r="K295" s="184"/>
      <c r="L295" s="184"/>
      <c r="M295" s="184"/>
      <c r="N295" s="184"/>
      <c r="O295" s="184"/>
    </row>
    <row r="296" customFormat="false" ht="15" hidden="false" customHeight="true" outlineLevel="0" collapsed="false">
      <c r="A296" s="184"/>
      <c r="B296" s="184"/>
      <c r="C296" s="184"/>
      <c r="D296" s="184"/>
      <c r="E296" s="184"/>
      <c r="F296" s="184"/>
      <c r="G296" s="184"/>
      <c r="H296" s="184"/>
      <c r="I296" s="184"/>
      <c r="J296" s="184"/>
      <c r="K296" s="184"/>
      <c r="L296" s="184"/>
      <c r="M296" s="184"/>
      <c r="N296" s="184"/>
      <c r="O296" s="184"/>
    </row>
    <row r="297" customFormat="false" ht="15" hidden="false" customHeight="true" outlineLevel="0" collapsed="false">
      <c r="A297" s="184"/>
      <c r="B297" s="184"/>
      <c r="C297" s="184"/>
      <c r="D297" s="184"/>
      <c r="E297" s="184"/>
      <c r="F297" s="184"/>
      <c r="G297" s="184"/>
      <c r="H297" s="184"/>
      <c r="I297" s="184"/>
      <c r="J297" s="184"/>
      <c r="K297" s="184"/>
      <c r="L297" s="184"/>
      <c r="M297" s="184"/>
      <c r="N297" s="184"/>
      <c r="O297" s="184"/>
    </row>
    <row r="298" customFormat="false" ht="15" hidden="false" customHeight="true" outlineLevel="0" collapsed="false">
      <c r="A298" s="184"/>
      <c r="B298" s="184"/>
      <c r="C298" s="184"/>
      <c r="D298" s="184"/>
      <c r="E298" s="184"/>
      <c r="F298" s="184"/>
      <c r="G298" s="184"/>
      <c r="H298" s="184"/>
      <c r="I298" s="184"/>
      <c r="J298" s="184"/>
      <c r="K298" s="184"/>
      <c r="L298" s="184"/>
      <c r="M298" s="184"/>
      <c r="N298" s="184"/>
      <c r="O298" s="184"/>
    </row>
    <row r="299" customFormat="false" ht="15" hidden="false" customHeight="true" outlineLevel="0" collapsed="false">
      <c r="A299" s="184"/>
      <c r="B299" s="184"/>
      <c r="C299" s="184"/>
      <c r="D299" s="184"/>
      <c r="E299" s="184"/>
      <c r="F299" s="184"/>
      <c r="G299" s="184"/>
      <c r="H299" s="184"/>
      <c r="I299" s="184"/>
      <c r="J299" s="184"/>
      <c r="K299" s="184"/>
      <c r="L299" s="184"/>
      <c r="M299" s="184"/>
      <c r="N299" s="184"/>
      <c r="O299" s="184"/>
    </row>
    <row r="300" customFormat="false" ht="15" hidden="false" customHeight="true" outlineLevel="0" collapsed="false">
      <c r="A300" s="184"/>
      <c r="B300" s="184"/>
      <c r="C300" s="184"/>
      <c r="D300" s="184"/>
      <c r="E300" s="184"/>
      <c r="F300" s="184"/>
      <c r="G300" s="184"/>
      <c r="H300" s="184"/>
      <c r="I300" s="184"/>
      <c r="J300" s="184"/>
      <c r="K300" s="184"/>
      <c r="L300" s="184"/>
      <c r="M300" s="184"/>
      <c r="N300" s="184"/>
      <c r="O300" s="184"/>
    </row>
    <row r="301" customFormat="false" ht="15" hidden="false" customHeight="true" outlineLevel="0" collapsed="false">
      <c r="A301" s="184"/>
      <c r="B301" s="184"/>
      <c r="C301" s="184"/>
      <c r="D301" s="184"/>
      <c r="E301" s="184"/>
      <c r="F301" s="184"/>
      <c r="G301" s="184"/>
      <c r="H301" s="184"/>
      <c r="I301" s="184"/>
      <c r="J301" s="184"/>
      <c r="K301" s="184"/>
      <c r="L301" s="184"/>
      <c r="M301" s="184"/>
      <c r="N301" s="184"/>
      <c r="O301" s="184"/>
    </row>
    <row r="302" customFormat="false" ht="15" hidden="false" customHeight="true" outlineLevel="0" collapsed="false">
      <c r="A302" s="184"/>
      <c r="B302" s="184"/>
      <c r="C302" s="184"/>
      <c r="D302" s="184"/>
      <c r="E302" s="184"/>
      <c r="F302" s="184"/>
      <c r="G302" s="184"/>
      <c r="H302" s="184"/>
      <c r="I302" s="184"/>
      <c r="J302" s="184"/>
      <c r="K302" s="184"/>
      <c r="L302" s="184"/>
      <c r="M302" s="184"/>
      <c r="N302" s="184"/>
      <c r="O302" s="184"/>
    </row>
    <row r="303" customFormat="false" ht="15" hidden="false" customHeight="true" outlineLevel="0" collapsed="false">
      <c r="A303" s="184"/>
      <c r="B303" s="184"/>
      <c r="C303" s="184"/>
      <c r="D303" s="184"/>
      <c r="E303" s="184"/>
      <c r="F303" s="184"/>
      <c r="G303" s="184"/>
      <c r="H303" s="184"/>
      <c r="I303" s="184"/>
      <c r="J303" s="184"/>
      <c r="K303" s="184"/>
      <c r="L303" s="184"/>
      <c r="M303" s="184"/>
      <c r="N303" s="184"/>
      <c r="O303" s="184"/>
    </row>
    <row r="304" customFormat="false" ht="15" hidden="false" customHeight="true" outlineLevel="0" collapsed="false">
      <c r="A304" s="184"/>
      <c r="B304" s="184"/>
      <c r="C304" s="184"/>
      <c r="D304" s="184"/>
      <c r="E304" s="184"/>
      <c r="F304" s="184"/>
      <c r="G304" s="184"/>
      <c r="H304" s="184"/>
      <c r="I304" s="184"/>
      <c r="J304" s="184"/>
      <c r="K304" s="184"/>
      <c r="L304" s="184"/>
      <c r="M304" s="184"/>
      <c r="N304" s="184"/>
      <c r="O304" s="184"/>
    </row>
    <row r="305" customFormat="false" ht="15" hidden="false" customHeight="true" outlineLevel="0" collapsed="false">
      <c r="A305" s="184"/>
      <c r="B305" s="184"/>
      <c r="C305" s="184"/>
      <c r="D305" s="184"/>
      <c r="E305" s="184"/>
      <c r="F305" s="184"/>
      <c r="G305" s="184"/>
      <c r="H305" s="184"/>
      <c r="I305" s="184"/>
      <c r="J305" s="184"/>
      <c r="K305" s="184"/>
      <c r="L305" s="184"/>
      <c r="M305" s="184"/>
      <c r="N305" s="184"/>
      <c r="O305" s="184"/>
    </row>
    <row r="306" customFormat="false" ht="15" hidden="false" customHeight="true" outlineLevel="0" collapsed="false">
      <c r="A306" s="184" t="s">
        <v>4879</v>
      </c>
      <c r="B306" s="184" t="s">
        <v>4880</v>
      </c>
      <c r="C306" s="184" t="n">
        <v>1</v>
      </c>
      <c r="D306" s="178" t="s">
        <v>5269</v>
      </c>
      <c r="E306" s="184" t="s">
        <v>6289</v>
      </c>
      <c r="F306" s="184"/>
      <c r="G306" s="184"/>
      <c r="H306" s="184"/>
      <c r="I306" s="184"/>
      <c r="J306" s="184"/>
      <c r="K306" s="184"/>
      <c r="L306" s="184"/>
      <c r="M306" s="184" t="s">
        <v>6428</v>
      </c>
      <c r="N306" s="184"/>
      <c r="O306" s="184"/>
    </row>
    <row r="307" customFormat="false" ht="15" hidden="false" customHeight="true" outlineLevel="0" collapsed="false">
      <c r="A307" s="184" t="s">
        <v>4879</v>
      </c>
      <c r="B307" s="184" t="s">
        <v>4880</v>
      </c>
      <c r="C307" s="184" t="n">
        <v>2</v>
      </c>
      <c r="D307" s="177" t="s">
        <v>6429</v>
      </c>
      <c r="E307" s="184" t="s">
        <v>6430</v>
      </c>
      <c r="F307" s="184"/>
      <c r="G307" s="184"/>
      <c r="H307" s="184"/>
      <c r="I307" s="184"/>
      <c r="J307" s="184"/>
      <c r="K307" s="184"/>
      <c r="L307" s="184"/>
      <c r="M307" s="184"/>
      <c r="N307" s="184"/>
      <c r="O307" s="184"/>
    </row>
    <row r="308" customFormat="false" ht="15" hidden="false" customHeight="true" outlineLevel="0" collapsed="false">
      <c r="A308" s="184" t="s">
        <v>4879</v>
      </c>
      <c r="B308" s="184" t="s">
        <v>4880</v>
      </c>
      <c r="C308" s="184" t="n">
        <v>3</v>
      </c>
      <c r="D308" s="179" t="s">
        <v>6292</v>
      </c>
      <c r="E308" s="184" t="s">
        <v>6431</v>
      </c>
      <c r="F308" s="184"/>
      <c r="G308" s="184"/>
      <c r="H308" s="184"/>
      <c r="I308" s="184"/>
      <c r="J308" s="184"/>
      <c r="K308" s="184"/>
      <c r="L308" s="184"/>
      <c r="M308" s="184"/>
      <c r="N308" s="184"/>
      <c r="O308" s="184"/>
    </row>
    <row r="309" customFormat="false" ht="15" hidden="false" customHeight="true" outlineLevel="0" collapsed="false">
      <c r="A309" s="184" t="s">
        <v>4879</v>
      </c>
      <c r="B309" s="184" t="s">
        <v>4880</v>
      </c>
      <c r="C309" s="184" t="n">
        <v>4</v>
      </c>
      <c r="D309" s="184" t="s">
        <v>6294</v>
      </c>
      <c r="E309" s="184" t="s">
        <v>6432</v>
      </c>
      <c r="F309" s="184"/>
      <c r="G309" s="184"/>
      <c r="H309" s="184"/>
      <c r="I309" s="184"/>
      <c r="J309" s="184"/>
      <c r="K309" s="184"/>
      <c r="L309" s="184"/>
      <c r="M309" s="184"/>
      <c r="N309" s="184"/>
      <c r="O309" s="184"/>
    </row>
    <row r="310" customFormat="false" ht="15" hidden="false" customHeight="true" outlineLevel="0" collapsed="false">
      <c r="A310" s="184" t="s">
        <v>4879</v>
      </c>
      <c r="B310" s="184" t="s">
        <v>4880</v>
      </c>
      <c r="C310" s="184" t="n">
        <v>5</v>
      </c>
      <c r="D310" s="174" t="s">
        <v>4846</v>
      </c>
      <c r="E310" s="184" t="s">
        <v>6433</v>
      </c>
      <c r="F310" s="184"/>
      <c r="G310" s="184"/>
      <c r="H310" s="184"/>
      <c r="I310" s="184"/>
      <c r="J310" s="184" t="s">
        <v>1278</v>
      </c>
      <c r="K310" s="184"/>
      <c r="L310" s="184"/>
      <c r="M310" s="184"/>
      <c r="N310" s="184"/>
      <c r="O310" s="184"/>
    </row>
    <row r="311" customFormat="false" ht="54.75" hidden="false" customHeight="true" outlineLevel="0" collapsed="false">
      <c r="A311" s="184" t="s">
        <v>4879</v>
      </c>
      <c r="B311" s="184" t="s">
        <v>4880</v>
      </c>
      <c r="C311" s="184" t="n">
        <v>6</v>
      </c>
      <c r="D311" s="174" t="s">
        <v>4846</v>
      </c>
      <c r="E311" s="184" t="s">
        <v>6434</v>
      </c>
      <c r="F311" s="184"/>
      <c r="G311" s="184"/>
      <c r="H311" s="184"/>
      <c r="I311" s="184"/>
      <c r="J311" s="184" t="s">
        <v>6435</v>
      </c>
      <c r="K311" s="184"/>
      <c r="L311" s="184"/>
      <c r="M311" s="184" t="s">
        <v>6436</v>
      </c>
      <c r="N311" s="184"/>
      <c r="O311" s="184"/>
    </row>
    <row r="312" customFormat="false" ht="15" hidden="false" customHeight="true" outlineLevel="0" collapsed="false">
      <c r="A312" s="184" t="s">
        <v>4879</v>
      </c>
      <c r="B312" s="184" t="s">
        <v>4880</v>
      </c>
      <c r="C312" s="184" t="n">
        <v>7</v>
      </c>
      <c r="D312" s="174" t="s">
        <v>4846</v>
      </c>
      <c r="E312" s="184" t="s">
        <v>6437</v>
      </c>
      <c r="F312" s="184"/>
      <c r="G312" s="184"/>
      <c r="H312" s="184"/>
      <c r="I312" s="184"/>
      <c r="J312" s="184" t="s">
        <v>6372</v>
      </c>
      <c r="K312" s="184"/>
      <c r="L312" s="184"/>
      <c r="M312" s="184"/>
      <c r="N312" s="184"/>
      <c r="O312" s="184"/>
    </row>
    <row r="313" customFormat="false" ht="15" hidden="false" customHeight="true" outlineLevel="0" collapsed="false">
      <c r="A313" s="184" t="s">
        <v>4879</v>
      </c>
      <c r="B313" s="184" t="s">
        <v>4880</v>
      </c>
      <c r="C313" s="184" t="n">
        <v>8</v>
      </c>
      <c r="D313" s="174" t="s">
        <v>4846</v>
      </c>
      <c r="E313" s="184" t="s">
        <v>6438</v>
      </c>
      <c r="F313" s="184"/>
      <c r="G313" s="184"/>
      <c r="H313" s="184"/>
      <c r="I313" s="184"/>
      <c r="J313" s="184" t="s">
        <v>6439</v>
      </c>
      <c r="K313" s="184"/>
      <c r="L313" s="184"/>
      <c r="M313" s="184"/>
      <c r="N313" s="184"/>
      <c r="O313" s="184"/>
    </row>
    <row r="314" customFormat="false" ht="95.25" hidden="false" customHeight="true" outlineLevel="0" collapsed="false">
      <c r="A314" s="184" t="s">
        <v>4879</v>
      </c>
      <c r="B314" s="184" t="s">
        <v>4880</v>
      </c>
      <c r="C314" s="184" t="n">
        <v>9</v>
      </c>
      <c r="D314" s="174" t="s">
        <v>4848</v>
      </c>
      <c r="E314" s="184" t="s">
        <v>6440</v>
      </c>
      <c r="F314" s="184"/>
      <c r="G314" s="184"/>
      <c r="H314" s="184"/>
      <c r="I314" s="184"/>
      <c r="J314" s="184" t="s">
        <v>236</v>
      </c>
      <c r="K314" s="184"/>
      <c r="L314" s="184" t="s">
        <v>5207</v>
      </c>
      <c r="M314" s="184" t="s">
        <v>6441</v>
      </c>
      <c r="N314" s="184" t="s">
        <v>6442</v>
      </c>
      <c r="O314" s="184"/>
    </row>
    <row r="315" customFormat="false" ht="15" hidden="false" customHeight="true" outlineLevel="0" collapsed="false">
      <c r="A315" s="184" t="s">
        <v>4879</v>
      </c>
      <c r="B315" s="184" t="s">
        <v>4880</v>
      </c>
      <c r="C315" s="184" t="n">
        <v>10</v>
      </c>
      <c r="D315" s="174" t="s">
        <v>4848</v>
      </c>
      <c r="E315" s="184" t="s">
        <v>6443</v>
      </c>
      <c r="F315" s="184"/>
      <c r="G315" s="184"/>
      <c r="H315" s="184"/>
      <c r="I315" s="184"/>
      <c r="J315" s="184"/>
      <c r="K315" s="184"/>
      <c r="L315" s="184" t="s">
        <v>5207</v>
      </c>
      <c r="M315" s="184"/>
      <c r="N315" s="184"/>
      <c r="O315" s="184"/>
    </row>
    <row r="316" customFormat="false" ht="95.25" hidden="false" customHeight="true" outlineLevel="0" collapsed="false">
      <c r="A316" s="184" t="s">
        <v>4879</v>
      </c>
      <c r="B316" s="184" t="s">
        <v>4880</v>
      </c>
      <c r="C316" s="184" t="n">
        <v>11</v>
      </c>
      <c r="D316" s="174" t="s">
        <v>4846</v>
      </c>
      <c r="E316" s="184" t="s">
        <v>6444</v>
      </c>
      <c r="F316" s="184"/>
      <c r="G316" s="184"/>
      <c r="H316" s="184"/>
      <c r="I316" s="184"/>
      <c r="J316" s="184" t="s">
        <v>6445</v>
      </c>
      <c r="K316" s="184"/>
      <c r="L316" s="184"/>
      <c r="M316" s="184" t="s">
        <v>6441</v>
      </c>
      <c r="N316" s="184"/>
      <c r="O316" s="184"/>
    </row>
    <row r="317" customFormat="false" ht="15" hidden="false" customHeight="true" outlineLevel="0" collapsed="false">
      <c r="A317" s="184" t="s">
        <v>4879</v>
      </c>
      <c r="B317" s="184" t="s">
        <v>4880</v>
      </c>
      <c r="C317" s="184" t="n">
        <v>12</v>
      </c>
      <c r="D317" s="174" t="s">
        <v>4846</v>
      </c>
      <c r="E317" s="184" t="s">
        <v>6434</v>
      </c>
      <c r="F317" s="184"/>
      <c r="G317" s="184"/>
      <c r="H317" s="184"/>
      <c r="I317" s="184"/>
      <c r="J317" s="184" t="s">
        <v>6325</v>
      </c>
      <c r="K317" s="184"/>
      <c r="L317" s="184"/>
      <c r="M317" s="184"/>
      <c r="N317" s="184"/>
      <c r="O317" s="184"/>
    </row>
    <row r="318" customFormat="false" ht="15" hidden="false" customHeight="true" outlineLevel="0" collapsed="false">
      <c r="A318" s="184" t="s">
        <v>4879</v>
      </c>
      <c r="B318" s="184" t="s">
        <v>4880</v>
      </c>
      <c r="C318" s="184" t="n">
        <v>13</v>
      </c>
      <c r="D318" s="174" t="s">
        <v>4846</v>
      </c>
      <c r="E318" s="184" t="s">
        <v>6437</v>
      </c>
      <c r="F318" s="184"/>
      <c r="G318" s="184"/>
      <c r="H318" s="184"/>
      <c r="I318" s="184"/>
      <c r="J318" s="184" t="s">
        <v>6325</v>
      </c>
      <c r="K318" s="184"/>
      <c r="L318" s="184"/>
      <c r="M318" s="184"/>
      <c r="N318" s="184"/>
      <c r="O318" s="184"/>
    </row>
    <row r="319" customFormat="false" ht="15" hidden="false" customHeight="true" outlineLevel="0" collapsed="false">
      <c r="A319" s="184" t="s">
        <v>4879</v>
      </c>
      <c r="B319" s="184" t="s">
        <v>4880</v>
      </c>
      <c r="C319" s="184" t="n">
        <v>14</v>
      </c>
      <c r="D319" s="174" t="s">
        <v>4846</v>
      </c>
      <c r="E319" s="184" t="s">
        <v>6438</v>
      </c>
      <c r="F319" s="184"/>
      <c r="G319" s="184"/>
      <c r="H319" s="184"/>
      <c r="I319" s="184"/>
      <c r="J319" s="184" t="s">
        <v>6446</v>
      </c>
      <c r="K319" s="184"/>
      <c r="L319" s="184"/>
      <c r="M319" s="184"/>
      <c r="N319" s="184"/>
      <c r="O319" s="184"/>
    </row>
    <row r="320" customFormat="false" ht="15" hidden="false" customHeight="true" outlineLevel="0" collapsed="false">
      <c r="A320" s="184" t="s">
        <v>4879</v>
      </c>
      <c r="B320" s="184" t="s">
        <v>4880</v>
      </c>
      <c r="C320" s="184" t="n">
        <v>15</v>
      </c>
      <c r="D320" s="174" t="s">
        <v>4846</v>
      </c>
      <c r="E320" s="184" t="s">
        <v>6447</v>
      </c>
      <c r="F320" s="184" t="s">
        <v>227</v>
      </c>
      <c r="G320" s="184"/>
      <c r="H320" s="184"/>
      <c r="I320" s="184"/>
      <c r="J320" s="184" t="s">
        <v>6448</v>
      </c>
      <c r="K320" s="184"/>
      <c r="L320" s="184"/>
      <c r="M320" s="184"/>
      <c r="N320" s="184"/>
      <c r="O320" s="184"/>
    </row>
    <row r="321" customFormat="false" ht="15" hidden="false" customHeight="true" outlineLevel="0" collapsed="false">
      <c r="A321" s="184" t="s">
        <v>4879</v>
      </c>
      <c r="B321" s="184" t="s">
        <v>4880</v>
      </c>
      <c r="C321" s="184" t="n">
        <v>16</v>
      </c>
      <c r="D321" s="174" t="s">
        <v>4848</v>
      </c>
      <c r="E321" s="184" t="s">
        <v>6449</v>
      </c>
      <c r="F321" s="184"/>
      <c r="G321" s="184"/>
      <c r="H321" s="184"/>
      <c r="I321" s="184"/>
      <c r="J321" s="184" t="s">
        <v>6330</v>
      </c>
      <c r="K321" s="184"/>
      <c r="L321" s="184" t="s">
        <v>6450</v>
      </c>
      <c r="M321" s="184"/>
      <c r="N321" s="184"/>
      <c r="O321" s="184"/>
    </row>
    <row r="322" customFormat="false" ht="15" hidden="false" customHeight="true" outlineLevel="0" collapsed="false">
      <c r="A322" s="184" t="s">
        <v>4879</v>
      </c>
      <c r="B322" s="184" t="s">
        <v>4880</v>
      </c>
      <c r="C322" s="184" t="n">
        <v>17</v>
      </c>
      <c r="D322" s="178" t="s">
        <v>5269</v>
      </c>
      <c r="E322" s="184" t="s">
        <v>6451</v>
      </c>
      <c r="F322" s="184"/>
      <c r="G322" s="184"/>
      <c r="H322" s="184"/>
      <c r="I322" s="184"/>
      <c r="J322" s="184"/>
      <c r="K322" s="184"/>
      <c r="L322" s="184"/>
      <c r="M322" s="184" t="s">
        <v>6452</v>
      </c>
      <c r="N322" s="184"/>
      <c r="O322" s="184"/>
    </row>
    <row r="323" customFormat="false" ht="15" hidden="false" customHeight="true" outlineLevel="0" collapsed="false">
      <c r="A323" s="184"/>
      <c r="B323" s="184"/>
      <c r="C323" s="184"/>
      <c r="D323" s="184"/>
      <c r="E323" s="184"/>
      <c r="F323" s="184"/>
      <c r="G323" s="184"/>
      <c r="H323" s="184"/>
      <c r="I323" s="184"/>
      <c r="J323" s="184"/>
      <c r="K323" s="184"/>
      <c r="L323" s="184"/>
      <c r="M323" s="184"/>
      <c r="N323" s="184"/>
      <c r="O323" s="184"/>
    </row>
    <row r="324" customFormat="false" ht="15" hidden="false" customHeight="true" outlineLevel="0" collapsed="false">
      <c r="A324" s="184"/>
      <c r="B324" s="184"/>
      <c r="C324" s="184"/>
      <c r="D324" s="184"/>
      <c r="E324" s="184"/>
      <c r="F324" s="184"/>
      <c r="G324" s="184"/>
      <c r="H324" s="184"/>
      <c r="I324" s="184"/>
      <c r="J324" s="184"/>
      <c r="K324" s="184"/>
      <c r="L324" s="184"/>
      <c r="M324" s="184"/>
      <c r="N324" s="184"/>
      <c r="O324" s="184"/>
    </row>
    <row r="325" customFormat="false" ht="15" hidden="false" customHeight="true" outlineLevel="0" collapsed="false">
      <c r="A325" s="184"/>
      <c r="B325" s="184"/>
      <c r="C325" s="184"/>
      <c r="D325" s="184"/>
      <c r="E325" s="184"/>
      <c r="F325" s="184"/>
      <c r="G325" s="184"/>
      <c r="H325" s="184"/>
      <c r="I325" s="184"/>
      <c r="J325" s="184"/>
      <c r="K325" s="184"/>
      <c r="L325" s="184"/>
      <c r="M325" s="184"/>
      <c r="N325" s="184"/>
      <c r="O325" s="184"/>
    </row>
    <row r="326" customFormat="false" ht="15" hidden="false" customHeight="true" outlineLevel="0" collapsed="false">
      <c r="A326" s="184"/>
      <c r="B326" s="184"/>
      <c r="C326" s="184"/>
      <c r="D326" s="184"/>
      <c r="E326" s="184"/>
      <c r="F326" s="184"/>
      <c r="G326" s="184"/>
      <c r="H326" s="184"/>
      <c r="I326" s="184"/>
      <c r="J326" s="184"/>
      <c r="K326" s="184"/>
      <c r="L326" s="184"/>
      <c r="M326" s="184"/>
      <c r="N326" s="184"/>
      <c r="O326" s="184"/>
    </row>
    <row r="327" customFormat="false" ht="15" hidden="false" customHeight="true" outlineLevel="0" collapsed="false">
      <c r="A327" s="184"/>
      <c r="B327" s="184"/>
      <c r="C327" s="184"/>
      <c r="D327" s="184"/>
      <c r="E327" s="184"/>
      <c r="F327" s="184"/>
      <c r="G327" s="184"/>
      <c r="H327" s="184"/>
      <c r="I327" s="184"/>
      <c r="J327" s="184"/>
      <c r="K327" s="184"/>
      <c r="L327" s="184"/>
      <c r="M327" s="184"/>
      <c r="N327" s="184"/>
      <c r="O327" s="184"/>
    </row>
    <row r="328" customFormat="false" ht="15" hidden="false" customHeight="true" outlineLevel="0" collapsed="false">
      <c r="A328" s="184"/>
      <c r="B328" s="184"/>
      <c r="C328" s="184"/>
      <c r="D328" s="184"/>
      <c r="E328" s="184"/>
      <c r="F328" s="184"/>
      <c r="G328" s="184"/>
      <c r="H328" s="184"/>
      <c r="I328" s="184"/>
      <c r="J328" s="184"/>
      <c r="K328" s="184"/>
      <c r="L328" s="184"/>
      <c r="M328" s="184"/>
      <c r="N328" s="184"/>
      <c r="O328" s="184"/>
    </row>
    <row r="329" customFormat="false" ht="15" hidden="false" customHeight="true" outlineLevel="0" collapsed="false">
      <c r="A329" s="184"/>
      <c r="B329" s="184"/>
      <c r="C329" s="184"/>
      <c r="D329" s="184"/>
      <c r="E329" s="184"/>
      <c r="F329" s="184"/>
      <c r="G329" s="184"/>
      <c r="H329" s="184"/>
      <c r="I329" s="184"/>
      <c r="J329" s="184"/>
      <c r="K329" s="184"/>
      <c r="L329" s="184"/>
      <c r="M329" s="184"/>
      <c r="N329" s="184"/>
      <c r="O329" s="184"/>
    </row>
    <row r="330" customFormat="false" ht="15" hidden="false" customHeight="true" outlineLevel="0" collapsed="false">
      <c r="A330" s="184"/>
      <c r="B330" s="184"/>
      <c r="C330" s="184"/>
      <c r="D330" s="184"/>
      <c r="E330" s="184"/>
      <c r="F330" s="184"/>
      <c r="G330" s="184"/>
      <c r="H330" s="184"/>
      <c r="I330" s="184"/>
      <c r="J330" s="184"/>
      <c r="K330" s="184"/>
      <c r="L330" s="184"/>
      <c r="M330" s="184"/>
      <c r="N330" s="184"/>
      <c r="O330" s="184"/>
    </row>
    <row r="331" customFormat="false" ht="15" hidden="false" customHeight="true" outlineLevel="0" collapsed="false">
      <c r="A331" s="184"/>
      <c r="B331" s="184"/>
      <c r="C331" s="184"/>
      <c r="D331" s="184"/>
      <c r="E331" s="184"/>
      <c r="F331" s="184"/>
      <c r="G331" s="184"/>
      <c r="H331" s="184"/>
      <c r="I331" s="184"/>
      <c r="J331" s="184"/>
      <c r="K331" s="184"/>
      <c r="L331" s="184"/>
      <c r="M331" s="184"/>
      <c r="N331" s="184"/>
      <c r="O331" s="184"/>
    </row>
    <row r="332" customFormat="false" ht="15" hidden="false" customHeight="true" outlineLevel="0" collapsed="false">
      <c r="A332" s="184"/>
      <c r="B332" s="184"/>
      <c r="C332" s="184"/>
      <c r="D332" s="184"/>
      <c r="E332" s="184"/>
      <c r="F332" s="184"/>
      <c r="G332" s="184"/>
      <c r="H332" s="184"/>
      <c r="I332" s="184"/>
      <c r="J332" s="184"/>
      <c r="K332" s="184"/>
      <c r="L332" s="184"/>
      <c r="M332" s="184"/>
      <c r="N332" s="184"/>
      <c r="O332" s="184"/>
    </row>
    <row r="333" customFormat="false" ht="15" hidden="false" customHeight="true" outlineLevel="0" collapsed="false">
      <c r="A333" s="184"/>
      <c r="B333" s="184"/>
      <c r="C333" s="184"/>
      <c r="D333" s="184"/>
      <c r="E333" s="184"/>
      <c r="F333" s="184"/>
      <c r="G333" s="184"/>
      <c r="H333" s="184"/>
      <c r="I333" s="184"/>
      <c r="J333" s="184"/>
      <c r="K333" s="184"/>
      <c r="L333" s="184"/>
      <c r="M333" s="184"/>
      <c r="N333" s="184"/>
      <c r="O333" s="184"/>
    </row>
    <row r="334" customFormat="false" ht="15" hidden="false" customHeight="true" outlineLevel="0" collapsed="false">
      <c r="A334" s="184"/>
      <c r="B334" s="184"/>
      <c r="C334" s="184"/>
      <c r="D334" s="184"/>
      <c r="E334" s="184"/>
      <c r="F334" s="184"/>
      <c r="G334" s="184"/>
      <c r="H334" s="184"/>
      <c r="I334" s="184"/>
      <c r="J334" s="184"/>
      <c r="K334" s="184"/>
      <c r="L334" s="184"/>
      <c r="M334" s="184"/>
      <c r="N334" s="184"/>
      <c r="O334" s="184"/>
    </row>
    <row r="335" customFormat="false" ht="15" hidden="false" customHeight="true" outlineLevel="0" collapsed="false">
      <c r="A335" s="184"/>
      <c r="B335" s="184"/>
      <c r="C335" s="184"/>
      <c r="D335" s="184"/>
      <c r="E335" s="184"/>
      <c r="F335" s="184"/>
      <c r="G335" s="184"/>
      <c r="H335" s="184"/>
      <c r="I335" s="184"/>
      <c r="J335" s="184"/>
      <c r="K335" s="184"/>
      <c r="L335" s="184"/>
      <c r="M335" s="184"/>
      <c r="N335" s="184"/>
      <c r="O335" s="184"/>
    </row>
    <row r="336" customFormat="false" ht="15" hidden="false" customHeight="true" outlineLevel="0" collapsed="false">
      <c r="A336" s="184"/>
      <c r="B336" s="184"/>
      <c r="C336" s="184"/>
      <c r="D336" s="184"/>
      <c r="E336" s="184"/>
      <c r="F336" s="184"/>
      <c r="G336" s="184"/>
      <c r="H336" s="184"/>
      <c r="I336" s="184"/>
      <c r="J336" s="184"/>
      <c r="K336" s="184"/>
      <c r="L336" s="184"/>
      <c r="M336" s="184"/>
      <c r="N336" s="184"/>
      <c r="O336" s="184"/>
    </row>
    <row r="337" customFormat="false" ht="15" hidden="false" customHeight="true" outlineLevel="0" collapsed="false">
      <c r="A337" s="184"/>
      <c r="B337" s="184"/>
      <c r="C337" s="184"/>
      <c r="D337" s="184"/>
      <c r="E337" s="184"/>
      <c r="F337" s="184"/>
      <c r="G337" s="184"/>
      <c r="H337" s="184"/>
      <c r="I337" s="184"/>
      <c r="J337" s="184"/>
      <c r="K337" s="184"/>
      <c r="L337" s="184"/>
      <c r="M337" s="184"/>
      <c r="N337" s="184"/>
      <c r="O337" s="184"/>
    </row>
    <row r="338" customFormat="false" ht="15" hidden="false" customHeight="true" outlineLevel="0" collapsed="false">
      <c r="A338" s="184"/>
      <c r="B338" s="184"/>
      <c r="C338" s="184"/>
      <c r="D338" s="184"/>
      <c r="E338" s="184"/>
      <c r="F338" s="184"/>
      <c r="G338" s="184"/>
      <c r="H338" s="184"/>
      <c r="I338" s="184"/>
      <c r="J338" s="184"/>
      <c r="K338" s="184"/>
      <c r="L338" s="184"/>
      <c r="M338" s="184"/>
      <c r="N338" s="184"/>
      <c r="O338" s="184"/>
    </row>
    <row r="339" customFormat="false" ht="15" hidden="false" customHeight="true" outlineLevel="0" collapsed="false">
      <c r="A339" s="184"/>
      <c r="B339" s="184"/>
      <c r="C339" s="184"/>
      <c r="D339" s="184"/>
      <c r="E339" s="184"/>
      <c r="F339" s="184"/>
      <c r="G339" s="184"/>
      <c r="H339" s="184"/>
      <c r="I339" s="184"/>
      <c r="J339" s="184"/>
      <c r="K339" s="184"/>
      <c r="L339" s="184"/>
      <c r="M339" s="184"/>
      <c r="N339" s="184"/>
      <c r="O339" s="184"/>
    </row>
    <row r="340" customFormat="false" ht="15" hidden="false" customHeight="true" outlineLevel="0" collapsed="false">
      <c r="A340" s="184"/>
      <c r="B340" s="184"/>
      <c r="C340" s="184"/>
      <c r="D340" s="184"/>
      <c r="E340" s="184"/>
      <c r="F340" s="184"/>
      <c r="G340" s="184"/>
      <c r="H340" s="184"/>
      <c r="I340" s="184"/>
      <c r="J340" s="184"/>
      <c r="K340" s="184"/>
      <c r="L340" s="184"/>
      <c r="M340" s="184"/>
      <c r="N340" s="184"/>
      <c r="O340" s="184"/>
    </row>
    <row r="341" customFormat="false" ht="15" hidden="false" customHeight="true" outlineLevel="0" collapsed="false">
      <c r="A341" s="184"/>
      <c r="B341" s="184"/>
      <c r="C341" s="184"/>
      <c r="D341" s="184"/>
      <c r="E341" s="184"/>
      <c r="F341" s="184"/>
      <c r="G341" s="184"/>
      <c r="H341" s="184"/>
      <c r="I341" s="184"/>
      <c r="J341" s="184"/>
      <c r="K341" s="184"/>
      <c r="L341" s="184"/>
      <c r="M341" s="184"/>
      <c r="N341" s="184"/>
      <c r="O341" s="184"/>
    </row>
    <row r="342" customFormat="false" ht="15" hidden="false" customHeight="true" outlineLevel="0" collapsed="false">
      <c r="A342" s="184"/>
      <c r="B342" s="184"/>
      <c r="C342" s="184"/>
      <c r="D342" s="184"/>
      <c r="E342" s="184"/>
      <c r="F342" s="184"/>
      <c r="G342" s="184"/>
      <c r="H342" s="184"/>
      <c r="I342" s="184"/>
      <c r="J342" s="184"/>
      <c r="K342" s="184"/>
      <c r="L342" s="184"/>
      <c r="M342" s="184"/>
      <c r="N342" s="184"/>
      <c r="O342" s="184"/>
    </row>
    <row r="343" customFormat="false" ht="15" hidden="false" customHeight="true" outlineLevel="0" collapsed="false">
      <c r="A343" s="184"/>
      <c r="B343" s="184"/>
      <c r="C343" s="184"/>
      <c r="D343" s="184"/>
      <c r="E343" s="184"/>
      <c r="F343" s="184"/>
      <c r="G343" s="184"/>
      <c r="H343" s="184"/>
      <c r="I343" s="184"/>
      <c r="J343" s="184"/>
      <c r="K343" s="184"/>
      <c r="L343" s="184"/>
      <c r="M343" s="184"/>
      <c r="N343" s="184"/>
      <c r="O343" s="184"/>
    </row>
    <row r="344" customFormat="false" ht="15" hidden="false" customHeight="true" outlineLevel="0" collapsed="false">
      <c r="A344" s="184"/>
      <c r="B344" s="184"/>
      <c r="C344" s="184"/>
      <c r="D344" s="184"/>
      <c r="E344" s="184"/>
      <c r="F344" s="184"/>
      <c r="G344" s="184"/>
      <c r="H344" s="184"/>
      <c r="I344" s="184"/>
      <c r="J344" s="184"/>
      <c r="K344" s="184"/>
      <c r="L344" s="184"/>
      <c r="M344" s="184"/>
      <c r="N344" s="184"/>
      <c r="O344" s="184"/>
    </row>
    <row r="345" customFormat="false" ht="15" hidden="false" customHeight="true" outlineLevel="0" collapsed="false">
      <c r="A345" s="184"/>
      <c r="B345" s="184"/>
      <c r="C345" s="184"/>
      <c r="D345" s="184"/>
      <c r="E345" s="184"/>
      <c r="F345" s="184"/>
      <c r="G345" s="184"/>
      <c r="H345" s="184"/>
      <c r="I345" s="184"/>
      <c r="J345" s="184"/>
      <c r="K345" s="184"/>
      <c r="L345" s="184"/>
      <c r="M345" s="184"/>
      <c r="N345" s="184"/>
      <c r="O345" s="184"/>
    </row>
    <row r="346" customFormat="false" ht="15" hidden="false" customHeight="true" outlineLevel="0" collapsed="false">
      <c r="A346" s="184"/>
      <c r="B346" s="184"/>
      <c r="C346" s="184"/>
      <c r="D346" s="184"/>
      <c r="E346" s="184"/>
      <c r="F346" s="184"/>
      <c r="G346" s="184"/>
      <c r="H346" s="184"/>
      <c r="I346" s="184"/>
      <c r="J346" s="184"/>
      <c r="K346" s="184"/>
      <c r="L346" s="184"/>
      <c r="M346" s="184"/>
      <c r="N346" s="184"/>
      <c r="O346" s="184"/>
    </row>
    <row r="347" customFormat="false" ht="15" hidden="false" customHeight="true" outlineLevel="0" collapsed="false">
      <c r="A347" s="184"/>
      <c r="B347" s="184"/>
      <c r="C347" s="184"/>
      <c r="D347" s="184"/>
      <c r="E347" s="184"/>
      <c r="F347" s="184"/>
      <c r="G347" s="184"/>
      <c r="H347" s="184"/>
      <c r="I347" s="184"/>
      <c r="J347" s="184"/>
      <c r="K347" s="184"/>
      <c r="L347" s="184"/>
      <c r="M347" s="184"/>
      <c r="N347" s="184"/>
      <c r="O347" s="184"/>
    </row>
    <row r="348" customFormat="false" ht="15" hidden="false" customHeight="true" outlineLevel="0" collapsed="false">
      <c r="A348" s="184"/>
      <c r="B348" s="184"/>
      <c r="C348" s="184"/>
      <c r="D348" s="184"/>
      <c r="E348" s="184"/>
      <c r="F348" s="184"/>
      <c r="G348" s="184"/>
      <c r="H348" s="184"/>
      <c r="I348" s="184"/>
      <c r="J348" s="184"/>
      <c r="K348" s="184"/>
      <c r="L348" s="184"/>
      <c r="M348" s="184"/>
      <c r="N348" s="184"/>
      <c r="O348" s="184"/>
    </row>
    <row r="349" customFormat="false" ht="15" hidden="false" customHeight="true" outlineLevel="0" collapsed="false">
      <c r="A349" s="184"/>
      <c r="B349" s="184"/>
      <c r="C349" s="184"/>
      <c r="D349" s="184"/>
      <c r="E349" s="184"/>
      <c r="F349" s="184"/>
      <c r="G349" s="184"/>
      <c r="H349" s="184"/>
      <c r="I349" s="184"/>
      <c r="J349" s="184"/>
      <c r="K349" s="184"/>
      <c r="L349" s="184"/>
      <c r="M349" s="184"/>
      <c r="N349" s="184"/>
      <c r="O349" s="184"/>
    </row>
    <row r="350" customFormat="false" ht="15" hidden="false" customHeight="true" outlineLevel="0" collapsed="false">
      <c r="A350" s="184"/>
      <c r="B350" s="184"/>
      <c r="C350" s="184"/>
      <c r="D350" s="184"/>
      <c r="E350" s="184"/>
      <c r="F350" s="184"/>
      <c r="G350" s="184"/>
      <c r="H350" s="184"/>
      <c r="I350" s="184"/>
      <c r="J350" s="184"/>
      <c r="K350" s="184"/>
      <c r="L350" s="184"/>
      <c r="M350" s="184"/>
      <c r="N350" s="184"/>
      <c r="O350" s="184"/>
    </row>
    <row r="351" customFormat="false" ht="15" hidden="false" customHeight="true" outlineLevel="0" collapsed="false">
      <c r="A351" s="184"/>
      <c r="B351" s="184"/>
      <c r="C351" s="184"/>
      <c r="D351" s="184"/>
      <c r="E351" s="184"/>
      <c r="F351" s="184"/>
      <c r="G351" s="184"/>
      <c r="H351" s="184"/>
      <c r="I351" s="184"/>
      <c r="J351" s="184"/>
      <c r="K351" s="184"/>
      <c r="L351" s="184"/>
      <c r="M351" s="184"/>
      <c r="N351" s="184"/>
      <c r="O351" s="184"/>
    </row>
    <row r="352" customFormat="false" ht="15" hidden="false" customHeight="true" outlineLevel="0" collapsed="false">
      <c r="A352" s="184"/>
      <c r="B352" s="184"/>
      <c r="C352" s="184"/>
      <c r="D352" s="184"/>
      <c r="E352" s="184"/>
      <c r="F352" s="184"/>
      <c r="G352" s="184"/>
      <c r="H352" s="184"/>
      <c r="I352" s="184"/>
      <c r="J352" s="184"/>
      <c r="K352" s="184"/>
      <c r="L352" s="184"/>
      <c r="M352" s="184"/>
      <c r="N352" s="184"/>
      <c r="O352" s="184"/>
    </row>
    <row r="353" customFormat="false" ht="15" hidden="false" customHeight="true" outlineLevel="0" collapsed="false">
      <c r="A353" s="184"/>
      <c r="B353" s="184"/>
      <c r="C353" s="184"/>
      <c r="D353" s="184"/>
      <c r="E353" s="184"/>
      <c r="F353" s="184"/>
      <c r="G353" s="184"/>
      <c r="H353" s="184"/>
      <c r="I353" s="184"/>
      <c r="J353" s="184"/>
      <c r="K353" s="184"/>
      <c r="L353" s="184"/>
      <c r="M353" s="184"/>
      <c r="N353" s="184"/>
      <c r="O353" s="184"/>
    </row>
    <row r="354" customFormat="false" ht="15" hidden="false" customHeight="true" outlineLevel="0" collapsed="false">
      <c r="A354" s="184"/>
      <c r="B354" s="184"/>
      <c r="C354" s="184"/>
      <c r="D354" s="184"/>
      <c r="E354" s="184"/>
      <c r="F354" s="184"/>
      <c r="G354" s="184"/>
      <c r="H354" s="184"/>
      <c r="I354" s="184"/>
      <c r="J354" s="184"/>
      <c r="K354" s="184"/>
      <c r="L354" s="184"/>
      <c r="M354" s="184"/>
      <c r="N354" s="184"/>
      <c r="O354" s="184"/>
    </row>
    <row r="355" customFormat="false" ht="15" hidden="false" customHeight="true" outlineLevel="0" collapsed="false">
      <c r="A355" s="184"/>
      <c r="B355" s="184"/>
      <c r="C355" s="184"/>
      <c r="D355" s="184"/>
      <c r="E355" s="184"/>
      <c r="F355" s="184"/>
      <c r="G355" s="184"/>
      <c r="H355" s="184"/>
      <c r="I355" s="184"/>
      <c r="J355" s="184"/>
      <c r="K355" s="184"/>
      <c r="L355" s="184"/>
      <c r="M355" s="184"/>
      <c r="N355" s="184"/>
      <c r="O355" s="184"/>
    </row>
    <row r="356" customFormat="false" ht="15" hidden="false" customHeight="true" outlineLevel="0" collapsed="false">
      <c r="A356" s="184"/>
      <c r="B356" s="184"/>
      <c r="C356" s="184"/>
      <c r="D356" s="184"/>
      <c r="E356" s="184"/>
      <c r="F356" s="184"/>
      <c r="G356" s="184"/>
      <c r="H356" s="184"/>
      <c r="I356" s="184"/>
      <c r="J356" s="184"/>
      <c r="K356" s="184"/>
      <c r="L356" s="184"/>
      <c r="M356" s="184"/>
      <c r="N356" s="184"/>
      <c r="O356" s="184"/>
    </row>
    <row r="357" customFormat="false" ht="15" hidden="false" customHeight="true" outlineLevel="0" collapsed="false">
      <c r="A357" s="184"/>
      <c r="B357" s="184"/>
      <c r="C357" s="184"/>
      <c r="D357" s="184"/>
      <c r="E357" s="184"/>
      <c r="F357" s="184"/>
      <c r="G357" s="184"/>
      <c r="H357" s="184"/>
      <c r="I357" s="184"/>
      <c r="J357" s="184"/>
      <c r="K357" s="184"/>
      <c r="L357" s="184"/>
      <c r="M357" s="184"/>
      <c r="N357" s="184"/>
      <c r="O357" s="184"/>
    </row>
    <row r="358" customFormat="false" ht="15" hidden="false" customHeight="true" outlineLevel="0" collapsed="false">
      <c r="A358" s="184"/>
      <c r="B358" s="184"/>
      <c r="C358" s="184"/>
      <c r="D358" s="184"/>
      <c r="E358" s="184"/>
      <c r="F358" s="184"/>
      <c r="G358" s="184"/>
      <c r="H358" s="184"/>
      <c r="I358" s="184"/>
      <c r="J358" s="184"/>
      <c r="K358" s="184"/>
      <c r="L358" s="184"/>
      <c r="M358" s="184"/>
      <c r="N358" s="184"/>
      <c r="O358" s="184"/>
    </row>
    <row r="359" customFormat="false" ht="15" hidden="false" customHeight="true" outlineLevel="0" collapsed="false">
      <c r="A359" s="184"/>
      <c r="B359" s="184"/>
      <c r="C359" s="184"/>
      <c r="D359" s="184"/>
      <c r="E359" s="184"/>
      <c r="F359" s="184"/>
      <c r="G359" s="184"/>
      <c r="H359" s="184"/>
      <c r="I359" s="184"/>
      <c r="J359" s="184"/>
      <c r="K359" s="184"/>
      <c r="L359" s="184"/>
      <c r="M359" s="184"/>
      <c r="N359" s="184"/>
      <c r="O359" s="184"/>
    </row>
    <row r="360" customFormat="false" ht="15" hidden="false" customHeight="true" outlineLevel="0" collapsed="false">
      <c r="A360" s="184"/>
      <c r="B360" s="184"/>
      <c r="C360" s="184"/>
      <c r="D360" s="184"/>
      <c r="E360" s="184"/>
      <c r="F360" s="184"/>
      <c r="G360" s="184"/>
      <c r="H360" s="184"/>
      <c r="I360" s="184"/>
      <c r="J360" s="184"/>
      <c r="K360" s="184"/>
      <c r="L360" s="184"/>
      <c r="M360" s="184"/>
      <c r="N360" s="184"/>
      <c r="O360" s="184"/>
    </row>
    <row r="361" customFormat="false" ht="15" hidden="false" customHeight="true" outlineLevel="0" collapsed="false">
      <c r="A361" s="184"/>
      <c r="B361" s="184"/>
      <c r="C361" s="184"/>
      <c r="D361" s="184"/>
      <c r="E361" s="184"/>
      <c r="F361" s="184"/>
      <c r="G361" s="184"/>
      <c r="H361" s="184"/>
      <c r="I361" s="184"/>
      <c r="J361" s="184"/>
      <c r="K361" s="184"/>
      <c r="L361" s="184"/>
      <c r="M361" s="184"/>
      <c r="N361" s="184"/>
      <c r="O361" s="184"/>
    </row>
    <row r="362" customFormat="false" ht="15" hidden="false" customHeight="true" outlineLevel="0" collapsed="false">
      <c r="A362" s="184"/>
      <c r="B362" s="184"/>
      <c r="C362" s="184"/>
      <c r="D362" s="184"/>
      <c r="E362" s="184"/>
      <c r="F362" s="184"/>
      <c r="G362" s="184"/>
      <c r="H362" s="184"/>
      <c r="I362" s="184"/>
      <c r="J362" s="184"/>
      <c r="K362" s="184"/>
      <c r="L362" s="184"/>
      <c r="M362" s="184"/>
      <c r="N362" s="184"/>
      <c r="O362" s="184"/>
    </row>
    <row r="363" customFormat="false" ht="15" hidden="false" customHeight="true" outlineLevel="0" collapsed="false">
      <c r="A363" s="184"/>
      <c r="B363" s="184"/>
      <c r="C363" s="184"/>
      <c r="D363" s="184"/>
      <c r="E363" s="184"/>
      <c r="F363" s="184"/>
      <c r="G363" s="184"/>
      <c r="H363" s="184"/>
      <c r="I363" s="184"/>
      <c r="J363" s="184"/>
      <c r="K363" s="184"/>
      <c r="L363" s="184"/>
      <c r="M363" s="184"/>
      <c r="N363" s="184"/>
      <c r="O363" s="184"/>
    </row>
    <row r="364" customFormat="false" ht="15" hidden="false" customHeight="true" outlineLevel="0" collapsed="false">
      <c r="A364" s="184"/>
      <c r="B364" s="184"/>
      <c r="C364" s="184"/>
      <c r="D364" s="184"/>
      <c r="E364" s="184"/>
      <c r="F364" s="184"/>
      <c r="G364" s="184"/>
      <c r="H364" s="184"/>
      <c r="I364" s="184"/>
      <c r="J364" s="184"/>
      <c r="K364" s="184"/>
      <c r="L364" s="184"/>
      <c r="M364" s="184"/>
      <c r="N364" s="184"/>
      <c r="O364" s="184"/>
    </row>
    <row r="365" customFormat="false" ht="15" hidden="false" customHeight="true" outlineLevel="0" collapsed="false">
      <c r="A365" s="184"/>
      <c r="B365" s="184"/>
      <c r="C365" s="184"/>
      <c r="D365" s="184"/>
      <c r="E365" s="184"/>
      <c r="F365" s="184"/>
      <c r="G365" s="184"/>
      <c r="H365" s="184"/>
      <c r="I365" s="184"/>
      <c r="J365" s="184"/>
      <c r="K365" s="184"/>
      <c r="L365" s="184"/>
      <c r="M365" s="184"/>
      <c r="N365" s="184"/>
      <c r="O365" s="184"/>
    </row>
    <row r="366" customFormat="false" ht="15" hidden="false" customHeight="true" outlineLevel="0" collapsed="false">
      <c r="A366" s="184"/>
      <c r="B366" s="184"/>
      <c r="C366" s="184"/>
      <c r="D366" s="184"/>
      <c r="E366" s="184"/>
      <c r="F366" s="184"/>
      <c r="G366" s="184"/>
      <c r="H366" s="184"/>
      <c r="I366" s="184"/>
      <c r="J366" s="184"/>
      <c r="K366" s="184"/>
      <c r="L366" s="184"/>
      <c r="M366" s="184"/>
      <c r="N366" s="184"/>
      <c r="O366" s="184"/>
    </row>
    <row r="367" customFormat="false" ht="15" hidden="false" customHeight="true" outlineLevel="0" collapsed="false">
      <c r="A367" s="184"/>
      <c r="B367" s="184"/>
      <c r="C367" s="184"/>
      <c r="D367" s="184"/>
      <c r="E367" s="184"/>
      <c r="F367" s="184"/>
      <c r="G367" s="184"/>
      <c r="H367" s="184"/>
      <c r="I367" s="184"/>
      <c r="J367" s="184"/>
      <c r="K367" s="184"/>
      <c r="L367" s="184"/>
      <c r="M367" s="184"/>
      <c r="N367" s="184"/>
      <c r="O367" s="184"/>
    </row>
    <row r="368" customFormat="false" ht="15" hidden="false" customHeight="true" outlineLevel="0" collapsed="false">
      <c r="A368" s="184"/>
      <c r="B368" s="184"/>
      <c r="C368" s="184"/>
      <c r="D368" s="184"/>
      <c r="E368" s="184"/>
      <c r="F368" s="184"/>
      <c r="G368" s="184"/>
      <c r="H368" s="184"/>
      <c r="I368" s="184"/>
      <c r="J368" s="184"/>
      <c r="K368" s="184"/>
      <c r="L368" s="184"/>
      <c r="M368" s="184"/>
      <c r="N368" s="184"/>
      <c r="O368" s="184"/>
    </row>
    <row r="369" customFormat="false" ht="15" hidden="false" customHeight="true" outlineLevel="0" collapsed="false">
      <c r="A369" s="184"/>
      <c r="B369" s="184"/>
      <c r="C369" s="184"/>
      <c r="D369" s="184"/>
      <c r="E369" s="184"/>
      <c r="F369" s="184"/>
      <c r="G369" s="184"/>
      <c r="H369" s="184"/>
      <c r="I369" s="184"/>
      <c r="J369" s="184"/>
      <c r="K369" s="184"/>
      <c r="L369" s="184"/>
      <c r="M369" s="184"/>
      <c r="N369" s="184"/>
      <c r="O369" s="184"/>
    </row>
    <row r="370" customFormat="false" ht="15" hidden="false" customHeight="true" outlineLevel="0" collapsed="false">
      <c r="A370" s="184"/>
      <c r="B370" s="184"/>
      <c r="C370" s="184"/>
      <c r="D370" s="184"/>
      <c r="E370" s="184"/>
      <c r="F370" s="184"/>
      <c r="G370" s="184"/>
      <c r="H370" s="184"/>
      <c r="I370" s="184"/>
      <c r="J370" s="184"/>
      <c r="K370" s="184"/>
      <c r="L370" s="184"/>
      <c r="M370" s="184"/>
      <c r="N370" s="184"/>
      <c r="O370" s="184"/>
    </row>
    <row r="371" customFormat="false" ht="15" hidden="false" customHeight="true" outlineLevel="0" collapsed="false">
      <c r="A371" s="184"/>
      <c r="B371" s="184"/>
      <c r="C371" s="184"/>
      <c r="D371" s="184"/>
      <c r="E371" s="184"/>
      <c r="F371" s="184"/>
      <c r="G371" s="184"/>
      <c r="H371" s="184"/>
      <c r="I371" s="184"/>
      <c r="J371" s="184"/>
      <c r="K371" s="184"/>
      <c r="L371" s="184"/>
      <c r="M371" s="184"/>
      <c r="N371" s="184"/>
      <c r="O371" s="184"/>
    </row>
    <row r="372" customFormat="false" ht="15" hidden="false" customHeight="true" outlineLevel="0" collapsed="false">
      <c r="A372" s="184"/>
      <c r="B372" s="184"/>
      <c r="C372" s="184"/>
      <c r="D372" s="184"/>
      <c r="E372" s="184"/>
      <c r="F372" s="184"/>
      <c r="G372" s="184"/>
      <c r="H372" s="184"/>
      <c r="I372" s="184"/>
      <c r="J372" s="184"/>
      <c r="K372" s="184"/>
      <c r="L372" s="184"/>
      <c r="M372" s="184"/>
      <c r="N372" s="184"/>
      <c r="O372" s="184"/>
    </row>
    <row r="373" customFormat="false" ht="15" hidden="false" customHeight="true" outlineLevel="0" collapsed="false">
      <c r="A373" s="184"/>
      <c r="B373" s="184"/>
      <c r="C373" s="184"/>
      <c r="D373" s="184"/>
      <c r="E373" s="184"/>
      <c r="F373" s="184"/>
      <c r="G373" s="184"/>
      <c r="H373" s="184"/>
      <c r="I373" s="184"/>
      <c r="J373" s="184"/>
      <c r="K373" s="184"/>
      <c r="L373" s="184"/>
      <c r="M373" s="184"/>
      <c r="N373" s="184"/>
      <c r="O373" s="184"/>
    </row>
    <row r="374" customFormat="false" ht="15" hidden="false" customHeight="true" outlineLevel="0" collapsed="false">
      <c r="A374" s="184"/>
      <c r="B374" s="184"/>
      <c r="C374" s="184"/>
      <c r="D374" s="184"/>
      <c r="E374" s="184"/>
      <c r="F374" s="184"/>
      <c r="G374" s="184"/>
      <c r="H374" s="184"/>
      <c r="I374" s="184"/>
      <c r="J374" s="184"/>
      <c r="K374" s="184"/>
      <c r="L374" s="184"/>
      <c r="M374" s="184"/>
      <c r="N374" s="184"/>
      <c r="O374" s="184"/>
    </row>
    <row r="375" customFormat="false" ht="15" hidden="false" customHeight="true" outlineLevel="0" collapsed="false">
      <c r="A375" s="184"/>
      <c r="B375" s="184"/>
      <c r="C375" s="184"/>
      <c r="D375" s="184"/>
      <c r="E375" s="184"/>
      <c r="F375" s="184"/>
      <c r="G375" s="184"/>
      <c r="H375" s="184"/>
      <c r="I375" s="184"/>
      <c r="J375" s="184"/>
      <c r="K375" s="184"/>
      <c r="L375" s="184"/>
      <c r="M375" s="184"/>
      <c r="N375" s="184"/>
      <c r="O375" s="184"/>
    </row>
    <row r="376" customFormat="false" ht="15" hidden="false" customHeight="true" outlineLevel="0" collapsed="false">
      <c r="A376" s="184"/>
      <c r="B376" s="184"/>
      <c r="C376" s="184"/>
      <c r="D376" s="184"/>
      <c r="E376" s="184"/>
      <c r="F376" s="184"/>
      <c r="G376" s="184"/>
      <c r="H376" s="184"/>
      <c r="I376" s="184"/>
      <c r="J376" s="184"/>
      <c r="K376" s="184"/>
      <c r="L376" s="184"/>
      <c r="M376" s="184"/>
      <c r="N376" s="184"/>
      <c r="O376" s="184"/>
    </row>
    <row r="377" customFormat="false" ht="15" hidden="false" customHeight="true" outlineLevel="0" collapsed="false">
      <c r="A377" s="184"/>
      <c r="B377" s="184"/>
      <c r="C377" s="184"/>
      <c r="D377" s="184"/>
      <c r="E377" s="184"/>
      <c r="F377" s="184"/>
      <c r="G377" s="184"/>
      <c r="H377" s="184"/>
      <c r="I377" s="184"/>
      <c r="J377" s="184"/>
      <c r="K377" s="184"/>
      <c r="L377" s="184"/>
      <c r="M377" s="184"/>
      <c r="N377" s="184"/>
      <c r="O377" s="184"/>
    </row>
    <row r="378" customFormat="false" ht="15" hidden="false" customHeight="true" outlineLevel="0" collapsed="false">
      <c r="A378" s="184"/>
      <c r="B378" s="184"/>
      <c r="C378" s="184"/>
      <c r="D378" s="184"/>
      <c r="E378" s="184"/>
      <c r="F378" s="184"/>
      <c r="G378" s="184"/>
      <c r="H378" s="184"/>
      <c r="I378" s="184"/>
      <c r="J378" s="184"/>
      <c r="K378" s="184"/>
      <c r="L378" s="184"/>
      <c r="M378" s="184"/>
      <c r="N378" s="184"/>
      <c r="O378" s="184"/>
    </row>
    <row r="379" customFormat="false" ht="15" hidden="false" customHeight="true" outlineLevel="0" collapsed="false">
      <c r="A379" s="184"/>
      <c r="B379" s="184"/>
      <c r="C379" s="184"/>
      <c r="D379" s="184"/>
      <c r="E379" s="184"/>
      <c r="F379" s="184"/>
      <c r="G379" s="184"/>
      <c r="H379" s="184"/>
      <c r="I379" s="184"/>
      <c r="J379" s="184"/>
      <c r="K379" s="184"/>
      <c r="L379" s="184"/>
      <c r="M379" s="184"/>
      <c r="N379" s="184"/>
      <c r="O379" s="184"/>
    </row>
    <row r="380" customFormat="false" ht="15" hidden="false" customHeight="true" outlineLevel="0" collapsed="false">
      <c r="A380" s="184"/>
      <c r="B380" s="184"/>
      <c r="C380" s="184"/>
      <c r="D380" s="184"/>
      <c r="E380" s="184"/>
      <c r="F380" s="184"/>
      <c r="G380" s="184"/>
      <c r="H380" s="184"/>
      <c r="I380" s="184"/>
      <c r="J380" s="184"/>
      <c r="K380" s="184"/>
      <c r="L380" s="184"/>
      <c r="M380" s="184"/>
      <c r="N380" s="184"/>
      <c r="O380" s="184"/>
    </row>
    <row r="381" customFormat="false" ht="15" hidden="false" customHeight="true" outlineLevel="0" collapsed="false">
      <c r="A381" s="184"/>
      <c r="B381" s="184"/>
      <c r="C381" s="184"/>
      <c r="D381" s="184"/>
      <c r="E381" s="184"/>
      <c r="F381" s="184"/>
      <c r="G381" s="184"/>
      <c r="H381" s="184"/>
      <c r="I381" s="184"/>
      <c r="J381" s="184"/>
      <c r="K381" s="184"/>
      <c r="L381" s="184"/>
      <c r="M381" s="184"/>
      <c r="N381" s="184"/>
      <c r="O381" s="184"/>
    </row>
    <row r="382" customFormat="false" ht="15" hidden="false" customHeight="true" outlineLevel="0" collapsed="false">
      <c r="A382" s="184"/>
      <c r="B382" s="184"/>
      <c r="C382" s="184"/>
      <c r="D382" s="184"/>
      <c r="E382" s="184"/>
      <c r="F382" s="184"/>
      <c r="G382" s="184"/>
      <c r="H382" s="184"/>
      <c r="I382" s="184"/>
      <c r="J382" s="184"/>
      <c r="K382" s="184"/>
      <c r="L382" s="184"/>
      <c r="M382" s="184"/>
      <c r="N382" s="184"/>
      <c r="O382" s="184"/>
    </row>
    <row r="383" customFormat="false" ht="15" hidden="false" customHeight="true" outlineLevel="0" collapsed="false">
      <c r="A383" s="184"/>
      <c r="B383" s="184"/>
      <c r="C383" s="184"/>
      <c r="D383" s="184"/>
      <c r="E383" s="184"/>
      <c r="F383" s="184"/>
      <c r="G383" s="184"/>
      <c r="H383" s="184"/>
      <c r="I383" s="184"/>
      <c r="J383" s="184"/>
      <c r="K383" s="184"/>
      <c r="L383" s="184"/>
      <c r="M383" s="184"/>
      <c r="N383" s="184"/>
      <c r="O383" s="184"/>
    </row>
    <row r="384" customFormat="false" ht="15" hidden="false" customHeight="true" outlineLevel="0" collapsed="false">
      <c r="A384" s="184"/>
      <c r="B384" s="184"/>
      <c r="C384" s="184"/>
      <c r="D384" s="184"/>
      <c r="E384" s="184"/>
      <c r="F384" s="184"/>
      <c r="G384" s="184"/>
      <c r="H384" s="184"/>
      <c r="I384" s="184"/>
      <c r="J384" s="184"/>
      <c r="K384" s="184"/>
      <c r="L384" s="184"/>
      <c r="M384" s="184"/>
      <c r="N384" s="184"/>
      <c r="O384" s="184"/>
    </row>
    <row r="385" customFormat="false" ht="15" hidden="false" customHeight="true" outlineLevel="0" collapsed="false">
      <c r="A385" s="184"/>
      <c r="B385" s="184"/>
      <c r="C385" s="184"/>
      <c r="D385" s="184"/>
      <c r="E385" s="184"/>
      <c r="F385" s="184"/>
      <c r="G385" s="184"/>
      <c r="H385" s="184"/>
      <c r="I385" s="184"/>
      <c r="J385" s="184"/>
      <c r="K385" s="184"/>
      <c r="L385" s="184"/>
      <c r="M385" s="184"/>
      <c r="N385" s="184"/>
      <c r="O385" s="184"/>
    </row>
    <row r="386" customFormat="false" ht="15" hidden="false" customHeight="true" outlineLevel="0" collapsed="false">
      <c r="A386" s="184"/>
      <c r="B386" s="184"/>
      <c r="C386" s="184"/>
      <c r="D386" s="184"/>
      <c r="E386" s="184"/>
      <c r="F386" s="184"/>
      <c r="G386" s="184"/>
      <c r="H386" s="184"/>
      <c r="I386" s="184"/>
      <c r="J386" s="184"/>
      <c r="K386" s="184"/>
      <c r="L386" s="184"/>
      <c r="M386" s="184"/>
      <c r="N386" s="184"/>
      <c r="O386" s="184"/>
    </row>
    <row r="387" customFormat="false" ht="15" hidden="false" customHeight="true" outlineLevel="0" collapsed="false">
      <c r="A387" s="184"/>
      <c r="B387" s="184"/>
      <c r="C387" s="184"/>
      <c r="D387" s="184"/>
      <c r="E387" s="184"/>
      <c r="F387" s="184"/>
      <c r="G387" s="184"/>
      <c r="H387" s="184"/>
      <c r="I387" s="184"/>
      <c r="J387" s="184"/>
      <c r="K387" s="184"/>
      <c r="L387" s="184"/>
      <c r="M387" s="184"/>
      <c r="N387" s="184"/>
      <c r="O387" s="184"/>
    </row>
    <row r="388" customFormat="false" ht="15" hidden="false" customHeight="true" outlineLevel="0" collapsed="false">
      <c r="A388" s="184"/>
      <c r="B388" s="184"/>
      <c r="C388" s="184"/>
      <c r="D388" s="184"/>
      <c r="E388" s="184"/>
      <c r="F388" s="184"/>
      <c r="G388" s="184"/>
      <c r="H388" s="184"/>
      <c r="I388" s="184"/>
      <c r="J388" s="184"/>
      <c r="K388" s="184"/>
      <c r="L388" s="184"/>
      <c r="M388" s="184"/>
      <c r="N388" s="184"/>
      <c r="O388" s="184"/>
    </row>
    <row r="389" customFormat="false" ht="15" hidden="false" customHeight="true" outlineLevel="0" collapsed="false">
      <c r="A389" s="184"/>
      <c r="B389" s="184"/>
      <c r="C389" s="184"/>
      <c r="D389" s="184"/>
      <c r="E389" s="184"/>
      <c r="F389" s="184"/>
      <c r="G389" s="184"/>
      <c r="H389" s="184"/>
      <c r="I389" s="184"/>
      <c r="J389" s="184"/>
      <c r="K389" s="184"/>
      <c r="L389" s="184"/>
      <c r="M389" s="184"/>
      <c r="N389" s="184"/>
      <c r="O389" s="184"/>
    </row>
    <row r="390" customFormat="false" ht="15" hidden="false" customHeight="true" outlineLevel="0" collapsed="false">
      <c r="A390" s="184"/>
      <c r="B390" s="184"/>
      <c r="C390" s="184"/>
      <c r="D390" s="184"/>
      <c r="E390" s="184"/>
      <c r="F390" s="184"/>
      <c r="G390" s="184"/>
      <c r="H390" s="184"/>
      <c r="I390" s="184"/>
      <c r="J390" s="184"/>
      <c r="K390" s="184"/>
      <c r="L390" s="184"/>
      <c r="M390" s="184"/>
      <c r="N390" s="184"/>
      <c r="O390" s="184"/>
    </row>
    <row r="391" customFormat="false" ht="15" hidden="false" customHeight="true" outlineLevel="0" collapsed="false">
      <c r="A391" s="184"/>
      <c r="B391" s="184"/>
      <c r="C391" s="184"/>
      <c r="D391" s="184"/>
      <c r="E391" s="184"/>
      <c r="F391" s="184"/>
      <c r="G391" s="184"/>
      <c r="H391" s="184"/>
      <c r="I391" s="184"/>
      <c r="J391" s="184"/>
      <c r="K391" s="184"/>
      <c r="L391" s="184"/>
      <c r="M391" s="184"/>
      <c r="N391" s="184"/>
      <c r="O391" s="184"/>
    </row>
    <row r="392" customFormat="false" ht="15" hidden="false" customHeight="true" outlineLevel="0" collapsed="false">
      <c r="A392" s="184" t="s">
        <v>4882</v>
      </c>
      <c r="B392" s="184" t="s">
        <v>4883</v>
      </c>
      <c r="C392" s="184" t="n">
        <v>1</v>
      </c>
      <c r="D392" s="178" t="s">
        <v>5269</v>
      </c>
      <c r="E392" s="184" t="s">
        <v>6289</v>
      </c>
      <c r="F392" s="184"/>
      <c r="G392" s="184"/>
      <c r="H392" s="184"/>
      <c r="I392" s="184"/>
      <c r="J392" s="184"/>
      <c r="K392" s="184"/>
      <c r="L392" s="184"/>
      <c r="M392" s="184" t="s">
        <v>6453</v>
      </c>
      <c r="N392" s="184"/>
      <c r="O392" s="184"/>
    </row>
    <row r="393" customFormat="false" ht="15" hidden="false" customHeight="true" outlineLevel="0" collapsed="false">
      <c r="A393" s="184" t="s">
        <v>4882</v>
      </c>
      <c r="B393" s="184" t="s">
        <v>4883</v>
      </c>
      <c r="C393" s="184" t="n">
        <v>2</v>
      </c>
      <c r="D393" s="177" t="s">
        <v>6429</v>
      </c>
      <c r="E393" s="184" t="s">
        <v>6454</v>
      </c>
      <c r="F393" s="184"/>
      <c r="G393" s="184"/>
      <c r="H393" s="184"/>
      <c r="I393" s="184"/>
      <c r="J393" s="184"/>
      <c r="K393" s="184"/>
      <c r="L393" s="184"/>
      <c r="M393" s="184"/>
      <c r="N393" s="184"/>
      <c r="O393" s="184"/>
    </row>
    <row r="394" customFormat="false" ht="15" hidden="false" customHeight="true" outlineLevel="0" collapsed="false">
      <c r="A394" s="184" t="s">
        <v>4882</v>
      </c>
      <c r="B394" s="184" t="s">
        <v>4883</v>
      </c>
      <c r="C394" s="184" t="n">
        <v>3</v>
      </c>
      <c r="D394" s="179" t="s">
        <v>6292</v>
      </c>
      <c r="E394" s="184" t="s">
        <v>6455</v>
      </c>
      <c r="F394" s="184"/>
      <c r="G394" s="184"/>
      <c r="H394" s="184"/>
      <c r="I394" s="184"/>
      <c r="J394" s="184"/>
      <c r="K394" s="184"/>
      <c r="L394" s="184"/>
      <c r="M394" s="184"/>
      <c r="N394" s="184"/>
      <c r="O394" s="184"/>
    </row>
    <row r="395" customFormat="false" ht="15" hidden="false" customHeight="true" outlineLevel="0" collapsed="false">
      <c r="A395" s="184" t="s">
        <v>4882</v>
      </c>
      <c r="B395" s="184" t="s">
        <v>4883</v>
      </c>
      <c r="C395" s="184" t="n">
        <v>4</v>
      </c>
      <c r="D395" s="184" t="s">
        <v>6294</v>
      </c>
      <c r="E395" s="184" t="s">
        <v>6456</v>
      </c>
      <c r="F395" s="184"/>
      <c r="G395" s="184"/>
      <c r="H395" s="184"/>
      <c r="I395" s="184"/>
      <c r="J395" s="184"/>
      <c r="K395" s="184"/>
      <c r="L395" s="184"/>
      <c r="M395" s="184"/>
      <c r="N395" s="184"/>
      <c r="O395" s="184"/>
    </row>
    <row r="396" customFormat="false" ht="15" hidden="false" customHeight="true" outlineLevel="0" collapsed="false">
      <c r="A396" s="184" t="s">
        <v>4882</v>
      </c>
      <c r="B396" s="184" t="s">
        <v>4883</v>
      </c>
      <c r="C396" s="184" t="n">
        <v>5</v>
      </c>
      <c r="D396" s="178" t="s">
        <v>6457</v>
      </c>
      <c r="E396" s="184" t="s">
        <v>6458</v>
      </c>
      <c r="F396" s="184"/>
      <c r="G396" s="184"/>
      <c r="H396" s="184"/>
      <c r="I396" s="184"/>
      <c r="J396" s="184"/>
      <c r="K396" s="184"/>
      <c r="L396" s="184"/>
      <c r="M396" s="184" t="s">
        <v>6459</v>
      </c>
      <c r="N396" s="184"/>
      <c r="O396" s="184"/>
    </row>
    <row r="397" customFormat="false" ht="15" hidden="false" customHeight="true" outlineLevel="0" collapsed="false">
      <c r="A397" s="184" t="s">
        <v>4882</v>
      </c>
      <c r="B397" s="184" t="s">
        <v>4883</v>
      </c>
      <c r="C397" s="184" t="n">
        <v>6</v>
      </c>
      <c r="D397" s="177" t="s">
        <v>6429</v>
      </c>
      <c r="E397" s="184" t="s">
        <v>6460</v>
      </c>
      <c r="F397" s="184"/>
      <c r="G397" s="184"/>
      <c r="H397" s="184"/>
      <c r="I397" s="184"/>
      <c r="J397" s="184"/>
      <c r="K397" s="184"/>
      <c r="L397" s="184"/>
      <c r="M397" s="184"/>
      <c r="N397" s="184"/>
      <c r="O397" s="184"/>
    </row>
    <row r="398" customFormat="false" ht="27.75" hidden="false" customHeight="true" outlineLevel="0" collapsed="false">
      <c r="A398" s="184" t="s">
        <v>4882</v>
      </c>
      <c r="B398" s="184" t="s">
        <v>4883</v>
      </c>
      <c r="C398" s="184" t="n">
        <v>7</v>
      </c>
      <c r="D398" s="174" t="s">
        <v>4848</v>
      </c>
      <c r="E398" s="184" t="s">
        <v>6461</v>
      </c>
      <c r="F398" s="184"/>
      <c r="G398" s="184"/>
      <c r="H398" s="184"/>
      <c r="I398" s="184"/>
      <c r="J398" s="184" t="s">
        <v>6462</v>
      </c>
      <c r="K398" s="184"/>
      <c r="L398" s="184" t="s">
        <v>6463</v>
      </c>
      <c r="M398" s="184"/>
      <c r="N398" s="184"/>
      <c r="O398" s="184"/>
    </row>
    <row r="399" customFormat="false" ht="15" hidden="false" customHeight="true" outlineLevel="0" collapsed="false">
      <c r="A399" s="184" t="s">
        <v>4882</v>
      </c>
      <c r="B399" s="184" t="s">
        <v>4883</v>
      </c>
      <c r="C399" s="184" t="n">
        <v>8</v>
      </c>
      <c r="D399" s="177" t="s">
        <v>6429</v>
      </c>
      <c r="E399" s="184" t="s">
        <v>6464</v>
      </c>
      <c r="F399" s="184"/>
      <c r="G399" s="184"/>
      <c r="H399" s="184"/>
      <c r="I399" s="184"/>
      <c r="J399" s="184"/>
      <c r="K399" s="184"/>
      <c r="L399" s="184"/>
      <c r="M399" s="184"/>
      <c r="N399" s="184"/>
      <c r="O399" s="184"/>
    </row>
    <row r="400" customFormat="false" ht="68.25" hidden="false" customHeight="true" outlineLevel="0" collapsed="false">
      <c r="A400" s="184" t="s">
        <v>4882</v>
      </c>
      <c r="B400" s="184" t="s">
        <v>4883</v>
      </c>
      <c r="C400" s="184" t="n">
        <v>9</v>
      </c>
      <c r="D400" s="174" t="s">
        <v>4848</v>
      </c>
      <c r="E400" s="184" t="s">
        <v>6464</v>
      </c>
      <c r="F400" s="184"/>
      <c r="G400" s="184"/>
      <c r="H400" s="184"/>
      <c r="I400" s="184"/>
      <c r="J400" s="184" t="s">
        <v>6465</v>
      </c>
      <c r="K400" s="184"/>
      <c r="L400" s="184" t="s">
        <v>6466</v>
      </c>
      <c r="M400" s="184"/>
      <c r="N400" s="184"/>
      <c r="O400" s="184"/>
    </row>
    <row r="401" customFormat="false" ht="15" hidden="false" customHeight="true" outlineLevel="0" collapsed="false">
      <c r="A401" s="184" t="s">
        <v>4882</v>
      </c>
      <c r="B401" s="184" t="s">
        <v>4883</v>
      </c>
      <c r="C401" s="184" t="n">
        <v>10</v>
      </c>
      <c r="D401" s="178" t="s">
        <v>5269</v>
      </c>
      <c r="E401" s="184" t="s">
        <v>6467</v>
      </c>
      <c r="F401" s="184"/>
      <c r="G401" s="184"/>
      <c r="H401" s="184"/>
      <c r="I401" s="184"/>
      <c r="J401" s="184"/>
      <c r="K401" s="184"/>
      <c r="L401" s="184"/>
      <c r="M401" s="184" t="s">
        <v>6468</v>
      </c>
      <c r="N401" s="184"/>
      <c r="O401" s="184"/>
    </row>
    <row r="402" customFormat="false" ht="15" hidden="false" customHeight="true" outlineLevel="0" collapsed="false">
      <c r="A402" s="184"/>
      <c r="B402" s="184"/>
      <c r="C402" s="184"/>
      <c r="D402" s="184"/>
      <c r="E402" s="184"/>
      <c r="F402" s="184"/>
      <c r="G402" s="184"/>
      <c r="H402" s="184"/>
      <c r="I402" s="184"/>
      <c r="J402" s="184"/>
      <c r="K402" s="184"/>
      <c r="L402" s="184"/>
      <c r="M402" s="184"/>
      <c r="N402" s="184"/>
      <c r="O402" s="184"/>
    </row>
    <row r="403" customFormat="false" ht="15" hidden="false" customHeight="true" outlineLevel="0" collapsed="false">
      <c r="A403" s="184"/>
      <c r="B403" s="184"/>
      <c r="C403" s="184"/>
      <c r="D403" s="184"/>
      <c r="E403" s="184"/>
      <c r="F403" s="184"/>
      <c r="G403" s="184"/>
      <c r="H403" s="184"/>
      <c r="I403" s="184"/>
      <c r="J403" s="184"/>
      <c r="K403" s="184"/>
      <c r="L403" s="184"/>
      <c r="M403" s="184"/>
      <c r="N403" s="184"/>
      <c r="O403" s="184"/>
    </row>
    <row r="404" customFormat="false" ht="15" hidden="false" customHeight="true" outlineLevel="0" collapsed="false">
      <c r="A404" s="184"/>
      <c r="B404" s="184"/>
      <c r="C404" s="184"/>
      <c r="D404" s="184"/>
      <c r="E404" s="184"/>
      <c r="F404" s="184"/>
      <c r="G404" s="184"/>
      <c r="H404" s="184"/>
      <c r="I404" s="184"/>
      <c r="J404" s="184"/>
      <c r="K404" s="184"/>
      <c r="L404" s="184"/>
      <c r="M404" s="184"/>
      <c r="N404" s="184"/>
      <c r="O404" s="184"/>
    </row>
    <row r="405" customFormat="false" ht="15" hidden="false" customHeight="true" outlineLevel="0" collapsed="false">
      <c r="A405" s="184"/>
      <c r="B405" s="184"/>
      <c r="C405" s="184"/>
      <c r="D405" s="184"/>
      <c r="E405" s="184"/>
      <c r="F405" s="184"/>
      <c r="G405" s="184"/>
      <c r="H405" s="184"/>
      <c r="I405" s="184"/>
      <c r="J405" s="184"/>
      <c r="K405" s="184"/>
      <c r="L405" s="184"/>
      <c r="M405" s="184"/>
      <c r="N405" s="184"/>
      <c r="O405" s="184"/>
    </row>
    <row r="406" customFormat="false" ht="15" hidden="false" customHeight="true" outlineLevel="0" collapsed="false">
      <c r="A406" s="184"/>
      <c r="B406" s="184"/>
      <c r="C406" s="184"/>
      <c r="D406" s="184"/>
      <c r="E406" s="184"/>
      <c r="F406" s="184"/>
      <c r="G406" s="184"/>
      <c r="H406" s="184"/>
      <c r="I406" s="184"/>
      <c r="J406" s="184"/>
      <c r="K406" s="184"/>
      <c r="L406" s="184"/>
      <c r="M406" s="184"/>
      <c r="N406" s="184"/>
      <c r="O406" s="184"/>
    </row>
    <row r="407" customFormat="false" ht="15" hidden="false" customHeight="true" outlineLevel="0" collapsed="false">
      <c r="A407" s="184"/>
      <c r="B407" s="184"/>
      <c r="C407" s="184"/>
      <c r="D407" s="184"/>
      <c r="E407" s="184"/>
      <c r="F407" s="184"/>
      <c r="G407" s="184"/>
      <c r="H407" s="184"/>
      <c r="I407" s="184"/>
      <c r="J407" s="184"/>
      <c r="K407" s="184"/>
      <c r="L407" s="184"/>
      <c r="M407" s="184"/>
      <c r="N407" s="184"/>
      <c r="O407" s="184"/>
    </row>
    <row r="408" customFormat="false" ht="15" hidden="false" customHeight="true" outlineLevel="0" collapsed="false">
      <c r="A408" s="184"/>
      <c r="B408" s="184"/>
      <c r="C408" s="184"/>
      <c r="D408" s="184"/>
      <c r="E408" s="184"/>
      <c r="F408" s="184"/>
      <c r="G408" s="184"/>
      <c r="H408" s="184"/>
      <c r="I408" s="184"/>
      <c r="J408" s="184"/>
      <c r="K408" s="184"/>
      <c r="L408" s="184"/>
      <c r="M408" s="184"/>
      <c r="N408" s="184"/>
      <c r="O408" s="184"/>
    </row>
    <row r="409" customFormat="false" ht="15" hidden="false" customHeight="true" outlineLevel="0" collapsed="false">
      <c r="A409" s="184"/>
      <c r="B409" s="184"/>
      <c r="C409" s="184"/>
      <c r="D409" s="184"/>
      <c r="E409" s="184"/>
      <c r="F409" s="184"/>
      <c r="G409" s="184"/>
      <c r="H409" s="184"/>
      <c r="I409" s="184"/>
      <c r="J409" s="184"/>
      <c r="K409" s="184"/>
      <c r="L409" s="184"/>
      <c r="M409" s="184"/>
      <c r="N409" s="184"/>
      <c r="O409" s="184"/>
    </row>
    <row r="410" customFormat="false" ht="15" hidden="false" customHeight="true" outlineLevel="0" collapsed="false">
      <c r="A410" s="184"/>
      <c r="B410" s="184"/>
      <c r="C410" s="184"/>
      <c r="D410" s="184"/>
      <c r="E410" s="184"/>
      <c r="F410" s="184"/>
      <c r="G410" s="184"/>
      <c r="H410" s="184"/>
      <c r="I410" s="184"/>
      <c r="J410" s="184"/>
      <c r="K410" s="184"/>
      <c r="L410" s="184"/>
      <c r="M410" s="184"/>
      <c r="N410" s="184"/>
      <c r="O410" s="184"/>
    </row>
    <row r="411" customFormat="false" ht="15" hidden="false" customHeight="true" outlineLevel="0" collapsed="false">
      <c r="A411" s="184"/>
      <c r="B411" s="184"/>
      <c r="C411" s="184"/>
      <c r="D411" s="184"/>
      <c r="E411" s="184"/>
      <c r="F411" s="184"/>
      <c r="G411" s="184"/>
      <c r="H411" s="184"/>
      <c r="I411" s="184"/>
      <c r="J411" s="184"/>
      <c r="K411" s="184"/>
      <c r="L411" s="184"/>
      <c r="M411" s="184"/>
      <c r="N411" s="184"/>
      <c r="O411" s="184"/>
    </row>
    <row r="412" customFormat="false" ht="15" hidden="false" customHeight="true" outlineLevel="0" collapsed="false">
      <c r="A412" s="184"/>
      <c r="B412" s="184"/>
      <c r="C412" s="184"/>
      <c r="D412" s="184"/>
      <c r="E412" s="184"/>
      <c r="F412" s="184"/>
      <c r="G412" s="184"/>
      <c r="H412" s="184"/>
      <c r="I412" s="184"/>
      <c r="J412" s="184"/>
      <c r="K412" s="184"/>
      <c r="L412" s="184"/>
      <c r="M412" s="184"/>
      <c r="N412" s="184"/>
      <c r="O412" s="184"/>
    </row>
    <row r="413" customFormat="false" ht="15" hidden="false" customHeight="true" outlineLevel="0" collapsed="false">
      <c r="A413" s="184"/>
      <c r="B413" s="184"/>
      <c r="C413" s="184"/>
      <c r="D413" s="184"/>
      <c r="E413" s="184"/>
      <c r="F413" s="184"/>
      <c r="G413" s="184"/>
      <c r="H413" s="184"/>
      <c r="I413" s="184"/>
      <c r="J413" s="184"/>
      <c r="K413" s="184"/>
      <c r="L413" s="184"/>
      <c r="M413" s="184"/>
      <c r="N413" s="184"/>
      <c r="O413" s="184"/>
    </row>
    <row r="414" customFormat="false" ht="15" hidden="false" customHeight="true" outlineLevel="0" collapsed="false">
      <c r="A414" s="184"/>
      <c r="B414" s="184"/>
      <c r="C414" s="184"/>
      <c r="D414" s="184"/>
      <c r="E414" s="184"/>
      <c r="F414" s="184"/>
      <c r="G414" s="184"/>
      <c r="H414" s="184"/>
      <c r="I414" s="184"/>
      <c r="J414" s="184"/>
      <c r="K414" s="184"/>
      <c r="L414" s="184"/>
      <c r="M414" s="184"/>
      <c r="N414" s="184"/>
      <c r="O414" s="184"/>
    </row>
    <row r="415" customFormat="false" ht="15" hidden="false" customHeight="true" outlineLevel="0" collapsed="false">
      <c r="A415" s="184"/>
      <c r="B415" s="184"/>
      <c r="C415" s="184"/>
      <c r="D415" s="184"/>
      <c r="E415" s="184"/>
      <c r="F415" s="184"/>
      <c r="G415" s="184"/>
      <c r="H415" s="184"/>
      <c r="I415" s="184"/>
      <c r="J415" s="184"/>
      <c r="K415" s="184"/>
      <c r="L415" s="184"/>
      <c r="M415" s="184"/>
      <c r="N415" s="184"/>
      <c r="O415" s="184"/>
    </row>
    <row r="416" customFormat="false" ht="15" hidden="false" customHeight="true" outlineLevel="0" collapsed="false">
      <c r="A416" s="184"/>
      <c r="B416" s="184"/>
      <c r="C416" s="184"/>
      <c r="D416" s="184"/>
      <c r="E416" s="184"/>
      <c r="F416" s="184"/>
      <c r="G416" s="184"/>
      <c r="H416" s="184"/>
      <c r="I416" s="184"/>
      <c r="J416" s="184"/>
      <c r="K416" s="184"/>
      <c r="L416" s="184"/>
      <c r="M416" s="184"/>
      <c r="N416" s="184"/>
      <c r="O416" s="184"/>
    </row>
    <row r="417" customFormat="false" ht="15" hidden="false" customHeight="true" outlineLevel="0" collapsed="false">
      <c r="A417" s="184"/>
      <c r="B417" s="184"/>
      <c r="C417" s="184"/>
      <c r="D417" s="184"/>
      <c r="E417" s="184"/>
      <c r="F417" s="184"/>
      <c r="G417" s="184"/>
      <c r="H417" s="184"/>
      <c r="I417" s="184"/>
      <c r="J417" s="184"/>
      <c r="K417" s="184"/>
      <c r="L417" s="184"/>
      <c r="M417" s="184"/>
      <c r="N417" s="184"/>
      <c r="O417" s="184"/>
    </row>
    <row r="418" customFormat="false" ht="15" hidden="false" customHeight="true" outlineLevel="0" collapsed="false">
      <c r="A418" s="184"/>
      <c r="B418" s="184"/>
      <c r="C418" s="184"/>
      <c r="D418" s="184"/>
      <c r="E418" s="184"/>
      <c r="F418" s="184"/>
      <c r="G418" s="184"/>
      <c r="H418" s="184"/>
      <c r="I418" s="184"/>
      <c r="J418" s="184"/>
      <c r="K418" s="184"/>
      <c r="L418" s="184"/>
      <c r="M418" s="184"/>
      <c r="N418" s="184"/>
      <c r="O418" s="184"/>
    </row>
    <row r="419" customFormat="false" ht="15" hidden="false" customHeight="true" outlineLevel="0" collapsed="false">
      <c r="A419" s="184"/>
      <c r="B419" s="184"/>
      <c r="C419" s="184"/>
      <c r="D419" s="184"/>
      <c r="E419" s="184"/>
      <c r="F419" s="184"/>
      <c r="G419" s="184"/>
      <c r="H419" s="184"/>
      <c r="I419" s="184"/>
      <c r="J419" s="184"/>
      <c r="K419" s="184"/>
      <c r="L419" s="184"/>
      <c r="M419" s="184"/>
      <c r="N419" s="184"/>
      <c r="O419" s="184"/>
    </row>
    <row r="420" customFormat="false" ht="15" hidden="false" customHeight="true" outlineLevel="0" collapsed="false">
      <c r="A420" s="184"/>
      <c r="B420" s="184"/>
      <c r="C420" s="184"/>
      <c r="D420" s="184"/>
      <c r="E420" s="184"/>
      <c r="F420" s="184"/>
      <c r="G420" s="184"/>
      <c r="H420" s="184"/>
      <c r="I420" s="184"/>
      <c r="J420" s="184"/>
      <c r="K420" s="184"/>
      <c r="L420" s="184"/>
      <c r="M420" s="184"/>
      <c r="N420" s="184"/>
      <c r="O420" s="184"/>
    </row>
    <row r="421" customFormat="false" ht="15" hidden="false" customHeight="true" outlineLevel="0" collapsed="false">
      <c r="A421" s="184"/>
      <c r="B421" s="184"/>
      <c r="C421" s="184"/>
      <c r="D421" s="184"/>
      <c r="E421" s="184"/>
      <c r="F421" s="184"/>
      <c r="G421" s="184"/>
      <c r="H421" s="184"/>
      <c r="I421" s="184"/>
      <c r="J421" s="184"/>
      <c r="K421" s="184"/>
      <c r="L421" s="184"/>
      <c r="M421" s="184"/>
      <c r="N421" s="184"/>
      <c r="O421" s="184"/>
    </row>
    <row r="422" customFormat="false" ht="15" hidden="false" customHeight="true" outlineLevel="0" collapsed="false">
      <c r="A422" s="184"/>
      <c r="B422" s="184"/>
      <c r="C422" s="184"/>
      <c r="D422" s="184"/>
      <c r="E422" s="184"/>
      <c r="F422" s="184"/>
      <c r="G422" s="184"/>
      <c r="H422" s="184"/>
      <c r="I422" s="184"/>
      <c r="J422" s="184"/>
      <c r="K422" s="184"/>
      <c r="L422" s="184"/>
      <c r="M422" s="184"/>
      <c r="N422" s="184"/>
      <c r="O422" s="184"/>
    </row>
    <row r="423" customFormat="false" ht="15" hidden="false" customHeight="true" outlineLevel="0" collapsed="false">
      <c r="A423" s="184"/>
      <c r="B423" s="184"/>
      <c r="C423" s="184"/>
      <c r="D423" s="184"/>
      <c r="E423" s="184"/>
      <c r="F423" s="184"/>
      <c r="G423" s="184"/>
      <c r="H423" s="184"/>
      <c r="I423" s="184"/>
      <c r="J423" s="184"/>
      <c r="K423" s="184"/>
      <c r="L423" s="184"/>
      <c r="M423" s="184"/>
      <c r="N423" s="184"/>
      <c r="O423" s="184"/>
    </row>
    <row r="424" customFormat="false" ht="15" hidden="false" customHeight="true" outlineLevel="0" collapsed="false">
      <c r="A424" s="184"/>
      <c r="B424" s="184"/>
      <c r="C424" s="184"/>
      <c r="D424" s="184"/>
      <c r="E424" s="184"/>
      <c r="F424" s="184"/>
      <c r="G424" s="184"/>
      <c r="H424" s="184"/>
      <c r="I424" s="184"/>
      <c r="J424" s="184"/>
      <c r="K424" s="184"/>
      <c r="L424" s="184"/>
      <c r="M424" s="184"/>
      <c r="N424" s="184"/>
      <c r="O424" s="184"/>
    </row>
    <row r="425" customFormat="false" ht="15" hidden="false" customHeight="true" outlineLevel="0" collapsed="false">
      <c r="A425" s="184"/>
      <c r="B425" s="184"/>
      <c r="C425" s="184"/>
      <c r="D425" s="184"/>
      <c r="E425" s="184"/>
      <c r="F425" s="184"/>
      <c r="G425" s="184"/>
      <c r="H425" s="184"/>
      <c r="I425" s="184"/>
      <c r="J425" s="184"/>
      <c r="K425" s="184"/>
      <c r="L425" s="184"/>
      <c r="M425" s="184"/>
      <c r="N425" s="184"/>
      <c r="O425" s="184"/>
    </row>
    <row r="426" customFormat="false" ht="15" hidden="false" customHeight="true" outlineLevel="0" collapsed="false">
      <c r="A426" s="184"/>
      <c r="B426" s="184"/>
      <c r="C426" s="184"/>
      <c r="D426" s="184"/>
      <c r="E426" s="184"/>
      <c r="F426" s="184"/>
      <c r="G426" s="184"/>
      <c r="H426" s="184"/>
      <c r="I426" s="184"/>
      <c r="J426" s="184"/>
      <c r="K426" s="184"/>
      <c r="L426" s="184"/>
      <c r="M426" s="184"/>
      <c r="N426" s="184"/>
      <c r="O426" s="184"/>
    </row>
    <row r="427" customFormat="false" ht="15" hidden="false" customHeight="true" outlineLevel="0" collapsed="false">
      <c r="A427" s="184"/>
      <c r="B427" s="184"/>
      <c r="C427" s="184"/>
      <c r="D427" s="184"/>
      <c r="E427" s="184"/>
      <c r="F427" s="184"/>
      <c r="G427" s="184"/>
      <c r="H427" s="184"/>
      <c r="I427" s="184"/>
      <c r="J427" s="184"/>
      <c r="K427" s="184"/>
      <c r="L427" s="184"/>
      <c r="M427" s="184"/>
      <c r="N427" s="184"/>
      <c r="O427" s="184"/>
    </row>
    <row r="428" customFormat="false" ht="15" hidden="false" customHeight="true" outlineLevel="0" collapsed="false">
      <c r="A428" s="184"/>
      <c r="B428" s="184"/>
      <c r="C428" s="184"/>
      <c r="D428" s="184"/>
      <c r="E428" s="184"/>
      <c r="F428" s="184"/>
      <c r="G428" s="184"/>
      <c r="H428" s="184"/>
      <c r="I428" s="184"/>
      <c r="J428" s="184"/>
      <c r="K428" s="184"/>
      <c r="L428" s="184"/>
      <c r="M428" s="184"/>
      <c r="N428" s="184"/>
      <c r="O428" s="184"/>
    </row>
    <row r="429" customFormat="false" ht="15" hidden="false" customHeight="true" outlineLevel="0" collapsed="false">
      <c r="A429" s="184"/>
      <c r="B429" s="184"/>
      <c r="C429" s="184"/>
      <c r="D429" s="184"/>
      <c r="E429" s="184"/>
      <c r="F429" s="184"/>
      <c r="G429" s="184"/>
      <c r="H429" s="184"/>
      <c r="I429" s="184"/>
      <c r="J429" s="184"/>
      <c r="K429" s="184"/>
      <c r="L429" s="184"/>
      <c r="M429" s="184"/>
      <c r="N429" s="184"/>
      <c r="O429" s="184"/>
    </row>
    <row r="430" customFormat="false" ht="15" hidden="false" customHeight="true" outlineLevel="0" collapsed="false">
      <c r="A430" s="184"/>
      <c r="B430" s="184"/>
      <c r="C430" s="184"/>
      <c r="D430" s="184"/>
      <c r="E430" s="184"/>
      <c r="F430" s="184"/>
      <c r="G430" s="184"/>
      <c r="H430" s="184"/>
      <c r="I430" s="184"/>
      <c r="J430" s="184"/>
      <c r="K430" s="184"/>
      <c r="L430" s="184"/>
      <c r="M430" s="184"/>
      <c r="N430" s="184"/>
      <c r="O430" s="184"/>
    </row>
    <row r="431" customFormat="false" ht="15" hidden="false" customHeight="true" outlineLevel="0" collapsed="false">
      <c r="A431" s="184"/>
      <c r="B431" s="184"/>
      <c r="C431" s="184"/>
      <c r="D431" s="184"/>
      <c r="E431" s="184"/>
      <c r="F431" s="184"/>
      <c r="G431" s="184"/>
      <c r="H431" s="184"/>
      <c r="I431" s="184"/>
      <c r="J431" s="184"/>
      <c r="K431" s="184"/>
      <c r="L431" s="184"/>
      <c r="M431" s="184"/>
      <c r="N431" s="184"/>
      <c r="O431" s="184"/>
    </row>
    <row r="432" customFormat="false" ht="15" hidden="false" customHeight="true" outlineLevel="0" collapsed="false">
      <c r="A432" s="184"/>
      <c r="B432" s="184"/>
      <c r="C432" s="184"/>
      <c r="D432" s="184"/>
      <c r="E432" s="184"/>
      <c r="F432" s="184"/>
      <c r="G432" s="184"/>
      <c r="H432" s="184"/>
      <c r="I432" s="184"/>
      <c r="J432" s="184"/>
      <c r="K432" s="184"/>
      <c r="L432" s="184"/>
      <c r="M432" s="184"/>
      <c r="N432" s="184"/>
      <c r="O432" s="184"/>
    </row>
    <row r="433" customFormat="false" ht="15" hidden="false" customHeight="true" outlineLevel="0" collapsed="false">
      <c r="A433" s="184"/>
      <c r="B433" s="184"/>
      <c r="C433" s="184"/>
      <c r="D433" s="184"/>
      <c r="E433" s="184"/>
      <c r="F433" s="184"/>
      <c r="G433" s="184"/>
      <c r="H433" s="184"/>
      <c r="I433" s="184"/>
      <c r="J433" s="184"/>
      <c r="K433" s="184"/>
      <c r="L433" s="184"/>
      <c r="M433" s="184"/>
      <c r="N433" s="184"/>
      <c r="O433" s="184"/>
    </row>
    <row r="434" customFormat="false" ht="15" hidden="false" customHeight="true" outlineLevel="0" collapsed="false">
      <c r="A434" s="184"/>
      <c r="B434" s="184"/>
      <c r="C434" s="184"/>
      <c r="D434" s="184"/>
      <c r="E434" s="184"/>
      <c r="F434" s="184"/>
      <c r="G434" s="184"/>
      <c r="H434" s="184"/>
      <c r="I434" s="184"/>
      <c r="J434" s="184"/>
      <c r="K434" s="184"/>
      <c r="L434" s="184"/>
      <c r="M434" s="184"/>
      <c r="N434" s="184"/>
      <c r="O434" s="184"/>
    </row>
    <row r="435" customFormat="false" ht="15" hidden="false" customHeight="true" outlineLevel="0" collapsed="false">
      <c r="A435" s="184"/>
      <c r="B435" s="184"/>
      <c r="C435" s="184"/>
      <c r="D435" s="184"/>
      <c r="E435" s="184"/>
      <c r="F435" s="184"/>
      <c r="G435" s="184"/>
      <c r="H435" s="184"/>
      <c r="I435" s="184"/>
      <c r="J435" s="184"/>
      <c r="K435" s="184"/>
      <c r="L435" s="184"/>
      <c r="M435" s="184"/>
      <c r="N435" s="184"/>
      <c r="O435" s="184"/>
    </row>
    <row r="436" customFormat="false" ht="15" hidden="false" customHeight="true" outlineLevel="0" collapsed="false">
      <c r="A436" s="184"/>
      <c r="B436" s="184"/>
      <c r="C436" s="184"/>
      <c r="D436" s="184"/>
      <c r="E436" s="184"/>
      <c r="F436" s="184"/>
      <c r="G436" s="184"/>
      <c r="H436" s="184"/>
      <c r="I436" s="184"/>
      <c r="J436" s="184"/>
      <c r="K436" s="184"/>
      <c r="L436" s="184"/>
      <c r="M436" s="184"/>
      <c r="N436" s="184"/>
      <c r="O436" s="184"/>
    </row>
    <row r="437" customFormat="false" ht="15" hidden="false" customHeight="true" outlineLevel="0" collapsed="false">
      <c r="A437" s="184"/>
      <c r="B437" s="184"/>
      <c r="C437" s="184"/>
      <c r="D437" s="184"/>
      <c r="E437" s="184"/>
      <c r="F437" s="184"/>
      <c r="G437" s="184"/>
      <c r="H437" s="184"/>
      <c r="I437" s="184"/>
      <c r="J437" s="184"/>
      <c r="K437" s="184"/>
      <c r="L437" s="184"/>
      <c r="M437" s="184"/>
      <c r="N437" s="184"/>
      <c r="O437" s="184"/>
    </row>
    <row r="438" customFormat="false" ht="15" hidden="false" customHeight="true" outlineLevel="0" collapsed="false">
      <c r="A438" s="184"/>
      <c r="B438" s="184"/>
      <c r="C438" s="184"/>
      <c r="D438" s="184"/>
      <c r="E438" s="184"/>
      <c r="F438" s="184"/>
      <c r="G438" s="184"/>
      <c r="H438" s="184"/>
      <c r="I438" s="184"/>
      <c r="J438" s="184"/>
      <c r="K438" s="184"/>
      <c r="L438" s="184"/>
      <c r="M438" s="184"/>
      <c r="N438" s="184"/>
      <c r="O438" s="184"/>
    </row>
    <row r="439" customFormat="false" ht="15" hidden="false" customHeight="true" outlineLevel="0" collapsed="false">
      <c r="A439" s="184"/>
      <c r="B439" s="184"/>
      <c r="C439" s="184"/>
      <c r="D439" s="184"/>
      <c r="E439" s="184"/>
      <c r="F439" s="184"/>
      <c r="G439" s="184"/>
      <c r="H439" s="184"/>
      <c r="I439" s="184"/>
      <c r="J439" s="184"/>
      <c r="K439" s="184"/>
      <c r="L439" s="184"/>
      <c r="M439" s="184"/>
      <c r="N439" s="184"/>
      <c r="O439" s="184"/>
    </row>
    <row r="440" customFormat="false" ht="15" hidden="false" customHeight="true" outlineLevel="0" collapsed="false">
      <c r="A440" s="184"/>
      <c r="B440" s="184"/>
      <c r="C440" s="184"/>
      <c r="D440" s="184"/>
      <c r="E440" s="184"/>
      <c r="F440" s="184"/>
      <c r="G440" s="184"/>
      <c r="H440" s="184"/>
      <c r="I440" s="184"/>
      <c r="J440" s="184"/>
      <c r="K440" s="184"/>
      <c r="L440" s="184"/>
      <c r="M440" s="184"/>
      <c r="N440" s="184"/>
      <c r="O440" s="184"/>
    </row>
    <row r="441" customFormat="false" ht="15" hidden="false" customHeight="true" outlineLevel="0" collapsed="false">
      <c r="A441" s="184"/>
      <c r="B441" s="184"/>
      <c r="C441" s="184"/>
      <c r="D441" s="184"/>
      <c r="E441" s="184"/>
      <c r="F441" s="184"/>
      <c r="G441" s="184"/>
      <c r="H441" s="184"/>
      <c r="I441" s="184"/>
      <c r="J441" s="184"/>
      <c r="K441" s="184"/>
      <c r="L441" s="184"/>
      <c r="M441" s="184"/>
      <c r="N441" s="184"/>
      <c r="O441" s="184"/>
    </row>
    <row r="442" customFormat="false" ht="15" hidden="false" customHeight="true" outlineLevel="0" collapsed="false">
      <c r="A442" s="184"/>
      <c r="B442" s="184"/>
      <c r="C442" s="184"/>
      <c r="D442" s="184"/>
      <c r="E442" s="184"/>
      <c r="F442" s="184"/>
      <c r="G442" s="184"/>
      <c r="H442" s="184"/>
      <c r="I442" s="184"/>
      <c r="J442" s="184"/>
      <c r="K442" s="184"/>
      <c r="L442" s="184"/>
      <c r="M442" s="184"/>
      <c r="N442" s="184"/>
      <c r="O442" s="184"/>
    </row>
    <row r="443" customFormat="false" ht="15" hidden="false" customHeight="true" outlineLevel="0" collapsed="false">
      <c r="A443" s="184"/>
      <c r="B443" s="184"/>
      <c r="C443" s="184"/>
      <c r="D443" s="184"/>
      <c r="E443" s="184"/>
      <c r="F443" s="184"/>
      <c r="G443" s="184"/>
      <c r="H443" s="184"/>
      <c r="I443" s="184"/>
      <c r="J443" s="184"/>
      <c r="K443" s="184"/>
      <c r="L443" s="184"/>
      <c r="M443" s="184"/>
      <c r="N443" s="184"/>
      <c r="O443" s="184"/>
    </row>
    <row r="444" customFormat="false" ht="15" hidden="false" customHeight="true" outlineLevel="0" collapsed="false">
      <c r="A444" s="184"/>
      <c r="B444" s="184"/>
      <c r="C444" s="184"/>
      <c r="D444" s="184"/>
      <c r="E444" s="184"/>
      <c r="F444" s="184"/>
      <c r="G444" s="184"/>
      <c r="H444" s="184"/>
      <c r="I444" s="184"/>
      <c r="J444" s="184"/>
      <c r="K444" s="184"/>
      <c r="L444" s="184"/>
      <c r="M444" s="184"/>
      <c r="N444" s="184"/>
      <c r="O444" s="184"/>
    </row>
    <row r="445" customFormat="false" ht="15" hidden="false" customHeight="true" outlineLevel="0" collapsed="false">
      <c r="A445" s="184"/>
      <c r="B445" s="184"/>
      <c r="C445" s="184"/>
      <c r="D445" s="184"/>
      <c r="E445" s="184"/>
      <c r="F445" s="184"/>
      <c r="G445" s="184"/>
      <c r="H445" s="184"/>
      <c r="I445" s="184"/>
      <c r="J445" s="184"/>
      <c r="K445" s="184"/>
      <c r="L445" s="184"/>
      <c r="M445" s="184"/>
      <c r="N445" s="184"/>
      <c r="O445" s="184"/>
    </row>
    <row r="446" customFormat="false" ht="15" hidden="false" customHeight="true" outlineLevel="0" collapsed="false">
      <c r="A446" s="184"/>
      <c r="B446" s="184"/>
      <c r="C446" s="184"/>
      <c r="D446" s="184"/>
      <c r="E446" s="184"/>
      <c r="F446" s="184"/>
      <c r="G446" s="184"/>
      <c r="H446" s="184"/>
      <c r="I446" s="184"/>
      <c r="J446" s="184"/>
      <c r="K446" s="184"/>
      <c r="L446" s="184"/>
      <c r="M446" s="184"/>
      <c r="N446" s="184"/>
      <c r="O446" s="184"/>
    </row>
    <row r="447" customFormat="false" ht="15" hidden="false" customHeight="true" outlineLevel="0" collapsed="false">
      <c r="A447" s="184"/>
      <c r="B447" s="184"/>
      <c r="C447" s="184"/>
      <c r="D447" s="184"/>
      <c r="E447" s="184"/>
      <c r="F447" s="184"/>
      <c r="G447" s="184"/>
      <c r="H447" s="184"/>
      <c r="I447" s="184"/>
      <c r="J447" s="184"/>
      <c r="K447" s="184"/>
      <c r="L447" s="184"/>
      <c r="M447" s="184"/>
      <c r="N447" s="184"/>
      <c r="O447" s="184"/>
    </row>
    <row r="448" customFormat="false" ht="15" hidden="false" customHeight="true" outlineLevel="0" collapsed="false">
      <c r="A448" s="184"/>
      <c r="B448" s="184"/>
      <c r="C448" s="184"/>
      <c r="D448" s="184"/>
      <c r="E448" s="184"/>
      <c r="F448" s="184"/>
      <c r="G448" s="184"/>
      <c r="H448" s="184"/>
      <c r="I448" s="184"/>
      <c r="J448" s="184"/>
      <c r="K448" s="184"/>
      <c r="L448" s="184"/>
      <c r="M448" s="184"/>
      <c r="N448" s="184"/>
      <c r="O448" s="184"/>
    </row>
    <row r="449" customFormat="false" ht="15" hidden="false" customHeight="true" outlineLevel="0" collapsed="false">
      <c r="A449" s="184"/>
      <c r="B449" s="184"/>
      <c r="C449" s="184"/>
      <c r="D449" s="184"/>
      <c r="E449" s="184"/>
      <c r="F449" s="184"/>
      <c r="G449" s="184"/>
      <c r="H449" s="184"/>
      <c r="I449" s="184"/>
      <c r="J449" s="184"/>
      <c r="K449" s="184"/>
      <c r="L449" s="184"/>
      <c r="M449" s="184"/>
      <c r="N449" s="184"/>
      <c r="O449" s="184"/>
    </row>
    <row r="450" customFormat="false" ht="15" hidden="false" customHeight="true" outlineLevel="0" collapsed="false">
      <c r="A450" s="184"/>
      <c r="B450" s="184"/>
      <c r="C450" s="184"/>
      <c r="D450" s="184"/>
      <c r="E450" s="184"/>
      <c r="F450" s="184"/>
      <c r="G450" s="184"/>
      <c r="H450" s="184"/>
      <c r="I450" s="184"/>
      <c r="J450" s="184"/>
      <c r="K450" s="184"/>
      <c r="L450" s="184"/>
      <c r="M450" s="184"/>
      <c r="N450" s="184"/>
      <c r="O450" s="184"/>
    </row>
    <row r="451" customFormat="false" ht="15" hidden="false" customHeight="true" outlineLevel="0" collapsed="false">
      <c r="A451" s="184"/>
      <c r="B451" s="184"/>
      <c r="C451" s="184"/>
      <c r="D451" s="184"/>
      <c r="E451" s="184"/>
      <c r="F451" s="184"/>
      <c r="G451" s="184"/>
      <c r="H451" s="184"/>
      <c r="I451" s="184"/>
      <c r="J451" s="184"/>
      <c r="K451" s="184"/>
      <c r="L451" s="184"/>
      <c r="M451" s="184"/>
      <c r="N451" s="184"/>
      <c r="O451" s="184"/>
    </row>
    <row r="452" customFormat="false" ht="15" hidden="false" customHeight="true" outlineLevel="0" collapsed="false">
      <c r="A452" s="184"/>
      <c r="B452" s="184"/>
      <c r="C452" s="184"/>
      <c r="D452" s="184"/>
      <c r="E452" s="184"/>
      <c r="F452" s="184"/>
      <c r="G452" s="184"/>
      <c r="H452" s="184"/>
      <c r="I452" s="184"/>
      <c r="J452" s="184"/>
      <c r="K452" s="184"/>
      <c r="L452" s="184"/>
      <c r="M452" s="184"/>
      <c r="N452" s="184"/>
      <c r="O452" s="184"/>
    </row>
    <row r="453" customFormat="false" ht="15" hidden="false" customHeight="true" outlineLevel="0" collapsed="false">
      <c r="A453" s="184"/>
      <c r="B453" s="184"/>
      <c r="C453" s="184"/>
      <c r="D453" s="184"/>
      <c r="E453" s="184"/>
      <c r="F453" s="184"/>
      <c r="G453" s="184"/>
      <c r="H453" s="184"/>
      <c r="I453" s="184"/>
      <c r="J453" s="184"/>
      <c r="K453" s="184"/>
      <c r="L453" s="184"/>
      <c r="M453" s="184"/>
      <c r="N453" s="184"/>
      <c r="O453" s="184"/>
    </row>
    <row r="454" customFormat="false" ht="15" hidden="false" customHeight="true" outlineLevel="0" collapsed="false">
      <c r="A454" s="184"/>
      <c r="B454" s="184"/>
      <c r="C454" s="184"/>
      <c r="D454" s="184"/>
      <c r="E454" s="184"/>
      <c r="F454" s="184"/>
      <c r="G454" s="184"/>
      <c r="H454" s="184"/>
      <c r="I454" s="184"/>
      <c r="J454" s="184"/>
      <c r="K454" s="184"/>
      <c r="L454" s="184"/>
      <c r="M454" s="184"/>
      <c r="N454" s="184"/>
      <c r="O454" s="184"/>
    </row>
    <row r="455" customFormat="false" ht="15" hidden="false" customHeight="true" outlineLevel="0" collapsed="false">
      <c r="A455" s="184"/>
      <c r="B455" s="184"/>
      <c r="C455" s="184"/>
      <c r="D455" s="184"/>
      <c r="E455" s="184"/>
      <c r="F455" s="184"/>
      <c r="G455" s="184"/>
      <c r="H455" s="184"/>
      <c r="I455" s="184"/>
      <c r="J455" s="184"/>
      <c r="K455" s="184"/>
      <c r="L455" s="184"/>
      <c r="M455" s="184"/>
      <c r="N455" s="184"/>
      <c r="O455" s="184"/>
    </row>
    <row r="456" customFormat="false" ht="15" hidden="false" customHeight="true" outlineLevel="0" collapsed="false">
      <c r="A456" s="184"/>
      <c r="B456" s="184"/>
      <c r="C456" s="184"/>
      <c r="D456" s="184"/>
      <c r="E456" s="184"/>
      <c r="F456" s="184"/>
      <c r="G456" s="184"/>
      <c r="H456" s="184"/>
      <c r="I456" s="184"/>
      <c r="J456" s="184"/>
      <c r="K456" s="184"/>
      <c r="L456" s="184"/>
      <c r="M456" s="184"/>
      <c r="N456" s="184"/>
      <c r="O456" s="184"/>
    </row>
    <row r="457" customFormat="false" ht="15" hidden="false" customHeight="true" outlineLevel="0" collapsed="false">
      <c r="A457" s="184"/>
      <c r="B457" s="184"/>
      <c r="C457" s="184"/>
      <c r="D457" s="184"/>
      <c r="E457" s="184"/>
      <c r="F457" s="184"/>
      <c r="G457" s="184"/>
      <c r="H457" s="184"/>
      <c r="I457" s="184"/>
      <c r="J457" s="184"/>
      <c r="K457" s="184"/>
      <c r="L457" s="184"/>
      <c r="M457" s="184"/>
      <c r="N457" s="184"/>
      <c r="O457" s="184"/>
    </row>
    <row r="458" customFormat="false" ht="15" hidden="false" customHeight="true" outlineLevel="0" collapsed="false">
      <c r="A458" s="184" t="s">
        <v>4885</v>
      </c>
      <c r="B458" s="184" t="s">
        <v>4886</v>
      </c>
      <c r="C458" s="184" t="n">
        <v>1</v>
      </c>
      <c r="D458" s="178" t="s">
        <v>5269</v>
      </c>
      <c r="E458" s="184" t="s">
        <v>6289</v>
      </c>
      <c r="F458" s="184"/>
      <c r="G458" s="184"/>
      <c r="H458" s="184"/>
      <c r="I458" s="184"/>
      <c r="J458" s="184"/>
      <c r="K458" s="184"/>
      <c r="L458" s="184"/>
      <c r="M458" s="184" t="s">
        <v>6469</v>
      </c>
      <c r="N458" s="184"/>
      <c r="O458" s="184"/>
    </row>
    <row r="459" customFormat="false" ht="15" hidden="false" customHeight="true" outlineLevel="0" collapsed="false">
      <c r="A459" s="184" t="s">
        <v>4885</v>
      </c>
      <c r="B459" s="184" t="s">
        <v>4886</v>
      </c>
      <c r="C459" s="184" t="n">
        <v>2</v>
      </c>
      <c r="D459" s="177" t="s">
        <v>6429</v>
      </c>
      <c r="E459" s="184" t="s">
        <v>6470</v>
      </c>
      <c r="F459" s="184"/>
      <c r="G459" s="184"/>
      <c r="H459" s="184"/>
      <c r="I459" s="184"/>
      <c r="J459" s="184"/>
      <c r="K459" s="184"/>
      <c r="L459" s="184"/>
      <c r="M459" s="184"/>
      <c r="N459" s="184"/>
      <c r="O459" s="184"/>
    </row>
    <row r="460" customFormat="false" ht="15" hidden="false" customHeight="true" outlineLevel="0" collapsed="false">
      <c r="A460" s="184" t="s">
        <v>4885</v>
      </c>
      <c r="B460" s="184" t="s">
        <v>4886</v>
      </c>
      <c r="C460" s="184" t="n">
        <v>3</v>
      </c>
      <c r="D460" s="179" t="s">
        <v>6292</v>
      </c>
      <c r="E460" s="184" t="s">
        <v>6471</v>
      </c>
      <c r="F460" s="184"/>
      <c r="G460" s="184"/>
      <c r="H460" s="184"/>
      <c r="I460" s="184"/>
      <c r="J460" s="184"/>
      <c r="K460" s="184"/>
      <c r="L460" s="184"/>
      <c r="M460" s="184"/>
      <c r="N460" s="184"/>
      <c r="O460" s="184"/>
    </row>
    <row r="461" customFormat="false" ht="27.75" hidden="false" customHeight="true" outlineLevel="0" collapsed="false">
      <c r="A461" s="184" t="s">
        <v>4885</v>
      </c>
      <c r="B461" s="184" t="s">
        <v>4886</v>
      </c>
      <c r="C461" s="184" t="n">
        <v>4</v>
      </c>
      <c r="D461" s="184" t="s">
        <v>6294</v>
      </c>
      <c r="E461" s="184" t="s">
        <v>6472</v>
      </c>
      <c r="F461" s="184"/>
      <c r="G461" s="184"/>
      <c r="H461" s="184"/>
      <c r="I461" s="184"/>
      <c r="J461" s="184"/>
      <c r="K461" s="184"/>
      <c r="L461" s="184"/>
      <c r="M461" s="184"/>
      <c r="N461" s="184"/>
      <c r="O461" s="184"/>
    </row>
    <row r="462" customFormat="false" ht="15" hidden="false" customHeight="true" outlineLevel="0" collapsed="false">
      <c r="A462" s="184" t="s">
        <v>4885</v>
      </c>
      <c r="B462" s="184" t="s">
        <v>4886</v>
      </c>
      <c r="C462" s="184" t="n">
        <v>5</v>
      </c>
      <c r="D462" s="178" t="s">
        <v>6457</v>
      </c>
      <c r="E462" s="184" t="s">
        <v>6458</v>
      </c>
      <c r="F462" s="184"/>
      <c r="G462" s="184"/>
      <c r="H462" s="184"/>
      <c r="I462" s="184"/>
      <c r="J462" s="184"/>
      <c r="K462" s="184"/>
      <c r="L462" s="184"/>
      <c r="M462" s="184" t="s">
        <v>6459</v>
      </c>
      <c r="N462" s="184"/>
      <c r="O462" s="184"/>
    </row>
    <row r="463" customFormat="false" ht="15" hidden="false" customHeight="true" outlineLevel="0" collapsed="false">
      <c r="A463" s="184" t="s">
        <v>4885</v>
      </c>
      <c r="B463" s="184" t="s">
        <v>4886</v>
      </c>
      <c r="C463" s="184" t="n">
        <v>6</v>
      </c>
      <c r="D463" s="179" t="s">
        <v>6292</v>
      </c>
      <c r="E463" s="184" t="s">
        <v>6473</v>
      </c>
      <c r="F463" s="184"/>
      <c r="G463" s="184"/>
      <c r="H463" s="184"/>
      <c r="I463" s="184"/>
      <c r="J463" s="184"/>
      <c r="K463" s="184"/>
      <c r="L463" s="184"/>
      <c r="M463" s="184"/>
      <c r="N463" s="184"/>
      <c r="O463" s="184"/>
    </row>
    <row r="464" customFormat="false" ht="15" hidden="false" customHeight="true" outlineLevel="0" collapsed="false">
      <c r="A464" s="184" t="s">
        <v>4885</v>
      </c>
      <c r="B464" s="184" t="s">
        <v>4886</v>
      </c>
      <c r="C464" s="184" t="n">
        <v>7</v>
      </c>
      <c r="D464" s="178" t="s">
        <v>6457</v>
      </c>
      <c r="E464" s="186" t="s">
        <v>6474</v>
      </c>
      <c r="F464" s="184"/>
      <c r="G464" s="184"/>
      <c r="H464" s="184"/>
      <c r="I464" s="184"/>
      <c r="J464" s="184"/>
      <c r="K464" s="184"/>
      <c r="L464" s="184"/>
      <c r="M464" s="184" t="s">
        <v>6452</v>
      </c>
      <c r="N464" s="184"/>
      <c r="O464" s="184"/>
    </row>
    <row r="465" customFormat="false" ht="15" hidden="false" customHeight="true" outlineLevel="0" collapsed="false">
      <c r="A465" s="184" t="s">
        <v>4885</v>
      </c>
      <c r="B465" s="184" t="s">
        <v>4886</v>
      </c>
      <c r="C465" s="184" t="n">
        <v>8</v>
      </c>
      <c r="D465" s="174" t="s">
        <v>4846</v>
      </c>
      <c r="E465" s="184" t="s">
        <v>6475</v>
      </c>
      <c r="F465" s="184"/>
      <c r="G465" s="184"/>
      <c r="H465" s="184"/>
      <c r="I465" s="184"/>
      <c r="J465" s="184" t="s">
        <v>2511</v>
      </c>
      <c r="K465" s="184"/>
      <c r="L465" s="184"/>
      <c r="M465" s="184"/>
      <c r="N465" s="184"/>
      <c r="O465" s="184"/>
    </row>
    <row r="466" customFormat="false" ht="15" hidden="false" customHeight="true" outlineLevel="0" collapsed="false">
      <c r="A466" s="184" t="s">
        <v>4885</v>
      </c>
      <c r="B466" s="184" t="s">
        <v>4886</v>
      </c>
      <c r="C466" s="184" t="n">
        <v>9</v>
      </c>
      <c r="D466" s="178" t="s">
        <v>6457</v>
      </c>
      <c r="E466" s="184" t="s">
        <v>6476</v>
      </c>
      <c r="F466" s="184"/>
      <c r="G466" s="184"/>
      <c r="H466" s="184"/>
      <c r="I466" s="184"/>
      <c r="J466" s="184"/>
      <c r="K466" s="184"/>
      <c r="L466" s="184"/>
      <c r="M466" s="184" t="s">
        <v>6477</v>
      </c>
      <c r="N466" s="184"/>
      <c r="O466" s="184"/>
    </row>
    <row r="467" customFormat="false" ht="15" hidden="false" customHeight="true" outlineLevel="0" collapsed="false">
      <c r="A467" s="184" t="s">
        <v>4885</v>
      </c>
      <c r="B467" s="184" t="s">
        <v>4886</v>
      </c>
      <c r="C467" s="184" t="n">
        <v>10</v>
      </c>
      <c r="D467" s="178" t="s">
        <v>5269</v>
      </c>
      <c r="E467" s="184" t="s">
        <v>6478</v>
      </c>
      <c r="F467" s="184"/>
      <c r="G467" s="184"/>
      <c r="H467" s="184"/>
      <c r="I467" s="184"/>
      <c r="J467" s="184"/>
      <c r="K467" s="184"/>
      <c r="L467" s="184"/>
      <c r="M467" s="184" t="s">
        <v>6479</v>
      </c>
      <c r="N467" s="184"/>
      <c r="O467" s="184"/>
    </row>
    <row r="468" customFormat="false" ht="15" hidden="false" customHeight="true" outlineLevel="0" collapsed="false">
      <c r="A468" s="184" t="s">
        <v>4885</v>
      </c>
      <c r="B468" s="184" t="s">
        <v>4886</v>
      </c>
      <c r="C468" s="184" t="n">
        <v>11</v>
      </c>
      <c r="D468" s="178" t="s">
        <v>5269</v>
      </c>
      <c r="E468" s="184" t="s">
        <v>6480</v>
      </c>
      <c r="F468" s="184"/>
      <c r="G468" s="184"/>
      <c r="H468" s="184"/>
      <c r="I468" s="184"/>
      <c r="J468" s="184"/>
      <c r="K468" s="184"/>
      <c r="L468" s="184"/>
      <c r="M468" s="184" t="s">
        <v>6481</v>
      </c>
      <c r="N468" s="184"/>
      <c r="O468" s="184"/>
    </row>
    <row r="469" customFormat="false" ht="15" hidden="false" customHeight="true" outlineLevel="0" collapsed="false">
      <c r="A469" s="184" t="s">
        <v>4885</v>
      </c>
      <c r="B469" s="184" t="s">
        <v>4886</v>
      </c>
      <c r="C469" s="184" t="n">
        <v>12</v>
      </c>
      <c r="D469" s="174" t="s">
        <v>4846</v>
      </c>
      <c r="E469" s="184" t="s">
        <v>6482</v>
      </c>
      <c r="F469" s="184"/>
      <c r="G469" s="184"/>
      <c r="H469" s="184"/>
      <c r="I469" s="184"/>
      <c r="J469" s="184" t="s">
        <v>6483</v>
      </c>
      <c r="K469" s="184"/>
      <c r="L469" s="184"/>
      <c r="M469" s="184"/>
      <c r="N469" s="184"/>
      <c r="O469" s="184"/>
    </row>
    <row r="470" customFormat="false" ht="15" hidden="false" customHeight="true" outlineLevel="0" collapsed="false">
      <c r="A470" s="184" t="s">
        <v>4885</v>
      </c>
      <c r="B470" s="184" t="s">
        <v>4886</v>
      </c>
      <c r="C470" s="184" t="n">
        <v>13</v>
      </c>
      <c r="D470" s="174" t="s">
        <v>4846</v>
      </c>
      <c r="E470" s="184" t="s">
        <v>6484</v>
      </c>
      <c r="F470" s="184"/>
      <c r="G470" s="184"/>
      <c r="H470" s="184"/>
      <c r="I470" s="184"/>
      <c r="J470" s="184" t="s">
        <v>6485</v>
      </c>
      <c r="K470" s="184"/>
      <c r="L470" s="184"/>
      <c r="M470" s="184"/>
      <c r="N470" s="184"/>
      <c r="O470" s="184"/>
    </row>
    <row r="471" customFormat="false" ht="15" hidden="false" customHeight="true" outlineLevel="0" collapsed="false">
      <c r="A471" s="184" t="s">
        <v>4885</v>
      </c>
      <c r="B471" s="184" t="s">
        <v>4886</v>
      </c>
      <c r="C471" s="184" t="n">
        <v>14</v>
      </c>
      <c r="D471" s="174" t="s">
        <v>4846</v>
      </c>
      <c r="E471" s="184" t="s">
        <v>6486</v>
      </c>
      <c r="F471" s="184"/>
      <c r="G471" s="184"/>
      <c r="H471" s="184"/>
      <c r="I471" s="184"/>
      <c r="J471" s="184"/>
      <c r="K471" s="184"/>
      <c r="L471" s="184"/>
      <c r="M471" s="184"/>
      <c r="N471" s="184"/>
      <c r="O471" s="184"/>
    </row>
    <row r="472" customFormat="false" ht="41.25" hidden="false" customHeight="true" outlineLevel="0" collapsed="false">
      <c r="A472" s="184" t="s">
        <v>4885</v>
      </c>
      <c r="B472" s="184" t="s">
        <v>4886</v>
      </c>
      <c r="C472" s="184" t="n">
        <v>15</v>
      </c>
      <c r="D472" s="177" t="s">
        <v>6298</v>
      </c>
      <c r="E472" s="184" t="s">
        <v>6487</v>
      </c>
      <c r="F472" s="184"/>
      <c r="G472" s="184"/>
      <c r="H472" s="184"/>
      <c r="I472" s="184"/>
      <c r="J472" s="184"/>
      <c r="K472" s="184"/>
      <c r="L472" s="184"/>
      <c r="M472" s="184"/>
      <c r="N472" s="184"/>
      <c r="O472" s="184"/>
    </row>
    <row r="473" customFormat="false" ht="27.75" hidden="false" customHeight="true" outlineLevel="0" collapsed="false">
      <c r="A473" s="184" t="s">
        <v>4885</v>
      </c>
      <c r="B473" s="184" t="s">
        <v>4886</v>
      </c>
      <c r="C473" s="184" t="n">
        <v>16</v>
      </c>
      <c r="D473" s="177" t="s">
        <v>6298</v>
      </c>
      <c r="E473" s="184" t="s">
        <v>6488</v>
      </c>
      <c r="F473" s="184"/>
      <c r="G473" s="184"/>
      <c r="H473" s="184"/>
      <c r="I473" s="184"/>
      <c r="J473" s="184"/>
      <c r="K473" s="184"/>
      <c r="L473" s="184"/>
      <c r="M473" s="184"/>
      <c r="N473" s="184"/>
      <c r="O473" s="184"/>
    </row>
    <row r="474" customFormat="false" ht="15" hidden="false" customHeight="true" outlineLevel="0" collapsed="false">
      <c r="A474" s="184" t="s">
        <v>4885</v>
      </c>
      <c r="B474" s="184" t="s">
        <v>4886</v>
      </c>
      <c r="C474" s="184" t="n">
        <v>17</v>
      </c>
      <c r="D474" s="177" t="s">
        <v>6298</v>
      </c>
      <c r="E474" s="184" t="s">
        <v>6489</v>
      </c>
      <c r="F474" s="184"/>
      <c r="G474" s="184"/>
      <c r="H474" s="184"/>
      <c r="I474" s="184"/>
      <c r="J474" s="184"/>
      <c r="K474" s="184"/>
      <c r="L474" s="184"/>
      <c r="M474" s="184"/>
      <c r="N474" s="184"/>
      <c r="O474" s="184"/>
    </row>
    <row r="475" customFormat="false" ht="15" hidden="false" customHeight="true" outlineLevel="0" collapsed="false">
      <c r="A475" s="184" t="s">
        <v>4885</v>
      </c>
      <c r="B475" s="184" t="s">
        <v>4886</v>
      </c>
      <c r="C475" s="184" t="n">
        <v>18</v>
      </c>
      <c r="D475" s="178" t="s">
        <v>6457</v>
      </c>
      <c r="E475" s="184" t="s">
        <v>6490</v>
      </c>
      <c r="F475" s="184"/>
      <c r="G475" s="184"/>
      <c r="H475" s="184"/>
      <c r="I475" s="184"/>
      <c r="J475" s="184"/>
      <c r="K475" s="184"/>
      <c r="L475" s="184"/>
      <c r="M475" s="184" t="s">
        <v>6491</v>
      </c>
      <c r="N475" s="184"/>
      <c r="O475" s="184"/>
    </row>
    <row r="476" customFormat="false" ht="15" hidden="false" customHeight="true" outlineLevel="0" collapsed="false">
      <c r="A476" s="184" t="s">
        <v>4885</v>
      </c>
      <c r="B476" s="184" t="s">
        <v>4886</v>
      </c>
      <c r="C476" s="184" t="n">
        <v>19</v>
      </c>
      <c r="D476" s="174" t="s">
        <v>4846</v>
      </c>
      <c r="E476" s="184" t="s">
        <v>6475</v>
      </c>
      <c r="F476" s="184"/>
      <c r="G476" s="184"/>
      <c r="H476" s="184"/>
      <c r="I476" s="184"/>
      <c r="J476" s="184" t="s">
        <v>2505</v>
      </c>
      <c r="K476" s="184"/>
      <c r="L476" s="184"/>
      <c r="M476" s="184"/>
      <c r="N476" s="184"/>
      <c r="O476" s="184"/>
    </row>
    <row r="477" customFormat="false" ht="15" hidden="false" customHeight="true" outlineLevel="0" collapsed="false">
      <c r="A477" s="184" t="s">
        <v>4885</v>
      </c>
      <c r="B477" s="184" t="s">
        <v>4886</v>
      </c>
      <c r="C477" s="184" t="n">
        <v>20</v>
      </c>
      <c r="D477" s="178" t="s">
        <v>6457</v>
      </c>
      <c r="E477" s="184" t="s">
        <v>6476</v>
      </c>
      <c r="F477" s="184"/>
      <c r="G477" s="184"/>
      <c r="H477" s="184"/>
      <c r="I477" s="184"/>
      <c r="J477" s="184"/>
      <c r="K477" s="184"/>
      <c r="L477" s="184"/>
      <c r="M477" s="184" t="s">
        <v>6492</v>
      </c>
      <c r="N477" s="184"/>
      <c r="O477" s="184"/>
    </row>
    <row r="478" customFormat="false" ht="15" hidden="false" customHeight="true" outlineLevel="0" collapsed="false">
      <c r="A478" s="184" t="s">
        <v>4885</v>
      </c>
      <c r="B478" s="184" t="s">
        <v>4886</v>
      </c>
      <c r="C478" s="184" t="n">
        <v>21</v>
      </c>
      <c r="D478" s="178" t="s">
        <v>5269</v>
      </c>
      <c r="E478" s="184" t="s">
        <v>6478</v>
      </c>
      <c r="F478" s="184"/>
      <c r="G478" s="184"/>
      <c r="H478" s="184"/>
      <c r="I478" s="184"/>
      <c r="J478" s="184"/>
      <c r="K478" s="184"/>
      <c r="L478" s="184"/>
      <c r="M478" s="184" t="s">
        <v>6493</v>
      </c>
      <c r="N478" s="184"/>
      <c r="O478" s="184"/>
    </row>
    <row r="479" customFormat="false" ht="15" hidden="false" customHeight="true" outlineLevel="0" collapsed="false">
      <c r="A479" s="184" t="s">
        <v>4885</v>
      </c>
      <c r="B479" s="184" t="s">
        <v>4886</v>
      </c>
      <c r="C479" s="184" t="n">
        <v>22</v>
      </c>
      <c r="D479" s="178" t="s">
        <v>5269</v>
      </c>
      <c r="E479" s="184" t="s">
        <v>6480</v>
      </c>
      <c r="F479" s="184"/>
      <c r="G479" s="184"/>
      <c r="H479" s="184"/>
      <c r="I479" s="184"/>
      <c r="J479" s="184"/>
      <c r="K479" s="184"/>
      <c r="L479" s="184"/>
      <c r="M479" s="184" t="s">
        <v>6494</v>
      </c>
      <c r="N479" s="184"/>
      <c r="O479" s="184"/>
    </row>
    <row r="480" customFormat="false" ht="15" hidden="false" customHeight="true" outlineLevel="0" collapsed="false">
      <c r="A480" s="184" t="s">
        <v>4885</v>
      </c>
      <c r="B480" s="184" t="s">
        <v>4886</v>
      </c>
      <c r="C480" s="184" t="n">
        <v>23</v>
      </c>
      <c r="D480" s="174" t="s">
        <v>4846</v>
      </c>
      <c r="E480" s="184" t="s">
        <v>6482</v>
      </c>
      <c r="F480" s="184"/>
      <c r="G480" s="184"/>
      <c r="H480" s="184"/>
      <c r="I480" s="184"/>
      <c r="J480" s="184" t="s">
        <v>6495</v>
      </c>
      <c r="K480" s="184"/>
      <c r="L480" s="184"/>
      <c r="M480" s="184"/>
      <c r="N480" s="184"/>
      <c r="O480" s="184"/>
    </row>
    <row r="481" customFormat="false" ht="15" hidden="false" customHeight="true" outlineLevel="0" collapsed="false">
      <c r="A481" s="184" t="s">
        <v>4885</v>
      </c>
      <c r="B481" s="184" t="s">
        <v>4886</v>
      </c>
      <c r="C481" s="184" t="n">
        <v>24</v>
      </c>
      <c r="D481" s="174" t="s">
        <v>4846</v>
      </c>
      <c r="E481" s="184" t="s">
        <v>6484</v>
      </c>
      <c r="F481" s="184"/>
      <c r="G481" s="184"/>
      <c r="H481" s="184"/>
      <c r="I481" s="184"/>
      <c r="J481" s="184" t="s">
        <v>6496</v>
      </c>
      <c r="K481" s="184"/>
      <c r="L481" s="184"/>
      <c r="M481" s="184"/>
      <c r="N481" s="184"/>
      <c r="O481" s="184"/>
    </row>
    <row r="482" customFormat="false" ht="15" hidden="false" customHeight="true" outlineLevel="0" collapsed="false">
      <c r="A482" s="184" t="s">
        <v>4885</v>
      </c>
      <c r="B482" s="184" t="s">
        <v>4886</v>
      </c>
      <c r="C482" s="184" t="n">
        <v>25</v>
      </c>
      <c r="D482" s="177" t="s">
        <v>6298</v>
      </c>
      <c r="E482" s="184" t="s">
        <v>6489</v>
      </c>
      <c r="F482" s="184"/>
      <c r="G482" s="184"/>
      <c r="H482" s="184"/>
      <c r="I482" s="184"/>
      <c r="J482" s="184"/>
      <c r="K482" s="184"/>
      <c r="L482" s="184"/>
      <c r="M482" s="184"/>
      <c r="N482" s="184"/>
      <c r="O482" s="184"/>
    </row>
    <row r="483" customFormat="false" ht="15" hidden="false" customHeight="true" outlineLevel="0" collapsed="false">
      <c r="A483" s="184" t="s">
        <v>4885</v>
      </c>
      <c r="B483" s="184" t="s">
        <v>4886</v>
      </c>
      <c r="C483" s="184" t="n">
        <v>26</v>
      </c>
      <c r="D483" s="178" t="s">
        <v>6457</v>
      </c>
      <c r="E483" s="184" t="s">
        <v>6490</v>
      </c>
      <c r="F483" s="184"/>
      <c r="G483" s="184"/>
      <c r="H483" s="184"/>
      <c r="I483" s="184"/>
      <c r="J483" s="184"/>
      <c r="K483" s="184"/>
      <c r="L483" s="184"/>
      <c r="M483" s="184" t="s">
        <v>6497</v>
      </c>
      <c r="N483" s="184"/>
      <c r="O483" s="184"/>
    </row>
    <row r="484" customFormat="false" ht="15" hidden="false" customHeight="true" outlineLevel="0" collapsed="false">
      <c r="A484" s="184" t="s">
        <v>4885</v>
      </c>
      <c r="B484" s="184" t="s">
        <v>4886</v>
      </c>
      <c r="C484" s="184" t="n">
        <v>27</v>
      </c>
      <c r="D484" s="174" t="s">
        <v>4846</v>
      </c>
      <c r="E484" s="184" t="s">
        <v>6475</v>
      </c>
      <c r="F484" s="184"/>
      <c r="G484" s="184"/>
      <c r="H484" s="184"/>
      <c r="I484" s="184"/>
      <c r="J484" s="184" t="s">
        <v>2502</v>
      </c>
      <c r="K484" s="184"/>
      <c r="L484" s="184"/>
      <c r="M484" s="184"/>
      <c r="N484" s="184"/>
      <c r="O484" s="184"/>
    </row>
    <row r="485" customFormat="false" ht="15" hidden="false" customHeight="true" outlineLevel="0" collapsed="false">
      <c r="A485" s="184" t="s">
        <v>4885</v>
      </c>
      <c r="B485" s="184" t="s">
        <v>4886</v>
      </c>
      <c r="C485" s="184" t="n">
        <v>28</v>
      </c>
      <c r="D485" s="178" t="s">
        <v>6457</v>
      </c>
      <c r="E485" s="184" t="s">
        <v>6476</v>
      </c>
      <c r="F485" s="184"/>
      <c r="G485" s="184"/>
      <c r="H485" s="184"/>
      <c r="I485" s="184"/>
      <c r="J485" s="184"/>
      <c r="K485" s="184"/>
      <c r="L485" s="184"/>
      <c r="M485" s="184" t="s">
        <v>6498</v>
      </c>
      <c r="N485" s="184"/>
      <c r="O485" s="184"/>
    </row>
    <row r="486" customFormat="false" ht="15" hidden="false" customHeight="true" outlineLevel="0" collapsed="false">
      <c r="A486" s="184" t="s">
        <v>4885</v>
      </c>
      <c r="B486" s="184" t="s">
        <v>4886</v>
      </c>
      <c r="C486" s="184" t="n">
        <v>29</v>
      </c>
      <c r="D486" s="178" t="s">
        <v>5269</v>
      </c>
      <c r="E486" s="184" t="s">
        <v>6478</v>
      </c>
      <c r="F486" s="184"/>
      <c r="G486" s="184"/>
      <c r="H486" s="184"/>
      <c r="I486" s="184"/>
      <c r="J486" s="184"/>
      <c r="K486" s="184"/>
      <c r="L486" s="184"/>
      <c r="M486" s="184" t="s">
        <v>6499</v>
      </c>
      <c r="N486" s="184"/>
      <c r="O486" s="184"/>
    </row>
    <row r="487" customFormat="false" ht="15" hidden="false" customHeight="true" outlineLevel="0" collapsed="false">
      <c r="A487" s="184" t="s">
        <v>4885</v>
      </c>
      <c r="B487" s="184" t="s">
        <v>4886</v>
      </c>
      <c r="C487" s="184" t="n">
        <v>30</v>
      </c>
      <c r="D487" s="178" t="s">
        <v>5269</v>
      </c>
      <c r="E487" s="184" t="s">
        <v>6480</v>
      </c>
      <c r="F487" s="184"/>
      <c r="G487" s="184"/>
      <c r="H487" s="184"/>
      <c r="I487" s="184"/>
      <c r="J487" s="184"/>
      <c r="K487" s="184"/>
      <c r="L487" s="184"/>
      <c r="M487" s="184" t="s">
        <v>6500</v>
      </c>
      <c r="N487" s="184"/>
      <c r="O487" s="184"/>
    </row>
    <row r="488" customFormat="false" ht="15" hidden="false" customHeight="true" outlineLevel="0" collapsed="false">
      <c r="A488" s="184" t="s">
        <v>4885</v>
      </c>
      <c r="B488" s="184" t="s">
        <v>4886</v>
      </c>
      <c r="C488" s="184" t="n">
        <v>31</v>
      </c>
      <c r="D488" s="174" t="s">
        <v>4846</v>
      </c>
      <c r="E488" s="184" t="s">
        <v>6482</v>
      </c>
      <c r="F488" s="184"/>
      <c r="G488" s="184"/>
      <c r="H488" s="184"/>
      <c r="I488" s="184"/>
      <c r="J488" s="184" t="s">
        <v>6501</v>
      </c>
      <c r="K488" s="184"/>
      <c r="L488" s="184"/>
      <c r="M488" s="184"/>
      <c r="N488" s="184"/>
      <c r="O488" s="184"/>
    </row>
    <row r="489" customFormat="false" ht="15" hidden="false" customHeight="true" outlineLevel="0" collapsed="false">
      <c r="A489" s="184" t="s">
        <v>4885</v>
      </c>
      <c r="B489" s="184" t="s">
        <v>4886</v>
      </c>
      <c r="C489" s="184" t="n">
        <v>32</v>
      </c>
      <c r="D489" s="174" t="s">
        <v>4846</v>
      </c>
      <c r="E489" s="184" t="s">
        <v>6484</v>
      </c>
      <c r="F489" s="184"/>
      <c r="G489" s="184"/>
      <c r="H489" s="184"/>
      <c r="I489" s="184"/>
      <c r="J489" s="184" t="s">
        <v>6496</v>
      </c>
      <c r="K489" s="184"/>
      <c r="L489" s="184"/>
      <c r="M489" s="184"/>
      <c r="N489" s="184"/>
      <c r="O489" s="184"/>
    </row>
    <row r="490" customFormat="false" ht="15" hidden="false" customHeight="true" outlineLevel="0" collapsed="false">
      <c r="A490" s="184" t="s">
        <v>4885</v>
      </c>
      <c r="B490" s="184" t="s">
        <v>4886</v>
      </c>
      <c r="C490" s="184" t="n">
        <v>33</v>
      </c>
      <c r="D490" s="177" t="s">
        <v>6298</v>
      </c>
      <c r="E490" s="184" t="s">
        <v>6489</v>
      </c>
      <c r="F490" s="184"/>
      <c r="G490" s="184"/>
      <c r="H490" s="184"/>
      <c r="I490" s="184"/>
      <c r="J490" s="184"/>
      <c r="K490" s="184"/>
      <c r="L490" s="184"/>
      <c r="M490" s="184"/>
      <c r="N490" s="184"/>
      <c r="O490" s="184"/>
    </row>
    <row r="491" customFormat="false" ht="15" hidden="false" customHeight="true" outlineLevel="0" collapsed="false">
      <c r="A491" s="184" t="s">
        <v>4885</v>
      </c>
      <c r="B491" s="184" t="s">
        <v>4886</v>
      </c>
      <c r="C491" s="184" t="n">
        <v>34</v>
      </c>
      <c r="D491" s="178" t="s">
        <v>6457</v>
      </c>
      <c r="E491" s="184" t="s">
        <v>6490</v>
      </c>
      <c r="F491" s="184"/>
      <c r="G491" s="184"/>
      <c r="H491" s="184"/>
      <c r="I491" s="184"/>
      <c r="J491" s="184"/>
      <c r="K491" s="184"/>
      <c r="L491" s="184"/>
      <c r="M491" s="184" t="s">
        <v>6502</v>
      </c>
      <c r="N491" s="184"/>
      <c r="O491" s="184"/>
    </row>
    <row r="492" customFormat="false" ht="15" hidden="false" customHeight="true" outlineLevel="0" collapsed="false">
      <c r="A492" s="184" t="s">
        <v>4885</v>
      </c>
      <c r="B492" s="184" t="s">
        <v>4886</v>
      </c>
      <c r="C492" s="184" t="n">
        <v>35</v>
      </c>
      <c r="D492" s="174" t="s">
        <v>4846</v>
      </c>
      <c r="E492" s="184" t="s">
        <v>6475</v>
      </c>
      <c r="F492" s="184"/>
      <c r="G492" s="184"/>
      <c r="H492" s="184"/>
      <c r="I492" s="184"/>
      <c r="J492" s="184" t="s">
        <v>2509</v>
      </c>
      <c r="K492" s="184"/>
      <c r="L492" s="184"/>
      <c r="M492" s="184"/>
      <c r="N492" s="184"/>
      <c r="O492" s="184"/>
    </row>
    <row r="493" customFormat="false" ht="15" hidden="false" customHeight="true" outlineLevel="0" collapsed="false">
      <c r="A493" s="184" t="s">
        <v>4885</v>
      </c>
      <c r="B493" s="184" t="s">
        <v>4886</v>
      </c>
      <c r="C493" s="184" t="n">
        <v>36</v>
      </c>
      <c r="D493" s="178" t="s">
        <v>6457</v>
      </c>
      <c r="E493" s="184" t="s">
        <v>6476</v>
      </c>
      <c r="F493" s="184"/>
      <c r="G493" s="184"/>
      <c r="H493" s="184"/>
      <c r="I493" s="184"/>
      <c r="J493" s="184"/>
      <c r="K493" s="184"/>
      <c r="L493" s="184"/>
      <c r="M493" s="184" t="s">
        <v>6503</v>
      </c>
      <c r="N493" s="184"/>
      <c r="O493" s="184"/>
    </row>
    <row r="494" customFormat="false" ht="15" hidden="false" customHeight="true" outlineLevel="0" collapsed="false">
      <c r="A494" s="184" t="s">
        <v>4885</v>
      </c>
      <c r="B494" s="184" t="s">
        <v>4886</v>
      </c>
      <c r="C494" s="184" t="n">
        <v>37</v>
      </c>
      <c r="D494" s="178" t="s">
        <v>5269</v>
      </c>
      <c r="E494" s="184" t="s">
        <v>6478</v>
      </c>
      <c r="F494" s="184"/>
      <c r="G494" s="184"/>
      <c r="H494" s="184"/>
      <c r="I494" s="184"/>
      <c r="J494" s="184"/>
      <c r="K494" s="184"/>
      <c r="L494" s="184"/>
      <c r="M494" s="184" t="s">
        <v>6504</v>
      </c>
      <c r="N494" s="184"/>
      <c r="O494" s="184"/>
    </row>
    <row r="495" customFormat="false" ht="15" hidden="false" customHeight="true" outlineLevel="0" collapsed="false">
      <c r="A495" s="184" t="s">
        <v>4885</v>
      </c>
      <c r="B495" s="184" t="s">
        <v>4886</v>
      </c>
      <c r="C495" s="184" t="n">
        <v>38</v>
      </c>
      <c r="D495" s="178" t="s">
        <v>5269</v>
      </c>
      <c r="E495" s="184" t="s">
        <v>6480</v>
      </c>
      <c r="F495" s="184"/>
      <c r="G495" s="184"/>
      <c r="H495" s="184"/>
      <c r="I495" s="184"/>
      <c r="J495" s="184"/>
      <c r="K495" s="184"/>
      <c r="L495" s="184"/>
      <c r="M495" s="184" t="s">
        <v>6505</v>
      </c>
      <c r="N495" s="184"/>
      <c r="O495" s="184"/>
    </row>
    <row r="496" customFormat="false" ht="15" hidden="false" customHeight="true" outlineLevel="0" collapsed="false">
      <c r="A496" s="184" t="s">
        <v>4885</v>
      </c>
      <c r="B496" s="184" t="s">
        <v>4886</v>
      </c>
      <c r="C496" s="184" t="n">
        <v>39</v>
      </c>
      <c r="D496" s="174" t="s">
        <v>4846</v>
      </c>
      <c r="E496" s="184" t="s">
        <v>6506</v>
      </c>
      <c r="F496" s="184"/>
      <c r="G496" s="184"/>
      <c r="H496" s="184"/>
      <c r="I496" s="184"/>
      <c r="J496" s="184" t="s">
        <v>6507</v>
      </c>
      <c r="K496" s="184"/>
      <c r="L496" s="184"/>
      <c r="M496" s="184"/>
      <c r="N496" s="184"/>
      <c r="O496" s="184"/>
    </row>
    <row r="497" customFormat="false" ht="15" hidden="false" customHeight="true" outlineLevel="0" collapsed="false">
      <c r="A497" s="184" t="s">
        <v>4885</v>
      </c>
      <c r="B497" s="184" t="s">
        <v>4886</v>
      </c>
      <c r="C497" s="184" t="n">
        <v>40</v>
      </c>
      <c r="D497" s="174" t="s">
        <v>4846</v>
      </c>
      <c r="E497" s="184" t="s">
        <v>6484</v>
      </c>
      <c r="F497" s="184"/>
      <c r="G497" s="184"/>
      <c r="H497" s="184"/>
      <c r="I497" s="184"/>
      <c r="J497" s="184" t="s">
        <v>6496</v>
      </c>
      <c r="K497" s="184"/>
      <c r="L497" s="184"/>
      <c r="M497" s="184"/>
      <c r="N497" s="184"/>
      <c r="O497" s="184"/>
    </row>
    <row r="498" customFormat="false" ht="15" hidden="false" customHeight="true" outlineLevel="0" collapsed="false">
      <c r="A498" s="184" t="s">
        <v>4885</v>
      </c>
      <c r="B498" s="184" t="s">
        <v>4886</v>
      </c>
      <c r="C498" s="184" t="n">
        <v>41</v>
      </c>
      <c r="D498" s="177" t="s">
        <v>6298</v>
      </c>
      <c r="E498" s="184" t="s">
        <v>6508</v>
      </c>
      <c r="F498" s="184"/>
      <c r="G498" s="184"/>
      <c r="H498" s="184"/>
      <c r="I498" s="184"/>
      <c r="J498" s="184"/>
      <c r="K498" s="184"/>
      <c r="L498" s="184"/>
      <c r="M498" s="184"/>
      <c r="N498" s="184"/>
      <c r="O498" s="184"/>
    </row>
    <row r="499" customFormat="false" ht="15" hidden="false" customHeight="true" outlineLevel="0" collapsed="false">
      <c r="A499" s="184" t="s">
        <v>4885</v>
      </c>
      <c r="B499" s="184" t="s">
        <v>4886</v>
      </c>
      <c r="C499" s="184" t="n">
        <v>42</v>
      </c>
      <c r="D499" s="178" t="s">
        <v>6457</v>
      </c>
      <c r="E499" s="184" t="s">
        <v>6490</v>
      </c>
      <c r="F499" s="184"/>
      <c r="G499" s="184"/>
      <c r="H499" s="184"/>
      <c r="I499" s="184"/>
      <c r="J499" s="184"/>
      <c r="K499" s="184"/>
      <c r="L499" s="184"/>
      <c r="M499" s="184" t="s">
        <v>6509</v>
      </c>
      <c r="N499" s="184"/>
      <c r="O499" s="184"/>
    </row>
    <row r="500" customFormat="false" ht="15" hidden="false" customHeight="true" outlineLevel="0" collapsed="false">
      <c r="A500" s="184" t="s">
        <v>4885</v>
      </c>
      <c r="B500" s="184" t="s">
        <v>4886</v>
      </c>
      <c r="C500" s="184" t="n">
        <v>43</v>
      </c>
      <c r="D500" s="174" t="s">
        <v>4846</v>
      </c>
      <c r="E500" s="184" t="s">
        <v>6475</v>
      </c>
      <c r="F500" s="184"/>
      <c r="G500" s="184"/>
      <c r="H500" s="184"/>
      <c r="I500" s="184"/>
      <c r="J500" s="184" t="s">
        <v>2497</v>
      </c>
      <c r="K500" s="184"/>
      <c r="L500" s="184"/>
      <c r="M500" s="184"/>
      <c r="N500" s="184"/>
      <c r="O500" s="184"/>
    </row>
    <row r="501" customFormat="false" ht="15" hidden="false" customHeight="true" outlineLevel="0" collapsed="false">
      <c r="A501" s="184" t="s">
        <v>4885</v>
      </c>
      <c r="B501" s="184" t="s">
        <v>4886</v>
      </c>
      <c r="C501" s="184" t="n">
        <v>44</v>
      </c>
      <c r="D501" s="178" t="s">
        <v>5269</v>
      </c>
      <c r="E501" s="184" t="s">
        <v>6478</v>
      </c>
      <c r="F501" s="184"/>
      <c r="G501" s="184"/>
      <c r="H501" s="184"/>
      <c r="I501" s="184"/>
      <c r="J501" s="184"/>
      <c r="K501" s="184"/>
      <c r="L501" s="184"/>
      <c r="M501" s="184" t="s">
        <v>6510</v>
      </c>
      <c r="N501" s="184"/>
      <c r="O501" s="184"/>
    </row>
    <row r="502" customFormat="false" ht="15" hidden="false" customHeight="true" outlineLevel="0" collapsed="false">
      <c r="A502" s="184" t="s">
        <v>4885</v>
      </c>
      <c r="B502" s="184" t="s">
        <v>4886</v>
      </c>
      <c r="C502" s="184" t="n">
        <v>45</v>
      </c>
      <c r="D502" s="178" t="s">
        <v>5269</v>
      </c>
      <c r="E502" s="184" t="s">
        <v>6480</v>
      </c>
      <c r="F502" s="184"/>
      <c r="G502" s="184"/>
      <c r="H502" s="184"/>
      <c r="I502" s="184"/>
      <c r="J502" s="184"/>
      <c r="K502" s="184"/>
      <c r="L502" s="184"/>
      <c r="M502" s="184" t="s">
        <v>6511</v>
      </c>
      <c r="N502" s="184"/>
      <c r="O502" s="184"/>
    </row>
    <row r="503" customFormat="false" ht="15" hidden="false" customHeight="true" outlineLevel="0" collapsed="false">
      <c r="A503" s="184" t="s">
        <v>4885</v>
      </c>
      <c r="B503" s="184" t="s">
        <v>4886</v>
      </c>
      <c r="C503" s="184" t="n">
        <v>46</v>
      </c>
      <c r="D503" s="174" t="s">
        <v>4846</v>
      </c>
      <c r="E503" s="184" t="s">
        <v>6512</v>
      </c>
      <c r="F503" s="184"/>
      <c r="G503" s="184"/>
      <c r="H503" s="184"/>
      <c r="I503" s="184"/>
      <c r="J503" s="184" t="s">
        <v>6513</v>
      </c>
      <c r="K503" s="184"/>
      <c r="L503" s="184"/>
      <c r="M503" s="184"/>
      <c r="N503" s="184"/>
      <c r="O503" s="184"/>
    </row>
    <row r="504" customFormat="false" ht="15" hidden="false" customHeight="true" outlineLevel="0" collapsed="false">
      <c r="A504" s="184" t="s">
        <v>4885</v>
      </c>
      <c r="B504" s="184" t="s">
        <v>4886</v>
      </c>
      <c r="C504" s="184" t="n">
        <v>47</v>
      </c>
      <c r="D504" s="177" t="s">
        <v>6298</v>
      </c>
      <c r="E504" s="184" t="s">
        <v>6514</v>
      </c>
      <c r="F504" s="184"/>
      <c r="G504" s="184"/>
      <c r="H504" s="184"/>
      <c r="I504" s="184"/>
      <c r="J504" s="184"/>
      <c r="K504" s="184"/>
      <c r="L504" s="184"/>
      <c r="M504" s="184"/>
      <c r="N504" s="184"/>
      <c r="O504" s="184"/>
    </row>
    <row r="505" customFormat="false" ht="15" hidden="false" customHeight="true" outlineLevel="0" collapsed="false">
      <c r="A505" s="184" t="s">
        <v>4885</v>
      </c>
      <c r="B505" s="184" t="s">
        <v>4886</v>
      </c>
      <c r="C505" s="184" t="n">
        <v>48</v>
      </c>
      <c r="D505" s="177" t="s">
        <v>6298</v>
      </c>
      <c r="E505" s="184" t="s">
        <v>6489</v>
      </c>
      <c r="F505" s="184"/>
      <c r="G505" s="184"/>
      <c r="H505" s="184"/>
      <c r="I505" s="184"/>
      <c r="J505" s="184"/>
      <c r="K505" s="184"/>
      <c r="L505" s="184"/>
      <c r="M505" s="184"/>
      <c r="N505" s="184"/>
      <c r="O505" s="184"/>
    </row>
    <row r="506" customFormat="false" ht="15" hidden="false" customHeight="true" outlineLevel="0" collapsed="false">
      <c r="A506" s="184" t="s">
        <v>4885</v>
      </c>
      <c r="B506" s="184" t="s">
        <v>4886</v>
      </c>
      <c r="C506" s="184" t="n">
        <v>49</v>
      </c>
      <c r="D506" s="178" t="s">
        <v>5269</v>
      </c>
      <c r="E506" s="184" t="s">
        <v>6515</v>
      </c>
      <c r="F506" s="184"/>
      <c r="G506" s="184"/>
      <c r="H506" s="184"/>
      <c r="I506" s="184"/>
      <c r="J506" s="184"/>
      <c r="K506" s="184"/>
      <c r="L506" s="184"/>
      <c r="M506" s="184" t="s">
        <v>6516</v>
      </c>
      <c r="N506" s="184"/>
      <c r="O506" s="184"/>
    </row>
    <row r="507" customFormat="false" ht="15" hidden="false" customHeight="true" outlineLevel="0" collapsed="false">
      <c r="A507" s="184"/>
      <c r="B507" s="184"/>
      <c r="C507" s="184"/>
      <c r="D507" s="184"/>
      <c r="E507" s="184"/>
      <c r="F507" s="184"/>
      <c r="G507" s="184"/>
      <c r="H507" s="184"/>
      <c r="I507" s="184"/>
      <c r="J507" s="184"/>
      <c r="K507" s="184"/>
      <c r="L507" s="184"/>
      <c r="M507" s="184"/>
      <c r="N507" s="184"/>
      <c r="O507" s="184"/>
    </row>
    <row r="508" customFormat="false" ht="15" hidden="false" customHeight="true" outlineLevel="0" collapsed="false">
      <c r="A508" s="184"/>
      <c r="B508" s="184"/>
      <c r="C508" s="184"/>
      <c r="D508" s="184"/>
      <c r="E508" s="184"/>
      <c r="F508" s="184"/>
      <c r="G508" s="184"/>
      <c r="H508" s="184"/>
      <c r="I508" s="184"/>
      <c r="J508" s="184"/>
      <c r="K508" s="184"/>
      <c r="L508" s="184"/>
      <c r="M508" s="184"/>
      <c r="N508" s="184"/>
      <c r="O508" s="184"/>
    </row>
    <row r="509" customFormat="false" ht="15" hidden="false" customHeight="true" outlineLevel="0" collapsed="false">
      <c r="A509" s="184"/>
      <c r="B509" s="184"/>
      <c r="C509" s="184"/>
      <c r="D509" s="184"/>
      <c r="E509" s="184"/>
      <c r="F509" s="184"/>
      <c r="G509" s="184"/>
      <c r="H509" s="184"/>
      <c r="I509" s="184"/>
      <c r="J509" s="184"/>
      <c r="K509" s="184"/>
      <c r="L509" s="184"/>
      <c r="M509" s="184"/>
      <c r="N509" s="184"/>
      <c r="O509" s="184"/>
    </row>
    <row r="510" customFormat="false" ht="15" hidden="false" customHeight="true" outlineLevel="0" collapsed="false">
      <c r="A510" s="184"/>
      <c r="B510" s="184"/>
      <c r="C510" s="184"/>
      <c r="D510" s="184"/>
      <c r="E510" s="184"/>
      <c r="F510" s="184"/>
      <c r="G510" s="184"/>
      <c r="H510" s="184"/>
      <c r="I510" s="184"/>
      <c r="J510" s="184"/>
      <c r="K510" s="184"/>
      <c r="L510" s="184"/>
      <c r="M510" s="184"/>
      <c r="N510" s="184"/>
      <c r="O510" s="184"/>
    </row>
    <row r="511" customFormat="false" ht="15" hidden="false" customHeight="true" outlineLevel="0" collapsed="false">
      <c r="A511" s="184"/>
      <c r="B511" s="184"/>
      <c r="C511" s="184"/>
      <c r="D511" s="184"/>
      <c r="E511" s="184"/>
      <c r="F511" s="184"/>
      <c r="G511" s="184"/>
      <c r="H511" s="184"/>
      <c r="I511" s="184"/>
      <c r="J511" s="184"/>
      <c r="K511" s="184"/>
      <c r="L511" s="184"/>
      <c r="M511" s="184"/>
      <c r="N511" s="184"/>
      <c r="O511" s="184"/>
    </row>
    <row r="512" customFormat="false" ht="15" hidden="false" customHeight="true" outlineLevel="0" collapsed="false">
      <c r="A512" s="184"/>
      <c r="B512" s="184"/>
      <c r="C512" s="184"/>
      <c r="D512" s="184"/>
      <c r="E512" s="184"/>
      <c r="F512" s="184"/>
      <c r="G512" s="184"/>
      <c r="H512" s="184"/>
      <c r="I512" s="184"/>
      <c r="J512" s="184"/>
      <c r="K512" s="184"/>
      <c r="L512" s="184"/>
      <c r="M512" s="184"/>
      <c r="N512" s="184"/>
      <c r="O512" s="184"/>
    </row>
    <row r="513" customFormat="false" ht="15" hidden="false" customHeight="true" outlineLevel="0" collapsed="false">
      <c r="A513" s="184"/>
      <c r="B513" s="184"/>
      <c r="C513" s="184"/>
      <c r="D513" s="184"/>
      <c r="E513" s="184"/>
      <c r="F513" s="184"/>
      <c r="G513" s="184"/>
      <c r="H513" s="184"/>
      <c r="I513" s="184"/>
      <c r="J513" s="184"/>
      <c r="K513" s="184"/>
      <c r="L513" s="184"/>
      <c r="M513" s="184"/>
      <c r="N513" s="184"/>
      <c r="O513" s="184"/>
    </row>
    <row r="514" customFormat="false" ht="15" hidden="false" customHeight="true" outlineLevel="0" collapsed="false">
      <c r="A514" s="184"/>
      <c r="B514" s="184"/>
      <c r="C514" s="184"/>
      <c r="D514" s="184"/>
      <c r="E514" s="184"/>
      <c r="F514" s="184"/>
      <c r="G514" s="184"/>
      <c r="H514" s="184"/>
      <c r="I514" s="184"/>
      <c r="J514" s="184"/>
      <c r="K514" s="184"/>
      <c r="L514" s="184"/>
      <c r="M514" s="184"/>
      <c r="N514" s="184"/>
      <c r="O514" s="184"/>
    </row>
    <row r="515" customFormat="false" ht="15" hidden="false" customHeight="true" outlineLevel="0" collapsed="false">
      <c r="A515" s="184"/>
      <c r="B515" s="184"/>
      <c r="C515" s="184"/>
      <c r="D515" s="184"/>
      <c r="E515" s="184"/>
      <c r="F515" s="184"/>
      <c r="G515" s="184"/>
      <c r="H515" s="184"/>
      <c r="I515" s="184"/>
      <c r="J515" s="184"/>
      <c r="K515" s="184"/>
      <c r="L515" s="184"/>
      <c r="M515" s="184"/>
      <c r="N515" s="184"/>
      <c r="O515" s="184"/>
    </row>
    <row r="516" customFormat="false" ht="15" hidden="false" customHeight="true" outlineLevel="0" collapsed="false">
      <c r="A516" s="184"/>
      <c r="B516" s="184"/>
      <c r="C516" s="184"/>
      <c r="D516" s="184"/>
      <c r="E516" s="184"/>
      <c r="F516" s="184"/>
      <c r="G516" s="184"/>
      <c r="H516" s="184"/>
      <c r="I516" s="184"/>
      <c r="J516" s="184"/>
      <c r="K516" s="184"/>
      <c r="L516" s="184"/>
      <c r="M516" s="184"/>
      <c r="N516" s="184"/>
      <c r="O516" s="184"/>
    </row>
    <row r="517" customFormat="false" ht="15" hidden="false" customHeight="true" outlineLevel="0" collapsed="false">
      <c r="A517" s="184"/>
      <c r="B517" s="184"/>
      <c r="C517" s="184"/>
      <c r="D517" s="184"/>
      <c r="E517" s="184"/>
      <c r="F517" s="184"/>
      <c r="G517" s="184"/>
      <c r="H517" s="184"/>
      <c r="I517" s="184"/>
      <c r="J517" s="184"/>
      <c r="K517" s="184"/>
      <c r="L517" s="184"/>
      <c r="M517" s="184"/>
      <c r="N517" s="184"/>
      <c r="O517" s="184"/>
    </row>
    <row r="518" customFormat="false" ht="15" hidden="false" customHeight="true" outlineLevel="0" collapsed="false">
      <c r="A518" s="184"/>
      <c r="B518" s="184"/>
      <c r="C518" s="184"/>
      <c r="D518" s="184"/>
      <c r="E518" s="184"/>
      <c r="F518" s="184"/>
      <c r="G518" s="184"/>
      <c r="H518" s="184"/>
      <c r="I518" s="184"/>
      <c r="J518" s="184"/>
      <c r="K518" s="184"/>
      <c r="L518" s="184"/>
      <c r="M518" s="184"/>
      <c r="N518" s="184"/>
      <c r="O518" s="184"/>
    </row>
    <row r="519" customFormat="false" ht="15" hidden="false" customHeight="true" outlineLevel="0" collapsed="false">
      <c r="A519" s="184"/>
      <c r="B519" s="184"/>
      <c r="C519" s="184"/>
      <c r="D519" s="184"/>
      <c r="E519" s="184"/>
      <c r="F519" s="184"/>
      <c r="G519" s="184"/>
      <c r="H519" s="184"/>
      <c r="I519" s="184"/>
      <c r="J519" s="184"/>
      <c r="K519" s="184"/>
      <c r="L519" s="184"/>
      <c r="M519" s="184"/>
      <c r="N519" s="184"/>
      <c r="O519" s="184"/>
    </row>
    <row r="520" customFormat="false" ht="15" hidden="false" customHeight="true" outlineLevel="0" collapsed="false">
      <c r="A520" s="184"/>
      <c r="B520" s="184"/>
      <c r="C520" s="184"/>
      <c r="D520" s="184"/>
      <c r="E520" s="184"/>
      <c r="F520" s="184"/>
      <c r="G520" s="184"/>
      <c r="H520" s="184"/>
      <c r="I520" s="184"/>
      <c r="J520" s="184"/>
      <c r="K520" s="184"/>
      <c r="L520" s="184"/>
      <c r="M520" s="184"/>
      <c r="N520" s="184"/>
      <c r="O520" s="184"/>
    </row>
    <row r="521" customFormat="false" ht="15" hidden="false" customHeight="true" outlineLevel="0" collapsed="false">
      <c r="A521" s="184"/>
      <c r="B521" s="184"/>
      <c r="C521" s="184"/>
      <c r="D521" s="184"/>
      <c r="E521" s="184"/>
      <c r="F521" s="184"/>
      <c r="G521" s="184"/>
      <c r="H521" s="184"/>
      <c r="I521" s="184"/>
      <c r="J521" s="184"/>
      <c r="K521" s="184"/>
      <c r="L521" s="184"/>
      <c r="M521" s="184"/>
      <c r="N521" s="184"/>
      <c r="O521" s="184"/>
    </row>
    <row r="522" customFormat="false" ht="15" hidden="false" customHeight="true" outlineLevel="0" collapsed="false">
      <c r="A522" s="184"/>
      <c r="B522" s="184"/>
      <c r="C522" s="184"/>
      <c r="D522" s="184"/>
      <c r="E522" s="184"/>
      <c r="F522" s="184"/>
      <c r="G522" s="184"/>
      <c r="H522" s="184"/>
      <c r="I522" s="184"/>
      <c r="J522" s="184"/>
      <c r="K522" s="184"/>
      <c r="L522" s="184"/>
      <c r="M522" s="184"/>
      <c r="N522" s="184"/>
      <c r="O522" s="184"/>
    </row>
    <row r="523" customFormat="false" ht="15" hidden="false" customHeight="true" outlineLevel="0" collapsed="false">
      <c r="A523" s="184"/>
      <c r="B523" s="184"/>
      <c r="C523" s="184"/>
      <c r="D523" s="184"/>
      <c r="E523" s="184"/>
      <c r="F523" s="184"/>
      <c r="G523" s="184"/>
      <c r="H523" s="184"/>
      <c r="I523" s="184"/>
      <c r="J523" s="184"/>
      <c r="K523" s="184"/>
      <c r="L523" s="184"/>
      <c r="M523" s="184"/>
      <c r="N523" s="184"/>
      <c r="O523" s="184"/>
    </row>
    <row r="524" customFormat="false" ht="15" hidden="false" customHeight="true" outlineLevel="0" collapsed="false">
      <c r="A524" s="184"/>
      <c r="B524" s="184"/>
      <c r="C524" s="184"/>
      <c r="D524" s="184"/>
      <c r="E524" s="184"/>
      <c r="F524" s="184"/>
      <c r="G524" s="184"/>
      <c r="H524" s="184"/>
      <c r="I524" s="184"/>
      <c r="J524" s="184"/>
      <c r="K524" s="184"/>
      <c r="L524" s="184"/>
      <c r="M524" s="184"/>
      <c r="N524" s="184"/>
      <c r="O524" s="184"/>
    </row>
    <row r="525" customFormat="false" ht="15" hidden="false" customHeight="true" outlineLevel="0" collapsed="false">
      <c r="A525" s="184"/>
      <c r="B525" s="184"/>
      <c r="C525" s="184"/>
      <c r="D525" s="184"/>
      <c r="E525" s="184"/>
      <c r="F525" s="184"/>
      <c r="G525" s="184"/>
      <c r="H525" s="184"/>
      <c r="I525" s="184"/>
      <c r="J525" s="184"/>
      <c r="K525" s="184"/>
      <c r="L525" s="184"/>
      <c r="M525" s="184"/>
      <c r="N525" s="184"/>
      <c r="O525" s="184"/>
    </row>
    <row r="526" customFormat="false" ht="15" hidden="false" customHeight="true" outlineLevel="0" collapsed="false">
      <c r="A526" s="184"/>
      <c r="B526" s="184"/>
      <c r="C526" s="184"/>
      <c r="D526" s="184"/>
      <c r="E526" s="184"/>
      <c r="F526" s="184"/>
      <c r="G526" s="184"/>
      <c r="H526" s="184"/>
      <c r="I526" s="184"/>
      <c r="J526" s="184"/>
      <c r="K526" s="184"/>
      <c r="L526" s="184"/>
      <c r="M526" s="184"/>
      <c r="N526" s="184"/>
      <c r="O526" s="184"/>
    </row>
    <row r="527" customFormat="false" ht="15" hidden="false" customHeight="true" outlineLevel="0" collapsed="false">
      <c r="A527" s="184"/>
      <c r="B527" s="184"/>
      <c r="C527" s="184"/>
      <c r="D527" s="184"/>
      <c r="E527" s="184"/>
      <c r="F527" s="184"/>
      <c r="G527" s="184"/>
      <c r="H527" s="184"/>
      <c r="I527" s="184"/>
      <c r="J527" s="184"/>
      <c r="K527" s="184"/>
      <c r="L527" s="184"/>
      <c r="M527" s="184"/>
      <c r="N527" s="184"/>
      <c r="O527" s="184"/>
    </row>
    <row r="528" customFormat="false" ht="15" hidden="false" customHeight="true" outlineLevel="0" collapsed="false">
      <c r="A528" s="184"/>
      <c r="B528" s="184"/>
      <c r="C528" s="184"/>
      <c r="D528" s="184"/>
      <c r="E528" s="184"/>
      <c r="F528" s="184"/>
      <c r="G528" s="184"/>
      <c r="H528" s="184"/>
      <c r="I528" s="184"/>
      <c r="J528" s="184"/>
      <c r="K528" s="184"/>
      <c r="L528" s="184"/>
      <c r="M528" s="184"/>
      <c r="N528" s="184"/>
      <c r="O528" s="184"/>
    </row>
    <row r="529" customFormat="false" ht="15" hidden="false" customHeight="true" outlineLevel="0" collapsed="false">
      <c r="A529" s="184"/>
      <c r="B529" s="184"/>
      <c r="C529" s="184"/>
      <c r="D529" s="184"/>
      <c r="E529" s="184"/>
      <c r="F529" s="184"/>
      <c r="G529" s="184"/>
      <c r="H529" s="184"/>
      <c r="I529" s="184"/>
      <c r="J529" s="184"/>
      <c r="K529" s="184"/>
      <c r="L529" s="184"/>
      <c r="M529" s="184"/>
      <c r="N529" s="184"/>
      <c r="O529" s="184"/>
    </row>
    <row r="530" customFormat="false" ht="15" hidden="false" customHeight="true" outlineLevel="0" collapsed="false">
      <c r="A530" s="184"/>
      <c r="B530" s="184"/>
      <c r="C530" s="184"/>
      <c r="D530" s="184"/>
      <c r="E530" s="184"/>
      <c r="F530" s="184"/>
      <c r="G530" s="184"/>
      <c r="H530" s="184"/>
      <c r="I530" s="184"/>
      <c r="J530" s="184"/>
      <c r="K530" s="184"/>
      <c r="L530" s="184"/>
      <c r="M530" s="184"/>
      <c r="N530" s="184"/>
      <c r="O530" s="184"/>
    </row>
    <row r="531" customFormat="false" ht="15" hidden="false" customHeight="true" outlineLevel="0" collapsed="false">
      <c r="A531" s="184"/>
      <c r="B531" s="184"/>
      <c r="C531" s="184"/>
      <c r="D531" s="184"/>
      <c r="E531" s="184"/>
      <c r="F531" s="184"/>
      <c r="G531" s="184"/>
      <c r="H531" s="184"/>
      <c r="I531" s="184"/>
      <c r="J531" s="184"/>
      <c r="K531" s="184"/>
      <c r="L531" s="184"/>
      <c r="M531" s="184"/>
      <c r="N531" s="184"/>
      <c r="O531" s="184"/>
    </row>
    <row r="532" customFormat="false" ht="15" hidden="false" customHeight="true" outlineLevel="0" collapsed="false">
      <c r="A532" s="184"/>
      <c r="B532" s="184"/>
      <c r="C532" s="184"/>
      <c r="D532" s="184"/>
      <c r="E532" s="184"/>
      <c r="F532" s="184"/>
      <c r="G532" s="184"/>
      <c r="H532" s="184"/>
      <c r="I532" s="184"/>
      <c r="J532" s="184"/>
      <c r="K532" s="184"/>
      <c r="L532" s="184"/>
      <c r="M532" s="184"/>
      <c r="N532" s="184"/>
      <c r="O532" s="184"/>
    </row>
    <row r="533" customFormat="false" ht="15" hidden="false" customHeight="true" outlineLevel="0" collapsed="false">
      <c r="A533" s="184"/>
      <c r="B533" s="184"/>
      <c r="C533" s="184"/>
      <c r="D533" s="184"/>
      <c r="E533" s="184"/>
      <c r="F533" s="184"/>
      <c r="G533" s="184"/>
      <c r="H533" s="184"/>
      <c r="I533" s="184"/>
      <c r="J533" s="184"/>
      <c r="K533" s="184"/>
      <c r="L533" s="184"/>
      <c r="M533" s="184"/>
      <c r="N533" s="184"/>
      <c r="O533" s="184"/>
    </row>
    <row r="534" customFormat="false" ht="15" hidden="false" customHeight="true" outlineLevel="0" collapsed="false">
      <c r="A534" s="184"/>
      <c r="B534" s="184"/>
      <c r="C534" s="184"/>
      <c r="D534" s="184"/>
      <c r="E534" s="184"/>
      <c r="F534" s="184"/>
      <c r="G534" s="184"/>
      <c r="H534" s="184"/>
      <c r="I534" s="184"/>
      <c r="J534" s="184"/>
      <c r="K534" s="184"/>
      <c r="L534" s="184"/>
      <c r="M534" s="184"/>
      <c r="N534" s="184"/>
      <c r="O534" s="184"/>
    </row>
    <row r="535" customFormat="false" ht="15" hidden="false" customHeight="true" outlineLevel="0" collapsed="false">
      <c r="A535" s="184"/>
      <c r="B535" s="184"/>
      <c r="C535" s="184"/>
      <c r="D535" s="184"/>
      <c r="E535" s="184"/>
      <c r="F535" s="184"/>
      <c r="G535" s="184"/>
      <c r="H535" s="184"/>
      <c r="I535" s="184"/>
      <c r="J535" s="184"/>
      <c r="K535" s="184"/>
      <c r="L535" s="184"/>
      <c r="M535" s="184"/>
      <c r="N535" s="184"/>
      <c r="O535" s="184"/>
    </row>
    <row r="536" customFormat="false" ht="15" hidden="false" customHeight="true" outlineLevel="0" collapsed="false">
      <c r="A536" s="184"/>
      <c r="B536" s="184"/>
      <c r="C536" s="184"/>
      <c r="D536" s="184"/>
      <c r="E536" s="184"/>
      <c r="F536" s="184"/>
      <c r="G536" s="184"/>
      <c r="H536" s="184"/>
      <c r="I536" s="184"/>
      <c r="J536" s="184"/>
      <c r="K536" s="184"/>
      <c r="L536" s="184"/>
      <c r="M536" s="184"/>
      <c r="N536" s="184"/>
      <c r="O536" s="184"/>
    </row>
    <row r="537" customFormat="false" ht="15" hidden="false" customHeight="true" outlineLevel="0" collapsed="false">
      <c r="A537" s="184"/>
      <c r="B537" s="184"/>
      <c r="C537" s="184"/>
      <c r="D537" s="184"/>
      <c r="E537" s="184"/>
      <c r="F537" s="184"/>
      <c r="G537" s="184"/>
      <c r="H537" s="184"/>
      <c r="I537" s="184"/>
      <c r="J537" s="184"/>
      <c r="K537" s="184"/>
      <c r="L537" s="184"/>
      <c r="M537" s="184"/>
      <c r="N537" s="184"/>
      <c r="O537" s="184"/>
    </row>
    <row r="538" customFormat="false" ht="15" hidden="false" customHeight="true" outlineLevel="0" collapsed="false">
      <c r="A538" s="184"/>
      <c r="B538" s="184"/>
      <c r="C538" s="184"/>
      <c r="D538" s="184"/>
      <c r="E538" s="184"/>
      <c r="F538" s="184"/>
      <c r="G538" s="184"/>
      <c r="H538" s="184"/>
      <c r="I538" s="184"/>
      <c r="J538" s="184"/>
      <c r="K538" s="184"/>
      <c r="L538" s="184"/>
      <c r="M538" s="184"/>
      <c r="N538" s="184"/>
      <c r="O538" s="184"/>
    </row>
    <row r="539" customFormat="false" ht="15" hidden="false" customHeight="true" outlineLevel="0" collapsed="false">
      <c r="A539" s="184"/>
      <c r="B539" s="184"/>
      <c r="C539" s="184"/>
      <c r="D539" s="184"/>
      <c r="E539" s="184"/>
      <c r="F539" s="184"/>
      <c r="G539" s="184"/>
      <c r="H539" s="184"/>
      <c r="I539" s="184"/>
      <c r="J539" s="184"/>
      <c r="K539" s="184"/>
      <c r="L539" s="184"/>
      <c r="M539" s="184"/>
      <c r="N539" s="184"/>
      <c r="O539" s="184"/>
    </row>
    <row r="540" customFormat="false" ht="15" hidden="false" customHeight="true" outlineLevel="0" collapsed="false">
      <c r="A540" s="184"/>
      <c r="B540" s="184"/>
      <c r="C540" s="184"/>
      <c r="D540" s="184"/>
      <c r="E540" s="184"/>
      <c r="F540" s="184"/>
      <c r="G540" s="184"/>
      <c r="H540" s="184"/>
      <c r="I540" s="184"/>
      <c r="J540" s="184"/>
      <c r="K540" s="184"/>
      <c r="L540" s="184"/>
      <c r="M540" s="184"/>
      <c r="N540" s="184"/>
      <c r="O540" s="184"/>
    </row>
    <row r="541" customFormat="false" ht="15" hidden="false" customHeight="true" outlineLevel="0" collapsed="false">
      <c r="A541" s="184"/>
      <c r="B541" s="184"/>
      <c r="C541" s="184"/>
      <c r="D541" s="184"/>
      <c r="E541" s="184"/>
      <c r="F541" s="184"/>
      <c r="G541" s="184"/>
      <c r="H541" s="184"/>
      <c r="I541" s="184"/>
      <c r="J541" s="184"/>
      <c r="K541" s="184"/>
      <c r="L541" s="184"/>
      <c r="M541" s="184"/>
      <c r="N541" s="184"/>
      <c r="O541" s="184"/>
    </row>
    <row r="542" customFormat="false" ht="15" hidden="false" customHeight="true" outlineLevel="0" collapsed="false">
      <c r="A542" s="184"/>
      <c r="B542" s="184"/>
      <c r="C542" s="184"/>
      <c r="D542" s="184"/>
      <c r="E542" s="184"/>
      <c r="F542" s="184"/>
      <c r="G542" s="184"/>
      <c r="H542" s="184"/>
      <c r="I542" s="184"/>
      <c r="J542" s="184"/>
      <c r="K542" s="184"/>
      <c r="L542" s="184"/>
      <c r="M542" s="184"/>
      <c r="N542" s="184"/>
      <c r="O542" s="184"/>
    </row>
    <row r="543" customFormat="false" ht="15" hidden="false" customHeight="true" outlineLevel="0" collapsed="false">
      <c r="A543" s="184"/>
      <c r="B543" s="184"/>
      <c r="C543" s="184"/>
      <c r="D543" s="184"/>
      <c r="E543" s="184"/>
      <c r="F543" s="184"/>
      <c r="G543" s="184"/>
      <c r="H543" s="184"/>
      <c r="I543" s="184"/>
      <c r="J543" s="184"/>
      <c r="K543" s="184"/>
      <c r="L543" s="184"/>
      <c r="M543" s="184"/>
      <c r="N543" s="184"/>
      <c r="O543" s="184"/>
    </row>
    <row r="544" customFormat="false" ht="15" hidden="false" customHeight="true" outlineLevel="0" collapsed="false">
      <c r="A544" s="184"/>
      <c r="B544" s="184"/>
      <c r="C544" s="184"/>
      <c r="D544" s="184"/>
      <c r="E544" s="184"/>
      <c r="F544" s="184"/>
      <c r="G544" s="184"/>
      <c r="H544" s="184"/>
      <c r="I544" s="184"/>
      <c r="J544" s="184"/>
      <c r="K544" s="184"/>
      <c r="L544" s="184"/>
      <c r="M544" s="184"/>
      <c r="N544" s="184"/>
      <c r="O544" s="184"/>
    </row>
    <row r="545" customFormat="false" ht="15" hidden="false" customHeight="true" outlineLevel="0" collapsed="false">
      <c r="A545" s="184"/>
      <c r="B545" s="184"/>
      <c r="C545" s="184"/>
      <c r="D545" s="184"/>
      <c r="E545" s="184"/>
      <c r="F545" s="184"/>
      <c r="G545" s="184"/>
      <c r="H545" s="184"/>
      <c r="I545" s="184"/>
      <c r="J545" s="184"/>
      <c r="K545" s="184"/>
      <c r="L545" s="184"/>
      <c r="M545" s="184"/>
      <c r="N545" s="184"/>
      <c r="O545" s="184"/>
    </row>
    <row r="546" customFormat="false" ht="15" hidden="false" customHeight="true" outlineLevel="0" collapsed="false">
      <c r="A546" s="184"/>
      <c r="B546" s="184"/>
      <c r="C546" s="184"/>
      <c r="D546" s="184"/>
      <c r="E546" s="184"/>
      <c r="F546" s="184"/>
      <c r="G546" s="184"/>
      <c r="H546" s="184"/>
      <c r="I546" s="184"/>
      <c r="J546" s="184"/>
      <c r="K546" s="184"/>
      <c r="L546" s="184"/>
      <c r="M546" s="184"/>
      <c r="N546" s="184"/>
      <c r="O546" s="184"/>
    </row>
    <row r="547" customFormat="false" ht="15" hidden="false" customHeight="true" outlineLevel="0" collapsed="false">
      <c r="A547" s="184"/>
      <c r="B547" s="184"/>
      <c r="C547" s="184"/>
      <c r="D547" s="184"/>
      <c r="E547" s="184"/>
      <c r="F547" s="184"/>
      <c r="G547" s="184"/>
      <c r="H547" s="184"/>
      <c r="I547" s="184"/>
      <c r="J547" s="184"/>
      <c r="K547" s="184"/>
      <c r="L547" s="184"/>
      <c r="M547" s="184"/>
      <c r="N547" s="184"/>
      <c r="O547" s="184"/>
    </row>
    <row r="548" customFormat="false" ht="15" hidden="false" customHeight="true" outlineLevel="0" collapsed="false">
      <c r="A548" s="184"/>
      <c r="B548" s="184"/>
      <c r="C548" s="184"/>
      <c r="D548" s="184"/>
      <c r="E548" s="184"/>
      <c r="F548" s="184"/>
      <c r="G548" s="184"/>
      <c r="H548" s="184"/>
      <c r="I548" s="184"/>
      <c r="J548" s="184"/>
      <c r="K548" s="184"/>
      <c r="L548" s="184"/>
      <c r="M548" s="184"/>
      <c r="N548" s="184"/>
      <c r="O548" s="184"/>
    </row>
    <row r="549" customFormat="false" ht="15" hidden="false" customHeight="true" outlineLevel="0" collapsed="false">
      <c r="A549" s="184"/>
      <c r="B549" s="184"/>
      <c r="C549" s="184"/>
      <c r="D549" s="184"/>
      <c r="E549" s="184"/>
      <c r="F549" s="184"/>
      <c r="G549" s="184"/>
      <c r="H549" s="184"/>
      <c r="I549" s="184"/>
      <c r="J549" s="184"/>
      <c r="K549" s="184"/>
      <c r="L549" s="184"/>
      <c r="M549" s="184"/>
      <c r="N549" s="184"/>
      <c r="O549" s="184"/>
    </row>
    <row r="550" customFormat="false" ht="15" hidden="false" customHeight="true" outlineLevel="0" collapsed="false">
      <c r="A550" s="184"/>
      <c r="B550" s="184"/>
      <c r="C550" s="184"/>
      <c r="D550" s="184"/>
      <c r="E550" s="184"/>
      <c r="F550" s="184"/>
      <c r="G550" s="184"/>
      <c r="H550" s="184"/>
      <c r="I550" s="184"/>
      <c r="J550" s="184"/>
      <c r="K550" s="184"/>
      <c r="L550" s="184"/>
      <c r="M550" s="184"/>
      <c r="N550" s="184"/>
      <c r="O550" s="184"/>
    </row>
    <row r="551" customFormat="false" ht="15" hidden="false" customHeight="true" outlineLevel="0" collapsed="false">
      <c r="A551" s="184"/>
      <c r="B551" s="184"/>
      <c r="C551" s="184"/>
      <c r="D551" s="184"/>
      <c r="E551" s="184"/>
      <c r="F551" s="184"/>
      <c r="G551" s="184"/>
      <c r="H551" s="184"/>
      <c r="I551" s="184"/>
      <c r="J551" s="184"/>
      <c r="K551" s="184"/>
      <c r="L551" s="184"/>
      <c r="M551" s="184"/>
      <c r="N551" s="184"/>
      <c r="O551" s="184"/>
    </row>
    <row r="552" customFormat="false" ht="15" hidden="false" customHeight="true" outlineLevel="0" collapsed="false">
      <c r="A552" s="184"/>
      <c r="B552" s="184"/>
      <c r="C552" s="184"/>
      <c r="D552" s="184"/>
      <c r="E552" s="184"/>
      <c r="F552" s="184"/>
      <c r="G552" s="184"/>
      <c r="H552" s="184"/>
      <c r="I552" s="184"/>
      <c r="J552" s="184"/>
      <c r="K552" s="184"/>
      <c r="L552" s="184"/>
      <c r="M552" s="184"/>
      <c r="N552" s="184"/>
      <c r="O552" s="184"/>
    </row>
    <row r="553" customFormat="false" ht="15" hidden="false" customHeight="true" outlineLevel="0" collapsed="false">
      <c r="A553" s="184"/>
      <c r="B553" s="184"/>
      <c r="C553" s="184"/>
      <c r="D553" s="184"/>
      <c r="E553" s="184"/>
      <c r="F553" s="184"/>
      <c r="G553" s="184"/>
      <c r="H553" s="184"/>
      <c r="I553" s="184"/>
      <c r="J553" s="184"/>
      <c r="K553" s="184"/>
      <c r="L553" s="184"/>
      <c r="M553" s="184"/>
      <c r="N553" s="184"/>
      <c r="O553" s="184"/>
    </row>
    <row r="554" customFormat="false" ht="15" hidden="false" customHeight="true" outlineLevel="0" collapsed="false">
      <c r="A554" s="184"/>
      <c r="B554" s="184"/>
      <c r="C554" s="184"/>
      <c r="D554" s="184"/>
      <c r="E554" s="184"/>
      <c r="F554" s="184"/>
      <c r="G554" s="184"/>
      <c r="H554" s="184"/>
      <c r="I554" s="184"/>
      <c r="J554" s="184"/>
      <c r="K554" s="184"/>
      <c r="L554" s="184"/>
      <c r="M554" s="184"/>
      <c r="N554" s="184"/>
      <c r="O554" s="184"/>
    </row>
    <row r="555" customFormat="false" ht="15" hidden="false" customHeight="true" outlineLevel="0" collapsed="false">
      <c r="A555" s="184"/>
      <c r="B555" s="184"/>
      <c r="C555" s="184"/>
      <c r="D555" s="184"/>
      <c r="E555" s="184"/>
      <c r="F555" s="184"/>
      <c r="G555" s="184"/>
      <c r="H555" s="184"/>
      <c r="I555" s="184"/>
      <c r="J555" s="184"/>
      <c r="K555" s="184"/>
      <c r="L555" s="184"/>
      <c r="M555" s="184"/>
      <c r="N555" s="184"/>
      <c r="O555" s="184"/>
    </row>
    <row r="556" customFormat="false" ht="15" hidden="false" customHeight="true" outlineLevel="0" collapsed="false">
      <c r="A556" s="184"/>
      <c r="B556" s="184"/>
      <c r="C556" s="184"/>
      <c r="D556" s="184"/>
      <c r="E556" s="184"/>
      <c r="F556" s="184"/>
      <c r="G556" s="184"/>
      <c r="H556" s="184"/>
      <c r="I556" s="184"/>
      <c r="J556" s="184"/>
      <c r="K556" s="184"/>
      <c r="L556" s="184"/>
      <c r="M556" s="184"/>
      <c r="N556" s="184"/>
      <c r="O556" s="184"/>
    </row>
    <row r="557" customFormat="false" ht="15" hidden="false" customHeight="true" outlineLevel="0" collapsed="false">
      <c r="A557" s="184"/>
      <c r="B557" s="184"/>
      <c r="C557" s="184"/>
      <c r="D557" s="184"/>
      <c r="E557" s="184"/>
      <c r="F557" s="184"/>
      <c r="G557" s="184"/>
      <c r="H557" s="184"/>
      <c r="I557" s="184"/>
      <c r="J557" s="184"/>
      <c r="K557" s="184"/>
      <c r="L557" s="184"/>
      <c r="M557" s="184"/>
      <c r="N557" s="184"/>
      <c r="O557" s="184"/>
    </row>
    <row r="558" customFormat="false" ht="15" hidden="false" customHeight="true" outlineLevel="0" collapsed="false">
      <c r="A558" s="184"/>
      <c r="B558" s="184"/>
      <c r="C558" s="184"/>
      <c r="D558" s="184"/>
      <c r="E558" s="184"/>
      <c r="F558" s="184"/>
      <c r="G558" s="184"/>
      <c r="H558" s="184"/>
      <c r="I558" s="184"/>
      <c r="J558" s="184"/>
      <c r="K558" s="184"/>
      <c r="L558" s="184"/>
      <c r="M558" s="184"/>
      <c r="N558" s="184"/>
      <c r="O558" s="184"/>
    </row>
    <row r="559" customFormat="false" ht="15" hidden="false" customHeight="true" outlineLevel="0" collapsed="false">
      <c r="A559" s="184"/>
      <c r="B559" s="184"/>
      <c r="C559" s="184"/>
      <c r="D559" s="184"/>
      <c r="E559" s="184"/>
      <c r="F559" s="184"/>
      <c r="G559" s="184"/>
      <c r="H559" s="184"/>
      <c r="I559" s="184"/>
      <c r="J559" s="184"/>
      <c r="K559" s="184"/>
      <c r="L559" s="184"/>
      <c r="M559" s="184"/>
      <c r="N559" s="184"/>
      <c r="O559" s="184"/>
    </row>
    <row r="560" customFormat="false" ht="15" hidden="false" customHeight="true" outlineLevel="0" collapsed="false">
      <c r="A560" s="184"/>
      <c r="B560" s="184"/>
      <c r="C560" s="184"/>
      <c r="D560" s="184"/>
      <c r="E560" s="184"/>
      <c r="F560" s="184"/>
      <c r="G560" s="184"/>
      <c r="H560" s="184"/>
      <c r="I560" s="184"/>
      <c r="J560" s="184"/>
      <c r="K560" s="184"/>
      <c r="L560" s="184"/>
      <c r="M560" s="184"/>
      <c r="N560" s="184"/>
      <c r="O560" s="184"/>
    </row>
    <row r="561" customFormat="false" ht="15" hidden="false" customHeight="true" outlineLevel="0" collapsed="false">
      <c r="A561" s="184"/>
      <c r="B561" s="184"/>
      <c r="C561" s="184"/>
      <c r="D561" s="184"/>
      <c r="E561" s="184"/>
      <c r="F561" s="184"/>
      <c r="G561" s="184"/>
      <c r="H561" s="184"/>
      <c r="I561" s="184"/>
      <c r="J561" s="184"/>
      <c r="K561" s="184"/>
      <c r="L561" s="184"/>
      <c r="M561" s="184"/>
      <c r="N561" s="184"/>
      <c r="O561" s="184"/>
    </row>
    <row r="562" customFormat="false" ht="15" hidden="false" customHeight="true" outlineLevel="0" collapsed="false">
      <c r="A562" s="184"/>
      <c r="B562" s="184"/>
      <c r="C562" s="184"/>
      <c r="D562" s="184"/>
      <c r="E562" s="184"/>
      <c r="F562" s="184"/>
      <c r="G562" s="184"/>
      <c r="H562" s="184"/>
      <c r="I562" s="184"/>
      <c r="J562" s="184"/>
      <c r="K562" s="184"/>
      <c r="L562" s="184"/>
      <c r="M562" s="184"/>
      <c r="N562" s="184"/>
      <c r="O562" s="184"/>
    </row>
    <row r="563" customFormat="false" ht="15" hidden="false" customHeight="true" outlineLevel="0" collapsed="false">
      <c r="A563" s="184"/>
      <c r="B563" s="184"/>
      <c r="C563" s="184"/>
      <c r="D563" s="184"/>
      <c r="E563" s="184"/>
      <c r="F563" s="184"/>
      <c r="G563" s="184"/>
      <c r="H563" s="184"/>
      <c r="I563" s="184"/>
      <c r="J563" s="184"/>
      <c r="K563" s="184"/>
      <c r="L563" s="184"/>
      <c r="M563" s="184"/>
      <c r="N563" s="184"/>
      <c r="O563" s="184"/>
    </row>
    <row r="564" customFormat="false" ht="15" hidden="false" customHeight="true" outlineLevel="0" collapsed="false">
      <c r="A564" s="184"/>
      <c r="B564" s="184"/>
      <c r="C564" s="184"/>
      <c r="D564" s="184"/>
      <c r="E564" s="184"/>
      <c r="F564" s="184"/>
      <c r="G564" s="184"/>
      <c r="H564" s="184"/>
      <c r="I564" s="184"/>
      <c r="J564" s="184"/>
      <c r="K564" s="184"/>
      <c r="L564" s="184"/>
      <c r="M564" s="184"/>
      <c r="N564" s="184"/>
      <c r="O564" s="184"/>
    </row>
    <row r="565" customFormat="false" ht="15" hidden="false" customHeight="true" outlineLevel="0" collapsed="false">
      <c r="A565" s="184"/>
      <c r="B565" s="184"/>
      <c r="C565" s="184"/>
      <c r="D565" s="184"/>
      <c r="E565" s="184"/>
      <c r="F565" s="184"/>
      <c r="G565" s="184"/>
      <c r="H565" s="184"/>
      <c r="I565" s="184"/>
      <c r="J565" s="184"/>
      <c r="K565" s="184"/>
      <c r="L565" s="184"/>
      <c r="M565" s="184"/>
      <c r="N565" s="184"/>
      <c r="O565" s="184"/>
    </row>
    <row r="566" customFormat="false" ht="15" hidden="false" customHeight="true" outlineLevel="0" collapsed="false">
      <c r="A566" s="184"/>
      <c r="B566" s="184"/>
      <c r="C566" s="184"/>
      <c r="D566" s="184"/>
      <c r="E566" s="184"/>
      <c r="F566" s="184"/>
      <c r="G566" s="184"/>
      <c r="H566" s="184"/>
      <c r="I566" s="184"/>
      <c r="J566" s="184"/>
      <c r="K566" s="184"/>
      <c r="L566" s="184"/>
      <c r="M566" s="184"/>
      <c r="N566" s="184"/>
      <c r="O566" s="184"/>
    </row>
    <row r="567" customFormat="false" ht="15" hidden="false" customHeight="true" outlineLevel="0" collapsed="false">
      <c r="A567" s="184"/>
      <c r="B567" s="184"/>
      <c r="C567" s="184"/>
      <c r="D567" s="184"/>
      <c r="E567" s="184"/>
      <c r="F567" s="184"/>
      <c r="G567" s="184"/>
      <c r="H567" s="184"/>
      <c r="I567" s="184"/>
      <c r="J567" s="184"/>
      <c r="K567" s="184"/>
      <c r="L567" s="184"/>
      <c r="M567" s="184"/>
      <c r="N567" s="184"/>
      <c r="O567" s="184"/>
    </row>
    <row r="568" customFormat="false" ht="15" hidden="false" customHeight="true" outlineLevel="0" collapsed="false">
      <c r="A568" s="184"/>
      <c r="B568" s="184"/>
      <c r="C568" s="184"/>
      <c r="D568" s="184"/>
      <c r="E568" s="184"/>
      <c r="F568" s="184"/>
      <c r="G568" s="184"/>
      <c r="H568" s="184"/>
      <c r="I568" s="184"/>
      <c r="J568" s="184"/>
      <c r="K568" s="184"/>
      <c r="L568" s="184"/>
      <c r="M568" s="184"/>
      <c r="N568" s="184"/>
      <c r="O568" s="184"/>
    </row>
    <row r="569" customFormat="false" ht="15" hidden="false" customHeight="true" outlineLevel="0" collapsed="false">
      <c r="A569" s="184"/>
      <c r="B569" s="184"/>
      <c r="C569" s="184"/>
      <c r="D569" s="184"/>
      <c r="E569" s="184"/>
      <c r="F569" s="184"/>
      <c r="G569" s="184"/>
      <c r="H569" s="184"/>
      <c r="I569" s="184"/>
      <c r="J569" s="184"/>
      <c r="K569" s="184"/>
      <c r="L569" s="184"/>
      <c r="M569" s="184"/>
      <c r="N569" s="184"/>
      <c r="O569" s="184"/>
    </row>
    <row r="570" customFormat="false" ht="15" hidden="false" customHeight="true" outlineLevel="0" collapsed="false">
      <c r="A570" s="184"/>
      <c r="B570" s="184"/>
      <c r="C570" s="184"/>
      <c r="D570" s="184"/>
      <c r="E570" s="184"/>
      <c r="F570" s="184"/>
      <c r="G570" s="184"/>
      <c r="H570" s="184"/>
      <c r="I570" s="184"/>
      <c r="J570" s="184"/>
      <c r="K570" s="184"/>
      <c r="L570" s="184"/>
      <c r="M570" s="184"/>
      <c r="N570" s="184"/>
      <c r="O570" s="184"/>
    </row>
    <row r="571" customFormat="false" ht="15" hidden="false" customHeight="true" outlineLevel="0" collapsed="false">
      <c r="A571" s="184"/>
      <c r="B571" s="184"/>
      <c r="C571" s="184"/>
      <c r="D571" s="184"/>
      <c r="E571" s="184"/>
      <c r="F571" s="184"/>
      <c r="G571" s="184"/>
      <c r="H571" s="184"/>
      <c r="I571" s="184"/>
      <c r="J571" s="184"/>
      <c r="K571" s="184"/>
      <c r="L571" s="184"/>
      <c r="M571" s="184"/>
      <c r="N571" s="184"/>
      <c r="O571" s="184"/>
    </row>
    <row r="572" customFormat="false" ht="15" hidden="false" customHeight="true" outlineLevel="0" collapsed="false">
      <c r="A572" s="184"/>
      <c r="B572" s="184"/>
      <c r="C572" s="184"/>
      <c r="D572" s="184"/>
      <c r="E572" s="184"/>
      <c r="F572" s="184"/>
      <c r="G572" s="184"/>
      <c r="H572" s="184"/>
      <c r="I572" s="184"/>
      <c r="J572" s="184"/>
      <c r="K572" s="184"/>
      <c r="L572" s="184"/>
      <c r="M572" s="184"/>
      <c r="N572" s="184"/>
      <c r="O572" s="184"/>
    </row>
    <row r="573" customFormat="false" ht="15" hidden="false" customHeight="true" outlineLevel="0" collapsed="false">
      <c r="A573" s="184"/>
      <c r="B573" s="184"/>
      <c r="C573" s="184"/>
      <c r="D573" s="184"/>
      <c r="E573" s="184"/>
      <c r="F573" s="184"/>
      <c r="G573" s="184"/>
      <c r="H573" s="184"/>
      <c r="I573" s="184"/>
      <c r="J573" s="184"/>
      <c r="K573" s="184"/>
      <c r="L573" s="184"/>
      <c r="M573" s="184"/>
      <c r="N573" s="184"/>
      <c r="O573" s="184"/>
    </row>
    <row r="574" customFormat="false" ht="15" hidden="false" customHeight="true" outlineLevel="0" collapsed="false">
      <c r="A574" s="184"/>
      <c r="B574" s="184"/>
      <c r="C574" s="184"/>
      <c r="D574" s="184"/>
      <c r="E574" s="184"/>
      <c r="F574" s="184"/>
      <c r="G574" s="184"/>
      <c r="H574" s="184"/>
      <c r="I574" s="184"/>
      <c r="J574" s="184"/>
      <c r="K574" s="184"/>
      <c r="L574" s="184"/>
      <c r="M574" s="184"/>
      <c r="N574" s="184"/>
      <c r="O574" s="184"/>
    </row>
    <row r="575" customFormat="false" ht="15" hidden="false" customHeight="true" outlineLevel="0" collapsed="false">
      <c r="A575" s="184"/>
      <c r="B575" s="184"/>
      <c r="C575" s="184"/>
      <c r="D575" s="184"/>
      <c r="E575" s="184"/>
      <c r="F575" s="184"/>
      <c r="G575" s="184"/>
      <c r="H575" s="184"/>
      <c r="I575" s="184"/>
      <c r="J575" s="184"/>
      <c r="K575" s="184"/>
      <c r="L575" s="184"/>
      <c r="M575" s="184"/>
      <c r="N575" s="184"/>
      <c r="O575" s="184"/>
    </row>
    <row r="576" customFormat="false" ht="15" hidden="false" customHeight="true" outlineLevel="0" collapsed="false">
      <c r="A576" s="184"/>
      <c r="B576" s="184"/>
      <c r="C576" s="184"/>
      <c r="D576" s="184"/>
      <c r="E576" s="184"/>
      <c r="F576" s="184"/>
      <c r="G576" s="184"/>
      <c r="H576" s="184"/>
      <c r="I576" s="184"/>
      <c r="J576" s="184"/>
      <c r="K576" s="184"/>
      <c r="L576" s="184"/>
      <c r="M576" s="184"/>
      <c r="N576" s="184"/>
      <c r="O576" s="184"/>
    </row>
    <row r="577" customFormat="false" ht="15" hidden="false" customHeight="true" outlineLevel="0" collapsed="false">
      <c r="A577" s="184"/>
      <c r="B577" s="184"/>
      <c r="C577" s="184"/>
      <c r="D577" s="184"/>
      <c r="E577" s="184"/>
      <c r="F577" s="184"/>
      <c r="G577" s="184"/>
      <c r="H577" s="184"/>
      <c r="I577" s="184"/>
      <c r="J577" s="184"/>
      <c r="K577" s="184"/>
      <c r="L577" s="184"/>
      <c r="M577" s="184"/>
      <c r="N577" s="184"/>
      <c r="O577" s="184"/>
    </row>
    <row r="578" customFormat="false" ht="15" hidden="false" customHeight="true" outlineLevel="0" collapsed="false">
      <c r="A578" s="184"/>
      <c r="B578" s="184"/>
      <c r="C578" s="184"/>
      <c r="D578" s="184"/>
      <c r="E578" s="184"/>
      <c r="F578" s="184"/>
      <c r="G578" s="184"/>
      <c r="H578" s="184"/>
      <c r="I578" s="184"/>
      <c r="J578" s="184"/>
      <c r="K578" s="184"/>
      <c r="L578" s="184"/>
      <c r="M578" s="184"/>
      <c r="N578" s="184"/>
      <c r="O578" s="184"/>
    </row>
    <row r="579" customFormat="false" ht="15" hidden="false" customHeight="true" outlineLevel="0" collapsed="false">
      <c r="A579" s="184"/>
      <c r="B579" s="184"/>
      <c r="C579" s="184"/>
      <c r="D579" s="184"/>
      <c r="E579" s="184"/>
      <c r="F579" s="184"/>
      <c r="G579" s="184"/>
      <c r="H579" s="184"/>
      <c r="I579" s="184"/>
      <c r="J579" s="184"/>
      <c r="K579" s="184"/>
      <c r="L579" s="184"/>
      <c r="M579" s="184"/>
      <c r="N579" s="184"/>
      <c r="O579" s="184"/>
    </row>
    <row r="580" customFormat="false" ht="15" hidden="false" customHeight="true" outlineLevel="0" collapsed="false">
      <c r="A580" s="184"/>
      <c r="B580" s="184"/>
      <c r="C580" s="184"/>
      <c r="D580" s="184"/>
      <c r="E580" s="184"/>
      <c r="F580" s="184"/>
      <c r="G580" s="184"/>
      <c r="H580" s="184"/>
      <c r="I580" s="184"/>
      <c r="J580" s="184"/>
      <c r="K580" s="184"/>
      <c r="L580" s="184"/>
      <c r="M580" s="184"/>
      <c r="N580" s="184"/>
      <c r="O580" s="184"/>
    </row>
    <row r="581" customFormat="false" ht="15" hidden="false" customHeight="true" outlineLevel="0" collapsed="false">
      <c r="A581" s="184"/>
      <c r="B581" s="184"/>
      <c r="C581" s="184"/>
      <c r="D581" s="184"/>
      <c r="E581" s="184"/>
      <c r="F581" s="184"/>
      <c r="G581" s="184"/>
      <c r="H581" s="184"/>
      <c r="I581" s="184"/>
      <c r="J581" s="184"/>
      <c r="K581" s="184"/>
      <c r="L581" s="184"/>
      <c r="M581" s="184"/>
      <c r="N581" s="184"/>
      <c r="O581" s="184"/>
    </row>
    <row r="582" customFormat="false" ht="15" hidden="false" customHeight="true" outlineLevel="0" collapsed="false">
      <c r="A582" s="184"/>
      <c r="B582" s="184"/>
      <c r="C582" s="184"/>
      <c r="D582" s="184"/>
      <c r="E582" s="184"/>
      <c r="F582" s="184"/>
      <c r="G582" s="184"/>
      <c r="H582" s="184"/>
      <c r="I582" s="184"/>
      <c r="J582" s="184"/>
      <c r="K582" s="184"/>
      <c r="L582" s="184"/>
      <c r="M582" s="184"/>
      <c r="N582" s="184"/>
      <c r="O582" s="184"/>
    </row>
    <row r="583" customFormat="false" ht="15" hidden="false" customHeight="true" outlineLevel="0" collapsed="false">
      <c r="A583" s="184"/>
      <c r="B583" s="184"/>
      <c r="C583" s="184"/>
      <c r="D583" s="184"/>
      <c r="E583" s="184"/>
      <c r="F583" s="184"/>
      <c r="G583" s="184"/>
      <c r="H583" s="184"/>
      <c r="I583" s="184"/>
      <c r="J583" s="184"/>
      <c r="K583" s="184"/>
      <c r="L583" s="184"/>
      <c r="M583" s="184"/>
      <c r="N583" s="184"/>
      <c r="O583" s="184"/>
    </row>
    <row r="584" customFormat="false" ht="15" hidden="false" customHeight="true" outlineLevel="0" collapsed="false">
      <c r="A584" s="184"/>
      <c r="B584" s="184"/>
      <c r="C584" s="184"/>
      <c r="D584" s="184"/>
      <c r="E584" s="184"/>
      <c r="F584" s="184"/>
      <c r="G584" s="184"/>
      <c r="H584" s="184"/>
      <c r="I584" s="184"/>
      <c r="J584" s="184"/>
      <c r="K584" s="184"/>
      <c r="L584" s="184"/>
      <c r="M584" s="184"/>
      <c r="N584" s="184"/>
      <c r="O584" s="184"/>
    </row>
    <row r="585" customFormat="false" ht="15" hidden="false" customHeight="true" outlineLevel="0" collapsed="false">
      <c r="A585" s="184"/>
      <c r="B585" s="184"/>
      <c r="C585" s="184"/>
      <c r="D585" s="184"/>
      <c r="E585" s="184"/>
      <c r="F585" s="184"/>
      <c r="G585" s="184"/>
      <c r="H585" s="184"/>
      <c r="I585" s="184"/>
      <c r="J585" s="184"/>
      <c r="K585" s="184"/>
      <c r="L585" s="184"/>
      <c r="M585" s="184"/>
      <c r="N585" s="184"/>
      <c r="O585" s="184"/>
    </row>
    <row r="586" customFormat="false" ht="15" hidden="false" customHeight="true" outlineLevel="0" collapsed="false">
      <c r="A586" s="184"/>
      <c r="B586" s="184"/>
      <c r="C586" s="184"/>
      <c r="D586" s="184"/>
      <c r="E586" s="184"/>
      <c r="F586" s="184"/>
      <c r="G586" s="184"/>
      <c r="H586" s="184"/>
      <c r="I586" s="184"/>
      <c r="J586" s="184"/>
      <c r="K586" s="184"/>
      <c r="L586" s="184"/>
      <c r="M586" s="184"/>
      <c r="N586" s="184"/>
      <c r="O586" s="184"/>
    </row>
    <row r="587" customFormat="false" ht="15" hidden="false" customHeight="true" outlineLevel="0" collapsed="false">
      <c r="A587" s="184"/>
      <c r="B587" s="184"/>
      <c r="C587" s="184"/>
      <c r="D587" s="184"/>
      <c r="E587" s="184"/>
      <c r="F587" s="184"/>
      <c r="G587" s="184"/>
      <c r="H587" s="184"/>
      <c r="I587" s="184"/>
      <c r="J587" s="184"/>
      <c r="K587" s="184"/>
      <c r="L587" s="184"/>
      <c r="M587" s="184"/>
      <c r="N587" s="184"/>
      <c r="O587" s="184"/>
    </row>
    <row r="588" customFormat="false" ht="15" hidden="false" customHeight="true" outlineLevel="0" collapsed="false">
      <c r="A588" s="184" t="s">
        <v>4888</v>
      </c>
      <c r="B588" s="184" t="s">
        <v>4889</v>
      </c>
      <c r="C588" s="184" t="n">
        <v>1</v>
      </c>
      <c r="D588" s="178" t="s">
        <v>5269</v>
      </c>
      <c r="E588" s="184" t="s">
        <v>6289</v>
      </c>
      <c r="F588" s="184"/>
      <c r="G588" s="184"/>
      <c r="H588" s="184"/>
      <c r="I588" s="184"/>
      <c r="J588" s="184"/>
      <c r="K588" s="184"/>
      <c r="L588" s="184"/>
      <c r="M588" s="184" t="s">
        <v>6517</v>
      </c>
      <c r="N588" s="184"/>
      <c r="O588" s="184"/>
    </row>
    <row r="589" customFormat="false" ht="15" hidden="false" customHeight="true" outlineLevel="0" collapsed="false">
      <c r="A589" s="184" t="s">
        <v>4888</v>
      </c>
      <c r="B589" s="184" t="s">
        <v>4889</v>
      </c>
      <c r="C589" s="184" t="n">
        <v>2</v>
      </c>
      <c r="D589" s="177" t="s">
        <v>6429</v>
      </c>
      <c r="E589" s="184" t="s">
        <v>6470</v>
      </c>
      <c r="F589" s="184"/>
      <c r="G589" s="184"/>
      <c r="H589" s="184"/>
      <c r="I589" s="184"/>
      <c r="J589" s="184"/>
      <c r="K589" s="184"/>
      <c r="L589" s="184"/>
      <c r="M589" s="184"/>
      <c r="N589" s="184"/>
      <c r="O589" s="184"/>
    </row>
    <row r="590" customFormat="false" ht="15" hidden="false" customHeight="true" outlineLevel="0" collapsed="false">
      <c r="A590" s="184" t="s">
        <v>4888</v>
      </c>
      <c r="B590" s="184" t="s">
        <v>4889</v>
      </c>
      <c r="C590" s="184" t="n">
        <v>3</v>
      </c>
      <c r="D590" s="179" t="s">
        <v>6292</v>
      </c>
      <c r="E590" s="184" t="s">
        <v>6518</v>
      </c>
      <c r="F590" s="184"/>
      <c r="G590" s="184"/>
      <c r="H590" s="184"/>
      <c r="I590" s="184"/>
      <c r="J590" s="184"/>
      <c r="K590" s="184"/>
      <c r="L590" s="184"/>
      <c r="M590" s="184"/>
      <c r="N590" s="184"/>
      <c r="O590" s="184"/>
    </row>
    <row r="591" customFormat="false" ht="15" hidden="false" customHeight="true" outlineLevel="0" collapsed="false">
      <c r="A591" s="184" t="s">
        <v>4888</v>
      </c>
      <c r="B591" s="184" t="s">
        <v>4889</v>
      </c>
      <c r="C591" s="184" t="n">
        <v>4</v>
      </c>
      <c r="D591" s="184" t="s">
        <v>6294</v>
      </c>
      <c r="E591" s="184" t="s">
        <v>6519</v>
      </c>
      <c r="F591" s="184"/>
      <c r="G591" s="184"/>
      <c r="H591" s="184"/>
      <c r="I591" s="184"/>
      <c r="J591" s="184"/>
      <c r="K591" s="184"/>
      <c r="L591" s="184"/>
      <c r="M591" s="184"/>
      <c r="N591" s="184"/>
      <c r="O591" s="184"/>
    </row>
    <row r="592" customFormat="false" ht="15" hidden="false" customHeight="true" outlineLevel="0" collapsed="false">
      <c r="A592" s="184" t="s">
        <v>4888</v>
      </c>
      <c r="B592" s="184" t="s">
        <v>4889</v>
      </c>
      <c r="C592" s="184" t="n">
        <v>5</v>
      </c>
      <c r="D592" s="184" t="s">
        <v>4790</v>
      </c>
      <c r="E592" s="184" t="s">
        <v>6520</v>
      </c>
      <c r="F592" s="184"/>
      <c r="G592" s="184"/>
      <c r="H592" s="184"/>
      <c r="I592" s="184"/>
      <c r="J592" s="184"/>
      <c r="K592" s="184"/>
      <c r="L592" s="184"/>
      <c r="M592" s="184"/>
      <c r="N592" s="184"/>
      <c r="O592" s="184"/>
    </row>
    <row r="593" customFormat="false" ht="15" hidden="false" customHeight="true" outlineLevel="0" collapsed="false">
      <c r="A593" s="184" t="s">
        <v>4888</v>
      </c>
      <c r="B593" s="184" t="s">
        <v>4889</v>
      </c>
      <c r="C593" s="184" t="n">
        <v>6</v>
      </c>
      <c r="D593" s="184" t="s">
        <v>4790</v>
      </c>
      <c r="E593" s="184" t="s">
        <v>6521</v>
      </c>
      <c r="F593" s="184"/>
      <c r="G593" s="184"/>
      <c r="H593" s="184"/>
      <c r="I593" s="184"/>
      <c r="J593" s="184"/>
      <c r="K593" s="184"/>
      <c r="L593" s="184"/>
      <c r="M593" s="184"/>
      <c r="N593" s="184"/>
      <c r="O593" s="184"/>
    </row>
    <row r="594" customFormat="false" ht="15" hidden="false" customHeight="true" outlineLevel="0" collapsed="false">
      <c r="A594" s="184" t="s">
        <v>4888</v>
      </c>
      <c r="B594" s="184" t="s">
        <v>4889</v>
      </c>
      <c r="C594" s="184" t="n">
        <v>7</v>
      </c>
      <c r="D594" s="184" t="s">
        <v>4790</v>
      </c>
      <c r="E594" s="184" t="s">
        <v>6522</v>
      </c>
      <c r="F594" s="184"/>
      <c r="G594" s="184"/>
      <c r="H594" s="184"/>
      <c r="I594" s="184"/>
      <c r="J594" s="184"/>
      <c r="K594" s="184"/>
      <c r="L594" s="184"/>
      <c r="M594" s="184"/>
      <c r="N594" s="184"/>
      <c r="O594" s="184"/>
    </row>
    <row r="595" customFormat="false" ht="27.75" hidden="false" customHeight="true" outlineLevel="0" collapsed="false">
      <c r="A595" s="184" t="s">
        <v>4888</v>
      </c>
      <c r="B595" s="184" t="s">
        <v>4889</v>
      </c>
      <c r="C595" s="184" t="n">
        <v>8</v>
      </c>
      <c r="D595" s="184" t="s">
        <v>4790</v>
      </c>
      <c r="E595" s="184" t="s">
        <v>6523</v>
      </c>
      <c r="F595" s="184"/>
      <c r="G595" s="184"/>
      <c r="H595" s="184"/>
      <c r="I595" s="184"/>
      <c r="J595" s="184"/>
      <c r="K595" s="184"/>
      <c r="L595" s="184"/>
      <c r="M595" s="184"/>
      <c r="N595" s="184"/>
      <c r="O595" s="184"/>
    </row>
    <row r="596" customFormat="false" ht="15" hidden="false" customHeight="true" outlineLevel="0" collapsed="false">
      <c r="A596" s="184" t="s">
        <v>4888</v>
      </c>
      <c r="B596" s="184" t="s">
        <v>4889</v>
      </c>
      <c r="C596" s="184" t="n">
        <v>9</v>
      </c>
      <c r="D596" s="184" t="s">
        <v>4790</v>
      </c>
      <c r="E596" s="184" t="s">
        <v>6524</v>
      </c>
      <c r="F596" s="184"/>
      <c r="G596" s="184"/>
      <c r="H596" s="184"/>
      <c r="I596" s="184"/>
      <c r="J596" s="184"/>
      <c r="K596" s="184"/>
      <c r="L596" s="184"/>
      <c r="M596" s="184"/>
      <c r="N596" s="184"/>
      <c r="O596" s="184"/>
    </row>
    <row r="597" customFormat="false" ht="15" hidden="false" customHeight="true" outlineLevel="0" collapsed="false">
      <c r="A597" s="184" t="s">
        <v>4888</v>
      </c>
      <c r="B597" s="184" t="s">
        <v>4889</v>
      </c>
      <c r="C597" s="184" t="n">
        <v>10</v>
      </c>
      <c r="D597" s="179" t="s">
        <v>6292</v>
      </c>
      <c r="E597" s="184" t="s">
        <v>6525</v>
      </c>
      <c r="F597" s="184"/>
      <c r="G597" s="184"/>
      <c r="H597" s="184"/>
      <c r="I597" s="184"/>
      <c r="J597" s="184"/>
      <c r="K597" s="184"/>
      <c r="L597" s="184"/>
      <c r="M597" s="184"/>
      <c r="N597" s="184"/>
      <c r="O597" s="184"/>
    </row>
    <row r="598" customFormat="false" ht="41.25" hidden="false" customHeight="true" outlineLevel="0" collapsed="false">
      <c r="A598" s="184" t="s">
        <v>4888</v>
      </c>
      <c r="B598" s="184" t="s">
        <v>4889</v>
      </c>
      <c r="C598" s="184" t="n">
        <v>11</v>
      </c>
      <c r="D598" s="177" t="s">
        <v>6298</v>
      </c>
      <c r="E598" s="184" t="s">
        <v>6526</v>
      </c>
      <c r="F598" s="184"/>
      <c r="G598" s="184"/>
      <c r="H598" s="184"/>
      <c r="I598" s="184"/>
      <c r="J598" s="184"/>
      <c r="K598" s="184"/>
      <c r="L598" s="184"/>
      <c r="M598" s="184"/>
      <c r="N598" s="184"/>
      <c r="O598" s="184"/>
    </row>
    <row r="599" customFormat="false" ht="15" hidden="false" customHeight="true" outlineLevel="0" collapsed="false">
      <c r="A599" s="184" t="s">
        <v>4888</v>
      </c>
      <c r="B599" s="184" t="s">
        <v>4889</v>
      </c>
      <c r="C599" s="184" t="n">
        <v>12</v>
      </c>
      <c r="D599" s="184" t="s">
        <v>4790</v>
      </c>
      <c r="E599" s="184" t="s">
        <v>6527</v>
      </c>
      <c r="F599" s="184"/>
      <c r="G599" s="184"/>
      <c r="H599" s="184"/>
      <c r="I599" s="184"/>
      <c r="J599" s="184"/>
      <c r="K599" s="184"/>
      <c r="L599" s="184"/>
      <c r="M599" s="184" t="s">
        <v>6528</v>
      </c>
      <c r="N599" s="184"/>
      <c r="O599" s="184"/>
    </row>
    <row r="600" customFormat="false" ht="15" hidden="false" customHeight="true" outlineLevel="0" collapsed="false">
      <c r="A600" s="184" t="s">
        <v>4888</v>
      </c>
      <c r="B600" s="184" t="s">
        <v>4889</v>
      </c>
      <c r="C600" s="184" t="n">
        <v>13</v>
      </c>
      <c r="D600" s="174" t="s">
        <v>6529</v>
      </c>
      <c r="E600" s="184" t="s">
        <v>6530</v>
      </c>
      <c r="F600" s="184"/>
      <c r="G600" s="184"/>
      <c r="H600" s="184"/>
      <c r="I600" s="184"/>
      <c r="J600" s="184"/>
      <c r="K600" s="184"/>
      <c r="L600" s="184"/>
      <c r="M600" s="184" t="s">
        <v>6531</v>
      </c>
      <c r="N600" s="184"/>
      <c r="O600" s="184"/>
    </row>
    <row r="601" customFormat="false" ht="15" hidden="false" customHeight="true" outlineLevel="0" collapsed="false">
      <c r="A601" s="184" t="s">
        <v>4888</v>
      </c>
      <c r="B601" s="184" t="s">
        <v>4889</v>
      </c>
      <c r="C601" s="184" t="n">
        <v>14</v>
      </c>
      <c r="D601" s="174" t="s">
        <v>6529</v>
      </c>
      <c r="E601" s="184" t="s">
        <v>6532</v>
      </c>
      <c r="F601" s="184"/>
      <c r="G601" s="184"/>
      <c r="H601" s="184"/>
      <c r="I601" s="184"/>
      <c r="J601" s="184"/>
      <c r="K601" s="184"/>
      <c r="L601" s="184"/>
      <c r="M601" s="184" t="s">
        <v>6533</v>
      </c>
      <c r="N601" s="184"/>
      <c r="O601" s="184"/>
    </row>
    <row r="602" customFormat="false" ht="15" hidden="false" customHeight="true" outlineLevel="0" collapsed="false">
      <c r="A602" s="184" t="s">
        <v>4888</v>
      </c>
      <c r="B602" s="184" t="s">
        <v>4889</v>
      </c>
      <c r="C602" s="184" t="n">
        <v>15</v>
      </c>
      <c r="D602" s="184" t="s">
        <v>4790</v>
      </c>
      <c r="E602" s="184" t="s">
        <v>6534</v>
      </c>
      <c r="F602" s="184"/>
      <c r="G602" s="184"/>
      <c r="H602" s="184"/>
      <c r="I602" s="184"/>
      <c r="J602" s="184"/>
      <c r="K602" s="184"/>
      <c r="L602" s="184"/>
      <c r="M602" s="184" t="s">
        <v>6535</v>
      </c>
      <c r="N602" s="184"/>
      <c r="O602" s="184"/>
    </row>
    <row r="603" customFormat="false" ht="15" hidden="false" customHeight="true" outlineLevel="0" collapsed="false">
      <c r="A603" s="184" t="s">
        <v>4888</v>
      </c>
      <c r="B603" s="184" t="s">
        <v>4889</v>
      </c>
      <c r="C603" s="184" t="n">
        <v>16</v>
      </c>
      <c r="D603" s="174" t="s">
        <v>6529</v>
      </c>
      <c r="E603" s="184" t="s">
        <v>6530</v>
      </c>
      <c r="F603" s="184"/>
      <c r="G603" s="184"/>
      <c r="H603" s="184"/>
      <c r="I603" s="184"/>
      <c r="J603" s="184"/>
      <c r="K603" s="184"/>
      <c r="L603" s="184"/>
      <c r="M603" s="184" t="s">
        <v>6536</v>
      </c>
      <c r="N603" s="184"/>
      <c r="O603" s="184"/>
    </row>
    <row r="604" customFormat="false" ht="15" hidden="false" customHeight="true" outlineLevel="0" collapsed="false">
      <c r="A604" s="184" t="s">
        <v>4888</v>
      </c>
      <c r="B604" s="184" t="s">
        <v>4889</v>
      </c>
      <c r="C604" s="184" t="n">
        <v>17</v>
      </c>
      <c r="D604" s="174" t="s">
        <v>6529</v>
      </c>
      <c r="E604" s="184" t="s">
        <v>6532</v>
      </c>
      <c r="F604" s="184"/>
      <c r="G604" s="184"/>
      <c r="H604" s="184"/>
      <c r="I604" s="184"/>
      <c r="J604" s="184"/>
      <c r="K604" s="184"/>
      <c r="L604" s="184"/>
      <c r="M604" s="184" t="s">
        <v>6537</v>
      </c>
      <c r="N604" s="184"/>
      <c r="O604" s="184"/>
    </row>
    <row r="605" customFormat="false" ht="15" hidden="false" customHeight="true" outlineLevel="0" collapsed="false">
      <c r="A605" s="184" t="s">
        <v>4888</v>
      </c>
      <c r="B605" s="184" t="s">
        <v>4889</v>
      </c>
      <c r="C605" s="184" t="n">
        <v>18</v>
      </c>
      <c r="D605" s="184" t="s">
        <v>4790</v>
      </c>
      <c r="E605" s="184" t="s">
        <v>6538</v>
      </c>
      <c r="F605" s="184"/>
      <c r="G605" s="184"/>
      <c r="H605" s="184"/>
      <c r="I605" s="184"/>
      <c r="J605" s="184"/>
      <c r="K605" s="184"/>
      <c r="L605" s="184"/>
      <c r="M605" s="184" t="s">
        <v>6539</v>
      </c>
      <c r="N605" s="184"/>
      <c r="O605" s="184"/>
    </row>
    <row r="606" customFormat="false" ht="15" hidden="false" customHeight="true" outlineLevel="0" collapsed="false">
      <c r="A606" s="184" t="s">
        <v>4888</v>
      </c>
      <c r="B606" s="184" t="s">
        <v>4889</v>
      </c>
      <c r="C606" s="184" t="n">
        <v>19</v>
      </c>
      <c r="D606" s="174" t="s">
        <v>6529</v>
      </c>
      <c r="E606" s="184" t="s">
        <v>6530</v>
      </c>
      <c r="F606" s="184"/>
      <c r="G606" s="184"/>
      <c r="H606" s="184"/>
      <c r="I606" s="184"/>
      <c r="J606" s="184"/>
      <c r="K606" s="184"/>
      <c r="L606" s="184"/>
      <c r="M606" s="184" t="s">
        <v>6540</v>
      </c>
      <c r="N606" s="184"/>
      <c r="O606" s="184"/>
    </row>
    <row r="607" customFormat="false" ht="15" hidden="false" customHeight="true" outlineLevel="0" collapsed="false">
      <c r="A607" s="184" t="s">
        <v>4888</v>
      </c>
      <c r="B607" s="184" t="s">
        <v>4889</v>
      </c>
      <c r="C607" s="184" t="n">
        <v>20</v>
      </c>
      <c r="D607" s="174" t="s">
        <v>6529</v>
      </c>
      <c r="E607" s="184" t="s">
        <v>6532</v>
      </c>
      <c r="F607" s="184"/>
      <c r="G607" s="184"/>
      <c r="H607" s="184"/>
      <c r="I607" s="184"/>
      <c r="J607" s="184"/>
      <c r="K607" s="184"/>
      <c r="L607" s="184"/>
      <c r="M607" s="184" t="s">
        <v>6541</v>
      </c>
      <c r="N607" s="184"/>
      <c r="O607" s="184"/>
    </row>
    <row r="608" customFormat="false" ht="15" hidden="false" customHeight="true" outlineLevel="0" collapsed="false">
      <c r="A608" s="184" t="s">
        <v>4888</v>
      </c>
      <c r="B608" s="184" t="s">
        <v>4889</v>
      </c>
      <c r="C608" s="184" t="n">
        <v>21</v>
      </c>
      <c r="D608" s="184" t="s">
        <v>4790</v>
      </c>
      <c r="E608" s="184" t="s">
        <v>6542</v>
      </c>
      <c r="F608" s="184"/>
      <c r="G608" s="184"/>
      <c r="H608" s="184"/>
      <c r="I608" s="184"/>
      <c r="J608" s="184"/>
      <c r="K608" s="184"/>
      <c r="L608" s="184"/>
      <c r="M608" s="184" t="s">
        <v>6543</v>
      </c>
      <c r="N608" s="184"/>
      <c r="O608" s="184"/>
    </row>
    <row r="609" customFormat="false" ht="15" hidden="false" customHeight="true" outlineLevel="0" collapsed="false">
      <c r="A609" s="184" t="s">
        <v>4888</v>
      </c>
      <c r="B609" s="184" t="s">
        <v>4889</v>
      </c>
      <c r="C609" s="184" t="n">
        <v>22</v>
      </c>
      <c r="D609" s="174" t="s">
        <v>6529</v>
      </c>
      <c r="E609" s="184" t="s">
        <v>6530</v>
      </c>
      <c r="F609" s="184"/>
      <c r="G609" s="184"/>
      <c r="H609" s="184"/>
      <c r="I609" s="184"/>
      <c r="J609" s="184"/>
      <c r="K609" s="184"/>
      <c r="L609" s="184"/>
      <c r="M609" s="184" t="s">
        <v>6544</v>
      </c>
      <c r="N609" s="184"/>
      <c r="O609" s="184"/>
    </row>
    <row r="610" customFormat="false" ht="15" hidden="false" customHeight="true" outlineLevel="0" collapsed="false">
      <c r="A610" s="184" t="s">
        <v>4888</v>
      </c>
      <c r="B610" s="184" t="s">
        <v>4889</v>
      </c>
      <c r="C610" s="184" t="n">
        <v>23</v>
      </c>
      <c r="D610" s="174" t="s">
        <v>6529</v>
      </c>
      <c r="E610" s="184" t="s">
        <v>6532</v>
      </c>
      <c r="F610" s="184"/>
      <c r="G610" s="184"/>
      <c r="H610" s="184"/>
      <c r="I610" s="184"/>
      <c r="J610" s="184"/>
      <c r="K610" s="184"/>
      <c r="L610" s="184"/>
      <c r="M610" s="184" t="s">
        <v>6545</v>
      </c>
      <c r="N610" s="184"/>
      <c r="O610" s="184"/>
    </row>
    <row r="611" customFormat="false" ht="41.25" hidden="false" customHeight="true" outlineLevel="0" collapsed="false">
      <c r="A611" s="184" t="s">
        <v>4888</v>
      </c>
      <c r="B611" s="184" t="s">
        <v>4889</v>
      </c>
      <c r="C611" s="184" t="n">
        <v>24</v>
      </c>
      <c r="D611" s="184" t="s">
        <v>4790</v>
      </c>
      <c r="E611" s="184" t="s">
        <v>6546</v>
      </c>
      <c r="F611" s="184"/>
      <c r="G611" s="184"/>
      <c r="H611" s="184"/>
      <c r="I611" s="184"/>
      <c r="J611" s="184"/>
      <c r="K611" s="184"/>
      <c r="L611" s="184"/>
      <c r="M611" s="184" t="s">
        <v>6547</v>
      </c>
      <c r="N611" s="184"/>
      <c r="O611" s="184"/>
    </row>
    <row r="612" customFormat="false" ht="15" hidden="false" customHeight="true" outlineLevel="0" collapsed="false">
      <c r="A612" s="184" t="s">
        <v>4888</v>
      </c>
      <c r="B612" s="184" t="s">
        <v>4889</v>
      </c>
      <c r="C612" s="184" t="n">
        <v>25</v>
      </c>
      <c r="D612" s="174" t="s">
        <v>6529</v>
      </c>
      <c r="E612" s="184" t="s">
        <v>6530</v>
      </c>
      <c r="F612" s="184"/>
      <c r="G612" s="184"/>
      <c r="H612" s="184"/>
      <c r="I612" s="184"/>
      <c r="J612" s="184"/>
      <c r="K612" s="184"/>
      <c r="L612" s="184"/>
      <c r="M612" s="184" t="s">
        <v>6548</v>
      </c>
      <c r="N612" s="184"/>
      <c r="O612" s="184"/>
    </row>
    <row r="613" customFormat="false" ht="15" hidden="false" customHeight="true" outlineLevel="0" collapsed="false">
      <c r="A613" s="184" t="s">
        <v>4888</v>
      </c>
      <c r="B613" s="184" t="s">
        <v>4889</v>
      </c>
      <c r="C613" s="184" t="n">
        <v>26</v>
      </c>
      <c r="D613" s="174" t="s">
        <v>6529</v>
      </c>
      <c r="E613" s="184" t="s">
        <v>6532</v>
      </c>
      <c r="F613" s="184"/>
      <c r="G613" s="184"/>
      <c r="H613" s="184"/>
      <c r="I613" s="184"/>
      <c r="J613" s="184"/>
      <c r="K613" s="184"/>
      <c r="L613" s="184"/>
      <c r="M613" s="184" t="s">
        <v>6549</v>
      </c>
      <c r="N613" s="184"/>
      <c r="O613" s="184"/>
    </row>
    <row r="614" customFormat="false" ht="27.75" hidden="false" customHeight="true" outlineLevel="0" collapsed="false">
      <c r="A614" s="184" t="s">
        <v>4888</v>
      </c>
      <c r="B614" s="184" t="s">
        <v>4889</v>
      </c>
      <c r="C614" s="184" t="n">
        <v>27</v>
      </c>
      <c r="D614" s="177" t="s">
        <v>5276</v>
      </c>
      <c r="E614" s="184" t="s">
        <v>6550</v>
      </c>
      <c r="F614" s="184"/>
      <c r="G614" s="184"/>
      <c r="H614" s="184"/>
      <c r="I614" s="184"/>
      <c r="J614" s="184"/>
      <c r="K614" s="184"/>
      <c r="L614" s="184"/>
      <c r="M614" s="184"/>
      <c r="N614" s="184"/>
      <c r="O614" s="184"/>
    </row>
    <row r="615" customFormat="false" ht="15" hidden="false" customHeight="true" outlineLevel="0" collapsed="false">
      <c r="A615" s="184" t="s">
        <v>4888</v>
      </c>
      <c r="B615" s="184" t="s">
        <v>4889</v>
      </c>
      <c r="C615" s="184" t="n">
        <v>28</v>
      </c>
      <c r="D615" s="178" t="s">
        <v>5269</v>
      </c>
      <c r="E615" s="184" t="s">
        <v>6551</v>
      </c>
      <c r="F615" s="184"/>
      <c r="G615" s="184"/>
      <c r="H615" s="184"/>
      <c r="I615" s="184"/>
      <c r="J615" s="184"/>
      <c r="K615" s="184"/>
      <c r="L615" s="184"/>
      <c r="M615" s="184" t="s">
        <v>6552</v>
      </c>
      <c r="N615" s="184"/>
      <c r="O615" s="184"/>
    </row>
    <row r="616" customFormat="false" ht="15" hidden="false" customHeight="true" outlineLevel="0" collapsed="false">
      <c r="A616" s="184"/>
      <c r="B616" s="184"/>
      <c r="C616" s="184"/>
      <c r="D616" s="184"/>
      <c r="E616" s="184"/>
      <c r="F616" s="184"/>
      <c r="G616" s="184"/>
      <c r="H616" s="184"/>
      <c r="I616" s="184"/>
      <c r="J616" s="184"/>
      <c r="K616" s="184"/>
      <c r="L616" s="184"/>
      <c r="M616" s="184"/>
      <c r="N616" s="184"/>
      <c r="O616" s="184"/>
    </row>
    <row r="617" customFormat="false" ht="15" hidden="false" customHeight="true" outlineLevel="0" collapsed="false">
      <c r="A617" s="184"/>
      <c r="B617" s="184"/>
      <c r="C617" s="184"/>
      <c r="D617" s="184"/>
      <c r="E617" s="184"/>
      <c r="F617" s="184"/>
      <c r="G617" s="184"/>
      <c r="H617" s="184"/>
      <c r="I617" s="184"/>
      <c r="J617" s="184"/>
      <c r="K617" s="184"/>
      <c r="L617" s="184"/>
      <c r="M617" s="184"/>
      <c r="N617" s="184"/>
      <c r="O617" s="184"/>
    </row>
    <row r="618" customFormat="false" ht="15" hidden="false" customHeight="true" outlineLevel="0" collapsed="false">
      <c r="A618" s="184"/>
      <c r="B618" s="184"/>
      <c r="C618" s="184"/>
      <c r="D618" s="184"/>
      <c r="E618" s="184"/>
      <c r="F618" s="184"/>
      <c r="G618" s="184"/>
      <c r="H618" s="184"/>
      <c r="I618" s="184"/>
      <c r="J618" s="184"/>
      <c r="K618" s="184"/>
      <c r="L618" s="184"/>
      <c r="M618" s="184"/>
      <c r="N618" s="184"/>
      <c r="O618" s="184"/>
    </row>
    <row r="619" customFormat="false" ht="15" hidden="false" customHeight="true" outlineLevel="0" collapsed="false">
      <c r="A619" s="184"/>
      <c r="B619" s="184"/>
      <c r="C619" s="184"/>
      <c r="D619" s="184"/>
      <c r="E619" s="184"/>
      <c r="F619" s="184"/>
      <c r="G619" s="184"/>
      <c r="H619" s="184"/>
      <c r="I619" s="184"/>
      <c r="J619" s="184"/>
      <c r="K619" s="184"/>
      <c r="L619" s="184"/>
      <c r="M619" s="184"/>
      <c r="N619" s="184"/>
      <c r="O619" s="184"/>
    </row>
    <row r="620" customFormat="false" ht="15" hidden="false" customHeight="true" outlineLevel="0" collapsed="false">
      <c r="A620" s="184"/>
      <c r="B620" s="184"/>
      <c r="C620" s="184"/>
      <c r="D620" s="184"/>
      <c r="E620" s="184"/>
      <c r="F620" s="184"/>
      <c r="G620" s="184"/>
      <c r="H620" s="184"/>
      <c r="I620" s="184"/>
      <c r="J620" s="184"/>
      <c r="K620" s="184"/>
      <c r="L620" s="184"/>
      <c r="M620" s="184"/>
      <c r="N620" s="184"/>
      <c r="O620" s="184"/>
    </row>
    <row r="621" customFormat="false" ht="15" hidden="false" customHeight="true" outlineLevel="0" collapsed="false">
      <c r="A621" s="184"/>
      <c r="B621" s="184"/>
      <c r="C621" s="184"/>
      <c r="D621" s="184"/>
      <c r="E621" s="184"/>
      <c r="F621" s="184"/>
      <c r="G621" s="184"/>
      <c r="H621" s="184"/>
      <c r="I621" s="184"/>
      <c r="J621" s="184"/>
      <c r="K621" s="184"/>
      <c r="L621" s="184"/>
      <c r="M621" s="184"/>
      <c r="N621" s="184"/>
      <c r="O621" s="184"/>
    </row>
    <row r="622" customFormat="false" ht="15" hidden="false" customHeight="true" outlineLevel="0" collapsed="false">
      <c r="A622" s="184"/>
      <c r="B622" s="184"/>
      <c r="C622" s="184"/>
      <c r="D622" s="184"/>
      <c r="E622" s="184"/>
      <c r="F622" s="184"/>
      <c r="G622" s="184"/>
      <c r="H622" s="184"/>
      <c r="I622" s="184"/>
      <c r="J622" s="184"/>
      <c r="K622" s="184"/>
      <c r="L622" s="184"/>
      <c r="M622" s="184"/>
      <c r="N622" s="184"/>
      <c r="O622" s="184"/>
    </row>
    <row r="623" customFormat="false" ht="15" hidden="false" customHeight="true" outlineLevel="0" collapsed="false">
      <c r="A623" s="184"/>
      <c r="B623" s="184"/>
      <c r="C623" s="184"/>
      <c r="D623" s="184"/>
      <c r="E623" s="184"/>
      <c r="F623" s="184"/>
      <c r="G623" s="184"/>
      <c r="H623" s="184"/>
      <c r="I623" s="184"/>
      <c r="J623" s="184"/>
      <c r="K623" s="184"/>
      <c r="L623" s="184"/>
      <c r="M623" s="184"/>
      <c r="N623" s="184"/>
      <c r="O623" s="184"/>
    </row>
    <row r="624" customFormat="false" ht="15" hidden="false" customHeight="true" outlineLevel="0" collapsed="false">
      <c r="A624" s="184"/>
      <c r="B624" s="184"/>
      <c r="C624" s="184"/>
      <c r="D624" s="184"/>
      <c r="E624" s="184"/>
      <c r="F624" s="184"/>
      <c r="G624" s="184"/>
      <c r="H624" s="184"/>
      <c r="I624" s="184"/>
      <c r="J624" s="184"/>
      <c r="K624" s="184"/>
      <c r="L624" s="184"/>
      <c r="M624" s="184"/>
      <c r="N624" s="184"/>
      <c r="O624" s="184"/>
    </row>
    <row r="625" customFormat="false" ht="15" hidden="false" customHeight="true" outlineLevel="0" collapsed="false">
      <c r="A625" s="184"/>
      <c r="B625" s="184"/>
      <c r="C625" s="184"/>
      <c r="D625" s="184"/>
      <c r="E625" s="184"/>
      <c r="F625" s="184"/>
      <c r="G625" s="184"/>
      <c r="H625" s="184"/>
      <c r="I625" s="184"/>
      <c r="J625" s="184"/>
      <c r="K625" s="184"/>
      <c r="L625" s="184"/>
      <c r="M625" s="184"/>
      <c r="N625" s="184"/>
      <c r="O625" s="184"/>
    </row>
    <row r="626" customFormat="false" ht="15" hidden="false" customHeight="true" outlineLevel="0" collapsed="false">
      <c r="A626" s="184"/>
      <c r="B626" s="184"/>
      <c r="C626" s="184"/>
      <c r="D626" s="184"/>
      <c r="E626" s="184"/>
      <c r="F626" s="184"/>
      <c r="G626" s="184"/>
      <c r="H626" s="184"/>
      <c r="I626" s="184"/>
      <c r="J626" s="184"/>
      <c r="K626" s="184"/>
      <c r="L626" s="184"/>
      <c r="M626" s="184"/>
      <c r="N626" s="184"/>
      <c r="O626" s="184"/>
    </row>
    <row r="627" customFormat="false" ht="15" hidden="false" customHeight="true" outlineLevel="0" collapsed="false">
      <c r="A627" s="184"/>
      <c r="B627" s="184"/>
      <c r="C627" s="184"/>
      <c r="D627" s="184"/>
      <c r="E627" s="184"/>
      <c r="F627" s="184"/>
      <c r="G627" s="184"/>
      <c r="H627" s="184"/>
      <c r="I627" s="184"/>
      <c r="J627" s="184"/>
      <c r="K627" s="184"/>
      <c r="L627" s="184"/>
      <c r="M627" s="184"/>
      <c r="N627" s="184"/>
      <c r="O627" s="184"/>
    </row>
    <row r="628" customFormat="false" ht="15" hidden="false" customHeight="true" outlineLevel="0" collapsed="false">
      <c r="A628" s="184"/>
      <c r="B628" s="184"/>
      <c r="C628" s="184"/>
      <c r="D628" s="184"/>
      <c r="E628" s="184"/>
      <c r="F628" s="184"/>
      <c r="G628" s="184"/>
      <c r="H628" s="184"/>
      <c r="I628" s="184"/>
      <c r="J628" s="184"/>
      <c r="K628" s="184"/>
      <c r="L628" s="184"/>
      <c r="M628" s="184"/>
      <c r="N628" s="184"/>
      <c r="O628" s="184"/>
    </row>
    <row r="629" customFormat="false" ht="15" hidden="false" customHeight="true" outlineLevel="0" collapsed="false">
      <c r="A629" s="184"/>
      <c r="B629" s="184"/>
      <c r="C629" s="184"/>
      <c r="D629" s="184"/>
      <c r="E629" s="184"/>
      <c r="F629" s="184"/>
      <c r="G629" s="184"/>
      <c r="H629" s="184"/>
      <c r="I629" s="184"/>
      <c r="J629" s="184"/>
      <c r="K629" s="184"/>
      <c r="L629" s="184"/>
      <c r="M629" s="184"/>
      <c r="N629" s="184"/>
      <c r="O629" s="184"/>
    </row>
    <row r="630" customFormat="false" ht="15" hidden="false" customHeight="true" outlineLevel="0" collapsed="false">
      <c r="A630" s="184"/>
      <c r="B630" s="184"/>
      <c r="C630" s="184"/>
      <c r="D630" s="184"/>
      <c r="E630" s="184"/>
      <c r="F630" s="184"/>
      <c r="G630" s="184"/>
      <c r="H630" s="184"/>
      <c r="I630" s="184"/>
      <c r="J630" s="184"/>
      <c r="K630" s="184"/>
      <c r="L630" s="184"/>
      <c r="M630" s="184"/>
      <c r="N630" s="184"/>
      <c r="O630" s="184"/>
    </row>
    <row r="631" customFormat="false" ht="15" hidden="false" customHeight="true" outlineLevel="0" collapsed="false">
      <c r="A631" s="184"/>
      <c r="B631" s="184"/>
      <c r="C631" s="184"/>
      <c r="D631" s="184"/>
      <c r="E631" s="184"/>
      <c r="F631" s="184"/>
      <c r="G631" s="184"/>
      <c r="H631" s="184"/>
      <c r="I631" s="184"/>
      <c r="J631" s="184"/>
      <c r="K631" s="184"/>
      <c r="L631" s="184"/>
      <c r="M631" s="184"/>
      <c r="N631" s="184"/>
      <c r="O631" s="184"/>
    </row>
    <row r="632" customFormat="false" ht="15" hidden="false" customHeight="true" outlineLevel="0" collapsed="false">
      <c r="A632" s="184"/>
      <c r="B632" s="184"/>
      <c r="C632" s="184"/>
      <c r="D632" s="184"/>
      <c r="E632" s="184"/>
      <c r="F632" s="184"/>
      <c r="G632" s="184"/>
      <c r="H632" s="184"/>
      <c r="I632" s="184"/>
      <c r="J632" s="184"/>
      <c r="K632" s="184"/>
      <c r="L632" s="184"/>
      <c r="M632" s="184"/>
      <c r="N632" s="184"/>
      <c r="O632" s="184"/>
    </row>
    <row r="633" customFormat="false" ht="15" hidden="false" customHeight="true" outlineLevel="0" collapsed="false">
      <c r="A633" s="184"/>
      <c r="B633" s="184"/>
      <c r="C633" s="184"/>
      <c r="D633" s="184"/>
      <c r="E633" s="184"/>
      <c r="F633" s="184"/>
      <c r="G633" s="184"/>
      <c r="H633" s="184"/>
      <c r="I633" s="184"/>
      <c r="J633" s="184"/>
      <c r="K633" s="184"/>
      <c r="L633" s="184"/>
      <c r="M633" s="184"/>
      <c r="N633" s="184"/>
      <c r="O633" s="184"/>
    </row>
    <row r="634" customFormat="false" ht="15" hidden="false" customHeight="true" outlineLevel="0" collapsed="false">
      <c r="A634" s="184"/>
      <c r="B634" s="184"/>
      <c r="C634" s="184"/>
      <c r="D634" s="184"/>
      <c r="E634" s="184"/>
      <c r="F634" s="184"/>
      <c r="G634" s="184"/>
      <c r="H634" s="184"/>
      <c r="I634" s="184"/>
      <c r="J634" s="184"/>
      <c r="K634" s="184"/>
      <c r="L634" s="184"/>
      <c r="M634" s="184"/>
      <c r="N634" s="184"/>
      <c r="O634" s="184"/>
    </row>
    <row r="635" customFormat="false" ht="15" hidden="false" customHeight="true" outlineLevel="0" collapsed="false">
      <c r="A635" s="184"/>
      <c r="B635" s="184"/>
      <c r="C635" s="184"/>
      <c r="D635" s="184"/>
      <c r="E635" s="184"/>
      <c r="F635" s="184"/>
      <c r="G635" s="184"/>
      <c r="H635" s="184"/>
      <c r="I635" s="184"/>
      <c r="J635" s="184"/>
      <c r="K635" s="184"/>
      <c r="L635" s="184"/>
      <c r="M635" s="184"/>
      <c r="N635" s="184"/>
      <c r="O635" s="184"/>
    </row>
    <row r="636" customFormat="false" ht="15" hidden="false" customHeight="true" outlineLevel="0" collapsed="false">
      <c r="A636" s="184"/>
      <c r="B636" s="184"/>
      <c r="C636" s="184"/>
      <c r="D636" s="184"/>
      <c r="E636" s="184"/>
      <c r="F636" s="184"/>
      <c r="G636" s="184"/>
      <c r="H636" s="184"/>
      <c r="I636" s="184"/>
      <c r="J636" s="184"/>
      <c r="K636" s="184"/>
      <c r="L636" s="184"/>
      <c r="M636" s="184"/>
      <c r="N636" s="184"/>
      <c r="O636" s="184"/>
    </row>
    <row r="637" customFormat="false" ht="15" hidden="false" customHeight="true" outlineLevel="0" collapsed="false">
      <c r="A637" s="184"/>
      <c r="B637" s="184"/>
      <c r="C637" s="184"/>
      <c r="D637" s="184"/>
      <c r="E637" s="184"/>
      <c r="F637" s="184"/>
      <c r="G637" s="184"/>
      <c r="H637" s="184"/>
      <c r="I637" s="184"/>
      <c r="J637" s="184"/>
      <c r="K637" s="184"/>
      <c r="L637" s="184"/>
      <c r="M637" s="184"/>
      <c r="N637" s="184"/>
      <c r="O637" s="184"/>
    </row>
    <row r="638" customFormat="false" ht="15" hidden="false" customHeight="true" outlineLevel="0" collapsed="false">
      <c r="A638" s="184"/>
      <c r="B638" s="184"/>
      <c r="C638" s="184"/>
      <c r="D638" s="184"/>
      <c r="E638" s="184"/>
      <c r="F638" s="184"/>
      <c r="G638" s="184"/>
      <c r="H638" s="184"/>
      <c r="I638" s="184"/>
      <c r="J638" s="184"/>
      <c r="K638" s="184"/>
      <c r="L638" s="184"/>
      <c r="M638" s="184"/>
      <c r="N638" s="184"/>
      <c r="O638" s="184"/>
    </row>
    <row r="639" customFormat="false" ht="15" hidden="false" customHeight="true" outlineLevel="0" collapsed="false">
      <c r="A639" s="184"/>
      <c r="B639" s="184"/>
      <c r="C639" s="184"/>
      <c r="D639" s="184"/>
      <c r="E639" s="184"/>
      <c r="F639" s="184"/>
      <c r="G639" s="184"/>
      <c r="H639" s="184"/>
      <c r="I639" s="184"/>
      <c r="J639" s="184"/>
      <c r="K639" s="184"/>
      <c r="L639" s="184"/>
      <c r="M639" s="184"/>
      <c r="N639" s="184"/>
      <c r="O639" s="184"/>
    </row>
    <row r="640" customFormat="false" ht="15" hidden="false" customHeight="true" outlineLevel="0" collapsed="false">
      <c r="A640" s="184"/>
      <c r="B640" s="184"/>
      <c r="C640" s="184"/>
      <c r="D640" s="184"/>
      <c r="E640" s="184"/>
      <c r="F640" s="184"/>
      <c r="G640" s="184"/>
      <c r="H640" s="184"/>
      <c r="I640" s="184"/>
      <c r="J640" s="184"/>
      <c r="K640" s="184"/>
      <c r="L640" s="184"/>
      <c r="M640" s="184"/>
      <c r="N640" s="184"/>
      <c r="O640" s="184"/>
    </row>
    <row r="641" customFormat="false" ht="15" hidden="false" customHeight="true" outlineLevel="0" collapsed="false">
      <c r="A641" s="184"/>
      <c r="B641" s="184"/>
      <c r="C641" s="184"/>
      <c r="D641" s="184"/>
      <c r="E641" s="184"/>
      <c r="F641" s="184"/>
      <c r="G641" s="184"/>
      <c r="H641" s="184"/>
      <c r="I641" s="184"/>
      <c r="J641" s="184"/>
      <c r="K641" s="184"/>
      <c r="L641" s="184"/>
      <c r="M641" s="184"/>
      <c r="N641" s="184"/>
      <c r="O641" s="184"/>
    </row>
    <row r="642" customFormat="false" ht="15" hidden="false" customHeight="true" outlineLevel="0" collapsed="false">
      <c r="A642" s="184"/>
      <c r="B642" s="184"/>
      <c r="C642" s="184"/>
      <c r="D642" s="184"/>
      <c r="E642" s="184"/>
      <c r="F642" s="184"/>
      <c r="G642" s="184"/>
      <c r="H642" s="184"/>
      <c r="I642" s="184"/>
      <c r="J642" s="184"/>
      <c r="K642" s="184"/>
      <c r="L642" s="184"/>
      <c r="M642" s="184"/>
      <c r="N642" s="184"/>
      <c r="O642" s="184"/>
    </row>
    <row r="643" customFormat="false" ht="15" hidden="false" customHeight="true" outlineLevel="0" collapsed="false">
      <c r="A643" s="184"/>
      <c r="B643" s="184"/>
      <c r="C643" s="184"/>
      <c r="D643" s="184"/>
      <c r="E643" s="184"/>
      <c r="F643" s="184"/>
      <c r="G643" s="184"/>
      <c r="H643" s="184"/>
      <c r="I643" s="184"/>
      <c r="J643" s="184"/>
      <c r="K643" s="184"/>
      <c r="L643" s="184"/>
      <c r="M643" s="184"/>
      <c r="N643" s="184"/>
      <c r="O643" s="184"/>
    </row>
    <row r="644" customFormat="false" ht="15" hidden="false" customHeight="true" outlineLevel="0" collapsed="false">
      <c r="A644" s="184"/>
      <c r="B644" s="184"/>
      <c r="C644" s="184"/>
      <c r="D644" s="184"/>
      <c r="E644" s="184"/>
      <c r="F644" s="184"/>
      <c r="G644" s="184"/>
      <c r="H644" s="184"/>
      <c r="I644" s="184"/>
      <c r="J644" s="184"/>
      <c r="K644" s="184"/>
      <c r="L644" s="184"/>
      <c r="M644" s="184"/>
      <c r="N644" s="184"/>
      <c r="O644" s="184"/>
    </row>
    <row r="645" customFormat="false" ht="15" hidden="false" customHeight="true" outlineLevel="0" collapsed="false">
      <c r="A645" s="184"/>
      <c r="B645" s="184"/>
      <c r="C645" s="184"/>
      <c r="D645" s="184"/>
      <c r="E645" s="184"/>
      <c r="F645" s="184"/>
      <c r="G645" s="184"/>
      <c r="H645" s="184"/>
      <c r="I645" s="184"/>
      <c r="J645" s="184"/>
      <c r="K645" s="184"/>
      <c r="L645" s="184"/>
      <c r="M645" s="184"/>
      <c r="N645" s="184"/>
      <c r="O645" s="184"/>
    </row>
    <row r="646" customFormat="false" ht="15" hidden="false" customHeight="true" outlineLevel="0" collapsed="false">
      <c r="A646" s="184"/>
      <c r="B646" s="184"/>
      <c r="C646" s="184"/>
      <c r="D646" s="184"/>
      <c r="E646" s="184"/>
      <c r="F646" s="184"/>
      <c r="G646" s="184"/>
      <c r="H646" s="184"/>
      <c r="I646" s="184"/>
      <c r="J646" s="184"/>
      <c r="K646" s="184"/>
      <c r="L646" s="184"/>
      <c r="M646" s="184"/>
      <c r="N646" s="184"/>
      <c r="O646" s="184"/>
    </row>
    <row r="647" customFormat="false" ht="15" hidden="false" customHeight="true" outlineLevel="0" collapsed="false">
      <c r="A647" s="184"/>
      <c r="B647" s="184"/>
      <c r="C647" s="184"/>
      <c r="D647" s="184"/>
      <c r="E647" s="184"/>
      <c r="F647" s="184"/>
      <c r="G647" s="184"/>
      <c r="H647" s="184"/>
      <c r="I647" s="184"/>
      <c r="J647" s="184"/>
      <c r="K647" s="184"/>
      <c r="L647" s="184"/>
      <c r="M647" s="184"/>
      <c r="N647" s="184"/>
      <c r="O647" s="184"/>
    </row>
    <row r="648" customFormat="false" ht="15" hidden="false" customHeight="true" outlineLevel="0" collapsed="false">
      <c r="A648" s="184"/>
      <c r="B648" s="184"/>
      <c r="C648" s="184"/>
      <c r="D648" s="184"/>
      <c r="E648" s="184"/>
      <c r="F648" s="184"/>
      <c r="G648" s="184"/>
      <c r="H648" s="184"/>
      <c r="I648" s="184"/>
      <c r="J648" s="184"/>
      <c r="K648" s="184"/>
      <c r="L648" s="184"/>
      <c r="M648" s="184"/>
      <c r="N648" s="184"/>
      <c r="O648" s="184"/>
    </row>
    <row r="649" customFormat="false" ht="15" hidden="false" customHeight="true" outlineLevel="0" collapsed="false">
      <c r="A649" s="184"/>
      <c r="B649" s="184"/>
      <c r="C649" s="184"/>
      <c r="D649" s="184"/>
      <c r="E649" s="184"/>
      <c r="F649" s="184"/>
      <c r="G649" s="184"/>
      <c r="H649" s="184"/>
      <c r="I649" s="184"/>
      <c r="J649" s="184"/>
      <c r="K649" s="184"/>
      <c r="L649" s="184"/>
      <c r="M649" s="184"/>
      <c r="N649" s="184"/>
      <c r="O649" s="184"/>
    </row>
    <row r="650" customFormat="false" ht="15" hidden="false" customHeight="true" outlineLevel="0" collapsed="false">
      <c r="A650" s="184"/>
      <c r="B650" s="184"/>
      <c r="C650" s="184"/>
      <c r="D650" s="184"/>
      <c r="E650" s="184"/>
      <c r="F650" s="184"/>
      <c r="G650" s="184"/>
      <c r="H650" s="184"/>
      <c r="I650" s="184"/>
      <c r="J650" s="184"/>
      <c r="K650" s="184"/>
      <c r="L650" s="184"/>
      <c r="M650" s="184"/>
      <c r="N650" s="184"/>
      <c r="O650" s="184"/>
    </row>
    <row r="651" customFormat="false" ht="15" hidden="false" customHeight="true" outlineLevel="0" collapsed="false">
      <c r="A651" s="184"/>
      <c r="B651" s="184"/>
      <c r="C651" s="184"/>
      <c r="D651" s="184"/>
      <c r="E651" s="184"/>
      <c r="F651" s="184"/>
      <c r="G651" s="184"/>
      <c r="H651" s="184"/>
      <c r="I651" s="184"/>
      <c r="J651" s="184"/>
      <c r="K651" s="184"/>
      <c r="L651" s="184"/>
      <c r="M651" s="184"/>
      <c r="N651" s="184"/>
      <c r="O651" s="184"/>
    </row>
    <row r="652" customFormat="false" ht="15" hidden="false" customHeight="true" outlineLevel="0" collapsed="false">
      <c r="A652" s="184"/>
      <c r="B652" s="184"/>
      <c r="C652" s="184"/>
      <c r="D652" s="184"/>
      <c r="E652" s="184"/>
      <c r="F652" s="184"/>
      <c r="G652" s="184"/>
      <c r="H652" s="184"/>
      <c r="I652" s="184"/>
      <c r="J652" s="184"/>
      <c r="K652" s="184"/>
      <c r="L652" s="184"/>
      <c r="M652" s="184"/>
      <c r="N652" s="184"/>
      <c r="O652" s="184"/>
    </row>
    <row r="653" customFormat="false" ht="15" hidden="false" customHeight="true" outlineLevel="0" collapsed="false">
      <c r="A653" s="184" t="s">
        <v>4891</v>
      </c>
      <c r="B653" s="184" t="s">
        <v>4892</v>
      </c>
      <c r="C653" s="184" t="n">
        <v>1</v>
      </c>
      <c r="D653" s="178" t="s">
        <v>5269</v>
      </c>
      <c r="E653" s="184" t="s">
        <v>6289</v>
      </c>
      <c r="F653" s="184"/>
      <c r="G653" s="184"/>
      <c r="H653" s="184"/>
      <c r="I653" s="184"/>
      <c r="J653" s="184"/>
      <c r="K653" s="184"/>
      <c r="L653" s="184"/>
      <c r="M653" s="184" t="s">
        <v>6553</v>
      </c>
      <c r="N653" s="184"/>
      <c r="O653" s="184"/>
    </row>
    <row r="654" customFormat="false" ht="15" hidden="false" customHeight="true" outlineLevel="0" collapsed="false">
      <c r="A654" s="184" t="s">
        <v>4891</v>
      </c>
      <c r="B654" s="184" t="s">
        <v>4892</v>
      </c>
      <c r="C654" s="184" t="n">
        <v>2</v>
      </c>
      <c r="D654" s="177" t="s">
        <v>6429</v>
      </c>
      <c r="E654" s="184" t="s">
        <v>6554</v>
      </c>
      <c r="F654" s="184"/>
      <c r="G654" s="184"/>
      <c r="H654" s="184"/>
      <c r="I654" s="184"/>
      <c r="J654" s="184"/>
      <c r="K654" s="184"/>
      <c r="L654" s="184"/>
      <c r="M654" s="184"/>
      <c r="N654" s="184"/>
      <c r="O654" s="184"/>
    </row>
    <row r="655" customFormat="false" ht="15" hidden="false" customHeight="true" outlineLevel="0" collapsed="false">
      <c r="A655" s="184" t="s">
        <v>4891</v>
      </c>
      <c r="B655" s="184" t="s">
        <v>4892</v>
      </c>
      <c r="C655" s="184" t="n">
        <v>3</v>
      </c>
      <c r="D655" s="179" t="s">
        <v>6292</v>
      </c>
      <c r="E655" s="184" t="s">
        <v>6555</v>
      </c>
      <c r="F655" s="184"/>
      <c r="G655" s="184"/>
      <c r="H655" s="184"/>
      <c r="I655" s="184"/>
      <c r="J655" s="184"/>
      <c r="K655" s="184"/>
      <c r="L655" s="184"/>
      <c r="M655" s="184"/>
      <c r="N655" s="184"/>
      <c r="O655" s="184"/>
    </row>
    <row r="656" customFormat="false" ht="27.75" hidden="false" customHeight="true" outlineLevel="0" collapsed="false">
      <c r="A656" s="184" t="s">
        <v>4891</v>
      </c>
      <c r="B656" s="184" t="s">
        <v>4892</v>
      </c>
      <c r="C656" s="184" t="n">
        <v>4</v>
      </c>
      <c r="D656" s="184" t="s">
        <v>6294</v>
      </c>
      <c r="E656" s="184" t="s">
        <v>6556</v>
      </c>
      <c r="F656" s="184"/>
      <c r="G656" s="184"/>
      <c r="H656" s="184"/>
      <c r="I656" s="184"/>
      <c r="J656" s="184"/>
      <c r="K656" s="184"/>
      <c r="L656" s="184"/>
      <c r="M656" s="184"/>
      <c r="N656" s="184"/>
      <c r="O656" s="184"/>
    </row>
    <row r="657" customFormat="false" ht="27.75" hidden="false" customHeight="true" outlineLevel="0" collapsed="false">
      <c r="A657" s="184" t="s">
        <v>4891</v>
      </c>
      <c r="B657" s="184" t="s">
        <v>4892</v>
      </c>
      <c r="C657" s="184" t="n">
        <v>5</v>
      </c>
      <c r="D657" s="179" t="s">
        <v>6292</v>
      </c>
      <c r="E657" s="184" t="s">
        <v>6557</v>
      </c>
      <c r="F657" s="184"/>
      <c r="G657" s="184"/>
      <c r="H657" s="184"/>
      <c r="I657" s="184"/>
      <c r="J657" s="184"/>
      <c r="K657" s="184"/>
      <c r="L657" s="184"/>
      <c r="M657" s="184"/>
      <c r="N657" s="184"/>
      <c r="O657" s="184"/>
    </row>
    <row r="658" customFormat="false" ht="15" hidden="false" customHeight="true" outlineLevel="0" collapsed="false">
      <c r="A658" s="184" t="s">
        <v>4891</v>
      </c>
      <c r="B658" s="184" t="s">
        <v>4892</v>
      </c>
      <c r="C658" s="184" t="n">
        <v>6</v>
      </c>
      <c r="D658" s="184" t="s">
        <v>4790</v>
      </c>
      <c r="E658" s="184" t="s">
        <v>6558</v>
      </c>
      <c r="F658" s="184"/>
      <c r="G658" s="184"/>
      <c r="H658" s="184"/>
      <c r="I658" s="184"/>
      <c r="J658" s="184"/>
      <c r="K658" s="184"/>
      <c r="L658" s="184"/>
      <c r="M658" s="184" t="s">
        <v>6559</v>
      </c>
      <c r="N658" s="184"/>
      <c r="O658" s="184"/>
    </row>
    <row r="659" customFormat="false" ht="15" hidden="false" customHeight="true" outlineLevel="0" collapsed="false">
      <c r="A659" s="184" t="s">
        <v>4891</v>
      </c>
      <c r="B659" s="184" t="s">
        <v>4892</v>
      </c>
      <c r="C659" s="184" t="n">
        <v>7</v>
      </c>
      <c r="D659" s="177" t="s">
        <v>6298</v>
      </c>
      <c r="E659" s="184" t="s">
        <v>6560</v>
      </c>
      <c r="F659" s="184"/>
      <c r="G659" s="184"/>
      <c r="H659" s="184"/>
      <c r="I659" s="184"/>
      <c r="J659" s="184"/>
      <c r="K659" s="184"/>
      <c r="L659" s="184"/>
      <c r="M659" s="184"/>
      <c r="N659" s="184"/>
      <c r="O659" s="184"/>
    </row>
    <row r="660" customFormat="false" ht="15" hidden="false" customHeight="true" outlineLevel="0" collapsed="false">
      <c r="A660" s="184" t="s">
        <v>4891</v>
      </c>
      <c r="B660" s="184" t="s">
        <v>4892</v>
      </c>
      <c r="C660" s="184" t="n">
        <v>8</v>
      </c>
      <c r="D660" s="178" t="s">
        <v>6457</v>
      </c>
      <c r="E660" s="184" t="s">
        <v>6561</v>
      </c>
      <c r="F660" s="184"/>
      <c r="G660" s="184"/>
      <c r="H660" s="184"/>
      <c r="I660" s="184"/>
      <c r="J660" s="184"/>
      <c r="K660" s="184"/>
      <c r="L660" s="184"/>
      <c r="M660" s="184" t="s">
        <v>6562</v>
      </c>
      <c r="N660" s="184"/>
      <c r="O660" s="184"/>
    </row>
    <row r="661" customFormat="false" ht="27.75" hidden="false" customHeight="true" outlineLevel="0" collapsed="false">
      <c r="A661" s="184" t="s">
        <v>4891</v>
      </c>
      <c r="B661" s="184" t="s">
        <v>4892</v>
      </c>
      <c r="C661" s="184" t="n">
        <v>9</v>
      </c>
      <c r="D661" s="177" t="s">
        <v>6298</v>
      </c>
      <c r="E661" s="184" t="s">
        <v>6563</v>
      </c>
      <c r="F661" s="184"/>
      <c r="G661" s="184"/>
      <c r="H661" s="184"/>
      <c r="I661" s="184"/>
      <c r="J661" s="184"/>
      <c r="K661" s="184"/>
      <c r="L661" s="184"/>
      <c r="M661" s="184"/>
      <c r="N661" s="184"/>
      <c r="O661" s="184"/>
    </row>
    <row r="662" customFormat="false" ht="15" hidden="false" customHeight="true" outlineLevel="0" collapsed="false">
      <c r="A662" s="184" t="s">
        <v>4891</v>
      </c>
      <c r="B662" s="184" t="s">
        <v>4892</v>
      </c>
      <c r="C662" s="184" t="n">
        <v>10</v>
      </c>
      <c r="D662" s="178" t="s">
        <v>6457</v>
      </c>
      <c r="E662" s="184" t="s">
        <v>6561</v>
      </c>
      <c r="F662" s="184"/>
      <c r="G662" s="184"/>
      <c r="H662" s="184"/>
      <c r="I662" s="184"/>
      <c r="J662" s="184"/>
      <c r="K662" s="184"/>
      <c r="L662" s="184"/>
      <c r="M662" s="184" t="s">
        <v>6564</v>
      </c>
      <c r="N662" s="184"/>
      <c r="O662" s="184"/>
    </row>
    <row r="663" customFormat="false" ht="27.75" hidden="false" customHeight="true" outlineLevel="0" collapsed="false">
      <c r="A663" s="184" t="s">
        <v>4891</v>
      </c>
      <c r="B663" s="184" t="s">
        <v>4892</v>
      </c>
      <c r="C663" s="184" t="n">
        <v>11</v>
      </c>
      <c r="D663" s="177" t="s">
        <v>6298</v>
      </c>
      <c r="E663" s="184" t="s">
        <v>6565</v>
      </c>
      <c r="F663" s="184"/>
      <c r="G663" s="184"/>
      <c r="H663" s="184"/>
      <c r="I663" s="184"/>
      <c r="J663" s="184"/>
      <c r="K663" s="184"/>
      <c r="L663" s="184"/>
      <c r="M663" s="184"/>
      <c r="N663" s="184"/>
      <c r="O663" s="184"/>
    </row>
    <row r="664" customFormat="false" ht="27.75" hidden="false" customHeight="true" outlineLevel="0" collapsed="false">
      <c r="A664" s="184" t="s">
        <v>4891</v>
      </c>
      <c r="B664" s="184" t="s">
        <v>4892</v>
      </c>
      <c r="C664" s="184" t="n">
        <v>12</v>
      </c>
      <c r="D664" s="179" t="s">
        <v>6292</v>
      </c>
      <c r="E664" s="184" t="s">
        <v>6566</v>
      </c>
      <c r="F664" s="184"/>
      <c r="G664" s="184"/>
      <c r="H664" s="184"/>
      <c r="I664" s="184"/>
      <c r="J664" s="184"/>
      <c r="K664" s="184"/>
      <c r="L664" s="184"/>
      <c r="M664" s="184"/>
      <c r="N664" s="184"/>
      <c r="O664" s="184"/>
    </row>
    <row r="665" customFormat="false" ht="54.75" hidden="false" customHeight="true" outlineLevel="0" collapsed="false">
      <c r="A665" s="184" t="s">
        <v>4891</v>
      </c>
      <c r="B665" s="184" t="s">
        <v>4892</v>
      </c>
      <c r="C665" s="184" t="n">
        <v>13</v>
      </c>
      <c r="D665" s="174" t="s">
        <v>4848</v>
      </c>
      <c r="E665" s="184" t="s">
        <v>6566</v>
      </c>
      <c r="F665" s="184"/>
      <c r="G665" s="184"/>
      <c r="H665" s="184"/>
      <c r="I665" s="184"/>
      <c r="J665" s="184" t="s">
        <v>6567</v>
      </c>
      <c r="K665" s="184"/>
      <c r="L665" s="184" t="s">
        <v>6568</v>
      </c>
      <c r="M665" s="184"/>
      <c r="N665" s="184"/>
      <c r="O665" s="184"/>
    </row>
    <row r="666" customFormat="false" ht="15" hidden="false" customHeight="true" outlineLevel="0" collapsed="false">
      <c r="A666" s="184" t="s">
        <v>4891</v>
      </c>
      <c r="B666" s="184" t="s">
        <v>4892</v>
      </c>
      <c r="C666" s="184" t="n">
        <v>14</v>
      </c>
      <c r="D666" s="179" t="s">
        <v>6292</v>
      </c>
      <c r="E666" s="184" t="s">
        <v>6569</v>
      </c>
      <c r="F666" s="184"/>
      <c r="G666" s="184"/>
      <c r="H666" s="184"/>
      <c r="I666" s="184"/>
      <c r="J666" s="184"/>
      <c r="K666" s="184"/>
      <c r="L666" s="184"/>
      <c r="M666" s="184"/>
      <c r="N666" s="184"/>
      <c r="O666" s="184"/>
    </row>
    <row r="667" customFormat="false" ht="15" hidden="false" customHeight="true" outlineLevel="0" collapsed="false">
      <c r="A667" s="184" t="s">
        <v>4891</v>
      </c>
      <c r="B667" s="184" t="s">
        <v>4892</v>
      </c>
      <c r="C667" s="184" t="n">
        <v>15</v>
      </c>
      <c r="D667" s="184" t="s">
        <v>4790</v>
      </c>
      <c r="E667" s="184" t="s">
        <v>6558</v>
      </c>
      <c r="F667" s="184"/>
      <c r="G667" s="184"/>
      <c r="H667" s="184"/>
      <c r="I667" s="184"/>
      <c r="J667" s="184"/>
      <c r="K667" s="184"/>
      <c r="L667" s="184"/>
      <c r="M667" s="184" t="s">
        <v>6559</v>
      </c>
      <c r="N667" s="184"/>
      <c r="O667" s="184"/>
    </row>
    <row r="668" customFormat="false" ht="15" hidden="false" customHeight="true" outlineLevel="0" collapsed="false">
      <c r="A668" s="184" t="s">
        <v>4891</v>
      </c>
      <c r="B668" s="184" t="s">
        <v>4892</v>
      </c>
      <c r="C668" s="184" t="n">
        <v>16</v>
      </c>
      <c r="D668" s="177" t="s">
        <v>6298</v>
      </c>
      <c r="E668" s="184" t="s">
        <v>6570</v>
      </c>
      <c r="F668" s="184"/>
      <c r="G668" s="184"/>
      <c r="H668" s="184"/>
      <c r="I668" s="184"/>
      <c r="J668" s="184"/>
      <c r="K668" s="184"/>
      <c r="L668" s="184"/>
      <c r="M668" s="184"/>
      <c r="N668" s="184"/>
      <c r="O668" s="184"/>
    </row>
    <row r="669" customFormat="false" ht="15" hidden="false" customHeight="true" outlineLevel="0" collapsed="false">
      <c r="A669" s="184" t="s">
        <v>4891</v>
      </c>
      <c r="B669" s="184" t="s">
        <v>4892</v>
      </c>
      <c r="C669" s="184" t="n">
        <v>17</v>
      </c>
      <c r="D669" s="178" t="s">
        <v>6457</v>
      </c>
      <c r="E669" s="184" t="s">
        <v>6561</v>
      </c>
      <c r="F669" s="184"/>
      <c r="G669" s="184"/>
      <c r="H669" s="184"/>
      <c r="I669" s="184"/>
      <c r="J669" s="184"/>
      <c r="K669" s="184"/>
      <c r="L669" s="184"/>
      <c r="M669" s="184" t="s">
        <v>6571</v>
      </c>
      <c r="N669" s="184"/>
      <c r="O669" s="184"/>
    </row>
    <row r="670" customFormat="false" ht="27.75" hidden="false" customHeight="true" outlineLevel="0" collapsed="false">
      <c r="A670" s="184" t="s">
        <v>4891</v>
      </c>
      <c r="B670" s="184" t="s">
        <v>4892</v>
      </c>
      <c r="C670" s="184" t="n">
        <v>18</v>
      </c>
      <c r="D670" s="177" t="s">
        <v>6298</v>
      </c>
      <c r="E670" s="184" t="s">
        <v>6572</v>
      </c>
      <c r="F670" s="184"/>
      <c r="G670" s="184"/>
      <c r="H670" s="184"/>
      <c r="I670" s="184"/>
      <c r="J670" s="184"/>
      <c r="K670" s="184"/>
      <c r="L670" s="184"/>
      <c r="M670" s="184"/>
      <c r="N670" s="184"/>
      <c r="O670" s="184"/>
    </row>
    <row r="671" customFormat="false" ht="15" hidden="false" customHeight="true" outlineLevel="0" collapsed="false">
      <c r="A671" s="184" t="s">
        <v>4891</v>
      </c>
      <c r="B671" s="184" t="s">
        <v>4892</v>
      </c>
      <c r="C671" s="184" t="n">
        <v>19</v>
      </c>
      <c r="D671" s="179" t="s">
        <v>6292</v>
      </c>
      <c r="E671" s="184" t="s">
        <v>6573</v>
      </c>
      <c r="F671" s="184"/>
      <c r="G671" s="184"/>
      <c r="H671" s="184"/>
      <c r="I671" s="184"/>
      <c r="J671" s="184"/>
      <c r="K671" s="184"/>
      <c r="L671" s="184"/>
      <c r="M671" s="184"/>
      <c r="N671" s="184"/>
      <c r="O671" s="184"/>
    </row>
    <row r="672" customFormat="false" ht="54.75" hidden="false" customHeight="true" outlineLevel="0" collapsed="false">
      <c r="A672" s="184" t="s">
        <v>4891</v>
      </c>
      <c r="B672" s="184" t="s">
        <v>4892</v>
      </c>
      <c r="C672" s="184" t="n">
        <v>20</v>
      </c>
      <c r="D672" s="174" t="s">
        <v>4848</v>
      </c>
      <c r="E672" s="184" t="s">
        <v>6573</v>
      </c>
      <c r="F672" s="184"/>
      <c r="G672" s="184"/>
      <c r="H672" s="184"/>
      <c r="I672" s="184"/>
      <c r="J672" s="184"/>
      <c r="K672" s="184"/>
      <c r="L672" s="184" t="s">
        <v>6574</v>
      </c>
      <c r="M672" s="184"/>
      <c r="N672" s="184"/>
      <c r="O672" s="184"/>
    </row>
    <row r="673" customFormat="false" ht="27.75" hidden="false" customHeight="true" outlineLevel="0" collapsed="false">
      <c r="A673" s="184" t="s">
        <v>4891</v>
      </c>
      <c r="B673" s="184" t="s">
        <v>4892</v>
      </c>
      <c r="C673" s="184" t="n">
        <v>21</v>
      </c>
      <c r="D673" s="177" t="s">
        <v>6298</v>
      </c>
      <c r="E673" s="184" t="s">
        <v>6575</v>
      </c>
      <c r="F673" s="184"/>
      <c r="G673" s="184"/>
      <c r="H673" s="184"/>
      <c r="I673" s="184"/>
      <c r="J673" s="184"/>
      <c r="K673" s="184"/>
      <c r="L673" s="184"/>
      <c r="M673" s="184"/>
      <c r="N673" s="184"/>
      <c r="O673" s="184"/>
    </row>
    <row r="674" customFormat="false" ht="41.25" hidden="false" customHeight="true" outlineLevel="0" collapsed="false">
      <c r="A674" s="184" t="s">
        <v>4891</v>
      </c>
      <c r="B674" s="184" t="s">
        <v>4892</v>
      </c>
      <c r="C674" s="184" t="n">
        <v>22</v>
      </c>
      <c r="D674" s="179" t="s">
        <v>6292</v>
      </c>
      <c r="E674" s="184" t="s">
        <v>6576</v>
      </c>
      <c r="F674" s="184"/>
      <c r="G674" s="184"/>
      <c r="H674" s="184"/>
      <c r="I674" s="184"/>
      <c r="J674" s="184"/>
      <c r="K674" s="184"/>
      <c r="L674" s="184"/>
      <c r="M674" s="184"/>
      <c r="N674" s="184"/>
      <c r="O674" s="184"/>
    </row>
    <row r="675" customFormat="false" ht="15" hidden="false" customHeight="true" outlineLevel="0" collapsed="false">
      <c r="A675" s="184" t="s">
        <v>4891</v>
      </c>
      <c r="B675" s="184" t="s">
        <v>4892</v>
      </c>
      <c r="C675" s="184" t="n">
        <v>23</v>
      </c>
      <c r="D675" s="177" t="s">
        <v>6298</v>
      </c>
      <c r="E675" s="184" t="s">
        <v>6577</v>
      </c>
      <c r="F675" s="184"/>
      <c r="G675" s="184"/>
      <c r="H675" s="184"/>
      <c r="I675" s="184"/>
      <c r="J675" s="184"/>
      <c r="K675" s="184"/>
      <c r="L675" s="184"/>
      <c r="M675" s="184"/>
      <c r="N675" s="184"/>
      <c r="O675" s="184"/>
    </row>
    <row r="676" customFormat="false" ht="15" hidden="false" customHeight="true" outlineLevel="0" collapsed="false">
      <c r="A676" s="184" t="s">
        <v>4891</v>
      </c>
      <c r="B676" s="184" t="s">
        <v>4892</v>
      </c>
      <c r="C676" s="184" t="n">
        <v>24</v>
      </c>
      <c r="D676" s="184" t="s">
        <v>6296</v>
      </c>
      <c r="E676" s="184" t="s">
        <v>5551</v>
      </c>
      <c r="F676" s="184"/>
      <c r="G676" s="184"/>
      <c r="H676" s="184"/>
      <c r="I676" s="184"/>
      <c r="J676" s="184"/>
      <c r="K676" s="184"/>
      <c r="L676" s="184"/>
      <c r="M676" s="184"/>
      <c r="N676" s="184"/>
      <c r="O676" s="184"/>
    </row>
    <row r="677" customFormat="false" ht="15" hidden="false" customHeight="true" outlineLevel="0" collapsed="false">
      <c r="A677" s="184" t="s">
        <v>4891</v>
      </c>
      <c r="B677" s="184" t="s">
        <v>4892</v>
      </c>
      <c r="C677" s="184" t="n">
        <v>25</v>
      </c>
      <c r="D677" s="184" t="s">
        <v>6296</v>
      </c>
      <c r="E677" s="184" t="s">
        <v>6038</v>
      </c>
      <c r="F677" s="184"/>
      <c r="G677" s="184"/>
      <c r="H677" s="184"/>
      <c r="I677" s="184"/>
      <c r="J677" s="184"/>
      <c r="K677" s="184"/>
      <c r="L677" s="184"/>
      <c r="M677" s="184"/>
      <c r="N677" s="184"/>
      <c r="O677" s="184"/>
    </row>
    <row r="678" customFormat="false" ht="68.25" hidden="false" customHeight="true" outlineLevel="0" collapsed="false">
      <c r="A678" s="184" t="s">
        <v>4891</v>
      </c>
      <c r="B678" s="184" t="s">
        <v>4892</v>
      </c>
      <c r="C678" s="184" t="n">
        <v>26</v>
      </c>
      <c r="D678" s="174" t="s">
        <v>4848</v>
      </c>
      <c r="E678" s="184" t="s">
        <v>6576</v>
      </c>
      <c r="F678" s="184"/>
      <c r="G678" s="184"/>
      <c r="H678" s="184"/>
      <c r="I678" s="184"/>
      <c r="J678" s="184"/>
      <c r="K678" s="184"/>
      <c r="L678" s="184" t="s">
        <v>6578</v>
      </c>
      <c r="M678" s="184"/>
      <c r="N678" s="184"/>
      <c r="O678" s="184"/>
    </row>
    <row r="679" customFormat="false" ht="15" hidden="false" customHeight="true" outlineLevel="0" collapsed="false">
      <c r="A679" s="184" t="s">
        <v>4891</v>
      </c>
      <c r="B679" s="184" t="s">
        <v>4892</v>
      </c>
      <c r="C679" s="184" t="n">
        <v>27</v>
      </c>
      <c r="D679" s="177" t="s">
        <v>6298</v>
      </c>
      <c r="E679" s="184" t="s">
        <v>6579</v>
      </c>
      <c r="F679" s="184"/>
      <c r="G679" s="184"/>
      <c r="H679" s="184"/>
      <c r="I679" s="184"/>
      <c r="J679" s="184"/>
      <c r="K679" s="184"/>
      <c r="L679" s="184"/>
      <c r="M679" s="184"/>
      <c r="N679" s="184"/>
      <c r="O679" s="184"/>
    </row>
    <row r="680" customFormat="false" ht="15" hidden="false" customHeight="true" outlineLevel="0" collapsed="false">
      <c r="A680" s="184" t="s">
        <v>4891</v>
      </c>
      <c r="B680" s="184" t="s">
        <v>4892</v>
      </c>
      <c r="C680" s="184" t="n">
        <v>28</v>
      </c>
      <c r="D680" s="179" t="s">
        <v>6292</v>
      </c>
      <c r="E680" s="184" t="s">
        <v>6580</v>
      </c>
      <c r="F680" s="184"/>
      <c r="G680" s="184"/>
      <c r="H680" s="184"/>
      <c r="I680" s="184"/>
      <c r="J680" s="184"/>
      <c r="K680" s="184"/>
      <c r="L680" s="184"/>
      <c r="M680" s="184"/>
      <c r="N680" s="184"/>
      <c r="O680" s="184"/>
    </row>
    <row r="681" customFormat="false" ht="54.75" hidden="false" customHeight="true" outlineLevel="0" collapsed="false">
      <c r="A681" s="184" t="s">
        <v>4891</v>
      </c>
      <c r="B681" s="184" t="s">
        <v>4892</v>
      </c>
      <c r="C681" s="184" t="n">
        <v>29</v>
      </c>
      <c r="D681" s="174" t="s">
        <v>4848</v>
      </c>
      <c r="E681" s="184" t="s">
        <v>6580</v>
      </c>
      <c r="F681" s="184"/>
      <c r="G681" s="184"/>
      <c r="H681" s="184"/>
      <c r="I681" s="184"/>
      <c r="J681" s="184"/>
      <c r="K681" s="184"/>
      <c r="L681" s="184" t="s">
        <v>6581</v>
      </c>
      <c r="M681" s="184"/>
      <c r="N681" s="184"/>
      <c r="O681" s="184"/>
    </row>
    <row r="682" customFormat="false" ht="15" hidden="false" customHeight="true" outlineLevel="0" collapsed="false">
      <c r="A682" s="184" t="s">
        <v>4891</v>
      </c>
      <c r="B682" s="184" t="s">
        <v>4892</v>
      </c>
      <c r="C682" s="184" t="n">
        <v>30</v>
      </c>
      <c r="D682" s="177" t="s">
        <v>6298</v>
      </c>
      <c r="E682" s="184" t="s">
        <v>6582</v>
      </c>
      <c r="F682" s="184"/>
      <c r="G682" s="184"/>
      <c r="H682" s="184"/>
      <c r="I682" s="184"/>
      <c r="J682" s="184"/>
      <c r="K682" s="184"/>
      <c r="L682" s="184"/>
      <c r="M682" s="184"/>
      <c r="N682" s="184"/>
      <c r="O682" s="184"/>
    </row>
    <row r="683" customFormat="false" ht="27.75" hidden="false" customHeight="true" outlineLevel="0" collapsed="false">
      <c r="A683" s="184" t="s">
        <v>4891</v>
      </c>
      <c r="B683" s="184" t="s">
        <v>4892</v>
      </c>
      <c r="C683" s="184" t="n">
        <v>31</v>
      </c>
      <c r="D683" s="179" t="s">
        <v>6292</v>
      </c>
      <c r="E683" s="184" t="s">
        <v>6583</v>
      </c>
      <c r="F683" s="184"/>
      <c r="G683" s="184"/>
      <c r="H683" s="184"/>
      <c r="I683" s="184"/>
      <c r="J683" s="184"/>
      <c r="K683" s="184"/>
      <c r="L683" s="184"/>
      <c r="M683" s="184"/>
      <c r="N683" s="184"/>
      <c r="O683" s="184"/>
    </row>
    <row r="684" customFormat="false" ht="54.75" hidden="false" customHeight="true" outlineLevel="0" collapsed="false">
      <c r="A684" s="184" t="s">
        <v>4891</v>
      </c>
      <c r="B684" s="184" t="s">
        <v>4892</v>
      </c>
      <c r="C684" s="184" t="n">
        <v>32</v>
      </c>
      <c r="D684" s="174" t="s">
        <v>4848</v>
      </c>
      <c r="E684" s="184" t="s">
        <v>6583</v>
      </c>
      <c r="F684" s="184"/>
      <c r="G684" s="184"/>
      <c r="H684" s="184"/>
      <c r="I684" s="184"/>
      <c r="J684" s="184"/>
      <c r="K684" s="184"/>
      <c r="L684" s="184" t="s">
        <v>6584</v>
      </c>
      <c r="M684" s="184"/>
      <c r="N684" s="184"/>
      <c r="O684" s="184"/>
    </row>
    <row r="685" customFormat="false" ht="15" hidden="false" customHeight="true" outlineLevel="0" collapsed="false">
      <c r="A685" s="184" t="s">
        <v>4891</v>
      </c>
      <c r="B685" s="184" t="s">
        <v>4892</v>
      </c>
      <c r="C685" s="184" t="n">
        <v>33</v>
      </c>
      <c r="D685" s="179" t="s">
        <v>6292</v>
      </c>
      <c r="E685" s="184" t="s">
        <v>6585</v>
      </c>
      <c r="F685" s="184"/>
      <c r="G685" s="184"/>
      <c r="H685" s="184"/>
      <c r="I685" s="184"/>
      <c r="J685" s="184"/>
      <c r="K685" s="184"/>
      <c r="L685" s="184"/>
      <c r="M685" s="184"/>
      <c r="N685" s="184"/>
      <c r="O685" s="184"/>
    </row>
    <row r="686" customFormat="false" ht="15" hidden="false" customHeight="true" outlineLevel="0" collapsed="false">
      <c r="A686" s="184" t="s">
        <v>4891</v>
      </c>
      <c r="B686" s="184" t="s">
        <v>4892</v>
      </c>
      <c r="C686" s="184" t="n">
        <v>34</v>
      </c>
      <c r="D686" s="184" t="s">
        <v>4790</v>
      </c>
      <c r="E686" s="184" t="s">
        <v>6558</v>
      </c>
      <c r="F686" s="184"/>
      <c r="G686" s="184"/>
      <c r="H686" s="184"/>
      <c r="I686" s="184"/>
      <c r="J686" s="184"/>
      <c r="K686" s="184"/>
      <c r="L686" s="184"/>
      <c r="M686" s="184" t="s">
        <v>6559</v>
      </c>
      <c r="N686" s="184"/>
      <c r="O686" s="184"/>
    </row>
    <row r="687" customFormat="false" ht="15" hidden="false" customHeight="true" outlineLevel="0" collapsed="false">
      <c r="A687" s="184" t="s">
        <v>4891</v>
      </c>
      <c r="B687" s="184" t="s">
        <v>4892</v>
      </c>
      <c r="C687" s="184" t="n">
        <v>35</v>
      </c>
      <c r="D687" s="177" t="s">
        <v>6298</v>
      </c>
      <c r="E687" s="184" t="s">
        <v>6586</v>
      </c>
      <c r="F687" s="184"/>
      <c r="G687" s="184"/>
      <c r="H687" s="184"/>
      <c r="I687" s="184"/>
      <c r="J687" s="184"/>
      <c r="K687" s="184"/>
      <c r="L687" s="184"/>
      <c r="M687" s="184"/>
      <c r="N687" s="184"/>
      <c r="O687" s="184"/>
    </row>
    <row r="688" customFormat="false" ht="15" hidden="false" customHeight="true" outlineLevel="0" collapsed="false">
      <c r="A688" s="184" t="s">
        <v>4891</v>
      </c>
      <c r="B688" s="184" t="s">
        <v>4892</v>
      </c>
      <c r="C688" s="184" t="n">
        <v>36</v>
      </c>
      <c r="D688" s="178" t="s">
        <v>6457</v>
      </c>
      <c r="E688" s="184" t="s">
        <v>6561</v>
      </c>
      <c r="F688" s="184"/>
      <c r="G688" s="184"/>
      <c r="H688" s="184"/>
      <c r="I688" s="184"/>
      <c r="J688" s="184"/>
      <c r="K688" s="184"/>
      <c r="L688" s="184"/>
      <c r="M688" s="184" t="s">
        <v>6587</v>
      </c>
      <c r="N688" s="184"/>
      <c r="O688" s="184"/>
    </row>
    <row r="689" customFormat="false" ht="15" hidden="false" customHeight="true" outlineLevel="0" collapsed="false">
      <c r="A689" s="184" t="s">
        <v>4891</v>
      </c>
      <c r="B689" s="184" t="s">
        <v>4892</v>
      </c>
      <c r="C689" s="184" t="n">
        <v>37</v>
      </c>
      <c r="D689" s="177" t="s">
        <v>6298</v>
      </c>
      <c r="E689" s="184" t="s">
        <v>6588</v>
      </c>
      <c r="F689" s="184"/>
      <c r="G689" s="184"/>
      <c r="H689" s="184"/>
      <c r="I689" s="184"/>
      <c r="J689" s="184"/>
      <c r="K689" s="184"/>
      <c r="L689" s="184"/>
      <c r="M689" s="184"/>
      <c r="N689" s="184"/>
      <c r="O689" s="184"/>
    </row>
    <row r="690" customFormat="false" ht="15" hidden="false" customHeight="true" outlineLevel="0" collapsed="false">
      <c r="A690" s="184" t="s">
        <v>4891</v>
      </c>
      <c r="B690" s="184" t="s">
        <v>4892</v>
      </c>
      <c r="C690" s="184" t="n">
        <v>38</v>
      </c>
      <c r="D690" s="178" t="s">
        <v>6457</v>
      </c>
      <c r="E690" s="184" t="s">
        <v>6561</v>
      </c>
      <c r="F690" s="184"/>
      <c r="G690" s="184"/>
      <c r="H690" s="184"/>
      <c r="I690" s="184"/>
      <c r="J690" s="184"/>
      <c r="K690" s="184"/>
      <c r="L690" s="184"/>
      <c r="M690" s="184" t="s">
        <v>6589</v>
      </c>
      <c r="N690" s="184"/>
      <c r="O690" s="184"/>
    </row>
    <row r="691" customFormat="false" ht="27.75" hidden="false" customHeight="true" outlineLevel="0" collapsed="false">
      <c r="A691" s="184" t="s">
        <v>4891</v>
      </c>
      <c r="B691" s="184" t="s">
        <v>4892</v>
      </c>
      <c r="C691" s="184" t="n">
        <v>39</v>
      </c>
      <c r="D691" s="177" t="s">
        <v>6298</v>
      </c>
      <c r="E691" s="184" t="s">
        <v>6590</v>
      </c>
      <c r="F691" s="184"/>
      <c r="G691" s="184"/>
      <c r="H691" s="184"/>
      <c r="I691" s="184"/>
      <c r="J691" s="184"/>
      <c r="K691" s="184"/>
      <c r="L691" s="184"/>
      <c r="M691" s="184"/>
      <c r="N691" s="184"/>
      <c r="O691" s="184"/>
    </row>
    <row r="692" customFormat="false" ht="15" hidden="false" customHeight="true" outlineLevel="0" collapsed="false">
      <c r="A692" s="184" t="s">
        <v>4891</v>
      </c>
      <c r="B692" s="184" t="s">
        <v>4892</v>
      </c>
      <c r="C692" s="184" t="n">
        <v>40</v>
      </c>
      <c r="D692" s="178" t="s">
        <v>6457</v>
      </c>
      <c r="E692" s="184" t="s">
        <v>6561</v>
      </c>
      <c r="F692" s="184"/>
      <c r="G692" s="184"/>
      <c r="H692" s="184"/>
      <c r="I692" s="184"/>
      <c r="J692" s="184"/>
      <c r="K692" s="184"/>
      <c r="L692" s="184"/>
      <c r="M692" s="184" t="s">
        <v>6591</v>
      </c>
      <c r="N692" s="184"/>
      <c r="O692" s="184"/>
    </row>
    <row r="693" customFormat="false" ht="15" hidden="false" customHeight="true" outlineLevel="0" collapsed="false">
      <c r="A693" s="184" t="s">
        <v>4891</v>
      </c>
      <c r="B693" s="184" t="s">
        <v>4892</v>
      </c>
      <c r="C693" s="184" t="n">
        <v>41</v>
      </c>
      <c r="D693" s="177" t="s">
        <v>6298</v>
      </c>
      <c r="E693" s="184" t="s">
        <v>6592</v>
      </c>
      <c r="F693" s="184"/>
      <c r="G693" s="184"/>
      <c r="H693" s="184"/>
      <c r="I693" s="184"/>
      <c r="J693" s="184"/>
      <c r="K693" s="184"/>
      <c r="L693" s="184"/>
      <c r="M693" s="184"/>
      <c r="N693" s="184"/>
      <c r="O693" s="184"/>
    </row>
    <row r="694" customFormat="false" ht="27.75" hidden="false" customHeight="true" outlineLevel="0" collapsed="false">
      <c r="A694" s="184" t="s">
        <v>4891</v>
      </c>
      <c r="B694" s="184" t="s">
        <v>4892</v>
      </c>
      <c r="C694" s="184" t="n">
        <v>42</v>
      </c>
      <c r="D694" s="179" t="s">
        <v>6292</v>
      </c>
      <c r="E694" s="184" t="s">
        <v>6593</v>
      </c>
      <c r="F694" s="184"/>
      <c r="G694" s="184"/>
      <c r="H694" s="184"/>
      <c r="I694" s="184"/>
      <c r="J694" s="184"/>
      <c r="K694" s="184"/>
      <c r="L694" s="184"/>
      <c r="M694" s="184"/>
      <c r="N694" s="184"/>
      <c r="O694" s="184"/>
    </row>
    <row r="695" customFormat="false" ht="68.25" hidden="false" customHeight="true" outlineLevel="0" collapsed="false">
      <c r="A695" s="184" t="s">
        <v>4891</v>
      </c>
      <c r="B695" s="184" t="s">
        <v>4892</v>
      </c>
      <c r="C695" s="184" t="n">
        <v>43</v>
      </c>
      <c r="D695" s="174" t="s">
        <v>4848</v>
      </c>
      <c r="E695" s="184" t="s">
        <v>6593</v>
      </c>
      <c r="F695" s="184"/>
      <c r="G695" s="184"/>
      <c r="H695" s="184"/>
      <c r="I695" s="184"/>
      <c r="J695" s="184"/>
      <c r="K695" s="184"/>
      <c r="L695" s="184" t="s">
        <v>6594</v>
      </c>
      <c r="M695" s="184"/>
      <c r="N695" s="184"/>
      <c r="O695" s="184"/>
    </row>
    <row r="696" customFormat="false" ht="27.75" hidden="false" customHeight="true" outlineLevel="0" collapsed="false">
      <c r="A696" s="184" t="s">
        <v>4891</v>
      </c>
      <c r="B696" s="184" t="s">
        <v>4892</v>
      </c>
      <c r="C696" s="184" t="n">
        <v>44</v>
      </c>
      <c r="D696" s="177" t="s">
        <v>6298</v>
      </c>
      <c r="E696" s="184" t="s">
        <v>6595</v>
      </c>
      <c r="F696" s="184"/>
      <c r="G696" s="184"/>
      <c r="H696" s="184"/>
      <c r="I696" s="184"/>
      <c r="J696" s="184"/>
      <c r="K696" s="184"/>
      <c r="L696" s="184"/>
      <c r="M696" s="184"/>
      <c r="N696" s="184"/>
      <c r="O696" s="184"/>
    </row>
    <row r="697" customFormat="false" ht="15" hidden="false" customHeight="true" outlineLevel="0" collapsed="false">
      <c r="A697" s="184" t="s">
        <v>4891</v>
      </c>
      <c r="B697" s="184" t="s">
        <v>4892</v>
      </c>
      <c r="C697" s="184" t="n">
        <v>45</v>
      </c>
      <c r="D697" s="179" t="s">
        <v>6292</v>
      </c>
      <c r="E697" s="184" t="s">
        <v>6596</v>
      </c>
      <c r="F697" s="184"/>
      <c r="G697" s="184"/>
      <c r="H697" s="184"/>
      <c r="I697" s="184"/>
      <c r="J697" s="184"/>
      <c r="K697" s="184"/>
      <c r="L697" s="184"/>
      <c r="M697" s="184"/>
      <c r="N697" s="184"/>
      <c r="O697" s="184"/>
    </row>
    <row r="698" customFormat="false" ht="68.25" hidden="false" customHeight="true" outlineLevel="0" collapsed="false">
      <c r="A698" s="184" t="s">
        <v>4891</v>
      </c>
      <c r="B698" s="184" t="s">
        <v>4892</v>
      </c>
      <c r="C698" s="184" t="n">
        <v>46</v>
      </c>
      <c r="D698" s="174" t="s">
        <v>4848</v>
      </c>
      <c r="E698" s="184" t="s">
        <v>6596</v>
      </c>
      <c r="F698" s="184"/>
      <c r="G698" s="184"/>
      <c r="H698" s="184"/>
      <c r="I698" s="184"/>
      <c r="J698" s="184"/>
      <c r="K698" s="184"/>
      <c r="L698" s="184" t="s">
        <v>6597</v>
      </c>
      <c r="M698" s="184"/>
      <c r="N698" s="184"/>
      <c r="O698" s="184"/>
    </row>
    <row r="699" customFormat="false" ht="15" hidden="false" customHeight="true" outlineLevel="0" collapsed="false">
      <c r="A699" s="184" t="s">
        <v>4891</v>
      </c>
      <c r="B699" s="184" t="s">
        <v>4892</v>
      </c>
      <c r="C699" s="184" t="n">
        <v>47</v>
      </c>
      <c r="D699" s="177" t="s">
        <v>6298</v>
      </c>
      <c r="E699" s="184" t="s">
        <v>6598</v>
      </c>
      <c r="F699" s="184"/>
      <c r="G699" s="184"/>
      <c r="H699" s="184"/>
      <c r="I699" s="184"/>
      <c r="J699" s="184"/>
      <c r="K699" s="184"/>
      <c r="L699" s="184"/>
      <c r="M699" s="184"/>
      <c r="N699" s="184"/>
      <c r="O699" s="184"/>
    </row>
    <row r="700" customFormat="false" ht="27.75" hidden="false" customHeight="true" outlineLevel="0" collapsed="false">
      <c r="A700" s="184" t="s">
        <v>4891</v>
      </c>
      <c r="B700" s="184" t="s">
        <v>4892</v>
      </c>
      <c r="C700" s="184" t="n">
        <v>48</v>
      </c>
      <c r="D700" s="174" t="s">
        <v>4848</v>
      </c>
      <c r="E700" s="184" t="s">
        <v>6598</v>
      </c>
      <c r="F700" s="184"/>
      <c r="G700" s="184"/>
      <c r="H700" s="184"/>
      <c r="I700" s="184"/>
      <c r="J700" s="184"/>
      <c r="K700" s="184"/>
      <c r="L700" s="184" t="s">
        <v>6599</v>
      </c>
      <c r="M700" s="184"/>
      <c r="N700" s="184"/>
      <c r="O700" s="184"/>
    </row>
    <row r="701" customFormat="false" ht="68.25" hidden="false" customHeight="true" outlineLevel="0" collapsed="false">
      <c r="A701" s="184" t="s">
        <v>4891</v>
      </c>
      <c r="B701" s="184" t="s">
        <v>4892</v>
      </c>
      <c r="C701" s="184" t="n">
        <v>49</v>
      </c>
      <c r="D701" s="177" t="s">
        <v>5276</v>
      </c>
      <c r="E701" s="184" t="s">
        <v>6600</v>
      </c>
      <c r="F701" s="184"/>
      <c r="G701" s="184"/>
      <c r="H701" s="184"/>
      <c r="I701" s="184"/>
      <c r="J701" s="184"/>
      <c r="K701" s="184"/>
      <c r="L701" s="184"/>
      <c r="M701" s="184"/>
      <c r="N701" s="184"/>
      <c r="O701" s="184"/>
    </row>
    <row r="702" customFormat="false" ht="15" hidden="false" customHeight="true" outlineLevel="0" collapsed="false">
      <c r="A702" s="184" t="s">
        <v>4891</v>
      </c>
      <c r="B702" s="184" t="s">
        <v>4892</v>
      </c>
      <c r="C702" s="184" t="n">
        <v>50</v>
      </c>
      <c r="D702" s="178" t="s">
        <v>5269</v>
      </c>
      <c r="E702" s="184" t="s">
        <v>6601</v>
      </c>
      <c r="F702" s="184"/>
      <c r="G702" s="184"/>
      <c r="H702" s="184"/>
      <c r="I702" s="184"/>
      <c r="J702" s="184"/>
      <c r="K702" s="184"/>
      <c r="L702" s="184"/>
      <c r="M702" s="184" t="s">
        <v>6602</v>
      </c>
      <c r="N702" s="184"/>
      <c r="O702" s="184"/>
    </row>
    <row r="703" customFormat="false" ht="15" hidden="false" customHeight="true" outlineLevel="0" collapsed="false">
      <c r="A703" s="184" t="s">
        <v>4891</v>
      </c>
      <c r="B703" s="184" t="s">
        <v>4892</v>
      </c>
      <c r="C703" s="184" t="n">
        <v>51</v>
      </c>
      <c r="D703" s="178" t="s">
        <v>5269</v>
      </c>
      <c r="E703" s="184" t="s">
        <v>6603</v>
      </c>
      <c r="F703" s="184"/>
      <c r="G703" s="184"/>
      <c r="H703" s="184"/>
      <c r="I703" s="184"/>
      <c r="J703" s="184"/>
      <c r="K703" s="184"/>
      <c r="L703" s="184"/>
      <c r="M703" s="184" t="s">
        <v>6604</v>
      </c>
      <c r="N703" s="184"/>
      <c r="O703" s="184"/>
    </row>
    <row r="704" customFormat="false" ht="15" hidden="false" customHeight="true" outlineLevel="0" collapsed="false">
      <c r="A704" s="184"/>
      <c r="B704" s="184"/>
      <c r="C704" s="184"/>
      <c r="D704" s="184"/>
      <c r="E704" s="184"/>
      <c r="F704" s="184"/>
      <c r="G704" s="184"/>
      <c r="H704" s="184"/>
      <c r="I704" s="184"/>
      <c r="J704" s="184"/>
      <c r="K704" s="184"/>
      <c r="L704" s="184"/>
      <c r="M704" s="184"/>
      <c r="N704" s="184"/>
      <c r="O704" s="184"/>
    </row>
    <row r="705" customFormat="false" ht="15" hidden="false" customHeight="true" outlineLevel="0" collapsed="false">
      <c r="A705" s="184"/>
      <c r="B705" s="184"/>
      <c r="C705" s="184"/>
      <c r="D705" s="184"/>
      <c r="E705" s="184"/>
      <c r="F705" s="184"/>
      <c r="G705" s="184"/>
      <c r="H705" s="184"/>
      <c r="I705" s="184"/>
      <c r="J705" s="184"/>
      <c r="K705" s="184"/>
      <c r="L705" s="184"/>
      <c r="M705" s="184"/>
      <c r="N705" s="184"/>
      <c r="O705" s="184"/>
    </row>
    <row r="706" customFormat="false" ht="15" hidden="false" customHeight="true" outlineLevel="0" collapsed="false">
      <c r="A706" s="184"/>
      <c r="B706" s="184"/>
      <c r="C706" s="184"/>
      <c r="D706" s="184"/>
      <c r="E706" s="184"/>
      <c r="F706" s="184"/>
      <c r="G706" s="184"/>
      <c r="H706" s="184"/>
      <c r="I706" s="184"/>
      <c r="J706" s="184"/>
      <c r="K706" s="184"/>
      <c r="L706" s="184"/>
      <c r="M706" s="184"/>
      <c r="N706" s="184"/>
      <c r="O706" s="184"/>
    </row>
    <row r="707" customFormat="false" ht="15" hidden="false" customHeight="true" outlineLevel="0" collapsed="false">
      <c r="A707" s="184"/>
      <c r="B707" s="184"/>
      <c r="C707" s="184"/>
      <c r="D707" s="184"/>
      <c r="E707" s="184"/>
      <c r="F707" s="184"/>
      <c r="G707" s="184"/>
      <c r="H707" s="184"/>
      <c r="I707" s="184"/>
      <c r="J707" s="184"/>
      <c r="K707" s="184"/>
      <c r="L707" s="184"/>
      <c r="M707" s="184"/>
      <c r="N707" s="184"/>
      <c r="O707" s="184"/>
    </row>
    <row r="708" customFormat="false" ht="15" hidden="false" customHeight="true" outlineLevel="0" collapsed="false">
      <c r="A708" s="184"/>
      <c r="B708" s="184"/>
      <c r="C708" s="184"/>
      <c r="D708" s="184"/>
      <c r="E708" s="184"/>
      <c r="F708" s="184"/>
      <c r="G708" s="184"/>
      <c r="H708" s="184"/>
      <c r="I708" s="184"/>
      <c r="J708" s="184"/>
      <c r="K708" s="184"/>
      <c r="L708" s="184"/>
      <c r="M708" s="184"/>
      <c r="N708" s="184"/>
      <c r="O708" s="184"/>
    </row>
    <row r="709" customFormat="false" ht="15" hidden="false" customHeight="true" outlineLevel="0" collapsed="false">
      <c r="A709" s="184"/>
      <c r="B709" s="184"/>
      <c r="C709" s="184"/>
      <c r="D709" s="184"/>
      <c r="E709" s="184"/>
      <c r="F709" s="184"/>
      <c r="G709" s="184"/>
      <c r="H709" s="184"/>
      <c r="I709" s="184"/>
      <c r="J709" s="184"/>
      <c r="K709" s="184"/>
      <c r="L709" s="184"/>
      <c r="M709" s="184"/>
      <c r="N709" s="184"/>
      <c r="O709" s="184"/>
    </row>
    <row r="710" customFormat="false" ht="15" hidden="false" customHeight="true" outlineLevel="0" collapsed="false">
      <c r="A710" s="184"/>
      <c r="B710" s="184"/>
      <c r="C710" s="184"/>
      <c r="D710" s="184"/>
      <c r="E710" s="184"/>
      <c r="F710" s="184"/>
      <c r="G710" s="184"/>
      <c r="H710" s="184"/>
      <c r="I710" s="184"/>
      <c r="J710" s="184"/>
      <c r="K710" s="184"/>
      <c r="L710" s="184"/>
      <c r="M710" s="184"/>
      <c r="N710" s="184"/>
      <c r="O710" s="184"/>
    </row>
    <row r="711" customFormat="false" ht="15" hidden="false" customHeight="true" outlineLevel="0" collapsed="false">
      <c r="A711" s="184"/>
      <c r="B711" s="184"/>
      <c r="C711" s="184"/>
      <c r="D711" s="184"/>
      <c r="E711" s="184"/>
      <c r="F711" s="184"/>
      <c r="G711" s="184"/>
      <c r="H711" s="184"/>
      <c r="I711" s="184"/>
      <c r="J711" s="184"/>
      <c r="K711" s="184"/>
      <c r="L711" s="184"/>
      <c r="M711" s="184"/>
      <c r="N711" s="184"/>
      <c r="O711" s="184"/>
    </row>
    <row r="712" customFormat="false" ht="15" hidden="false" customHeight="true" outlineLevel="0" collapsed="false">
      <c r="A712" s="184"/>
      <c r="B712" s="184"/>
      <c r="C712" s="184"/>
      <c r="D712" s="184"/>
      <c r="E712" s="184"/>
      <c r="F712" s="184"/>
      <c r="G712" s="184"/>
      <c r="H712" s="184"/>
      <c r="I712" s="184"/>
      <c r="J712" s="184"/>
      <c r="K712" s="184"/>
      <c r="L712" s="184"/>
      <c r="M712" s="184"/>
      <c r="N712" s="184"/>
      <c r="O712" s="184"/>
    </row>
    <row r="713" customFormat="false" ht="15" hidden="false" customHeight="true" outlineLevel="0" collapsed="false">
      <c r="A713" s="184"/>
      <c r="B713" s="184"/>
      <c r="C713" s="184"/>
      <c r="D713" s="184"/>
      <c r="E713" s="184"/>
      <c r="F713" s="184"/>
      <c r="G713" s="184"/>
      <c r="H713" s="184"/>
      <c r="I713" s="184"/>
      <c r="J713" s="184"/>
      <c r="K713" s="184"/>
      <c r="L713" s="184"/>
      <c r="M713" s="184"/>
      <c r="N713" s="184"/>
      <c r="O713" s="184"/>
    </row>
    <row r="714" customFormat="false" ht="15" hidden="false" customHeight="true" outlineLevel="0" collapsed="false">
      <c r="A714" s="184"/>
      <c r="B714" s="184"/>
      <c r="C714" s="184"/>
      <c r="D714" s="184"/>
      <c r="E714" s="184"/>
      <c r="F714" s="184"/>
      <c r="G714" s="184"/>
      <c r="H714" s="184"/>
      <c r="I714" s="184"/>
      <c r="J714" s="184"/>
      <c r="K714" s="184"/>
      <c r="L714" s="184"/>
      <c r="M714" s="184"/>
      <c r="N714" s="184"/>
      <c r="O714" s="184"/>
    </row>
    <row r="715" customFormat="false" ht="15" hidden="false" customHeight="true" outlineLevel="0" collapsed="false">
      <c r="A715" s="184"/>
      <c r="B715" s="184"/>
      <c r="C715" s="184"/>
      <c r="D715" s="184"/>
      <c r="E715" s="184"/>
      <c r="F715" s="184"/>
      <c r="G715" s="184"/>
      <c r="H715" s="184"/>
      <c r="I715" s="184"/>
      <c r="J715" s="184"/>
      <c r="K715" s="184"/>
      <c r="L715" s="184"/>
      <c r="M715" s="184"/>
      <c r="N715" s="184"/>
      <c r="O715" s="184"/>
    </row>
    <row r="716" customFormat="false" ht="15" hidden="false" customHeight="true" outlineLevel="0" collapsed="false">
      <c r="A716" s="184"/>
      <c r="B716" s="184"/>
      <c r="C716" s="184"/>
      <c r="D716" s="184"/>
      <c r="E716" s="184"/>
      <c r="F716" s="184"/>
      <c r="G716" s="184"/>
      <c r="H716" s="184"/>
      <c r="I716" s="184"/>
      <c r="J716" s="184"/>
      <c r="K716" s="184"/>
      <c r="L716" s="184"/>
      <c r="M716" s="184"/>
      <c r="N716" s="184"/>
      <c r="O716" s="184"/>
    </row>
    <row r="717" customFormat="false" ht="15" hidden="false" customHeight="true" outlineLevel="0" collapsed="false">
      <c r="A717" s="184"/>
      <c r="B717" s="184"/>
      <c r="C717" s="184"/>
      <c r="D717" s="184"/>
      <c r="E717" s="184"/>
      <c r="F717" s="184"/>
      <c r="G717" s="184"/>
      <c r="H717" s="184"/>
      <c r="I717" s="184"/>
      <c r="J717" s="184"/>
      <c r="K717" s="184"/>
      <c r="L717" s="184"/>
      <c r="M717" s="184"/>
      <c r="N717" s="184"/>
      <c r="O717" s="184"/>
    </row>
    <row r="718" customFormat="false" ht="15" hidden="false" customHeight="true" outlineLevel="0" collapsed="false">
      <c r="A718" s="184"/>
      <c r="B718" s="184"/>
      <c r="C718" s="184"/>
      <c r="D718" s="184"/>
      <c r="E718" s="184"/>
      <c r="F718" s="184"/>
      <c r="G718" s="184"/>
      <c r="H718" s="184"/>
      <c r="I718" s="184"/>
      <c r="J718" s="184"/>
      <c r="K718" s="184"/>
      <c r="L718" s="184"/>
      <c r="M718" s="184"/>
      <c r="N718" s="184"/>
      <c r="O718" s="184"/>
    </row>
    <row r="719" customFormat="false" ht="15" hidden="false" customHeight="true" outlineLevel="0" collapsed="false">
      <c r="A719" s="184"/>
      <c r="B719" s="184"/>
      <c r="C719" s="184"/>
      <c r="D719" s="184"/>
      <c r="E719" s="184"/>
      <c r="F719" s="184"/>
      <c r="G719" s="184"/>
      <c r="H719" s="184"/>
      <c r="I719" s="184"/>
      <c r="J719" s="184"/>
      <c r="K719" s="184"/>
      <c r="L719" s="184"/>
      <c r="M719" s="184"/>
      <c r="N719" s="184"/>
      <c r="O719" s="184"/>
    </row>
    <row r="720" customFormat="false" ht="15" hidden="false" customHeight="true" outlineLevel="0" collapsed="false">
      <c r="A720" s="184"/>
      <c r="B720" s="184"/>
      <c r="C720" s="184"/>
      <c r="D720" s="184"/>
      <c r="E720" s="184"/>
      <c r="F720" s="184"/>
      <c r="G720" s="184"/>
      <c r="H720" s="184"/>
      <c r="I720" s="184"/>
      <c r="J720" s="184"/>
      <c r="K720" s="184"/>
      <c r="L720" s="184"/>
      <c r="M720" s="184"/>
      <c r="N720" s="184"/>
      <c r="O720" s="184"/>
    </row>
    <row r="721" customFormat="false" ht="15" hidden="false" customHeight="true" outlineLevel="0" collapsed="false">
      <c r="A721" s="184"/>
      <c r="B721" s="184"/>
      <c r="C721" s="184"/>
      <c r="D721" s="184"/>
      <c r="E721" s="184"/>
      <c r="F721" s="184"/>
      <c r="G721" s="184"/>
      <c r="H721" s="184"/>
      <c r="I721" s="184"/>
      <c r="J721" s="184"/>
      <c r="K721" s="184"/>
      <c r="L721" s="184"/>
      <c r="M721" s="184"/>
      <c r="N721" s="184"/>
      <c r="O721" s="184"/>
    </row>
    <row r="722" customFormat="false" ht="15" hidden="false" customHeight="true" outlineLevel="0" collapsed="false">
      <c r="A722" s="184"/>
      <c r="B722" s="184"/>
      <c r="C722" s="184"/>
      <c r="D722" s="184"/>
      <c r="E722" s="184"/>
      <c r="F722" s="184"/>
      <c r="G722" s="184"/>
      <c r="H722" s="184"/>
      <c r="I722" s="184"/>
      <c r="J722" s="184"/>
      <c r="K722" s="184"/>
      <c r="L722" s="184"/>
      <c r="M722" s="184"/>
      <c r="N722" s="184"/>
      <c r="O722" s="184"/>
    </row>
    <row r="723" customFormat="false" ht="15" hidden="false" customHeight="true" outlineLevel="0" collapsed="false">
      <c r="A723" s="184"/>
      <c r="B723" s="184"/>
      <c r="C723" s="184"/>
      <c r="D723" s="184"/>
      <c r="E723" s="184"/>
      <c r="F723" s="184"/>
      <c r="G723" s="184"/>
      <c r="H723" s="184"/>
      <c r="I723" s="184"/>
      <c r="J723" s="184"/>
      <c r="K723" s="184"/>
      <c r="L723" s="184"/>
      <c r="M723" s="184"/>
      <c r="N723" s="184"/>
      <c r="O723" s="184"/>
    </row>
    <row r="724" customFormat="false" ht="15" hidden="false" customHeight="true" outlineLevel="0" collapsed="false">
      <c r="A724" s="184"/>
      <c r="B724" s="184"/>
      <c r="C724" s="184"/>
      <c r="D724" s="184"/>
      <c r="E724" s="184"/>
      <c r="F724" s="184"/>
      <c r="G724" s="184"/>
      <c r="H724" s="184"/>
      <c r="I724" s="184"/>
      <c r="J724" s="184"/>
      <c r="K724" s="184"/>
      <c r="L724" s="184"/>
      <c r="M724" s="184"/>
      <c r="N724" s="184"/>
      <c r="O724" s="184"/>
    </row>
    <row r="725" customFormat="false" ht="15" hidden="false" customHeight="true" outlineLevel="0" collapsed="false">
      <c r="A725" s="184"/>
      <c r="B725" s="184"/>
      <c r="C725" s="184"/>
      <c r="D725" s="184"/>
      <c r="E725" s="184"/>
      <c r="F725" s="184"/>
      <c r="G725" s="184"/>
      <c r="H725" s="184"/>
      <c r="I725" s="184"/>
      <c r="J725" s="184"/>
      <c r="K725" s="184"/>
      <c r="L725" s="184"/>
      <c r="M725" s="184"/>
      <c r="N725" s="184"/>
      <c r="O725" s="184"/>
    </row>
    <row r="726" customFormat="false" ht="15" hidden="false" customHeight="true" outlineLevel="0" collapsed="false">
      <c r="A726" s="184"/>
      <c r="B726" s="184"/>
      <c r="C726" s="184"/>
      <c r="D726" s="184"/>
      <c r="E726" s="184"/>
      <c r="F726" s="184"/>
      <c r="G726" s="184"/>
      <c r="H726" s="184"/>
      <c r="I726" s="184"/>
      <c r="J726" s="184"/>
      <c r="K726" s="184"/>
      <c r="L726" s="184"/>
      <c r="M726" s="184"/>
      <c r="N726" s="184"/>
      <c r="O726" s="184"/>
    </row>
    <row r="727" customFormat="false" ht="15" hidden="false" customHeight="true" outlineLevel="0" collapsed="false">
      <c r="A727" s="184"/>
      <c r="B727" s="184"/>
      <c r="C727" s="184"/>
      <c r="D727" s="184"/>
      <c r="E727" s="184"/>
      <c r="F727" s="184"/>
      <c r="G727" s="184"/>
      <c r="H727" s="184"/>
      <c r="I727" s="184"/>
      <c r="J727" s="184"/>
      <c r="K727" s="184"/>
      <c r="L727" s="184"/>
      <c r="M727" s="184"/>
      <c r="N727" s="184"/>
      <c r="O727" s="184"/>
    </row>
    <row r="728" customFormat="false" ht="15" hidden="false" customHeight="true" outlineLevel="0" collapsed="false">
      <c r="A728" s="184"/>
      <c r="B728" s="184"/>
      <c r="C728" s="184"/>
      <c r="D728" s="184"/>
      <c r="E728" s="184"/>
      <c r="F728" s="184"/>
      <c r="G728" s="184"/>
      <c r="H728" s="184"/>
      <c r="I728" s="184"/>
      <c r="J728" s="184"/>
      <c r="K728" s="184"/>
      <c r="L728" s="184"/>
      <c r="M728" s="184"/>
      <c r="N728" s="184"/>
      <c r="O728" s="184"/>
    </row>
    <row r="729" customFormat="false" ht="15" hidden="false" customHeight="true" outlineLevel="0" collapsed="false">
      <c r="A729" s="184"/>
      <c r="B729" s="184"/>
      <c r="C729" s="184"/>
      <c r="D729" s="184"/>
      <c r="E729" s="184"/>
      <c r="F729" s="184"/>
      <c r="G729" s="184"/>
      <c r="H729" s="184"/>
      <c r="I729" s="184"/>
      <c r="J729" s="184"/>
      <c r="K729" s="184"/>
      <c r="L729" s="184"/>
      <c r="M729" s="184"/>
      <c r="N729" s="184"/>
      <c r="O729" s="184"/>
    </row>
    <row r="730" customFormat="false" ht="15" hidden="false" customHeight="true" outlineLevel="0" collapsed="false">
      <c r="A730" s="184"/>
      <c r="B730" s="184"/>
      <c r="C730" s="184"/>
      <c r="D730" s="184"/>
      <c r="E730" s="184"/>
      <c r="F730" s="184"/>
      <c r="G730" s="184"/>
      <c r="H730" s="184"/>
      <c r="I730" s="184"/>
      <c r="J730" s="184"/>
      <c r="K730" s="184"/>
      <c r="L730" s="184"/>
      <c r="M730" s="184"/>
      <c r="N730" s="184"/>
      <c r="O730" s="184"/>
    </row>
    <row r="731" customFormat="false" ht="15" hidden="false" customHeight="true" outlineLevel="0" collapsed="false">
      <c r="A731" s="184"/>
      <c r="B731" s="184"/>
      <c r="C731" s="184"/>
      <c r="D731" s="184"/>
      <c r="E731" s="184"/>
      <c r="F731" s="184"/>
      <c r="G731" s="184"/>
      <c r="H731" s="184"/>
      <c r="I731" s="184"/>
      <c r="J731" s="184"/>
      <c r="K731" s="184"/>
      <c r="L731" s="184"/>
      <c r="M731" s="184"/>
      <c r="N731" s="184"/>
      <c r="O731" s="184"/>
    </row>
    <row r="732" customFormat="false" ht="15" hidden="false" customHeight="true" outlineLevel="0" collapsed="false">
      <c r="A732" s="184"/>
      <c r="B732" s="184"/>
      <c r="C732" s="184"/>
      <c r="D732" s="184"/>
      <c r="E732" s="184"/>
      <c r="F732" s="184"/>
      <c r="G732" s="184"/>
      <c r="H732" s="184"/>
      <c r="I732" s="184"/>
      <c r="J732" s="184"/>
      <c r="K732" s="184"/>
      <c r="L732" s="184"/>
      <c r="M732" s="184"/>
      <c r="N732" s="184"/>
      <c r="O732" s="184"/>
    </row>
    <row r="733" customFormat="false" ht="15" hidden="false" customHeight="true" outlineLevel="0" collapsed="false">
      <c r="A733" s="184"/>
      <c r="B733" s="184"/>
      <c r="C733" s="184"/>
      <c r="D733" s="184"/>
      <c r="E733" s="184"/>
      <c r="F733" s="184"/>
      <c r="G733" s="184"/>
      <c r="H733" s="184"/>
      <c r="I733" s="184"/>
      <c r="J733" s="184"/>
      <c r="K733" s="184"/>
      <c r="L733" s="184"/>
      <c r="M733" s="184"/>
      <c r="N733" s="184"/>
      <c r="O733" s="184"/>
    </row>
    <row r="734" customFormat="false" ht="15" hidden="false" customHeight="true" outlineLevel="0" collapsed="false">
      <c r="A734" s="184"/>
      <c r="B734" s="184"/>
      <c r="C734" s="184"/>
      <c r="D734" s="184"/>
      <c r="E734" s="184"/>
      <c r="F734" s="184"/>
      <c r="G734" s="184"/>
      <c r="H734" s="184"/>
      <c r="I734" s="184"/>
      <c r="J734" s="184"/>
      <c r="K734" s="184"/>
      <c r="L734" s="184"/>
      <c r="M734" s="184"/>
      <c r="N734" s="184"/>
      <c r="O734" s="184"/>
    </row>
    <row r="735" customFormat="false" ht="15" hidden="false" customHeight="true" outlineLevel="0" collapsed="false">
      <c r="A735" s="184"/>
      <c r="B735" s="184"/>
      <c r="C735" s="184"/>
      <c r="D735" s="184"/>
      <c r="E735" s="184"/>
      <c r="F735" s="184"/>
      <c r="G735" s="184"/>
      <c r="H735" s="184"/>
      <c r="I735" s="184"/>
      <c r="J735" s="184"/>
      <c r="K735" s="184"/>
      <c r="L735" s="184"/>
      <c r="M735" s="184"/>
      <c r="N735" s="184"/>
      <c r="O735" s="184"/>
    </row>
    <row r="736" customFormat="false" ht="15" hidden="false" customHeight="true" outlineLevel="0" collapsed="false">
      <c r="A736" s="184"/>
      <c r="B736" s="184"/>
      <c r="C736" s="184"/>
      <c r="D736" s="184"/>
      <c r="E736" s="184"/>
      <c r="F736" s="184"/>
      <c r="G736" s="184"/>
      <c r="H736" s="184"/>
      <c r="I736" s="184"/>
      <c r="J736" s="184"/>
      <c r="K736" s="184"/>
      <c r="L736" s="184"/>
      <c r="M736" s="184"/>
      <c r="N736" s="184"/>
      <c r="O736" s="184"/>
    </row>
    <row r="737" customFormat="false" ht="15" hidden="false" customHeight="true" outlineLevel="0" collapsed="false">
      <c r="A737" s="184"/>
      <c r="B737" s="184"/>
      <c r="C737" s="184"/>
      <c r="D737" s="184"/>
      <c r="E737" s="184"/>
      <c r="F737" s="184"/>
      <c r="G737" s="184"/>
      <c r="H737" s="184"/>
      <c r="I737" s="184"/>
      <c r="J737" s="184"/>
      <c r="K737" s="184"/>
      <c r="L737" s="184"/>
      <c r="M737" s="184"/>
      <c r="N737" s="184"/>
      <c r="O737" s="184"/>
    </row>
    <row r="738" customFormat="false" ht="15" hidden="false" customHeight="true" outlineLevel="0" collapsed="false">
      <c r="A738" s="184"/>
      <c r="B738" s="184"/>
      <c r="C738" s="184"/>
      <c r="D738" s="184"/>
      <c r="E738" s="184"/>
      <c r="F738" s="184"/>
      <c r="G738" s="184"/>
      <c r="H738" s="184"/>
      <c r="I738" s="184"/>
      <c r="J738" s="184"/>
      <c r="K738" s="184"/>
      <c r="L738" s="184"/>
      <c r="M738" s="184"/>
      <c r="N738" s="184"/>
      <c r="O738" s="184"/>
    </row>
    <row r="739" customFormat="false" ht="15" hidden="false" customHeight="true" outlineLevel="0" collapsed="false">
      <c r="A739" s="184"/>
      <c r="B739" s="184"/>
      <c r="C739" s="184"/>
      <c r="D739" s="184"/>
      <c r="E739" s="184"/>
      <c r="F739" s="184"/>
      <c r="G739" s="184"/>
      <c r="H739" s="184"/>
      <c r="I739" s="184"/>
      <c r="J739" s="184"/>
      <c r="K739" s="184"/>
      <c r="L739" s="184"/>
      <c r="M739" s="184"/>
      <c r="N739" s="184"/>
      <c r="O739" s="184"/>
    </row>
    <row r="740" customFormat="false" ht="15" hidden="false" customHeight="true" outlineLevel="0" collapsed="false">
      <c r="A740" s="184"/>
      <c r="B740" s="184"/>
      <c r="C740" s="184"/>
      <c r="D740" s="184"/>
      <c r="E740" s="184"/>
      <c r="F740" s="184"/>
      <c r="G740" s="184"/>
      <c r="H740" s="184"/>
      <c r="I740" s="184"/>
      <c r="J740" s="184"/>
      <c r="K740" s="184"/>
      <c r="L740" s="184"/>
      <c r="M740" s="184"/>
      <c r="N740" s="184"/>
      <c r="O740" s="184"/>
    </row>
    <row r="741" customFormat="false" ht="15" hidden="false" customHeight="true" outlineLevel="0" collapsed="false">
      <c r="A741" s="184"/>
      <c r="B741" s="184"/>
      <c r="C741" s="184"/>
      <c r="D741" s="184"/>
      <c r="E741" s="184"/>
      <c r="F741" s="184"/>
      <c r="G741" s="184"/>
      <c r="H741" s="184"/>
      <c r="I741" s="184"/>
      <c r="J741" s="184"/>
      <c r="K741" s="184"/>
      <c r="L741" s="184"/>
      <c r="M741" s="184"/>
      <c r="N741" s="184"/>
      <c r="O741" s="184"/>
    </row>
    <row r="742" customFormat="false" ht="15" hidden="false" customHeight="true" outlineLevel="0" collapsed="false">
      <c r="A742" s="184"/>
      <c r="B742" s="184"/>
      <c r="C742" s="184"/>
      <c r="D742" s="184"/>
      <c r="E742" s="184"/>
      <c r="F742" s="184"/>
      <c r="G742" s="184"/>
      <c r="H742" s="184"/>
      <c r="I742" s="184"/>
      <c r="J742" s="184"/>
      <c r="K742" s="184"/>
      <c r="L742" s="184"/>
      <c r="M742" s="184"/>
      <c r="N742" s="184"/>
      <c r="O742" s="184"/>
    </row>
    <row r="743" customFormat="false" ht="15" hidden="false" customHeight="true" outlineLevel="0" collapsed="false">
      <c r="A743" s="184"/>
      <c r="B743" s="184"/>
      <c r="C743" s="184"/>
      <c r="D743" s="184"/>
      <c r="E743" s="184"/>
      <c r="F743" s="184"/>
      <c r="G743" s="184"/>
      <c r="H743" s="184"/>
      <c r="I743" s="184"/>
      <c r="J743" s="184"/>
      <c r="K743" s="184"/>
      <c r="L743" s="184"/>
      <c r="M743" s="184"/>
      <c r="N743" s="184"/>
      <c r="O743" s="184"/>
    </row>
    <row r="744" customFormat="false" ht="15" hidden="false" customHeight="true" outlineLevel="0" collapsed="false">
      <c r="A744" s="184"/>
      <c r="B744" s="184"/>
      <c r="C744" s="184"/>
      <c r="D744" s="184"/>
      <c r="E744" s="184"/>
      <c r="F744" s="184"/>
      <c r="G744" s="184"/>
      <c r="H744" s="184"/>
      <c r="I744" s="184"/>
      <c r="J744" s="184"/>
      <c r="K744" s="184"/>
      <c r="L744" s="184"/>
      <c r="M744" s="184"/>
      <c r="N744" s="184"/>
      <c r="O744" s="184"/>
    </row>
    <row r="745" customFormat="false" ht="15" hidden="false" customHeight="true" outlineLevel="0" collapsed="false">
      <c r="A745" s="184"/>
      <c r="B745" s="184"/>
      <c r="C745" s="184"/>
      <c r="D745" s="184"/>
      <c r="E745" s="184"/>
      <c r="F745" s="184"/>
      <c r="G745" s="184"/>
      <c r="H745" s="184"/>
      <c r="I745" s="184"/>
      <c r="J745" s="184"/>
      <c r="K745" s="184"/>
      <c r="L745" s="184"/>
      <c r="M745" s="184"/>
      <c r="N745" s="184"/>
      <c r="O745" s="184"/>
    </row>
    <row r="746" customFormat="false" ht="15" hidden="false" customHeight="true" outlineLevel="0" collapsed="false">
      <c r="A746" s="184"/>
      <c r="B746" s="184"/>
      <c r="C746" s="184"/>
      <c r="D746" s="184"/>
      <c r="E746" s="184"/>
      <c r="F746" s="184"/>
      <c r="G746" s="184"/>
      <c r="H746" s="184"/>
      <c r="I746" s="184"/>
      <c r="J746" s="184"/>
      <c r="K746" s="184"/>
      <c r="L746" s="184"/>
      <c r="M746" s="184"/>
      <c r="N746" s="184"/>
      <c r="O746" s="184"/>
    </row>
    <row r="747" customFormat="false" ht="15" hidden="false" customHeight="true" outlineLevel="0" collapsed="false">
      <c r="A747" s="184"/>
      <c r="B747" s="184"/>
      <c r="C747" s="184"/>
      <c r="D747" s="184"/>
      <c r="E747" s="184"/>
      <c r="F747" s="184"/>
      <c r="G747" s="184"/>
      <c r="H747" s="184"/>
      <c r="I747" s="184"/>
      <c r="J747" s="184"/>
      <c r="K747" s="184"/>
      <c r="L747" s="184"/>
      <c r="M747" s="184"/>
      <c r="N747" s="184"/>
      <c r="O747" s="184"/>
    </row>
    <row r="748" customFormat="false" ht="15" hidden="false" customHeight="true" outlineLevel="0" collapsed="false">
      <c r="A748" s="184"/>
      <c r="B748" s="184"/>
      <c r="C748" s="184"/>
      <c r="D748" s="184"/>
      <c r="E748" s="184"/>
      <c r="F748" s="184"/>
      <c r="G748" s="184"/>
      <c r="H748" s="184"/>
      <c r="I748" s="184"/>
      <c r="J748" s="184"/>
      <c r="K748" s="184"/>
      <c r="L748" s="184"/>
      <c r="M748" s="184"/>
      <c r="N748" s="184"/>
      <c r="O748" s="184"/>
    </row>
    <row r="749" customFormat="false" ht="15" hidden="false" customHeight="true" outlineLevel="0" collapsed="false">
      <c r="A749" s="184"/>
      <c r="B749" s="184"/>
      <c r="C749" s="184"/>
      <c r="D749" s="184"/>
      <c r="E749" s="184"/>
      <c r="F749" s="184"/>
      <c r="G749" s="184"/>
      <c r="H749" s="184"/>
      <c r="I749" s="184"/>
      <c r="J749" s="184"/>
      <c r="K749" s="184"/>
      <c r="L749" s="184"/>
      <c r="M749" s="184"/>
      <c r="N749" s="184"/>
      <c r="O749" s="184"/>
    </row>
    <row r="750" customFormat="false" ht="15" hidden="false" customHeight="true" outlineLevel="0" collapsed="false">
      <c r="A750" s="184"/>
      <c r="B750" s="184"/>
      <c r="C750" s="184"/>
      <c r="D750" s="184"/>
      <c r="E750" s="184"/>
      <c r="F750" s="184"/>
      <c r="G750" s="184"/>
      <c r="H750" s="184"/>
      <c r="I750" s="184"/>
      <c r="J750" s="184"/>
      <c r="K750" s="184"/>
      <c r="L750" s="184"/>
      <c r="M750" s="184"/>
      <c r="N750" s="184"/>
      <c r="O750" s="184"/>
    </row>
    <row r="751" customFormat="false" ht="15" hidden="false" customHeight="true" outlineLevel="0" collapsed="false">
      <c r="A751" s="184"/>
      <c r="B751" s="184"/>
      <c r="C751" s="184"/>
      <c r="D751" s="184"/>
      <c r="E751" s="184"/>
      <c r="F751" s="184"/>
      <c r="G751" s="184"/>
      <c r="H751" s="184"/>
      <c r="I751" s="184"/>
      <c r="J751" s="184"/>
      <c r="K751" s="184"/>
      <c r="L751" s="184"/>
      <c r="M751" s="184"/>
      <c r="N751" s="184"/>
      <c r="O751" s="184"/>
    </row>
    <row r="752" customFormat="false" ht="15" hidden="false" customHeight="true" outlineLevel="0" collapsed="false">
      <c r="A752" s="184"/>
      <c r="B752" s="184"/>
      <c r="C752" s="184"/>
      <c r="D752" s="184"/>
      <c r="E752" s="184"/>
      <c r="F752" s="184"/>
      <c r="G752" s="184"/>
      <c r="H752" s="184"/>
      <c r="I752" s="184"/>
      <c r="J752" s="184"/>
      <c r="K752" s="184"/>
      <c r="L752" s="184"/>
      <c r="M752" s="184"/>
      <c r="N752" s="184"/>
      <c r="O752" s="184"/>
    </row>
    <row r="753" customFormat="false" ht="15" hidden="false" customHeight="true" outlineLevel="0" collapsed="false">
      <c r="A753" s="184"/>
      <c r="B753" s="184"/>
      <c r="C753" s="184"/>
      <c r="D753" s="184"/>
      <c r="E753" s="184"/>
      <c r="F753" s="184"/>
      <c r="G753" s="184"/>
      <c r="H753" s="184"/>
      <c r="I753" s="184"/>
      <c r="J753" s="184"/>
      <c r="K753" s="184"/>
      <c r="L753" s="184"/>
      <c r="M753" s="184"/>
      <c r="N753" s="184"/>
      <c r="O753" s="184"/>
    </row>
    <row r="754" customFormat="false" ht="15" hidden="false" customHeight="true" outlineLevel="0" collapsed="false">
      <c r="A754" s="184"/>
      <c r="B754" s="184"/>
      <c r="C754" s="184"/>
      <c r="D754" s="184"/>
      <c r="E754" s="184"/>
      <c r="F754" s="184"/>
      <c r="G754" s="184"/>
      <c r="H754" s="184"/>
      <c r="I754" s="184"/>
      <c r="J754" s="184"/>
      <c r="K754" s="184"/>
      <c r="L754" s="184"/>
      <c r="M754" s="184"/>
      <c r="N754" s="184"/>
      <c r="O754" s="184"/>
    </row>
    <row r="755" customFormat="false" ht="15" hidden="false" customHeight="true" outlineLevel="0" collapsed="false">
      <c r="A755" s="184"/>
      <c r="B755" s="184"/>
      <c r="C755" s="184"/>
      <c r="D755" s="184"/>
      <c r="E755" s="184"/>
      <c r="F755" s="184"/>
      <c r="G755" s="184"/>
      <c r="H755" s="184"/>
      <c r="I755" s="184"/>
      <c r="J755" s="184"/>
      <c r="K755" s="184"/>
      <c r="L755" s="184"/>
      <c r="M755" s="184"/>
      <c r="N755" s="184"/>
      <c r="O755" s="184"/>
    </row>
    <row r="756" customFormat="false" ht="15" hidden="false" customHeight="true" outlineLevel="0" collapsed="false">
      <c r="A756" s="184"/>
      <c r="B756" s="184"/>
      <c r="C756" s="184"/>
      <c r="D756" s="184"/>
      <c r="E756" s="184"/>
      <c r="F756" s="184"/>
      <c r="G756" s="184"/>
      <c r="H756" s="184"/>
      <c r="I756" s="184"/>
      <c r="J756" s="184"/>
      <c r="K756" s="184"/>
      <c r="L756" s="184"/>
      <c r="M756" s="184"/>
      <c r="N756" s="184"/>
      <c r="O756" s="184"/>
    </row>
    <row r="757" customFormat="false" ht="15" hidden="false" customHeight="true" outlineLevel="0" collapsed="false">
      <c r="A757" s="184"/>
      <c r="B757" s="184"/>
      <c r="C757" s="184"/>
      <c r="D757" s="184"/>
      <c r="E757" s="184"/>
      <c r="F757" s="184"/>
      <c r="G757" s="184"/>
      <c r="H757" s="184"/>
      <c r="I757" s="184"/>
      <c r="J757" s="184"/>
      <c r="K757" s="184"/>
      <c r="L757" s="184"/>
      <c r="M757" s="184"/>
      <c r="N757" s="184"/>
      <c r="O757" s="184"/>
    </row>
    <row r="758" customFormat="false" ht="15" hidden="false" customHeight="true" outlineLevel="0" collapsed="false">
      <c r="A758" s="184"/>
      <c r="B758" s="184"/>
      <c r="C758" s="184"/>
      <c r="D758" s="184"/>
      <c r="E758" s="184"/>
      <c r="F758" s="184"/>
      <c r="G758" s="184"/>
      <c r="H758" s="184"/>
      <c r="I758" s="184"/>
      <c r="J758" s="184"/>
      <c r="K758" s="184"/>
      <c r="L758" s="184"/>
      <c r="M758" s="184"/>
      <c r="N758" s="184"/>
      <c r="O758" s="184"/>
    </row>
    <row r="759" customFormat="false" ht="15" hidden="false" customHeight="true" outlineLevel="0" collapsed="false">
      <c r="A759" s="184"/>
      <c r="B759" s="184"/>
      <c r="C759" s="184"/>
      <c r="D759" s="184"/>
      <c r="E759" s="184"/>
      <c r="F759" s="184"/>
      <c r="G759" s="184"/>
      <c r="H759" s="184"/>
      <c r="I759" s="184"/>
      <c r="J759" s="184"/>
      <c r="K759" s="184"/>
      <c r="L759" s="184"/>
      <c r="M759" s="184"/>
      <c r="N759" s="184"/>
      <c r="O759" s="184"/>
    </row>
    <row r="760" customFormat="false" ht="15" hidden="false" customHeight="true" outlineLevel="0" collapsed="false">
      <c r="A760" s="184"/>
      <c r="B760" s="184"/>
      <c r="C760" s="184"/>
      <c r="D760" s="184"/>
      <c r="E760" s="184"/>
      <c r="F760" s="184"/>
      <c r="G760" s="184"/>
      <c r="H760" s="184"/>
      <c r="I760" s="184"/>
      <c r="J760" s="184"/>
      <c r="K760" s="184"/>
      <c r="L760" s="184"/>
      <c r="M760" s="184"/>
      <c r="N760" s="184"/>
      <c r="O760" s="184"/>
    </row>
    <row r="761" customFormat="false" ht="15" hidden="false" customHeight="true" outlineLevel="0" collapsed="false">
      <c r="A761" s="184"/>
      <c r="B761" s="184"/>
      <c r="C761" s="184"/>
      <c r="D761" s="184"/>
      <c r="E761" s="184"/>
      <c r="F761" s="184"/>
      <c r="G761" s="184"/>
      <c r="H761" s="184"/>
      <c r="I761" s="184"/>
      <c r="J761" s="184"/>
      <c r="K761" s="184"/>
      <c r="L761" s="184"/>
      <c r="M761" s="184"/>
      <c r="N761" s="184"/>
      <c r="O761" s="184"/>
    </row>
    <row r="762" customFormat="false" ht="15" hidden="false" customHeight="true" outlineLevel="0" collapsed="false">
      <c r="A762" s="184"/>
      <c r="B762" s="184"/>
      <c r="C762" s="184"/>
      <c r="D762" s="184"/>
      <c r="E762" s="184"/>
      <c r="F762" s="184"/>
      <c r="G762" s="184"/>
      <c r="H762" s="184"/>
      <c r="I762" s="184"/>
      <c r="J762" s="184"/>
      <c r="K762" s="184"/>
      <c r="L762" s="184"/>
      <c r="M762" s="184"/>
      <c r="N762" s="184"/>
      <c r="O762" s="184"/>
    </row>
    <row r="763" customFormat="false" ht="15" hidden="false" customHeight="true" outlineLevel="0" collapsed="false">
      <c r="A763" s="184"/>
      <c r="B763" s="184"/>
      <c r="C763" s="184"/>
      <c r="D763" s="184"/>
      <c r="E763" s="184"/>
      <c r="F763" s="184"/>
      <c r="G763" s="184"/>
      <c r="H763" s="184"/>
      <c r="I763" s="184"/>
      <c r="J763" s="184"/>
      <c r="K763" s="184"/>
      <c r="L763" s="184"/>
      <c r="M763" s="184"/>
      <c r="N763" s="184"/>
      <c r="O763" s="184"/>
    </row>
    <row r="764" customFormat="false" ht="15" hidden="false" customHeight="true" outlineLevel="0" collapsed="false">
      <c r="A764" s="184"/>
      <c r="B764" s="184"/>
      <c r="C764" s="184"/>
      <c r="D764" s="184"/>
      <c r="E764" s="184"/>
      <c r="F764" s="184"/>
      <c r="G764" s="184"/>
      <c r="H764" s="184"/>
      <c r="I764" s="184"/>
      <c r="J764" s="184"/>
      <c r="K764" s="184"/>
      <c r="L764" s="184"/>
      <c r="M764" s="184"/>
      <c r="N764" s="184"/>
      <c r="O764" s="184"/>
    </row>
    <row r="765" customFormat="false" ht="15" hidden="false" customHeight="true" outlineLevel="0" collapsed="false">
      <c r="A765" s="184"/>
      <c r="B765" s="184"/>
      <c r="C765" s="184"/>
      <c r="D765" s="184"/>
      <c r="E765" s="184"/>
      <c r="F765" s="184"/>
      <c r="G765" s="184"/>
      <c r="H765" s="184"/>
      <c r="I765" s="184"/>
      <c r="J765" s="184"/>
      <c r="K765" s="184"/>
      <c r="L765" s="184"/>
      <c r="M765" s="184"/>
      <c r="N765" s="184"/>
      <c r="O765" s="184"/>
    </row>
    <row r="766" customFormat="false" ht="15" hidden="false" customHeight="true" outlineLevel="0" collapsed="false">
      <c r="A766" s="184"/>
      <c r="B766" s="184"/>
      <c r="C766" s="184"/>
      <c r="D766" s="184"/>
      <c r="E766" s="184"/>
      <c r="F766" s="184"/>
      <c r="G766" s="184"/>
      <c r="H766" s="184"/>
      <c r="I766" s="184"/>
      <c r="J766" s="184"/>
      <c r="K766" s="184"/>
      <c r="L766" s="184"/>
      <c r="M766" s="184"/>
      <c r="N766" s="184"/>
      <c r="O766" s="184"/>
    </row>
    <row r="767" customFormat="false" ht="15" hidden="false" customHeight="true" outlineLevel="0" collapsed="false">
      <c r="A767" s="184"/>
      <c r="B767" s="184"/>
      <c r="C767" s="184"/>
      <c r="D767" s="184"/>
      <c r="E767" s="184"/>
      <c r="F767" s="184"/>
      <c r="G767" s="184"/>
      <c r="H767" s="184"/>
      <c r="I767" s="184"/>
      <c r="J767" s="184"/>
      <c r="K767" s="184"/>
      <c r="L767" s="184"/>
      <c r="M767" s="184"/>
      <c r="N767" s="184"/>
      <c r="O767" s="184"/>
    </row>
    <row r="768" customFormat="false" ht="15" hidden="false" customHeight="true" outlineLevel="0" collapsed="false">
      <c r="A768" s="184"/>
      <c r="B768" s="184"/>
      <c r="C768" s="184"/>
      <c r="D768" s="184"/>
      <c r="E768" s="184"/>
      <c r="F768" s="184"/>
      <c r="G768" s="184"/>
      <c r="H768" s="184"/>
      <c r="I768" s="184"/>
      <c r="J768" s="184"/>
      <c r="K768" s="184"/>
      <c r="L768" s="184"/>
      <c r="M768" s="184"/>
      <c r="N768" s="184"/>
      <c r="O768" s="184"/>
    </row>
    <row r="769" customFormat="false" ht="15" hidden="false" customHeight="true" outlineLevel="0" collapsed="false">
      <c r="A769" s="184"/>
      <c r="B769" s="184"/>
      <c r="C769" s="184"/>
      <c r="D769" s="184"/>
      <c r="E769" s="184"/>
      <c r="F769" s="184"/>
      <c r="G769" s="184"/>
      <c r="H769" s="184"/>
      <c r="I769" s="184"/>
      <c r="J769" s="184"/>
      <c r="K769" s="184"/>
      <c r="L769" s="184"/>
      <c r="M769" s="184"/>
      <c r="N769" s="184"/>
      <c r="O769" s="184"/>
    </row>
    <row r="770" customFormat="false" ht="15" hidden="false" customHeight="true" outlineLevel="0" collapsed="false">
      <c r="A770" s="184"/>
      <c r="B770" s="184"/>
      <c r="C770" s="184"/>
      <c r="D770" s="184"/>
      <c r="E770" s="184"/>
      <c r="F770" s="184"/>
      <c r="G770" s="184"/>
      <c r="H770" s="184"/>
      <c r="I770" s="184"/>
      <c r="J770" s="184"/>
      <c r="K770" s="184"/>
      <c r="L770" s="184"/>
      <c r="M770" s="184"/>
      <c r="N770" s="184"/>
      <c r="O770" s="184"/>
    </row>
    <row r="771" customFormat="false" ht="15" hidden="false" customHeight="true" outlineLevel="0" collapsed="false">
      <c r="A771" s="184"/>
      <c r="B771" s="184"/>
      <c r="C771" s="184"/>
      <c r="D771" s="184"/>
      <c r="E771" s="184"/>
      <c r="F771" s="184"/>
      <c r="G771" s="184"/>
      <c r="H771" s="184"/>
      <c r="I771" s="184"/>
      <c r="J771" s="184"/>
      <c r="K771" s="184"/>
      <c r="L771" s="184"/>
      <c r="M771" s="184"/>
      <c r="N771" s="184"/>
      <c r="O771" s="184"/>
    </row>
    <row r="772" customFormat="false" ht="15" hidden="false" customHeight="true" outlineLevel="0" collapsed="false">
      <c r="A772" s="184"/>
      <c r="B772" s="184"/>
      <c r="C772" s="184"/>
      <c r="D772" s="184"/>
      <c r="E772" s="184"/>
      <c r="F772" s="184"/>
      <c r="G772" s="184"/>
      <c r="H772" s="184"/>
      <c r="I772" s="184"/>
      <c r="J772" s="184"/>
      <c r="K772" s="184"/>
      <c r="L772" s="184"/>
      <c r="M772" s="184"/>
      <c r="N772" s="184"/>
      <c r="O772" s="184"/>
    </row>
    <row r="773" customFormat="false" ht="15" hidden="false" customHeight="true" outlineLevel="0" collapsed="false">
      <c r="A773" s="184"/>
      <c r="B773" s="184"/>
      <c r="C773" s="184"/>
      <c r="D773" s="184"/>
      <c r="E773" s="184"/>
      <c r="F773" s="184"/>
      <c r="G773" s="184"/>
      <c r="H773" s="184"/>
      <c r="I773" s="184"/>
      <c r="J773" s="184"/>
      <c r="K773" s="184"/>
      <c r="L773" s="184"/>
      <c r="M773" s="184"/>
      <c r="N773" s="184"/>
      <c r="O773" s="184"/>
    </row>
    <row r="774" customFormat="false" ht="15" hidden="false" customHeight="true" outlineLevel="0" collapsed="false">
      <c r="A774" s="184"/>
      <c r="B774" s="184"/>
      <c r="C774" s="184"/>
      <c r="D774" s="184"/>
      <c r="E774" s="184"/>
      <c r="F774" s="184"/>
      <c r="G774" s="184"/>
      <c r="H774" s="184"/>
      <c r="I774" s="184"/>
      <c r="J774" s="184"/>
      <c r="K774" s="184"/>
      <c r="L774" s="184"/>
      <c r="M774" s="184"/>
      <c r="N774" s="184"/>
      <c r="O774" s="184"/>
    </row>
    <row r="775" customFormat="false" ht="15" hidden="false" customHeight="true" outlineLevel="0" collapsed="false">
      <c r="A775" s="184"/>
      <c r="B775" s="184"/>
      <c r="C775" s="184"/>
      <c r="D775" s="184"/>
      <c r="E775" s="184"/>
      <c r="F775" s="184"/>
      <c r="G775" s="184"/>
      <c r="H775" s="184"/>
      <c r="I775" s="184"/>
      <c r="J775" s="184"/>
      <c r="K775" s="184"/>
      <c r="L775" s="184"/>
      <c r="M775" s="184"/>
      <c r="N775" s="184"/>
      <c r="O775" s="184"/>
    </row>
    <row r="776" customFormat="false" ht="15" hidden="false" customHeight="true" outlineLevel="0" collapsed="false">
      <c r="A776" s="184"/>
      <c r="B776" s="184"/>
      <c r="C776" s="184"/>
      <c r="D776" s="184"/>
      <c r="E776" s="184"/>
      <c r="F776" s="184"/>
      <c r="G776" s="184"/>
      <c r="H776" s="184"/>
      <c r="I776" s="184"/>
      <c r="J776" s="184"/>
      <c r="K776" s="184"/>
      <c r="L776" s="184"/>
      <c r="M776" s="184"/>
      <c r="N776" s="184"/>
      <c r="O776" s="184"/>
    </row>
    <row r="777" customFormat="false" ht="15" hidden="false" customHeight="true" outlineLevel="0" collapsed="false">
      <c r="A777" s="184"/>
      <c r="B777" s="184"/>
      <c r="C777" s="184"/>
      <c r="D777" s="184"/>
      <c r="E777" s="184"/>
      <c r="F777" s="184"/>
      <c r="G777" s="184"/>
      <c r="H777" s="184"/>
      <c r="I777" s="184"/>
      <c r="J777" s="184"/>
      <c r="K777" s="184"/>
      <c r="L777" s="184"/>
      <c r="M777" s="184"/>
      <c r="N777" s="184"/>
      <c r="O777" s="184"/>
    </row>
    <row r="778" customFormat="false" ht="15" hidden="false" customHeight="true" outlineLevel="0" collapsed="false">
      <c r="A778" s="184"/>
      <c r="B778" s="184"/>
      <c r="C778" s="184"/>
      <c r="D778" s="184"/>
      <c r="E778" s="184"/>
      <c r="F778" s="184"/>
      <c r="G778" s="184"/>
      <c r="H778" s="184"/>
      <c r="I778" s="184"/>
      <c r="J778" s="184"/>
      <c r="K778" s="184"/>
      <c r="L778" s="184"/>
      <c r="M778" s="184"/>
      <c r="N778" s="184"/>
      <c r="O778" s="184"/>
    </row>
    <row r="779" customFormat="false" ht="15" hidden="false" customHeight="true" outlineLevel="0" collapsed="false">
      <c r="A779" s="184"/>
      <c r="B779" s="184"/>
      <c r="C779" s="184"/>
      <c r="D779" s="184"/>
      <c r="E779" s="184"/>
      <c r="F779" s="184"/>
      <c r="G779" s="184"/>
      <c r="H779" s="184"/>
      <c r="I779" s="184"/>
      <c r="J779" s="184"/>
      <c r="K779" s="184"/>
      <c r="L779" s="184"/>
      <c r="M779" s="184"/>
      <c r="N779" s="184"/>
      <c r="O779" s="184"/>
    </row>
    <row r="780" customFormat="false" ht="15" hidden="false" customHeight="true" outlineLevel="0" collapsed="false">
      <c r="A780" s="184"/>
      <c r="B780" s="184"/>
      <c r="C780" s="184"/>
      <c r="D780" s="184"/>
      <c r="E780" s="184"/>
      <c r="F780" s="184"/>
      <c r="G780" s="184"/>
      <c r="H780" s="184"/>
      <c r="I780" s="184"/>
      <c r="J780" s="184"/>
      <c r="K780" s="184"/>
      <c r="L780" s="184"/>
      <c r="M780" s="184"/>
      <c r="N780" s="184"/>
      <c r="O780" s="184"/>
    </row>
    <row r="781" customFormat="false" ht="15" hidden="false" customHeight="true" outlineLevel="0" collapsed="false">
      <c r="A781" s="184"/>
      <c r="B781" s="184"/>
      <c r="C781" s="184"/>
      <c r="D781" s="184"/>
      <c r="E781" s="184"/>
      <c r="F781" s="184"/>
      <c r="G781" s="184"/>
      <c r="H781" s="184"/>
      <c r="I781" s="184"/>
      <c r="J781" s="184"/>
      <c r="K781" s="184"/>
      <c r="L781" s="184"/>
      <c r="M781" s="184"/>
      <c r="N781" s="184"/>
      <c r="O781" s="184"/>
    </row>
    <row r="782" customFormat="false" ht="15" hidden="false" customHeight="true" outlineLevel="0" collapsed="false">
      <c r="A782" s="184"/>
      <c r="B782" s="184"/>
      <c r="C782" s="184"/>
      <c r="D782" s="184"/>
      <c r="E782" s="184"/>
      <c r="F782" s="184"/>
      <c r="G782" s="184"/>
      <c r="H782" s="184"/>
      <c r="I782" s="184"/>
      <c r="J782" s="184"/>
      <c r="K782" s="184"/>
      <c r="L782" s="184"/>
      <c r="M782" s="184"/>
      <c r="N782" s="184"/>
      <c r="O782" s="184"/>
    </row>
    <row r="783" customFormat="false" ht="15" hidden="false" customHeight="true" outlineLevel="0" collapsed="false">
      <c r="A783" s="184"/>
      <c r="B783" s="184"/>
      <c r="C783" s="184"/>
      <c r="D783" s="184"/>
      <c r="E783" s="184"/>
      <c r="F783" s="184"/>
      <c r="G783" s="184"/>
      <c r="H783" s="184"/>
      <c r="I783" s="184"/>
      <c r="J783" s="184"/>
      <c r="K783" s="184"/>
      <c r="L783" s="184"/>
      <c r="M783" s="184"/>
      <c r="N783" s="184"/>
      <c r="O783" s="184"/>
    </row>
    <row r="784" customFormat="false" ht="15" hidden="false" customHeight="true" outlineLevel="0" collapsed="false">
      <c r="A784" s="184"/>
      <c r="B784" s="184"/>
      <c r="C784" s="184"/>
      <c r="D784" s="184"/>
      <c r="E784" s="184"/>
      <c r="F784" s="184"/>
      <c r="G784" s="184"/>
      <c r="H784" s="184"/>
      <c r="I784" s="184"/>
      <c r="J784" s="184"/>
      <c r="K784" s="184"/>
      <c r="L784" s="184"/>
      <c r="M784" s="184"/>
      <c r="N784" s="184"/>
      <c r="O784" s="184"/>
    </row>
    <row r="785" customFormat="false" ht="15" hidden="false" customHeight="true" outlineLevel="0" collapsed="false">
      <c r="A785" s="184"/>
      <c r="B785" s="184"/>
      <c r="C785" s="184"/>
      <c r="D785" s="184"/>
      <c r="E785" s="184"/>
      <c r="F785" s="184"/>
      <c r="G785" s="184"/>
      <c r="H785" s="184"/>
      <c r="I785" s="184"/>
      <c r="J785" s="184"/>
      <c r="K785" s="184"/>
      <c r="L785" s="184"/>
      <c r="M785" s="184"/>
      <c r="N785" s="184"/>
      <c r="O785" s="184"/>
    </row>
    <row r="786" customFormat="false" ht="15" hidden="false" customHeight="true" outlineLevel="0" collapsed="false">
      <c r="A786" s="184"/>
      <c r="B786" s="184"/>
      <c r="C786" s="184"/>
      <c r="D786" s="184"/>
      <c r="E786" s="184"/>
      <c r="F786" s="184"/>
      <c r="G786" s="184"/>
      <c r="H786" s="184"/>
      <c r="I786" s="184"/>
      <c r="J786" s="184"/>
      <c r="K786" s="184"/>
      <c r="L786" s="184"/>
      <c r="M786" s="184"/>
      <c r="N786" s="184"/>
      <c r="O786" s="184"/>
    </row>
    <row r="787" customFormat="false" ht="15" hidden="false" customHeight="true" outlineLevel="0" collapsed="false">
      <c r="A787" s="184"/>
      <c r="B787" s="184"/>
      <c r="C787" s="184"/>
      <c r="D787" s="184"/>
      <c r="E787" s="184"/>
      <c r="F787" s="184"/>
      <c r="G787" s="184"/>
      <c r="H787" s="184"/>
      <c r="I787" s="184"/>
      <c r="J787" s="184"/>
      <c r="K787" s="184"/>
      <c r="L787" s="184"/>
      <c r="M787" s="184"/>
      <c r="N787" s="184"/>
      <c r="O787" s="184"/>
    </row>
    <row r="788" customFormat="false" ht="15" hidden="false" customHeight="true" outlineLevel="0" collapsed="false">
      <c r="A788" s="184"/>
      <c r="B788" s="184"/>
      <c r="C788" s="184"/>
      <c r="D788" s="184"/>
      <c r="E788" s="184"/>
      <c r="F788" s="184"/>
      <c r="G788" s="184"/>
      <c r="H788" s="184"/>
      <c r="I788" s="184"/>
      <c r="J788" s="184"/>
      <c r="K788" s="184"/>
      <c r="L788" s="184"/>
      <c r="M788" s="184"/>
      <c r="N788" s="184"/>
      <c r="O788" s="184"/>
    </row>
    <row r="789" customFormat="false" ht="15" hidden="false" customHeight="true" outlineLevel="0" collapsed="false">
      <c r="A789" s="184"/>
      <c r="B789" s="184"/>
      <c r="C789" s="184"/>
      <c r="D789" s="184"/>
      <c r="E789" s="184"/>
      <c r="F789" s="184"/>
      <c r="G789" s="184"/>
      <c r="H789" s="184"/>
      <c r="I789" s="184"/>
      <c r="J789" s="184"/>
      <c r="K789" s="184"/>
      <c r="L789" s="184"/>
      <c r="M789" s="184"/>
      <c r="N789" s="184"/>
      <c r="O789" s="184"/>
    </row>
    <row r="790" customFormat="false" ht="15" hidden="false" customHeight="true" outlineLevel="0" collapsed="false">
      <c r="A790" s="184"/>
      <c r="B790" s="184"/>
      <c r="C790" s="184"/>
      <c r="D790" s="184"/>
      <c r="E790" s="184"/>
      <c r="F790" s="184"/>
      <c r="G790" s="184"/>
      <c r="H790" s="184"/>
      <c r="I790" s="184"/>
      <c r="J790" s="184"/>
      <c r="K790" s="184"/>
      <c r="L790" s="184"/>
      <c r="M790" s="184"/>
      <c r="N790" s="184"/>
      <c r="O790" s="184"/>
    </row>
    <row r="791" customFormat="false" ht="15" hidden="false" customHeight="true" outlineLevel="0" collapsed="false">
      <c r="A791" s="184"/>
      <c r="B791" s="184"/>
      <c r="C791" s="184"/>
      <c r="D791" s="184"/>
      <c r="E791" s="184"/>
      <c r="F791" s="184"/>
      <c r="G791" s="184"/>
      <c r="H791" s="184"/>
      <c r="I791" s="184"/>
      <c r="J791" s="184"/>
      <c r="K791" s="184"/>
      <c r="L791" s="184"/>
      <c r="M791" s="184"/>
      <c r="N791" s="184"/>
      <c r="O791" s="184"/>
    </row>
    <row r="792" customFormat="false" ht="15" hidden="false" customHeight="true" outlineLevel="0" collapsed="false">
      <c r="A792" s="184"/>
      <c r="B792" s="184"/>
      <c r="C792" s="184"/>
      <c r="D792" s="184"/>
      <c r="E792" s="184"/>
      <c r="F792" s="184"/>
      <c r="G792" s="184"/>
      <c r="H792" s="184"/>
      <c r="I792" s="184"/>
      <c r="J792" s="184"/>
      <c r="K792" s="184"/>
      <c r="L792" s="184"/>
      <c r="M792" s="184"/>
      <c r="N792" s="184"/>
      <c r="O792" s="184"/>
    </row>
    <row r="793" customFormat="false" ht="15" hidden="false" customHeight="true" outlineLevel="0" collapsed="false">
      <c r="A793" s="184"/>
      <c r="B793" s="184"/>
      <c r="C793" s="184"/>
      <c r="D793" s="184"/>
      <c r="E793" s="184"/>
      <c r="F793" s="184"/>
      <c r="G793" s="184"/>
      <c r="H793" s="184"/>
      <c r="I793" s="184"/>
      <c r="J793" s="184"/>
      <c r="K793" s="184"/>
      <c r="L793" s="184"/>
      <c r="M793" s="184"/>
      <c r="N793" s="184"/>
      <c r="O793" s="184"/>
    </row>
    <row r="794" customFormat="false" ht="15" hidden="false" customHeight="true" outlineLevel="0" collapsed="false">
      <c r="A794" s="184"/>
      <c r="B794" s="184"/>
      <c r="C794" s="184"/>
      <c r="D794" s="184"/>
      <c r="E794" s="184"/>
      <c r="F794" s="184"/>
      <c r="G794" s="184"/>
      <c r="H794" s="184"/>
      <c r="I794" s="184"/>
      <c r="J794" s="184"/>
      <c r="K794" s="184"/>
      <c r="L794" s="184"/>
      <c r="M794" s="184"/>
      <c r="N794" s="184"/>
      <c r="O794" s="184"/>
    </row>
    <row r="795" customFormat="false" ht="15" hidden="false" customHeight="true" outlineLevel="0" collapsed="false">
      <c r="A795" s="184"/>
      <c r="B795" s="184"/>
      <c r="C795" s="184"/>
      <c r="D795" s="184"/>
      <c r="E795" s="184"/>
      <c r="F795" s="184"/>
      <c r="G795" s="184"/>
      <c r="H795" s="184"/>
      <c r="I795" s="184"/>
      <c r="J795" s="184"/>
      <c r="K795" s="184"/>
      <c r="L795" s="184"/>
      <c r="M795" s="184"/>
      <c r="N795" s="184"/>
      <c r="O795" s="184"/>
    </row>
    <row r="796" customFormat="false" ht="15" hidden="false" customHeight="true" outlineLevel="0" collapsed="false">
      <c r="A796" s="184"/>
      <c r="B796" s="184"/>
      <c r="C796" s="184"/>
      <c r="D796" s="184"/>
      <c r="E796" s="184"/>
      <c r="F796" s="184"/>
      <c r="G796" s="184"/>
      <c r="H796" s="184"/>
      <c r="I796" s="184"/>
      <c r="J796" s="184"/>
      <c r="K796" s="184"/>
      <c r="L796" s="184"/>
      <c r="M796" s="184"/>
      <c r="N796" s="184"/>
      <c r="O796" s="184"/>
    </row>
    <row r="797" customFormat="false" ht="15" hidden="false" customHeight="true" outlineLevel="0" collapsed="false">
      <c r="A797" s="184"/>
      <c r="B797" s="184"/>
      <c r="C797" s="184"/>
      <c r="D797" s="184"/>
      <c r="E797" s="184"/>
      <c r="F797" s="184"/>
      <c r="G797" s="184"/>
      <c r="H797" s="184"/>
      <c r="I797" s="184"/>
      <c r="J797" s="184"/>
      <c r="K797" s="184"/>
      <c r="L797" s="184"/>
      <c r="M797" s="184"/>
      <c r="N797" s="184"/>
      <c r="O797" s="184"/>
    </row>
    <row r="798" customFormat="false" ht="15" hidden="false" customHeight="true" outlineLevel="0" collapsed="false">
      <c r="A798" s="184"/>
      <c r="B798" s="184"/>
      <c r="C798" s="184"/>
      <c r="D798" s="184"/>
      <c r="E798" s="184"/>
      <c r="F798" s="184"/>
      <c r="G798" s="184"/>
      <c r="H798" s="184"/>
      <c r="I798" s="184"/>
      <c r="J798" s="184"/>
      <c r="K798" s="184"/>
      <c r="L798" s="184"/>
      <c r="M798" s="184"/>
      <c r="N798" s="184"/>
      <c r="O798" s="184"/>
    </row>
    <row r="799" customFormat="false" ht="15" hidden="false" customHeight="true" outlineLevel="0" collapsed="false">
      <c r="A799" s="184"/>
      <c r="B799" s="184"/>
      <c r="C799" s="184"/>
      <c r="D799" s="184"/>
      <c r="E799" s="184"/>
      <c r="F799" s="184"/>
      <c r="G799" s="184"/>
      <c r="H799" s="184"/>
      <c r="I799" s="184"/>
      <c r="J799" s="184"/>
      <c r="K799" s="184"/>
      <c r="L799" s="184"/>
      <c r="M799" s="184"/>
      <c r="N799" s="184"/>
      <c r="O799" s="184"/>
    </row>
    <row r="800" customFormat="false" ht="15" hidden="false" customHeight="true" outlineLevel="0" collapsed="false">
      <c r="A800" s="184"/>
      <c r="B800" s="184"/>
      <c r="C800" s="184"/>
      <c r="D800" s="184"/>
      <c r="E800" s="184"/>
      <c r="F800" s="184"/>
      <c r="G800" s="184"/>
      <c r="H800" s="184"/>
      <c r="I800" s="184"/>
      <c r="J800" s="184"/>
      <c r="K800" s="184"/>
      <c r="L800" s="184"/>
      <c r="M800" s="184"/>
      <c r="N800" s="184"/>
      <c r="O800" s="184"/>
    </row>
    <row r="801" customFormat="false" ht="15" hidden="false" customHeight="true" outlineLevel="0" collapsed="false">
      <c r="A801" s="184"/>
      <c r="B801" s="184"/>
      <c r="C801" s="184"/>
      <c r="D801" s="184"/>
      <c r="E801" s="184"/>
      <c r="F801" s="184"/>
      <c r="G801" s="184"/>
      <c r="H801" s="184"/>
      <c r="I801" s="184"/>
      <c r="J801" s="184"/>
      <c r="K801" s="184"/>
      <c r="L801" s="184"/>
      <c r="M801" s="184"/>
      <c r="N801" s="184"/>
      <c r="O801" s="184"/>
    </row>
    <row r="802" customFormat="false" ht="15" hidden="false" customHeight="true" outlineLevel="0" collapsed="false">
      <c r="A802" s="184"/>
      <c r="B802" s="184"/>
      <c r="C802" s="184"/>
      <c r="D802" s="184"/>
      <c r="E802" s="184"/>
      <c r="F802" s="184"/>
      <c r="G802" s="184"/>
      <c r="H802" s="184"/>
      <c r="I802" s="184"/>
      <c r="J802" s="184"/>
      <c r="K802" s="184"/>
      <c r="L802" s="184"/>
      <c r="M802" s="184"/>
      <c r="N802" s="184"/>
      <c r="O802" s="184"/>
    </row>
    <row r="803" customFormat="false" ht="15" hidden="false" customHeight="true" outlineLevel="0" collapsed="false">
      <c r="A803" s="184"/>
      <c r="B803" s="184"/>
      <c r="C803" s="184"/>
      <c r="D803" s="184"/>
      <c r="E803" s="184"/>
      <c r="F803" s="184"/>
      <c r="G803" s="184"/>
      <c r="H803" s="184"/>
      <c r="I803" s="184"/>
      <c r="J803" s="184"/>
      <c r="K803" s="184"/>
      <c r="L803" s="184"/>
      <c r="M803" s="184"/>
      <c r="N803" s="184"/>
      <c r="O803" s="184"/>
    </row>
    <row r="804" customFormat="false" ht="15" hidden="false" customHeight="true" outlineLevel="0" collapsed="false">
      <c r="A804" s="184"/>
      <c r="B804" s="184"/>
      <c r="C804" s="184"/>
      <c r="D804" s="184"/>
      <c r="E804" s="184"/>
      <c r="F804" s="184"/>
      <c r="G804" s="184"/>
      <c r="H804" s="184"/>
      <c r="I804" s="184"/>
      <c r="J804" s="184"/>
      <c r="K804" s="184"/>
      <c r="L804" s="184"/>
      <c r="M804" s="184"/>
      <c r="N804" s="184"/>
      <c r="O804" s="184"/>
    </row>
    <row r="805" customFormat="false" ht="15" hidden="false" customHeight="true" outlineLevel="0" collapsed="false">
      <c r="A805" s="184"/>
      <c r="B805" s="184"/>
      <c r="C805" s="184"/>
      <c r="D805" s="184"/>
      <c r="E805" s="184"/>
      <c r="F805" s="184"/>
      <c r="G805" s="184"/>
      <c r="H805" s="184"/>
      <c r="I805" s="184"/>
      <c r="J805" s="184"/>
      <c r="K805" s="184"/>
      <c r="L805" s="184"/>
      <c r="M805" s="184"/>
      <c r="N805" s="184"/>
      <c r="O805" s="184"/>
    </row>
    <row r="806" customFormat="false" ht="15" hidden="false" customHeight="true" outlineLevel="0" collapsed="false">
      <c r="A806" s="184"/>
      <c r="B806" s="184"/>
      <c r="C806" s="184"/>
      <c r="D806" s="184"/>
      <c r="E806" s="184"/>
      <c r="F806" s="184"/>
      <c r="G806" s="184"/>
      <c r="H806" s="184"/>
      <c r="I806" s="184"/>
      <c r="J806" s="184"/>
      <c r="K806" s="184"/>
      <c r="L806" s="184"/>
      <c r="M806" s="184"/>
      <c r="N806" s="184"/>
      <c r="O806" s="184"/>
    </row>
    <row r="807" customFormat="false" ht="15" hidden="false" customHeight="true" outlineLevel="0" collapsed="false">
      <c r="A807" s="184"/>
      <c r="B807" s="184"/>
      <c r="C807" s="184"/>
      <c r="D807" s="184"/>
      <c r="E807" s="184"/>
      <c r="F807" s="184"/>
      <c r="G807" s="184"/>
      <c r="H807" s="184"/>
      <c r="I807" s="184"/>
      <c r="J807" s="184"/>
      <c r="K807" s="184"/>
      <c r="L807" s="184"/>
      <c r="M807" s="184"/>
      <c r="N807" s="184"/>
      <c r="O807" s="184"/>
    </row>
    <row r="808" customFormat="false" ht="15" hidden="false" customHeight="true" outlineLevel="0" collapsed="false">
      <c r="A808" s="184"/>
      <c r="B808" s="184"/>
      <c r="C808" s="184"/>
      <c r="D808" s="184"/>
      <c r="E808" s="184"/>
      <c r="F808" s="184"/>
      <c r="G808" s="184"/>
      <c r="H808" s="184"/>
      <c r="I808" s="184"/>
      <c r="J808" s="184"/>
      <c r="K808" s="184"/>
      <c r="L808" s="184"/>
      <c r="M808" s="184"/>
      <c r="N808" s="184"/>
      <c r="O808" s="184"/>
    </row>
    <row r="809" customFormat="false" ht="15" hidden="false" customHeight="true" outlineLevel="0" collapsed="false">
      <c r="A809" s="184"/>
      <c r="B809" s="184"/>
      <c r="C809" s="184"/>
      <c r="D809" s="184"/>
      <c r="E809" s="184"/>
      <c r="F809" s="184"/>
      <c r="G809" s="184"/>
      <c r="H809" s="184"/>
      <c r="I809" s="184"/>
      <c r="J809" s="184"/>
      <c r="K809" s="184"/>
      <c r="L809" s="184"/>
      <c r="M809" s="184"/>
      <c r="N809" s="184"/>
      <c r="O809" s="184"/>
    </row>
    <row r="810" customFormat="false" ht="15" hidden="false" customHeight="true" outlineLevel="0" collapsed="false">
      <c r="A810" s="184"/>
      <c r="B810" s="184"/>
      <c r="C810" s="184"/>
      <c r="D810" s="184"/>
      <c r="E810" s="184"/>
      <c r="F810" s="184"/>
      <c r="G810" s="184"/>
      <c r="H810" s="184"/>
      <c r="I810" s="184"/>
      <c r="J810" s="184"/>
      <c r="K810" s="184"/>
      <c r="L810" s="184"/>
      <c r="M810" s="184"/>
      <c r="N810" s="184"/>
      <c r="O810" s="184"/>
    </row>
    <row r="811" customFormat="false" ht="15" hidden="false" customHeight="true" outlineLevel="0" collapsed="false">
      <c r="A811" s="184"/>
      <c r="B811" s="184"/>
      <c r="C811" s="184"/>
      <c r="D811" s="184"/>
      <c r="E811" s="184"/>
      <c r="F811" s="184"/>
      <c r="G811" s="184"/>
      <c r="H811" s="184"/>
      <c r="I811" s="184"/>
      <c r="J811" s="184"/>
      <c r="K811" s="184"/>
      <c r="L811" s="184"/>
      <c r="M811" s="184"/>
      <c r="N811" s="184"/>
      <c r="O811" s="184"/>
    </row>
    <row r="812" customFormat="false" ht="15" hidden="false" customHeight="true" outlineLevel="0" collapsed="false">
      <c r="A812" s="184"/>
      <c r="B812" s="184"/>
      <c r="C812" s="184"/>
      <c r="D812" s="184"/>
      <c r="E812" s="184"/>
      <c r="F812" s="184"/>
      <c r="G812" s="184"/>
      <c r="H812" s="184"/>
      <c r="I812" s="184"/>
      <c r="J812" s="184"/>
      <c r="K812" s="184"/>
      <c r="L812" s="184"/>
      <c r="M812" s="184"/>
      <c r="N812" s="184"/>
      <c r="O812" s="184"/>
    </row>
    <row r="813" customFormat="false" ht="15" hidden="false" customHeight="true" outlineLevel="0" collapsed="false">
      <c r="A813" s="184"/>
      <c r="B813" s="184"/>
      <c r="C813" s="184"/>
      <c r="D813" s="184"/>
      <c r="E813" s="184"/>
      <c r="F813" s="184"/>
      <c r="G813" s="184"/>
      <c r="H813" s="184"/>
      <c r="I813" s="184"/>
      <c r="J813" s="184"/>
      <c r="K813" s="184"/>
      <c r="L813" s="184"/>
      <c r="M813" s="184"/>
      <c r="N813" s="184"/>
      <c r="O813" s="184"/>
    </row>
    <row r="814" customFormat="false" ht="15" hidden="false" customHeight="true" outlineLevel="0" collapsed="false">
      <c r="A814" s="184"/>
      <c r="B814" s="184"/>
      <c r="C814" s="184"/>
      <c r="D814" s="184"/>
      <c r="E814" s="184"/>
      <c r="F814" s="184"/>
      <c r="G814" s="184"/>
      <c r="H814" s="184"/>
      <c r="I814" s="184"/>
      <c r="J814" s="184"/>
      <c r="K814" s="184"/>
      <c r="L814" s="184"/>
      <c r="M814" s="184"/>
      <c r="N814" s="184"/>
      <c r="O814" s="184"/>
    </row>
    <row r="815" customFormat="false" ht="15" hidden="false" customHeight="true" outlineLevel="0" collapsed="false">
      <c r="A815" s="184"/>
      <c r="B815" s="184"/>
      <c r="C815" s="184"/>
      <c r="D815" s="184"/>
      <c r="E815" s="184"/>
      <c r="F815" s="184"/>
      <c r="G815" s="184"/>
      <c r="H815" s="184"/>
      <c r="I815" s="184"/>
      <c r="J815" s="184"/>
      <c r="K815" s="184"/>
      <c r="L815" s="184"/>
      <c r="M815" s="184"/>
      <c r="N815" s="184"/>
      <c r="O815" s="184"/>
    </row>
    <row r="816" customFormat="false" ht="15" hidden="false" customHeight="true" outlineLevel="0" collapsed="false">
      <c r="A816" s="184"/>
      <c r="B816" s="184"/>
      <c r="C816" s="184"/>
      <c r="D816" s="184"/>
      <c r="E816" s="184"/>
      <c r="F816" s="184"/>
      <c r="G816" s="184"/>
      <c r="H816" s="184"/>
      <c r="I816" s="184"/>
      <c r="J816" s="184"/>
      <c r="K816" s="184"/>
      <c r="L816" s="184"/>
      <c r="M816" s="184"/>
      <c r="N816" s="184"/>
      <c r="O816" s="184"/>
    </row>
    <row r="817" customFormat="false" ht="15" hidden="false" customHeight="true" outlineLevel="0" collapsed="false">
      <c r="A817" s="184"/>
      <c r="B817" s="184"/>
      <c r="C817" s="184"/>
      <c r="D817" s="184"/>
      <c r="E817" s="184"/>
      <c r="F817" s="184"/>
      <c r="G817" s="184"/>
      <c r="H817" s="184"/>
      <c r="I817" s="184"/>
      <c r="J817" s="184"/>
      <c r="K817" s="184"/>
      <c r="L817" s="184"/>
      <c r="M817" s="184"/>
      <c r="N817" s="184"/>
      <c r="O817" s="184"/>
    </row>
    <row r="818" customFormat="false" ht="15" hidden="false" customHeight="true" outlineLevel="0" collapsed="false">
      <c r="A818" s="184"/>
      <c r="B818" s="184"/>
      <c r="C818" s="184"/>
      <c r="D818" s="184"/>
      <c r="E818" s="184"/>
      <c r="F818" s="184"/>
      <c r="G818" s="184"/>
      <c r="H818" s="184"/>
      <c r="I818" s="184"/>
      <c r="J818" s="184"/>
      <c r="K818" s="184"/>
      <c r="L818" s="184"/>
      <c r="M818" s="184"/>
      <c r="N818" s="184"/>
      <c r="O818" s="184"/>
    </row>
    <row r="819" customFormat="false" ht="15" hidden="false" customHeight="true" outlineLevel="0" collapsed="false">
      <c r="A819" s="184"/>
      <c r="B819" s="184"/>
      <c r="C819" s="184"/>
      <c r="D819" s="184"/>
      <c r="E819" s="184"/>
      <c r="F819" s="184"/>
      <c r="G819" s="184"/>
      <c r="H819" s="184"/>
      <c r="I819" s="184"/>
      <c r="J819" s="184"/>
      <c r="K819" s="184"/>
      <c r="L819" s="184"/>
      <c r="M819" s="184"/>
      <c r="N819" s="184"/>
      <c r="O819" s="184"/>
    </row>
    <row r="820" customFormat="false" ht="15" hidden="false" customHeight="true" outlineLevel="0" collapsed="false">
      <c r="A820" s="184"/>
      <c r="B820" s="184"/>
      <c r="C820" s="184"/>
      <c r="D820" s="184"/>
      <c r="E820" s="184"/>
      <c r="F820" s="184"/>
      <c r="G820" s="184"/>
      <c r="H820" s="184"/>
      <c r="I820" s="184"/>
      <c r="J820" s="184"/>
      <c r="K820" s="184"/>
      <c r="L820" s="184"/>
      <c r="M820" s="184"/>
      <c r="N820" s="184"/>
      <c r="O820" s="184"/>
    </row>
    <row r="821" customFormat="false" ht="15" hidden="false" customHeight="true" outlineLevel="0" collapsed="false">
      <c r="A821" s="184"/>
      <c r="B821" s="184"/>
      <c r="C821" s="184"/>
      <c r="D821" s="184"/>
      <c r="E821" s="184"/>
      <c r="F821" s="184"/>
      <c r="G821" s="184"/>
      <c r="H821" s="184"/>
      <c r="I821" s="184"/>
      <c r="J821" s="184"/>
      <c r="K821" s="184"/>
      <c r="L821" s="184"/>
      <c r="M821" s="184"/>
      <c r="N821" s="184"/>
      <c r="O821" s="184"/>
    </row>
    <row r="822" customFormat="false" ht="15" hidden="false" customHeight="true" outlineLevel="0" collapsed="false">
      <c r="A822" s="184"/>
      <c r="B822" s="184"/>
      <c r="C822" s="184"/>
      <c r="D822" s="184"/>
      <c r="E822" s="184"/>
      <c r="F822" s="184"/>
      <c r="G822" s="184"/>
      <c r="H822" s="184"/>
      <c r="I822" s="184"/>
      <c r="J822" s="184"/>
      <c r="K822" s="184"/>
      <c r="L822" s="184"/>
      <c r="M822" s="184"/>
      <c r="N822" s="184"/>
      <c r="O822" s="184"/>
    </row>
    <row r="823" customFormat="false" ht="15" hidden="false" customHeight="true" outlineLevel="0" collapsed="false">
      <c r="A823" s="184"/>
      <c r="B823" s="184"/>
      <c r="C823" s="184"/>
      <c r="D823" s="184"/>
      <c r="E823" s="184"/>
      <c r="F823" s="184"/>
      <c r="G823" s="184"/>
      <c r="H823" s="184"/>
      <c r="I823" s="184"/>
      <c r="J823" s="184"/>
      <c r="K823" s="184"/>
      <c r="L823" s="184"/>
      <c r="M823" s="184"/>
      <c r="N823" s="184"/>
      <c r="O823" s="184"/>
    </row>
    <row r="824" customFormat="false" ht="15" hidden="false" customHeight="true" outlineLevel="0" collapsed="false">
      <c r="A824" s="184"/>
      <c r="B824" s="184"/>
      <c r="C824" s="184"/>
      <c r="D824" s="184"/>
      <c r="E824" s="184"/>
      <c r="F824" s="184"/>
      <c r="G824" s="184"/>
      <c r="H824" s="184"/>
      <c r="I824" s="184"/>
      <c r="J824" s="184"/>
      <c r="K824" s="184"/>
      <c r="L824" s="184"/>
      <c r="M824" s="184"/>
      <c r="N824" s="184"/>
      <c r="O824" s="184"/>
    </row>
    <row r="825" customFormat="false" ht="15" hidden="false" customHeight="true" outlineLevel="0" collapsed="false">
      <c r="A825" s="184"/>
      <c r="B825" s="184"/>
      <c r="C825" s="184"/>
      <c r="D825" s="184"/>
      <c r="E825" s="184"/>
      <c r="F825" s="184"/>
      <c r="G825" s="184"/>
      <c r="H825" s="184"/>
      <c r="I825" s="184"/>
      <c r="J825" s="184"/>
      <c r="K825" s="184"/>
      <c r="L825" s="184"/>
      <c r="M825" s="184"/>
      <c r="N825" s="184"/>
      <c r="O825" s="184"/>
    </row>
    <row r="826" customFormat="false" ht="15" hidden="false" customHeight="true" outlineLevel="0" collapsed="false">
      <c r="A826" s="184"/>
      <c r="B826" s="184"/>
      <c r="C826" s="184"/>
      <c r="D826" s="184"/>
      <c r="E826" s="184"/>
      <c r="F826" s="184"/>
      <c r="G826" s="184"/>
      <c r="H826" s="184"/>
      <c r="I826" s="184"/>
      <c r="J826" s="184"/>
      <c r="K826" s="184"/>
      <c r="L826" s="184"/>
      <c r="M826" s="184"/>
      <c r="N826" s="184"/>
      <c r="O826" s="184"/>
    </row>
    <row r="827" customFormat="false" ht="15" hidden="false" customHeight="true" outlineLevel="0" collapsed="false">
      <c r="A827" s="184"/>
      <c r="B827" s="184"/>
      <c r="C827" s="184"/>
      <c r="D827" s="184"/>
      <c r="E827" s="184"/>
      <c r="F827" s="184"/>
      <c r="G827" s="184"/>
      <c r="H827" s="184"/>
      <c r="I827" s="184"/>
      <c r="J827" s="184"/>
      <c r="K827" s="184"/>
      <c r="L827" s="184"/>
      <c r="M827" s="184"/>
      <c r="N827" s="184"/>
      <c r="O827" s="184"/>
    </row>
    <row r="828" customFormat="false" ht="15" hidden="false" customHeight="true" outlineLevel="0" collapsed="false">
      <c r="A828" s="184"/>
      <c r="B828" s="184"/>
      <c r="C828" s="184"/>
      <c r="D828" s="184"/>
      <c r="E828" s="184"/>
      <c r="F828" s="184"/>
      <c r="G828" s="184"/>
      <c r="H828" s="184"/>
      <c r="I828" s="184"/>
      <c r="J828" s="184"/>
      <c r="K828" s="184"/>
      <c r="L828" s="184"/>
      <c r="M828" s="184"/>
      <c r="N828" s="184"/>
      <c r="O828" s="184"/>
    </row>
    <row r="829" customFormat="false" ht="15" hidden="false" customHeight="true" outlineLevel="0" collapsed="false">
      <c r="A829" s="184"/>
      <c r="B829" s="184"/>
      <c r="C829" s="184"/>
      <c r="D829" s="184"/>
      <c r="E829" s="184"/>
      <c r="F829" s="184"/>
      <c r="G829" s="184"/>
      <c r="H829" s="184"/>
      <c r="I829" s="184"/>
      <c r="J829" s="184"/>
      <c r="K829" s="184"/>
      <c r="L829" s="184"/>
      <c r="M829" s="184"/>
      <c r="N829" s="184"/>
      <c r="O829" s="184"/>
    </row>
    <row r="830" customFormat="false" ht="15" hidden="false" customHeight="true" outlineLevel="0" collapsed="false">
      <c r="A830" s="184"/>
      <c r="B830" s="184"/>
      <c r="C830" s="184"/>
      <c r="D830" s="184"/>
      <c r="E830" s="184"/>
      <c r="F830" s="184"/>
      <c r="G830" s="184"/>
      <c r="H830" s="184"/>
      <c r="I830" s="184"/>
      <c r="J830" s="184"/>
      <c r="K830" s="184"/>
      <c r="L830" s="184"/>
      <c r="M830" s="184"/>
      <c r="N830" s="184"/>
      <c r="O830" s="184"/>
    </row>
    <row r="831" customFormat="false" ht="15" hidden="false" customHeight="true" outlineLevel="0" collapsed="false">
      <c r="A831" s="184"/>
      <c r="B831" s="184"/>
      <c r="C831" s="184"/>
      <c r="D831" s="184"/>
      <c r="E831" s="184"/>
      <c r="F831" s="184"/>
      <c r="G831" s="184"/>
      <c r="H831" s="184"/>
      <c r="I831" s="184"/>
      <c r="J831" s="184"/>
      <c r="K831" s="184"/>
      <c r="L831" s="184"/>
      <c r="M831" s="184"/>
      <c r="N831" s="184"/>
      <c r="O831" s="184"/>
    </row>
    <row r="832" customFormat="false" ht="15" hidden="false" customHeight="true" outlineLevel="0" collapsed="false">
      <c r="A832" s="184"/>
      <c r="B832" s="184"/>
      <c r="C832" s="184"/>
      <c r="D832" s="184"/>
      <c r="E832" s="184"/>
      <c r="F832" s="184"/>
      <c r="G832" s="184"/>
      <c r="H832" s="184"/>
      <c r="I832" s="184"/>
      <c r="J832" s="184"/>
      <c r="K832" s="184"/>
      <c r="L832" s="184"/>
      <c r="M832" s="184"/>
      <c r="N832" s="184"/>
      <c r="O832" s="184"/>
    </row>
    <row r="833" customFormat="false" ht="15" hidden="false" customHeight="true" outlineLevel="0" collapsed="false">
      <c r="A833" s="184"/>
      <c r="B833" s="184"/>
      <c r="C833" s="184"/>
      <c r="D833" s="184"/>
      <c r="E833" s="184"/>
      <c r="F833" s="184"/>
      <c r="G833" s="184"/>
      <c r="H833" s="184"/>
      <c r="I833" s="184"/>
      <c r="J833" s="184"/>
      <c r="K833" s="184"/>
      <c r="L833" s="184"/>
      <c r="M833" s="184"/>
      <c r="N833" s="184"/>
      <c r="O833" s="184"/>
    </row>
    <row r="834" customFormat="false" ht="15" hidden="false" customHeight="true" outlineLevel="0" collapsed="false">
      <c r="A834" s="184"/>
      <c r="B834" s="184"/>
      <c r="C834" s="184"/>
      <c r="D834" s="184"/>
      <c r="E834" s="184"/>
      <c r="F834" s="184"/>
      <c r="G834" s="184"/>
      <c r="H834" s="184"/>
      <c r="I834" s="184"/>
      <c r="J834" s="184"/>
      <c r="K834" s="184"/>
      <c r="L834" s="184"/>
      <c r="M834" s="184"/>
      <c r="N834" s="184"/>
      <c r="O834" s="184"/>
    </row>
    <row r="835" customFormat="false" ht="15" hidden="false" customHeight="true" outlineLevel="0" collapsed="false">
      <c r="A835" s="184"/>
      <c r="B835" s="184"/>
      <c r="C835" s="184"/>
      <c r="D835" s="184"/>
      <c r="E835" s="184"/>
      <c r="F835" s="184"/>
      <c r="G835" s="184"/>
      <c r="H835" s="184"/>
      <c r="I835" s="184"/>
      <c r="J835" s="184"/>
      <c r="K835" s="184"/>
      <c r="L835" s="184"/>
      <c r="M835" s="184"/>
      <c r="N835" s="184"/>
      <c r="O835" s="184"/>
    </row>
    <row r="836" customFormat="false" ht="15" hidden="false" customHeight="true" outlineLevel="0" collapsed="false">
      <c r="A836" s="184"/>
      <c r="B836" s="184"/>
      <c r="C836" s="184"/>
      <c r="D836" s="184"/>
      <c r="E836" s="184"/>
      <c r="F836" s="184"/>
      <c r="G836" s="184"/>
      <c r="H836" s="184"/>
      <c r="I836" s="184"/>
      <c r="J836" s="184"/>
      <c r="K836" s="184"/>
      <c r="L836" s="184"/>
      <c r="M836" s="184"/>
      <c r="N836" s="184"/>
      <c r="O836" s="184"/>
    </row>
    <row r="837" customFormat="false" ht="15" hidden="false" customHeight="true" outlineLevel="0" collapsed="false">
      <c r="A837" s="184"/>
      <c r="B837" s="184"/>
      <c r="C837" s="184"/>
      <c r="D837" s="184"/>
      <c r="E837" s="184"/>
      <c r="F837" s="184"/>
      <c r="G837" s="184"/>
      <c r="H837" s="184"/>
      <c r="I837" s="184"/>
      <c r="J837" s="184"/>
      <c r="K837" s="184"/>
      <c r="L837" s="184"/>
      <c r="M837" s="184"/>
      <c r="N837" s="184"/>
      <c r="O837" s="184"/>
    </row>
    <row r="838" customFormat="false" ht="15" hidden="false" customHeight="true" outlineLevel="0" collapsed="false">
      <c r="A838" s="184"/>
      <c r="B838" s="184"/>
      <c r="C838" s="184"/>
      <c r="D838" s="184"/>
      <c r="E838" s="184"/>
      <c r="F838" s="184"/>
      <c r="G838" s="184"/>
      <c r="H838" s="184"/>
      <c r="I838" s="184"/>
      <c r="J838" s="184"/>
      <c r="K838" s="184"/>
      <c r="L838" s="184"/>
      <c r="M838" s="184"/>
      <c r="N838" s="184"/>
      <c r="O838" s="184"/>
    </row>
    <row r="839" customFormat="false" ht="15" hidden="false" customHeight="true" outlineLevel="0" collapsed="false">
      <c r="A839" s="184"/>
      <c r="B839" s="184"/>
      <c r="C839" s="184"/>
      <c r="D839" s="184"/>
      <c r="E839" s="184"/>
      <c r="F839" s="184"/>
      <c r="G839" s="184"/>
      <c r="H839" s="184"/>
      <c r="I839" s="184"/>
      <c r="J839" s="184"/>
      <c r="K839" s="184"/>
      <c r="L839" s="184"/>
      <c r="M839" s="184"/>
      <c r="N839" s="184"/>
      <c r="O839" s="184"/>
    </row>
    <row r="840" customFormat="false" ht="15" hidden="false" customHeight="true" outlineLevel="0" collapsed="false">
      <c r="A840" s="184"/>
      <c r="B840" s="184"/>
      <c r="C840" s="184"/>
      <c r="D840" s="184"/>
      <c r="E840" s="184"/>
      <c r="F840" s="184"/>
      <c r="G840" s="184"/>
      <c r="H840" s="184"/>
      <c r="I840" s="184"/>
      <c r="J840" s="184"/>
      <c r="K840" s="184"/>
      <c r="L840" s="184"/>
      <c r="M840" s="184"/>
      <c r="N840" s="184"/>
      <c r="O840" s="184"/>
    </row>
    <row r="841" customFormat="false" ht="15" hidden="false" customHeight="true" outlineLevel="0" collapsed="false">
      <c r="A841" s="184"/>
      <c r="B841" s="184"/>
      <c r="C841" s="184"/>
      <c r="D841" s="184"/>
      <c r="E841" s="184"/>
      <c r="F841" s="184"/>
      <c r="G841" s="184"/>
      <c r="H841" s="184"/>
      <c r="I841" s="184"/>
      <c r="J841" s="184"/>
      <c r="K841" s="184"/>
      <c r="L841" s="184"/>
      <c r="M841" s="184"/>
      <c r="N841" s="184"/>
      <c r="O841" s="184"/>
    </row>
    <row r="842" customFormat="false" ht="15" hidden="false" customHeight="true" outlineLevel="0" collapsed="false">
      <c r="A842" s="184"/>
      <c r="B842" s="184"/>
      <c r="C842" s="184"/>
      <c r="D842" s="184"/>
      <c r="E842" s="184"/>
      <c r="F842" s="184"/>
      <c r="G842" s="184"/>
      <c r="H842" s="184"/>
      <c r="I842" s="184"/>
      <c r="J842" s="184"/>
      <c r="K842" s="184"/>
      <c r="L842" s="184"/>
      <c r="M842" s="184"/>
      <c r="N842" s="184"/>
      <c r="O842" s="184"/>
    </row>
    <row r="843" customFormat="false" ht="15" hidden="false" customHeight="true" outlineLevel="0" collapsed="false">
      <c r="A843" s="184"/>
      <c r="B843" s="184"/>
      <c r="C843" s="184"/>
      <c r="D843" s="184"/>
      <c r="E843" s="184"/>
      <c r="F843" s="184"/>
      <c r="G843" s="184"/>
      <c r="H843" s="184"/>
      <c r="I843" s="184"/>
      <c r="J843" s="184"/>
      <c r="K843" s="184"/>
      <c r="L843" s="184"/>
      <c r="M843" s="184"/>
      <c r="N843" s="184"/>
      <c r="O843" s="184"/>
    </row>
    <row r="844" customFormat="false" ht="15" hidden="false" customHeight="true" outlineLevel="0" collapsed="false">
      <c r="A844" s="184"/>
      <c r="B844" s="184"/>
      <c r="C844" s="184"/>
      <c r="D844" s="184"/>
      <c r="E844" s="184"/>
      <c r="F844" s="184"/>
      <c r="G844" s="184"/>
      <c r="H844" s="184"/>
      <c r="I844" s="184"/>
      <c r="J844" s="184"/>
      <c r="K844" s="184"/>
      <c r="L844" s="184"/>
      <c r="M844" s="184"/>
      <c r="N844" s="184"/>
      <c r="O844" s="184"/>
    </row>
    <row r="845" customFormat="false" ht="15" hidden="false" customHeight="true" outlineLevel="0" collapsed="false">
      <c r="A845" s="184"/>
      <c r="B845" s="184"/>
      <c r="C845" s="184"/>
      <c r="D845" s="184"/>
      <c r="E845" s="184"/>
      <c r="F845" s="184"/>
      <c r="G845" s="184"/>
      <c r="H845" s="184"/>
      <c r="I845" s="184"/>
      <c r="J845" s="184"/>
      <c r="K845" s="184"/>
      <c r="L845" s="184"/>
      <c r="M845" s="184"/>
      <c r="N845" s="184"/>
      <c r="O845" s="184"/>
    </row>
    <row r="846" customFormat="false" ht="15" hidden="false" customHeight="true" outlineLevel="0" collapsed="false">
      <c r="A846" s="184"/>
      <c r="B846" s="184"/>
      <c r="C846" s="184"/>
      <c r="D846" s="184"/>
      <c r="E846" s="184"/>
      <c r="F846" s="184"/>
      <c r="G846" s="184"/>
      <c r="H846" s="184"/>
      <c r="I846" s="184"/>
      <c r="J846" s="184"/>
      <c r="K846" s="184"/>
      <c r="L846" s="184"/>
      <c r="M846" s="184"/>
      <c r="N846" s="184"/>
      <c r="O846" s="184"/>
    </row>
    <row r="847" customFormat="false" ht="15" hidden="false" customHeight="true" outlineLevel="0" collapsed="false">
      <c r="A847" s="184"/>
      <c r="B847" s="184"/>
      <c r="C847" s="184"/>
      <c r="D847" s="184"/>
      <c r="E847" s="184"/>
      <c r="F847" s="184"/>
      <c r="G847" s="184"/>
      <c r="H847" s="184"/>
      <c r="I847" s="184"/>
      <c r="J847" s="184"/>
      <c r="K847" s="184"/>
      <c r="L847" s="184"/>
      <c r="M847" s="184"/>
      <c r="N847" s="184"/>
      <c r="O847" s="184"/>
    </row>
    <row r="848" customFormat="false" ht="15" hidden="false" customHeight="true" outlineLevel="0" collapsed="false">
      <c r="A848" s="184"/>
      <c r="B848" s="184"/>
      <c r="C848" s="184"/>
      <c r="D848" s="184"/>
      <c r="E848" s="184"/>
      <c r="F848" s="184"/>
      <c r="G848" s="184"/>
      <c r="H848" s="184"/>
      <c r="I848" s="184"/>
      <c r="J848" s="184"/>
      <c r="K848" s="184"/>
      <c r="L848" s="184"/>
      <c r="M848" s="184"/>
      <c r="N848" s="184"/>
      <c r="O848" s="184"/>
    </row>
    <row r="849" customFormat="false" ht="15" hidden="false" customHeight="true" outlineLevel="0" collapsed="false">
      <c r="A849" s="184"/>
      <c r="B849" s="184"/>
      <c r="C849" s="184"/>
      <c r="D849" s="184"/>
      <c r="E849" s="184"/>
      <c r="F849" s="184"/>
      <c r="G849" s="184"/>
      <c r="H849" s="184"/>
      <c r="I849" s="184"/>
      <c r="J849" s="184"/>
      <c r="K849" s="184"/>
      <c r="L849" s="184"/>
      <c r="M849" s="184"/>
      <c r="N849" s="184"/>
      <c r="O849" s="184"/>
    </row>
    <row r="850" customFormat="false" ht="15" hidden="false" customHeight="true" outlineLevel="0" collapsed="false">
      <c r="A850" s="184"/>
      <c r="B850" s="184"/>
      <c r="C850" s="184"/>
      <c r="D850" s="184"/>
      <c r="E850" s="184"/>
      <c r="F850" s="184"/>
      <c r="G850" s="184"/>
      <c r="H850" s="184"/>
      <c r="I850" s="184"/>
      <c r="J850" s="184"/>
      <c r="K850" s="184"/>
      <c r="L850" s="184"/>
      <c r="M850" s="184"/>
      <c r="N850" s="184"/>
      <c r="O850" s="184"/>
    </row>
    <row r="851" customFormat="false" ht="15" hidden="false" customHeight="true" outlineLevel="0" collapsed="false">
      <c r="A851" s="184"/>
      <c r="B851" s="184"/>
      <c r="C851" s="184"/>
      <c r="D851" s="184"/>
      <c r="E851" s="184"/>
      <c r="F851" s="184"/>
      <c r="G851" s="184"/>
      <c r="H851" s="184"/>
      <c r="I851" s="184"/>
      <c r="J851" s="184"/>
      <c r="K851" s="184"/>
      <c r="L851" s="184"/>
      <c r="M851" s="184"/>
      <c r="N851" s="184"/>
      <c r="O851" s="184"/>
    </row>
    <row r="852" customFormat="false" ht="15" hidden="false" customHeight="true" outlineLevel="0" collapsed="false">
      <c r="A852" s="184"/>
      <c r="B852" s="184"/>
      <c r="C852" s="184"/>
      <c r="D852" s="184"/>
      <c r="E852" s="184"/>
      <c r="F852" s="184"/>
      <c r="G852" s="184"/>
      <c r="H852" s="184"/>
      <c r="I852" s="184"/>
      <c r="J852" s="184"/>
      <c r="K852" s="184"/>
      <c r="L852" s="184"/>
      <c r="M852" s="184"/>
      <c r="N852" s="184"/>
      <c r="O852" s="184"/>
    </row>
    <row r="853" customFormat="false" ht="15" hidden="false" customHeight="true" outlineLevel="0" collapsed="false">
      <c r="A853" s="184"/>
      <c r="B853" s="184"/>
      <c r="C853" s="184"/>
      <c r="D853" s="184"/>
      <c r="E853" s="184"/>
      <c r="F853" s="184"/>
      <c r="G853" s="184"/>
      <c r="H853" s="184"/>
      <c r="I853" s="184"/>
      <c r="J853" s="184"/>
      <c r="K853" s="184"/>
      <c r="L853" s="184"/>
      <c r="M853" s="184"/>
      <c r="N853" s="184"/>
      <c r="O853" s="184"/>
    </row>
    <row r="854" customFormat="false" ht="15" hidden="false" customHeight="true" outlineLevel="0" collapsed="false">
      <c r="A854" s="184"/>
      <c r="B854" s="184"/>
      <c r="C854" s="184"/>
      <c r="D854" s="184"/>
      <c r="E854" s="184"/>
      <c r="F854" s="184"/>
      <c r="G854" s="184"/>
      <c r="H854" s="184"/>
      <c r="I854" s="184"/>
      <c r="J854" s="184"/>
      <c r="K854" s="184"/>
      <c r="L854" s="184"/>
      <c r="M854" s="184"/>
      <c r="N854" s="184"/>
      <c r="O854" s="184"/>
    </row>
    <row r="855" customFormat="false" ht="15" hidden="false" customHeight="true" outlineLevel="0" collapsed="false">
      <c r="A855" s="184"/>
      <c r="B855" s="184"/>
      <c r="C855" s="184"/>
      <c r="D855" s="184"/>
      <c r="E855" s="184"/>
      <c r="F855" s="184"/>
      <c r="G855" s="184"/>
      <c r="H855" s="184"/>
      <c r="I855" s="184"/>
      <c r="J855" s="184"/>
      <c r="K855" s="184"/>
      <c r="L855" s="184"/>
      <c r="M855" s="184"/>
      <c r="N855" s="184"/>
      <c r="O855" s="184"/>
    </row>
    <row r="856" customFormat="false" ht="15" hidden="false" customHeight="true" outlineLevel="0" collapsed="false">
      <c r="A856" s="184"/>
      <c r="B856" s="184"/>
      <c r="C856" s="184"/>
      <c r="D856" s="184"/>
      <c r="E856" s="184"/>
      <c r="F856" s="184"/>
      <c r="G856" s="184"/>
      <c r="H856" s="184"/>
      <c r="I856" s="184"/>
      <c r="J856" s="184"/>
      <c r="K856" s="184"/>
      <c r="L856" s="184"/>
      <c r="M856" s="184"/>
      <c r="N856" s="184"/>
      <c r="O856" s="184"/>
    </row>
    <row r="857" customFormat="false" ht="15" hidden="false" customHeight="true" outlineLevel="0" collapsed="false">
      <c r="A857" s="184"/>
      <c r="B857" s="184"/>
      <c r="C857" s="184"/>
      <c r="D857" s="184"/>
      <c r="E857" s="184"/>
      <c r="F857" s="184"/>
      <c r="G857" s="184"/>
      <c r="H857" s="184"/>
      <c r="I857" s="184"/>
      <c r="J857" s="184"/>
      <c r="K857" s="184"/>
      <c r="L857" s="184"/>
      <c r="M857" s="184"/>
      <c r="N857" s="184"/>
      <c r="O857" s="184"/>
    </row>
    <row r="858" customFormat="false" ht="15" hidden="false" customHeight="true" outlineLevel="0" collapsed="false">
      <c r="A858" s="184"/>
      <c r="B858" s="184"/>
      <c r="C858" s="184"/>
      <c r="D858" s="184"/>
      <c r="E858" s="184"/>
      <c r="F858" s="184"/>
      <c r="G858" s="184"/>
      <c r="H858" s="184"/>
      <c r="I858" s="184"/>
      <c r="J858" s="184"/>
      <c r="K858" s="184"/>
      <c r="L858" s="184"/>
      <c r="M858" s="184"/>
      <c r="N858" s="184"/>
      <c r="O858" s="184"/>
    </row>
    <row r="859" customFormat="false" ht="15" hidden="false" customHeight="true" outlineLevel="0" collapsed="false">
      <c r="A859" s="184"/>
      <c r="B859" s="184"/>
      <c r="C859" s="184"/>
      <c r="D859" s="184"/>
      <c r="E859" s="184"/>
      <c r="F859" s="184"/>
      <c r="G859" s="184"/>
      <c r="H859" s="184"/>
      <c r="I859" s="184"/>
      <c r="J859" s="184"/>
      <c r="K859" s="184"/>
      <c r="L859" s="184"/>
      <c r="M859" s="184"/>
      <c r="N859" s="184"/>
      <c r="O859" s="184"/>
    </row>
    <row r="860" customFormat="false" ht="15" hidden="false" customHeight="true" outlineLevel="0" collapsed="false">
      <c r="A860" s="184"/>
      <c r="B860" s="184"/>
      <c r="C860" s="184"/>
      <c r="D860" s="184"/>
      <c r="E860" s="184"/>
      <c r="F860" s="184"/>
      <c r="G860" s="184"/>
      <c r="H860" s="184"/>
      <c r="I860" s="184"/>
      <c r="J860" s="184"/>
      <c r="K860" s="184"/>
      <c r="L860" s="184"/>
      <c r="M860" s="184"/>
      <c r="N860" s="184"/>
      <c r="O860" s="184"/>
    </row>
    <row r="861" customFormat="false" ht="15" hidden="false" customHeight="true" outlineLevel="0" collapsed="false">
      <c r="A861" s="184"/>
      <c r="B861" s="184"/>
      <c r="C861" s="184"/>
      <c r="D861" s="184"/>
      <c r="E861" s="184"/>
      <c r="F861" s="184"/>
      <c r="G861" s="184"/>
      <c r="H861" s="184"/>
      <c r="I861" s="184"/>
      <c r="J861" s="184"/>
      <c r="K861" s="184"/>
      <c r="L861" s="184"/>
      <c r="M861" s="184"/>
      <c r="N861" s="184"/>
      <c r="O861" s="184"/>
    </row>
    <row r="862" customFormat="false" ht="15" hidden="false" customHeight="true" outlineLevel="0" collapsed="false">
      <c r="A862" s="184"/>
      <c r="B862" s="184"/>
      <c r="C862" s="184"/>
      <c r="D862" s="184"/>
      <c r="E862" s="184"/>
      <c r="F862" s="184"/>
      <c r="G862" s="184"/>
      <c r="H862" s="184"/>
      <c r="I862" s="184"/>
      <c r="J862" s="184"/>
      <c r="K862" s="184"/>
      <c r="L862" s="184"/>
      <c r="M862" s="184"/>
      <c r="N862" s="184"/>
      <c r="O862" s="184"/>
    </row>
    <row r="863" customFormat="false" ht="15" hidden="false" customHeight="true" outlineLevel="0" collapsed="false">
      <c r="A863" s="184"/>
      <c r="B863" s="184"/>
      <c r="C863" s="184"/>
      <c r="D863" s="184"/>
      <c r="E863" s="184"/>
      <c r="F863" s="184"/>
      <c r="G863" s="184"/>
      <c r="H863" s="184"/>
      <c r="I863" s="184"/>
      <c r="J863" s="184"/>
      <c r="K863" s="184"/>
      <c r="L863" s="184"/>
      <c r="M863" s="184"/>
      <c r="N863" s="184"/>
      <c r="O863" s="184"/>
    </row>
    <row r="864" customFormat="false" ht="15" hidden="false" customHeight="true" outlineLevel="0" collapsed="false">
      <c r="A864" s="184"/>
      <c r="B864" s="184"/>
      <c r="C864" s="184"/>
      <c r="D864" s="184"/>
      <c r="E864" s="184"/>
      <c r="F864" s="184"/>
      <c r="G864" s="184"/>
      <c r="H864" s="184"/>
      <c r="I864" s="184"/>
      <c r="J864" s="184"/>
      <c r="K864" s="184"/>
      <c r="L864" s="184"/>
      <c r="M864" s="184"/>
      <c r="N864" s="184"/>
      <c r="O864" s="184"/>
    </row>
    <row r="865" customFormat="false" ht="15" hidden="false" customHeight="true" outlineLevel="0" collapsed="false">
      <c r="A865" s="184"/>
      <c r="B865" s="184"/>
      <c r="C865" s="184"/>
      <c r="D865" s="184"/>
      <c r="E865" s="184"/>
      <c r="F865" s="184"/>
      <c r="G865" s="184"/>
      <c r="H865" s="184"/>
      <c r="I865" s="184"/>
      <c r="J865" s="184"/>
      <c r="K865" s="184"/>
      <c r="L865" s="184"/>
      <c r="M865" s="184"/>
      <c r="N865" s="184"/>
      <c r="O865" s="184"/>
    </row>
    <row r="866" customFormat="false" ht="15" hidden="false" customHeight="true" outlineLevel="0" collapsed="false">
      <c r="A866" s="184"/>
      <c r="B866" s="184"/>
      <c r="C866" s="184"/>
      <c r="D866" s="184"/>
      <c r="E866" s="184"/>
      <c r="F866" s="184"/>
      <c r="G866" s="184"/>
      <c r="H866" s="184"/>
      <c r="I866" s="184"/>
      <c r="J866" s="184"/>
      <c r="K866" s="184"/>
      <c r="L866" s="184"/>
      <c r="M866" s="184"/>
      <c r="N866" s="184"/>
      <c r="O866" s="184"/>
    </row>
    <row r="867" customFormat="false" ht="15" hidden="false" customHeight="true" outlineLevel="0" collapsed="false">
      <c r="A867" s="184"/>
      <c r="B867" s="184"/>
      <c r="C867" s="184"/>
      <c r="D867" s="184"/>
      <c r="E867" s="184"/>
      <c r="F867" s="184"/>
      <c r="G867" s="184"/>
      <c r="H867" s="184"/>
      <c r="I867" s="184"/>
      <c r="J867" s="184"/>
      <c r="K867" s="184"/>
      <c r="L867" s="184"/>
      <c r="M867" s="184"/>
      <c r="N867" s="184"/>
      <c r="O867" s="184"/>
    </row>
    <row r="868" customFormat="false" ht="15" hidden="false" customHeight="true" outlineLevel="0" collapsed="false">
      <c r="A868" s="184"/>
      <c r="B868" s="184"/>
      <c r="C868" s="184"/>
      <c r="D868" s="184"/>
      <c r="E868" s="184"/>
      <c r="F868" s="184"/>
      <c r="G868" s="184"/>
      <c r="H868" s="184"/>
      <c r="I868" s="184"/>
      <c r="J868" s="184"/>
      <c r="K868" s="184"/>
      <c r="L868" s="184"/>
      <c r="M868" s="184"/>
      <c r="N868" s="184"/>
      <c r="O868" s="184"/>
    </row>
    <row r="869" customFormat="false" ht="15" hidden="false" customHeight="true" outlineLevel="0" collapsed="false">
      <c r="A869" s="184"/>
      <c r="B869" s="184"/>
      <c r="C869" s="184"/>
      <c r="D869" s="184"/>
      <c r="E869" s="184"/>
      <c r="F869" s="184"/>
      <c r="G869" s="184"/>
      <c r="H869" s="184"/>
      <c r="I869" s="184"/>
      <c r="J869" s="184"/>
      <c r="K869" s="184"/>
      <c r="L869" s="184"/>
      <c r="M869" s="184"/>
      <c r="N869" s="184"/>
      <c r="O869" s="184"/>
    </row>
    <row r="870" customFormat="false" ht="15" hidden="false" customHeight="true" outlineLevel="0" collapsed="false">
      <c r="A870" s="184"/>
      <c r="B870" s="184"/>
      <c r="C870" s="184"/>
      <c r="D870" s="184"/>
      <c r="E870" s="184"/>
      <c r="F870" s="184"/>
      <c r="G870" s="184"/>
      <c r="H870" s="184"/>
      <c r="I870" s="184"/>
      <c r="J870" s="184"/>
      <c r="K870" s="184"/>
      <c r="L870" s="184"/>
      <c r="M870" s="184"/>
      <c r="N870" s="184"/>
      <c r="O870" s="184"/>
    </row>
    <row r="871" customFormat="false" ht="15" hidden="false" customHeight="true" outlineLevel="0" collapsed="false">
      <c r="A871" s="184"/>
      <c r="B871" s="184"/>
      <c r="C871" s="184"/>
      <c r="D871" s="184"/>
      <c r="E871" s="184"/>
      <c r="F871" s="184"/>
      <c r="G871" s="184"/>
      <c r="H871" s="184"/>
      <c r="I871" s="184"/>
      <c r="J871" s="184"/>
      <c r="K871" s="184"/>
      <c r="L871" s="184"/>
      <c r="M871" s="184"/>
      <c r="N871" s="184"/>
      <c r="O871" s="184"/>
    </row>
    <row r="872" customFormat="false" ht="15" hidden="false" customHeight="true" outlineLevel="0" collapsed="false">
      <c r="A872" s="184"/>
      <c r="B872" s="184"/>
      <c r="C872" s="184"/>
      <c r="D872" s="184"/>
      <c r="E872" s="184"/>
      <c r="F872" s="184"/>
      <c r="G872" s="184"/>
      <c r="H872" s="184"/>
      <c r="I872" s="184"/>
      <c r="J872" s="184"/>
      <c r="K872" s="184"/>
      <c r="L872" s="184"/>
      <c r="M872" s="184"/>
      <c r="N872" s="184"/>
      <c r="O872" s="184"/>
    </row>
    <row r="873" customFormat="false" ht="15" hidden="false" customHeight="true" outlineLevel="0" collapsed="false">
      <c r="A873" s="184"/>
      <c r="B873" s="184"/>
      <c r="C873" s="184"/>
      <c r="D873" s="184"/>
      <c r="E873" s="184"/>
      <c r="F873" s="184"/>
      <c r="G873" s="184"/>
      <c r="H873" s="184"/>
      <c r="I873" s="184"/>
      <c r="J873" s="184"/>
      <c r="K873" s="184"/>
      <c r="L873" s="184"/>
      <c r="M873" s="184"/>
      <c r="N873" s="184"/>
      <c r="O873" s="184"/>
    </row>
    <row r="874" customFormat="false" ht="15" hidden="false" customHeight="true" outlineLevel="0" collapsed="false">
      <c r="A874" s="184"/>
      <c r="B874" s="184"/>
      <c r="C874" s="184"/>
      <c r="D874" s="184"/>
      <c r="E874" s="184"/>
      <c r="F874" s="184"/>
      <c r="G874" s="184"/>
      <c r="H874" s="184"/>
      <c r="I874" s="184"/>
      <c r="J874" s="184"/>
      <c r="K874" s="184"/>
      <c r="L874" s="184"/>
      <c r="M874" s="184"/>
      <c r="N874" s="184"/>
      <c r="O874" s="184"/>
    </row>
    <row r="875" customFormat="false" ht="15" hidden="false" customHeight="true" outlineLevel="0" collapsed="false">
      <c r="A875" s="184"/>
      <c r="B875" s="184"/>
      <c r="C875" s="184"/>
      <c r="D875" s="184"/>
      <c r="E875" s="184"/>
      <c r="F875" s="184"/>
      <c r="G875" s="184"/>
      <c r="H875" s="184"/>
      <c r="I875" s="184"/>
      <c r="J875" s="184"/>
      <c r="K875" s="184"/>
      <c r="L875" s="184"/>
      <c r="M875" s="184"/>
      <c r="N875" s="184"/>
      <c r="O875" s="184"/>
    </row>
    <row r="876" customFormat="false" ht="15" hidden="false" customHeight="true" outlineLevel="0" collapsed="false">
      <c r="A876" s="184"/>
      <c r="B876" s="184"/>
      <c r="C876" s="184"/>
      <c r="D876" s="184"/>
      <c r="E876" s="184"/>
      <c r="F876" s="184"/>
      <c r="G876" s="184"/>
      <c r="H876" s="184"/>
      <c r="I876" s="184"/>
      <c r="J876" s="184"/>
      <c r="K876" s="184"/>
      <c r="L876" s="184"/>
      <c r="M876" s="184"/>
      <c r="N876" s="184"/>
      <c r="O876" s="184"/>
    </row>
    <row r="877" customFormat="false" ht="15" hidden="false" customHeight="true" outlineLevel="0" collapsed="false">
      <c r="A877" s="184"/>
      <c r="B877" s="184"/>
      <c r="C877" s="184"/>
      <c r="D877" s="184"/>
      <c r="E877" s="184"/>
      <c r="F877" s="184"/>
      <c r="G877" s="184"/>
      <c r="H877" s="184"/>
      <c r="I877" s="184"/>
      <c r="J877" s="184"/>
      <c r="K877" s="184"/>
      <c r="L877" s="184"/>
      <c r="M877" s="184"/>
      <c r="N877" s="184"/>
      <c r="O877" s="184"/>
    </row>
    <row r="878" customFormat="false" ht="15" hidden="false" customHeight="true" outlineLevel="0" collapsed="false">
      <c r="A878" s="184"/>
      <c r="B878" s="184"/>
      <c r="C878" s="184"/>
      <c r="D878" s="184"/>
      <c r="E878" s="184"/>
      <c r="F878" s="184"/>
      <c r="G878" s="184"/>
      <c r="H878" s="184"/>
      <c r="I878" s="184"/>
      <c r="J878" s="184"/>
      <c r="K878" s="184"/>
      <c r="L878" s="184"/>
      <c r="M878" s="184"/>
      <c r="N878" s="184"/>
      <c r="O878" s="184"/>
    </row>
    <row r="879" customFormat="false" ht="15" hidden="false" customHeight="true" outlineLevel="0" collapsed="false">
      <c r="A879" s="184"/>
      <c r="B879" s="184"/>
      <c r="C879" s="184"/>
      <c r="D879" s="184"/>
      <c r="E879" s="184"/>
      <c r="F879" s="184"/>
      <c r="G879" s="184"/>
      <c r="H879" s="184"/>
      <c r="I879" s="184"/>
      <c r="J879" s="184"/>
      <c r="K879" s="184"/>
      <c r="L879" s="184"/>
      <c r="M879" s="184"/>
      <c r="N879" s="184"/>
      <c r="O879" s="184"/>
    </row>
    <row r="880" customFormat="false" ht="15" hidden="false" customHeight="true" outlineLevel="0" collapsed="false">
      <c r="A880" s="184"/>
      <c r="B880" s="184"/>
      <c r="C880" s="184"/>
      <c r="D880" s="184"/>
      <c r="E880" s="184"/>
      <c r="F880" s="184"/>
      <c r="G880" s="184"/>
      <c r="H880" s="184"/>
      <c r="I880" s="184"/>
      <c r="J880" s="184"/>
      <c r="K880" s="184"/>
      <c r="L880" s="184"/>
      <c r="M880" s="184"/>
      <c r="N880" s="184"/>
      <c r="O880" s="184"/>
    </row>
    <row r="881" customFormat="false" ht="15" hidden="false" customHeight="true" outlineLevel="0" collapsed="false">
      <c r="A881" s="184"/>
      <c r="B881" s="184"/>
      <c r="C881" s="184"/>
      <c r="D881" s="184"/>
      <c r="E881" s="184"/>
      <c r="F881" s="184"/>
      <c r="G881" s="184"/>
      <c r="H881" s="184"/>
      <c r="I881" s="184"/>
      <c r="J881" s="184"/>
      <c r="K881" s="184"/>
      <c r="L881" s="184"/>
      <c r="M881" s="184"/>
      <c r="N881" s="184"/>
      <c r="O881" s="184"/>
    </row>
    <row r="882" customFormat="false" ht="15" hidden="false" customHeight="true" outlineLevel="0" collapsed="false">
      <c r="A882" s="184"/>
      <c r="B882" s="184"/>
      <c r="C882" s="184"/>
      <c r="D882" s="184"/>
      <c r="E882" s="184"/>
      <c r="F882" s="184"/>
      <c r="G882" s="184"/>
      <c r="H882" s="184"/>
      <c r="I882" s="184"/>
      <c r="J882" s="184"/>
      <c r="K882" s="184"/>
      <c r="L882" s="184"/>
      <c r="M882" s="184"/>
      <c r="N882" s="184"/>
      <c r="O882" s="184"/>
    </row>
    <row r="883" customFormat="false" ht="15" hidden="false" customHeight="true" outlineLevel="0" collapsed="false">
      <c r="A883" s="184"/>
      <c r="B883" s="184"/>
      <c r="C883" s="184"/>
      <c r="D883" s="184"/>
      <c r="E883" s="184"/>
      <c r="F883" s="184"/>
      <c r="G883" s="184"/>
      <c r="H883" s="184"/>
      <c r="I883" s="184"/>
      <c r="J883" s="184"/>
      <c r="K883" s="184"/>
      <c r="L883" s="184"/>
      <c r="M883" s="184"/>
      <c r="N883" s="184"/>
      <c r="O883" s="184"/>
    </row>
    <row r="884" customFormat="false" ht="15" hidden="false" customHeight="true" outlineLevel="0" collapsed="false">
      <c r="A884" s="184"/>
      <c r="B884" s="184"/>
      <c r="C884" s="184"/>
      <c r="D884" s="184"/>
      <c r="E884" s="184"/>
      <c r="F884" s="184"/>
      <c r="G884" s="184"/>
      <c r="H884" s="184"/>
      <c r="I884" s="184"/>
      <c r="J884" s="184"/>
      <c r="K884" s="184"/>
      <c r="L884" s="184"/>
      <c r="M884" s="184"/>
      <c r="N884" s="184"/>
      <c r="O884" s="184"/>
    </row>
    <row r="885" customFormat="false" ht="15" hidden="false" customHeight="true" outlineLevel="0" collapsed="false">
      <c r="A885" s="184"/>
      <c r="B885" s="184"/>
      <c r="C885" s="184"/>
      <c r="D885" s="184"/>
      <c r="E885" s="184"/>
      <c r="F885" s="184"/>
      <c r="G885" s="184"/>
      <c r="H885" s="184"/>
      <c r="I885" s="184"/>
      <c r="J885" s="184"/>
      <c r="K885" s="184"/>
      <c r="L885" s="184"/>
      <c r="M885" s="184"/>
      <c r="N885" s="184"/>
      <c r="O885" s="184"/>
    </row>
    <row r="886" customFormat="false" ht="15" hidden="false" customHeight="true" outlineLevel="0" collapsed="false">
      <c r="A886" s="184"/>
      <c r="B886" s="184"/>
      <c r="C886" s="184"/>
      <c r="D886" s="184"/>
      <c r="E886" s="184"/>
      <c r="F886" s="184"/>
      <c r="G886" s="184"/>
      <c r="H886" s="184"/>
      <c r="I886" s="184"/>
      <c r="J886" s="184"/>
      <c r="K886" s="184"/>
      <c r="L886" s="184"/>
      <c r="M886" s="184"/>
      <c r="N886" s="184"/>
      <c r="O886" s="184"/>
    </row>
    <row r="887" customFormat="false" ht="15" hidden="false" customHeight="true" outlineLevel="0" collapsed="false">
      <c r="A887" s="184"/>
      <c r="B887" s="184"/>
      <c r="C887" s="184"/>
      <c r="D887" s="184"/>
      <c r="E887" s="184"/>
      <c r="F887" s="184"/>
      <c r="G887" s="184"/>
      <c r="H887" s="184"/>
      <c r="I887" s="184"/>
      <c r="J887" s="184"/>
      <c r="K887" s="184"/>
      <c r="L887" s="184"/>
      <c r="M887" s="184"/>
      <c r="N887" s="184"/>
      <c r="O887" s="184"/>
    </row>
    <row r="888" customFormat="false" ht="15" hidden="false" customHeight="true" outlineLevel="0" collapsed="false">
      <c r="A888" s="184"/>
      <c r="B888" s="184"/>
      <c r="C888" s="184"/>
      <c r="D888" s="184"/>
      <c r="E888" s="184"/>
      <c r="F888" s="184"/>
      <c r="G888" s="184"/>
      <c r="H888" s="184"/>
      <c r="I888" s="184"/>
      <c r="J888" s="184"/>
      <c r="K888" s="184"/>
      <c r="L888" s="184"/>
      <c r="M888" s="184"/>
      <c r="N888" s="184"/>
      <c r="O888" s="184"/>
    </row>
    <row r="889" customFormat="false" ht="15" hidden="false" customHeight="true" outlineLevel="0" collapsed="false">
      <c r="A889" s="184"/>
      <c r="B889" s="184"/>
      <c r="C889" s="184"/>
      <c r="D889" s="184"/>
      <c r="E889" s="184"/>
      <c r="F889" s="184"/>
      <c r="G889" s="184"/>
      <c r="H889" s="184"/>
      <c r="I889" s="184"/>
      <c r="J889" s="184"/>
      <c r="K889" s="184"/>
      <c r="L889" s="184"/>
      <c r="M889" s="184"/>
      <c r="N889" s="184"/>
      <c r="O889" s="184"/>
    </row>
    <row r="890" customFormat="false" ht="15" hidden="false" customHeight="true" outlineLevel="0" collapsed="false">
      <c r="A890" s="184"/>
      <c r="B890" s="184"/>
      <c r="C890" s="184"/>
      <c r="D890" s="184"/>
      <c r="E890" s="184"/>
      <c r="F890" s="184"/>
      <c r="G890" s="184"/>
      <c r="H890" s="184"/>
      <c r="I890" s="184"/>
      <c r="J890" s="184"/>
      <c r="K890" s="184"/>
      <c r="L890" s="184"/>
      <c r="M890" s="184"/>
      <c r="N890" s="184"/>
      <c r="O890" s="184"/>
    </row>
    <row r="891" customFormat="false" ht="15" hidden="false" customHeight="true" outlineLevel="0" collapsed="false">
      <c r="A891" s="184"/>
      <c r="B891" s="184"/>
      <c r="C891" s="184"/>
      <c r="D891" s="184"/>
      <c r="E891" s="184"/>
      <c r="F891" s="184"/>
      <c r="G891" s="184"/>
      <c r="H891" s="184"/>
      <c r="I891" s="184"/>
      <c r="J891" s="184"/>
      <c r="K891" s="184"/>
      <c r="L891" s="184"/>
      <c r="M891" s="184"/>
      <c r="N891" s="184"/>
      <c r="O891" s="184"/>
    </row>
    <row r="892" customFormat="false" ht="15" hidden="false" customHeight="true" outlineLevel="0" collapsed="false">
      <c r="A892" s="184"/>
      <c r="B892" s="184"/>
      <c r="C892" s="184"/>
      <c r="D892" s="184"/>
      <c r="E892" s="184"/>
      <c r="F892" s="184"/>
      <c r="G892" s="184"/>
      <c r="H892" s="184"/>
      <c r="I892" s="184"/>
      <c r="J892" s="184"/>
      <c r="K892" s="184"/>
      <c r="L892" s="184"/>
      <c r="M892" s="184"/>
      <c r="N892" s="184"/>
      <c r="O892" s="184"/>
    </row>
    <row r="893" customFormat="false" ht="15" hidden="false" customHeight="true" outlineLevel="0" collapsed="false">
      <c r="A893" s="184"/>
      <c r="B893" s="184"/>
      <c r="C893" s="184"/>
      <c r="D893" s="184"/>
      <c r="E893" s="184"/>
      <c r="F893" s="184"/>
      <c r="G893" s="184"/>
      <c r="H893" s="184"/>
      <c r="I893" s="184"/>
      <c r="J893" s="184"/>
      <c r="K893" s="184"/>
      <c r="L893" s="184"/>
      <c r="M893" s="184"/>
      <c r="N893" s="184"/>
      <c r="O893" s="184"/>
    </row>
    <row r="894" customFormat="false" ht="15" hidden="false" customHeight="true" outlineLevel="0" collapsed="false">
      <c r="A894" s="184"/>
      <c r="B894" s="184"/>
      <c r="C894" s="184"/>
      <c r="D894" s="184"/>
      <c r="E894" s="184"/>
      <c r="F894" s="184"/>
      <c r="G894" s="184"/>
      <c r="H894" s="184"/>
      <c r="I894" s="184"/>
      <c r="J894" s="184"/>
      <c r="K894" s="184"/>
      <c r="L894" s="184"/>
      <c r="M894" s="184"/>
      <c r="N894" s="184"/>
      <c r="O894" s="184"/>
    </row>
    <row r="895" customFormat="false" ht="15" hidden="false" customHeight="true" outlineLevel="0" collapsed="false">
      <c r="A895" s="184"/>
      <c r="B895" s="184"/>
      <c r="C895" s="184"/>
      <c r="D895" s="184"/>
      <c r="E895" s="184"/>
      <c r="F895" s="184"/>
      <c r="G895" s="184"/>
      <c r="H895" s="184"/>
      <c r="I895" s="184"/>
      <c r="J895" s="184"/>
      <c r="K895" s="184"/>
      <c r="L895" s="184"/>
      <c r="M895" s="184"/>
      <c r="N895" s="184"/>
      <c r="O895" s="184"/>
    </row>
    <row r="896" customFormat="false" ht="15" hidden="false" customHeight="true" outlineLevel="0" collapsed="false">
      <c r="A896" s="184"/>
      <c r="B896" s="184"/>
      <c r="C896" s="184"/>
      <c r="D896" s="184"/>
      <c r="E896" s="184"/>
      <c r="F896" s="184"/>
      <c r="G896" s="184"/>
      <c r="H896" s="184"/>
      <c r="I896" s="184"/>
      <c r="J896" s="184"/>
      <c r="K896" s="184"/>
      <c r="L896" s="184"/>
      <c r="M896" s="184"/>
      <c r="N896" s="184"/>
      <c r="O896" s="184"/>
    </row>
    <row r="897" customFormat="false" ht="15" hidden="false" customHeight="true" outlineLevel="0" collapsed="false">
      <c r="A897" s="184"/>
      <c r="B897" s="184"/>
      <c r="C897" s="184"/>
      <c r="D897" s="184"/>
      <c r="E897" s="184"/>
      <c r="F897" s="184"/>
      <c r="G897" s="184"/>
      <c r="H897" s="184"/>
      <c r="I897" s="184"/>
      <c r="J897" s="184"/>
      <c r="K897" s="184"/>
      <c r="L897" s="184"/>
      <c r="M897" s="184"/>
      <c r="N897" s="184"/>
      <c r="O897" s="184"/>
    </row>
    <row r="898" customFormat="false" ht="15" hidden="false" customHeight="true" outlineLevel="0" collapsed="false">
      <c r="A898" s="184"/>
      <c r="B898" s="184"/>
      <c r="C898" s="184"/>
      <c r="D898" s="184"/>
      <c r="E898" s="184"/>
      <c r="F898" s="184"/>
      <c r="G898" s="184"/>
      <c r="H898" s="184"/>
      <c r="I898" s="184"/>
      <c r="J898" s="184"/>
      <c r="K898" s="184"/>
      <c r="L898" s="184"/>
      <c r="M898" s="184"/>
      <c r="N898" s="184"/>
      <c r="O898" s="184"/>
    </row>
    <row r="899" customFormat="false" ht="15" hidden="false" customHeight="true" outlineLevel="0" collapsed="false">
      <c r="A899" s="184"/>
      <c r="B899" s="184"/>
      <c r="C899" s="184"/>
      <c r="D899" s="184"/>
      <c r="E899" s="184"/>
      <c r="F899" s="184"/>
      <c r="G899" s="184"/>
      <c r="H899" s="184"/>
      <c r="I899" s="184"/>
      <c r="J899" s="184"/>
      <c r="K899" s="184"/>
      <c r="L899" s="184"/>
      <c r="M899" s="184"/>
      <c r="N899" s="184"/>
      <c r="O899" s="184"/>
    </row>
    <row r="900" customFormat="false" ht="15" hidden="false" customHeight="true" outlineLevel="0" collapsed="false">
      <c r="A900" s="184"/>
      <c r="B900" s="184"/>
      <c r="C900" s="184"/>
      <c r="D900" s="184"/>
      <c r="E900" s="184"/>
      <c r="F900" s="184"/>
      <c r="G900" s="184"/>
      <c r="H900" s="184"/>
      <c r="I900" s="184"/>
      <c r="J900" s="184"/>
      <c r="K900" s="184"/>
      <c r="L900" s="184"/>
      <c r="M900" s="184"/>
      <c r="N900" s="184"/>
      <c r="O900" s="184"/>
    </row>
    <row r="901" customFormat="false" ht="15" hidden="false" customHeight="true" outlineLevel="0" collapsed="false">
      <c r="A901" s="184"/>
      <c r="B901" s="184"/>
      <c r="C901" s="184"/>
      <c r="D901" s="184"/>
      <c r="E901" s="184"/>
      <c r="F901" s="184"/>
      <c r="G901" s="184"/>
      <c r="H901" s="184"/>
      <c r="I901" s="184"/>
      <c r="J901" s="184"/>
      <c r="K901" s="184"/>
      <c r="L901" s="184"/>
      <c r="M901" s="184"/>
      <c r="N901" s="184"/>
      <c r="O901" s="184"/>
    </row>
    <row r="902" customFormat="false" ht="15" hidden="false" customHeight="true" outlineLevel="0" collapsed="false">
      <c r="A902" s="184"/>
      <c r="B902" s="184"/>
      <c r="C902" s="184"/>
      <c r="D902" s="184"/>
      <c r="E902" s="184"/>
      <c r="F902" s="184"/>
      <c r="G902" s="184"/>
      <c r="H902" s="184"/>
      <c r="I902" s="184"/>
      <c r="J902" s="184"/>
      <c r="K902" s="184"/>
      <c r="L902" s="184"/>
      <c r="M902" s="184"/>
      <c r="N902" s="184"/>
      <c r="O902" s="184"/>
    </row>
    <row r="903" customFormat="false" ht="15" hidden="false" customHeight="true" outlineLevel="0" collapsed="false">
      <c r="A903" s="184"/>
      <c r="B903" s="184"/>
      <c r="C903" s="184"/>
      <c r="D903" s="184"/>
      <c r="E903" s="184"/>
      <c r="F903" s="184"/>
      <c r="G903" s="184"/>
      <c r="H903" s="184"/>
      <c r="I903" s="184"/>
      <c r="J903" s="184"/>
      <c r="K903" s="184"/>
      <c r="L903" s="184"/>
      <c r="M903" s="184"/>
      <c r="N903" s="184"/>
      <c r="O903" s="184"/>
    </row>
    <row r="904" customFormat="false" ht="15" hidden="false" customHeight="true" outlineLevel="0" collapsed="false">
      <c r="A904" s="184"/>
      <c r="B904" s="184"/>
      <c r="C904" s="184"/>
      <c r="D904" s="184"/>
      <c r="E904" s="184"/>
      <c r="F904" s="184"/>
      <c r="G904" s="184"/>
      <c r="H904" s="184"/>
      <c r="I904" s="184"/>
      <c r="J904" s="184"/>
      <c r="K904" s="184"/>
      <c r="L904" s="184"/>
      <c r="M904" s="184"/>
      <c r="N904" s="184"/>
      <c r="O904" s="184"/>
    </row>
    <row r="905" customFormat="false" ht="15" hidden="false" customHeight="true" outlineLevel="0" collapsed="false">
      <c r="A905" s="184"/>
      <c r="B905" s="184"/>
      <c r="C905" s="184"/>
      <c r="D905" s="184"/>
      <c r="E905" s="184"/>
      <c r="F905" s="184"/>
      <c r="G905" s="184"/>
      <c r="H905" s="184"/>
      <c r="I905" s="184"/>
      <c r="J905" s="184"/>
      <c r="K905" s="184"/>
      <c r="L905" s="184"/>
      <c r="M905" s="184"/>
      <c r="N905" s="184"/>
      <c r="O905" s="184"/>
    </row>
    <row r="906" customFormat="false" ht="15" hidden="false" customHeight="true" outlineLevel="0" collapsed="false">
      <c r="A906" s="184"/>
      <c r="B906" s="184"/>
      <c r="C906" s="184"/>
      <c r="D906" s="184"/>
      <c r="E906" s="184"/>
      <c r="F906" s="184"/>
      <c r="G906" s="184"/>
      <c r="H906" s="184"/>
      <c r="I906" s="184"/>
      <c r="J906" s="184"/>
      <c r="K906" s="184"/>
      <c r="L906" s="184"/>
      <c r="M906" s="184"/>
      <c r="N906" s="184"/>
      <c r="O906" s="184"/>
    </row>
    <row r="907" customFormat="false" ht="15" hidden="false" customHeight="true" outlineLevel="0" collapsed="false">
      <c r="A907" s="184"/>
      <c r="B907" s="184"/>
      <c r="C907" s="184"/>
      <c r="D907" s="184"/>
      <c r="E907" s="184"/>
      <c r="F907" s="184"/>
      <c r="G907" s="184"/>
      <c r="H907" s="184"/>
      <c r="I907" s="184"/>
      <c r="J907" s="184"/>
      <c r="K907" s="184"/>
      <c r="L907" s="184"/>
      <c r="M907" s="184"/>
      <c r="N907" s="184"/>
      <c r="O907" s="184"/>
    </row>
    <row r="908" customFormat="false" ht="15" hidden="false" customHeight="true" outlineLevel="0" collapsed="false">
      <c r="A908" s="184"/>
      <c r="B908" s="184"/>
      <c r="C908" s="184"/>
      <c r="D908" s="184"/>
      <c r="E908" s="184"/>
      <c r="F908" s="184"/>
      <c r="G908" s="184"/>
      <c r="H908" s="184"/>
      <c r="I908" s="184"/>
      <c r="J908" s="184"/>
      <c r="K908" s="184"/>
      <c r="L908" s="184"/>
      <c r="M908" s="184"/>
      <c r="N908" s="184"/>
      <c r="O908" s="184"/>
    </row>
    <row r="909" customFormat="false" ht="15" hidden="false" customHeight="true" outlineLevel="0" collapsed="false">
      <c r="A909" s="184"/>
      <c r="B909" s="184"/>
      <c r="C909" s="184"/>
      <c r="D909" s="184"/>
      <c r="E909" s="184"/>
      <c r="F909" s="184"/>
      <c r="G909" s="184"/>
      <c r="H909" s="184"/>
      <c r="I909" s="184"/>
      <c r="J909" s="184"/>
      <c r="K909" s="184"/>
      <c r="L909" s="184"/>
      <c r="M909" s="184"/>
      <c r="N909" s="184"/>
      <c r="O909" s="184"/>
    </row>
    <row r="910" customFormat="false" ht="15" hidden="false" customHeight="true" outlineLevel="0" collapsed="false">
      <c r="A910" s="184"/>
      <c r="B910" s="184"/>
      <c r="C910" s="184"/>
      <c r="D910" s="184"/>
      <c r="E910" s="184"/>
      <c r="F910" s="184"/>
      <c r="G910" s="184"/>
      <c r="H910" s="184"/>
      <c r="I910" s="184"/>
      <c r="J910" s="184"/>
      <c r="K910" s="184"/>
      <c r="L910" s="184"/>
      <c r="M910" s="184"/>
      <c r="N910" s="184"/>
      <c r="O910" s="184"/>
    </row>
    <row r="911" customFormat="false" ht="15" hidden="false" customHeight="true" outlineLevel="0" collapsed="false">
      <c r="A911" s="184"/>
      <c r="B911" s="184"/>
      <c r="C911" s="184"/>
      <c r="D911" s="184"/>
      <c r="E911" s="184"/>
      <c r="F911" s="184"/>
      <c r="G911" s="184"/>
      <c r="H911" s="184"/>
      <c r="I911" s="184"/>
      <c r="J911" s="184"/>
      <c r="K911" s="184"/>
      <c r="L911" s="184"/>
      <c r="M911" s="184"/>
      <c r="N911" s="184"/>
      <c r="O911" s="184"/>
    </row>
    <row r="912" customFormat="false" ht="15" hidden="false" customHeight="true" outlineLevel="0" collapsed="false">
      <c r="A912" s="184"/>
      <c r="B912" s="184"/>
      <c r="C912" s="184"/>
      <c r="D912" s="184"/>
      <c r="E912" s="184"/>
      <c r="F912" s="184"/>
      <c r="G912" s="184"/>
      <c r="H912" s="184"/>
      <c r="I912" s="184"/>
      <c r="J912" s="184"/>
      <c r="K912" s="184"/>
      <c r="L912" s="184"/>
      <c r="M912" s="184"/>
      <c r="N912" s="184"/>
      <c r="O912" s="184"/>
    </row>
    <row r="913" customFormat="false" ht="15" hidden="false" customHeight="true" outlineLevel="0" collapsed="false">
      <c r="A913" s="184"/>
      <c r="B913" s="184"/>
      <c r="C913" s="184"/>
      <c r="D913" s="184"/>
      <c r="E913" s="184"/>
      <c r="F913" s="184"/>
      <c r="G913" s="184"/>
      <c r="H913" s="184"/>
      <c r="I913" s="184"/>
      <c r="J913" s="184"/>
      <c r="K913" s="184"/>
      <c r="L913" s="184"/>
      <c r="M913" s="184"/>
      <c r="N913" s="184"/>
      <c r="O913" s="184"/>
    </row>
    <row r="914" customFormat="false" ht="15" hidden="false" customHeight="true" outlineLevel="0" collapsed="false">
      <c r="A914" s="184"/>
      <c r="B914" s="184"/>
      <c r="C914" s="184"/>
      <c r="D914" s="184"/>
      <c r="E914" s="184"/>
      <c r="F914" s="184"/>
      <c r="G914" s="184"/>
      <c r="H914" s="184"/>
      <c r="I914" s="184"/>
      <c r="J914" s="184"/>
      <c r="K914" s="184"/>
      <c r="L914" s="184"/>
      <c r="M914" s="184"/>
      <c r="N914" s="184"/>
      <c r="O914" s="184"/>
    </row>
    <row r="915" customFormat="false" ht="15" hidden="false" customHeight="true" outlineLevel="0" collapsed="false">
      <c r="A915" s="184"/>
      <c r="B915" s="184"/>
      <c r="C915" s="184"/>
      <c r="D915" s="184"/>
      <c r="E915" s="184"/>
      <c r="F915" s="184"/>
      <c r="G915" s="184"/>
      <c r="H915" s="184"/>
      <c r="I915" s="184"/>
      <c r="J915" s="184"/>
      <c r="K915" s="184"/>
      <c r="L915" s="184"/>
      <c r="M915" s="184"/>
      <c r="N915" s="184"/>
      <c r="O915" s="184"/>
    </row>
    <row r="916" customFormat="false" ht="15" hidden="false" customHeight="true" outlineLevel="0" collapsed="false">
      <c r="A916" s="184"/>
      <c r="B916" s="184"/>
      <c r="C916" s="184"/>
      <c r="D916" s="184"/>
      <c r="E916" s="184"/>
      <c r="F916" s="184"/>
      <c r="G916" s="184"/>
      <c r="H916" s="184"/>
      <c r="I916" s="184"/>
      <c r="J916" s="184"/>
      <c r="K916" s="184"/>
      <c r="L916" s="184"/>
      <c r="M916" s="184"/>
      <c r="N916" s="184"/>
      <c r="O916" s="184"/>
    </row>
    <row r="917" customFormat="false" ht="15" hidden="false" customHeight="true" outlineLevel="0" collapsed="false">
      <c r="A917" s="184"/>
      <c r="B917" s="184"/>
      <c r="C917" s="184"/>
      <c r="D917" s="184"/>
      <c r="E917" s="184"/>
      <c r="F917" s="184"/>
      <c r="G917" s="184"/>
      <c r="H917" s="184"/>
      <c r="I917" s="184"/>
      <c r="J917" s="184"/>
      <c r="K917" s="184"/>
      <c r="L917" s="184"/>
      <c r="M917" s="184"/>
      <c r="N917" s="184"/>
      <c r="O917" s="184"/>
    </row>
    <row r="918" customFormat="false" ht="15" hidden="false" customHeight="true" outlineLevel="0" collapsed="false">
      <c r="A918" s="184"/>
      <c r="B918" s="184"/>
      <c r="C918" s="184"/>
      <c r="D918" s="184"/>
      <c r="E918" s="184"/>
      <c r="F918" s="184"/>
      <c r="G918" s="184"/>
      <c r="H918" s="184"/>
      <c r="I918" s="184"/>
      <c r="J918" s="184"/>
      <c r="K918" s="184"/>
      <c r="L918" s="184"/>
      <c r="M918" s="184"/>
      <c r="N918" s="184"/>
      <c r="O918" s="184"/>
    </row>
    <row r="919" customFormat="false" ht="15" hidden="false" customHeight="true" outlineLevel="0" collapsed="false">
      <c r="A919" s="184"/>
      <c r="B919" s="184"/>
      <c r="C919" s="184"/>
      <c r="D919" s="184"/>
      <c r="E919" s="184"/>
      <c r="F919" s="184"/>
      <c r="G919" s="184"/>
      <c r="H919" s="184"/>
      <c r="I919" s="184"/>
      <c r="J919" s="184"/>
      <c r="K919" s="184"/>
      <c r="L919" s="184"/>
      <c r="M919" s="184"/>
      <c r="N919" s="184"/>
      <c r="O919" s="184"/>
    </row>
    <row r="920" customFormat="false" ht="15" hidden="false" customHeight="true" outlineLevel="0" collapsed="false">
      <c r="A920" s="184"/>
      <c r="B920" s="184"/>
      <c r="C920" s="184"/>
      <c r="D920" s="184"/>
      <c r="E920" s="184"/>
      <c r="F920" s="184"/>
      <c r="G920" s="184"/>
      <c r="H920" s="184"/>
      <c r="I920" s="184"/>
      <c r="J920" s="184"/>
      <c r="K920" s="184"/>
      <c r="L920" s="184"/>
      <c r="M920" s="184"/>
      <c r="N920" s="184"/>
      <c r="O920" s="184"/>
    </row>
    <row r="921" customFormat="false" ht="15" hidden="false" customHeight="true" outlineLevel="0" collapsed="false">
      <c r="A921" s="184"/>
      <c r="B921" s="184"/>
      <c r="C921" s="184"/>
      <c r="D921" s="184"/>
      <c r="E921" s="184"/>
      <c r="F921" s="184"/>
      <c r="G921" s="184"/>
      <c r="H921" s="184"/>
      <c r="I921" s="184"/>
      <c r="J921" s="184"/>
      <c r="K921" s="184"/>
      <c r="L921" s="184"/>
      <c r="M921" s="184"/>
      <c r="N921" s="184"/>
      <c r="O921" s="184"/>
    </row>
    <row r="922" customFormat="false" ht="15" hidden="false" customHeight="true" outlineLevel="0" collapsed="false">
      <c r="A922" s="184" t="s">
        <v>4894</v>
      </c>
      <c r="B922" s="184" t="s">
        <v>4895</v>
      </c>
      <c r="C922" s="184" t="n">
        <v>1</v>
      </c>
      <c r="D922" s="178" t="s">
        <v>5269</v>
      </c>
      <c r="E922" s="184" t="s">
        <v>6289</v>
      </c>
      <c r="F922" s="184"/>
      <c r="G922" s="184"/>
      <c r="H922" s="184"/>
      <c r="I922" s="184"/>
      <c r="J922" s="184"/>
      <c r="K922" s="184"/>
      <c r="L922" s="184"/>
      <c r="M922" s="184" t="s">
        <v>6605</v>
      </c>
      <c r="N922" s="184"/>
      <c r="O922" s="184"/>
    </row>
    <row r="923" customFormat="false" ht="15" hidden="false" customHeight="true" outlineLevel="0" collapsed="false">
      <c r="A923" s="184" t="s">
        <v>4894</v>
      </c>
      <c r="B923" s="184" t="s">
        <v>4895</v>
      </c>
      <c r="C923" s="184" t="n">
        <v>2</v>
      </c>
      <c r="D923" s="177" t="s">
        <v>6429</v>
      </c>
      <c r="E923" s="184" t="s">
        <v>6606</v>
      </c>
      <c r="F923" s="184"/>
      <c r="G923" s="184"/>
      <c r="H923" s="184"/>
      <c r="I923" s="184"/>
      <c r="J923" s="184"/>
      <c r="K923" s="184"/>
      <c r="L923" s="184"/>
      <c r="M923" s="184"/>
      <c r="N923" s="184"/>
      <c r="O923" s="184"/>
    </row>
    <row r="924" customFormat="false" ht="15" hidden="false" customHeight="true" outlineLevel="0" collapsed="false">
      <c r="A924" s="184" t="s">
        <v>4894</v>
      </c>
      <c r="B924" s="184" t="s">
        <v>4895</v>
      </c>
      <c r="C924" s="184" t="n">
        <v>3</v>
      </c>
      <c r="D924" s="179" t="s">
        <v>6292</v>
      </c>
      <c r="E924" s="184" t="s">
        <v>6607</v>
      </c>
      <c r="F924" s="184"/>
      <c r="G924" s="184"/>
      <c r="H924" s="184"/>
      <c r="I924" s="184"/>
      <c r="J924" s="184"/>
      <c r="K924" s="184"/>
      <c r="L924" s="184"/>
      <c r="M924" s="184"/>
      <c r="N924" s="184"/>
      <c r="O924" s="184"/>
    </row>
    <row r="925" customFormat="false" ht="27.75" hidden="false" customHeight="true" outlineLevel="0" collapsed="false">
      <c r="A925" s="184" t="s">
        <v>4894</v>
      </c>
      <c r="B925" s="184" t="s">
        <v>4895</v>
      </c>
      <c r="C925" s="184" t="n">
        <v>4</v>
      </c>
      <c r="D925" s="184" t="s">
        <v>6294</v>
      </c>
      <c r="E925" s="184" t="s">
        <v>6608</v>
      </c>
      <c r="F925" s="184"/>
      <c r="G925" s="184"/>
      <c r="H925" s="184"/>
      <c r="I925" s="184"/>
      <c r="J925" s="184"/>
      <c r="K925" s="184"/>
      <c r="L925" s="184"/>
      <c r="M925" s="184"/>
      <c r="N925" s="184"/>
      <c r="O925" s="184"/>
    </row>
    <row r="926" customFormat="false" ht="15" hidden="false" customHeight="true" outlineLevel="0" collapsed="false">
      <c r="A926" s="184" t="s">
        <v>4894</v>
      </c>
      <c r="B926" s="184" t="s">
        <v>4895</v>
      </c>
      <c r="C926" s="184" t="n">
        <v>5</v>
      </c>
      <c r="D926" s="174" t="s">
        <v>4846</v>
      </c>
      <c r="E926" s="184" t="s">
        <v>2725</v>
      </c>
      <c r="F926" s="184"/>
      <c r="G926" s="184"/>
      <c r="H926" s="184"/>
      <c r="I926" s="184"/>
      <c r="J926" s="184" t="s">
        <v>1278</v>
      </c>
      <c r="K926" s="184"/>
      <c r="L926" s="184"/>
      <c r="M926" s="184"/>
      <c r="N926" s="184"/>
      <c r="O926" s="184"/>
    </row>
    <row r="927" customFormat="false" ht="15" hidden="false" customHeight="true" outlineLevel="0" collapsed="false">
      <c r="A927" s="184" t="s">
        <v>4894</v>
      </c>
      <c r="B927" s="184" t="s">
        <v>4895</v>
      </c>
      <c r="C927" s="184" t="n">
        <v>6</v>
      </c>
      <c r="D927" s="174" t="s">
        <v>4846</v>
      </c>
      <c r="E927" s="184" t="s">
        <v>6609</v>
      </c>
      <c r="F927" s="184"/>
      <c r="G927" s="184"/>
      <c r="H927" s="184"/>
      <c r="I927" s="184"/>
      <c r="J927" s="184" t="s">
        <v>6610</v>
      </c>
      <c r="K927" s="184"/>
      <c r="L927" s="184"/>
      <c r="M927" s="184"/>
      <c r="N927" s="184"/>
      <c r="O927" s="184"/>
    </row>
    <row r="928" customFormat="false" ht="15" hidden="false" customHeight="true" outlineLevel="0" collapsed="false">
      <c r="A928" s="184" t="s">
        <v>4894</v>
      </c>
      <c r="B928" s="184" t="s">
        <v>4895</v>
      </c>
      <c r="C928" s="184" t="n">
        <v>7</v>
      </c>
      <c r="D928" s="174" t="s">
        <v>4846</v>
      </c>
      <c r="E928" s="184" t="s">
        <v>6611</v>
      </c>
      <c r="F928" s="184"/>
      <c r="G928" s="184"/>
      <c r="H928" s="184"/>
      <c r="I928" s="184"/>
      <c r="J928" s="184" t="s">
        <v>6612</v>
      </c>
      <c r="K928" s="184"/>
      <c r="L928" s="184"/>
      <c r="M928" s="184"/>
      <c r="N928" s="184"/>
      <c r="O928" s="184"/>
    </row>
    <row r="929" customFormat="false" ht="15" hidden="false" customHeight="true" outlineLevel="0" collapsed="false">
      <c r="A929" s="184" t="s">
        <v>4894</v>
      </c>
      <c r="B929" s="184" t="s">
        <v>4895</v>
      </c>
      <c r="C929" s="184" t="n">
        <v>8</v>
      </c>
      <c r="D929" s="174" t="s">
        <v>4848</v>
      </c>
      <c r="E929" s="184" t="s">
        <v>6613</v>
      </c>
      <c r="F929" s="184"/>
      <c r="G929" s="184"/>
      <c r="H929" s="184"/>
      <c r="I929" s="184"/>
      <c r="J929" s="184" t="s">
        <v>6614</v>
      </c>
      <c r="K929" s="184"/>
      <c r="L929" s="184"/>
      <c r="M929" s="184"/>
      <c r="N929" s="184"/>
      <c r="O929" s="184"/>
    </row>
    <row r="930" customFormat="false" ht="15" hidden="false" customHeight="true" outlineLevel="0" collapsed="false">
      <c r="A930" s="184" t="s">
        <v>4894</v>
      </c>
      <c r="B930" s="184" t="s">
        <v>4895</v>
      </c>
      <c r="C930" s="184" t="n">
        <v>9</v>
      </c>
      <c r="D930" s="184" t="s">
        <v>6296</v>
      </c>
      <c r="E930" s="184" t="s">
        <v>6615</v>
      </c>
      <c r="F930" s="184"/>
      <c r="G930" s="184"/>
      <c r="H930" s="184"/>
      <c r="I930" s="184"/>
      <c r="J930" s="184"/>
      <c r="K930" s="184"/>
      <c r="L930" s="184"/>
      <c r="M930" s="184"/>
      <c r="N930" s="184"/>
      <c r="O930" s="184"/>
    </row>
    <row r="931" customFormat="false" ht="15" hidden="false" customHeight="true" outlineLevel="0" collapsed="false">
      <c r="A931" s="184" t="s">
        <v>4894</v>
      </c>
      <c r="B931" s="184" t="s">
        <v>4895</v>
      </c>
      <c r="C931" s="184" t="n">
        <v>10</v>
      </c>
      <c r="D931" s="174" t="s">
        <v>4848</v>
      </c>
      <c r="E931" s="184" t="s">
        <v>6616</v>
      </c>
      <c r="F931" s="184"/>
      <c r="G931" s="184"/>
      <c r="H931" s="184"/>
      <c r="I931" s="184"/>
      <c r="J931" s="184" t="s">
        <v>6614</v>
      </c>
      <c r="K931" s="184"/>
      <c r="L931" s="184"/>
      <c r="M931" s="184"/>
      <c r="N931" s="184"/>
      <c r="O931" s="184"/>
    </row>
    <row r="932" customFormat="false" ht="41.25" hidden="false" customHeight="true" outlineLevel="0" collapsed="false">
      <c r="A932" s="184" t="s">
        <v>4894</v>
      </c>
      <c r="B932" s="184" t="s">
        <v>4895</v>
      </c>
      <c r="C932" s="184" t="n">
        <v>11</v>
      </c>
      <c r="D932" s="177" t="s">
        <v>6298</v>
      </c>
      <c r="E932" s="184" t="s">
        <v>6617</v>
      </c>
      <c r="F932" s="184"/>
      <c r="G932" s="184"/>
      <c r="H932" s="184"/>
      <c r="I932" s="184"/>
      <c r="J932" s="184"/>
      <c r="K932" s="184"/>
      <c r="L932" s="184"/>
      <c r="M932" s="184"/>
      <c r="N932" s="184"/>
      <c r="O932" s="184"/>
    </row>
    <row r="933" customFormat="false" ht="15" hidden="false" customHeight="true" outlineLevel="0" collapsed="false">
      <c r="A933" s="184" t="s">
        <v>4894</v>
      </c>
      <c r="B933" s="184" t="s">
        <v>4895</v>
      </c>
      <c r="C933" s="184" t="n">
        <v>12</v>
      </c>
      <c r="D933" s="178" t="s">
        <v>6457</v>
      </c>
      <c r="E933" s="184" t="s">
        <v>6618</v>
      </c>
      <c r="F933" s="184"/>
      <c r="G933" s="184"/>
      <c r="H933" s="184"/>
      <c r="I933" s="184"/>
      <c r="J933" s="184"/>
      <c r="K933" s="184"/>
      <c r="L933" s="184"/>
      <c r="M933" s="184" t="s">
        <v>6619</v>
      </c>
      <c r="N933" s="184"/>
      <c r="O933" s="184"/>
    </row>
    <row r="934" customFormat="false" ht="27.75" hidden="false" customHeight="true" outlineLevel="0" collapsed="false">
      <c r="A934" s="184" t="s">
        <v>4894</v>
      </c>
      <c r="B934" s="184" t="s">
        <v>4895</v>
      </c>
      <c r="C934" s="184" t="n">
        <v>13</v>
      </c>
      <c r="D934" s="178" t="s">
        <v>5269</v>
      </c>
      <c r="E934" s="184" t="s">
        <v>6620</v>
      </c>
      <c r="F934" s="184"/>
      <c r="G934" s="184"/>
      <c r="H934" s="184"/>
      <c r="I934" s="184"/>
      <c r="J934" s="184"/>
      <c r="K934" s="184"/>
      <c r="L934" s="184"/>
      <c r="M934" s="184" t="s">
        <v>6621</v>
      </c>
      <c r="N934" s="184"/>
      <c r="O934" s="184"/>
    </row>
    <row r="935" customFormat="false" ht="15" hidden="false" customHeight="true" outlineLevel="0" collapsed="false">
      <c r="A935" s="184"/>
      <c r="B935" s="184"/>
      <c r="C935" s="184"/>
      <c r="D935" s="184"/>
      <c r="E935" s="184"/>
      <c r="F935" s="184"/>
      <c r="G935" s="184"/>
      <c r="H935" s="184"/>
      <c r="I935" s="184"/>
      <c r="J935" s="184"/>
      <c r="K935" s="184"/>
      <c r="L935" s="184"/>
      <c r="M935" s="184"/>
      <c r="N935" s="184"/>
      <c r="O935" s="184"/>
    </row>
    <row r="936" customFormat="false" ht="15" hidden="false" customHeight="true" outlineLevel="0" collapsed="false">
      <c r="A936" s="184"/>
      <c r="B936" s="184"/>
      <c r="C936" s="184"/>
      <c r="D936" s="184"/>
      <c r="E936" s="184"/>
      <c r="F936" s="184"/>
      <c r="G936" s="184"/>
      <c r="H936" s="184"/>
      <c r="I936" s="184"/>
      <c r="J936" s="184"/>
      <c r="K936" s="184"/>
      <c r="L936" s="184"/>
      <c r="M936" s="184"/>
      <c r="N936" s="184"/>
      <c r="O936" s="184"/>
    </row>
    <row r="937" customFormat="false" ht="15" hidden="false" customHeight="true" outlineLevel="0" collapsed="false">
      <c r="A937" s="184"/>
      <c r="B937" s="184"/>
      <c r="C937" s="184"/>
      <c r="D937" s="184"/>
      <c r="E937" s="184"/>
      <c r="F937" s="184"/>
      <c r="G937" s="184"/>
      <c r="H937" s="184"/>
      <c r="I937" s="184"/>
      <c r="J937" s="184"/>
      <c r="K937" s="184"/>
      <c r="L937" s="184"/>
      <c r="M937" s="184"/>
      <c r="N937" s="184"/>
      <c r="O937" s="184"/>
    </row>
    <row r="938" customFormat="false" ht="15" hidden="false" customHeight="true" outlineLevel="0" collapsed="false">
      <c r="A938" s="184"/>
      <c r="B938" s="184"/>
      <c r="C938" s="184"/>
      <c r="D938" s="184"/>
      <c r="E938" s="184"/>
      <c r="F938" s="184"/>
      <c r="G938" s="184"/>
      <c r="H938" s="184"/>
      <c r="I938" s="184"/>
      <c r="J938" s="184"/>
      <c r="K938" s="184"/>
      <c r="L938" s="184"/>
      <c r="M938" s="184"/>
      <c r="N938" s="184"/>
      <c r="O938" s="184"/>
    </row>
    <row r="939" customFormat="false" ht="15" hidden="false" customHeight="true" outlineLevel="0" collapsed="false">
      <c r="A939" s="184"/>
      <c r="B939" s="184"/>
      <c r="C939" s="184"/>
      <c r="D939" s="184"/>
      <c r="E939" s="184"/>
      <c r="F939" s="184"/>
      <c r="G939" s="184"/>
      <c r="H939" s="184"/>
      <c r="I939" s="184"/>
      <c r="J939" s="184"/>
      <c r="K939" s="184"/>
      <c r="L939" s="184"/>
      <c r="M939" s="184"/>
      <c r="N939" s="184"/>
      <c r="O939" s="184"/>
    </row>
    <row r="940" customFormat="false" ht="15" hidden="false" customHeight="true" outlineLevel="0" collapsed="false">
      <c r="A940" s="184"/>
      <c r="B940" s="184"/>
      <c r="C940" s="184"/>
      <c r="D940" s="184"/>
      <c r="E940" s="184"/>
      <c r="F940" s="184"/>
      <c r="G940" s="184"/>
      <c r="H940" s="184"/>
      <c r="I940" s="184"/>
      <c r="J940" s="184"/>
      <c r="K940" s="184"/>
      <c r="L940" s="184"/>
      <c r="M940" s="184"/>
      <c r="N940" s="184"/>
      <c r="O940" s="184"/>
    </row>
    <row r="941" customFormat="false" ht="15" hidden="false" customHeight="true" outlineLevel="0" collapsed="false">
      <c r="A941" s="184"/>
      <c r="B941" s="184"/>
      <c r="C941" s="184"/>
      <c r="D941" s="184"/>
      <c r="E941" s="184"/>
      <c r="F941" s="184"/>
      <c r="G941" s="184"/>
      <c r="H941" s="184"/>
      <c r="I941" s="184"/>
      <c r="J941" s="184"/>
      <c r="K941" s="184"/>
      <c r="L941" s="184"/>
      <c r="M941" s="184"/>
      <c r="N941" s="184"/>
      <c r="O941" s="184"/>
    </row>
    <row r="942" customFormat="false" ht="15" hidden="false" customHeight="true" outlineLevel="0" collapsed="false">
      <c r="A942" s="184"/>
      <c r="B942" s="184"/>
      <c r="C942" s="184"/>
      <c r="D942" s="184"/>
      <c r="E942" s="184"/>
      <c r="F942" s="184"/>
      <c r="G942" s="184"/>
      <c r="H942" s="184"/>
      <c r="I942" s="184"/>
      <c r="J942" s="184"/>
      <c r="K942" s="184"/>
      <c r="L942" s="184"/>
      <c r="M942" s="184"/>
      <c r="N942" s="184"/>
      <c r="O942" s="184"/>
    </row>
    <row r="943" customFormat="false" ht="15" hidden="false" customHeight="true" outlineLevel="0" collapsed="false">
      <c r="A943" s="184"/>
      <c r="B943" s="184"/>
      <c r="C943" s="184"/>
      <c r="D943" s="184"/>
      <c r="E943" s="184"/>
      <c r="F943" s="184"/>
      <c r="G943" s="184"/>
      <c r="H943" s="184"/>
      <c r="I943" s="184"/>
      <c r="J943" s="184"/>
      <c r="K943" s="184"/>
      <c r="L943" s="184"/>
      <c r="M943" s="184"/>
      <c r="N943" s="184"/>
      <c r="O943" s="184"/>
    </row>
    <row r="944" customFormat="false" ht="15" hidden="false" customHeight="true" outlineLevel="0" collapsed="false">
      <c r="A944" s="184"/>
      <c r="B944" s="184"/>
      <c r="C944" s="184"/>
      <c r="D944" s="184"/>
      <c r="E944" s="184"/>
      <c r="F944" s="184"/>
      <c r="G944" s="184"/>
      <c r="H944" s="184"/>
      <c r="I944" s="184"/>
      <c r="J944" s="184"/>
      <c r="K944" s="184"/>
      <c r="L944" s="184"/>
      <c r="M944" s="184"/>
      <c r="N944" s="184"/>
      <c r="O944" s="184"/>
    </row>
    <row r="945" customFormat="false" ht="15" hidden="false" customHeight="true" outlineLevel="0" collapsed="false">
      <c r="A945" s="184"/>
      <c r="B945" s="184"/>
      <c r="C945" s="184"/>
      <c r="D945" s="184"/>
      <c r="E945" s="184"/>
      <c r="F945" s="184"/>
      <c r="G945" s="184"/>
      <c r="H945" s="184"/>
      <c r="I945" s="184"/>
      <c r="J945" s="184"/>
      <c r="K945" s="184"/>
      <c r="L945" s="184"/>
      <c r="M945" s="184"/>
      <c r="N945" s="184"/>
      <c r="O945" s="184"/>
    </row>
    <row r="946" customFormat="false" ht="15" hidden="false" customHeight="true" outlineLevel="0" collapsed="false">
      <c r="A946" s="184"/>
      <c r="B946" s="184"/>
      <c r="C946" s="184"/>
      <c r="D946" s="184"/>
      <c r="E946" s="184"/>
      <c r="F946" s="184"/>
      <c r="G946" s="184"/>
      <c r="H946" s="184"/>
      <c r="I946" s="184"/>
      <c r="J946" s="184"/>
      <c r="K946" s="184"/>
      <c r="L946" s="184"/>
      <c r="M946" s="184"/>
      <c r="N946" s="184"/>
      <c r="O946" s="184"/>
    </row>
    <row r="947" customFormat="false" ht="15" hidden="false" customHeight="true" outlineLevel="0" collapsed="false">
      <c r="A947" s="184"/>
      <c r="B947" s="184"/>
      <c r="C947" s="184"/>
      <c r="D947" s="184"/>
      <c r="E947" s="184"/>
      <c r="F947" s="184"/>
      <c r="G947" s="184"/>
      <c r="H947" s="184"/>
      <c r="I947" s="184"/>
      <c r="J947" s="184"/>
      <c r="K947" s="184"/>
      <c r="L947" s="184"/>
      <c r="M947" s="184"/>
      <c r="N947" s="184"/>
      <c r="O947" s="184"/>
    </row>
    <row r="948" customFormat="false" ht="15" hidden="false" customHeight="true" outlineLevel="0" collapsed="false">
      <c r="A948" s="184"/>
      <c r="B948" s="184"/>
      <c r="C948" s="184"/>
      <c r="D948" s="184"/>
      <c r="E948" s="184"/>
      <c r="F948" s="184"/>
      <c r="G948" s="184"/>
      <c r="H948" s="184"/>
      <c r="I948" s="184"/>
      <c r="J948" s="184"/>
      <c r="K948" s="184"/>
      <c r="L948" s="184"/>
      <c r="M948" s="184"/>
      <c r="N948" s="184"/>
      <c r="O948" s="184"/>
    </row>
    <row r="949" customFormat="false" ht="15" hidden="false" customHeight="true" outlineLevel="0" collapsed="false">
      <c r="A949" s="184"/>
      <c r="B949" s="184"/>
      <c r="C949" s="184"/>
      <c r="D949" s="184"/>
      <c r="E949" s="184"/>
      <c r="F949" s="184"/>
      <c r="G949" s="184"/>
      <c r="H949" s="184"/>
      <c r="I949" s="184"/>
      <c r="J949" s="184"/>
      <c r="K949" s="184"/>
      <c r="L949" s="184"/>
      <c r="M949" s="184"/>
      <c r="N949" s="184"/>
      <c r="O949" s="184"/>
    </row>
    <row r="950" customFormat="false" ht="15" hidden="false" customHeight="true" outlineLevel="0" collapsed="false">
      <c r="A950" s="184"/>
      <c r="B950" s="184"/>
      <c r="C950" s="184"/>
      <c r="D950" s="184"/>
      <c r="E950" s="184"/>
      <c r="F950" s="184"/>
      <c r="G950" s="184"/>
      <c r="H950" s="184"/>
      <c r="I950" s="184"/>
      <c r="J950" s="184"/>
      <c r="K950" s="184"/>
      <c r="L950" s="184"/>
      <c r="M950" s="184"/>
      <c r="N950" s="184"/>
      <c r="O950" s="184"/>
    </row>
    <row r="951" customFormat="false" ht="15" hidden="false" customHeight="true" outlineLevel="0" collapsed="false">
      <c r="A951" s="184"/>
      <c r="B951" s="184"/>
      <c r="C951" s="184"/>
      <c r="D951" s="184"/>
      <c r="E951" s="184"/>
      <c r="F951" s="184"/>
      <c r="G951" s="184"/>
      <c r="H951" s="184"/>
      <c r="I951" s="184"/>
      <c r="J951" s="184"/>
      <c r="K951" s="184"/>
      <c r="L951" s="184"/>
      <c r="M951" s="184"/>
      <c r="N951" s="184"/>
      <c r="O951" s="184"/>
    </row>
    <row r="952" customFormat="false" ht="15" hidden="false" customHeight="true" outlineLevel="0" collapsed="false">
      <c r="A952" s="184"/>
      <c r="B952" s="184"/>
      <c r="C952" s="184"/>
      <c r="D952" s="184"/>
      <c r="E952" s="184"/>
      <c r="F952" s="184"/>
      <c r="G952" s="184"/>
      <c r="H952" s="184"/>
      <c r="I952" s="184"/>
      <c r="J952" s="184"/>
      <c r="K952" s="184"/>
      <c r="L952" s="184"/>
      <c r="M952" s="184"/>
      <c r="N952" s="184"/>
      <c r="O952" s="184"/>
    </row>
    <row r="953" customFormat="false" ht="15" hidden="false" customHeight="true" outlineLevel="0" collapsed="false">
      <c r="A953" s="184"/>
      <c r="B953" s="184"/>
      <c r="C953" s="184"/>
      <c r="D953" s="184"/>
      <c r="E953" s="184"/>
      <c r="F953" s="184"/>
      <c r="G953" s="184"/>
      <c r="H953" s="184"/>
      <c r="I953" s="184"/>
      <c r="J953" s="184"/>
      <c r="K953" s="184"/>
      <c r="L953" s="184"/>
      <c r="M953" s="184"/>
      <c r="N953" s="184"/>
      <c r="O953" s="184"/>
    </row>
    <row r="954" customFormat="false" ht="15" hidden="false" customHeight="true" outlineLevel="0" collapsed="false">
      <c r="A954" s="184"/>
      <c r="B954" s="184"/>
      <c r="C954" s="184"/>
      <c r="D954" s="184"/>
      <c r="E954" s="184"/>
      <c r="F954" s="184"/>
      <c r="G954" s="184"/>
      <c r="H954" s="184"/>
      <c r="I954" s="184"/>
      <c r="J954" s="184"/>
      <c r="K954" s="184"/>
      <c r="L954" s="184"/>
      <c r="M954" s="184"/>
      <c r="N954" s="184"/>
      <c r="O954" s="184"/>
    </row>
    <row r="955" customFormat="false" ht="15" hidden="false" customHeight="true" outlineLevel="0" collapsed="false">
      <c r="A955" s="184"/>
      <c r="B955" s="184"/>
      <c r="C955" s="184"/>
      <c r="D955" s="184"/>
      <c r="E955" s="184"/>
      <c r="F955" s="184"/>
      <c r="G955" s="184"/>
      <c r="H955" s="184"/>
      <c r="I955" s="184"/>
      <c r="J955" s="184"/>
      <c r="K955" s="184"/>
      <c r="L955" s="184"/>
      <c r="M955" s="184"/>
      <c r="N955" s="184"/>
      <c r="O955" s="184"/>
    </row>
    <row r="956" customFormat="false" ht="15" hidden="false" customHeight="true" outlineLevel="0" collapsed="false">
      <c r="A956" s="184"/>
      <c r="B956" s="184"/>
      <c r="C956" s="184"/>
      <c r="D956" s="184"/>
      <c r="E956" s="184"/>
      <c r="F956" s="184"/>
      <c r="G956" s="184"/>
      <c r="H956" s="184"/>
      <c r="I956" s="184"/>
      <c r="J956" s="184"/>
      <c r="K956" s="184"/>
      <c r="L956" s="184"/>
      <c r="M956" s="184"/>
      <c r="N956" s="184"/>
      <c r="O956" s="184"/>
    </row>
    <row r="957" customFormat="false" ht="15" hidden="false" customHeight="true" outlineLevel="0" collapsed="false">
      <c r="A957" s="184"/>
      <c r="B957" s="184"/>
      <c r="C957" s="184"/>
      <c r="D957" s="184"/>
      <c r="E957" s="184"/>
      <c r="F957" s="184"/>
      <c r="G957" s="184"/>
      <c r="H957" s="184"/>
      <c r="I957" s="184"/>
      <c r="J957" s="184"/>
      <c r="K957" s="184"/>
      <c r="L957" s="184"/>
      <c r="M957" s="184"/>
      <c r="N957" s="184"/>
      <c r="O957" s="184"/>
    </row>
    <row r="958" customFormat="false" ht="15" hidden="false" customHeight="true" outlineLevel="0" collapsed="false">
      <c r="A958" s="184"/>
      <c r="B958" s="184"/>
      <c r="C958" s="184"/>
      <c r="D958" s="184"/>
      <c r="E958" s="184"/>
      <c r="F958" s="184"/>
      <c r="G958" s="184"/>
      <c r="H958" s="184"/>
      <c r="I958" s="184"/>
      <c r="J958" s="184"/>
      <c r="K958" s="184"/>
      <c r="L958" s="184"/>
      <c r="M958" s="184"/>
      <c r="N958" s="184"/>
      <c r="O958" s="184"/>
    </row>
    <row r="959" customFormat="false" ht="15" hidden="false" customHeight="true" outlineLevel="0" collapsed="false">
      <c r="A959" s="184"/>
      <c r="B959" s="184"/>
      <c r="C959" s="184"/>
      <c r="D959" s="184"/>
      <c r="E959" s="184"/>
      <c r="F959" s="184"/>
      <c r="G959" s="184"/>
      <c r="H959" s="184"/>
      <c r="I959" s="184"/>
      <c r="J959" s="184"/>
      <c r="K959" s="184"/>
      <c r="L959" s="184"/>
      <c r="M959" s="184"/>
      <c r="N959" s="184"/>
      <c r="O959" s="184"/>
    </row>
    <row r="960" customFormat="false" ht="15" hidden="false" customHeight="true" outlineLevel="0" collapsed="false">
      <c r="A960" s="184"/>
      <c r="B960" s="184"/>
      <c r="C960" s="184"/>
      <c r="D960" s="184"/>
      <c r="E960" s="184"/>
      <c r="F960" s="184"/>
      <c r="G960" s="184"/>
      <c r="H960" s="184"/>
      <c r="I960" s="184"/>
      <c r="J960" s="184"/>
      <c r="K960" s="184"/>
      <c r="L960" s="184"/>
      <c r="M960" s="184"/>
      <c r="N960" s="184"/>
      <c r="O960" s="184"/>
    </row>
    <row r="961" customFormat="false" ht="15" hidden="false" customHeight="true" outlineLevel="0" collapsed="false">
      <c r="A961" s="184"/>
      <c r="B961" s="184"/>
      <c r="C961" s="184"/>
      <c r="D961" s="184"/>
      <c r="E961" s="184"/>
      <c r="F961" s="184"/>
      <c r="G961" s="184"/>
      <c r="H961" s="184"/>
      <c r="I961" s="184"/>
      <c r="J961" s="184"/>
      <c r="K961" s="184"/>
      <c r="L961" s="184"/>
      <c r="M961" s="184"/>
      <c r="N961" s="184"/>
      <c r="O961" s="184"/>
    </row>
    <row r="962" customFormat="false" ht="15" hidden="false" customHeight="true" outlineLevel="0" collapsed="false">
      <c r="A962" s="184"/>
      <c r="B962" s="184"/>
      <c r="C962" s="184"/>
      <c r="D962" s="184"/>
      <c r="E962" s="184"/>
      <c r="F962" s="184"/>
      <c r="G962" s="184"/>
      <c r="H962" s="184"/>
      <c r="I962" s="184"/>
      <c r="J962" s="184"/>
      <c r="K962" s="184"/>
      <c r="L962" s="184"/>
      <c r="M962" s="184"/>
      <c r="N962" s="184"/>
      <c r="O962" s="184"/>
    </row>
    <row r="963" customFormat="false" ht="15" hidden="false" customHeight="true" outlineLevel="0" collapsed="false">
      <c r="A963" s="184"/>
      <c r="B963" s="184"/>
      <c r="C963" s="184"/>
      <c r="D963" s="184"/>
      <c r="E963" s="184"/>
      <c r="F963" s="184"/>
      <c r="G963" s="184"/>
      <c r="H963" s="184"/>
      <c r="I963" s="184"/>
      <c r="J963" s="184"/>
      <c r="K963" s="184"/>
      <c r="L963" s="184"/>
      <c r="M963" s="184"/>
      <c r="N963" s="184"/>
      <c r="O963" s="184"/>
    </row>
    <row r="964" customFormat="false" ht="15" hidden="false" customHeight="true" outlineLevel="0" collapsed="false">
      <c r="A964" s="184"/>
      <c r="B964" s="184"/>
      <c r="C964" s="184"/>
      <c r="D964" s="184"/>
      <c r="E964" s="184"/>
      <c r="F964" s="184"/>
      <c r="G964" s="184"/>
      <c r="H964" s="184"/>
      <c r="I964" s="184"/>
      <c r="J964" s="184"/>
      <c r="K964" s="184"/>
      <c r="L964" s="184"/>
      <c r="M964" s="184"/>
      <c r="N964" s="184"/>
      <c r="O964" s="184"/>
    </row>
    <row r="965" customFormat="false" ht="15" hidden="false" customHeight="true" outlineLevel="0" collapsed="false">
      <c r="A965" s="184"/>
      <c r="B965" s="184"/>
      <c r="C965" s="184"/>
      <c r="D965" s="184"/>
      <c r="E965" s="184"/>
      <c r="F965" s="184"/>
      <c r="G965" s="184"/>
      <c r="H965" s="184"/>
      <c r="I965" s="184"/>
      <c r="J965" s="184"/>
      <c r="K965" s="184"/>
      <c r="L965" s="184"/>
      <c r="M965" s="184"/>
      <c r="N965" s="184"/>
      <c r="O965" s="184"/>
    </row>
    <row r="966" customFormat="false" ht="15" hidden="false" customHeight="true" outlineLevel="0" collapsed="false">
      <c r="A966" s="184"/>
      <c r="B966" s="184"/>
      <c r="C966" s="184"/>
      <c r="D966" s="184"/>
      <c r="E966" s="184"/>
      <c r="F966" s="184"/>
      <c r="G966" s="184"/>
      <c r="H966" s="184"/>
      <c r="I966" s="184"/>
      <c r="J966" s="184"/>
      <c r="K966" s="184"/>
      <c r="L966" s="184"/>
      <c r="M966" s="184"/>
      <c r="N966" s="184"/>
      <c r="O966" s="184"/>
    </row>
    <row r="967" customFormat="false" ht="15" hidden="false" customHeight="true" outlineLevel="0" collapsed="false">
      <c r="A967" s="184"/>
      <c r="B967" s="184"/>
      <c r="C967" s="184"/>
      <c r="D967" s="184"/>
      <c r="E967" s="184"/>
      <c r="F967" s="184"/>
      <c r="G967" s="184"/>
      <c r="H967" s="184"/>
      <c r="I967" s="184"/>
      <c r="J967" s="184"/>
      <c r="K967" s="184"/>
      <c r="L967" s="184"/>
      <c r="M967" s="184"/>
      <c r="N967" s="184"/>
      <c r="O967" s="184"/>
    </row>
    <row r="968" customFormat="false" ht="15" hidden="false" customHeight="true" outlineLevel="0" collapsed="false">
      <c r="A968" s="184"/>
      <c r="B968" s="184"/>
      <c r="C968" s="184"/>
      <c r="D968" s="184"/>
      <c r="E968" s="184"/>
      <c r="F968" s="184"/>
      <c r="G968" s="184"/>
      <c r="H968" s="184"/>
      <c r="I968" s="184"/>
      <c r="J968" s="184"/>
      <c r="K968" s="184"/>
      <c r="L968" s="184"/>
      <c r="M968" s="184"/>
      <c r="N968" s="184"/>
      <c r="O968" s="184"/>
    </row>
    <row r="969" customFormat="false" ht="15" hidden="false" customHeight="true" outlineLevel="0" collapsed="false">
      <c r="A969" s="184"/>
      <c r="B969" s="184"/>
      <c r="C969" s="184"/>
      <c r="D969" s="184"/>
      <c r="E969" s="184"/>
      <c r="F969" s="184"/>
      <c r="G969" s="184"/>
      <c r="H969" s="184"/>
      <c r="I969" s="184"/>
      <c r="J969" s="184"/>
      <c r="K969" s="184"/>
      <c r="L969" s="184"/>
      <c r="M969" s="184"/>
      <c r="N969" s="184"/>
      <c r="O969" s="184"/>
    </row>
    <row r="970" customFormat="false" ht="15" hidden="false" customHeight="true" outlineLevel="0" collapsed="false">
      <c r="A970" s="184"/>
      <c r="B970" s="184"/>
      <c r="C970" s="184"/>
      <c r="D970" s="184"/>
      <c r="E970" s="184"/>
      <c r="F970" s="184"/>
      <c r="G970" s="184"/>
      <c r="H970" s="184"/>
      <c r="I970" s="184"/>
      <c r="J970" s="184"/>
      <c r="K970" s="184"/>
      <c r="L970" s="184"/>
      <c r="M970" s="184"/>
      <c r="N970" s="184"/>
      <c r="O970" s="184"/>
    </row>
    <row r="971" customFormat="false" ht="15" hidden="false" customHeight="true" outlineLevel="0" collapsed="false">
      <c r="A971" s="184"/>
      <c r="B971" s="184"/>
      <c r="C971" s="184"/>
      <c r="D971" s="184"/>
      <c r="E971" s="184"/>
      <c r="F971" s="184"/>
      <c r="G971" s="184"/>
      <c r="H971" s="184"/>
      <c r="I971" s="184"/>
      <c r="J971" s="184"/>
      <c r="K971" s="184"/>
      <c r="L971" s="184"/>
      <c r="M971" s="184"/>
      <c r="N971" s="184"/>
      <c r="O971" s="184"/>
    </row>
    <row r="972" customFormat="false" ht="15" hidden="false" customHeight="true" outlineLevel="0" collapsed="false">
      <c r="A972" s="184"/>
      <c r="B972" s="184"/>
      <c r="C972" s="184"/>
      <c r="D972" s="184"/>
      <c r="E972" s="184"/>
      <c r="F972" s="184"/>
      <c r="G972" s="184"/>
      <c r="H972" s="184"/>
      <c r="I972" s="184"/>
      <c r="J972" s="184"/>
      <c r="K972" s="184"/>
      <c r="L972" s="184"/>
      <c r="M972" s="184"/>
      <c r="N972" s="184"/>
      <c r="O972" s="184"/>
    </row>
    <row r="973" customFormat="false" ht="15" hidden="false" customHeight="true" outlineLevel="0" collapsed="false">
      <c r="A973" s="184" t="s">
        <v>4897</v>
      </c>
      <c r="B973" s="184" t="s">
        <v>4898</v>
      </c>
      <c r="C973" s="184" t="n">
        <v>1</v>
      </c>
      <c r="D973" s="178" t="s">
        <v>5269</v>
      </c>
      <c r="E973" s="184" t="s">
        <v>6289</v>
      </c>
      <c r="F973" s="184"/>
      <c r="G973" s="184"/>
      <c r="H973" s="184"/>
      <c r="I973" s="184"/>
      <c r="J973" s="184"/>
      <c r="K973" s="184"/>
      <c r="L973" s="184"/>
      <c r="M973" s="184" t="s">
        <v>6622</v>
      </c>
      <c r="N973" s="184"/>
      <c r="O973" s="184"/>
    </row>
    <row r="974" customFormat="false" ht="15" hidden="false" customHeight="true" outlineLevel="0" collapsed="false">
      <c r="A974" s="184" t="s">
        <v>4897</v>
      </c>
      <c r="B974" s="184" t="s">
        <v>4898</v>
      </c>
      <c r="C974" s="184" t="n">
        <v>2</v>
      </c>
      <c r="D974" s="177" t="s">
        <v>6429</v>
      </c>
      <c r="E974" s="184" t="s">
        <v>6606</v>
      </c>
      <c r="F974" s="184"/>
      <c r="G974" s="184"/>
      <c r="H974" s="184"/>
      <c r="I974" s="184"/>
      <c r="J974" s="184"/>
      <c r="K974" s="184"/>
      <c r="L974" s="184"/>
      <c r="M974" s="184"/>
      <c r="N974" s="184"/>
      <c r="O974" s="184"/>
    </row>
    <row r="975" customFormat="false" ht="15" hidden="false" customHeight="true" outlineLevel="0" collapsed="false">
      <c r="A975" s="184" t="s">
        <v>4897</v>
      </c>
      <c r="B975" s="184" t="s">
        <v>4898</v>
      </c>
      <c r="C975" s="184" t="n">
        <v>3</v>
      </c>
      <c r="D975" s="179" t="s">
        <v>6292</v>
      </c>
      <c r="E975" s="184" t="s">
        <v>6623</v>
      </c>
      <c r="F975" s="184"/>
      <c r="G975" s="184"/>
      <c r="H975" s="184"/>
      <c r="I975" s="184"/>
      <c r="J975" s="184"/>
      <c r="K975" s="184"/>
      <c r="L975" s="184"/>
      <c r="M975" s="184"/>
      <c r="N975" s="184"/>
      <c r="O975" s="184"/>
    </row>
    <row r="976" customFormat="false" ht="15" hidden="false" customHeight="true" outlineLevel="0" collapsed="false">
      <c r="A976" s="184" t="s">
        <v>4897</v>
      </c>
      <c r="B976" s="184" t="s">
        <v>4898</v>
      </c>
      <c r="C976" s="184" t="n">
        <v>4</v>
      </c>
      <c r="D976" s="184" t="s">
        <v>6294</v>
      </c>
      <c r="E976" s="184" t="s">
        <v>6624</v>
      </c>
      <c r="F976" s="184"/>
      <c r="G976" s="184"/>
      <c r="H976" s="184"/>
      <c r="I976" s="184"/>
      <c r="J976" s="184"/>
      <c r="K976" s="184"/>
      <c r="L976" s="184"/>
      <c r="M976" s="184"/>
      <c r="N976" s="184"/>
      <c r="O976" s="184"/>
    </row>
    <row r="977" customFormat="false" ht="15" hidden="false" customHeight="true" outlineLevel="0" collapsed="false">
      <c r="A977" s="184" t="s">
        <v>4897</v>
      </c>
      <c r="B977" s="184" t="s">
        <v>4898</v>
      </c>
      <c r="C977" s="184" t="n">
        <v>5</v>
      </c>
      <c r="D977" s="174" t="s">
        <v>4846</v>
      </c>
      <c r="E977" s="184" t="s">
        <v>6625</v>
      </c>
      <c r="F977" s="184"/>
      <c r="G977" s="184"/>
      <c r="H977" s="184"/>
      <c r="I977" s="184"/>
      <c r="J977" s="184"/>
      <c r="K977" s="184"/>
      <c r="L977" s="184"/>
      <c r="M977" s="184"/>
      <c r="N977" s="184"/>
      <c r="O977" s="184"/>
    </row>
    <row r="978" customFormat="false" ht="15" hidden="false" customHeight="true" outlineLevel="0" collapsed="false">
      <c r="A978" s="184" t="s">
        <v>4897</v>
      </c>
      <c r="B978" s="184" t="s">
        <v>4898</v>
      </c>
      <c r="C978" s="184" t="n">
        <v>6</v>
      </c>
      <c r="D978" s="174" t="s">
        <v>4846</v>
      </c>
      <c r="E978" s="184" t="s">
        <v>6626</v>
      </c>
      <c r="F978" s="184"/>
      <c r="G978" s="184"/>
      <c r="H978" s="184"/>
      <c r="I978" s="184"/>
      <c r="J978" s="184"/>
      <c r="K978" s="184"/>
      <c r="L978" s="184"/>
      <c r="M978" s="184"/>
      <c r="N978" s="184"/>
      <c r="O978" s="184"/>
    </row>
    <row r="979" customFormat="false" ht="15" hidden="false" customHeight="true" outlineLevel="0" collapsed="false">
      <c r="A979" s="184" t="s">
        <v>4897</v>
      </c>
      <c r="B979" s="184" t="s">
        <v>4898</v>
      </c>
      <c r="C979" s="184" t="n">
        <v>7</v>
      </c>
      <c r="D979" s="174" t="s">
        <v>4846</v>
      </c>
      <c r="E979" s="184" t="s">
        <v>6627</v>
      </c>
      <c r="F979" s="184"/>
      <c r="G979" s="184"/>
      <c r="H979" s="184"/>
      <c r="I979" s="184"/>
      <c r="J979" s="184"/>
      <c r="K979" s="184"/>
      <c r="L979" s="184"/>
      <c r="M979" s="184"/>
      <c r="N979" s="184"/>
      <c r="O979" s="184"/>
    </row>
    <row r="980" customFormat="false" ht="15" hidden="false" customHeight="true" outlineLevel="0" collapsed="false">
      <c r="A980" s="184" t="s">
        <v>4897</v>
      </c>
      <c r="B980" s="184" t="s">
        <v>4898</v>
      </c>
      <c r="C980" s="184" t="n">
        <v>8</v>
      </c>
      <c r="D980" s="174" t="s">
        <v>4846</v>
      </c>
      <c r="E980" s="184" t="s">
        <v>6628</v>
      </c>
      <c r="F980" s="184"/>
      <c r="G980" s="184"/>
      <c r="H980" s="184"/>
      <c r="I980" s="184"/>
      <c r="J980" s="184"/>
      <c r="K980" s="184"/>
      <c r="L980" s="184"/>
      <c r="M980" s="184"/>
      <c r="N980" s="184"/>
      <c r="O980" s="184"/>
    </row>
    <row r="981" customFormat="false" ht="15" hidden="false" customHeight="true" outlineLevel="0" collapsed="false">
      <c r="A981" s="184" t="s">
        <v>4897</v>
      </c>
      <c r="B981" s="184" t="s">
        <v>4898</v>
      </c>
      <c r="C981" s="184" t="n">
        <v>9</v>
      </c>
      <c r="D981" s="174" t="s">
        <v>4846</v>
      </c>
      <c r="E981" s="184" t="s">
        <v>6629</v>
      </c>
      <c r="F981" s="184"/>
      <c r="G981" s="184"/>
      <c r="H981" s="184"/>
      <c r="I981" s="184"/>
      <c r="J981" s="184"/>
      <c r="K981" s="184"/>
      <c r="L981" s="184"/>
      <c r="M981" s="184"/>
      <c r="N981" s="184"/>
      <c r="O981" s="184"/>
    </row>
    <row r="982" customFormat="false" ht="15" hidden="false" customHeight="true" outlineLevel="0" collapsed="false">
      <c r="A982" s="184" t="s">
        <v>4897</v>
      </c>
      <c r="B982" s="184" t="s">
        <v>4898</v>
      </c>
      <c r="C982" s="184" t="n">
        <v>10</v>
      </c>
      <c r="D982" s="174" t="s">
        <v>4846</v>
      </c>
      <c r="E982" s="184" t="s">
        <v>6630</v>
      </c>
      <c r="F982" s="184"/>
      <c r="G982" s="184"/>
      <c r="H982" s="184"/>
      <c r="I982" s="184"/>
      <c r="J982" s="184"/>
      <c r="K982" s="184"/>
      <c r="L982" s="184"/>
      <c r="M982" s="184"/>
      <c r="N982" s="184"/>
      <c r="O982" s="184"/>
    </row>
    <row r="983" customFormat="false" ht="15" hidden="false" customHeight="true" outlineLevel="0" collapsed="false">
      <c r="A983" s="184" t="s">
        <v>4897</v>
      </c>
      <c r="B983" s="184" t="s">
        <v>4898</v>
      </c>
      <c r="C983" s="184" t="n">
        <v>11</v>
      </c>
      <c r="D983" s="177" t="s">
        <v>5183</v>
      </c>
      <c r="E983" s="184" t="s">
        <v>6631</v>
      </c>
      <c r="F983" s="184"/>
      <c r="G983" s="184"/>
      <c r="H983" s="184"/>
      <c r="I983" s="184"/>
      <c r="J983" s="184"/>
      <c r="K983" s="184"/>
      <c r="L983" s="184"/>
      <c r="M983" s="184"/>
      <c r="N983" s="184"/>
      <c r="O983" s="184"/>
    </row>
    <row r="984" customFormat="false" ht="15" hidden="false" customHeight="true" outlineLevel="0" collapsed="false">
      <c r="A984" s="184" t="s">
        <v>4897</v>
      </c>
      <c r="B984" s="184" t="s">
        <v>4898</v>
      </c>
      <c r="C984" s="184" t="n">
        <v>12</v>
      </c>
      <c r="D984" s="178" t="s">
        <v>6457</v>
      </c>
      <c r="E984" s="184" t="s">
        <v>6632</v>
      </c>
      <c r="F984" s="184"/>
      <c r="G984" s="184"/>
      <c r="H984" s="184"/>
      <c r="I984" s="184"/>
      <c r="J984" s="184"/>
      <c r="K984" s="184"/>
      <c r="L984" s="184"/>
      <c r="M984" s="184" t="s">
        <v>6633</v>
      </c>
      <c r="N984" s="184"/>
      <c r="O984" s="184"/>
    </row>
    <row r="985" customFormat="false" ht="15" hidden="false" customHeight="true" outlineLevel="0" collapsed="false">
      <c r="A985" s="184" t="s">
        <v>4897</v>
      </c>
      <c r="B985" s="184" t="s">
        <v>4898</v>
      </c>
      <c r="C985" s="184" t="n">
        <v>13</v>
      </c>
      <c r="D985" s="178" t="s">
        <v>5269</v>
      </c>
      <c r="E985" s="184" t="s">
        <v>6634</v>
      </c>
      <c r="F985" s="184"/>
      <c r="G985" s="184"/>
      <c r="H985" s="184"/>
      <c r="I985" s="184"/>
      <c r="J985" s="184"/>
      <c r="K985" s="184"/>
      <c r="L985" s="184"/>
      <c r="M985" s="184" t="s">
        <v>6635</v>
      </c>
      <c r="N985" s="184"/>
      <c r="O985" s="184"/>
    </row>
    <row r="986" customFormat="false" ht="15" hidden="false" customHeight="true" outlineLevel="0" collapsed="false">
      <c r="A986" s="184"/>
      <c r="B986" s="184"/>
      <c r="C986" s="184"/>
      <c r="D986" s="184"/>
      <c r="E986" s="184"/>
      <c r="F986" s="184"/>
      <c r="G986" s="184"/>
      <c r="H986" s="184"/>
      <c r="I986" s="184"/>
      <c r="J986" s="184"/>
      <c r="K986" s="184"/>
      <c r="L986" s="184"/>
      <c r="M986" s="184"/>
      <c r="N986" s="184"/>
      <c r="O986" s="184"/>
    </row>
    <row r="987" customFormat="false" ht="15" hidden="false" customHeight="true" outlineLevel="0" collapsed="false">
      <c r="A987" s="184"/>
      <c r="B987" s="184"/>
      <c r="C987" s="184"/>
      <c r="D987" s="184"/>
      <c r="E987" s="184"/>
      <c r="F987" s="184"/>
      <c r="G987" s="184"/>
      <c r="H987" s="184"/>
      <c r="I987" s="184"/>
      <c r="J987" s="184"/>
      <c r="K987" s="184"/>
      <c r="L987" s="184"/>
      <c r="M987" s="184"/>
      <c r="N987" s="184"/>
      <c r="O987" s="184"/>
    </row>
    <row r="988" customFormat="false" ht="15" hidden="false" customHeight="true" outlineLevel="0" collapsed="false">
      <c r="A988" s="184"/>
      <c r="B988" s="184"/>
      <c r="C988" s="184"/>
      <c r="D988" s="184"/>
      <c r="E988" s="184"/>
      <c r="F988" s="184"/>
      <c r="G988" s="184"/>
      <c r="H988" s="184"/>
      <c r="I988" s="184"/>
      <c r="J988" s="184"/>
      <c r="K988" s="184"/>
      <c r="L988" s="184"/>
      <c r="M988" s="184"/>
      <c r="N988" s="184"/>
      <c r="O988" s="184"/>
    </row>
    <row r="989" customFormat="false" ht="15" hidden="false" customHeight="true" outlineLevel="0" collapsed="false">
      <c r="A989" s="184"/>
      <c r="B989" s="184"/>
      <c r="C989" s="184"/>
      <c r="D989" s="184"/>
      <c r="E989" s="184"/>
      <c r="F989" s="184"/>
      <c r="G989" s="184"/>
      <c r="H989" s="184"/>
      <c r="I989" s="184"/>
      <c r="J989" s="184"/>
      <c r="K989" s="184"/>
      <c r="L989" s="184"/>
      <c r="M989" s="184"/>
      <c r="N989" s="184"/>
      <c r="O989" s="184"/>
    </row>
    <row r="990" customFormat="false" ht="15" hidden="false" customHeight="true" outlineLevel="0" collapsed="false">
      <c r="A990" s="184"/>
      <c r="B990" s="184"/>
      <c r="C990" s="184"/>
      <c r="D990" s="184"/>
      <c r="E990" s="184"/>
      <c r="F990" s="184"/>
      <c r="G990" s="184"/>
      <c r="H990" s="184"/>
      <c r="I990" s="184"/>
      <c r="J990" s="184"/>
      <c r="K990" s="184"/>
      <c r="L990" s="184"/>
      <c r="M990" s="184"/>
      <c r="N990" s="184"/>
      <c r="O990" s="184"/>
    </row>
    <row r="991" customFormat="false" ht="15" hidden="false" customHeight="true" outlineLevel="0" collapsed="false">
      <c r="A991" s="184"/>
      <c r="B991" s="184"/>
      <c r="C991" s="184"/>
      <c r="D991" s="184"/>
      <c r="E991" s="184"/>
      <c r="F991" s="184"/>
      <c r="G991" s="184"/>
      <c r="H991" s="184"/>
      <c r="I991" s="184"/>
      <c r="J991" s="184"/>
      <c r="K991" s="184"/>
      <c r="L991" s="184"/>
      <c r="M991" s="184"/>
      <c r="N991" s="184"/>
      <c r="O991" s="184"/>
    </row>
    <row r="992" customFormat="false" ht="15" hidden="false" customHeight="true" outlineLevel="0" collapsed="false">
      <c r="A992" s="184"/>
      <c r="B992" s="184"/>
      <c r="C992" s="184"/>
      <c r="D992" s="184"/>
      <c r="E992" s="184"/>
      <c r="F992" s="184"/>
      <c r="G992" s="184"/>
      <c r="H992" s="184"/>
      <c r="I992" s="184"/>
      <c r="J992" s="184"/>
      <c r="K992" s="184"/>
      <c r="L992" s="184"/>
      <c r="M992" s="184"/>
      <c r="N992" s="184"/>
      <c r="O992" s="184"/>
    </row>
    <row r="993" customFormat="false" ht="15" hidden="false" customHeight="true" outlineLevel="0" collapsed="false">
      <c r="A993" s="184"/>
      <c r="B993" s="184"/>
      <c r="C993" s="184"/>
      <c r="D993" s="184"/>
      <c r="E993" s="184"/>
      <c r="F993" s="184"/>
      <c r="G993" s="184"/>
      <c r="H993" s="184"/>
      <c r="I993" s="184"/>
      <c r="J993" s="184"/>
      <c r="K993" s="184"/>
      <c r="L993" s="184"/>
      <c r="M993" s="184"/>
      <c r="N993" s="184"/>
      <c r="O993" s="184"/>
    </row>
    <row r="994" customFormat="false" ht="15" hidden="false" customHeight="true" outlineLevel="0" collapsed="false">
      <c r="A994" s="184"/>
      <c r="B994" s="184"/>
      <c r="C994" s="184"/>
      <c r="D994" s="184"/>
      <c r="E994" s="184"/>
      <c r="F994" s="184"/>
      <c r="G994" s="184"/>
      <c r="H994" s="184"/>
      <c r="I994" s="184"/>
      <c r="J994" s="184"/>
      <c r="K994" s="184"/>
      <c r="L994" s="184"/>
      <c r="M994" s="184"/>
      <c r="N994" s="184"/>
      <c r="O994" s="184"/>
    </row>
    <row r="995" customFormat="false" ht="15" hidden="false" customHeight="true" outlineLevel="0" collapsed="false">
      <c r="A995" s="184"/>
      <c r="B995" s="184"/>
      <c r="C995" s="184"/>
      <c r="D995" s="184"/>
      <c r="E995" s="184"/>
      <c r="F995" s="184"/>
      <c r="G995" s="184"/>
      <c r="H995" s="184"/>
      <c r="I995" s="184"/>
      <c r="J995" s="184"/>
      <c r="K995" s="184"/>
      <c r="L995" s="184"/>
      <c r="M995" s="184"/>
      <c r="N995" s="184"/>
      <c r="O995" s="184"/>
    </row>
    <row r="996" customFormat="false" ht="15" hidden="false" customHeight="true" outlineLevel="0" collapsed="false">
      <c r="A996" s="184"/>
      <c r="B996" s="184"/>
      <c r="C996" s="184"/>
      <c r="D996" s="184"/>
      <c r="E996" s="184"/>
      <c r="F996" s="184"/>
      <c r="G996" s="184"/>
      <c r="H996" s="184"/>
      <c r="I996" s="184"/>
      <c r="J996" s="184"/>
      <c r="K996" s="184"/>
      <c r="L996" s="184"/>
      <c r="M996" s="184"/>
      <c r="N996" s="184"/>
      <c r="O996" s="184"/>
    </row>
    <row r="997" customFormat="false" ht="15" hidden="false" customHeight="true" outlineLevel="0" collapsed="false">
      <c r="A997" s="184"/>
      <c r="B997" s="184"/>
      <c r="C997" s="184"/>
      <c r="D997" s="184"/>
      <c r="E997" s="184"/>
      <c r="F997" s="184"/>
      <c r="G997" s="184"/>
      <c r="H997" s="184"/>
      <c r="I997" s="184"/>
      <c r="J997" s="184"/>
      <c r="K997" s="184"/>
      <c r="L997" s="184"/>
      <c r="M997" s="184"/>
      <c r="N997" s="184"/>
      <c r="O997" s="184"/>
    </row>
    <row r="998" customFormat="false" ht="15" hidden="false" customHeight="true" outlineLevel="0" collapsed="false">
      <c r="A998" s="184"/>
      <c r="B998" s="184"/>
      <c r="C998" s="184"/>
      <c r="D998" s="184"/>
      <c r="E998" s="184"/>
      <c r="F998" s="184"/>
      <c r="G998" s="184"/>
      <c r="H998" s="184"/>
      <c r="I998" s="184"/>
      <c r="J998" s="184"/>
      <c r="K998" s="184"/>
      <c r="L998" s="184"/>
      <c r="M998" s="184"/>
      <c r="N998" s="184"/>
      <c r="O998" s="184"/>
    </row>
    <row r="999" customFormat="false" ht="15" hidden="false" customHeight="true" outlineLevel="0" collapsed="false">
      <c r="A999" s="184"/>
      <c r="B999" s="184"/>
      <c r="C999" s="184"/>
      <c r="D999" s="184"/>
      <c r="E999" s="184"/>
      <c r="F999" s="184"/>
      <c r="G999" s="184"/>
      <c r="H999" s="184"/>
      <c r="I999" s="184"/>
      <c r="J999" s="184"/>
      <c r="K999" s="184"/>
      <c r="L999" s="184"/>
      <c r="M999" s="184"/>
      <c r="N999" s="184"/>
      <c r="O999" s="184"/>
    </row>
    <row r="1000" customFormat="false" ht="15" hidden="false" customHeight="true" outlineLevel="0" collapsed="false">
      <c r="A1000" s="184"/>
      <c r="B1000" s="184"/>
      <c r="C1000" s="184"/>
      <c r="D1000" s="184"/>
      <c r="E1000" s="184"/>
      <c r="F1000" s="184"/>
      <c r="G1000" s="184"/>
      <c r="H1000" s="184"/>
      <c r="I1000" s="184"/>
      <c r="J1000" s="184"/>
      <c r="K1000" s="184"/>
      <c r="L1000" s="184"/>
      <c r="M1000" s="184"/>
      <c r="N1000" s="184"/>
      <c r="O1000" s="184"/>
    </row>
    <row r="1001" customFormat="false" ht="15" hidden="false" customHeight="true" outlineLevel="0" collapsed="false">
      <c r="A1001" s="184"/>
      <c r="B1001" s="184"/>
      <c r="C1001" s="184"/>
      <c r="D1001" s="184"/>
      <c r="E1001" s="184"/>
      <c r="F1001" s="184"/>
      <c r="G1001" s="184"/>
      <c r="H1001" s="184"/>
      <c r="I1001" s="184"/>
      <c r="J1001" s="184"/>
      <c r="K1001" s="184"/>
      <c r="L1001" s="184"/>
      <c r="M1001" s="184"/>
      <c r="N1001" s="184"/>
      <c r="O1001" s="184"/>
    </row>
    <row r="1002" customFormat="false" ht="15" hidden="false" customHeight="true" outlineLevel="0" collapsed="false">
      <c r="A1002" s="184"/>
      <c r="B1002" s="184"/>
      <c r="C1002" s="184"/>
      <c r="D1002" s="184"/>
      <c r="E1002" s="184"/>
      <c r="F1002" s="184"/>
      <c r="G1002" s="184"/>
      <c r="H1002" s="184"/>
      <c r="I1002" s="184"/>
      <c r="J1002" s="184"/>
      <c r="K1002" s="184"/>
      <c r="L1002" s="184"/>
      <c r="M1002" s="184"/>
      <c r="N1002" s="184"/>
      <c r="O1002" s="184"/>
    </row>
    <row r="1003" customFormat="false" ht="15" hidden="false" customHeight="true" outlineLevel="0" collapsed="false">
      <c r="A1003" s="184"/>
      <c r="B1003" s="184"/>
      <c r="C1003" s="184"/>
      <c r="D1003" s="184"/>
      <c r="E1003" s="184"/>
      <c r="F1003" s="184"/>
      <c r="G1003" s="184"/>
      <c r="H1003" s="184"/>
      <c r="I1003" s="184"/>
      <c r="J1003" s="184"/>
      <c r="K1003" s="184"/>
      <c r="L1003" s="184"/>
      <c r="M1003" s="184"/>
      <c r="N1003" s="184"/>
      <c r="O1003" s="184"/>
    </row>
    <row r="1004" customFormat="false" ht="15" hidden="false" customHeight="true" outlineLevel="0" collapsed="false">
      <c r="A1004" s="184"/>
      <c r="B1004" s="184"/>
      <c r="C1004" s="184"/>
      <c r="D1004" s="184"/>
      <c r="E1004" s="184"/>
      <c r="F1004" s="184"/>
      <c r="G1004" s="184"/>
      <c r="H1004" s="184"/>
      <c r="I1004" s="184"/>
      <c r="J1004" s="184"/>
      <c r="K1004" s="184"/>
      <c r="L1004" s="184"/>
      <c r="M1004" s="184"/>
      <c r="N1004" s="184"/>
      <c r="O1004" s="184"/>
    </row>
    <row r="1005" customFormat="false" ht="15" hidden="false" customHeight="true" outlineLevel="0" collapsed="false">
      <c r="A1005" s="184"/>
      <c r="B1005" s="184"/>
      <c r="C1005" s="184"/>
      <c r="D1005" s="184"/>
      <c r="E1005" s="184"/>
      <c r="F1005" s="184"/>
      <c r="G1005" s="184"/>
      <c r="H1005" s="184"/>
      <c r="I1005" s="184"/>
      <c r="J1005" s="184"/>
      <c r="K1005" s="184"/>
      <c r="L1005" s="184"/>
      <c r="M1005" s="184"/>
      <c r="N1005" s="184"/>
      <c r="O1005" s="184"/>
    </row>
    <row r="1006" customFormat="false" ht="15" hidden="false" customHeight="true" outlineLevel="0" collapsed="false">
      <c r="A1006" s="184"/>
      <c r="B1006" s="184"/>
      <c r="C1006" s="184"/>
      <c r="D1006" s="184"/>
      <c r="E1006" s="184"/>
      <c r="F1006" s="184"/>
      <c r="G1006" s="184"/>
      <c r="H1006" s="184"/>
      <c r="I1006" s="184"/>
      <c r="J1006" s="184"/>
      <c r="K1006" s="184"/>
      <c r="L1006" s="184"/>
      <c r="M1006" s="184"/>
      <c r="N1006" s="184"/>
      <c r="O1006" s="184"/>
    </row>
    <row r="1007" customFormat="false" ht="15" hidden="false" customHeight="true" outlineLevel="0" collapsed="false">
      <c r="A1007" s="184"/>
      <c r="B1007" s="184"/>
      <c r="C1007" s="184"/>
      <c r="D1007" s="184"/>
      <c r="E1007" s="184"/>
      <c r="F1007" s="184"/>
      <c r="G1007" s="184"/>
      <c r="H1007" s="184"/>
      <c r="I1007" s="184"/>
      <c r="J1007" s="184"/>
      <c r="K1007" s="184"/>
      <c r="L1007" s="184"/>
      <c r="M1007" s="184"/>
      <c r="N1007" s="184"/>
      <c r="O1007" s="184"/>
    </row>
    <row r="1008" customFormat="false" ht="15" hidden="false" customHeight="true" outlineLevel="0" collapsed="false">
      <c r="A1008" s="184"/>
      <c r="B1008" s="184"/>
      <c r="C1008" s="184"/>
      <c r="D1008" s="184"/>
      <c r="E1008" s="184"/>
      <c r="F1008" s="184"/>
      <c r="G1008" s="184"/>
      <c r="H1008" s="184"/>
      <c r="I1008" s="184"/>
      <c r="J1008" s="184"/>
      <c r="K1008" s="184"/>
      <c r="L1008" s="184"/>
      <c r="M1008" s="184"/>
      <c r="N1008" s="184"/>
      <c r="O1008" s="184"/>
    </row>
    <row r="1009" customFormat="false" ht="15" hidden="false" customHeight="true" outlineLevel="0" collapsed="false">
      <c r="A1009" s="184" t="s">
        <v>4900</v>
      </c>
      <c r="B1009" s="184" t="s">
        <v>4901</v>
      </c>
      <c r="C1009" s="184" t="n">
        <v>1</v>
      </c>
      <c r="D1009" s="177" t="s">
        <v>6429</v>
      </c>
      <c r="E1009" s="184" t="s">
        <v>6636</v>
      </c>
      <c r="F1009" s="184"/>
      <c r="G1009" s="184"/>
      <c r="H1009" s="184"/>
      <c r="I1009" s="184"/>
      <c r="J1009" s="184"/>
      <c r="K1009" s="184"/>
      <c r="L1009" s="184"/>
      <c r="M1009" s="184"/>
      <c r="N1009" s="184"/>
      <c r="O1009" s="184"/>
    </row>
    <row r="1010" customFormat="false" ht="15" hidden="false" customHeight="true" outlineLevel="0" collapsed="false">
      <c r="A1010" s="184" t="s">
        <v>4900</v>
      </c>
      <c r="B1010" s="184" t="s">
        <v>4901</v>
      </c>
      <c r="C1010" s="184" t="n">
        <v>2</v>
      </c>
      <c r="D1010" s="179" t="s">
        <v>6292</v>
      </c>
      <c r="E1010" s="184" t="s">
        <v>6637</v>
      </c>
      <c r="F1010" s="184"/>
      <c r="G1010" s="184"/>
      <c r="H1010" s="184"/>
      <c r="I1010" s="184"/>
      <c r="J1010" s="184"/>
      <c r="K1010" s="184"/>
      <c r="L1010" s="184"/>
      <c r="M1010" s="184"/>
      <c r="N1010" s="184"/>
      <c r="O1010" s="184"/>
    </row>
    <row r="1011" customFormat="false" ht="15" hidden="false" customHeight="true" outlineLevel="0" collapsed="false">
      <c r="A1011" s="184" t="s">
        <v>4900</v>
      </c>
      <c r="B1011" s="184" t="s">
        <v>4901</v>
      </c>
      <c r="C1011" s="184" t="n">
        <v>3</v>
      </c>
      <c r="D1011" s="184" t="s">
        <v>6294</v>
      </c>
      <c r="E1011" s="184" t="s">
        <v>6638</v>
      </c>
      <c r="F1011" s="184"/>
      <c r="G1011" s="184"/>
      <c r="H1011" s="184"/>
      <c r="I1011" s="184"/>
      <c r="J1011" s="184"/>
      <c r="K1011" s="184"/>
      <c r="L1011" s="184"/>
      <c r="M1011" s="184"/>
      <c r="N1011" s="184"/>
      <c r="O1011" s="184"/>
    </row>
    <row r="1012" customFormat="false" ht="27.75" hidden="false" customHeight="true" outlineLevel="0" collapsed="false">
      <c r="A1012" s="184" t="s">
        <v>4900</v>
      </c>
      <c r="B1012" s="184" t="s">
        <v>4901</v>
      </c>
      <c r="C1012" s="184" t="n">
        <v>4</v>
      </c>
      <c r="D1012" s="177" t="s">
        <v>6298</v>
      </c>
      <c r="E1012" s="184" t="s">
        <v>6639</v>
      </c>
      <c r="F1012" s="184"/>
      <c r="G1012" s="184"/>
      <c r="H1012" s="184"/>
      <c r="I1012" s="184"/>
      <c r="J1012" s="184"/>
      <c r="K1012" s="184"/>
      <c r="L1012" s="184"/>
      <c r="M1012" s="184"/>
      <c r="N1012" s="184"/>
      <c r="O1012" s="184"/>
    </row>
    <row r="1013" customFormat="false" ht="15" hidden="false" customHeight="true" outlineLevel="0" collapsed="false">
      <c r="A1013" s="184" t="s">
        <v>4900</v>
      </c>
      <c r="B1013" s="184" t="s">
        <v>4901</v>
      </c>
      <c r="C1013" s="184" t="n">
        <v>5</v>
      </c>
      <c r="D1013" s="178" t="s">
        <v>5269</v>
      </c>
      <c r="E1013" s="184" t="s">
        <v>6640</v>
      </c>
      <c r="F1013" s="184"/>
      <c r="G1013" s="184"/>
      <c r="H1013" s="184"/>
      <c r="I1013" s="184"/>
      <c r="J1013" s="184"/>
      <c r="K1013" s="184"/>
      <c r="L1013" s="184"/>
      <c r="M1013" s="184" t="s">
        <v>6641</v>
      </c>
      <c r="N1013" s="184"/>
      <c r="O1013" s="184"/>
    </row>
    <row r="1014" customFormat="false" ht="15" hidden="false" customHeight="true" outlineLevel="0" collapsed="false">
      <c r="A1014" s="184" t="s">
        <v>4900</v>
      </c>
      <c r="B1014" s="184" t="s">
        <v>4901</v>
      </c>
      <c r="C1014" s="184" t="n">
        <v>6</v>
      </c>
      <c r="D1014" s="184" t="s">
        <v>4790</v>
      </c>
      <c r="E1014" s="184" t="s">
        <v>6642</v>
      </c>
      <c r="F1014" s="184"/>
      <c r="G1014" s="184"/>
      <c r="H1014" s="184"/>
      <c r="I1014" s="184"/>
      <c r="J1014" s="184"/>
      <c r="K1014" s="184"/>
      <c r="L1014" s="184"/>
      <c r="M1014" s="184" t="s">
        <v>6643</v>
      </c>
      <c r="N1014" s="184"/>
      <c r="O1014" s="184"/>
    </row>
    <row r="1015" customFormat="false" ht="27.75" hidden="false" customHeight="true" outlineLevel="0" collapsed="false">
      <c r="A1015" s="184" t="s">
        <v>4900</v>
      </c>
      <c r="B1015" s="184" t="s">
        <v>4901</v>
      </c>
      <c r="C1015" s="184" t="n">
        <v>7</v>
      </c>
      <c r="D1015" s="178" t="s">
        <v>5269</v>
      </c>
      <c r="E1015" s="184" t="s">
        <v>6644</v>
      </c>
      <c r="F1015" s="184"/>
      <c r="G1015" s="184"/>
      <c r="H1015" s="184"/>
      <c r="I1015" s="184"/>
      <c r="J1015" s="184"/>
      <c r="K1015" s="184"/>
      <c r="L1015" s="184"/>
      <c r="M1015" s="184" t="s">
        <v>6645</v>
      </c>
      <c r="N1015" s="184"/>
      <c r="O1015" s="184"/>
    </row>
    <row r="1016" customFormat="false" ht="41.25" hidden="false" customHeight="true" outlineLevel="0" collapsed="false">
      <c r="A1016" s="184" t="s">
        <v>4900</v>
      </c>
      <c r="B1016" s="184" t="s">
        <v>4901</v>
      </c>
      <c r="C1016" s="184" t="n">
        <v>8</v>
      </c>
      <c r="D1016" s="178" t="s">
        <v>5269</v>
      </c>
      <c r="E1016" s="184" t="s">
        <v>6646</v>
      </c>
      <c r="F1016" s="184"/>
      <c r="G1016" s="184"/>
      <c r="H1016" s="184"/>
      <c r="I1016" s="184"/>
      <c r="J1016" s="184"/>
      <c r="K1016" s="184"/>
      <c r="L1016" s="184"/>
      <c r="M1016" s="184" t="s">
        <v>6647</v>
      </c>
      <c r="N1016" s="184"/>
      <c r="O1016" s="184"/>
    </row>
    <row r="1017" customFormat="false" ht="27.75" hidden="false" customHeight="true" outlineLevel="0" collapsed="false">
      <c r="A1017" s="184" t="s">
        <v>4900</v>
      </c>
      <c r="B1017" s="184" t="s">
        <v>4901</v>
      </c>
      <c r="C1017" s="184" t="n">
        <v>9</v>
      </c>
      <c r="D1017" s="178" t="s">
        <v>5269</v>
      </c>
      <c r="E1017" s="184" t="s">
        <v>6648</v>
      </c>
      <c r="F1017" s="184"/>
      <c r="G1017" s="184"/>
      <c r="H1017" s="184"/>
      <c r="I1017" s="184"/>
      <c r="J1017" s="184"/>
      <c r="K1017" s="184"/>
      <c r="L1017" s="184"/>
      <c r="M1017" s="184" t="s">
        <v>6649</v>
      </c>
      <c r="N1017" s="184"/>
      <c r="O1017" s="184"/>
    </row>
    <row r="1018" customFormat="false" ht="27.75" hidden="false" customHeight="true" outlineLevel="0" collapsed="false">
      <c r="A1018" s="184" t="s">
        <v>4900</v>
      </c>
      <c r="B1018" s="184" t="s">
        <v>4901</v>
      </c>
      <c r="C1018" s="184" t="n">
        <v>10</v>
      </c>
      <c r="D1018" s="178" t="s">
        <v>5269</v>
      </c>
      <c r="E1018" s="184" t="s">
        <v>6650</v>
      </c>
      <c r="F1018" s="184"/>
      <c r="G1018" s="184"/>
      <c r="H1018" s="184"/>
      <c r="I1018" s="184"/>
      <c r="J1018" s="184"/>
      <c r="K1018" s="184"/>
      <c r="L1018" s="184"/>
      <c r="M1018" s="184" t="s">
        <v>6651</v>
      </c>
      <c r="N1018" s="184"/>
      <c r="O1018" s="184"/>
    </row>
    <row r="1019" customFormat="false" ht="27.75" hidden="false" customHeight="true" outlineLevel="0" collapsed="false">
      <c r="A1019" s="184" t="s">
        <v>4900</v>
      </c>
      <c r="B1019" s="184" t="s">
        <v>4901</v>
      </c>
      <c r="C1019" s="184" t="n">
        <v>11</v>
      </c>
      <c r="D1019" s="178" t="s">
        <v>5269</v>
      </c>
      <c r="E1019" s="184" t="s">
        <v>6652</v>
      </c>
      <c r="F1019" s="184"/>
      <c r="G1019" s="184"/>
      <c r="H1019" s="184"/>
      <c r="I1019" s="184"/>
      <c r="J1019" s="184"/>
      <c r="K1019" s="184"/>
      <c r="L1019" s="184"/>
      <c r="M1019" s="184" t="s">
        <v>6653</v>
      </c>
      <c r="N1019" s="184"/>
      <c r="O1019" s="184"/>
    </row>
    <row r="1020" customFormat="false" ht="27.75" hidden="false" customHeight="true" outlineLevel="0" collapsed="false">
      <c r="A1020" s="184" t="s">
        <v>4900</v>
      </c>
      <c r="B1020" s="184" t="s">
        <v>4901</v>
      </c>
      <c r="C1020" s="184" t="n">
        <v>12</v>
      </c>
      <c r="D1020" s="178" t="s">
        <v>5269</v>
      </c>
      <c r="E1020" s="184" t="s">
        <v>6654</v>
      </c>
      <c r="F1020" s="184"/>
      <c r="G1020" s="184"/>
      <c r="H1020" s="184"/>
      <c r="I1020" s="184"/>
      <c r="J1020" s="184"/>
      <c r="K1020" s="184"/>
      <c r="L1020" s="184"/>
      <c r="M1020" s="184" t="s">
        <v>6655</v>
      </c>
      <c r="N1020" s="184"/>
      <c r="O1020" s="184"/>
    </row>
    <row r="1021" customFormat="false" ht="15" hidden="false" customHeight="true" outlineLevel="0" collapsed="false">
      <c r="A1021" s="184" t="s">
        <v>4900</v>
      </c>
      <c r="B1021" s="184" t="s">
        <v>4901</v>
      </c>
      <c r="C1021" s="184" t="n">
        <v>13</v>
      </c>
      <c r="D1021" s="178" t="s">
        <v>5269</v>
      </c>
      <c r="E1021" s="184" t="s">
        <v>6656</v>
      </c>
      <c r="F1021" s="184"/>
      <c r="G1021" s="184"/>
      <c r="H1021" s="184"/>
      <c r="I1021" s="184"/>
      <c r="J1021" s="184"/>
      <c r="K1021" s="184"/>
      <c r="L1021" s="184"/>
      <c r="M1021" s="184" t="s">
        <v>6657</v>
      </c>
      <c r="N1021" s="184"/>
      <c r="O1021" s="184"/>
    </row>
    <row r="1022" customFormat="false" ht="15" hidden="false" customHeight="true" outlineLevel="0" collapsed="false">
      <c r="A1022" s="184"/>
      <c r="B1022" s="184"/>
      <c r="C1022" s="184"/>
      <c r="D1022" s="184"/>
      <c r="E1022" s="184"/>
      <c r="F1022" s="184"/>
      <c r="G1022" s="184"/>
      <c r="H1022" s="184"/>
      <c r="I1022" s="184"/>
      <c r="J1022" s="184"/>
      <c r="K1022" s="184"/>
      <c r="L1022" s="184"/>
      <c r="M1022" s="184"/>
      <c r="N1022" s="184"/>
      <c r="O1022" s="184"/>
    </row>
    <row r="1023" customFormat="false" ht="15" hidden="false" customHeight="true" outlineLevel="0" collapsed="false">
      <c r="A1023" s="184"/>
      <c r="B1023" s="184"/>
      <c r="C1023" s="184"/>
      <c r="D1023" s="184"/>
      <c r="E1023" s="184"/>
      <c r="F1023" s="184"/>
      <c r="G1023" s="184"/>
      <c r="H1023" s="184"/>
      <c r="I1023" s="184"/>
      <c r="J1023" s="184"/>
      <c r="K1023" s="184"/>
      <c r="L1023" s="184"/>
      <c r="M1023" s="184"/>
      <c r="N1023" s="184"/>
      <c r="O1023" s="184"/>
    </row>
    <row r="1024" customFormat="false" ht="15" hidden="false" customHeight="true" outlineLevel="0" collapsed="false">
      <c r="A1024" s="184"/>
      <c r="B1024" s="184"/>
      <c r="C1024" s="184"/>
      <c r="D1024" s="184"/>
      <c r="E1024" s="184"/>
      <c r="F1024" s="184"/>
      <c r="G1024" s="184"/>
      <c r="H1024" s="184"/>
      <c r="I1024" s="184"/>
      <c r="J1024" s="184"/>
      <c r="K1024" s="184"/>
      <c r="L1024" s="184"/>
      <c r="M1024" s="184"/>
      <c r="N1024" s="184"/>
      <c r="O1024" s="184"/>
    </row>
    <row r="1025" customFormat="false" ht="15" hidden="false" customHeight="true" outlineLevel="0" collapsed="false">
      <c r="A1025" s="184"/>
      <c r="B1025" s="184"/>
      <c r="C1025" s="184"/>
      <c r="D1025" s="184"/>
      <c r="E1025" s="184"/>
      <c r="F1025" s="184"/>
      <c r="G1025" s="184"/>
      <c r="H1025" s="184"/>
      <c r="I1025" s="184"/>
      <c r="J1025" s="184"/>
      <c r="K1025" s="184"/>
      <c r="L1025" s="184"/>
      <c r="M1025" s="184"/>
      <c r="N1025" s="184"/>
      <c r="O1025" s="184"/>
    </row>
    <row r="1026" customFormat="false" ht="15" hidden="false" customHeight="true" outlineLevel="0" collapsed="false">
      <c r="A1026" s="184"/>
      <c r="B1026" s="184"/>
      <c r="C1026" s="184"/>
      <c r="D1026" s="184"/>
      <c r="E1026" s="184"/>
      <c r="F1026" s="184"/>
      <c r="G1026" s="184"/>
      <c r="H1026" s="184"/>
      <c r="I1026" s="184"/>
      <c r="J1026" s="184"/>
      <c r="K1026" s="184"/>
      <c r="L1026" s="184"/>
      <c r="M1026" s="184"/>
      <c r="N1026" s="184"/>
      <c r="O1026" s="184"/>
    </row>
    <row r="1027" customFormat="false" ht="15" hidden="false" customHeight="true" outlineLevel="0" collapsed="false">
      <c r="A1027" s="184"/>
      <c r="B1027" s="184"/>
      <c r="C1027" s="184"/>
      <c r="D1027" s="184"/>
      <c r="E1027" s="184"/>
      <c r="F1027" s="184"/>
      <c r="G1027" s="184"/>
      <c r="H1027" s="184"/>
      <c r="I1027" s="184"/>
      <c r="J1027" s="184"/>
      <c r="K1027" s="184"/>
      <c r="L1027" s="184"/>
      <c r="M1027" s="184"/>
      <c r="N1027" s="184"/>
      <c r="O1027" s="184"/>
    </row>
    <row r="1028" customFormat="false" ht="15" hidden="false" customHeight="true" outlineLevel="0" collapsed="false">
      <c r="A1028" s="184"/>
      <c r="B1028" s="184"/>
      <c r="C1028" s="184"/>
      <c r="D1028" s="184"/>
      <c r="E1028" s="184"/>
      <c r="F1028" s="184"/>
      <c r="G1028" s="184"/>
      <c r="H1028" s="184"/>
      <c r="I1028" s="184"/>
      <c r="J1028" s="184"/>
      <c r="K1028" s="184"/>
      <c r="L1028" s="184"/>
      <c r="M1028" s="184"/>
      <c r="N1028" s="184"/>
      <c r="O1028" s="184"/>
    </row>
    <row r="1029" customFormat="false" ht="15" hidden="false" customHeight="true" outlineLevel="0" collapsed="false">
      <c r="A1029" s="184"/>
      <c r="B1029" s="184"/>
      <c r="C1029" s="184"/>
      <c r="D1029" s="184"/>
      <c r="E1029" s="184"/>
      <c r="F1029" s="184"/>
      <c r="G1029" s="184"/>
      <c r="H1029" s="184"/>
      <c r="I1029" s="184"/>
      <c r="J1029" s="184"/>
      <c r="K1029" s="184"/>
      <c r="L1029" s="184"/>
      <c r="M1029" s="184"/>
      <c r="N1029" s="184"/>
      <c r="O1029" s="184"/>
    </row>
    <row r="1030" customFormat="false" ht="15" hidden="false" customHeight="true" outlineLevel="0" collapsed="false">
      <c r="A1030" s="184"/>
      <c r="B1030" s="184"/>
      <c r="C1030" s="184"/>
      <c r="D1030" s="184"/>
      <c r="E1030" s="184"/>
      <c r="F1030" s="184"/>
      <c r="G1030" s="184"/>
      <c r="H1030" s="184"/>
      <c r="I1030" s="184"/>
      <c r="J1030" s="184"/>
      <c r="K1030" s="184"/>
      <c r="L1030" s="184"/>
      <c r="M1030" s="184"/>
      <c r="N1030" s="184"/>
      <c r="O1030" s="184"/>
    </row>
    <row r="1031" customFormat="false" ht="15" hidden="false" customHeight="true" outlineLevel="0" collapsed="false">
      <c r="A1031" s="184"/>
      <c r="B1031" s="184"/>
      <c r="C1031" s="184"/>
      <c r="D1031" s="184"/>
      <c r="E1031" s="184"/>
      <c r="F1031" s="184"/>
      <c r="G1031" s="184"/>
      <c r="H1031" s="184"/>
      <c r="I1031" s="184"/>
      <c r="J1031" s="184"/>
      <c r="K1031" s="184"/>
      <c r="L1031" s="184"/>
      <c r="M1031" s="184"/>
      <c r="N1031" s="184"/>
      <c r="O1031" s="184"/>
    </row>
    <row r="1032" customFormat="false" ht="15" hidden="false" customHeight="true" outlineLevel="0" collapsed="false">
      <c r="A1032" s="184"/>
      <c r="B1032" s="184"/>
      <c r="C1032" s="184"/>
      <c r="D1032" s="184"/>
      <c r="E1032" s="184"/>
      <c r="F1032" s="184"/>
      <c r="G1032" s="184"/>
      <c r="H1032" s="184"/>
      <c r="I1032" s="184"/>
      <c r="J1032" s="184"/>
      <c r="K1032" s="184"/>
      <c r="L1032" s="184"/>
      <c r="M1032" s="184"/>
      <c r="N1032" s="184"/>
      <c r="O1032" s="184"/>
    </row>
    <row r="1033" customFormat="false" ht="15" hidden="false" customHeight="true" outlineLevel="0" collapsed="false">
      <c r="A1033" s="184"/>
      <c r="B1033" s="184"/>
      <c r="C1033" s="184"/>
      <c r="D1033" s="184"/>
      <c r="E1033" s="184"/>
      <c r="F1033" s="184"/>
      <c r="G1033" s="184"/>
      <c r="H1033" s="184"/>
      <c r="I1033" s="184"/>
      <c r="J1033" s="184"/>
      <c r="K1033" s="184"/>
      <c r="L1033" s="184"/>
      <c r="M1033" s="184"/>
      <c r="N1033" s="184"/>
      <c r="O1033" s="184"/>
    </row>
    <row r="1034" customFormat="false" ht="15" hidden="false" customHeight="true" outlineLevel="0" collapsed="false">
      <c r="A1034" s="184"/>
      <c r="B1034" s="184"/>
      <c r="C1034" s="184"/>
      <c r="D1034" s="184"/>
      <c r="E1034" s="184"/>
      <c r="F1034" s="184"/>
      <c r="G1034" s="184"/>
      <c r="H1034" s="184"/>
      <c r="I1034" s="184"/>
      <c r="J1034" s="184"/>
      <c r="K1034" s="184"/>
      <c r="L1034" s="184"/>
      <c r="M1034" s="184"/>
      <c r="N1034" s="184"/>
      <c r="O1034" s="184"/>
    </row>
    <row r="1035" customFormat="false" ht="15" hidden="false" customHeight="true" outlineLevel="0" collapsed="false">
      <c r="A1035" s="184"/>
      <c r="B1035" s="184"/>
      <c r="C1035" s="184"/>
      <c r="D1035" s="184"/>
      <c r="E1035" s="184"/>
      <c r="F1035" s="184"/>
      <c r="G1035" s="184"/>
      <c r="H1035" s="184"/>
      <c r="I1035" s="184"/>
      <c r="J1035" s="184"/>
      <c r="K1035" s="184"/>
      <c r="L1035" s="184"/>
      <c r="M1035" s="184"/>
      <c r="N1035" s="184"/>
      <c r="O1035" s="184"/>
    </row>
    <row r="1036" customFormat="false" ht="15" hidden="false" customHeight="true" outlineLevel="0" collapsed="false">
      <c r="A1036" s="184"/>
      <c r="B1036" s="184"/>
      <c r="C1036" s="184"/>
      <c r="D1036" s="184"/>
      <c r="E1036" s="184"/>
      <c r="F1036" s="184"/>
      <c r="G1036" s="184"/>
      <c r="H1036" s="184"/>
      <c r="I1036" s="184"/>
      <c r="J1036" s="184"/>
      <c r="K1036" s="184"/>
      <c r="L1036" s="184"/>
      <c r="M1036" s="184"/>
      <c r="N1036" s="184"/>
      <c r="O1036" s="184"/>
    </row>
    <row r="1037" customFormat="false" ht="15" hidden="false" customHeight="true" outlineLevel="0" collapsed="false">
      <c r="A1037" s="184"/>
      <c r="B1037" s="184"/>
      <c r="C1037" s="184"/>
      <c r="D1037" s="184"/>
      <c r="E1037" s="184"/>
      <c r="F1037" s="184"/>
      <c r="G1037" s="184"/>
      <c r="H1037" s="184"/>
      <c r="I1037" s="184"/>
      <c r="J1037" s="184"/>
      <c r="K1037" s="184"/>
      <c r="L1037" s="184"/>
      <c r="M1037" s="184"/>
      <c r="N1037" s="184"/>
      <c r="O1037" s="184"/>
    </row>
    <row r="1038" customFormat="false" ht="15" hidden="false" customHeight="true" outlineLevel="0" collapsed="false">
      <c r="A1038" s="184"/>
      <c r="B1038" s="184"/>
      <c r="C1038" s="184"/>
      <c r="D1038" s="184"/>
      <c r="E1038" s="184"/>
      <c r="F1038" s="184"/>
      <c r="G1038" s="184"/>
      <c r="H1038" s="184"/>
      <c r="I1038" s="184"/>
      <c r="J1038" s="184"/>
      <c r="K1038" s="184"/>
      <c r="L1038" s="184"/>
      <c r="M1038" s="184"/>
      <c r="N1038" s="184"/>
      <c r="O1038" s="184"/>
    </row>
    <row r="1039" customFormat="false" ht="15" hidden="false" customHeight="true" outlineLevel="0" collapsed="false">
      <c r="A1039" s="184"/>
      <c r="B1039" s="184"/>
      <c r="C1039" s="184"/>
      <c r="D1039" s="184"/>
      <c r="E1039" s="184"/>
      <c r="F1039" s="184"/>
      <c r="G1039" s="184"/>
      <c r="H1039" s="184"/>
      <c r="I1039" s="184"/>
      <c r="J1039" s="184"/>
      <c r="K1039" s="184"/>
      <c r="L1039" s="184"/>
      <c r="M1039" s="184"/>
      <c r="N1039" s="184"/>
      <c r="O1039" s="184"/>
    </row>
    <row r="1040" customFormat="false" ht="15" hidden="false" customHeight="true" outlineLevel="0" collapsed="false">
      <c r="A1040" s="184"/>
      <c r="B1040" s="184"/>
      <c r="C1040" s="184"/>
      <c r="D1040" s="184"/>
      <c r="E1040" s="184"/>
      <c r="F1040" s="184"/>
      <c r="G1040" s="184"/>
      <c r="H1040" s="184"/>
      <c r="I1040" s="184"/>
      <c r="J1040" s="184"/>
      <c r="K1040" s="184"/>
      <c r="L1040" s="184"/>
      <c r="M1040" s="184"/>
      <c r="N1040" s="184"/>
      <c r="O1040" s="184"/>
    </row>
    <row r="1041" customFormat="false" ht="15" hidden="false" customHeight="true" outlineLevel="0" collapsed="false">
      <c r="A1041" s="184"/>
      <c r="B1041" s="184"/>
      <c r="C1041" s="184"/>
      <c r="D1041" s="184"/>
      <c r="E1041" s="184"/>
      <c r="F1041" s="184"/>
      <c r="G1041" s="184"/>
      <c r="H1041" s="184"/>
      <c r="I1041" s="184"/>
      <c r="J1041" s="184"/>
      <c r="K1041" s="184"/>
      <c r="L1041" s="184"/>
      <c r="M1041" s="184"/>
      <c r="N1041" s="184"/>
      <c r="O1041" s="184"/>
    </row>
    <row r="1042" customFormat="false" ht="15" hidden="false" customHeight="true" outlineLevel="0" collapsed="false">
      <c r="A1042" s="184"/>
      <c r="B1042" s="184"/>
      <c r="C1042" s="184"/>
      <c r="D1042" s="184"/>
      <c r="E1042" s="184"/>
      <c r="F1042" s="184"/>
      <c r="G1042" s="184"/>
      <c r="H1042" s="184"/>
      <c r="I1042" s="184"/>
      <c r="J1042" s="184"/>
      <c r="K1042" s="184"/>
      <c r="L1042" s="184"/>
      <c r="M1042" s="184"/>
      <c r="N1042" s="184"/>
      <c r="O1042" s="184"/>
    </row>
    <row r="1043" customFormat="false" ht="15" hidden="false" customHeight="true" outlineLevel="0" collapsed="false">
      <c r="A1043" s="184"/>
      <c r="B1043" s="184"/>
      <c r="C1043" s="184"/>
      <c r="D1043" s="184"/>
      <c r="E1043" s="184"/>
      <c r="F1043" s="184"/>
      <c r="G1043" s="184"/>
      <c r="H1043" s="184"/>
      <c r="I1043" s="184"/>
      <c r="J1043" s="184"/>
      <c r="K1043" s="184"/>
      <c r="L1043" s="184"/>
      <c r="M1043" s="184"/>
      <c r="N1043" s="184"/>
      <c r="O1043" s="184"/>
    </row>
    <row r="1044" customFormat="false" ht="15" hidden="false" customHeight="true" outlineLevel="0" collapsed="false">
      <c r="A1044" s="184"/>
      <c r="B1044" s="184"/>
      <c r="C1044" s="184"/>
      <c r="D1044" s="184"/>
      <c r="E1044" s="184"/>
      <c r="F1044" s="184"/>
      <c r="G1044" s="184"/>
      <c r="H1044" s="184"/>
      <c r="I1044" s="184"/>
      <c r="J1044" s="184"/>
      <c r="K1044" s="184"/>
      <c r="L1044" s="184"/>
      <c r="M1044" s="184"/>
      <c r="N1044" s="184"/>
      <c r="O1044" s="184"/>
    </row>
    <row r="1045" customFormat="false" ht="15" hidden="false" customHeight="true" outlineLevel="0" collapsed="false">
      <c r="A1045" s="184"/>
      <c r="B1045" s="184"/>
      <c r="C1045" s="184"/>
      <c r="D1045" s="184"/>
      <c r="E1045" s="184"/>
      <c r="F1045" s="184"/>
      <c r="G1045" s="184"/>
      <c r="H1045" s="184"/>
      <c r="I1045" s="184"/>
      <c r="J1045" s="184"/>
      <c r="K1045" s="184"/>
      <c r="L1045" s="184"/>
      <c r="M1045" s="184"/>
      <c r="N1045" s="184"/>
      <c r="O1045" s="184"/>
    </row>
    <row r="1046" customFormat="false" ht="15" hidden="false" customHeight="true" outlineLevel="0" collapsed="false">
      <c r="A1046" s="184"/>
      <c r="B1046" s="184"/>
      <c r="C1046" s="184"/>
      <c r="D1046" s="184"/>
      <c r="E1046" s="184"/>
      <c r="F1046" s="184"/>
      <c r="G1046" s="184"/>
      <c r="H1046" s="184"/>
      <c r="I1046" s="184"/>
      <c r="J1046" s="184"/>
      <c r="K1046" s="184"/>
      <c r="L1046" s="184"/>
      <c r="M1046" s="184"/>
      <c r="N1046" s="184"/>
      <c r="O1046" s="184"/>
    </row>
    <row r="1047" customFormat="false" ht="15" hidden="false" customHeight="true" outlineLevel="0" collapsed="false">
      <c r="A1047" s="184"/>
      <c r="B1047" s="184"/>
      <c r="C1047" s="184"/>
      <c r="D1047" s="184"/>
      <c r="E1047" s="184"/>
      <c r="F1047" s="184"/>
      <c r="G1047" s="184"/>
      <c r="H1047" s="184"/>
      <c r="I1047" s="184"/>
      <c r="J1047" s="184"/>
      <c r="K1047" s="184"/>
      <c r="L1047" s="184"/>
      <c r="M1047" s="184"/>
      <c r="N1047" s="184"/>
      <c r="O1047" s="184"/>
    </row>
    <row r="1048" customFormat="false" ht="15" hidden="false" customHeight="true" outlineLevel="0" collapsed="false">
      <c r="A1048" s="184"/>
      <c r="B1048" s="184"/>
      <c r="C1048" s="184"/>
      <c r="D1048" s="184"/>
      <c r="E1048" s="184"/>
      <c r="F1048" s="184"/>
      <c r="G1048" s="184"/>
      <c r="H1048" s="184"/>
      <c r="I1048" s="184"/>
      <c r="J1048" s="184"/>
      <c r="K1048" s="184"/>
      <c r="L1048" s="184"/>
      <c r="M1048" s="184"/>
      <c r="N1048" s="184"/>
      <c r="O1048" s="184"/>
    </row>
    <row r="1049" customFormat="false" ht="15" hidden="false" customHeight="true" outlineLevel="0" collapsed="false">
      <c r="A1049" s="184"/>
      <c r="B1049" s="184"/>
      <c r="C1049" s="184"/>
      <c r="D1049" s="184"/>
      <c r="E1049" s="184"/>
      <c r="F1049" s="184"/>
      <c r="G1049" s="184"/>
      <c r="H1049" s="184"/>
      <c r="I1049" s="184"/>
      <c r="J1049" s="184"/>
      <c r="K1049" s="184"/>
      <c r="L1049" s="184"/>
      <c r="M1049" s="184"/>
      <c r="N1049" s="184"/>
      <c r="O1049" s="184"/>
    </row>
    <row r="1050" customFormat="false" ht="15" hidden="false" customHeight="true" outlineLevel="0" collapsed="false">
      <c r="A1050" s="184"/>
      <c r="B1050" s="184"/>
      <c r="C1050" s="184"/>
      <c r="D1050" s="184"/>
      <c r="E1050" s="184"/>
      <c r="F1050" s="184"/>
      <c r="G1050" s="184"/>
      <c r="H1050" s="184"/>
      <c r="I1050" s="184"/>
      <c r="J1050" s="184"/>
      <c r="K1050" s="184"/>
      <c r="L1050" s="184"/>
      <c r="M1050" s="184"/>
      <c r="N1050" s="184"/>
      <c r="O1050" s="184"/>
    </row>
    <row r="1051" customFormat="false" ht="15" hidden="false" customHeight="true" outlineLevel="0" collapsed="false">
      <c r="A1051" s="184"/>
      <c r="B1051" s="184"/>
      <c r="C1051" s="184"/>
      <c r="D1051" s="184"/>
      <c r="E1051" s="184"/>
      <c r="F1051" s="184"/>
      <c r="G1051" s="184"/>
      <c r="H1051" s="184"/>
      <c r="I1051" s="184"/>
      <c r="J1051" s="184"/>
      <c r="K1051" s="184"/>
      <c r="L1051" s="184"/>
      <c r="M1051" s="184"/>
      <c r="N1051" s="184"/>
      <c r="O1051" s="184"/>
    </row>
    <row r="1052" customFormat="false" ht="15" hidden="false" customHeight="true" outlineLevel="0" collapsed="false">
      <c r="A1052" s="184"/>
      <c r="B1052" s="184"/>
      <c r="C1052" s="184"/>
      <c r="D1052" s="184"/>
      <c r="E1052" s="184"/>
      <c r="F1052" s="184"/>
      <c r="G1052" s="184"/>
      <c r="H1052" s="184"/>
      <c r="I1052" s="184"/>
      <c r="J1052" s="184"/>
      <c r="K1052" s="184"/>
      <c r="L1052" s="184"/>
      <c r="M1052" s="184"/>
      <c r="N1052" s="184"/>
      <c r="O1052" s="184"/>
    </row>
    <row r="1053" customFormat="false" ht="15" hidden="false" customHeight="true" outlineLevel="0" collapsed="false">
      <c r="A1053" s="184"/>
      <c r="B1053" s="184"/>
      <c r="C1053" s="184"/>
      <c r="D1053" s="184"/>
      <c r="E1053" s="184"/>
      <c r="F1053" s="184"/>
      <c r="G1053" s="184"/>
      <c r="H1053" s="184"/>
      <c r="I1053" s="184"/>
      <c r="J1053" s="184"/>
      <c r="K1053" s="184"/>
      <c r="L1053" s="184"/>
      <c r="M1053" s="184"/>
      <c r="N1053" s="184"/>
      <c r="O1053" s="184"/>
    </row>
    <row r="1054" customFormat="false" ht="15" hidden="false" customHeight="true" outlineLevel="0" collapsed="false">
      <c r="A1054" s="184"/>
      <c r="B1054" s="184"/>
      <c r="C1054" s="184"/>
      <c r="D1054" s="184"/>
      <c r="E1054" s="184"/>
      <c r="F1054" s="184"/>
      <c r="G1054" s="184"/>
      <c r="H1054" s="184"/>
      <c r="I1054" s="184"/>
      <c r="J1054" s="184"/>
      <c r="K1054" s="184"/>
      <c r="L1054" s="184"/>
      <c r="M1054" s="184"/>
      <c r="N1054" s="184"/>
      <c r="O1054" s="184"/>
    </row>
    <row r="1055" customFormat="false" ht="15" hidden="false" customHeight="true" outlineLevel="0" collapsed="false">
      <c r="A1055" s="184"/>
      <c r="B1055" s="184"/>
      <c r="C1055" s="184"/>
      <c r="D1055" s="184"/>
      <c r="E1055" s="184"/>
      <c r="F1055" s="184"/>
      <c r="G1055" s="184"/>
      <c r="H1055" s="184"/>
      <c r="I1055" s="184"/>
      <c r="J1055" s="184"/>
      <c r="K1055" s="184"/>
      <c r="L1055" s="184"/>
      <c r="M1055" s="184"/>
      <c r="N1055" s="184"/>
      <c r="O1055" s="184"/>
    </row>
    <row r="1056" customFormat="false" ht="15" hidden="false" customHeight="true" outlineLevel="0" collapsed="false">
      <c r="A1056" s="184"/>
      <c r="B1056" s="184"/>
      <c r="C1056" s="184"/>
      <c r="D1056" s="184"/>
      <c r="E1056" s="184"/>
      <c r="F1056" s="184"/>
      <c r="G1056" s="184"/>
      <c r="H1056" s="184"/>
      <c r="I1056" s="184"/>
      <c r="J1056" s="184"/>
      <c r="K1056" s="184"/>
      <c r="L1056" s="184"/>
      <c r="M1056" s="184"/>
      <c r="N1056" s="184"/>
      <c r="O1056" s="184"/>
    </row>
    <row r="1057" customFormat="false" ht="15" hidden="false" customHeight="true" outlineLevel="0" collapsed="false">
      <c r="A1057" s="184"/>
      <c r="B1057" s="184"/>
      <c r="C1057" s="184"/>
      <c r="D1057" s="184"/>
      <c r="E1057" s="184"/>
      <c r="F1057" s="184"/>
      <c r="G1057" s="184"/>
      <c r="H1057" s="184"/>
      <c r="I1057" s="184"/>
      <c r="J1057" s="184"/>
      <c r="K1057" s="184"/>
      <c r="L1057" s="184"/>
      <c r="M1057" s="184"/>
      <c r="N1057" s="184"/>
      <c r="O1057" s="184"/>
    </row>
    <row r="1058" customFormat="false" ht="15" hidden="false" customHeight="true" outlineLevel="0" collapsed="false">
      <c r="A1058" s="184"/>
      <c r="B1058" s="184"/>
      <c r="C1058" s="184"/>
      <c r="D1058" s="184"/>
      <c r="E1058" s="184"/>
      <c r="F1058" s="184"/>
      <c r="G1058" s="184"/>
      <c r="H1058" s="184"/>
      <c r="I1058" s="184"/>
      <c r="J1058" s="184"/>
      <c r="K1058" s="184"/>
      <c r="L1058" s="184"/>
      <c r="M1058" s="184"/>
      <c r="N1058" s="184"/>
      <c r="O1058" s="184"/>
    </row>
    <row r="1059" customFormat="false" ht="15" hidden="false" customHeight="true" outlineLevel="0" collapsed="false">
      <c r="A1059" s="184"/>
      <c r="B1059" s="184"/>
      <c r="C1059" s="184"/>
      <c r="D1059" s="184"/>
      <c r="E1059" s="184"/>
      <c r="F1059" s="184"/>
      <c r="G1059" s="184"/>
      <c r="H1059" s="184"/>
      <c r="I1059" s="184"/>
      <c r="J1059" s="184"/>
      <c r="K1059" s="184"/>
      <c r="L1059" s="184"/>
      <c r="M1059" s="184"/>
      <c r="N1059" s="184"/>
      <c r="O1059" s="184"/>
    </row>
    <row r="1060" customFormat="false" ht="15" hidden="false" customHeight="true" outlineLevel="0" collapsed="false">
      <c r="A1060" s="184"/>
      <c r="B1060" s="184"/>
      <c r="C1060" s="184"/>
      <c r="D1060" s="184"/>
      <c r="E1060" s="184"/>
      <c r="F1060" s="184"/>
      <c r="G1060" s="184"/>
      <c r="H1060" s="184"/>
      <c r="I1060" s="184"/>
      <c r="J1060" s="184"/>
      <c r="K1060" s="184"/>
      <c r="L1060" s="184"/>
      <c r="M1060" s="184"/>
      <c r="N1060" s="184"/>
      <c r="O1060" s="184"/>
    </row>
    <row r="1061" customFormat="false" ht="15" hidden="false" customHeight="true" outlineLevel="0" collapsed="false">
      <c r="A1061" s="184"/>
      <c r="B1061" s="184"/>
      <c r="C1061" s="184"/>
      <c r="D1061" s="184"/>
      <c r="E1061" s="184"/>
      <c r="F1061" s="184"/>
      <c r="G1061" s="184"/>
      <c r="H1061" s="184"/>
      <c r="I1061" s="184"/>
      <c r="J1061" s="184"/>
      <c r="K1061" s="184"/>
      <c r="L1061" s="184"/>
      <c r="M1061" s="184"/>
      <c r="N1061" s="184"/>
      <c r="O1061" s="184"/>
    </row>
    <row r="1062" customFormat="false" ht="15" hidden="false" customHeight="true" outlineLevel="0" collapsed="false">
      <c r="A1062" s="184"/>
      <c r="B1062" s="184"/>
      <c r="C1062" s="184"/>
      <c r="D1062" s="184"/>
      <c r="E1062" s="184"/>
      <c r="F1062" s="184"/>
      <c r="G1062" s="184"/>
      <c r="H1062" s="184"/>
      <c r="I1062" s="184"/>
      <c r="J1062" s="184"/>
      <c r="K1062" s="184"/>
      <c r="L1062" s="184"/>
      <c r="M1062" s="184"/>
      <c r="N1062" s="184"/>
      <c r="O1062" s="184"/>
    </row>
    <row r="1063" customFormat="false" ht="15" hidden="false" customHeight="true" outlineLevel="0" collapsed="false">
      <c r="A1063" s="184"/>
      <c r="B1063" s="184"/>
      <c r="C1063" s="184"/>
      <c r="D1063" s="184"/>
      <c r="E1063" s="184"/>
      <c r="F1063" s="184"/>
      <c r="G1063" s="184"/>
      <c r="H1063" s="184"/>
      <c r="I1063" s="184"/>
      <c r="J1063" s="184"/>
      <c r="K1063" s="184"/>
      <c r="L1063" s="184"/>
      <c r="M1063" s="184"/>
      <c r="N1063" s="184"/>
      <c r="O1063" s="184"/>
    </row>
    <row r="1064" customFormat="false" ht="15" hidden="false" customHeight="true" outlineLevel="0" collapsed="false">
      <c r="A1064" s="184"/>
      <c r="B1064" s="184"/>
      <c r="C1064" s="184"/>
      <c r="D1064" s="184"/>
      <c r="E1064" s="184"/>
      <c r="F1064" s="184"/>
      <c r="G1064" s="184"/>
      <c r="H1064" s="184"/>
      <c r="I1064" s="184"/>
      <c r="J1064" s="184"/>
      <c r="K1064" s="184"/>
      <c r="L1064" s="184"/>
      <c r="M1064" s="184"/>
      <c r="N1064" s="184"/>
      <c r="O1064" s="184"/>
    </row>
    <row r="1065" customFormat="false" ht="15" hidden="false" customHeight="true" outlineLevel="0" collapsed="false">
      <c r="A1065" s="184"/>
      <c r="B1065" s="184"/>
      <c r="C1065" s="184"/>
      <c r="D1065" s="184"/>
      <c r="E1065" s="184"/>
      <c r="F1065" s="184"/>
      <c r="G1065" s="184"/>
      <c r="H1065" s="184"/>
      <c r="I1065" s="184"/>
      <c r="J1065" s="184"/>
      <c r="K1065" s="184"/>
      <c r="L1065" s="184"/>
      <c r="M1065" s="184"/>
      <c r="N1065" s="184"/>
      <c r="O1065" s="184"/>
    </row>
    <row r="1066" customFormat="false" ht="15" hidden="false" customHeight="true" outlineLevel="0" collapsed="false">
      <c r="A1066" s="184"/>
      <c r="B1066" s="184"/>
      <c r="C1066" s="184"/>
      <c r="D1066" s="184"/>
      <c r="E1066" s="184"/>
      <c r="F1066" s="184"/>
      <c r="G1066" s="184"/>
      <c r="H1066" s="184"/>
      <c r="I1066" s="184"/>
      <c r="J1066" s="184"/>
      <c r="K1066" s="184"/>
      <c r="L1066" s="184"/>
      <c r="M1066" s="184"/>
      <c r="N1066" s="184"/>
      <c r="O1066" s="184"/>
    </row>
    <row r="1067" customFormat="false" ht="15" hidden="false" customHeight="true" outlineLevel="0" collapsed="false">
      <c r="A1067" s="184"/>
      <c r="B1067" s="184"/>
      <c r="C1067" s="184"/>
      <c r="D1067" s="184"/>
      <c r="E1067" s="184"/>
      <c r="F1067" s="184"/>
      <c r="G1067" s="184"/>
      <c r="H1067" s="184"/>
      <c r="I1067" s="184"/>
      <c r="J1067" s="184"/>
      <c r="K1067" s="184"/>
      <c r="L1067" s="184"/>
      <c r="M1067" s="184"/>
      <c r="N1067" s="184"/>
      <c r="O1067" s="184"/>
    </row>
    <row r="1068" customFormat="false" ht="15" hidden="false" customHeight="true" outlineLevel="0" collapsed="false">
      <c r="A1068" s="184"/>
      <c r="B1068" s="184"/>
      <c r="C1068" s="184"/>
      <c r="D1068" s="184"/>
      <c r="E1068" s="184"/>
      <c r="F1068" s="184"/>
      <c r="G1068" s="184"/>
      <c r="H1068" s="184"/>
      <c r="I1068" s="184"/>
      <c r="J1068" s="184"/>
      <c r="K1068" s="184"/>
      <c r="L1068" s="184"/>
      <c r="M1068" s="184"/>
      <c r="N1068" s="184"/>
      <c r="O1068" s="184"/>
    </row>
    <row r="1069" customFormat="false" ht="15" hidden="false" customHeight="true" outlineLevel="0" collapsed="false">
      <c r="A1069" s="184"/>
      <c r="B1069" s="184"/>
      <c r="C1069" s="184"/>
      <c r="D1069" s="184"/>
      <c r="E1069" s="184"/>
      <c r="F1069" s="184"/>
      <c r="G1069" s="184"/>
      <c r="H1069" s="184"/>
      <c r="I1069" s="184"/>
      <c r="J1069" s="184"/>
      <c r="K1069" s="184"/>
      <c r="L1069" s="184"/>
      <c r="M1069" s="184"/>
      <c r="N1069" s="184"/>
      <c r="O1069" s="184"/>
    </row>
    <row r="1070" customFormat="false" ht="15" hidden="false" customHeight="true" outlineLevel="0" collapsed="false">
      <c r="A1070" s="184"/>
      <c r="B1070" s="184"/>
      <c r="C1070" s="184"/>
      <c r="D1070" s="184"/>
      <c r="E1070" s="184"/>
      <c r="F1070" s="184"/>
      <c r="G1070" s="184"/>
      <c r="H1070" s="184"/>
      <c r="I1070" s="184"/>
      <c r="J1070" s="184"/>
      <c r="K1070" s="184"/>
      <c r="L1070" s="184"/>
      <c r="M1070" s="184"/>
      <c r="N1070" s="184"/>
      <c r="O1070" s="184"/>
    </row>
    <row r="1071" customFormat="false" ht="27.75" hidden="false" customHeight="true" outlineLevel="0" collapsed="false">
      <c r="A1071" s="184" t="s">
        <v>6658</v>
      </c>
      <c r="B1071" s="184" t="s">
        <v>4904</v>
      </c>
      <c r="C1071" s="184" t="n">
        <v>1</v>
      </c>
      <c r="D1071" s="178" t="s">
        <v>5269</v>
      </c>
      <c r="E1071" s="184" t="s">
        <v>6289</v>
      </c>
      <c r="F1071" s="184"/>
      <c r="G1071" s="184"/>
      <c r="H1071" s="184"/>
      <c r="I1071" s="184"/>
      <c r="J1071" s="184"/>
      <c r="K1071" s="184"/>
      <c r="L1071" s="184"/>
      <c r="M1071" s="184" t="s">
        <v>6659</v>
      </c>
      <c r="N1071" s="184"/>
      <c r="O1071" s="184"/>
    </row>
    <row r="1072" customFormat="false" ht="27.75" hidden="false" customHeight="true" outlineLevel="0" collapsed="false">
      <c r="A1072" s="184" t="s">
        <v>6658</v>
      </c>
      <c r="B1072" s="184" t="s">
        <v>4904</v>
      </c>
      <c r="C1072" s="184" t="n">
        <v>2</v>
      </c>
      <c r="D1072" s="177" t="s">
        <v>6429</v>
      </c>
      <c r="E1072" s="184" t="s">
        <v>6660</v>
      </c>
      <c r="F1072" s="184"/>
      <c r="G1072" s="184"/>
      <c r="H1072" s="184"/>
      <c r="I1072" s="184"/>
      <c r="J1072" s="184"/>
      <c r="K1072" s="184"/>
      <c r="L1072" s="184"/>
      <c r="M1072" s="184"/>
      <c r="N1072" s="184"/>
      <c r="O1072" s="184"/>
    </row>
    <row r="1073" customFormat="false" ht="27.75" hidden="false" customHeight="true" outlineLevel="0" collapsed="false">
      <c r="A1073" s="184" t="s">
        <v>6658</v>
      </c>
      <c r="B1073" s="184" t="s">
        <v>4904</v>
      </c>
      <c r="C1073" s="184" t="n">
        <v>3</v>
      </c>
      <c r="D1073" s="179" t="s">
        <v>6292</v>
      </c>
      <c r="E1073" s="184" t="s">
        <v>6661</v>
      </c>
      <c r="F1073" s="184"/>
      <c r="G1073" s="184"/>
      <c r="H1073" s="184"/>
      <c r="I1073" s="184"/>
      <c r="J1073" s="184"/>
      <c r="K1073" s="184"/>
      <c r="L1073" s="184"/>
      <c r="M1073" s="184"/>
      <c r="N1073" s="184"/>
      <c r="O1073" s="184"/>
    </row>
    <row r="1074" customFormat="false" ht="27.75" hidden="false" customHeight="true" outlineLevel="0" collapsed="false">
      <c r="A1074" s="184" t="s">
        <v>6658</v>
      </c>
      <c r="B1074" s="184" t="s">
        <v>4904</v>
      </c>
      <c r="C1074" s="184" t="n">
        <v>4</v>
      </c>
      <c r="D1074" s="184" t="s">
        <v>6294</v>
      </c>
      <c r="E1074" s="184" t="s">
        <v>6662</v>
      </c>
      <c r="F1074" s="184"/>
      <c r="G1074" s="184"/>
      <c r="H1074" s="184"/>
      <c r="I1074" s="184"/>
      <c r="J1074" s="184"/>
      <c r="K1074" s="184"/>
      <c r="L1074" s="184"/>
      <c r="M1074" s="184"/>
      <c r="N1074" s="184"/>
      <c r="O1074" s="184"/>
    </row>
    <row r="1075" customFormat="false" ht="27.75" hidden="false" customHeight="true" outlineLevel="0" collapsed="false">
      <c r="A1075" s="184" t="s">
        <v>6658</v>
      </c>
      <c r="B1075" s="184" t="s">
        <v>4904</v>
      </c>
      <c r="C1075" s="184" t="n">
        <v>5</v>
      </c>
      <c r="D1075" s="177" t="s">
        <v>6298</v>
      </c>
      <c r="E1075" s="184" t="s">
        <v>6663</v>
      </c>
      <c r="F1075" s="184"/>
      <c r="G1075" s="184"/>
      <c r="H1075" s="184"/>
      <c r="I1075" s="184"/>
      <c r="J1075" s="184"/>
      <c r="K1075" s="184"/>
      <c r="L1075" s="184"/>
      <c r="M1075" s="184"/>
      <c r="N1075" s="184"/>
      <c r="O1075" s="184"/>
    </row>
    <row r="1076" customFormat="false" ht="27.75" hidden="false" customHeight="true" outlineLevel="0" collapsed="false">
      <c r="A1076" s="184" t="s">
        <v>6658</v>
      </c>
      <c r="B1076" s="184" t="s">
        <v>4904</v>
      </c>
      <c r="C1076" s="184" t="n">
        <v>6</v>
      </c>
      <c r="D1076" s="174" t="s">
        <v>4846</v>
      </c>
      <c r="E1076" s="184" t="s">
        <v>2725</v>
      </c>
      <c r="F1076" s="184"/>
      <c r="G1076" s="184"/>
      <c r="H1076" s="184"/>
      <c r="I1076" s="184"/>
      <c r="J1076" s="184" t="s">
        <v>1278</v>
      </c>
      <c r="K1076" s="184" t="s">
        <v>6664</v>
      </c>
      <c r="L1076" s="184"/>
      <c r="M1076" s="184"/>
      <c r="N1076" s="184"/>
      <c r="O1076" s="184"/>
    </row>
    <row r="1077" customFormat="false" ht="68.25" hidden="false" customHeight="true" outlineLevel="0" collapsed="false">
      <c r="A1077" s="184" t="s">
        <v>6658</v>
      </c>
      <c r="B1077" s="184" t="s">
        <v>4904</v>
      </c>
      <c r="C1077" s="184" t="n">
        <v>7</v>
      </c>
      <c r="D1077" s="174" t="s">
        <v>4846</v>
      </c>
      <c r="E1077" s="184" t="s">
        <v>784</v>
      </c>
      <c r="F1077" s="184"/>
      <c r="G1077" s="184"/>
      <c r="H1077" s="184"/>
      <c r="I1077" s="184"/>
      <c r="J1077" s="184" t="s">
        <v>5720</v>
      </c>
      <c r="K1077" s="184" t="s">
        <v>6664</v>
      </c>
      <c r="L1077" s="184"/>
      <c r="M1077" s="184" t="s">
        <v>6665</v>
      </c>
      <c r="N1077" s="184" t="s">
        <v>6666</v>
      </c>
      <c r="O1077" s="184"/>
    </row>
    <row r="1078" customFormat="false" ht="27.75" hidden="false" customHeight="true" outlineLevel="0" collapsed="false">
      <c r="A1078" s="184" t="s">
        <v>6658</v>
      </c>
      <c r="B1078" s="184" t="s">
        <v>4904</v>
      </c>
      <c r="C1078" s="184" t="n">
        <v>8</v>
      </c>
      <c r="D1078" s="174" t="s">
        <v>4848</v>
      </c>
      <c r="E1078" s="184" t="s">
        <v>6440</v>
      </c>
      <c r="F1078" s="184"/>
      <c r="G1078" s="184"/>
      <c r="H1078" s="184"/>
      <c r="I1078" s="184"/>
      <c r="J1078" s="184" t="s">
        <v>236</v>
      </c>
      <c r="K1078" s="184" t="s">
        <v>6667</v>
      </c>
      <c r="L1078" s="184" t="s">
        <v>5207</v>
      </c>
      <c r="M1078" s="184"/>
      <c r="N1078" s="184"/>
      <c r="O1078" s="184"/>
    </row>
    <row r="1079" customFormat="false" ht="27.75" hidden="false" customHeight="true" outlineLevel="0" collapsed="false">
      <c r="A1079" s="184" t="s">
        <v>6658</v>
      </c>
      <c r="B1079" s="184" t="s">
        <v>4904</v>
      </c>
      <c r="C1079" s="184" t="n">
        <v>9</v>
      </c>
      <c r="D1079" s="174" t="s">
        <v>4848</v>
      </c>
      <c r="E1079" s="184" t="s">
        <v>6449</v>
      </c>
      <c r="F1079" s="184"/>
      <c r="G1079" s="184"/>
      <c r="H1079" s="184"/>
      <c r="I1079" s="184"/>
      <c r="J1079" s="184" t="s">
        <v>6330</v>
      </c>
      <c r="K1079" s="184" t="s">
        <v>6667</v>
      </c>
      <c r="L1079" s="184" t="s">
        <v>6450</v>
      </c>
      <c r="M1079" s="184"/>
      <c r="N1079" s="184"/>
      <c r="O1079" s="184"/>
    </row>
    <row r="1080" customFormat="false" ht="27.75" hidden="false" customHeight="true" outlineLevel="0" collapsed="false">
      <c r="A1080" s="184" t="s">
        <v>6658</v>
      </c>
      <c r="B1080" s="184" t="s">
        <v>4904</v>
      </c>
      <c r="C1080" s="184" t="n">
        <v>10</v>
      </c>
      <c r="D1080" s="184" t="s">
        <v>6296</v>
      </c>
      <c r="E1080" s="184" t="s">
        <v>6668</v>
      </c>
      <c r="F1080" s="184"/>
      <c r="G1080" s="184"/>
      <c r="H1080" s="184"/>
      <c r="I1080" s="184"/>
      <c r="J1080" s="184"/>
      <c r="K1080" s="184"/>
      <c r="L1080" s="184"/>
      <c r="M1080" s="184"/>
      <c r="N1080" s="184"/>
      <c r="O1080" s="184"/>
    </row>
    <row r="1081" customFormat="false" ht="41.25" hidden="false" customHeight="true" outlineLevel="0" collapsed="false">
      <c r="A1081" s="184" t="s">
        <v>6658</v>
      </c>
      <c r="B1081" s="184" t="s">
        <v>4904</v>
      </c>
      <c r="C1081" s="184" t="n">
        <v>11</v>
      </c>
      <c r="D1081" s="174" t="s">
        <v>4848</v>
      </c>
      <c r="E1081" s="184" t="s">
        <v>6669</v>
      </c>
      <c r="F1081" s="184"/>
      <c r="G1081" s="184"/>
      <c r="H1081" s="184"/>
      <c r="I1081" s="184"/>
      <c r="J1081" s="184" t="s">
        <v>6670</v>
      </c>
      <c r="K1081" s="184"/>
      <c r="L1081" s="184" t="s">
        <v>6671</v>
      </c>
      <c r="M1081" s="184"/>
      <c r="N1081" s="184"/>
      <c r="O1081" s="184"/>
    </row>
    <row r="1082" customFormat="false" ht="27.75" hidden="false" customHeight="true" outlineLevel="0" collapsed="false">
      <c r="A1082" s="184" t="s">
        <v>6658</v>
      </c>
      <c r="B1082" s="184" t="s">
        <v>4904</v>
      </c>
      <c r="C1082" s="184" t="n">
        <v>12</v>
      </c>
      <c r="D1082" s="174" t="s">
        <v>4846</v>
      </c>
      <c r="E1082" s="184" t="s">
        <v>6444</v>
      </c>
      <c r="F1082" s="184"/>
      <c r="G1082" s="184"/>
      <c r="H1082" s="184"/>
      <c r="I1082" s="184"/>
      <c r="J1082" s="184" t="s">
        <v>6445</v>
      </c>
      <c r="K1082" s="184"/>
      <c r="L1082" s="184"/>
      <c r="M1082" s="184"/>
      <c r="N1082" s="184"/>
      <c r="O1082" s="184"/>
    </row>
    <row r="1083" customFormat="false" ht="68.25" hidden="false" customHeight="true" outlineLevel="0" collapsed="false">
      <c r="A1083" s="184" t="s">
        <v>6658</v>
      </c>
      <c r="B1083" s="184" t="s">
        <v>4904</v>
      </c>
      <c r="C1083" s="184" t="n">
        <v>13</v>
      </c>
      <c r="D1083" s="174" t="s">
        <v>4846</v>
      </c>
      <c r="E1083" s="184" t="s">
        <v>6434</v>
      </c>
      <c r="F1083" s="184"/>
      <c r="G1083" s="184"/>
      <c r="H1083" s="184"/>
      <c r="I1083" s="184"/>
      <c r="J1083" s="184" t="s">
        <v>6325</v>
      </c>
      <c r="K1083" s="184" t="s">
        <v>6672</v>
      </c>
      <c r="L1083" s="184"/>
      <c r="M1083" s="184" t="s">
        <v>6673</v>
      </c>
      <c r="N1083" s="184" t="s">
        <v>6442</v>
      </c>
      <c r="O1083" s="184"/>
    </row>
    <row r="1084" customFormat="false" ht="27.75" hidden="false" customHeight="true" outlineLevel="0" collapsed="false">
      <c r="A1084" s="184" t="s">
        <v>6658</v>
      </c>
      <c r="B1084" s="184" t="s">
        <v>4904</v>
      </c>
      <c r="C1084" s="184" t="n">
        <v>14</v>
      </c>
      <c r="D1084" s="174" t="s">
        <v>4846</v>
      </c>
      <c r="E1084" s="184" t="s">
        <v>6437</v>
      </c>
      <c r="F1084" s="184"/>
      <c r="G1084" s="184"/>
      <c r="H1084" s="184"/>
      <c r="I1084" s="184"/>
      <c r="J1084" s="184" t="s">
        <v>6325</v>
      </c>
      <c r="K1084" s="184"/>
      <c r="L1084" s="184"/>
      <c r="M1084" s="184"/>
      <c r="N1084" s="184"/>
      <c r="O1084" s="184"/>
    </row>
    <row r="1085" customFormat="false" ht="27.75" hidden="false" customHeight="true" outlineLevel="0" collapsed="false">
      <c r="A1085" s="184" t="s">
        <v>6658</v>
      </c>
      <c r="B1085" s="184" t="s">
        <v>4904</v>
      </c>
      <c r="C1085" s="184" t="n">
        <v>15</v>
      </c>
      <c r="D1085" s="174" t="s">
        <v>4846</v>
      </c>
      <c r="E1085" s="184" t="s">
        <v>6438</v>
      </c>
      <c r="F1085" s="184"/>
      <c r="G1085" s="184"/>
      <c r="H1085" s="184"/>
      <c r="I1085" s="184"/>
      <c r="J1085" s="184" t="s">
        <v>6446</v>
      </c>
      <c r="K1085" s="184"/>
      <c r="L1085" s="184"/>
      <c r="M1085" s="184"/>
      <c r="N1085" s="184"/>
      <c r="O1085" s="184"/>
    </row>
    <row r="1086" customFormat="false" ht="27.75" hidden="false" customHeight="true" outlineLevel="0" collapsed="false">
      <c r="A1086" s="184" t="s">
        <v>6658</v>
      </c>
      <c r="B1086" s="184" t="s">
        <v>4904</v>
      </c>
      <c r="C1086" s="184" t="n">
        <v>16</v>
      </c>
      <c r="D1086" s="174" t="s">
        <v>4846</v>
      </c>
      <c r="E1086" s="184" t="s">
        <v>6447</v>
      </c>
      <c r="F1086" s="184" t="s">
        <v>227</v>
      </c>
      <c r="G1086" s="184"/>
      <c r="H1086" s="184"/>
      <c r="I1086" s="184"/>
      <c r="J1086" s="184" t="s">
        <v>6448</v>
      </c>
      <c r="K1086" s="184" t="s">
        <v>6343</v>
      </c>
      <c r="L1086" s="184"/>
      <c r="M1086" s="184" t="s">
        <v>6674</v>
      </c>
      <c r="N1086" s="184"/>
      <c r="O1086" s="184"/>
    </row>
    <row r="1087" customFormat="false" ht="27.75" hidden="false" customHeight="true" outlineLevel="0" collapsed="false">
      <c r="A1087" s="184" t="s">
        <v>6658</v>
      </c>
      <c r="B1087" s="184" t="s">
        <v>4904</v>
      </c>
      <c r="C1087" s="184" t="n">
        <v>17</v>
      </c>
      <c r="D1087" s="178" t="s">
        <v>5269</v>
      </c>
      <c r="E1087" s="184" t="s">
        <v>6675</v>
      </c>
      <c r="F1087" s="184"/>
      <c r="G1087" s="184"/>
      <c r="H1087" s="184"/>
      <c r="I1087" s="184"/>
      <c r="J1087" s="184"/>
      <c r="K1087" s="184"/>
      <c r="L1087" s="184"/>
      <c r="M1087" s="184" t="s">
        <v>6676</v>
      </c>
      <c r="N1087" s="184"/>
      <c r="O1087" s="184"/>
    </row>
    <row r="1088" customFormat="false" ht="15" hidden="false" customHeight="true" outlineLevel="0" collapsed="false">
      <c r="A1088" s="184"/>
      <c r="B1088" s="184"/>
      <c r="C1088" s="184"/>
      <c r="D1088" s="184"/>
      <c r="E1088" s="184"/>
      <c r="F1088" s="184"/>
      <c r="G1088" s="184"/>
      <c r="H1088" s="184"/>
      <c r="I1088" s="184"/>
      <c r="J1088" s="184"/>
      <c r="K1088" s="184"/>
      <c r="L1088" s="184"/>
      <c r="M1088" s="184"/>
      <c r="N1088" s="184"/>
      <c r="O1088" s="184"/>
    </row>
    <row r="1089" customFormat="false" ht="15" hidden="false" customHeight="true" outlineLevel="0" collapsed="false">
      <c r="A1089" s="184"/>
      <c r="B1089" s="184"/>
      <c r="C1089" s="184"/>
      <c r="D1089" s="184"/>
      <c r="E1089" s="184"/>
      <c r="F1089" s="184"/>
      <c r="G1089" s="184"/>
      <c r="H1089" s="184"/>
      <c r="I1089" s="184"/>
      <c r="J1089" s="184"/>
      <c r="K1089" s="184"/>
      <c r="L1089" s="184"/>
      <c r="M1089" s="184"/>
      <c r="N1089" s="184"/>
      <c r="O1089" s="184"/>
    </row>
    <row r="1090" customFormat="false" ht="15" hidden="false" customHeight="true" outlineLevel="0" collapsed="false">
      <c r="A1090" s="184"/>
      <c r="B1090" s="184"/>
      <c r="C1090" s="184"/>
      <c r="D1090" s="184"/>
      <c r="E1090" s="184"/>
      <c r="F1090" s="184"/>
      <c r="G1090" s="184"/>
      <c r="H1090" s="184"/>
      <c r="I1090" s="184"/>
      <c r="J1090" s="184"/>
      <c r="K1090" s="184"/>
      <c r="L1090" s="184"/>
      <c r="M1090" s="184"/>
      <c r="N1090" s="184"/>
      <c r="O1090" s="184"/>
    </row>
    <row r="1091" customFormat="false" ht="15" hidden="false" customHeight="true" outlineLevel="0" collapsed="false">
      <c r="A1091" s="184"/>
      <c r="B1091" s="184"/>
      <c r="C1091" s="184"/>
      <c r="D1091" s="184"/>
      <c r="E1091" s="184"/>
      <c r="F1091" s="184"/>
      <c r="G1091" s="184"/>
      <c r="H1091" s="184"/>
      <c r="I1091" s="184"/>
      <c r="J1091" s="184"/>
      <c r="K1091" s="184"/>
      <c r="L1091" s="184"/>
      <c r="M1091" s="184"/>
      <c r="N1091" s="184"/>
      <c r="O1091" s="184"/>
    </row>
    <row r="1092" customFormat="false" ht="15" hidden="false" customHeight="true" outlineLevel="0" collapsed="false">
      <c r="A1092" s="184"/>
      <c r="B1092" s="184"/>
      <c r="C1092" s="184"/>
      <c r="D1092" s="184"/>
      <c r="E1092" s="184"/>
      <c r="F1092" s="184"/>
      <c r="G1092" s="184"/>
      <c r="H1092" s="184"/>
      <c r="I1092" s="184"/>
      <c r="J1092" s="184"/>
      <c r="K1092" s="184"/>
      <c r="L1092" s="184"/>
      <c r="M1092" s="184"/>
      <c r="N1092" s="184"/>
      <c r="O1092" s="184"/>
    </row>
    <row r="1093" customFormat="false" ht="15" hidden="false" customHeight="true" outlineLevel="0" collapsed="false">
      <c r="A1093" s="184"/>
      <c r="B1093" s="184"/>
      <c r="C1093" s="184"/>
      <c r="D1093" s="184"/>
      <c r="E1093" s="184"/>
      <c r="F1093" s="184"/>
      <c r="G1093" s="184"/>
      <c r="H1093" s="184"/>
      <c r="I1093" s="184"/>
      <c r="J1093" s="184"/>
      <c r="K1093" s="184"/>
      <c r="L1093" s="184"/>
      <c r="M1093" s="184"/>
      <c r="N1093" s="184"/>
      <c r="O1093" s="184"/>
    </row>
    <row r="1094" customFormat="false" ht="15" hidden="false" customHeight="true" outlineLevel="0" collapsed="false">
      <c r="A1094" s="184"/>
      <c r="B1094" s="184"/>
      <c r="C1094" s="184"/>
      <c r="D1094" s="184"/>
      <c r="E1094" s="184"/>
      <c r="F1094" s="184"/>
      <c r="G1094" s="184"/>
      <c r="H1094" s="184"/>
      <c r="I1094" s="184"/>
      <c r="J1094" s="184"/>
      <c r="K1094" s="184"/>
      <c r="L1094" s="184"/>
      <c r="M1094" s="184"/>
      <c r="N1094" s="184"/>
      <c r="O1094" s="184"/>
    </row>
    <row r="1095" customFormat="false" ht="15" hidden="false" customHeight="true" outlineLevel="0" collapsed="false">
      <c r="A1095" s="184"/>
      <c r="B1095" s="184"/>
      <c r="C1095" s="184"/>
      <c r="D1095" s="184"/>
      <c r="E1095" s="184"/>
      <c r="F1095" s="184"/>
      <c r="G1095" s="184"/>
      <c r="H1095" s="184"/>
      <c r="I1095" s="184"/>
      <c r="J1095" s="184"/>
      <c r="K1095" s="184"/>
      <c r="L1095" s="184"/>
      <c r="M1095" s="184"/>
      <c r="N1095" s="184"/>
      <c r="O1095" s="184"/>
    </row>
    <row r="1096" customFormat="false" ht="15" hidden="false" customHeight="true" outlineLevel="0" collapsed="false">
      <c r="A1096" s="184"/>
      <c r="B1096" s="184"/>
      <c r="C1096" s="184"/>
      <c r="D1096" s="184"/>
      <c r="E1096" s="184"/>
      <c r="F1096" s="184"/>
      <c r="G1096" s="184"/>
      <c r="H1096" s="184"/>
      <c r="I1096" s="184"/>
      <c r="J1096" s="184"/>
      <c r="K1096" s="184"/>
      <c r="L1096" s="184"/>
      <c r="M1096" s="184"/>
      <c r="N1096" s="184"/>
      <c r="O1096" s="184"/>
    </row>
    <row r="1097" customFormat="false" ht="15" hidden="false" customHeight="true" outlineLevel="0" collapsed="false">
      <c r="A1097" s="184"/>
      <c r="B1097" s="184"/>
      <c r="C1097" s="184"/>
      <c r="D1097" s="184"/>
      <c r="E1097" s="184"/>
      <c r="F1097" s="184"/>
      <c r="G1097" s="184"/>
      <c r="H1097" s="184"/>
      <c r="I1097" s="184"/>
      <c r="J1097" s="184"/>
      <c r="K1097" s="184"/>
      <c r="L1097" s="184"/>
      <c r="M1097" s="184"/>
      <c r="N1097" s="184"/>
      <c r="O1097" s="184"/>
    </row>
    <row r="1098" customFormat="false" ht="15" hidden="false" customHeight="true" outlineLevel="0" collapsed="false">
      <c r="A1098" s="184"/>
      <c r="B1098" s="184"/>
      <c r="C1098" s="184"/>
      <c r="D1098" s="184"/>
      <c r="E1098" s="184"/>
      <c r="F1098" s="184"/>
      <c r="G1098" s="184"/>
      <c r="H1098" s="184"/>
      <c r="I1098" s="184"/>
      <c r="J1098" s="184"/>
      <c r="K1098" s="184"/>
      <c r="L1098" s="184"/>
      <c r="M1098" s="184"/>
      <c r="N1098" s="184"/>
      <c r="O1098" s="184"/>
    </row>
    <row r="1099" customFormat="false" ht="15" hidden="false" customHeight="true" outlineLevel="0" collapsed="false">
      <c r="A1099" s="184"/>
      <c r="B1099" s="184"/>
      <c r="C1099" s="184"/>
      <c r="D1099" s="184"/>
      <c r="E1099" s="184"/>
      <c r="F1099" s="184"/>
      <c r="G1099" s="184"/>
      <c r="H1099" s="184"/>
      <c r="I1099" s="184"/>
      <c r="J1099" s="184"/>
      <c r="K1099" s="184"/>
      <c r="L1099" s="184"/>
      <c r="M1099" s="184"/>
      <c r="N1099" s="184"/>
      <c r="O1099" s="184"/>
    </row>
    <row r="1100" customFormat="false" ht="15" hidden="false" customHeight="true" outlineLevel="0" collapsed="false">
      <c r="A1100" s="184"/>
      <c r="B1100" s="184"/>
      <c r="C1100" s="184"/>
      <c r="D1100" s="184"/>
      <c r="E1100" s="184"/>
      <c r="F1100" s="184"/>
      <c r="G1100" s="184"/>
      <c r="H1100" s="184"/>
      <c r="I1100" s="184"/>
      <c r="J1100" s="184"/>
      <c r="K1100" s="184"/>
      <c r="L1100" s="184"/>
      <c r="M1100" s="184"/>
      <c r="N1100" s="184"/>
      <c r="O1100" s="184"/>
    </row>
    <row r="1101" customFormat="false" ht="15" hidden="false" customHeight="true" outlineLevel="0" collapsed="false">
      <c r="A1101" s="184"/>
      <c r="B1101" s="184"/>
      <c r="C1101" s="184"/>
      <c r="D1101" s="184"/>
      <c r="E1101" s="184"/>
      <c r="F1101" s="184"/>
      <c r="G1101" s="184"/>
      <c r="H1101" s="184"/>
      <c r="I1101" s="184"/>
      <c r="J1101" s="184"/>
      <c r="K1101" s="184"/>
      <c r="L1101" s="184"/>
      <c r="M1101" s="184"/>
      <c r="N1101" s="184"/>
      <c r="O1101" s="184"/>
    </row>
    <row r="1102" customFormat="false" ht="15" hidden="false" customHeight="true" outlineLevel="0" collapsed="false">
      <c r="A1102" s="184"/>
      <c r="B1102" s="184"/>
      <c r="C1102" s="184"/>
      <c r="D1102" s="184"/>
      <c r="E1102" s="184"/>
      <c r="F1102" s="184"/>
      <c r="G1102" s="184"/>
      <c r="H1102" s="184"/>
      <c r="I1102" s="184"/>
      <c r="J1102" s="184"/>
      <c r="K1102" s="184"/>
      <c r="L1102" s="184"/>
      <c r="M1102" s="184"/>
      <c r="N1102" s="184"/>
      <c r="O1102" s="184"/>
    </row>
    <row r="1103" customFormat="false" ht="15" hidden="false" customHeight="true" outlineLevel="0" collapsed="false">
      <c r="A1103" s="184"/>
      <c r="B1103" s="184"/>
      <c r="C1103" s="184"/>
      <c r="D1103" s="184"/>
      <c r="E1103" s="184"/>
      <c r="F1103" s="184"/>
      <c r="G1103" s="184"/>
      <c r="H1103" s="184"/>
      <c r="I1103" s="184"/>
      <c r="J1103" s="184"/>
      <c r="K1103" s="184"/>
      <c r="L1103" s="184"/>
      <c r="M1103" s="184"/>
      <c r="N1103" s="184"/>
      <c r="O1103" s="184"/>
    </row>
    <row r="1104" customFormat="false" ht="15" hidden="false" customHeight="true" outlineLevel="0" collapsed="false">
      <c r="A1104" s="184"/>
      <c r="B1104" s="184"/>
      <c r="C1104" s="184"/>
      <c r="D1104" s="184"/>
      <c r="E1104" s="184"/>
      <c r="F1104" s="184"/>
      <c r="G1104" s="184"/>
      <c r="H1104" s="184"/>
      <c r="I1104" s="184"/>
      <c r="J1104" s="184"/>
      <c r="K1104" s="184"/>
      <c r="L1104" s="184"/>
      <c r="M1104" s="184"/>
      <c r="N1104" s="184"/>
      <c r="O1104" s="184"/>
    </row>
    <row r="1105" customFormat="false" ht="15" hidden="false" customHeight="true" outlineLevel="0" collapsed="false">
      <c r="A1105" s="184"/>
      <c r="B1105" s="184"/>
      <c r="C1105" s="184"/>
      <c r="D1105" s="184"/>
      <c r="E1105" s="184"/>
      <c r="F1105" s="184"/>
      <c r="G1105" s="184"/>
      <c r="H1105" s="184"/>
      <c r="I1105" s="184"/>
      <c r="J1105" s="184"/>
      <c r="K1105" s="184"/>
      <c r="L1105" s="184"/>
      <c r="M1105" s="184"/>
      <c r="N1105" s="184"/>
      <c r="O1105" s="184"/>
    </row>
    <row r="1106" customFormat="false" ht="15" hidden="false" customHeight="true" outlineLevel="0" collapsed="false">
      <c r="A1106" s="184"/>
      <c r="B1106" s="184"/>
      <c r="C1106" s="184"/>
      <c r="D1106" s="184"/>
      <c r="E1106" s="184"/>
      <c r="F1106" s="184"/>
      <c r="G1106" s="184"/>
      <c r="H1106" s="184"/>
      <c r="I1106" s="184"/>
      <c r="J1106" s="184"/>
      <c r="K1106" s="184"/>
      <c r="L1106" s="184"/>
      <c r="M1106" s="184"/>
      <c r="N1106" s="184"/>
      <c r="O1106" s="184"/>
    </row>
    <row r="1107" customFormat="false" ht="15" hidden="false" customHeight="true" outlineLevel="0" collapsed="false">
      <c r="A1107" s="184"/>
      <c r="B1107" s="184"/>
      <c r="C1107" s="184"/>
      <c r="D1107" s="184"/>
      <c r="E1107" s="184"/>
      <c r="F1107" s="184"/>
      <c r="G1107" s="184"/>
      <c r="H1107" s="184"/>
      <c r="I1107" s="184"/>
      <c r="J1107" s="184"/>
      <c r="K1107" s="184"/>
      <c r="L1107" s="184"/>
      <c r="M1107" s="184"/>
      <c r="N1107" s="184"/>
      <c r="O1107" s="184"/>
    </row>
    <row r="1108" customFormat="false" ht="15" hidden="false" customHeight="true" outlineLevel="0" collapsed="false">
      <c r="A1108" s="184"/>
      <c r="B1108" s="184"/>
      <c r="C1108" s="184"/>
      <c r="D1108" s="184"/>
      <c r="E1108" s="184"/>
      <c r="F1108" s="184"/>
      <c r="G1108" s="184"/>
      <c r="H1108" s="184"/>
      <c r="I1108" s="184"/>
      <c r="J1108" s="184"/>
      <c r="K1108" s="184"/>
      <c r="L1108" s="184"/>
      <c r="M1108" s="184"/>
      <c r="N1108" s="184"/>
      <c r="O1108" s="184"/>
    </row>
    <row r="1109" customFormat="false" ht="15" hidden="false" customHeight="true" outlineLevel="0" collapsed="false">
      <c r="A1109" s="184"/>
      <c r="B1109" s="184"/>
      <c r="C1109" s="184"/>
      <c r="D1109" s="184"/>
      <c r="E1109" s="184"/>
      <c r="F1109" s="184"/>
      <c r="G1109" s="184"/>
      <c r="H1109" s="184"/>
      <c r="I1109" s="184"/>
      <c r="J1109" s="184"/>
      <c r="K1109" s="184"/>
      <c r="L1109" s="184"/>
      <c r="M1109" s="184"/>
      <c r="N1109" s="184"/>
      <c r="O1109" s="184"/>
    </row>
    <row r="1110" customFormat="false" ht="15" hidden="false" customHeight="true" outlineLevel="0" collapsed="false">
      <c r="A1110" s="184"/>
      <c r="B1110" s="184"/>
      <c r="C1110" s="184"/>
      <c r="D1110" s="184"/>
      <c r="E1110" s="184"/>
      <c r="F1110" s="184"/>
      <c r="G1110" s="184"/>
      <c r="H1110" s="184"/>
      <c r="I1110" s="184"/>
      <c r="J1110" s="184"/>
      <c r="K1110" s="184"/>
      <c r="L1110" s="184"/>
      <c r="M1110" s="184"/>
      <c r="N1110" s="184"/>
      <c r="O1110" s="184"/>
    </row>
    <row r="1111" customFormat="false" ht="15" hidden="false" customHeight="true" outlineLevel="0" collapsed="false">
      <c r="A1111" s="184"/>
      <c r="B1111" s="184"/>
      <c r="C1111" s="184"/>
      <c r="D1111" s="184"/>
      <c r="E1111" s="184"/>
      <c r="F1111" s="184"/>
      <c r="G1111" s="184"/>
      <c r="H1111" s="184"/>
      <c r="I1111" s="184"/>
      <c r="J1111" s="184"/>
      <c r="K1111" s="184"/>
      <c r="L1111" s="184"/>
      <c r="M1111" s="184"/>
      <c r="N1111" s="184"/>
      <c r="O1111" s="184"/>
    </row>
    <row r="1112" customFormat="false" ht="15" hidden="false" customHeight="true" outlineLevel="0" collapsed="false">
      <c r="A1112" s="184"/>
      <c r="B1112" s="184"/>
      <c r="C1112" s="184"/>
      <c r="D1112" s="184"/>
      <c r="E1112" s="184"/>
      <c r="F1112" s="184"/>
      <c r="G1112" s="184"/>
      <c r="H1112" s="184"/>
      <c r="I1112" s="184"/>
      <c r="J1112" s="184"/>
      <c r="K1112" s="184"/>
      <c r="L1112" s="184"/>
      <c r="M1112" s="184"/>
      <c r="N1112" s="184"/>
      <c r="O1112" s="184"/>
    </row>
    <row r="1113" customFormat="false" ht="15" hidden="false" customHeight="true" outlineLevel="0" collapsed="false">
      <c r="A1113" s="184"/>
      <c r="B1113" s="184"/>
      <c r="C1113" s="184"/>
      <c r="D1113" s="184"/>
      <c r="E1113" s="184"/>
      <c r="F1113" s="184"/>
      <c r="G1113" s="184"/>
      <c r="H1113" s="184"/>
      <c r="I1113" s="184"/>
      <c r="J1113" s="184"/>
      <c r="K1113" s="184"/>
      <c r="L1113" s="184"/>
      <c r="M1113" s="184"/>
      <c r="N1113" s="184"/>
      <c r="O1113" s="184"/>
    </row>
    <row r="1114" customFormat="false" ht="15" hidden="false" customHeight="true" outlineLevel="0" collapsed="false">
      <c r="A1114" s="184"/>
      <c r="B1114" s="184"/>
      <c r="C1114" s="184"/>
      <c r="D1114" s="184"/>
      <c r="E1114" s="184"/>
      <c r="F1114" s="184"/>
      <c r="G1114" s="184"/>
      <c r="H1114" s="184"/>
      <c r="I1114" s="184"/>
      <c r="J1114" s="184"/>
      <c r="K1114" s="184"/>
      <c r="L1114" s="184"/>
      <c r="M1114" s="184"/>
      <c r="N1114" s="184"/>
      <c r="O1114" s="184"/>
    </row>
    <row r="1115" customFormat="false" ht="15" hidden="false" customHeight="true" outlineLevel="0" collapsed="false">
      <c r="A1115" s="184"/>
      <c r="B1115" s="184"/>
      <c r="C1115" s="184"/>
      <c r="D1115" s="184"/>
      <c r="E1115" s="184"/>
      <c r="F1115" s="184"/>
      <c r="G1115" s="184"/>
      <c r="H1115" s="184"/>
      <c r="I1115" s="184"/>
      <c r="J1115" s="184"/>
      <c r="K1115" s="184"/>
      <c r="L1115" s="184"/>
      <c r="M1115" s="184"/>
      <c r="N1115" s="184"/>
      <c r="O1115" s="184"/>
    </row>
    <row r="1116" customFormat="false" ht="15" hidden="false" customHeight="true" outlineLevel="0" collapsed="false">
      <c r="A1116" s="184"/>
      <c r="B1116" s="184"/>
      <c r="C1116" s="184"/>
      <c r="D1116" s="184"/>
      <c r="E1116" s="184"/>
      <c r="F1116" s="184"/>
      <c r="G1116" s="184"/>
      <c r="H1116" s="184"/>
      <c r="I1116" s="184"/>
      <c r="J1116" s="184"/>
      <c r="K1116" s="184"/>
      <c r="L1116" s="184"/>
      <c r="M1116" s="184"/>
      <c r="N1116" s="184"/>
      <c r="O1116" s="184"/>
    </row>
    <row r="1117" customFormat="false" ht="15" hidden="false" customHeight="true" outlineLevel="0" collapsed="false">
      <c r="A1117" s="184"/>
      <c r="B1117" s="184"/>
      <c r="C1117" s="184"/>
      <c r="D1117" s="184"/>
      <c r="E1117" s="184"/>
      <c r="F1117" s="184"/>
      <c r="G1117" s="184"/>
      <c r="H1117" s="184"/>
      <c r="I1117" s="184"/>
      <c r="J1117" s="184"/>
      <c r="K1117" s="184"/>
      <c r="L1117" s="184"/>
      <c r="M1117" s="184"/>
      <c r="N1117" s="184"/>
      <c r="O1117" s="184"/>
    </row>
    <row r="1118" customFormat="false" ht="15" hidden="false" customHeight="true" outlineLevel="0" collapsed="false">
      <c r="A1118" s="184"/>
      <c r="B1118" s="184"/>
      <c r="C1118" s="184"/>
      <c r="D1118" s="184"/>
      <c r="E1118" s="184"/>
      <c r="F1118" s="184"/>
      <c r="G1118" s="184"/>
      <c r="H1118" s="184"/>
      <c r="I1118" s="184"/>
      <c r="J1118" s="184"/>
      <c r="K1118" s="184"/>
      <c r="L1118" s="184"/>
      <c r="M1118" s="184"/>
      <c r="N1118" s="184"/>
      <c r="O1118" s="184"/>
    </row>
    <row r="1119" customFormat="false" ht="15" hidden="false" customHeight="true" outlineLevel="0" collapsed="false">
      <c r="A1119" s="184"/>
      <c r="B1119" s="184"/>
      <c r="C1119" s="184"/>
      <c r="D1119" s="184"/>
      <c r="E1119" s="184"/>
      <c r="F1119" s="184"/>
      <c r="G1119" s="184"/>
      <c r="H1119" s="184"/>
      <c r="I1119" s="184"/>
      <c r="J1119" s="184"/>
      <c r="K1119" s="184"/>
      <c r="L1119" s="184"/>
      <c r="M1119" s="184"/>
      <c r="N1119" s="184"/>
      <c r="O1119" s="184"/>
    </row>
    <row r="1120" customFormat="false" ht="15" hidden="false" customHeight="true" outlineLevel="0" collapsed="false">
      <c r="A1120" s="184"/>
      <c r="B1120" s="184"/>
      <c r="C1120" s="184"/>
      <c r="D1120" s="184"/>
      <c r="E1120" s="184"/>
      <c r="F1120" s="184"/>
      <c r="G1120" s="184"/>
      <c r="H1120" s="184"/>
      <c r="I1120" s="184"/>
      <c r="J1120" s="184"/>
      <c r="K1120" s="184"/>
      <c r="L1120" s="184"/>
      <c r="M1120" s="184"/>
      <c r="N1120" s="184"/>
      <c r="O1120" s="184"/>
    </row>
    <row r="1121" customFormat="false" ht="15" hidden="false" customHeight="true" outlineLevel="0" collapsed="false">
      <c r="A1121" s="184"/>
      <c r="B1121" s="184"/>
      <c r="C1121" s="184"/>
      <c r="D1121" s="184"/>
      <c r="E1121" s="184"/>
      <c r="F1121" s="184"/>
      <c r="G1121" s="184"/>
      <c r="H1121" s="184"/>
      <c r="I1121" s="184"/>
      <c r="J1121" s="184"/>
      <c r="K1121" s="184"/>
      <c r="L1121" s="184"/>
      <c r="M1121" s="184"/>
      <c r="N1121" s="184"/>
      <c r="O1121" s="184"/>
    </row>
    <row r="1122" customFormat="false" ht="15" hidden="false" customHeight="true" outlineLevel="0" collapsed="false">
      <c r="A1122" s="184"/>
      <c r="B1122" s="184"/>
      <c r="C1122" s="184"/>
      <c r="D1122" s="184"/>
      <c r="E1122" s="184"/>
      <c r="F1122" s="184"/>
      <c r="G1122" s="184"/>
      <c r="H1122" s="184"/>
      <c r="I1122" s="184"/>
      <c r="J1122" s="184"/>
      <c r="K1122" s="184"/>
      <c r="L1122" s="184"/>
      <c r="M1122" s="184"/>
      <c r="N1122" s="184"/>
      <c r="O1122" s="184"/>
    </row>
    <row r="1123" customFormat="false" ht="15" hidden="false" customHeight="true" outlineLevel="0" collapsed="false">
      <c r="A1123" s="184"/>
      <c r="B1123" s="184"/>
      <c r="C1123" s="184"/>
      <c r="D1123" s="184"/>
      <c r="E1123" s="184"/>
      <c r="F1123" s="184"/>
      <c r="G1123" s="184"/>
      <c r="H1123" s="184"/>
      <c r="I1123" s="184"/>
      <c r="J1123" s="184"/>
      <c r="K1123" s="184"/>
      <c r="L1123" s="184"/>
      <c r="M1123" s="184"/>
      <c r="N1123" s="184"/>
      <c r="O1123" s="184"/>
    </row>
    <row r="1124" customFormat="false" ht="15" hidden="false" customHeight="true" outlineLevel="0" collapsed="false">
      <c r="A1124" s="184"/>
      <c r="B1124" s="184"/>
      <c r="C1124" s="184"/>
      <c r="D1124" s="184"/>
      <c r="E1124" s="184"/>
      <c r="F1124" s="184"/>
      <c r="G1124" s="184"/>
      <c r="H1124" s="184"/>
      <c r="I1124" s="184"/>
      <c r="J1124" s="184"/>
      <c r="K1124" s="184"/>
      <c r="L1124" s="184"/>
      <c r="M1124" s="184"/>
      <c r="N1124" s="184"/>
      <c r="O1124" s="184"/>
    </row>
    <row r="1125" customFormat="false" ht="15" hidden="false" customHeight="true" outlineLevel="0" collapsed="false">
      <c r="A1125" s="184"/>
      <c r="B1125" s="184"/>
      <c r="C1125" s="184"/>
      <c r="D1125" s="184"/>
      <c r="E1125" s="184"/>
      <c r="F1125" s="184"/>
      <c r="G1125" s="184"/>
      <c r="H1125" s="184"/>
      <c r="I1125" s="184"/>
      <c r="J1125" s="184"/>
      <c r="K1125" s="184"/>
      <c r="L1125" s="184"/>
      <c r="M1125" s="184"/>
      <c r="N1125" s="184"/>
      <c r="O1125" s="184"/>
    </row>
    <row r="1126" customFormat="false" ht="15" hidden="false" customHeight="true" outlineLevel="0" collapsed="false">
      <c r="A1126" s="184"/>
      <c r="B1126" s="184"/>
      <c r="C1126" s="184"/>
      <c r="D1126" s="184"/>
      <c r="E1126" s="184"/>
      <c r="F1126" s="184"/>
      <c r="G1126" s="184"/>
      <c r="H1126" s="184"/>
      <c r="I1126" s="184"/>
      <c r="J1126" s="184"/>
      <c r="K1126" s="184"/>
      <c r="L1126" s="184"/>
      <c r="M1126" s="184"/>
      <c r="N1126" s="184"/>
      <c r="O1126" s="184"/>
    </row>
    <row r="1127" customFormat="false" ht="15" hidden="false" customHeight="true" outlineLevel="0" collapsed="false">
      <c r="A1127" s="184"/>
      <c r="B1127" s="184"/>
      <c r="C1127" s="184"/>
      <c r="D1127" s="184"/>
      <c r="E1127" s="184"/>
      <c r="F1127" s="184"/>
      <c r="G1127" s="184"/>
      <c r="H1127" s="184"/>
      <c r="I1127" s="184"/>
      <c r="J1127" s="184"/>
      <c r="K1127" s="184"/>
      <c r="L1127" s="184"/>
      <c r="M1127" s="184"/>
      <c r="N1127" s="184"/>
      <c r="O1127" s="184"/>
    </row>
    <row r="1128" customFormat="false" ht="15" hidden="false" customHeight="true" outlineLevel="0" collapsed="false">
      <c r="A1128" s="184"/>
      <c r="B1128" s="184"/>
      <c r="C1128" s="184"/>
      <c r="D1128" s="184"/>
      <c r="E1128" s="184"/>
      <c r="F1128" s="184"/>
      <c r="G1128" s="184"/>
      <c r="H1128" s="184"/>
      <c r="I1128" s="184"/>
      <c r="J1128" s="184"/>
      <c r="K1128" s="184"/>
      <c r="L1128" s="184"/>
      <c r="M1128" s="184"/>
      <c r="N1128" s="184"/>
      <c r="O1128" s="184"/>
    </row>
    <row r="1129" customFormat="false" ht="15" hidden="false" customHeight="true" outlineLevel="0" collapsed="false">
      <c r="A1129" s="184"/>
      <c r="B1129" s="184"/>
      <c r="C1129" s="184"/>
      <c r="D1129" s="184"/>
      <c r="E1129" s="184"/>
      <c r="F1129" s="184"/>
      <c r="G1129" s="184"/>
      <c r="H1129" s="184"/>
      <c r="I1129" s="184"/>
      <c r="J1129" s="184"/>
      <c r="K1129" s="184"/>
      <c r="L1129" s="184"/>
      <c r="M1129" s="184"/>
      <c r="N1129" s="184"/>
      <c r="O1129" s="184"/>
    </row>
    <row r="1130" customFormat="false" ht="15" hidden="false" customHeight="true" outlineLevel="0" collapsed="false">
      <c r="A1130" s="184"/>
      <c r="B1130" s="184"/>
      <c r="C1130" s="184"/>
      <c r="D1130" s="184"/>
      <c r="E1130" s="184"/>
      <c r="F1130" s="184"/>
      <c r="G1130" s="184"/>
      <c r="H1130" s="184"/>
      <c r="I1130" s="184"/>
      <c r="J1130" s="184"/>
      <c r="K1130" s="184"/>
      <c r="L1130" s="184"/>
      <c r="M1130" s="184"/>
      <c r="N1130" s="184"/>
      <c r="O1130" s="184"/>
    </row>
    <row r="1131" customFormat="false" ht="15" hidden="false" customHeight="true" outlineLevel="0" collapsed="false">
      <c r="A1131" s="184"/>
      <c r="B1131" s="184"/>
      <c r="C1131" s="184"/>
      <c r="D1131" s="184"/>
      <c r="E1131" s="184"/>
      <c r="F1131" s="184"/>
      <c r="G1131" s="184"/>
      <c r="H1131" s="184"/>
      <c r="I1131" s="184"/>
      <c r="J1131" s="184"/>
      <c r="K1131" s="184"/>
      <c r="L1131" s="184"/>
      <c r="M1131" s="184"/>
      <c r="N1131" s="184"/>
      <c r="O1131" s="184"/>
    </row>
    <row r="1132" customFormat="false" ht="15" hidden="false" customHeight="true" outlineLevel="0" collapsed="false">
      <c r="A1132" s="184"/>
      <c r="B1132" s="184"/>
      <c r="C1132" s="184"/>
      <c r="D1132" s="184"/>
      <c r="E1132" s="184"/>
      <c r="F1132" s="184"/>
      <c r="G1132" s="184"/>
      <c r="H1132" s="184"/>
      <c r="I1132" s="184"/>
      <c r="J1132" s="184"/>
      <c r="K1132" s="184"/>
      <c r="L1132" s="184"/>
      <c r="M1132" s="184"/>
      <c r="N1132" s="184"/>
      <c r="O1132" s="184"/>
    </row>
    <row r="1133" customFormat="false" ht="15" hidden="false" customHeight="true" outlineLevel="0" collapsed="false">
      <c r="A1133" s="184"/>
      <c r="B1133" s="184"/>
      <c r="C1133" s="184"/>
      <c r="D1133" s="184"/>
      <c r="E1133" s="184"/>
      <c r="F1133" s="184"/>
      <c r="G1133" s="184"/>
      <c r="H1133" s="184"/>
      <c r="I1133" s="184"/>
      <c r="J1133" s="184"/>
      <c r="K1133" s="184"/>
      <c r="L1133" s="184"/>
      <c r="M1133" s="184"/>
      <c r="N1133" s="184"/>
      <c r="O1133" s="184"/>
    </row>
    <row r="1134" customFormat="false" ht="15" hidden="false" customHeight="true" outlineLevel="0" collapsed="false">
      <c r="A1134" s="184"/>
      <c r="B1134" s="184"/>
      <c r="C1134" s="184"/>
      <c r="D1134" s="184"/>
      <c r="E1134" s="184"/>
      <c r="F1134" s="184"/>
      <c r="G1134" s="184"/>
      <c r="H1134" s="184"/>
      <c r="I1134" s="184"/>
      <c r="J1134" s="184"/>
      <c r="K1134" s="184"/>
      <c r="L1134" s="184"/>
      <c r="M1134" s="184"/>
      <c r="N1134" s="184"/>
      <c r="O1134" s="184"/>
    </row>
    <row r="1135" customFormat="false" ht="15" hidden="false" customHeight="true" outlineLevel="0" collapsed="false">
      <c r="A1135" s="184"/>
      <c r="B1135" s="184"/>
      <c r="C1135" s="184"/>
      <c r="D1135" s="184"/>
      <c r="E1135" s="184"/>
      <c r="F1135" s="184"/>
      <c r="G1135" s="184"/>
      <c r="H1135" s="184"/>
      <c r="I1135" s="184"/>
      <c r="J1135" s="184"/>
      <c r="K1135" s="184"/>
      <c r="L1135" s="184"/>
      <c r="M1135" s="184"/>
      <c r="N1135" s="184"/>
      <c r="O1135" s="184"/>
    </row>
    <row r="1136" customFormat="false" ht="15" hidden="false" customHeight="true" outlineLevel="0" collapsed="false">
      <c r="A1136" s="184"/>
      <c r="B1136" s="184"/>
      <c r="C1136" s="184"/>
      <c r="D1136" s="184"/>
      <c r="E1136" s="184"/>
      <c r="F1136" s="184"/>
      <c r="G1136" s="184"/>
      <c r="H1136" s="184"/>
      <c r="I1136" s="184"/>
      <c r="J1136" s="184"/>
      <c r="K1136" s="184"/>
      <c r="L1136" s="184"/>
      <c r="M1136" s="184"/>
      <c r="N1136" s="184"/>
      <c r="O1136" s="184"/>
    </row>
    <row r="1137" customFormat="false" ht="15" hidden="false" customHeight="true" outlineLevel="0" collapsed="false">
      <c r="A1137" s="184"/>
      <c r="B1137" s="184"/>
      <c r="C1137" s="184"/>
      <c r="D1137" s="184"/>
      <c r="E1137" s="184"/>
      <c r="F1137" s="184"/>
      <c r="G1137" s="184"/>
      <c r="H1137" s="184"/>
      <c r="I1137" s="184"/>
      <c r="J1137" s="184"/>
      <c r="K1137" s="184"/>
      <c r="L1137" s="184"/>
      <c r="M1137" s="184"/>
      <c r="N1137" s="184"/>
      <c r="O1137" s="184"/>
    </row>
    <row r="1138" customFormat="false" ht="15" hidden="false" customHeight="true" outlineLevel="0" collapsed="false">
      <c r="A1138" s="184"/>
      <c r="B1138" s="184"/>
      <c r="C1138" s="184"/>
      <c r="D1138" s="184"/>
      <c r="E1138" s="184"/>
      <c r="F1138" s="184"/>
      <c r="G1138" s="184"/>
      <c r="H1138" s="184"/>
      <c r="I1138" s="184"/>
      <c r="J1138" s="184"/>
      <c r="K1138" s="184"/>
      <c r="L1138" s="184"/>
      <c r="M1138" s="184"/>
      <c r="N1138" s="184"/>
      <c r="O1138" s="184"/>
    </row>
    <row r="1139" customFormat="false" ht="15" hidden="false" customHeight="true" outlineLevel="0" collapsed="false">
      <c r="A1139" s="184"/>
      <c r="B1139" s="184"/>
      <c r="C1139" s="184"/>
      <c r="D1139" s="184"/>
      <c r="E1139" s="184"/>
      <c r="F1139" s="184"/>
      <c r="G1139" s="184"/>
      <c r="H1139" s="184"/>
      <c r="I1139" s="184"/>
      <c r="J1139" s="184"/>
      <c r="K1139" s="184"/>
      <c r="L1139" s="184"/>
      <c r="M1139" s="184"/>
      <c r="N1139" s="184"/>
      <c r="O1139" s="184"/>
    </row>
    <row r="1140" customFormat="false" ht="15" hidden="false" customHeight="true" outlineLevel="0" collapsed="false">
      <c r="A1140" s="184"/>
      <c r="B1140" s="184"/>
      <c r="C1140" s="184"/>
      <c r="D1140" s="184"/>
      <c r="E1140" s="184"/>
      <c r="F1140" s="184"/>
      <c r="G1140" s="184"/>
      <c r="H1140" s="184"/>
      <c r="I1140" s="184"/>
      <c r="J1140" s="184"/>
      <c r="K1140" s="184"/>
      <c r="L1140" s="184"/>
      <c r="M1140" s="184"/>
      <c r="N1140" s="184"/>
      <c r="O1140" s="184"/>
    </row>
    <row r="1141" customFormat="false" ht="15" hidden="false" customHeight="true" outlineLevel="0" collapsed="false">
      <c r="A1141" s="184"/>
      <c r="B1141" s="184"/>
      <c r="C1141" s="184"/>
      <c r="D1141" s="184"/>
      <c r="E1141" s="184"/>
      <c r="F1141" s="184"/>
      <c r="G1141" s="184"/>
      <c r="H1141" s="184"/>
      <c r="I1141" s="184"/>
      <c r="J1141" s="184"/>
      <c r="K1141" s="184"/>
      <c r="L1141" s="184"/>
      <c r="M1141" s="184"/>
      <c r="N1141" s="184"/>
      <c r="O1141" s="184"/>
    </row>
    <row r="1142" customFormat="false" ht="15" hidden="false" customHeight="true" outlineLevel="0" collapsed="false">
      <c r="A1142" s="184"/>
      <c r="B1142" s="184"/>
      <c r="C1142" s="184"/>
      <c r="D1142" s="184"/>
      <c r="E1142" s="184"/>
      <c r="F1142" s="184"/>
      <c r="G1142" s="184"/>
      <c r="H1142" s="184"/>
      <c r="I1142" s="184"/>
      <c r="J1142" s="184"/>
      <c r="K1142" s="184"/>
      <c r="L1142" s="184"/>
      <c r="M1142" s="184"/>
      <c r="N1142" s="184"/>
      <c r="O1142" s="184"/>
    </row>
    <row r="1143" customFormat="false" ht="15" hidden="false" customHeight="true" outlineLevel="0" collapsed="false">
      <c r="A1143" s="184"/>
      <c r="B1143" s="184"/>
      <c r="C1143" s="184"/>
      <c r="D1143" s="184"/>
      <c r="E1143" s="184"/>
      <c r="F1143" s="184"/>
      <c r="G1143" s="184"/>
      <c r="H1143" s="184"/>
      <c r="I1143" s="184"/>
      <c r="J1143" s="184"/>
      <c r="K1143" s="184"/>
      <c r="L1143" s="184"/>
      <c r="M1143" s="184"/>
      <c r="N1143" s="184"/>
      <c r="O1143" s="184"/>
    </row>
    <row r="1144" customFormat="false" ht="15" hidden="false" customHeight="true" outlineLevel="0" collapsed="false">
      <c r="A1144" s="184"/>
      <c r="B1144" s="184"/>
      <c r="C1144" s="184"/>
      <c r="D1144" s="184"/>
      <c r="E1144" s="184"/>
      <c r="F1144" s="184"/>
      <c r="G1144" s="184"/>
      <c r="H1144" s="184"/>
      <c r="I1144" s="184"/>
      <c r="J1144" s="184"/>
      <c r="K1144" s="184"/>
      <c r="L1144" s="184"/>
      <c r="M1144" s="184"/>
      <c r="N1144" s="184"/>
      <c r="O1144" s="184"/>
    </row>
    <row r="1145" customFormat="false" ht="15" hidden="false" customHeight="true" outlineLevel="0" collapsed="false">
      <c r="A1145" s="184"/>
      <c r="B1145" s="184"/>
      <c r="C1145" s="184"/>
      <c r="D1145" s="184"/>
      <c r="E1145" s="184"/>
      <c r="F1145" s="184"/>
      <c r="G1145" s="184"/>
      <c r="H1145" s="184"/>
      <c r="I1145" s="184"/>
      <c r="J1145" s="184"/>
      <c r="K1145" s="184"/>
      <c r="L1145" s="184"/>
      <c r="M1145" s="184"/>
      <c r="N1145" s="184"/>
      <c r="O1145" s="184"/>
    </row>
    <row r="1146" customFormat="false" ht="15" hidden="false" customHeight="true" outlineLevel="0" collapsed="false">
      <c r="A1146" s="184"/>
      <c r="B1146" s="184"/>
      <c r="C1146" s="184"/>
      <c r="D1146" s="184"/>
      <c r="E1146" s="184"/>
      <c r="F1146" s="184"/>
      <c r="G1146" s="184"/>
      <c r="H1146" s="184"/>
      <c r="I1146" s="184"/>
      <c r="J1146" s="184"/>
      <c r="K1146" s="184"/>
      <c r="L1146" s="184"/>
      <c r="M1146" s="184"/>
      <c r="N1146" s="184"/>
      <c r="O1146" s="184"/>
    </row>
    <row r="1147" customFormat="false" ht="15" hidden="false" customHeight="true" outlineLevel="0" collapsed="false">
      <c r="A1147" s="184"/>
      <c r="B1147" s="184"/>
      <c r="C1147" s="184"/>
      <c r="D1147" s="184"/>
      <c r="E1147" s="184"/>
      <c r="F1147" s="184"/>
      <c r="G1147" s="184"/>
      <c r="H1147" s="184"/>
      <c r="I1147" s="184"/>
      <c r="J1147" s="184"/>
      <c r="K1147" s="184"/>
      <c r="L1147" s="184"/>
      <c r="M1147" s="184"/>
      <c r="N1147" s="184"/>
      <c r="O1147" s="184"/>
    </row>
    <row r="1148" customFormat="false" ht="15" hidden="false" customHeight="true" outlineLevel="0" collapsed="false">
      <c r="A1148" s="184"/>
      <c r="B1148" s="184"/>
      <c r="C1148" s="184"/>
      <c r="D1148" s="184"/>
      <c r="E1148" s="184"/>
      <c r="F1148" s="184"/>
      <c r="G1148" s="184"/>
      <c r="H1148" s="184"/>
      <c r="I1148" s="184"/>
      <c r="J1148" s="184"/>
      <c r="K1148" s="184"/>
      <c r="L1148" s="184"/>
      <c r="M1148" s="184"/>
      <c r="N1148" s="184"/>
      <c r="O1148" s="184"/>
    </row>
    <row r="1149" customFormat="false" ht="15" hidden="false" customHeight="true" outlineLevel="0" collapsed="false">
      <c r="A1149" s="184"/>
      <c r="B1149" s="184"/>
      <c r="C1149" s="184"/>
      <c r="D1149" s="184"/>
      <c r="E1149" s="184"/>
      <c r="F1149" s="184"/>
      <c r="G1149" s="184"/>
      <c r="H1149" s="184"/>
      <c r="I1149" s="184"/>
      <c r="J1149" s="184"/>
      <c r="K1149" s="184"/>
      <c r="L1149" s="184"/>
      <c r="M1149" s="184"/>
      <c r="N1149" s="184"/>
      <c r="O1149" s="184"/>
    </row>
    <row r="1150" customFormat="false" ht="15" hidden="false" customHeight="true" outlineLevel="0" collapsed="false">
      <c r="A1150" s="184"/>
      <c r="B1150" s="184"/>
      <c r="C1150" s="184"/>
      <c r="D1150" s="184"/>
      <c r="E1150" s="184"/>
      <c r="F1150" s="184"/>
      <c r="G1150" s="184"/>
      <c r="H1150" s="184"/>
      <c r="I1150" s="184"/>
      <c r="J1150" s="184"/>
      <c r="K1150" s="184"/>
      <c r="L1150" s="184"/>
      <c r="M1150" s="184"/>
      <c r="N1150" s="184"/>
      <c r="O1150" s="184"/>
    </row>
    <row r="1151" customFormat="false" ht="15" hidden="false" customHeight="true" outlineLevel="0" collapsed="false">
      <c r="A1151" s="184"/>
      <c r="B1151" s="184"/>
      <c r="C1151" s="184"/>
      <c r="D1151" s="184"/>
      <c r="E1151" s="184"/>
      <c r="F1151" s="184"/>
      <c r="G1151" s="184"/>
      <c r="H1151" s="184"/>
      <c r="I1151" s="184"/>
      <c r="J1151" s="184"/>
      <c r="K1151" s="184"/>
      <c r="L1151" s="184"/>
      <c r="M1151" s="184"/>
      <c r="N1151" s="184"/>
      <c r="O1151" s="184"/>
    </row>
    <row r="1152" customFormat="false" ht="15" hidden="false" customHeight="true" outlineLevel="0" collapsed="false">
      <c r="A1152" s="184"/>
      <c r="B1152" s="184"/>
      <c r="C1152" s="184"/>
      <c r="D1152" s="184"/>
      <c r="E1152" s="184"/>
      <c r="F1152" s="184"/>
      <c r="G1152" s="184"/>
      <c r="H1152" s="184"/>
      <c r="I1152" s="184"/>
      <c r="J1152" s="184"/>
      <c r="K1152" s="184"/>
      <c r="L1152" s="184"/>
      <c r="M1152" s="184"/>
      <c r="N1152" s="184"/>
      <c r="O1152" s="184"/>
    </row>
    <row r="1153" customFormat="false" ht="15" hidden="false" customHeight="true" outlineLevel="0" collapsed="false">
      <c r="A1153" s="184"/>
      <c r="B1153" s="184"/>
      <c r="C1153" s="184"/>
      <c r="D1153" s="184"/>
      <c r="E1153" s="184"/>
      <c r="F1153" s="184"/>
      <c r="G1153" s="184"/>
      <c r="H1153" s="184"/>
      <c r="I1153" s="184"/>
      <c r="J1153" s="184"/>
      <c r="K1153" s="184"/>
      <c r="L1153" s="184"/>
      <c r="M1153" s="184"/>
      <c r="N1153" s="184"/>
      <c r="O1153" s="184"/>
    </row>
    <row r="1154" customFormat="false" ht="15" hidden="false" customHeight="true" outlineLevel="0" collapsed="false">
      <c r="A1154" s="184"/>
      <c r="B1154" s="184"/>
      <c r="C1154" s="184"/>
      <c r="D1154" s="184"/>
      <c r="E1154" s="184"/>
      <c r="F1154" s="184"/>
      <c r="G1154" s="184"/>
      <c r="H1154" s="184"/>
      <c r="I1154" s="184"/>
      <c r="J1154" s="184"/>
      <c r="K1154" s="184"/>
      <c r="L1154" s="184"/>
      <c r="M1154" s="184"/>
      <c r="N1154" s="184"/>
      <c r="O1154" s="184"/>
    </row>
    <row r="1155" customFormat="false" ht="15" hidden="false" customHeight="true" outlineLevel="0" collapsed="false">
      <c r="A1155" s="184"/>
      <c r="B1155" s="184"/>
      <c r="C1155" s="184"/>
      <c r="D1155" s="184"/>
      <c r="E1155" s="184"/>
      <c r="F1155" s="184"/>
      <c r="G1155" s="184"/>
      <c r="H1155" s="184"/>
      <c r="I1155" s="184"/>
      <c r="J1155" s="184"/>
      <c r="K1155" s="184"/>
      <c r="L1155" s="184"/>
      <c r="M1155" s="184"/>
      <c r="N1155" s="184"/>
      <c r="O1155" s="184"/>
    </row>
    <row r="1156" customFormat="false" ht="15" hidden="false" customHeight="true" outlineLevel="0" collapsed="false">
      <c r="A1156" s="184"/>
      <c r="B1156" s="184"/>
      <c r="C1156" s="184"/>
      <c r="D1156" s="184"/>
      <c r="E1156" s="184"/>
      <c r="F1156" s="184"/>
      <c r="G1156" s="184"/>
      <c r="H1156" s="184"/>
      <c r="I1156" s="184"/>
      <c r="J1156" s="184"/>
      <c r="K1156" s="184"/>
      <c r="L1156" s="184"/>
      <c r="M1156" s="184"/>
      <c r="N1156" s="184"/>
      <c r="O1156" s="184"/>
    </row>
    <row r="1157" customFormat="false" ht="15" hidden="false" customHeight="true" outlineLevel="0" collapsed="false">
      <c r="A1157" s="184"/>
      <c r="B1157" s="184"/>
      <c r="C1157" s="184"/>
      <c r="D1157" s="184"/>
      <c r="E1157" s="184"/>
      <c r="F1157" s="184"/>
      <c r="G1157" s="184"/>
      <c r="H1157" s="184"/>
      <c r="I1157" s="184"/>
      <c r="J1157" s="184"/>
      <c r="K1157" s="184"/>
      <c r="L1157" s="184"/>
      <c r="M1157" s="184"/>
      <c r="N1157" s="184"/>
      <c r="O1157" s="184"/>
    </row>
    <row r="1158" customFormat="false" ht="15" hidden="false" customHeight="true" outlineLevel="0" collapsed="false">
      <c r="A1158" s="184"/>
      <c r="B1158" s="184"/>
      <c r="C1158" s="184"/>
      <c r="D1158" s="184"/>
      <c r="E1158" s="184"/>
      <c r="F1158" s="184"/>
      <c r="G1158" s="184"/>
      <c r="H1158" s="184"/>
      <c r="I1158" s="184"/>
      <c r="J1158" s="184"/>
      <c r="K1158" s="184"/>
      <c r="L1158" s="184"/>
      <c r="M1158" s="184"/>
      <c r="N1158" s="184"/>
      <c r="O1158" s="184"/>
    </row>
    <row r="1159" customFormat="false" ht="15" hidden="false" customHeight="true" outlineLevel="0" collapsed="false">
      <c r="A1159" s="184"/>
      <c r="B1159" s="184"/>
      <c r="C1159" s="184"/>
      <c r="D1159" s="184"/>
      <c r="E1159" s="184"/>
      <c r="F1159" s="184"/>
      <c r="G1159" s="184"/>
      <c r="H1159" s="184"/>
      <c r="I1159" s="184"/>
      <c r="J1159" s="184"/>
      <c r="K1159" s="184"/>
      <c r="L1159" s="184"/>
      <c r="M1159" s="184"/>
      <c r="N1159" s="184"/>
      <c r="O1159" s="184"/>
    </row>
    <row r="1160" customFormat="false" ht="41.25" hidden="false" customHeight="true" outlineLevel="0" collapsed="false">
      <c r="A1160" s="184" t="s">
        <v>6658</v>
      </c>
      <c r="B1160" s="184" t="s">
        <v>4907</v>
      </c>
      <c r="C1160" s="184" t="n">
        <v>1</v>
      </c>
      <c r="D1160" s="178" t="s">
        <v>5269</v>
      </c>
      <c r="E1160" s="184" t="s">
        <v>6289</v>
      </c>
      <c r="F1160" s="184"/>
      <c r="G1160" s="184"/>
      <c r="H1160" s="184"/>
      <c r="I1160" s="184"/>
      <c r="J1160" s="184"/>
      <c r="K1160" s="184"/>
      <c r="L1160" s="184"/>
      <c r="M1160" s="184" t="s">
        <v>6659</v>
      </c>
      <c r="N1160" s="184"/>
      <c r="O1160" s="184"/>
    </row>
    <row r="1161" customFormat="false" ht="41.25" hidden="false" customHeight="true" outlineLevel="0" collapsed="false">
      <c r="A1161" s="184" t="s">
        <v>6658</v>
      </c>
      <c r="B1161" s="184" t="s">
        <v>4907</v>
      </c>
      <c r="C1161" s="184" t="n">
        <v>2</v>
      </c>
      <c r="D1161" s="177" t="s">
        <v>6429</v>
      </c>
      <c r="E1161" s="184" t="s">
        <v>6677</v>
      </c>
      <c r="F1161" s="184"/>
      <c r="G1161" s="184"/>
      <c r="H1161" s="184"/>
      <c r="I1161" s="184"/>
      <c r="J1161" s="184"/>
      <c r="K1161" s="184"/>
      <c r="L1161" s="184"/>
      <c r="M1161" s="184"/>
      <c r="N1161" s="184"/>
      <c r="O1161" s="184"/>
    </row>
    <row r="1162" customFormat="false" ht="41.25" hidden="false" customHeight="true" outlineLevel="0" collapsed="false">
      <c r="A1162" s="184" t="s">
        <v>6658</v>
      </c>
      <c r="B1162" s="184" t="s">
        <v>4907</v>
      </c>
      <c r="C1162" s="184" t="n">
        <v>3</v>
      </c>
      <c r="D1162" s="179" t="s">
        <v>6292</v>
      </c>
      <c r="E1162" s="184" t="s">
        <v>6678</v>
      </c>
      <c r="F1162" s="184"/>
      <c r="G1162" s="184"/>
      <c r="H1162" s="184"/>
      <c r="I1162" s="184"/>
      <c r="J1162" s="184"/>
      <c r="K1162" s="184"/>
      <c r="L1162" s="184"/>
      <c r="M1162" s="184"/>
      <c r="N1162" s="184"/>
      <c r="O1162" s="184"/>
    </row>
    <row r="1163" customFormat="false" ht="41.25" hidden="false" customHeight="true" outlineLevel="0" collapsed="false">
      <c r="A1163" s="184" t="s">
        <v>6658</v>
      </c>
      <c r="B1163" s="184" t="s">
        <v>4907</v>
      </c>
      <c r="C1163" s="184" t="n">
        <v>4</v>
      </c>
      <c r="D1163" s="184" t="s">
        <v>6294</v>
      </c>
      <c r="E1163" s="184" t="s">
        <v>6679</v>
      </c>
      <c r="F1163" s="184"/>
      <c r="G1163" s="184"/>
      <c r="H1163" s="184"/>
      <c r="I1163" s="184"/>
      <c r="J1163" s="184"/>
      <c r="K1163" s="184"/>
      <c r="L1163" s="184"/>
      <c r="M1163" s="184"/>
      <c r="N1163" s="184"/>
      <c r="O1163" s="184"/>
    </row>
    <row r="1164" customFormat="false" ht="41.25" hidden="false" customHeight="true" outlineLevel="0" collapsed="false">
      <c r="A1164" s="184" t="s">
        <v>6658</v>
      </c>
      <c r="B1164" s="184" t="s">
        <v>4907</v>
      </c>
      <c r="C1164" s="184" t="n">
        <v>5</v>
      </c>
      <c r="D1164" s="174" t="s">
        <v>4848</v>
      </c>
      <c r="E1164" s="184" t="s">
        <v>6680</v>
      </c>
      <c r="F1164" s="184"/>
      <c r="G1164" s="184"/>
      <c r="H1164" s="184"/>
      <c r="I1164" s="184"/>
      <c r="J1164" s="184" t="s">
        <v>6681</v>
      </c>
      <c r="K1164" s="184"/>
      <c r="L1164" s="184" t="s">
        <v>6682</v>
      </c>
      <c r="M1164" s="184"/>
      <c r="N1164" s="184"/>
      <c r="O1164" s="184"/>
    </row>
    <row r="1165" customFormat="false" ht="41.25" hidden="false" customHeight="true" outlineLevel="0" collapsed="false">
      <c r="A1165" s="184" t="s">
        <v>6658</v>
      </c>
      <c r="B1165" s="184" t="s">
        <v>4907</v>
      </c>
      <c r="C1165" s="184" t="n">
        <v>6</v>
      </c>
      <c r="D1165" s="177" t="s">
        <v>6298</v>
      </c>
      <c r="E1165" s="184" t="s">
        <v>6683</v>
      </c>
      <c r="F1165" s="184"/>
      <c r="G1165" s="184"/>
      <c r="H1165" s="184"/>
      <c r="I1165" s="184"/>
      <c r="J1165" s="184"/>
      <c r="K1165" s="184"/>
      <c r="L1165" s="184"/>
      <c r="M1165" s="184"/>
      <c r="N1165" s="184"/>
      <c r="O1165" s="184"/>
    </row>
    <row r="1166" customFormat="false" ht="41.25" hidden="false" customHeight="true" outlineLevel="0" collapsed="false">
      <c r="A1166" s="184" t="s">
        <v>6658</v>
      </c>
      <c r="B1166" s="184" t="s">
        <v>4907</v>
      </c>
      <c r="C1166" s="184" t="n">
        <v>7</v>
      </c>
      <c r="D1166" s="184" t="s">
        <v>6296</v>
      </c>
      <c r="E1166" s="184" t="s">
        <v>6684</v>
      </c>
      <c r="F1166" s="184"/>
      <c r="G1166" s="184"/>
      <c r="H1166" s="184"/>
      <c r="I1166" s="184"/>
      <c r="J1166" s="184"/>
      <c r="K1166" s="184"/>
      <c r="L1166" s="184"/>
      <c r="M1166" s="184"/>
      <c r="N1166" s="184"/>
      <c r="O1166" s="184"/>
    </row>
    <row r="1167" customFormat="false" ht="41.25" hidden="false" customHeight="true" outlineLevel="0" collapsed="false">
      <c r="A1167" s="184" t="s">
        <v>6658</v>
      </c>
      <c r="B1167" s="184" t="s">
        <v>4907</v>
      </c>
      <c r="C1167" s="184" t="n">
        <v>8</v>
      </c>
      <c r="D1167" s="177" t="s">
        <v>6298</v>
      </c>
      <c r="E1167" s="184" t="s">
        <v>6685</v>
      </c>
      <c r="F1167" s="184"/>
      <c r="G1167" s="184"/>
      <c r="H1167" s="184"/>
      <c r="I1167" s="184"/>
      <c r="J1167" s="184"/>
      <c r="K1167" s="184"/>
      <c r="L1167" s="184"/>
      <c r="M1167" s="184"/>
      <c r="N1167" s="184"/>
      <c r="O1167" s="184"/>
    </row>
    <row r="1168" customFormat="false" ht="41.25" hidden="false" customHeight="true" outlineLevel="0" collapsed="false">
      <c r="A1168" s="184" t="s">
        <v>6658</v>
      </c>
      <c r="B1168" s="184" t="s">
        <v>4907</v>
      </c>
      <c r="C1168" s="184" t="n">
        <v>9</v>
      </c>
      <c r="D1168" s="178" t="s">
        <v>6457</v>
      </c>
      <c r="E1168" s="184" t="s">
        <v>6686</v>
      </c>
      <c r="F1168" s="184"/>
      <c r="G1168" s="184"/>
      <c r="H1168" s="184"/>
      <c r="I1168" s="184"/>
      <c r="J1168" s="184"/>
      <c r="K1168" s="184"/>
      <c r="L1168" s="184"/>
      <c r="M1168" s="184" t="s">
        <v>6687</v>
      </c>
      <c r="N1168" s="184"/>
      <c r="O1168" s="184"/>
    </row>
    <row r="1169" customFormat="false" ht="41.25" hidden="false" customHeight="true" outlineLevel="0" collapsed="false">
      <c r="A1169" s="184" t="s">
        <v>6658</v>
      </c>
      <c r="B1169" s="184" t="s">
        <v>4907</v>
      </c>
      <c r="C1169" s="184" t="n">
        <v>10</v>
      </c>
      <c r="D1169" s="178" t="s">
        <v>6457</v>
      </c>
      <c r="E1169" s="184" t="s">
        <v>6688</v>
      </c>
      <c r="F1169" s="184"/>
      <c r="G1169" s="184"/>
      <c r="H1169" s="184"/>
      <c r="I1169" s="184"/>
      <c r="J1169" s="184"/>
      <c r="K1169" s="184"/>
      <c r="L1169" s="184"/>
      <c r="M1169" s="184" t="s">
        <v>6689</v>
      </c>
      <c r="N1169" s="184"/>
      <c r="O1169" s="184"/>
    </row>
    <row r="1170" customFormat="false" ht="81.75" hidden="false" customHeight="true" outlineLevel="0" collapsed="false">
      <c r="A1170" s="184" t="s">
        <v>6658</v>
      </c>
      <c r="B1170" s="184" t="s">
        <v>4907</v>
      </c>
      <c r="C1170" s="184" t="n">
        <v>11</v>
      </c>
      <c r="D1170" s="174" t="s">
        <v>4848</v>
      </c>
      <c r="E1170" s="184" t="s">
        <v>2727</v>
      </c>
      <c r="F1170" s="184"/>
      <c r="G1170" s="184"/>
      <c r="H1170" s="184"/>
      <c r="I1170" s="184"/>
      <c r="J1170" s="184" t="s">
        <v>1325</v>
      </c>
      <c r="K1170" s="184" t="s">
        <v>6690</v>
      </c>
      <c r="L1170" s="184" t="s">
        <v>6691</v>
      </c>
      <c r="M1170" s="184"/>
      <c r="N1170" s="184" t="s">
        <v>6692</v>
      </c>
      <c r="O1170" s="184"/>
    </row>
    <row r="1171" customFormat="false" ht="81.75" hidden="false" customHeight="true" outlineLevel="0" collapsed="false">
      <c r="A1171" s="184" t="s">
        <v>6658</v>
      </c>
      <c r="B1171" s="184" t="s">
        <v>4907</v>
      </c>
      <c r="C1171" s="184" t="n">
        <v>12</v>
      </c>
      <c r="D1171" s="174" t="s">
        <v>4846</v>
      </c>
      <c r="E1171" s="184" t="s">
        <v>226</v>
      </c>
      <c r="F1171" s="184" t="s">
        <v>227</v>
      </c>
      <c r="G1171" s="184"/>
      <c r="H1171" s="184"/>
      <c r="I1171" s="184"/>
      <c r="J1171" s="184" t="s">
        <v>6693</v>
      </c>
      <c r="K1171" s="184" t="s">
        <v>6694</v>
      </c>
      <c r="L1171" s="184"/>
      <c r="M1171" s="184" t="s">
        <v>6695</v>
      </c>
      <c r="N1171" s="184" t="s">
        <v>6696</v>
      </c>
      <c r="O1171" s="184"/>
    </row>
    <row r="1172" customFormat="false" ht="68.25" hidden="false" customHeight="true" outlineLevel="0" collapsed="false">
      <c r="A1172" s="184" t="s">
        <v>6658</v>
      </c>
      <c r="B1172" s="184" t="s">
        <v>4907</v>
      </c>
      <c r="C1172" s="184" t="n">
        <v>13</v>
      </c>
      <c r="D1172" s="174" t="s">
        <v>4846</v>
      </c>
      <c r="E1172" s="184" t="s">
        <v>229</v>
      </c>
      <c r="F1172" s="184" t="s">
        <v>227</v>
      </c>
      <c r="G1172" s="184"/>
      <c r="H1172" s="184"/>
      <c r="I1172" s="184"/>
      <c r="J1172" s="184" t="s">
        <v>6448</v>
      </c>
      <c r="K1172" s="184" t="s">
        <v>6672</v>
      </c>
      <c r="L1172" s="184"/>
      <c r="M1172" s="184"/>
      <c r="N1172" s="184" t="s">
        <v>6697</v>
      </c>
      <c r="O1172" s="184"/>
    </row>
    <row r="1173" customFormat="false" ht="81.75" hidden="false" customHeight="true" outlineLevel="0" collapsed="false">
      <c r="A1173" s="184" t="s">
        <v>6658</v>
      </c>
      <c r="B1173" s="184" t="s">
        <v>4907</v>
      </c>
      <c r="C1173" s="184" t="n">
        <v>14</v>
      </c>
      <c r="D1173" s="174" t="s">
        <v>4846</v>
      </c>
      <c r="E1173" s="184" t="s">
        <v>1330</v>
      </c>
      <c r="F1173" s="184" t="s">
        <v>227</v>
      </c>
      <c r="G1173" s="184"/>
      <c r="H1173" s="184"/>
      <c r="I1173" s="184"/>
      <c r="J1173" s="184" t="s">
        <v>6496</v>
      </c>
      <c r="K1173" s="184" t="s">
        <v>6672</v>
      </c>
      <c r="L1173" s="184"/>
      <c r="M1173" s="184" t="s">
        <v>6698</v>
      </c>
      <c r="N1173" s="184" t="s">
        <v>6699</v>
      </c>
      <c r="O1173" s="184"/>
    </row>
    <row r="1174" customFormat="false" ht="81.75" hidden="false" customHeight="true" outlineLevel="0" collapsed="false">
      <c r="A1174" s="184" t="s">
        <v>6658</v>
      </c>
      <c r="B1174" s="184" t="s">
        <v>4907</v>
      </c>
      <c r="C1174" s="184" t="n">
        <v>15</v>
      </c>
      <c r="D1174" s="174" t="s">
        <v>4846</v>
      </c>
      <c r="E1174" s="184" t="s">
        <v>2732</v>
      </c>
      <c r="F1174" s="184" t="s">
        <v>227</v>
      </c>
      <c r="G1174" s="184"/>
      <c r="H1174" s="184"/>
      <c r="I1174" s="184"/>
      <c r="J1174" s="184" t="s">
        <v>6700</v>
      </c>
      <c r="K1174" s="184" t="s">
        <v>6672</v>
      </c>
      <c r="L1174" s="184"/>
      <c r="M1174" s="184" t="s">
        <v>6701</v>
      </c>
      <c r="N1174" s="184" t="s">
        <v>6702</v>
      </c>
      <c r="O1174" s="184"/>
    </row>
    <row r="1175" customFormat="false" ht="68.25" hidden="false" customHeight="true" outlineLevel="0" collapsed="false">
      <c r="A1175" s="184" t="s">
        <v>6658</v>
      </c>
      <c r="B1175" s="184" t="s">
        <v>4907</v>
      </c>
      <c r="C1175" s="184" t="n">
        <v>16</v>
      </c>
      <c r="D1175" s="174" t="s">
        <v>4846</v>
      </c>
      <c r="E1175" s="184" t="s">
        <v>1334</v>
      </c>
      <c r="F1175" s="184" t="s">
        <v>227</v>
      </c>
      <c r="G1175" s="184"/>
      <c r="H1175" s="184"/>
      <c r="I1175" s="184"/>
      <c r="J1175" s="184" t="s">
        <v>6703</v>
      </c>
      <c r="K1175" s="184" t="s">
        <v>6704</v>
      </c>
      <c r="L1175" s="184"/>
      <c r="M1175" s="184" t="s">
        <v>6705</v>
      </c>
      <c r="N1175" s="184" t="s">
        <v>6706</v>
      </c>
      <c r="O1175" s="184"/>
    </row>
    <row r="1176" customFormat="false" ht="41.25" hidden="false" customHeight="true" outlineLevel="0" collapsed="false">
      <c r="A1176" s="184" t="s">
        <v>6658</v>
      </c>
      <c r="B1176" s="184" t="s">
        <v>4907</v>
      </c>
      <c r="C1176" s="184" t="n">
        <v>17</v>
      </c>
      <c r="D1176" s="178" t="s">
        <v>5269</v>
      </c>
      <c r="E1176" s="184" t="s">
        <v>6675</v>
      </c>
      <c r="F1176" s="184"/>
      <c r="G1176" s="184"/>
      <c r="H1176" s="184"/>
      <c r="I1176" s="184"/>
      <c r="J1176" s="184"/>
      <c r="K1176" s="184"/>
      <c r="L1176" s="184"/>
      <c r="M1176" s="184" t="s">
        <v>6676</v>
      </c>
      <c r="N1176" s="184"/>
      <c r="O1176" s="184"/>
    </row>
    <row r="1177" customFormat="false" ht="15" hidden="false" customHeight="true" outlineLevel="0" collapsed="false">
      <c r="A1177" s="184"/>
      <c r="B1177" s="184"/>
      <c r="C1177" s="184"/>
      <c r="D1177" s="184"/>
      <c r="E1177" s="184"/>
      <c r="F1177" s="184"/>
      <c r="G1177" s="184"/>
      <c r="H1177" s="184"/>
      <c r="I1177" s="184"/>
      <c r="J1177" s="184"/>
      <c r="K1177" s="184"/>
      <c r="L1177" s="184"/>
      <c r="M1177" s="184"/>
      <c r="N1177" s="184"/>
      <c r="O1177" s="184"/>
    </row>
    <row r="1178" customFormat="false" ht="15" hidden="false" customHeight="true" outlineLevel="0" collapsed="false">
      <c r="A1178" s="184"/>
      <c r="B1178" s="184"/>
      <c r="C1178" s="184"/>
      <c r="D1178" s="184"/>
      <c r="E1178" s="184"/>
      <c r="F1178" s="184"/>
      <c r="G1178" s="184"/>
      <c r="H1178" s="184"/>
      <c r="I1178" s="184"/>
      <c r="J1178" s="184"/>
      <c r="K1178" s="184"/>
      <c r="L1178" s="184"/>
      <c r="M1178" s="184"/>
      <c r="N1178" s="184"/>
      <c r="O1178" s="184"/>
    </row>
    <row r="1179" customFormat="false" ht="15" hidden="false" customHeight="true" outlineLevel="0" collapsed="false">
      <c r="A1179" s="184"/>
      <c r="B1179" s="184"/>
      <c r="C1179" s="184"/>
      <c r="D1179" s="184"/>
      <c r="E1179" s="184"/>
      <c r="F1179" s="184"/>
      <c r="G1179" s="184"/>
      <c r="H1179" s="184"/>
      <c r="I1179" s="184"/>
      <c r="J1179" s="184"/>
      <c r="K1179" s="184"/>
      <c r="L1179" s="184"/>
      <c r="M1179" s="184"/>
      <c r="N1179" s="184"/>
      <c r="O1179" s="184"/>
    </row>
    <row r="1180" customFormat="false" ht="15" hidden="false" customHeight="true" outlineLevel="0" collapsed="false">
      <c r="A1180" s="184"/>
      <c r="B1180" s="184"/>
      <c r="C1180" s="184"/>
      <c r="D1180" s="184"/>
      <c r="E1180" s="184"/>
      <c r="F1180" s="184"/>
      <c r="G1180" s="184"/>
      <c r="H1180" s="184"/>
      <c r="I1180" s="184"/>
      <c r="J1180" s="184"/>
      <c r="K1180" s="184"/>
      <c r="L1180" s="184"/>
      <c r="M1180" s="184"/>
      <c r="N1180" s="184"/>
      <c r="O1180" s="184"/>
    </row>
    <row r="1181" customFormat="false" ht="15" hidden="false" customHeight="true" outlineLevel="0" collapsed="false">
      <c r="A1181" s="184"/>
      <c r="B1181" s="184"/>
      <c r="C1181" s="184"/>
      <c r="D1181" s="184"/>
      <c r="E1181" s="184"/>
      <c r="F1181" s="184"/>
      <c r="G1181" s="184"/>
      <c r="H1181" s="184"/>
      <c r="I1181" s="184"/>
      <c r="J1181" s="184"/>
      <c r="K1181" s="184"/>
      <c r="L1181" s="184"/>
      <c r="M1181" s="184"/>
      <c r="N1181" s="184"/>
      <c r="O1181" s="184"/>
    </row>
    <row r="1182" customFormat="false" ht="15" hidden="false" customHeight="true" outlineLevel="0" collapsed="false">
      <c r="A1182" s="184"/>
      <c r="B1182" s="184"/>
      <c r="C1182" s="184"/>
      <c r="D1182" s="184"/>
      <c r="E1182" s="184"/>
      <c r="F1182" s="184"/>
      <c r="G1182" s="184"/>
      <c r="H1182" s="184"/>
      <c r="I1182" s="184"/>
      <c r="J1182" s="184"/>
      <c r="K1182" s="184"/>
      <c r="L1182" s="184"/>
      <c r="M1182" s="184"/>
      <c r="N1182" s="184"/>
      <c r="O1182" s="184"/>
    </row>
    <row r="1183" customFormat="false" ht="15" hidden="false" customHeight="true" outlineLevel="0" collapsed="false">
      <c r="A1183" s="184"/>
      <c r="B1183" s="184"/>
      <c r="C1183" s="184"/>
      <c r="D1183" s="184"/>
      <c r="E1183" s="184"/>
      <c r="F1183" s="184"/>
      <c r="G1183" s="184"/>
      <c r="H1183" s="184"/>
      <c r="I1183" s="184"/>
      <c r="J1183" s="184"/>
      <c r="K1183" s="184"/>
      <c r="L1183" s="184"/>
      <c r="M1183" s="184"/>
      <c r="N1183" s="184"/>
      <c r="O1183" s="184"/>
    </row>
    <row r="1184" customFormat="false" ht="15" hidden="false" customHeight="true" outlineLevel="0" collapsed="false">
      <c r="A1184" s="184"/>
      <c r="B1184" s="184"/>
      <c r="C1184" s="184"/>
      <c r="D1184" s="184"/>
      <c r="E1184" s="184"/>
      <c r="F1184" s="184"/>
      <c r="G1184" s="184"/>
      <c r="H1184" s="184"/>
      <c r="I1184" s="184"/>
      <c r="J1184" s="184"/>
      <c r="K1184" s="184"/>
      <c r="L1184" s="184"/>
      <c r="M1184" s="184"/>
      <c r="N1184" s="184"/>
      <c r="O1184" s="184"/>
    </row>
    <row r="1185" customFormat="false" ht="15" hidden="false" customHeight="true" outlineLevel="0" collapsed="false">
      <c r="A1185" s="184"/>
      <c r="B1185" s="184"/>
      <c r="C1185" s="184"/>
      <c r="D1185" s="184"/>
      <c r="E1185" s="184"/>
      <c r="F1185" s="184"/>
      <c r="G1185" s="184"/>
      <c r="H1185" s="184"/>
      <c r="I1185" s="184"/>
      <c r="J1185" s="184"/>
      <c r="K1185" s="184"/>
      <c r="L1185" s="184"/>
      <c r="M1185" s="184"/>
      <c r="N1185" s="184"/>
      <c r="O1185" s="184"/>
    </row>
    <row r="1186" customFormat="false" ht="15" hidden="false" customHeight="true" outlineLevel="0" collapsed="false">
      <c r="A1186" s="184"/>
      <c r="B1186" s="184"/>
      <c r="C1186" s="184"/>
      <c r="D1186" s="184"/>
      <c r="E1186" s="184"/>
      <c r="F1186" s="184"/>
      <c r="G1186" s="184"/>
      <c r="H1186" s="184"/>
      <c r="I1186" s="184"/>
      <c r="J1186" s="184"/>
      <c r="K1186" s="184"/>
      <c r="L1186" s="184"/>
      <c r="M1186" s="184"/>
      <c r="N1186" s="184"/>
      <c r="O1186" s="184"/>
    </row>
    <row r="1187" customFormat="false" ht="15" hidden="false" customHeight="true" outlineLevel="0" collapsed="false">
      <c r="A1187" s="184"/>
      <c r="B1187" s="184"/>
      <c r="C1187" s="184"/>
      <c r="D1187" s="184"/>
      <c r="E1187" s="184"/>
      <c r="F1187" s="184"/>
      <c r="G1187" s="184"/>
      <c r="H1187" s="184"/>
      <c r="I1187" s="184"/>
      <c r="J1187" s="184"/>
      <c r="K1187" s="184"/>
      <c r="L1187" s="184"/>
      <c r="M1187" s="184"/>
      <c r="N1187" s="184"/>
      <c r="O1187" s="184"/>
    </row>
    <row r="1188" customFormat="false" ht="15" hidden="false" customHeight="true" outlineLevel="0" collapsed="false">
      <c r="A1188" s="184"/>
      <c r="B1188" s="184"/>
      <c r="C1188" s="184"/>
      <c r="D1188" s="184"/>
      <c r="E1188" s="184"/>
      <c r="F1188" s="184"/>
      <c r="G1188" s="184"/>
      <c r="H1188" s="184"/>
      <c r="I1188" s="184"/>
      <c r="J1188" s="184"/>
      <c r="K1188" s="184"/>
      <c r="L1188" s="184"/>
      <c r="M1188" s="184"/>
      <c r="N1188" s="184"/>
      <c r="O1188" s="184"/>
    </row>
    <row r="1189" customFormat="false" ht="15" hidden="false" customHeight="true" outlineLevel="0" collapsed="false">
      <c r="A1189" s="184"/>
      <c r="B1189" s="184"/>
      <c r="C1189" s="184"/>
      <c r="D1189" s="184"/>
      <c r="E1189" s="184"/>
      <c r="F1189" s="184"/>
      <c r="G1189" s="184"/>
      <c r="H1189" s="184"/>
      <c r="I1189" s="184"/>
      <c r="J1189" s="184"/>
      <c r="K1189" s="184"/>
      <c r="L1189" s="184"/>
      <c r="M1189" s="184"/>
      <c r="N1189" s="184"/>
      <c r="O1189" s="184"/>
    </row>
    <row r="1190" customFormat="false" ht="15" hidden="false" customHeight="true" outlineLevel="0" collapsed="false">
      <c r="A1190" s="184"/>
      <c r="B1190" s="184"/>
      <c r="C1190" s="184"/>
      <c r="D1190" s="184"/>
      <c r="E1190" s="184"/>
      <c r="F1190" s="184"/>
      <c r="G1190" s="184"/>
      <c r="H1190" s="184"/>
      <c r="I1190" s="184"/>
      <c r="J1190" s="184"/>
      <c r="K1190" s="184"/>
      <c r="L1190" s="184"/>
      <c r="M1190" s="184"/>
      <c r="N1190" s="184"/>
      <c r="O1190" s="184"/>
    </row>
    <row r="1191" customFormat="false" ht="15" hidden="false" customHeight="true" outlineLevel="0" collapsed="false">
      <c r="A1191" s="184"/>
      <c r="B1191" s="184"/>
      <c r="C1191" s="184"/>
      <c r="D1191" s="184"/>
      <c r="E1191" s="184"/>
      <c r="F1191" s="184"/>
      <c r="G1191" s="184"/>
      <c r="H1191" s="184"/>
      <c r="I1191" s="184"/>
      <c r="J1191" s="184"/>
      <c r="K1191" s="184"/>
      <c r="L1191" s="184"/>
      <c r="M1191" s="184"/>
      <c r="N1191" s="184"/>
      <c r="O1191" s="184"/>
    </row>
    <row r="1192" customFormat="false" ht="15" hidden="false" customHeight="true" outlineLevel="0" collapsed="false">
      <c r="A1192" s="184"/>
      <c r="B1192" s="184"/>
      <c r="C1192" s="184"/>
      <c r="D1192" s="184"/>
      <c r="E1192" s="184"/>
      <c r="F1192" s="184"/>
      <c r="G1192" s="184"/>
      <c r="H1192" s="184"/>
      <c r="I1192" s="184"/>
      <c r="J1192" s="184"/>
      <c r="K1192" s="184"/>
      <c r="L1192" s="184"/>
      <c r="M1192" s="184"/>
      <c r="N1192" s="184"/>
      <c r="O1192" s="184"/>
    </row>
    <row r="1193" customFormat="false" ht="15" hidden="false" customHeight="true" outlineLevel="0" collapsed="false">
      <c r="A1193" s="184"/>
      <c r="B1193" s="184"/>
      <c r="C1193" s="184"/>
      <c r="D1193" s="184"/>
      <c r="E1193" s="184"/>
      <c r="F1193" s="184"/>
      <c r="G1193" s="184"/>
      <c r="H1193" s="184"/>
      <c r="I1193" s="184"/>
      <c r="J1193" s="184"/>
      <c r="K1193" s="184"/>
      <c r="L1193" s="184"/>
      <c r="M1193" s="184"/>
      <c r="N1193" s="184"/>
      <c r="O1193" s="184"/>
    </row>
    <row r="1194" customFormat="false" ht="15" hidden="false" customHeight="true" outlineLevel="0" collapsed="false">
      <c r="A1194" s="184"/>
      <c r="B1194" s="184"/>
      <c r="C1194" s="184"/>
      <c r="D1194" s="184"/>
      <c r="E1194" s="184"/>
      <c r="F1194" s="184"/>
      <c r="G1194" s="184"/>
      <c r="H1194" s="184"/>
      <c r="I1194" s="184"/>
      <c r="J1194" s="184"/>
      <c r="K1194" s="184"/>
      <c r="L1194" s="184"/>
      <c r="M1194" s="184"/>
      <c r="N1194" s="184"/>
      <c r="O1194" s="184"/>
    </row>
    <row r="1195" customFormat="false" ht="15" hidden="false" customHeight="true" outlineLevel="0" collapsed="false">
      <c r="A1195" s="184"/>
      <c r="B1195" s="184"/>
      <c r="C1195" s="184"/>
      <c r="D1195" s="184"/>
      <c r="E1195" s="184"/>
      <c r="F1195" s="184"/>
      <c r="G1195" s="184"/>
      <c r="H1195" s="184"/>
      <c r="I1195" s="184"/>
      <c r="J1195" s="184"/>
      <c r="K1195" s="184"/>
      <c r="L1195" s="184"/>
      <c r="M1195" s="184"/>
      <c r="N1195" s="184"/>
      <c r="O1195" s="184"/>
    </row>
    <row r="1196" customFormat="false" ht="15" hidden="false" customHeight="true" outlineLevel="0" collapsed="false">
      <c r="A1196" s="184"/>
      <c r="B1196" s="184"/>
      <c r="C1196" s="184"/>
      <c r="D1196" s="184"/>
      <c r="E1196" s="184"/>
      <c r="F1196" s="184"/>
      <c r="G1196" s="184"/>
      <c r="H1196" s="184"/>
      <c r="I1196" s="184"/>
      <c r="J1196" s="184"/>
      <c r="K1196" s="184"/>
      <c r="L1196" s="184"/>
      <c r="M1196" s="184"/>
      <c r="N1196" s="184"/>
      <c r="O1196" s="184"/>
    </row>
    <row r="1197" customFormat="false" ht="15" hidden="false" customHeight="true" outlineLevel="0" collapsed="false">
      <c r="A1197" s="184"/>
      <c r="B1197" s="184"/>
      <c r="C1197" s="184"/>
      <c r="D1197" s="184"/>
      <c r="E1197" s="184"/>
      <c r="F1197" s="184"/>
      <c r="G1197" s="184"/>
      <c r="H1197" s="184"/>
      <c r="I1197" s="184"/>
      <c r="J1197" s="184"/>
      <c r="K1197" s="184"/>
      <c r="L1197" s="184"/>
      <c r="M1197" s="184"/>
      <c r="N1197" s="184"/>
      <c r="O1197" s="184"/>
    </row>
    <row r="1198" customFormat="false" ht="15" hidden="false" customHeight="true" outlineLevel="0" collapsed="false">
      <c r="A1198" s="184"/>
      <c r="B1198" s="184"/>
      <c r="C1198" s="184"/>
      <c r="D1198" s="184"/>
      <c r="E1198" s="184"/>
      <c r="F1198" s="184"/>
      <c r="G1198" s="184"/>
      <c r="H1198" s="184"/>
      <c r="I1198" s="184"/>
      <c r="J1198" s="184"/>
      <c r="K1198" s="184"/>
      <c r="L1198" s="184"/>
      <c r="M1198" s="184"/>
      <c r="N1198" s="184"/>
      <c r="O1198" s="184"/>
    </row>
    <row r="1199" customFormat="false" ht="15" hidden="false" customHeight="true" outlineLevel="0" collapsed="false">
      <c r="A1199" s="184"/>
      <c r="B1199" s="184"/>
      <c r="C1199" s="184"/>
      <c r="D1199" s="184"/>
      <c r="E1199" s="184"/>
      <c r="F1199" s="184"/>
      <c r="G1199" s="184"/>
      <c r="H1199" s="184"/>
      <c r="I1199" s="184"/>
      <c r="J1199" s="184"/>
      <c r="K1199" s="184"/>
      <c r="L1199" s="184"/>
      <c r="M1199" s="184"/>
      <c r="N1199" s="184"/>
      <c r="O1199" s="184"/>
    </row>
    <row r="1200" customFormat="false" ht="15" hidden="false" customHeight="true" outlineLevel="0" collapsed="false">
      <c r="A1200" s="184"/>
      <c r="B1200" s="184"/>
      <c r="C1200" s="184"/>
      <c r="D1200" s="184"/>
      <c r="E1200" s="184"/>
      <c r="F1200" s="184"/>
      <c r="G1200" s="184"/>
      <c r="H1200" s="184"/>
      <c r="I1200" s="184"/>
      <c r="J1200" s="184"/>
      <c r="K1200" s="184"/>
      <c r="L1200" s="184"/>
      <c r="M1200" s="184"/>
      <c r="N1200" s="184"/>
      <c r="O1200" s="184"/>
    </row>
    <row r="1201" customFormat="false" ht="15" hidden="false" customHeight="true" outlineLevel="0" collapsed="false">
      <c r="A1201" s="184"/>
      <c r="B1201" s="184"/>
      <c r="C1201" s="184"/>
      <c r="D1201" s="184"/>
      <c r="E1201" s="184"/>
      <c r="F1201" s="184"/>
      <c r="G1201" s="184"/>
      <c r="H1201" s="184"/>
      <c r="I1201" s="184"/>
      <c r="J1201" s="184"/>
      <c r="K1201" s="184"/>
      <c r="L1201" s="184"/>
      <c r="M1201" s="184"/>
      <c r="N1201" s="184"/>
      <c r="O1201" s="184"/>
    </row>
    <row r="1202" customFormat="false" ht="15" hidden="false" customHeight="true" outlineLevel="0" collapsed="false">
      <c r="A1202" s="184"/>
      <c r="B1202" s="184"/>
      <c r="C1202" s="184"/>
      <c r="D1202" s="184"/>
      <c r="E1202" s="184"/>
      <c r="F1202" s="184"/>
      <c r="G1202" s="184"/>
      <c r="H1202" s="184"/>
      <c r="I1202" s="184"/>
      <c r="J1202" s="184"/>
      <c r="K1202" s="184"/>
      <c r="L1202" s="184"/>
      <c r="M1202" s="184"/>
      <c r="N1202" s="184"/>
      <c r="O1202" s="184"/>
    </row>
    <row r="1203" customFormat="false" ht="15" hidden="false" customHeight="true" outlineLevel="0" collapsed="false">
      <c r="A1203" s="184"/>
      <c r="B1203" s="184"/>
      <c r="C1203" s="184"/>
      <c r="D1203" s="184"/>
      <c r="E1203" s="184"/>
      <c r="F1203" s="184"/>
      <c r="G1203" s="184"/>
      <c r="H1203" s="184"/>
      <c r="I1203" s="184"/>
      <c r="J1203" s="184"/>
      <c r="K1203" s="184"/>
      <c r="L1203" s="184"/>
      <c r="M1203" s="184"/>
      <c r="N1203" s="184"/>
      <c r="O1203" s="184"/>
    </row>
    <row r="1204" customFormat="false" ht="15" hidden="false" customHeight="true" outlineLevel="0" collapsed="false">
      <c r="A1204" s="184"/>
      <c r="B1204" s="184"/>
      <c r="C1204" s="184"/>
      <c r="D1204" s="184"/>
      <c r="E1204" s="184"/>
      <c r="F1204" s="184"/>
      <c r="G1204" s="184"/>
      <c r="H1204" s="184"/>
      <c r="I1204" s="184"/>
      <c r="J1204" s="184"/>
      <c r="K1204" s="184"/>
      <c r="L1204" s="184"/>
      <c r="M1204" s="184"/>
      <c r="N1204" s="184"/>
      <c r="O1204" s="184"/>
    </row>
    <row r="1205" customFormat="false" ht="15" hidden="false" customHeight="true" outlineLevel="0" collapsed="false">
      <c r="A1205" s="184"/>
      <c r="B1205" s="184"/>
      <c r="C1205" s="184"/>
      <c r="D1205" s="184"/>
      <c r="E1205" s="184"/>
      <c r="F1205" s="184"/>
      <c r="G1205" s="184"/>
      <c r="H1205" s="184"/>
      <c r="I1205" s="184"/>
      <c r="J1205" s="184"/>
      <c r="K1205" s="184"/>
      <c r="L1205" s="184"/>
      <c r="M1205" s="184"/>
      <c r="N1205" s="184"/>
      <c r="O1205" s="184"/>
    </row>
    <row r="1206" customFormat="false" ht="15" hidden="false" customHeight="true" outlineLevel="0" collapsed="false">
      <c r="A1206" s="184"/>
      <c r="B1206" s="184"/>
      <c r="C1206" s="184"/>
      <c r="D1206" s="184"/>
      <c r="E1206" s="184"/>
      <c r="F1206" s="184"/>
      <c r="G1206" s="184"/>
      <c r="H1206" s="184"/>
      <c r="I1206" s="184"/>
      <c r="J1206" s="184"/>
      <c r="K1206" s="184"/>
      <c r="L1206" s="184"/>
      <c r="M1206" s="184"/>
      <c r="N1206" s="184"/>
      <c r="O1206" s="184"/>
    </row>
    <row r="1207" customFormat="false" ht="15" hidden="false" customHeight="true" outlineLevel="0" collapsed="false">
      <c r="A1207" s="184"/>
      <c r="B1207" s="184"/>
      <c r="C1207" s="184"/>
      <c r="D1207" s="184"/>
      <c r="E1207" s="184"/>
      <c r="F1207" s="184"/>
      <c r="G1207" s="184"/>
      <c r="H1207" s="184"/>
      <c r="I1207" s="184"/>
      <c r="J1207" s="184"/>
      <c r="K1207" s="184"/>
      <c r="L1207" s="184"/>
      <c r="M1207" s="184"/>
      <c r="N1207" s="184"/>
      <c r="O1207" s="184"/>
    </row>
    <row r="1208" customFormat="false" ht="15" hidden="false" customHeight="true" outlineLevel="0" collapsed="false">
      <c r="A1208" s="184"/>
      <c r="B1208" s="184"/>
      <c r="C1208" s="184"/>
      <c r="D1208" s="184"/>
      <c r="E1208" s="184"/>
      <c r="F1208" s="184"/>
      <c r="G1208" s="184"/>
      <c r="H1208" s="184"/>
      <c r="I1208" s="184"/>
      <c r="J1208" s="184"/>
      <c r="K1208" s="184"/>
      <c r="L1208" s="184"/>
      <c r="M1208" s="184"/>
      <c r="N1208" s="184"/>
      <c r="O1208" s="184"/>
    </row>
    <row r="1209" customFormat="false" ht="15" hidden="false" customHeight="true" outlineLevel="0" collapsed="false">
      <c r="A1209" s="184"/>
      <c r="B1209" s="184"/>
      <c r="C1209" s="184"/>
      <c r="D1209" s="184"/>
      <c r="E1209" s="184"/>
      <c r="F1209" s="184"/>
      <c r="G1209" s="184"/>
      <c r="H1209" s="184"/>
      <c r="I1209" s="184"/>
      <c r="J1209" s="184"/>
      <c r="K1209" s="184"/>
      <c r="L1209" s="184"/>
      <c r="M1209" s="184"/>
      <c r="N1209" s="184"/>
      <c r="O1209" s="184"/>
    </row>
    <row r="1210" customFormat="false" ht="15" hidden="false" customHeight="true" outlineLevel="0" collapsed="false">
      <c r="A1210" s="184"/>
      <c r="B1210" s="184"/>
      <c r="C1210" s="184"/>
      <c r="D1210" s="184"/>
      <c r="E1210" s="184"/>
      <c r="F1210" s="184"/>
      <c r="G1210" s="184"/>
      <c r="H1210" s="184"/>
      <c r="I1210" s="184"/>
      <c r="J1210" s="184"/>
      <c r="K1210" s="184"/>
      <c r="L1210" s="184"/>
      <c r="M1210" s="184"/>
      <c r="N1210" s="184"/>
      <c r="O1210" s="184"/>
    </row>
    <row r="1211" customFormat="false" ht="15" hidden="false" customHeight="true" outlineLevel="0" collapsed="false">
      <c r="A1211" s="184"/>
      <c r="B1211" s="184"/>
      <c r="C1211" s="184"/>
      <c r="D1211" s="184"/>
      <c r="E1211" s="184"/>
      <c r="F1211" s="184"/>
      <c r="G1211" s="184"/>
      <c r="H1211" s="184"/>
      <c r="I1211" s="184"/>
      <c r="J1211" s="184"/>
      <c r="K1211" s="184"/>
      <c r="L1211" s="184"/>
      <c r="M1211" s="184"/>
      <c r="N1211" s="184"/>
      <c r="O1211" s="184"/>
    </row>
    <row r="1212" customFormat="false" ht="15" hidden="false" customHeight="true" outlineLevel="0" collapsed="false">
      <c r="A1212" s="184"/>
      <c r="B1212" s="184"/>
      <c r="C1212" s="184"/>
      <c r="D1212" s="184"/>
      <c r="E1212" s="184"/>
      <c r="F1212" s="184"/>
      <c r="G1212" s="184"/>
      <c r="H1212" s="184"/>
      <c r="I1212" s="184"/>
      <c r="J1212" s="184"/>
      <c r="K1212" s="184"/>
      <c r="L1212" s="184"/>
      <c r="M1212" s="184"/>
      <c r="N1212" s="184"/>
      <c r="O1212" s="184"/>
    </row>
    <row r="1213" customFormat="false" ht="15" hidden="false" customHeight="true" outlineLevel="0" collapsed="false">
      <c r="A1213" s="184"/>
      <c r="B1213" s="184"/>
      <c r="C1213" s="184"/>
      <c r="D1213" s="184"/>
      <c r="E1213" s="184"/>
      <c r="F1213" s="184"/>
      <c r="G1213" s="184"/>
      <c r="H1213" s="184"/>
      <c r="I1213" s="184"/>
      <c r="J1213" s="184"/>
      <c r="K1213" s="184"/>
      <c r="L1213" s="184"/>
      <c r="M1213" s="184"/>
      <c r="N1213" s="184"/>
      <c r="O1213" s="184"/>
    </row>
    <row r="1214" customFormat="false" ht="15" hidden="false" customHeight="true" outlineLevel="0" collapsed="false">
      <c r="A1214" s="184"/>
      <c r="B1214" s="184"/>
      <c r="C1214" s="184"/>
      <c r="D1214" s="184"/>
      <c r="E1214" s="184"/>
      <c r="F1214" s="184"/>
      <c r="G1214" s="184"/>
      <c r="H1214" s="184"/>
      <c r="I1214" s="184"/>
      <c r="J1214" s="184"/>
      <c r="K1214" s="184"/>
      <c r="L1214" s="184"/>
      <c r="M1214" s="184"/>
      <c r="N1214" s="184"/>
      <c r="O1214" s="184"/>
    </row>
    <row r="1215" customFormat="false" ht="15" hidden="false" customHeight="true" outlineLevel="0" collapsed="false">
      <c r="A1215" s="184"/>
      <c r="B1215" s="184"/>
      <c r="C1215" s="184"/>
      <c r="D1215" s="184"/>
      <c r="E1215" s="184"/>
      <c r="F1215" s="184"/>
      <c r="G1215" s="184"/>
      <c r="H1215" s="184"/>
      <c r="I1215" s="184"/>
      <c r="J1215" s="184"/>
      <c r="K1215" s="184"/>
      <c r="L1215" s="184"/>
      <c r="M1215" s="184"/>
      <c r="N1215" s="184"/>
      <c r="O1215" s="184"/>
    </row>
    <row r="1216" customFormat="false" ht="15" hidden="false" customHeight="true" outlineLevel="0" collapsed="false">
      <c r="A1216" s="184"/>
      <c r="B1216" s="184"/>
      <c r="C1216" s="184"/>
      <c r="D1216" s="184"/>
      <c r="E1216" s="184"/>
      <c r="F1216" s="184"/>
      <c r="G1216" s="184"/>
      <c r="H1216" s="184"/>
      <c r="I1216" s="184"/>
      <c r="J1216" s="184"/>
      <c r="K1216" s="184"/>
      <c r="L1216" s="184"/>
      <c r="M1216" s="184"/>
      <c r="N1216" s="184"/>
      <c r="O1216" s="184"/>
    </row>
    <row r="1217" customFormat="false" ht="15" hidden="false" customHeight="true" outlineLevel="0" collapsed="false">
      <c r="A1217" s="184"/>
      <c r="B1217" s="184"/>
      <c r="C1217" s="184"/>
      <c r="D1217" s="184"/>
      <c r="E1217" s="184"/>
      <c r="F1217" s="184"/>
      <c r="G1217" s="184"/>
      <c r="H1217" s="184"/>
      <c r="I1217" s="184"/>
      <c r="J1217" s="184"/>
      <c r="K1217" s="184"/>
      <c r="L1217" s="184"/>
      <c r="M1217" s="184"/>
      <c r="N1217" s="184"/>
      <c r="O1217" s="184"/>
    </row>
    <row r="1218" customFormat="false" ht="15" hidden="false" customHeight="true" outlineLevel="0" collapsed="false">
      <c r="A1218" s="184"/>
      <c r="B1218" s="184"/>
      <c r="C1218" s="184"/>
      <c r="D1218" s="184"/>
      <c r="E1218" s="184"/>
      <c r="F1218" s="184"/>
      <c r="G1218" s="184"/>
      <c r="H1218" s="184"/>
      <c r="I1218" s="184"/>
      <c r="J1218" s="184"/>
      <c r="K1218" s="184"/>
      <c r="L1218" s="184"/>
      <c r="M1218" s="184"/>
      <c r="N1218" s="184"/>
      <c r="O1218" s="184"/>
    </row>
    <row r="1219" customFormat="false" ht="15" hidden="false" customHeight="true" outlineLevel="0" collapsed="false">
      <c r="A1219" s="184"/>
      <c r="B1219" s="184"/>
      <c r="C1219" s="184"/>
      <c r="D1219" s="184"/>
      <c r="E1219" s="184"/>
      <c r="F1219" s="184"/>
      <c r="G1219" s="184"/>
      <c r="H1219" s="184"/>
      <c r="I1219" s="184"/>
      <c r="J1219" s="184"/>
      <c r="K1219" s="184"/>
      <c r="L1219" s="184"/>
      <c r="M1219" s="184"/>
      <c r="N1219" s="184"/>
      <c r="O1219" s="184"/>
    </row>
    <row r="1220" customFormat="false" ht="15" hidden="false" customHeight="true" outlineLevel="0" collapsed="false">
      <c r="A1220" s="184"/>
      <c r="B1220" s="184"/>
      <c r="C1220" s="184"/>
      <c r="D1220" s="184"/>
      <c r="E1220" s="184"/>
      <c r="F1220" s="184"/>
      <c r="G1220" s="184"/>
      <c r="H1220" s="184"/>
      <c r="I1220" s="184"/>
      <c r="J1220" s="184"/>
      <c r="K1220" s="184"/>
      <c r="L1220" s="184"/>
      <c r="M1220" s="184"/>
      <c r="N1220" s="184"/>
      <c r="O1220" s="184"/>
    </row>
    <row r="1221" customFormat="false" ht="15" hidden="false" customHeight="true" outlineLevel="0" collapsed="false">
      <c r="A1221" s="184"/>
      <c r="B1221" s="184"/>
      <c r="C1221" s="184"/>
      <c r="D1221" s="184"/>
      <c r="E1221" s="184"/>
      <c r="F1221" s="184"/>
      <c r="G1221" s="184"/>
      <c r="H1221" s="184"/>
      <c r="I1221" s="184"/>
      <c r="J1221" s="184"/>
      <c r="K1221" s="184"/>
      <c r="L1221" s="184"/>
      <c r="M1221" s="184"/>
      <c r="N1221" s="184"/>
      <c r="O1221" s="184"/>
    </row>
    <row r="1222" customFormat="false" ht="15" hidden="false" customHeight="true" outlineLevel="0" collapsed="false">
      <c r="A1222" s="184"/>
      <c r="B1222" s="184"/>
      <c r="C1222" s="184"/>
      <c r="D1222" s="184"/>
      <c r="E1222" s="184"/>
      <c r="F1222" s="184"/>
      <c r="G1222" s="184"/>
      <c r="H1222" s="184"/>
      <c r="I1222" s="184"/>
      <c r="J1222" s="184"/>
      <c r="K1222" s="184"/>
      <c r="L1222" s="184"/>
      <c r="M1222" s="184"/>
      <c r="N1222" s="184"/>
      <c r="O1222" s="184"/>
    </row>
    <row r="1223" customFormat="false" ht="15" hidden="false" customHeight="true" outlineLevel="0" collapsed="false">
      <c r="A1223" s="184"/>
      <c r="B1223" s="184"/>
      <c r="C1223" s="184"/>
      <c r="D1223" s="184"/>
      <c r="E1223" s="184"/>
      <c r="F1223" s="184"/>
      <c r="G1223" s="184"/>
      <c r="H1223" s="184"/>
      <c r="I1223" s="184"/>
      <c r="J1223" s="184"/>
      <c r="K1223" s="184"/>
      <c r="L1223" s="184"/>
      <c r="M1223" s="184"/>
      <c r="N1223" s="184"/>
      <c r="O1223" s="184"/>
    </row>
    <row r="1224" customFormat="false" ht="15" hidden="false" customHeight="true" outlineLevel="0" collapsed="false">
      <c r="A1224" s="184"/>
      <c r="B1224" s="184"/>
      <c r="C1224" s="184"/>
      <c r="D1224" s="184"/>
      <c r="E1224" s="184"/>
      <c r="F1224" s="184"/>
      <c r="G1224" s="184"/>
      <c r="H1224" s="184"/>
      <c r="I1224" s="184"/>
      <c r="J1224" s="184"/>
      <c r="K1224" s="184"/>
      <c r="L1224" s="184"/>
      <c r="M1224" s="184"/>
      <c r="N1224" s="184"/>
      <c r="O1224" s="184"/>
    </row>
    <row r="1225" customFormat="false" ht="15" hidden="false" customHeight="true" outlineLevel="0" collapsed="false">
      <c r="A1225" s="184"/>
      <c r="B1225" s="184"/>
      <c r="C1225" s="184"/>
      <c r="D1225" s="184"/>
      <c r="E1225" s="184"/>
      <c r="F1225" s="184"/>
      <c r="G1225" s="184"/>
      <c r="H1225" s="184"/>
      <c r="I1225" s="184"/>
      <c r="J1225" s="184"/>
      <c r="K1225" s="184"/>
      <c r="L1225" s="184"/>
      <c r="M1225" s="184"/>
      <c r="N1225" s="184"/>
      <c r="O1225" s="184"/>
    </row>
    <row r="1226" customFormat="false" ht="15" hidden="false" customHeight="true" outlineLevel="0" collapsed="false">
      <c r="A1226" s="184"/>
      <c r="B1226" s="184"/>
      <c r="C1226" s="184"/>
      <c r="D1226" s="184"/>
      <c r="E1226" s="184"/>
      <c r="F1226" s="184"/>
      <c r="G1226" s="184"/>
      <c r="H1226" s="184"/>
      <c r="I1226" s="184"/>
      <c r="J1226" s="184"/>
      <c r="K1226" s="184"/>
      <c r="L1226" s="184"/>
      <c r="M1226" s="184"/>
      <c r="N1226" s="184"/>
      <c r="O1226" s="184"/>
    </row>
    <row r="1227" customFormat="false" ht="15" hidden="false" customHeight="true" outlineLevel="0" collapsed="false">
      <c r="A1227" s="184"/>
      <c r="B1227" s="184"/>
      <c r="C1227" s="184"/>
      <c r="D1227" s="184"/>
      <c r="E1227" s="184"/>
      <c r="F1227" s="184"/>
      <c r="G1227" s="184"/>
      <c r="H1227" s="184"/>
      <c r="I1227" s="184"/>
      <c r="J1227" s="184"/>
      <c r="K1227" s="184"/>
      <c r="L1227" s="184"/>
      <c r="M1227" s="184"/>
      <c r="N1227" s="184"/>
      <c r="O1227" s="184"/>
    </row>
    <row r="1228" customFormat="false" ht="15" hidden="false" customHeight="true" outlineLevel="0" collapsed="false">
      <c r="A1228" s="184"/>
      <c r="B1228" s="184"/>
      <c r="C1228" s="184"/>
      <c r="D1228" s="184"/>
      <c r="E1228" s="184"/>
      <c r="F1228" s="184"/>
      <c r="G1228" s="184"/>
      <c r="H1228" s="184"/>
      <c r="I1228" s="184"/>
      <c r="J1228" s="184"/>
      <c r="K1228" s="184"/>
      <c r="L1228" s="184"/>
      <c r="M1228" s="184"/>
      <c r="N1228" s="184"/>
      <c r="O1228" s="184"/>
    </row>
    <row r="1229" customFormat="false" ht="15" hidden="false" customHeight="true" outlineLevel="0" collapsed="false">
      <c r="A1229" s="184"/>
      <c r="B1229" s="184"/>
      <c r="C1229" s="184"/>
      <c r="D1229" s="184"/>
      <c r="E1229" s="184"/>
      <c r="F1229" s="184"/>
      <c r="G1229" s="184"/>
      <c r="H1229" s="184"/>
      <c r="I1229" s="184"/>
      <c r="J1229" s="184"/>
      <c r="K1229" s="184"/>
      <c r="L1229" s="184"/>
      <c r="M1229" s="184"/>
      <c r="N1229" s="184"/>
      <c r="O1229" s="184"/>
    </row>
    <row r="1230" customFormat="false" ht="15" hidden="false" customHeight="true" outlineLevel="0" collapsed="false">
      <c r="A1230" s="184"/>
      <c r="B1230" s="184"/>
      <c r="C1230" s="184"/>
      <c r="D1230" s="184"/>
      <c r="E1230" s="184"/>
      <c r="F1230" s="184"/>
      <c r="G1230" s="184"/>
      <c r="H1230" s="184"/>
      <c r="I1230" s="184"/>
      <c r="J1230" s="184"/>
      <c r="K1230" s="184"/>
      <c r="L1230" s="184"/>
      <c r="M1230" s="184"/>
      <c r="N1230" s="184"/>
      <c r="O1230" s="184"/>
    </row>
    <row r="1231" customFormat="false" ht="15" hidden="false" customHeight="true" outlineLevel="0" collapsed="false">
      <c r="A1231" s="184"/>
      <c r="B1231" s="184"/>
      <c r="C1231" s="184"/>
      <c r="D1231" s="184"/>
      <c r="E1231" s="184"/>
      <c r="F1231" s="184"/>
      <c r="G1231" s="184"/>
      <c r="H1231" s="184"/>
      <c r="I1231" s="184"/>
      <c r="J1231" s="184"/>
      <c r="K1231" s="184"/>
      <c r="L1231" s="184"/>
      <c r="M1231" s="184"/>
      <c r="N1231" s="184"/>
      <c r="O1231" s="184"/>
    </row>
    <row r="1232" customFormat="false" ht="15" hidden="false" customHeight="true" outlineLevel="0" collapsed="false">
      <c r="A1232" s="184"/>
      <c r="B1232" s="184"/>
      <c r="C1232" s="184"/>
      <c r="D1232" s="184"/>
      <c r="E1232" s="184"/>
      <c r="F1232" s="184"/>
      <c r="G1232" s="184"/>
      <c r="H1232" s="184"/>
      <c r="I1232" s="184"/>
      <c r="J1232" s="184"/>
      <c r="K1232" s="184"/>
      <c r="L1232" s="184"/>
      <c r="M1232" s="184"/>
      <c r="N1232" s="184"/>
      <c r="O1232" s="184"/>
    </row>
    <row r="1233" customFormat="false" ht="15" hidden="false" customHeight="true" outlineLevel="0" collapsed="false">
      <c r="A1233" s="184"/>
      <c r="B1233" s="184"/>
      <c r="C1233" s="184"/>
      <c r="D1233" s="184"/>
      <c r="E1233" s="184"/>
      <c r="F1233" s="184"/>
      <c r="G1233" s="184"/>
      <c r="H1233" s="184"/>
      <c r="I1233" s="184"/>
      <c r="J1233" s="184"/>
      <c r="K1233" s="184"/>
      <c r="L1233" s="184"/>
      <c r="M1233" s="184"/>
      <c r="N1233" s="184"/>
      <c r="O1233" s="184"/>
    </row>
    <row r="1234" customFormat="false" ht="15" hidden="false" customHeight="true" outlineLevel="0" collapsed="false">
      <c r="A1234" s="184"/>
      <c r="B1234" s="184"/>
      <c r="C1234" s="184"/>
      <c r="D1234" s="184"/>
      <c r="E1234" s="184"/>
      <c r="F1234" s="184"/>
      <c r="G1234" s="184"/>
      <c r="H1234" s="184"/>
      <c r="I1234" s="184"/>
      <c r="J1234" s="184"/>
      <c r="K1234" s="184"/>
      <c r="L1234" s="184"/>
      <c r="M1234" s="184"/>
      <c r="N1234" s="184"/>
      <c r="O1234" s="184"/>
    </row>
    <row r="1235" customFormat="false" ht="15" hidden="false" customHeight="true" outlineLevel="0" collapsed="false">
      <c r="A1235" s="184"/>
      <c r="B1235" s="184"/>
      <c r="C1235" s="184"/>
      <c r="D1235" s="184"/>
      <c r="E1235" s="184"/>
      <c r="F1235" s="184"/>
      <c r="G1235" s="184"/>
      <c r="H1235" s="184"/>
      <c r="I1235" s="184"/>
      <c r="J1235" s="184"/>
      <c r="K1235" s="184"/>
      <c r="L1235" s="184"/>
      <c r="M1235" s="184"/>
      <c r="N1235" s="184"/>
      <c r="O1235" s="184"/>
    </row>
    <row r="1236" customFormat="false" ht="15" hidden="false" customHeight="true" outlineLevel="0" collapsed="false">
      <c r="A1236" s="184"/>
      <c r="B1236" s="184"/>
      <c r="C1236" s="184"/>
      <c r="D1236" s="184"/>
      <c r="E1236" s="184"/>
      <c r="F1236" s="184"/>
      <c r="G1236" s="184"/>
      <c r="H1236" s="184"/>
      <c r="I1236" s="184"/>
      <c r="J1236" s="184"/>
      <c r="K1236" s="184"/>
      <c r="L1236" s="184"/>
      <c r="M1236" s="184"/>
      <c r="N1236" s="184"/>
      <c r="O1236" s="184"/>
    </row>
    <row r="1237" customFormat="false" ht="15" hidden="false" customHeight="true" outlineLevel="0" collapsed="false">
      <c r="A1237" s="184"/>
      <c r="B1237" s="184"/>
      <c r="C1237" s="184"/>
      <c r="D1237" s="184"/>
      <c r="E1237" s="184"/>
      <c r="F1237" s="184"/>
      <c r="G1237" s="184"/>
      <c r="H1237" s="184"/>
      <c r="I1237" s="184"/>
      <c r="J1237" s="184"/>
      <c r="K1237" s="184"/>
      <c r="L1237" s="184"/>
      <c r="M1237" s="184"/>
      <c r="N1237" s="184"/>
      <c r="O1237" s="184"/>
    </row>
    <row r="1238" customFormat="false" ht="15" hidden="false" customHeight="true" outlineLevel="0" collapsed="false">
      <c r="A1238" s="184"/>
      <c r="B1238" s="184"/>
      <c r="C1238" s="184"/>
      <c r="D1238" s="184"/>
      <c r="E1238" s="184"/>
      <c r="F1238" s="184"/>
      <c r="G1238" s="184"/>
      <c r="H1238" s="184"/>
      <c r="I1238" s="184"/>
      <c r="J1238" s="184"/>
      <c r="K1238" s="184"/>
      <c r="L1238" s="184"/>
      <c r="M1238" s="184"/>
      <c r="N1238" s="184"/>
      <c r="O1238" s="184"/>
    </row>
    <row r="1239" customFormat="false" ht="15" hidden="false" customHeight="true" outlineLevel="0" collapsed="false">
      <c r="A1239" s="184"/>
      <c r="B1239" s="184"/>
      <c r="C1239" s="184"/>
      <c r="D1239" s="184"/>
      <c r="E1239" s="184"/>
      <c r="F1239" s="184"/>
      <c r="G1239" s="184"/>
      <c r="H1239" s="184"/>
      <c r="I1239" s="184"/>
      <c r="J1239" s="184"/>
      <c r="K1239" s="184"/>
      <c r="L1239" s="184"/>
      <c r="M1239" s="184"/>
      <c r="N1239" s="184"/>
      <c r="O1239" s="184"/>
    </row>
    <row r="1240" customFormat="false" ht="15" hidden="false" customHeight="true" outlineLevel="0" collapsed="false">
      <c r="A1240" s="184"/>
      <c r="B1240" s="184"/>
      <c r="C1240" s="184"/>
      <c r="D1240" s="184"/>
      <c r="E1240" s="184"/>
      <c r="F1240" s="184"/>
      <c r="G1240" s="184"/>
      <c r="H1240" s="184"/>
      <c r="I1240" s="184"/>
      <c r="J1240" s="184"/>
      <c r="K1240" s="184"/>
      <c r="L1240" s="184"/>
      <c r="M1240" s="184"/>
      <c r="N1240" s="184"/>
      <c r="O1240" s="184"/>
    </row>
    <row r="1241" customFormat="false" ht="15" hidden="false" customHeight="true" outlineLevel="0" collapsed="false">
      <c r="A1241" s="184"/>
      <c r="B1241" s="184"/>
      <c r="C1241" s="184"/>
      <c r="D1241" s="184"/>
      <c r="E1241" s="184"/>
      <c r="F1241" s="184"/>
      <c r="G1241" s="184"/>
      <c r="H1241" s="184"/>
      <c r="I1241" s="184"/>
      <c r="J1241" s="184"/>
      <c r="K1241" s="184"/>
      <c r="L1241" s="184"/>
      <c r="M1241" s="184"/>
      <c r="N1241" s="184"/>
      <c r="O1241" s="184"/>
    </row>
    <row r="1242" customFormat="false" ht="15" hidden="false" customHeight="true" outlineLevel="0" collapsed="false">
      <c r="A1242" s="184"/>
      <c r="B1242" s="184"/>
      <c r="C1242" s="184"/>
      <c r="D1242" s="184"/>
      <c r="E1242" s="184"/>
      <c r="F1242" s="184"/>
      <c r="G1242" s="184"/>
      <c r="H1242" s="184"/>
      <c r="I1242" s="184"/>
      <c r="J1242" s="184"/>
      <c r="K1242" s="184"/>
      <c r="L1242" s="184"/>
      <c r="M1242" s="184"/>
      <c r="N1242" s="184"/>
      <c r="O1242" s="184"/>
    </row>
    <row r="1243" customFormat="false" ht="15" hidden="false" customHeight="true" outlineLevel="0" collapsed="false">
      <c r="A1243" s="184"/>
      <c r="B1243" s="184"/>
      <c r="C1243" s="184"/>
      <c r="D1243" s="184"/>
      <c r="E1243" s="184"/>
      <c r="F1243" s="184"/>
      <c r="G1243" s="184"/>
      <c r="H1243" s="184"/>
      <c r="I1243" s="184"/>
      <c r="J1243" s="184"/>
      <c r="K1243" s="184"/>
      <c r="L1243" s="184"/>
      <c r="M1243" s="184"/>
      <c r="N1243" s="184"/>
      <c r="O1243" s="184"/>
    </row>
    <row r="1244" customFormat="false" ht="15" hidden="false" customHeight="true" outlineLevel="0" collapsed="false">
      <c r="A1244" s="184"/>
      <c r="B1244" s="184"/>
      <c r="C1244" s="184"/>
      <c r="D1244" s="184"/>
      <c r="E1244" s="184"/>
      <c r="F1244" s="184"/>
      <c r="G1244" s="184"/>
      <c r="H1244" s="184"/>
      <c r="I1244" s="184"/>
      <c r="J1244" s="184"/>
      <c r="K1244" s="184"/>
      <c r="L1244" s="184"/>
      <c r="M1244" s="184"/>
      <c r="N1244" s="184"/>
      <c r="O1244" s="184"/>
    </row>
    <row r="1245" customFormat="false" ht="15" hidden="false" customHeight="true" outlineLevel="0" collapsed="false">
      <c r="A1245" s="184"/>
      <c r="B1245" s="184"/>
      <c r="C1245" s="184"/>
      <c r="D1245" s="184"/>
      <c r="E1245" s="184"/>
      <c r="F1245" s="184"/>
      <c r="G1245" s="184"/>
      <c r="H1245" s="184"/>
      <c r="I1245" s="184"/>
      <c r="J1245" s="184"/>
      <c r="K1245" s="184"/>
      <c r="L1245" s="184"/>
      <c r="M1245" s="184"/>
      <c r="N1245" s="184"/>
      <c r="O1245" s="184"/>
    </row>
    <row r="1246" customFormat="false" ht="15" hidden="false" customHeight="true" outlineLevel="0" collapsed="false">
      <c r="A1246" s="184"/>
      <c r="B1246" s="184"/>
      <c r="C1246" s="184"/>
      <c r="D1246" s="184"/>
      <c r="E1246" s="184"/>
      <c r="F1246" s="184"/>
      <c r="G1246" s="184"/>
      <c r="H1246" s="184"/>
      <c r="I1246" s="184"/>
      <c r="J1246" s="184"/>
      <c r="K1246" s="184"/>
      <c r="L1246" s="184"/>
      <c r="M1246" s="184"/>
      <c r="N1246" s="184"/>
      <c r="O1246" s="184"/>
    </row>
    <row r="1247" customFormat="false" ht="15" hidden="false" customHeight="true" outlineLevel="0" collapsed="false">
      <c r="A1247" s="184"/>
      <c r="B1247" s="184"/>
      <c r="C1247" s="184"/>
      <c r="D1247" s="184"/>
      <c r="E1247" s="184"/>
      <c r="F1247" s="184"/>
      <c r="G1247" s="184"/>
      <c r="H1247" s="184"/>
      <c r="I1247" s="184"/>
      <c r="J1247" s="184"/>
      <c r="K1247" s="184"/>
      <c r="L1247" s="184"/>
      <c r="M1247" s="184"/>
      <c r="N1247" s="184"/>
      <c r="O1247" s="184"/>
    </row>
    <row r="1248" customFormat="false" ht="15" hidden="false" customHeight="true" outlineLevel="0" collapsed="false">
      <c r="A1248" s="184"/>
      <c r="B1248" s="184"/>
      <c r="C1248" s="184"/>
      <c r="D1248" s="184"/>
      <c r="E1248" s="184"/>
      <c r="F1248" s="184"/>
      <c r="G1248" s="184"/>
      <c r="H1248" s="184"/>
      <c r="I1248" s="184"/>
      <c r="J1248" s="184"/>
      <c r="K1248" s="184"/>
      <c r="L1248" s="184"/>
      <c r="M1248" s="184"/>
      <c r="N1248" s="184"/>
      <c r="O1248" s="184"/>
    </row>
    <row r="1249" customFormat="false" ht="15" hidden="false" customHeight="true" outlineLevel="0" collapsed="false">
      <c r="A1249" s="184"/>
      <c r="B1249" s="184"/>
      <c r="C1249" s="184"/>
      <c r="D1249" s="184"/>
      <c r="E1249" s="184"/>
      <c r="F1249" s="184"/>
      <c r="G1249" s="184"/>
      <c r="H1249" s="184"/>
      <c r="I1249" s="184"/>
      <c r="J1249" s="184"/>
      <c r="K1249" s="184"/>
      <c r="L1249" s="184"/>
      <c r="M1249" s="184"/>
      <c r="N1249" s="184"/>
      <c r="O1249" s="184"/>
    </row>
    <row r="1250" customFormat="false" ht="15" hidden="false" customHeight="true" outlineLevel="0" collapsed="false">
      <c r="A1250" s="184"/>
      <c r="B1250" s="184"/>
      <c r="C1250" s="184"/>
      <c r="D1250" s="184"/>
      <c r="E1250" s="184"/>
      <c r="F1250" s="184"/>
      <c r="G1250" s="184"/>
      <c r="H1250" s="184"/>
      <c r="I1250" s="184"/>
      <c r="J1250" s="184"/>
      <c r="K1250" s="184"/>
      <c r="L1250" s="184"/>
      <c r="M1250" s="184"/>
      <c r="N1250" s="184"/>
      <c r="O1250" s="184"/>
    </row>
    <row r="1251" customFormat="false" ht="15" hidden="false" customHeight="true" outlineLevel="0" collapsed="false">
      <c r="A1251" s="184"/>
      <c r="B1251" s="184"/>
      <c r="C1251" s="184"/>
      <c r="D1251" s="184"/>
      <c r="E1251" s="184"/>
      <c r="F1251" s="184"/>
      <c r="G1251" s="184"/>
      <c r="H1251" s="184"/>
      <c r="I1251" s="184"/>
      <c r="J1251" s="184"/>
      <c r="K1251" s="184"/>
      <c r="L1251" s="184"/>
      <c r="M1251" s="184"/>
      <c r="N1251" s="184"/>
      <c r="O1251" s="184"/>
    </row>
    <row r="1252" customFormat="false" ht="15" hidden="false" customHeight="true" outlineLevel="0" collapsed="false">
      <c r="A1252" s="184"/>
      <c r="B1252" s="184"/>
      <c r="C1252" s="184"/>
      <c r="D1252" s="184"/>
      <c r="E1252" s="184"/>
      <c r="F1252" s="184"/>
      <c r="G1252" s="184"/>
      <c r="H1252" s="184"/>
      <c r="I1252" s="184"/>
      <c r="J1252" s="184"/>
      <c r="K1252" s="184"/>
      <c r="L1252" s="184"/>
      <c r="M1252" s="184"/>
      <c r="N1252" s="184"/>
      <c r="O1252" s="184"/>
    </row>
    <row r="1253" customFormat="false" ht="15" hidden="false" customHeight="true" outlineLevel="0" collapsed="false">
      <c r="A1253" s="184"/>
      <c r="B1253" s="184"/>
      <c r="C1253" s="184"/>
      <c r="D1253" s="184"/>
      <c r="E1253" s="184"/>
      <c r="F1253" s="184"/>
      <c r="G1253" s="184"/>
      <c r="H1253" s="184"/>
      <c r="I1253" s="184"/>
      <c r="J1253" s="184"/>
      <c r="K1253" s="184"/>
      <c r="L1253" s="184"/>
      <c r="M1253" s="184"/>
      <c r="N1253" s="184"/>
      <c r="O1253" s="184"/>
    </row>
    <row r="1254" customFormat="false" ht="15" hidden="false" customHeight="true" outlineLevel="0" collapsed="false">
      <c r="A1254" s="184"/>
      <c r="B1254" s="184"/>
      <c r="C1254" s="184"/>
      <c r="D1254" s="184"/>
      <c r="E1254" s="184"/>
      <c r="F1254" s="184"/>
      <c r="G1254" s="184"/>
      <c r="H1254" s="184"/>
      <c r="I1254" s="184"/>
      <c r="J1254" s="184"/>
      <c r="K1254" s="184"/>
      <c r="L1254" s="184"/>
      <c r="M1254" s="184"/>
      <c r="N1254" s="184"/>
      <c r="O1254" s="184"/>
    </row>
    <row r="1255" customFormat="false" ht="15" hidden="false" customHeight="true" outlineLevel="0" collapsed="false">
      <c r="A1255" s="184"/>
      <c r="B1255" s="184"/>
      <c r="C1255" s="184"/>
      <c r="D1255" s="184"/>
      <c r="E1255" s="184"/>
      <c r="F1255" s="184"/>
      <c r="G1255" s="184"/>
      <c r="H1255" s="184"/>
      <c r="I1255" s="184"/>
      <c r="J1255" s="184"/>
      <c r="K1255" s="184"/>
      <c r="L1255" s="184"/>
      <c r="M1255" s="184"/>
      <c r="N1255" s="184"/>
      <c r="O1255" s="184"/>
    </row>
    <row r="1256" customFormat="false" ht="15" hidden="false" customHeight="true" outlineLevel="0" collapsed="false">
      <c r="A1256" s="184"/>
      <c r="B1256" s="184"/>
      <c r="C1256" s="184"/>
      <c r="D1256" s="184"/>
      <c r="E1256" s="184"/>
      <c r="F1256" s="184"/>
      <c r="G1256" s="184"/>
      <c r="H1256" s="184"/>
      <c r="I1256" s="184"/>
      <c r="J1256" s="184"/>
      <c r="K1256" s="184"/>
      <c r="L1256" s="184"/>
      <c r="M1256" s="184"/>
      <c r="N1256" s="184"/>
      <c r="O1256" s="184"/>
    </row>
    <row r="1257" customFormat="false" ht="27.75" hidden="false" customHeight="true" outlineLevel="0" collapsed="false">
      <c r="A1257" s="184" t="s">
        <v>6658</v>
      </c>
      <c r="B1257" s="184" t="s">
        <v>4910</v>
      </c>
      <c r="C1257" s="184" t="n">
        <v>1</v>
      </c>
      <c r="D1257" s="178" t="s">
        <v>5269</v>
      </c>
      <c r="E1257" s="184" t="s">
        <v>6289</v>
      </c>
      <c r="F1257" s="184"/>
      <c r="G1257" s="184"/>
      <c r="H1257" s="184"/>
      <c r="I1257" s="184"/>
      <c r="J1257" s="184"/>
      <c r="K1257" s="184"/>
      <c r="L1257" s="184"/>
      <c r="M1257" s="184" t="s">
        <v>6659</v>
      </c>
      <c r="N1257" s="184"/>
      <c r="O1257" s="184"/>
    </row>
    <row r="1258" customFormat="false" ht="27.75" hidden="false" customHeight="true" outlineLevel="0" collapsed="false">
      <c r="A1258" s="184" t="s">
        <v>6658</v>
      </c>
      <c r="B1258" s="184" t="s">
        <v>4910</v>
      </c>
      <c r="C1258" s="184" t="n">
        <v>2</v>
      </c>
      <c r="D1258" s="177" t="s">
        <v>6429</v>
      </c>
      <c r="E1258" s="184" t="s">
        <v>6707</v>
      </c>
      <c r="F1258" s="184"/>
      <c r="G1258" s="184"/>
      <c r="H1258" s="184"/>
      <c r="I1258" s="184"/>
      <c r="J1258" s="184"/>
      <c r="K1258" s="184"/>
      <c r="L1258" s="184"/>
      <c r="M1258" s="184"/>
      <c r="N1258" s="184"/>
      <c r="O1258" s="184"/>
    </row>
    <row r="1259" customFormat="false" ht="27.75" hidden="false" customHeight="true" outlineLevel="0" collapsed="false">
      <c r="A1259" s="184" t="s">
        <v>6658</v>
      </c>
      <c r="B1259" s="184" t="s">
        <v>4910</v>
      </c>
      <c r="C1259" s="184" t="n">
        <v>3</v>
      </c>
      <c r="D1259" s="179" t="s">
        <v>6292</v>
      </c>
      <c r="E1259" s="184" t="s">
        <v>6708</v>
      </c>
      <c r="F1259" s="184"/>
      <c r="G1259" s="184"/>
      <c r="H1259" s="184"/>
      <c r="I1259" s="184"/>
      <c r="J1259" s="184"/>
      <c r="K1259" s="184"/>
      <c r="L1259" s="184"/>
      <c r="M1259" s="184"/>
      <c r="N1259" s="184"/>
      <c r="O1259" s="184"/>
    </row>
    <row r="1260" customFormat="false" ht="27.75" hidden="false" customHeight="true" outlineLevel="0" collapsed="false">
      <c r="A1260" s="184" t="s">
        <v>6658</v>
      </c>
      <c r="B1260" s="184" t="s">
        <v>4910</v>
      </c>
      <c r="C1260" s="184" t="n">
        <v>4</v>
      </c>
      <c r="D1260" s="184" t="s">
        <v>6294</v>
      </c>
      <c r="E1260" s="184" t="s">
        <v>6679</v>
      </c>
      <c r="F1260" s="184"/>
      <c r="G1260" s="184"/>
      <c r="H1260" s="184"/>
      <c r="I1260" s="184"/>
      <c r="J1260" s="184"/>
      <c r="K1260" s="184"/>
      <c r="L1260" s="184"/>
      <c r="M1260" s="184"/>
      <c r="N1260" s="184"/>
      <c r="O1260" s="184"/>
    </row>
    <row r="1261" customFormat="false" ht="27.75" hidden="false" customHeight="true" outlineLevel="0" collapsed="false">
      <c r="A1261" s="184" t="s">
        <v>6658</v>
      </c>
      <c r="B1261" s="184" t="s">
        <v>4910</v>
      </c>
      <c r="C1261" s="184" t="n">
        <v>5</v>
      </c>
      <c r="D1261" s="174" t="s">
        <v>4848</v>
      </c>
      <c r="E1261" s="184" t="s">
        <v>6680</v>
      </c>
      <c r="F1261" s="184"/>
      <c r="G1261" s="184"/>
      <c r="H1261" s="184"/>
      <c r="I1261" s="184"/>
      <c r="J1261" s="184" t="s">
        <v>6681</v>
      </c>
      <c r="K1261" s="184"/>
      <c r="L1261" s="184" t="s">
        <v>6682</v>
      </c>
      <c r="M1261" s="184"/>
      <c r="N1261" s="184"/>
      <c r="O1261" s="184"/>
    </row>
    <row r="1262" customFormat="false" ht="41.25" hidden="false" customHeight="true" outlineLevel="0" collapsed="false">
      <c r="A1262" s="184" t="s">
        <v>6658</v>
      </c>
      <c r="B1262" s="184" t="s">
        <v>4910</v>
      </c>
      <c r="C1262" s="184" t="n">
        <v>6</v>
      </c>
      <c r="D1262" s="177" t="s">
        <v>6298</v>
      </c>
      <c r="E1262" s="184" t="s">
        <v>6683</v>
      </c>
      <c r="F1262" s="184"/>
      <c r="G1262" s="184"/>
      <c r="H1262" s="184"/>
      <c r="I1262" s="184"/>
      <c r="J1262" s="184"/>
      <c r="K1262" s="184"/>
      <c r="L1262" s="184"/>
      <c r="M1262" s="184"/>
      <c r="N1262" s="184"/>
      <c r="O1262" s="184"/>
    </row>
    <row r="1263" customFormat="false" ht="27.75" hidden="false" customHeight="true" outlineLevel="0" collapsed="false">
      <c r="A1263" s="184" t="s">
        <v>6658</v>
      </c>
      <c r="B1263" s="184" t="s">
        <v>4910</v>
      </c>
      <c r="C1263" s="184" t="n">
        <v>7</v>
      </c>
      <c r="D1263" s="184" t="s">
        <v>6296</v>
      </c>
      <c r="E1263" s="184" t="s">
        <v>6684</v>
      </c>
      <c r="F1263" s="184"/>
      <c r="G1263" s="184"/>
      <c r="H1263" s="184"/>
      <c r="I1263" s="184"/>
      <c r="J1263" s="184"/>
      <c r="K1263" s="184"/>
      <c r="L1263" s="184"/>
      <c r="M1263" s="184"/>
      <c r="N1263" s="184"/>
      <c r="O1263" s="184"/>
    </row>
    <row r="1264" customFormat="false" ht="41.25" hidden="false" customHeight="true" outlineLevel="0" collapsed="false">
      <c r="A1264" s="184" t="s">
        <v>6658</v>
      </c>
      <c r="B1264" s="184" t="s">
        <v>4910</v>
      </c>
      <c r="C1264" s="184" t="n">
        <v>8</v>
      </c>
      <c r="D1264" s="177" t="s">
        <v>6298</v>
      </c>
      <c r="E1264" s="184" t="s">
        <v>6685</v>
      </c>
      <c r="F1264" s="184"/>
      <c r="G1264" s="184"/>
      <c r="H1264" s="184"/>
      <c r="I1264" s="184"/>
      <c r="J1264" s="184"/>
      <c r="K1264" s="184"/>
      <c r="L1264" s="184"/>
      <c r="M1264" s="184"/>
      <c r="N1264" s="184"/>
      <c r="O1264" s="184"/>
    </row>
    <row r="1265" customFormat="false" ht="27.75" hidden="false" customHeight="true" outlineLevel="0" collapsed="false">
      <c r="A1265" s="184" t="s">
        <v>6658</v>
      </c>
      <c r="B1265" s="184" t="s">
        <v>4910</v>
      </c>
      <c r="C1265" s="184" t="n">
        <v>9</v>
      </c>
      <c r="D1265" s="178" t="s">
        <v>6457</v>
      </c>
      <c r="E1265" s="184" t="s">
        <v>6686</v>
      </c>
      <c r="F1265" s="184"/>
      <c r="G1265" s="184"/>
      <c r="H1265" s="184"/>
      <c r="I1265" s="184"/>
      <c r="J1265" s="184"/>
      <c r="K1265" s="184"/>
      <c r="L1265" s="184"/>
      <c r="M1265" s="184" t="s">
        <v>6709</v>
      </c>
      <c r="N1265" s="184"/>
      <c r="O1265" s="184"/>
    </row>
    <row r="1266" customFormat="false" ht="27.75" hidden="false" customHeight="true" outlineLevel="0" collapsed="false">
      <c r="A1266" s="184" t="s">
        <v>6658</v>
      </c>
      <c r="B1266" s="184" t="s">
        <v>4910</v>
      </c>
      <c r="C1266" s="184" t="n">
        <v>10</v>
      </c>
      <c r="D1266" s="178" t="s">
        <v>6457</v>
      </c>
      <c r="E1266" s="184" t="s">
        <v>6688</v>
      </c>
      <c r="F1266" s="184"/>
      <c r="G1266" s="184"/>
      <c r="H1266" s="184"/>
      <c r="I1266" s="184"/>
      <c r="J1266" s="184"/>
      <c r="K1266" s="184"/>
      <c r="L1266" s="184"/>
      <c r="M1266" s="184" t="s">
        <v>6710</v>
      </c>
      <c r="N1266" s="184"/>
      <c r="O1266" s="184"/>
    </row>
    <row r="1267" customFormat="false" ht="95.25" hidden="false" customHeight="true" outlineLevel="0" collapsed="false">
      <c r="A1267" s="184" t="s">
        <v>6658</v>
      </c>
      <c r="B1267" s="184" t="s">
        <v>4910</v>
      </c>
      <c r="C1267" s="184" t="n">
        <v>11</v>
      </c>
      <c r="D1267" s="174" t="s">
        <v>4848</v>
      </c>
      <c r="E1267" s="184" t="s">
        <v>2735</v>
      </c>
      <c r="F1267" s="184"/>
      <c r="G1267" s="184"/>
      <c r="H1267" s="184"/>
      <c r="I1267" s="184"/>
      <c r="J1267" s="184" t="s">
        <v>1342</v>
      </c>
      <c r="K1267" s="184" t="s">
        <v>6690</v>
      </c>
      <c r="L1267" s="184" t="s">
        <v>6711</v>
      </c>
      <c r="M1267" s="184"/>
      <c r="N1267" s="184" t="s">
        <v>6712</v>
      </c>
      <c r="O1267" s="184"/>
    </row>
    <row r="1268" customFormat="false" ht="81.75" hidden="false" customHeight="true" outlineLevel="0" collapsed="false">
      <c r="A1268" s="184" t="s">
        <v>6658</v>
      </c>
      <c r="B1268" s="184" t="s">
        <v>4910</v>
      </c>
      <c r="C1268" s="184" t="n">
        <v>12</v>
      </c>
      <c r="D1268" s="174" t="s">
        <v>4846</v>
      </c>
      <c r="E1268" s="184" t="s">
        <v>527</v>
      </c>
      <c r="F1268" s="184" t="s">
        <v>227</v>
      </c>
      <c r="G1268" s="184"/>
      <c r="H1268" s="184"/>
      <c r="I1268" s="184"/>
      <c r="J1268" s="184" t="s">
        <v>6713</v>
      </c>
      <c r="K1268" s="184" t="s">
        <v>6672</v>
      </c>
      <c r="L1268" s="184"/>
      <c r="M1268" s="184"/>
      <c r="N1268" s="184" t="s">
        <v>6714</v>
      </c>
      <c r="O1268" s="184"/>
    </row>
    <row r="1269" customFormat="false" ht="68.25" hidden="false" customHeight="true" outlineLevel="0" collapsed="false">
      <c r="A1269" s="184" t="s">
        <v>6658</v>
      </c>
      <c r="B1269" s="184" t="s">
        <v>4910</v>
      </c>
      <c r="C1269" s="184" t="n">
        <v>13</v>
      </c>
      <c r="D1269" s="174" t="s">
        <v>4846</v>
      </c>
      <c r="E1269" s="184" t="s">
        <v>1344</v>
      </c>
      <c r="F1269" s="184" t="s">
        <v>227</v>
      </c>
      <c r="G1269" s="184"/>
      <c r="H1269" s="184"/>
      <c r="I1269" s="184"/>
      <c r="J1269" s="184" t="s">
        <v>6715</v>
      </c>
      <c r="K1269" s="184" t="s">
        <v>6716</v>
      </c>
      <c r="L1269" s="184"/>
      <c r="M1269" s="184" t="s">
        <v>6717</v>
      </c>
      <c r="N1269" s="184" t="s">
        <v>6718</v>
      </c>
      <c r="O1269" s="184"/>
    </row>
    <row r="1270" customFormat="false" ht="68.25" hidden="false" customHeight="true" outlineLevel="0" collapsed="false">
      <c r="A1270" s="184" t="s">
        <v>6658</v>
      </c>
      <c r="B1270" s="184" t="s">
        <v>4910</v>
      </c>
      <c r="C1270" s="184" t="n">
        <v>14</v>
      </c>
      <c r="D1270" s="174" t="s">
        <v>4846</v>
      </c>
      <c r="E1270" s="184" t="s">
        <v>56</v>
      </c>
      <c r="F1270" s="184" t="s">
        <v>227</v>
      </c>
      <c r="G1270" s="184"/>
      <c r="H1270" s="184"/>
      <c r="I1270" s="184"/>
      <c r="J1270" s="184" t="s">
        <v>6719</v>
      </c>
      <c r="K1270" s="184" t="s">
        <v>6720</v>
      </c>
      <c r="L1270" s="184"/>
      <c r="M1270" s="184" t="s">
        <v>6721</v>
      </c>
      <c r="N1270" s="184" t="s">
        <v>6722</v>
      </c>
      <c r="O1270" s="184"/>
    </row>
    <row r="1271" customFormat="false" ht="68.25" hidden="false" customHeight="true" outlineLevel="0" collapsed="false">
      <c r="A1271" s="184" t="s">
        <v>6658</v>
      </c>
      <c r="B1271" s="184" t="s">
        <v>4910</v>
      </c>
      <c r="C1271" s="184" t="n">
        <v>15</v>
      </c>
      <c r="D1271" s="174" t="s">
        <v>4846</v>
      </c>
      <c r="E1271" s="184" t="s">
        <v>2739</v>
      </c>
      <c r="F1271" s="184" t="s">
        <v>227</v>
      </c>
      <c r="G1271" s="184"/>
      <c r="H1271" s="184"/>
      <c r="I1271" s="184"/>
      <c r="J1271" s="184"/>
      <c r="K1271" s="184" t="s">
        <v>6723</v>
      </c>
      <c r="L1271" s="184"/>
      <c r="M1271" s="184" t="s">
        <v>6343</v>
      </c>
      <c r="N1271" s="184" t="s">
        <v>6724</v>
      </c>
      <c r="O1271" s="184"/>
    </row>
    <row r="1272" customFormat="false" ht="68.25" hidden="false" customHeight="true" outlineLevel="0" collapsed="false">
      <c r="A1272" s="184" t="s">
        <v>6658</v>
      </c>
      <c r="B1272" s="184" t="s">
        <v>4910</v>
      </c>
      <c r="C1272" s="184" t="n">
        <v>16</v>
      </c>
      <c r="D1272" s="174" t="s">
        <v>4846</v>
      </c>
      <c r="E1272" s="184" t="s">
        <v>6725</v>
      </c>
      <c r="F1272" s="184" t="s">
        <v>227</v>
      </c>
      <c r="G1272" s="184"/>
      <c r="H1272" s="184"/>
      <c r="I1272" s="184"/>
      <c r="J1272" s="184"/>
      <c r="K1272" s="184" t="s">
        <v>6723</v>
      </c>
      <c r="L1272" s="184"/>
      <c r="M1272" s="184" t="s">
        <v>6726</v>
      </c>
      <c r="N1272" s="184" t="s">
        <v>6727</v>
      </c>
      <c r="O1272" s="184"/>
    </row>
    <row r="1273" customFormat="false" ht="27.75" hidden="false" customHeight="true" outlineLevel="0" collapsed="false">
      <c r="A1273" s="184" t="s">
        <v>6658</v>
      </c>
      <c r="B1273" s="184" t="s">
        <v>4910</v>
      </c>
      <c r="C1273" s="184" t="n">
        <v>17</v>
      </c>
      <c r="D1273" s="178" t="s">
        <v>5269</v>
      </c>
      <c r="E1273" s="184" t="s">
        <v>6675</v>
      </c>
      <c r="F1273" s="184"/>
      <c r="G1273" s="184"/>
      <c r="H1273" s="184"/>
      <c r="I1273" s="184"/>
      <c r="J1273" s="184"/>
      <c r="K1273" s="184"/>
      <c r="L1273" s="184"/>
      <c r="M1273" s="184" t="s">
        <v>6676</v>
      </c>
      <c r="N1273" s="184"/>
      <c r="O1273" s="184"/>
    </row>
    <row r="1274" customFormat="false" ht="15" hidden="false" customHeight="true" outlineLevel="0" collapsed="false">
      <c r="A1274" s="184"/>
      <c r="B1274" s="184"/>
      <c r="C1274" s="184"/>
      <c r="D1274" s="184"/>
      <c r="E1274" s="184"/>
      <c r="F1274" s="184"/>
      <c r="G1274" s="184"/>
      <c r="H1274" s="184"/>
      <c r="I1274" s="184"/>
      <c r="J1274" s="184"/>
      <c r="K1274" s="184"/>
      <c r="L1274" s="184"/>
      <c r="M1274" s="184"/>
      <c r="N1274" s="184"/>
      <c r="O1274" s="184"/>
    </row>
    <row r="1275" customFormat="false" ht="15" hidden="false" customHeight="true" outlineLevel="0" collapsed="false">
      <c r="A1275" s="184"/>
      <c r="B1275" s="184"/>
      <c r="C1275" s="184"/>
      <c r="D1275" s="184"/>
      <c r="E1275" s="184"/>
      <c r="F1275" s="184"/>
      <c r="G1275" s="184"/>
      <c r="H1275" s="184"/>
      <c r="I1275" s="184"/>
      <c r="J1275" s="184"/>
      <c r="K1275" s="184"/>
      <c r="L1275" s="184"/>
      <c r="M1275" s="184"/>
      <c r="N1275" s="184"/>
      <c r="O1275" s="184"/>
    </row>
    <row r="1276" customFormat="false" ht="15" hidden="false" customHeight="true" outlineLevel="0" collapsed="false">
      <c r="A1276" s="184"/>
      <c r="B1276" s="184"/>
      <c r="C1276" s="184"/>
      <c r="D1276" s="184"/>
      <c r="E1276" s="184"/>
      <c r="F1276" s="184"/>
      <c r="G1276" s="184"/>
      <c r="H1276" s="184"/>
      <c r="I1276" s="184"/>
      <c r="J1276" s="184"/>
      <c r="K1276" s="184"/>
      <c r="L1276" s="184"/>
      <c r="M1276" s="184"/>
      <c r="N1276" s="184"/>
      <c r="O1276" s="184"/>
    </row>
    <row r="1277" customFormat="false" ht="15" hidden="false" customHeight="true" outlineLevel="0" collapsed="false">
      <c r="A1277" s="184"/>
      <c r="B1277" s="184"/>
      <c r="C1277" s="184"/>
      <c r="D1277" s="184"/>
      <c r="E1277" s="184"/>
      <c r="F1277" s="184"/>
      <c r="G1277" s="184"/>
      <c r="H1277" s="184"/>
      <c r="I1277" s="184"/>
      <c r="J1277" s="184"/>
      <c r="K1277" s="184"/>
      <c r="L1277" s="184"/>
      <c r="M1277" s="184"/>
      <c r="N1277" s="184"/>
      <c r="O1277" s="184"/>
    </row>
    <row r="1278" customFormat="false" ht="15" hidden="false" customHeight="true" outlineLevel="0" collapsed="false">
      <c r="A1278" s="184"/>
      <c r="B1278" s="184"/>
      <c r="C1278" s="184"/>
      <c r="D1278" s="184"/>
      <c r="E1278" s="184"/>
      <c r="F1278" s="184"/>
      <c r="G1278" s="184"/>
      <c r="H1278" s="184"/>
      <c r="I1278" s="184"/>
      <c r="J1278" s="184"/>
      <c r="K1278" s="184"/>
      <c r="L1278" s="184"/>
      <c r="M1278" s="184"/>
      <c r="N1278" s="184"/>
      <c r="O1278" s="184"/>
    </row>
    <row r="1279" customFormat="false" ht="15" hidden="false" customHeight="true" outlineLevel="0" collapsed="false">
      <c r="A1279" s="184"/>
      <c r="B1279" s="184"/>
      <c r="C1279" s="184"/>
      <c r="D1279" s="184"/>
      <c r="E1279" s="184"/>
      <c r="F1279" s="184"/>
      <c r="G1279" s="184"/>
      <c r="H1279" s="184"/>
      <c r="I1279" s="184"/>
      <c r="J1279" s="184"/>
      <c r="K1279" s="184"/>
      <c r="L1279" s="184"/>
      <c r="M1279" s="184"/>
      <c r="N1279" s="184"/>
      <c r="O1279" s="184"/>
    </row>
    <row r="1280" customFormat="false" ht="15" hidden="false" customHeight="true" outlineLevel="0" collapsed="false">
      <c r="A1280" s="184"/>
      <c r="B1280" s="184"/>
      <c r="C1280" s="184"/>
      <c r="D1280" s="184"/>
      <c r="E1280" s="184"/>
      <c r="F1280" s="184"/>
      <c r="G1280" s="184"/>
      <c r="H1280" s="184"/>
      <c r="I1280" s="184"/>
      <c r="J1280" s="184"/>
      <c r="K1280" s="184"/>
      <c r="L1280" s="184"/>
      <c r="M1280" s="184"/>
      <c r="N1280" s="184"/>
      <c r="O1280" s="184"/>
    </row>
    <row r="1281" customFormat="false" ht="15" hidden="false" customHeight="true" outlineLevel="0" collapsed="false">
      <c r="A1281" s="184"/>
      <c r="B1281" s="184"/>
      <c r="C1281" s="184"/>
      <c r="D1281" s="184"/>
      <c r="E1281" s="184"/>
      <c r="F1281" s="184"/>
      <c r="G1281" s="184"/>
      <c r="H1281" s="184"/>
      <c r="I1281" s="184"/>
      <c r="J1281" s="184"/>
      <c r="K1281" s="184"/>
      <c r="L1281" s="184"/>
      <c r="M1281" s="184"/>
      <c r="N1281" s="184"/>
      <c r="O1281" s="184"/>
    </row>
    <row r="1282" customFormat="false" ht="15" hidden="false" customHeight="true" outlineLevel="0" collapsed="false">
      <c r="A1282" s="184"/>
      <c r="B1282" s="184"/>
      <c r="C1282" s="184"/>
      <c r="D1282" s="184"/>
      <c r="E1282" s="184"/>
      <c r="F1282" s="184"/>
      <c r="G1282" s="184"/>
      <c r="H1282" s="184"/>
      <c r="I1282" s="184"/>
      <c r="J1282" s="184"/>
      <c r="K1282" s="184"/>
      <c r="L1282" s="184"/>
      <c r="M1282" s="184"/>
      <c r="N1282" s="184"/>
      <c r="O1282" s="184"/>
    </row>
    <row r="1283" customFormat="false" ht="15" hidden="false" customHeight="true" outlineLevel="0" collapsed="false">
      <c r="A1283" s="184"/>
      <c r="B1283" s="184"/>
      <c r="C1283" s="184"/>
      <c r="D1283" s="184"/>
      <c r="E1283" s="184"/>
      <c r="F1283" s="184"/>
      <c r="G1283" s="184"/>
      <c r="H1283" s="184"/>
      <c r="I1283" s="184"/>
      <c r="J1283" s="184"/>
      <c r="K1283" s="184"/>
      <c r="L1283" s="184"/>
      <c r="M1283" s="184"/>
      <c r="N1283" s="184"/>
      <c r="O1283" s="184"/>
    </row>
    <row r="1284" customFormat="false" ht="15" hidden="false" customHeight="true" outlineLevel="0" collapsed="false">
      <c r="A1284" s="184"/>
      <c r="B1284" s="184"/>
      <c r="C1284" s="184"/>
      <c r="D1284" s="184"/>
      <c r="E1284" s="184"/>
      <c r="F1284" s="184"/>
      <c r="G1284" s="184"/>
      <c r="H1284" s="184"/>
      <c r="I1284" s="184"/>
      <c r="J1284" s="184"/>
      <c r="K1284" s="184"/>
      <c r="L1284" s="184"/>
      <c r="M1284" s="184"/>
      <c r="N1284" s="184"/>
      <c r="O1284" s="184"/>
    </row>
    <row r="1285" customFormat="false" ht="15" hidden="false" customHeight="true" outlineLevel="0" collapsed="false">
      <c r="A1285" s="184"/>
      <c r="B1285" s="184"/>
      <c r="C1285" s="184"/>
      <c r="D1285" s="184"/>
      <c r="E1285" s="184"/>
      <c r="F1285" s="184"/>
      <c r="G1285" s="184"/>
      <c r="H1285" s="184"/>
      <c r="I1285" s="184"/>
      <c r="J1285" s="184"/>
      <c r="K1285" s="184"/>
      <c r="L1285" s="184"/>
      <c r="M1285" s="184"/>
      <c r="N1285" s="184"/>
      <c r="O1285" s="184"/>
    </row>
    <row r="1286" customFormat="false" ht="15" hidden="false" customHeight="true" outlineLevel="0" collapsed="false">
      <c r="A1286" s="184"/>
      <c r="B1286" s="184"/>
      <c r="C1286" s="184"/>
      <c r="D1286" s="184"/>
      <c r="E1286" s="184"/>
      <c r="F1286" s="184"/>
      <c r="G1286" s="184"/>
      <c r="H1286" s="184"/>
      <c r="I1286" s="184"/>
      <c r="J1286" s="184"/>
      <c r="K1286" s="184"/>
      <c r="L1286" s="184"/>
      <c r="M1286" s="184"/>
      <c r="N1286" s="184"/>
      <c r="O1286" s="184"/>
    </row>
    <row r="1287" customFormat="false" ht="15" hidden="false" customHeight="true" outlineLevel="0" collapsed="false">
      <c r="A1287" s="184"/>
      <c r="B1287" s="184"/>
      <c r="C1287" s="184"/>
      <c r="D1287" s="184"/>
      <c r="E1287" s="184"/>
      <c r="F1287" s="184"/>
      <c r="G1287" s="184"/>
      <c r="H1287" s="184"/>
      <c r="I1287" s="184"/>
      <c r="J1287" s="184"/>
      <c r="K1287" s="184"/>
      <c r="L1287" s="184"/>
      <c r="M1287" s="184"/>
      <c r="N1287" s="184"/>
      <c r="O1287" s="184"/>
    </row>
    <row r="1288" customFormat="false" ht="15" hidden="false" customHeight="true" outlineLevel="0" collapsed="false">
      <c r="A1288" s="184"/>
      <c r="B1288" s="184"/>
      <c r="C1288" s="184"/>
      <c r="D1288" s="184"/>
      <c r="E1288" s="184"/>
      <c r="F1288" s="184"/>
      <c r="G1288" s="184"/>
      <c r="H1288" s="184"/>
      <c r="I1288" s="184"/>
      <c r="J1288" s="184"/>
      <c r="K1288" s="184"/>
      <c r="L1288" s="184"/>
      <c r="M1288" s="184"/>
      <c r="N1288" s="184"/>
      <c r="O1288" s="184"/>
    </row>
    <row r="1289" customFormat="false" ht="15" hidden="false" customHeight="true" outlineLevel="0" collapsed="false">
      <c r="A1289" s="184"/>
      <c r="B1289" s="184"/>
      <c r="C1289" s="184"/>
      <c r="D1289" s="184"/>
      <c r="E1289" s="184"/>
      <c r="F1289" s="184"/>
      <c r="G1289" s="184"/>
      <c r="H1289" s="184"/>
      <c r="I1289" s="184"/>
      <c r="J1289" s="184"/>
      <c r="K1289" s="184"/>
      <c r="L1289" s="184"/>
      <c r="M1289" s="184"/>
      <c r="N1289" s="184"/>
      <c r="O1289" s="184"/>
    </row>
    <row r="1290" customFormat="false" ht="15" hidden="false" customHeight="true" outlineLevel="0" collapsed="false">
      <c r="A1290" s="184"/>
      <c r="B1290" s="184"/>
      <c r="C1290" s="184"/>
      <c r="D1290" s="184"/>
      <c r="E1290" s="184"/>
      <c r="F1290" s="184"/>
      <c r="G1290" s="184"/>
      <c r="H1290" s="184"/>
      <c r="I1290" s="184"/>
      <c r="J1290" s="184"/>
      <c r="K1290" s="184"/>
      <c r="L1290" s="184"/>
      <c r="M1290" s="184"/>
      <c r="N1290" s="184"/>
      <c r="O1290" s="184"/>
    </row>
    <row r="1291" customFormat="false" ht="15" hidden="false" customHeight="true" outlineLevel="0" collapsed="false">
      <c r="A1291" s="184"/>
      <c r="B1291" s="184"/>
      <c r="C1291" s="184"/>
      <c r="D1291" s="184"/>
      <c r="E1291" s="184"/>
      <c r="F1291" s="184"/>
      <c r="G1291" s="184"/>
      <c r="H1291" s="184"/>
      <c r="I1291" s="184"/>
      <c r="J1291" s="184"/>
      <c r="K1291" s="184"/>
      <c r="L1291" s="184"/>
      <c r="M1291" s="184"/>
      <c r="N1291" s="184"/>
      <c r="O1291" s="184"/>
    </row>
    <row r="1292" customFormat="false" ht="15" hidden="false" customHeight="true" outlineLevel="0" collapsed="false">
      <c r="A1292" s="184"/>
      <c r="B1292" s="184"/>
      <c r="C1292" s="184"/>
      <c r="D1292" s="184"/>
      <c r="E1292" s="184"/>
      <c r="F1292" s="184"/>
      <c r="G1292" s="184"/>
      <c r="H1292" s="184"/>
      <c r="I1292" s="184"/>
      <c r="J1292" s="184"/>
      <c r="K1292" s="184"/>
      <c r="L1292" s="184"/>
      <c r="M1292" s="184"/>
      <c r="N1292" s="184"/>
      <c r="O1292" s="184"/>
    </row>
    <row r="1293" customFormat="false" ht="15" hidden="false" customHeight="true" outlineLevel="0" collapsed="false">
      <c r="A1293" s="184"/>
      <c r="B1293" s="184"/>
      <c r="C1293" s="184"/>
      <c r="D1293" s="184"/>
      <c r="E1293" s="184"/>
      <c r="F1293" s="184"/>
      <c r="G1293" s="184"/>
      <c r="H1293" s="184"/>
      <c r="I1293" s="184"/>
      <c r="J1293" s="184"/>
      <c r="K1293" s="184"/>
      <c r="L1293" s="184"/>
      <c r="M1293" s="184"/>
      <c r="N1293" s="184"/>
      <c r="O1293" s="184"/>
    </row>
    <row r="1294" customFormat="false" ht="15" hidden="false" customHeight="true" outlineLevel="0" collapsed="false">
      <c r="A1294" s="184"/>
      <c r="B1294" s="184"/>
      <c r="C1294" s="184"/>
      <c r="D1294" s="184"/>
      <c r="E1294" s="184"/>
      <c r="F1294" s="184"/>
      <c r="G1294" s="184"/>
      <c r="H1294" s="184"/>
      <c r="I1294" s="184"/>
      <c r="J1294" s="184"/>
      <c r="K1294" s="184"/>
      <c r="L1294" s="184"/>
      <c r="M1294" s="184"/>
      <c r="N1294" s="184"/>
      <c r="O1294" s="184"/>
    </row>
    <row r="1295" customFormat="false" ht="15" hidden="false" customHeight="true" outlineLevel="0" collapsed="false">
      <c r="A1295" s="184"/>
      <c r="B1295" s="184"/>
      <c r="C1295" s="184"/>
      <c r="D1295" s="184"/>
      <c r="E1295" s="184"/>
      <c r="F1295" s="184"/>
      <c r="G1295" s="184"/>
      <c r="H1295" s="184"/>
      <c r="I1295" s="184"/>
      <c r="J1295" s="184"/>
      <c r="K1295" s="184"/>
      <c r="L1295" s="184"/>
      <c r="M1295" s="184"/>
      <c r="N1295" s="184"/>
      <c r="O1295" s="184"/>
    </row>
    <row r="1296" customFormat="false" ht="15" hidden="false" customHeight="true" outlineLevel="0" collapsed="false">
      <c r="A1296" s="184"/>
      <c r="B1296" s="184"/>
      <c r="C1296" s="184"/>
      <c r="D1296" s="184"/>
      <c r="E1296" s="184"/>
      <c r="F1296" s="184"/>
      <c r="G1296" s="184"/>
      <c r="H1296" s="184"/>
      <c r="I1296" s="184"/>
      <c r="J1296" s="184"/>
      <c r="K1296" s="184"/>
      <c r="L1296" s="184"/>
      <c r="M1296" s="184"/>
      <c r="N1296" s="184"/>
      <c r="O1296" s="184"/>
    </row>
    <row r="1297" customFormat="false" ht="15" hidden="false" customHeight="true" outlineLevel="0" collapsed="false">
      <c r="A1297" s="184"/>
      <c r="B1297" s="184"/>
      <c r="C1297" s="184"/>
      <c r="D1297" s="184"/>
      <c r="E1297" s="184"/>
      <c r="F1297" s="184"/>
      <c r="G1297" s="184"/>
      <c r="H1297" s="184"/>
      <c r="I1297" s="184"/>
      <c r="J1297" s="184"/>
      <c r="K1297" s="184"/>
      <c r="L1297" s="184"/>
      <c r="M1297" s="184"/>
      <c r="N1297" s="184"/>
      <c r="O1297" s="184"/>
    </row>
    <row r="1298" customFormat="false" ht="15" hidden="false" customHeight="true" outlineLevel="0" collapsed="false">
      <c r="A1298" s="184"/>
      <c r="B1298" s="184"/>
      <c r="C1298" s="184"/>
      <c r="D1298" s="184"/>
      <c r="E1298" s="184"/>
      <c r="F1298" s="184"/>
      <c r="G1298" s="184"/>
      <c r="H1298" s="184"/>
      <c r="I1298" s="184"/>
      <c r="J1298" s="184"/>
      <c r="K1298" s="184"/>
      <c r="L1298" s="184"/>
      <c r="M1298" s="184"/>
      <c r="N1298" s="184"/>
      <c r="O1298" s="184"/>
    </row>
    <row r="1299" customFormat="false" ht="15" hidden="false" customHeight="true" outlineLevel="0" collapsed="false">
      <c r="A1299" s="184"/>
      <c r="B1299" s="184"/>
      <c r="C1299" s="184"/>
      <c r="D1299" s="184"/>
      <c r="E1299" s="184"/>
      <c r="F1299" s="184"/>
      <c r="G1299" s="184"/>
      <c r="H1299" s="184"/>
      <c r="I1299" s="184"/>
      <c r="J1299" s="184"/>
      <c r="K1299" s="184"/>
      <c r="L1299" s="184"/>
      <c r="M1299" s="184"/>
      <c r="N1299" s="184"/>
      <c r="O1299" s="184"/>
    </row>
    <row r="1300" customFormat="false" ht="15" hidden="false" customHeight="true" outlineLevel="0" collapsed="false">
      <c r="A1300" s="184"/>
      <c r="B1300" s="184"/>
      <c r="C1300" s="184"/>
      <c r="D1300" s="184"/>
      <c r="E1300" s="184"/>
      <c r="F1300" s="184"/>
      <c r="G1300" s="184"/>
      <c r="H1300" s="184"/>
      <c r="I1300" s="184"/>
      <c r="J1300" s="184"/>
      <c r="K1300" s="184"/>
      <c r="L1300" s="184"/>
      <c r="M1300" s="184"/>
      <c r="N1300" s="184"/>
      <c r="O1300" s="184"/>
    </row>
    <row r="1301" customFormat="false" ht="15" hidden="false" customHeight="true" outlineLevel="0" collapsed="false">
      <c r="A1301" s="184"/>
      <c r="B1301" s="184"/>
      <c r="C1301" s="184"/>
      <c r="D1301" s="184"/>
      <c r="E1301" s="184"/>
      <c r="F1301" s="184"/>
      <c r="G1301" s="184"/>
      <c r="H1301" s="184"/>
      <c r="I1301" s="184"/>
      <c r="J1301" s="184"/>
      <c r="K1301" s="184"/>
      <c r="L1301" s="184"/>
      <c r="M1301" s="184"/>
      <c r="N1301" s="184"/>
      <c r="O1301" s="184"/>
    </row>
    <row r="1302" customFormat="false" ht="15" hidden="false" customHeight="true" outlineLevel="0" collapsed="false">
      <c r="A1302" s="184"/>
      <c r="B1302" s="184"/>
      <c r="C1302" s="184"/>
      <c r="D1302" s="184"/>
      <c r="E1302" s="184"/>
      <c r="F1302" s="184"/>
      <c r="G1302" s="184"/>
      <c r="H1302" s="184"/>
      <c r="I1302" s="184"/>
      <c r="J1302" s="184"/>
      <c r="K1302" s="184"/>
      <c r="L1302" s="184"/>
      <c r="M1302" s="184"/>
      <c r="N1302" s="184"/>
      <c r="O1302" s="184"/>
    </row>
    <row r="1303" customFormat="false" ht="15" hidden="false" customHeight="true" outlineLevel="0" collapsed="false">
      <c r="A1303" s="184"/>
      <c r="B1303" s="184"/>
      <c r="C1303" s="184"/>
      <c r="D1303" s="184"/>
      <c r="E1303" s="184"/>
      <c r="F1303" s="184"/>
      <c r="G1303" s="184"/>
      <c r="H1303" s="184"/>
      <c r="I1303" s="184"/>
      <c r="J1303" s="184"/>
      <c r="K1303" s="184"/>
      <c r="L1303" s="184"/>
      <c r="M1303" s="184"/>
      <c r="N1303" s="184"/>
      <c r="O1303" s="184"/>
    </row>
    <row r="1304" customFormat="false" ht="15" hidden="false" customHeight="true" outlineLevel="0" collapsed="false">
      <c r="A1304" s="184"/>
      <c r="B1304" s="184"/>
      <c r="C1304" s="184"/>
      <c r="D1304" s="184"/>
      <c r="E1304" s="184"/>
      <c r="F1304" s="184"/>
      <c r="G1304" s="184"/>
      <c r="H1304" s="184"/>
      <c r="I1304" s="184"/>
      <c r="J1304" s="184"/>
      <c r="K1304" s="184"/>
      <c r="L1304" s="184"/>
      <c r="M1304" s="184"/>
      <c r="N1304" s="184"/>
      <c r="O1304" s="184"/>
    </row>
    <row r="1305" customFormat="false" ht="15" hidden="false" customHeight="true" outlineLevel="0" collapsed="false">
      <c r="A1305" s="184"/>
      <c r="B1305" s="184"/>
      <c r="C1305" s="184"/>
      <c r="D1305" s="184"/>
      <c r="E1305" s="184"/>
      <c r="F1305" s="184"/>
      <c r="G1305" s="184"/>
      <c r="H1305" s="184"/>
      <c r="I1305" s="184"/>
      <c r="J1305" s="184"/>
      <c r="K1305" s="184"/>
      <c r="L1305" s="184"/>
      <c r="M1305" s="184"/>
      <c r="N1305" s="184"/>
      <c r="O1305" s="184"/>
    </row>
    <row r="1306" customFormat="false" ht="15" hidden="false" customHeight="true" outlineLevel="0" collapsed="false">
      <c r="A1306" s="184"/>
      <c r="B1306" s="184"/>
      <c r="C1306" s="184"/>
      <c r="D1306" s="184"/>
      <c r="E1306" s="184"/>
      <c r="F1306" s="184"/>
      <c r="G1306" s="184"/>
      <c r="H1306" s="184"/>
      <c r="I1306" s="184"/>
      <c r="J1306" s="184"/>
      <c r="K1306" s="184"/>
      <c r="L1306" s="184"/>
      <c r="M1306" s="184"/>
      <c r="N1306" s="184"/>
      <c r="O1306" s="184"/>
    </row>
    <row r="1307" customFormat="false" ht="15" hidden="false" customHeight="true" outlineLevel="0" collapsed="false">
      <c r="A1307" s="184"/>
      <c r="B1307" s="184"/>
      <c r="C1307" s="184"/>
      <c r="D1307" s="184"/>
      <c r="E1307" s="184"/>
      <c r="F1307" s="184"/>
      <c r="G1307" s="184"/>
      <c r="H1307" s="184"/>
      <c r="I1307" s="184"/>
      <c r="J1307" s="184"/>
      <c r="K1307" s="184"/>
      <c r="L1307" s="184"/>
      <c r="M1307" s="184"/>
      <c r="N1307" s="184"/>
      <c r="O1307" s="184"/>
    </row>
    <row r="1308" customFormat="false" ht="15" hidden="false" customHeight="true" outlineLevel="0" collapsed="false">
      <c r="A1308" s="184"/>
      <c r="B1308" s="184"/>
      <c r="C1308" s="184"/>
      <c r="D1308" s="184"/>
      <c r="E1308" s="184"/>
      <c r="F1308" s="184"/>
      <c r="G1308" s="184"/>
      <c r="H1308" s="184"/>
      <c r="I1308" s="184"/>
      <c r="J1308" s="184"/>
      <c r="K1308" s="184"/>
      <c r="L1308" s="184"/>
      <c r="M1308" s="184"/>
      <c r="N1308" s="184"/>
      <c r="O1308" s="184"/>
    </row>
    <row r="1309" customFormat="false" ht="15" hidden="false" customHeight="true" outlineLevel="0" collapsed="false">
      <c r="A1309" s="184"/>
      <c r="B1309" s="184"/>
      <c r="C1309" s="184"/>
      <c r="D1309" s="184"/>
      <c r="E1309" s="184"/>
      <c r="F1309" s="184"/>
      <c r="G1309" s="184"/>
      <c r="H1309" s="184"/>
      <c r="I1309" s="184"/>
      <c r="J1309" s="184"/>
      <c r="K1309" s="184"/>
      <c r="L1309" s="184"/>
      <c r="M1309" s="184"/>
      <c r="N1309" s="184"/>
      <c r="O1309" s="184"/>
    </row>
    <row r="1310" customFormat="false" ht="15" hidden="false" customHeight="true" outlineLevel="0" collapsed="false">
      <c r="A1310" s="184"/>
      <c r="B1310" s="184"/>
      <c r="C1310" s="184"/>
      <c r="D1310" s="184"/>
      <c r="E1310" s="184"/>
      <c r="F1310" s="184"/>
      <c r="G1310" s="184"/>
      <c r="H1310" s="184"/>
      <c r="I1310" s="184"/>
      <c r="J1310" s="184"/>
      <c r="K1310" s="184"/>
      <c r="L1310" s="184"/>
      <c r="M1310" s="184"/>
      <c r="N1310" s="184"/>
      <c r="O1310" s="184"/>
    </row>
    <row r="1311" customFormat="false" ht="15" hidden="false" customHeight="true" outlineLevel="0" collapsed="false">
      <c r="A1311" s="184"/>
      <c r="B1311" s="184"/>
      <c r="C1311" s="184"/>
      <c r="D1311" s="184"/>
      <c r="E1311" s="184"/>
      <c r="F1311" s="184"/>
      <c r="G1311" s="184"/>
      <c r="H1311" s="184"/>
      <c r="I1311" s="184"/>
      <c r="J1311" s="184"/>
      <c r="K1311" s="184"/>
      <c r="L1311" s="184"/>
      <c r="M1311" s="184"/>
      <c r="N1311" s="184"/>
      <c r="O1311" s="184"/>
    </row>
    <row r="1312" customFormat="false" ht="15" hidden="false" customHeight="true" outlineLevel="0" collapsed="false">
      <c r="A1312" s="184"/>
      <c r="B1312" s="184"/>
      <c r="C1312" s="184"/>
      <c r="D1312" s="184"/>
      <c r="E1312" s="184"/>
      <c r="F1312" s="184"/>
      <c r="G1312" s="184"/>
      <c r="H1312" s="184"/>
      <c r="I1312" s="184"/>
      <c r="J1312" s="184"/>
      <c r="K1312" s="184"/>
      <c r="L1312" s="184"/>
      <c r="M1312" s="184"/>
      <c r="N1312" s="184"/>
      <c r="O1312" s="184"/>
    </row>
    <row r="1313" customFormat="false" ht="15" hidden="false" customHeight="true" outlineLevel="0" collapsed="false">
      <c r="A1313" s="184"/>
      <c r="B1313" s="184"/>
      <c r="C1313" s="184"/>
      <c r="D1313" s="184"/>
      <c r="E1313" s="184"/>
      <c r="F1313" s="184"/>
      <c r="G1313" s="184"/>
      <c r="H1313" s="184"/>
      <c r="I1313" s="184"/>
      <c r="J1313" s="184"/>
      <c r="K1313" s="184"/>
      <c r="L1313" s="184"/>
      <c r="M1313" s="184"/>
      <c r="N1313" s="184"/>
      <c r="O1313" s="184"/>
    </row>
    <row r="1314" customFormat="false" ht="15" hidden="false" customHeight="true" outlineLevel="0" collapsed="false">
      <c r="A1314" s="184"/>
      <c r="B1314" s="184"/>
      <c r="C1314" s="184"/>
      <c r="D1314" s="184"/>
      <c r="E1314" s="184"/>
      <c r="F1314" s="184"/>
      <c r="G1314" s="184"/>
      <c r="H1314" s="184"/>
      <c r="I1314" s="184"/>
      <c r="J1314" s="184"/>
      <c r="K1314" s="184"/>
      <c r="L1314" s="184"/>
      <c r="M1314" s="184"/>
      <c r="N1314" s="184"/>
      <c r="O1314" s="184"/>
    </row>
    <row r="1315" customFormat="false" ht="15" hidden="false" customHeight="true" outlineLevel="0" collapsed="false">
      <c r="A1315" s="184"/>
      <c r="B1315" s="184"/>
      <c r="C1315" s="184"/>
      <c r="D1315" s="184"/>
      <c r="E1315" s="184"/>
      <c r="F1315" s="184"/>
      <c r="G1315" s="184"/>
      <c r="H1315" s="184"/>
      <c r="I1315" s="184"/>
      <c r="J1315" s="184"/>
      <c r="K1315" s="184"/>
      <c r="L1315" s="184"/>
      <c r="M1315" s="184"/>
      <c r="N1315" s="184"/>
      <c r="O1315" s="184"/>
    </row>
    <row r="1316" customFormat="false" ht="15" hidden="false" customHeight="true" outlineLevel="0" collapsed="false">
      <c r="A1316" s="184"/>
      <c r="B1316" s="184"/>
      <c r="C1316" s="184"/>
      <c r="D1316" s="184"/>
      <c r="E1316" s="184"/>
      <c r="F1316" s="184"/>
      <c r="G1316" s="184"/>
      <c r="H1316" s="184"/>
      <c r="I1316" s="184"/>
      <c r="J1316" s="184"/>
      <c r="K1316" s="184"/>
      <c r="L1316" s="184"/>
      <c r="M1316" s="184"/>
      <c r="N1316" s="184"/>
      <c r="O1316" s="184"/>
    </row>
    <row r="1317" customFormat="false" ht="15" hidden="false" customHeight="true" outlineLevel="0" collapsed="false">
      <c r="A1317" s="184"/>
      <c r="B1317" s="184"/>
      <c r="C1317" s="184"/>
      <c r="D1317" s="184"/>
      <c r="E1317" s="184"/>
      <c r="F1317" s="184"/>
      <c r="G1317" s="184"/>
      <c r="H1317" s="184"/>
      <c r="I1317" s="184"/>
      <c r="J1317" s="184"/>
      <c r="K1317" s="184"/>
      <c r="L1317" s="184"/>
      <c r="M1317" s="184"/>
      <c r="N1317" s="184"/>
      <c r="O1317" s="184"/>
    </row>
    <row r="1318" customFormat="false" ht="15" hidden="false" customHeight="true" outlineLevel="0" collapsed="false">
      <c r="A1318" s="184"/>
      <c r="B1318" s="184"/>
      <c r="C1318" s="184"/>
      <c r="D1318" s="184"/>
      <c r="E1318" s="184"/>
      <c r="F1318" s="184"/>
      <c r="G1318" s="184"/>
      <c r="H1318" s="184"/>
      <c r="I1318" s="184"/>
      <c r="J1318" s="184"/>
      <c r="K1318" s="184"/>
      <c r="L1318" s="184"/>
      <c r="M1318" s="184"/>
      <c r="N1318" s="184"/>
      <c r="O1318" s="184"/>
    </row>
    <row r="1319" customFormat="false" ht="15" hidden="false" customHeight="true" outlineLevel="0" collapsed="false">
      <c r="A1319" s="184"/>
      <c r="B1319" s="184"/>
      <c r="C1319" s="184"/>
      <c r="D1319" s="184"/>
      <c r="E1319" s="184"/>
      <c r="F1319" s="184"/>
      <c r="G1319" s="184"/>
      <c r="H1319" s="184"/>
      <c r="I1319" s="184"/>
      <c r="J1319" s="184"/>
      <c r="K1319" s="184"/>
      <c r="L1319" s="184"/>
      <c r="M1319" s="184"/>
      <c r="N1319" s="184"/>
      <c r="O1319" s="184"/>
    </row>
    <row r="1320" customFormat="false" ht="15" hidden="false" customHeight="true" outlineLevel="0" collapsed="false">
      <c r="A1320" s="184"/>
      <c r="B1320" s="184"/>
      <c r="C1320" s="184"/>
      <c r="D1320" s="184"/>
      <c r="E1320" s="184"/>
      <c r="F1320" s="184"/>
      <c r="G1320" s="184"/>
      <c r="H1320" s="184"/>
      <c r="I1320" s="184"/>
      <c r="J1320" s="184"/>
      <c r="K1320" s="184"/>
      <c r="L1320" s="184"/>
      <c r="M1320" s="184"/>
      <c r="N1320" s="184"/>
      <c r="O1320" s="184"/>
    </row>
    <row r="1321" customFormat="false" ht="15" hidden="false" customHeight="true" outlineLevel="0" collapsed="false">
      <c r="A1321" s="184"/>
      <c r="B1321" s="184"/>
      <c r="C1321" s="184"/>
      <c r="D1321" s="184"/>
      <c r="E1321" s="184"/>
      <c r="F1321" s="184"/>
      <c r="G1321" s="184"/>
      <c r="H1321" s="184"/>
      <c r="I1321" s="184"/>
      <c r="J1321" s="184"/>
      <c r="K1321" s="184"/>
      <c r="L1321" s="184"/>
      <c r="M1321" s="184"/>
      <c r="N1321" s="184"/>
      <c r="O1321" s="184"/>
    </row>
    <row r="1322" customFormat="false" ht="15" hidden="false" customHeight="true" outlineLevel="0" collapsed="false">
      <c r="A1322" s="184"/>
      <c r="B1322" s="184"/>
      <c r="C1322" s="184"/>
      <c r="D1322" s="184"/>
      <c r="E1322" s="184"/>
      <c r="F1322" s="184"/>
      <c r="G1322" s="184"/>
      <c r="H1322" s="184"/>
      <c r="I1322" s="184"/>
      <c r="J1322" s="184"/>
      <c r="K1322" s="184"/>
      <c r="L1322" s="184"/>
      <c r="M1322" s="184"/>
      <c r="N1322" s="184"/>
      <c r="O1322" s="184"/>
    </row>
    <row r="1323" customFormat="false" ht="15" hidden="false" customHeight="true" outlineLevel="0" collapsed="false">
      <c r="A1323" s="184"/>
      <c r="B1323" s="184"/>
      <c r="C1323" s="184"/>
      <c r="D1323" s="184"/>
      <c r="E1323" s="184"/>
      <c r="F1323" s="184"/>
      <c r="G1323" s="184"/>
      <c r="H1323" s="184"/>
      <c r="I1323" s="184"/>
      <c r="J1323" s="184"/>
      <c r="K1323" s="184"/>
      <c r="L1323" s="184"/>
      <c r="M1323" s="184"/>
      <c r="N1323" s="184"/>
      <c r="O1323" s="184"/>
    </row>
    <row r="1324" customFormat="false" ht="15" hidden="false" customHeight="true" outlineLevel="0" collapsed="false">
      <c r="A1324" s="184"/>
      <c r="B1324" s="184"/>
      <c r="C1324" s="184"/>
      <c r="D1324" s="184"/>
      <c r="E1324" s="184"/>
      <c r="F1324" s="184"/>
      <c r="G1324" s="184"/>
      <c r="H1324" s="184"/>
      <c r="I1324" s="184"/>
      <c r="J1324" s="184"/>
      <c r="K1324" s="184"/>
      <c r="L1324" s="184"/>
      <c r="M1324" s="184"/>
      <c r="N1324" s="184"/>
      <c r="O1324" s="184"/>
    </row>
    <row r="1325" customFormat="false" ht="15" hidden="false" customHeight="true" outlineLevel="0" collapsed="false">
      <c r="A1325" s="184"/>
      <c r="B1325" s="184"/>
      <c r="C1325" s="184"/>
      <c r="D1325" s="184"/>
      <c r="E1325" s="184"/>
      <c r="F1325" s="184"/>
      <c r="G1325" s="184"/>
      <c r="H1325" s="184"/>
      <c r="I1325" s="184"/>
      <c r="J1325" s="184"/>
      <c r="K1325" s="184"/>
      <c r="L1325" s="184"/>
      <c r="M1325" s="184"/>
      <c r="N1325" s="184"/>
      <c r="O1325" s="184"/>
    </row>
    <row r="1326" customFormat="false" ht="15" hidden="false" customHeight="true" outlineLevel="0" collapsed="false">
      <c r="A1326" s="184"/>
      <c r="B1326" s="184"/>
      <c r="C1326" s="184"/>
      <c r="D1326" s="184"/>
      <c r="E1326" s="184"/>
      <c r="F1326" s="184"/>
      <c r="G1326" s="184"/>
      <c r="H1326" s="184"/>
      <c r="I1326" s="184"/>
      <c r="J1326" s="184"/>
      <c r="K1326" s="184"/>
      <c r="L1326" s="184"/>
      <c r="M1326" s="184"/>
      <c r="N1326" s="184"/>
      <c r="O1326" s="184"/>
    </row>
    <row r="1327" customFormat="false" ht="15" hidden="false" customHeight="true" outlineLevel="0" collapsed="false">
      <c r="A1327" s="184"/>
      <c r="B1327" s="184"/>
      <c r="C1327" s="184"/>
      <c r="D1327" s="184"/>
      <c r="E1327" s="184"/>
      <c r="F1327" s="184"/>
      <c r="G1327" s="184"/>
      <c r="H1327" s="184"/>
      <c r="I1327" s="184"/>
      <c r="J1327" s="184"/>
      <c r="K1327" s="184"/>
      <c r="L1327" s="184"/>
      <c r="M1327" s="184"/>
      <c r="N1327" s="184"/>
      <c r="O1327" s="184"/>
    </row>
    <row r="1328" customFormat="false" ht="15" hidden="false" customHeight="true" outlineLevel="0" collapsed="false">
      <c r="A1328" s="184"/>
      <c r="B1328" s="184"/>
      <c r="C1328" s="184"/>
      <c r="D1328" s="184"/>
      <c r="E1328" s="184"/>
      <c r="F1328" s="184"/>
      <c r="G1328" s="184"/>
      <c r="H1328" s="184"/>
      <c r="I1328" s="184"/>
      <c r="J1328" s="184"/>
      <c r="K1328" s="184"/>
      <c r="L1328" s="184"/>
      <c r="M1328" s="184"/>
      <c r="N1328" s="184"/>
      <c r="O1328" s="184"/>
    </row>
    <row r="1329" customFormat="false" ht="15" hidden="false" customHeight="true" outlineLevel="0" collapsed="false">
      <c r="A1329" s="184"/>
      <c r="B1329" s="184"/>
      <c r="C1329" s="184"/>
      <c r="D1329" s="184"/>
      <c r="E1329" s="184"/>
      <c r="F1329" s="184"/>
      <c r="G1329" s="184"/>
      <c r="H1329" s="184"/>
      <c r="I1329" s="184"/>
      <c r="J1329" s="184"/>
      <c r="K1329" s="184"/>
      <c r="L1329" s="184"/>
      <c r="M1329" s="184"/>
      <c r="N1329" s="184"/>
      <c r="O1329" s="184"/>
    </row>
    <row r="1330" customFormat="false" ht="15" hidden="false" customHeight="true" outlineLevel="0" collapsed="false">
      <c r="A1330" s="184"/>
      <c r="B1330" s="184"/>
      <c r="C1330" s="184"/>
      <c r="D1330" s="184"/>
      <c r="E1330" s="184"/>
      <c r="F1330" s="184"/>
      <c r="G1330" s="184"/>
      <c r="H1330" s="184"/>
      <c r="I1330" s="184"/>
      <c r="J1330" s="184"/>
      <c r="K1330" s="184"/>
      <c r="L1330" s="184"/>
      <c r="M1330" s="184"/>
      <c r="N1330" s="184"/>
      <c r="O1330" s="184"/>
    </row>
    <row r="1331" customFormat="false" ht="15" hidden="false" customHeight="true" outlineLevel="0" collapsed="false">
      <c r="A1331" s="184"/>
      <c r="B1331" s="184"/>
      <c r="C1331" s="184"/>
      <c r="D1331" s="184"/>
      <c r="E1331" s="184"/>
      <c r="F1331" s="184"/>
      <c r="G1331" s="184"/>
      <c r="H1331" s="184"/>
      <c r="I1331" s="184"/>
      <c r="J1331" s="184"/>
      <c r="K1331" s="184"/>
      <c r="L1331" s="184"/>
      <c r="M1331" s="184"/>
      <c r="N1331" s="184"/>
      <c r="O1331" s="184"/>
    </row>
    <row r="1332" customFormat="false" ht="15" hidden="false" customHeight="true" outlineLevel="0" collapsed="false">
      <c r="A1332" s="184"/>
      <c r="B1332" s="184"/>
      <c r="C1332" s="184"/>
      <c r="D1332" s="184"/>
      <c r="E1332" s="184"/>
      <c r="F1332" s="184"/>
      <c r="G1332" s="184"/>
      <c r="H1332" s="184"/>
      <c r="I1332" s="184"/>
      <c r="J1332" s="184"/>
      <c r="K1332" s="184"/>
      <c r="L1332" s="184"/>
      <c r="M1332" s="184"/>
      <c r="N1332" s="184"/>
      <c r="O1332" s="184"/>
    </row>
    <row r="1333" customFormat="false" ht="15" hidden="false" customHeight="true" outlineLevel="0" collapsed="false">
      <c r="A1333" s="184"/>
      <c r="B1333" s="184"/>
      <c r="C1333" s="184"/>
      <c r="D1333" s="184"/>
      <c r="E1333" s="184"/>
      <c r="F1333" s="184"/>
      <c r="G1333" s="184"/>
      <c r="H1333" s="184"/>
      <c r="I1333" s="184"/>
      <c r="J1333" s="184"/>
      <c r="K1333" s="184"/>
      <c r="L1333" s="184"/>
      <c r="M1333" s="184"/>
      <c r="N1333" s="184"/>
      <c r="O1333" s="184"/>
    </row>
    <row r="1334" customFormat="false" ht="15" hidden="false" customHeight="true" outlineLevel="0" collapsed="false">
      <c r="A1334" s="184"/>
      <c r="B1334" s="184"/>
      <c r="C1334" s="184"/>
      <c r="D1334" s="184"/>
      <c r="E1334" s="184"/>
      <c r="F1334" s="184"/>
      <c r="G1334" s="184"/>
      <c r="H1334" s="184"/>
      <c r="I1334" s="184"/>
      <c r="J1334" s="184"/>
      <c r="K1334" s="184"/>
      <c r="L1334" s="184"/>
      <c r="M1334" s="184"/>
      <c r="N1334" s="184"/>
      <c r="O1334" s="184"/>
    </row>
    <row r="1335" customFormat="false" ht="15" hidden="false" customHeight="true" outlineLevel="0" collapsed="false">
      <c r="A1335" s="184"/>
      <c r="B1335" s="184"/>
      <c r="C1335" s="184"/>
      <c r="D1335" s="184"/>
      <c r="E1335" s="184"/>
      <c r="F1335" s="184"/>
      <c r="G1335" s="184"/>
      <c r="H1335" s="184"/>
      <c r="I1335" s="184"/>
      <c r="J1335" s="184"/>
      <c r="K1335" s="184"/>
      <c r="L1335" s="184"/>
      <c r="M1335" s="184"/>
      <c r="N1335" s="184"/>
      <c r="O1335" s="184"/>
    </row>
    <row r="1336" customFormat="false" ht="15" hidden="false" customHeight="true" outlineLevel="0" collapsed="false">
      <c r="A1336" s="184"/>
      <c r="B1336" s="184"/>
      <c r="C1336" s="184"/>
      <c r="D1336" s="184"/>
      <c r="E1336" s="184"/>
      <c r="F1336" s="184"/>
      <c r="G1336" s="184"/>
      <c r="H1336" s="184"/>
      <c r="I1336" s="184"/>
      <c r="J1336" s="184"/>
      <c r="K1336" s="184"/>
      <c r="L1336" s="184"/>
      <c r="M1336" s="184"/>
      <c r="N1336" s="184"/>
      <c r="O1336" s="184"/>
    </row>
    <row r="1337" customFormat="false" ht="15" hidden="false" customHeight="true" outlineLevel="0" collapsed="false">
      <c r="A1337" s="184"/>
      <c r="B1337" s="184"/>
      <c r="C1337" s="184"/>
      <c r="D1337" s="184"/>
      <c r="E1337" s="184"/>
      <c r="F1337" s="184"/>
      <c r="G1337" s="184"/>
      <c r="H1337" s="184"/>
      <c r="I1337" s="184"/>
      <c r="J1337" s="184"/>
      <c r="K1337" s="184"/>
      <c r="L1337" s="184"/>
      <c r="M1337" s="184"/>
      <c r="N1337" s="184"/>
      <c r="O1337" s="184"/>
    </row>
    <row r="1338" customFormat="false" ht="15" hidden="false" customHeight="true" outlineLevel="0" collapsed="false">
      <c r="A1338" s="184"/>
      <c r="B1338" s="184"/>
      <c r="C1338" s="184"/>
      <c r="D1338" s="184"/>
      <c r="E1338" s="184"/>
      <c r="F1338" s="184"/>
      <c r="G1338" s="184"/>
      <c r="H1338" s="184"/>
      <c r="I1338" s="184"/>
      <c r="J1338" s="184"/>
      <c r="K1338" s="184"/>
      <c r="L1338" s="184"/>
      <c r="M1338" s="184"/>
      <c r="N1338" s="184"/>
      <c r="O1338" s="184"/>
    </row>
    <row r="1339" customFormat="false" ht="15" hidden="false" customHeight="true" outlineLevel="0" collapsed="false">
      <c r="A1339" s="184"/>
      <c r="B1339" s="184"/>
      <c r="C1339" s="184"/>
      <c r="D1339" s="184"/>
      <c r="E1339" s="184"/>
      <c r="F1339" s="184"/>
      <c r="G1339" s="184"/>
      <c r="H1339" s="184"/>
      <c r="I1339" s="184"/>
      <c r="J1339" s="184"/>
      <c r="K1339" s="184"/>
      <c r="L1339" s="184"/>
      <c r="M1339" s="184"/>
      <c r="N1339" s="184"/>
      <c r="O1339" s="184"/>
    </row>
    <row r="1340" customFormat="false" ht="15" hidden="false" customHeight="true" outlineLevel="0" collapsed="false">
      <c r="A1340" s="184"/>
      <c r="B1340" s="184"/>
      <c r="C1340" s="184"/>
      <c r="D1340" s="184"/>
      <c r="E1340" s="184"/>
      <c r="F1340" s="184"/>
      <c r="G1340" s="184"/>
      <c r="H1340" s="184"/>
      <c r="I1340" s="184"/>
      <c r="J1340" s="184"/>
      <c r="K1340" s="184"/>
      <c r="L1340" s="184"/>
      <c r="M1340" s="184"/>
      <c r="N1340" s="184"/>
      <c r="O1340" s="184"/>
    </row>
    <row r="1341" customFormat="false" ht="15" hidden="false" customHeight="true" outlineLevel="0" collapsed="false">
      <c r="A1341" s="184"/>
      <c r="B1341" s="184"/>
      <c r="C1341" s="184"/>
      <c r="D1341" s="184"/>
      <c r="E1341" s="184"/>
      <c r="F1341" s="184"/>
      <c r="G1341" s="184"/>
      <c r="H1341" s="184"/>
      <c r="I1341" s="184"/>
      <c r="J1341" s="184"/>
      <c r="K1341" s="184"/>
      <c r="L1341" s="184"/>
      <c r="M1341" s="184"/>
      <c r="N1341" s="184"/>
      <c r="O1341" s="184"/>
    </row>
    <row r="1342" customFormat="false" ht="15" hidden="false" customHeight="true" outlineLevel="0" collapsed="false">
      <c r="A1342" s="184"/>
      <c r="B1342" s="184"/>
      <c r="C1342" s="184"/>
      <c r="D1342" s="184"/>
      <c r="E1342" s="184"/>
      <c r="F1342" s="184"/>
      <c r="G1342" s="184"/>
      <c r="H1342" s="184"/>
      <c r="I1342" s="184"/>
      <c r="J1342" s="184"/>
      <c r="K1342" s="184"/>
      <c r="L1342" s="184"/>
      <c r="M1342" s="184"/>
      <c r="N1342" s="184"/>
      <c r="O1342" s="184"/>
    </row>
    <row r="1343" customFormat="false" ht="15" hidden="false" customHeight="true" outlineLevel="0" collapsed="false">
      <c r="A1343" s="184"/>
      <c r="B1343" s="184"/>
      <c r="C1343" s="184"/>
      <c r="D1343" s="184"/>
      <c r="E1343" s="184"/>
      <c r="F1343" s="184"/>
      <c r="G1343" s="184"/>
      <c r="H1343" s="184"/>
      <c r="I1343" s="184"/>
      <c r="J1343" s="184"/>
      <c r="K1343" s="184"/>
      <c r="L1343" s="184"/>
      <c r="M1343" s="184"/>
      <c r="N1343" s="184"/>
      <c r="O1343" s="184"/>
    </row>
    <row r="1344" customFormat="false" ht="15" hidden="false" customHeight="true" outlineLevel="0" collapsed="false">
      <c r="A1344" s="184"/>
      <c r="B1344" s="184"/>
      <c r="C1344" s="184"/>
      <c r="D1344" s="184"/>
      <c r="E1344" s="184"/>
      <c r="F1344" s="184"/>
      <c r="G1344" s="184"/>
      <c r="H1344" s="184"/>
      <c r="I1344" s="184"/>
      <c r="J1344" s="184"/>
      <c r="K1344" s="184"/>
      <c r="L1344" s="184"/>
      <c r="M1344" s="184"/>
      <c r="N1344" s="184"/>
      <c r="O1344" s="184"/>
    </row>
    <row r="1345" customFormat="false" ht="15" hidden="false" customHeight="true" outlineLevel="0" collapsed="false">
      <c r="A1345" s="184"/>
      <c r="B1345" s="184"/>
      <c r="C1345" s="184"/>
      <c r="D1345" s="184"/>
      <c r="E1345" s="184"/>
      <c r="F1345" s="184"/>
      <c r="G1345" s="184"/>
      <c r="H1345" s="184"/>
      <c r="I1345" s="184"/>
      <c r="J1345" s="184"/>
      <c r="K1345" s="184"/>
      <c r="L1345" s="184"/>
      <c r="M1345" s="184"/>
      <c r="N1345" s="184"/>
      <c r="O1345" s="184"/>
    </row>
    <row r="1346" customFormat="false" ht="15" hidden="false" customHeight="true" outlineLevel="0" collapsed="false">
      <c r="A1346" s="184"/>
      <c r="B1346" s="184"/>
      <c r="C1346" s="184"/>
      <c r="D1346" s="184"/>
      <c r="E1346" s="184"/>
      <c r="F1346" s="184"/>
      <c r="G1346" s="184"/>
      <c r="H1346" s="184"/>
      <c r="I1346" s="184"/>
      <c r="J1346" s="184"/>
      <c r="K1346" s="184"/>
      <c r="L1346" s="184"/>
      <c r="M1346" s="184"/>
      <c r="N1346" s="184"/>
      <c r="O1346" s="184"/>
    </row>
    <row r="1347" customFormat="false" ht="15" hidden="false" customHeight="true" outlineLevel="0" collapsed="false">
      <c r="A1347" s="184"/>
      <c r="B1347" s="184"/>
      <c r="C1347" s="184"/>
      <c r="D1347" s="184"/>
      <c r="E1347" s="184"/>
      <c r="F1347" s="184"/>
      <c r="G1347" s="184"/>
      <c r="H1347" s="184"/>
      <c r="I1347" s="184"/>
      <c r="J1347" s="184"/>
      <c r="K1347" s="184"/>
      <c r="L1347" s="184"/>
      <c r="M1347" s="184"/>
      <c r="N1347" s="184"/>
      <c r="O1347" s="184"/>
    </row>
    <row r="1348" customFormat="false" ht="15" hidden="false" customHeight="true" outlineLevel="0" collapsed="false">
      <c r="A1348" s="184"/>
      <c r="B1348" s="184"/>
      <c r="C1348" s="184"/>
      <c r="D1348" s="184"/>
      <c r="E1348" s="184"/>
      <c r="F1348" s="184"/>
      <c r="G1348" s="184"/>
      <c r="H1348" s="184"/>
      <c r="I1348" s="184"/>
      <c r="J1348" s="184"/>
      <c r="K1348" s="184"/>
      <c r="L1348" s="184"/>
      <c r="M1348" s="184"/>
      <c r="N1348" s="184"/>
      <c r="O1348" s="184"/>
    </row>
    <row r="1349" customFormat="false" ht="15" hidden="false" customHeight="true" outlineLevel="0" collapsed="false">
      <c r="A1349" s="184"/>
      <c r="B1349" s="184"/>
      <c r="C1349" s="184"/>
      <c r="D1349" s="184"/>
      <c r="E1349" s="184"/>
      <c r="F1349" s="184"/>
      <c r="G1349" s="184"/>
      <c r="H1349" s="184"/>
      <c r="I1349" s="184"/>
      <c r="J1349" s="184"/>
      <c r="K1349" s="184"/>
      <c r="L1349" s="184"/>
      <c r="M1349" s="184"/>
      <c r="N1349" s="184"/>
      <c r="O1349" s="184"/>
    </row>
    <row r="1350" customFormat="false" ht="27.75" hidden="false" customHeight="true" outlineLevel="0" collapsed="false">
      <c r="A1350" s="184" t="s">
        <v>6658</v>
      </c>
      <c r="B1350" s="184" t="s">
        <v>4913</v>
      </c>
      <c r="C1350" s="184" t="n">
        <v>1</v>
      </c>
      <c r="D1350" s="178" t="s">
        <v>5269</v>
      </c>
      <c r="E1350" s="184" t="s">
        <v>6289</v>
      </c>
      <c r="F1350" s="184"/>
      <c r="G1350" s="184"/>
      <c r="H1350" s="184"/>
      <c r="I1350" s="184"/>
      <c r="J1350" s="184"/>
      <c r="K1350" s="184"/>
      <c r="L1350" s="184"/>
      <c r="M1350" s="184" t="s">
        <v>6659</v>
      </c>
      <c r="N1350" s="184"/>
      <c r="O1350" s="184"/>
    </row>
    <row r="1351" customFormat="false" ht="27.75" hidden="false" customHeight="true" outlineLevel="0" collapsed="false">
      <c r="A1351" s="184" t="s">
        <v>6658</v>
      </c>
      <c r="B1351" s="184" t="s">
        <v>4913</v>
      </c>
      <c r="C1351" s="184" t="n">
        <v>2</v>
      </c>
      <c r="D1351" s="177" t="s">
        <v>6429</v>
      </c>
      <c r="E1351" s="184" t="s">
        <v>6728</v>
      </c>
      <c r="F1351" s="184"/>
      <c r="G1351" s="184"/>
      <c r="H1351" s="184"/>
      <c r="I1351" s="184"/>
      <c r="J1351" s="184"/>
      <c r="K1351" s="184"/>
      <c r="L1351" s="184"/>
      <c r="M1351" s="184"/>
      <c r="N1351" s="184"/>
      <c r="O1351" s="184"/>
    </row>
    <row r="1352" customFormat="false" ht="27.75" hidden="false" customHeight="true" outlineLevel="0" collapsed="false">
      <c r="A1352" s="184" t="s">
        <v>6658</v>
      </c>
      <c r="B1352" s="184" t="s">
        <v>4913</v>
      </c>
      <c r="C1352" s="184" t="n">
        <v>3</v>
      </c>
      <c r="D1352" s="179" t="s">
        <v>6292</v>
      </c>
      <c r="E1352" s="184" t="s">
        <v>6729</v>
      </c>
      <c r="F1352" s="184"/>
      <c r="G1352" s="184"/>
      <c r="H1352" s="184"/>
      <c r="I1352" s="184"/>
      <c r="J1352" s="184"/>
      <c r="K1352" s="184"/>
      <c r="L1352" s="184"/>
      <c r="M1352" s="184"/>
      <c r="N1352" s="184"/>
      <c r="O1352" s="184"/>
    </row>
    <row r="1353" customFormat="false" ht="27.75" hidden="false" customHeight="true" outlineLevel="0" collapsed="false">
      <c r="A1353" s="184" t="s">
        <v>6658</v>
      </c>
      <c r="B1353" s="184" t="s">
        <v>4913</v>
      </c>
      <c r="C1353" s="184" t="n">
        <v>4</v>
      </c>
      <c r="D1353" s="184" t="s">
        <v>6294</v>
      </c>
      <c r="E1353" s="184" t="s">
        <v>6679</v>
      </c>
      <c r="F1353" s="184"/>
      <c r="G1353" s="184"/>
      <c r="H1353" s="184"/>
      <c r="I1353" s="184"/>
      <c r="J1353" s="184"/>
      <c r="K1353" s="184"/>
      <c r="L1353" s="184"/>
      <c r="M1353" s="184"/>
      <c r="N1353" s="184"/>
      <c r="O1353" s="184"/>
    </row>
    <row r="1354" customFormat="false" ht="27.75" hidden="false" customHeight="true" outlineLevel="0" collapsed="false">
      <c r="A1354" s="184" t="s">
        <v>6658</v>
      </c>
      <c r="B1354" s="184" t="s">
        <v>4913</v>
      </c>
      <c r="C1354" s="184" t="n">
        <v>5</v>
      </c>
      <c r="D1354" s="174" t="s">
        <v>4848</v>
      </c>
      <c r="E1354" s="184" t="s">
        <v>6680</v>
      </c>
      <c r="F1354" s="184"/>
      <c r="G1354" s="184"/>
      <c r="H1354" s="184"/>
      <c r="I1354" s="184"/>
      <c r="J1354" s="184" t="s">
        <v>6681</v>
      </c>
      <c r="K1354" s="184"/>
      <c r="L1354" s="184" t="s">
        <v>6682</v>
      </c>
      <c r="M1354" s="184"/>
      <c r="N1354" s="184"/>
      <c r="O1354" s="184"/>
    </row>
    <row r="1355" customFormat="false" ht="41.25" hidden="false" customHeight="true" outlineLevel="0" collapsed="false">
      <c r="A1355" s="184" t="s">
        <v>6658</v>
      </c>
      <c r="B1355" s="184" t="s">
        <v>4913</v>
      </c>
      <c r="C1355" s="184" t="n">
        <v>6</v>
      </c>
      <c r="D1355" s="177" t="s">
        <v>6298</v>
      </c>
      <c r="E1355" s="184" t="s">
        <v>6683</v>
      </c>
      <c r="F1355" s="184"/>
      <c r="G1355" s="184"/>
      <c r="H1355" s="184"/>
      <c r="I1355" s="184"/>
      <c r="J1355" s="184"/>
      <c r="K1355" s="184"/>
      <c r="L1355" s="184"/>
      <c r="M1355" s="184"/>
      <c r="N1355" s="184"/>
      <c r="O1355" s="184"/>
    </row>
    <row r="1356" customFormat="false" ht="27.75" hidden="false" customHeight="true" outlineLevel="0" collapsed="false">
      <c r="A1356" s="184" t="s">
        <v>6658</v>
      </c>
      <c r="B1356" s="184" t="s">
        <v>4913</v>
      </c>
      <c r="C1356" s="184" t="n">
        <v>7</v>
      </c>
      <c r="D1356" s="184" t="s">
        <v>6296</v>
      </c>
      <c r="E1356" s="184" t="s">
        <v>6730</v>
      </c>
      <c r="F1356" s="184"/>
      <c r="G1356" s="184"/>
      <c r="H1356" s="184"/>
      <c r="I1356" s="184"/>
      <c r="J1356" s="184"/>
      <c r="K1356" s="184"/>
      <c r="L1356" s="184"/>
      <c r="M1356" s="184"/>
      <c r="N1356" s="184"/>
      <c r="O1356" s="184"/>
    </row>
    <row r="1357" customFormat="false" ht="41.25" hidden="false" customHeight="true" outlineLevel="0" collapsed="false">
      <c r="A1357" s="184" t="s">
        <v>6658</v>
      </c>
      <c r="B1357" s="184" t="s">
        <v>4913</v>
      </c>
      <c r="C1357" s="184" t="n">
        <v>8</v>
      </c>
      <c r="D1357" s="177" t="s">
        <v>6298</v>
      </c>
      <c r="E1357" s="184" t="s">
        <v>6685</v>
      </c>
      <c r="F1357" s="184"/>
      <c r="G1357" s="184"/>
      <c r="H1357" s="184"/>
      <c r="I1357" s="184"/>
      <c r="J1357" s="184"/>
      <c r="K1357" s="184"/>
      <c r="L1357" s="184"/>
      <c r="M1357" s="184"/>
      <c r="N1357" s="184"/>
      <c r="O1357" s="184"/>
    </row>
    <row r="1358" customFormat="false" ht="27.75" hidden="false" customHeight="true" outlineLevel="0" collapsed="false">
      <c r="A1358" s="184" t="s">
        <v>6658</v>
      </c>
      <c r="B1358" s="184" t="s">
        <v>4913</v>
      </c>
      <c r="C1358" s="184" t="n">
        <v>9</v>
      </c>
      <c r="D1358" s="178" t="s">
        <v>6457</v>
      </c>
      <c r="E1358" s="184" t="s">
        <v>6686</v>
      </c>
      <c r="F1358" s="184"/>
      <c r="G1358" s="184"/>
      <c r="H1358" s="184"/>
      <c r="I1358" s="184"/>
      <c r="J1358" s="184"/>
      <c r="K1358" s="184"/>
      <c r="L1358" s="184"/>
      <c r="M1358" s="184" t="s">
        <v>6731</v>
      </c>
      <c r="N1358" s="184"/>
      <c r="O1358" s="184"/>
    </row>
    <row r="1359" customFormat="false" ht="27.75" hidden="false" customHeight="true" outlineLevel="0" collapsed="false">
      <c r="A1359" s="184" t="s">
        <v>6658</v>
      </c>
      <c r="B1359" s="184" t="s">
        <v>4913</v>
      </c>
      <c r="C1359" s="184" t="n">
        <v>10</v>
      </c>
      <c r="D1359" s="178" t="s">
        <v>6457</v>
      </c>
      <c r="E1359" s="184" t="s">
        <v>6688</v>
      </c>
      <c r="F1359" s="184"/>
      <c r="G1359" s="184"/>
      <c r="H1359" s="184"/>
      <c r="I1359" s="184"/>
      <c r="J1359" s="184"/>
      <c r="K1359" s="184"/>
      <c r="L1359" s="184"/>
      <c r="M1359" s="184" t="s">
        <v>6732</v>
      </c>
      <c r="N1359" s="184"/>
      <c r="O1359" s="184"/>
    </row>
    <row r="1360" customFormat="false" ht="27.75" hidden="false" customHeight="true" outlineLevel="0" collapsed="false">
      <c r="A1360" s="184" t="s">
        <v>6658</v>
      </c>
      <c r="B1360" s="184" t="s">
        <v>4913</v>
      </c>
      <c r="C1360" s="184" t="n">
        <v>11</v>
      </c>
      <c r="D1360" s="184" t="s">
        <v>6296</v>
      </c>
      <c r="E1360" s="184" t="s">
        <v>6733</v>
      </c>
      <c r="F1360" s="184"/>
      <c r="G1360" s="184"/>
      <c r="H1360" s="184"/>
      <c r="I1360" s="184"/>
      <c r="J1360" s="184"/>
      <c r="K1360" s="184"/>
      <c r="L1360" s="184"/>
      <c r="M1360" s="184"/>
      <c r="N1360" s="184"/>
      <c r="O1360" s="184"/>
    </row>
    <row r="1361" customFormat="false" ht="27.75" hidden="false" customHeight="true" outlineLevel="0" collapsed="false">
      <c r="A1361" s="184" t="s">
        <v>6658</v>
      </c>
      <c r="B1361" s="184" t="s">
        <v>4913</v>
      </c>
      <c r="C1361" s="184" t="n">
        <v>12</v>
      </c>
      <c r="D1361" s="177" t="s">
        <v>6298</v>
      </c>
      <c r="E1361" s="184" t="s">
        <v>6734</v>
      </c>
      <c r="F1361" s="184"/>
      <c r="G1361" s="184"/>
      <c r="H1361" s="184"/>
      <c r="I1361" s="184"/>
      <c r="J1361" s="184"/>
      <c r="K1361" s="184"/>
      <c r="L1361" s="184"/>
      <c r="M1361" s="184"/>
      <c r="N1361" s="184"/>
      <c r="O1361" s="184"/>
    </row>
    <row r="1362" customFormat="false" ht="81.75" hidden="false" customHeight="true" outlineLevel="0" collapsed="false">
      <c r="A1362" s="184" t="s">
        <v>6658</v>
      </c>
      <c r="B1362" s="184" t="s">
        <v>4913</v>
      </c>
      <c r="C1362" s="184" t="n">
        <v>13</v>
      </c>
      <c r="D1362" s="174" t="s">
        <v>4848</v>
      </c>
      <c r="E1362" s="184" t="s">
        <v>2743</v>
      </c>
      <c r="F1362" s="184"/>
      <c r="G1362" s="184"/>
      <c r="H1362" s="184"/>
      <c r="I1362" s="184"/>
      <c r="J1362" s="184" t="s">
        <v>236</v>
      </c>
      <c r="K1362" s="184" t="s">
        <v>6735</v>
      </c>
      <c r="L1362" s="184" t="s">
        <v>5207</v>
      </c>
      <c r="M1362" s="184"/>
      <c r="N1362" s="184" t="s">
        <v>6736</v>
      </c>
      <c r="O1362" s="184"/>
    </row>
    <row r="1363" customFormat="false" ht="68.25" hidden="false" customHeight="true" outlineLevel="0" collapsed="false">
      <c r="A1363" s="184" t="s">
        <v>6658</v>
      </c>
      <c r="B1363" s="184" t="s">
        <v>4913</v>
      </c>
      <c r="C1363" s="184" t="n">
        <v>14</v>
      </c>
      <c r="D1363" s="174" t="s">
        <v>4846</v>
      </c>
      <c r="E1363" s="184" t="s">
        <v>1347</v>
      </c>
      <c r="F1363" s="184" t="s">
        <v>227</v>
      </c>
      <c r="G1363" s="184"/>
      <c r="H1363" s="184"/>
      <c r="I1363" s="184"/>
      <c r="J1363" s="184" t="s">
        <v>6737</v>
      </c>
      <c r="K1363" s="184" t="s">
        <v>6738</v>
      </c>
      <c r="L1363" s="184"/>
      <c r="M1363" s="184"/>
      <c r="N1363" s="184" t="s">
        <v>6739</v>
      </c>
      <c r="O1363" s="184"/>
    </row>
    <row r="1364" customFormat="false" ht="68.25" hidden="false" customHeight="true" outlineLevel="0" collapsed="false">
      <c r="A1364" s="184" t="s">
        <v>6658</v>
      </c>
      <c r="B1364" s="184" t="s">
        <v>4913</v>
      </c>
      <c r="C1364" s="184" t="n">
        <v>15</v>
      </c>
      <c r="D1364" s="174" t="s">
        <v>4846</v>
      </c>
      <c r="E1364" s="184" t="s">
        <v>319</v>
      </c>
      <c r="F1364" s="184" t="s">
        <v>227</v>
      </c>
      <c r="G1364" s="184"/>
      <c r="H1364" s="184"/>
      <c r="I1364" s="184"/>
      <c r="J1364" s="184" t="s">
        <v>6740</v>
      </c>
      <c r="K1364" s="184" t="s">
        <v>6741</v>
      </c>
      <c r="L1364" s="184"/>
      <c r="M1364" s="184"/>
      <c r="N1364" s="184" t="s">
        <v>6742</v>
      </c>
      <c r="O1364" s="184"/>
    </row>
    <row r="1365" customFormat="false" ht="54.75" hidden="false" customHeight="true" outlineLevel="0" collapsed="false">
      <c r="A1365" s="184" t="s">
        <v>6658</v>
      </c>
      <c r="B1365" s="184" t="s">
        <v>4913</v>
      </c>
      <c r="C1365" s="184" t="n">
        <v>16</v>
      </c>
      <c r="D1365" s="174" t="s">
        <v>4846</v>
      </c>
      <c r="E1365" s="184" t="s">
        <v>416</v>
      </c>
      <c r="F1365" s="184"/>
      <c r="G1365" s="184"/>
      <c r="H1365" s="184"/>
      <c r="I1365" s="184"/>
      <c r="J1365" s="184" t="s">
        <v>6435</v>
      </c>
      <c r="K1365" s="184" t="s">
        <v>6743</v>
      </c>
      <c r="L1365" s="184"/>
      <c r="M1365" s="184"/>
      <c r="N1365" s="184" t="s">
        <v>6744</v>
      </c>
      <c r="O1365" s="184"/>
    </row>
    <row r="1366" customFormat="false" ht="68.25" hidden="false" customHeight="true" outlineLevel="0" collapsed="false">
      <c r="A1366" s="184" t="s">
        <v>6658</v>
      </c>
      <c r="B1366" s="184" t="s">
        <v>4913</v>
      </c>
      <c r="C1366" s="184" t="n">
        <v>17</v>
      </c>
      <c r="D1366" s="174" t="s">
        <v>4846</v>
      </c>
      <c r="E1366" s="184" t="s">
        <v>6745</v>
      </c>
      <c r="F1366" s="184" t="s">
        <v>238</v>
      </c>
      <c r="G1366" s="184"/>
      <c r="H1366" s="184"/>
      <c r="I1366" s="184"/>
      <c r="J1366" s="184" t="s">
        <v>6746</v>
      </c>
      <c r="K1366" s="184" t="s">
        <v>6747</v>
      </c>
      <c r="L1366" s="184"/>
      <c r="M1366" s="184" t="s">
        <v>6748</v>
      </c>
      <c r="N1366" s="184" t="s">
        <v>6749</v>
      </c>
      <c r="O1366" s="184"/>
    </row>
    <row r="1367" customFormat="false" ht="27.75" hidden="false" customHeight="true" outlineLevel="0" collapsed="false">
      <c r="A1367" s="184" t="s">
        <v>6658</v>
      </c>
      <c r="B1367" s="184" t="s">
        <v>4913</v>
      </c>
      <c r="C1367" s="184" t="n">
        <v>18</v>
      </c>
      <c r="D1367" s="178" t="s">
        <v>6457</v>
      </c>
      <c r="E1367" s="184" t="s">
        <v>6750</v>
      </c>
      <c r="F1367" s="184"/>
      <c r="G1367" s="184"/>
      <c r="H1367" s="184"/>
      <c r="I1367" s="184"/>
      <c r="J1367" s="184"/>
      <c r="K1367" s="184"/>
      <c r="L1367" s="184"/>
      <c r="M1367" s="184" t="s">
        <v>6751</v>
      </c>
      <c r="N1367" s="184"/>
      <c r="O1367" s="184"/>
    </row>
    <row r="1368" customFormat="false" ht="27.75" hidden="false" customHeight="true" outlineLevel="0" collapsed="false">
      <c r="A1368" s="184" t="s">
        <v>6658</v>
      </c>
      <c r="B1368" s="184" t="s">
        <v>4913</v>
      </c>
      <c r="C1368" s="184" t="n">
        <v>19</v>
      </c>
      <c r="D1368" s="178" t="s">
        <v>5269</v>
      </c>
      <c r="E1368" s="186" t="s">
        <v>6752</v>
      </c>
      <c r="F1368" s="184"/>
      <c r="G1368" s="184"/>
      <c r="H1368" s="184"/>
      <c r="I1368" s="184"/>
      <c r="J1368" s="184"/>
      <c r="K1368" s="184"/>
      <c r="L1368" s="184"/>
      <c r="M1368" s="184" t="s">
        <v>6753</v>
      </c>
      <c r="N1368" s="184"/>
      <c r="O1368" s="184"/>
    </row>
    <row r="1369" customFormat="false" ht="27.75" hidden="false" customHeight="true" outlineLevel="0" collapsed="false">
      <c r="A1369" s="184" t="s">
        <v>6658</v>
      </c>
      <c r="B1369" s="184" t="s">
        <v>4913</v>
      </c>
      <c r="C1369" s="184" t="n">
        <v>20</v>
      </c>
      <c r="D1369" s="184" t="s">
        <v>6296</v>
      </c>
      <c r="E1369" s="184" t="s">
        <v>6754</v>
      </c>
      <c r="F1369" s="184"/>
      <c r="G1369" s="184"/>
      <c r="H1369" s="184"/>
      <c r="I1369" s="184"/>
      <c r="J1369" s="184"/>
      <c r="K1369" s="184"/>
      <c r="L1369" s="184"/>
      <c r="M1369" s="184"/>
      <c r="N1369" s="184"/>
      <c r="O1369" s="184"/>
    </row>
    <row r="1370" customFormat="false" ht="27.75" hidden="false" customHeight="true" outlineLevel="0" collapsed="false">
      <c r="A1370" s="184" t="s">
        <v>6658</v>
      </c>
      <c r="B1370" s="184" t="s">
        <v>4913</v>
      </c>
      <c r="C1370" s="184" t="n">
        <v>21</v>
      </c>
      <c r="D1370" s="178" t="s">
        <v>6457</v>
      </c>
      <c r="E1370" s="184" t="s">
        <v>6476</v>
      </c>
      <c r="F1370" s="184"/>
      <c r="G1370" s="184"/>
      <c r="H1370" s="184"/>
      <c r="I1370" s="184"/>
      <c r="J1370" s="184"/>
      <c r="K1370" s="184"/>
      <c r="L1370" s="184"/>
      <c r="M1370" s="184" t="s">
        <v>6755</v>
      </c>
      <c r="N1370" s="184"/>
      <c r="O1370" s="184"/>
    </row>
    <row r="1371" customFormat="false" ht="68.25" hidden="false" customHeight="true" outlineLevel="0" collapsed="false">
      <c r="A1371" s="184" t="s">
        <v>6658</v>
      </c>
      <c r="B1371" s="184" t="s">
        <v>4913</v>
      </c>
      <c r="C1371" s="184" t="n">
        <v>22</v>
      </c>
      <c r="D1371" s="174" t="s">
        <v>4846</v>
      </c>
      <c r="E1371" s="184" t="s">
        <v>6756</v>
      </c>
      <c r="F1371" s="184" t="s">
        <v>227</v>
      </c>
      <c r="G1371" s="184"/>
      <c r="H1371" s="184"/>
      <c r="I1371" s="184"/>
      <c r="J1371" s="184" t="s">
        <v>6757</v>
      </c>
      <c r="K1371" s="184" t="s">
        <v>6758</v>
      </c>
      <c r="L1371" s="184"/>
      <c r="M1371" s="184"/>
      <c r="N1371" s="184" t="s">
        <v>6759</v>
      </c>
      <c r="O1371" s="184"/>
    </row>
    <row r="1372" customFormat="false" ht="68.25" hidden="false" customHeight="true" outlineLevel="0" collapsed="false">
      <c r="A1372" s="184" t="s">
        <v>6658</v>
      </c>
      <c r="B1372" s="184" t="s">
        <v>4913</v>
      </c>
      <c r="C1372" s="184" t="n">
        <v>23</v>
      </c>
      <c r="D1372" s="174" t="s">
        <v>4846</v>
      </c>
      <c r="E1372" s="184" t="s">
        <v>6760</v>
      </c>
      <c r="F1372" s="184" t="s">
        <v>227</v>
      </c>
      <c r="G1372" s="184"/>
      <c r="H1372" s="184"/>
      <c r="I1372" s="184"/>
      <c r="J1372" s="184" t="s">
        <v>6376</v>
      </c>
      <c r="K1372" s="184" t="s">
        <v>6761</v>
      </c>
      <c r="L1372" s="184"/>
      <c r="M1372" s="184"/>
      <c r="N1372" s="184" t="s">
        <v>6762</v>
      </c>
      <c r="O1372" s="184"/>
    </row>
    <row r="1373" customFormat="false" ht="68.25" hidden="false" customHeight="true" outlineLevel="0" collapsed="false">
      <c r="A1373" s="184" t="s">
        <v>6658</v>
      </c>
      <c r="B1373" s="184" t="s">
        <v>4913</v>
      </c>
      <c r="C1373" s="184" t="n">
        <v>24</v>
      </c>
      <c r="D1373" s="174" t="s">
        <v>4846</v>
      </c>
      <c r="E1373" s="184" t="s">
        <v>4125</v>
      </c>
      <c r="F1373" s="184"/>
      <c r="G1373" s="184"/>
      <c r="H1373" s="184"/>
      <c r="I1373" s="184"/>
      <c r="J1373" s="184"/>
      <c r="K1373" s="184"/>
      <c r="L1373" s="184"/>
      <c r="M1373" s="184"/>
      <c r="N1373" s="184" t="s">
        <v>6763</v>
      </c>
      <c r="O1373" s="184"/>
    </row>
    <row r="1374" customFormat="false" ht="68.25" hidden="false" customHeight="true" outlineLevel="0" collapsed="false">
      <c r="A1374" s="184" t="s">
        <v>6658</v>
      </c>
      <c r="B1374" s="184" t="s">
        <v>4913</v>
      </c>
      <c r="C1374" s="184" t="n">
        <v>25</v>
      </c>
      <c r="D1374" s="174" t="s">
        <v>4846</v>
      </c>
      <c r="E1374" s="184" t="s">
        <v>6764</v>
      </c>
      <c r="F1374" s="184" t="s">
        <v>238</v>
      </c>
      <c r="G1374" s="184"/>
      <c r="H1374" s="184"/>
      <c r="I1374" s="184"/>
      <c r="J1374" s="184"/>
      <c r="K1374" s="184"/>
      <c r="L1374" s="184"/>
      <c r="M1374" s="184"/>
      <c r="N1374" s="184" t="s">
        <v>6765</v>
      </c>
      <c r="O1374" s="184"/>
    </row>
    <row r="1375" customFormat="false" ht="27.75" hidden="false" customHeight="true" outlineLevel="0" collapsed="false">
      <c r="A1375" s="184" t="s">
        <v>6658</v>
      </c>
      <c r="B1375" s="184" t="s">
        <v>4913</v>
      </c>
      <c r="C1375" s="184" t="n">
        <v>26</v>
      </c>
      <c r="D1375" s="184" t="s">
        <v>4790</v>
      </c>
      <c r="E1375" s="184" t="s">
        <v>6766</v>
      </c>
      <c r="F1375" s="184"/>
      <c r="G1375" s="184"/>
      <c r="H1375" s="184"/>
      <c r="I1375" s="184"/>
      <c r="J1375" s="184"/>
      <c r="K1375" s="184"/>
      <c r="L1375" s="184"/>
      <c r="M1375" s="184" t="s">
        <v>6767</v>
      </c>
      <c r="N1375" s="184"/>
      <c r="O1375" s="184"/>
    </row>
    <row r="1376" customFormat="false" ht="27.75" hidden="false" customHeight="true" outlineLevel="0" collapsed="false">
      <c r="A1376" s="184" t="s">
        <v>6658</v>
      </c>
      <c r="B1376" s="184" t="s">
        <v>4913</v>
      </c>
      <c r="C1376" s="184" t="n">
        <v>27</v>
      </c>
      <c r="D1376" s="178" t="s">
        <v>6457</v>
      </c>
      <c r="E1376" s="184" t="s">
        <v>6686</v>
      </c>
      <c r="F1376" s="184"/>
      <c r="G1376" s="184"/>
      <c r="H1376" s="184"/>
      <c r="I1376" s="184"/>
      <c r="J1376" s="184"/>
      <c r="K1376" s="184"/>
      <c r="L1376" s="184"/>
      <c r="M1376" s="184" t="s">
        <v>6768</v>
      </c>
      <c r="N1376" s="184"/>
      <c r="O1376" s="184"/>
    </row>
    <row r="1377" customFormat="false" ht="27.75" hidden="false" customHeight="true" outlineLevel="0" collapsed="false">
      <c r="A1377" s="184" t="s">
        <v>6658</v>
      </c>
      <c r="B1377" s="184" t="s">
        <v>4913</v>
      </c>
      <c r="C1377" s="184" t="n">
        <v>28</v>
      </c>
      <c r="D1377" s="178" t="s">
        <v>6457</v>
      </c>
      <c r="E1377" s="184" t="s">
        <v>6688</v>
      </c>
      <c r="F1377" s="184"/>
      <c r="G1377" s="184"/>
      <c r="H1377" s="184"/>
      <c r="I1377" s="184"/>
      <c r="J1377" s="184"/>
      <c r="K1377" s="184"/>
      <c r="L1377" s="184"/>
      <c r="M1377" s="184" t="s">
        <v>6769</v>
      </c>
      <c r="N1377" s="184"/>
      <c r="O1377" s="184"/>
    </row>
    <row r="1378" customFormat="false" ht="27.75" hidden="false" customHeight="true" outlineLevel="0" collapsed="false">
      <c r="A1378" s="184" t="s">
        <v>6658</v>
      </c>
      <c r="B1378" s="184" t="s">
        <v>4913</v>
      </c>
      <c r="C1378" s="184" t="n">
        <v>29</v>
      </c>
      <c r="D1378" s="178" t="s">
        <v>5269</v>
      </c>
      <c r="E1378" s="186" t="s">
        <v>6770</v>
      </c>
      <c r="F1378" s="184"/>
      <c r="G1378" s="184"/>
      <c r="H1378" s="184"/>
      <c r="I1378" s="184"/>
      <c r="J1378" s="184"/>
      <c r="K1378" s="184"/>
      <c r="L1378" s="184"/>
      <c r="M1378" s="184" t="s">
        <v>6771</v>
      </c>
      <c r="N1378" s="184"/>
      <c r="O1378" s="184"/>
    </row>
    <row r="1379" customFormat="false" ht="27.75" hidden="false" customHeight="true" outlineLevel="0" collapsed="false">
      <c r="A1379" s="184" t="s">
        <v>6658</v>
      </c>
      <c r="B1379" s="184" t="s">
        <v>4913</v>
      </c>
      <c r="C1379" s="184" t="n">
        <v>30</v>
      </c>
      <c r="D1379" s="184" t="s">
        <v>6296</v>
      </c>
      <c r="E1379" s="184" t="s">
        <v>6772</v>
      </c>
      <c r="F1379" s="184"/>
      <c r="G1379" s="184"/>
      <c r="H1379" s="184"/>
      <c r="I1379" s="184"/>
      <c r="J1379" s="184"/>
      <c r="K1379" s="184"/>
      <c r="L1379" s="184"/>
      <c r="M1379" s="184"/>
      <c r="N1379" s="184"/>
      <c r="O1379" s="184"/>
    </row>
    <row r="1380" customFormat="false" ht="27.75" hidden="false" customHeight="true" outlineLevel="0" collapsed="false">
      <c r="A1380" s="184" t="s">
        <v>6658</v>
      </c>
      <c r="B1380" s="184" t="s">
        <v>4913</v>
      </c>
      <c r="C1380" s="184" t="n">
        <v>31</v>
      </c>
      <c r="D1380" s="178" t="s">
        <v>6457</v>
      </c>
      <c r="E1380" s="184" t="s">
        <v>6476</v>
      </c>
      <c r="F1380" s="184"/>
      <c r="G1380" s="184"/>
      <c r="H1380" s="184"/>
      <c r="I1380" s="184"/>
      <c r="J1380" s="184"/>
      <c r="K1380" s="184"/>
      <c r="L1380" s="184"/>
      <c r="M1380" s="184" t="s">
        <v>6773</v>
      </c>
      <c r="N1380" s="184"/>
      <c r="O1380" s="184"/>
    </row>
    <row r="1381" customFormat="false" ht="68.25" hidden="false" customHeight="true" outlineLevel="0" collapsed="false">
      <c r="A1381" s="184" t="s">
        <v>6658</v>
      </c>
      <c r="B1381" s="184" t="s">
        <v>4913</v>
      </c>
      <c r="C1381" s="184" t="n">
        <v>32</v>
      </c>
      <c r="D1381" s="174" t="s">
        <v>4846</v>
      </c>
      <c r="E1381" s="184" t="s">
        <v>6774</v>
      </c>
      <c r="F1381" s="184" t="s">
        <v>227</v>
      </c>
      <c r="G1381" s="184"/>
      <c r="H1381" s="184"/>
      <c r="I1381" s="184"/>
      <c r="J1381" s="184" t="s">
        <v>6775</v>
      </c>
      <c r="K1381" s="184" t="s">
        <v>6720</v>
      </c>
      <c r="L1381" s="184"/>
      <c r="M1381" s="184"/>
      <c r="N1381" s="184" t="s">
        <v>6776</v>
      </c>
      <c r="O1381" s="184"/>
    </row>
    <row r="1382" customFormat="false" ht="68.25" hidden="false" customHeight="true" outlineLevel="0" collapsed="false">
      <c r="A1382" s="184" t="s">
        <v>6658</v>
      </c>
      <c r="B1382" s="184" t="s">
        <v>4913</v>
      </c>
      <c r="C1382" s="184" t="n">
        <v>33</v>
      </c>
      <c r="D1382" s="174" t="s">
        <v>4846</v>
      </c>
      <c r="E1382" s="184" t="s">
        <v>6777</v>
      </c>
      <c r="F1382" s="184" t="s">
        <v>227</v>
      </c>
      <c r="G1382" s="184"/>
      <c r="H1382" s="184"/>
      <c r="I1382" s="184"/>
      <c r="J1382" s="184" t="s">
        <v>6778</v>
      </c>
      <c r="K1382" s="184" t="s">
        <v>6779</v>
      </c>
      <c r="L1382" s="184"/>
      <c r="M1382" s="184"/>
      <c r="N1382" s="184" t="s">
        <v>6780</v>
      </c>
      <c r="O1382" s="184"/>
    </row>
    <row r="1383" customFormat="false" ht="54.75" hidden="false" customHeight="true" outlineLevel="0" collapsed="false">
      <c r="A1383" s="184" t="s">
        <v>6658</v>
      </c>
      <c r="B1383" s="184" t="s">
        <v>4913</v>
      </c>
      <c r="C1383" s="184" t="n">
        <v>34</v>
      </c>
      <c r="D1383" s="174" t="s">
        <v>4846</v>
      </c>
      <c r="E1383" s="184" t="s">
        <v>4125</v>
      </c>
      <c r="F1383" s="184"/>
      <c r="G1383" s="184"/>
      <c r="H1383" s="184"/>
      <c r="I1383" s="184"/>
      <c r="J1383" s="184"/>
      <c r="K1383" s="184"/>
      <c r="L1383" s="184"/>
      <c r="M1383" s="184"/>
      <c r="N1383" s="184" t="s">
        <v>6781</v>
      </c>
      <c r="O1383" s="184"/>
    </row>
    <row r="1384" customFormat="false" ht="54.75" hidden="false" customHeight="true" outlineLevel="0" collapsed="false">
      <c r="A1384" s="184" t="s">
        <v>6658</v>
      </c>
      <c r="B1384" s="184" t="s">
        <v>4913</v>
      </c>
      <c r="C1384" s="184" t="n">
        <v>35</v>
      </c>
      <c r="D1384" s="174" t="s">
        <v>4846</v>
      </c>
      <c r="E1384" s="184" t="s">
        <v>6764</v>
      </c>
      <c r="F1384" s="184" t="s">
        <v>238</v>
      </c>
      <c r="G1384" s="184"/>
      <c r="H1384" s="184"/>
      <c r="I1384" s="184"/>
      <c r="J1384" s="184"/>
      <c r="K1384" s="184"/>
      <c r="L1384" s="184"/>
      <c r="M1384" s="184"/>
      <c r="N1384" s="184" t="s">
        <v>6782</v>
      </c>
      <c r="O1384" s="184"/>
    </row>
    <row r="1385" customFormat="false" ht="27.75" hidden="false" customHeight="true" outlineLevel="0" collapsed="false">
      <c r="A1385" s="184" t="s">
        <v>6658</v>
      </c>
      <c r="B1385" s="184" t="s">
        <v>4913</v>
      </c>
      <c r="C1385" s="184" t="n">
        <v>36</v>
      </c>
      <c r="D1385" s="184" t="s">
        <v>4790</v>
      </c>
      <c r="E1385" s="184" t="s">
        <v>6783</v>
      </c>
      <c r="F1385" s="184"/>
      <c r="G1385" s="184"/>
      <c r="H1385" s="184"/>
      <c r="I1385" s="184"/>
      <c r="J1385" s="184"/>
      <c r="K1385" s="184"/>
      <c r="L1385" s="184"/>
      <c r="M1385" s="184" t="s">
        <v>6784</v>
      </c>
      <c r="N1385" s="184"/>
      <c r="O1385" s="184"/>
    </row>
    <row r="1386" customFormat="false" ht="27.75" hidden="false" customHeight="true" outlineLevel="0" collapsed="false">
      <c r="A1386" s="184" t="s">
        <v>6658</v>
      </c>
      <c r="B1386" s="184" t="s">
        <v>4913</v>
      </c>
      <c r="C1386" s="184" t="n">
        <v>37</v>
      </c>
      <c r="D1386" s="178" t="s">
        <v>6457</v>
      </c>
      <c r="E1386" s="184" t="s">
        <v>6686</v>
      </c>
      <c r="F1386" s="184"/>
      <c r="G1386" s="184"/>
      <c r="H1386" s="184"/>
      <c r="I1386" s="184"/>
      <c r="J1386" s="184"/>
      <c r="K1386" s="184"/>
      <c r="L1386" s="184"/>
      <c r="M1386" s="184" t="s">
        <v>6785</v>
      </c>
      <c r="N1386" s="184"/>
      <c r="O1386" s="184"/>
    </row>
    <row r="1387" customFormat="false" ht="27.75" hidden="false" customHeight="true" outlineLevel="0" collapsed="false">
      <c r="A1387" s="184" t="s">
        <v>6658</v>
      </c>
      <c r="B1387" s="184" t="s">
        <v>4913</v>
      </c>
      <c r="C1387" s="184" t="n">
        <v>38</v>
      </c>
      <c r="D1387" s="178" t="s">
        <v>6457</v>
      </c>
      <c r="E1387" s="184" t="s">
        <v>6688</v>
      </c>
      <c r="F1387" s="184"/>
      <c r="G1387" s="184"/>
      <c r="H1387" s="184"/>
      <c r="I1387" s="184"/>
      <c r="J1387" s="184"/>
      <c r="K1387" s="184"/>
      <c r="L1387" s="184"/>
      <c r="M1387" s="184" t="s">
        <v>6786</v>
      </c>
      <c r="N1387" s="184"/>
      <c r="O1387" s="184"/>
    </row>
    <row r="1388" customFormat="false" ht="27.75" hidden="false" customHeight="true" outlineLevel="0" collapsed="false">
      <c r="A1388" s="184" t="s">
        <v>6658</v>
      </c>
      <c r="B1388" s="184" t="s">
        <v>4913</v>
      </c>
      <c r="C1388" s="184" t="n">
        <v>39</v>
      </c>
      <c r="D1388" s="178" t="s">
        <v>5269</v>
      </c>
      <c r="E1388" s="186" t="s">
        <v>6787</v>
      </c>
      <c r="F1388" s="184"/>
      <c r="G1388" s="184"/>
      <c r="H1388" s="184"/>
      <c r="I1388" s="184"/>
      <c r="J1388" s="184"/>
      <c r="K1388" s="184"/>
      <c r="L1388" s="184"/>
      <c r="M1388" s="184" t="s">
        <v>6788</v>
      </c>
      <c r="N1388" s="184"/>
      <c r="O1388" s="184"/>
    </row>
    <row r="1389" customFormat="false" ht="27.75" hidden="false" customHeight="true" outlineLevel="0" collapsed="false">
      <c r="A1389" s="184" t="s">
        <v>6658</v>
      </c>
      <c r="B1389" s="184" t="s">
        <v>4913</v>
      </c>
      <c r="C1389" s="184" t="n">
        <v>40</v>
      </c>
      <c r="D1389" s="178" t="s">
        <v>5269</v>
      </c>
      <c r="E1389" s="184" t="s">
        <v>6675</v>
      </c>
      <c r="F1389" s="184"/>
      <c r="G1389" s="184"/>
      <c r="H1389" s="184"/>
      <c r="I1389" s="184"/>
      <c r="J1389" s="184"/>
      <c r="K1389" s="184"/>
      <c r="L1389" s="184"/>
      <c r="M1389" s="184" t="s">
        <v>6676</v>
      </c>
      <c r="N1389" s="184"/>
      <c r="O1389" s="184"/>
    </row>
    <row r="1390" customFormat="false" ht="15" hidden="false" customHeight="true" outlineLevel="0" collapsed="false">
      <c r="A1390" s="184"/>
      <c r="B1390" s="184"/>
      <c r="C1390" s="184"/>
      <c r="D1390" s="184"/>
      <c r="E1390" s="184"/>
      <c r="F1390" s="184"/>
      <c r="G1390" s="184"/>
      <c r="H1390" s="184"/>
      <c r="I1390" s="184"/>
      <c r="J1390" s="184"/>
      <c r="K1390" s="184"/>
      <c r="L1390" s="184"/>
      <c r="M1390" s="184"/>
      <c r="N1390" s="184"/>
      <c r="O1390" s="184"/>
    </row>
    <row r="1391" customFormat="false" ht="15" hidden="false" customHeight="true" outlineLevel="0" collapsed="false">
      <c r="A1391" s="184"/>
      <c r="B1391" s="184"/>
      <c r="C1391" s="184"/>
      <c r="D1391" s="184"/>
      <c r="E1391" s="184"/>
      <c r="F1391" s="184"/>
      <c r="G1391" s="184"/>
      <c r="H1391" s="184"/>
      <c r="I1391" s="184"/>
      <c r="J1391" s="184"/>
      <c r="K1391" s="184"/>
      <c r="L1391" s="184"/>
      <c r="M1391" s="184"/>
      <c r="N1391" s="184"/>
      <c r="O1391" s="184"/>
    </row>
    <row r="1392" customFormat="false" ht="15" hidden="false" customHeight="true" outlineLevel="0" collapsed="false">
      <c r="A1392" s="184"/>
      <c r="B1392" s="184"/>
      <c r="C1392" s="184"/>
      <c r="D1392" s="184"/>
      <c r="E1392" s="184"/>
      <c r="F1392" s="184"/>
      <c r="G1392" s="184"/>
      <c r="H1392" s="184"/>
      <c r="I1392" s="184"/>
      <c r="J1392" s="184"/>
      <c r="K1392" s="184"/>
      <c r="L1392" s="184"/>
      <c r="M1392" s="184"/>
      <c r="N1392" s="184"/>
      <c r="O1392" s="184"/>
    </row>
    <row r="1393" customFormat="false" ht="15" hidden="false" customHeight="true" outlineLevel="0" collapsed="false">
      <c r="A1393" s="184"/>
      <c r="B1393" s="184"/>
      <c r="C1393" s="184"/>
      <c r="D1393" s="184"/>
      <c r="E1393" s="184"/>
      <c r="F1393" s="184"/>
      <c r="G1393" s="184"/>
      <c r="H1393" s="184"/>
      <c r="I1393" s="184"/>
      <c r="J1393" s="184"/>
      <c r="K1393" s="184"/>
      <c r="L1393" s="184"/>
      <c r="M1393" s="184"/>
      <c r="N1393" s="184"/>
      <c r="O1393" s="184"/>
    </row>
    <row r="1394" customFormat="false" ht="15" hidden="false" customHeight="true" outlineLevel="0" collapsed="false">
      <c r="A1394" s="184"/>
      <c r="B1394" s="184"/>
      <c r="C1394" s="184"/>
      <c r="D1394" s="184"/>
      <c r="E1394" s="184"/>
      <c r="F1394" s="184"/>
      <c r="G1394" s="184"/>
      <c r="H1394" s="184"/>
      <c r="I1394" s="184"/>
      <c r="J1394" s="184"/>
      <c r="K1394" s="184"/>
      <c r="L1394" s="184"/>
      <c r="M1394" s="184"/>
      <c r="N1394" s="184"/>
      <c r="O1394" s="184"/>
    </row>
    <row r="1395" customFormat="false" ht="15" hidden="false" customHeight="true" outlineLevel="0" collapsed="false">
      <c r="A1395" s="184"/>
      <c r="B1395" s="184"/>
      <c r="C1395" s="184"/>
      <c r="D1395" s="184"/>
      <c r="E1395" s="184"/>
      <c r="F1395" s="184"/>
      <c r="G1395" s="184"/>
      <c r="H1395" s="184"/>
      <c r="I1395" s="184"/>
      <c r="J1395" s="184"/>
      <c r="K1395" s="184"/>
      <c r="L1395" s="184"/>
      <c r="M1395" s="184"/>
      <c r="N1395" s="184"/>
      <c r="O1395" s="184"/>
    </row>
    <row r="1396" customFormat="false" ht="15" hidden="false" customHeight="true" outlineLevel="0" collapsed="false">
      <c r="A1396" s="184"/>
      <c r="B1396" s="184"/>
      <c r="C1396" s="184"/>
      <c r="D1396" s="184"/>
      <c r="E1396" s="184"/>
      <c r="F1396" s="184"/>
      <c r="G1396" s="184"/>
      <c r="H1396" s="184"/>
      <c r="I1396" s="184"/>
      <c r="J1396" s="184"/>
      <c r="K1396" s="184"/>
      <c r="L1396" s="184"/>
      <c r="M1396" s="184"/>
      <c r="N1396" s="184"/>
      <c r="O1396" s="184"/>
    </row>
    <row r="1397" customFormat="false" ht="15" hidden="false" customHeight="true" outlineLevel="0" collapsed="false">
      <c r="A1397" s="184"/>
      <c r="B1397" s="184"/>
      <c r="C1397" s="184"/>
      <c r="D1397" s="184"/>
      <c r="E1397" s="184"/>
      <c r="F1397" s="184"/>
      <c r="G1397" s="184"/>
      <c r="H1397" s="184"/>
      <c r="I1397" s="184"/>
      <c r="J1397" s="184"/>
      <c r="K1397" s="184"/>
      <c r="L1397" s="184"/>
      <c r="M1397" s="184"/>
      <c r="N1397" s="184"/>
      <c r="O1397" s="184"/>
    </row>
    <row r="1398" customFormat="false" ht="15" hidden="false" customHeight="true" outlineLevel="0" collapsed="false">
      <c r="A1398" s="184"/>
      <c r="B1398" s="184"/>
      <c r="C1398" s="184"/>
      <c r="D1398" s="184"/>
      <c r="E1398" s="184"/>
      <c r="F1398" s="184"/>
      <c r="G1398" s="184"/>
      <c r="H1398" s="184"/>
      <c r="I1398" s="184"/>
      <c r="J1398" s="184"/>
      <c r="K1398" s="184"/>
      <c r="L1398" s="184"/>
      <c r="M1398" s="184"/>
      <c r="N1398" s="184"/>
      <c r="O1398" s="184"/>
    </row>
    <row r="1399" customFormat="false" ht="15" hidden="false" customHeight="true" outlineLevel="0" collapsed="false">
      <c r="A1399" s="184"/>
      <c r="B1399" s="184"/>
      <c r="C1399" s="184"/>
      <c r="D1399" s="184"/>
      <c r="E1399" s="184"/>
      <c r="F1399" s="184"/>
      <c r="G1399" s="184"/>
      <c r="H1399" s="184"/>
      <c r="I1399" s="184"/>
      <c r="J1399" s="184"/>
      <c r="K1399" s="184"/>
      <c r="L1399" s="184"/>
      <c r="M1399" s="184"/>
      <c r="N1399" s="184"/>
      <c r="O1399" s="184"/>
    </row>
    <row r="1400" customFormat="false" ht="15" hidden="false" customHeight="true" outlineLevel="0" collapsed="false">
      <c r="A1400" s="184"/>
      <c r="B1400" s="184"/>
      <c r="C1400" s="184"/>
      <c r="D1400" s="184"/>
      <c r="E1400" s="184"/>
      <c r="F1400" s="184"/>
      <c r="G1400" s="184"/>
      <c r="H1400" s="184"/>
      <c r="I1400" s="184"/>
      <c r="J1400" s="184"/>
      <c r="K1400" s="184"/>
      <c r="L1400" s="184"/>
      <c r="M1400" s="184"/>
      <c r="N1400" s="184"/>
      <c r="O1400" s="184"/>
    </row>
    <row r="1401" customFormat="false" ht="15" hidden="false" customHeight="true" outlineLevel="0" collapsed="false">
      <c r="A1401" s="184"/>
      <c r="B1401" s="184"/>
      <c r="C1401" s="184"/>
      <c r="D1401" s="184"/>
      <c r="E1401" s="184"/>
      <c r="F1401" s="184"/>
      <c r="G1401" s="184"/>
      <c r="H1401" s="184"/>
      <c r="I1401" s="184"/>
      <c r="J1401" s="184"/>
      <c r="K1401" s="184"/>
      <c r="L1401" s="184"/>
      <c r="M1401" s="184"/>
      <c r="N1401" s="184"/>
      <c r="O1401" s="184"/>
    </row>
    <row r="1402" customFormat="false" ht="15" hidden="false" customHeight="true" outlineLevel="0" collapsed="false">
      <c r="A1402" s="184"/>
      <c r="B1402" s="184"/>
      <c r="C1402" s="184"/>
      <c r="D1402" s="184"/>
      <c r="E1402" s="184"/>
      <c r="F1402" s="184"/>
      <c r="G1402" s="184"/>
      <c r="H1402" s="184"/>
      <c r="I1402" s="184"/>
      <c r="J1402" s="184"/>
      <c r="K1402" s="184"/>
      <c r="L1402" s="184"/>
      <c r="M1402" s="184"/>
      <c r="N1402" s="184"/>
      <c r="O1402" s="184"/>
    </row>
    <row r="1403" customFormat="false" ht="15" hidden="false" customHeight="true" outlineLevel="0" collapsed="false">
      <c r="A1403" s="184"/>
      <c r="B1403" s="184"/>
      <c r="C1403" s="184"/>
      <c r="D1403" s="184"/>
      <c r="E1403" s="184"/>
      <c r="F1403" s="184"/>
      <c r="G1403" s="184"/>
      <c r="H1403" s="184"/>
      <c r="I1403" s="184"/>
      <c r="J1403" s="184"/>
      <c r="K1403" s="184"/>
      <c r="L1403" s="184"/>
      <c r="M1403" s="184"/>
      <c r="N1403" s="184"/>
      <c r="O1403" s="184"/>
    </row>
    <row r="1404" customFormat="false" ht="15" hidden="false" customHeight="true" outlineLevel="0" collapsed="false">
      <c r="A1404" s="184"/>
      <c r="B1404" s="184"/>
      <c r="C1404" s="184"/>
      <c r="D1404" s="184"/>
      <c r="E1404" s="184"/>
      <c r="F1404" s="184"/>
      <c r="G1404" s="184"/>
      <c r="H1404" s="184"/>
      <c r="I1404" s="184"/>
      <c r="J1404" s="184"/>
      <c r="K1404" s="184"/>
      <c r="L1404" s="184"/>
      <c r="M1404" s="184"/>
      <c r="N1404" s="184"/>
      <c r="O1404" s="184"/>
    </row>
    <row r="1405" customFormat="false" ht="15" hidden="false" customHeight="true" outlineLevel="0" collapsed="false">
      <c r="A1405" s="184"/>
      <c r="B1405" s="184"/>
      <c r="C1405" s="184"/>
      <c r="D1405" s="184"/>
      <c r="E1405" s="184"/>
      <c r="F1405" s="184"/>
      <c r="G1405" s="184"/>
      <c r="H1405" s="184"/>
      <c r="I1405" s="184"/>
      <c r="J1405" s="184"/>
      <c r="K1405" s="184"/>
      <c r="L1405" s="184"/>
      <c r="M1405" s="184"/>
      <c r="N1405" s="184"/>
      <c r="O1405" s="184"/>
    </row>
    <row r="1406" customFormat="false" ht="15" hidden="false" customHeight="true" outlineLevel="0" collapsed="false">
      <c r="A1406" s="184"/>
      <c r="B1406" s="184"/>
      <c r="C1406" s="184"/>
      <c r="D1406" s="184"/>
      <c r="E1406" s="184"/>
      <c r="F1406" s="184"/>
      <c r="G1406" s="184"/>
      <c r="H1406" s="184"/>
      <c r="I1406" s="184"/>
      <c r="J1406" s="184"/>
      <c r="K1406" s="184"/>
      <c r="L1406" s="184"/>
      <c r="M1406" s="184"/>
      <c r="N1406" s="184"/>
      <c r="O1406" s="184"/>
    </row>
    <row r="1407" customFormat="false" ht="15" hidden="false" customHeight="true" outlineLevel="0" collapsed="false">
      <c r="A1407" s="184"/>
      <c r="B1407" s="184"/>
      <c r="C1407" s="184"/>
      <c r="D1407" s="184"/>
      <c r="E1407" s="184"/>
      <c r="F1407" s="184"/>
      <c r="G1407" s="184"/>
      <c r="H1407" s="184"/>
      <c r="I1407" s="184"/>
      <c r="J1407" s="184"/>
      <c r="K1407" s="184"/>
      <c r="L1407" s="184"/>
      <c r="M1407" s="184"/>
      <c r="N1407" s="184"/>
      <c r="O1407" s="184"/>
    </row>
    <row r="1408" customFormat="false" ht="15" hidden="false" customHeight="true" outlineLevel="0" collapsed="false">
      <c r="A1408" s="184"/>
      <c r="B1408" s="184"/>
      <c r="C1408" s="184"/>
      <c r="D1408" s="184"/>
      <c r="E1408" s="184"/>
      <c r="F1408" s="184"/>
      <c r="G1408" s="184"/>
      <c r="H1408" s="184"/>
      <c r="I1408" s="184"/>
      <c r="J1408" s="184"/>
      <c r="K1408" s="184"/>
      <c r="L1408" s="184"/>
      <c r="M1408" s="184"/>
      <c r="N1408" s="184"/>
      <c r="O1408" s="184"/>
    </row>
    <row r="1409" customFormat="false" ht="15" hidden="false" customHeight="true" outlineLevel="0" collapsed="false">
      <c r="A1409" s="184"/>
      <c r="B1409" s="184"/>
      <c r="C1409" s="184"/>
      <c r="D1409" s="184"/>
      <c r="E1409" s="184"/>
      <c r="F1409" s="184"/>
      <c r="G1409" s="184"/>
      <c r="H1409" s="184"/>
      <c r="I1409" s="184"/>
      <c r="J1409" s="184"/>
      <c r="K1409" s="184"/>
      <c r="L1409" s="184"/>
      <c r="M1409" s="184"/>
      <c r="N1409" s="184"/>
      <c r="O1409" s="184"/>
    </row>
    <row r="1410" customFormat="false" ht="15" hidden="false" customHeight="true" outlineLevel="0" collapsed="false">
      <c r="A1410" s="184"/>
      <c r="B1410" s="184"/>
      <c r="C1410" s="184"/>
      <c r="D1410" s="184"/>
      <c r="E1410" s="184"/>
      <c r="F1410" s="184"/>
      <c r="G1410" s="184"/>
      <c r="H1410" s="184"/>
      <c r="I1410" s="184"/>
      <c r="J1410" s="184"/>
      <c r="K1410" s="184"/>
      <c r="L1410" s="184"/>
      <c r="M1410" s="184"/>
      <c r="N1410" s="184"/>
      <c r="O1410" s="184"/>
    </row>
    <row r="1411" customFormat="false" ht="15" hidden="false" customHeight="true" outlineLevel="0" collapsed="false">
      <c r="A1411" s="184"/>
      <c r="B1411" s="184"/>
      <c r="C1411" s="184"/>
      <c r="D1411" s="184"/>
      <c r="E1411" s="184"/>
      <c r="F1411" s="184"/>
      <c r="G1411" s="184"/>
      <c r="H1411" s="184"/>
      <c r="I1411" s="184"/>
      <c r="J1411" s="184"/>
      <c r="K1411" s="184"/>
      <c r="L1411" s="184"/>
      <c r="M1411" s="184"/>
      <c r="N1411" s="184"/>
      <c r="O1411" s="184"/>
    </row>
    <row r="1412" customFormat="false" ht="15" hidden="false" customHeight="true" outlineLevel="0" collapsed="false">
      <c r="A1412" s="184"/>
      <c r="B1412" s="184"/>
      <c r="C1412" s="184"/>
      <c r="D1412" s="184"/>
      <c r="E1412" s="184"/>
      <c r="F1412" s="184"/>
      <c r="G1412" s="184"/>
      <c r="H1412" s="184"/>
      <c r="I1412" s="184"/>
      <c r="J1412" s="184"/>
      <c r="K1412" s="184"/>
      <c r="L1412" s="184"/>
      <c r="M1412" s="184"/>
      <c r="N1412" s="184"/>
      <c r="O1412" s="184"/>
    </row>
    <row r="1413" customFormat="false" ht="15" hidden="false" customHeight="true" outlineLevel="0" collapsed="false">
      <c r="A1413" s="184"/>
      <c r="B1413" s="184"/>
      <c r="C1413" s="184"/>
      <c r="D1413" s="184"/>
      <c r="E1413" s="184"/>
      <c r="F1413" s="184"/>
      <c r="G1413" s="184"/>
      <c r="H1413" s="184"/>
      <c r="I1413" s="184"/>
      <c r="J1413" s="184"/>
      <c r="K1413" s="184"/>
      <c r="L1413" s="184"/>
      <c r="M1413" s="184"/>
      <c r="N1413" s="184"/>
      <c r="O1413" s="184"/>
    </row>
    <row r="1414" customFormat="false" ht="15" hidden="false" customHeight="true" outlineLevel="0" collapsed="false">
      <c r="A1414" s="184"/>
      <c r="B1414" s="184"/>
      <c r="C1414" s="184"/>
      <c r="D1414" s="184"/>
      <c r="E1414" s="184"/>
      <c r="F1414" s="184"/>
      <c r="G1414" s="184"/>
      <c r="H1414" s="184"/>
      <c r="I1414" s="184"/>
      <c r="J1414" s="184"/>
      <c r="K1414" s="184"/>
      <c r="L1414" s="184"/>
      <c r="M1414" s="184"/>
      <c r="N1414" s="184"/>
      <c r="O1414" s="184"/>
    </row>
    <row r="1415" customFormat="false" ht="15" hidden="false" customHeight="true" outlineLevel="0" collapsed="false">
      <c r="A1415" s="184"/>
      <c r="B1415" s="184"/>
      <c r="C1415" s="184"/>
      <c r="D1415" s="184"/>
      <c r="E1415" s="184"/>
      <c r="F1415" s="184"/>
      <c r="G1415" s="184"/>
      <c r="H1415" s="184"/>
      <c r="I1415" s="184"/>
      <c r="J1415" s="184"/>
      <c r="K1415" s="184"/>
      <c r="L1415" s="184"/>
      <c r="M1415" s="184"/>
      <c r="N1415" s="184"/>
      <c r="O1415" s="184"/>
    </row>
    <row r="1416" customFormat="false" ht="15" hidden="false" customHeight="true" outlineLevel="0" collapsed="false">
      <c r="A1416" s="184"/>
      <c r="B1416" s="184"/>
      <c r="C1416" s="184"/>
      <c r="D1416" s="184"/>
      <c r="E1416" s="184"/>
      <c r="F1416" s="184"/>
      <c r="G1416" s="184"/>
      <c r="H1416" s="184"/>
      <c r="I1416" s="184"/>
      <c r="J1416" s="184"/>
      <c r="K1416" s="184"/>
      <c r="L1416" s="184"/>
      <c r="M1416" s="184"/>
      <c r="N1416" s="184"/>
      <c r="O1416" s="184"/>
    </row>
    <row r="1417" customFormat="false" ht="15" hidden="false" customHeight="true" outlineLevel="0" collapsed="false">
      <c r="A1417" s="184"/>
      <c r="B1417" s="184"/>
      <c r="C1417" s="184"/>
      <c r="D1417" s="184"/>
      <c r="E1417" s="184"/>
      <c r="F1417" s="184"/>
      <c r="G1417" s="184"/>
      <c r="H1417" s="184"/>
      <c r="I1417" s="184"/>
      <c r="J1417" s="184"/>
      <c r="K1417" s="184"/>
      <c r="L1417" s="184"/>
      <c r="M1417" s="184"/>
      <c r="N1417" s="184"/>
      <c r="O1417" s="184"/>
    </row>
    <row r="1418" customFormat="false" ht="15" hidden="false" customHeight="true" outlineLevel="0" collapsed="false">
      <c r="A1418" s="184"/>
      <c r="B1418" s="184"/>
      <c r="C1418" s="184"/>
      <c r="D1418" s="184"/>
      <c r="E1418" s="184"/>
      <c r="F1418" s="184"/>
      <c r="G1418" s="184"/>
      <c r="H1418" s="184"/>
      <c r="I1418" s="184"/>
      <c r="J1418" s="184"/>
      <c r="K1418" s="184"/>
      <c r="L1418" s="184"/>
      <c r="M1418" s="184"/>
      <c r="N1418" s="184"/>
      <c r="O1418" s="184"/>
    </row>
    <row r="1419" customFormat="false" ht="15" hidden="false" customHeight="true" outlineLevel="0" collapsed="false">
      <c r="A1419" s="184"/>
      <c r="B1419" s="184"/>
      <c r="C1419" s="184"/>
      <c r="D1419" s="184"/>
      <c r="E1419" s="184"/>
      <c r="F1419" s="184"/>
      <c r="G1419" s="184"/>
      <c r="H1419" s="184"/>
      <c r="I1419" s="184"/>
      <c r="J1419" s="184"/>
      <c r="K1419" s="184"/>
      <c r="L1419" s="184"/>
      <c r="M1419" s="184"/>
      <c r="N1419" s="184"/>
      <c r="O1419" s="184"/>
    </row>
    <row r="1420" customFormat="false" ht="15" hidden="false" customHeight="true" outlineLevel="0" collapsed="false">
      <c r="A1420" s="184"/>
      <c r="B1420" s="184"/>
      <c r="C1420" s="184"/>
      <c r="D1420" s="184"/>
      <c r="E1420" s="184"/>
      <c r="F1420" s="184"/>
      <c r="G1420" s="184"/>
      <c r="H1420" s="184"/>
      <c r="I1420" s="184"/>
      <c r="J1420" s="184"/>
      <c r="K1420" s="184"/>
      <c r="L1420" s="184"/>
      <c r="M1420" s="184"/>
      <c r="N1420" s="184"/>
      <c r="O1420" s="184"/>
    </row>
    <row r="1421" customFormat="false" ht="15" hidden="false" customHeight="true" outlineLevel="0" collapsed="false">
      <c r="A1421" s="184"/>
      <c r="B1421" s="184"/>
      <c r="C1421" s="184"/>
      <c r="D1421" s="184"/>
      <c r="E1421" s="184"/>
      <c r="F1421" s="184"/>
      <c r="G1421" s="184"/>
      <c r="H1421" s="184"/>
      <c r="I1421" s="184"/>
      <c r="J1421" s="184"/>
      <c r="K1421" s="184"/>
      <c r="L1421" s="184"/>
      <c r="M1421" s="184"/>
      <c r="N1421" s="184"/>
      <c r="O1421" s="184"/>
    </row>
    <row r="1422" customFormat="false" ht="15" hidden="false" customHeight="true" outlineLevel="0" collapsed="false">
      <c r="A1422" s="184"/>
      <c r="B1422" s="184"/>
      <c r="C1422" s="184"/>
      <c r="D1422" s="184"/>
      <c r="E1422" s="184"/>
      <c r="F1422" s="184"/>
      <c r="G1422" s="184"/>
      <c r="H1422" s="184"/>
      <c r="I1422" s="184"/>
      <c r="J1422" s="184"/>
      <c r="K1422" s="184"/>
      <c r="L1422" s="184"/>
      <c r="M1422" s="184"/>
      <c r="N1422" s="184"/>
      <c r="O1422" s="184"/>
    </row>
    <row r="1423" customFormat="false" ht="15" hidden="false" customHeight="true" outlineLevel="0" collapsed="false">
      <c r="A1423" s="184"/>
      <c r="B1423" s="184"/>
      <c r="C1423" s="184"/>
      <c r="D1423" s="184"/>
      <c r="E1423" s="184"/>
      <c r="F1423" s="184"/>
      <c r="G1423" s="184"/>
      <c r="H1423" s="184"/>
      <c r="I1423" s="184"/>
      <c r="J1423" s="184"/>
      <c r="K1423" s="184"/>
      <c r="L1423" s="184"/>
      <c r="M1423" s="184"/>
      <c r="N1423" s="184"/>
      <c r="O1423" s="184"/>
    </row>
    <row r="1424" customFormat="false" ht="15" hidden="false" customHeight="true" outlineLevel="0" collapsed="false">
      <c r="A1424" s="184"/>
      <c r="B1424" s="184"/>
      <c r="C1424" s="184"/>
      <c r="D1424" s="184"/>
      <c r="E1424" s="184"/>
      <c r="F1424" s="184"/>
      <c r="G1424" s="184"/>
      <c r="H1424" s="184"/>
      <c r="I1424" s="184"/>
      <c r="J1424" s="184"/>
      <c r="K1424" s="184"/>
      <c r="L1424" s="184"/>
      <c r="M1424" s="184"/>
      <c r="N1424" s="184"/>
      <c r="O1424" s="184"/>
    </row>
    <row r="1425" customFormat="false" ht="15" hidden="false" customHeight="true" outlineLevel="0" collapsed="false">
      <c r="A1425" s="184"/>
      <c r="B1425" s="184"/>
      <c r="C1425" s="184"/>
      <c r="D1425" s="184"/>
      <c r="E1425" s="184"/>
      <c r="F1425" s="184"/>
      <c r="G1425" s="184"/>
      <c r="H1425" s="184"/>
      <c r="I1425" s="184"/>
      <c r="J1425" s="184"/>
      <c r="K1425" s="184"/>
      <c r="L1425" s="184"/>
      <c r="M1425" s="184"/>
      <c r="N1425" s="184"/>
      <c r="O1425" s="184"/>
    </row>
    <row r="1426" customFormat="false" ht="15" hidden="false" customHeight="true" outlineLevel="0" collapsed="false">
      <c r="A1426" s="184"/>
      <c r="B1426" s="184"/>
      <c r="C1426" s="184"/>
      <c r="D1426" s="184"/>
      <c r="E1426" s="184"/>
      <c r="F1426" s="184"/>
      <c r="G1426" s="184"/>
      <c r="H1426" s="184"/>
      <c r="I1426" s="184"/>
      <c r="J1426" s="184"/>
      <c r="K1426" s="184"/>
      <c r="L1426" s="184"/>
      <c r="M1426" s="184"/>
      <c r="N1426" s="184"/>
      <c r="O1426" s="184"/>
    </row>
    <row r="1427" customFormat="false" ht="15" hidden="false" customHeight="true" outlineLevel="0" collapsed="false">
      <c r="A1427" s="184"/>
      <c r="B1427" s="184"/>
      <c r="C1427" s="184"/>
      <c r="D1427" s="184"/>
      <c r="E1427" s="184"/>
      <c r="F1427" s="184"/>
      <c r="G1427" s="184"/>
      <c r="H1427" s="184"/>
      <c r="I1427" s="184"/>
      <c r="J1427" s="184"/>
      <c r="K1427" s="184"/>
      <c r="L1427" s="184"/>
      <c r="M1427" s="184"/>
      <c r="N1427" s="184"/>
      <c r="O1427" s="184"/>
    </row>
    <row r="1428" customFormat="false" ht="15" hidden="false" customHeight="true" outlineLevel="0" collapsed="false">
      <c r="A1428" s="184"/>
      <c r="B1428" s="184"/>
      <c r="C1428" s="184"/>
      <c r="D1428" s="184"/>
      <c r="E1428" s="184"/>
      <c r="F1428" s="184"/>
      <c r="G1428" s="184"/>
      <c r="H1428" s="184"/>
      <c r="I1428" s="184"/>
      <c r="J1428" s="184"/>
      <c r="K1428" s="184"/>
      <c r="L1428" s="184"/>
      <c r="M1428" s="184"/>
      <c r="N1428" s="184"/>
      <c r="O1428" s="184"/>
    </row>
    <row r="1429" customFormat="false" ht="15" hidden="false" customHeight="true" outlineLevel="0" collapsed="false">
      <c r="A1429" s="184"/>
      <c r="B1429" s="184"/>
      <c r="C1429" s="184"/>
      <c r="D1429" s="184"/>
      <c r="E1429" s="184"/>
      <c r="F1429" s="184"/>
      <c r="G1429" s="184"/>
      <c r="H1429" s="184"/>
      <c r="I1429" s="184"/>
      <c r="J1429" s="184"/>
      <c r="K1429" s="184"/>
      <c r="L1429" s="184"/>
      <c r="M1429" s="184"/>
      <c r="N1429" s="184"/>
      <c r="O1429" s="184"/>
    </row>
    <row r="1430" customFormat="false" ht="15" hidden="false" customHeight="true" outlineLevel="0" collapsed="false">
      <c r="A1430" s="184"/>
      <c r="B1430" s="184"/>
      <c r="C1430" s="184"/>
      <c r="D1430" s="184"/>
      <c r="E1430" s="184"/>
      <c r="F1430" s="184"/>
      <c r="G1430" s="184"/>
      <c r="H1430" s="184"/>
      <c r="I1430" s="184"/>
      <c r="J1430" s="184"/>
      <c r="K1430" s="184"/>
      <c r="L1430" s="184"/>
      <c r="M1430" s="184"/>
      <c r="N1430" s="184"/>
      <c r="O1430" s="184"/>
    </row>
    <row r="1431" customFormat="false" ht="15" hidden="false" customHeight="true" outlineLevel="0" collapsed="false">
      <c r="A1431" s="184"/>
      <c r="B1431" s="184"/>
      <c r="C1431" s="184"/>
      <c r="D1431" s="184"/>
      <c r="E1431" s="184"/>
      <c r="F1431" s="184"/>
      <c r="G1431" s="184"/>
      <c r="H1431" s="184"/>
      <c r="I1431" s="184"/>
      <c r="J1431" s="184"/>
      <c r="K1431" s="184"/>
      <c r="L1431" s="184"/>
      <c r="M1431" s="184"/>
      <c r="N1431" s="184"/>
      <c r="O1431" s="184"/>
    </row>
    <row r="1432" customFormat="false" ht="15" hidden="false" customHeight="true" outlineLevel="0" collapsed="false">
      <c r="A1432" s="184"/>
      <c r="B1432" s="184"/>
      <c r="C1432" s="184"/>
      <c r="D1432" s="184"/>
      <c r="E1432" s="184"/>
      <c r="F1432" s="184"/>
      <c r="G1432" s="184"/>
      <c r="H1432" s="184"/>
      <c r="I1432" s="184"/>
      <c r="J1432" s="184"/>
      <c r="K1432" s="184"/>
      <c r="L1432" s="184"/>
      <c r="M1432" s="184"/>
      <c r="N1432" s="184"/>
      <c r="O1432" s="184"/>
    </row>
    <row r="1433" customFormat="false" ht="15" hidden="false" customHeight="true" outlineLevel="0" collapsed="false">
      <c r="A1433" s="184"/>
      <c r="B1433" s="184"/>
      <c r="C1433" s="184"/>
      <c r="D1433" s="184"/>
      <c r="E1433" s="184"/>
      <c r="F1433" s="184"/>
      <c r="G1433" s="184"/>
      <c r="H1433" s="184"/>
      <c r="I1433" s="184"/>
      <c r="J1433" s="184"/>
      <c r="K1433" s="184"/>
      <c r="L1433" s="184"/>
      <c r="M1433" s="184"/>
      <c r="N1433" s="184"/>
      <c r="O1433" s="184"/>
    </row>
    <row r="1434" customFormat="false" ht="15" hidden="false" customHeight="true" outlineLevel="0" collapsed="false">
      <c r="A1434" s="184"/>
      <c r="B1434" s="184"/>
      <c r="C1434" s="184"/>
      <c r="D1434" s="184"/>
      <c r="E1434" s="184"/>
      <c r="F1434" s="184"/>
      <c r="G1434" s="184"/>
      <c r="H1434" s="184"/>
      <c r="I1434" s="184"/>
      <c r="J1434" s="184"/>
      <c r="K1434" s="184"/>
      <c r="L1434" s="184"/>
      <c r="M1434" s="184"/>
      <c r="N1434" s="184"/>
      <c r="O1434" s="184"/>
    </row>
    <row r="1435" customFormat="false" ht="15" hidden="false" customHeight="true" outlineLevel="0" collapsed="false">
      <c r="A1435" s="184"/>
      <c r="B1435" s="184"/>
      <c r="C1435" s="184"/>
      <c r="D1435" s="184"/>
      <c r="E1435" s="184"/>
      <c r="F1435" s="184"/>
      <c r="G1435" s="184"/>
      <c r="H1435" s="184"/>
      <c r="I1435" s="184"/>
      <c r="J1435" s="184"/>
      <c r="K1435" s="184"/>
      <c r="L1435" s="184"/>
      <c r="M1435" s="184"/>
      <c r="N1435" s="184"/>
      <c r="O1435" s="184"/>
    </row>
    <row r="1436" customFormat="false" ht="15" hidden="false" customHeight="true" outlineLevel="0" collapsed="false">
      <c r="A1436" s="184"/>
      <c r="B1436" s="184"/>
      <c r="C1436" s="184"/>
      <c r="D1436" s="184"/>
      <c r="E1436" s="184"/>
      <c r="F1436" s="184"/>
      <c r="G1436" s="184"/>
      <c r="H1436" s="184"/>
      <c r="I1436" s="184"/>
      <c r="J1436" s="184"/>
      <c r="K1436" s="184"/>
      <c r="L1436" s="184"/>
      <c r="M1436" s="184"/>
      <c r="N1436" s="184"/>
      <c r="O1436" s="184"/>
    </row>
    <row r="1437" customFormat="false" ht="15" hidden="false" customHeight="true" outlineLevel="0" collapsed="false">
      <c r="A1437" s="184"/>
      <c r="B1437" s="184"/>
      <c r="C1437" s="184"/>
      <c r="D1437" s="184"/>
      <c r="E1437" s="184"/>
      <c r="F1437" s="184"/>
      <c r="G1437" s="184"/>
      <c r="H1437" s="184"/>
      <c r="I1437" s="184"/>
      <c r="J1437" s="184"/>
      <c r="K1437" s="184"/>
      <c r="L1437" s="184"/>
      <c r="M1437" s="184"/>
      <c r="N1437" s="184"/>
      <c r="O1437" s="184"/>
    </row>
    <row r="1438" customFormat="false" ht="15" hidden="false" customHeight="true" outlineLevel="0" collapsed="false">
      <c r="A1438" s="184"/>
      <c r="B1438" s="184"/>
      <c r="C1438" s="184"/>
      <c r="D1438" s="184"/>
      <c r="E1438" s="184"/>
      <c r="F1438" s="184"/>
      <c r="G1438" s="184"/>
      <c r="H1438" s="184"/>
      <c r="I1438" s="184"/>
      <c r="J1438" s="184"/>
      <c r="K1438" s="184"/>
      <c r="L1438" s="184"/>
      <c r="M1438" s="184"/>
      <c r="N1438" s="184"/>
      <c r="O1438" s="184"/>
    </row>
    <row r="1439" customFormat="false" ht="15" hidden="false" customHeight="true" outlineLevel="0" collapsed="false">
      <c r="A1439" s="184"/>
      <c r="B1439" s="184"/>
      <c r="C1439" s="184"/>
      <c r="D1439" s="184"/>
      <c r="E1439" s="184"/>
      <c r="F1439" s="184"/>
      <c r="G1439" s="184"/>
      <c r="H1439" s="184"/>
      <c r="I1439" s="184"/>
      <c r="J1439" s="184"/>
      <c r="K1439" s="184"/>
      <c r="L1439" s="184"/>
      <c r="M1439" s="184"/>
      <c r="N1439" s="184"/>
      <c r="O1439" s="184"/>
    </row>
    <row r="1440" customFormat="false" ht="15" hidden="false" customHeight="true" outlineLevel="0" collapsed="false">
      <c r="A1440" s="184"/>
      <c r="B1440" s="184"/>
      <c r="C1440" s="184"/>
      <c r="D1440" s="184"/>
      <c r="E1440" s="184"/>
      <c r="F1440" s="184"/>
      <c r="G1440" s="184"/>
      <c r="H1440" s="184"/>
      <c r="I1440" s="184"/>
      <c r="J1440" s="184"/>
      <c r="K1440" s="184"/>
      <c r="L1440" s="184"/>
      <c r="M1440" s="184"/>
      <c r="N1440" s="184"/>
      <c r="O1440" s="184"/>
    </row>
    <row r="1441" customFormat="false" ht="15" hidden="false" customHeight="true" outlineLevel="0" collapsed="false">
      <c r="A1441" s="184"/>
      <c r="B1441" s="184"/>
      <c r="C1441" s="184"/>
      <c r="D1441" s="184"/>
      <c r="E1441" s="184"/>
      <c r="F1441" s="184"/>
      <c r="G1441" s="184"/>
      <c r="H1441" s="184"/>
      <c r="I1441" s="184"/>
      <c r="J1441" s="184"/>
      <c r="K1441" s="184"/>
      <c r="L1441" s="184"/>
      <c r="M1441" s="184"/>
      <c r="N1441" s="184"/>
      <c r="O1441" s="184"/>
    </row>
    <row r="1442" customFormat="false" ht="15" hidden="false" customHeight="true" outlineLevel="0" collapsed="false">
      <c r="A1442" s="184"/>
      <c r="B1442" s="184"/>
      <c r="C1442" s="184"/>
      <c r="D1442" s="184"/>
      <c r="E1442" s="184"/>
      <c r="F1442" s="184"/>
      <c r="G1442" s="184"/>
      <c r="H1442" s="184"/>
      <c r="I1442" s="184"/>
      <c r="J1442" s="184"/>
      <c r="K1442" s="184"/>
      <c r="L1442" s="184"/>
      <c r="M1442" s="184"/>
      <c r="N1442" s="184"/>
      <c r="O1442" s="184"/>
    </row>
    <row r="1443" customFormat="false" ht="15" hidden="false" customHeight="true" outlineLevel="0" collapsed="false">
      <c r="A1443" s="184"/>
      <c r="B1443" s="184"/>
      <c r="C1443" s="184"/>
      <c r="D1443" s="184"/>
      <c r="E1443" s="184"/>
      <c r="F1443" s="184"/>
      <c r="G1443" s="184"/>
      <c r="H1443" s="184"/>
      <c r="I1443" s="184"/>
      <c r="J1443" s="184"/>
      <c r="K1443" s="184"/>
      <c r="L1443" s="184"/>
      <c r="M1443" s="184"/>
      <c r="N1443" s="184"/>
      <c r="O1443" s="184"/>
    </row>
    <row r="1444" customFormat="false" ht="15" hidden="false" customHeight="true" outlineLevel="0" collapsed="false">
      <c r="A1444" s="184"/>
      <c r="B1444" s="184"/>
      <c r="C1444" s="184"/>
      <c r="D1444" s="184"/>
      <c r="E1444" s="184"/>
      <c r="F1444" s="184"/>
      <c r="G1444" s="184"/>
      <c r="H1444" s="184"/>
      <c r="I1444" s="184"/>
      <c r="J1444" s="184"/>
      <c r="K1444" s="184"/>
      <c r="L1444" s="184"/>
      <c r="M1444" s="184"/>
      <c r="N1444" s="184"/>
      <c r="O1444" s="184"/>
    </row>
    <row r="1445" customFormat="false" ht="15" hidden="false" customHeight="true" outlineLevel="0" collapsed="false">
      <c r="A1445" s="184"/>
      <c r="B1445" s="184"/>
      <c r="C1445" s="184"/>
      <c r="D1445" s="184"/>
      <c r="E1445" s="184"/>
      <c r="F1445" s="184"/>
      <c r="G1445" s="184"/>
      <c r="H1445" s="184"/>
      <c r="I1445" s="184"/>
      <c r="J1445" s="184"/>
      <c r="K1445" s="184"/>
      <c r="L1445" s="184"/>
      <c r="M1445" s="184"/>
      <c r="N1445" s="184"/>
      <c r="O1445" s="184"/>
    </row>
    <row r="1446" customFormat="false" ht="15" hidden="false" customHeight="true" outlineLevel="0" collapsed="false">
      <c r="A1446" s="184"/>
      <c r="B1446" s="184"/>
      <c r="C1446" s="184"/>
      <c r="D1446" s="184"/>
      <c r="E1446" s="184"/>
      <c r="F1446" s="184"/>
      <c r="G1446" s="184"/>
      <c r="H1446" s="184"/>
      <c r="I1446" s="184"/>
      <c r="J1446" s="184"/>
      <c r="K1446" s="184"/>
      <c r="L1446" s="184"/>
      <c r="M1446" s="184"/>
      <c r="N1446" s="184"/>
      <c r="O1446" s="184"/>
    </row>
    <row r="1447" customFormat="false" ht="15" hidden="false" customHeight="true" outlineLevel="0" collapsed="false">
      <c r="A1447" s="184"/>
      <c r="B1447" s="184"/>
      <c r="C1447" s="184"/>
      <c r="D1447" s="184"/>
      <c r="E1447" s="184"/>
      <c r="F1447" s="184"/>
      <c r="G1447" s="184"/>
      <c r="H1447" s="184"/>
      <c r="I1447" s="184"/>
      <c r="J1447" s="184"/>
      <c r="K1447" s="184"/>
      <c r="L1447" s="184"/>
      <c r="M1447" s="184"/>
      <c r="N1447" s="184"/>
      <c r="O1447" s="184"/>
    </row>
    <row r="1448" customFormat="false" ht="15" hidden="false" customHeight="true" outlineLevel="0" collapsed="false">
      <c r="A1448" s="184"/>
      <c r="B1448" s="184"/>
      <c r="C1448" s="184"/>
      <c r="D1448" s="184"/>
      <c r="E1448" s="184"/>
      <c r="F1448" s="184"/>
      <c r="G1448" s="184"/>
      <c r="H1448" s="184"/>
      <c r="I1448" s="184"/>
      <c r="J1448" s="184"/>
      <c r="K1448" s="184"/>
      <c r="L1448" s="184"/>
      <c r="M1448" s="184"/>
      <c r="N1448" s="184"/>
      <c r="O1448" s="184"/>
    </row>
    <row r="1449" customFormat="false" ht="15" hidden="false" customHeight="true" outlineLevel="0" collapsed="false">
      <c r="A1449" s="184"/>
      <c r="B1449" s="184"/>
      <c r="C1449" s="184"/>
      <c r="D1449" s="184"/>
      <c r="E1449" s="184"/>
      <c r="F1449" s="184"/>
      <c r="G1449" s="184"/>
      <c r="H1449" s="184"/>
      <c r="I1449" s="184"/>
      <c r="J1449" s="184"/>
      <c r="K1449" s="184"/>
      <c r="L1449" s="184"/>
      <c r="M1449" s="184"/>
      <c r="N1449" s="184"/>
      <c r="O1449" s="184"/>
    </row>
    <row r="1450" customFormat="false" ht="15" hidden="false" customHeight="true" outlineLevel="0" collapsed="false">
      <c r="A1450" s="184"/>
      <c r="B1450" s="184"/>
      <c r="C1450" s="184"/>
      <c r="D1450" s="184"/>
      <c r="E1450" s="184"/>
      <c r="F1450" s="184"/>
      <c r="G1450" s="184"/>
      <c r="H1450" s="184"/>
      <c r="I1450" s="184"/>
      <c r="J1450" s="184"/>
      <c r="K1450" s="184"/>
      <c r="L1450" s="184"/>
      <c r="M1450" s="184"/>
      <c r="N1450" s="184"/>
      <c r="O1450" s="184"/>
    </row>
    <row r="1451" customFormat="false" ht="15" hidden="false" customHeight="true" outlineLevel="0" collapsed="false">
      <c r="A1451" s="184"/>
      <c r="B1451" s="184"/>
      <c r="C1451" s="184"/>
      <c r="D1451" s="184"/>
      <c r="E1451" s="184"/>
      <c r="F1451" s="184"/>
      <c r="G1451" s="184"/>
      <c r="H1451" s="184"/>
      <c r="I1451" s="184"/>
      <c r="J1451" s="184"/>
      <c r="K1451" s="184"/>
      <c r="L1451" s="184"/>
      <c r="M1451" s="184"/>
      <c r="N1451" s="184"/>
      <c r="O1451" s="184"/>
    </row>
    <row r="1452" customFormat="false" ht="15" hidden="false" customHeight="true" outlineLevel="0" collapsed="false">
      <c r="A1452" s="184"/>
      <c r="B1452" s="184"/>
      <c r="C1452" s="184"/>
      <c r="D1452" s="184"/>
      <c r="E1452" s="184"/>
      <c r="F1452" s="184"/>
      <c r="G1452" s="184"/>
      <c r="H1452" s="184"/>
      <c r="I1452" s="184"/>
      <c r="J1452" s="184"/>
      <c r="K1452" s="184"/>
      <c r="L1452" s="184"/>
      <c r="M1452" s="184"/>
      <c r="N1452" s="184"/>
      <c r="O1452" s="184"/>
    </row>
    <row r="1453" customFormat="false" ht="15" hidden="false" customHeight="true" outlineLevel="0" collapsed="false">
      <c r="A1453" s="184"/>
      <c r="B1453" s="184"/>
      <c r="C1453" s="184"/>
      <c r="D1453" s="184"/>
      <c r="E1453" s="184"/>
      <c r="F1453" s="184"/>
      <c r="G1453" s="184"/>
      <c r="H1453" s="184"/>
      <c r="I1453" s="184"/>
      <c r="J1453" s="184"/>
      <c r="K1453" s="184"/>
      <c r="L1453" s="184"/>
      <c r="M1453" s="184"/>
      <c r="N1453" s="184"/>
      <c r="O1453" s="184"/>
    </row>
    <row r="1454" customFormat="false" ht="15" hidden="false" customHeight="true" outlineLevel="0" collapsed="false">
      <c r="A1454" s="184"/>
      <c r="B1454" s="184"/>
      <c r="C1454" s="184"/>
      <c r="D1454" s="184"/>
      <c r="E1454" s="184"/>
      <c r="F1454" s="184"/>
      <c r="G1454" s="184"/>
      <c r="H1454" s="184"/>
      <c r="I1454" s="184"/>
      <c r="J1454" s="184"/>
      <c r="K1454" s="184"/>
      <c r="L1454" s="184"/>
      <c r="M1454" s="184"/>
      <c r="N1454" s="184"/>
      <c r="O1454" s="184"/>
    </row>
    <row r="1455" customFormat="false" ht="15" hidden="false" customHeight="true" outlineLevel="0" collapsed="false">
      <c r="A1455" s="184"/>
      <c r="B1455" s="184"/>
      <c r="C1455" s="184"/>
      <c r="D1455" s="184"/>
      <c r="E1455" s="184"/>
      <c r="F1455" s="184"/>
      <c r="G1455" s="184"/>
      <c r="H1455" s="184"/>
      <c r="I1455" s="184"/>
      <c r="J1455" s="184"/>
      <c r="K1455" s="184"/>
      <c r="L1455" s="184"/>
      <c r="M1455" s="184"/>
      <c r="N1455" s="184"/>
      <c r="O1455" s="184"/>
    </row>
    <row r="1456" customFormat="false" ht="15" hidden="false" customHeight="true" outlineLevel="0" collapsed="false">
      <c r="A1456" s="184"/>
      <c r="B1456" s="184"/>
      <c r="C1456" s="184"/>
      <c r="D1456" s="184"/>
      <c r="E1456" s="184"/>
      <c r="F1456" s="184"/>
      <c r="G1456" s="184"/>
      <c r="H1456" s="184"/>
      <c r="I1456" s="184"/>
      <c r="J1456" s="184"/>
      <c r="K1456" s="184"/>
      <c r="L1456" s="184"/>
      <c r="M1456" s="184"/>
      <c r="N1456" s="184"/>
      <c r="O1456" s="184"/>
    </row>
    <row r="1457" customFormat="false" ht="15" hidden="false" customHeight="true" outlineLevel="0" collapsed="false">
      <c r="A1457" s="184"/>
      <c r="B1457" s="184"/>
      <c r="C1457" s="184"/>
      <c r="D1457" s="184"/>
      <c r="E1457" s="184"/>
      <c r="F1457" s="184"/>
      <c r="G1457" s="184"/>
      <c r="H1457" s="184"/>
      <c r="I1457" s="184"/>
      <c r="J1457" s="184"/>
      <c r="K1457" s="184"/>
      <c r="L1457" s="184"/>
      <c r="M1457" s="184"/>
      <c r="N1457" s="184"/>
      <c r="O1457" s="184"/>
    </row>
    <row r="1458" customFormat="false" ht="15" hidden="false" customHeight="true" outlineLevel="0" collapsed="false">
      <c r="A1458" s="184"/>
      <c r="B1458" s="184"/>
      <c r="C1458" s="184"/>
      <c r="D1458" s="184"/>
      <c r="E1458" s="184"/>
      <c r="F1458" s="184"/>
      <c r="G1458" s="184"/>
      <c r="H1458" s="184"/>
      <c r="I1458" s="184"/>
      <c r="J1458" s="184"/>
      <c r="K1458" s="184"/>
      <c r="L1458" s="184"/>
      <c r="M1458" s="184"/>
      <c r="N1458" s="184"/>
      <c r="O1458" s="184"/>
    </row>
    <row r="1459" customFormat="false" ht="15" hidden="false" customHeight="true" outlineLevel="0" collapsed="false">
      <c r="A1459" s="184"/>
      <c r="B1459" s="184"/>
      <c r="C1459" s="184"/>
      <c r="D1459" s="184"/>
      <c r="E1459" s="184"/>
      <c r="F1459" s="184"/>
      <c r="G1459" s="184"/>
      <c r="H1459" s="184"/>
      <c r="I1459" s="184"/>
      <c r="J1459" s="184"/>
      <c r="K1459" s="184"/>
      <c r="L1459" s="184"/>
      <c r="M1459" s="184"/>
      <c r="N1459" s="184"/>
      <c r="O1459" s="184"/>
    </row>
    <row r="1460" customFormat="false" ht="15" hidden="false" customHeight="true" outlineLevel="0" collapsed="false">
      <c r="A1460" s="184"/>
      <c r="B1460" s="184"/>
      <c r="C1460" s="184"/>
      <c r="D1460" s="184"/>
      <c r="E1460" s="184"/>
      <c r="F1460" s="184"/>
      <c r="G1460" s="184"/>
      <c r="H1460" s="184"/>
      <c r="I1460" s="184"/>
      <c r="J1460" s="184"/>
      <c r="K1460" s="184"/>
      <c r="L1460" s="184"/>
      <c r="M1460" s="184"/>
      <c r="N1460" s="184"/>
      <c r="O1460" s="184"/>
    </row>
    <row r="1461" customFormat="false" ht="15" hidden="false" customHeight="true" outlineLevel="0" collapsed="false">
      <c r="A1461" s="184"/>
      <c r="B1461" s="184"/>
      <c r="C1461" s="184"/>
      <c r="D1461" s="184"/>
      <c r="E1461" s="184"/>
      <c r="F1461" s="184"/>
      <c r="G1461" s="184"/>
      <c r="H1461" s="184"/>
      <c r="I1461" s="184"/>
      <c r="J1461" s="184"/>
      <c r="K1461" s="184"/>
      <c r="L1461" s="184"/>
      <c r="M1461" s="184"/>
      <c r="N1461" s="184"/>
      <c r="O1461" s="184"/>
    </row>
    <row r="1462" customFormat="false" ht="15" hidden="false" customHeight="true" outlineLevel="0" collapsed="false">
      <c r="A1462" s="184"/>
      <c r="B1462" s="184"/>
      <c r="C1462" s="184"/>
      <c r="D1462" s="184"/>
      <c r="E1462" s="184"/>
      <c r="F1462" s="184"/>
      <c r="G1462" s="184"/>
      <c r="H1462" s="184"/>
      <c r="I1462" s="184"/>
      <c r="J1462" s="184"/>
      <c r="K1462" s="184"/>
      <c r="L1462" s="184"/>
      <c r="M1462" s="184"/>
      <c r="N1462" s="184"/>
      <c r="O1462" s="184"/>
    </row>
    <row r="1463" customFormat="false" ht="15" hidden="false" customHeight="true" outlineLevel="0" collapsed="false">
      <c r="A1463" s="184"/>
      <c r="B1463" s="184"/>
      <c r="C1463" s="184"/>
      <c r="D1463" s="184"/>
      <c r="E1463" s="184"/>
      <c r="F1463" s="184"/>
      <c r="G1463" s="184"/>
      <c r="H1463" s="184"/>
      <c r="I1463" s="184"/>
      <c r="J1463" s="184"/>
      <c r="K1463" s="184"/>
      <c r="L1463" s="184"/>
      <c r="M1463" s="184"/>
      <c r="N1463" s="184"/>
      <c r="O1463" s="184"/>
    </row>
    <row r="1464" customFormat="false" ht="15" hidden="false" customHeight="true" outlineLevel="0" collapsed="false">
      <c r="A1464" s="184"/>
      <c r="B1464" s="184"/>
      <c r="C1464" s="184"/>
      <c r="D1464" s="184"/>
      <c r="E1464" s="184"/>
      <c r="F1464" s="184"/>
      <c r="G1464" s="184"/>
      <c r="H1464" s="184"/>
      <c r="I1464" s="184"/>
      <c r="J1464" s="184"/>
      <c r="K1464" s="184"/>
      <c r="L1464" s="184"/>
      <c r="M1464" s="184"/>
      <c r="N1464" s="184"/>
      <c r="O1464" s="184"/>
    </row>
    <row r="1465" customFormat="false" ht="15" hidden="false" customHeight="true" outlineLevel="0" collapsed="false">
      <c r="A1465" s="184"/>
      <c r="B1465" s="184"/>
      <c r="C1465" s="184"/>
      <c r="D1465" s="184"/>
      <c r="E1465" s="184"/>
      <c r="F1465" s="184"/>
      <c r="G1465" s="184"/>
      <c r="H1465" s="184"/>
      <c r="I1465" s="184"/>
      <c r="J1465" s="184"/>
      <c r="K1465" s="184"/>
      <c r="L1465" s="184"/>
      <c r="M1465" s="184"/>
      <c r="N1465" s="184"/>
      <c r="O1465" s="184"/>
    </row>
    <row r="1466" customFormat="false" ht="15" hidden="false" customHeight="true" outlineLevel="0" collapsed="false">
      <c r="A1466" s="184"/>
      <c r="B1466" s="184"/>
      <c r="C1466" s="184"/>
      <c r="D1466" s="184"/>
      <c r="E1466" s="184"/>
      <c r="F1466" s="184"/>
      <c r="G1466" s="184"/>
      <c r="H1466" s="184"/>
      <c r="I1466" s="184"/>
      <c r="J1466" s="184"/>
      <c r="K1466" s="184"/>
      <c r="L1466" s="184"/>
      <c r="M1466" s="184"/>
      <c r="N1466" s="184"/>
      <c r="O1466" s="184"/>
    </row>
    <row r="1467" customFormat="false" ht="15" hidden="false" customHeight="true" outlineLevel="0" collapsed="false">
      <c r="A1467" s="184"/>
      <c r="B1467" s="184"/>
      <c r="C1467" s="184"/>
      <c r="D1467" s="184"/>
      <c r="E1467" s="184"/>
      <c r="F1467" s="184"/>
      <c r="G1467" s="184"/>
      <c r="H1467" s="184"/>
      <c r="I1467" s="184"/>
      <c r="J1467" s="184"/>
      <c r="K1467" s="184"/>
      <c r="L1467" s="184"/>
      <c r="M1467" s="184"/>
      <c r="N1467" s="184"/>
      <c r="O1467" s="184"/>
    </row>
    <row r="1468" customFormat="false" ht="15" hidden="false" customHeight="true" outlineLevel="0" collapsed="false">
      <c r="A1468" s="184"/>
      <c r="B1468" s="184"/>
      <c r="C1468" s="184"/>
      <c r="D1468" s="184"/>
      <c r="E1468" s="184"/>
      <c r="F1468" s="184"/>
      <c r="G1468" s="184"/>
      <c r="H1468" s="184"/>
      <c r="I1468" s="184"/>
      <c r="J1468" s="184"/>
      <c r="K1468" s="184"/>
      <c r="L1468" s="184"/>
      <c r="M1468" s="184"/>
      <c r="N1468" s="184"/>
      <c r="O1468" s="184"/>
    </row>
    <row r="1469" customFormat="false" ht="15" hidden="false" customHeight="true" outlineLevel="0" collapsed="false">
      <c r="A1469" s="184"/>
      <c r="B1469" s="184"/>
      <c r="C1469" s="184"/>
      <c r="D1469" s="184"/>
      <c r="E1469" s="184"/>
      <c r="F1469" s="184"/>
      <c r="G1469" s="184"/>
      <c r="H1469" s="184"/>
      <c r="I1469" s="184"/>
      <c r="J1469" s="184"/>
      <c r="K1469" s="184"/>
      <c r="L1469" s="184"/>
      <c r="M1469" s="184"/>
      <c r="N1469" s="184"/>
      <c r="O1469" s="184"/>
    </row>
    <row r="1470" customFormat="false" ht="15" hidden="false" customHeight="true" outlineLevel="0" collapsed="false">
      <c r="A1470" s="184"/>
      <c r="B1470" s="184"/>
      <c r="C1470" s="184"/>
      <c r="D1470" s="184"/>
      <c r="E1470" s="184"/>
      <c r="F1470" s="184"/>
      <c r="G1470" s="184"/>
      <c r="H1470" s="184"/>
      <c r="I1470" s="184"/>
      <c r="J1470" s="184"/>
      <c r="K1470" s="184"/>
      <c r="L1470" s="184"/>
      <c r="M1470" s="184"/>
      <c r="N1470" s="184"/>
      <c r="O1470" s="184"/>
    </row>
    <row r="1471" customFormat="false" ht="15" hidden="false" customHeight="true" outlineLevel="0" collapsed="false">
      <c r="A1471" s="184"/>
      <c r="B1471" s="184"/>
      <c r="C1471" s="184"/>
      <c r="D1471" s="184"/>
      <c r="E1471" s="184"/>
      <c r="F1471" s="184"/>
      <c r="G1471" s="184"/>
      <c r="H1471" s="184"/>
      <c r="I1471" s="184"/>
      <c r="J1471" s="184"/>
      <c r="K1471" s="184"/>
      <c r="L1471" s="184"/>
      <c r="M1471" s="184"/>
      <c r="N1471" s="184"/>
      <c r="O1471" s="184"/>
    </row>
    <row r="1472" customFormat="false" ht="15" hidden="false" customHeight="true" outlineLevel="0" collapsed="false">
      <c r="A1472" s="184"/>
      <c r="B1472" s="184"/>
      <c r="C1472" s="184"/>
      <c r="D1472" s="184"/>
      <c r="E1472" s="184"/>
      <c r="F1472" s="184"/>
      <c r="G1472" s="184"/>
      <c r="H1472" s="184"/>
      <c r="I1472" s="184"/>
      <c r="J1472" s="184"/>
      <c r="K1472" s="184"/>
      <c r="L1472" s="184"/>
      <c r="M1472" s="184"/>
      <c r="N1472" s="184"/>
      <c r="O1472" s="184"/>
    </row>
    <row r="1473" customFormat="false" ht="15" hidden="false" customHeight="true" outlineLevel="0" collapsed="false">
      <c r="A1473" s="184"/>
      <c r="B1473" s="184"/>
      <c r="C1473" s="184"/>
      <c r="D1473" s="184"/>
      <c r="E1473" s="184"/>
      <c r="F1473" s="184"/>
      <c r="G1473" s="184"/>
      <c r="H1473" s="184"/>
      <c r="I1473" s="184"/>
      <c r="J1473" s="184"/>
      <c r="K1473" s="184"/>
      <c r="L1473" s="184"/>
      <c r="M1473" s="184"/>
      <c r="N1473" s="184"/>
      <c r="O1473" s="184"/>
    </row>
    <row r="1474" customFormat="false" ht="15" hidden="false" customHeight="true" outlineLevel="0" collapsed="false">
      <c r="A1474" s="184"/>
      <c r="B1474" s="184"/>
      <c r="C1474" s="184"/>
      <c r="D1474" s="184"/>
      <c r="E1474" s="184"/>
      <c r="F1474" s="184"/>
      <c r="G1474" s="184"/>
      <c r="H1474" s="184"/>
      <c r="I1474" s="184"/>
      <c r="J1474" s="184"/>
      <c r="K1474" s="184"/>
      <c r="L1474" s="184"/>
      <c r="M1474" s="184"/>
      <c r="N1474" s="184"/>
      <c r="O1474" s="184"/>
    </row>
    <row r="1475" customFormat="false" ht="15" hidden="false" customHeight="true" outlineLevel="0" collapsed="false">
      <c r="A1475" s="184"/>
      <c r="B1475" s="184"/>
      <c r="C1475" s="184"/>
      <c r="D1475" s="184"/>
      <c r="E1475" s="184"/>
      <c r="F1475" s="184"/>
      <c r="G1475" s="184"/>
      <c r="H1475" s="184"/>
      <c r="I1475" s="184"/>
      <c r="J1475" s="184"/>
      <c r="K1475" s="184"/>
      <c r="L1475" s="184"/>
      <c r="M1475" s="184"/>
      <c r="N1475" s="184"/>
      <c r="O1475" s="184"/>
    </row>
    <row r="1476" customFormat="false" ht="15" hidden="false" customHeight="true" outlineLevel="0" collapsed="false">
      <c r="A1476" s="184"/>
      <c r="B1476" s="184"/>
      <c r="C1476" s="184"/>
      <c r="D1476" s="184"/>
      <c r="E1476" s="184"/>
      <c r="F1476" s="184"/>
      <c r="G1476" s="184"/>
      <c r="H1476" s="184"/>
      <c r="I1476" s="184"/>
      <c r="J1476" s="184"/>
      <c r="K1476" s="184"/>
      <c r="L1476" s="184"/>
      <c r="M1476" s="184"/>
      <c r="N1476" s="184"/>
      <c r="O1476" s="184"/>
    </row>
    <row r="1477" customFormat="false" ht="15" hidden="false" customHeight="true" outlineLevel="0" collapsed="false">
      <c r="A1477" s="184"/>
      <c r="B1477" s="184"/>
      <c r="C1477" s="184"/>
      <c r="D1477" s="184"/>
      <c r="E1477" s="184"/>
      <c r="F1477" s="184"/>
      <c r="G1477" s="184"/>
      <c r="H1477" s="184"/>
      <c r="I1477" s="184"/>
      <c r="J1477" s="184"/>
      <c r="K1477" s="184"/>
      <c r="L1477" s="184"/>
      <c r="M1477" s="184"/>
      <c r="N1477" s="184"/>
      <c r="O1477" s="184"/>
    </row>
    <row r="1478" customFormat="false" ht="15" hidden="false" customHeight="true" outlineLevel="0" collapsed="false">
      <c r="A1478" s="184"/>
      <c r="B1478" s="184"/>
      <c r="C1478" s="184"/>
      <c r="D1478" s="184"/>
      <c r="E1478" s="184"/>
      <c r="F1478" s="184"/>
      <c r="G1478" s="184"/>
      <c r="H1478" s="184"/>
      <c r="I1478" s="184"/>
      <c r="J1478" s="184"/>
      <c r="K1478" s="184"/>
      <c r="L1478" s="184"/>
      <c r="M1478" s="184"/>
      <c r="N1478" s="184"/>
      <c r="O1478" s="184"/>
    </row>
    <row r="1479" customFormat="false" ht="15" hidden="false" customHeight="true" outlineLevel="0" collapsed="false">
      <c r="A1479" s="184"/>
      <c r="B1479" s="184"/>
      <c r="C1479" s="184"/>
      <c r="D1479" s="184"/>
      <c r="E1479" s="184"/>
      <c r="F1479" s="184"/>
      <c r="G1479" s="184"/>
      <c r="H1479" s="184"/>
      <c r="I1479" s="184"/>
      <c r="J1479" s="184"/>
      <c r="K1479" s="184"/>
      <c r="L1479" s="184"/>
      <c r="M1479" s="184"/>
      <c r="N1479" s="184"/>
      <c r="O1479" s="184"/>
    </row>
    <row r="1480" customFormat="false" ht="15" hidden="false" customHeight="true" outlineLevel="0" collapsed="false">
      <c r="A1480" s="184"/>
      <c r="B1480" s="184"/>
      <c r="C1480" s="184"/>
      <c r="D1480" s="184"/>
      <c r="E1480" s="184"/>
      <c r="F1480" s="184"/>
      <c r="G1480" s="184"/>
      <c r="H1480" s="184"/>
      <c r="I1480" s="184"/>
      <c r="J1480" s="184"/>
      <c r="K1480" s="184"/>
      <c r="L1480" s="184"/>
      <c r="M1480" s="184"/>
      <c r="N1480" s="184"/>
      <c r="O1480" s="184"/>
    </row>
    <row r="1481" customFormat="false" ht="15" hidden="false" customHeight="true" outlineLevel="0" collapsed="false">
      <c r="A1481" s="184"/>
      <c r="B1481" s="184"/>
      <c r="C1481" s="184"/>
      <c r="D1481" s="184"/>
      <c r="E1481" s="184"/>
      <c r="F1481" s="184"/>
      <c r="G1481" s="184"/>
      <c r="H1481" s="184"/>
      <c r="I1481" s="184"/>
      <c r="J1481" s="184"/>
      <c r="K1481" s="184"/>
      <c r="L1481" s="184"/>
      <c r="M1481" s="184"/>
      <c r="N1481" s="184"/>
      <c r="O1481" s="184"/>
    </row>
    <row r="1482" customFormat="false" ht="15" hidden="false" customHeight="true" outlineLevel="0" collapsed="false">
      <c r="A1482" s="184"/>
      <c r="B1482" s="184"/>
      <c r="C1482" s="184"/>
      <c r="D1482" s="184"/>
      <c r="E1482" s="184"/>
      <c r="F1482" s="184"/>
      <c r="G1482" s="184"/>
      <c r="H1482" s="184"/>
      <c r="I1482" s="184"/>
      <c r="J1482" s="184"/>
      <c r="K1482" s="184"/>
      <c r="L1482" s="184"/>
      <c r="M1482" s="184"/>
      <c r="N1482" s="184"/>
      <c r="O1482" s="184"/>
    </row>
    <row r="1483" customFormat="false" ht="15" hidden="false" customHeight="true" outlineLevel="0" collapsed="false">
      <c r="A1483" s="184"/>
      <c r="B1483" s="184"/>
      <c r="C1483" s="184"/>
      <c r="D1483" s="184"/>
      <c r="E1483" s="184"/>
      <c r="F1483" s="184"/>
      <c r="G1483" s="184"/>
      <c r="H1483" s="184"/>
      <c r="I1483" s="184"/>
      <c r="J1483" s="184"/>
      <c r="K1483" s="184"/>
      <c r="L1483" s="184"/>
      <c r="M1483" s="184"/>
      <c r="N1483" s="184"/>
      <c r="O1483" s="184"/>
    </row>
    <row r="1484" customFormat="false" ht="15" hidden="false" customHeight="true" outlineLevel="0" collapsed="false">
      <c r="A1484" s="184"/>
      <c r="B1484" s="184"/>
      <c r="C1484" s="184"/>
      <c r="D1484" s="184"/>
      <c r="E1484" s="184"/>
      <c r="F1484" s="184"/>
      <c r="G1484" s="184"/>
      <c r="H1484" s="184"/>
      <c r="I1484" s="184"/>
      <c r="J1484" s="184"/>
      <c r="K1484" s="184"/>
      <c r="L1484" s="184"/>
      <c r="M1484" s="184"/>
      <c r="N1484" s="184"/>
      <c r="O1484" s="184"/>
    </row>
    <row r="1485" customFormat="false" ht="15" hidden="false" customHeight="true" outlineLevel="0" collapsed="false">
      <c r="A1485" s="184"/>
      <c r="B1485" s="184"/>
      <c r="C1485" s="184"/>
      <c r="D1485" s="184"/>
      <c r="E1485" s="184"/>
      <c r="F1485" s="184"/>
      <c r="G1485" s="184"/>
      <c r="H1485" s="184"/>
      <c r="I1485" s="184"/>
      <c r="J1485" s="184"/>
      <c r="K1485" s="184"/>
      <c r="L1485" s="184"/>
      <c r="M1485" s="184"/>
      <c r="N1485" s="184"/>
      <c r="O1485" s="184"/>
    </row>
    <row r="1486" customFormat="false" ht="15" hidden="false" customHeight="true" outlineLevel="0" collapsed="false">
      <c r="A1486" s="184"/>
      <c r="B1486" s="184"/>
      <c r="C1486" s="184"/>
      <c r="D1486" s="184"/>
      <c r="E1486" s="184"/>
      <c r="F1486" s="184"/>
      <c r="G1486" s="184"/>
      <c r="H1486" s="184"/>
      <c r="I1486" s="184"/>
      <c r="J1486" s="184"/>
      <c r="K1486" s="184"/>
      <c r="L1486" s="184"/>
      <c r="M1486" s="184"/>
      <c r="N1486" s="184"/>
      <c r="O1486" s="184"/>
    </row>
    <row r="1487" customFormat="false" ht="15" hidden="false" customHeight="true" outlineLevel="0" collapsed="false">
      <c r="A1487" s="184"/>
      <c r="B1487" s="184"/>
      <c r="C1487" s="184"/>
      <c r="D1487" s="184"/>
      <c r="E1487" s="184"/>
      <c r="F1487" s="184"/>
      <c r="G1487" s="184"/>
      <c r="H1487" s="184"/>
      <c r="I1487" s="184"/>
      <c r="J1487" s="184"/>
      <c r="K1487" s="184"/>
      <c r="L1487" s="184"/>
      <c r="M1487" s="184"/>
      <c r="N1487" s="184"/>
      <c r="O1487" s="184"/>
    </row>
    <row r="1488" customFormat="false" ht="15" hidden="false" customHeight="true" outlineLevel="0" collapsed="false">
      <c r="A1488" s="184"/>
      <c r="B1488" s="184"/>
      <c r="C1488" s="184"/>
      <c r="D1488" s="184"/>
      <c r="E1488" s="184"/>
      <c r="F1488" s="184"/>
      <c r="G1488" s="184"/>
      <c r="H1488" s="184"/>
      <c r="I1488" s="184"/>
      <c r="J1488" s="184"/>
      <c r="K1488" s="184"/>
      <c r="L1488" s="184"/>
      <c r="M1488" s="184"/>
      <c r="N1488" s="184"/>
      <c r="O1488" s="184"/>
    </row>
    <row r="1489" customFormat="false" ht="15" hidden="false" customHeight="true" outlineLevel="0" collapsed="false">
      <c r="A1489" s="184"/>
      <c r="B1489" s="184"/>
      <c r="C1489" s="184"/>
      <c r="D1489" s="184"/>
      <c r="E1489" s="184"/>
      <c r="F1489" s="184"/>
      <c r="G1489" s="184"/>
      <c r="H1489" s="184"/>
      <c r="I1489" s="184"/>
      <c r="J1489" s="184"/>
      <c r="K1489" s="184"/>
      <c r="L1489" s="184"/>
      <c r="M1489" s="184"/>
      <c r="N1489" s="184"/>
      <c r="O1489" s="184"/>
    </row>
    <row r="1490" customFormat="false" ht="15" hidden="false" customHeight="true" outlineLevel="0" collapsed="false">
      <c r="A1490" s="184"/>
      <c r="B1490" s="184"/>
      <c r="C1490" s="184"/>
      <c r="D1490" s="184"/>
      <c r="E1490" s="184"/>
      <c r="F1490" s="184"/>
      <c r="G1490" s="184"/>
      <c r="H1490" s="184"/>
      <c r="I1490" s="184"/>
      <c r="J1490" s="184"/>
      <c r="K1490" s="184"/>
      <c r="L1490" s="184"/>
      <c r="M1490" s="184"/>
      <c r="N1490" s="184"/>
      <c r="O1490" s="184"/>
    </row>
    <row r="1491" customFormat="false" ht="15" hidden="false" customHeight="true" outlineLevel="0" collapsed="false">
      <c r="A1491" s="184"/>
      <c r="B1491" s="184"/>
      <c r="C1491" s="184"/>
      <c r="D1491" s="184"/>
      <c r="E1491" s="184"/>
      <c r="F1491" s="184"/>
      <c r="G1491" s="184"/>
      <c r="H1491" s="184"/>
      <c r="I1491" s="184"/>
      <c r="J1491" s="184"/>
      <c r="K1491" s="184"/>
      <c r="L1491" s="184"/>
      <c r="M1491" s="184"/>
      <c r="N1491" s="184"/>
      <c r="O1491" s="184"/>
    </row>
    <row r="1492" customFormat="false" ht="15" hidden="false" customHeight="true" outlineLevel="0" collapsed="false">
      <c r="A1492" s="184"/>
      <c r="B1492" s="184"/>
      <c r="C1492" s="184"/>
      <c r="D1492" s="184"/>
      <c r="E1492" s="184"/>
      <c r="F1492" s="184"/>
      <c r="G1492" s="184"/>
      <c r="H1492" s="184"/>
      <c r="I1492" s="184"/>
      <c r="J1492" s="184"/>
      <c r="K1492" s="184"/>
      <c r="L1492" s="184"/>
      <c r="M1492" s="184"/>
      <c r="N1492" s="184"/>
      <c r="O1492" s="184"/>
    </row>
    <row r="1493" customFormat="false" ht="15" hidden="false" customHeight="true" outlineLevel="0" collapsed="false">
      <c r="A1493" s="184"/>
      <c r="B1493" s="184"/>
      <c r="C1493" s="184"/>
      <c r="D1493" s="184"/>
      <c r="E1493" s="184"/>
      <c r="F1493" s="184"/>
      <c r="G1493" s="184"/>
      <c r="H1493" s="184"/>
      <c r="I1493" s="184"/>
      <c r="J1493" s="184"/>
      <c r="K1493" s="184"/>
      <c r="L1493" s="184"/>
      <c r="M1493" s="184"/>
      <c r="N1493" s="184"/>
      <c r="O1493" s="184"/>
    </row>
    <row r="1494" customFormat="false" ht="15" hidden="false" customHeight="true" outlineLevel="0" collapsed="false">
      <c r="A1494" s="184"/>
      <c r="B1494" s="184"/>
      <c r="C1494" s="184"/>
      <c r="D1494" s="184"/>
      <c r="E1494" s="184"/>
      <c r="F1494" s="184"/>
      <c r="G1494" s="184"/>
      <c r="H1494" s="184"/>
      <c r="I1494" s="184"/>
      <c r="J1494" s="184"/>
      <c r="K1494" s="184"/>
      <c r="L1494" s="184"/>
      <c r="M1494" s="184"/>
      <c r="N1494" s="184"/>
      <c r="O1494" s="184"/>
    </row>
    <row r="1495" customFormat="false" ht="15" hidden="false" customHeight="true" outlineLevel="0" collapsed="false">
      <c r="A1495" s="184"/>
      <c r="B1495" s="184"/>
      <c r="C1495" s="184"/>
      <c r="D1495" s="184"/>
      <c r="E1495" s="184"/>
      <c r="F1495" s="184"/>
      <c r="G1495" s="184"/>
      <c r="H1495" s="184"/>
      <c r="I1495" s="184"/>
      <c r="J1495" s="184"/>
      <c r="K1495" s="184"/>
      <c r="L1495" s="184"/>
      <c r="M1495" s="184"/>
      <c r="N1495" s="184"/>
      <c r="O1495" s="184"/>
    </row>
    <row r="1496" customFormat="false" ht="15" hidden="false" customHeight="true" outlineLevel="0" collapsed="false">
      <c r="A1496" s="184"/>
      <c r="B1496" s="184"/>
      <c r="C1496" s="184"/>
      <c r="D1496" s="184"/>
      <c r="E1496" s="184"/>
      <c r="F1496" s="184"/>
      <c r="G1496" s="184"/>
      <c r="H1496" s="184"/>
      <c r="I1496" s="184"/>
      <c r="J1496" s="184"/>
      <c r="K1496" s="184"/>
      <c r="L1496" s="184"/>
      <c r="M1496" s="184"/>
      <c r="N1496" s="184"/>
      <c r="O1496" s="184"/>
    </row>
    <row r="1497" customFormat="false" ht="15" hidden="false" customHeight="true" outlineLevel="0" collapsed="false">
      <c r="A1497" s="184"/>
      <c r="B1497" s="184"/>
      <c r="C1497" s="184"/>
      <c r="D1497" s="184"/>
      <c r="E1497" s="184"/>
      <c r="F1497" s="184"/>
      <c r="G1497" s="184"/>
      <c r="H1497" s="184"/>
      <c r="I1497" s="184"/>
      <c r="J1497" s="184"/>
      <c r="K1497" s="184"/>
      <c r="L1497" s="184"/>
      <c r="M1497" s="184"/>
      <c r="N1497" s="184"/>
      <c r="O1497" s="184"/>
    </row>
    <row r="1498" customFormat="false" ht="15" hidden="false" customHeight="true" outlineLevel="0" collapsed="false">
      <c r="A1498" s="184"/>
      <c r="B1498" s="184"/>
      <c r="C1498" s="184"/>
      <c r="D1498" s="184"/>
      <c r="E1498" s="184"/>
      <c r="F1498" s="184"/>
      <c r="G1498" s="184"/>
      <c r="H1498" s="184"/>
      <c r="I1498" s="184"/>
      <c r="J1498" s="184"/>
      <c r="K1498" s="184"/>
      <c r="L1498" s="184"/>
      <c r="M1498" s="184"/>
      <c r="N1498" s="184"/>
      <c r="O1498" s="184"/>
    </row>
    <row r="1499" customFormat="false" ht="15" hidden="false" customHeight="true" outlineLevel="0" collapsed="false">
      <c r="A1499" s="184"/>
      <c r="B1499" s="184"/>
      <c r="C1499" s="184"/>
      <c r="D1499" s="184"/>
      <c r="E1499" s="184"/>
      <c r="F1499" s="184"/>
      <c r="G1499" s="184"/>
      <c r="H1499" s="184"/>
      <c r="I1499" s="184"/>
      <c r="J1499" s="184"/>
      <c r="K1499" s="184"/>
      <c r="L1499" s="184"/>
      <c r="M1499" s="184"/>
      <c r="N1499" s="184"/>
      <c r="O1499" s="184"/>
    </row>
    <row r="1500" customFormat="false" ht="15" hidden="false" customHeight="true" outlineLevel="0" collapsed="false">
      <c r="A1500" s="184"/>
      <c r="B1500" s="184"/>
      <c r="C1500" s="184"/>
      <c r="D1500" s="184"/>
      <c r="E1500" s="184"/>
      <c r="F1500" s="184"/>
      <c r="G1500" s="184"/>
      <c r="H1500" s="184"/>
      <c r="I1500" s="184"/>
      <c r="J1500" s="184"/>
      <c r="K1500" s="184"/>
      <c r="L1500" s="184"/>
      <c r="M1500" s="184"/>
      <c r="N1500" s="184"/>
      <c r="O1500" s="184"/>
    </row>
    <row r="1501" customFormat="false" ht="15" hidden="false" customHeight="true" outlineLevel="0" collapsed="false">
      <c r="A1501" s="184"/>
      <c r="B1501" s="184"/>
      <c r="C1501" s="184"/>
      <c r="D1501" s="184"/>
      <c r="E1501" s="184"/>
      <c r="F1501" s="184"/>
      <c r="G1501" s="184"/>
      <c r="H1501" s="184"/>
      <c r="I1501" s="184"/>
      <c r="J1501" s="184"/>
      <c r="K1501" s="184"/>
      <c r="L1501" s="184"/>
      <c r="M1501" s="184"/>
      <c r="N1501" s="184"/>
      <c r="O1501" s="184"/>
    </row>
    <row r="1502" customFormat="false" ht="15" hidden="false" customHeight="true" outlineLevel="0" collapsed="false">
      <c r="A1502" s="184"/>
      <c r="B1502" s="184"/>
      <c r="C1502" s="184"/>
      <c r="D1502" s="184"/>
      <c r="E1502" s="184"/>
      <c r="F1502" s="184"/>
      <c r="G1502" s="184"/>
      <c r="H1502" s="184"/>
      <c r="I1502" s="184"/>
      <c r="J1502" s="184"/>
      <c r="K1502" s="184"/>
      <c r="L1502" s="184"/>
      <c r="M1502" s="184"/>
      <c r="N1502" s="184"/>
      <c r="O1502" s="184"/>
    </row>
    <row r="1503" customFormat="false" ht="15" hidden="false" customHeight="true" outlineLevel="0" collapsed="false">
      <c r="A1503" s="184"/>
      <c r="B1503" s="184"/>
      <c r="C1503" s="184"/>
      <c r="D1503" s="184"/>
      <c r="E1503" s="184"/>
      <c r="F1503" s="184"/>
      <c r="G1503" s="184"/>
      <c r="H1503" s="184"/>
      <c r="I1503" s="184"/>
      <c r="J1503" s="184"/>
      <c r="K1503" s="184"/>
      <c r="L1503" s="184"/>
      <c r="M1503" s="184"/>
      <c r="N1503" s="184"/>
      <c r="O1503" s="184"/>
    </row>
    <row r="1504" customFormat="false" ht="15" hidden="false" customHeight="true" outlineLevel="0" collapsed="false">
      <c r="A1504" s="184"/>
      <c r="B1504" s="184"/>
      <c r="C1504" s="184"/>
      <c r="D1504" s="184"/>
      <c r="E1504" s="184"/>
      <c r="F1504" s="184"/>
      <c r="G1504" s="184"/>
      <c r="H1504" s="184"/>
      <c r="I1504" s="184"/>
      <c r="J1504" s="184"/>
      <c r="K1504" s="184"/>
      <c r="L1504" s="184"/>
      <c r="M1504" s="184"/>
      <c r="N1504" s="184"/>
      <c r="O1504" s="184"/>
    </row>
    <row r="1505" customFormat="false" ht="15" hidden="false" customHeight="true" outlineLevel="0" collapsed="false">
      <c r="A1505" s="184"/>
      <c r="B1505" s="184"/>
      <c r="C1505" s="184"/>
      <c r="D1505" s="184"/>
      <c r="E1505" s="184"/>
      <c r="F1505" s="184"/>
      <c r="G1505" s="184"/>
      <c r="H1505" s="184"/>
      <c r="I1505" s="184"/>
      <c r="J1505" s="184"/>
      <c r="K1505" s="184"/>
      <c r="L1505" s="184"/>
      <c r="M1505" s="184"/>
      <c r="N1505" s="184"/>
      <c r="O1505" s="184"/>
    </row>
    <row r="1506" customFormat="false" ht="15" hidden="false" customHeight="true" outlineLevel="0" collapsed="false">
      <c r="A1506" s="184"/>
      <c r="B1506" s="184"/>
      <c r="C1506" s="184"/>
      <c r="D1506" s="184"/>
      <c r="E1506" s="184"/>
      <c r="F1506" s="184"/>
      <c r="G1506" s="184"/>
      <c r="H1506" s="184"/>
      <c r="I1506" s="184"/>
      <c r="J1506" s="184"/>
      <c r="K1506" s="184"/>
      <c r="L1506" s="184"/>
      <c r="M1506" s="184"/>
      <c r="N1506" s="184"/>
      <c r="O1506" s="184"/>
    </row>
    <row r="1507" customFormat="false" ht="15" hidden="false" customHeight="true" outlineLevel="0" collapsed="false">
      <c r="A1507" s="184"/>
      <c r="B1507" s="184"/>
      <c r="C1507" s="184"/>
      <c r="D1507" s="184"/>
      <c r="E1507" s="184"/>
      <c r="F1507" s="184"/>
      <c r="G1507" s="184"/>
      <c r="H1507" s="184"/>
      <c r="I1507" s="184"/>
      <c r="J1507" s="184"/>
      <c r="K1507" s="184"/>
      <c r="L1507" s="184"/>
      <c r="M1507" s="184"/>
      <c r="N1507" s="184"/>
      <c r="O1507" s="184"/>
    </row>
    <row r="1508" customFormat="false" ht="15" hidden="false" customHeight="true" outlineLevel="0" collapsed="false">
      <c r="A1508" s="184"/>
      <c r="B1508" s="184"/>
      <c r="C1508" s="184"/>
      <c r="D1508" s="184"/>
      <c r="E1508" s="184"/>
      <c r="F1508" s="184"/>
      <c r="G1508" s="184"/>
      <c r="H1508" s="184"/>
      <c r="I1508" s="184"/>
      <c r="J1508" s="184"/>
      <c r="K1508" s="184"/>
      <c r="L1508" s="184"/>
      <c r="M1508" s="184"/>
      <c r="N1508" s="184"/>
      <c r="O1508" s="184"/>
    </row>
    <row r="1509" customFormat="false" ht="15" hidden="false" customHeight="true" outlineLevel="0" collapsed="false">
      <c r="A1509" s="184"/>
      <c r="B1509" s="184"/>
      <c r="C1509" s="184"/>
      <c r="D1509" s="184"/>
      <c r="E1509" s="184"/>
      <c r="F1509" s="184"/>
      <c r="G1509" s="184"/>
      <c r="H1509" s="184"/>
      <c r="I1509" s="184"/>
      <c r="J1509" s="184"/>
      <c r="K1509" s="184"/>
      <c r="L1509" s="184"/>
      <c r="M1509" s="184"/>
      <c r="N1509" s="184"/>
      <c r="O1509" s="184"/>
    </row>
    <row r="1510" customFormat="false" ht="15" hidden="false" customHeight="true" outlineLevel="0" collapsed="false">
      <c r="A1510" s="184"/>
      <c r="B1510" s="184"/>
      <c r="C1510" s="184"/>
      <c r="D1510" s="184"/>
      <c r="E1510" s="184"/>
      <c r="F1510" s="184"/>
      <c r="G1510" s="184"/>
      <c r="H1510" s="184"/>
      <c r="I1510" s="184"/>
      <c r="J1510" s="184"/>
      <c r="K1510" s="184"/>
      <c r="L1510" s="184"/>
      <c r="M1510" s="184"/>
      <c r="N1510" s="184"/>
      <c r="O1510" s="184"/>
    </row>
    <row r="1511" customFormat="false" ht="15" hidden="false" customHeight="true" outlineLevel="0" collapsed="false">
      <c r="A1511" s="184"/>
      <c r="B1511" s="184"/>
      <c r="C1511" s="184"/>
      <c r="D1511" s="184"/>
      <c r="E1511" s="184"/>
      <c r="F1511" s="184"/>
      <c r="G1511" s="184"/>
      <c r="H1511" s="184"/>
      <c r="I1511" s="184"/>
      <c r="J1511" s="184"/>
      <c r="K1511" s="184"/>
      <c r="L1511" s="184"/>
      <c r="M1511" s="184"/>
      <c r="N1511" s="184"/>
      <c r="O1511" s="184"/>
    </row>
    <row r="1512" customFormat="false" ht="15" hidden="false" customHeight="true" outlineLevel="0" collapsed="false">
      <c r="A1512" s="184"/>
      <c r="B1512" s="184"/>
      <c r="C1512" s="184"/>
      <c r="D1512" s="184"/>
      <c r="E1512" s="184"/>
      <c r="F1512" s="184"/>
      <c r="G1512" s="184"/>
      <c r="H1512" s="184"/>
      <c r="I1512" s="184"/>
      <c r="J1512" s="184"/>
      <c r="K1512" s="184"/>
      <c r="L1512" s="184"/>
      <c r="M1512" s="184"/>
      <c r="N1512" s="184"/>
      <c r="O1512" s="184"/>
    </row>
    <row r="1513" customFormat="false" ht="15" hidden="false" customHeight="true" outlineLevel="0" collapsed="false">
      <c r="A1513" s="184"/>
      <c r="B1513" s="184"/>
      <c r="C1513" s="184"/>
      <c r="D1513" s="184"/>
      <c r="E1513" s="184"/>
      <c r="F1513" s="184"/>
      <c r="G1513" s="184"/>
      <c r="H1513" s="184"/>
      <c r="I1513" s="184"/>
      <c r="J1513" s="184"/>
      <c r="K1513" s="184"/>
      <c r="L1513" s="184"/>
      <c r="M1513" s="184"/>
      <c r="N1513" s="184"/>
      <c r="O1513" s="184"/>
    </row>
    <row r="1514" customFormat="false" ht="15" hidden="false" customHeight="true" outlineLevel="0" collapsed="false">
      <c r="A1514" s="184"/>
      <c r="B1514" s="184"/>
      <c r="C1514" s="184"/>
      <c r="D1514" s="184"/>
      <c r="E1514" s="184"/>
      <c r="F1514" s="184"/>
      <c r="G1514" s="184"/>
      <c r="H1514" s="184"/>
      <c r="I1514" s="184"/>
      <c r="J1514" s="184"/>
      <c r="K1514" s="184"/>
      <c r="L1514" s="184"/>
      <c r="M1514" s="184"/>
      <c r="N1514" s="184"/>
      <c r="O1514" s="184"/>
    </row>
    <row r="1515" customFormat="false" ht="15" hidden="false" customHeight="true" outlineLevel="0" collapsed="false">
      <c r="A1515" s="184"/>
      <c r="B1515" s="184"/>
      <c r="C1515" s="184"/>
      <c r="D1515" s="184"/>
      <c r="E1515" s="184"/>
      <c r="F1515" s="184"/>
      <c r="G1515" s="184"/>
      <c r="H1515" s="184"/>
      <c r="I1515" s="184"/>
      <c r="J1515" s="184"/>
      <c r="K1515" s="184"/>
      <c r="L1515" s="184"/>
      <c r="M1515" s="184"/>
      <c r="N1515" s="184"/>
      <c r="O1515" s="184"/>
    </row>
    <row r="1516" customFormat="false" ht="15" hidden="false" customHeight="true" outlineLevel="0" collapsed="false">
      <c r="A1516" s="184"/>
      <c r="B1516" s="184"/>
      <c r="C1516" s="184"/>
      <c r="D1516" s="184"/>
      <c r="E1516" s="184"/>
      <c r="F1516" s="184"/>
      <c r="G1516" s="184"/>
      <c r="H1516" s="184"/>
      <c r="I1516" s="184"/>
      <c r="J1516" s="184"/>
      <c r="K1516" s="184"/>
      <c r="L1516" s="184"/>
      <c r="M1516" s="184"/>
      <c r="N1516" s="184"/>
      <c r="O1516" s="184"/>
    </row>
    <row r="1517" customFormat="false" ht="15" hidden="false" customHeight="true" outlineLevel="0" collapsed="false">
      <c r="A1517" s="184"/>
      <c r="B1517" s="184"/>
      <c r="C1517" s="184"/>
      <c r="D1517" s="184"/>
      <c r="E1517" s="184"/>
      <c r="F1517" s="184"/>
      <c r="G1517" s="184"/>
      <c r="H1517" s="184"/>
      <c r="I1517" s="184"/>
      <c r="J1517" s="184"/>
      <c r="K1517" s="184"/>
      <c r="L1517" s="184"/>
      <c r="M1517" s="184"/>
      <c r="N1517" s="184"/>
      <c r="O1517" s="184"/>
    </row>
    <row r="1518" customFormat="false" ht="15" hidden="false" customHeight="true" outlineLevel="0" collapsed="false">
      <c r="A1518" s="184"/>
      <c r="B1518" s="184"/>
      <c r="C1518" s="184"/>
      <c r="D1518" s="184"/>
      <c r="E1518" s="184"/>
      <c r="F1518" s="184"/>
      <c r="G1518" s="184"/>
      <c r="H1518" s="184"/>
      <c r="I1518" s="184"/>
      <c r="J1518" s="184"/>
      <c r="K1518" s="184"/>
      <c r="L1518" s="184"/>
      <c r="M1518" s="184"/>
      <c r="N1518" s="184"/>
      <c r="O1518" s="184"/>
    </row>
    <row r="1519" customFormat="false" ht="15" hidden="false" customHeight="true" outlineLevel="0" collapsed="false">
      <c r="A1519" s="184"/>
      <c r="B1519" s="184"/>
      <c r="C1519" s="184"/>
      <c r="D1519" s="184"/>
      <c r="E1519" s="184"/>
      <c r="F1519" s="184"/>
      <c r="G1519" s="184"/>
      <c r="H1519" s="184"/>
      <c r="I1519" s="184"/>
      <c r="J1519" s="184"/>
      <c r="K1519" s="184"/>
      <c r="L1519" s="184"/>
      <c r="M1519" s="184"/>
      <c r="N1519" s="184"/>
      <c r="O1519" s="184"/>
    </row>
    <row r="1520" customFormat="false" ht="15" hidden="false" customHeight="true" outlineLevel="0" collapsed="false">
      <c r="A1520" s="184"/>
      <c r="B1520" s="184"/>
      <c r="C1520" s="184"/>
      <c r="D1520" s="184"/>
      <c r="E1520" s="184"/>
      <c r="F1520" s="184"/>
      <c r="G1520" s="184"/>
      <c r="H1520" s="184"/>
      <c r="I1520" s="184"/>
      <c r="J1520" s="184"/>
      <c r="K1520" s="184"/>
      <c r="L1520" s="184"/>
      <c r="M1520" s="184"/>
      <c r="N1520" s="184"/>
      <c r="O1520" s="184"/>
    </row>
    <row r="1521" customFormat="false" ht="15" hidden="false" customHeight="true" outlineLevel="0" collapsed="false">
      <c r="A1521" s="184"/>
      <c r="B1521" s="184"/>
      <c r="C1521" s="184"/>
      <c r="D1521" s="184"/>
      <c r="E1521" s="184"/>
      <c r="F1521" s="184"/>
      <c r="G1521" s="184"/>
      <c r="H1521" s="184"/>
      <c r="I1521" s="184"/>
      <c r="J1521" s="184"/>
      <c r="K1521" s="184"/>
      <c r="L1521" s="184"/>
      <c r="M1521" s="184"/>
      <c r="N1521" s="184"/>
      <c r="O1521" s="184"/>
    </row>
    <row r="1522" customFormat="false" ht="15" hidden="false" customHeight="true" outlineLevel="0" collapsed="false">
      <c r="A1522" s="184"/>
      <c r="B1522" s="184"/>
      <c r="C1522" s="184"/>
      <c r="D1522" s="184"/>
      <c r="E1522" s="184"/>
      <c r="F1522" s="184"/>
      <c r="G1522" s="184"/>
      <c r="H1522" s="184"/>
      <c r="I1522" s="184"/>
      <c r="J1522" s="184"/>
      <c r="K1522" s="184"/>
      <c r="L1522" s="184"/>
      <c r="M1522" s="184"/>
      <c r="N1522" s="184"/>
      <c r="O1522" s="184"/>
    </row>
    <row r="1523" customFormat="false" ht="15" hidden="false" customHeight="true" outlineLevel="0" collapsed="false">
      <c r="A1523" s="184"/>
      <c r="B1523" s="184"/>
      <c r="C1523" s="184"/>
      <c r="D1523" s="184"/>
      <c r="E1523" s="184"/>
      <c r="F1523" s="184"/>
      <c r="G1523" s="184"/>
      <c r="H1523" s="184"/>
      <c r="I1523" s="184"/>
      <c r="J1523" s="184"/>
      <c r="K1523" s="184"/>
      <c r="L1523" s="184"/>
      <c r="M1523" s="184"/>
      <c r="N1523" s="184"/>
      <c r="O1523" s="184"/>
    </row>
    <row r="1524" customFormat="false" ht="15" hidden="false" customHeight="true" outlineLevel="0" collapsed="false">
      <c r="A1524" s="184"/>
      <c r="B1524" s="184"/>
      <c r="C1524" s="184"/>
      <c r="D1524" s="184"/>
      <c r="E1524" s="184"/>
      <c r="F1524" s="184"/>
      <c r="G1524" s="184"/>
      <c r="H1524" s="184"/>
      <c r="I1524" s="184"/>
      <c r="J1524" s="184"/>
      <c r="K1524" s="184"/>
      <c r="L1524" s="184"/>
      <c r="M1524" s="184"/>
      <c r="N1524" s="184"/>
      <c r="O1524" s="184"/>
    </row>
    <row r="1525" customFormat="false" ht="15" hidden="false" customHeight="true" outlineLevel="0" collapsed="false">
      <c r="A1525" s="184"/>
      <c r="B1525" s="184"/>
      <c r="C1525" s="184"/>
      <c r="D1525" s="184"/>
      <c r="E1525" s="184"/>
      <c r="F1525" s="184"/>
      <c r="G1525" s="184"/>
      <c r="H1525" s="184"/>
      <c r="I1525" s="184"/>
      <c r="J1525" s="184"/>
      <c r="K1525" s="184"/>
      <c r="L1525" s="184"/>
      <c r="M1525" s="184"/>
      <c r="N1525" s="184"/>
      <c r="O1525" s="184"/>
    </row>
    <row r="1526" customFormat="false" ht="15" hidden="false" customHeight="true" outlineLevel="0" collapsed="false">
      <c r="A1526" s="184"/>
      <c r="B1526" s="184"/>
      <c r="C1526" s="184"/>
      <c r="D1526" s="184"/>
      <c r="E1526" s="184"/>
      <c r="F1526" s="184"/>
      <c r="G1526" s="184"/>
      <c r="H1526" s="184"/>
      <c r="I1526" s="184"/>
      <c r="J1526" s="184"/>
      <c r="K1526" s="184"/>
      <c r="L1526" s="184"/>
      <c r="M1526" s="184"/>
      <c r="N1526" s="184"/>
      <c r="O1526" s="184"/>
    </row>
    <row r="1527" customFormat="false" ht="15" hidden="false" customHeight="true" outlineLevel="0" collapsed="false">
      <c r="A1527" s="184"/>
      <c r="B1527" s="184"/>
      <c r="C1527" s="184"/>
      <c r="D1527" s="184"/>
      <c r="E1527" s="184"/>
      <c r="F1527" s="184"/>
      <c r="G1527" s="184"/>
      <c r="H1527" s="184"/>
      <c r="I1527" s="184"/>
      <c r="J1527" s="184"/>
      <c r="K1527" s="184"/>
      <c r="L1527" s="184"/>
      <c r="M1527" s="184"/>
      <c r="N1527" s="184"/>
      <c r="O1527" s="184"/>
    </row>
    <row r="1528" customFormat="false" ht="15" hidden="false" customHeight="true" outlineLevel="0" collapsed="false">
      <c r="A1528" s="184"/>
      <c r="B1528" s="184"/>
      <c r="C1528" s="184"/>
      <c r="D1528" s="184"/>
      <c r="E1528" s="184"/>
      <c r="F1528" s="184"/>
      <c r="G1528" s="184"/>
      <c r="H1528" s="184"/>
      <c r="I1528" s="184"/>
      <c r="J1528" s="184"/>
      <c r="K1528" s="184"/>
      <c r="L1528" s="184"/>
      <c r="M1528" s="184"/>
      <c r="N1528" s="184"/>
      <c r="O1528" s="184"/>
    </row>
    <row r="1529" customFormat="false" ht="15" hidden="false" customHeight="true" outlineLevel="0" collapsed="false">
      <c r="A1529" s="184"/>
      <c r="B1529" s="184"/>
      <c r="C1529" s="184"/>
      <c r="D1529" s="184"/>
      <c r="E1529" s="184"/>
      <c r="F1529" s="184"/>
      <c r="G1529" s="184"/>
      <c r="H1529" s="184"/>
      <c r="I1529" s="184"/>
      <c r="J1529" s="184"/>
      <c r="K1529" s="184"/>
      <c r="L1529" s="184"/>
      <c r="M1529" s="184"/>
      <c r="N1529" s="184"/>
      <c r="O1529" s="184"/>
    </row>
    <row r="1530" customFormat="false" ht="15" hidden="false" customHeight="true" outlineLevel="0" collapsed="false">
      <c r="A1530" s="184"/>
      <c r="B1530" s="184"/>
      <c r="C1530" s="184"/>
      <c r="D1530" s="184"/>
      <c r="E1530" s="184"/>
      <c r="F1530" s="184"/>
      <c r="G1530" s="184"/>
      <c r="H1530" s="184"/>
      <c r="I1530" s="184"/>
      <c r="J1530" s="184"/>
      <c r="K1530" s="184"/>
      <c r="L1530" s="184"/>
      <c r="M1530" s="184"/>
      <c r="N1530" s="184"/>
      <c r="O1530" s="184"/>
    </row>
    <row r="1531" customFormat="false" ht="15" hidden="false" customHeight="true" outlineLevel="0" collapsed="false">
      <c r="A1531" s="184"/>
      <c r="B1531" s="184"/>
      <c r="C1531" s="184"/>
      <c r="D1531" s="184"/>
      <c r="E1531" s="184"/>
      <c r="F1531" s="184"/>
      <c r="G1531" s="184"/>
      <c r="H1531" s="184"/>
      <c r="I1531" s="184"/>
      <c r="J1531" s="184"/>
      <c r="K1531" s="184"/>
      <c r="L1531" s="184"/>
      <c r="M1531" s="184"/>
      <c r="N1531" s="184"/>
      <c r="O1531" s="184"/>
    </row>
    <row r="1532" customFormat="false" ht="15" hidden="false" customHeight="true" outlineLevel="0" collapsed="false">
      <c r="A1532" s="184"/>
      <c r="B1532" s="184"/>
      <c r="C1532" s="184"/>
      <c r="D1532" s="184"/>
      <c r="E1532" s="184"/>
      <c r="F1532" s="184"/>
      <c r="G1532" s="184"/>
      <c r="H1532" s="184"/>
      <c r="I1532" s="184"/>
      <c r="J1532" s="184"/>
      <c r="K1532" s="184"/>
      <c r="L1532" s="184"/>
      <c r="M1532" s="184"/>
      <c r="N1532" s="184"/>
      <c r="O1532" s="184"/>
    </row>
    <row r="1533" customFormat="false" ht="15" hidden="false" customHeight="true" outlineLevel="0" collapsed="false">
      <c r="A1533" s="184"/>
      <c r="B1533" s="184"/>
      <c r="C1533" s="184"/>
      <c r="D1533" s="184"/>
      <c r="E1533" s="184"/>
      <c r="F1533" s="184"/>
      <c r="G1533" s="184"/>
      <c r="H1533" s="184"/>
      <c r="I1533" s="184"/>
      <c r="J1533" s="184"/>
      <c r="K1533" s="184"/>
      <c r="L1533" s="184"/>
      <c r="M1533" s="184"/>
      <c r="N1533" s="184"/>
      <c r="O1533" s="184"/>
    </row>
    <row r="1534" customFormat="false" ht="27.75" hidden="false" customHeight="true" outlineLevel="0" collapsed="false">
      <c r="A1534" s="184" t="s">
        <v>6658</v>
      </c>
      <c r="B1534" s="184" t="s">
        <v>4916</v>
      </c>
      <c r="C1534" s="184" t="n">
        <v>1</v>
      </c>
      <c r="D1534" s="178" t="s">
        <v>5269</v>
      </c>
      <c r="E1534" s="184" t="s">
        <v>6289</v>
      </c>
      <c r="F1534" s="184"/>
      <c r="G1534" s="184"/>
      <c r="H1534" s="184"/>
      <c r="I1534" s="184"/>
      <c r="J1534" s="184"/>
      <c r="K1534" s="184"/>
      <c r="L1534" s="184"/>
      <c r="M1534" s="184" t="s">
        <v>6659</v>
      </c>
      <c r="N1534" s="184"/>
      <c r="O1534" s="184"/>
    </row>
    <row r="1535" customFormat="false" ht="27.75" hidden="false" customHeight="true" outlineLevel="0" collapsed="false">
      <c r="A1535" s="184" t="s">
        <v>6658</v>
      </c>
      <c r="B1535" s="184" t="s">
        <v>4916</v>
      </c>
      <c r="C1535" s="184" t="n">
        <v>2</v>
      </c>
      <c r="D1535" s="177" t="s">
        <v>6429</v>
      </c>
      <c r="E1535" s="184" t="s">
        <v>6789</v>
      </c>
      <c r="F1535" s="184"/>
      <c r="G1535" s="184"/>
      <c r="H1535" s="184"/>
      <c r="I1535" s="184"/>
      <c r="J1535" s="184"/>
      <c r="K1535" s="184"/>
      <c r="L1535" s="184"/>
      <c r="M1535" s="184"/>
      <c r="N1535" s="184"/>
      <c r="O1535" s="184"/>
    </row>
    <row r="1536" customFormat="false" ht="27.75" hidden="false" customHeight="true" outlineLevel="0" collapsed="false">
      <c r="A1536" s="184" t="s">
        <v>6658</v>
      </c>
      <c r="B1536" s="184" t="s">
        <v>4916</v>
      </c>
      <c r="C1536" s="184" t="n">
        <v>3</v>
      </c>
      <c r="D1536" s="179" t="s">
        <v>6292</v>
      </c>
      <c r="E1536" s="184" t="s">
        <v>6790</v>
      </c>
      <c r="F1536" s="184"/>
      <c r="G1536" s="184"/>
      <c r="H1536" s="184"/>
      <c r="I1536" s="184"/>
      <c r="J1536" s="184"/>
      <c r="K1536" s="184"/>
      <c r="L1536" s="184"/>
      <c r="M1536" s="184"/>
      <c r="N1536" s="184"/>
      <c r="O1536" s="184"/>
    </row>
    <row r="1537" customFormat="false" ht="27.75" hidden="false" customHeight="true" outlineLevel="0" collapsed="false">
      <c r="A1537" s="184" t="s">
        <v>6658</v>
      </c>
      <c r="B1537" s="184" t="s">
        <v>4916</v>
      </c>
      <c r="C1537" s="184" t="n">
        <v>4</v>
      </c>
      <c r="D1537" s="184" t="s">
        <v>6294</v>
      </c>
      <c r="E1537" s="184" t="s">
        <v>6791</v>
      </c>
      <c r="F1537" s="184"/>
      <c r="G1537" s="184"/>
      <c r="H1537" s="184"/>
      <c r="I1537" s="184"/>
      <c r="J1537" s="184"/>
      <c r="K1537" s="184"/>
      <c r="L1537" s="184"/>
      <c r="M1537" s="184"/>
      <c r="N1537" s="184"/>
      <c r="O1537" s="184"/>
    </row>
    <row r="1538" customFormat="false" ht="27.75" hidden="false" customHeight="true" outlineLevel="0" collapsed="false">
      <c r="A1538" s="184" t="s">
        <v>6658</v>
      </c>
      <c r="B1538" s="184" t="s">
        <v>4916</v>
      </c>
      <c r="C1538" s="184" t="n">
        <v>5</v>
      </c>
      <c r="D1538" s="177" t="s">
        <v>6298</v>
      </c>
      <c r="E1538" s="184" t="s">
        <v>6792</v>
      </c>
      <c r="F1538" s="184"/>
      <c r="G1538" s="184"/>
      <c r="H1538" s="184"/>
      <c r="I1538" s="184"/>
      <c r="J1538" s="184"/>
      <c r="K1538" s="184"/>
      <c r="L1538" s="184"/>
      <c r="M1538" s="184"/>
      <c r="N1538" s="184"/>
      <c r="O1538" s="184"/>
    </row>
    <row r="1539" customFormat="false" ht="41.25" hidden="false" customHeight="true" outlineLevel="0" collapsed="false">
      <c r="A1539" s="184" t="s">
        <v>6658</v>
      </c>
      <c r="B1539" s="184" t="s">
        <v>4916</v>
      </c>
      <c r="C1539" s="184" t="n">
        <v>6</v>
      </c>
      <c r="D1539" s="177" t="s">
        <v>6298</v>
      </c>
      <c r="E1539" s="184" t="s">
        <v>6683</v>
      </c>
      <c r="F1539" s="184"/>
      <c r="G1539" s="184"/>
      <c r="H1539" s="184"/>
      <c r="I1539" s="184"/>
      <c r="J1539" s="184"/>
      <c r="K1539" s="184"/>
      <c r="L1539" s="184"/>
      <c r="M1539" s="184"/>
      <c r="N1539" s="184"/>
      <c r="O1539" s="184"/>
    </row>
    <row r="1540" customFormat="false" ht="27.75" hidden="false" customHeight="true" outlineLevel="0" collapsed="false">
      <c r="A1540" s="184" t="s">
        <v>6658</v>
      </c>
      <c r="B1540" s="184" t="s">
        <v>4916</v>
      </c>
      <c r="C1540" s="184" t="n">
        <v>7</v>
      </c>
      <c r="D1540" s="184" t="s">
        <v>6294</v>
      </c>
      <c r="E1540" s="184" t="s">
        <v>6793</v>
      </c>
      <c r="F1540" s="184"/>
      <c r="G1540" s="184"/>
      <c r="H1540" s="184"/>
      <c r="I1540" s="184"/>
      <c r="J1540" s="184"/>
      <c r="K1540" s="184"/>
      <c r="L1540" s="184"/>
      <c r="M1540" s="184"/>
      <c r="N1540" s="184"/>
      <c r="O1540" s="184"/>
    </row>
    <row r="1541" customFormat="false" ht="27.75" hidden="false" customHeight="true" outlineLevel="0" collapsed="false">
      <c r="A1541" s="184" t="s">
        <v>6658</v>
      </c>
      <c r="B1541" s="184" t="s">
        <v>4916</v>
      </c>
      <c r="C1541" s="184" t="n">
        <v>8</v>
      </c>
      <c r="D1541" s="177" t="s">
        <v>6298</v>
      </c>
      <c r="E1541" s="184" t="s">
        <v>6794</v>
      </c>
      <c r="F1541" s="184"/>
      <c r="G1541" s="184"/>
      <c r="H1541" s="184"/>
      <c r="I1541" s="184"/>
      <c r="J1541" s="184"/>
      <c r="K1541" s="184"/>
      <c r="L1541" s="184"/>
      <c r="M1541" s="184"/>
      <c r="N1541" s="184"/>
      <c r="O1541" s="184"/>
    </row>
    <row r="1542" customFormat="false" ht="68.25" hidden="false" customHeight="true" outlineLevel="0" collapsed="false">
      <c r="A1542" s="184" t="s">
        <v>6658</v>
      </c>
      <c r="B1542" s="184" t="s">
        <v>4916</v>
      </c>
      <c r="C1542" s="184" t="n">
        <v>9</v>
      </c>
      <c r="D1542" s="174" t="s">
        <v>4848</v>
      </c>
      <c r="E1542" s="184" t="s">
        <v>2760</v>
      </c>
      <c r="F1542" s="184"/>
      <c r="G1542" s="184"/>
      <c r="H1542" s="184"/>
      <c r="I1542" s="184"/>
      <c r="J1542" s="184" t="s">
        <v>236</v>
      </c>
      <c r="K1542" s="184" t="s">
        <v>6795</v>
      </c>
      <c r="L1542" s="184" t="s">
        <v>6796</v>
      </c>
      <c r="M1542" s="184"/>
      <c r="N1542" s="184" t="s">
        <v>6797</v>
      </c>
      <c r="O1542" s="184"/>
    </row>
    <row r="1543" customFormat="false" ht="27.75" hidden="false" customHeight="true" outlineLevel="0" collapsed="false">
      <c r="A1543" s="184" t="s">
        <v>6658</v>
      </c>
      <c r="B1543" s="184" t="s">
        <v>4916</v>
      </c>
      <c r="C1543" s="184" t="n">
        <v>10</v>
      </c>
      <c r="D1543" s="178" t="s">
        <v>6457</v>
      </c>
      <c r="E1543" s="184" t="s">
        <v>6476</v>
      </c>
      <c r="F1543" s="184"/>
      <c r="G1543" s="184"/>
      <c r="H1543" s="184"/>
      <c r="I1543" s="184"/>
      <c r="J1543" s="184"/>
      <c r="K1543" s="184"/>
      <c r="L1543" s="184"/>
      <c r="M1543" s="184" t="s">
        <v>6798</v>
      </c>
      <c r="N1543" s="184"/>
      <c r="O1543" s="184"/>
    </row>
    <row r="1544" customFormat="false" ht="68.25" hidden="false" customHeight="true" outlineLevel="0" collapsed="false">
      <c r="A1544" s="184" t="s">
        <v>6658</v>
      </c>
      <c r="B1544" s="184" t="s">
        <v>4916</v>
      </c>
      <c r="C1544" s="184" t="n">
        <v>11</v>
      </c>
      <c r="D1544" s="174" t="s">
        <v>4846</v>
      </c>
      <c r="E1544" s="184" t="s">
        <v>6799</v>
      </c>
      <c r="F1544" s="184" t="s">
        <v>227</v>
      </c>
      <c r="G1544" s="184"/>
      <c r="H1544" s="184"/>
      <c r="I1544" s="184"/>
      <c r="J1544" s="184" t="s">
        <v>6800</v>
      </c>
      <c r="K1544" s="184" t="s">
        <v>6672</v>
      </c>
      <c r="L1544" s="184"/>
      <c r="M1544" s="184"/>
      <c r="N1544" s="184" t="s">
        <v>6801</v>
      </c>
      <c r="O1544" s="184"/>
    </row>
    <row r="1545" customFormat="false" ht="54.75" hidden="false" customHeight="true" outlineLevel="0" collapsed="false">
      <c r="A1545" s="184" t="s">
        <v>6658</v>
      </c>
      <c r="B1545" s="184" t="s">
        <v>4916</v>
      </c>
      <c r="C1545" s="184" t="n">
        <v>12</v>
      </c>
      <c r="D1545" s="174" t="s">
        <v>4846</v>
      </c>
      <c r="E1545" s="184" t="s">
        <v>6802</v>
      </c>
      <c r="F1545" s="184"/>
      <c r="G1545" s="184"/>
      <c r="H1545" s="184"/>
      <c r="I1545" s="184"/>
      <c r="J1545" s="184" t="s">
        <v>6435</v>
      </c>
      <c r="K1545" s="184" t="s">
        <v>6672</v>
      </c>
      <c r="L1545" s="184"/>
      <c r="M1545" s="184"/>
      <c r="N1545" s="184" t="s">
        <v>6803</v>
      </c>
      <c r="O1545" s="184"/>
    </row>
    <row r="1546" customFormat="false" ht="27.75" hidden="false" customHeight="true" outlineLevel="0" collapsed="false">
      <c r="A1546" s="184" t="s">
        <v>6658</v>
      </c>
      <c r="B1546" s="184" t="s">
        <v>4916</v>
      </c>
      <c r="C1546" s="184" t="n">
        <v>13</v>
      </c>
      <c r="D1546" s="178" t="s">
        <v>6457</v>
      </c>
      <c r="E1546" s="184" t="s">
        <v>6804</v>
      </c>
      <c r="F1546" s="184"/>
      <c r="G1546" s="184"/>
      <c r="H1546" s="184"/>
      <c r="I1546" s="184"/>
      <c r="J1546" s="184"/>
      <c r="K1546" s="184"/>
      <c r="L1546" s="184"/>
      <c r="M1546" s="184" t="s">
        <v>6805</v>
      </c>
      <c r="N1546" s="184"/>
      <c r="O1546" s="184"/>
    </row>
    <row r="1547" customFormat="false" ht="27.75" hidden="false" customHeight="true" outlineLevel="0" collapsed="false">
      <c r="A1547" s="184" t="s">
        <v>6658</v>
      </c>
      <c r="B1547" s="184" t="s">
        <v>4916</v>
      </c>
      <c r="C1547" s="184" t="n">
        <v>14</v>
      </c>
      <c r="D1547" s="178" t="s">
        <v>5269</v>
      </c>
      <c r="E1547" s="186" t="s">
        <v>6806</v>
      </c>
      <c r="F1547" s="184"/>
      <c r="G1547" s="184"/>
      <c r="H1547" s="184"/>
      <c r="I1547" s="184"/>
      <c r="J1547" s="184"/>
      <c r="K1547" s="184"/>
      <c r="L1547" s="184"/>
      <c r="M1547" s="184" t="s">
        <v>6807</v>
      </c>
      <c r="N1547" s="184"/>
      <c r="O1547" s="184"/>
    </row>
    <row r="1548" customFormat="false" ht="81.75" hidden="false" customHeight="true" outlineLevel="0" collapsed="false">
      <c r="A1548" s="184" t="s">
        <v>6658</v>
      </c>
      <c r="B1548" s="184" t="s">
        <v>4916</v>
      </c>
      <c r="C1548" s="184" t="n">
        <v>15</v>
      </c>
      <c r="D1548" s="174" t="s">
        <v>4848</v>
      </c>
      <c r="E1548" s="184" t="s">
        <v>2762</v>
      </c>
      <c r="F1548" s="184"/>
      <c r="G1548" s="184"/>
      <c r="H1548" s="184"/>
      <c r="I1548" s="184"/>
      <c r="J1548" s="184" t="s">
        <v>3</v>
      </c>
      <c r="K1548" s="184" t="s">
        <v>6672</v>
      </c>
      <c r="L1548" s="184" t="s">
        <v>6796</v>
      </c>
      <c r="M1548" s="184"/>
      <c r="N1548" s="184" t="s">
        <v>6808</v>
      </c>
      <c r="O1548" s="184"/>
    </row>
    <row r="1549" customFormat="false" ht="81.75" hidden="false" customHeight="true" outlineLevel="0" collapsed="false">
      <c r="A1549" s="184" t="s">
        <v>6658</v>
      </c>
      <c r="B1549" s="184" t="s">
        <v>4916</v>
      </c>
      <c r="C1549" s="184" t="n">
        <v>16</v>
      </c>
      <c r="D1549" s="174" t="s">
        <v>4848</v>
      </c>
      <c r="E1549" s="184" t="s">
        <v>2764</v>
      </c>
      <c r="F1549" s="184"/>
      <c r="G1549" s="184"/>
      <c r="H1549" s="184"/>
      <c r="I1549" s="184"/>
      <c r="J1549" s="184" t="s">
        <v>1394</v>
      </c>
      <c r="K1549" s="184" t="s">
        <v>6672</v>
      </c>
      <c r="L1549" s="184" t="s">
        <v>6796</v>
      </c>
      <c r="M1549" s="184"/>
      <c r="N1549" s="184" t="s">
        <v>6809</v>
      </c>
      <c r="O1549" s="184"/>
    </row>
    <row r="1550" customFormat="false" ht="81.75" hidden="false" customHeight="true" outlineLevel="0" collapsed="false">
      <c r="A1550" s="184" t="s">
        <v>6658</v>
      </c>
      <c r="B1550" s="184" t="s">
        <v>4916</v>
      </c>
      <c r="C1550" s="184" t="n">
        <v>17</v>
      </c>
      <c r="D1550" s="174" t="s">
        <v>4848</v>
      </c>
      <c r="E1550" s="184" t="s">
        <v>2766</v>
      </c>
      <c r="F1550" s="184"/>
      <c r="G1550" s="184"/>
      <c r="H1550" s="184"/>
      <c r="I1550" s="184"/>
      <c r="J1550" s="184" t="s">
        <v>236</v>
      </c>
      <c r="K1550" s="184" t="s">
        <v>6743</v>
      </c>
      <c r="L1550" s="184" t="s">
        <v>6796</v>
      </c>
      <c r="M1550" s="184"/>
      <c r="N1550" s="184" t="s">
        <v>6810</v>
      </c>
      <c r="O1550" s="184"/>
    </row>
    <row r="1551" customFormat="false" ht="54.75" hidden="false" customHeight="true" outlineLevel="0" collapsed="false">
      <c r="A1551" s="184" t="s">
        <v>6658</v>
      </c>
      <c r="B1551" s="184" t="s">
        <v>4916</v>
      </c>
      <c r="C1551" s="184" t="n">
        <v>18</v>
      </c>
      <c r="D1551" s="177" t="s">
        <v>6298</v>
      </c>
      <c r="E1551" s="184" t="s">
        <v>6811</v>
      </c>
      <c r="F1551" s="184"/>
      <c r="G1551" s="184"/>
      <c r="H1551" s="184"/>
      <c r="I1551" s="184"/>
      <c r="J1551" s="184"/>
      <c r="K1551" s="184"/>
      <c r="L1551" s="184"/>
      <c r="M1551" s="184"/>
      <c r="N1551" s="184"/>
      <c r="O1551" s="184"/>
    </row>
    <row r="1552" customFormat="false" ht="27.75" hidden="false" customHeight="true" outlineLevel="0" collapsed="false">
      <c r="A1552" s="184" t="s">
        <v>6658</v>
      </c>
      <c r="B1552" s="184" t="s">
        <v>4916</v>
      </c>
      <c r="C1552" s="184" t="n">
        <v>19</v>
      </c>
      <c r="D1552" s="178" t="s">
        <v>6457</v>
      </c>
      <c r="E1552" s="184" t="s">
        <v>6476</v>
      </c>
      <c r="F1552" s="184"/>
      <c r="G1552" s="184"/>
      <c r="H1552" s="184"/>
      <c r="I1552" s="184"/>
      <c r="J1552" s="184"/>
      <c r="K1552" s="184"/>
      <c r="L1552" s="184"/>
      <c r="M1552" s="184" t="s">
        <v>6812</v>
      </c>
      <c r="N1552" s="184"/>
      <c r="O1552" s="184"/>
    </row>
    <row r="1553" customFormat="false" ht="81.75" hidden="false" customHeight="true" outlineLevel="0" collapsed="false">
      <c r="A1553" s="184" t="s">
        <v>6658</v>
      </c>
      <c r="B1553" s="184" t="s">
        <v>4916</v>
      </c>
      <c r="C1553" s="184" t="n">
        <v>20</v>
      </c>
      <c r="D1553" s="174" t="s">
        <v>4846</v>
      </c>
      <c r="E1553" s="184" t="s">
        <v>6813</v>
      </c>
      <c r="F1553" s="184" t="s">
        <v>227</v>
      </c>
      <c r="G1553" s="184"/>
      <c r="H1553" s="184"/>
      <c r="I1553" s="184"/>
      <c r="J1553" s="184"/>
      <c r="K1553" s="184"/>
      <c r="L1553" s="184"/>
      <c r="M1553" s="184"/>
      <c r="N1553" s="184" t="s">
        <v>6814</v>
      </c>
      <c r="O1553" s="184"/>
    </row>
    <row r="1554" customFormat="false" ht="68.25" hidden="false" customHeight="true" outlineLevel="0" collapsed="false">
      <c r="A1554" s="184" t="s">
        <v>6658</v>
      </c>
      <c r="B1554" s="184" t="s">
        <v>4916</v>
      </c>
      <c r="C1554" s="184" t="n">
        <v>21</v>
      </c>
      <c r="D1554" s="174" t="s">
        <v>4846</v>
      </c>
      <c r="E1554" s="184" t="s">
        <v>6815</v>
      </c>
      <c r="F1554" s="184"/>
      <c r="G1554" s="184"/>
      <c r="H1554" s="184"/>
      <c r="I1554" s="184"/>
      <c r="J1554" s="184" t="s">
        <v>6325</v>
      </c>
      <c r="K1554" s="184" t="s">
        <v>6672</v>
      </c>
      <c r="L1554" s="184"/>
      <c r="M1554" s="184"/>
      <c r="N1554" s="184" t="s">
        <v>6816</v>
      </c>
      <c r="O1554" s="184"/>
    </row>
    <row r="1555" customFormat="false" ht="27.75" hidden="false" customHeight="true" outlineLevel="0" collapsed="false">
      <c r="A1555" s="184" t="s">
        <v>6658</v>
      </c>
      <c r="B1555" s="184" t="s">
        <v>4916</v>
      </c>
      <c r="C1555" s="184" t="n">
        <v>22</v>
      </c>
      <c r="D1555" s="178" t="s">
        <v>6457</v>
      </c>
      <c r="E1555" s="184" t="s">
        <v>6817</v>
      </c>
      <c r="F1555" s="184"/>
      <c r="G1555" s="184"/>
      <c r="H1555" s="184"/>
      <c r="I1555" s="184"/>
      <c r="J1555" s="184"/>
      <c r="K1555" s="184"/>
      <c r="L1555" s="184"/>
      <c r="M1555" s="184" t="s">
        <v>6818</v>
      </c>
      <c r="N1555" s="184"/>
      <c r="O1555" s="184"/>
    </row>
    <row r="1556" customFormat="false" ht="27.75" hidden="false" customHeight="true" outlineLevel="0" collapsed="false">
      <c r="A1556" s="184" t="s">
        <v>6658</v>
      </c>
      <c r="B1556" s="184" t="s">
        <v>4916</v>
      </c>
      <c r="C1556" s="184" t="n">
        <v>23</v>
      </c>
      <c r="D1556" s="178" t="s">
        <v>5269</v>
      </c>
      <c r="E1556" s="186" t="s">
        <v>6819</v>
      </c>
      <c r="F1556" s="184"/>
      <c r="G1556" s="184"/>
      <c r="H1556" s="184"/>
      <c r="I1556" s="184"/>
      <c r="J1556" s="184"/>
      <c r="K1556" s="184"/>
      <c r="L1556" s="184"/>
      <c r="M1556" s="184" t="s">
        <v>6820</v>
      </c>
      <c r="N1556" s="184"/>
      <c r="O1556" s="184"/>
    </row>
    <row r="1557" customFormat="false" ht="81.75" hidden="false" customHeight="true" outlineLevel="0" collapsed="false">
      <c r="A1557" s="184" t="s">
        <v>6658</v>
      </c>
      <c r="B1557" s="184" t="s">
        <v>4916</v>
      </c>
      <c r="C1557" s="184" t="n">
        <v>24</v>
      </c>
      <c r="D1557" s="174" t="s">
        <v>4848</v>
      </c>
      <c r="E1557" s="184" t="s">
        <v>2768</v>
      </c>
      <c r="F1557" s="184"/>
      <c r="G1557" s="184"/>
      <c r="H1557" s="184"/>
      <c r="I1557" s="184"/>
      <c r="J1557" s="184" t="s">
        <v>236</v>
      </c>
      <c r="K1557" s="184" t="s">
        <v>6672</v>
      </c>
      <c r="L1557" s="184" t="s">
        <v>6796</v>
      </c>
      <c r="M1557" s="184"/>
      <c r="N1557" s="184" t="s">
        <v>6821</v>
      </c>
      <c r="O1557" s="184"/>
    </row>
    <row r="1558" customFormat="false" ht="27.75" hidden="false" customHeight="true" outlineLevel="0" collapsed="false">
      <c r="A1558" s="184" t="s">
        <v>6658</v>
      </c>
      <c r="B1558" s="184" t="s">
        <v>4916</v>
      </c>
      <c r="C1558" s="184" t="n">
        <v>25</v>
      </c>
      <c r="D1558" s="178" t="s">
        <v>6457</v>
      </c>
      <c r="E1558" s="184" t="s">
        <v>6476</v>
      </c>
      <c r="F1558" s="184"/>
      <c r="G1558" s="184"/>
      <c r="H1558" s="184"/>
      <c r="I1558" s="184"/>
      <c r="J1558" s="184"/>
      <c r="K1558" s="184"/>
      <c r="L1558" s="184"/>
      <c r="M1558" s="184" t="s">
        <v>6822</v>
      </c>
      <c r="N1558" s="184"/>
      <c r="O1558" s="184"/>
    </row>
    <row r="1559" customFormat="false" ht="68.25" hidden="false" customHeight="true" outlineLevel="0" collapsed="false">
      <c r="A1559" s="184" t="s">
        <v>6658</v>
      </c>
      <c r="B1559" s="184" t="s">
        <v>4916</v>
      </c>
      <c r="C1559" s="184" t="n">
        <v>26</v>
      </c>
      <c r="D1559" s="174" t="s">
        <v>4846</v>
      </c>
      <c r="E1559" s="184" t="s">
        <v>6823</v>
      </c>
      <c r="F1559" s="184" t="s">
        <v>227</v>
      </c>
      <c r="G1559" s="184"/>
      <c r="H1559" s="184"/>
      <c r="I1559" s="184"/>
      <c r="J1559" s="184" t="s">
        <v>6824</v>
      </c>
      <c r="K1559" s="184" t="s">
        <v>6672</v>
      </c>
      <c r="L1559" s="184"/>
      <c r="M1559" s="184"/>
      <c r="N1559" s="184" t="s">
        <v>6825</v>
      </c>
      <c r="O1559" s="184"/>
    </row>
    <row r="1560" customFormat="false" ht="27.75" hidden="false" customHeight="true" outlineLevel="0" collapsed="false">
      <c r="A1560" s="184" t="s">
        <v>6658</v>
      </c>
      <c r="B1560" s="184" t="s">
        <v>4916</v>
      </c>
      <c r="C1560" s="184" t="n">
        <v>27</v>
      </c>
      <c r="D1560" s="178" t="s">
        <v>6457</v>
      </c>
      <c r="E1560" s="184" t="s">
        <v>6804</v>
      </c>
      <c r="F1560" s="184"/>
      <c r="G1560" s="184"/>
      <c r="H1560" s="184"/>
      <c r="I1560" s="184"/>
      <c r="J1560" s="184"/>
      <c r="K1560" s="184"/>
      <c r="L1560" s="184"/>
      <c r="M1560" s="184" t="s">
        <v>6826</v>
      </c>
      <c r="N1560" s="184"/>
      <c r="O1560" s="184"/>
    </row>
    <row r="1561" customFormat="false" ht="27.75" hidden="false" customHeight="true" outlineLevel="0" collapsed="false">
      <c r="A1561" s="184" t="s">
        <v>6658</v>
      </c>
      <c r="B1561" s="184" t="s">
        <v>4916</v>
      </c>
      <c r="C1561" s="184" t="n">
        <v>28</v>
      </c>
      <c r="D1561" s="178" t="s">
        <v>5269</v>
      </c>
      <c r="E1561" s="186" t="s">
        <v>6827</v>
      </c>
      <c r="F1561" s="184"/>
      <c r="G1561" s="184"/>
      <c r="H1561" s="184"/>
      <c r="I1561" s="184"/>
      <c r="J1561" s="184"/>
      <c r="K1561" s="184"/>
      <c r="L1561" s="184"/>
      <c r="M1561" s="184" t="s">
        <v>6828</v>
      </c>
      <c r="N1561" s="184"/>
      <c r="O1561" s="184"/>
    </row>
    <row r="1562" customFormat="false" ht="27.75" hidden="false" customHeight="true" outlineLevel="0" collapsed="false">
      <c r="A1562" s="184" t="s">
        <v>6658</v>
      </c>
      <c r="B1562" s="184" t="s">
        <v>4916</v>
      </c>
      <c r="C1562" s="184" t="n">
        <v>29</v>
      </c>
      <c r="D1562" s="178" t="s">
        <v>5269</v>
      </c>
      <c r="E1562" s="184" t="s">
        <v>6675</v>
      </c>
      <c r="F1562" s="184"/>
      <c r="G1562" s="184"/>
      <c r="H1562" s="184"/>
      <c r="I1562" s="184"/>
      <c r="J1562" s="184"/>
      <c r="K1562" s="184"/>
      <c r="L1562" s="184"/>
      <c r="M1562" s="184" t="s">
        <v>6676</v>
      </c>
      <c r="N1562" s="184"/>
      <c r="O1562" s="184"/>
    </row>
    <row r="1563" customFormat="false" ht="15" hidden="false" customHeight="true" outlineLevel="0" collapsed="false">
      <c r="A1563" s="184"/>
      <c r="B1563" s="184"/>
      <c r="C1563" s="184"/>
      <c r="D1563" s="184"/>
      <c r="E1563" s="184"/>
      <c r="F1563" s="184"/>
      <c r="G1563" s="184"/>
      <c r="H1563" s="184"/>
      <c r="I1563" s="184"/>
      <c r="J1563" s="184"/>
      <c r="K1563" s="184"/>
      <c r="L1563" s="184"/>
      <c r="M1563" s="184"/>
      <c r="N1563" s="184"/>
      <c r="O1563" s="184"/>
    </row>
    <row r="1564" customFormat="false" ht="15" hidden="false" customHeight="true" outlineLevel="0" collapsed="false">
      <c r="A1564" s="184"/>
      <c r="B1564" s="184"/>
      <c r="C1564" s="184"/>
      <c r="D1564" s="184"/>
      <c r="E1564" s="184"/>
      <c r="F1564" s="184"/>
      <c r="G1564" s="184"/>
      <c r="H1564" s="184"/>
      <c r="I1564" s="184"/>
      <c r="J1564" s="184"/>
      <c r="K1564" s="184"/>
      <c r="L1564" s="184"/>
      <c r="M1564" s="184"/>
      <c r="N1564" s="184"/>
      <c r="O1564" s="184"/>
    </row>
    <row r="1565" customFormat="false" ht="15" hidden="false" customHeight="true" outlineLevel="0" collapsed="false">
      <c r="A1565" s="184"/>
      <c r="B1565" s="184"/>
      <c r="C1565" s="184"/>
      <c r="D1565" s="184"/>
      <c r="E1565" s="184"/>
      <c r="F1565" s="184"/>
      <c r="G1565" s="184"/>
      <c r="H1565" s="184"/>
      <c r="I1565" s="184"/>
      <c r="J1565" s="184"/>
      <c r="K1565" s="184"/>
      <c r="L1565" s="184"/>
      <c r="M1565" s="184"/>
      <c r="N1565" s="184"/>
      <c r="O1565" s="184"/>
    </row>
    <row r="1566" customFormat="false" ht="15" hidden="false" customHeight="true" outlineLevel="0" collapsed="false">
      <c r="A1566" s="184"/>
      <c r="B1566" s="184"/>
      <c r="C1566" s="184"/>
      <c r="D1566" s="184"/>
      <c r="E1566" s="184"/>
      <c r="F1566" s="184"/>
      <c r="G1566" s="184"/>
      <c r="H1566" s="184"/>
      <c r="I1566" s="184"/>
      <c r="J1566" s="184"/>
      <c r="K1566" s="184"/>
      <c r="L1566" s="184"/>
      <c r="M1566" s="184"/>
      <c r="N1566" s="184"/>
      <c r="O1566" s="184"/>
    </row>
    <row r="1567" customFormat="false" ht="15" hidden="false" customHeight="true" outlineLevel="0" collapsed="false">
      <c r="A1567" s="184"/>
      <c r="B1567" s="184"/>
      <c r="C1567" s="184"/>
      <c r="D1567" s="184"/>
      <c r="E1567" s="184"/>
      <c r="F1567" s="184"/>
      <c r="G1567" s="184"/>
      <c r="H1567" s="184"/>
      <c r="I1567" s="184"/>
      <c r="J1567" s="184"/>
      <c r="K1567" s="184"/>
      <c r="L1567" s="184"/>
      <c r="M1567" s="184"/>
      <c r="N1567" s="184"/>
      <c r="O1567" s="184"/>
    </row>
    <row r="1568" customFormat="false" ht="15" hidden="false" customHeight="true" outlineLevel="0" collapsed="false">
      <c r="A1568" s="184"/>
      <c r="B1568" s="184"/>
      <c r="C1568" s="184"/>
      <c r="D1568" s="184"/>
      <c r="E1568" s="184"/>
      <c r="F1568" s="184"/>
      <c r="G1568" s="184"/>
      <c r="H1568" s="184"/>
      <c r="I1568" s="184"/>
      <c r="J1568" s="184"/>
      <c r="K1568" s="184"/>
      <c r="L1568" s="184"/>
      <c r="M1568" s="184"/>
      <c r="N1568" s="184"/>
      <c r="O1568" s="184"/>
    </row>
    <row r="1569" customFormat="false" ht="15" hidden="false" customHeight="true" outlineLevel="0" collapsed="false">
      <c r="A1569" s="184"/>
      <c r="B1569" s="184"/>
      <c r="C1569" s="184"/>
      <c r="D1569" s="184"/>
      <c r="E1569" s="184"/>
      <c r="F1569" s="184"/>
      <c r="G1569" s="184"/>
      <c r="H1569" s="184"/>
      <c r="I1569" s="184"/>
      <c r="J1569" s="184"/>
      <c r="K1569" s="184"/>
      <c r="L1569" s="184"/>
      <c r="M1569" s="184"/>
      <c r="N1569" s="184"/>
      <c r="O1569" s="184"/>
    </row>
    <row r="1570" customFormat="false" ht="15" hidden="false" customHeight="true" outlineLevel="0" collapsed="false">
      <c r="A1570" s="184"/>
      <c r="B1570" s="184"/>
      <c r="C1570" s="184"/>
      <c r="D1570" s="184"/>
      <c r="E1570" s="184"/>
      <c r="F1570" s="184"/>
      <c r="G1570" s="184"/>
      <c r="H1570" s="184"/>
      <c r="I1570" s="184"/>
      <c r="J1570" s="184"/>
      <c r="K1570" s="184"/>
      <c r="L1570" s="184"/>
      <c r="M1570" s="184"/>
      <c r="N1570" s="184"/>
      <c r="O1570" s="184"/>
    </row>
    <row r="1571" customFormat="false" ht="15" hidden="false" customHeight="true" outlineLevel="0" collapsed="false">
      <c r="A1571" s="184"/>
      <c r="B1571" s="184"/>
      <c r="C1571" s="184"/>
      <c r="D1571" s="184"/>
      <c r="E1571" s="184"/>
      <c r="F1571" s="184"/>
      <c r="G1571" s="184"/>
      <c r="H1571" s="184"/>
      <c r="I1571" s="184"/>
      <c r="J1571" s="184"/>
      <c r="K1571" s="184"/>
      <c r="L1571" s="184"/>
      <c r="M1571" s="184"/>
      <c r="N1571" s="184"/>
      <c r="O1571" s="184"/>
    </row>
    <row r="1572" customFormat="false" ht="15" hidden="false" customHeight="true" outlineLevel="0" collapsed="false">
      <c r="A1572" s="184"/>
      <c r="B1572" s="184"/>
      <c r="C1572" s="184"/>
      <c r="D1572" s="184"/>
      <c r="E1572" s="184"/>
      <c r="F1572" s="184"/>
      <c r="G1572" s="184"/>
      <c r="H1572" s="184"/>
      <c r="I1572" s="184"/>
      <c r="J1572" s="184"/>
      <c r="K1572" s="184"/>
      <c r="L1572" s="184"/>
      <c r="M1572" s="184"/>
      <c r="N1572" s="184"/>
      <c r="O1572" s="184"/>
    </row>
    <row r="1573" customFormat="false" ht="15" hidden="false" customHeight="true" outlineLevel="0" collapsed="false">
      <c r="A1573" s="184"/>
      <c r="B1573" s="184"/>
      <c r="C1573" s="184"/>
      <c r="D1573" s="184"/>
      <c r="E1573" s="184"/>
      <c r="F1573" s="184"/>
      <c r="G1573" s="184"/>
      <c r="H1573" s="184"/>
      <c r="I1573" s="184"/>
      <c r="J1573" s="184"/>
      <c r="K1573" s="184"/>
      <c r="L1573" s="184"/>
      <c r="M1573" s="184"/>
      <c r="N1573" s="184"/>
      <c r="O1573" s="184"/>
    </row>
    <row r="1574" customFormat="false" ht="15" hidden="false" customHeight="true" outlineLevel="0" collapsed="false">
      <c r="A1574" s="184"/>
      <c r="B1574" s="184"/>
      <c r="C1574" s="184"/>
      <c r="D1574" s="184"/>
      <c r="E1574" s="184"/>
      <c r="F1574" s="184"/>
      <c r="G1574" s="184"/>
      <c r="H1574" s="184"/>
      <c r="I1574" s="184"/>
      <c r="J1574" s="184"/>
      <c r="K1574" s="184"/>
      <c r="L1574" s="184"/>
      <c r="M1574" s="184"/>
      <c r="N1574" s="184"/>
      <c r="O1574" s="184"/>
    </row>
    <row r="1575" customFormat="false" ht="15" hidden="false" customHeight="true" outlineLevel="0" collapsed="false">
      <c r="A1575" s="184"/>
      <c r="B1575" s="184"/>
      <c r="C1575" s="184"/>
      <c r="D1575" s="184"/>
      <c r="E1575" s="184"/>
      <c r="F1575" s="184"/>
      <c r="G1575" s="184"/>
      <c r="H1575" s="184"/>
      <c r="I1575" s="184"/>
      <c r="J1575" s="184"/>
      <c r="K1575" s="184"/>
      <c r="L1575" s="184"/>
      <c r="M1575" s="184"/>
      <c r="N1575" s="184"/>
      <c r="O1575" s="184"/>
    </row>
    <row r="1576" customFormat="false" ht="15" hidden="false" customHeight="true" outlineLevel="0" collapsed="false">
      <c r="A1576" s="184"/>
      <c r="B1576" s="184"/>
      <c r="C1576" s="184"/>
      <c r="D1576" s="184"/>
      <c r="E1576" s="184"/>
      <c r="F1576" s="184"/>
      <c r="G1576" s="184"/>
      <c r="H1576" s="184"/>
      <c r="I1576" s="184"/>
      <c r="J1576" s="184"/>
      <c r="K1576" s="184"/>
      <c r="L1576" s="184"/>
      <c r="M1576" s="184"/>
      <c r="N1576" s="184"/>
      <c r="O1576" s="184"/>
    </row>
    <row r="1577" customFormat="false" ht="15" hidden="false" customHeight="true" outlineLevel="0" collapsed="false">
      <c r="A1577" s="184"/>
      <c r="B1577" s="184"/>
      <c r="C1577" s="184"/>
      <c r="D1577" s="184"/>
      <c r="E1577" s="184"/>
      <c r="F1577" s="184"/>
      <c r="G1577" s="184"/>
      <c r="H1577" s="184"/>
      <c r="I1577" s="184"/>
      <c r="J1577" s="184"/>
      <c r="K1577" s="184"/>
      <c r="L1577" s="184"/>
      <c r="M1577" s="184"/>
      <c r="N1577" s="184"/>
      <c r="O1577" s="184"/>
    </row>
    <row r="1578" customFormat="false" ht="15" hidden="false" customHeight="true" outlineLevel="0" collapsed="false">
      <c r="A1578" s="184"/>
      <c r="B1578" s="184"/>
      <c r="C1578" s="184"/>
      <c r="D1578" s="184"/>
      <c r="E1578" s="184"/>
      <c r="F1578" s="184"/>
      <c r="G1578" s="184"/>
      <c r="H1578" s="184"/>
      <c r="I1578" s="184"/>
      <c r="J1578" s="184"/>
      <c r="K1578" s="184"/>
      <c r="L1578" s="184"/>
      <c r="M1578" s="184"/>
      <c r="N1578" s="184"/>
      <c r="O1578" s="184"/>
    </row>
    <row r="1579" customFormat="false" ht="15" hidden="false" customHeight="true" outlineLevel="0" collapsed="false">
      <c r="A1579" s="184"/>
      <c r="B1579" s="184"/>
      <c r="C1579" s="184"/>
      <c r="D1579" s="184"/>
      <c r="E1579" s="184"/>
      <c r="F1579" s="184"/>
      <c r="G1579" s="184"/>
      <c r="H1579" s="184"/>
      <c r="I1579" s="184"/>
      <c r="J1579" s="184"/>
      <c r="K1579" s="184"/>
      <c r="L1579" s="184"/>
      <c r="M1579" s="184"/>
      <c r="N1579" s="184"/>
      <c r="O1579" s="184"/>
    </row>
    <row r="1580" customFormat="false" ht="15" hidden="false" customHeight="true" outlineLevel="0" collapsed="false">
      <c r="A1580" s="184"/>
      <c r="B1580" s="184"/>
      <c r="C1580" s="184"/>
      <c r="D1580" s="184"/>
      <c r="E1580" s="184"/>
      <c r="F1580" s="184"/>
      <c r="G1580" s="184"/>
      <c r="H1580" s="184"/>
      <c r="I1580" s="184"/>
      <c r="J1580" s="184"/>
      <c r="K1580" s="184"/>
      <c r="L1580" s="184"/>
      <c r="M1580" s="184"/>
      <c r="N1580" s="184"/>
      <c r="O1580" s="184"/>
    </row>
    <row r="1581" customFormat="false" ht="15" hidden="false" customHeight="true" outlineLevel="0" collapsed="false">
      <c r="A1581" s="184"/>
      <c r="B1581" s="184"/>
      <c r="C1581" s="184"/>
      <c r="D1581" s="184"/>
      <c r="E1581" s="184"/>
      <c r="F1581" s="184"/>
      <c r="G1581" s="184"/>
      <c r="H1581" s="184"/>
      <c r="I1581" s="184"/>
      <c r="J1581" s="184"/>
      <c r="K1581" s="184"/>
      <c r="L1581" s="184"/>
      <c r="M1581" s="184"/>
      <c r="N1581" s="184"/>
      <c r="O1581" s="184"/>
    </row>
    <row r="1582" customFormat="false" ht="15" hidden="false" customHeight="true" outlineLevel="0" collapsed="false">
      <c r="A1582" s="184"/>
      <c r="B1582" s="184"/>
      <c r="C1582" s="184"/>
      <c r="D1582" s="184"/>
      <c r="E1582" s="184"/>
      <c r="F1582" s="184"/>
      <c r="G1582" s="184"/>
      <c r="H1582" s="184"/>
      <c r="I1582" s="184"/>
      <c r="J1582" s="184"/>
      <c r="K1582" s="184"/>
      <c r="L1582" s="184"/>
      <c r="M1582" s="184"/>
      <c r="N1582" s="184"/>
      <c r="O1582" s="184"/>
    </row>
    <row r="1583" customFormat="false" ht="15" hidden="false" customHeight="true" outlineLevel="0" collapsed="false">
      <c r="A1583" s="184"/>
      <c r="B1583" s="184"/>
      <c r="C1583" s="184"/>
      <c r="D1583" s="184"/>
      <c r="E1583" s="184"/>
      <c r="F1583" s="184"/>
      <c r="G1583" s="184"/>
      <c r="H1583" s="184"/>
      <c r="I1583" s="184"/>
      <c r="J1583" s="184"/>
      <c r="K1583" s="184"/>
      <c r="L1583" s="184"/>
      <c r="M1583" s="184"/>
      <c r="N1583" s="184"/>
      <c r="O1583" s="184"/>
    </row>
    <row r="1584" customFormat="false" ht="15" hidden="false" customHeight="true" outlineLevel="0" collapsed="false">
      <c r="A1584" s="184"/>
      <c r="B1584" s="184"/>
      <c r="C1584" s="184"/>
      <c r="D1584" s="184"/>
      <c r="E1584" s="184"/>
      <c r="F1584" s="184"/>
      <c r="G1584" s="184"/>
      <c r="H1584" s="184"/>
      <c r="I1584" s="184"/>
      <c r="J1584" s="184"/>
      <c r="K1584" s="184"/>
      <c r="L1584" s="184"/>
      <c r="M1584" s="184"/>
      <c r="N1584" s="184"/>
      <c r="O1584" s="184"/>
    </row>
    <row r="1585" customFormat="false" ht="15" hidden="false" customHeight="true" outlineLevel="0" collapsed="false">
      <c r="A1585" s="184"/>
      <c r="B1585" s="184"/>
      <c r="C1585" s="184"/>
      <c r="D1585" s="184"/>
      <c r="E1585" s="184"/>
      <c r="F1585" s="184"/>
      <c r="G1585" s="184"/>
      <c r="H1585" s="184"/>
      <c r="I1585" s="184"/>
      <c r="J1585" s="184"/>
      <c r="K1585" s="184"/>
      <c r="L1585" s="184"/>
      <c r="M1585" s="184"/>
      <c r="N1585" s="184"/>
      <c r="O1585" s="184"/>
    </row>
    <row r="1586" customFormat="false" ht="15" hidden="false" customHeight="true" outlineLevel="0" collapsed="false">
      <c r="A1586" s="184"/>
      <c r="B1586" s="184"/>
      <c r="C1586" s="184"/>
      <c r="D1586" s="184"/>
      <c r="E1586" s="184"/>
      <c r="F1586" s="184"/>
      <c r="G1586" s="184"/>
      <c r="H1586" s="184"/>
      <c r="I1586" s="184"/>
      <c r="J1586" s="184"/>
      <c r="K1586" s="184"/>
      <c r="L1586" s="184"/>
      <c r="M1586" s="184"/>
      <c r="N1586" s="184"/>
      <c r="O1586" s="184"/>
    </row>
    <row r="1587" customFormat="false" ht="15" hidden="false" customHeight="true" outlineLevel="0" collapsed="false">
      <c r="A1587" s="184"/>
      <c r="B1587" s="184"/>
      <c r="C1587" s="184"/>
      <c r="D1587" s="184"/>
      <c r="E1587" s="184"/>
      <c r="F1587" s="184"/>
      <c r="G1587" s="184"/>
      <c r="H1587" s="184"/>
      <c r="I1587" s="184"/>
      <c r="J1587" s="184"/>
      <c r="K1587" s="184"/>
      <c r="L1587" s="184"/>
      <c r="M1587" s="184"/>
      <c r="N1587" s="184"/>
      <c r="O1587" s="184"/>
    </row>
    <row r="1588" customFormat="false" ht="15" hidden="false" customHeight="true" outlineLevel="0" collapsed="false">
      <c r="A1588" s="184"/>
      <c r="B1588" s="184"/>
      <c r="C1588" s="184"/>
      <c r="D1588" s="184"/>
      <c r="E1588" s="184"/>
      <c r="F1588" s="184"/>
      <c r="G1588" s="184"/>
      <c r="H1588" s="184"/>
      <c r="I1588" s="184"/>
      <c r="J1588" s="184"/>
      <c r="K1588" s="184"/>
      <c r="L1588" s="184"/>
      <c r="M1588" s="184"/>
      <c r="N1588" s="184"/>
      <c r="O1588" s="184"/>
    </row>
    <row r="1589" customFormat="false" ht="15" hidden="false" customHeight="true" outlineLevel="0" collapsed="false">
      <c r="A1589" s="184"/>
      <c r="B1589" s="184"/>
      <c r="C1589" s="184"/>
      <c r="D1589" s="184"/>
      <c r="E1589" s="184"/>
      <c r="F1589" s="184"/>
      <c r="G1589" s="184"/>
      <c r="H1589" s="184"/>
      <c r="I1589" s="184"/>
      <c r="J1589" s="184"/>
      <c r="K1589" s="184"/>
      <c r="L1589" s="184"/>
      <c r="M1589" s="184"/>
      <c r="N1589" s="184"/>
      <c r="O1589" s="184"/>
    </row>
    <row r="1590" customFormat="false" ht="15" hidden="false" customHeight="true" outlineLevel="0" collapsed="false">
      <c r="A1590" s="184"/>
      <c r="B1590" s="184"/>
      <c r="C1590" s="184"/>
      <c r="D1590" s="184"/>
      <c r="E1590" s="184"/>
      <c r="F1590" s="184"/>
      <c r="G1590" s="184"/>
      <c r="H1590" s="184"/>
      <c r="I1590" s="184"/>
      <c r="J1590" s="184"/>
      <c r="K1590" s="184"/>
      <c r="L1590" s="184"/>
      <c r="M1590" s="184"/>
      <c r="N1590" s="184"/>
      <c r="O1590" s="184"/>
    </row>
    <row r="1591" customFormat="false" ht="15" hidden="false" customHeight="true" outlineLevel="0" collapsed="false">
      <c r="A1591" s="184"/>
      <c r="B1591" s="184"/>
      <c r="C1591" s="184"/>
      <c r="D1591" s="184"/>
      <c r="E1591" s="184"/>
      <c r="F1591" s="184"/>
      <c r="G1591" s="184"/>
      <c r="H1591" s="184"/>
      <c r="I1591" s="184"/>
      <c r="J1591" s="184"/>
      <c r="K1591" s="184"/>
      <c r="L1591" s="184"/>
      <c r="M1591" s="184"/>
      <c r="N1591" s="184"/>
      <c r="O1591" s="184"/>
    </row>
    <row r="1592" customFormat="false" ht="15" hidden="false" customHeight="true" outlineLevel="0" collapsed="false">
      <c r="A1592" s="184"/>
      <c r="B1592" s="184"/>
      <c r="C1592" s="184"/>
      <c r="D1592" s="184"/>
      <c r="E1592" s="184"/>
      <c r="F1592" s="184"/>
      <c r="G1592" s="184"/>
      <c r="H1592" s="184"/>
      <c r="I1592" s="184"/>
      <c r="J1592" s="184"/>
      <c r="K1592" s="184"/>
      <c r="L1592" s="184"/>
      <c r="M1592" s="184"/>
      <c r="N1592" s="184"/>
      <c r="O1592" s="184"/>
    </row>
    <row r="1593" customFormat="false" ht="15" hidden="false" customHeight="true" outlineLevel="0" collapsed="false">
      <c r="A1593" s="184"/>
      <c r="B1593" s="184"/>
      <c r="C1593" s="184"/>
      <c r="D1593" s="184"/>
      <c r="E1593" s="184"/>
      <c r="F1593" s="184"/>
      <c r="G1593" s="184"/>
      <c r="H1593" s="184"/>
      <c r="I1593" s="184"/>
      <c r="J1593" s="184"/>
      <c r="K1593" s="184"/>
      <c r="L1593" s="184"/>
      <c r="M1593" s="184"/>
      <c r="N1593" s="184"/>
      <c r="O1593" s="184"/>
    </row>
    <row r="1594" customFormat="false" ht="15" hidden="false" customHeight="true" outlineLevel="0" collapsed="false">
      <c r="A1594" s="184"/>
      <c r="B1594" s="184"/>
      <c r="C1594" s="184"/>
      <c r="D1594" s="184"/>
      <c r="E1594" s="184"/>
      <c r="F1594" s="184"/>
      <c r="G1594" s="184"/>
      <c r="H1594" s="184"/>
      <c r="I1594" s="184"/>
      <c r="J1594" s="184"/>
      <c r="K1594" s="184"/>
      <c r="L1594" s="184"/>
      <c r="M1594" s="184"/>
      <c r="N1594" s="184"/>
      <c r="O1594" s="184"/>
    </row>
    <row r="1595" customFormat="false" ht="15" hidden="false" customHeight="true" outlineLevel="0" collapsed="false">
      <c r="A1595" s="184"/>
      <c r="B1595" s="184"/>
      <c r="C1595" s="184"/>
      <c r="D1595" s="184"/>
      <c r="E1595" s="184"/>
      <c r="F1595" s="184"/>
      <c r="G1595" s="184"/>
      <c r="H1595" s="184"/>
      <c r="I1595" s="184"/>
      <c r="J1595" s="184"/>
      <c r="K1595" s="184"/>
      <c r="L1595" s="184"/>
      <c r="M1595" s="184"/>
      <c r="N1595" s="184"/>
      <c r="O1595" s="184"/>
    </row>
    <row r="1596" customFormat="false" ht="15" hidden="false" customHeight="true" outlineLevel="0" collapsed="false">
      <c r="A1596" s="184"/>
      <c r="B1596" s="184"/>
      <c r="C1596" s="184"/>
      <c r="D1596" s="184"/>
      <c r="E1596" s="184"/>
      <c r="F1596" s="184"/>
      <c r="G1596" s="184"/>
      <c r="H1596" s="184"/>
      <c r="I1596" s="184"/>
      <c r="J1596" s="184"/>
      <c r="K1596" s="184"/>
      <c r="L1596" s="184"/>
      <c r="M1596" s="184"/>
      <c r="N1596" s="184"/>
      <c r="O1596" s="184"/>
    </row>
    <row r="1597" customFormat="false" ht="15" hidden="false" customHeight="true" outlineLevel="0" collapsed="false">
      <c r="A1597" s="184"/>
      <c r="B1597" s="184"/>
      <c r="C1597" s="184"/>
      <c r="D1597" s="184"/>
      <c r="E1597" s="184"/>
      <c r="F1597" s="184"/>
      <c r="G1597" s="184"/>
      <c r="H1597" s="184"/>
      <c r="I1597" s="184"/>
      <c r="J1597" s="184"/>
      <c r="K1597" s="184"/>
      <c r="L1597" s="184"/>
      <c r="M1597" s="184"/>
      <c r="N1597" s="184"/>
      <c r="O1597" s="184"/>
    </row>
    <row r="1598" customFormat="false" ht="15" hidden="false" customHeight="true" outlineLevel="0" collapsed="false">
      <c r="A1598" s="184"/>
      <c r="B1598" s="184"/>
      <c r="C1598" s="184"/>
      <c r="D1598" s="184"/>
      <c r="E1598" s="184"/>
      <c r="F1598" s="184"/>
      <c r="G1598" s="184"/>
      <c r="H1598" s="184"/>
      <c r="I1598" s="184"/>
      <c r="J1598" s="184"/>
      <c r="K1598" s="184"/>
      <c r="L1598" s="184"/>
      <c r="M1598" s="184"/>
      <c r="N1598" s="184"/>
      <c r="O1598" s="184"/>
    </row>
    <row r="1599" customFormat="false" ht="15" hidden="false" customHeight="true" outlineLevel="0" collapsed="false">
      <c r="A1599" s="184"/>
      <c r="B1599" s="184"/>
      <c r="C1599" s="184"/>
      <c r="D1599" s="184"/>
      <c r="E1599" s="184"/>
      <c r="F1599" s="184"/>
      <c r="G1599" s="184"/>
      <c r="H1599" s="184"/>
      <c r="I1599" s="184"/>
      <c r="J1599" s="184"/>
      <c r="K1599" s="184"/>
      <c r="L1599" s="184"/>
      <c r="M1599" s="184"/>
      <c r="N1599" s="184"/>
      <c r="O1599" s="184"/>
    </row>
    <row r="1600" customFormat="false" ht="15" hidden="false" customHeight="true" outlineLevel="0" collapsed="false">
      <c r="A1600" s="184"/>
      <c r="B1600" s="184"/>
      <c r="C1600" s="184"/>
      <c r="D1600" s="184"/>
      <c r="E1600" s="184"/>
      <c r="F1600" s="184"/>
      <c r="G1600" s="184"/>
      <c r="H1600" s="184"/>
      <c r="I1600" s="184"/>
      <c r="J1600" s="184"/>
      <c r="K1600" s="184"/>
      <c r="L1600" s="184"/>
      <c r="M1600" s="184"/>
      <c r="N1600" s="184"/>
      <c r="O1600" s="184"/>
    </row>
    <row r="1601" customFormat="false" ht="15" hidden="false" customHeight="true" outlineLevel="0" collapsed="false">
      <c r="A1601" s="184"/>
      <c r="B1601" s="184"/>
      <c r="C1601" s="184"/>
      <c r="D1601" s="184"/>
      <c r="E1601" s="184"/>
      <c r="F1601" s="184"/>
      <c r="G1601" s="184"/>
      <c r="H1601" s="184"/>
      <c r="I1601" s="184"/>
      <c r="J1601" s="184"/>
      <c r="K1601" s="184"/>
      <c r="L1601" s="184"/>
      <c r="M1601" s="184"/>
      <c r="N1601" s="184"/>
      <c r="O1601" s="184"/>
    </row>
    <row r="1602" customFormat="false" ht="15" hidden="false" customHeight="true" outlineLevel="0" collapsed="false">
      <c r="A1602" s="184"/>
      <c r="B1602" s="184"/>
      <c r="C1602" s="184"/>
      <c r="D1602" s="184"/>
      <c r="E1602" s="184"/>
      <c r="F1602" s="184"/>
      <c r="G1602" s="184"/>
      <c r="H1602" s="184"/>
      <c r="I1602" s="184"/>
      <c r="J1602" s="184"/>
      <c r="K1602" s="184"/>
      <c r="L1602" s="184"/>
      <c r="M1602" s="184"/>
      <c r="N1602" s="184"/>
      <c r="O1602" s="184"/>
    </row>
    <row r="1603" customFormat="false" ht="15" hidden="false" customHeight="true" outlineLevel="0" collapsed="false">
      <c r="A1603" s="184"/>
      <c r="B1603" s="184"/>
      <c r="C1603" s="184"/>
      <c r="D1603" s="184"/>
      <c r="E1603" s="184"/>
      <c r="F1603" s="184"/>
      <c r="G1603" s="184"/>
      <c r="H1603" s="184"/>
      <c r="I1603" s="184"/>
      <c r="J1603" s="184"/>
      <c r="K1603" s="184"/>
      <c r="L1603" s="184"/>
      <c r="M1603" s="184"/>
      <c r="N1603" s="184"/>
      <c r="O1603" s="184"/>
    </row>
    <row r="1604" customFormat="false" ht="15" hidden="false" customHeight="true" outlineLevel="0" collapsed="false">
      <c r="A1604" s="184"/>
      <c r="B1604" s="184"/>
      <c r="C1604" s="184"/>
      <c r="D1604" s="184"/>
      <c r="E1604" s="184"/>
      <c r="F1604" s="184"/>
      <c r="G1604" s="184"/>
      <c r="H1604" s="184"/>
      <c r="I1604" s="184"/>
      <c r="J1604" s="184"/>
      <c r="K1604" s="184"/>
      <c r="L1604" s="184"/>
      <c r="M1604" s="184"/>
      <c r="N1604" s="184"/>
      <c r="O1604" s="184"/>
    </row>
    <row r="1605" customFormat="false" ht="15" hidden="false" customHeight="true" outlineLevel="0" collapsed="false">
      <c r="A1605" s="184"/>
      <c r="B1605" s="184"/>
      <c r="C1605" s="184"/>
      <c r="D1605" s="184"/>
      <c r="E1605" s="184"/>
      <c r="F1605" s="184"/>
      <c r="G1605" s="184"/>
      <c r="H1605" s="184"/>
      <c r="I1605" s="184"/>
      <c r="J1605" s="184"/>
      <c r="K1605" s="184"/>
      <c r="L1605" s="184"/>
      <c r="M1605" s="184"/>
      <c r="N1605" s="184"/>
      <c r="O1605" s="184"/>
    </row>
    <row r="1606" customFormat="false" ht="15" hidden="false" customHeight="true" outlineLevel="0" collapsed="false">
      <c r="A1606" s="184"/>
      <c r="B1606" s="184"/>
      <c r="C1606" s="184"/>
      <c r="D1606" s="184"/>
      <c r="E1606" s="184"/>
      <c r="F1606" s="184"/>
      <c r="G1606" s="184"/>
      <c r="H1606" s="184"/>
      <c r="I1606" s="184"/>
      <c r="J1606" s="184"/>
      <c r="K1606" s="184"/>
      <c r="L1606" s="184"/>
      <c r="M1606" s="184"/>
      <c r="N1606" s="184"/>
      <c r="O1606" s="184"/>
    </row>
    <row r="1607" customFormat="false" ht="15" hidden="false" customHeight="true" outlineLevel="0" collapsed="false">
      <c r="A1607" s="184"/>
      <c r="B1607" s="184"/>
      <c r="C1607" s="184"/>
      <c r="D1607" s="184"/>
      <c r="E1607" s="184"/>
      <c r="F1607" s="184"/>
      <c r="G1607" s="184"/>
      <c r="H1607" s="184"/>
      <c r="I1607" s="184"/>
      <c r="J1607" s="184"/>
      <c r="K1607" s="184"/>
      <c r="L1607" s="184"/>
      <c r="M1607" s="184"/>
      <c r="N1607" s="184"/>
      <c r="O1607" s="184"/>
    </row>
    <row r="1608" customFormat="false" ht="15" hidden="false" customHeight="true" outlineLevel="0" collapsed="false">
      <c r="A1608" s="184"/>
      <c r="B1608" s="184"/>
      <c r="C1608" s="184"/>
      <c r="D1608" s="184"/>
      <c r="E1608" s="184"/>
      <c r="F1608" s="184"/>
      <c r="G1608" s="184"/>
      <c r="H1608" s="184"/>
      <c r="I1608" s="184"/>
      <c r="J1608" s="184"/>
      <c r="K1608" s="184"/>
      <c r="L1608" s="184"/>
      <c r="M1608" s="184"/>
      <c r="N1608" s="184"/>
      <c r="O1608" s="184"/>
    </row>
    <row r="1609" customFormat="false" ht="15" hidden="false" customHeight="true" outlineLevel="0" collapsed="false">
      <c r="A1609" s="184"/>
      <c r="B1609" s="184"/>
      <c r="C1609" s="184"/>
      <c r="D1609" s="184"/>
      <c r="E1609" s="184"/>
      <c r="F1609" s="184"/>
      <c r="G1609" s="184"/>
      <c r="H1609" s="184"/>
      <c r="I1609" s="184"/>
      <c r="J1609" s="184"/>
      <c r="K1609" s="184"/>
      <c r="L1609" s="184"/>
      <c r="M1609" s="184"/>
      <c r="N1609" s="184"/>
      <c r="O1609" s="184"/>
    </row>
    <row r="1610" customFormat="false" ht="15" hidden="false" customHeight="true" outlineLevel="0" collapsed="false">
      <c r="A1610" s="184"/>
      <c r="B1610" s="184"/>
      <c r="C1610" s="184"/>
      <c r="D1610" s="184"/>
      <c r="E1610" s="184"/>
      <c r="F1610" s="184"/>
      <c r="G1610" s="184"/>
      <c r="H1610" s="184"/>
      <c r="I1610" s="184"/>
      <c r="J1610" s="184"/>
      <c r="K1610" s="184"/>
      <c r="L1610" s="184"/>
      <c r="M1610" s="184"/>
      <c r="N1610" s="184"/>
      <c r="O1610" s="184"/>
    </row>
    <row r="1611" customFormat="false" ht="15" hidden="false" customHeight="true" outlineLevel="0" collapsed="false">
      <c r="A1611" s="184"/>
      <c r="B1611" s="184"/>
      <c r="C1611" s="184"/>
      <c r="D1611" s="184"/>
      <c r="E1611" s="184"/>
      <c r="F1611" s="184"/>
      <c r="G1611" s="184"/>
      <c r="H1611" s="184"/>
      <c r="I1611" s="184"/>
      <c r="J1611" s="184"/>
      <c r="K1611" s="184"/>
      <c r="L1611" s="184"/>
      <c r="M1611" s="184"/>
      <c r="N1611" s="184"/>
      <c r="O1611" s="184"/>
    </row>
    <row r="1612" customFormat="false" ht="15" hidden="false" customHeight="true" outlineLevel="0" collapsed="false">
      <c r="A1612" s="184"/>
      <c r="B1612" s="184"/>
      <c r="C1612" s="184"/>
      <c r="D1612" s="184"/>
      <c r="E1612" s="184"/>
      <c r="F1612" s="184"/>
      <c r="G1612" s="184"/>
      <c r="H1612" s="184"/>
      <c r="I1612" s="184"/>
      <c r="J1612" s="184"/>
      <c r="K1612" s="184"/>
      <c r="L1612" s="184"/>
      <c r="M1612" s="184"/>
      <c r="N1612" s="184"/>
      <c r="O1612" s="184"/>
    </row>
    <row r="1613" customFormat="false" ht="15" hidden="false" customHeight="true" outlineLevel="0" collapsed="false">
      <c r="A1613" s="184"/>
      <c r="B1613" s="184"/>
      <c r="C1613" s="184"/>
      <c r="D1613" s="184"/>
      <c r="E1613" s="184"/>
      <c r="F1613" s="184"/>
      <c r="G1613" s="184"/>
      <c r="H1613" s="184"/>
      <c r="I1613" s="184"/>
      <c r="J1613" s="184"/>
      <c r="K1613" s="184"/>
      <c r="L1613" s="184"/>
      <c r="M1613" s="184"/>
      <c r="N1613" s="184"/>
      <c r="O1613" s="184"/>
    </row>
    <row r="1614" customFormat="false" ht="15" hidden="false" customHeight="true" outlineLevel="0" collapsed="false">
      <c r="A1614" s="184"/>
      <c r="B1614" s="184"/>
      <c r="C1614" s="184"/>
      <c r="D1614" s="184"/>
      <c r="E1614" s="184"/>
      <c r="F1614" s="184"/>
      <c r="G1614" s="184"/>
      <c r="H1614" s="184"/>
      <c r="I1614" s="184"/>
      <c r="J1614" s="184"/>
      <c r="K1614" s="184"/>
      <c r="L1614" s="184"/>
      <c r="M1614" s="184"/>
      <c r="N1614" s="184"/>
      <c r="O1614" s="184"/>
    </row>
    <row r="1615" customFormat="false" ht="15" hidden="false" customHeight="true" outlineLevel="0" collapsed="false">
      <c r="A1615" s="184"/>
      <c r="B1615" s="184"/>
      <c r="C1615" s="184"/>
      <c r="D1615" s="184"/>
      <c r="E1615" s="184"/>
      <c r="F1615" s="184"/>
      <c r="G1615" s="184"/>
      <c r="H1615" s="184"/>
      <c r="I1615" s="184"/>
      <c r="J1615" s="184"/>
      <c r="K1615" s="184"/>
      <c r="L1615" s="184"/>
      <c r="M1615" s="184"/>
      <c r="N1615" s="184"/>
      <c r="O1615" s="184"/>
    </row>
    <row r="1616" customFormat="false" ht="15" hidden="false" customHeight="true" outlineLevel="0" collapsed="false">
      <c r="A1616" s="184"/>
      <c r="B1616" s="184"/>
      <c r="C1616" s="184"/>
      <c r="D1616" s="184"/>
      <c r="E1616" s="184"/>
      <c r="F1616" s="184"/>
      <c r="G1616" s="184"/>
      <c r="H1616" s="184"/>
      <c r="I1616" s="184"/>
      <c r="J1616" s="184"/>
      <c r="K1616" s="184"/>
      <c r="L1616" s="184"/>
      <c r="M1616" s="184"/>
      <c r="N1616" s="184"/>
      <c r="O1616" s="184"/>
    </row>
    <row r="1617" customFormat="false" ht="15" hidden="false" customHeight="true" outlineLevel="0" collapsed="false">
      <c r="A1617" s="184"/>
      <c r="B1617" s="184"/>
      <c r="C1617" s="184"/>
      <c r="D1617" s="184"/>
      <c r="E1617" s="184"/>
      <c r="F1617" s="184"/>
      <c r="G1617" s="184"/>
      <c r="H1617" s="184"/>
      <c r="I1617" s="184"/>
      <c r="J1617" s="184"/>
      <c r="K1617" s="184"/>
      <c r="L1617" s="184"/>
      <c r="M1617" s="184"/>
      <c r="N1617" s="184"/>
      <c r="O1617" s="184"/>
    </row>
    <row r="1618" customFormat="false" ht="15" hidden="false" customHeight="true" outlineLevel="0" collapsed="false">
      <c r="A1618" s="184"/>
      <c r="B1618" s="184"/>
      <c r="C1618" s="184"/>
      <c r="D1618" s="184"/>
      <c r="E1618" s="184"/>
      <c r="F1618" s="184"/>
      <c r="G1618" s="184"/>
      <c r="H1618" s="184"/>
      <c r="I1618" s="184"/>
      <c r="J1618" s="184"/>
      <c r="K1618" s="184"/>
      <c r="L1618" s="184"/>
      <c r="M1618" s="184"/>
      <c r="N1618" s="184"/>
      <c r="O1618" s="184"/>
    </row>
    <row r="1619" customFormat="false" ht="15" hidden="false" customHeight="true" outlineLevel="0" collapsed="false">
      <c r="A1619" s="184"/>
      <c r="B1619" s="184"/>
      <c r="C1619" s="184"/>
      <c r="D1619" s="184"/>
      <c r="E1619" s="184"/>
      <c r="F1619" s="184"/>
      <c r="G1619" s="184"/>
      <c r="H1619" s="184"/>
      <c r="I1619" s="184"/>
      <c r="J1619" s="184"/>
      <c r="K1619" s="184"/>
      <c r="L1619" s="184"/>
      <c r="M1619" s="184"/>
      <c r="N1619" s="184"/>
      <c r="O1619" s="184"/>
    </row>
    <row r="1620" customFormat="false" ht="15" hidden="false" customHeight="true" outlineLevel="0" collapsed="false">
      <c r="A1620" s="184"/>
      <c r="B1620" s="184"/>
      <c r="C1620" s="184"/>
      <c r="D1620" s="184"/>
      <c r="E1620" s="184"/>
      <c r="F1620" s="184"/>
      <c r="G1620" s="184"/>
      <c r="H1620" s="184"/>
      <c r="I1620" s="184"/>
      <c r="J1620" s="184"/>
      <c r="K1620" s="184"/>
      <c r="L1620" s="184"/>
      <c r="M1620" s="184"/>
      <c r="N1620" s="184"/>
      <c r="O1620" s="184"/>
    </row>
    <row r="1621" customFormat="false" ht="15" hidden="false" customHeight="true" outlineLevel="0" collapsed="false">
      <c r="A1621" s="184"/>
      <c r="B1621" s="184"/>
      <c r="C1621" s="184"/>
      <c r="D1621" s="184"/>
      <c r="E1621" s="184"/>
      <c r="F1621" s="184"/>
      <c r="G1621" s="184"/>
      <c r="H1621" s="184"/>
      <c r="I1621" s="184"/>
      <c r="J1621" s="184"/>
      <c r="K1621" s="184"/>
      <c r="L1621" s="184"/>
      <c r="M1621" s="184"/>
      <c r="N1621" s="184"/>
      <c r="O1621" s="184"/>
    </row>
    <row r="1622" customFormat="false" ht="15" hidden="false" customHeight="true" outlineLevel="0" collapsed="false">
      <c r="A1622" s="184"/>
      <c r="B1622" s="184"/>
      <c r="C1622" s="184"/>
      <c r="D1622" s="184"/>
      <c r="E1622" s="184"/>
      <c r="F1622" s="184"/>
      <c r="G1622" s="184"/>
      <c r="H1622" s="184"/>
      <c r="I1622" s="184"/>
      <c r="J1622" s="184"/>
      <c r="K1622" s="184"/>
      <c r="L1622" s="184"/>
      <c r="M1622" s="184"/>
      <c r="N1622" s="184"/>
      <c r="O1622" s="184"/>
    </row>
    <row r="1623" customFormat="false" ht="15" hidden="false" customHeight="true" outlineLevel="0" collapsed="false">
      <c r="A1623" s="184"/>
      <c r="B1623" s="184"/>
      <c r="C1623" s="184"/>
      <c r="D1623" s="184"/>
      <c r="E1623" s="184"/>
      <c r="F1623" s="184"/>
      <c r="G1623" s="184"/>
      <c r="H1623" s="184"/>
      <c r="I1623" s="184"/>
      <c r="J1623" s="184"/>
      <c r="K1623" s="184"/>
      <c r="L1623" s="184"/>
      <c r="M1623" s="184"/>
      <c r="N1623" s="184"/>
      <c r="O1623" s="184"/>
    </row>
    <row r="1624" customFormat="false" ht="15" hidden="false" customHeight="true" outlineLevel="0" collapsed="false">
      <c r="A1624" s="184"/>
      <c r="B1624" s="184"/>
      <c r="C1624" s="184"/>
      <c r="D1624" s="184"/>
      <c r="E1624" s="184"/>
      <c r="F1624" s="184"/>
      <c r="G1624" s="184"/>
      <c r="H1624" s="184"/>
      <c r="I1624" s="184"/>
      <c r="J1624" s="184"/>
      <c r="K1624" s="184"/>
      <c r="L1624" s="184"/>
      <c r="M1624" s="184"/>
      <c r="N1624" s="184"/>
      <c r="O1624" s="184"/>
    </row>
    <row r="1625" customFormat="false" ht="15" hidden="false" customHeight="true" outlineLevel="0" collapsed="false">
      <c r="A1625" s="184"/>
      <c r="B1625" s="184"/>
      <c r="C1625" s="184"/>
      <c r="D1625" s="184"/>
      <c r="E1625" s="184"/>
      <c r="F1625" s="184"/>
      <c r="G1625" s="184"/>
      <c r="H1625" s="184"/>
      <c r="I1625" s="184"/>
      <c r="J1625" s="184"/>
      <c r="K1625" s="184"/>
      <c r="L1625" s="184"/>
      <c r="M1625" s="184"/>
      <c r="N1625" s="184"/>
      <c r="O1625" s="184"/>
    </row>
    <row r="1626" customFormat="false" ht="15" hidden="false" customHeight="true" outlineLevel="0" collapsed="false">
      <c r="A1626" s="184"/>
      <c r="B1626" s="184"/>
      <c r="C1626" s="184"/>
      <c r="D1626" s="184"/>
      <c r="E1626" s="184"/>
      <c r="F1626" s="184"/>
      <c r="G1626" s="184"/>
      <c r="H1626" s="184"/>
      <c r="I1626" s="184"/>
      <c r="J1626" s="184"/>
      <c r="K1626" s="184"/>
      <c r="L1626" s="184"/>
      <c r="M1626" s="184"/>
      <c r="N1626" s="184"/>
      <c r="O1626" s="184"/>
    </row>
    <row r="1627" customFormat="false" ht="15" hidden="false" customHeight="true" outlineLevel="0" collapsed="false">
      <c r="A1627" s="184"/>
      <c r="B1627" s="184"/>
      <c r="C1627" s="184"/>
      <c r="D1627" s="184"/>
      <c r="E1627" s="184"/>
      <c r="F1627" s="184"/>
      <c r="G1627" s="184"/>
      <c r="H1627" s="184"/>
      <c r="I1627" s="184"/>
      <c r="J1627" s="184"/>
      <c r="K1627" s="184"/>
      <c r="L1627" s="184"/>
      <c r="M1627" s="184"/>
      <c r="N1627" s="184"/>
      <c r="O1627" s="184"/>
    </row>
    <row r="1628" customFormat="false" ht="15" hidden="false" customHeight="true" outlineLevel="0" collapsed="false">
      <c r="A1628" s="184"/>
      <c r="B1628" s="184"/>
      <c r="C1628" s="184"/>
      <c r="D1628" s="184"/>
      <c r="E1628" s="184"/>
      <c r="F1628" s="184"/>
      <c r="G1628" s="184"/>
      <c r="H1628" s="184"/>
      <c r="I1628" s="184"/>
      <c r="J1628" s="184"/>
      <c r="K1628" s="184"/>
      <c r="L1628" s="184"/>
      <c r="M1628" s="184"/>
      <c r="N1628" s="184"/>
      <c r="O1628" s="184"/>
    </row>
    <row r="1629" customFormat="false" ht="15" hidden="false" customHeight="true" outlineLevel="0" collapsed="false">
      <c r="A1629" s="184"/>
      <c r="B1629" s="184"/>
      <c r="C1629" s="184"/>
      <c r="D1629" s="184"/>
      <c r="E1629" s="184"/>
      <c r="F1629" s="184"/>
      <c r="G1629" s="184"/>
      <c r="H1629" s="184"/>
      <c r="I1629" s="184"/>
      <c r="J1629" s="184"/>
      <c r="K1629" s="184"/>
      <c r="L1629" s="184"/>
      <c r="M1629" s="184"/>
      <c r="N1629" s="184"/>
      <c r="O1629" s="184"/>
    </row>
    <row r="1630" customFormat="false" ht="15" hidden="false" customHeight="true" outlineLevel="0" collapsed="false">
      <c r="A1630" s="184"/>
      <c r="B1630" s="184"/>
      <c r="C1630" s="184"/>
      <c r="D1630" s="184"/>
      <c r="E1630" s="184"/>
      <c r="F1630" s="184"/>
      <c r="G1630" s="184"/>
      <c r="H1630" s="184"/>
      <c r="I1630" s="184"/>
      <c r="J1630" s="184"/>
      <c r="K1630" s="184"/>
      <c r="L1630" s="184"/>
      <c r="M1630" s="184"/>
      <c r="N1630" s="184"/>
      <c r="O1630" s="184"/>
    </row>
    <row r="1631" customFormat="false" ht="15" hidden="false" customHeight="true" outlineLevel="0" collapsed="false">
      <c r="A1631" s="184"/>
      <c r="B1631" s="184"/>
      <c r="C1631" s="184"/>
      <c r="D1631" s="184"/>
      <c r="E1631" s="184"/>
      <c r="F1631" s="184"/>
      <c r="G1631" s="184"/>
      <c r="H1631" s="184"/>
      <c r="I1631" s="184"/>
      <c r="J1631" s="184"/>
      <c r="K1631" s="184"/>
      <c r="L1631" s="184"/>
      <c r="M1631" s="184"/>
      <c r="N1631" s="184"/>
      <c r="O1631" s="184"/>
    </row>
    <row r="1632" customFormat="false" ht="15" hidden="false" customHeight="true" outlineLevel="0" collapsed="false">
      <c r="A1632" s="184"/>
      <c r="B1632" s="184"/>
      <c r="C1632" s="184"/>
      <c r="D1632" s="184"/>
      <c r="E1632" s="184"/>
      <c r="F1632" s="184"/>
      <c r="G1632" s="184"/>
      <c r="H1632" s="184"/>
      <c r="I1632" s="184"/>
      <c r="J1632" s="184"/>
      <c r="K1632" s="184"/>
      <c r="L1632" s="184"/>
      <c r="M1632" s="184"/>
      <c r="N1632" s="184"/>
      <c r="O1632" s="184"/>
    </row>
    <row r="1633" customFormat="false" ht="15" hidden="false" customHeight="true" outlineLevel="0" collapsed="false">
      <c r="A1633" s="184"/>
      <c r="B1633" s="184"/>
      <c r="C1633" s="184"/>
      <c r="D1633" s="184"/>
      <c r="E1633" s="184"/>
      <c r="F1633" s="184"/>
      <c r="G1633" s="184"/>
      <c r="H1633" s="184"/>
      <c r="I1633" s="184"/>
      <c r="J1633" s="184"/>
      <c r="K1633" s="184"/>
      <c r="L1633" s="184"/>
      <c r="M1633" s="184"/>
      <c r="N1633" s="184"/>
      <c r="O1633" s="184"/>
    </row>
    <row r="1634" customFormat="false" ht="15" hidden="false" customHeight="true" outlineLevel="0" collapsed="false">
      <c r="A1634" s="184"/>
      <c r="B1634" s="184"/>
      <c r="C1634" s="184"/>
      <c r="D1634" s="184"/>
      <c r="E1634" s="184"/>
      <c r="F1634" s="184"/>
      <c r="G1634" s="184"/>
      <c r="H1634" s="184"/>
      <c r="I1634" s="184"/>
      <c r="J1634" s="184"/>
      <c r="K1634" s="184"/>
      <c r="L1634" s="184"/>
      <c r="M1634" s="184"/>
      <c r="N1634" s="184"/>
      <c r="O1634" s="184"/>
    </row>
    <row r="1635" customFormat="false" ht="15" hidden="false" customHeight="true" outlineLevel="0" collapsed="false">
      <c r="A1635" s="184"/>
      <c r="B1635" s="184"/>
      <c r="C1635" s="184"/>
      <c r="D1635" s="184"/>
      <c r="E1635" s="184"/>
      <c r="F1635" s="184"/>
      <c r="G1635" s="184"/>
      <c r="H1635" s="184"/>
      <c r="I1635" s="184"/>
      <c r="J1635" s="184"/>
      <c r="K1635" s="184"/>
      <c r="L1635" s="184"/>
      <c r="M1635" s="184"/>
      <c r="N1635" s="184"/>
      <c r="O1635" s="184"/>
    </row>
    <row r="1636" customFormat="false" ht="15" hidden="false" customHeight="true" outlineLevel="0" collapsed="false">
      <c r="A1636" s="184"/>
      <c r="B1636" s="184"/>
      <c r="C1636" s="184"/>
      <c r="D1636" s="184"/>
      <c r="E1636" s="184"/>
      <c r="F1636" s="184"/>
      <c r="G1636" s="184"/>
      <c r="H1636" s="184"/>
      <c r="I1636" s="184"/>
      <c r="J1636" s="184"/>
      <c r="K1636" s="184"/>
      <c r="L1636" s="184"/>
      <c r="M1636" s="184"/>
      <c r="N1636" s="184"/>
      <c r="O1636" s="184"/>
    </row>
    <row r="1637" customFormat="false" ht="15" hidden="false" customHeight="true" outlineLevel="0" collapsed="false">
      <c r="A1637" s="184"/>
      <c r="B1637" s="184"/>
      <c r="C1637" s="184"/>
      <c r="D1637" s="184"/>
      <c r="E1637" s="184"/>
      <c r="F1637" s="184"/>
      <c r="G1637" s="184"/>
      <c r="H1637" s="184"/>
      <c r="I1637" s="184"/>
      <c r="J1637" s="184"/>
      <c r="K1637" s="184"/>
      <c r="L1637" s="184"/>
      <c r="M1637" s="184"/>
      <c r="N1637" s="184"/>
      <c r="O1637" s="184"/>
    </row>
    <row r="1638" customFormat="false" ht="15" hidden="false" customHeight="true" outlineLevel="0" collapsed="false">
      <c r="A1638" s="184"/>
      <c r="B1638" s="184"/>
      <c r="C1638" s="184"/>
      <c r="D1638" s="184"/>
      <c r="E1638" s="184"/>
      <c r="F1638" s="184"/>
      <c r="G1638" s="184"/>
      <c r="H1638" s="184"/>
      <c r="I1638" s="184"/>
      <c r="J1638" s="184"/>
      <c r="K1638" s="184"/>
      <c r="L1638" s="184"/>
      <c r="M1638" s="184"/>
      <c r="N1638" s="184"/>
      <c r="O1638" s="184"/>
    </row>
    <row r="1639" customFormat="false" ht="15" hidden="false" customHeight="true" outlineLevel="0" collapsed="false">
      <c r="A1639" s="184"/>
      <c r="B1639" s="184"/>
      <c r="C1639" s="184"/>
      <c r="D1639" s="184"/>
      <c r="E1639" s="184"/>
      <c r="F1639" s="184"/>
      <c r="G1639" s="184"/>
      <c r="H1639" s="184"/>
      <c r="I1639" s="184"/>
      <c r="J1639" s="184"/>
      <c r="K1639" s="184"/>
      <c r="L1639" s="184"/>
      <c r="M1639" s="184"/>
      <c r="N1639" s="184"/>
      <c r="O1639" s="184"/>
    </row>
    <row r="1640" customFormat="false" ht="15" hidden="false" customHeight="true" outlineLevel="0" collapsed="false">
      <c r="A1640" s="184"/>
      <c r="B1640" s="184"/>
      <c r="C1640" s="184"/>
      <c r="D1640" s="184"/>
      <c r="E1640" s="184"/>
      <c r="F1640" s="184"/>
      <c r="G1640" s="184"/>
      <c r="H1640" s="184"/>
      <c r="I1640" s="184"/>
      <c r="J1640" s="184"/>
      <c r="K1640" s="184"/>
      <c r="L1640" s="184"/>
      <c r="M1640" s="184"/>
      <c r="N1640" s="184"/>
      <c r="O1640" s="184"/>
    </row>
    <row r="1641" customFormat="false" ht="15" hidden="false" customHeight="true" outlineLevel="0" collapsed="false">
      <c r="A1641" s="184"/>
      <c r="B1641" s="184"/>
      <c r="C1641" s="184"/>
      <c r="D1641" s="184"/>
      <c r="E1641" s="184"/>
      <c r="F1641" s="184"/>
      <c r="G1641" s="184"/>
      <c r="H1641" s="184"/>
      <c r="I1641" s="184"/>
      <c r="J1641" s="184"/>
      <c r="K1641" s="184"/>
      <c r="L1641" s="184"/>
      <c r="M1641" s="184"/>
      <c r="N1641" s="184"/>
      <c r="O1641" s="184"/>
    </row>
    <row r="1642" customFormat="false" ht="15" hidden="false" customHeight="true" outlineLevel="0" collapsed="false">
      <c r="A1642" s="184"/>
      <c r="B1642" s="184"/>
      <c r="C1642" s="184"/>
      <c r="D1642" s="184"/>
      <c r="E1642" s="184"/>
      <c r="F1642" s="184"/>
      <c r="G1642" s="184"/>
      <c r="H1642" s="184"/>
      <c r="I1642" s="184"/>
      <c r="J1642" s="184"/>
      <c r="K1642" s="184"/>
      <c r="L1642" s="184"/>
      <c r="M1642" s="184"/>
      <c r="N1642" s="184"/>
      <c r="O1642" s="184"/>
    </row>
    <row r="1643" customFormat="false" ht="15" hidden="false" customHeight="true" outlineLevel="0" collapsed="false">
      <c r="A1643" s="184"/>
      <c r="B1643" s="184"/>
      <c r="C1643" s="184"/>
      <c r="D1643" s="184"/>
      <c r="E1643" s="184"/>
      <c r="F1643" s="184"/>
      <c r="G1643" s="184"/>
      <c r="H1643" s="184"/>
      <c r="I1643" s="184"/>
      <c r="J1643" s="184"/>
      <c r="K1643" s="184"/>
      <c r="L1643" s="184"/>
      <c r="M1643" s="184"/>
      <c r="N1643" s="184"/>
      <c r="O1643" s="184"/>
    </row>
    <row r="1644" customFormat="false" ht="15" hidden="false" customHeight="true" outlineLevel="0" collapsed="false">
      <c r="A1644" s="184"/>
      <c r="B1644" s="184"/>
      <c r="C1644" s="184"/>
      <c r="D1644" s="184"/>
      <c r="E1644" s="184"/>
      <c r="F1644" s="184"/>
      <c r="G1644" s="184"/>
      <c r="H1644" s="184"/>
      <c r="I1644" s="184"/>
      <c r="J1644" s="184"/>
      <c r="K1644" s="184"/>
      <c r="L1644" s="184"/>
      <c r="M1644" s="184"/>
      <c r="N1644" s="184"/>
      <c r="O1644" s="184"/>
    </row>
    <row r="1645" customFormat="false" ht="15" hidden="false" customHeight="true" outlineLevel="0" collapsed="false">
      <c r="A1645" s="184"/>
      <c r="B1645" s="184"/>
      <c r="C1645" s="184"/>
      <c r="D1645" s="184"/>
      <c r="E1645" s="184"/>
      <c r="F1645" s="184"/>
      <c r="G1645" s="184"/>
      <c r="H1645" s="184"/>
      <c r="I1645" s="184"/>
      <c r="J1645" s="184"/>
      <c r="K1645" s="184"/>
      <c r="L1645" s="184"/>
      <c r="M1645" s="184"/>
      <c r="N1645" s="184"/>
      <c r="O1645" s="184"/>
    </row>
    <row r="1646" customFormat="false" ht="15" hidden="false" customHeight="true" outlineLevel="0" collapsed="false">
      <c r="A1646" s="184"/>
      <c r="B1646" s="184"/>
      <c r="C1646" s="184"/>
      <c r="D1646" s="184"/>
      <c r="E1646" s="184"/>
      <c r="F1646" s="184"/>
      <c r="G1646" s="184"/>
      <c r="H1646" s="184"/>
      <c r="I1646" s="184"/>
      <c r="J1646" s="184"/>
      <c r="K1646" s="184"/>
      <c r="L1646" s="184"/>
      <c r="M1646" s="184"/>
      <c r="N1646" s="184"/>
      <c r="O1646" s="184"/>
    </row>
    <row r="1647" customFormat="false" ht="15" hidden="false" customHeight="true" outlineLevel="0" collapsed="false">
      <c r="A1647" s="184"/>
      <c r="B1647" s="184"/>
      <c r="C1647" s="184"/>
      <c r="D1647" s="184"/>
      <c r="E1647" s="184"/>
      <c r="F1647" s="184"/>
      <c r="G1647" s="184"/>
      <c r="H1647" s="184"/>
      <c r="I1647" s="184"/>
      <c r="J1647" s="184"/>
      <c r="K1647" s="184"/>
      <c r="L1647" s="184"/>
      <c r="M1647" s="184"/>
      <c r="N1647" s="184"/>
      <c r="O1647" s="184"/>
    </row>
    <row r="1648" customFormat="false" ht="15" hidden="false" customHeight="true" outlineLevel="0" collapsed="false">
      <c r="A1648" s="184"/>
      <c r="B1648" s="184"/>
      <c r="C1648" s="184"/>
      <c r="D1648" s="184"/>
      <c r="E1648" s="184"/>
      <c r="F1648" s="184"/>
      <c r="G1648" s="184"/>
      <c r="H1648" s="184"/>
      <c r="I1648" s="184"/>
      <c r="J1648" s="184"/>
      <c r="K1648" s="184"/>
      <c r="L1648" s="184"/>
      <c r="M1648" s="184"/>
      <c r="N1648" s="184"/>
      <c r="O1648" s="184"/>
    </row>
    <row r="1649" customFormat="false" ht="15" hidden="false" customHeight="true" outlineLevel="0" collapsed="false">
      <c r="A1649" s="184"/>
      <c r="B1649" s="184"/>
      <c r="C1649" s="184"/>
      <c r="D1649" s="184"/>
      <c r="E1649" s="184"/>
      <c r="F1649" s="184"/>
      <c r="G1649" s="184"/>
      <c r="H1649" s="184"/>
      <c r="I1649" s="184"/>
      <c r="J1649" s="184"/>
      <c r="K1649" s="184"/>
      <c r="L1649" s="184"/>
      <c r="M1649" s="184"/>
      <c r="N1649" s="184"/>
      <c r="O1649" s="184"/>
    </row>
    <row r="1650" customFormat="false" ht="15" hidden="false" customHeight="true" outlineLevel="0" collapsed="false">
      <c r="A1650" s="184"/>
      <c r="B1650" s="184"/>
      <c r="C1650" s="184"/>
      <c r="D1650" s="184"/>
      <c r="E1650" s="184"/>
      <c r="F1650" s="184"/>
      <c r="G1650" s="184"/>
      <c r="H1650" s="184"/>
      <c r="I1650" s="184"/>
      <c r="J1650" s="184"/>
      <c r="K1650" s="184"/>
      <c r="L1650" s="184"/>
      <c r="M1650" s="184"/>
      <c r="N1650" s="184"/>
      <c r="O1650" s="184"/>
    </row>
    <row r="1651" customFormat="false" ht="15" hidden="false" customHeight="true" outlineLevel="0" collapsed="false">
      <c r="A1651" s="184"/>
      <c r="B1651" s="184"/>
      <c r="C1651" s="184"/>
      <c r="D1651" s="184"/>
      <c r="E1651" s="184"/>
      <c r="F1651" s="184"/>
      <c r="G1651" s="184"/>
      <c r="H1651" s="184"/>
      <c r="I1651" s="184"/>
      <c r="J1651" s="184"/>
      <c r="K1651" s="184"/>
      <c r="L1651" s="184"/>
      <c r="M1651" s="184"/>
      <c r="N1651" s="184"/>
      <c r="O1651" s="184"/>
    </row>
    <row r="1652" customFormat="false" ht="15" hidden="false" customHeight="true" outlineLevel="0" collapsed="false">
      <c r="A1652" s="184"/>
      <c r="B1652" s="184"/>
      <c r="C1652" s="184"/>
      <c r="D1652" s="184"/>
      <c r="E1652" s="184"/>
      <c r="F1652" s="184"/>
      <c r="G1652" s="184"/>
      <c r="H1652" s="184"/>
      <c r="I1652" s="184"/>
      <c r="J1652" s="184"/>
      <c r="K1652" s="184"/>
      <c r="L1652" s="184"/>
      <c r="M1652" s="184"/>
      <c r="N1652" s="184"/>
      <c r="O1652" s="184"/>
    </row>
    <row r="1653" customFormat="false" ht="15" hidden="false" customHeight="true" outlineLevel="0" collapsed="false">
      <c r="A1653" s="184"/>
      <c r="B1653" s="184"/>
      <c r="C1653" s="184"/>
      <c r="D1653" s="184"/>
      <c r="E1653" s="184"/>
      <c r="F1653" s="184"/>
      <c r="G1653" s="184"/>
      <c r="H1653" s="184"/>
      <c r="I1653" s="184"/>
      <c r="J1653" s="184"/>
      <c r="K1653" s="184"/>
      <c r="L1653" s="184"/>
      <c r="M1653" s="184"/>
      <c r="N1653" s="184"/>
      <c r="O1653" s="184"/>
    </row>
    <row r="1654" customFormat="false" ht="15" hidden="false" customHeight="true" outlineLevel="0" collapsed="false">
      <c r="A1654" s="184"/>
      <c r="B1654" s="184"/>
      <c r="C1654" s="184"/>
      <c r="D1654" s="184"/>
      <c r="E1654" s="184"/>
      <c r="F1654" s="184"/>
      <c r="G1654" s="184"/>
      <c r="H1654" s="184"/>
      <c r="I1654" s="184"/>
      <c r="J1654" s="184"/>
      <c r="K1654" s="184"/>
      <c r="L1654" s="184"/>
      <c r="M1654" s="184"/>
      <c r="N1654" s="184"/>
      <c r="O1654" s="184"/>
    </row>
    <row r="1655" customFormat="false" ht="15" hidden="false" customHeight="true" outlineLevel="0" collapsed="false">
      <c r="A1655" s="184"/>
      <c r="B1655" s="184"/>
      <c r="C1655" s="184"/>
      <c r="D1655" s="184"/>
      <c r="E1655" s="184"/>
      <c r="F1655" s="184"/>
      <c r="G1655" s="184"/>
      <c r="H1655" s="184"/>
      <c r="I1655" s="184"/>
      <c r="J1655" s="184"/>
      <c r="K1655" s="184"/>
      <c r="L1655" s="184"/>
      <c r="M1655" s="184"/>
      <c r="N1655" s="184"/>
      <c r="O1655" s="184"/>
    </row>
    <row r="1656" customFormat="false" ht="15" hidden="false" customHeight="true" outlineLevel="0" collapsed="false">
      <c r="A1656" s="184"/>
      <c r="B1656" s="184"/>
      <c r="C1656" s="184"/>
      <c r="D1656" s="184"/>
      <c r="E1656" s="184"/>
      <c r="F1656" s="184"/>
      <c r="G1656" s="184"/>
      <c r="H1656" s="184"/>
      <c r="I1656" s="184"/>
      <c r="J1656" s="184"/>
      <c r="K1656" s="184"/>
      <c r="L1656" s="184"/>
      <c r="M1656" s="184"/>
      <c r="N1656" s="184"/>
      <c r="O1656" s="184"/>
    </row>
    <row r="1657" customFormat="false" ht="15" hidden="false" customHeight="true" outlineLevel="0" collapsed="false">
      <c r="A1657" s="184"/>
      <c r="B1657" s="184"/>
      <c r="C1657" s="184"/>
      <c r="D1657" s="184"/>
      <c r="E1657" s="184"/>
      <c r="F1657" s="184"/>
      <c r="G1657" s="184"/>
      <c r="H1657" s="184"/>
      <c r="I1657" s="184"/>
      <c r="J1657" s="184"/>
      <c r="K1657" s="184"/>
      <c r="L1657" s="184"/>
      <c r="M1657" s="184"/>
      <c r="N1657" s="184"/>
      <c r="O1657" s="184"/>
    </row>
    <row r="1658" customFormat="false" ht="15" hidden="false" customHeight="true" outlineLevel="0" collapsed="false">
      <c r="A1658" s="184"/>
      <c r="B1658" s="184"/>
      <c r="C1658" s="184"/>
      <c r="D1658" s="184"/>
      <c r="E1658" s="184"/>
      <c r="F1658" s="184"/>
      <c r="G1658" s="184"/>
      <c r="H1658" s="184"/>
      <c r="I1658" s="184"/>
      <c r="J1658" s="184"/>
      <c r="K1658" s="184"/>
      <c r="L1658" s="184"/>
      <c r="M1658" s="184"/>
      <c r="N1658" s="184"/>
      <c r="O1658" s="184"/>
    </row>
    <row r="1659" customFormat="false" ht="15" hidden="false" customHeight="true" outlineLevel="0" collapsed="false">
      <c r="A1659" s="184"/>
      <c r="B1659" s="184"/>
      <c r="C1659" s="184"/>
      <c r="D1659" s="184"/>
      <c r="E1659" s="184"/>
      <c r="F1659" s="184"/>
      <c r="G1659" s="184"/>
      <c r="H1659" s="184"/>
      <c r="I1659" s="184"/>
      <c r="J1659" s="184"/>
      <c r="K1659" s="184"/>
      <c r="L1659" s="184"/>
      <c r="M1659" s="184"/>
      <c r="N1659" s="184"/>
      <c r="O1659" s="184"/>
    </row>
    <row r="1660" customFormat="false" ht="15" hidden="false" customHeight="true" outlineLevel="0" collapsed="false">
      <c r="A1660" s="184"/>
      <c r="B1660" s="184"/>
      <c r="C1660" s="184"/>
      <c r="D1660" s="184"/>
      <c r="E1660" s="184"/>
      <c r="F1660" s="184"/>
      <c r="G1660" s="184"/>
      <c r="H1660" s="184"/>
      <c r="I1660" s="184"/>
      <c r="J1660" s="184"/>
      <c r="K1660" s="184"/>
      <c r="L1660" s="184"/>
      <c r="M1660" s="184"/>
      <c r="N1660" s="184"/>
      <c r="O1660" s="184"/>
    </row>
    <row r="1661" customFormat="false" ht="15" hidden="false" customHeight="true" outlineLevel="0" collapsed="false">
      <c r="A1661" s="184"/>
      <c r="B1661" s="184"/>
      <c r="C1661" s="184"/>
      <c r="D1661" s="184"/>
      <c r="E1661" s="184"/>
      <c r="F1661" s="184"/>
      <c r="G1661" s="184"/>
      <c r="H1661" s="184"/>
      <c r="I1661" s="184"/>
      <c r="J1661" s="184"/>
      <c r="K1661" s="184"/>
      <c r="L1661" s="184"/>
      <c r="M1661" s="184"/>
      <c r="N1661" s="184"/>
      <c r="O1661" s="184"/>
    </row>
    <row r="1662" customFormat="false" ht="15" hidden="false" customHeight="true" outlineLevel="0" collapsed="false">
      <c r="A1662" s="184"/>
      <c r="B1662" s="184"/>
      <c r="C1662" s="184"/>
      <c r="D1662" s="184"/>
      <c r="E1662" s="184"/>
      <c r="F1662" s="184"/>
      <c r="G1662" s="184"/>
      <c r="H1662" s="184"/>
      <c r="I1662" s="184"/>
      <c r="J1662" s="184"/>
      <c r="K1662" s="184"/>
      <c r="L1662" s="184"/>
      <c r="M1662" s="184"/>
      <c r="N1662" s="184"/>
      <c r="O1662" s="184"/>
    </row>
    <row r="1663" customFormat="false" ht="15" hidden="false" customHeight="true" outlineLevel="0" collapsed="false">
      <c r="A1663" s="184"/>
      <c r="B1663" s="184"/>
      <c r="C1663" s="184"/>
      <c r="D1663" s="184"/>
      <c r="E1663" s="184"/>
      <c r="F1663" s="184"/>
      <c r="G1663" s="184"/>
      <c r="H1663" s="184"/>
      <c r="I1663" s="184"/>
      <c r="J1663" s="184"/>
      <c r="K1663" s="184"/>
      <c r="L1663" s="184"/>
      <c r="M1663" s="184"/>
      <c r="N1663" s="184"/>
      <c r="O1663" s="184"/>
    </row>
    <row r="1664" customFormat="false" ht="15" hidden="false" customHeight="true" outlineLevel="0" collapsed="false">
      <c r="A1664" s="184"/>
      <c r="B1664" s="184"/>
      <c r="C1664" s="184"/>
      <c r="D1664" s="184"/>
      <c r="E1664" s="184"/>
      <c r="F1664" s="184"/>
      <c r="G1664" s="184"/>
      <c r="H1664" s="184"/>
      <c r="I1664" s="184"/>
      <c r="J1664" s="184"/>
      <c r="K1664" s="184"/>
      <c r="L1664" s="184"/>
      <c r="M1664" s="184"/>
      <c r="N1664" s="184"/>
      <c r="O1664" s="184"/>
    </row>
    <row r="1665" customFormat="false" ht="15" hidden="false" customHeight="true" outlineLevel="0" collapsed="false">
      <c r="A1665" s="184"/>
      <c r="B1665" s="184"/>
      <c r="C1665" s="184"/>
      <c r="D1665" s="184"/>
      <c r="E1665" s="184"/>
      <c r="F1665" s="184"/>
      <c r="G1665" s="184"/>
      <c r="H1665" s="184"/>
      <c r="I1665" s="184"/>
      <c r="J1665" s="184"/>
      <c r="K1665" s="184"/>
      <c r="L1665" s="184"/>
      <c r="M1665" s="184"/>
      <c r="N1665" s="184"/>
      <c r="O1665" s="184"/>
    </row>
    <row r="1666" customFormat="false" ht="15" hidden="false" customHeight="true" outlineLevel="0" collapsed="false">
      <c r="A1666" s="184"/>
      <c r="B1666" s="184"/>
      <c r="C1666" s="184"/>
      <c r="D1666" s="184"/>
      <c r="E1666" s="184"/>
      <c r="F1666" s="184"/>
      <c r="G1666" s="184"/>
      <c r="H1666" s="184"/>
      <c r="I1666" s="184"/>
      <c r="J1666" s="184"/>
      <c r="K1666" s="184"/>
      <c r="L1666" s="184"/>
      <c r="M1666" s="184"/>
      <c r="N1666" s="184"/>
      <c r="O1666" s="184"/>
    </row>
    <row r="1667" customFormat="false" ht="15" hidden="false" customHeight="true" outlineLevel="0" collapsed="false">
      <c r="A1667" s="184"/>
      <c r="B1667" s="184"/>
      <c r="C1667" s="184"/>
      <c r="D1667" s="184"/>
      <c r="E1667" s="184"/>
      <c r="F1667" s="184"/>
      <c r="G1667" s="184"/>
      <c r="H1667" s="184"/>
      <c r="I1667" s="184"/>
      <c r="J1667" s="184"/>
      <c r="K1667" s="184"/>
      <c r="L1667" s="184"/>
      <c r="M1667" s="184"/>
      <c r="N1667" s="184"/>
      <c r="O1667" s="184"/>
    </row>
    <row r="1668" customFormat="false" ht="15" hidden="false" customHeight="true" outlineLevel="0" collapsed="false">
      <c r="A1668" s="184"/>
      <c r="B1668" s="184"/>
      <c r="C1668" s="184"/>
      <c r="D1668" s="184"/>
      <c r="E1668" s="184"/>
      <c r="F1668" s="184"/>
      <c r="G1668" s="184"/>
      <c r="H1668" s="184"/>
      <c r="I1668" s="184"/>
      <c r="J1668" s="184"/>
      <c r="K1668" s="184"/>
      <c r="L1668" s="184"/>
      <c r="M1668" s="184"/>
      <c r="N1668" s="184"/>
      <c r="O1668" s="184"/>
    </row>
    <row r="1669" customFormat="false" ht="15" hidden="false" customHeight="true" outlineLevel="0" collapsed="false">
      <c r="A1669" s="184"/>
      <c r="B1669" s="184"/>
      <c r="C1669" s="184"/>
      <c r="D1669" s="184"/>
      <c r="E1669" s="184"/>
      <c r="F1669" s="184"/>
      <c r="G1669" s="184"/>
      <c r="H1669" s="184"/>
      <c r="I1669" s="184"/>
      <c r="J1669" s="184"/>
      <c r="K1669" s="184"/>
      <c r="L1669" s="184"/>
      <c r="M1669" s="184"/>
      <c r="N1669" s="184"/>
      <c r="O1669" s="184"/>
    </row>
    <row r="1670" customFormat="false" ht="15" hidden="false" customHeight="true" outlineLevel="0" collapsed="false">
      <c r="A1670" s="184"/>
      <c r="B1670" s="184"/>
      <c r="C1670" s="184"/>
      <c r="D1670" s="184"/>
      <c r="E1670" s="184"/>
      <c r="F1670" s="184"/>
      <c r="G1670" s="184"/>
      <c r="H1670" s="184"/>
      <c r="I1670" s="184"/>
      <c r="J1670" s="184"/>
      <c r="K1670" s="184"/>
      <c r="L1670" s="184"/>
      <c r="M1670" s="184"/>
      <c r="N1670" s="184"/>
      <c r="O1670" s="184"/>
    </row>
    <row r="1671" customFormat="false" ht="15" hidden="false" customHeight="true" outlineLevel="0" collapsed="false">
      <c r="A1671" s="184"/>
      <c r="B1671" s="184"/>
      <c r="C1671" s="184"/>
      <c r="D1671" s="184"/>
      <c r="E1671" s="184"/>
      <c r="F1671" s="184"/>
      <c r="G1671" s="184"/>
      <c r="H1671" s="184"/>
      <c r="I1671" s="184"/>
      <c r="J1671" s="184"/>
      <c r="K1671" s="184"/>
      <c r="L1671" s="184"/>
      <c r="M1671" s="184"/>
      <c r="N1671" s="184"/>
      <c r="O1671" s="184"/>
    </row>
    <row r="1672" customFormat="false" ht="15" hidden="false" customHeight="true" outlineLevel="0" collapsed="false">
      <c r="A1672" s="184"/>
      <c r="B1672" s="184"/>
      <c r="C1672" s="184"/>
      <c r="D1672" s="184"/>
      <c r="E1672" s="184"/>
      <c r="F1672" s="184"/>
      <c r="G1672" s="184"/>
      <c r="H1672" s="184"/>
      <c r="I1672" s="184"/>
      <c r="J1672" s="184"/>
      <c r="K1672" s="184"/>
      <c r="L1672" s="184"/>
      <c r="M1672" s="184"/>
      <c r="N1672" s="184"/>
      <c r="O1672" s="184"/>
    </row>
    <row r="1673" customFormat="false" ht="15" hidden="false" customHeight="true" outlineLevel="0" collapsed="false">
      <c r="A1673" s="184"/>
      <c r="B1673" s="184"/>
      <c r="C1673" s="184"/>
      <c r="D1673" s="184"/>
      <c r="E1673" s="184"/>
      <c r="F1673" s="184"/>
      <c r="G1673" s="184"/>
      <c r="H1673" s="184"/>
      <c r="I1673" s="184"/>
      <c r="J1673" s="184"/>
      <c r="K1673" s="184"/>
      <c r="L1673" s="184"/>
      <c r="M1673" s="184"/>
      <c r="N1673" s="184"/>
      <c r="O1673" s="184"/>
    </row>
    <row r="1674" customFormat="false" ht="15" hidden="false" customHeight="true" outlineLevel="0" collapsed="false">
      <c r="A1674" s="184"/>
      <c r="B1674" s="184"/>
      <c r="C1674" s="184"/>
      <c r="D1674" s="184"/>
      <c r="E1674" s="184"/>
      <c r="F1674" s="184"/>
      <c r="G1674" s="184"/>
      <c r="H1674" s="184"/>
      <c r="I1674" s="184"/>
      <c r="J1674" s="184"/>
      <c r="K1674" s="184"/>
      <c r="L1674" s="184"/>
      <c r="M1674" s="184"/>
      <c r="N1674" s="184"/>
      <c r="O1674" s="184"/>
    </row>
    <row r="1675" customFormat="false" ht="15" hidden="false" customHeight="true" outlineLevel="0" collapsed="false">
      <c r="A1675" s="184"/>
      <c r="B1675" s="184"/>
      <c r="C1675" s="184"/>
      <c r="D1675" s="184"/>
      <c r="E1675" s="184"/>
      <c r="F1675" s="184"/>
      <c r="G1675" s="184"/>
      <c r="H1675" s="184"/>
      <c r="I1675" s="184"/>
      <c r="J1675" s="184"/>
      <c r="K1675" s="184"/>
      <c r="L1675" s="184"/>
      <c r="M1675" s="184"/>
      <c r="N1675" s="184"/>
      <c r="O1675" s="184"/>
    </row>
    <row r="1676" customFormat="false" ht="27.75" hidden="false" customHeight="true" outlineLevel="0" collapsed="false">
      <c r="A1676" s="184" t="s">
        <v>6658</v>
      </c>
      <c r="B1676" s="184" t="s">
        <v>4919</v>
      </c>
      <c r="C1676" s="184" t="n">
        <v>1</v>
      </c>
      <c r="D1676" s="178" t="s">
        <v>5269</v>
      </c>
      <c r="E1676" s="184" t="s">
        <v>6289</v>
      </c>
      <c r="F1676" s="184"/>
      <c r="G1676" s="184"/>
      <c r="H1676" s="184"/>
      <c r="I1676" s="184"/>
      <c r="J1676" s="184"/>
      <c r="K1676" s="184"/>
      <c r="L1676" s="184"/>
      <c r="M1676" s="184" t="s">
        <v>6659</v>
      </c>
      <c r="N1676" s="184"/>
      <c r="O1676" s="184"/>
    </row>
    <row r="1677" customFormat="false" ht="27.75" hidden="false" customHeight="true" outlineLevel="0" collapsed="false">
      <c r="A1677" s="184" t="s">
        <v>6658</v>
      </c>
      <c r="B1677" s="184" t="s">
        <v>4919</v>
      </c>
      <c r="C1677" s="184" t="n">
        <v>2</v>
      </c>
      <c r="D1677" s="177" t="s">
        <v>6429</v>
      </c>
      <c r="E1677" s="184" t="s">
        <v>6829</v>
      </c>
      <c r="F1677" s="184"/>
      <c r="G1677" s="184"/>
      <c r="H1677" s="184"/>
      <c r="I1677" s="184"/>
      <c r="J1677" s="184"/>
      <c r="K1677" s="184"/>
      <c r="L1677" s="184"/>
      <c r="M1677" s="184"/>
      <c r="N1677" s="184"/>
      <c r="O1677" s="184"/>
    </row>
    <row r="1678" customFormat="false" ht="27.75" hidden="false" customHeight="true" outlineLevel="0" collapsed="false">
      <c r="A1678" s="184" t="s">
        <v>6658</v>
      </c>
      <c r="B1678" s="184" t="s">
        <v>4919</v>
      </c>
      <c r="C1678" s="184" t="n">
        <v>3</v>
      </c>
      <c r="D1678" s="179" t="s">
        <v>6292</v>
      </c>
      <c r="E1678" s="184" t="s">
        <v>6830</v>
      </c>
      <c r="F1678" s="184"/>
      <c r="G1678" s="184"/>
      <c r="H1678" s="184"/>
      <c r="I1678" s="184"/>
      <c r="J1678" s="184"/>
      <c r="K1678" s="184"/>
      <c r="L1678" s="184"/>
      <c r="M1678" s="184"/>
      <c r="N1678" s="184"/>
      <c r="O1678" s="184"/>
    </row>
    <row r="1679" customFormat="false" ht="27.75" hidden="false" customHeight="true" outlineLevel="0" collapsed="false">
      <c r="A1679" s="184" t="s">
        <v>6658</v>
      </c>
      <c r="B1679" s="184" t="s">
        <v>4919</v>
      </c>
      <c r="C1679" s="184" t="n">
        <v>4</v>
      </c>
      <c r="D1679" s="184" t="s">
        <v>6294</v>
      </c>
      <c r="E1679" s="184" t="s">
        <v>6679</v>
      </c>
      <c r="F1679" s="184"/>
      <c r="G1679" s="184"/>
      <c r="H1679" s="184"/>
      <c r="I1679" s="184"/>
      <c r="J1679" s="184"/>
      <c r="K1679" s="184"/>
      <c r="L1679" s="184"/>
      <c r="M1679" s="184"/>
      <c r="N1679" s="184"/>
      <c r="O1679" s="184"/>
    </row>
    <row r="1680" customFormat="false" ht="27.75" hidden="false" customHeight="true" outlineLevel="0" collapsed="false">
      <c r="A1680" s="184" t="s">
        <v>6658</v>
      </c>
      <c r="B1680" s="184" t="s">
        <v>4919</v>
      </c>
      <c r="C1680" s="184" t="n">
        <v>5</v>
      </c>
      <c r="D1680" s="174" t="s">
        <v>4848</v>
      </c>
      <c r="E1680" s="184" t="s">
        <v>6680</v>
      </c>
      <c r="F1680" s="184"/>
      <c r="G1680" s="184"/>
      <c r="H1680" s="184"/>
      <c r="I1680" s="184"/>
      <c r="J1680" s="184" t="s">
        <v>6681</v>
      </c>
      <c r="K1680" s="184"/>
      <c r="L1680" s="184" t="s">
        <v>6682</v>
      </c>
      <c r="M1680" s="184"/>
      <c r="N1680" s="184"/>
      <c r="O1680" s="184"/>
    </row>
    <row r="1681" customFormat="false" ht="41.25" hidden="false" customHeight="true" outlineLevel="0" collapsed="false">
      <c r="A1681" s="184" t="s">
        <v>6658</v>
      </c>
      <c r="B1681" s="184" t="s">
        <v>4919</v>
      </c>
      <c r="C1681" s="184" t="n">
        <v>6</v>
      </c>
      <c r="D1681" s="177" t="s">
        <v>6298</v>
      </c>
      <c r="E1681" s="184" t="s">
        <v>6683</v>
      </c>
      <c r="F1681" s="184"/>
      <c r="G1681" s="184"/>
      <c r="H1681" s="184"/>
      <c r="I1681" s="184"/>
      <c r="J1681" s="184"/>
      <c r="K1681" s="184"/>
      <c r="L1681" s="184"/>
      <c r="M1681" s="184"/>
      <c r="N1681" s="184"/>
      <c r="O1681" s="184"/>
    </row>
    <row r="1682" customFormat="false" ht="27.75" hidden="false" customHeight="true" outlineLevel="0" collapsed="false">
      <c r="A1682" s="184" t="s">
        <v>6658</v>
      </c>
      <c r="B1682" s="184" t="s">
        <v>4919</v>
      </c>
      <c r="C1682" s="184" t="n">
        <v>7</v>
      </c>
      <c r="D1682" s="184" t="s">
        <v>6296</v>
      </c>
      <c r="E1682" s="184" t="s">
        <v>6831</v>
      </c>
      <c r="F1682" s="184"/>
      <c r="G1682" s="184"/>
      <c r="H1682" s="184"/>
      <c r="I1682" s="184"/>
      <c r="J1682" s="184"/>
      <c r="K1682" s="184"/>
      <c r="L1682" s="184"/>
      <c r="M1682" s="184"/>
      <c r="N1682" s="184"/>
      <c r="O1682" s="184"/>
    </row>
    <row r="1683" customFormat="false" ht="41.25" hidden="false" customHeight="true" outlineLevel="0" collapsed="false">
      <c r="A1683" s="184" t="s">
        <v>6658</v>
      </c>
      <c r="B1683" s="184" t="s">
        <v>4919</v>
      </c>
      <c r="C1683" s="184" t="n">
        <v>8</v>
      </c>
      <c r="D1683" s="177" t="s">
        <v>6298</v>
      </c>
      <c r="E1683" s="184" t="s">
        <v>6685</v>
      </c>
      <c r="F1683" s="184"/>
      <c r="G1683" s="184"/>
      <c r="H1683" s="184"/>
      <c r="I1683" s="184"/>
      <c r="J1683" s="184"/>
      <c r="K1683" s="184"/>
      <c r="L1683" s="184"/>
      <c r="M1683" s="184"/>
      <c r="N1683" s="184"/>
      <c r="O1683" s="184"/>
    </row>
    <row r="1684" customFormat="false" ht="27.75" hidden="false" customHeight="true" outlineLevel="0" collapsed="false">
      <c r="A1684" s="184" t="s">
        <v>6658</v>
      </c>
      <c r="B1684" s="184" t="s">
        <v>4919</v>
      </c>
      <c r="C1684" s="184" t="n">
        <v>9</v>
      </c>
      <c r="D1684" s="178" t="s">
        <v>6457</v>
      </c>
      <c r="E1684" s="184" t="s">
        <v>6686</v>
      </c>
      <c r="F1684" s="184"/>
      <c r="G1684" s="184"/>
      <c r="H1684" s="184"/>
      <c r="I1684" s="184"/>
      <c r="J1684" s="184"/>
      <c r="K1684" s="184"/>
      <c r="L1684" s="184"/>
      <c r="M1684" s="184" t="s">
        <v>6832</v>
      </c>
      <c r="N1684" s="184"/>
      <c r="O1684" s="184"/>
    </row>
    <row r="1685" customFormat="false" ht="27.75" hidden="false" customHeight="true" outlineLevel="0" collapsed="false">
      <c r="A1685" s="184" t="s">
        <v>6658</v>
      </c>
      <c r="B1685" s="184" t="s">
        <v>4919</v>
      </c>
      <c r="C1685" s="184" t="n">
        <v>10</v>
      </c>
      <c r="D1685" s="178" t="s">
        <v>6457</v>
      </c>
      <c r="E1685" s="184" t="s">
        <v>6688</v>
      </c>
      <c r="F1685" s="184"/>
      <c r="G1685" s="184"/>
      <c r="H1685" s="184"/>
      <c r="I1685" s="184"/>
      <c r="J1685" s="184"/>
      <c r="K1685" s="184"/>
      <c r="L1685" s="184"/>
      <c r="M1685" s="184" t="s">
        <v>6833</v>
      </c>
      <c r="N1685" s="184"/>
      <c r="O1685" s="184"/>
    </row>
    <row r="1686" customFormat="false" ht="27.75" hidden="false" customHeight="true" outlineLevel="0" collapsed="false">
      <c r="A1686" s="184" t="s">
        <v>6658</v>
      </c>
      <c r="B1686" s="184" t="s">
        <v>4919</v>
      </c>
      <c r="C1686" s="184" t="n">
        <v>11</v>
      </c>
      <c r="D1686" s="184" t="s">
        <v>6296</v>
      </c>
      <c r="E1686" s="184" t="s">
        <v>6834</v>
      </c>
      <c r="F1686" s="184"/>
      <c r="G1686" s="184"/>
      <c r="H1686" s="184"/>
      <c r="I1686" s="184"/>
      <c r="J1686" s="184"/>
      <c r="K1686" s="184"/>
      <c r="L1686" s="184"/>
      <c r="M1686" s="184"/>
      <c r="N1686" s="184"/>
      <c r="O1686" s="184"/>
    </row>
    <row r="1687" customFormat="false" ht="27.75" hidden="false" customHeight="true" outlineLevel="0" collapsed="false">
      <c r="A1687" s="184" t="s">
        <v>6658</v>
      </c>
      <c r="B1687" s="184" t="s">
        <v>4919</v>
      </c>
      <c r="C1687" s="184" t="n">
        <v>12</v>
      </c>
      <c r="D1687" s="178" t="s">
        <v>6457</v>
      </c>
      <c r="E1687" s="184" t="s">
        <v>6476</v>
      </c>
      <c r="F1687" s="184"/>
      <c r="G1687" s="184"/>
      <c r="H1687" s="184"/>
      <c r="I1687" s="184"/>
      <c r="J1687" s="184"/>
      <c r="K1687" s="184"/>
      <c r="L1687" s="184"/>
      <c r="M1687" s="184" t="s">
        <v>6835</v>
      </c>
      <c r="N1687" s="184"/>
      <c r="O1687" s="184"/>
    </row>
    <row r="1688" customFormat="false" ht="68.25" hidden="false" customHeight="true" outlineLevel="0" collapsed="false">
      <c r="A1688" s="184" t="s">
        <v>6658</v>
      </c>
      <c r="B1688" s="184" t="s">
        <v>4919</v>
      </c>
      <c r="C1688" s="184" t="n">
        <v>13</v>
      </c>
      <c r="D1688" s="174" t="s">
        <v>4846</v>
      </c>
      <c r="E1688" s="184" t="s">
        <v>6836</v>
      </c>
      <c r="F1688" s="184"/>
      <c r="G1688" s="184"/>
      <c r="H1688" s="184"/>
      <c r="I1688" s="184"/>
      <c r="J1688" s="184"/>
      <c r="K1688" s="184"/>
      <c r="L1688" s="184"/>
      <c r="M1688" s="184"/>
      <c r="N1688" s="184" t="s">
        <v>6837</v>
      </c>
      <c r="O1688" s="184"/>
    </row>
    <row r="1689" customFormat="false" ht="68.25" hidden="false" customHeight="true" outlineLevel="0" collapsed="false">
      <c r="A1689" s="184" t="s">
        <v>6658</v>
      </c>
      <c r="B1689" s="184" t="s">
        <v>4919</v>
      </c>
      <c r="C1689" s="184" t="n">
        <v>14</v>
      </c>
      <c r="D1689" s="174" t="s">
        <v>4846</v>
      </c>
      <c r="E1689" s="184" t="s">
        <v>6838</v>
      </c>
      <c r="F1689" s="184" t="s">
        <v>227</v>
      </c>
      <c r="G1689" s="184"/>
      <c r="H1689" s="184"/>
      <c r="I1689" s="184"/>
      <c r="J1689" s="184" t="s">
        <v>6839</v>
      </c>
      <c r="K1689" s="184" t="s">
        <v>6795</v>
      </c>
      <c r="L1689" s="184"/>
      <c r="M1689" s="184"/>
      <c r="N1689" s="184" t="s">
        <v>6840</v>
      </c>
      <c r="O1689" s="184"/>
    </row>
    <row r="1690" customFormat="false" ht="81.75" hidden="false" customHeight="true" outlineLevel="0" collapsed="false">
      <c r="A1690" s="184" t="s">
        <v>6658</v>
      </c>
      <c r="B1690" s="184" t="s">
        <v>4919</v>
      </c>
      <c r="C1690" s="184" t="n">
        <v>15</v>
      </c>
      <c r="D1690" s="174" t="s">
        <v>4846</v>
      </c>
      <c r="E1690" s="184" t="s">
        <v>6841</v>
      </c>
      <c r="F1690" s="184" t="s">
        <v>227</v>
      </c>
      <c r="G1690" s="184"/>
      <c r="H1690" s="184"/>
      <c r="I1690" s="184"/>
      <c r="J1690" s="184" t="s">
        <v>6842</v>
      </c>
      <c r="K1690" s="184" t="s">
        <v>6843</v>
      </c>
      <c r="L1690" s="184"/>
      <c r="M1690" s="184"/>
      <c r="N1690" s="184" t="s">
        <v>6844</v>
      </c>
      <c r="O1690" s="184"/>
    </row>
    <row r="1691" customFormat="false" ht="68.25" hidden="false" customHeight="true" outlineLevel="0" collapsed="false">
      <c r="A1691" s="184" t="s">
        <v>6658</v>
      </c>
      <c r="B1691" s="184" t="s">
        <v>4919</v>
      </c>
      <c r="C1691" s="184" t="n">
        <v>16</v>
      </c>
      <c r="D1691" s="174" t="s">
        <v>4846</v>
      </c>
      <c r="E1691" s="184" t="s">
        <v>6845</v>
      </c>
      <c r="F1691" s="184" t="s">
        <v>227</v>
      </c>
      <c r="G1691" s="184"/>
      <c r="H1691" s="184"/>
      <c r="I1691" s="184"/>
      <c r="J1691" s="184"/>
      <c r="K1691" s="184"/>
      <c r="L1691" s="184"/>
      <c r="M1691" s="184" t="s">
        <v>6846</v>
      </c>
      <c r="N1691" s="184" t="s">
        <v>6847</v>
      </c>
      <c r="O1691" s="184"/>
    </row>
    <row r="1692" customFormat="false" ht="27.75" hidden="false" customHeight="true" outlineLevel="0" collapsed="false">
      <c r="A1692" s="184" t="s">
        <v>6658</v>
      </c>
      <c r="B1692" s="184" t="s">
        <v>4919</v>
      </c>
      <c r="C1692" s="184" t="n">
        <v>17</v>
      </c>
      <c r="D1692" s="184" t="s">
        <v>4790</v>
      </c>
      <c r="E1692" s="184" t="s">
        <v>6848</v>
      </c>
      <c r="F1692" s="184"/>
      <c r="G1692" s="184"/>
      <c r="H1692" s="184"/>
      <c r="I1692" s="184"/>
      <c r="J1692" s="184"/>
      <c r="K1692" s="184"/>
      <c r="L1692" s="184"/>
      <c r="M1692" s="184" t="s">
        <v>6849</v>
      </c>
      <c r="N1692" s="184"/>
      <c r="O1692" s="184"/>
    </row>
    <row r="1693" customFormat="false" ht="27.75" hidden="false" customHeight="true" outlineLevel="0" collapsed="false">
      <c r="A1693" s="184" t="s">
        <v>6658</v>
      </c>
      <c r="B1693" s="184" t="s">
        <v>4919</v>
      </c>
      <c r="C1693" s="184" t="n">
        <v>18</v>
      </c>
      <c r="D1693" s="178" t="s">
        <v>6457</v>
      </c>
      <c r="E1693" s="184" t="s">
        <v>6686</v>
      </c>
      <c r="F1693" s="184"/>
      <c r="G1693" s="184"/>
      <c r="H1693" s="184"/>
      <c r="I1693" s="184"/>
      <c r="J1693" s="184"/>
      <c r="K1693" s="184"/>
      <c r="L1693" s="184"/>
      <c r="M1693" s="184" t="s">
        <v>6850</v>
      </c>
      <c r="N1693" s="184"/>
      <c r="O1693" s="184"/>
    </row>
    <row r="1694" customFormat="false" ht="27.75" hidden="false" customHeight="true" outlineLevel="0" collapsed="false">
      <c r="A1694" s="184" t="s">
        <v>6658</v>
      </c>
      <c r="B1694" s="184" t="s">
        <v>4919</v>
      </c>
      <c r="C1694" s="184" t="n">
        <v>19</v>
      </c>
      <c r="D1694" s="178" t="s">
        <v>6457</v>
      </c>
      <c r="E1694" s="184" t="s">
        <v>6688</v>
      </c>
      <c r="F1694" s="184"/>
      <c r="G1694" s="184"/>
      <c r="H1694" s="184"/>
      <c r="I1694" s="184"/>
      <c r="J1694" s="184"/>
      <c r="K1694" s="184"/>
      <c r="L1694" s="184"/>
      <c r="M1694" s="184" t="s">
        <v>6851</v>
      </c>
      <c r="N1694" s="184"/>
      <c r="O1694" s="184"/>
    </row>
    <row r="1695" customFormat="false" ht="27.75" hidden="false" customHeight="true" outlineLevel="0" collapsed="false">
      <c r="A1695" s="184" t="s">
        <v>6658</v>
      </c>
      <c r="B1695" s="184" t="s">
        <v>4919</v>
      </c>
      <c r="C1695" s="184" t="n">
        <v>20</v>
      </c>
      <c r="D1695" s="178" t="s">
        <v>5269</v>
      </c>
      <c r="E1695" s="186" t="s">
        <v>6852</v>
      </c>
      <c r="F1695" s="184"/>
      <c r="G1695" s="184"/>
      <c r="H1695" s="184"/>
      <c r="I1695" s="184"/>
      <c r="J1695" s="184"/>
      <c r="K1695" s="184"/>
      <c r="L1695" s="184"/>
      <c r="M1695" s="184" t="s">
        <v>6853</v>
      </c>
      <c r="N1695" s="184"/>
      <c r="O1695" s="184"/>
    </row>
    <row r="1696" customFormat="false" ht="81.75" hidden="false" customHeight="true" outlineLevel="0" collapsed="false">
      <c r="A1696" s="184" t="s">
        <v>6658</v>
      </c>
      <c r="B1696" s="184" t="s">
        <v>4919</v>
      </c>
      <c r="C1696" s="184" t="n">
        <v>21</v>
      </c>
      <c r="D1696" s="174" t="s">
        <v>4848</v>
      </c>
      <c r="E1696" s="184" t="s">
        <v>2774</v>
      </c>
      <c r="F1696" s="184"/>
      <c r="G1696" s="184"/>
      <c r="H1696" s="184"/>
      <c r="I1696" s="184"/>
      <c r="J1696" s="184" t="s">
        <v>1383</v>
      </c>
      <c r="K1696" s="184" t="s">
        <v>6672</v>
      </c>
      <c r="L1696" s="184" t="s">
        <v>6854</v>
      </c>
      <c r="M1696" s="184"/>
      <c r="N1696" s="184" t="s">
        <v>6855</v>
      </c>
      <c r="O1696" s="184"/>
    </row>
    <row r="1697" customFormat="false" ht="81.75" hidden="false" customHeight="true" outlineLevel="0" collapsed="false">
      <c r="A1697" s="184" t="s">
        <v>6658</v>
      </c>
      <c r="B1697" s="184" t="s">
        <v>4919</v>
      </c>
      <c r="C1697" s="184" t="n">
        <v>22</v>
      </c>
      <c r="D1697" s="174" t="s">
        <v>4848</v>
      </c>
      <c r="E1697" s="184" t="s">
        <v>6856</v>
      </c>
      <c r="F1697" s="184"/>
      <c r="G1697" s="184"/>
      <c r="H1697" s="184"/>
      <c r="I1697" s="184"/>
      <c r="J1697" s="184"/>
      <c r="K1697" s="184" t="s">
        <v>6723</v>
      </c>
      <c r="L1697" s="184" t="s">
        <v>6857</v>
      </c>
      <c r="M1697" s="184"/>
      <c r="N1697" s="184" t="s">
        <v>6858</v>
      </c>
      <c r="O1697" s="184"/>
    </row>
    <row r="1698" customFormat="false" ht="27.75" hidden="false" customHeight="true" outlineLevel="0" collapsed="false">
      <c r="A1698" s="184" t="s">
        <v>6658</v>
      </c>
      <c r="B1698" s="184" t="s">
        <v>4919</v>
      </c>
      <c r="C1698" s="184" t="n">
        <v>23</v>
      </c>
      <c r="D1698" s="178" t="s">
        <v>5269</v>
      </c>
      <c r="E1698" s="184" t="s">
        <v>6675</v>
      </c>
      <c r="F1698" s="184"/>
      <c r="G1698" s="184"/>
      <c r="H1698" s="184"/>
      <c r="I1698" s="184"/>
      <c r="J1698" s="184"/>
      <c r="K1698" s="184"/>
      <c r="L1698" s="184"/>
      <c r="M1698" s="184" t="s">
        <v>6676</v>
      </c>
      <c r="N1698" s="184"/>
      <c r="O1698" s="184"/>
    </row>
    <row r="1699" customFormat="false" ht="15" hidden="false" customHeight="true" outlineLevel="0" collapsed="false">
      <c r="A1699" s="184"/>
      <c r="B1699" s="184"/>
      <c r="C1699" s="184"/>
      <c r="D1699" s="184"/>
      <c r="E1699" s="184"/>
      <c r="F1699" s="184"/>
      <c r="G1699" s="184"/>
      <c r="H1699" s="184"/>
      <c r="I1699" s="184"/>
      <c r="J1699" s="184"/>
      <c r="K1699" s="184"/>
      <c r="L1699" s="184"/>
      <c r="M1699" s="184"/>
      <c r="N1699" s="184"/>
      <c r="O1699" s="184"/>
    </row>
    <row r="1700" customFormat="false" ht="15" hidden="false" customHeight="true" outlineLevel="0" collapsed="false">
      <c r="A1700" s="184"/>
      <c r="B1700" s="184"/>
      <c r="C1700" s="184"/>
      <c r="D1700" s="184"/>
      <c r="E1700" s="184"/>
      <c r="F1700" s="184"/>
      <c r="G1700" s="184"/>
      <c r="H1700" s="184"/>
      <c r="I1700" s="184"/>
      <c r="J1700" s="184"/>
      <c r="K1700" s="184"/>
      <c r="L1700" s="184"/>
      <c r="M1700" s="184"/>
      <c r="N1700" s="184"/>
      <c r="O1700" s="184"/>
    </row>
    <row r="1701" customFormat="false" ht="15" hidden="false" customHeight="true" outlineLevel="0" collapsed="false">
      <c r="A1701" s="184"/>
      <c r="B1701" s="184"/>
      <c r="C1701" s="184"/>
      <c r="D1701" s="184"/>
      <c r="E1701" s="184"/>
      <c r="F1701" s="184"/>
      <c r="G1701" s="184"/>
      <c r="H1701" s="184"/>
      <c r="I1701" s="184"/>
      <c r="J1701" s="184"/>
      <c r="K1701" s="184"/>
      <c r="L1701" s="184"/>
      <c r="M1701" s="184"/>
      <c r="N1701" s="184"/>
      <c r="O1701" s="184"/>
    </row>
    <row r="1702" customFormat="false" ht="15" hidden="false" customHeight="true" outlineLevel="0" collapsed="false">
      <c r="A1702" s="184"/>
      <c r="B1702" s="184"/>
      <c r="C1702" s="184"/>
      <c r="D1702" s="184"/>
      <c r="E1702" s="184"/>
      <c r="F1702" s="184"/>
      <c r="G1702" s="184"/>
      <c r="H1702" s="184"/>
      <c r="I1702" s="184"/>
      <c r="J1702" s="184"/>
      <c r="K1702" s="184"/>
      <c r="L1702" s="184"/>
      <c r="M1702" s="184"/>
      <c r="N1702" s="184"/>
      <c r="O1702" s="184"/>
    </row>
    <row r="1703" customFormat="false" ht="15" hidden="false" customHeight="true" outlineLevel="0" collapsed="false">
      <c r="A1703" s="184"/>
      <c r="B1703" s="184"/>
      <c r="C1703" s="184"/>
      <c r="D1703" s="184"/>
      <c r="E1703" s="184"/>
      <c r="F1703" s="184"/>
      <c r="G1703" s="184"/>
      <c r="H1703" s="184"/>
      <c r="I1703" s="184"/>
      <c r="J1703" s="184"/>
      <c r="K1703" s="184"/>
      <c r="L1703" s="184"/>
      <c r="M1703" s="184"/>
      <c r="N1703" s="184"/>
      <c r="O1703" s="184"/>
    </row>
    <row r="1704" customFormat="false" ht="15" hidden="false" customHeight="true" outlineLevel="0" collapsed="false">
      <c r="A1704" s="184"/>
      <c r="B1704" s="184"/>
      <c r="C1704" s="184"/>
      <c r="D1704" s="184"/>
      <c r="E1704" s="184"/>
      <c r="F1704" s="184"/>
      <c r="G1704" s="184"/>
      <c r="H1704" s="184"/>
      <c r="I1704" s="184"/>
      <c r="J1704" s="184"/>
      <c r="K1704" s="184"/>
      <c r="L1704" s="184"/>
      <c r="M1704" s="184"/>
      <c r="N1704" s="184"/>
      <c r="O1704" s="184"/>
    </row>
    <row r="1705" customFormat="false" ht="15" hidden="false" customHeight="true" outlineLevel="0" collapsed="false">
      <c r="A1705" s="184"/>
      <c r="B1705" s="184"/>
      <c r="C1705" s="184"/>
      <c r="D1705" s="184"/>
      <c r="E1705" s="184"/>
      <c r="F1705" s="184"/>
      <c r="G1705" s="184"/>
      <c r="H1705" s="184"/>
      <c r="I1705" s="184"/>
      <c r="J1705" s="184"/>
      <c r="K1705" s="184"/>
      <c r="L1705" s="184"/>
      <c r="M1705" s="184"/>
      <c r="N1705" s="184"/>
      <c r="O1705" s="184"/>
    </row>
    <row r="1706" customFormat="false" ht="15" hidden="false" customHeight="true" outlineLevel="0" collapsed="false">
      <c r="A1706" s="184"/>
      <c r="B1706" s="184"/>
      <c r="C1706" s="184"/>
      <c r="D1706" s="184"/>
      <c r="E1706" s="184"/>
      <c r="F1706" s="184"/>
      <c r="G1706" s="184"/>
      <c r="H1706" s="184"/>
      <c r="I1706" s="184"/>
      <c r="J1706" s="184"/>
      <c r="K1706" s="184"/>
      <c r="L1706" s="184"/>
      <c r="M1706" s="184"/>
      <c r="N1706" s="184"/>
      <c r="O1706" s="184"/>
    </row>
    <row r="1707" customFormat="false" ht="15" hidden="false" customHeight="true" outlineLevel="0" collapsed="false">
      <c r="A1707" s="184"/>
      <c r="B1707" s="184"/>
      <c r="C1707" s="184"/>
      <c r="D1707" s="184"/>
      <c r="E1707" s="184"/>
      <c r="F1707" s="184"/>
      <c r="G1707" s="184"/>
      <c r="H1707" s="184"/>
      <c r="I1707" s="184"/>
      <c r="J1707" s="184"/>
      <c r="K1707" s="184"/>
      <c r="L1707" s="184"/>
      <c r="M1707" s="184"/>
      <c r="N1707" s="184"/>
      <c r="O1707" s="184"/>
    </row>
    <row r="1708" customFormat="false" ht="15" hidden="false" customHeight="true" outlineLevel="0" collapsed="false">
      <c r="A1708" s="184"/>
      <c r="B1708" s="184"/>
      <c r="C1708" s="184"/>
      <c r="D1708" s="184"/>
      <c r="E1708" s="184"/>
      <c r="F1708" s="184"/>
      <c r="G1708" s="184"/>
      <c r="H1708" s="184"/>
      <c r="I1708" s="184"/>
      <c r="J1708" s="184"/>
      <c r="K1708" s="184"/>
      <c r="L1708" s="184"/>
      <c r="M1708" s="184"/>
      <c r="N1708" s="184"/>
      <c r="O1708" s="184"/>
    </row>
    <row r="1709" customFormat="false" ht="15" hidden="false" customHeight="true" outlineLevel="0" collapsed="false">
      <c r="A1709" s="184"/>
      <c r="B1709" s="184"/>
      <c r="C1709" s="184"/>
      <c r="D1709" s="184"/>
      <c r="E1709" s="184"/>
      <c r="F1709" s="184"/>
      <c r="G1709" s="184"/>
      <c r="H1709" s="184"/>
      <c r="I1709" s="184"/>
      <c r="J1709" s="184"/>
      <c r="K1709" s="184"/>
      <c r="L1709" s="184"/>
      <c r="M1709" s="184"/>
      <c r="N1709" s="184"/>
      <c r="O1709" s="184"/>
    </row>
    <row r="1710" customFormat="false" ht="15" hidden="false" customHeight="true" outlineLevel="0" collapsed="false">
      <c r="A1710" s="184"/>
      <c r="B1710" s="184"/>
      <c r="C1710" s="184"/>
      <c r="D1710" s="184"/>
      <c r="E1710" s="184"/>
      <c r="F1710" s="184"/>
      <c r="G1710" s="184"/>
      <c r="H1710" s="184"/>
      <c r="I1710" s="184"/>
      <c r="J1710" s="184"/>
      <c r="K1710" s="184"/>
      <c r="L1710" s="184"/>
      <c r="M1710" s="184"/>
      <c r="N1710" s="184"/>
      <c r="O1710" s="184"/>
    </row>
    <row r="1711" customFormat="false" ht="15" hidden="false" customHeight="true" outlineLevel="0" collapsed="false">
      <c r="A1711" s="184"/>
      <c r="B1711" s="184"/>
      <c r="C1711" s="184"/>
      <c r="D1711" s="184"/>
      <c r="E1711" s="184"/>
      <c r="F1711" s="184"/>
      <c r="G1711" s="184"/>
      <c r="H1711" s="184"/>
      <c r="I1711" s="184"/>
      <c r="J1711" s="184"/>
      <c r="K1711" s="184"/>
      <c r="L1711" s="184"/>
      <c r="M1711" s="184"/>
      <c r="N1711" s="184"/>
      <c r="O1711" s="184"/>
    </row>
    <row r="1712" customFormat="false" ht="15" hidden="false" customHeight="true" outlineLevel="0" collapsed="false">
      <c r="A1712" s="184"/>
      <c r="B1712" s="184"/>
      <c r="C1712" s="184"/>
      <c r="D1712" s="184"/>
      <c r="E1712" s="184"/>
      <c r="F1712" s="184"/>
      <c r="G1712" s="184"/>
      <c r="H1712" s="184"/>
      <c r="I1712" s="184"/>
      <c r="J1712" s="184"/>
      <c r="K1712" s="184"/>
      <c r="L1712" s="184"/>
      <c r="M1712" s="184"/>
      <c r="N1712" s="184"/>
      <c r="O1712" s="184"/>
    </row>
    <row r="1713" customFormat="false" ht="15" hidden="false" customHeight="true" outlineLevel="0" collapsed="false">
      <c r="A1713" s="184"/>
      <c r="B1713" s="184"/>
      <c r="C1713" s="184"/>
      <c r="D1713" s="184"/>
      <c r="E1713" s="184"/>
      <c r="F1713" s="184"/>
      <c r="G1713" s="184"/>
      <c r="H1713" s="184"/>
      <c r="I1713" s="184"/>
      <c r="J1713" s="184"/>
      <c r="K1713" s="184"/>
      <c r="L1713" s="184"/>
      <c r="M1713" s="184"/>
      <c r="N1713" s="184"/>
      <c r="O1713" s="184"/>
    </row>
    <row r="1714" customFormat="false" ht="15" hidden="false" customHeight="true" outlineLevel="0" collapsed="false">
      <c r="A1714" s="184"/>
      <c r="B1714" s="184"/>
      <c r="C1714" s="184"/>
      <c r="D1714" s="184"/>
      <c r="E1714" s="184"/>
      <c r="F1714" s="184"/>
      <c r="G1714" s="184"/>
      <c r="H1714" s="184"/>
      <c r="I1714" s="184"/>
      <c r="J1714" s="184"/>
      <c r="K1714" s="184"/>
      <c r="L1714" s="184"/>
      <c r="M1714" s="184"/>
      <c r="N1714" s="184"/>
      <c r="O1714" s="184"/>
    </row>
    <row r="1715" customFormat="false" ht="15" hidden="false" customHeight="true" outlineLevel="0" collapsed="false">
      <c r="A1715" s="184"/>
      <c r="B1715" s="184"/>
      <c r="C1715" s="184"/>
      <c r="D1715" s="184"/>
      <c r="E1715" s="184"/>
      <c r="F1715" s="184"/>
      <c r="G1715" s="184"/>
      <c r="H1715" s="184"/>
      <c r="I1715" s="184"/>
      <c r="J1715" s="184"/>
      <c r="K1715" s="184"/>
      <c r="L1715" s="184"/>
      <c r="M1715" s="184"/>
      <c r="N1715" s="184"/>
      <c r="O1715" s="184"/>
    </row>
    <row r="1716" customFormat="false" ht="15" hidden="false" customHeight="true" outlineLevel="0" collapsed="false">
      <c r="A1716" s="184"/>
      <c r="B1716" s="184"/>
      <c r="C1716" s="184"/>
      <c r="D1716" s="184"/>
      <c r="E1716" s="184"/>
      <c r="F1716" s="184"/>
      <c r="G1716" s="184"/>
      <c r="H1716" s="184"/>
      <c r="I1716" s="184"/>
      <c r="J1716" s="184"/>
      <c r="K1716" s="184"/>
      <c r="L1716" s="184"/>
      <c r="M1716" s="184"/>
      <c r="N1716" s="184"/>
      <c r="O1716" s="184"/>
    </row>
    <row r="1717" customFormat="false" ht="15" hidden="false" customHeight="true" outlineLevel="0" collapsed="false">
      <c r="A1717" s="184"/>
      <c r="B1717" s="184"/>
      <c r="C1717" s="184"/>
      <c r="D1717" s="184"/>
      <c r="E1717" s="184"/>
      <c r="F1717" s="184"/>
      <c r="G1717" s="184"/>
      <c r="H1717" s="184"/>
      <c r="I1717" s="184"/>
      <c r="J1717" s="184"/>
      <c r="K1717" s="184"/>
      <c r="L1717" s="184"/>
      <c r="M1717" s="184"/>
      <c r="N1717" s="184"/>
      <c r="O1717" s="184"/>
    </row>
    <row r="1718" customFormat="false" ht="15" hidden="false" customHeight="true" outlineLevel="0" collapsed="false">
      <c r="A1718" s="184"/>
      <c r="B1718" s="184"/>
      <c r="C1718" s="184"/>
      <c r="D1718" s="184"/>
      <c r="E1718" s="184"/>
      <c r="F1718" s="184"/>
      <c r="G1718" s="184"/>
      <c r="H1718" s="184"/>
      <c r="I1718" s="184"/>
      <c r="J1718" s="184"/>
      <c r="K1718" s="184"/>
      <c r="L1718" s="184"/>
      <c r="M1718" s="184"/>
      <c r="N1718" s="184"/>
      <c r="O1718" s="184"/>
    </row>
    <row r="1719" customFormat="false" ht="15" hidden="false" customHeight="true" outlineLevel="0" collapsed="false">
      <c r="A1719" s="184"/>
      <c r="B1719" s="184"/>
      <c r="C1719" s="184"/>
      <c r="D1719" s="184"/>
      <c r="E1719" s="184"/>
      <c r="F1719" s="184"/>
      <c r="G1719" s="184"/>
      <c r="H1719" s="184"/>
      <c r="I1719" s="184"/>
      <c r="J1719" s="184"/>
      <c r="K1719" s="184"/>
      <c r="L1719" s="184"/>
      <c r="M1719" s="184"/>
      <c r="N1719" s="184"/>
      <c r="O1719" s="184"/>
    </row>
    <row r="1720" customFormat="false" ht="15" hidden="false" customHeight="true" outlineLevel="0" collapsed="false">
      <c r="A1720" s="184"/>
      <c r="B1720" s="184"/>
      <c r="C1720" s="184"/>
      <c r="D1720" s="184"/>
      <c r="E1720" s="184"/>
      <c r="F1720" s="184"/>
      <c r="G1720" s="184"/>
      <c r="H1720" s="184"/>
      <c r="I1720" s="184"/>
      <c r="J1720" s="184"/>
      <c r="K1720" s="184"/>
      <c r="L1720" s="184"/>
      <c r="M1720" s="184"/>
      <c r="N1720" s="184"/>
      <c r="O1720" s="184"/>
    </row>
    <row r="1721" customFormat="false" ht="15" hidden="false" customHeight="true" outlineLevel="0" collapsed="false">
      <c r="A1721" s="184"/>
      <c r="B1721" s="184"/>
      <c r="C1721" s="184"/>
      <c r="D1721" s="184"/>
      <c r="E1721" s="184"/>
      <c r="F1721" s="184"/>
      <c r="G1721" s="184"/>
      <c r="H1721" s="184"/>
      <c r="I1721" s="184"/>
      <c r="J1721" s="184"/>
      <c r="K1721" s="184"/>
      <c r="L1721" s="184"/>
      <c r="M1721" s="184"/>
      <c r="N1721" s="184"/>
      <c r="O1721" s="184"/>
    </row>
    <row r="1722" customFormat="false" ht="15" hidden="false" customHeight="true" outlineLevel="0" collapsed="false">
      <c r="A1722" s="184"/>
      <c r="B1722" s="184"/>
      <c r="C1722" s="184"/>
      <c r="D1722" s="184"/>
      <c r="E1722" s="184"/>
      <c r="F1722" s="184"/>
      <c r="G1722" s="184"/>
      <c r="H1722" s="184"/>
      <c r="I1722" s="184"/>
      <c r="J1722" s="184"/>
      <c r="K1722" s="184"/>
      <c r="L1722" s="184"/>
      <c r="M1722" s="184"/>
      <c r="N1722" s="184"/>
      <c r="O1722" s="184"/>
    </row>
    <row r="1723" customFormat="false" ht="15" hidden="false" customHeight="true" outlineLevel="0" collapsed="false">
      <c r="A1723" s="184"/>
      <c r="B1723" s="184"/>
      <c r="C1723" s="184"/>
      <c r="D1723" s="184"/>
      <c r="E1723" s="184"/>
      <c r="F1723" s="184"/>
      <c r="G1723" s="184"/>
      <c r="H1723" s="184"/>
      <c r="I1723" s="184"/>
      <c r="J1723" s="184"/>
      <c r="K1723" s="184"/>
      <c r="L1723" s="184"/>
      <c r="M1723" s="184"/>
      <c r="N1723" s="184"/>
      <c r="O1723" s="184"/>
    </row>
    <row r="1724" customFormat="false" ht="15" hidden="false" customHeight="true" outlineLevel="0" collapsed="false">
      <c r="A1724" s="184"/>
      <c r="B1724" s="184"/>
      <c r="C1724" s="184"/>
      <c r="D1724" s="184"/>
      <c r="E1724" s="184"/>
      <c r="F1724" s="184"/>
      <c r="G1724" s="184"/>
      <c r="H1724" s="184"/>
      <c r="I1724" s="184"/>
      <c r="J1724" s="184"/>
      <c r="K1724" s="184"/>
      <c r="L1724" s="184"/>
      <c r="M1724" s="184"/>
      <c r="N1724" s="184"/>
      <c r="O1724" s="184"/>
    </row>
    <row r="1725" customFormat="false" ht="15" hidden="false" customHeight="true" outlineLevel="0" collapsed="false">
      <c r="A1725" s="184"/>
      <c r="B1725" s="184"/>
      <c r="C1725" s="184"/>
      <c r="D1725" s="184"/>
      <c r="E1725" s="184"/>
      <c r="F1725" s="184"/>
      <c r="G1725" s="184"/>
      <c r="H1725" s="184"/>
      <c r="I1725" s="184"/>
      <c r="J1725" s="184"/>
      <c r="K1725" s="184"/>
      <c r="L1725" s="184"/>
      <c r="M1725" s="184"/>
      <c r="N1725" s="184"/>
      <c r="O1725" s="184"/>
    </row>
    <row r="1726" customFormat="false" ht="15" hidden="false" customHeight="true" outlineLevel="0" collapsed="false">
      <c r="A1726" s="184"/>
      <c r="B1726" s="184"/>
      <c r="C1726" s="184"/>
      <c r="D1726" s="184"/>
      <c r="E1726" s="184"/>
      <c r="F1726" s="184"/>
      <c r="G1726" s="184"/>
      <c r="H1726" s="184"/>
      <c r="I1726" s="184"/>
      <c r="J1726" s="184"/>
      <c r="K1726" s="184"/>
      <c r="L1726" s="184"/>
      <c r="M1726" s="184"/>
      <c r="N1726" s="184"/>
      <c r="O1726" s="184"/>
    </row>
    <row r="1727" customFormat="false" ht="15" hidden="false" customHeight="true" outlineLevel="0" collapsed="false">
      <c r="A1727" s="184"/>
      <c r="B1727" s="184"/>
      <c r="C1727" s="184"/>
      <c r="D1727" s="184"/>
      <c r="E1727" s="184"/>
      <c r="F1727" s="184"/>
      <c r="G1727" s="184"/>
      <c r="H1727" s="184"/>
      <c r="I1727" s="184"/>
      <c r="J1727" s="184"/>
      <c r="K1727" s="184"/>
      <c r="L1727" s="184"/>
      <c r="M1727" s="184"/>
      <c r="N1727" s="184"/>
      <c r="O1727" s="184"/>
    </row>
    <row r="1728" customFormat="false" ht="15" hidden="false" customHeight="true" outlineLevel="0" collapsed="false">
      <c r="A1728" s="184"/>
      <c r="B1728" s="184"/>
      <c r="C1728" s="184"/>
      <c r="D1728" s="184"/>
      <c r="E1728" s="184"/>
      <c r="F1728" s="184"/>
      <c r="G1728" s="184"/>
      <c r="H1728" s="184"/>
      <c r="I1728" s="184"/>
      <c r="J1728" s="184"/>
      <c r="K1728" s="184"/>
      <c r="L1728" s="184"/>
      <c r="M1728" s="184"/>
      <c r="N1728" s="184"/>
      <c r="O1728" s="184"/>
    </row>
    <row r="1729" customFormat="false" ht="15" hidden="false" customHeight="true" outlineLevel="0" collapsed="false">
      <c r="A1729" s="184"/>
      <c r="B1729" s="184"/>
      <c r="C1729" s="184"/>
      <c r="D1729" s="184"/>
      <c r="E1729" s="184"/>
      <c r="F1729" s="184"/>
      <c r="G1729" s="184"/>
      <c r="H1729" s="184"/>
      <c r="I1729" s="184"/>
      <c r="J1729" s="184"/>
      <c r="K1729" s="184"/>
      <c r="L1729" s="184"/>
      <c r="M1729" s="184"/>
      <c r="N1729" s="184"/>
      <c r="O1729" s="184"/>
    </row>
    <row r="1730" customFormat="false" ht="15" hidden="false" customHeight="true" outlineLevel="0" collapsed="false">
      <c r="A1730" s="184"/>
      <c r="B1730" s="184"/>
      <c r="C1730" s="184"/>
      <c r="D1730" s="184"/>
      <c r="E1730" s="184"/>
      <c r="F1730" s="184"/>
      <c r="G1730" s="184"/>
      <c r="H1730" s="184"/>
      <c r="I1730" s="184"/>
      <c r="J1730" s="184"/>
      <c r="K1730" s="184"/>
      <c r="L1730" s="184"/>
      <c r="M1730" s="184"/>
      <c r="N1730" s="184"/>
      <c r="O1730" s="184"/>
    </row>
    <row r="1731" customFormat="false" ht="15" hidden="false" customHeight="true" outlineLevel="0" collapsed="false">
      <c r="A1731" s="184"/>
      <c r="B1731" s="184"/>
      <c r="C1731" s="184"/>
      <c r="D1731" s="184"/>
      <c r="E1731" s="184"/>
      <c r="F1731" s="184"/>
      <c r="G1731" s="184"/>
      <c r="H1731" s="184"/>
      <c r="I1731" s="184"/>
      <c r="J1731" s="184"/>
      <c r="K1731" s="184"/>
      <c r="L1731" s="184"/>
      <c r="M1731" s="184"/>
      <c r="N1731" s="184"/>
      <c r="O1731" s="184"/>
    </row>
    <row r="1732" customFormat="false" ht="15" hidden="false" customHeight="true" outlineLevel="0" collapsed="false">
      <c r="A1732" s="184"/>
      <c r="B1732" s="184"/>
      <c r="C1732" s="184"/>
      <c r="D1732" s="184"/>
      <c r="E1732" s="184"/>
      <c r="F1732" s="184"/>
      <c r="G1732" s="184"/>
      <c r="H1732" s="184"/>
      <c r="I1732" s="184"/>
      <c r="J1732" s="184"/>
      <c r="K1732" s="184"/>
      <c r="L1732" s="184"/>
      <c r="M1732" s="184"/>
      <c r="N1732" s="184"/>
      <c r="O1732" s="184"/>
    </row>
    <row r="1733" customFormat="false" ht="15" hidden="false" customHeight="true" outlineLevel="0" collapsed="false">
      <c r="A1733" s="184"/>
      <c r="B1733" s="184"/>
      <c r="C1733" s="184"/>
      <c r="D1733" s="184"/>
      <c r="E1733" s="184"/>
      <c r="F1733" s="184"/>
      <c r="G1733" s="184"/>
      <c r="H1733" s="184"/>
      <c r="I1733" s="184"/>
      <c r="J1733" s="184"/>
      <c r="K1733" s="184"/>
      <c r="L1733" s="184"/>
      <c r="M1733" s="184"/>
      <c r="N1733" s="184"/>
      <c r="O1733" s="184"/>
    </row>
    <row r="1734" customFormat="false" ht="15" hidden="false" customHeight="true" outlineLevel="0" collapsed="false">
      <c r="A1734" s="184"/>
      <c r="B1734" s="184"/>
      <c r="C1734" s="184"/>
      <c r="D1734" s="184"/>
      <c r="E1734" s="184"/>
      <c r="F1734" s="184"/>
      <c r="G1734" s="184"/>
      <c r="H1734" s="184"/>
      <c r="I1734" s="184"/>
      <c r="J1734" s="184"/>
      <c r="K1734" s="184"/>
      <c r="L1734" s="184"/>
      <c r="M1734" s="184"/>
      <c r="N1734" s="184"/>
      <c r="O1734" s="184"/>
    </row>
    <row r="1735" customFormat="false" ht="15" hidden="false" customHeight="true" outlineLevel="0" collapsed="false">
      <c r="A1735" s="184"/>
      <c r="B1735" s="184"/>
      <c r="C1735" s="184"/>
      <c r="D1735" s="184"/>
      <c r="E1735" s="184"/>
      <c r="F1735" s="184"/>
      <c r="G1735" s="184"/>
      <c r="H1735" s="184"/>
      <c r="I1735" s="184"/>
      <c r="J1735" s="184"/>
      <c r="K1735" s="184"/>
      <c r="L1735" s="184"/>
      <c r="M1735" s="184"/>
      <c r="N1735" s="184"/>
      <c r="O1735" s="184"/>
    </row>
    <row r="1736" customFormat="false" ht="15" hidden="false" customHeight="true" outlineLevel="0" collapsed="false">
      <c r="A1736" s="184"/>
      <c r="B1736" s="184"/>
      <c r="C1736" s="184"/>
      <c r="D1736" s="184"/>
      <c r="E1736" s="184"/>
      <c r="F1736" s="184"/>
      <c r="G1736" s="184"/>
      <c r="H1736" s="184"/>
      <c r="I1736" s="184"/>
      <c r="J1736" s="184"/>
      <c r="K1736" s="184"/>
      <c r="L1736" s="184"/>
      <c r="M1736" s="184"/>
      <c r="N1736" s="184"/>
      <c r="O1736" s="184"/>
    </row>
    <row r="1737" customFormat="false" ht="15" hidden="false" customHeight="true" outlineLevel="0" collapsed="false">
      <c r="A1737" s="184"/>
      <c r="B1737" s="184"/>
      <c r="C1737" s="184"/>
      <c r="D1737" s="184"/>
      <c r="E1737" s="184"/>
      <c r="F1737" s="184"/>
      <c r="G1737" s="184"/>
      <c r="H1737" s="184"/>
      <c r="I1737" s="184"/>
      <c r="J1737" s="184"/>
      <c r="K1737" s="184"/>
      <c r="L1737" s="184"/>
      <c r="M1737" s="184"/>
      <c r="N1737" s="184"/>
      <c r="O1737" s="184"/>
    </row>
    <row r="1738" customFormat="false" ht="15" hidden="false" customHeight="true" outlineLevel="0" collapsed="false">
      <c r="A1738" s="184"/>
      <c r="B1738" s="184"/>
      <c r="C1738" s="184"/>
      <c r="D1738" s="184"/>
      <c r="E1738" s="184"/>
      <c r="F1738" s="184"/>
      <c r="G1738" s="184"/>
      <c r="H1738" s="184"/>
      <c r="I1738" s="184"/>
      <c r="J1738" s="184"/>
      <c r="K1738" s="184"/>
      <c r="L1738" s="184"/>
      <c r="M1738" s="184"/>
      <c r="N1738" s="184"/>
      <c r="O1738" s="184"/>
    </row>
    <row r="1739" customFormat="false" ht="15" hidden="false" customHeight="true" outlineLevel="0" collapsed="false">
      <c r="A1739" s="184"/>
      <c r="B1739" s="184"/>
      <c r="C1739" s="184"/>
      <c r="D1739" s="184"/>
      <c r="E1739" s="184"/>
      <c r="F1739" s="184"/>
      <c r="G1739" s="184"/>
      <c r="H1739" s="184"/>
      <c r="I1739" s="184"/>
      <c r="J1739" s="184"/>
      <c r="K1739" s="184"/>
      <c r="L1739" s="184"/>
      <c r="M1739" s="184"/>
      <c r="N1739" s="184"/>
      <c r="O1739" s="184"/>
    </row>
    <row r="1740" customFormat="false" ht="15" hidden="false" customHeight="true" outlineLevel="0" collapsed="false">
      <c r="A1740" s="184"/>
      <c r="B1740" s="184"/>
      <c r="C1740" s="184"/>
      <c r="D1740" s="184"/>
      <c r="E1740" s="184"/>
      <c r="F1740" s="184"/>
      <c r="G1740" s="184"/>
      <c r="H1740" s="184"/>
      <c r="I1740" s="184"/>
      <c r="J1740" s="184"/>
      <c r="K1740" s="184"/>
      <c r="L1740" s="184"/>
      <c r="M1740" s="184"/>
      <c r="N1740" s="184"/>
      <c r="O1740" s="184"/>
    </row>
    <row r="1741" customFormat="false" ht="15" hidden="false" customHeight="true" outlineLevel="0" collapsed="false">
      <c r="A1741" s="184"/>
      <c r="B1741" s="184"/>
      <c r="C1741" s="184"/>
      <c r="D1741" s="184"/>
      <c r="E1741" s="184"/>
      <c r="F1741" s="184"/>
      <c r="G1741" s="184"/>
      <c r="H1741" s="184"/>
      <c r="I1741" s="184"/>
      <c r="J1741" s="184"/>
      <c r="K1741" s="184"/>
      <c r="L1741" s="184"/>
      <c r="M1741" s="184"/>
      <c r="N1741" s="184"/>
      <c r="O1741" s="184"/>
    </row>
    <row r="1742" customFormat="false" ht="15" hidden="false" customHeight="true" outlineLevel="0" collapsed="false">
      <c r="A1742" s="184"/>
      <c r="B1742" s="184"/>
      <c r="C1742" s="184"/>
      <c r="D1742" s="184"/>
      <c r="E1742" s="184"/>
      <c r="F1742" s="184"/>
      <c r="G1742" s="184"/>
      <c r="H1742" s="184"/>
      <c r="I1742" s="184"/>
      <c r="J1742" s="184"/>
      <c r="K1742" s="184"/>
      <c r="L1742" s="184"/>
      <c r="M1742" s="184"/>
      <c r="N1742" s="184"/>
      <c r="O1742" s="184"/>
    </row>
    <row r="1743" customFormat="false" ht="15" hidden="false" customHeight="true" outlineLevel="0" collapsed="false">
      <c r="A1743" s="184"/>
      <c r="B1743" s="184"/>
      <c r="C1743" s="184"/>
      <c r="D1743" s="184"/>
      <c r="E1743" s="184"/>
      <c r="F1743" s="184"/>
      <c r="G1743" s="184"/>
      <c r="H1743" s="184"/>
      <c r="I1743" s="184"/>
      <c r="J1743" s="184"/>
      <c r="K1743" s="184"/>
      <c r="L1743" s="184"/>
      <c r="M1743" s="184"/>
      <c r="N1743" s="184"/>
      <c r="O1743" s="184"/>
    </row>
    <row r="1744" customFormat="false" ht="15" hidden="false" customHeight="true" outlineLevel="0" collapsed="false">
      <c r="A1744" s="184"/>
      <c r="B1744" s="184"/>
      <c r="C1744" s="184"/>
      <c r="D1744" s="184"/>
      <c r="E1744" s="184"/>
      <c r="F1744" s="184"/>
      <c r="G1744" s="184"/>
      <c r="H1744" s="184"/>
      <c r="I1744" s="184"/>
      <c r="J1744" s="184"/>
      <c r="K1744" s="184"/>
      <c r="L1744" s="184"/>
      <c r="M1744" s="184"/>
      <c r="N1744" s="184"/>
      <c r="O1744" s="184"/>
    </row>
    <row r="1745" customFormat="false" ht="15" hidden="false" customHeight="true" outlineLevel="0" collapsed="false">
      <c r="A1745" s="184"/>
      <c r="B1745" s="184"/>
      <c r="C1745" s="184"/>
      <c r="D1745" s="184"/>
      <c r="E1745" s="184"/>
      <c r="F1745" s="184"/>
      <c r="G1745" s="184"/>
      <c r="H1745" s="184"/>
      <c r="I1745" s="184"/>
      <c r="J1745" s="184"/>
      <c r="K1745" s="184"/>
      <c r="L1745" s="184"/>
      <c r="M1745" s="184"/>
      <c r="N1745" s="184"/>
      <c r="O1745" s="184"/>
    </row>
    <row r="1746" customFormat="false" ht="15" hidden="false" customHeight="true" outlineLevel="0" collapsed="false">
      <c r="A1746" s="184"/>
      <c r="B1746" s="184"/>
      <c r="C1746" s="184"/>
      <c r="D1746" s="184"/>
      <c r="E1746" s="184"/>
      <c r="F1746" s="184"/>
      <c r="G1746" s="184"/>
      <c r="H1746" s="184"/>
      <c r="I1746" s="184"/>
      <c r="J1746" s="184"/>
      <c r="K1746" s="184"/>
      <c r="L1746" s="184"/>
      <c r="M1746" s="184"/>
      <c r="N1746" s="184"/>
      <c r="O1746" s="184"/>
    </row>
    <row r="1747" customFormat="false" ht="15" hidden="false" customHeight="true" outlineLevel="0" collapsed="false">
      <c r="A1747" s="184"/>
      <c r="B1747" s="184"/>
      <c r="C1747" s="184"/>
      <c r="D1747" s="184"/>
      <c r="E1747" s="184"/>
      <c r="F1747" s="184"/>
      <c r="G1747" s="184"/>
      <c r="H1747" s="184"/>
      <c r="I1747" s="184"/>
      <c r="J1747" s="184"/>
      <c r="K1747" s="184"/>
      <c r="L1747" s="184"/>
      <c r="M1747" s="184"/>
      <c r="N1747" s="184"/>
      <c r="O1747" s="184"/>
    </row>
    <row r="1748" customFormat="false" ht="15" hidden="false" customHeight="true" outlineLevel="0" collapsed="false">
      <c r="A1748" s="184"/>
      <c r="B1748" s="184"/>
      <c r="C1748" s="184"/>
      <c r="D1748" s="184"/>
      <c r="E1748" s="184"/>
      <c r="F1748" s="184"/>
      <c r="G1748" s="184"/>
      <c r="H1748" s="184"/>
      <c r="I1748" s="184"/>
      <c r="J1748" s="184"/>
      <c r="K1748" s="184"/>
      <c r="L1748" s="184"/>
      <c r="M1748" s="184"/>
      <c r="N1748" s="184"/>
      <c r="O1748" s="184"/>
    </row>
    <row r="1749" customFormat="false" ht="15" hidden="false" customHeight="true" outlineLevel="0" collapsed="false">
      <c r="A1749" s="184"/>
      <c r="B1749" s="184"/>
      <c r="C1749" s="184"/>
      <c r="D1749" s="184"/>
      <c r="E1749" s="184"/>
      <c r="F1749" s="184"/>
      <c r="G1749" s="184"/>
      <c r="H1749" s="184"/>
      <c r="I1749" s="184"/>
      <c r="J1749" s="184"/>
      <c r="K1749" s="184"/>
      <c r="L1749" s="184"/>
      <c r="M1749" s="184"/>
      <c r="N1749" s="184"/>
      <c r="O1749" s="184"/>
    </row>
    <row r="1750" customFormat="false" ht="15" hidden="false" customHeight="true" outlineLevel="0" collapsed="false">
      <c r="A1750" s="184"/>
      <c r="B1750" s="184"/>
      <c r="C1750" s="184"/>
      <c r="D1750" s="184"/>
      <c r="E1750" s="184"/>
      <c r="F1750" s="184"/>
      <c r="G1750" s="184"/>
      <c r="H1750" s="184"/>
      <c r="I1750" s="184"/>
      <c r="J1750" s="184"/>
      <c r="K1750" s="184"/>
      <c r="L1750" s="184"/>
      <c r="M1750" s="184"/>
      <c r="N1750" s="184"/>
      <c r="O1750" s="184"/>
    </row>
    <row r="1751" customFormat="false" ht="15" hidden="false" customHeight="true" outlineLevel="0" collapsed="false">
      <c r="A1751" s="184"/>
      <c r="B1751" s="184"/>
      <c r="C1751" s="184"/>
      <c r="D1751" s="184"/>
      <c r="E1751" s="184"/>
      <c r="F1751" s="184"/>
      <c r="G1751" s="184"/>
      <c r="H1751" s="184"/>
      <c r="I1751" s="184"/>
      <c r="J1751" s="184"/>
      <c r="K1751" s="184"/>
      <c r="L1751" s="184"/>
      <c r="M1751" s="184"/>
      <c r="N1751" s="184"/>
      <c r="O1751" s="184"/>
    </row>
    <row r="1752" customFormat="false" ht="15" hidden="false" customHeight="true" outlineLevel="0" collapsed="false">
      <c r="A1752" s="184"/>
      <c r="B1752" s="184"/>
      <c r="C1752" s="184"/>
      <c r="D1752" s="184"/>
      <c r="E1752" s="184"/>
      <c r="F1752" s="184"/>
      <c r="G1752" s="184"/>
      <c r="H1752" s="184"/>
      <c r="I1752" s="184"/>
      <c r="J1752" s="184"/>
      <c r="K1752" s="184"/>
      <c r="L1752" s="184"/>
      <c r="M1752" s="184"/>
      <c r="N1752" s="184"/>
      <c r="O1752" s="184"/>
    </row>
    <row r="1753" customFormat="false" ht="15" hidden="false" customHeight="true" outlineLevel="0" collapsed="false">
      <c r="A1753" s="184"/>
      <c r="B1753" s="184"/>
      <c r="C1753" s="184"/>
      <c r="D1753" s="184"/>
      <c r="E1753" s="184"/>
      <c r="F1753" s="184"/>
      <c r="G1753" s="184"/>
      <c r="H1753" s="184"/>
      <c r="I1753" s="184"/>
      <c r="J1753" s="184"/>
      <c r="K1753" s="184"/>
      <c r="L1753" s="184"/>
      <c r="M1753" s="184"/>
      <c r="N1753" s="184"/>
      <c r="O1753" s="184"/>
    </row>
    <row r="1754" customFormat="false" ht="15" hidden="false" customHeight="true" outlineLevel="0" collapsed="false">
      <c r="A1754" s="184"/>
      <c r="B1754" s="184"/>
      <c r="C1754" s="184"/>
      <c r="D1754" s="184"/>
      <c r="E1754" s="184"/>
      <c r="F1754" s="184"/>
      <c r="G1754" s="184"/>
      <c r="H1754" s="184"/>
      <c r="I1754" s="184"/>
      <c r="J1754" s="184"/>
      <c r="K1754" s="184"/>
      <c r="L1754" s="184"/>
      <c r="M1754" s="184"/>
      <c r="N1754" s="184"/>
      <c r="O1754" s="184"/>
    </row>
    <row r="1755" customFormat="false" ht="15" hidden="false" customHeight="true" outlineLevel="0" collapsed="false">
      <c r="A1755" s="184"/>
      <c r="B1755" s="184"/>
      <c r="C1755" s="184"/>
      <c r="D1755" s="184"/>
      <c r="E1755" s="184"/>
      <c r="F1755" s="184"/>
      <c r="G1755" s="184"/>
      <c r="H1755" s="184"/>
      <c r="I1755" s="184"/>
      <c r="J1755" s="184"/>
      <c r="K1755" s="184"/>
      <c r="L1755" s="184"/>
      <c r="M1755" s="184"/>
      <c r="N1755" s="184"/>
      <c r="O1755" s="184"/>
    </row>
    <row r="1756" customFormat="false" ht="15" hidden="false" customHeight="true" outlineLevel="0" collapsed="false">
      <c r="A1756" s="184"/>
      <c r="B1756" s="184"/>
      <c r="C1756" s="184"/>
      <c r="D1756" s="184"/>
      <c r="E1756" s="184"/>
      <c r="F1756" s="184"/>
      <c r="G1756" s="184"/>
      <c r="H1756" s="184"/>
      <c r="I1756" s="184"/>
      <c r="J1756" s="184"/>
      <c r="K1756" s="184"/>
      <c r="L1756" s="184"/>
      <c r="M1756" s="184"/>
      <c r="N1756" s="184"/>
      <c r="O1756" s="184"/>
    </row>
    <row r="1757" customFormat="false" ht="15" hidden="false" customHeight="true" outlineLevel="0" collapsed="false">
      <c r="A1757" s="184"/>
      <c r="B1757" s="184"/>
      <c r="C1757" s="184"/>
      <c r="D1757" s="184"/>
      <c r="E1757" s="184"/>
      <c r="F1757" s="184"/>
      <c r="G1757" s="184"/>
      <c r="H1757" s="184"/>
      <c r="I1757" s="184"/>
      <c r="J1757" s="184"/>
      <c r="K1757" s="184"/>
      <c r="L1757" s="184"/>
      <c r="M1757" s="184"/>
      <c r="N1757" s="184"/>
      <c r="O1757" s="184"/>
    </row>
    <row r="1758" customFormat="false" ht="15" hidden="false" customHeight="true" outlineLevel="0" collapsed="false">
      <c r="A1758" s="184"/>
      <c r="B1758" s="184"/>
      <c r="C1758" s="184"/>
      <c r="D1758" s="184"/>
      <c r="E1758" s="184"/>
      <c r="F1758" s="184"/>
      <c r="G1758" s="184"/>
      <c r="H1758" s="184"/>
      <c r="I1758" s="184"/>
      <c r="J1758" s="184"/>
      <c r="K1758" s="184"/>
      <c r="L1758" s="184"/>
      <c r="M1758" s="184"/>
      <c r="N1758" s="184"/>
      <c r="O1758" s="184"/>
    </row>
    <row r="1759" customFormat="false" ht="15" hidden="false" customHeight="true" outlineLevel="0" collapsed="false">
      <c r="A1759" s="184"/>
      <c r="B1759" s="184"/>
      <c r="C1759" s="184"/>
      <c r="D1759" s="184"/>
      <c r="E1759" s="184"/>
      <c r="F1759" s="184"/>
      <c r="G1759" s="184"/>
      <c r="H1759" s="184"/>
      <c r="I1759" s="184"/>
      <c r="J1759" s="184"/>
      <c r="K1759" s="184"/>
      <c r="L1759" s="184"/>
      <c r="M1759" s="184"/>
      <c r="N1759" s="184"/>
      <c r="O1759" s="184"/>
    </row>
    <row r="1760" customFormat="false" ht="15" hidden="false" customHeight="true" outlineLevel="0" collapsed="false">
      <c r="A1760" s="184"/>
      <c r="B1760" s="184"/>
      <c r="C1760" s="184"/>
      <c r="D1760" s="184"/>
      <c r="E1760" s="184"/>
      <c r="F1760" s="184"/>
      <c r="G1760" s="184"/>
      <c r="H1760" s="184"/>
      <c r="I1760" s="184"/>
      <c r="J1760" s="184"/>
      <c r="K1760" s="184"/>
      <c r="L1760" s="184"/>
      <c r="M1760" s="184"/>
      <c r="N1760" s="184"/>
      <c r="O1760" s="184"/>
    </row>
    <row r="1761" customFormat="false" ht="15" hidden="false" customHeight="true" outlineLevel="0" collapsed="false">
      <c r="A1761" s="184"/>
      <c r="B1761" s="184"/>
      <c r="C1761" s="184"/>
      <c r="D1761" s="184"/>
      <c r="E1761" s="184"/>
      <c r="F1761" s="184"/>
      <c r="G1761" s="184"/>
      <c r="H1761" s="184"/>
      <c r="I1761" s="184"/>
      <c r="J1761" s="184"/>
      <c r="K1761" s="184"/>
      <c r="L1761" s="184"/>
      <c r="M1761" s="184"/>
      <c r="N1761" s="184"/>
      <c r="O1761" s="184"/>
    </row>
    <row r="1762" customFormat="false" ht="15" hidden="false" customHeight="true" outlineLevel="0" collapsed="false">
      <c r="A1762" s="184"/>
      <c r="B1762" s="184"/>
      <c r="C1762" s="184"/>
      <c r="D1762" s="184"/>
      <c r="E1762" s="184"/>
      <c r="F1762" s="184"/>
      <c r="G1762" s="184"/>
      <c r="H1762" s="184"/>
      <c r="I1762" s="184"/>
      <c r="J1762" s="184"/>
      <c r="K1762" s="184"/>
      <c r="L1762" s="184"/>
      <c r="M1762" s="184"/>
      <c r="N1762" s="184"/>
      <c r="O1762" s="184"/>
    </row>
    <row r="1763" customFormat="false" ht="15" hidden="false" customHeight="true" outlineLevel="0" collapsed="false">
      <c r="A1763" s="184"/>
      <c r="B1763" s="184"/>
      <c r="C1763" s="184"/>
      <c r="D1763" s="184"/>
      <c r="E1763" s="184"/>
      <c r="F1763" s="184"/>
      <c r="G1763" s="184"/>
      <c r="H1763" s="184"/>
      <c r="I1763" s="184"/>
      <c r="J1763" s="184"/>
      <c r="K1763" s="184"/>
      <c r="L1763" s="184"/>
      <c r="M1763" s="184"/>
      <c r="N1763" s="184"/>
      <c r="O1763" s="184"/>
    </row>
    <row r="1764" customFormat="false" ht="15" hidden="false" customHeight="true" outlineLevel="0" collapsed="false">
      <c r="A1764" s="184"/>
      <c r="B1764" s="184"/>
      <c r="C1764" s="184"/>
      <c r="D1764" s="184"/>
      <c r="E1764" s="184"/>
      <c r="F1764" s="184"/>
      <c r="G1764" s="184"/>
      <c r="H1764" s="184"/>
      <c r="I1764" s="184"/>
      <c r="J1764" s="184"/>
      <c r="K1764" s="184"/>
      <c r="L1764" s="184"/>
      <c r="M1764" s="184"/>
      <c r="N1764" s="184"/>
      <c r="O1764" s="184"/>
    </row>
    <row r="1765" customFormat="false" ht="15" hidden="false" customHeight="true" outlineLevel="0" collapsed="false">
      <c r="A1765" s="184"/>
      <c r="B1765" s="184"/>
      <c r="C1765" s="184"/>
      <c r="D1765" s="184"/>
      <c r="E1765" s="184"/>
      <c r="F1765" s="184"/>
      <c r="G1765" s="184"/>
      <c r="H1765" s="184"/>
      <c r="I1765" s="184"/>
      <c r="J1765" s="184"/>
      <c r="K1765" s="184"/>
      <c r="L1765" s="184"/>
      <c r="M1765" s="184"/>
      <c r="N1765" s="184"/>
      <c r="O1765" s="184"/>
    </row>
    <row r="1766" customFormat="false" ht="15" hidden="false" customHeight="true" outlineLevel="0" collapsed="false">
      <c r="A1766" s="184"/>
      <c r="B1766" s="184"/>
      <c r="C1766" s="184"/>
      <c r="D1766" s="184"/>
      <c r="E1766" s="184"/>
      <c r="F1766" s="184"/>
      <c r="G1766" s="184"/>
      <c r="H1766" s="184"/>
      <c r="I1766" s="184"/>
      <c r="J1766" s="184"/>
      <c r="K1766" s="184"/>
      <c r="L1766" s="184"/>
      <c r="M1766" s="184"/>
      <c r="N1766" s="184"/>
      <c r="O1766" s="184"/>
    </row>
    <row r="1767" customFormat="false" ht="15" hidden="false" customHeight="true" outlineLevel="0" collapsed="false">
      <c r="A1767" s="184"/>
      <c r="B1767" s="184"/>
      <c r="C1767" s="184"/>
      <c r="D1767" s="184"/>
      <c r="E1767" s="184"/>
      <c r="F1767" s="184"/>
      <c r="G1767" s="184"/>
      <c r="H1767" s="184"/>
      <c r="I1767" s="184"/>
      <c r="J1767" s="184"/>
      <c r="K1767" s="184"/>
      <c r="L1767" s="184"/>
      <c r="M1767" s="184"/>
      <c r="N1767" s="184"/>
      <c r="O1767" s="184"/>
    </row>
    <row r="1768" customFormat="false" ht="15" hidden="false" customHeight="true" outlineLevel="0" collapsed="false">
      <c r="A1768" s="184"/>
      <c r="B1768" s="184"/>
      <c r="C1768" s="184"/>
      <c r="D1768" s="184"/>
      <c r="E1768" s="184"/>
      <c r="F1768" s="184"/>
      <c r="G1768" s="184"/>
      <c r="H1768" s="184"/>
      <c r="I1768" s="184"/>
      <c r="J1768" s="184"/>
      <c r="K1768" s="184"/>
      <c r="L1768" s="184"/>
      <c r="M1768" s="184"/>
      <c r="N1768" s="184"/>
      <c r="O1768" s="184"/>
    </row>
    <row r="1769" customFormat="false" ht="15" hidden="false" customHeight="true" outlineLevel="0" collapsed="false">
      <c r="A1769" s="184"/>
      <c r="B1769" s="184"/>
      <c r="C1769" s="184"/>
      <c r="D1769" s="184"/>
      <c r="E1769" s="184"/>
      <c r="F1769" s="184"/>
      <c r="G1769" s="184"/>
      <c r="H1769" s="184"/>
      <c r="I1769" s="184"/>
      <c r="J1769" s="184"/>
      <c r="K1769" s="184"/>
      <c r="L1769" s="184"/>
      <c r="M1769" s="184"/>
      <c r="N1769" s="184"/>
      <c r="O1769" s="184"/>
    </row>
    <row r="1770" customFormat="false" ht="15" hidden="false" customHeight="true" outlineLevel="0" collapsed="false">
      <c r="A1770" s="184"/>
      <c r="B1770" s="184"/>
      <c r="C1770" s="184"/>
      <c r="D1770" s="184"/>
      <c r="E1770" s="184"/>
      <c r="F1770" s="184"/>
      <c r="G1770" s="184"/>
      <c r="H1770" s="184"/>
      <c r="I1770" s="184"/>
      <c r="J1770" s="184"/>
      <c r="K1770" s="184"/>
      <c r="L1770" s="184"/>
      <c r="M1770" s="184"/>
      <c r="N1770" s="184"/>
      <c r="O1770" s="184"/>
    </row>
    <row r="1771" customFormat="false" ht="15" hidden="false" customHeight="true" outlineLevel="0" collapsed="false">
      <c r="A1771" s="184"/>
      <c r="B1771" s="184"/>
      <c r="C1771" s="184"/>
      <c r="D1771" s="184"/>
      <c r="E1771" s="184"/>
      <c r="F1771" s="184"/>
      <c r="G1771" s="184"/>
      <c r="H1771" s="184"/>
      <c r="I1771" s="184"/>
      <c r="J1771" s="184"/>
      <c r="K1771" s="184"/>
      <c r="L1771" s="184"/>
      <c r="M1771" s="184"/>
      <c r="N1771" s="184"/>
      <c r="O1771" s="184"/>
    </row>
    <row r="1772" customFormat="false" ht="15" hidden="false" customHeight="true" outlineLevel="0" collapsed="false">
      <c r="A1772" s="184"/>
      <c r="B1772" s="184"/>
      <c r="C1772" s="184"/>
      <c r="D1772" s="184"/>
      <c r="E1772" s="184"/>
      <c r="F1772" s="184"/>
      <c r="G1772" s="184"/>
      <c r="H1772" s="184"/>
      <c r="I1772" s="184"/>
      <c r="J1772" s="184"/>
      <c r="K1772" s="184"/>
      <c r="L1772" s="184"/>
      <c r="M1772" s="184"/>
      <c r="N1772" s="184"/>
      <c r="O1772" s="184"/>
    </row>
    <row r="1773" customFormat="false" ht="15" hidden="false" customHeight="true" outlineLevel="0" collapsed="false">
      <c r="A1773" s="184"/>
      <c r="B1773" s="184"/>
      <c r="C1773" s="184"/>
      <c r="D1773" s="184"/>
      <c r="E1773" s="184"/>
      <c r="F1773" s="184"/>
      <c r="G1773" s="184"/>
      <c r="H1773" s="184"/>
      <c r="I1773" s="184"/>
      <c r="J1773" s="184"/>
      <c r="K1773" s="184"/>
      <c r="L1773" s="184"/>
      <c r="M1773" s="184"/>
      <c r="N1773" s="184"/>
      <c r="O1773" s="184"/>
    </row>
    <row r="1774" customFormat="false" ht="15" hidden="false" customHeight="true" outlineLevel="0" collapsed="false">
      <c r="A1774" s="184"/>
      <c r="B1774" s="184"/>
      <c r="C1774" s="184"/>
      <c r="D1774" s="184"/>
      <c r="E1774" s="184"/>
      <c r="F1774" s="184"/>
      <c r="G1774" s="184"/>
      <c r="H1774" s="184"/>
      <c r="I1774" s="184"/>
      <c r="J1774" s="184"/>
      <c r="K1774" s="184"/>
      <c r="L1774" s="184"/>
      <c r="M1774" s="184"/>
      <c r="N1774" s="184"/>
      <c r="O1774" s="184"/>
    </row>
    <row r="1775" customFormat="false" ht="15" hidden="false" customHeight="true" outlineLevel="0" collapsed="false">
      <c r="A1775" s="184"/>
      <c r="B1775" s="184"/>
      <c r="C1775" s="184"/>
      <c r="D1775" s="184"/>
      <c r="E1775" s="184"/>
      <c r="F1775" s="184"/>
      <c r="G1775" s="184"/>
      <c r="H1775" s="184"/>
      <c r="I1775" s="184"/>
      <c r="J1775" s="184"/>
      <c r="K1775" s="184"/>
      <c r="L1775" s="184"/>
      <c r="M1775" s="184"/>
      <c r="N1775" s="184"/>
      <c r="O1775" s="184"/>
    </row>
    <row r="1776" customFormat="false" ht="15" hidden="false" customHeight="true" outlineLevel="0" collapsed="false">
      <c r="A1776" s="184"/>
      <c r="B1776" s="184"/>
      <c r="C1776" s="184"/>
      <c r="D1776" s="184"/>
      <c r="E1776" s="184"/>
      <c r="F1776" s="184"/>
      <c r="G1776" s="184"/>
      <c r="H1776" s="184"/>
      <c r="I1776" s="184"/>
      <c r="J1776" s="184"/>
      <c r="K1776" s="184"/>
      <c r="L1776" s="184"/>
      <c r="M1776" s="184"/>
      <c r="N1776" s="184"/>
      <c r="O1776" s="184"/>
    </row>
    <row r="1777" customFormat="false" ht="15" hidden="false" customHeight="true" outlineLevel="0" collapsed="false">
      <c r="A1777" s="184"/>
      <c r="B1777" s="184"/>
      <c r="C1777" s="184"/>
      <c r="D1777" s="184"/>
      <c r="E1777" s="184"/>
      <c r="F1777" s="184"/>
      <c r="G1777" s="184"/>
      <c r="H1777" s="184"/>
      <c r="I1777" s="184"/>
      <c r="J1777" s="184"/>
      <c r="K1777" s="184"/>
      <c r="L1777" s="184"/>
      <c r="M1777" s="184"/>
      <c r="N1777" s="184"/>
      <c r="O1777" s="184"/>
    </row>
    <row r="1778" customFormat="false" ht="15" hidden="false" customHeight="true" outlineLevel="0" collapsed="false">
      <c r="A1778" s="184"/>
      <c r="B1778" s="184"/>
      <c r="C1778" s="184"/>
      <c r="D1778" s="184"/>
      <c r="E1778" s="184"/>
      <c r="F1778" s="184"/>
      <c r="G1778" s="184"/>
      <c r="H1778" s="184"/>
      <c r="I1778" s="184"/>
      <c r="J1778" s="184"/>
      <c r="K1778" s="184"/>
      <c r="L1778" s="184"/>
      <c r="M1778" s="184"/>
      <c r="N1778" s="184"/>
      <c r="O1778" s="184"/>
    </row>
    <row r="1779" customFormat="false" ht="15" hidden="false" customHeight="true" outlineLevel="0" collapsed="false">
      <c r="A1779" s="184"/>
      <c r="B1779" s="184"/>
      <c r="C1779" s="184"/>
      <c r="D1779" s="184"/>
      <c r="E1779" s="184"/>
      <c r="F1779" s="184"/>
      <c r="G1779" s="184"/>
      <c r="H1779" s="184"/>
      <c r="I1779" s="184"/>
      <c r="J1779" s="184"/>
      <c r="K1779" s="184"/>
      <c r="L1779" s="184"/>
      <c r="M1779" s="184"/>
      <c r="N1779" s="184"/>
      <c r="O1779" s="184"/>
    </row>
    <row r="1780" customFormat="false" ht="15" hidden="false" customHeight="true" outlineLevel="0" collapsed="false">
      <c r="A1780" s="184"/>
      <c r="B1780" s="184"/>
      <c r="C1780" s="184"/>
      <c r="D1780" s="184"/>
      <c r="E1780" s="184"/>
      <c r="F1780" s="184"/>
      <c r="G1780" s="184"/>
      <c r="H1780" s="184"/>
      <c r="I1780" s="184"/>
      <c r="J1780" s="184"/>
      <c r="K1780" s="184"/>
      <c r="L1780" s="184"/>
      <c r="M1780" s="184"/>
      <c r="N1780" s="184"/>
      <c r="O1780" s="184"/>
    </row>
    <row r="1781" customFormat="false" ht="15" hidden="false" customHeight="true" outlineLevel="0" collapsed="false">
      <c r="A1781" s="184"/>
      <c r="B1781" s="184"/>
      <c r="C1781" s="184"/>
      <c r="D1781" s="184"/>
      <c r="E1781" s="184"/>
      <c r="F1781" s="184"/>
      <c r="G1781" s="184"/>
      <c r="H1781" s="184"/>
      <c r="I1781" s="184"/>
      <c r="J1781" s="184"/>
      <c r="K1781" s="184"/>
      <c r="L1781" s="184"/>
      <c r="M1781" s="184"/>
      <c r="N1781" s="184"/>
      <c r="O1781" s="184"/>
    </row>
    <row r="1782" customFormat="false" ht="15" hidden="false" customHeight="true" outlineLevel="0" collapsed="false">
      <c r="A1782" s="184"/>
      <c r="B1782" s="184"/>
      <c r="C1782" s="184"/>
      <c r="D1782" s="184"/>
      <c r="E1782" s="184"/>
      <c r="F1782" s="184"/>
      <c r="G1782" s="184"/>
      <c r="H1782" s="184"/>
      <c r="I1782" s="184"/>
      <c r="J1782" s="184"/>
      <c r="K1782" s="184"/>
      <c r="L1782" s="184"/>
      <c r="M1782" s="184"/>
      <c r="N1782" s="184"/>
      <c r="O1782" s="184"/>
    </row>
    <row r="1783" customFormat="false" ht="15" hidden="false" customHeight="true" outlineLevel="0" collapsed="false">
      <c r="A1783" s="184"/>
      <c r="B1783" s="184"/>
      <c r="C1783" s="184"/>
      <c r="D1783" s="184"/>
      <c r="E1783" s="184"/>
      <c r="F1783" s="184"/>
      <c r="G1783" s="184"/>
      <c r="H1783" s="184"/>
      <c r="I1783" s="184"/>
      <c r="J1783" s="184"/>
      <c r="K1783" s="184"/>
      <c r="L1783" s="184"/>
      <c r="M1783" s="184"/>
      <c r="N1783" s="184"/>
      <c r="O1783" s="184"/>
    </row>
    <row r="1784" customFormat="false" ht="15" hidden="false" customHeight="true" outlineLevel="0" collapsed="false">
      <c r="A1784" s="184"/>
      <c r="B1784" s="184"/>
      <c r="C1784" s="184"/>
      <c r="D1784" s="184"/>
      <c r="E1784" s="184"/>
      <c r="F1784" s="184"/>
      <c r="G1784" s="184"/>
      <c r="H1784" s="184"/>
      <c r="I1784" s="184"/>
      <c r="J1784" s="184"/>
      <c r="K1784" s="184"/>
      <c r="L1784" s="184"/>
      <c r="M1784" s="184"/>
      <c r="N1784" s="184"/>
      <c r="O1784" s="184"/>
    </row>
    <row r="1785" customFormat="false" ht="15" hidden="false" customHeight="true" outlineLevel="0" collapsed="false">
      <c r="A1785" s="184" t="s">
        <v>4921</v>
      </c>
      <c r="B1785" s="184" t="s">
        <v>4922</v>
      </c>
      <c r="C1785" s="184" t="n">
        <v>1</v>
      </c>
      <c r="D1785" s="178" t="s">
        <v>5269</v>
      </c>
      <c r="E1785" s="184" t="s">
        <v>6289</v>
      </c>
      <c r="F1785" s="184"/>
      <c r="G1785" s="184"/>
      <c r="H1785" s="184"/>
      <c r="I1785" s="184"/>
      <c r="J1785" s="184"/>
      <c r="K1785" s="184"/>
      <c r="L1785" s="184"/>
      <c r="M1785" s="184" t="s">
        <v>6859</v>
      </c>
      <c r="N1785" s="184"/>
      <c r="O1785" s="184"/>
    </row>
    <row r="1786" customFormat="false" ht="15" hidden="false" customHeight="true" outlineLevel="0" collapsed="false">
      <c r="A1786" s="184" t="s">
        <v>4921</v>
      </c>
      <c r="B1786" s="184" t="s">
        <v>4922</v>
      </c>
      <c r="C1786" s="184" t="n">
        <v>2</v>
      </c>
      <c r="D1786" s="177" t="s">
        <v>6429</v>
      </c>
      <c r="E1786" s="184" t="s">
        <v>6860</v>
      </c>
      <c r="F1786" s="184"/>
      <c r="G1786" s="184"/>
      <c r="H1786" s="184"/>
      <c r="I1786" s="184"/>
      <c r="J1786" s="184"/>
      <c r="K1786" s="184"/>
      <c r="L1786" s="184"/>
      <c r="M1786" s="184"/>
      <c r="N1786" s="184"/>
      <c r="O1786" s="184"/>
    </row>
    <row r="1787" customFormat="false" ht="15" hidden="false" customHeight="true" outlineLevel="0" collapsed="false">
      <c r="A1787" s="184" t="s">
        <v>4921</v>
      </c>
      <c r="B1787" s="184" t="s">
        <v>4922</v>
      </c>
      <c r="C1787" s="184" t="n">
        <v>3</v>
      </c>
      <c r="D1787" s="179" t="s">
        <v>6292</v>
      </c>
      <c r="E1787" s="184" t="s">
        <v>3448</v>
      </c>
      <c r="F1787" s="184"/>
      <c r="G1787" s="184"/>
      <c r="H1787" s="184"/>
      <c r="I1787" s="184"/>
      <c r="J1787" s="184"/>
      <c r="K1787" s="184"/>
      <c r="L1787" s="184"/>
      <c r="M1787" s="184"/>
      <c r="N1787" s="184"/>
      <c r="O1787" s="184"/>
    </row>
    <row r="1788" customFormat="false" ht="15" hidden="false" customHeight="true" outlineLevel="0" collapsed="false">
      <c r="A1788" s="184" t="s">
        <v>4921</v>
      </c>
      <c r="B1788" s="184" t="s">
        <v>4922</v>
      </c>
      <c r="C1788" s="184" t="n">
        <v>4</v>
      </c>
      <c r="D1788" s="184" t="s">
        <v>6294</v>
      </c>
      <c r="E1788" s="184" t="s">
        <v>6861</v>
      </c>
      <c r="F1788" s="184"/>
      <c r="G1788" s="184"/>
      <c r="H1788" s="184"/>
      <c r="I1788" s="184"/>
      <c r="J1788" s="184"/>
      <c r="K1788" s="184"/>
      <c r="L1788" s="184"/>
      <c r="M1788" s="184"/>
      <c r="N1788" s="184"/>
      <c r="O1788" s="184"/>
    </row>
    <row r="1789" customFormat="false" ht="15" hidden="false" customHeight="true" outlineLevel="0" collapsed="false">
      <c r="A1789" s="184" t="s">
        <v>4921</v>
      </c>
      <c r="B1789" s="184" t="s">
        <v>4922</v>
      </c>
      <c r="C1789" s="184" t="n">
        <v>5</v>
      </c>
      <c r="D1789" s="179" t="s">
        <v>6292</v>
      </c>
      <c r="E1789" s="184" t="s">
        <v>6862</v>
      </c>
      <c r="F1789" s="184"/>
      <c r="G1789" s="184"/>
      <c r="H1789" s="184"/>
      <c r="I1789" s="184"/>
      <c r="J1789" s="184"/>
      <c r="K1789" s="184"/>
      <c r="L1789" s="184"/>
      <c r="M1789" s="184"/>
      <c r="N1789" s="184"/>
      <c r="O1789" s="184"/>
    </row>
    <row r="1790" customFormat="false" ht="27.75" hidden="false" customHeight="true" outlineLevel="0" collapsed="false">
      <c r="A1790" s="184" t="s">
        <v>4921</v>
      </c>
      <c r="B1790" s="184" t="s">
        <v>4922</v>
      </c>
      <c r="C1790" s="184" t="n">
        <v>6</v>
      </c>
      <c r="D1790" s="177" t="s">
        <v>6298</v>
      </c>
      <c r="E1790" s="184" t="s">
        <v>6863</v>
      </c>
      <c r="F1790" s="184"/>
      <c r="G1790" s="184"/>
      <c r="H1790" s="184"/>
      <c r="I1790" s="184"/>
      <c r="J1790" s="184"/>
      <c r="K1790" s="184"/>
      <c r="L1790" s="184"/>
      <c r="M1790" s="184"/>
      <c r="N1790" s="184"/>
      <c r="O1790" s="184"/>
    </row>
    <row r="1791" customFormat="false" ht="15" hidden="false" customHeight="true" outlineLevel="0" collapsed="false">
      <c r="A1791" s="184" t="s">
        <v>4921</v>
      </c>
      <c r="B1791" s="184" t="s">
        <v>4922</v>
      </c>
      <c r="C1791" s="184" t="n">
        <v>7</v>
      </c>
      <c r="D1791" s="177" t="s">
        <v>6298</v>
      </c>
      <c r="E1791" s="184" t="s">
        <v>6864</v>
      </c>
      <c r="F1791" s="184"/>
      <c r="G1791" s="184"/>
      <c r="H1791" s="184"/>
      <c r="I1791" s="184"/>
      <c r="J1791" s="184"/>
      <c r="K1791" s="184"/>
      <c r="L1791" s="184"/>
      <c r="M1791" s="184"/>
      <c r="N1791" s="184"/>
      <c r="O1791" s="184"/>
    </row>
    <row r="1792" customFormat="false" ht="54.75" hidden="false" customHeight="true" outlineLevel="0" collapsed="false">
      <c r="A1792" s="184" t="s">
        <v>4921</v>
      </c>
      <c r="B1792" s="184" t="s">
        <v>4922</v>
      </c>
      <c r="C1792" s="184" t="n">
        <v>8</v>
      </c>
      <c r="D1792" s="174" t="s">
        <v>4846</v>
      </c>
      <c r="E1792" s="184" t="s">
        <v>784</v>
      </c>
      <c r="F1792" s="184" t="s">
        <v>715</v>
      </c>
      <c r="G1792" s="184"/>
      <c r="H1792" s="184"/>
      <c r="I1792" s="184"/>
      <c r="J1792" s="184" t="s">
        <v>5720</v>
      </c>
      <c r="K1792" s="184" t="s">
        <v>6333</v>
      </c>
      <c r="L1792" s="184"/>
      <c r="M1792" s="184" t="s">
        <v>6392</v>
      </c>
      <c r="N1792" s="184"/>
      <c r="O1792" s="184"/>
    </row>
    <row r="1793" customFormat="false" ht="54.75" hidden="false" customHeight="true" outlineLevel="0" collapsed="false">
      <c r="A1793" s="184" t="s">
        <v>4921</v>
      </c>
      <c r="B1793" s="184" t="s">
        <v>4922</v>
      </c>
      <c r="C1793" s="184" t="n">
        <v>9</v>
      </c>
      <c r="D1793" s="174" t="s">
        <v>4846</v>
      </c>
      <c r="E1793" s="184" t="s">
        <v>5837</v>
      </c>
      <c r="F1793" s="184" t="s">
        <v>715</v>
      </c>
      <c r="G1793" s="184"/>
      <c r="H1793" s="184"/>
      <c r="I1793" s="184"/>
      <c r="J1793" s="184" t="s">
        <v>6396</v>
      </c>
      <c r="K1793" s="184" t="s">
        <v>6333</v>
      </c>
      <c r="L1793" s="184"/>
      <c r="M1793" s="184" t="s">
        <v>5839</v>
      </c>
      <c r="N1793" s="184"/>
      <c r="O1793" s="184"/>
    </row>
    <row r="1794" customFormat="false" ht="54.75" hidden="false" customHeight="true" outlineLevel="0" collapsed="false">
      <c r="A1794" s="184" t="s">
        <v>4921</v>
      </c>
      <c r="B1794" s="184" t="s">
        <v>4922</v>
      </c>
      <c r="C1794" s="184" t="n">
        <v>10</v>
      </c>
      <c r="D1794" s="174" t="s">
        <v>4848</v>
      </c>
      <c r="E1794" s="184"/>
      <c r="F1794" s="184"/>
      <c r="G1794" s="184"/>
      <c r="H1794" s="184"/>
      <c r="I1794" s="184"/>
      <c r="J1794" s="184" t="s">
        <v>6301</v>
      </c>
      <c r="K1794" s="184"/>
      <c r="L1794" s="184" t="s">
        <v>6302</v>
      </c>
      <c r="M1794" s="184" t="s">
        <v>6303</v>
      </c>
      <c r="N1794" s="184"/>
      <c r="O1794" s="184"/>
    </row>
    <row r="1795" customFormat="false" ht="41.25" hidden="false" customHeight="true" outlineLevel="0" collapsed="false">
      <c r="A1795" s="184" t="s">
        <v>4921</v>
      </c>
      <c r="B1795" s="184" t="s">
        <v>4922</v>
      </c>
      <c r="C1795" s="184" t="n">
        <v>11</v>
      </c>
      <c r="D1795" s="174" t="s">
        <v>4846</v>
      </c>
      <c r="E1795" s="184" t="s">
        <v>6393</v>
      </c>
      <c r="F1795" s="184" t="s">
        <v>715</v>
      </c>
      <c r="G1795" s="184"/>
      <c r="H1795" s="184"/>
      <c r="I1795" s="184"/>
      <c r="J1795" s="184" t="s">
        <v>6394</v>
      </c>
      <c r="K1795" s="184" t="s">
        <v>6333</v>
      </c>
      <c r="L1795" s="184"/>
      <c r="M1795" s="184" t="s">
        <v>6395</v>
      </c>
      <c r="N1795" s="184"/>
      <c r="O1795" s="184"/>
    </row>
    <row r="1796" customFormat="false" ht="27.75" hidden="false" customHeight="true" outlineLevel="0" collapsed="false">
      <c r="A1796" s="184" t="s">
        <v>4921</v>
      </c>
      <c r="B1796" s="184" t="s">
        <v>4922</v>
      </c>
      <c r="C1796" s="184" t="n">
        <v>12</v>
      </c>
      <c r="D1796" s="179" t="s">
        <v>6300</v>
      </c>
      <c r="E1796" s="184" t="s">
        <v>6865</v>
      </c>
      <c r="F1796" s="184"/>
      <c r="G1796" s="184"/>
      <c r="H1796" s="184"/>
      <c r="I1796" s="184"/>
      <c r="J1796" s="184"/>
      <c r="K1796" s="184"/>
      <c r="L1796" s="184"/>
      <c r="M1796" s="184"/>
      <c r="N1796" s="184"/>
      <c r="O1796" s="184"/>
    </row>
    <row r="1797" customFormat="false" ht="68.25" hidden="false" customHeight="true" outlineLevel="0" collapsed="false">
      <c r="A1797" s="184" t="s">
        <v>4921</v>
      </c>
      <c r="B1797" s="184" t="s">
        <v>4922</v>
      </c>
      <c r="C1797" s="184" t="n">
        <v>13</v>
      </c>
      <c r="D1797" s="177" t="s">
        <v>6298</v>
      </c>
      <c r="E1797" s="184" t="s">
        <v>6866</v>
      </c>
      <c r="F1797" s="184"/>
      <c r="G1797" s="184"/>
      <c r="H1797" s="184"/>
      <c r="I1797" s="184"/>
      <c r="J1797" s="184"/>
      <c r="K1797" s="184"/>
      <c r="L1797" s="184"/>
      <c r="M1797" s="184"/>
      <c r="N1797" s="184"/>
      <c r="O1797" s="184"/>
    </row>
    <row r="1798" customFormat="false" ht="175.5" hidden="false" customHeight="true" outlineLevel="0" collapsed="false">
      <c r="A1798" s="184" t="s">
        <v>4921</v>
      </c>
      <c r="B1798" s="184" t="s">
        <v>4922</v>
      </c>
      <c r="C1798" s="184" t="n">
        <v>14</v>
      </c>
      <c r="D1798" s="174" t="s">
        <v>4846</v>
      </c>
      <c r="E1798" s="184" t="s">
        <v>6307</v>
      </c>
      <c r="F1798" s="184" t="s">
        <v>238</v>
      </c>
      <c r="G1798" s="184"/>
      <c r="H1798" s="184"/>
      <c r="I1798" s="184"/>
      <c r="J1798" s="184" t="s">
        <v>6308</v>
      </c>
      <c r="K1798" s="184" t="s">
        <v>5568</v>
      </c>
      <c r="L1798" s="184"/>
      <c r="M1798" s="184" t="s">
        <v>6309</v>
      </c>
      <c r="N1798" s="184"/>
      <c r="O1798" s="184"/>
    </row>
    <row r="1799" customFormat="false" ht="122.25" hidden="false" customHeight="true" outlineLevel="0" collapsed="false">
      <c r="A1799" s="184" t="s">
        <v>4921</v>
      </c>
      <c r="B1799" s="184" t="s">
        <v>4922</v>
      </c>
      <c r="C1799" s="184" t="n">
        <v>15</v>
      </c>
      <c r="D1799" s="174" t="s">
        <v>4846</v>
      </c>
      <c r="E1799" s="184" t="s">
        <v>6310</v>
      </c>
      <c r="F1799" s="184" t="s">
        <v>238</v>
      </c>
      <c r="G1799" s="184"/>
      <c r="H1799" s="184"/>
      <c r="I1799" s="184"/>
      <c r="J1799" s="184" t="s">
        <v>6311</v>
      </c>
      <c r="K1799" s="184" t="s">
        <v>5568</v>
      </c>
      <c r="L1799" s="184"/>
      <c r="M1799" s="184" t="s">
        <v>6312</v>
      </c>
      <c r="N1799" s="184"/>
      <c r="O1799" s="184"/>
    </row>
    <row r="1800" customFormat="false" ht="81.75" hidden="false" customHeight="true" outlineLevel="0" collapsed="false">
      <c r="A1800" s="184" t="s">
        <v>4921</v>
      </c>
      <c r="B1800" s="184" t="s">
        <v>4922</v>
      </c>
      <c r="C1800" s="184" t="n">
        <v>16</v>
      </c>
      <c r="D1800" s="174" t="s">
        <v>4846</v>
      </c>
      <c r="E1800" s="184" t="s">
        <v>6313</v>
      </c>
      <c r="F1800" s="184" t="s">
        <v>238</v>
      </c>
      <c r="G1800" s="184"/>
      <c r="H1800" s="184"/>
      <c r="I1800" s="184"/>
      <c r="J1800" s="184" t="s">
        <v>6314</v>
      </c>
      <c r="K1800" s="184" t="s">
        <v>5568</v>
      </c>
      <c r="L1800" s="184"/>
      <c r="M1800" s="184" t="s">
        <v>6315</v>
      </c>
      <c r="N1800" s="184"/>
      <c r="O1800" s="184"/>
    </row>
    <row r="1801" customFormat="false" ht="108.75" hidden="false" customHeight="true" outlineLevel="0" collapsed="false">
      <c r="A1801" s="184" t="s">
        <v>4921</v>
      </c>
      <c r="B1801" s="184" t="s">
        <v>4922</v>
      </c>
      <c r="C1801" s="184" t="n">
        <v>17</v>
      </c>
      <c r="D1801" s="174" t="s">
        <v>4846</v>
      </c>
      <c r="E1801" s="184" t="s">
        <v>6316</v>
      </c>
      <c r="F1801" s="184" t="s">
        <v>238</v>
      </c>
      <c r="G1801" s="184"/>
      <c r="H1801" s="184"/>
      <c r="I1801" s="184"/>
      <c r="J1801" s="184" t="s">
        <v>6317</v>
      </c>
      <c r="K1801" s="184" t="s">
        <v>5568</v>
      </c>
      <c r="L1801" s="184"/>
      <c r="M1801" s="184" t="s">
        <v>6318</v>
      </c>
      <c r="N1801" s="184"/>
      <c r="O1801" s="184"/>
    </row>
    <row r="1802" customFormat="false" ht="108.75" hidden="false" customHeight="true" outlineLevel="0" collapsed="false">
      <c r="A1802" s="184" t="s">
        <v>4921</v>
      </c>
      <c r="B1802" s="184" t="s">
        <v>4922</v>
      </c>
      <c r="C1802" s="184" t="n">
        <v>18</v>
      </c>
      <c r="D1802" s="174" t="s">
        <v>4846</v>
      </c>
      <c r="E1802" s="184" t="s">
        <v>6319</v>
      </c>
      <c r="F1802" s="184" t="s">
        <v>238</v>
      </c>
      <c r="G1802" s="184"/>
      <c r="H1802" s="184"/>
      <c r="I1802" s="184"/>
      <c r="J1802" s="184" t="s">
        <v>6320</v>
      </c>
      <c r="K1802" s="184" t="s">
        <v>5568</v>
      </c>
      <c r="L1802" s="184"/>
      <c r="M1802" s="184" t="s">
        <v>6321</v>
      </c>
      <c r="N1802" s="184"/>
      <c r="O1802" s="184"/>
    </row>
    <row r="1803" customFormat="false" ht="68.25" hidden="false" customHeight="true" outlineLevel="0" collapsed="false">
      <c r="A1803" s="184" t="s">
        <v>4921</v>
      </c>
      <c r="B1803" s="184" t="s">
        <v>4922</v>
      </c>
      <c r="C1803" s="184" t="n">
        <v>19</v>
      </c>
      <c r="D1803" s="174" t="s">
        <v>4846</v>
      </c>
      <c r="E1803" s="184" t="s">
        <v>6322</v>
      </c>
      <c r="F1803" s="184" t="s">
        <v>238</v>
      </c>
      <c r="G1803" s="184"/>
      <c r="H1803" s="184"/>
      <c r="I1803" s="184"/>
      <c r="J1803" s="184" t="s">
        <v>6314</v>
      </c>
      <c r="K1803" s="184" t="s">
        <v>6323</v>
      </c>
      <c r="L1803" s="184"/>
      <c r="M1803" s="184" t="s">
        <v>6324</v>
      </c>
      <c r="N1803" s="184"/>
      <c r="O1803" s="184"/>
    </row>
    <row r="1804" customFormat="false" ht="81.75" hidden="false" customHeight="true" outlineLevel="0" collapsed="false">
      <c r="A1804" s="184" t="s">
        <v>4921</v>
      </c>
      <c r="B1804" s="184" t="s">
        <v>4922</v>
      </c>
      <c r="C1804" s="184" t="n">
        <v>20</v>
      </c>
      <c r="D1804" s="174" t="s">
        <v>4846</v>
      </c>
      <c r="E1804" s="184" t="s">
        <v>1434</v>
      </c>
      <c r="F1804" s="184" t="s">
        <v>238</v>
      </c>
      <c r="G1804" s="184"/>
      <c r="H1804" s="184"/>
      <c r="I1804" s="184"/>
      <c r="J1804" s="184" t="s">
        <v>6325</v>
      </c>
      <c r="K1804" s="184" t="s">
        <v>5568</v>
      </c>
      <c r="L1804" s="184"/>
      <c r="M1804" s="184" t="s">
        <v>5673</v>
      </c>
      <c r="N1804" s="184"/>
      <c r="O1804" s="184"/>
    </row>
    <row r="1805" customFormat="false" ht="108.75" hidden="false" customHeight="true" outlineLevel="0" collapsed="false">
      <c r="A1805" s="184" t="s">
        <v>4921</v>
      </c>
      <c r="B1805" s="184" t="s">
        <v>4922</v>
      </c>
      <c r="C1805" s="184" t="n">
        <v>21</v>
      </c>
      <c r="D1805" s="174" t="s">
        <v>4848</v>
      </c>
      <c r="E1805" s="184" t="s">
        <v>1789</v>
      </c>
      <c r="F1805" s="184"/>
      <c r="G1805" s="184"/>
      <c r="H1805" s="184"/>
      <c r="I1805" s="184"/>
      <c r="J1805" s="184" t="s">
        <v>6326</v>
      </c>
      <c r="K1805" s="184" t="s">
        <v>5568</v>
      </c>
      <c r="L1805" s="184" t="s">
        <v>6327</v>
      </c>
      <c r="M1805" s="184" t="s">
        <v>6328</v>
      </c>
      <c r="N1805" s="184"/>
      <c r="O1805" s="184"/>
    </row>
    <row r="1806" customFormat="false" ht="108.75" hidden="false" customHeight="true" outlineLevel="0" collapsed="false">
      <c r="A1806" s="184" t="s">
        <v>4921</v>
      </c>
      <c r="B1806" s="184" t="s">
        <v>4922</v>
      </c>
      <c r="C1806" s="184" t="n">
        <v>22</v>
      </c>
      <c r="D1806" s="174" t="s">
        <v>4846</v>
      </c>
      <c r="E1806" s="184" t="s">
        <v>5459</v>
      </c>
      <c r="F1806" s="184" t="s">
        <v>238</v>
      </c>
      <c r="G1806" s="184"/>
      <c r="H1806" s="184"/>
      <c r="I1806" s="184"/>
      <c r="J1806" s="184" t="s">
        <v>6325</v>
      </c>
      <c r="K1806" s="184" t="s">
        <v>5568</v>
      </c>
      <c r="L1806" s="184"/>
      <c r="M1806" s="184" t="s">
        <v>5462</v>
      </c>
      <c r="N1806" s="184"/>
      <c r="O1806" s="184"/>
    </row>
    <row r="1807" customFormat="false" ht="81.75" hidden="false" customHeight="true" outlineLevel="0" collapsed="false">
      <c r="A1807" s="184" t="s">
        <v>4921</v>
      </c>
      <c r="B1807" s="184" t="s">
        <v>4922</v>
      </c>
      <c r="C1807" s="184" t="n">
        <v>23</v>
      </c>
      <c r="D1807" s="174" t="s">
        <v>4846</v>
      </c>
      <c r="E1807" s="184" t="s">
        <v>6329</v>
      </c>
      <c r="F1807" s="184" t="s">
        <v>238</v>
      </c>
      <c r="G1807" s="184"/>
      <c r="H1807" s="184"/>
      <c r="I1807" s="184"/>
      <c r="J1807" s="184" t="s">
        <v>6330</v>
      </c>
      <c r="K1807" s="184" t="s">
        <v>5568</v>
      </c>
      <c r="L1807" s="184"/>
      <c r="M1807" s="184" t="s">
        <v>6331</v>
      </c>
      <c r="N1807" s="184"/>
      <c r="O1807" s="184"/>
    </row>
    <row r="1808" customFormat="false" ht="68.25" hidden="false" customHeight="true" outlineLevel="0" collapsed="false">
      <c r="A1808" s="184" t="s">
        <v>4921</v>
      </c>
      <c r="B1808" s="184" t="s">
        <v>4922</v>
      </c>
      <c r="C1808" s="184" t="n">
        <v>24</v>
      </c>
      <c r="D1808" s="174" t="s">
        <v>4846</v>
      </c>
      <c r="E1808" s="184" t="s">
        <v>5463</v>
      </c>
      <c r="F1808" s="184" t="s">
        <v>238</v>
      </c>
      <c r="G1808" s="184"/>
      <c r="H1808" s="184"/>
      <c r="I1808" s="184"/>
      <c r="J1808" s="184" t="s">
        <v>6314</v>
      </c>
      <c r="K1808" s="184" t="s">
        <v>5568</v>
      </c>
      <c r="L1808" s="184"/>
      <c r="M1808" s="184" t="s">
        <v>5466</v>
      </c>
      <c r="N1808" s="184"/>
      <c r="O1808" s="184"/>
    </row>
    <row r="1809" customFormat="false" ht="41.25" hidden="false" customHeight="true" outlineLevel="0" collapsed="false">
      <c r="A1809" s="184" t="s">
        <v>4921</v>
      </c>
      <c r="B1809" s="184" t="s">
        <v>4922</v>
      </c>
      <c r="C1809" s="184" t="n">
        <v>25</v>
      </c>
      <c r="D1809" s="174" t="s">
        <v>4846</v>
      </c>
      <c r="E1809" s="184" t="s">
        <v>5228</v>
      </c>
      <c r="F1809" s="184" t="s">
        <v>227</v>
      </c>
      <c r="G1809" s="184"/>
      <c r="H1809" s="184"/>
      <c r="I1809" s="184"/>
      <c r="J1809" s="184" t="s">
        <v>6332</v>
      </c>
      <c r="K1809" s="184" t="s">
        <v>6333</v>
      </c>
      <c r="L1809" s="184"/>
      <c r="M1809" s="184" t="s">
        <v>5230</v>
      </c>
      <c r="N1809" s="184"/>
      <c r="O1809" s="184"/>
    </row>
    <row r="1810" customFormat="false" ht="41.25" hidden="false" customHeight="true" outlineLevel="0" collapsed="false">
      <c r="A1810" s="184" t="s">
        <v>4921</v>
      </c>
      <c r="B1810" s="184" t="s">
        <v>4922</v>
      </c>
      <c r="C1810" s="184" t="n">
        <v>26</v>
      </c>
      <c r="D1810" s="174" t="s">
        <v>4846</v>
      </c>
      <c r="E1810" s="184" t="s">
        <v>5467</v>
      </c>
      <c r="F1810" s="184" t="s">
        <v>238</v>
      </c>
      <c r="G1810" s="184"/>
      <c r="H1810" s="184"/>
      <c r="I1810" s="184"/>
      <c r="J1810" s="184" t="s">
        <v>6314</v>
      </c>
      <c r="K1810" s="184" t="s">
        <v>6333</v>
      </c>
      <c r="L1810" s="184" t="s">
        <v>5469</v>
      </c>
      <c r="M1810" s="184" t="s">
        <v>6334</v>
      </c>
      <c r="N1810" s="184"/>
      <c r="O1810" s="184"/>
    </row>
    <row r="1811" customFormat="false" ht="68.25" hidden="false" customHeight="true" outlineLevel="0" collapsed="false">
      <c r="A1811" s="184" t="s">
        <v>4921</v>
      </c>
      <c r="B1811" s="184" t="s">
        <v>4922</v>
      </c>
      <c r="C1811" s="184" t="n">
        <v>27</v>
      </c>
      <c r="D1811" s="174" t="s">
        <v>4846</v>
      </c>
      <c r="E1811" s="184" t="s">
        <v>5864</v>
      </c>
      <c r="F1811" s="184" t="s">
        <v>238</v>
      </c>
      <c r="G1811" s="184"/>
      <c r="H1811" s="184"/>
      <c r="I1811" s="184"/>
      <c r="J1811" s="184" t="s">
        <v>6330</v>
      </c>
      <c r="K1811" s="184" t="s">
        <v>5568</v>
      </c>
      <c r="L1811" s="184"/>
      <c r="M1811" s="184" t="s">
        <v>5867</v>
      </c>
      <c r="N1811" s="184"/>
      <c r="O1811" s="184"/>
    </row>
    <row r="1812" customFormat="false" ht="68.25" hidden="false" customHeight="true" outlineLevel="0" collapsed="false">
      <c r="A1812" s="184" t="s">
        <v>4921</v>
      </c>
      <c r="B1812" s="184" t="s">
        <v>4922</v>
      </c>
      <c r="C1812" s="184" t="n">
        <v>28</v>
      </c>
      <c r="D1812" s="174" t="s">
        <v>4846</v>
      </c>
      <c r="E1812" s="184" t="s">
        <v>5868</v>
      </c>
      <c r="F1812" s="184" t="s">
        <v>238</v>
      </c>
      <c r="G1812" s="184"/>
      <c r="H1812" s="184"/>
      <c r="I1812" s="184"/>
      <c r="J1812" s="184" t="s">
        <v>6335</v>
      </c>
      <c r="K1812" s="184" t="s">
        <v>5568</v>
      </c>
      <c r="L1812" s="184"/>
      <c r="M1812" s="184" t="s">
        <v>5871</v>
      </c>
      <c r="N1812" s="184"/>
      <c r="O1812" s="184"/>
    </row>
    <row r="1813" customFormat="false" ht="68.25" hidden="false" customHeight="true" outlineLevel="0" collapsed="false">
      <c r="A1813" s="184" t="s">
        <v>4921</v>
      </c>
      <c r="B1813" s="184" t="s">
        <v>4922</v>
      </c>
      <c r="C1813" s="184" t="n">
        <v>29</v>
      </c>
      <c r="D1813" s="174" t="s">
        <v>4846</v>
      </c>
      <c r="E1813" s="184" t="s">
        <v>5872</v>
      </c>
      <c r="F1813" s="184" t="s">
        <v>238</v>
      </c>
      <c r="G1813" s="184"/>
      <c r="H1813" s="184"/>
      <c r="I1813" s="184"/>
      <c r="J1813" s="184" t="s">
        <v>6336</v>
      </c>
      <c r="K1813" s="184" t="s">
        <v>5568</v>
      </c>
      <c r="L1813" s="184"/>
      <c r="M1813" s="184" t="s">
        <v>5875</v>
      </c>
      <c r="N1813" s="184"/>
      <c r="O1813" s="184"/>
    </row>
    <row r="1814" customFormat="false" ht="54.75" hidden="false" customHeight="true" outlineLevel="0" collapsed="false">
      <c r="A1814" s="184" t="s">
        <v>4921</v>
      </c>
      <c r="B1814" s="184" t="s">
        <v>4922</v>
      </c>
      <c r="C1814" s="184" t="n">
        <v>30</v>
      </c>
      <c r="D1814" s="174" t="s">
        <v>4846</v>
      </c>
      <c r="E1814" s="184" t="s">
        <v>5963</v>
      </c>
      <c r="F1814" s="184" t="s">
        <v>238</v>
      </c>
      <c r="G1814" s="184"/>
      <c r="H1814" s="184"/>
      <c r="I1814" s="184"/>
      <c r="J1814" s="184" t="s">
        <v>6311</v>
      </c>
      <c r="K1814" s="184" t="s">
        <v>5568</v>
      </c>
      <c r="L1814" s="184"/>
      <c r="M1814" s="184" t="s">
        <v>5966</v>
      </c>
      <c r="N1814" s="184"/>
      <c r="O1814" s="184"/>
    </row>
    <row r="1815" customFormat="false" ht="54.75" hidden="false" customHeight="true" outlineLevel="0" collapsed="false">
      <c r="A1815" s="184" t="s">
        <v>4921</v>
      </c>
      <c r="B1815" s="184" t="s">
        <v>4922</v>
      </c>
      <c r="C1815" s="184" t="n">
        <v>31</v>
      </c>
      <c r="D1815" s="174" t="s">
        <v>4846</v>
      </c>
      <c r="E1815" s="184" t="s">
        <v>5967</v>
      </c>
      <c r="F1815" s="184" t="s">
        <v>238</v>
      </c>
      <c r="G1815" s="184"/>
      <c r="H1815" s="184"/>
      <c r="I1815" s="184"/>
      <c r="J1815" s="184" t="s">
        <v>6337</v>
      </c>
      <c r="K1815" s="184" t="s">
        <v>5568</v>
      </c>
      <c r="L1815" s="184"/>
      <c r="M1815" s="184" t="s">
        <v>5970</v>
      </c>
      <c r="N1815" s="184"/>
      <c r="O1815" s="184"/>
    </row>
    <row r="1816" customFormat="false" ht="54.75" hidden="false" customHeight="true" outlineLevel="0" collapsed="false">
      <c r="A1816" s="184" t="s">
        <v>4921</v>
      </c>
      <c r="B1816" s="184" t="s">
        <v>4922</v>
      </c>
      <c r="C1816" s="184" t="n">
        <v>32</v>
      </c>
      <c r="D1816" s="174" t="s">
        <v>4846</v>
      </c>
      <c r="E1816" s="184" t="s">
        <v>5971</v>
      </c>
      <c r="F1816" s="184" t="s">
        <v>238</v>
      </c>
      <c r="G1816" s="184"/>
      <c r="H1816" s="184"/>
      <c r="I1816" s="184"/>
      <c r="J1816" s="184" t="s">
        <v>6338</v>
      </c>
      <c r="K1816" s="184" t="s">
        <v>5568</v>
      </c>
      <c r="L1816" s="184"/>
      <c r="M1816" s="184" t="s">
        <v>5974</v>
      </c>
      <c r="N1816" s="184"/>
      <c r="O1816" s="184"/>
    </row>
    <row r="1817" customFormat="false" ht="81.75" hidden="false" customHeight="true" outlineLevel="0" collapsed="false">
      <c r="A1817" s="184" t="s">
        <v>4921</v>
      </c>
      <c r="B1817" s="184" t="s">
        <v>4922</v>
      </c>
      <c r="C1817" s="184" t="n">
        <v>33</v>
      </c>
      <c r="D1817" s="174" t="s">
        <v>4848</v>
      </c>
      <c r="E1817" s="184" t="s">
        <v>1790</v>
      </c>
      <c r="F1817" s="184"/>
      <c r="G1817" s="184"/>
      <c r="H1817" s="184"/>
      <c r="I1817" s="184"/>
      <c r="J1817" s="184" t="s">
        <v>6339</v>
      </c>
      <c r="K1817" s="184" t="s">
        <v>5568</v>
      </c>
      <c r="L1817" s="184" t="s">
        <v>6340</v>
      </c>
      <c r="M1817" s="184" t="s">
        <v>6341</v>
      </c>
      <c r="N1817" s="184"/>
      <c r="O1817" s="184"/>
    </row>
    <row r="1818" customFormat="false" ht="54.75" hidden="false" customHeight="true" outlineLevel="0" collapsed="false">
      <c r="A1818" s="184" t="s">
        <v>4921</v>
      </c>
      <c r="B1818" s="184" t="s">
        <v>4922</v>
      </c>
      <c r="C1818" s="184" t="n">
        <v>34</v>
      </c>
      <c r="D1818" s="174" t="s">
        <v>4846</v>
      </c>
      <c r="E1818" s="184" t="s">
        <v>6342</v>
      </c>
      <c r="F1818" s="184" t="s">
        <v>5221</v>
      </c>
      <c r="G1818" s="184"/>
      <c r="H1818" s="184"/>
      <c r="I1818" s="184"/>
      <c r="J1818" s="184"/>
      <c r="K1818" s="184" t="s">
        <v>6343</v>
      </c>
      <c r="L1818" s="184"/>
      <c r="M1818" s="184" t="s">
        <v>6344</v>
      </c>
      <c r="N1818" s="184"/>
      <c r="O1818" s="184"/>
    </row>
    <row r="1819" customFormat="false" ht="81.75" hidden="false" customHeight="true" outlineLevel="0" collapsed="false">
      <c r="A1819" s="184" t="s">
        <v>4921</v>
      </c>
      <c r="B1819" s="184" t="s">
        <v>4922</v>
      </c>
      <c r="C1819" s="184" t="n">
        <v>35</v>
      </c>
      <c r="D1819" s="174" t="s">
        <v>4846</v>
      </c>
      <c r="E1819" s="184" t="s">
        <v>6345</v>
      </c>
      <c r="F1819" s="184" t="s">
        <v>227</v>
      </c>
      <c r="G1819" s="184"/>
      <c r="H1819" s="184"/>
      <c r="I1819" s="184"/>
      <c r="J1819" s="184" t="s">
        <v>6346</v>
      </c>
      <c r="K1819" s="184" t="s">
        <v>6323</v>
      </c>
      <c r="L1819" s="184"/>
      <c r="M1819" s="184" t="s">
        <v>6347</v>
      </c>
      <c r="N1819" s="184"/>
      <c r="O1819" s="184"/>
    </row>
    <row r="1820" customFormat="false" ht="27.75" hidden="false" customHeight="true" outlineLevel="0" collapsed="false">
      <c r="A1820" s="184" t="s">
        <v>4921</v>
      </c>
      <c r="B1820" s="184" t="s">
        <v>4922</v>
      </c>
      <c r="C1820" s="184" t="n">
        <v>36</v>
      </c>
      <c r="D1820" s="174" t="s">
        <v>4846</v>
      </c>
      <c r="E1820" s="184" t="s">
        <v>6348</v>
      </c>
      <c r="F1820" s="184" t="s">
        <v>227</v>
      </c>
      <c r="G1820" s="184"/>
      <c r="H1820" s="184"/>
      <c r="I1820" s="184"/>
      <c r="J1820" s="184" t="s">
        <v>6346</v>
      </c>
      <c r="K1820" s="184" t="s">
        <v>6333</v>
      </c>
      <c r="L1820" s="184"/>
      <c r="M1820" s="184" t="s">
        <v>6349</v>
      </c>
      <c r="N1820" s="184"/>
      <c r="O1820" s="184"/>
    </row>
    <row r="1821" customFormat="false" ht="122.25" hidden="false" customHeight="true" outlineLevel="0" collapsed="false">
      <c r="A1821" s="184" t="s">
        <v>4921</v>
      </c>
      <c r="B1821" s="184" t="s">
        <v>4922</v>
      </c>
      <c r="C1821" s="184" t="n">
        <v>37</v>
      </c>
      <c r="D1821" s="174" t="s">
        <v>4846</v>
      </c>
      <c r="E1821" s="184" t="s">
        <v>6350</v>
      </c>
      <c r="F1821" s="184" t="s">
        <v>238</v>
      </c>
      <c r="G1821" s="184"/>
      <c r="H1821" s="184"/>
      <c r="I1821" s="184"/>
      <c r="J1821" s="184" t="s">
        <v>5736</v>
      </c>
      <c r="K1821" s="184" t="s">
        <v>5568</v>
      </c>
      <c r="L1821" s="184"/>
      <c r="M1821" s="184" t="s">
        <v>6351</v>
      </c>
      <c r="N1821" s="184"/>
      <c r="O1821" s="184"/>
    </row>
    <row r="1822" customFormat="false" ht="95.25" hidden="false" customHeight="true" outlineLevel="0" collapsed="false">
      <c r="A1822" s="184" t="s">
        <v>4921</v>
      </c>
      <c r="B1822" s="184" t="s">
        <v>4922</v>
      </c>
      <c r="C1822" s="184" t="n">
        <v>38</v>
      </c>
      <c r="D1822" s="174" t="s">
        <v>4846</v>
      </c>
      <c r="E1822" s="184" t="s">
        <v>5674</v>
      </c>
      <c r="F1822" s="184"/>
      <c r="G1822" s="184"/>
      <c r="H1822" s="184"/>
      <c r="I1822" s="184"/>
      <c r="J1822" s="184" t="s">
        <v>5675</v>
      </c>
      <c r="K1822" s="184" t="s">
        <v>5568</v>
      </c>
      <c r="L1822" s="184"/>
      <c r="M1822" s="184" t="s">
        <v>5677</v>
      </c>
      <c r="N1822" s="184"/>
      <c r="O1822" s="184"/>
    </row>
    <row r="1823" customFormat="false" ht="95.25" hidden="false" customHeight="true" outlineLevel="0" collapsed="false">
      <c r="A1823" s="184" t="s">
        <v>4921</v>
      </c>
      <c r="B1823" s="184" t="s">
        <v>4922</v>
      </c>
      <c r="C1823" s="184" t="n">
        <v>39</v>
      </c>
      <c r="D1823" s="174" t="s">
        <v>4846</v>
      </c>
      <c r="E1823" s="184" t="s">
        <v>6352</v>
      </c>
      <c r="F1823" s="184" t="s">
        <v>238</v>
      </c>
      <c r="G1823" s="184"/>
      <c r="H1823" s="184"/>
      <c r="I1823" s="184"/>
      <c r="J1823" s="184" t="s">
        <v>6353</v>
      </c>
      <c r="K1823" s="184" t="s">
        <v>5568</v>
      </c>
      <c r="L1823" s="184"/>
      <c r="M1823" s="184" t="s">
        <v>6354</v>
      </c>
      <c r="N1823" s="184"/>
      <c r="O1823" s="184"/>
    </row>
    <row r="1824" customFormat="false" ht="135.75" hidden="false" customHeight="true" outlineLevel="0" collapsed="false">
      <c r="A1824" s="184" t="s">
        <v>4921</v>
      </c>
      <c r="B1824" s="184" t="s">
        <v>4922</v>
      </c>
      <c r="C1824" s="184" t="n">
        <v>40</v>
      </c>
      <c r="D1824" s="174" t="s">
        <v>4846</v>
      </c>
      <c r="E1824" s="184" t="s">
        <v>5678</v>
      </c>
      <c r="F1824" s="184" t="s">
        <v>238</v>
      </c>
      <c r="G1824" s="184"/>
      <c r="H1824" s="184"/>
      <c r="I1824" s="184"/>
      <c r="J1824" s="184" t="s">
        <v>5675</v>
      </c>
      <c r="K1824" s="184" t="s">
        <v>5568</v>
      </c>
      <c r="L1824" s="184"/>
      <c r="M1824" s="184" t="s">
        <v>5681</v>
      </c>
      <c r="N1824" s="184"/>
      <c r="O1824" s="184"/>
    </row>
    <row r="1825" customFormat="false" ht="162" hidden="false" customHeight="true" outlineLevel="0" collapsed="false">
      <c r="A1825" s="184" t="s">
        <v>4921</v>
      </c>
      <c r="B1825" s="184" t="s">
        <v>4922</v>
      </c>
      <c r="C1825" s="184" t="n">
        <v>41</v>
      </c>
      <c r="D1825" s="174" t="s">
        <v>4848</v>
      </c>
      <c r="E1825" s="184" t="s">
        <v>5682</v>
      </c>
      <c r="F1825" s="184"/>
      <c r="G1825" s="184"/>
      <c r="H1825" s="184"/>
      <c r="I1825" s="184"/>
      <c r="J1825" s="184" t="s">
        <v>5683</v>
      </c>
      <c r="K1825" s="184" t="s">
        <v>5568</v>
      </c>
      <c r="L1825" s="184" t="s">
        <v>6355</v>
      </c>
      <c r="M1825" s="184" t="s">
        <v>5685</v>
      </c>
      <c r="N1825" s="184"/>
      <c r="O1825" s="184"/>
    </row>
    <row r="1826" customFormat="false" ht="108.75" hidden="false" customHeight="true" outlineLevel="0" collapsed="false">
      <c r="A1826" s="184" t="s">
        <v>4921</v>
      </c>
      <c r="B1826" s="184" t="s">
        <v>4922</v>
      </c>
      <c r="C1826" s="184" t="n">
        <v>42</v>
      </c>
      <c r="D1826" s="174" t="s">
        <v>4848</v>
      </c>
      <c r="E1826" s="184" t="s">
        <v>6356</v>
      </c>
      <c r="F1826" s="184"/>
      <c r="G1826" s="184"/>
      <c r="H1826" s="184"/>
      <c r="I1826" s="184"/>
      <c r="J1826" s="184" t="s">
        <v>6357</v>
      </c>
      <c r="K1826" s="184" t="s">
        <v>5568</v>
      </c>
      <c r="L1826" s="184" t="s">
        <v>6358</v>
      </c>
      <c r="M1826" s="184" t="s">
        <v>6359</v>
      </c>
      <c r="N1826" s="184"/>
      <c r="O1826" s="184"/>
    </row>
    <row r="1827" customFormat="false" ht="81.75" hidden="false" customHeight="true" outlineLevel="0" collapsed="false">
      <c r="A1827" s="184" t="s">
        <v>4921</v>
      </c>
      <c r="B1827" s="184" t="s">
        <v>4922</v>
      </c>
      <c r="C1827" s="184" t="n">
        <v>43</v>
      </c>
      <c r="D1827" s="174" t="s">
        <v>4848</v>
      </c>
      <c r="E1827" s="184" t="s">
        <v>5833</v>
      </c>
      <c r="F1827" s="184"/>
      <c r="G1827" s="184"/>
      <c r="H1827" s="184"/>
      <c r="I1827" s="184"/>
      <c r="J1827" s="184" t="s">
        <v>5834</v>
      </c>
      <c r="K1827" s="184" t="s">
        <v>5568</v>
      </c>
      <c r="L1827" s="184" t="s">
        <v>6360</v>
      </c>
      <c r="M1827" s="184" t="s">
        <v>5836</v>
      </c>
      <c r="N1827" s="184"/>
      <c r="O1827" s="184"/>
    </row>
    <row r="1828" customFormat="false" ht="41.25" hidden="false" customHeight="true" outlineLevel="0" collapsed="false">
      <c r="A1828" s="184" t="s">
        <v>4921</v>
      </c>
      <c r="B1828" s="184" t="s">
        <v>4922</v>
      </c>
      <c r="C1828" s="184" t="n">
        <v>44</v>
      </c>
      <c r="D1828" s="174" t="s">
        <v>4846</v>
      </c>
      <c r="E1828" s="184" t="s">
        <v>6361</v>
      </c>
      <c r="F1828" s="184" t="s">
        <v>227</v>
      </c>
      <c r="G1828" s="184"/>
      <c r="H1828" s="184"/>
      <c r="I1828" s="184"/>
      <c r="J1828" s="184" t="s">
        <v>6362</v>
      </c>
      <c r="K1828" s="184" t="s">
        <v>6323</v>
      </c>
      <c r="L1828" s="184"/>
      <c r="M1828" s="184" t="s">
        <v>6363</v>
      </c>
      <c r="N1828" s="184"/>
      <c r="O1828" s="184"/>
    </row>
    <row r="1829" customFormat="false" ht="149.25" hidden="false" customHeight="true" outlineLevel="0" collapsed="false">
      <c r="A1829" s="184" t="s">
        <v>4921</v>
      </c>
      <c r="B1829" s="184" t="s">
        <v>4922</v>
      </c>
      <c r="C1829" s="184" t="n">
        <v>45</v>
      </c>
      <c r="D1829" s="174" t="s">
        <v>4846</v>
      </c>
      <c r="E1829" s="184" t="s">
        <v>681</v>
      </c>
      <c r="F1829" s="184"/>
      <c r="G1829" s="184"/>
      <c r="H1829" s="184"/>
      <c r="I1829" s="184"/>
      <c r="J1829" s="184" t="s">
        <v>6325</v>
      </c>
      <c r="K1829" s="184" t="s">
        <v>5568</v>
      </c>
      <c r="L1829" s="184"/>
      <c r="M1829" s="184" t="s">
        <v>6365</v>
      </c>
      <c r="N1829" s="184"/>
      <c r="O1829" s="184"/>
    </row>
    <row r="1830" customFormat="false" ht="27.75" hidden="false" customHeight="true" outlineLevel="0" collapsed="false">
      <c r="A1830" s="184" t="s">
        <v>4921</v>
      </c>
      <c r="B1830" s="184" t="s">
        <v>4922</v>
      </c>
      <c r="C1830" s="184" t="n">
        <v>46</v>
      </c>
      <c r="D1830" s="174" t="s">
        <v>4846</v>
      </c>
      <c r="E1830" s="184" t="s">
        <v>6366</v>
      </c>
      <c r="F1830" s="184" t="s">
        <v>238</v>
      </c>
      <c r="G1830" s="184"/>
      <c r="H1830" s="184"/>
      <c r="I1830" s="184"/>
      <c r="J1830" s="184" t="s">
        <v>6367</v>
      </c>
      <c r="K1830" s="184" t="s">
        <v>6333</v>
      </c>
      <c r="L1830" s="184" t="s">
        <v>6368</v>
      </c>
      <c r="M1830" s="184" t="s">
        <v>4371</v>
      </c>
      <c r="N1830" s="184"/>
      <c r="O1830" s="184"/>
    </row>
    <row r="1831" customFormat="false" ht="41.25" hidden="false" customHeight="true" outlineLevel="0" collapsed="false">
      <c r="A1831" s="184" t="s">
        <v>4921</v>
      </c>
      <c r="B1831" s="184" t="s">
        <v>4922</v>
      </c>
      <c r="C1831" s="184" t="n">
        <v>47</v>
      </c>
      <c r="D1831" s="174" t="s">
        <v>4846</v>
      </c>
      <c r="E1831" s="184" t="s">
        <v>6369</v>
      </c>
      <c r="F1831" s="184" t="s">
        <v>238</v>
      </c>
      <c r="G1831" s="184"/>
      <c r="H1831" s="184"/>
      <c r="I1831" s="184"/>
      <c r="J1831" s="184" t="s">
        <v>6370</v>
      </c>
      <c r="K1831" s="184" t="s">
        <v>6333</v>
      </c>
      <c r="L1831" s="184"/>
      <c r="M1831" s="184" t="s">
        <v>6170</v>
      </c>
      <c r="N1831" s="184"/>
      <c r="O1831" s="184"/>
    </row>
    <row r="1832" customFormat="false" ht="27.75" hidden="false" customHeight="true" outlineLevel="0" collapsed="false">
      <c r="A1832" s="184" t="s">
        <v>4921</v>
      </c>
      <c r="B1832" s="184" t="s">
        <v>4922</v>
      </c>
      <c r="C1832" s="184" t="n">
        <v>48</v>
      </c>
      <c r="D1832" s="174" t="s">
        <v>4846</v>
      </c>
      <c r="E1832" s="184" t="s">
        <v>6371</v>
      </c>
      <c r="F1832" s="184" t="s">
        <v>238</v>
      </c>
      <c r="G1832" s="184"/>
      <c r="H1832" s="184"/>
      <c r="I1832" s="184"/>
      <c r="J1832" s="184" t="s">
        <v>6372</v>
      </c>
      <c r="K1832" s="184" t="s">
        <v>6333</v>
      </c>
      <c r="L1832" s="184" t="s">
        <v>6373</v>
      </c>
      <c r="M1832" s="184" t="s">
        <v>4375</v>
      </c>
      <c r="N1832" s="184"/>
      <c r="O1832" s="184"/>
    </row>
    <row r="1833" customFormat="false" ht="108.75" hidden="false" customHeight="true" outlineLevel="0" collapsed="false">
      <c r="A1833" s="184" t="s">
        <v>4921</v>
      </c>
      <c r="B1833" s="184" t="s">
        <v>4922</v>
      </c>
      <c r="C1833" s="184" t="n">
        <v>49</v>
      </c>
      <c r="D1833" s="174" t="s">
        <v>4846</v>
      </c>
      <c r="E1833" s="184" t="s">
        <v>1454</v>
      </c>
      <c r="F1833" s="184" t="s">
        <v>5221</v>
      </c>
      <c r="G1833" s="184"/>
      <c r="H1833" s="184"/>
      <c r="I1833" s="184"/>
      <c r="J1833" s="184" t="s">
        <v>6311</v>
      </c>
      <c r="K1833" s="184" t="s">
        <v>5568</v>
      </c>
      <c r="L1833" s="184"/>
      <c r="M1833" s="184" t="s">
        <v>6374</v>
      </c>
      <c r="N1833" s="184"/>
      <c r="O1833" s="184"/>
    </row>
    <row r="1834" customFormat="false" ht="68.25" hidden="false" customHeight="true" outlineLevel="0" collapsed="false">
      <c r="A1834" s="184" t="s">
        <v>4921</v>
      </c>
      <c r="B1834" s="184" t="s">
        <v>4922</v>
      </c>
      <c r="C1834" s="184" t="n">
        <v>50</v>
      </c>
      <c r="D1834" s="174" t="s">
        <v>4846</v>
      </c>
      <c r="E1834" s="184" t="s">
        <v>6375</v>
      </c>
      <c r="F1834" s="184" t="s">
        <v>238</v>
      </c>
      <c r="G1834" s="184"/>
      <c r="H1834" s="184"/>
      <c r="I1834" s="184"/>
      <c r="J1834" s="184" t="s">
        <v>6376</v>
      </c>
      <c r="K1834" s="184" t="s">
        <v>5568</v>
      </c>
      <c r="L1834" s="184"/>
      <c r="M1834" s="184" t="s">
        <v>6377</v>
      </c>
      <c r="N1834" s="184"/>
      <c r="O1834" s="184"/>
    </row>
    <row r="1835" customFormat="false" ht="81.75" hidden="false" customHeight="true" outlineLevel="0" collapsed="false">
      <c r="A1835" s="184" t="s">
        <v>4921</v>
      </c>
      <c r="B1835" s="184" t="s">
        <v>4922</v>
      </c>
      <c r="C1835" s="184" t="n">
        <v>51</v>
      </c>
      <c r="D1835" s="174" t="s">
        <v>4846</v>
      </c>
      <c r="E1835" s="184" t="s">
        <v>6378</v>
      </c>
      <c r="F1835" s="184" t="s">
        <v>238</v>
      </c>
      <c r="G1835" s="184"/>
      <c r="H1835" s="184"/>
      <c r="I1835" s="184"/>
      <c r="J1835" s="184" t="s">
        <v>5736</v>
      </c>
      <c r="K1835" s="184" t="s">
        <v>5568</v>
      </c>
      <c r="L1835" s="184"/>
      <c r="M1835" s="184" t="s">
        <v>6379</v>
      </c>
      <c r="N1835" s="184"/>
      <c r="O1835" s="184"/>
    </row>
    <row r="1836" customFormat="false" ht="68.25" hidden="false" customHeight="true" outlineLevel="0" collapsed="false">
      <c r="A1836" s="184" t="s">
        <v>4921</v>
      </c>
      <c r="B1836" s="184" t="s">
        <v>4922</v>
      </c>
      <c r="C1836" s="184" t="n">
        <v>52</v>
      </c>
      <c r="D1836" s="174" t="s">
        <v>4846</v>
      </c>
      <c r="E1836" s="184" t="s">
        <v>6380</v>
      </c>
      <c r="F1836" s="184" t="s">
        <v>227</v>
      </c>
      <c r="G1836" s="184"/>
      <c r="H1836" s="184"/>
      <c r="I1836" s="184"/>
      <c r="J1836" s="184" t="s">
        <v>6381</v>
      </c>
      <c r="K1836" s="184" t="s">
        <v>5568</v>
      </c>
      <c r="L1836" s="184"/>
      <c r="M1836" s="184" t="s">
        <v>6382</v>
      </c>
      <c r="N1836" s="184"/>
      <c r="O1836" s="184"/>
    </row>
    <row r="1837" customFormat="false" ht="68.25" hidden="false" customHeight="true" outlineLevel="0" collapsed="false">
      <c r="A1837" s="184" t="s">
        <v>4921</v>
      </c>
      <c r="B1837" s="184" t="s">
        <v>4922</v>
      </c>
      <c r="C1837" s="184" t="n">
        <v>53</v>
      </c>
      <c r="D1837" s="174" t="s">
        <v>4846</v>
      </c>
      <c r="E1837" s="184" t="s">
        <v>6016</v>
      </c>
      <c r="F1837" s="184" t="s">
        <v>238</v>
      </c>
      <c r="G1837" s="184"/>
      <c r="H1837" s="184"/>
      <c r="I1837" s="184"/>
      <c r="J1837" s="184" t="s">
        <v>6383</v>
      </c>
      <c r="K1837" s="184" t="s">
        <v>5568</v>
      </c>
      <c r="L1837" s="184"/>
      <c r="M1837" s="184" t="s">
        <v>6019</v>
      </c>
      <c r="N1837" s="184"/>
      <c r="O1837" s="184"/>
    </row>
    <row r="1838" customFormat="false" ht="68.25" hidden="false" customHeight="true" outlineLevel="0" collapsed="false">
      <c r="A1838" s="184" t="s">
        <v>4921</v>
      </c>
      <c r="B1838" s="184" t="s">
        <v>4922</v>
      </c>
      <c r="C1838" s="184" t="n">
        <v>54</v>
      </c>
      <c r="D1838" s="174" t="s">
        <v>4846</v>
      </c>
      <c r="E1838" s="184" t="s">
        <v>6384</v>
      </c>
      <c r="F1838" s="184" t="s">
        <v>5221</v>
      </c>
      <c r="G1838" s="184"/>
      <c r="H1838" s="184"/>
      <c r="I1838" s="184"/>
      <c r="J1838" s="184" t="s">
        <v>6385</v>
      </c>
      <c r="K1838" s="184" t="s">
        <v>5568</v>
      </c>
      <c r="L1838" s="184"/>
      <c r="M1838" s="184" t="s">
        <v>6386</v>
      </c>
      <c r="N1838" s="184"/>
      <c r="O1838" s="184"/>
    </row>
    <row r="1839" customFormat="false" ht="54.75" hidden="false" customHeight="true" outlineLevel="0" collapsed="false">
      <c r="A1839" s="184" t="s">
        <v>4921</v>
      </c>
      <c r="B1839" s="184" t="s">
        <v>4922</v>
      </c>
      <c r="C1839" s="184" t="n">
        <v>55</v>
      </c>
      <c r="D1839" s="174" t="s">
        <v>4846</v>
      </c>
      <c r="E1839" s="184" t="s">
        <v>6387</v>
      </c>
      <c r="F1839" s="184" t="s">
        <v>227</v>
      </c>
      <c r="G1839" s="184"/>
      <c r="H1839" s="184"/>
      <c r="I1839" s="184"/>
      <c r="J1839" s="184" t="s">
        <v>6388</v>
      </c>
      <c r="K1839" s="184" t="s">
        <v>6333</v>
      </c>
      <c r="L1839" s="184"/>
      <c r="M1839" s="184" t="s">
        <v>6389</v>
      </c>
      <c r="N1839" s="184"/>
      <c r="O1839" s="184"/>
    </row>
    <row r="1840" customFormat="false" ht="54.75" hidden="false" customHeight="true" outlineLevel="0" collapsed="false">
      <c r="A1840" s="184" t="s">
        <v>4921</v>
      </c>
      <c r="B1840" s="184" t="s">
        <v>4922</v>
      </c>
      <c r="C1840" s="184" t="n">
        <v>56</v>
      </c>
      <c r="D1840" s="174" t="s">
        <v>4846</v>
      </c>
      <c r="E1840" s="184" t="s">
        <v>6138</v>
      </c>
      <c r="F1840" s="184" t="s">
        <v>238</v>
      </c>
      <c r="G1840" s="184"/>
      <c r="H1840" s="184"/>
      <c r="I1840" s="184"/>
      <c r="J1840" s="184" t="s">
        <v>5736</v>
      </c>
      <c r="K1840" s="184" t="s">
        <v>5568</v>
      </c>
      <c r="L1840" s="184"/>
      <c r="M1840" s="184" t="s">
        <v>6141</v>
      </c>
      <c r="N1840" s="184"/>
      <c r="O1840" s="184"/>
    </row>
    <row r="1841" customFormat="false" ht="54.75" hidden="false" customHeight="true" outlineLevel="0" collapsed="false">
      <c r="A1841" s="184" t="s">
        <v>4921</v>
      </c>
      <c r="B1841" s="184" t="s">
        <v>4922</v>
      </c>
      <c r="C1841" s="184" t="n">
        <v>57</v>
      </c>
      <c r="D1841" s="174" t="s">
        <v>4846</v>
      </c>
      <c r="E1841" s="184" t="s">
        <v>6142</v>
      </c>
      <c r="F1841" s="184" t="s">
        <v>238</v>
      </c>
      <c r="G1841" s="184"/>
      <c r="H1841" s="184"/>
      <c r="I1841" s="184"/>
      <c r="J1841" s="184" t="s">
        <v>6390</v>
      </c>
      <c r="K1841" s="184" t="s">
        <v>5568</v>
      </c>
      <c r="L1841" s="184"/>
      <c r="M1841" s="184" t="s">
        <v>6145</v>
      </c>
      <c r="N1841" s="184"/>
      <c r="O1841" s="184"/>
    </row>
    <row r="1842" customFormat="false" ht="54.75" hidden="false" customHeight="true" outlineLevel="0" collapsed="false">
      <c r="A1842" s="184" t="s">
        <v>4921</v>
      </c>
      <c r="B1842" s="184" t="s">
        <v>4922</v>
      </c>
      <c r="C1842" s="184" t="n">
        <v>58</v>
      </c>
      <c r="D1842" s="174" t="s">
        <v>4846</v>
      </c>
      <c r="E1842" s="184" t="s">
        <v>6146</v>
      </c>
      <c r="F1842" s="184" t="s">
        <v>238</v>
      </c>
      <c r="G1842" s="184"/>
      <c r="H1842" s="184"/>
      <c r="I1842" s="184"/>
      <c r="J1842" s="184" t="s">
        <v>6370</v>
      </c>
      <c r="K1842" s="184" t="s">
        <v>5568</v>
      </c>
      <c r="L1842" s="184"/>
      <c r="M1842" s="184" t="s">
        <v>6149</v>
      </c>
      <c r="N1842" s="184"/>
      <c r="O1842" s="184"/>
    </row>
    <row r="1843" customFormat="false" ht="27.75" hidden="false" customHeight="true" outlineLevel="0" collapsed="false">
      <c r="A1843" s="184" t="s">
        <v>4921</v>
      </c>
      <c r="B1843" s="184" t="s">
        <v>4922</v>
      </c>
      <c r="C1843" s="184" t="n">
        <v>59</v>
      </c>
      <c r="D1843" s="174" t="s">
        <v>4848</v>
      </c>
      <c r="E1843" s="184" t="s">
        <v>6397</v>
      </c>
      <c r="F1843" s="184"/>
      <c r="G1843" s="184"/>
      <c r="H1843" s="184"/>
      <c r="I1843" s="184"/>
      <c r="J1843" s="184" t="s">
        <v>1654</v>
      </c>
      <c r="K1843" s="184" t="s">
        <v>5568</v>
      </c>
      <c r="L1843" s="184" t="s">
        <v>6398</v>
      </c>
      <c r="M1843" s="184" t="s">
        <v>6399</v>
      </c>
      <c r="N1843" s="184"/>
      <c r="O1843" s="184"/>
    </row>
    <row r="1844" customFormat="false" ht="15" hidden="false" customHeight="true" outlineLevel="0" collapsed="false">
      <c r="A1844" s="184" t="s">
        <v>4921</v>
      </c>
      <c r="B1844" s="184" t="s">
        <v>4922</v>
      </c>
      <c r="C1844" s="184" t="n">
        <v>60</v>
      </c>
      <c r="D1844" s="184" t="s">
        <v>6296</v>
      </c>
      <c r="E1844" s="184" t="s">
        <v>724</v>
      </c>
      <c r="F1844" s="184"/>
      <c r="G1844" s="184"/>
      <c r="H1844" s="184"/>
      <c r="I1844" s="184"/>
      <c r="J1844" s="184"/>
      <c r="K1844" s="184"/>
      <c r="L1844" s="184"/>
      <c r="M1844" s="184"/>
      <c r="N1844" s="184"/>
      <c r="O1844" s="184"/>
    </row>
    <row r="1845" customFormat="false" ht="15" hidden="false" customHeight="true" outlineLevel="0" collapsed="false">
      <c r="A1845" s="184" t="s">
        <v>4921</v>
      </c>
      <c r="B1845" s="184" t="s">
        <v>4922</v>
      </c>
      <c r="C1845" s="184" t="n">
        <v>61</v>
      </c>
      <c r="D1845" s="177" t="s">
        <v>6298</v>
      </c>
      <c r="E1845" s="184" t="s">
        <v>6867</v>
      </c>
      <c r="F1845" s="184"/>
      <c r="G1845" s="184"/>
      <c r="H1845" s="184"/>
      <c r="I1845" s="184"/>
      <c r="J1845" s="184"/>
      <c r="K1845" s="184"/>
      <c r="L1845" s="184"/>
      <c r="M1845" s="184"/>
      <c r="N1845" s="184"/>
      <c r="O1845" s="184"/>
    </row>
    <row r="1846" customFormat="false" ht="15" hidden="false" customHeight="true" outlineLevel="0" collapsed="false">
      <c r="A1846" s="184" t="s">
        <v>4921</v>
      </c>
      <c r="B1846" s="184" t="s">
        <v>4922</v>
      </c>
      <c r="C1846" s="184" t="n">
        <v>62</v>
      </c>
      <c r="D1846" s="177" t="s">
        <v>6298</v>
      </c>
      <c r="E1846" s="184" t="s">
        <v>6868</v>
      </c>
      <c r="F1846" s="184"/>
      <c r="G1846" s="184"/>
      <c r="H1846" s="184"/>
      <c r="I1846" s="184"/>
      <c r="J1846" s="184"/>
      <c r="K1846" s="184"/>
      <c r="L1846" s="184"/>
      <c r="M1846" s="184"/>
      <c r="N1846" s="184"/>
      <c r="O1846" s="184"/>
    </row>
    <row r="1847" customFormat="false" ht="15" hidden="false" customHeight="true" outlineLevel="0" collapsed="false">
      <c r="A1847" s="184" t="s">
        <v>4921</v>
      </c>
      <c r="B1847" s="184" t="s">
        <v>4922</v>
      </c>
      <c r="C1847" s="184" t="n">
        <v>63</v>
      </c>
      <c r="D1847" s="178" t="s">
        <v>6457</v>
      </c>
      <c r="E1847" s="184" t="s">
        <v>6869</v>
      </c>
      <c r="F1847" s="184"/>
      <c r="G1847" s="184"/>
      <c r="H1847" s="184"/>
      <c r="I1847" s="184"/>
      <c r="J1847" s="184"/>
      <c r="K1847" s="184"/>
      <c r="L1847" s="184"/>
      <c r="M1847" s="184" t="s">
        <v>6870</v>
      </c>
      <c r="N1847" s="184"/>
      <c r="O1847" s="184"/>
    </row>
    <row r="1848" customFormat="false" ht="15" hidden="false" customHeight="true" outlineLevel="0" collapsed="false">
      <c r="A1848" s="184" t="s">
        <v>4921</v>
      </c>
      <c r="B1848" s="184" t="s">
        <v>4922</v>
      </c>
      <c r="C1848" s="184" t="n">
        <v>64</v>
      </c>
      <c r="D1848" s="178" t="s">
        <v>6457</v>
      </c>
      <c r="E1848" s="184" t="s">
        <v>6871</v>
      </c>
      <c r="F1848" s="184"/>
      <c r="G1848" s="184"/>
      <c r="H1848" s="184"/>
      <c r="I1848" s="184"/>
      <c r="J1848" s="184"/>
      <c r="K1848" s="184"/>
      <c r="L1848" s="184"/>
      <c r="M1848" s="184" t="s">
        <v>6872</v>
      </c>
      <c r="N1848" s="184"/>
      <c r="O1848" s="184"/>
    </row>
    <row r="1849" customFormat="false" ht="27.75" hidden="false" customHeight="true" outlineLevel="0" collapsed="false">
      <c r="A1849" s="184" t="s">
        <v>4921</v>
      </c>
      <c r="B1849" s="184" t="s">
        <v>4922</v>
      </c>
      <c r="C1849" s="184" t="n">
        <v>65</v>
      </c>
      <c r="D1849" s="179" t="s">
        <v>6300</v>
      </c>
      <c r="E1849" s="184" t="s">
        <v>6873</v>
      </c>
      <c r="F1849" s="184"/>
      <c r="G1849" s="184"/>
      <c r="H1849" s="184"/>
      <c r="I1849" s="184"/>
      <c r="J1849" s="184"/>
      <c r="K1849" s="184"/>
      <c r="L1849" s="184"/>
      <c r="M1849" s="184"/>
      <c r="N1849" s="184"/>
      <c r="O1849" s="184"/>
    </row>
    <row r="1850" customFormat="false" ht="15" hidden="false" customHeight="true" outlineLevel="0" collapsed="false">
      <c r="A1850" s="184" t="s">
        <v>4921</v>
      </c>
      <c r="B1850" s="184" t="s">
        <v>4922</v>
      </c>
      <c r="C1850" s="184" t="n">
        <v>66</v>
      </c>
      <c r="D1850" s="184" t="s">
        <v>4790</v>
      </c>
      <c r="E1850" s="184" t="s">
        <v>6874</v>
      </c>
      <c r="F1850" s="184"/>
      <c r="G1850" s="184"/>
      <c r="H1850" s="184"/>
      <c r="I1850" s="184"/>
      <c r="J1850" s="184"/>
      <c r="K1850" s="184"/>
      <c r="L1850" s="184"/>
      <c r="M1850" s="184" t="s">
        <v>6875</v>
      </c>
      <c r="N1850" s="184"/>
      <c r="O1850" s="184"/>
    </row>
    <row r="1851" customFormat="false" ht="15" hidden="false" customHeight="true" outlineLevel="0" collapsed="false">
      <c r="A1851" s="184" t="s">
        <v>4921</v>
      </c>
      <c r="B1851" s="184" t="s">
        <v>4922</v>
      </c>
      <c r="C1851" s="184" t="n">
        <v>67</v>
      </c>
      <c r="D1851" s="184" t="s">
        <v>4790</v>
      </c>
      <c r="E1851" s="184" t="s">
        <v>6876</v>
      </c>
      <c r="F1851" s="184"/>
      <c r="G1851" s="184"/>
      <c r="H1851" s="184"/>
      <c r="I1851" s="184"/>
      <c r="J1851" s="184"/>
      <c r="K1851" s="184"/>
      <c r="L1851" s="184"/>
      <c r="M1851" s="184" t="s">
        <v>6877</v>
      </c>
      <c r="N1851" s="184"/>
      <c r="O1851" s="184"/>
    </row>
    <row r="1852" customFormat="false" ht="15" hidden="false" customHeight="true" outlineLevel="0" collapsed="false">
      <c r="A1852" s="184" t="s">
        <v>4921</v>
      </c>
      <c r="B1852" s="184" t="s">
        <v>4922</v>
      </c>
      <c r="C1852" s="184" t="n">
        <v>68</v>
      </c>
      <c r="D1852" s="184" t="s">
        <v>4790</v>
      </c>
      <c r="E1852" s="184" t="s">
        <v>6878</v>
      </c>
      <c r="F1852" s="184"/>
      <c r="G1852" s="184"/>
      <c r="H1852" s="184"/>
      <c r="I1852" s="184"/>
      <c r="J1852" s="184"/>
      <c r="K1852" s="184"/>
      <c r="L1852" s="184"/>
      <c r="M1852" s="184" t="s">
        <v>6879</v>
      </c>
      <c r="N1852" s="184"/>
      <c r="O1852" s="184"/>
    </row>
    <row r="1853" customFormat="false" ht="27.75" hidden="false" customHeight="true" outlineLevel="0" collapsed="false">
      <c r="A1853" s="184" t="s">
        <v>4921</v>
      </c>
      <c r="B1853" s="184" t="s">
        <v>4922</v>
      </c>
      <c r="C1853" s="184" t="n">
        <v>69</v>
      </c>
      <c r="D1853" s="184" t="s">
        <v>4790</v>
      </c>
      <c r="E1853" s="184" t="s">
        <v>6880</v>
      </c>
      <c r="F1853" s="184"/>
      <c r="G1853" s="184"/>
      <c r="H1853" s="184"/>
      <c r="I1853" s="184"/>
      <c r="J1853" s="184"/>
      <c r="K1853" s="184"/>
      <c r="L1853" s="184"/>
      <c r="M1853" s="184" t="s">
        <v>6881</v>
      </c>
      <c r="N1853" s="184"/>
      <c r="O1853" s="184"/>
    </row>
    <row r="1854" customFormat="false" ht="27.75" hidden="false" customHeight="true" outlineLevel="0" collapsed="false">
      <c r="A1854" s="184" t="s">
        <v>4921</v>
      </c>
      <c r="B1854" s="184" t="s">
        <v>4922</v>
      </c>
      <c r="C1854" s="184" t="n">
        <v>70</v>
      </c>
      <c r="D1854" s="184" t="s">
        <v>4790</v>
      </c>
      <c r="E1854" s="184" t="s">
        <v>6882</v>
      </c>
      <c r="F1854" s="184"/>
      <c r="G1854" s="184"/>
      <c r="H1854" s="184"/>
      <c r="I1854" s="184"/>
      <c r="J1854" s="184"/>
      <c r="K1854" s="184"/>
      <c r="L1854" s="184"/>
      <c r="M1854" s="184" t="s">
        <v>6883</v>
      </c>
      <c r="N1854" s="184"/>
      <c r="O1854" s="184"/>
    </row>
    <row r="1855" customFormat="false" ht="27.75" hidden="false" customHeight="true" outlineLevel="0" collapsed="false">
      <c r="A1855" s="184" t="s">
        <v>4921</v>
      </c>
      <c r="B1855" s="184" t="s">
        <v>4922</v>
      </c>
      <c r="C1855" s="184" t="n">
        <v>71</v>
      </c>
      <c r="D1855" s="184" t="s">
        <v>4790</v>
      </c>
      <c r="E1855" s="184" t="s">
        <v>6884</v>
      </c>
      <c r="F1855" s="184"/>
      <c r="G1855" s="184"/>
      <c r="H1855" s="184"/>
      <c r="I1855" s="184"/>
      <c r="J1855" s="184"/>
      <c r="K1855" s="184"/>
      <c r="L1855" s="184"/>
      <c r="M1855" s="184" t="s">
        <v>6885</v>
      </c>
      <c r="N1855" s="184"/>
      <c r="O1855" s="184"/>
    </row>
    <row r="1856" customFormat="false" ht="15" hidden="false" customHeight="true" outlineLevel="0" collapsed="false">
      <c r="A1856" s="184" t="s">
        <v>4921</v>
      </c>
      <c r="B1856" s="184" t="s">
        <v>4922</v>
      </c>
      <c r="C1856" s="184" t="n">
        <v>72</v>
      </c>
      <c r="D1856" s="184" t="s">
        <v>4790</v>
      </c>
      <c r="E1856" s="184" t="s">
        <v>6886</v>
      </c>
      <c r="F1856" s="184"/>
      <c r="G1856" s="184"/>
      <c r="H1856" s="184"/>
      <c r="I1856" s="184"/>
      <c r="J1856" s="184"/>
      <c r="K1856" s="184"/>
      <c r="L1856" s="184"/>
      <c r="M1856" s="184" t="s">
        <v>6887</v>
      </c>
      <c r="N1856" s="184"/>
      <c r="O1856" s="184"/>
    </row>
    <row r="1857" customFormat="false" ht="27.75" hidden="false" customHeight="true" outlineLevel="0" collapsed="false">
      <c r="A1857" s="184" t="s">
        <v>4921</v>
      </c>
      <c r="B1857" s="184" t="s">
        <v>4922</v>
      </c>
      <c r="C1857" s="184" t="n">
        <v>73</v>
      </c>
      <c r="D1857" s="184" t="s">
        <v>4790</v>
      </c>
      <c r="E1857" s="184" t="s">
        <v>6888</v>
      </c>
      <c r="F1857" s="184"/>
      <c r="G1857" s="184"/>
      <c r="H1857" s="184"/>
      <c r="I1857" s="184"/>
      <c r="J1857" s="184"/>
      <c r="K1857" s="184"/>
      <c r="L1857" s="184"/>
      <c r="M1857" s="184" t="s">
        <v>6889</v>
      </c>
      <c r="N1857" s="184"/>
      <c r="O1857" s="184"/>
    </row>
    <row r="1858" customFormat="false" ht="27.75" hidden="false" customHeight="true" outlineLevel="0" collapsed="false">
      <c r="A1858" s="184" t="s">
        <v>4921</v>
      </c>
      <c r="B1858" s="184" t="s">
        <v>4922</v>
      </c>
      <c r="C1858" s="184" t="n">
        <v>74</v>
      </c>
      <c r="D1858" s="184" t="s">
        <v>4790</v>
      </c>
      <c r="E1858" s="184" t="s">
        <v>6890</v>
      </c>
      <c r="F1858" s="184"/>
      <c r="G1858" s="184"/>
      <c r="H1858" s="184"/>
      <c r="I1858" s="184"/>
      <c r="J1858" s="184"/>
      <c r="K1858" s="184"/>
      <c r="L1858" s="184"/>
      <c r="M1858" s="184" t="s">
        <v>6891</v>
      </c>
      <c r="N1858" s="184"/>
      <c r="O1858" s="184"/>
    </row>
    <row r="1859" customFormat="false" ht="15" hidden="false" customHeight="true" outlineLevel="0" collapsed="false">
      <c r="A1859" s="184" t="s">
        <v>4921</v>
      </c>
      <c r="B1859" s="184" t="s">
        <v>4922</v>
      </c>
      <c r="C1859" s="184" t="n">
        <v>75</v>
      </c>
      <c r="D1859" s="184" t="s">
        <v>4790</v>
      </c>
      <c r="E1859" s="184" t="s">
        <v>6892</v>
      </c>
      <c r="F1859" s="184"/>
      <c r="G1859" s="184"/>
      <c r="H1859" s="184"/>
      <c r="I1859" s="184"/>
      <c r="J1859" s="184"/>
      <c r="K1859" s="184"/>
      <c r="L1859" s="184"/>
      <c r="M1859" s="184" t="s">
        <v>6893</v>
      </c>
      <c r="N1859" s="184"/>
      <c r="O1859" s="184"/>
    </row>
    <row r="1860" customFormat="false" ht="15" hidden="false" customHeight="true" outlineLevel="0" collapsed="false">
      <c r="A1860" s="184" t="s">
        <v>4921</v>
      </c>
      <c r="B1860" s="184" t="s">
        <v>4922</v>
      </c>
      <c r="C1860" s="184" t="n">
        <v>76</v>
      </c>
      <c r="D1860" s="184" t="s">
        <v>4790</v>
      </c>
      <c r="E1860" s="184" t="s">
        <v>6894</v>
      </c>
      <c r="F1860" s="184"/>
      <c r="G1860" s="184"/>
      <c r="H1860" s="184"/>
      <c r="I1860" s="184"/>
      <c r="J1860" s="184"/>
      <c r="K1860" s="184"/>
      <c r="L1860" s="184"/>
      <c r="M1860" s="184" t="s">
        <v>6895</v>
      </c>
      <c r="N1860" s="184"/>
      <c r="O1860" s="184"/>
    </row>
    <row r="1861" customFormat="false" ht="15" hidden="false" customHeight="true" outlineLevel="0" collapsed="false">
      <c r="A1861" s="184" t="s">
        <v>4921</v>
      </c>
      <c r="B1861" s="184" t="s">
        <v>4922</v>
      </c>
      <c r="C1861" s="184" t="n">
        <v>77</v>
      </c>
      <c r="D1861" s="184" t="s">
        <v>4790</v>
      </c>
      <c r="E1861" s="184" t="s">
        <v>6896</v>
      </c>
      <c r="F1861" s="184"/>
      <c r="G1861" s="184"/>
      <c r="H1861" s="184"/>
      <c r="I1861" s="184"/>
      <c r="J1861" s="184"/>
      <c r="K1861" s="184"/>
      <c r="L1861" s="184"/>
      <c r="M1861" s="184" t="s">
        <v>6897</v>
      </c>
      <c r="N1861" s="184"/>
      <c r="O1861" s="184"/>
    </row>
    <row r="1862" customFormat="false" ht="15" hidden="false" customHeight="true" outlineLevel="0" collapsed="false">
      <c r="A1862" s="184" t="s">
        <v>4921</v>
      </c>
      <c r="B1862" s="184" t="s">
        <v>4922</v>
      </c>
      <c r="C1862" s="184" t="n">
        <v>78</v>
      </c>
      <c r="D1862" s="184" t="s">
        <v>4790</v>
      </c>
      <c r="E1862" s="184" t="s">
        <v>6898</v>
      </c>
      <c r="F1862" s="184"/>
      <c r="G1862" s="184"/>
      <c r="H1862" s="184"/>
      <c r="I1862" s="184"/>
      <c r="J1862" s="184"/>
      <c r="K1862" s="184"/>
      <c r="L1862" s="184"/>
      <c r="M1862" s="184" t="s">
        <v>6899</v>
      </c>
      <c r="N1862" s="184"/>
      <c r="O1862" s="184"/>
    </row>
    <row r="1863" customFormat="false" ht="27.75" hidden="false" customHeight="true" outlineLevel="0" collapsed="false">
      <c r="A1863" s="184" t="s">
        <v>4921</v>
      </c>
      <c r="B1863" s="184" t="s">
        <v>4922</v>
      </c>
      <c r="C1863" s="184" t="n">
        <v>79</v>
      </c>
      <c r="D1863" s="184" t="s">
        <v>4790</v>
      </c>
      <c r="E1863" s="184" t="s">
        <v>6900</v>
      </c>
      <c r="F1863" s="184"/>
      <c r="G1863" s="184"/>
      <c r="H1863" s="184"/>
      <c r="I1863" s="184"/>
      <c r="J1863" s="184"/>
      <c r="K1863" s="184"/>
      <c r="L1863" s="184"/>
      <c r="M1863" s="184" t="s">
        <v>6901</v>
      </c>
      <c r="N1863" s="184"/>
      <c r="O1863" s="184"/>
    </row>
    <row r="1864" customFormat="false" ht="15" hidden="false" customHeight="true" outlineLevel="0" collapsed="false">
      <c r="A1864" s="184" t="s">
        <v>4921</v>
      </c>
      <c r="B1864" s="184" t="s">
        <v>4922</v>
      </c>
      <c r="C1864" s="184" t="n">
        <v>80</v>
      </c>
      <c r="D1864" s="184" t="s">
        <v>4790</v>
      </c>
      <c r="E1864" s="184" t="s">
        <v>6902</v>
      </c>
      <c r="F1864" s="184"/>
      <c r="G1864" s="184"/>
      <c r="H1864" s="184"/>
      <c r="I1864" s="184"/>
      <c r="J1864" s="184"/>
      <c r="K1864" s="184"/>
      <c r="L1864" s="184"/>
      <c r="M1864" s="184" t="s">
        <v>6903</v>
      </c>
      <c r="N1864" s="184"/>
      <c r="O1864" s="184"/>
    </row>
    <row r="1865" customFormat="false" ht="15" hidden="false" customHeight="true" outlineLevel="0" collapsed="false">
      <c r="A1865" s="184" t="s">
        <v>4921</v>
      </c>
      <c r="B1865" s="184" t="s">
        <v>4922</v>
      </c>
      <c r="C1865" s="184" t="n">
        <v>81</v>
      </c>
      <c r="D1865" s="184" t="s">
        <v>4790</v>
      </c>
      <c r="E1865" s="184" t="s">
        <v>6904</v>
      </c>
      <c r="F1865" s="184"/>
      <c r="G1865" s="184"/>
      <c r="H1865" s="184"/>
      <c r="I1865" s="184"/>
      <c r="J1865" s="184"/>
      <c r="K1865" s="184"/>
      <c r="L1865" s="184"/>
      <c r="M1865" s="184" t="s">
        <v>6905</v>
      </c>
      <c r="N1865" s="184"/>
      <c r="O1865" s="184"/>
    </row>
    <row r="1866" customFormat="false" ht="27.75" hidden="false" customHeight="true" outlineLevel="0" collapsed="false">
      <c r="A1866" s="184" t="s">
        <v>4921</v>
      </c>
      <c r="B1866" s="184" t="s">
        <v>4922</v>
      </c>
      <c r="C1866" s="184" t="n">
        <v>82</v>
      </c>
      <c r="D1866" s="184" t="s">
        <v>4790</v>
      </c>
      <c r="E1866" s="184" t="s">
        <v>6906</v>
      </c>
      <c r="F1866" s="184"/>
      <c r="G1866" s="184"/>
      <c r="H1866" s="184"/>
      <c r="I1866" s="184"/>
      <c r="J1866" s="184"/>
      <c r="K1866" s="184"/>
      <c r="L1866" s="184"/>
      <c r="M1866" s="184" t="s">
        <v>6907</v>
      </c>
      <c r="N1866" s="184"/>
      <c r="O1866" s="184"/>
    </row>
    <row r="1867" customFormat="false" ht="27.75" hidden="false" customHeight="true" outlineLevel="0" collapsed="false">
      <c r="A1867" s="184" t="s">
        <v>4921</v>
      </c>
      <c r="B1867" s="184" t="s">
        <v>4922</v>
      </c>
      <c r="C1867" s="184" t="n">
        <v>83</v>
      </c>
      <c r="D1867" s="184" t="s">
        <v>4790</v>
      </c>
      <c r="E1867" s="184" t="s">
        <v>6908</v>
      </c>
      <c r="F1867" s="184"/>
      <c r="G1867" s="184"/>
      <c r="H1867" s="184"/>
      <c r="I1867" s="184"/>
      <c r="J1867" s="184"/>
      <c r="K1867" s="184"/>
      <c r="L1867" s="184"/>
      <c r="M1867" s="184" t="s">
        <v>6909</v>
      </c>
      <c r="N1867" s="184"/>
      <c r="O1867" s="184"/>
    </row>
    <row r="1868" customFormat="false" ht="15" hidden="false" customHeight="true" outlineLevel="0" collapsed="false">
      <c r="A1868" s="184" t="s">
        <v>4921</v>
      </c>
      <c r="B1868" s="184" t="s">
        <v>4922</v>
      </c>
      <c r="C1868" s="184" t="n">
        <v>84</v>
      </c>
      <c r="D1868" s="184" t="s">
        <v>4790</v>
      </c>
      <c r="E1868" s="184" t="s">
        <v>6910</v>
      </c>
      <c r="F1868" s="184"/>
      <c r="G1868" s="184"/>
      <c r="H1868" s="184"/>
      <c r="I1868" s="184"/>
      <c r="J1868" s="184"/>
      <c r="K1868" s="184"/>
      <c r="L1868" s="184"/>
      <c r="M1868" s="184" t="s">
        <v>6911</v>
      </c>
      <c r="N1868" s="184"/>
      <c r="O1868" s="184"/>
    </row>
    <row r="1869" customFormat="false" ht="27.75" hidden="false" customHeight="true" outlineLevel="0" collapsed="false">
      <c r="A1869" s="184" t="s">
        <v>4921</v>
      </c>
      <c r="B1869" s="184" t="s">
        <v>4922</v>
      </c>
      <c r="C1869" s="184" t="n">
        <v>85</v>
      </c>
      <c r="D1869" s="184" t="s">
        <v>4790</v>
      </c>
      <c r="E1869" s="184" t="s">
        <v>6912</v>
      </c>
      <c r="F1869" s="184"/>
      <c r="G1869" s="184"/>
      <c r="H1869" s="184"/>
      <c r="I1869" s="184"/>
      <c r="J1869" s="184"/>
      <c r="K1869" s="184"/>
      <c r="L1869" s="184"/>
      <c r="M1869" s="184" t="s">
        <v>6913</v>
      </c>
      <c r="N1869" s="184"/>
      <c r="O1869" s="184"/>
    </row>
    <row r="1870" customFormat="false" ht="27.75" hidden="false" customHeight="true" outlineLevel="0" collapsed="false">
      <c r="A1870" s="184" t="s">
        <v>4921</v>
      </c>
      <c r="B1870" s="184" t="s">
        <v>4922</v>
      </c>
      <c r="C1870" s="184" t="n">
        <v>86</v>
      </c>
      <c r="D1870" s="184" t="s">
        <v>4790</v>
      </c>
      <c r="E1870" s="184" t="s">
        <v>6914</v>
      </c>
      <c r="F1870" s="184"/>
      <c r="G1870" s="184"/>
      <c r="H1870" s="184"/>
      <c r="I1870" s="184"/>
      <c r="J1870" s="184"/>
      <c r="K1870" s="184"/>
      <c r="L1870" s="184"/>
      <c r="M1870" s="184" t="s">
        <v>6915</v>
      </c>
      <c r="N1870" s="184"/>
      <c r="O1870" s="184"/>
    </row>
    <row r="1871" customFormat="false" ht="15" hidden="false" customHeight="true" outlineLevel="0" collapsed="false">
      <c r="A1871" s="184" t="s">
        <v>4921</v>
      </c>
      <c r="B1871" s="184" t="s">
        <v>4922</v>
      </c>
      <c r="C1871" s="184" t="n">
        <v>87</v>
      </c>
      <c r="D1871" s="184" t="s">
        <v>4790</v>
      </c>
      <c r="E1871" s="184" t="s">
        <v>6916</v>
      </c>
      <c r="F1871" s="184"/>
      <c r="G1871" s="184"/>
      <c r="H1871" s="184"/>
      <c r="I1871" s="184"/>
      <c r="J1871" s="184"/>
      <c r="K1871" s="184"/>
      <c r="L1871" s="184"/>
      <c r="M1871" s="184" t="s">
        <v>6917</v>
      </c>
      <c r="N1871" s="184"/>
      <c r="O1871" s="184"/>
    </row>
    <row r="1872" customFormat="false" ht="15" hidden="false" customHeight="true" outlineLevel="0" collapsed="false">
      <c r="A1872" s="184" t="s">
        <v>4921</v>
      </c>
      <c r="B1872" s="184" t="s">
        <v>4922</v>
      </c>
      <c r="C1872" s="184" t="n">
        <v>88</v>
      </c>
      <c r="D1872" s="184" t="s">
        <v>4790</v>
      </c>
      <c r="E1872" s="184" t="s">
        <v>6918</v>
      </c>
      <c r="F1872" s="184"/>
      <c r="G1872" s="184"/>
      <c r="H1872" s="184"/>
      <c r="I1872" s="184"/>
      <c r="J1872" s="184"/>
      <c r="K1872" s="184"/>
      <c r="L1872" s="184"/>
      <c r="M1872" s="184" t="s">
        <v>6919</v>
      </c>
      <c r="N1872" s="184"/>
      <c r="O1872" s="184"/>
    </row>
    <row r="1873" customFormat="false" ht="15" hidden="false" customHeight="true" outlineLevel="0" collapsed="false">
      <c r="A1873" s="184" t="s">
        <v>4921</v>
      </c>
      <c r="B1873" s="184" t="s">
        <v>4922</v>
      </c>
      <c r="C1873" s="184" t="n">
        <v>89</v>
      </c>
      <c r="D1873" s="184" t="s">
        <v>4790</v>
      </c>
      <c r="E1873" s="184" t="s">
        <v>6920</v>
      </c>
      <c r="F1873" s="184"/>
      <c r="G1873" s="184"/>
      <c r="H1873" s="184"/>
      <c r="I1873" s="184"/>
      <c r="J1873" s="184"/>
      <c r="K1873" s="184"/>
      <c r="L1873" s="184"/>
      <c r="M1873" s="184" t="s">
        <v>6921</v>
      </c>
      <c r="N1873" s="184"/>
      <c r="O1873" s="184"/>
    </row>
    <row r="1874" customFormat="false" ht="15" hidden="false" customHeight="true" outlineLevel="0" collapsed="false">
      <c r="A1874" s="184" t="s">
        <v>4921</v>
      </c>
      <c r="B1874" s="184" t="s">
        <v>4922</v>
      </c>
      <c r="C1874" s="184" t="n">
        <v>90</v>
      </c>
      <c r="D1874" s="184" t="s">
        <v>4790</v>
      </c>
      <c r="E1874" s="184" t="s">
        <v>6922</v>
      </c>
      <c r="F1874" s="184"/>
      <c r="G1874" s="184"/>
      <c r="H1874" s="184"/>
      <c r="I1874" s="184"/>
      <c r="J1874" s="184"/>
      <c r="K1874" s="184"/>
      <c r="L1874" s="184"/>
      <c r="M1874" s="184" t="s">
        <v>6923</v>
      </c>
      <c r="N1874" s="184"/>
      <c r="O1874" s="184"/>
    </row>
    <row r="1875" customFormat="false" ht="15" hidden="false" customHeight="true" outlineLevel="0" collapsed="false">
      <c r="A1875" s="184" t="s">
        <v>4921</v>
      </c>
      <c r="B1875" s="184" t="s">
        <v>4922</v>
      </c>
      <c r="C1875" s="184" t="n">
        <v>91</v>
      </c>
      <c r="D1875" s="184" t="s">
        <v>4790</v>
      </c>
      <c r="E1875" s="184" t="s">
        <v>6924</v>
      </c>
      <c r="F1875" s="184"/>
      <c r="G1875" s="184"/>
      <c r="H1875" s="184"/>
      <c r="I1875" s="184"/>
      <c r="J1875" s="184"/>
      <c r="K1875" s="184"/>
      <c r="L1875" s="184"/>
      <c r="M1875" s="184" t="s">
        <v>6925</v>
      </c>
      <c r="N1875" s="184"/>
      <c r="O1875" s="184"/>
    </row>
    <row r="1876" customFormat="false" ht="15" hidden="false" customHeight="true" outlineLevel="0" collapsed="false">
      <c r="A1876" s="184" t="s">
        <v>4921</v>
      </c>
      <c r="B1876" s="184" t="s">
        <v>4922</v>
      </c>
      <c r="C1876" s="184" t="n">
        <v>92</v>
      </c>
      <c r="D1876" s="184" t="s">
        <v>4790</v>
      </c>
      <c r="E1876" s="184" t="s">
        <v>6926</v>
      </c>
      <c r="F1876" s="184"/>
      <c r="G1876" s="184"/>
      <c r="H1876" s="184"/>
      <c r="I1876" s="184"/>
      <c r="J1876" s="184"/>
      <c r="K1876" s="184"/>
      <c r="L1876" s="184"/>
      <c r="M1876" s="184" t="s">
        <v>6927</v>
      </c>
      <c r="N1876" s="184"/>
      <c r="O1876" s="184"/>
    </row>
    <row r="1877" customFormat="false" ht="15" hidden="false" customHeight="true" outlineLevel="0" collapsed="false">
      <c r="A1877" s="184" t="s">
        <v>4921</v>
      </c>
      <c r="B1877" s="184" t="s">
        <v>4922</v>
      </c>
      <c r="C1877" s="184" t="n">
        <v>93</v>
      </c>
      <c r="D1877" s="184" t="s">
        <v>4790</v>
      </c>
      <c r="E1877" s="184" t="s">
        <v>6928</v>
      </c>
      <c r="F1877" s="184"/>
      <c r="G1877" s="184"/>
      <c r="H1877" s="184"/>
      <c r="I1877" s="184"/>
      <c r="J1877" s="184"/>
      <c r="K1877" s="184"/>
      <c r="L1877" s="184"/>
      <c r="M1877" s="184" t="s">
        <v>6929</v>
      </c>
      <c r="N1877" s="184"/>
      <c r="O1877" s="184"/>
    </row>
    <row r="1878" customFormat="false" ht="15" hidden="false" customHeight="true" outlineLevel="0" collapsed="false">
      <c r="A1878" s="184" t="s">
        <v>4921</v>
      </c>
      <c r="B1878" s="184" t="s">
        <v>4922</v>
      </c>
      <c r="C1878" s="184" t="n">
        <v>94</v>
      </c>
      <c r="D1878" s="184" t="s">
        <v>4790</v>
      </c>
      <c r="E1878" s="184" t="s">
        <v>6930</v>
      </c>
      <c r="F1878" s="184"/>
      <c r="G1878" s="184"/>
      <c r="H1878" s="184"/>
      <c r="I1878" s="184"/>
      <c r="J1878" s="184"/>
      <c r="K1878" s="184"/>
      <c r="L1878" s="184"/>
      <c r="M1878" s="184" t="s">
        <v>6931</v>
      </c>
      <c r="N1878" s="184"/>
      <c r="O1878" s="184"/>
    </row>
    <row r="1879" customFormat="false" ht="15" hidden="false" customHeight="true" outlineLevel="0" collapsed="false">
      <c r="A1879" s="184" t="s">
        <v>4921</v>
      </c>
      <c r="B1879" s="184" t="s">
        <v>4922</v>
      </c>
      <c r="C1879" s="184" t="n">
        <v>95</v>
      </c>
      <c r="D1879" s="178" t="s">
        <v>5269</v>
      </c>
      <c r="E1879" s="184" t="s">
        <v>6932</v>
      </c>
      <c r="F1879" s="184"/>
      <c r="G1879" s="184"/>
      <c r="H1879" s="184"/>
      <c r="I1879" s="184"/>
      <c r="J1879" s="184"/>
      <c r="K1879" s="184"/>
      <c r="L1879" s="184"/>
      <c r="M1879" s="184" t="s">
        <v>6933</v>
      </c>
      <c r="N1879" s="184"/>
      <c r="O1879" s="184"/>
    </row>
    <row r="1880" customFormat="false" ht="15" hidden="false" customHeight="true" outlineLevel="0" collapsed="false">
      <c r="A1880" s="184" t="s">
        <v>4921</v>
      </c>
      <c r="B1880" s="184" t="s">
        <v>4922</v>
      </c>
      <c r="C1880" s="184" t="n">
        <v>96</v>
      </c>
      <c r="D1880" s="178" t="s">
        <v>5269</v>
      </c>
      <c r="E1880" s="184" t="s">
        <v>6934</v>
      </c>
      <c r="F1880" s="184"/>
      <c r="G1880" s="184"/>
      <c r="H1880" s="184"/>
      <c r="I1880" s="184"/>
      <c r="J1880" s="184"/>
      <c r="K1880" s="184"/>
      <c r="L1880" s="184"/>
      <c r="M1880" s="184" t="s">
        <v>6935</v>
      </c>
      <c r="N1880" s="184"/>
      <c r="O1880" s="184"/>
    </row>
    <row r="1881" customFormat="false" ht="15" hidden="false" customHeight="true" outlineLevel="0" collapsed="false">
      <c r="A1881" s="184"/>
      <c r="B1881" s="184"/>
      <c r="C1881" s="184"/>
      <c r="D1881" s="184"/>
      <c r="E1881" s="184"/>
      <c r="F1881" s="184"/>
      <c r="G1881" s="184"/>
      <c r="H1881" s="184"/>
      <c r="I1881" s="184"/>
      <c r="J1881" s="184"/>
      <c r="K1881" s="184"/>
      <c r="L1881" s="184"/>
      <c r="M1881" s="184"/>
      <c r="N1881" s="184"/>
      <c r="O1881" s="184"/>
    </row>
    <row r="1882" customFormat="false" ht="15" hidden="false" customHeight="true" outlineLevel="0" collapsed="false">
      <c r="A1882" s="184"/>
      <c r="B1882" s="184"/>
      <c r="C1882" s="184"/>
      <c r="D1882" s="184"/>
      <c r="E1882" s="184"/>
      <c r="F1882" s="184"/>
      <c r="G1882" s="184"/>
      <c r="H1882" s="184"/>
      <c r="I1882" s="184"/>
      <c r="J1882" s="184"/>
      <c r="K1882" s="184"/>
      <c r="L1882" s="184"/>
      <c r="M1882" s="184"/>
      <c r="N1882" s="184"/>
      <c r="O1882" s="184"/>
    </row>
    <row r="1883" customFormat="false" ht="15" hidden="false" customHeight="true" outlineLevel="0" collapsed="false">
      <c r="A1883" s="184"/>
      <c r="B1883" s="184"/>
      <c r="C1883" s="184"/>
      <c r="D1883" s="184"/>
      <c r="E1883" s="184"/>
      <c r="F1883" s="184"/>
      <c r="G1883" s="184"/>
      <c r="H1883" s="184"/>
      <c r="I1883" s="184"/>
      <c r="J1883" s="184"/>
      <c r="K1883" s="184"/>
      <c r="L1883" s="184"/>
      <c r="M1883" s="184"/>
      <c r="N1883" s="184"/>
      <c r="O1883" s="184"/>
    </row>
    <row r="1884" customFormat="false" ht="15" hidden="false" customHeight="true" outlineLevel="0" collapsed="false">
      <c r="A1884" s="184"/>
      <c r="B1884" s="184"/>
      <c r="C1884" s="184"/>
      <c r="D1884" s="184"/>
      <c r="E1884" s="184"/>
      <c r="F1884" s="184"/>
      <c r="G1884" s="184"/>
      <c r="H1884" s="184"/>
      <c r="I1884" s="184"/>
      <c r="J1884" s="184"/>
      <c r="K1884" s="184"/>
      <c r="L1884" s="184"/>
      <c r="M1884" s="184"/>
      <c r="N1884" s="184"/>
      <c r="O1884" s="184"/>
    </row>
    <row r="1885" customFormat="false" ht="15" hidden="false" customHeight="true" outlineLevel="0" collapsed="false">
      <c r="A1885" s="184"/>
      <c r="B1885" s="184"/>
      <c r="C1885" s="184"/>
      <c r="D1885" s="184"/>
      <c r="E1885" s="184"/>
      <c r="F1885" s="184"/>
      <c r="G1885" s="184"/>
      <c r="H1885" s="184"/>
      <c r="I1885" s="184"/>
      <c r="J1885" s="184"/>
      <c r="K1885" s="184"/>
      <c r="L1885" s="184"/>
      <c r="M1885" s="184"/>
      <c r="N1885" s="184"/>
      <c r="O1885" s="184"/>
    </row>
    <row r="1886" customFormat="false" ht="15" hidden="false" customHeight="true" outlineLevel="0" collapsed="false">
      <c r="A1886" s="184"/>
      <c r="B1886" s="184"/>
      <c r="C1886" s="184"/>
      <c r="D1886" s="184"/>
      <c r="E1886" s="184"/>
      <c r="F1886" s="184"/>
      <c r="G1886" s="184"/>
      <c r="H1886" s="184"/>
      <c r="I1886" s="184"/>
      <c r="J1886" s="184"/>
      <c r="K1886" s="184"/>
      <c r="L1886" s="184"/>
      <c r="M1886" s="184"/>
      <c r="N1886" s="184"/>
      <c r="O1886" s="184"/>
    </row>
    <row r="1887" customFormat="false" ht="15" hidden="false" customHeight="true" outlineLevel="0" collapsed="false">
      <c r="A1887" s="184"/>
      <c r="B1887" s="184"/>
      <c r="C1887" s="184"/>
      <c r="D1887" s="184"/>
      <c r="E1887" s="184"/>
      <c r="F1887" s="184"/>
      <c r="G1887" s="184"/>
      <c r="H1887" s="184"/>
      <c r="I1887" s="184"/>
      <c r="J1887" s="184"/>
      <c r="K1887" s="184"/>
      <c r="L1887" s="184"/>
      <c r="M1887" s="184"/>
      <c r="N1887" s="184"/>
      <c r="O1887" s="184"/>
    </row>
    <row r="1888" customFormat="false" ht="15" hidden="false" customHeight="true" outlineLevel="0" collapsed="false">
      <c r="A1888" s="184"/>
      <c r="B1888" s="184"/>
      <c r="C1888" s="184"/>
      <c r="D1888" s="184"/>
      <c r="E1888" s="184"/>
      <c r="F1888" s="184"/>
      <c r="G1888" s="184"/>
      <c r="H1888" s="184"/>
      <c r="I1888" s="184"/>
      <c r="J1888" s="184"/>
      <c r="K1888" s="184"/>
      <c r="L1888" s="184"/>
      <c r="M1888" s="184"/>
      <c r="N1888" s="184"/>
      <c r="O1888" s="184"/>
    </row>
    <row r="1889" customFormat="false" ht="15" hidden="false" customHeight="true" outlineLevel="0" collapsed="false">
      <c r="A1889" s="184"/>
      <c r="B1889" s="184"/>
      <c r="C1889" s="184"/>
      <c r="D1889" s="184"/>
      <c r="E1889" s="184"/>
      <c r="F1889" s="184"/>
      <c r="G1889" s="184"/>
      <c r="H1889" s="184"/>
      <c r="I1889" s="184"/>
      <c r="J1889" s="184"/>
      <c r="K1889" s="184"/>
      <c r="L1889" s="184"/>
      <c r="M1889" s="184"/>
      <c r="N1889" s="184"/>
      <c r="O1889" s="184"/>
    </row>
    <row r="1890" customFormat="false" ht="15" hidden="false" customHeight="true" outlineLevel="0" collapsed="false">
      <c r="A1890" s="184"/>
      <c r="B1890" s="184"/>
      <c r="C1890" s="184"/>
      <c r="D1890" s="184"/>
      <c r="E1890" s="184"/>
      <c r="F1890" s="184"/>
      <c r="G1890" s="184"/>
      <c r="H1890" s="184"/>
      <c r="I1890" s="184"/>
      <c r="J1890" s="184"/>
      <c r="K1890" s="184"/>
      <c r="L1890" s="184"/>
      <c r="M1890" s="184"/>
      <c r="N1890" s="184"/>
      <c r="O1890" s="184"/>
    </row>
    <row r="1891" customFormat="false" ht="15" hidden="false" customHeight="true" outlineLevel="0" collapsed="false">
      <c r="A1891" s="184"/>
      <c r="B1891" s="184"/>
      <c r="C1891" s="184"/>
      <c r="D1891" s="184"/>
      <c r="E1891" s="184"/>
      <c r="F1891" s="184"/>
      <c r="G1891" s="184"/>
      <c r="H1891" s="184"/>
      <c r="I1891" s="184"/>
      <c r="J1891" s="184"/>
      <c r="K1891" s="184"/>
      <c r="L1891" s="184"/>
      <c r="M1891" s="184"/>
      <c r="N1891" s="184"/>
      <c r="O1891" s="184"/>
    </row>
    <row r="1892" customFormat="false" ht="15" hidden="false" customHeight="true" outlineLevel="0" collapsed="false">
      <c r="A1892" s="184"/>
      <c r="B1892" s="184"/>
      <c r="C1892" s="184"/>
      <c r="D1892" s="184"/>
      <c r="E1892" s="184"/>
      <c r="F1892" s="184"/>
      <c r="G1892" s="184"/>
      <c r="H1892" s="184"/>
      <c r="I1892" s="184"/>
      <c r="J1892" s="184"/>
      <c r="K1892" s="184"/>
      <c r="L1892" s="184"/>
      <c r="M1892" s="184"/>
      <c r="N1892" s="184"/>
      <c r="O1892" s="184"/>
    </row>
    <row r="1893" customFormat="false" ht="15" hidden="false" customHeight="true" outlineLevel="0" collapsed="false">
      <c r="A1893" s="184"/>
      <c r="B1893" s="184"/>
      <c r="C1893" s="184"/>
      <c r="D1893" s="184"/>
      <c r="E1893" s="184"/>
      <c r="F1893" s="184"/>
      <c r="G1893" s="184"/>
      <c r="H1893" s="184"/>
      <c r="I1893" s="184"/>
      <c r="J1893" s="184"/>
      <c r="K1893" s="184"/>
      <c r="L1893" s="184"/>
      <c r="M1893" s="184"/>
      <c r="N1893" s="184"/>
      <c r="O1893" s="184"/>
    </row>
    <row r="1894" customFormat="false" ht="15" hidden="false" customHeight="true" outlineLevel="0" collapsed="false">
      <c r="A1894" s="184"/>
      <c r="B1894" s="184"/>
      <c r="C1894" s="184"/>
      <c r="D1894" s="184"/>
      <c r="E1894" s="184"/>
      <c r="F1894" s="184"/>
      <c r="G1894" s="184"/>
      <c r="H1894" s="184"/>
      <c r="I1894" s="184"/>
      <c r="J1894" s="184"/>
      <c r="K1894" s="184"/>
      <c r="L1894" s="184"/>
      <c r="M1894" s="184"/>
      <c r="N1894" s="184"/>
      <c r="O1894" s="184"/>
    </row>
    <row r="1895" customFormat="false" ht="15" hidden="false" customHeight="true" outlineLevel="0" collapsed="false">
      <c r="A1895" s="184"/>
      <c r="B1895" s="184"/>
      <c r="C1895" s="184"/>
      <c r="D1895" s="184"/>
      <c r="E1895" s="184"/>
      <c r="F1895" s="184"/>
      <c r="G1895" s="184"/>
      <c r="H1895" s="184"/>
      <c r="I1895" s="184"/>
      <c r="J1895" s="184"/>
      <c r="K1895" s="184"/>
      <c r="L1895" s="184"/>
      <c r="M1895" s="184"/>
      <c r="N1895" s="184"/>
      <c r="O1895" s="184"/>
    </row>
    <row r="1896" customFormat="false" ht="15" hidden="false" customHeight="true" outlineLevel="0" collapsed="false">
      <c r="A1896" s="184"/>
      <c r="B1896" s="184"/>
      <c r="C1896" s="184"/>
      <c r="D1896" s="184"/>
      <c r="E1896" s="184"/>
      <c r="F1896" s="184"/>
      <c r="G1896" s="184"/>
      <c r="H1896" s="184"/>
      <c r="I1896" s="184"/>
      <c r="J1896" s="184"/>
      <c r="K1896" s="184"/>
      <c r="L1896" s="184"/>
      <c r="M1896" s="184"/>
      <c r="N1896" s="184"/>
      <c r="O1896" s="184"/>
    </row>
    <row r="1897" customFormat="false" ht="15" hidden="false" customHeight="true" outlineLevel="0" collapsed="false">
      <c r="A1897" s="184"/>
      <c r="B1897" s="184"/>
      <c r="C1897" s="184"/>
      <c r="D1897" s="184"/>
      <c r="E1897" s="184"/>
      <c r="F1897" s="184"/>
      <c r="G1897" s="184"/>
      <c r="H1897" s="184"/>
      <c r="I1897" s="184"/>
      <c r="J1897" s="184"/>
      <c r="K1897" s="184"/>
      <c r="L1897" s="184"/>
      <c r="M1897" s="184"/>
      <c r="N1897" s="184"/>
      <c r="O1897" s="184"/>
    </row>
    <row r="1898" customFormat="false" ht="15" hidden="false" customHeight="true" outlineLevel="0" collapsed="false">
      <c r="A1898" s="184"/>
      <c r="B1898" s="184"/>
      <c r="C1898" s="184"/>
      <c r="D1898" s="184"/>
      <c r="E1898" s="184"/>
      <c r="F1898" s="184"/>
      <c r="G1898" s="184"/>
      <c r="H1898" s="184"/>
      <c r="I1898" s="184"/>
      <c r="J1898" s="184"/>
      <c r="K1898" s="184"/>
      <c r="L1898" s="184"/>
      <c r="M1898" s="184"/>
      <c r="N1898" s="184"/>
      <c r="O1898" s="184"/>
    </row>
    <row r="1899" customFormat="false" ht="15" hidden="false" customHeight="true" outlineLevel="0" collapsed="false">
      <c r="A1899" s="184"/>
      <c r="B1899" s="184"/>
      <c r="C1899" s="184"/>
      <c r="D1899" s="184"/>
      <c r="E1899" s="184"/>
      <c r="F1899" s="184"/>
      <c r="G1899" s="184"/>
      <c r="H1899" s="184"/>
      <c r="I1899" s="184"/>
      <c r="J1899" s="184"/>
      <c r="K1899" s="184"/>
      <c r="L1899" s="184"/>
      <c r="M1899" s="184"/>
      <c r="N1899" s="184"/>
      <c r="O1899" s="184"/>
    </row>
    <row r="1900" customFormat="false" ht="15" hidden="false" customHeight="true" outlineLevel="0" collapsed="false">
      <c r="A1900" s="184"/>
      <c r="B1900" s="184"/>
      <c r="C1900" s="184"/>
      <c r="D1900" s="184"/>
      <c r="E1900" s="184"/>
      <c r="F1900" s="184"/>
      <c r="G1900" s="184"/>
      <c r="H1900" s="184"/>
      <c r="I1900" s="184"/>
      <c r="J1900" s="184"/>
      <c r="K1900" s="184"/>
      <c r="L1900" s="184"/>
      <c r="M1900" s="184"/>
      <c r="N1900" s="184"/>
      <c r="O1900" s="184"/>
    </row>
    <row r="1901" customFormat="false" ht="15" hidden="false" customHeight="true" outlineLevel="0" collapsed="false">
      <c r="A1901" s="184"/>
      <c r="B1901" s="184"/>
      <c r="C1901" s="184"/>
      <c r="D1901" s="184"/>
      <c r="E1901" s="184"/>
      <c r="F1901" s="184"/>
      <c r="G1901" s="184"/>
      <c r="H1901" s="184"/>
      <c r="I1901" s="184"/>
      <c r="J1901" s="184"/>
      <c r="K1901" s="184"/>
      <c r="L1901" s="184"/>
      <c r="M1901" s="184"/>
      <c r="N1901" s="184"/>
      <c r="O1901" s="184"/>
    </row>
    <row r="1902" customFormat="false" ht="15" hidden="false" customHeight="true" outlineLevel="0" collapsed="false">
      <c r="A1902" s="184"/>
      <c r="B1902" s="184"/>
      <c r="C1902" s="184"/>
      <c r="D1902" s="184"/>
      <c r="E1902" s="184"/>
      <c r="F1902" s="184"/>
      <c r="G1902" s="184"/>
      <c r="H1902" s="184"/>
      <c r="I1902" s="184"/>
      <c r="J1902" s="184"/>
      <c r="K1902" s="184"/>
      <c r="L1902" s="184"/>
      <c r="M1902" s="184"/>
      <c r="N1902" s="184"/>
      <c r="O1902" s="184"/>
    </row>
    <row r="1903" customFormat="false" ht="15" hidden="false" customHeight="true" outlineLevel="0" collapsed="false">
      <c r="A1903" s="184"/>
      <c r="B1903" s="184"/>
      <c r="C1903" s="184"/>
      <c r="D1903" s="184"/>
      <c r="E1903" s="184"/>
      <c r="F1903" s="184"/>
      <c r="G1903" s="184"/>
      <c r="H1903" s="184"/>
      <c r="I1903" s="184"/>
      <c r="J1903" s="184"/>
      <c r="K1903" s="184"/>
      <c r="L1903" s="184"/>
      <c r="M1903" s="184"/>
      <c r="N1903" s="184"/>
      <c r="O1903" s="184"/>
    </row>
    <row r="1904" customFormat="false" ht="15" hidden="false" customHeight="true" outlineLevel="0" collapsed="false">
      <c r="A1904" s="184"/>
      <c r="B1904" s="184"/>
      <c r="C1904" s="184"/>
      <c r="D1904" s="184"/>
      <c r="E1904" s="184"/>
      <c r="F1904" s="184"/>
      <c r="G1904" s="184"/>
      <c r="H1904" s="184"/>
      <c r="I1904" s="184"/>
      <c r="J1904" s="184"/>
      <c r="K1904" s="184"/>
      <c r="L1904" s="184"/>
      <c r="M1904" s="184"/>
      <c r="N1904" s="184"/>
      <c r="O1904" s="184"/>
    </row>
    <row r="1905" customFormat="false" ht="15" hidden="false" customHeight="true" outlineLevel="0" collapsed="false">
      <c r="A1905" s="184"/>
      <c r="B1905" s="184"/>
      <c r="C1905" s="184"/>
      <c r="D1905" s="184"/>
      <c r="E1905" s="184"/>
      <c r="F1905" s="184"/>
      <c r="G1905" s="184"/>
      <c r="H1905" s="184"/>
      <c r="I1905" s="184"/>
      <c r="J1905" s="184"/>
      <c r="K1905" s="184"/>
      <c r="L1905" s="184"/>
      <c r="M1905" s="184"/>
      <c r="N1905" s="184"/>
      <c r="O1905" s="184"/>
    </row>
    <row r="1906" customFormat="false" ht="15" hidden="false" customHeight="true" outlineLevel="0" collapsed="false">
      <c r="A1906" s="184"/>
      <c r="B1906" s="184"/>
      <c r="C1906" s="184"/>
      <c r="D1906" s="184"/>
      <c r="E1906" s="184"/>
      <c r="F1906" s="184"/>
      <c r="G1906" s="184"/>
      <c r="H1906" s="184"/>
      <c r="I1906" s="184"/>
      <c r="J1906" s="184"/>
      <c r="K1906" s="184"/>
      <c r="L1906" s="184"/>
      <c r="M1906" s="184"/>
      <c r="N1906" s="184"/>
      <c r="O1906" s="184"/>
    </row>
    <row r="1907" customFormat="false" ht="15" hidden="false" customHeight="true" outlineLevel="0" collapsed="false">
      <c r="A1907" s="184"/>
      <c r="B1907" s="184"/>
      <c r="C1907" s="184"/>
      <c r="D1907" s="184"/>
      <c r="E1907" s="184"/>
      <c r="F1907" s="184"/>
      <c r="G1907" s="184"/>
      <c r="H1907" s="184"/>
      <c r="I1907" s="184"/>
      <c r="J1907" s="184"/>
      <c r="K1907" s="184"/>
      <c r="L1907" s="184"/>
      <c r="M1907" s="184"/>
      <c r="N1907" s="184"/>
      <c r="O1907" s="184"/>
    </row>
    <row r="1908" customFormat="false" ht="15" hidden="false" customHeight="true" outlineLevel="0" collapsed="false">
      <c r="A1908" s="184"/>
      <c r="B1908" s="184"/>
      <c r="C1908" s="184"/>
      <c r="D1908" s="184"/>
      <c r="E1908" s="184"/>
      <c r="F1908" s="184"/>
      <c r="G1908" s="184"/>
      <c r="H1908" s="184"/>
      <c r="I1908" s="184"/>
      <c r="J1908" s="184"/>
      <c r="K1908" s="184"/>
      <c r="L1908" s="184"/>
      <c r="M1908" s="184"/>
      <c r="N1908" s="184"/>
      <c r="O1908" s="184"/>
    </row>
    <row r="1909" customFormat="false" ht="15" hidden="false" customHeight="true" outlineLevel="0" collapsed="false">
      <c r="A1909" s="184"/>
      <c r="B1909" s="184"/>
      <c r="C1909" s="184"/>
      <c r="D1909" s="184"/>
      <c r="E1909" s="184"/>
      <c r="F1909" s="184"/>
      <c r="G1909" s="184"/>
      <c r="H1909" s="184"/>
      <c r="I1909" s="184"/>
      <c r="J1909" s="184"/>
      <c r="K1909" s="184"/>
      <c r="L1909" s="184"/>
      <c r="M1909" s="184"/>
      <c r="N1909" s="184"/>
      <c r="O1909" s="184"/>
    </row>
    <row r="1910" customFormat="false" ht="15" hidden="false" customHeight="true" outlineLevel="0" collapsed="false">
      <c r="A1910" s="184"/>
      <c r="B1910" s="184"/>
      <c r="C1910" s="184"/>
      <c r="D1910" s="184"/>
      <c r="E1910" s="184"/>
      <c r="F1910" s="184"/>
      <c r="G1910" s="184"/>
      <c r="H1910" s="184"/>
      <c r="I1910" s="184"/>
      <c r="J1910" s="184"/>
      <c r="K1910" s="184"/>
      <c r="L1910" s="184"/>
      <c r="M1910" s="184"/>
      <c r="N1910" s="184"/>
      <c r="O1910" s="184"/>
    </row>
    <row r="1911" customFormat="false" ht="15" hidden="false" customHeight="true" outlineLevel="0" collapsed="false">
      <c r="A1911" s="184"/>
      <c r="B1911" s="184"/>
      <c r="C1911" s="184"/>
      <c r="D1911" s="184"/>
      <c r="E1911" s="184"/>
      <c r="F1911" s="184"/>
      <c r="G1911" s="184"/>
      <c r="H1911" s="184"/>
      <c r="I1911" s="184"/>
      <c r="J1911" s="184"/>
      <c r="K1911" s="184"/>
      <c r="L1911" s="184"/>
      <c r="M1911" s="184"/>
      <c r="N1911" s="184"/>
      <c r="O1911" s="184"/>
    </row>
    <row r="1912" customFormat="false" ht="15" hidden="false" customHeight="true" outlineLevel="0" collapsed="false">
      <c r="A1912" s="184"/>
      <c r="B1912" s="184"/>
      <c r="C1912" s="184"/>
      <c r="D1912" s="184"/>
      <c r="E1912" s="184"/>
      <c r="F1912" s="184"/>
      <c r="G1912" s="184"/>
      <c r="H1912" s="184"/>
      <c r="I1912" s="184"/>
      <c r="J1912" s="184"/>
      <c r="K1912" s="184"/>
      <c r="L1912" s="184"/>
      <c r="M1912" s="184"/>
      <c r="N1912" s="184"/>
      <c r="O1912" s="184"/>
    </row>
    <row r="1913" customFormat="false" ht="15" hidden="false" customHeight="true" outlineLevel="0" collapsed="false">
      <c r="A1913" s="184"/>
      <c r="B1913" s="184"/>
      <c r="C1913" s="184"/>
      <c r="D1913" s="184"/>
      <c r="E1913" s="184"/>
      <c r="F1913" s="184"/>
      <c r="G1913" s="184"/>
      <c r="H1913" s="184"/>
      <c r="I1913" s="184"/>
      <c r="J1913" s="184"/>
      <c r="K1913" s="184"/>
      <c r="L1913" s="184"/>
      <c r="M1913" s="184"/>
      <c r="N1913" s="184"/>
      <c r="O1913" s="184"/>
    </row>
    <row r="1914" customFormat="false" ht="15" hidden="false" customHeight="true" outlineLevel="0" collapsed="false">
      <c r="A1914" s="184"/>
      <c r="B1914" s="184"/>
      <c r="C1914" s="184"/>
      <c r="D1914" s="184"/>
      <c r="E1914" s="184"/>
      <c r="F1914" s="184"/>
      <c r="G1914" s="184"/>
      <c r="H1914" s="184"/>
      <c r="I1914" s="184"/>
      <c r="J1914" s="184"/>
      <c r="K1914" s="184"/>
      <c r="L1914" s="184"/>
      <c r="M1914" s="184"/>
      <c r="N1914" s="184"/>
      <c r="O1914" s="184"/>
    </row>
    <row r="1915" customFormat="false" ht="15" hidden="false" customHeight="true" outlineLevel="0" collapsed="false">
      <c r="A1915" s="184"/>
      <c r="B1915" s="184"/>
      <c r="C1915" s="184"/>
      <c r="D1915" s="184"/>
      <c r="E1915" s="184"/>
      <c r="F1915" s="184"/>
      <c r="G1915" s="184"/>
      <c r="H1915" s="184"/>
      <c r="I1915" s="184"/>
      <c r="J1915" s="184"/>
      <c r="K1915" s="184"/>
      <c r="L1915" s="184"/>
      <c r="M1915" s="184"/>
      <c r="N1915" s="184"/>
      <c r="O1915" s="184"/>
    </row>
    <row r="1916" customFormat="false" ht="15" hidden="false" customHeight="true" outlineLevel="0" collapsed="false">
      <c r="A1916" s="184"/>
      <c r="B1916" s="184"/>
      <c r="C1916" s="184"/>
      <c r="D1916" s="184"/>
      <c r="E1916" s="184"/>
      <c r="F1916" s="184"/>
      <c r="G1916" s="184"/>
      <c r="H1916" s="184"/>
      <c r="I1916" s="184"/>
      <c r="J1916" s="184"/>
      <c r="K1916" s="184"/>
      <c r="L1916" s="184"/>
      <c r="M1916" s="184"/>
      <c r="N1916" s="184"/>
      <c r="O1916" s="184"/>
    </row>
    <row r="1917" customFormat="false" ht="15" hidden="false" customHeight="true" outlineLevel="0" collapsed="false">
      <c r="A1917" s="184"/>
      <c r="B1917" s="184"/>
      <c r="C1917" s="184"/>
      <c r="D1917" s="184"/>
      <c r="E1917" s="184"/>
      <c r="F1917" s="184"/>
      <c r="G1917" s="184"/>
      <c r="H1917" s="184"/>
      <c r="I1917" s="184"/>
      <c r="J1917" s="184"/>
      <c r="K1917" s="184"/>
      <c r="L1917" s="184"/>
      <c r="M1917" s="184"/>
      <c r="N1917" s="184"/>
      <c r="O1917" s="184"/>
    </row>
    <row r="1918" customFormat="false" ht="15" hidden="false" customHeight="true" outlineLevel="0" collapsed="false">
      <c r="A1918" s="184"/>
      <c r="B1918" s="184"/>
      <c r="C1918" s="184"/>
      <c r="D1918" s="184"/>
      <c r="E1918" s="184"/>
      <c r="F1918" s="184"/>
      <c r="G1918" s="184"/>
      <c r="H1918" s="184"/>
      <c r="I1918" s="184"/>
      <c r="J1918" s="184"/>
      <c r="K1918" s="184"/>
      <c r="L1918" s="184"/>
      <c r="M1918" s="184"/>
      <c r="N1918" s="184"/>
      <c r="O1918" s="184"/>
    </row>
    <row r="1919" customFormat="false" ht="15" hidden="false" customHeight="true" outlineLevel="0" collapsed="false">
      <c r="A1919" s="184"/>
      <c r="B1919" s="184"/>
      <c r="C1919" s="184"/>
      <c r="D1919" s="184"/>
      <c r="E1919" s="184"/>
      <c r="F1919" s="184"/>
      <c r="G1919" s="184"/>
      <c r="H1919" s="184"/>
      <c r="I1919" s="184"/>
      <c r="J1919" s="184"/>
      <c r="K1919" s="184"/>
      <c r="L1919" s="184"/>
      <c r="M1919" s="184"/>
      <c r="N1919" s="184"/>
      <c r="O1919" s="184"/>
    </row>
    <row r="1920" customFormat="false" ht="15" hidden="false" customHeight="true" outlineLevel="0" collapsed="false">
      <c r="A1920" s="184"/>
      <c r="B1920" s="184"/>
      <c r="C1920" s="184"/>
      <c r="D1920" s="184"/>
      <c r="E1920" s="184"/>
      <c r="F1920" s="184"/>
      <c r="G1920" s="184"/>
      <c r="H1920" s="184"/>
      <c r="I1920" s="184"/>
      <c r="J1920" s="184"/>
      <c r="K1920" s="184"/>
      <c r="L1920" s="184"/>
      <c r="M1920" s="184"/>
      <c r="N1920" s="184"/>
      <c r="O1920" s="184"/>
    </row>
    <row r="1921" customFormat="false" ht="15" hidden="false" customHeight="true" outlineLevel="0" collapsed="false">
      <c r="A1921" s="184"/>
      <c r="B1921" s="184"/>
      <c r="C1921" s="184"/>
      <c r="D1921" s="184"/>
      <c r="E1921" s="184"/>
      <c r="F1921" s="184"/>
      <c r="G1921" s="184"/>
      <c r="H1921" s="184"/>
      <c r="I1921" s="184"/>
      <c r="J1921" s="184"/>
      <c r="K1921" s="184"/>
      <c r="L1921" s="184"/>
      <c r="M1921" s="184"/>
      <c r="N1921" s="184"/>
      <c r="O1921" s="184"/>
    </row>
    <row r="1922" customFormat="false" ht="15" hidden="false" customHeight="true" outlineLevel="0" collapsed="false">
      <c r="A1922" s="184"/>
      <c r="B1922" s="184"/>
      <c r="C1922" s="184"/>
      <c r="D1922" s="184"/>
      <c r="E1922" s="184"/>
      <c r="F1922" s="184"/>
      <c r="G1922" s="184"/>
      <c r="H1922" s="184"/>
      <c r="I1922" s="184"/>
      <c r="J1922" s="184"/>
      <c r="K1922" s="184"/>
      <c r="L1922" s="184"/>
      <c r="M1922" s="184"/>
      <c r="N1922" s="184"/>
      <c r="O1922" s="184"/>
    </row>
    <row r="1923" customFormat="false" ht="15" hidden="false" customHeight="true" outlineLevel="0" collapsed="false">
      <c r="A1923" s="184"/>
      <c r="B1923" s="184"/>
      <c r="C1923" s="184"/>
      <c r="D1923" s="184"/>
      <c r="E1923" s="184"/>
      <c r="F1923" s="184"/>
      <c r="G1923" s="184"/>
      <c r="H1923" s="184"/>
      <c r="I1923" s="184"/>
      <c r="J1923" s="184"/>
      <c r="K1923" s="184"/>
      <c r="L1923" s="184"/>
      <c r="M1923" s="184"/>
      <c r="N1923" s="184"/>
      <c r="O1923" s="184"/>
    </row>
    <row r="1924" customFormat="false" ht="15" hidden="false" customHeight="true" outlineLevel="0" collapsed="false">
      <c r="A1924" s="184"/>
      <c r="B1924" s="184"/>
      <c r="C1924" s="184"/>
      <c r="D1924" s="184"/>
      <c r="E1924" s="184"/>
      <c r="F1924" s="184"/>
      <c r="G1924" s="184"/>
      <c r="H1924" s="184"/>
      <c r="I1924" s="184"/>
      <c r="J1924" s="184"/>
      <c r="K1924" s="184"/>
      <c r="L1924" s="184"/>
      <c r="M1924" s="184"/>
      <c r="N1924" s="184"/>
      <c r="O1924" s="184"/>
    </row>
    <row r="1925" customFormat="false" ht="15" hidden="false" customHeight="true" outlineLevel="0" collapsed="false">
      <c r="A1925" s="184"/>
      <c r="B1925" s="184"/>
      <c r="C1925" s="184"/>
      <c r="D1925" s="184"/>
      <c r="E1925" s="184"/>
      <c r="F1925" s="184"/>
      <c r="G1925" s="184"/>
      <c r="H1925" s="184"/>
      <c r="I1925" s="184"/>
      <c r="J1925" s="184"/>
      <c r="K1925" s="184"/>
      <c r="L1925" s="184"/>
      <c r="M1925" s="184"/>
      <c r="N1925" s="184"/>
      <c r="O1925" s="184"/>
    </row>
    <row r="1926" customFormat="false" ht="15" hidden="false" customHeight="true" outlineLevel="0" collapsed="false">
      <c r="A1926" s="184"/>
      <c r="B1926" s="184"/>
      <c r="C1926" s="184"/>
      <c r="D1926" s="184"/>
      <c r="E1926" s="184"/>
      <c r="F1926" s="184"/>
      <c r="G1926" s="184"/>
      <c r="H1926" s="184"/>
      <c r="I1926" s="184"/>
      <c r="J1926" s="184"/>
      <c r="K1926" s="184"/>
      <c r="L1926" s="184"/>
      <c r="M1926" s="184"/>
      <c r="N1926" s="184"/>
      <c r="O1926" s="184"/>
    </row>
    <row r="1927" customFormat="false" ht="15" hidden="false" customHeight="true" outlineLevel="0" collapsed="false">
      <c r="A1927" s="184"/>
      <c r="B1927" s="184"/>
      <c r="C1927" s="184"/>
      <c r="D1927" s="184"/>
      <c r="E1927" s="184"/>
      <c r="F1927" s="184"/>
      <c r="G1927" s="184"/>
      <c r="H1927" s="184"/>
      <c r="I1927" s="184"/>
      <c r="J1927" s="184"/>
      <c r="K1927" s="184"/>
      <c r="L1927" s="184"/>
      <c r="M1927" s="184"/>
      <c r="N1927" s="184"/>
      <c r="O1927" s="184"/>
    </row>
    <row r="1928" customFormat="false" ht="15" hidden="false" customHeight="true" outlineLevel="0" collapsed="false">
      <c r="A1928" s="184"/>
      <c r="B1928" s="184"/>
      <c r="C1928" s="184"/>
      <c r="D1928" s="184"/>
      <c r="E1928" s="184"/>
      <c r="F1928" s="184"/>
      <c r="G1928" s="184"/>
      <c r="H1928" s="184"/>
      <c r="I1928" s="184"/>
      <c r="J1928" s="184"/>
      <c r="K1928" s="184"/>
      <c r="L1928" s="184"/>
      <c r="M1928" s="184"/>
      <c r="N1928" s="184"/>
      <c r="O1928" s="184"/>
    </row>
    <row r="1929" customFormat="false" ht="15" hidden="false" customHeight="true" outlineLevel="0" collapsed="false">
      <c r="A1929" s="184"/>
      <c r="B1929" s="184"/>
      <c r="C1929" s="184"/>
      <c r="D1929" s="184"/>
      <c r="E1929" s="184"/>
      <c r="F1929" s="184"/>
      <c r="G1929" s="184"/>
      <c r="H1929" s="184"/>
      <c r="I1929" s="184"/>
      <c r="J1929" s="184"/>
      <c r="K1929" s="184"/>
      <c r="L1929" s="184"/>
      <c r="M1929" s="184"/>
      <c r="N1929" s="184"/>
      <c r="O1929" s="184"/>
    </row>
    <row r="1930" customFormat="false" ht="15" hidden="false" customHeight="true" outlineLevel="0" collapsed="false">
      <c r="A1930" s="184"/>
      <c r="B1930" s="184"/>
      <c r="C1930" s="184"/>
      <c r="D1930" s="184"/>
      <c r="E1930" s="184"/>
      <c r="F1930" s="184"/>
      <c r="G1930" s="184"/>
      <c r="H1930" s="184"/>
      <c r="I1930" s="184"/>
      <c r="J1930" s="184"/>
      <c r="K1930" s="184"/>
      <c r="L1930" s="184"/>
      <c r="M1930" s="184"/>
      <c r="N1930" s="184"/>
      <c r="O1930" s="184"/>
    </row>
    <row r="1931" customFormat="false" ht="15" hidden="false" customHeight="true" outlineLevel="0" collapsed="false">
      <c r="A1931" s="184"/>
      <c r="B1931" s="184"/>
      <c r="C1931" s="184"/>
      <c r="D1931" s="184"/>
      <c r="E1931" s="184"/>
      <c r="F1931" s="184"/>
      <c r="G1931" s="184"/>
      <c r="H1931" s="184"/>
      <c r="I1931" s="184"/>
      <c r="J1931" s="184"/>
      <c r="K1931" s="184"/>
      <c r="L1931" s="184"/>
      <c r="M1931" s="184"/>
      <c r="N1931" s="184"/>
      <c r="O1931" s="184"/>
    </row>
    <row r="1932" customFormat="false" ht="15" hidden="false" customHeight="true" outlineLevel="0" collapsed="false">
      <c r="A1932" s="184"/>
      <c r="B1932" s="184"/>
      <c r="C1932" s="184"/>
      <c r="D1932" s="184"/>
      <c r="E1932" s="184"/>
      <c r="F1932" s="184"/>
      <c r="G1932" s="184"/>
      <c r="H1932" s="184"/>
      <c r="I1932" s="184"/>
      <c r="J1932" s="184"/>
      <c r="K1932" s="184"/>
      <c r="L1932" s="184"/>
      <c r="M1932" s="184"/>
      <c r="N1932" s="184"/>
      <c r="O1932" s="184"/>
    </row>
    <row r="1933" customFormat="false" ht="15" hidden="false" customHeight="true" outlineLevel="0" collapsed="false">
      <c r="A1933" s="184"/>
      <c r="B1933" s="184"/>
      <c r="C1933" s="184"/>
      <c r="D1933" s="184"/>
      <c r="E1933" s="184"/>
      <c r="F1933" s="184"/>
      <c r="G1933" s="184"/>
      <c r="H1933" s="184"/>
      <c r="I1933" s="184"/>
      <c r="J1933" s="184"/>
      <c r="K1933" s="184"/>
      <c r="L1933" s="184"/>
      <c r="M1933" s="184"/>
      <c r="N1933" s="184"/>
      <c r="O1933" s="184"/>
    </row>
    <row r="1934" customFormat="false" ht="15" hidden="false" customHeight="true" outlineLevel="0" collapsed="false">
      <c r="A1934" s="184"/>
      <c r="B1934" s="184"/>
      <c r="C1934" s="184"/>
      <c r="D1934" s="184"/>
      <c r="E1934" s="184"/>
      <c r="F1934" s="184"/>
      <c r="G1934" s="184"/>
      <c r="H1934" s="184"/>
      <c r="I1934" s="184"/>
      <c r="J1934" s="184"/>
      <c r="K1934" s="184"/>
      <c r="L1934" s="184"/>
      <c r="M1934" s="184"/>
      <c r="N1934" s="184"/>
      <c r="O1934" s="184"/>
    </row>
    <row r="1935" customFormat="false" ht="15" hidden="false" customHeight="true" outlineLevel="0" collapsed="false">
      <c r="A1935" s="184"/>
      <c r="B1935" s="184"/>
      <c r="C1935" s="184"/>
      <c r="D1935" s="184"/>
      <c r="E1935" s="184"/>
      <c r="F1935" s="184"/>
      <c r="G1935" s="184"/>
      <c r="H1935" s="184"/>
      <c r="I1935" s="184"/>
      <c r="J1935" s="184"/>
      <c r="K1935" s="184"/>
      <c r="L1935" s="184"/>
      <c r="M1935" s="184"/>
      <c r="N1935" s="184"/>
      <c r="O1935" s="184"/>
    </row>
    <row r="1936" customFormat="false" ht="15" hidden="false" customHeight="true" outlineLevel="0" collapsed="false">
      <c r="A1936" s="184"/>
      <c r="B1936" s="184"/>
      <c r="C1936" s="184"/>
      <c r="D1936" s="184"/>
      <c r="E1936" s="184"/>
      <c r="F1936" s="184"/>
      <c r="G1936" s="184"/>
      <c r="H1936" s="184"/>
      <c r="I1936" s="184"/>
      <c r="J1936" s="184"/>
      <c r="K1936" s="184"/>
      <c r="L1936" s="184"/>
      <c r="M1936" s="184"/>
      <c r="N1936" s="184"/>
      <c r="O1936" s="184"/>
    </row>
    <row r="1937" customFormat="false" ht="15" hidden="false" customHeight="true" outlineLevel="0" collapsed="false">
      <c r="A1937" s="184"/>
      <c r="B1937" s="184"/>
      <c r="C1937" s="184"/>
      <c r="D1937" s="184"/>
      <c r="E1937" s="184"/>
      <c r="F1937" s="184"/>
      <c r="G1937" s="184"/>
      <c r="H1937" s="184"/>
      <c r="I1937" s="184"/>
      <c r="J1937" s="184"/>
      <c r="K1937" s="184"/>
      <c r="L1937" s="184"/>
      <c r="M1937" s="184"/>
      <c r="N1937" s="184"/>
      <c r="O1937" s="184"/>
    </row>
    <row r="1938" customFormat="false" ht="15" hidden="false" customHeight="true" outlineLevel="0" collapsed="false">
      <c r="A1938" s="184"/>
      <c r="B1938" s="184"/>
      <c r="C1938" s="184"/>
      <c r="D1938" s="184"/>
      <c r="E1938" s="184"/>
      <c r="F1938" s="184"/>
      <c r="G1938" s="184"/>
      <c r="H1938" s="184"/>
      <c r="I1938" s="184"/>
      <c r="J1938" s="184"/>
      <c r="K1938" s="184"/>
      <c r="L1938" s="184"/>
      <c r="M1938" s="184"/>
      <c r="N1938" s="184"/>
      <c r="O1938" s="184"/>
    </row>
    <row r="1939" customFormat="false" ht="15" hidden="false" customHeight="true" outlineLevel="0" collapsed="false">
      <c r="A1939" s="184"/>
      <c r="B1939" s="184"/>
      <c r="C1939" s="184"/>
      <c r="D1939" s="184"/>
      <c r="E1939" s="184"/>
      <c r="F1939" s="184"/>
      <c r="G1939" s="184"/>
      <c r="H1939" s="184"/>
      <c r="I1939" s="184"/>
      <c r="J1939" s="184"/>
      <c r="K1939" s="184"/>
      <c r="L1939" s="184"/>
      <c r="M1939" s="184"/>
      <c r="N1939" s="184"/>
      <c r="O1939" s="184"/>
    </row>
    <row r="1940" customFormat="false" ht="15" hidden="false" customHeight="true" outlineLevel="0" collapsed="false">
      <c r="A1940" s="184"/>
      <c r="B1940" s="184"/>
      <c r="C1940" s="184"/>
      <c r="D1940" s="184"/>
      <c r="E1940" s="184"/>
      <c r="F1940" s="184"/>
      <c r="G1940" s="184"/>
      <c r="H1940" s="184"/>
      <c r="I1940" s="184"/>
      <c r="J1940" s="184"/>
      <c r="K1940" s="184"/>
      <c r="L1940" s="184"/>
      <c r="M1940" s="184"/>
      <c r="N1940" s="184"/>
      <c r="O1940" s="184"/>
    </row>
    <row r="1941" customFormat="false" ht="15" hidden="false" customHeight="true" outlineLevel="0" collapsed="false">
      <c r="A1941" s="184"/>
      <c r="B1941" s="184"/>
      <c r="C1941" s="184"/>
      <c r="D1941" s="184"/>
      <c r="E1941" s="184"/>
      <c r="F1941" s="184"/>
      <c r="G1941" s="184"/>
      <c r="H1941" s="184"/>
      <c r="I1941" s="184"/>
      <c r="J1941" s="184"/>
      <c r="K1941" s="184"/>
      <c r="L1941" s="184"/>
      <c r="M1941" s="184"/>
      <c r="N1941" s="184"/>
      <c r="O1941" s="184"/>
    </row>
    <row r="1942" customFormat="false" ht="15" hidden="false" customHeight="true" outlineLevel="0" collapsed="false">
      <c r="A1942" s="184"/>
      <c r="B1942" s="184"/>
      <c r="C1942" s="184"/>
      <c r="D1942" s="184"/>
      <c r="E1942" s="184"/>
      <c r="F1942" s="184"/>
      <c r="G1942" s="184"/>
      <c r="H1942" s="184"/>
      <c r="I1942" s="184"/>
      <c r="J1942" s="184"/>
      <c r="K1942" s="184"/>
      <c r="L1942" s="184"/>
      <c r="M1942" s="184"/>
      <c r="N1942" s="184"/>
      <c r="O1942" s="184"/>
    </row>
    <row r="1943" customFormat="false" ht="15" hidden="false" customHeight="true" outlineLevel="0" collapsed="false">
      <c r="A1943" s="184"/>
      <c r="B1943" s="184"/>
      <c r="C1943" s="184"/>
      <c r="D1943" s="184"/>
      <c r="E1943" s="184"/>
      <c r="F1943" s="184"/>
      <c r="G1943" s="184"/>
      <c r="H1943" s="184"/>
      <c r="I1943" s="184"/>
      <c r="J1943" s="184"/>
      <c r="K1943" s="184"/>
      <c r="L1943" s="184"/>
      <c r="M1943" s="184"/>
      <c r="N1943" s="184"/>
      <c r="O1943" s="184"/>
    </row>
    <row r="1944" customFormat="false" ht="15" hidden="false" customHeight="true" outlineLevel="0" collapsed="false">
      <c r="A1944" s="184"/>
      <c r="B1944" s="184"/>
      <c r="C1944" s="184"/>
      <c r="D1944" s="184"/>
      <c r="E1944" s="184"/>
      <c r="F1944" s="184"/>
      <c r="G1944" s="184"/>
      <c r="H1944" s="184"/>
      <c r="I1944" s="184"/>
      <c r="J1944" s="184"/>
      <c r="K1944" s="184"/>
      <c r="L1944" s="184"/>
      <c r="M1944" s="184"/>
      <c r="N1944" s="184"/>
      <c r="O1944" s="184"/>
    </row>
    <row r="1945" customFormat="false" ht="15" hidden="false" customHeight="true" outlineLevel="0" collapsed="false">
      <c r="A1945" s="184"/>
      <c r="B1945" s="184"/>
      <c r="C1945" s="184"/>
      <c r="D1945" s="184"/>
      <c r="E1945" s="184"/>
      <c r="F1945" s="184"/>
      <c r="G1945" s="184"/>
      <c r="H1945" s="184"/>
      <c r="I1945" s="184"/>
      <c r="J1945" s="184"/>
      <c r="K1945" s="184"/>
      <c r="L1945" s="184"/>
      <c r="M1945" s="184"/>
      <c r="N1945" s="184"/>
      <c r="O1945" s="184"/>
    </row>
    <row r="1946" customFormat="false" ht="15" hidden="false" customHeight="true" outlineLevel="0" collapsed="false">
      <c r="A1946" s="184"/>
      <c r="B1946" s="184"/>
      <c r="C1946" s="184"/>
      <c r="D1946" s="184"/>
      <c r="E1946" s="184"/>
      <c r="F1946" s="184"/>
      <c r="G1946" s="184"/>
      <c r="H1946" s="184"/>
      <c r="I1946" s="184"/>
      <c r="J1946" s="184"/>
      <c r="K1946" s="184"/>
      <c r="L1946" s="184"/>
      <c r="M1946" s="184"/>
      <c r="N1946" s="184"/>
      <c r="O1946" s="184"/>
    </row>
    <row r="1947" customFormat="false" ht="15" hidden="false" customHeight="true" outlineLevel="0" collapsed="false">
      <c r="A1947" s="184"/>
      <c r="B1947" s="184"/>
      <c r="C1947" s="184"/>
      <c r="D1947" s="184"/>
      <c r="E1947" s="184"/>
      <c r="F1947" s="184"/>
      <c r="G1947" s="184"/>
      <c r="H1947" s="184"/>
      <c r="I1947" s="184"/>
      <c r="J1947" s="184"/>
      <c r="K1947" s="184"/>
      <c r="L1947" s="184"/>
      <c r="M1947" s="184"/>
      <c r="N1947" s="184"/>
      <c r="O1947" s="184"/>
    </row>
    <row r="1948" customFormat="false" ht="15" hidden="false" customHeight="true" outlineLevel="0" collapsed="false">
      <c r="A1948" s="184"/>
      <c r="B1948" s="184"/>
      <c r="C1948" s="184"/>
      <c r="D1948" s="184"/>
      <c r="E1948" s="184"/>
      <c r="F1948" s="184"/>
      <c r="G1948" s="184"/>
      <c r="H1948" s="184"/>
      <c r="I1948" s="184"/>
      <c r="J1948" s="184"/>
      <c r="K1948" s="184"/>
      <c r="L1948" s="184"/>
      <c r="M1948" s="184"/>
      <c r="N1948" s="184"/>
      <c r="O1948" s="184"/>
    </row>
    <row r="1949" customFormat="false" ht="15" hidden="false" customHeight="true" outlineLevel="0" collapsed="false">
      <c r="A1949" s="184"/>
      <c r="B1949" s="184"/>
      <c r="C1949" s="184"/>
      <c r="D1949" s="184"/>
      <c r="E1949" s="184"/>
      <c r="F1949" s="184"/>
      <c r="G1949" s="184"/>
      <c r="H1949" s="184"/>
      <c r="I1949" s="184"/>
      <c r="J1949" s="184"/>
      <c r="K1949" s="184"/>
      <c r="L1949" s="184"/>
      <c r="M1949" s="184"/>
      <c r="N1949" s="184"/>
      <c r="O1949" s="184"/>
    </row>
    <row r="1950" customFormat="false" ht="15" hidden="false" customHeight="true" outlineLevel="0" collapsed="false">
      <c r="A1950" s="184"/>
      <c r="B1950" s="184"/>
      <c r="C1950" s="184"/>
      <c r="D1950" s="184"/>
      <c r="E1950" s="184"/>
      <c r="F1950" s="184"/>
      <c r="G1950" s="184"/>
      <c r="H1950" s="184"/>
      <c r="I1950" s="184"/>
      <c r="J1950" s="184"/>
      <c r="K1950" s="184"/>
      <c r="L1950" s="184"/>
      <c r="M1950" s="184"/>
      <c r="N1950" s="184"/>
      <c r="O1950" s="184"/>
    </row>
    <row r="1951" customFormat="false" ht="15" hidden="false" customHeight="true" outlineLevel="0" collapsed="false">
      <c r="A1951" s="184"/>
      <c r="B1951" s="184"/>
      <c r="C1951" s="184"/>
      <c r="D1951" s="184"/>
      <c r="E1951" s="184"/>
      <c r="F1951" s="184"/>
      <c r="G1951" s="184"/>
      <c r="H1951" s="184"/>
      <c r="I1951" s="184"/>
      <c r="J1951" s="184"/>
      <c r="K1951" s="184"/>
      <c r="L1951" s="184"/>
      <c r="M1951" s="184"/>
      <c r="N1951" s="184"/>
      <c r="O1951" s="184"/>
    </row>
    <row r="1952" customFormat="false" ht="15" hidden="false" customHeight="true" outlineLevel="0" collapsed="false">
      <c r="A1952" s="184"/>
      <c r="B1952" s="184"/>
      <c r="C1952" s="184"/>
      <c r="D1952" s="184"/>
      <c r="E1952" s="184"/>
      <c r="F1952" s="184"/>
      <c r="G1952" s="184"/>
      <c r="H1952" s="184"/>
      <c r="I1952" s="184"/>
      <c r="J1952" s="184"/>
      <c r="K1952" s="184"/>
      <c r="L1952" s="184"/>
      <c r="M1952" s="184"/>
      <c r="N1952" s="184"/>
      <c r="O1952" s="184"/>
    </row>
    <row r="1953" customFormat="false" ht="15" hidden="false" customHeight="true" outlineLevel="0" collapsed="false">
      <c r="A1953" s="184"/>
      <c r="B1953" s="184"/>
      <c r="C1953" s="184"/>
      <c r="D1953" s="184"/>
      <c r="E1953" s="184"/>
      <c r="F1953" s="184"/>
      <c r="G1953" s="184"/>
      <c r="H1953" s="184"/>
      <c r="I1953" s="184"/>
      <c r="J1953" s="184"/>
      <c r="K1953" s="184"/>
      <c r="L1953" s="184"/>
      <c r="M1953" s="184"/>
      <c r="N1953" s="184"/>
      <c r="O1953" s="184"/>
    </row>
    <row r="1954" customFormat="false" ht="15" hidden="false" customHeight="true" outlineLevel="0" collapsed="false">
      <c r="A1954" s="184"/>
      <c r="B1954" s="184"/>
      <c r="C1954" s="184"/>
      <c r="D1954" s="184"/>
      <c r="E1954" s="184"/>
      <c r="F1954" s="184"/>
      <c r="G1954" s="184"/>
      <c r="H1954" s="184"/>
      <c r="I1954" s="184"/>
      <c r="J1954" s="184"/>
      <c r="K1954" s="184"/>
      <c r="L1954" s="184"/>
      <c r="M1954" s="184"/>
      <c r="N1954" s="184"/>
      <c r="O1954" s="184"/>
    </row>
    <row r="1955" customFormat="false" ht="15" hidden="false" customHeight="true" outlineLevel="0" collapsed="false">
      <c r="A1955" s="184"/>
      <c r="B1955" s="184"/>
      <c r="C1955" s="184"/>
      <c r="D1955" s="184"/>
      <c r="E1955" s="184"/>
      <c r="F1955" s="184"/>
      <c r="G1955" s="184"/>
      <c r="H1955" s="184"/>
      <c r="I1955" s="184"/>
      <c r="J1955" s="184"/>
      <c r="K1955" s="184"/>
      <c r="L1955" s="184"/>
      <c r="M1955" s="184"/>
      <c r="N1955" s="184"/>
      <c r="O1955" s="184"/>
    </row>
    <row r="1956" customFormat="false" ht="15" hidden="false" customHeight="true" outlineLevel="0" collapsed="false">
      <c r="A1956" s="184"/>
      <c r="B1956" s="184"/>
      <c r="C1956" s="184"/>
      <c r="D1956" s="184"/>
      <c r="E1956" s="184"/>
      <c r="F1956" s="184"/>
      <c r="G1956" s="184"/>
      <c r="H1956" s="184"/>
      <c r="I1956" s="184"/>
      <c r="J1956" s="184"/>
      <c r="K1956" s="184"/>
      <c r="L1956" s="184"/>
      <c r="M1956" s="184"/>
      <c r="N1956" s="184"/>
      <c r="O1956" s="184"/>
    </row>
    <row r="1957" customFormat="false" ht="15" hidden="false" customHeight="true" outlineLevel="0" collapsed="false">
      <c r="A1957" s="184"/>
      <c r="B1957" s="184"/>
      <c r="C1957" s="184"/>
      <c r="D1957" s="184"/>
      <c r="E1957" s="184"/>
      <c r="F1957" s="184"/>
      <c r="G1957" s="184"/>
      <c r="H1957" s="184"/>
      <c r="I1957" s="184"/>
      <c r="J1957" s="184"/>
      <c r="K1957" s="184"/>
      <c r="L1957" s="184"/>
      <c r="M1957" s="184"/>
      <c r="N1957" s="184"/>
      <c r="O1957" s="184"/>
    </row>
    <row r="1958" customFormat="false" ht="15" hidden="false" customHeight="true" outlineLevel="0" collapsed="false">
      <c r="A1958" s="184"/>
      <c r="B1958" s="184"/>
      <c r="C1958" s="184"/>
      <c r="D1958" s="184"/>
      <c r="E1958" s="184"/>
      <c r="F1958" s="184"/>
      <c r="G1958" s="184"/>
      <c r="H1958" s="184"/>
      <c r="I1958" s="184"/>
      <c r="J1958" s="184"/>
      <c r="K1958" s="184"/>
      <c r="L1958" s="184"/>
      <c r="M1958" s="184"/>
      <c r="N1958" s="184"/>
      <c r="O1958" s="184"/>
    </row>
    <row r="1959" customFormat="false" ht="15" hidden="false" customHeight="true" outlineLevel="0" collapsed="false">
      <c r="A1959" s="184"/>
      <c r="B1959" s="184"/>
      <c r="C1959" s="184"/>
      <c r="D1959" s="184"/>
      <c r="E1959" s="184"/>
      <c r="F1959" s="184"/>
      <c r="G1959" s="184"/>
      <c r="H1959" s="184"/>
      <c r="I1959" s="184"/>
      <c r="J1959" s="184"/>
      <c r="K1959" s="184"/>
      <c r="L1959" s="184"/>
      <c r="M1959" s="184"/>
      <c r="N1959" s="184"/>
      <c r="O1959" s="184"/>
    </row>
    <row r="1960" customFormat="false" ht="15" hidden="false" customHeight="true" outlineLevel="0" collapsed="false">
      <c r="A1960" s="184"/>
      <c r="B1960" s="184"/>
      <c r="C1960" s="184"/>
      <c r="D1960" s="184"/>
      <c r="E1960" s="184"/>
      <c r="F1960" s="184"/>
      <c r="G1960" s="184"/>
      <c r="H1960" s="184"/>
      <c r="I1960" s="184"/>
      <c r="J1960" s="184"/>
      <c r="K1960" s="184"/>
      <c r="L1960" s="184"/>
      <c r="M1960" s="184"/>
      <c r="N1960" s="184"/>
      <c r="O1960" s="184"/>
    </row>
    <row r="1961" customFormat="false" ht="15" hidden="false" customHeight="true" outlineLevel="0" collapsed="false">
      <c r="A1961" s="184"/>
      <c r="B1961" s="184"/>
      <c r="C1961" s="184"/>
      <c r="D1961" s="184"/>
      <c r="E1961" s="184"/>
      <c r="F1961" s="184"/>
      <c r="G1961" s="184"/>
      <c r="H1961" s="184"/>
      <c r="I1961" s="184"/>
      <c r="J1961" s="184"/>
      <c r="K1961" s="184"/>
      <c r="L1961" s="184"/>
      <c r="M1961" s="184"/>
      <c r="N1961" s="184"/>
      <c r="O1961" s="184"/>
    </row>
    <row r="1962" customFormat="false" ht="15" hidden="false" customHeight="true" outlineLevel="0" collapsed="false">
      <c r="A1962" s="184"/>
      <c r="B1962" s="184"/>
      <c r="C1962" s="184"/>
      <c r="D1962" s="184"/>
      <c r="E1962" s="184"/>
      <c r="F1962" s="184"/>
      <c r="G1962" s="184"/>
      <c r="H1962" s="184"/>
      <c r="I1962" s="184"/>
      <c r="J1962" s="184"/>
      <c r="K1962" s="184"/>
      <c r="L1962" s="184"/>
      <c r="M1962" s="184"/>
      <c r="N1962" s="184"/>
      <c r="O1962" s="184"/>
    </row>
    <row r="1963" customFormat="false" ht="15" hidden="false" customHeight="true" outlineLevel="0" collapsed="false">
      <c r="A1963" s="184"/>
      <c r="B1963" s="184"/>
      <c r="C1963" s="184"/>
      <c r="D1963" s="184"/>
      <c r="E1963" s="184"/>
      <c r="F1963" s="184"/>
      <c r="G1963" s="184"/>
      <c r="H1963" s="184"/>
      <c r="I1963" s="184"/>
      <c r="J1963" s="184"/>
      <c r="K1963" s="184"/>
      <c r="L1963" s="184"/>
      <c r="M1963" s="184"/>
      <c r="N1963" s="184"/>
      <c r="O1963" s="184"/>
    </row>
    <row r="1964" customFormat="false" ht="15" hidden="false" customHeight="true" outlineLevel="0" collapsed="false">
      <c r="A1964" s="184"/>
      <c r="B1964" s="184"/>
      <c r="C1964" s="184"/>
      <c r="D1964" s="184"/>
      <c r="E1964" s="184"/>
      <c r="F1964" s="184"/>
      <c r="G1964" s="184"/>
      <c r="H1964" s="184"/>
      <c r="I1964" s="184"/>
      <c r="J1964" s="184"/>
      <c r="K1964" s="184"/>
      <c r="L1964" s="184"/>
      <c r="M1964" s="184"/>
      <c r="N1964" s="184"/>
      <c r="O1964" s="184"/>
    </row>
    <row r="1965" customFormat="false" ht="15" hidden="false" customHeight="true" outlineLevel="0" collapsed="false">
      <c r="A1965" s="184"/>
      <c r="B1965" s="184"/>
      <c r="C1965" s="184"/>
      <c r="D1965" s="184"/>
      <c r="E1965" s="184"/>
      <c r="F1965" s="184"/>
      <c r="G1965" s="184"/>
      <c r="H1965" s="184"/>
      <c r="I1965" s="184"/>
      <c r="J1965" s="184"/>
      <c r="K1965" s="184"/>
      <c r="L1965" s="184"/>
      <c r="M1965" s="184"/>
      <c r="N1965" s="184"/>
      <c r="O1965" s="184"/>
    </row>
    <row r="1966" customFormat="false" ht="15" hidden="false" customHeight="true" outlineLevel="0" collapsed="false">
      <c r="A1966" s="184"/>
      <c r="B1966" s="184"/>
      <c r="C1966" s="184"/>
      <c r="D1966" s="184"/>
      <c r="E1966" s="184"/>
      <c r="F1966" s="184"/>
      <c r="G1966" s="184"/>
      <c r="H1966" s="184"/>
      <c r="I1966" s="184"/>
      <c r="J1966" s="184"/>
      <c r="K1966" s="184"/>
      <c r="L1966" s="184"/>
      <c r="M1966" s="184"/>
      <c r="N1966" s="184"/>
      <c r="O1966" s="184"/>
    </row>
    <row r="1967" customFormat="false" ht="15" hidden="false" customHeight="true" outlineLevel="0" collapsed="false">
      <c r="A1967" s="184"/>
      <c r="B1967" s="184"/>
      <c r="C1967" s="184"/>
      <c r="D1967" s="184"/>
      <c r="E1967" s="184"/>
      <c r="F1967" s="184"/>
      <c r="G1967" s="184"/>
      <c r="H1967" s="184"/>
      <c r="I1967" s="184"/>
      <c r="J1967" s="184"/>
      <c r="K1967" s="184"/>
      <c r="L1967" s="184"/>
      <c r="M1967" s="184"/>
      <c r="N1967" s="184"/>
      <c r="O1967" s="184"/>
    </row>
    <row r="1968" customFormat="false" ht="15" hidden="false" customHeight="true" outlineLevel="0" collapsed="false">
      <c r="A1968" s="184"/>
      <c r="B1968" s="184"/>
      <c r="C1968" s="184"/>
      <c r="D1968" s="184"/>
      <c r="E1968" s="184"/>
      <c r="F1968" s="184"/>
      <c r="G1968" s="184"/>
      <c r="H1968" s="184"/>
      <c r="I1968" s="184"/>
      <c r="J1968" s="184"/>
      <c r="K1968" s="184"/>
      <c r="L1968" s="184"/>
      <c r="M1968" s="184"/>
      <c r="N1968" s="184"/>
      <c r="O1968" s="184"/>
    </row>
    <row r="1969" customFormat="false" ht="15" hidden="false" customHeight="true" outlineLevel="0" collapsed="false">
      <c r="A1969" s="184"/>
      <c r="B1969" s="184"/>
      <c r="C1969" s="184"/>
      <c r="D1969" s="184"/>
      <c r="E1969" s="184"/>
      <c r="F1969" s="184"/>
      <c r="G1969" s="184"/>
      <c r="H1969" s="184"/>
      <c r="I1969" s="184"/>
      <c r="J1969" s="184"/>
      <c r="K1969" s="184"/>
      <c r="L1969" s="184"/>
      <c r="M1969" s="184"/>
      <c r="N1969" s="184"/>
      <c r="O1969" s="184"/>
    </row>
    <row r="1970" customFormat="false" ht="15" hidden="false" customHeight="true" outlineLevel="0" collapsed="false">
      <c r="A1970" s="184"/>
      <c r="B1970" s="184"/>
      <c r="C1970" s="184"/>
      <c r="D1970" s="184"/>
      <c r="E1970" s="184"/>
      <c r="F1970" s="184"/>
      <c r="G1970" s="184"/>
      <c r="H1970" s="184"/>
      <c r="I1970" s="184"/>
      <c r="J1970" s="184"/>
      <c r="K1970" s="184"/>
      <c r="L1970" s="184"/>
      <c r="M1970" s="184"/>
      <c r="N1970" s="184"/>
      <c r="O1970" s="184"/>
    </row>
    <row r="1971" customFormat="false" ht="15" hidden="false" customHeight="true" outlineLevel="0" collapsed="false">
      <c r="A1971" s="184"/>
      <c r="B1971" s="184"/>
      <c r="C1971" s="184"/>
      <c r="D1971" s="184"/>
      <c r="E1971" s="184"/>
      <c r="F1971" s="184"/>
      <c r="G1971" s="184"/>
      <c r="H1971" s="184"/>
      <c r="I1971" s="184"/>
      <c r="J1971" s="184"/>
      <c r="K1971" s="184"/>
      <c r="L1971" s="184"/>
      <c r="M1971" s="184"/>
      <c r="N1971" s="184"/>
      <c r="O1971" s="184"/>
    </row>
    <row r="1972" customFormat="false" ht="15" hidden="false" customHeight="true" outlineLevel="0" collapsed="false">
      <c r="A1972" s="184"/>
      <c r="B1972" s="184"/>
      <c r="C1972" s="184"/>
      <c r="D1972" s="184"/>
      <c r="E1972" s="184"/>
      <c r="F1972" s="184"/>
      <c r="G1972" s="184"/>
      <c r="H1972" s="184"/>
      <c r="I1972" s="184"/>
      <c r="J1972" s="184"/>
      <c r="K1972" s="184"/>
      <c r="L1972" s="184"/>
      <c r="M1972" s="184"/>
      <c r="N1972" s="184"/>
      <c r="O1972" s="184"/>
    </row>
    <row r="1973" customFormat="false" ht="15" hidden="false" customHeight="true" outlineLevel="0" collapsed="false">
      <c r="A1973" s="184"/>
      <c r="B1973" s="184"/>
      <c r="C1973" s="184"/>
      <c r="D1973" s="184"/>
      <c r="E1973" s="184"/>
      <c r="F1973" s="184"/>
      <c r="G1973" s="184"/>
      <c r="H1973" s="184"/>
      <c r="I1973" s="184"/>
      <c r="J1973" s="184"/>
      <c r="K1973" s="184"/>
      <c r="L1973" s="184"/>
      <c r="M1973" s="184"/>
      <c r="N1973" s="184"/>
      <c r="O1973" s="184"/>
    </row>
    <row r="1974" customFormat="false" ht="15" hidden="false" customHeight="true" outlineLevel="0" collapsed="false">
      <c r="A1974" s="184"/>
      <c r="B1974" s="184"/>
      <c r="C1974" s="184"/>
      <c r="D1974" s="184"/>
      <c r="E1974" s="184"/>
      <c r="F1974" s="184"/>
      <c r="G1974" s="184"/>
      <c r="H1974" s="184"/>
      <c r="I1974" s="184"/>
      <c r="J1974" s="184"/>
      <c r="K1974" s="184"/>
      <c r="L1974" s="184"/>
      <c r="M1974" s="184"/>
      <c r="N1974" s="184"/>
      <c r="O1974" s="184"/>
    </row>
    <row r="1975" customFormat="false" ht="15" hidden="false" customHeight="true" outlineLevel="0" collapsed="false">
      <c r="A1975" s="184"/>
      <c r="B1975" s="184"/>
      <c r="C1975" s="184"/>
      <c r="D1975" s="184"/>
      <c r="E1975" s="184"/>
      <c r="F1975" s="184"/>
      <c r="G1975" s="184"/>
      <c r="H1975" s="184"/>
      <c r="I1975" s="184"/>
      <c r="J1975" s="184"/>
      <c r="K1975" s="184"/>
      <c r="L1975" s="184"/>
      <c r="M1975" s="184"/>
      <c r="N1975" s="184"/>
      <c r="O1975" s="184"/>
    </row>
    <row r="1976" customFormat="false" ht="15" hidden="false" customHeight="true" outlineLevel="0" collapsed="false">
      <c r="A1976" s="184"/>
      <c r="B1976" s="184"/>
      <c r="C1976" s="184"/>
      <c r="D1976" s="184"/>
      <c r="E1976" s="184"/>
      <c r="F1976" s="184"/>
      <c r="G1976" s="184"/>
      <c r="H1976" s="184"/>
      <c r="I1976" s="184"/>
      <c r="J1976" s="184"/>
      <c r="K1976" s="184"/>
      <c r="L1976" s="184"/>
      <c r="M1976" s="184"/>
      <c r="N1976" s="184"/>
      <c r="O1976" s="184"/>
    </row>
    <row r="1977" customFormat="false" ht="15" hidden="false" customHeight="true" outlineLevel="0" collapsed="false">
      <c r="A1977" s="184"/>
      <c r="B1977" s="184"/>
      <c r="C1977" s="184"/>
      <c r="D1977" s="184"/>
      <c r="E1977" s="184"/>
      <c r="F1977" s="184"/>
      <c r="G1977" s="184"/>
      <c r="H1977" s="184"/>
      <c r="I1977" s="184"/>
      <c r="J1977" s="184"/>
      <c r="K1977" s="184"/>
      <c r="L1977" s="184"/>
      <c r="M1977" s="184"/>
      <c r="N1977" s="184"/>
      <c r="O1977" s="184"/>
    </row>
    <row r="1978" customFormat="false" ht="15" hidden="false" customHeight="true" outlineLevel="0" collapsed="false">
      <c r="A1978" s="184"/>
      <c r="B1978" s="184"/>
      <c r="C1978" s="184"/>
      <c r="D1978" s="184"/>
      <c r="E1978" s="184"/>
      <c r="F1978" s="184"/>
      <c r="G1978" s="184"/>
      <c r="H1978" s="184"/>
      <c r="I1978" s="184"/>
      <c r="J1978" s="184"/>
      <c r="K1978" s="184"/>
      <c r="L1978" s="184"/>
      <c r="M1978" s="184"/>
      <c r="N1978" s="184"/>
      <c r="O1978" s="184"/>
    </row>
    <row r="1979" customFormat="false" ht="15" hidden="false" customHeight="true" outlineLevel="0" collapsed="false">
      <c r="A1979" s="184"/>
      <c r="B1979" s="184"/>
      <c r="C1979" s="184"/>
      <c r="D1979" s="184"/>
      <c r="E1979" s="184"/>
      <c r="F1979" s="184"/>
      <c r="G1979" s="184"/>
      <c r="H1979" s="184"/>
      <c r="I1979" s="184"/>
      <c r="J1979" s="184"/>
      <c r="K1979" s="184"/>
      <c r="L1979" s="184"/>
      <c r="M1979" s="184"/>
      <c r="N1979" s="184"/>
      <c r="O1979" s="184"/>
    </row>
    <row r="1980" customFormat="false" ht="15" hidden="false" customHeight="true" outlineLevel="0" collapsed="false">
      <c r="A1980" s="184"/>
      <c r="B1980" s="184"/>
      <c r="C1980" s="184"/>
      <c r="D1980" s="184"/>
      <c r="E1980" s="184"/>
      <c r="F1980" s="184"/>
      <c r="G1980" s="184"/>
      <c r="H1980" s="184"/>
      <c r="I1980" s="184"/>
      <c r="J1980" s="184"/>
      <c r="K1980" s="184"/>
      <c r="L1980" s="184"/>
      <c r="M1980" s="184"/>
      <c r="N1980" s="184"/>
      <c r="O1980" s="184"/>
    </row>
    <row r="1981" customFormat="false" ht="15" hidden="false" customHeight="true" outlineLevel="0" collapsed="false">
      <c r="A1981" s="184"/>
      <c r="B1981" s="184"/>
      <c r="C1981" s="184"/>
      <c r="D1981" s="184"/>
      <c r="E1981" s="184"/>
      <c r="F1981" s="184"/>
      <c r="G1981" s="184"/>
      <c r="H1981" s="184"/>
      <c r="I1981" s="184"/>
      <c r="J1981" s="184"/>
      <c r="K1981" s="184"/>
      <c r="L1981" s="184"/>
      <c r="M1981" s="184"/>
      <c r="N1981" s="184"/>
      <c r="O1981" s="184"/>
    </row>
    <row r="1982" customFormat="false" ht="15" hidden="false" customHeight="true" outlineLevel="0" collapsed="false">
      <c r="A1982" s="184"/>
      <c r="B1982" s="184"/>
      <c r="C1982" s="184"/>
      <c r="D1982" s="184"/>
      <c r="E1982" s="184"/>
      <c r="F1982" s="184"/>
      <c r="G1982" s="184"/>
      <c r="H1982" s="184"/>
      <c r="I1982" s="184"/>
      <c r="J1982" s="184"/>
      <c r="K1982" s="184"/>
      <c r="L1982" s="184"/>
      <c r="M1982" s="184"/>
      <c r="N1982" s="184"/>
      <c r="O1982" s="184"/>
    </row>
    <row r="1983" customFormat="false" ht="15" hidden="false" customHeight="true" outlineLevel="0" collapsed="false">
      <c r="A1983" s="184"/>
      <c r="B1983" s="184"/>
      <c r="C1983" s="184"/>
      <c r="D1983" s="184"/>
      <c r="E1983" s="184"/>
      <c r="F1983" s="184"/>
      <c r="G1983" s="184"/>
      <c r="H1983" s="184"/>
      <c r="I1983" s="184"/>
      <c r="J1983" s="184"/>
      <c r="K1983" s="184"/>
      <c r="L1983" s="184"/>
      <c r="M1983" s="184"/>
      <c r="N1983" s="184"/>
      <c r="O1983" s="184"/>
    </row>
    <row r="1984" customFormat="false" ht="15" hidden="false" customHeight="true" outlineLevel="0" collapsed="false">
      <c r="A1984" s="184"/>
      <c r="B1984" s="184"/>
      <c r="C1984" s="184"/>
      <c r="D1984" s="184"/>
      <c r="E1984" s="184"/>
      <c r="F1984" s="184"/>
      <c r="G1984" s="184"/>
      <c r="H1984" s="184"/>
      <c r="I1984" s="184"/>
      <c r="J1984" s="184"/>
      <c r="K1984" s="184"/>
      <c r="L1984" s="184"/>
      <c r="M1984" s="184"/>
      <c r="N1984" s="184"/>
      <c r="O1984" s="184"/>
    </row>
    <row r="1985" customFormat="false" ht="15" hidden="false" customHeight="true" outlineLevel="0" collapsed="false">
      <c r="A1985" s="184"/>
      <c r="B1985" s="184"/>
      <c r="C1985" s="184"/>
      <c r="D1985" s="184"/>
      <c r="E1985" s="184"/>
      <c r="F1985" s="184"/>
      <c r="G1985" s="184"/>
      <c r="H1985" s="184"/>
      <c r="I1985" s="184"/>
      <c r="J1985" s="184"/>
      <c r="K1985" s="184"/>
      <c r="L1985" s="184"/>
      <c r="M1985" s="184"/>
      <c r="N1985" s="184"/>
      <c r="O1985" s="184"/>
    </row>
    <row r="1986" customFormat="false" ht="15" hidden="false" customHeight="true" outlineLevel="0" collapsed="false">
      <c r="A1986" s="184"/>
      <c r="B1986" s="184"/>
      <c r="C1986" s="184"/>
      <c r="D1986" s="184"/>
      <c r="E1986" s="184"/>
      <c r="F1986" s="184"/>
      <c r="G1986" s="184"/>
      <c r="H1986" s="184"/>
      <c r="I1986" s="184"/>
      <c r="J1986" s="184"/>
      <c r="K1986" s="184"/>
      <c r="L1986" s="184"/>
      <c r="M1986" s="184"/>
      <c r="N1986" s="184"/>
      <c r="O1986" s="184"/>
    </row>
    <row r="1987" customFormat="false" ht="15" hidden="false" customHeight="true" outlineLevel="0" collapsed="false">
      <c r="A1987" s="184"/>
      <c r="B1987" s="184"/>
      <c r="C1987" s="184"/>
      <c r="D1987" s="184"/>
      <c r="E1987" s="184"/>
      <c r="F1987" s="184"/>
      <c r="G1987" s="184"/>
      <c r="H1987" s="184"/>
      <c r="I1987" s="184"/>
      <c r="J1987" s="184"/>
      <c r="K1987" s="184"/>
      <c r="L1987" s="184"/>
      <c r="M1987" s="184"/>
      <c r="N1987" s="184"/>
      <c r="O1987" s="184"/>
    </row>
    <row r="1988" customFormat="false" ht="15" hidden="false" customHeight="true" outlineLevel="0" collapsed="false">
      <c r="A1988" s="184"/>
      <c r="B1988" s="184"/>
      <c r="C1988" s="184"/>
      <c r="D1988" s="184"/>
      <c r="E1988" s="184"/>
      <c r="F1988" s="184"/>
      <c r="G1988" s="184"/>
      <c r="H1988" s="184"/>
      <c r="I1988" s="184"/>
      <c r="J1988" s="184"/>
      <c r="K1988" s="184"/>
      <c r="L1988" s="184"/>
      <c r="M1988" s="184"/>
      <c r="N1988" s="184"/>
      <c r="O1988" s="184"/>
    </row>
    <row r="1989" customFormat="false" ht="15" hidden="false" customHeight="true" outlineLevel="0" collapsed="false">
      <c r="A1989" s="184"/>
      <c r="B1989" s="184"/>
      <c r="C1989" s="184"/>
      <c r="D1989" s="184"/>
      <c r="E1989" s="184"/>
      <c r="F1989" s="184"/>
      <c r="G1989" s="184"/>
      <c r="H1989" s="184"/>
      <c r="I1989" s="184"/>
      <c r="J1989" s="184"/>
      <c r="K1989" s="184"/>
      <c r="L1989" s="184"/>
      <c r="M1989" s="184"/>
      <c r="N1989" s="184"/>
      <c r="O1989" s="184"/>
    </row>
    <row r="1990" customFormat="false" ht="15" hidden="false" customHeight="true" outlineLevel="0" collapsed="false">
      <c r="A1990" s="184"/>
      <c r="B1990" s="184"/>
      <c r="C1990" s="184"/>
      <c r="D1990" s="184"/>
      <c r="E1990" s="184"/>
      <c r="F1990" s="184"/>
      <c r="G1990" s="184"/>
      <c r="H1990" s="184"/>
      <c r="I1990" s="184"/>
      <c r="J1990" s="184"/>
      <c r="K1990" s="184"/>
      <c r="L1990" s="184"/>
      <c r="M1990" s="184"/>
      <c r="N1990" s="184"/>
      <c r="O1990" s="184"/>
    </row>
    <row r="1991" customFormat="false" ht="15" hidden="false" customHeight="true" outlineLevel="0" collapsed="false">
      <c r="A1991" s="184"/>
      <c r="B1991" s="184"/>
      <c r="C1991" s="184"/>
      <c r="D1991" s="184"/>
      <c r="E1991" s="184"/>
      <c r="F1991" s="184"/>
      <c r="G1991" s="184"/>
      <c r="H1991" s="184"/>
      <c r="I1991" s="184"/>
      <c r="J1991" s="184"/>
      <c r="K1991" s="184"/>
      <c r="L1991" s="184"/>
      <c r="M1991" s="184"/>
      <c r="N1991" s="184"/>
      <c r="O1991" s="184"/>
    </row>
    <row r="1992" customFormat="false" ht="15" hidden="false" customHeight="true" outlineLevel="0" collapsed="false">
      <c r="A1992" s="184"/>
      <c r="B1992" s="184"/>
      <c r="C1992" s="184"/>
      <c r="D1992" s="184"/>
      <c r="E1992" s="184"/>
      <c r="F1992" s="184"/>
      <c r="G1992" s="184"/>
      <c r="H1992" s="184"/>
      <c r="I1992" s="184"/>
      <c r="J1992" s="184"/>
      <c r="K1992" s="184"/>
      <c r="L1992" s="184"/>
      <c r="M1992" s="184"/>
      <c r="N1992" s="184"/>
      <c r="O1992" s="184"/>
    </row>
    <row r="1993" customFormat="false" ht="15" hidden="false" customHeight="true" outlineLevel="0" collapsed="false">
      <c r="A1993" s="184"/>
      <c r="B1993" s="184"/>
      <c r="C1993" s="184"/>
      <c r="D1993" s="184"/>
      <c r="E1993" s="184"/>
      <c r="F1993" s="184"/>
      <c r="G1993" s="184"/>
      <c r="H1993" s="184"/>
      <c r="I1993" s="184"/>
      <c r="J1993" s="184"/>
      <c r="K1993" s="184"/>
      <c r="L1993" s="184"/>
      <c r="M1993" s="184"/>
      <c r="N1993" s="184"/>
      <c r="O1993" s="184"/>
    </row>
    <row r="1994" customFormat="false" ht="15" hidden="false" customHeight="true" outlineLevel="0" collapsed="false">
      <c r="A1994" s="184"/>
      <c r="B1994" s="184"/>
      <c r="C1994" s="184"/>
      <c r="D1994" s="184"/>
      <c r="E1994" s="184"/>
      <c r="F1994" s="184"/>
      <c r="G1994" s="184"/>
      <c r="H1994" s="184"/>
      <c r="I1994" s="184"/>
      <c r="J1994" s="184"/>
      <c r="K1994" s="184"/>
      <c r="L1994" s="184"/>
      <c r="M1994" s="184"/>
      <c r="N1994" s="184"/>
      <c r="O1994" s="184"/>
    </row>
    <row r="1995" customFormat="false" ht="15" hidden="false" customHeight="true" outlineLevel="0" collapsed="false">
      <c r="A1995" s="184"/>
      <c r="B1995" s="184"/>
      <c r="C1995" s="184"/>
      <c r="D1995" s="184"/>
      <c r="E1995" s="184"/>
      <c r="F1995" s="184"/>
      <c r="G1995" s="184"/>
      <c r="H1995" s="184"/>
      <c r="I1995" s="184"/>
      <c r="J1995" s="184"/>
      <c r="K1995" s="184"/>
      <c r="L1995" s="184"/>
      <c r="M1995" s="184"/>
      <c r="N1995" s="184"/>
      <c r="O1995" s="184"/>
    </row>
    <row r="1996" customFormat="false" ht="15" hidden="false" customHeight="true" outlineLevel="0" collapsed="false">
      <c r="A1996" s="184"/>
      <c r="B1996" s="184"/>
      <c r="C1996" s="184"/>
      <c r="D1996" s="184"/>
      <c r="E1996" s="184"/>
      <c r="F1996" s="184"/>
      <c r="G1996" s="184"/>
      <c r="H1996" s="184"/>
      <c r="I1996" s="184"/>
      <c r="J1996" s="184"/>
      <c r="K1996" s="184"/>
      <c r="L1996" s="184"/>
      <c r="M1996" s="184"/>
      <c r="N1996" s="184"/>
      <c r="O1996" s="184"/>
    </row>
    <row r="1997" customFormat="false" ht="15" hidden="false" customHeight="true" outlineLevel="0" collapsed="false">
      <c r="A1997" s="184"/>
      <c r="B1997" s="184"/>
      <c r="C1997" s="184"/>
      <c r="D1997" s="184"/>
      <c r="E1997" s="184"/>
      <c r="F1997" s="184"/>
      <c r="G1997" s="184"/>
      <c r="H1997" s="184"/>
      <c r="I1997" s="184"/>
      <c r="J1997" s="184"/>
      <c r="K1997" s="184"/>
      <c r="L1997" s="184"/>
      <c r="M1997" s="184"/>
      <c r="N1997" s="184"/>
      <c r="O1997" s="184"/>
    </row>
    <row r="1998" customFormat="false" ht="15" hidden="false" customHeight="true" outlineLevel="0" collapsed="false">
      <c r="A1998" s="184"/>
      <c r="B1998" s="184"/>
      <c r="C1998" s="184"/>
      <c r="D1998" s="184"/>
      <c r="E1998" s="184"/>
      <c r="F1998" s="184"/>
      <c r="G1998" s="184"/>
      <c r="H1998" s="184"/>
      <c r="I1998" s="184"/>
      <c r="J1998" s="184"/>
      <c r="K1998" s="184"/>
      <c r="L1998" s="184"/>
      <c r="M1998" s="184"/>
      <c r="N1998" s="184"/>
      <c r="O1998" s="184"/>
    </row>
    <row r="1999" customFormat="false" ht="15" hidden="false" customHeight="true" outlineLevel="0" collapsed="false">
      <c r="A1999" s="184"/>
      <c r="B1999" s="184"/>
      <c r="C1999" s="184"/>
      <c r="D1999" s="184"/>
      <c r="E1999" s="184"/>
      <c r="F1999" s="184"/>
      <c r="G1999" s="184"/>
      <c r="H1999" s="184"/>
      <c r="I1999" s="184"/>
      <c r="J1999" s="184"/>
      <c r="K1999" s="184"/>
      <c r="L1999" s="184"/>
      <c r="M1999" s="184"/>
      <c r="N1999" s="184"/>
      <c r="O1999" s="184"/>
    </row>
    <row r="2000" customFormat="false" ht="15" hidden="false" customHeight="true" outlineLevel="0" collapsed="false">
      <c r="A2000" s="184"/>
      <c r="B2000" s="184"/>
      <c r="C2000" s="184"/>
      <c r="D2000" s="184"/>
      <c r="E2000" s="184"/>
      <c r="F2000" s="184"/>
      <c r="G2000" s="184"/>
      <c r="H2000" s="184"/>
      <c r="I2000" s="184"/>
      <c r="J2000" s="184"/>
      <c r="K2000" s="184"/>
      <c r="L2000" s="184"/>
      <c r="M2000" s="184"/>
      <c r="N2000" s="184"/>
      <c r="O2000" s="184"/>
    </row>
    <row r="2001" customFormat="false" ht="15" hidden="false" customHeight="true" outlineLevel="0" collapsed="false">
      <c r="A2001" s="184"/>
      <c r="B2001" s="184"/>
      <c r="C2001" s="184"/>
      <c r="D2001" s="184"/>
      <c r="E2001" s="184"/>
      <c r="F2001" s="184"/>
      <c r="G2001" s="184"/>
      <c r="H2001" s="184"/>
      <c r="I2001" s="184"/>
      <c r="J2001" s="184"/>
      <c r="K2001" s="184"/>
      <c r="L2001" s="184"/>
      <c r="M2001" s="184"/>
      <c r="N2001" s="184"/>
      <c r="O2001" s="184"/>
    </row>
    <row r="2002" customFormat="false" ht="15" hidden="false" customHeight="true" outlineLevel="0" collapsed="false">
      <c r="A2002" s="184"/>
      <c r="B2002" s="184"/>
      <c r="C2002" s="184"/>
      <c r="D2002" s="184"/>
      <c r="E2002" s="184"/>
      <c r="F2002" s="184"/>
      <c r="G2002" s="184"/>
      <c r="H2002" s="184"/>
      <c r="I2002" s="184"/>
      <c r="J2002" s="184"/>
      <c r="K2002" s="184"/>
      <c r="L2002" s="184"/>
      <c r="M2002" s="184"/>
      <c r="N2002" s="184"/>
      <c r="O2002" s="184"/>
    </row>
    <row r="2003" customFormat="false" ht="15" hidden="false" customHeight="true" outlineLevel="0" collapsed="false">
      <c r="A2003" s="184"/>
      <c r="B2003" s="184"/>
      <c r="C2003" s="184"/>
      <c r="D2003" s="184"/>
      <c r="E2003" s="184"/>
      <c r="F2003" s="184"/>
      <c r="G2003" s="184"/>
      <c r="H2003" s="184"/>
      <c r="I2003" s="184"/>
      <c r="J2003" s="184"/>
      <c r="K2003" s="184"/>
      <c r="L2003" s="184"/>
      <c r="M2003" s="184"/>
      <c r="N2003" s="184"/>
      <c r="O2003" s="184"/>
    </row>
    <row r="2004" customFormat="false" ht="15" hidden="false" customHeight="true" outlineLevel="0" collapsed="false">
      <c r="A2004" s="184"/>
      <c r="B2004" s="184"/>
      <c r="C2004" s="184"/>
      <c r="D2004" s="184"/>
      <c r="E2004" s="184"/>
      <c r="F2004" s="184"/>
      <c r="G2004" s="184"/>
      <c r="H2004" s="184"/>
      <c r="I2004" s="184"/>
      <c r="J2004" s="184"/>
      <c r="K2004" s="184"/>
      <c r="L2004" s="184"/>
      <c r="M2004" s="184"/>
      <c r="N2004" s="184"/>
      <c r="O2004" s="184"/>
    </row>
    <row r="2005" customFormat="false" ht="15" hidden="false" customHeight="true" outlineLevel="0" collapsed="false">
      <c r="A2005" s="184"/>
      <c r="B2005" s="184"/>
      <c r="C2005" s="184"/>
      <c r="D2005" s="184"/>
      <c r="E2005" s="184"/>
      <c r="F2005" s="184"/>
      <c r="G2005" s="184"/>
      <c r="H2005" s="184"/>
      <c r="I2005" s="184"/>
      <c r="J2005" s="184"/>
      <c r="K2005" s="184"/>
      <c r="L2005" s="184"/>
      <c r="M2005" s="184"/>
      <c r="N2005" s="184"/>
      <c r="O2005" s="184"/>
    </row>
    <row r="2006" customFormat="false" ht="15" hidden="false" customHeight="true" outlineLevel="0" collapsed="false">
      <c r="A2006" s="184"/>
      <c r="B2006" s="184"/>
      <c r="C2006" s="184"/>
      <c r="D2006" s="184"/>
      <c r="E2006" s="184"/>
      <c r="F2006" s="184"/>
      <c r="G2006" s="184"/>
      <c r="H2006" s="184"/>
      <c r="I2006" s="184"/>
      <c r="J2006" s="184"/>
      <c r="K2006" s="184"/>
      <c r="L2006" s="184"/>
      <c r="M2006" s="184"/>
      <c r="N2006" s="184"/>
      <c r="O2006" s="184"/>
    </row>
    <row r="2007" customFormat="false" ht="15" hidden="false" customHeight="true" outlineLevel="0" collapsed="false">
      <c r="A2007" s="184"/>
      <c r="B2007" s="184"/>
      <c r="C2007" s="184"/>
      <c r="D2007" s="184"/>
      <c r="E2007" s="184"/>
      <c r="F2007" s="184"/>
      <c r="G2007" s="184"/>
      <c r="H2007" s="184"/>
      <c r="I2007" s="184"/>
      <c r="J2007" s="184"/>
      <c r="K2007" s="184"/>
      <c r="L2007" s="184"/>
      <c r="M2007" s="184"/>
      <c r="N2007" s="184"/>
      <c r="O2007" s="184"/>
    </row>
    <row r="2008" customFormat="false" ht="15" hidden="false" customHeight="true" outlineLevel="0" collapsed="false">
      <c r="A2008" s="184"/>
      <c r="B2008" s="184"/>
      <c r="C2008" s="184"/>
      <c r="D2008" s="184"/>
      <c r="E2008" s="184"/>
      <c r="F2008" s="184"/>
      <c r="G2008" s="184"/>
      <c r="H2008" s="184"/>
      <c r="I2008" s="184"/>
      <c r="J2008" s="184"/>
      <c r="K2008" s="184"/>
      <c r="L2008" s="184"/>
      <c r="M2008" s="184"/>
      <c r="N2008" s="184"/>
      <c r="O2008" s="184"/>
    </row>
    <row r="2009" customFormat="false" ht="15" hidden="false" customHeight="true" outlineLevel="0" collapsed="false">
      <c r="A2009" s="184"/>
      <c r="B2009" s="184"/>
      <c r="C2009" s="184"/>
      <c r="D2009" s="184"/>
      <c r="E2009" s="184"/>
      <c r="F2009" s="184"/>
      <c r="G2009" s="184"/>
      <c r="H2009" s="184"/>
      <c r="I2009" s="184"/>
      <c r="J2009" s="184"/>
      <c r="K2009" s="184"/>
      <c r="L2009" s="184"/>
      <c r="M2009" s="184"/>
      <c r="N2009" s="184"/>
      <c r="O2009" s="184"/>
    </row>
    <row r="2010" customFormat="false" ht="15" hidden="false" customHeight="true" outlineLevel="0" collapsed="false">
      <c r="A2010" s="184"/>
      <c r="B2010" s="184"/>
      <c r="C2010" s="184"/>
      <c r="D2010" s="184"/>
      <c r="E2010" s="184"/>
      <c r="F2010" s="184"/>
      <c r="G2010" s="184"/>
      <c r="H2010" s="184"/>
      <c r="I2010" s="184"/>
      <c r="J2010" s="184"/>
      <c r="K2010" s="184"/>
      <c r="L2010" s="184"/>
      <c r="M2010" s="184"/>
      <c r="N2010" s="184"/>
      <c r="O2010" s="184"/>
    </row>
    <row r="2011" customFormat="false" ht="15" hidden="false" customHeight="true" outlineLevel="0" collapsed="false">
      <c r="A2011" s="184"/>
      <c r="B2011" s="184"/>
      <c r="C2011" s="184"/>
      <c r="D2011" s="184"/>
      <c r="E2011" s="184"/>
      <c r="F2011" s="184"/>
      <c r="G2011" s="184"/>
      <c r="H2011" s="184"/>
      <c r="I2011" s="184"/>
      <c r="J2011" s="184"/>
      <c r="K2011" s="184"/>
      <c r="L2011" s="184"/>
      <c r="M2011" s="184"/>
      <c r="N2011" s="184"/>
      <c r="O2011" s="184"/>
    </row>
    <row r="2012" customFormat="false" ht="15" hidden="false" customHeight="true" outlineLevel="0" collapsed="false">
      <c r="A2012" s="184"/>
      <c r="B2012" s="184"/>
      <c r="C2012" s="184"/>
      <c r="D2012" s="184"/>
      <c r="E2012" s="184"/>
      <c r="F2012" s="184"/>
      <c r="G2012" s="184"/>
      <c r="H2012" s="184"/>
      <c r="I2012" s="184"/>
      <c r="J2012" s="184"/>
      <c r="K2012" s="184"/>
      <c r="L2012" s="184"/>
      <c r="M2012" s="184"/>
      <c r="N2012" s="184"/>
      <c r="O2012" s="184"/>
    </row>
    <row r="2013" customFormat="false" ht="15" hidden="false" customHeight="true" outlineLevel="0" collapsed="false">
      <c r="A2013" s="184"/>
      <c r="B2013" s="184"/>
      <c r="C2013" s="184"/>
      <c r="D2013" s="184"/>
      <c r="E2013" s="184"/>
      <c r="F2013" s="184"/>
      <c r="G2013" s="184"/>
      <c r="H2013" s="184"/>
      <c r="I2013" s="184"/>
      <c r="J2013" s="184"/>
      <c r="K2013" s="184"/>
      <c r="L2013" s="184"/>
      <c r="M2013" s="184"/>
      <c r="N2013" s="184"/>
      <c r="O2013" s="184"/>
    </row>
    <row r="2014" customFormat="false" ht="15" hidden="false" customHeight="true" outlineLevel="0" collapsed="false">
      <c r="A2014" s="184"/>
      <c r="B2014" s="184"/>
      <c r="C2014" s="184"/>
      <c r="D2014" s="184"/>
      <c r="E2014" s="184"/>
      <c r="F2014" s="184"/>
      <c r="G2014" s="184"/>
      <c r="H2014" s="184"/>
      <c r="I2014" s="184"/>
      <c r="J2014" s="184"/>
      <c r="K2014" s="184"/>
      <c r="L2014" s="184"/>
      <c r="M2014" s="184"/>
      <c r="N2014" s="184"/>
      <c r="O2014" s="184"/>
    </row>
    <row r="2015" customFormat="false" ht="15" hidden="false" customHeight="true" outlineLevel="0" collapsed="false">
      <c r="A2015" s="184"/>
      <c r="B2015" s="184"/>
      <c r="C2015" s="184"/>
      <c r="D2015" s="184"/>
      <c r="E2015" s="184"/>
      <c r="F2015" s="184"/>
      <c r="G2015" s="184"/>
      <c r="H2015" s="184"/>
      <c r="I2015" s="184"/>
      <c r="J2015" s="184"/>
      <c r="K2015" s="184"/>
      <c r="L2015" s="184"/>
      <c r="M2015" s="184"/>
      <c r="N2015" s="184"/>
      <c r="O2015" s="184"/>
    </row>
    <row r="2016" customFormat="false" ht="15" hidden="false" customHeight="true" outlineLevel="0" collapsed="false">
      <c r="A2016" s="184"/>
      <c r="B2016" s="184"/>
      <c r="C2016" s="184"/>
      <c r="D2016" s="184"/>
      <c r="E2016" s="184"/>
      <c r="F2016" s="184"/>
      <c r="G2016" s="184"/>
      <c r="H2016" s="184"/>
      <c r="I2016" s="184"/>
      <c r="J2016" s="184"/>
      <c r="K2016" s="184"/>
      <c r="L2016" s="184"/>
      <c r="M2016" s="184"/>
      <c r="N2016" s="184"/>
      <c r="O2016" s="184"/>
    </row>
    <row r="2017" customFormat="false" ht="15" hidden="false" customHeight="true" outlineLevel="0" collapsed="false">
      <c r="A2017" s="184"/>
      <c r="B2017" s="184"/>
      <c r="C2017" s="184"/>
      <c r="D2017" s="184"/>
      <c r="E2017" s="184"/>
      <c r="F2017" s="184"/>
      <c r="G2017" s="184"/>
      <c r="H2017" s="184"/>
      <c r="I2017" s="184"/>
      <c r="J2017" s="184"/>
      <c r="K2017" s="184"/>
      <c r="L2017" s="184"/>
      <c r="M2017" s="184"/>
      <c r="N2017" s="184"/>
      <c r="O2017" s="184"/>
    </row>
    <row r="2018" customFormat="false" ht="15" hidden="false" customHeight="true" outlineLevel="0" collapsed="false">
      <c r="A2018" s="184"/>
      <c r="B2018" s="184"/>
      <c r="C2018" s="184"/>
      <c r="D2018" s="184"/>
      <c r="E2018" s="184"/>
      <c r="F2018" s="184"/>
      <c r="G2018" s="184"/>
      <c r="H2018" s="184"/>
      <c r="I2018" s="184"/>
      <c r="J2018" s="184"/>
      <c r="K2018" s="184"/>
      <c r="L2018" s="184"/>
      <c r="M2018" s="184"/>
      <c r="N2018" s="184"/>
      <c r="O2018" s="184"/>
    </row>
    <row r="2019" customFormat="false" ht="15" hidden="false" customHeight="true" outlineLevel="0" collapsed="false">
      <c r="A2019" s="184"/>
      <c r="B2019" s="184"/>
      <c r="C2019" s="184"/>
      <c r="D2019" s="184"/>
      <c r="E2019" s="184"/>
      <c r="F2019" s="184"/>
      <c r="G2019" s="184"/>
      <c r="H2019" s="184"/>
      <c r="I2019" s="184"/>
      <c r="J2019" s="184"/>
      <c r="K2019" s="184"/>
      <c r="L2019" s="184"/>
      <c r="M2019" s="184"/>
      <c r="N2019" s="184"/>
      <c r="O2019" s="184"/>
    </row>
    <row r="2020" customFormat="false" ht="15" hidden="false" customHeight="true" outlineLevel="0" collapsed="false">
      <c r="A2020" s="184"/>
      <c r="B2020" s="184"/>
      <c r="C2020" s="184"/>
      <c r="D2020" s="184"/>
      <c r="E2020" s="184"/>
      <c r="F2020" s="184"/>
      <c r="G2020" s="184"/>
      <c r="H2020" s="184"/>
      <c r="I2020" s="184"/>
      <c r="J2020" s="184"/>
      <c r="K2020" s="184"/>
      <c r="L2020" s="184"/>
      <c r="M2020" s="184"/>
      <c r="N2020" s="184"/>
      <c r="O2020" s="184"/>
    </row>
    <row r="2021" customFormat="false" ht="15" hidden="false" customHeight="true" outlineLevel="0" collapsed="false">
      <c r="A2021" s="184"/>
      <c r="B2021" s="184"/>
      <c r="C2021" s="184"/>
      <c r="D2021" s="184"/>
      <c r="E2021" s="184"/>
      <c r="F2021" s="184"/>
      <c r="G2021" s="184"/>
      <c r="H2021" s="184"/>
      <c r="I2021" s="184"/>
      <c r="J2021" s="184"/>
      <c r="K2021" s="184"/>
      <c r="L2021" s="184"/>
      <c r="M2021" s="184"/>
      <c r="N2021" s="184"/>
      <c r="O2021" s="184"/>
    </row>
    <row r="2022" customFormat="false" ht="15" hidden="false" customHeight="true" outlineLevel="0" collapsed="false">
      <c r="A2022" s="184"/>
      <c r="B2022" s="184"/>
      <c r="C2022" s="184"/>
      <c r="D2022" s="184"/>
      <c r="E2022" s="184"/>
      <c r="F2022" s="184"/>
      <c r="G2022" s="184"/>
      <c r="H2022" s="184"/>
      <c r="I2022" s="184"/>
      <c r="J2022" s="184"/>
      <c r="K2022" s="184"/>
      <c r="L2022" s="184"/>
      <c r="M2022" s="184"/>
      <c r="N2022" s="184"/>
      <c r="O2022" s="184"/>
    </row>
    <row r="2023" customFormat="false" ht="15" hidden="false" customHeight="true" outlineLevel="0" collapsed="false">
      <c r="A2023" s="184"/>
      <c r="B2023" s="184"/>
      <c r="C2023" s="184"/>
      <c r="D2023" s="184"/>
      <c r="E2023" s="184"/>
      <c r="F2023" s="184"/>
      <c r="G2023" s="184"/>
      <c r="H2023" s="184"/>
      <c r="I2023" s="184"/>
      <c r="J2023" s="184"/>
      <c r="K2023" s="184"/>
      <c r="L2023" s="184"/>
      <c r="M2023" s="184"/>
      <c r="N2023" s="184"/>
      <c r="O2023" s="184"/>
    </row>
    <row r="2024" customFormat="false" ht="15" hidden="false" customHeight="true" outlineLevel="0" collapsed="false">
      <c r="A2024" s="184"/>
      <c r="B2024" s="184"/>
      <c r="C2024" s="184"/>
      <c r="D2024" s="184"/>
      <c r="E2024" s="184"/>
      <c r="F2024" s="184"/>
      <c r="G2024" s="184"/>
      <c r="H2024" s="184"/>
      <c r="I2024" s="184"/>
      <c r="J2024" s="184"/>
      <c r="K2024" s="184"/>
      <c r="L2024" s="184"/>
      <c r="M2024" s="184"/>
      <c r="N2024" s="184"/>
      <c r="O2024" s="184"/>
    </row>
    <row r="2025" customFormat="false" ht="15" hidden="false" customHeight="true" outlineLevel="0" collapsed="false">
      <c r="A2025" s="184"/>
      <c r="B2025" s="184"/>
      <c r="C2025" s="184"/>
      <c r="D2025" s="184"/>
      <c r="E2025" s="184"/>
      <c r="F2025" s="184"/>
      <c r="G2025" s="184"/>
      <c r="H2025" s="184"/>
      <c r="I2025" s="184"/>
      <c r="J2025" s="184"/>
      <c r="K2025" s="184"/>
      <c r="L2025" s="184"/>
      <c r="M2025" s="184"/>
      <c r="N2025" s="184"/>
      <c r="O2025" s="184"/>
    </row>
    <row r="2026" customFormat="false" ht="15" hidden="false" customHeight="true" outlineLevel="0" collapsed="false">
      <c r="A2026" s="184"/>
      <c r="B2026" s="184"/>
      <c r="C2026" s="184"/>
      <c r="D2026" s="184"/>
      <c r="E2026" s="184"/>
      <c r="F2026" s="184"/>
      <c r="G2026" s="184"/>
      <c r="H2026" s="184"/>
      <c r="I2026" s="184"/>
      <c r="J2026" s="184"/>
      <c r="K2026" s="184"/>
      <c r="L2026" s="184"/>
      <c r="M2026" s="184"/>
      <c r="N2026" s="184"/>
      <c r="O2026" s="184"/>
    </row>
    <row r="2027" customFormat="false" ht="15" hidden="false" customHeight="true" outlineLevel="0" collapsed="false">
      <c r="A2027" s="184"/>
      <c r="B2027" s="184"/>
      <c r="C2027" s="184"/>
      <c r="D2027" s="184"/>
      <c r="E2027" s="184"/>
      <c r="F2027" s="184"/>
      <c r="G2027" s="184"/>
      <c r="H2027" s="184"/>
      <c r="I2027" s="184"/>
      <c r="J2027" s="184"/>
      <c r="K2027" s="184"/>
      <c r="L2027" s="184"/>
      <c r="M2027" s="184"/>
      <c r="N2027" s="184"/>
      <c r="O2027" s="184"/>
    </row>
    <row r="2028" customFormat="false" ht="15" hidden="false" customHeight="true" outlineLevel="0" collapsed="false">
      <c r="A2028" s="184"/>
      <c r="B2028" s="184"/>
      <c r="C2028" s="184"/>
      <c r="D2028" s="184"/>
      <c r="E2028" s="184"/>
      <c r="F2028" s="184"/>
      <c r="G2028" s="184"/>
      <c r="H2028" s="184"/>
      <c r="I2028" s="184"/>
      <c r="J2028" s="184"/>
      <c r="K2028" s="184"/>
      <c r="L2028" s="184"/>
      <c r="M2028" s="184"/>
      <c r="N2028" s="184"/>
      <c r="O2028" s="184"/>
    </row>
    <row r="2029" customFormat="false" ht="15" hidden="false" customHeight="true" outlineLevel="0" collapsed="false">
      <c r="A2029" s="184"/>
      <c r="B2029" s="184"/>
      <c r="C2029" s="184"/>
      <c r="D2029" s="184"/>
      <c r="E2029" s="184"/>
      <c r="F2029" s="184"/>
      <c r="G2029" s="184"/>
      <c r="H2029" s="184"/>
      <c r="I2029" s="184"/>
      <c r="J2029" s="184"/>
      <c r="K2029" s="184"/>
      <c r="L2029" s="184"/>
      <c r="M2029" s="184"/>
      <c r="N2029" s="184"/>
      <c r="O2029" s="184"/>
    </row>
    <row r="2030" customFormat="false" ht="15" hidden="false" customHeight="true" outlineLevel="0" collapsed="false">
      <c r="A2030" s="184"/>
      <c r="B2030" s="184"/>
      <c r="C2030" s="184"/>
      <c r="D2030" s="184"/>
      <c r="E2030" s="184"/>
      <c r="F2030" s="184"/>
      <c r="G2030" s="184"/>
      <c r="H2030" s="184"/>
      <c r="I2030" s="184"/>
      <c r="J2030" s="184"/>
      <c r="K2030" s="184"/>
      <c r="L2030" s="184"/>
      <c r="M2030" s="184"/>
      <c r="N2030" s="184"/>
      <c r="O2030" s="184"/>
    </row>
    <row r="2031" customFormat="false" ht="15" hidden="false" customHeight="true" outlineLevel="0" collapsed="false">
      <c r="A2031" s="184"/>
      <c r="B2031" s="184"/>
      <c r="C2031" s="184"/>
      <c r="D2031" s="184"/>
      <c r="E2031" s="184"/>
      <c r="F2031" s="184"/>
      <c r="G2031" s="184"/>
      <c r="H2031" s="184"/>
      <c r="I2031" s="184"/>
      <c r="J2031" s="184"/>
      <c r="K2031" s="184"/>
      <c r="L2031" s="184"/>
      <c r="M2031" s="184"/>
      <c r="N2031" s="184"/>
      <c r="O2031" s="184"/>
    </row>
    <row r="2032" customFormat="false" ht="15" hidden="false" customHeight="true" outlineLevel="0" collapsed="false">
      <c r="A2032" s="184"/>
      <c r="B2032" s="184"/>
      <c r="C2032" s="184"/>
      <c r="D2032" s="184"/>
      <c r="E2032" s="184"/>
      <c r="F2032" s="184"/>
      <c r="G2032" s="184"/>
      <c r="H2032" s="184"/>
      <c r="I2032" s="184"/>
      <c r="J2032" s="184"/>
      <c r="K2032" s="184"/>
      <c r="L2032" s="184"/>
      <c r="M2032" s="184"/>
      <c r="N2032" s="184"/>
      <c r="O2032" s="184"/>
    </row>
    <row r="2033" customFormat="false" ht="15" hidden="false" customHeight="true" outlineLevel="0" collapsed="false">
      <c r="A2033" s="184"/>
      <c r="B2033" s="184"/>
      <c r="C2033" s="184"/>
      <c r="D2033" s="184"/>
      <c r="E2033" s="184"/>
      <c r="F2033" s="184"/>
      <c r="G2033" s="184"/>
      <c r="H2033" s="184"/>
      <c r="I2033" s="184"/>
      <c r="J2033" s="184"/>
      <c r="K2033" s="184"/>
      <c r="L2033" s="184"/>
      <c r="M2033" s="184"/>
      <c r="N2033" s="184"/>
      <c r="O2033" s="184"/>
    </row>
    <row r="2034" customFormat="false" ht="15" hidden="false" customHeight="true" outlineLevel="0" collapsed="false">
      <c r="A2034" s="184"/>
      <c r="B2034" s="184"/>
      <c r="C2034" s="184"/>
      <c r="D2034" s="184"/>
      <c r="E2034" s="184"/>
      <c r="F2034" s="184"/>
      <c r="G2034" s="184"/>
      <c r="H2034" s="184"/>
      <c r="I2034" s="184"/>
      <c r="J2034" s="184"/>
      <c r="K2034" s="184"/>
      <c r="L2034" s="184"/>
      <c r="M2034" s="184"/>
      <c r="N2034" s="184"/>
      <c r="O2034" s="184"/>
    </row>
    <row r="2035" customFormat="false" ht="15" hidden="false" customHeight="true" outlineLevel="0" collapsed="false">
      <c r="A2035" s="184"/>
      <c r="B2035" s="184"/>
      <c r="C2035" s="184"/>
      <c r="D2035" s="184"/>
      <c r="E2035" s="184"/>
      <c r="F2035" s="184"/>
      <c r="G2035" s="184"/>
      <c r="H2035" s="184"/>
      <c r="I2035" s="184"/>
      <c r="J2035" s="184"/>
      <c r="K2035" s="184"/>
      <c r="L2035" s="184"/>
      <c r="M2035" s="184"/>
      <c r="N2035" s="184"/>
      <c r="O2035" s="184"/>
    </row>
    <row r="2036" customFormat="false" ht="15" hidden="false" customHeight="true" outlineLevel="0" collapsed="false">
      <c r="A2036" s="184"/>
      <c r="B2036" s="184"/>
      <c r="C2036" s="184"/>
      <c r="D2036" s="184"/>
      <c r="E2036" s="184"/>
      <c r="F2036" s="184"/>
      <c r="G2036" s="184"/>
      <c r="H2036" s="184"/>
      <c r="I2036" s="184"/>
      <c r="J2036" s="184"/>
      <c r="K2036" s="184"/>
      <c r="L2036" s="184"/>
      <c r="M2036" s="184"/>
      <c r="N2036" s="184"/>
      <c r="O2036" s="184"/>
    </row>
    <row r="2037" customFormat="false" ht="15" hidden="false" customHeight="true" outlineLevel="0" collapsed="false">
      <c r="A2037" s="184"/>
      <c r="B2037" s="184"/>
      <c r="C2037" s="184"/>
      <c r="D2037" s="184"/>
      <c r="E2037" s="184"/>
      <c r="F2037" s="184"/>
      <c r="G2037" s="184"/>
      <c r="H2037" s="184"/>
      <c r="I2037" s="184"/>
      <c r="J2037" s="184"/>
      <c r="K2037" s="184"/>
      <c r="L2037" s="184"/>
      <c r="M2037" s="184"/>
      <c r="N2037" s="184"/>
      <c r="O2037" s="184"/>
    </row>
    <row r="2038" customFormat="false" ht="15" hidden="false" customHeight="true" outlineLevel="0" collapsed="false">
      <c r="A2038" s="184"/>
      <c r="B2038" s="184"/>
      <c r="C2038" s="184"/>
      <c r="D2038" s="184"/>
      <c r="E2038" s="184"/>
      <c r="F2038" s="184"/>
      <c r="G2038" s="184"/>
      <c r="H2038" s="184"/>
      <c r="I2038" s="184"/>
      <c r="J2038" s="184"/>
      <c r="K2038" s="184"/>
      <c r="L2038" s="184"/>
      <c r="M2038" s="184"/>
      <c r="N2038" s="184"/>
      <c r="O2038" s="184"/>
    </row>
    <row r="2039" customFormat="false" ht="15" hidden="false" customHeight="true" outlineLevel="0" collapsed="false">
      <c r="A2039" s="184"/>
      <c r="B2039" s="184"/>
      <c r="C2039" s="184"/>
      <c r="D2039" s="184"/>
      <c r="E2039" s="184"/>
      <c r="F2039" s="184"/>
      <c r="G2039" s="184"/>
      <c r="H2039" s="184"/>
      <c r="I2039" s="184"/>
      <c r="J2039" s="184"/>
      <c r="K2039" s="184"/>
      <c r="L2039" s="184"/>
      <c r="M2039" s="184"/>
      <c r="N2039" s="184"/>
      <c r="O2039" s="184"/>
    </row>
    <row r="2040" customFormat="false" ht="15" hidden="false" customHeight="true" outlineLevel="0" collapsed="false">
      <c r="A2040" s="184"/>
      <c r="B2040" s="184"/>
      <c r="C2040" s="184"/>
      <c r="D2040" s="184"/>
      <c r="E2040" s="184"/>
      <c r="F2040" s="184"/>
      <c r="G2040" s="184"/>
      <c r="H2040" s="184"/>
      <c r="I2040" s="184"/>
      <c r="J2040" s="184"/>
      <c r="K2040" s="184"/>
      <c r="L2040" s="184"/>
      <c r="M2040" s="184"/>
      <c r="N2040" s="184"/>
      <c r="O2040" s="184"/>
    </row>
    <row r="2041" customFormat="false" ht="15" hidden="false" customHeight="true" outlineLevel="0" collapsed="false">
      <c r="A2041" s="184"/>
      <c r="B2041" s="184"/>
      <c r="C2041" s="184"/>
      <c r="D2041" s="184"/>
      <c r="E2041" s="184"/>
      <c r="F2041" s="184"/>
      <c r="G2041" s="184"/>
      <c r="H2041" s="184"/>
      <c r="I2041" s="184"/>
      <c r="J2041" s="184"/>
      <c r="K2041" s="184"/>
      <c r="L2041" s="184"/>
      <c r="M2041" s="184"/>
      <c r="N2041" s="184"/>
      <c r="O2041" s="184"/>
    </row>
    <row r="2042" customFormat="false" ht="15" hidden="false" customHeight="true" outlineLevel="0" collapsed="false">
      <c r="A2042" s="184"/>
      <c r="B2042" s="184"/>
      <c r="C2042" s="184"/>
      <c r="D2042" s="184"/>
      <c r="E2042" s="184"/>
      <c r="F2042" s="184"/>
      <c r="G2042" s="184"/>
      <c r="H2042" s="184"/>
      <c r="I2042" s="184"/>
      <c r="J2042" s="184"/>
      <c r="K2042" s="184"/>
      <c r="L2042" s="184"/>
      <c r="M2042" s="184"/>
      <c r="N2042" s="184"/>
      <c r="O2042" s="184"/>
    </row>
    <row r="2043" customFormat="false" ht="15" hidden="false" customHeight="true" outlineLevel="0" collapsed="false">
      <c r="A2043" s="184"/>
      <c r="B2043" s="184"/>
      <c r="C2043" s="184"/>
      <c r="D2043" s="184"/>
      <c r="E2043" s="184"/>
      <c r="F2043" s="184"/>
      <c r="G2043" s="184"/>
      <c r="H2043" s="184"/>
      <c r="I2043" s="184"/>
      <c r="J2043" s="184"/>
      <c r="K2043" s="184"/>
      <c r="L2043" s="184"/>
      <c r="M2043" s="184"/>
      <c r="N2043" s="184"/>
      <c r="O2043" s="184"/>
    </row>
    <row r="2044" customFormat="false" ht="15" hidden="false" customHeight="true" outlineLevel="0" collapsed="false">
      <c r="A2044" s="184"/>
      <c r="B2044" s="184"/>
      <c r="C2044" s="184"/>
      <c r="D2044" s="184"/>
      <c r="E2044" s="184"/>
      <c r="F2044" s="184"/>
      <c r="G2044" s="184"/>
      <c r="H2044" s="184"/>
      <c r="I2044" s="184"/>
      <c r="J2044" s="184"/>
      <c r="K2044" s="184"/>
      <c r="L2044" s="184"/>
      <c r="M2044" s="184"/>
      <c r="N2044" s="184"/>
      <c r="O2044" s="184"/>
    </row>
    <row r="2045" customFormat="false" ht="15" hidden="false" customHeight="true" outlineLevel="0" collapsed="false">
      <c r="A2045" s="184"/>
      <c r="B2045" s="184"/>
      <c r="C2045" s="184"/>
      <c r="D2045" s="184"/>
      <c r="E2045" s="184"/>
      <c r="F2045" s="184"/>
      <c r="G2045" s="184"/>
      <c r="H2045" s="184"/>
      <c r="I2045" s="184"/>
      <c r="J2045" s="184"/>
      <c r="K2045" s="184"/>
      <c r="L2045" s="184"/>
      <c r="M2045" s="184"/>
      <c r="N2045" s="184"/>
      <c r="O2045" s="184"/>
    </row>
    <row r="2046" customFormat="false" ht="15" hidden="false" customHeight="true" outlineLevel="0" collapsed="false">
      <c r="A2046" s="184"/>
      <c r="B2046" s="184"/>
      <c r="C2046" s="184"/>
      <c r="D2046" s="184"/>
      <c r="E2046" s="184"/>
      <c r="F2046" s="184"/>
      <c r="G2046" s="184"/>
      <c r="H2046" s="184"/>
      <c r="I2046" s="184"/>
      <c r="J2046" s="184"/>
      <c r="K2046" s="184"/>
      <c r="L2046" s="184"/>
      <c r="M2046" s="184"/>
      <c r="N2046" s="184"/>
      <c r="O2046" s="184"/>
    </row>
    <row r="2047" customFormat="false" ht="15" hidden="false" customHeight="true" outlineLevel="0" collapsed="false">
      <c r="A2047" s="184"/>
      <c r="B2047" s="184"/>
      <c r="C2047" s="184"/>
      <c r="D2047" s="184"/>
      <c r="E2047" s="184"/>
      <c r="F2047" s="184"/>
      <c r="G2047" s="184"/>
      <c r="H2047" s="184"/>
      <c r="I2047" s="184"/>
      <c r="J2047" s="184"/>
      <c r="K2047" s="184"/>
      <c r="L2047" s="184"/>
      <c r="M2047" s="184"/>
      <c r="N2047" s="184"/>
      <c r="O2047" s="184"/>
    </row>
    <row r="2048" customFormat="false" ht="15" hidden="false" customHeight="true" outlineLevel="0" collapsed="false">
      <c r="A2048" s="184"/>
      <c r="B2048" s="184"/>
      <c r="C2048" s="184"/>
      <c r="D2048" s="184"/>
      <c r="E2048" s="184"/>
      <c r="F2048" s="184"/>
      <c r="G2048" s="184"/>
      <c r="H2048" s="184"/>
      <c r="I2048" s="184"/>
      <c r="J2048" s="184"/>
      <c r="K2048" s="184"/>
      <c r="L2048" s="184"/>
      <c r="M2048" s="184"/>
      <c r="N2048" s="184"/>
      <c r="O2048" s="184"/>
    </row>
    <row r="2049" customFormat="false" ht="15" hidden="false" customHeight="true" outlineLevel="0" collapsed="false">
      <c r="A2049" s="184"/>
      <c r="B2049" s="184"/>
      <c r="C2049" s="184"/>
      <c r="D2049" s="184"/>
      <c r="E2049" s="184"/>
      <c r="F2049" s="184"/>
      <c r="G2049" s="184"/>
      <c r="H2049" s="184"/>
      <c r="I2049" s="184"/>
      <c r="J2049" s="184"/>
      <c r="K2049" s="184"/>
      <c r="L2049" s="184"/>
      <c r="M2049" s="184"/>
      <c r="N2049" s="184"/>
      <c r="O2049" s="184"/>
    </row>
    <row r="2050" customFormat="false" ht="15" hidden="false" customHeight="true" outlineLevel="0" collapsed="false">
      <c r="A2050" s="184"/>
      <c r="B2050" s="184"/>
      <c r="C2050" s="184"/>
      <c r="D2050" s="184"/>
      <c r="E2050" s="184"/>
      <c r="F2050" s="184"/>
      <c r="G2050" s="184"/>
      <c r="H2050" s="184"/>
      <c r="I2050" s="184"/>
      <c r="J2050" s="184"/>
      <c r="K2050" s="184"/>
      <c r="L2050" s="184"/>
      <c r="M2050" s="184"/>
      <c r="N2050" s="184"/>
      <c r="O2050" s="184"/>
    </row>
    <row r="2051" customFormat="false" ht="15" hidden="false" customHeight="true" outlineLevel="0" collapsed="false">
      <c r="A2051" s="184"/>
      <c r="B2051" s="184"/>
      <c r="C2051" s="184"/>
      <c r="D2051" s="184"/>
      <c r="E2051" s="184"/>
      <c r="F2051" s="184"/>
      <c r="G2051" s="184"/>
      <c r="H2051" s="184"/>
      <c r="I2051" s="184"/>
      <c r="J2051" s="184"/>
      <c r="K2051" s="184"/>
      <c r="L2051" s="184"/>
      <c r="M2051" s="184"/>
      <c r="N2051" s="184"/>
      <c r="O2051" s="184"/>
    </row>
    <row r="2052" customFormat="false" ht="15" hidden="false" customHeight="true" outlineLevel="0" collapsed="false">
      <c r="A2052" s="184"/>
      <c r="B2052" s="184"/>
      <c r="C2052" s="184"/>
      <c r="D2052" s="184"/>
      <c r="E2052" s="184"/>
      <c r="F2052" s="184"/>
      <c r="G2052" s="184"/>
      <c r="H2052" s="184"/>
      <c r="I2052" s="184"/>
      <c r="J2052" s="184"/>
      <c r="K2052" s="184"/>
      <c r="L2052" s="184"/>
      <c r="M2052" s="184"/>
      <c r="N2052" s="184"/>
      <c r="O2052" s="184"/>
    </row>
    <row r="2053" customFormat="false" ht="15" hidden="false" customHeight="true" outlineLevel="0" collapsed="false">
      <c r="A2053" s="184"/>
      <c r="B2053" s="184"/>
      <c r="C2053" s="184"/>
      <c r="D2053" s="184"/>
      <c r="E2053" s="184"/>
      <c r="F2053" s="184"/>
      <c r="G2053" s="184"/>
      <c r="H2053" s="184"/>
      <c r="I2053" s="184"/>
      <c r="J2053" s="184"/>
      <c r="K2053" s="184"/>
      <c r="L2053" s="184"/>
      <c r="M2053" s="184"/>
      <c r="N2053" s="184"/>
      <c r="O2053" s="184"/>
    </row>
    <row r="2054" customFormat="false" ht="15" hidden="false" customHeight="true" outlineLevel="0" collapsed="false">
      <c r="A2054" s="184"/>
      <c r="B2054" s="184"/>
      <c r="C2054" s="184"/>
      <c r="D2054" s="184"/>
      <c r="E2054" s="184"/>
      <c r="F2054" s="184"/>
      <c r="G2054" s="184"/>
      <c r="H2054" s="184"/>
      <c r="I2054" s="184"/>
      <c r="J2054" s="184"/>
      <c r="K2054" s="184"/>
      <c r="L2054" s="184"/>
      <c r="M2054" s="184"/>
      <c r="N2054" s="184"/>
      <c r="O2054" s="184"/>
    </row>
    <row r="2055" customFormat="false" ht="15" hidden="false" customHeight="true" outlineLevel="0" collapsed="false">
      <c r="A2055" s="184"/>
      <c r="B2055" s="184"/>
      <c r="C2055" s="184"/>
      <c r="D2055" s="184"/>
      <c r="E2055" s="184"/>
      <c r="F2055" s="184"/>
      <c r="G2055" s="184"/>
      <c r="H2055" s="184"/>
      <c r="I2055" s="184"/>
      <c r="J2055" s="184"/>
      <c r="K2055" s="184"/>
      <c r="L2055" s="184"/>
      <c r="M2055" s="184"/>
      <c r="N2055" s="184"/>
      <c r="O2055" s="184"/>
    </row>
    <row r="2056" customFormat="false" ht="15" hidden="false" customHeight="true" outlineLevel="0" collapsed="false">
      <c r="A2056" s="184"/>
      <c r="B2056" s="184"/>
      <c r="C2056" s="184"/>
      <c r="D2056" s="184"/>
      <c r="E2056" s="184"/>
      <c r="F2056" s="184"/>
      <c r="G2056" s="184"/>
      <c r="H2056" s="184"/>
      <c r="I2056" s="184"/>
      <c r="J2056" s="184"/>
      <c r="K2056" s="184"/>
      <c r="L2056" s="184"/>
      <c r="M2056" s="184"/>
      <c r="N2056" s="184"/>
      <c r="O2056" s="184"/>
    </row>
    <row r="2057" customFormat="false" ht="15" hidden="false" customHeight="true" outlineLevel="0" collapsed="false">
      <c r="A2057" s="184"/>
      <c r="B2057" s="184"/>
      <c r="C2057" s="184"/>
      <c r="D2057" s="184"/>
      <c r="E2057" s="184"/>
      <c r="F2057" s="184"/>
      <c r="G2057" s="184"/>
      <c r="H2057" s="184"/>
      <c r="I2057" s="184"/>
      <c r="J2057" s="184"/>
      <c r="K2057" s="184"/>
      <c r="L2057" s="184"/>
      <c r="M2057" s="184"/>
      <c r="N2057" s="184"/>
      <c r="O2057" s="184"/>
    </row>
    <row r="2058" customFormat="false" ht="15" hidden="false" customHeight="true" outlineLevel="0" collapsed="false">
      <c r="A2058" s="184"/>
      <c r="B2058" s="184"/>
      <c r="C2058" s="184"/>
      <c r="D2058" s="184"/>
      <c r="E2058" s="184"/>
      <c r="F2058" s="184"/>
      <c r="G2058" s="184"/>
      <c r="H2058" s="184"/>
      <c r="I2058" s="184"/>
      <c r="J2058" s="184"/>
      <c r="K2058" s="184"/>
      <c r="L2058" s="184"/>
      <c r="M2058" s="184"/>
      <c r="N2058" s="184"/>
      <c r="O2058" s="184"/>
    </row>
    <row r="2059" customFormat="false" ht="15" hidden="false" customHeight="true" outlineLevel="0" collapsed="false">
      <c r="A2059" s="184"/>
      <c r="B2059" s="184"/>
      <c r="C2059" s="184"/>
      <c r="D2059" s="184"/>
      <c r="E2059" s="184"/>
      <c r="F2059" s="184"/>
      <c r="G2059" s="184"/>
      <c r="H2059" s="184"/>
      <c r="I2059" s="184"/>
      <c r="J2059" s="184"/>
      <c r="K2059" s="184"/>
      <c r="L2059" s="184"/>
      <c r="M2059" s="184"/>
      <c r="N2059" s="184"/>
      <c r="O2059" s="184"/>
    </row>
    <row r="2060" customFormat="false" ht="15" hidden="false" customHeight="true" outlineLevel="0" collapsed="false">
      <c r="A2060" s="184"/>
      <c r="B2060" s="184"/>
      <c r="C2060" s="184"/>
      <c r="D2060" s="184"/>
      <c r="E2060" s="184"/>
      <c r="F2060" s="184"/>
      <c r="G2060" s="184"/>
      <c r="H2060" s="184"/>
      <c r="I2060" s="184"/>
      <c r="J2060" s="184"/>
      <c r="K2060" s="184"/>
      <c r="L2060" s="184"/>
      <c r="M2060" s="184"/>
      <c r="N2060" s="184"/>
      <c r="O2060" s="184"/>
    </row>
    <row r="2061" customFormat="false" ht="15" hidden="false" customHeight="true" outlineLevel="0" collapsed="false">
      <c r="A2061" s="184"/>
      <c r="B2061" s="184"/>
      <c r="C2061" s="184"/>
      <c r="D2061" s="184"/>
      <c r="E2061" s="184"/>
      <c r="F2061" s="184"/>
      <c r="G2061" s="184"/>
      <c r="H2061" s="184"/>
      <c r="I2061" s="184"/>
      <c r="J2061" s="184"/>
      <c r="K2061" s="184"/>
      <c r="L2061" s="184"/>
      <c r="M2061" s="184"/>
      <c r="N2061" s="184"/>
      <c r="O2061" s="184"/>
    </row>
    <row r="2062" customFormat="false" ht="15" hidden="false" customHeight="true" outlineLevel="0" collapsed="false">
      <c r="A2062" s="184"/>
      <c r="B2062" s="184"/>
      <c r="C2062" s="184"/>
      <c r="D2062" s="184"/>
      <c r="E2062" s="184"/>
      <c r="F2062" s="184"/>
      <c r="G2062" s="184"/>
      <c r="H2062" s="184"/>
      <c r="I2062" s="184"/>
      <c r="J2062" s="184"/>
      <c r="K2062" s="184"/>
      <c r="L2062" s="184"/>
      <c r="M2062" s="184"/>
      <c r="N2062" s="184"/>
      <c r="O2062" s="184"/>
    </row>
    <row r="2063" customFormat="false" ht="15" hidden="false" customHeight="true" outlineLevel="0" collapsed="false">
      <c r="A2063" s="184"/>
      <c r="B2063" s="184"/>
      <c r="C2063" s="184"/>
      <c r="D2063" s="184"/>
      <c r="E2063" s="184"/>
      <c r="F2063" s="184"/>
      <c r="G2063" s="184"/>
      <c r="H2063" s="184"/>
      <c r="I2063" s="184"/>
      <c r="J2063" s="184"/>
      <c r="K2063" s="184"/>
      <c r="L2063" s="184"/>
      <c r="M2063" s="184"/>
      <c r="N2063" s="184"/>
      <c r="O2063" s="184"/>
    </row>
    <row r="2064" customFormat="false" ht="15" hidden="false" customHeight="true" outlineLevel="0" collapsed="false">
      <c r="A2064" s="184"/>
      <c r="B2064" s="184"/>
      <c r="C2064" s="184"/>
      <c r="D2064" s="184"/>
      <c r="E2064" s="184"/>
      <c r="F2064" s="184"/>
      <c r="G2064" s="184"/>
      <c r="H2064" s="184"/>
      <c r="I2064" s="184"/>
      <c r="J2064" s="184"/>
      <c r="K2064" s="184"/>
      <c r="L2064" s="184"/>
      <c r="M2064" s="184"/>
      <c r="N2064" s="184"/>
      <c r="O2064" s="184"/>
    </row>
    <row r="2065" customFormat="false" ht="15" hidden="false" customHeight="true" outlineLevel="0" collapsed="false">
      <c r="A2065" s="184"/>
      <c r="B2065" s="184"/>
      <c r="C2065" s="184"/>
      <c r="D2065" s="184"/>
      <c r="E2065" s="184"/>
      <c r="F2065" s="184"/>
      <c r="G2065" s="184"/>
      <c r="H2065" s="184"/>
      <c r="I2065" s="184"/>
      <c r="J2065" s="184"/>
      <c r="K2065" s="184"/>
      <c r="L2065" s="184"/>
      <c r="M2065" s="184"/>
      <c r="N2065" s="184"/>
      <c r="O2065" s="184"/>
    </row>
    <row r="2066" customFormat="false" ht="15" hidden="false" customHeight="true" outlineLevel="0" collapsed="false">
      <c r="A2066" s="184"/>
      <c r="B2066" s="184"/>
      <c r="C2066" s="184"/>
      <c r="D2066" s="184"/>
      <c r="E2066" s="184"/>
      <c r="F2066" s="184"/>
      <c r="G2066" s="184"/>
      <c r="H2066" s="184"/>
      <c r="I2066" s="184"/>
      <c r="J2066" s="184"/>
      <c r="K2066" s="184"/>
      <c r="L2066" s="184"/>
      <c r="M2066" s="184"/>
      <c r="N2066" s="184"/>
      <c r="O2066" s="184"/>
    </row>
    <row r="2067" customFormat="false" ht="15" hidden="false" customHeight="true" outlineLevel="0" collapsed="false">
      <c r="A2067" s="184"/>
      <c r="B2067" s="184"/>
      <c r="C2067" s="184"/>
      <c r="D2067" s="184"/>
      <c r="E2067" s="184"/>
      <c r="F2067" s="184"/>
      <c r="G2067" s="184"/>
      <c r="H2067" s="184"/>
      <c r="I2067" s="184"/>
      <c r="J2067" s="184"/>
      <c r="K2067" s="184"/>
      <c r="L2067" s="184"/>
      <c r="M2067" s="184"/>
      <c r="N2067" s="184"/>
      <c r="O2067" s="184"/>
    </row>
    <row r="2068" customFormat="false" ht="15" hidden="false" customHeight="true" outlineLevel="0" collapsed="false">
      <c r="A2068" s="184"/>
      <c r="B2068" s="184"/>
      <c r="C2068" s="184"/>
      <c r="D2068" s="184"/>
      <c r="E2068" s="184"/>
      <c r="F2068" s="184"/>
      <c r="G2068" s="184"/>
      <c r="H2068" s="184"/>
      <c r="I2068" s="184"/>
      <c r="J2068" s="184"/>
      <c r="K2068" s="184"/>
      <c r="L2068" s="184"/>
      <c r="M2068" s="184"/>
      <c r="N2068" s="184"/>
      <c r="O2068" s="184"/>
    </row>
    <row r="2069" customFormat="false" ht="15" hidden="false" customHeight="true" outlineLevel="0" collapsed="false">
      <c r="A2069" s="184"/>
      <c r="B2069" s="184"/>
      <c r="C2069" s="184"/>
      <c r="D2069" s="184"/>
      <c r="E2069" s="184"/>
      <c r="F2069" s="184"/>
      <c r="G2069" s="184"/>
      <c r="H2069" s="184"/>
      <c r="I2069" s="184"/>
      <c r="J2069" s="184"/>
      <c r="K2069" s="184"/>
      <c r="L2069" s="184"/>
      <c r="M2069" s="184"/>
      <c r="N2069" s="184"/>
      <c r="O2069" s="184"/>
    </row>
    <row r="2070" customFormat="false" ht="15" hidden="false" customHeight="true" outlineLevel="0" collapsed="false">
      <c r="A2070" s="184"/>
      <c r="B2070" s="184"/>
      <c r="C2070" s="184"/>
      <c r="D2070" s="184"/>
      <c r="E2070" s="184"/>
      <c r="F2070" s="184"/>
      <c r="G2070" s="184"/>
      <c r="H2070" s="184"/>
      <c r="I2070" s="184"/>
      <c r="J2070" s="184"/>
      <c r="K2070" s="184"/>
      <c r="L2070" s="184"/>
      <c r="M2070" s="184"/>
      <c r="N2070" s="184"/>
      <c r="O2070" s="184"/>
    </row>
    <row r="2071" customFormat="false" ht="15" hidden="false" customHeight="true" outlineLevel="0" collapsed="false">
      <c r="A2071" s="184"/>
      <c r="B2071" s="184"/>
      <c r="C2071" s="184"/>
      <c r="D2071" s="184"/>
      <c r="E2071" s="184"/>
      <c r="F2071" s="184"/>
      <c r="G2071" s="184"/>
      <c r="H2071" s="184"/>
      <c r="I2071" s="184"/>
      <c r="J2071" s="184"/>
      <c r="K2071" s="184"/>
      <c r="L2071" s="184"/>
      <c r="M2071" s="184"/>
      <c r="N2071" s="184"/>
      <c r="O2071" s="184"/>
    </row>
    <row r="2072" customFormat="false" ht="15" hidden="false" customHeight="true" outlineLevel="0" collapsed="false">
      <c r="A2072" s="184"/>
      <c r="B2072" s="184"/>
      <c r="C2072" s="184"/>
      <c r="D2072" s="184"/>
      <c r="E2072" s="184"/>
      <c r="F2072" s="184"/>
      <c r="G2072" s="184"/>
      <c r="H2072" s="184"/>
      <c r="I2072" s="184"/>
      <c r="J2072" s="184"/>
      <c r="K2072" s="184"/>
      <c r="L2072" s="184"/>
      <c r="M2072" s="184"/>
      <c r="N2072" s="184"/>
      <c r="O2072" s="184"/>
    </row>
    <row r="2073" customFormat="false" ht="15" hidden="false" customHeight="true" outlineLevel="0" collapsed="false">
      <c r="A2073" s="184"/>
      <c r="B2073" s="184"/>
      <c r="C2073" s="184"/>
      <c r="D2073" s="184"/>
      <c r="E2073" s="184"/>
      <c r="F2073" s="184"/>
      <c r="G2073" s="184"/>
      <c r="H2073" s="184"/>
      <c r="I2073" s="184"/>
      <c r="J2073" s="184"/>
      <c r="K2073" s="184"/>
      <c r="L2073" s="184"/>
      <c r="M2073" s="184"/>
      <c r="N2073" s="184"/>
      <c r="O2073" s="184"/>
    </row>
    <row r="2074" customFormat="false" ht="15" hidden="false" customHeight="true" outlineLevel="0" collapsed="false">
      <c r="A2074" s="184"/>
      <c r="B2074" s="184"/>
      <c r="C2074" s="184"/>
      <c r="D2074" s="184"/>
      <c r="E2074" s="184"/>
      <c r="F2074" s="184"/>
      <c r="G2074" s="184"/>
      <c r="H2074" s="184"/>
      <c r="I2074" s="184"/>
      <c r="J2074" s="184"/>
      <c r="K2074" s="184"/>
      <c r="L2074" s="184"/>
      <c r="M2074" s="184"/>
      <c r="N2074" s="184"/>
      <c r="O2074" s="184"/>
    </row>
    <row r="2075" customFormat="false" ht="15" hidden="false" customHeight="true" outlineLevel="0" collapsed="false">
      <c r="A2075" s="184"/>
      <c r="B2075" s="184"/>
      <c r="C2075" s="184"/>
      <c r="D2075" s="184"/>
      <c r="E2075" s="184"/>
      <c r="F2075" s="184"/>
      <c r="G2075" s="184"/>
      <c r="H2075" s="184"/>
      <c r="I2075" s="184"/>
      <c r="J2075" s="184"/>
      <c r="K2075" s="184"/>
      <c r="L2075" s="184"/>
      <c r="M2075" s="184"/>
      <c r="N2075" s="184"/>
      <c r="O2075" s="184"/>
    </row>
    <row r="2076" customFormat="false" ht="15" hidden="false" customHeight="true" outlineLevel="0" collapsed="false">
      <c r="A2076" s="184"/>
      <c r="B2076" s="184"/>
      <c r="C2076" s="184"/>
      <c r="D2076" s="184"/>
      <c r="E2076" s="184"/>
      <c r="F2076" s="184"/>
      <c r="G2076" s="184"/>
      <c r="H2076" s="184"/>
      <c r="I2076" s="184"/>
      <c r="J2076" s="184"/>
      <c r="K2076" s="184"/>
      <c r="L2076" s="184"/>
      <c r="M2076" s="184"/>
      <c r="N2076" s="184"/>
      <c r="O2076" s="184"/>
    </row>
    <row r="2077" customFormat="false" ht="15" hidden="false" customHeight="true" outlineLevel="0" collapsed="false">
      <c r="A2077" s="184"/>
      <c r="B2077" s="184"/>
      <c r="C2077" s="184"/>
      <c r="D2077" s="184"/>
      <c r="E2077" s="184"/>
      <c r="F2077" s="184"/>
      <c r="G2077" s="184"/>
      <c r="H2077" s="184"/>
      <c r="I2077" s="184"/>
      <c r="J2077" s="184"/>
      <c r="K2077" s="184"/>
      <c r="L2077" s="184"/>
      <c r="M2077" s="184"/>
      <c r="N2077" s="184"/>
      <c r="O2077" s="184"/>
    </row>
    <row r="2078" customFormat="false" ht="15" hidden="false" customHeight="true" outlineLevel="0" collapsed="false">
      <c r="A2078" s="184"/>
      <c r="B2078" s="184"/>
      <c r="C2078" s="184"/>
      <c r="D2078" s="184"/>
      <c r="E2078" s="184"/>
      <c r="F2078" s="184"/>
      <c r="G2078" s="184"/>
      <c r="H2078" s="184"/>
      <c r="I2078" s="184"/>
      <c r="J2078" s="184"/>
      <c r="K2078" s="184"/>
      <c r="L2078" s="184"/>
      <c r="M2078" s="184"/>
      <c r="N2078" s="184"/>
      <c r="O2078" s="184"/>
    </row>
    <row r="2079" customFormat="false" ht="15" hidden="false" customHeight="true" outlineLevel="0" collapsed="false">
      <c r="A2079" s="184"/>
      <c r="B2079" s="184"/>
      <c r="C2079" s="184"/>
      <c r="D2079" s="184"/>
      <c r="E2079" s="184"/>
      <c r="F2079" s="184"/>
      <c r="G2079" s="184"/>
      <c r="H2079" s="184"/>
      <c r="I2079" s="184"/>
      <c r="J2079" s="184"/>
      <c r="K2079" s="184"/>
      <c r="L2079" s="184"/>
      <c r="M2079" s="184"/>
      <c r="N2079" s="184"/>
      <c r="O2079" s="184"/>
    </row>
    <row r="2080" customFormat="false" ht="15" hidden="false" customHeight="true" outlineLevel="0" collapsed="false">
      <c r="A2080" s="184"/>
      <c r="B2080" s="184"/>
      <c r="C2080" s="184"/>
      <c r="D2080" s="184"/>
      <c r="E2080" s="184"/>
      <c r="F2080" s="184"/>
      <c r="G2080" s="184"/>
      <c r="H2080" s="184"/>
      <c r="I2080" s="184"/>
      <c r="J2080" s="184"/>
      <c r="K2080" s="184"/>
      <c r="L2080" s="184"/>
      <c r="M2080" s="184"/>
      <c r="N2080" s="184"/>
      <c r="O2080" s="184"/>
    </row>
    <row r="2081" customFormat="false" ht="15" hidden="false" customHeight="true" outlineLevel="0" collapsed="false">
      <c r="A2081" s="184"/>
      <c r="B2081" s="184"/>
      <c r="C2081" s="184"/>
      <c r="D2081" s="184"/>
      <c r="E2081" s="184"/>
      <c r="F2081" s="184"/>
      <c r="G2081" s="184"/>
      <c r="H2081" s="184"/>
      <c r="I2081" s="184"/>
      <c r="J2081" s="184"/>
      <c r="K2081" s="184"/>
      <c r="L2081" s="184"/>
      <c r="M2081" s="184"/>
      <c r="N2081" s="184"/>
      <c r="O2081" s="184"/>
    </row>
    <row r="2082" customFormat="false" ht="15" hidden="false" customHeight="true" outlineLevel="0" collapsed="false">
      <c r="A2082" s="184"/>
      <c r="B2082" s="184"/>
      <c r="C2082" s="184"/>
      <c r="D2082" s="184"/>
      <c r="E2082" s="184"/>
      <c r="F2082" s="184"/>
      <c r="G2082" s="184"/>
      <c r="H2082" s="184"/>
      <c r="I2082" s="184"/>
      <c r="J2082" s="184"/>
      <c r="K2082" s="184"/>
      <c r="L2082" s="184"/>
      <c r="M2082" s="184"/>
      <c r="N2082" s="184"/>
      <c r="O2082" s="184"/>
    </row>
    <row r="2083" customFormat="false" ht="15" hidden="false" customHeight="true" outlineLevel="0" collapsed="false">
      <c r="A2083" s="184"/>
      <c r="B2083" s="184"/>
      <c r="C2083" s="184"/>
      <c r="D2083" s="184"/>
      <c r="E2083" s="184"/>
      <c r="F2083" s="184"/>
      <c r="G2083" s="184"/>
      <c r="H2083" s="184"/>
      <c r="I2083" s="184"/>
      <c r="J2083" s="184"/>
      <c r="K2083" s="184"/>
      <c r="L2083" s="184"/>
      <c r="M2083" s="184"/>
      <c r="N2083" s="184"/>
      <c r="O2083" s="184"/>
    </row>
    <row r="2084" customFormat="false" ht="15" hidden="false" customHeight="true" outlineLevel="0" collapsed="false">
      <c r="A2084" s="184"/>
      <c r="B2084" s="184"/>
      <c r="C2084" s="184"/>
      <c r="D2084" s="184"/>
      <c r="E2084" s="184"/>
      <c r="F2084" s="184"/>
      <c r="G2084" s="184"/>
      <c r="H2084" s="184"/>
      <c r="I2084" s="184"/>
      <c r="J2084" s="184"/>
      <c r="K2084" s="184"/>
      <c r="L2084" s="184"/>
      <c r="M2084" s="184"/>
      <c r="N2084" s="184"/>
      <c r="O2084" s="184"/>
    </row>
    <row r="2085" customFormat="false" ht="15" hidden="false" customHeight="true" outlineLevel="0" collapsed="false">
      <c r="A2085" s="184"/>
      <c r="B2085" s="184"/>
      <c r="C2085" s="184"/>
      <c r="D2085" s="184"/>
      <c r="E2085" s="184"/>
      <c r="F2085" s="184"/>
      <c r="G2085" s="184"/>
      <c r="H2085" s="184"/>
      <c r="I2085" s="184"/>
      <c r="J2085" s="184"/>
      <c r="K2085" s="184"/>
      <c r="L2085" s="184"/>
      <c r="M2085" s="184"/>
      <c r="N2085" s="184"/>
      <c r="O2085" s="184"/>
    </row>
    <row r="2086" customFormat="false" ht="27.75" hidden="false" customHeight="true" outlineLevel="0" collapsed="false">
      <c r="A2086" s="184" t="s">
        <v>6936</v>
      </c>
      <c r="B2086" s="184" t="s">
        <v>4925</v>
      </c>
      <c r="C2086" s="184" t="n">
        <v>1</v>
      </c>
      <c r="D2086" s="178" t="s">
        <v>5269</v>
      </c>
      <c r="E2086" s="184" t="s">
        <v>6289</v>
      </c>
      <c r="F2086" s="184"/>
      <c r="G2086" s="184"/>
      <c r="H2086" s="184"/>
      <c r="I2086" s="184"/>
      <c r="J2086" s="184"/>
      <c r="K2086" s="184"/>
      <c r="L2086" s="184"/>
      <c r="M2086" s="184" t="s">
        <v>6859</v>
      </c>
      <c r="N2086" s="184"/>
      <c r="O2086" s="184"/>
    </row>
    <row r="2087" customFormat="false" ht="27.75" hidden="false" customHeight="true" outlineLevel="0" collapsed="false">
      <c r="A2087" s="184" t="s">
        <v>6936</v>
      </c>
      <c r="B2087" s="184" t="s">
        <v>4925</v>
      </c>
      <c r="C2087" s="184" t="n">
        <v>2</v>
      </c>
      <c r="D2087" s="177" t="s">
        <v>6429</v>
      </c>
      <c r="E2087" s="184" t="s">
        <v>6860</v>
      </c>
      <c r="F2087" s="184"/>
      <c r="G2087" s="184"/>
      <c r="H2087" s="184"/>
      <c r="I2087" s="184"/>
      <c r="J2087" s="184"/>
      <c r="K2087" s="184"/>
      <c r="L2087" s="184"/>
      <c r="M2087" s="184"/>
      <c r="N2087" s="184"/>
      <c r="O2087" s="184"/>
    </row>
    <row r="2088" customFormat="false" ht="27.75" hidden="false" customHeight="true" outlineLevel="0" collapsed="false">
      <c r="A2088" s="184" t="s">
        <v>6936</v>
      </c>
      <c r="B2088" s="184" t="s">
        <v>4925</v>
      </c>
      <c r="C2088" s="184" t="n">
        <v>3</v>
      </c>
      <c r="D2088" s="179" t="s">
        <v>6292</v>
      </c>
      <c r="E2088" s="184" t="s">
        <v>3448</v>
      </c>
      <c r="F2088" s="184"/>
      <c r="G2088" s="184"/>
      <c r="H2088" s="184"/>
      <c r="I2088" s="184"/>
      <c r="J2088" s="184"/>
      <c r="K2088" s="184"/>
      <c r="L2088" s="184"/>
      <c r="M2088" s="184"/>
      <c r="N2088" s="184"/>
      <c r="O2088" s="184"/>
    </row>
    <row r="2089" customFormat="false" ht="27.75" hidden="false" customHeight="true" outlineLevel="0" collapsed="false">
      <c r="A2089" s="184" t="s">
        <v>6936</v>
      </c>
      <c r="B2089" s="184" t="s">
        <v>4925</v>
      </c>
      <c r="C2089" s="184" t="n">
        <v>4</v>
      </c>
      <c r="D2089" s="184" t="s">
        <v>6294</v>
      </c>
      <c r="E2089" s="184" t="s">
        <v>6861</v>
      </c>
      <c r="F2089" s="184"/>
      <c r="G2089" s="184"/>
      <c r="H2089" s="184"/>
      <c r="I2089" s="184"/>
      <c r="J2089" s="184"/>
      <c r="K2089" s="184"/>
      <c r="L2089" s="184"/>
      <c r="M2089" s="184"/>
      <c r="N2089" s="184"/>
      <c r="O2089" s="184"/>
    </row>
    <row r="2090" customFormat="false" ht="27.75" hidden="false" customHeight="true" outlineLevel="0" collapsed="false">
      <c r="A2090" s="184" t="s">
        <v>6936</v>
      </c>
      <c r="B2090" s="184" t="s">
        <v>4925</v>
      </c>
      <c r="C2090" s="184" t="n">
        <v>5</v>
      </c>
      <c r="D2090" s="179" t="s">
        <v>6292</v>
      </c>
      <c r="E2090" s="184" t="s">
        <v>6937</v>
      </c>
      <c r="F2090" s="184"/>
      <c r="G2090" s="184"/>
      <c r="H2090" s="184"/>
      <c r="I2090" s="184"/>
      <c r="J2090" s="184"/>
      <c r="K2090" s="184"/>
      <c r="L2090" s="184"/>
      <c r="M2090" s="184"/>
      <c r="N2090" s="184"/>
      <c r="O2090" s="184"/>
    </row>
    <row r="2091" customFormat="false" ht="27.75" hidden="false" customHeight="true" outlineLevel="0" collapsed="false">
      <c r="A2091" s="184" t="s">
        <v>6936</v>
      </c>
      <c r="B2091" s="184" t="s">
        <v>4925</v>
      </c>
      <c r="C2091" s="184" t="n">
        <v>6</v>
      </c>
      <c r="D2091" s="177" t="s">
        <v>6298</v>
      </c>
      <c r="E2091" s="184" t="s">
        <v>6938</v>
      </c>
      <c r="F2091" s="184"/>
      <c r="G2091" s="184"/>
      <c r="H2091" s="184"/>
      <c r="I2091" s="184"/>
      <c r="J2091" s="184"/>
      <c r="K2091" s="184"/>
      <c r="L2091" s="184"/>
      <c r="M2091" s="184"/>
      <c r="N2091" s="184"/>
      <c r="O2091" s="184"/>
    </row>
    <row r="2092" customFormat="false" ht="27.75" hidden="false" customHeight="true" outlineLevel="0" collapsed="false">
      <c r="A2092" s="184" t="s">
        <v>6936</v>
      </c>
      <c r="B2092" s="184" t="s">
        <v>4925</v>
      </c>
      <c r="C2092" s="184" t="n">
        <v>7</v>
      </c>
      <c r="D2092" s="177" t="s">
        <v>6298</v>
      </c>
      <c r="E2092" s="184" t="s">
        <v>6939</v>
      </c>
      <c r="F2092" s="184"/>
      <c r="G2092" s="184"/>
      <c r="H2092" s="184"/>
      <c r="I2092" s="184"/>
      <c r="J2092" s="184"/>
      <c r="K2092" s="184"/>
      <c r="L2092" s="184"/>
      <c r="M2092" s="184"/>
      <c r="N2092" s="184"/>
      <c r="O2092" s="184"/>
    </row>
    <row r="2093" customFormat="false" ht="54.75" hidden="false" customHeight="true" outlineLevel="0" collapsed="false">
      <c r="A2093" s="184" t="s">
        <v>6936</v>
      </c>
      <c r="B2093" s="184" t="s">
        <v>4925</v>
      </c>
      <c r="C2093" s="184" t="n">
        <v>8</v>
      </c>
      <c r="D2093" s="174" t="s">
        <v>4846</v>
      </c>
      <c r="E2093" s="184" t="s">
        <v>784</v>
      </c>
      <c r="F2093" s="184" t="s">
        <v>715</v>
      </c>
      <c r="G2093" s="184"/>
      <c r="H2093" s="184"/>
      <c r="I2093" s="184"/>
      <c r="J2093" s="184"/>
      <c r="K2093" s="184" t="s">
        <v>5215</v>
      </c>
      <c r="L2093" s="184"/>
      <c r="M2093" s="184" t="s">
        <v>6392</v>
      </c>
      <c r="N2093" s="184"/>
      <c r="O2093" s="184"/>
    </row>
    <row r="2094" customFormat="false" ht="54.75" hidden="false" customHeight="true" outlineLevel="0" collapsed="false">
      <c r="A2094" s="184" t="s">
        <v>6936</v>
      </c>
      <c r="B2094" s="184" t="s">
        <v>4925</v>
      </c>
      <c r="C2094" s="184" t="n">
        <v>9</v>
      </c>
      <c r="D2094" s="174" t="s">
        <v>4846</v>
      </c>
      <c r="E2094" s="184" t="s">
        <v>5837</v>
      </c>
      <c r="F2094" s="184" t="s">
        <v>715</v>
      </c>
      <c r="G2094" s="184"/>
      <c r="H2094" s="184"/>
      <c r="I2094" s="184"/>
      <c r="J2094" s="184"/>
      <c r="K2094" s="184" t="s">
        <v>5215</v>
      </c>
      <c r="L2094" s="184"/>
      <c r="M2094" s="184" t="s">
        <v>5839</v>
      </c>
      <c r="N2094" s="184"/>
      <c r="O2094" s="184"/>
    </row>
    <row r="2095" customFormat="false" ht="54.75" hidden="false" customHeight="true" outlineLevel="0" collapsed="false">
      <c r="A2095" s="184" t="s">
        <v>6936</v>
      </c>
      <c r="B2095" s="184" t="s">
        <v>4925</v>
      </c>
      <c r="C2095" s="184" t="n">
        <v>10</v>
      </c>
      <c r="D2095" s="174" t="s">
        <v>4848</v>
      </c>
      <c r="E2095" s="184"/>
      <c r="F2095" s="184"/>
      <c r="G2095" s="184"/>
      <c r="H2095" s="184"/>
      <c r="I2095" s="184"/>
      <c r="J2095" s="184"/>
      <c r="K2095" s="184"/>
      <c r="L2095" s="184" t="s">
        <v>6302</v>
      </c>
      <c r="M2095" s="184" t="s">
        <v>6303</v>
      </c>
      <c r="N2095" s="184"/>
      <c r="O2095" s="184"/>
    </row>
    <row r="2096" customFormat="false" ht="41.25" hidden="false" customHeight="true" outlineLevel="0" collapsed="false">
      <c r="A2096" s="184" t="s">
        <v>6936</v>
      </c>
      <c r="B2096" s="184" t="s">
        <v>4925</v>
      </c>
      <c r="C2096" s="184" t="n">
        <v>11</v>
      </c>
      <c r="D2096" s="174" t="s">
        <v>4846</v>
      </c>
      <c r="E2096" s="184" t="s">
        <v>6393</v>
      </c>
      <c r="F2096" s="184" t="s">
        <v>715</v>
      </c>
      <c r="G2096" s="184"/>
      <c r="H2096" s="184"/>
      <c r="I2096" s="184"/>
      <c r="J2096" s="184"/>
      <c r="K2096" s="184" t="s">
        <v>5215</v>
      </c>
      <c r="L2096" s="184"/>
      <c r="M2096" s="184" t="s">
        <v>6395</v>
      </c>
      <c r="N2096" s="184"/>
      <c r="O2096" s="184"/>
    </row>
    <row r="2097" customFormat="false" ht="27.75" hidden="false" customHeight="true" outlineLevel="0" collapsed="false">
      <c r="A2097" s="184" t="s">
        <v>6936</v>
      </c>
      <c r="B2097" s="184" t="s">
        <v>4925</v>
      </c>
      <c r="C2097" s="184" t="n">
        <v>12</v>
      </c>
      <c r="D2097" s="179" t="s">
        <v>6300</v>
      </c>
      <c r="E2097" s="184" t="s">
        <v>6865</v>
      </c>
      <c r="F2097" s="184"/>
      <c r="G2097" s="184"/>
      <c r="H2097" s="184"/>
      <c r="I2097" s="184"/>
      <c r="J2097" s="184"/>
      <c r="K2097" s="184"/>
      <c r="L2097" s="184"/>
      <c r="M2097" s="184"/>
      <c r="N2097" s="184"/>
      <c r="O2097" s="184"/>
    </row>
    <row r="2098" customFormat="false" ht="68.25" hidden="false" customHeight="true" outlineLevel="0" collapsed="false">
      <c r="A2098" s="184" t="s">
        <v>6936</v>
      </c>
      <c r="B2098" s="184" t="s">
        <v>4925</v>
      </c>
      <c r="C2098" s="184" t="n">
        <v>13</v>
      </c>
      <c r="D2098" s="177" t="s">
        <v>6298</v>
      </c>
      <c r="E2098" s="184" t="s">
        <v>6940</v>
      </c>
      <c r="F2098" s="184"/>
      <c r="G2098" s="184"/>
      <c r="H2098" s="184"/>
      <c r="I2098" s="184"/>
      <c r="J2098" s="184"/>
      <c r="K2098" s="184"/>
      <c r="L2098" s="184"/>
      <c r="M2098" s="184"/>
      <c r="N2098" s="184"/>
      <c r="O2098" s="184"/>
    </row>
    <row r="2099" customFormat="false" ht="175.5" hidden="false" customHeight="true" outlineLevel="0" collapsed="false">
      <c r="A2099" s="184" t="s">
        <v>6936</v>
      </c>
      <c r="B2099" s="184" t="s">
        <v>4925</v>
      </c>
      <c r="C2099" s="184" t="n">
        <v>14</v>
      </c>
      <c r="D2099" s="174" t="s">
        <v>4846</v>
      </c>
      <c r="E2099" s="184" t="s">
        <v>6307</v>
      </c>
      <c r="F2099" s="184" t="s">
        <v>238</v>
      </c>
      <c r="G2099" s="184"/>
      <c r="H2099" s="184"/>
      <c r="I2099" s="184"/>
      <c r="J2099" s="184" t="s">
        <v>6308</v>
      </c>
      <c r="K2099" s="184" t="s">
        <v>5568</v>
      </c>
      <c r="L2099" s="184"/>
      <c r="M2099" s="184" t="s">
        <v>6309</v>
      </c>
      <c r="N2099" s="184"/>
      <c r="O2099" s="184"/>
    </row>
    <row r="2100" customFormat="false" ht="122.25" hidden="false" customHeight="true" outlineLevel="0" collapsed="false">
      <c r="A2100" s="184" t="s">
        <v>6936</v>
      </c>
      <c r="B2100" s="184" t="s">
        <v>4925</v>
      </c>
      <c r="C2100" s="184" t="n">
        <v>15</v>
      </c>
      <c r="D2100" s="174" t="s">
        <v>4846</v>
      </c>
      <c r="E2100" s="184" t="s">
        <v>6310</v>
      </c>
      <c r="F2100" s="184" t="s">
        <v>238</v>
      </c>
      <c r="G2100" s="184"/>
      <c r="H2100" s="184"/>
      <c r="I2100" s="184"/>
      <c r="J2100" s="184" t="s">
        <v>6311</v>
      </c>
      <c r="K2100" s="184" t="s">
        <v>5568</v>
      </c>
      <c r="L2100" s="184"/>
      <c r="M2100" s="184" t="s">
        <v>6312</v>
      </c>
      <c r="N2100" s="184"/>
      <c r="O2100" s="184"/>
    </row>
    <row r="2101" customFormat="false" ht="81.75" hidden="false" customHeight="true" outlineLevel="0" collapsed="false">
      <c r="A2101" s="184" t="s">
        <v>6936</v>
      </c>
      <c r="B2101" s="184" t="s">
        <v>4925</v>
      </c>
      <c r="C2101" s="184" t="n">
        <v>16</v>
      </c>
      <c r="D2101" s="174" t="s">
        <v>4846</v>
      </c>
      <c r="E2101" s="184" t="s">
        <v>6313</v>
      </c>
      <c r="F2101" s="184" t="s">
        <v>238</v>
      </c>
      <c r="G2101" s="184"/>
      <c r="H2101" s="184"/>
      <c r="I2101" s="184"/>
      <c r="J2101" s="184" t="s">
        <v>6314</v>
      </c>
      <c r="K2101" s="184" t="s">
        <v>5568</v>
      </c>
      <c r="L2101" s="184"/>
      <c r="M2101" s="184" t="s">
        <v>6315</v>
      </c>
      <c r="N2101" s="184"/>
      <c r="O2101" s="184"/>
    </row>
    <row r="2102" customFormat="false" ht="108.75" hidden="false" customHeight="true" outlineLevel="0" collapsed="false">
      <c r="A2102" s="184" t="s">
        <v>6936</v>
      </c>
      <c r="B2102" s="184" t="s">
        <v>4925</v>
      </c>
      <c r="C2102" s="184" t="n">
        <v>17</v>
      </c>
      <c r="D2102" s="174" t="s">
        <v>4846</v>
      </c>
      <c r="E2102" s="184" t="s">
        <v>6316</v>
      </c>
      <c r="F2102" s="184" t="s">
        <v>238</v>
      </c>
      <c r="G2102" s="184"/>
      <c r="H2102" s="184"/>
      <c r="I2102" s="184"/>
      <c r="J2102" s="184" t="s">
        <v>6317</v>
      </c>
      <c r="K2102" s="184" t="s">
        <v>5568</v>
      </c>
      <c r="L2102" s="184"/>
      <c r="M2102" s="184" t="s">
        <v>6318</v>
      </c>
      <c r="N2102" s="184"/>
      <c r="O2102" s="184"/>
    </row>
    <row r="2103" customFormat="false" ht="108.75" hidden="false" customHeight="true" outlineLevel="0" collapsed="false">
      <c r="A2103" s="184" t="s">
        <v>6936</v>
      </c>
      <c r="B2103" s="184" t="s">
        <v>4925</v>
      </c>
      <c r="C2103" s="184" t="n">
        <v>18</v>
      </c>
      <c r="D2103" s="174" t="s">
        <v>4846</v>
      </c>
      <c r="E2103" s="184" t="s">
        <v>6319</v>
      </c>
      <c r="F2103" s="184" t="s">
        <v>238</v>
      </c>
      <c r="G2103" s="184"/>
      <c r="H2103" s="184"/>
      <c r="I2103" s="184"/>
      <c r="J2103" s="184" t="s">
        <v>6320</v>
      </c>
      <c r="K2103" s="184" t="s">
        <v>5568</v>
      </c>
      <c r="L2103" s="184"/>
      <c r="M2103" s="184" t="s">
        <v>6321</v>
      </c>
      <c r="N2103" s="184"/>
      <c r="O2103" s="184"/>
    </row>
    <row r="2104" customFormat="false" ht="68.25" hidden="false" customHeight="true" outlineLevel="0" collapsed="false">
      <c r="A2104" s="184" t="s">
        <v>6936</v>
      </c>
      <c r="B2104" s="184" t="s">
        <v>4925</v>
      </c>
      <c r="C2104" s="184" t="n">
        <v>19</v>
      </c>
      <c r="D2104" s="174" t="s">
        <v>4846</v>
      </c>
      <c r="E2104" s="184" t="s">
        <v>6322</v>
      </c>
      <c r="F2104" s="184" t="s">
        <v>238</v>
      </c>
      <c r="G2104" s="184"/>
      <c r="H2104" s="184"/>
      <c r="I2104" s="184"/>
      <c r="J2104" s="184" t="s">
        <v>6314</v>
      </c>
      <c r="K2104" s="184" t="s">
        <v>6323</v>
      </c>
      <c r="L2104" s="184"/>
      <c r="M2104" s="184" t="s">
        <v>6324</v>
      </c>
      <c r="N2104" s="184"/>
      <c r="O2104" s="184"/>
    </row>
    <row r="2105" customFormat="false" ht="81.75" hidden="false" customHeight="true" outlineLevel="0" collapsed="false">
      <c r="A2105" s="184" t="s">
        <v>6936</v>
      </c>
      <c r="B2105" s="184" t="s">
        <v>4925</v>
      </c>
      <c r="C2105" s="184" t="n">
        <v>20</v>
      </c>
      <c r="D2105" s="174" t="s">
        <v>4846</v>
      </c>
      <c r="E2105" s="184" t="s">
        <v>1434</v>
      </c>
      <c r="F2105" s="184" t="s">
        <v>238</v>
      </c>
      <c r="G2105" s="184"/>
      <c r="H2105" s="184"/>
      <c r="I2105" s="184"/>
      <c r="J2105" s="184" t="s">
        <v>6325</v>
      </c>
      <c r="K2105" s="184" t="s">
        <v>5568</v>
      </c>
      <c r="L2105" s="184"/>
      <c r="M2105" s="184" t="s">
        <v>5673</v>
      </c>
      <c r="N2105" s="184"/>
      <c r="O2105" s="184"/>
    </row>
    <row r="2106" customFormat="false" ht="108.75" hidden="false" customHeight="true" outlineLevel="0" collapsed="false">
      <c r="A2106" s="184" t="s">
        <v>6936</v>
      </c>
      <c r="B2106" s="184" t="s">
        <v>4925</v>
      </c>
      <c r="C2106" s="184" t="n">
        <v>21</v>
      </c>
      <c r="D2106" s="174" t="s">
        <v>4848</v>
      </c>
      <c r="E2106" s="184" t="s">
        <v>1789</v>
      </c>
      <c r="F2106" s="184"/>
      <c r="G2106" s="184"/>
      <c r="H2106" s="184"/>
      <c r="I2106" s="184"/>
      <c r="J2106" s="184" t="s">
        <v>6326</v>
      </c>
      <c r="K2106" s="184" t="s">
        <v>5568</v>
      </c>
      <c r="L2106" s="184" t="s">
        <v>6327</v>
      </c>
      <c r="M2106" s="184" t="s">
        <v>6328</v>
      </c>
      <c r="N2106" s="184"/>
      <c r="O2106" s="184"/>
    </row>
    <row r="2107" customFormat="false" ht="108.75" hidden="false" customHeight="true" outlineLevel="0" collapsed="false">
      <c r="A2107" s="184" t="s">
        <v>6936</v>
      </c>
      <c r="B2107" s="184" t="s">
        <v>4925</v>
      </c>
      <c r="C2107" s="184" t="n">
        <v>22</v>
      </c>
      <c r="D2107" s="174" t="s">
        <v>4846</v>
      </c>
      <c r="E2107" s="184" t="s">
        <v>5459</v>
      </c>
      <c r="F2107" s="184" t="s">
        <v>238</v>
      </c>
      <c r="G2107" s="184"/>
      <c r="H2107" s="184"/>
      <c r="I2107" s="184"/>
      <c r="J2107" s="184" t="s">
        <v>6325</v>
      </c>
      <c r="K2107" s="184" t="s">
        <v>5568</v>
      </c>
      <c r="L2107" s="184"/>
      <c r="M2107" s="184" t="s">
        <v>5462</v>
      </c>
      <c r="N2107" s="184"/>
      <c r="O2107" s="184"/>
    </row>
    <row r="2108" customFormat="false" ht="81.75" hidden="false" customHeight="true" outlineLevel="0" collapsed="false">
      <c r="A2108" s="184" t="s">
        <v>6936</v>
      </c>
      <c r="B2108" s="184" t="s">
        <v>4925</v>
      </c>
      <c r="C2108" s="184" t="n">
        <v>23</v>
      </c>
      <c r="D2108" s="174" t="s">
        <v>4846</v>
      </c>
      <c r="E2108" s="184" t="s">
        <v>6329</v>
      </c>
      <c r="F2108" s="184" t="s">
        <v>238</v>
      </c>
      <c r="G2108" s="184"/>
      <c r="H2108" s="184"/>
      <c r="I2108" s="184"/>
      <c r="J2108" s="184" t="s">
        <v>6330</v>
      </c>
      <c r="K2108" s="184" t="s">
        <v>5568</v>
      </c>
      <c r="L2108" s="184"/>
      <c r="M2108" s="184" t="s">
        <v>6331</v>
      </c>
      <c r="N2108" s="184"/>
      <c r="O2108" s="184"/>
    </row>
    <row r="2109" customFormat="false" ht="68.25" hidden="false" customHeight="true" outlineLevel="0" collapsed="false">
      <c r="A2109" s="184" t="s">
        <v>6936</v>
      </c>
      <c r="B2109" s="184" t="s">
        <v>4925</v>
      </c>
      <c r="C2109" s="184" t="n">
        <v>24</v>
      </c>
      <c r="D2109" s="174" t="s">
        <v>4846</v>
      </c>
      <c r="E2109" s="184" t="s">
        <v>5463</v>
      </c>
      <c r="F2109" s="184" t="s">
        <v>238</v>
      </c>
      <c r="G2109" s="184"/>
      <c r="H2109" s="184"/>
      <c r="I2109" s="184"/>
      <c r="J2109" s="184" t="s">
        <v>6314</v>
      </c>
      <c r="K2109" s="184" t="s">
        <v>5568</v>
      </c>
      <c r="L2109" s="184"/>
      <c r="M2109" s="184" t="s">
        <v>5466</v>
      </c>
      <c r="N2109" s="184"/>
      <c r="O2109" s="184"/>
    </row>
    <row r="2110" customFormat="false" ht="41.25" hidden="false" customHeight="true" outlineLevel="0" collapsed="false">
      <c r="A2110" s="184" t="s">
        <v>6936</v>
      </c>
      <c r="B2110" s="184" t="s">
        <v>4925</v>
      </c>
      <c r="C2110" s="184" t="n">
        <v>25</v>
      </c>
      <c r="D2110" s="174" t="s">
        <v>4846</v>
      </c>
      <c r="E2110" s="184" t="s">
        <v>5228</v>
      </c>
      <c r="F2110" s="184" t="s">
        <v>227</v>
      </c>
      <c r="G2110" s="184"/>
      <c r="H2110" s="184"/>
      <c r="I2110" s="184"/>
      <c r="J2110" s="184" t="s">
        <v>6496</v>
      </c>
      <c r="K2110" s="184" t="s">
        <v>6343</v>
      </c>
      <c r="L2110" s="184"/>
      <c r="M2110" s="184" t="s">
        <v>5230</v>
      </c>
      <c r="N2110" s="184"/>
      <c r="O2110" s="184"/>
    </row>
    <row r="2111" customFormat="false" ht="68.25" hidden="false" customHeight="true" outlineLevel="0" collapsed="false">
      <c r="A2111" s="184" t="s">
        <v>6936</v>
      </c>
      <c r="B2111" s="184" t="s">
        <v>4925</v>
      </c>
      <c r="C2111" s="184" t="n">
        <v>26</v>
      </c>
      <c r="D2111" s="174" t="s">
        <v>4846</v>
      </c>
      <c r="E2111" s="184" t="s">
        <v>5467</v>
      </c>
      <c r="F2111" s="184" t="s">
        <v>238</v>
      </c>
      <c r="G2111" s="184"/>
      <c r="H2111" s="184"/>
      <c r="I2111" s="184"/>
      <c r="J2111" s="184" t="s">
        <v>6941</v>
      </c>
      <c r="K2111" s="184" t="s">
        <v>6323</v>
      </c>
      <c r="L2111" s="184"/>
      <c r="M2111" s="184" t="s">
        <v>6942</v>
      </c>
      <c r="N2111" s="184"/>
      <c r="O2111" s="184"/>
    </row>
    <row r="2112" customFormat="false" ht="68.25" hidden="false" customHeight="true" outlineLevel="0" collapsed="false">
      <c r="A2112" s="184" t="s">
        <v>6936</v>
      </c>
      <c r="B2112" s="184" t="s">
        <v>4925</v>
      </c>
      <c r="C2112" s="184" t="n">
        <v>27</v>
      </c>
      <c r="D2112" s="174" t="s">
        <v>4846</v>
      </c>
      <c r="E2112" s="184" t="s">
        <v>5864</v>
      </c>
      <c r="F2112" s="184" t="s">
        <v>238</v>
      </c>
      <c r="G2112" s="184"/>
      <c r="H2112" s="184"/>
      <c r="I2112" s="184"/>
      <c r="J2112" s="184" t="s">
        <v>6330</v>
      </c>
      <c r="K2112" s="184" t="s">
        <v>5568</v>
      </c>
      <c r="L2112" s="184"/>
      <c r="M2112" s="184" t="s">
        <v>5867</v>
      </c>
      <c r="N2112" s="184"/>
      <c r="O2112" s="184"/>
    </row>
    <row r="2113" customFormat="false" ht="68.25" hidden="false" customHeight="true" outlineLevel="0" collapsed="false">
      <c r="A2113" s="184" t="s">
        <v>6936</v>
      </c>
      <c r="B2113" s="184" t="s">
        <v>4925</v>
      </c>
      <c r="C2113" s="184" t="n">
        <v>28</v>
      </c>
      <c r="D2113" s="174" t="s">
        <v>4846</v>
      </c>
      <c r="E2113" s="184" t="s">
        <v>5868</v>
      </c>
      <c r="F2113" s="184" t="s">
        <v>238</v>
      </c>
      <c r="G2113" s="184"/>
      <c r="H2113" s="184"/>
      <c r="I2113" s="184"/>
      <c r="J2113" s="184" t="s">
        <v>6335</v>
      </c>
      <c r="K2113" s="184" t="s">
        <v>5568</v>
      </c>
      <c r="L2113" s="184"/>
      <c r="M2113" s="184" t="s">
        <v>5871</v>
      </c>
      <c r="N2113" s="184"/>
      <c r="O2113" s="184"/>
    </row>
    <row r="2114" customFormat="false" ht="68.25" hidden="false" customHeight="true" outlineLevel="0" collapsed="false">
      <c r="A2114" s="184" t="s">
        <v>6936</v>
      </c>
      <c r="B2114" s="184" t="s">
        <v>4925</v>
      </c>
      <c r="C2114" s="184" t="n">
        <v>29</v>
      </c>
      <c r="D2114" s="174" t="s">
        <v>4846</v>
      </c>
      <c r="E2114" s="184" t="s">
        <v>5872</v>
      </c>
      <c r="F2114" s="184" t="s">
        <v>238</v>
      </c>
      <c r="G2114" s="184"/>
      <c r="H2114" s="184"/>
      <c r="I2114" s="184"/>
      <c r="J2114" s="184" t="s">
        <v>6336</v>
      </c>
      <c r="K2114" s="184" t="s">
        <v>5568</v>
      </c>
      <c r="L2114" s="184"/>
      <c r="M2114" s="184" t="s">
        <v>5875</v>
      </c>
      <c r="N2114" s="184"/>
      <c r="O2114" s="184"/>
    </row>
    <row r="2115" customFormat="false" ht="54.75" hidden="false" customHeight="true" outlineLevel="0" collapsed="false">
      <c r="A2115" s="184" t="s">
        <v>6936</v>
      </c>
      <c r="B2115" s="184" t="s">
        <v>4925</v>
      </c>
      <c r="C2115" s="184" t="n">
        <v>30</v>
      </c>
      <c r="D2115" s="174" t="s">
        <v>4846</v>
      </c>
      <c r="E2115" s="184" t="s">
        <v>5963</v>
      </c>
      <c r="F2115" s="184" t="s">
        <v>238</v>
      </c>
      <c r="G2115" s="184"/>
      <c r="H2115" s="184"/>
      <c r="I2115" s="184"/>
      <c r="J2115" s="184" t="s">
        <v>6311</v>
      </c>
      <c r="K2115" s="184" t="s">
        <v>5568</v>
      </c>
      <c r="L2115" s="184"/>
      <c r="M2115" s="184" t="s">
        <v>5966</v>
      </c>
      <c r="N2115" s="184"/>
      <c r="O2115" s="184"/>
    </row>
    <row r="2116" customFormat="false" ht="54.75" hidden="false" customHeight="true" outlineLevel="0" collapsed="false">
      <c r="A2116" s="184" t="s">
        <v>6936</v>
      </c>
      <c r="B2116" s="184" t="s">
        <v>4925</v>
      </c>
      <c r="C2116" s="184" t="n">
        <v>31</v>
      </c>
      <c r="D2116" s="174" t="s">
        <v>4846</v>
      </c>
      <c r="E2116" s="184" t="s">
        <v>5967</v>
      </c>
      <c r="F2116" s="184" t="s">
        <v>238</v>
      </c>
      <c r="G2116" s="184"/>
      <c r="H2116" s="184"/>
      <c r="I2116" s="184"/>
      <c r="J2116" s="184" t="s">
        <v>6337</v>
      </c>
      <c r="K2116" s="184" t="s">
        <v>5568</v>
      </c>
      <c r="L2116" s="184"/>
      <c r="M2116" s="184" t="s">
        <v>5970</v>
      </c>
      <c r="N2116" s="184"/>
      <c r="O2116" s="184"/>
    </row>
    <row r="2117" customFormat="false" ht="54.75" hidden="false" customHeight="true" outlineLevel="0" collapsed="false">
      <c r="A2117" s="184" t="s">
        <v>6936</v>
      </c>
      <c r="B2117" s="184" t="s">
        <v>4925</v>
      </c>
      <c r="C2117" s="184" t="n">
        <v>32</v>
      </c>
      <c r="D2117" s="174" t="s">
        <v>4846</v>
      </c>
      <c r="E2117" s="184" t="s">
        <v>5971</v>
      </c>
      <c r="F2117" s="184" t="s">
        <v>238</v>
      </c>
      <c r="G2117" s="184"/>
      <c r="H2117" s="184"/>
      <c r="I2117" s="184"/>
      <c r="J2117" s="184" t="s">
        <v>6338</v>
      </c>
      <c r="K2117" s="184" t="s">
        <v>5568</v>
      </c>
      <c r="L2117" s="184"/>
      <c r="M2117" s="184" t="s">
        <v>5974</v>
      </c>
      <c r="N2117" s="184"/>
      <c r="O2117" s="184"/>
    </row>
    <row r="2118" customFormat="false" ht="81.75" hidden="false" customHeight="true" outlineLevel="0" collapsed="false">
      <c r="A2118" s="184" t="s">
        <v>6936</v>
      </c>
      <c r="B2118" s="184" t="s">
        <v>4925</v>
      </c>
      <c r="C2118" s="184" t="n">
        <v>33</v>
      </c>
      <c r="D2118" s="174" t="s">
        <v>4848</v>
      </c>
      <c r="E2118" s="184" t="s">
        <v>1790</v>
      </c>
      <c r="F2118" s="184"/>
      <c r="G2118" s="184"/>
      <c r="H2118" s="184"/>
      <c r="I2118" s="184"/>
      <c r="J2118" s="184" t="s">
        <v>6339</v>
      </c>
      <c r="K2118" s="184" t="s">
        <v>5568</v>
      </c>
      <c r="L2118" s="184" t="s">
        <v>6340</v>
      </c>
      <c r="M2118" s="184" t="s">
        <v>6341</v>
      </c>
      <c r="N2118" s="184"/>
      <c r="O2118" s="184"/>
    </row>
    <row r="2119" customFormat="false" ht="54.75" hidden="false" customHeight="true" outlineLevel="0" collapsed="false">
      <c r="A2119" s="184" t="s">
        <v>6936</v>
      </c>
      <c r="B2119" s="184" t="s">
        <v>4925</v>
      </c>
      <c r="C2119" s="184" t="n">
        <v>34</v>
      </c>
      <c r="D2119" s="174" t="s">
        <v>4846</v>
      </c>
      <c r="E2119" s="184" t="s">
        <v>6342</v>
      </c>
      <c r="F2119" s="184" t="s">
        <v>5221</v>
      </c>
      <c r="G2119" s="184"/>
      <c r="H2119" s="184"/>
      <c r="I2119" s="184"/>
      <c r="J2119" s="184"/>
      <c r="K2119" s="184" t="s">
        <v>6343</v>
      </c>
      <c r="L2119" s="184"/>
      <c r="M2119" s="184" t="s">
        <v>6344</v>
      </c>
      <c r="N2119" s="184"/>
      <c r="O2119" s="184"/>
    </row>
    <row r="2120" customFormat="false" ht="81.75" hidden="false" customHeight="true" outlineLevel="0" collapsed="false">
      <c r="A2120" s="184" t="s">
        <v>6936</v>
      </c>
      <c r="B2120" s="184" t="s">
        <v>4925</v>
      </c>
      <c r="C2120" s="184" t="n">
        <v>35</v>
      </c>
      <c r="D2120" s="174" t="s">
        <v>4846</v>
      </c>
      <c r="E2120" s="184" t="s">
        <v>6345</v>
      </c>
      <c r="F2120" s="184" t="s">
        <v>227</v>
      </c>
      <c r="G2120" s="184"/>
      <c r="H2120" s="184"/>
      <c r="I2120" s="184"/>
      <c r="J2120" s="184" t="s">
        <v>6346</v>
      </c>
      <c r="K2120" s="184" t="s">
        <v>6323</v>
      </c>
      <c r="L2120" s="184"/>
      <c r="M2120" s="184" t="s">
        <v>6347</v>
      </c>
      <c r="N2120" s="184"/>
      <c r="O2120" s="184"/>
    </row>
    <row r="2121" customFormat="false" ht="54.75" hidden="false" customHeight="true" outlineLevel="0" collapsed="false">
      <c r="A2121" s="184" t="s">
        <v>6936</v>
      </c>
      <c r="B2121" s="184" t="s">
        <v>4925</v>
      </c>
      <c r="C2121" s="184" t="n">
        <v>36</v>
      </c>
      <c r="D2121" s="174" t="s">
        <v>4846</v>
      </c>
      <c r="E2121" s="184" t="s">
        <v>6348</v>
      </c>
      <c r="F2121" s="184" t="s">
        <v>227</v>
      </c>
      <c r="G2121" s="184"/>
      <c r="H2121" s="184"/>
      <c r="I2121" s="184"/>
      <c r="J2121" s="184" t="s">
        <v>6346</v>
      </c>
      <c r="K2121" s="184" t="s">
        <v>6323</v>
      </c>
      <c r="L2121" s="184"/>
      <c r="M2121" s="184" t="s">
        <v>6943</v>
      </c>
      <c r="N2121" s="184"/>
      <c r="O2121" s="184"/>
    </row>
    <row r="2122" customFormat="false" ht="122.25" hidden="false" customHeight="true" outlineLevel="0" collapsed="false">
      <c r="A2122" s="184" t="s">
        <v>6936</v>
      </c>
      <c r="B2122" s="184" t="s">
        <v>4925</v>
      </c>
      <c r="C2122" s="184" t="n">
        <v>37</v>
      </c>
      <c r="D2122" s="174" t="s">
        <v>4846</v>
      </c>
      <c r="E2122" s="184" t="s">
        <v>6350</v>
      </c>
      <c r="F2122" s="184" t="s">
        <v>238</v>
      </c>
      <c r="G2122" s="184"/>
      <c r="H2122" s="184"/>
      <c r="I2122" s="184"/>
      <c r="J2122" s="184" t="s">
        <v>5736</v>
      </c>
      <c r="K2122" s="184" t="s">
        <v>5568</v>
      </c>
      <c r="L2122" s="184"/>
      <c r="M2122" s="184" t="s">
        <v>6351</v>
      </c>
      <c r="N2122" s="184"/>
      <c r="O2122" s="184"/>
    </row>
    <row r="2123" customFormat="false" ht="95.25" hidden="false" customHeight="true" outlineLevel="0" collapsed="false">
      <c r="A2123" s="184" t="s">
        <v>6936</v>
      </c>
      <c r="B2123" s="184" t="s">
        <v>4925</v>
      </c>
      <c r="C2123" s="184" t="n">
        <v>38</v>
      </c>
      <c r="D2123" s="174" t="s">
        <v>4846</v>
      </c>
      <c r="E2123" s="184" t="s">
        <v>5674</v>
      </c>
      <c r="F2123" s="184"/>
      <c r="G2123" s="184"/>
      <c r="H2123" s="184"/>
      <c r="I2123" s="184"/>
      <c r="J2123" s="184" t="s">
        <v>5675</v>
      </c>
      <c r="K2123" s="184" t="s">
        <v>5568</v>
      </c>
      <c r="L2123" s="184"/>
      <c r="M2123" s="184" t="s">
        <v>5677</v>
      </c>
      <c r="N2123" s="184"/>
      <c r="O2123" s="184"/>
    </row>
    <row r="2124" customFormat="false" ht="95.25" hidden="false" customHeight="true" outlineLevel="0" collapsed="false">
      <c r="A2124" s="184" t="s">
        <v>6936</v>
      </c>
      <c r="B2124" s="184" t="s">
        <v>4925</v>
      </c>
      <c r="C2124" s="184" t="n">
        <v>39</v>
      </c>
      <c r="D2124" s="174" t="s">
        <v>4846</v>
      </c>
      <c r="E2124" s="184" t="s">
        <v>6352</v>
      </c>
      <c r="F2124" s="184" t="s">
        <v>238</v>
      </c>
      <c r="G2124" s="184"/>
      <c r="H2124" s="184"/>
      <c r="I2124" s="184"/>
      <c r="J2124" s="184" t="s">
        <v>6353</v>
      </c>
      <c r="K2124" s="184" t="s">
        <v>5568</v>
      </c>
      <c r="L2124" s="184"/>
      <c r="M2124" s="184" t="s">
        <v>6354</v>
      </c>
      <c r="N2124" s="184"/>
      <c r="O2124" s="184"/>
    </row>
    <row r="2125" customFormat="false" ht="135.75" hidden="false" customHeight="true" outlineLevel="0" collapsed="false">
      <c r="A2125" s="184" t="s">
        <v>6936</v>
      </c>
      <c r="B2125" s="184" t="s">
        <v>4925</v>
      </c>
      <c r="C2125" s="184" t="n">
        <v>40</v>
      </c>
      <c r="D2125" s="174" t="s">
        <v>4846</v>
      </c>
      <c r="E2125" s="184" t="s">
        <v>5678</v>
      </c>
      <c r="F2125" s="184" t="s">
        <v>238</v>
      </c>
      <c r="G2125" s="184"/>
      <c r="H2125" s="184"/>
      <c r="I2125" s="184"/>
      <c r="J2125" s="184" t="s">
        <v>5675</v>
      </c>
      <c r="K2125" s="184" t="s">
        <v>5568</v>
      </c>
      <c r="L2125" s="184"/>
      <c r="M2125" s="184" t="s">
        <v>5681</v>
      </c>
      <c r="N2125" s="184"/>
      <c r="O2125" s="184"/>
    </row>
    <row r="2126" customFormat="false" ht="162" hidden="false" customHeight="true" outlineLevel="0" collapsed="false">
      <c r="A2126" s="184" t="s">
        <v>6936</v>
      </c>
      <c r="B2126" s="184" t="s">
        <v>4925</v>
      </c>
      <c r="C2126" s="184" t="n">
        <v>41</v>
      </c>
      <c r="D2126" s="174" t="s">
        <v>4848</v>
      </c>
      <c r="E2126" s="184" t="s">
        <v>5682</v>
      </c>
      <c r="F2126" s="184"/>
      <c r="G2126" s="184"/>
      <c r="H2126" s="184"/>
      <c r="I2126" s="184"/>
      <c r="J2126" s="184" t="s">
        <v>5683</v>
      </c>
      <c r="K2126" s="184" t="s">
        <v>5568</v>
      </c>
      <c r="L2126" s="184" t="s">
        <v>6355</v>
      </c>
      <c r="M2126" s="184" t="s">
        <v>5685</v>
      </c>
      <c r="N2126" s="184"/>
      <c r="O2126" s="184"/>
    </row>
    <row r="2127" customFormat="false" ht="108.75" hidden="false" customHeight="true" outlineLevel="0" collapsed="false">
      <c r="A2127" s="184" t="s">
        <v>6936</v>
      </c>
      <c r="B2127" s="184" t="s">
        <v>4925</v>
      </c>
      <c r="C2127" s="184" t="n">
        <v>42</v>
      </c>
      <c r="D2127" s="174" t="s">
        <v>4848</v>
      </c>
      <c r="E2127" s="184" t="s">
        <v>6356</v>
      </c>
      <c r="F2127" s="184"/>
      <c r="G2127" s="184"/>
      <c r="H2127" s="184"/>
      <c r="I2127" s="184"/>
      <c r="J2127" s="184" t="s">
        <v>6357</v>
      </c>
      <c r="K2127" s="184" t="s">
        <v>5568</v>
      </c>
      <c r="L2127" s="184" t="s">
        <v>6358</v>
      </c>
      <c r="M2127" s="184" t="s">
        <v>6359</v>
      </c>
      <c r="N2127" s="184"/>
      <c r="O2127" s="184"/>
    </row>
    <row r="2128" customFormat="false" ht="81.75" hidden="false" customHeight="true" outlineLevel="0" collapsed="false">
      <c r="A2128" s="184" t="s">
        <v>6936</v>
      </c>
      <c r="B2128" s="184" t="s">
        <v>4925</v>
      </c>
      <c r="C2128" s="184" t="n">
        <v>43</v>
      </c>
      <c r="D2128" s="174" t="s">
        <v>4848</v>
      </c>
      <c r="E2128" s="184" t="s">
        <v>5833</v>
      </c>
      <c r="F2128" s="184"/>
      <c r="G2128" s="184"/>
      <c r="H2128" s="184"/>
      <c r="I2128" s="184"/>
      <c r="J2128" s="184" t="s">
        <v>5834</v>
      </c>
      <c r="K2128" s="184" t="s">
        <v>5568</v>
      </c>
      <c r="L2128" s="184" t="s">
        <v>6360</v>
      </c>
      <c r="M2128" s="184" t="s">
        <v>5836</v>
      </c>
      <c r="N2128" s="184"/>
      <c r="O2128" s="184"/>
    </row>
    <row r="2129" customFormat="false" ht="41.25" hidden="false" customHeight="true" outlineLevel="0" collapsed="false">
      <c r="A2129" s="184" t="s">
        <v>6936</v>
      </c>
      <c r="B2129" s="184" t="s">
        <v>4925</v>
      </c>
      <c r="C2129" s="184" t="n">
        <v>44</v>
      </c>
      <c r="D2129" s="174" t="s">
        <v>4846</v>
      </c>
      <c r="E2129" s="184" t="s">
        <v>6361</v>
      </c>
      <c r="F2129" s="184" t="s">
        <v>227</v>
      </c>
      <c r="G2129" s="184"/>
      <c r="H2129" s="184"/>
      <c r="I2129" s="184"/>
      <c r="J2129" s="184" t="s">
        <v>6362</v>
      </c>
      <c r="K2129" s="184" t="s">
        <v>6323</v>
      </c>
      <c r="L2129" s="184"/>
      <c r="M2129" s="184" t="s">
        <v>6363</v>
      </c>
      <c r="N2129" s="184"/>
      <c r="O2129" s="184"/>
    </row>
    <row r="2130" customFormat="false" ht="149.25" hidden="false" customHeight="true" outlineLevel="0" collapsed="false">
      <c r="A2130" s="184" t="s">
        <v>6936</v>
      </c>
      <c r="B2130" s="184" t="s">
        <v>4925</v>
      </c>
      <c r="C2130" s="184" t="n">
        <v>45</v>
      </c>
      <c r="D2130" s="174" t="s">
        <v>4846</v>
      </c>
      <c r="E2130" s="184" t="s">
        <v>681</v>
      </c>
      <c r="F2130" s="184"/>
      <c r="G2130" s="184"/>
      <c r="H2130" s="184"/>
      <c r="I2130" s="184"/>
      <c r="J2130" s="184" t="s">
        <v>6325</v>
      </c>
      <c r="K2130" s="184" t="s">
        <v>5568</v>
      </c>
      <c r="L2130" s="184"/>
      <c r="M2130" s="184" t="s">
        <v>6365</v>
      </c>
      <c r="N2130" s="184"/>
      <c r="O2130" s="184"/>
    </row>
    <row r="2131" customFormat="false" ht="54.75" hidden="false" customHeight="true" outlineLevel="0" collapsed="false">
      <c r="A2131" s="184" t="s">
        <v>6936</v>
      </c>
      <c r="B2131" s="184" t="s">
        <v>4925</v>
      </c>
      <c r="C2131" s="184" t="n">
        <v>46</v>
      </c>
      <c r="D2131" s="174" t="s">
        <v>4846</v>
      </c>
      <c r="E2131" s="184" t="s">
        <v>6366</v>
      </c>
      <c r="F2131" s="184" t="s">
        <v>238</v>
      </c>
      <c r="G2131" s="184"/>
      <c r="H2131" s="184"/>
      <c r="I2131" s="184"/>
      <c r="J2131" s="184" t="s">
        <v>6944</v>
      </c>
      <c r="K2131" s="184" t="s">
        <v>6323</v>
      </c>
      <c r="L2131" s="184"/>
      <c r="M2131" s="184" t="s">
        <v>6945</v>
      </c>
      <c r="N2131" s="184"/>
      <c r="O2131" s="184"/>
    </row>
    <row r="2132" customFormat="false" ht="68.25" hidden="false" customHeight="true" outlineLevel="0" collapsed="false">
      <c r="A2132" s="184" t="s">
        <v>6936</v>
      </c>
      <c r="B2132" s="184" t="s">
        <v>4925</v>
      </c>
      <c r="C2132" s="184" t="n">
        <v>47</v>
      </c>
      <c r="D2132" s="174" t="s">
        <v>4846</v>
      </c>
      <c r="E2132" s="184" t="s">
        <v>6369</v>
      </c>
      <c r="F2132" s="184" t="s">
        <v>238</v>
      </c>
      <c r="G2132" s="184"/>
      <c r="H2132" s="184"/>
      <c r="I2132" s="184"/>
      <c r="J2132" s="184" t="s">
        <v>6370</v>
      </c>
      <c r="K2132" s="184" t="s">
        <v>6323</v>
      </c>
      <c r="L2132" s="184"/>
      <c r="M2132" s="184" t="s">
        <v>6946</v>
      </c>
      <c r="N2132" s="184"/>
      <c r="O2132" s="184"/>
    </row>
    <row r="2133" customFormat="false" ht="41.25" hidden="false" customHeight="true" outlineLevel="0" collapsed="false">
      <c r="A2133" s="184" t="s">
        <v>6936</v>
      </c>
      <c r="B2133" s="184" t="s">
        <v>4925</v>
      </c>
      <c r="C2133" s="184" t="n">
        <v>48</v>
      </c>
      <c r="D2133" s="174" t="s">
        <v>4848</v>
      </c>
      <c r="E2133" s="184" t="s">
        <v>6369</v>
      </c>
      <c r="F2133" s="184"/>
      <c r="G2133" s="184"/>
      <c r="H2133" s="184"/>
      <c r="I2133" s="184"/>
      <c r="J2133" s="184"/>
      <c r="K2133" s="184"/>
      <c r="L2133" s="184" t="s">
        <v>6947</v>
      </c>
      <c r="M2133" s="184"/>
      <c r="N2133" s="184"/>
      <c r="O2133" s="184"/>
    </row>
    <row r="2134" customFormat="false" ht="54.75" hidden="false" customHeight="true" outlineLevel="0" collapsed="false">
      <c r="A2134" s="184" t="s">
        <v>6936</v>
      </c>
      <c r="B2134" s="184" t="s">
        <v>4925</v>
      </c>
      <c r="C2134" s="184" t="n">
        <v>49</v>
      </c>
      <c r="D2134" s="174" t="s">
        <v>4846</v>
      </c>
      <c r="E2134" s="184" t="s">
        <v>6371</v>
      </c>
      <c r="F2134" s="184" t="s">
        <v>238</v>
      </c>
      <c r="G2134" s="184"/>
      <c r="H2134" s="184"/>
      <c r="I2134" s="184"/>
      <c r="J2134" s="184" t="s">
        <v>6948</v>
      </c>
      <c r="K2134" s="184" t="s">
        <v>6323</v>
      </c>
      <c r="L2134" s="184"/>
      <c r="M2134" s="184" t="s">
        <v>6949</v>
      </c>
      <c r="N2134" s="184"/>
      <c r="O2134" s="184"/>
    </row>
    <row r="2135" customFormat="false" ht="27.75" hidden="false" customHeight="true" outlineLevel="0" collapsed="false">
      <c r="A2135" s="184" t="s">
        <v>6936</v>
      </c>
      <c r="B2135" s="184" t="s">
        <v>4925</v>
      </c>
      <c r="C2135" s="184" t="n">
        <v>50</v>
      </c>
      <c r="D2135" s="174" t="s">
        <v>4848</v>
      </c>
      <c r="E2135" s="184" t="s">
        <v>6371</v>
      </c>
      <c r="F2135" s="184"/>
      <c r="G2135" s="184"/>
      <c r="H2135" s="184"/>
      <c r="I2135" s="184"/>
      <c r="J2135" s="184"/>
      <c r="K2135" s="184"/>
      <c r="L2135" s="184" t="s">
        <v>6950</v>
      </c>
      <c r="M2135" s="184"/>
      <c r="N2135" s="184"/>
      <c r="O2135" s="184"/>
    </row>
    <row r="2136" customFormat="false" ht="108.75" hidden="false" customHeight="true" outlineLevel="0" collapsed="false">
      <c r="A2136" s="184" t="s">
        <v>6936</v>
      </c>
      <c r="B2136" s="184" t="s">
        <v>4925</v>
      </c>
      <c r="C2136" s="184" t="n">
        <v>51</v>
      </c>
      <c r="D2136" s="174" t="s">
        <v>4846</v>
      </c>
      <c r="E2136" s="184" t="s">
        <v>1454</v>
      </c>
      <c r="F2136" s="184" t="s">
        <v>5221</v>
      </c>
      <c r="G2136" s="184"/>
      <c r="H2136" s="184"/>
      <c r="I2136" s="184"/>
      <c r="J2136" s="184" t="s">
        <v>6311</v>
      </c>
      <c r="K2136" s="184" t="s">
        <v>5568</v>
      </c>
      <c r="L2136" s="184"/>
      <c r="M2136" s="184" t="s">
        <v>6374</v>
      </c>
      <c r="N2136" s="184"/>
      <c r="O2136" s="184"/>
    </row>
    <row r="2137" customFormat="false" ht="68.25" hidden="false" customHeight="true" outlineLevel="0" collapsed="false">
      <c r="A2137" s="184" t="s">
        <v>6936</v>
      </c>
      <c r="B2137" s="184" t="s">
        <v>4925</v>
      </c>
      <c r="C2137" s="184" t="n">
        <v>52</v>
      </c>
      <c r="D2137" s="174" t="s">
        <v>4846</v>
      </c>
      <c r="E2137" s="184" t="s">
        <v>6375</v>
      </c>
      <c r="F2137" s="184" t="s">
        <v>238</v>
      </c>
      <c r="G2137" s="184"/>
      <c r="H2137" s="184"/>
      <c r="I2137" s="184"/>
      <c r="J2137" s="184" t="s">
        <v>6376</v>
      </c>
      <c r="K2137" s="184" t="s">
        <v>5568</v>
      </c>
      <c r="L2137" s="184"/>
      <c r="M2137" s="184" t="s">
        <v>6377</v>
      </c>
      <c r="N2137" s="184"/>
      <c r="O2137" s="184"/>
    </row>
    <row r="2138" customFormat="false" ht="81.75" hidden="false" customHeight="true" outlineLevel="0" collapsed="false">
      <c r="A2138" s="184" t="s">
        <v>6936</v>
      </c>
      <c r="B2138" s="184" t="s">
        <v>4925</v>
      </c>
      <c r="C2138" s="184" t="n">
        <v>53</v>
      </c>
      <c r="D2138" s="174" t="s">
        <v>4846</v>
      </c>
      <c r="E2138" s="184" t="s">
        <v>6378</v>
      </c>
      <c r="F2138" s="184" t="s">
        <v>238</v>
      </c>
      <c r="G2138" s="184"/>
      <c r="H2138" s="184"/>
      <c r="I2138" s="184"/>
      <c r="J2138" s="184" t="s">
        <v>5736</v>
      </c>
      <c r="K2138" s="184" t="s">
        <v>5568</v>
      </c>
      <c r="L2138" s="184"/>
      <c r="M2138" s="184" t="s">
        <v>6379</v>
      </c>
      <c r="N2138" s="184"/>
      <c r="O2138" s="184"/>
    </row>
    <row r="2139" customFormat="false" ht="68.25" hidden="false" customHeight="true" outlineLevel="0" collapsed="false">
      <c r="A2139" s="184" t="s">
        <v>6936</v>
      </c>
      <c r="B2139" s="184" t="s">
        <v>4925</v>
      </c>
      <c r="C2139" s="184" t="n">
        <v>54</v>
      </c>
      <c r="D2139" s="174" t="s">
        <v>4846</v>
      </c>
      <c r="E2139" s="184" t="s">
        <v>6380</v>
      </c>
      <c r="F2139" s="184" t="s">
        <v>227</v>
      </c>
      <c r="G2139" s="184"/>
      <c r="H2139" s="184"/>
      <c r="I2139" s="184"/>
      <c r="J2139" s="184" t="s">
        <v>6381</v>
      </c>
      <c r="K2139" s="184" t="s">
        <v>5568</v>
      </c>
      <c r="L2139" s="184"/>
      <c r="M2139" s="184" t="s">
        <v>6382</v>
      </c>
      <c r="N2139" s="184"/>
      <c r="O2139" s="184"/>
    </row>
    <row r="2140" customFormat="false" ht="68.25" hidden="false" customHeight="true" outlineLevel="0" collapsed="false">
      <c r="A2140" s="184" t="s">
        <v>6936</v>
      </c>
      <c r="B2140" s="184" t="s">
        <v>4925</v>
      </c>
      <c r="C2140" s="184" t="n">
        <v>55</v>
      </c>
      <c r="D2140" s="174" t="s">
        <v>4846</v>
      </c>
      <c r="E2140" s="184" t="s">
        <v>6016</v>
      </c>
      <c r="F2140" s="184" t="s">
        <v>238</v>
      </c>
      <c r="G2140" s="184"/>
      <c r="H2140" s="184"/>
      <c r="I2140" s="184"/>
      <c r="J2140" s="184" t="s">
        <v>6383</v>
      </c>
      <c r="K2140" s="184" t="s">
        <v>5568</v>
      </c>
      <c r="L2140" s="184"/>
      <c r="M2140" s="184" t="s">
        <v>6019</v>
      </c>
      <c r="N2140" s="184"/>
      <c r="O2140" s="184"/>
    </row>
    <row r="2141" customFormat="false" ht="68.25" hidden="false" customHeight="true" outlineLevel="0" collapsed="false">
      <c r="A2141" s="184" t="s">
        <v>6936</v>
      </c>
      <c r="B2141" s="184" t="s">
        <v>4925</v>
      </c>
      <c r="C2141" s="184" t="n">
        <v>56</v>
      </c>
      <c r="D2141" s="174" t="s">
        <v>4846</v>
      </c>
      <c r="E2141" s="184" t="s">
        <v>6384</v>
      </c>
      <c r="F2141" s="184" t="s">
        <v>5221</v>
      </c>
      <c r="G2141" s="184"/>
      <c r="H2141" s="184"/>
      <c r="I2141" s="184"/>
      <c r="J2141" s="184" t="s">
        <v>6385</v>
      </c>
      <c r="K2141" s="184" t="s">
        <v>5568</v>
      </c>
      <c r="L2141" s="184"/>
      <c r="M2141" s="184" t="s">
        <v>6386</v>
      </c>
      <c r="N2141" s="184"/>
      <c r="O2141" s="184"/>
    </row>
    <row r="2142" customFormat="false" ht="81.75" hidden="false" customHeight="true" outlineLevel="0" collapsed="false">
      <c r="A2142" s="184" t="s">
        <v>6936</v>
      </c>
      <c r="B2142" s="184" t="s">
        <v>4925</v>
      </c>
      <c r="C2142" s="184" t="n">
        <v>57</v>
      </c>
      <c r="D2142" s="174" t="s">
        <v>4846</v>
      </c>
      <c r="E2142" s="184" t="s">
        <v>6387</v>
      </c>
      <c r="F2142" s="184" t="s">
        <v>227</v>
      </c>
      <c r="G2142" s="184"/>
      <c r="H2142" s="184"/>
      <c r="I2142" s="184"/>
      <c r="J2142" s="184" t="s">
        <v>6388</v>
      </c>
      <c r="K2142" s="184" t="s">
        <v>6323</v>
      </c>
      <c r="L2142" s="184"/>
      <c r="M2142" s="184" t="s">
        <v>6951</v>
      </c>
      <c r="N2142" s="184"/>
      <c r="O2142" s="184"/>
    </row>
    <row r="2143" customFormat="false" ht="54.75" hidden="false" customHeight="true" outlineLevel="0" collapsed="false">
      <c r="A2143" s="184" t="s">
        <v>6936</v>
      </c>
      <c r="B2143" s="184" t="s">
        <v>4925</v>
      </c>
      <c r="C2143" s="184" t="n">
        <v>58</v>
      </c>
      <c r="D2143" s="174" t="s">
        <v>4846</v>
      </c>
      <c r="E2143" s="184" t="s">
        <v>6138</v>
      </c>
      <c r="F2143" s="184" t="s">
        <v>238</v>
      </c>
      <c r="G2143" s="184"/>
      <c r="H2143" s="184"/>
      <c r="I2143" s="184"/>
      <c r="J2143" s="184" t="s">
        <v>5736</v>
      </c>
      <c r="K2143" s="184" t="s">
        <v>5568</v>
      </c>
      <c r="L2143" s="184"/>
      <c r="M2143" s="184" t="s">
        <v>6141</v>
      </c>
      <c r="N2143" s="184"/>
      <c r="O2143" s="184"/>
    </row>
    <row r="2144" customFormat="false" ht="54.75" hidden="false" customHeight="true" outlineLevel="0" collapsed="false">
      <c r="A2144" s="184" t="s">
        <v>6936</v>
      </c>
      <c r="B2144" s="184" t="s">
        <v>4925</v>
      </c>
      <c r="C2144" s="184" t="n">
        <v>59</v>
      </c>
      <c r="D2144" s="174" t="s">
        <v>4846</v>
      </c>
      <c r="E2144" s="184" t="s">
        <v>6142</v>
      </c>
      <c r="F2144" s="184" t="s">
        <v>238</v>
      </c>
      <c r="G2144" s="184"/>
      <c r="H2144" s="184"/>
      <c r="I2144" s="184"/>
      <c r="J2144" s="184" t="s">
        <v>6390</v>
      </c>
      <c r="K2144" s="184" t="s">
        <v>5568</v>
      </c>
      <c r="L2144" s="184"/>
      <c r="M2144" s="184" t="s">
        <v>6145</v>
      </c>
      <c r="N2144" s="184"/>
      <c r="O2144" s="184"/>
    </row>
    <row r="2145" customFormat="false" ht="54.75" hidden="false" customHeight="true" outlineLevel="0" collapsed="false">
      <c r="A2145" s="184" t="s">
        <v>6936</v>
      </c>
      <c r="B2145" s="184" t="s">
        <v>4925</v>
      </c>
      <c r="C2145" s="184" t="n">
        <v>60</v>
      </c>
      <c r="D2145" s="174" t="s">
        <v>4846</v>
      </c>
      <c r="E2145" s="184" t="s">
        <v>6146</v>
      </c>
      <c r="F2145" s="184" t="s">
        <v>238</v>
      </c>
      <c r="G2145" s="184"/>
      <c r="H2145" s="184"/>
      <c r="I2145" s="184"/>
      <c r="J2145" s="184" t="s">
        <v>6370</v>
      </c>
      <c r="K2145" s="184" t="s">
        <v>5568</v>
      </c>
      <c r="L2145" s="184"/>
      <c r="M2145" s="184" t="s">
        <v>6149</v>
      </c>
      <c r="N2145" s="184"/>
      <c r="O2145" s="184"/>
    </row>
    <row r="2146" customFormat="false" ht="27.75" hidden="false" customHeight="true" outlineLevel="0" collapsed="false">
      <c r="A2146" s="184" t="s">
        <v>6936</v>
      </c>
      <c r="B2146" s="184" t="s">
        <v>4925</v>
      </c>
      <c r="C2146" s="184" t="n">
        <v>61</v>
      </c>
      <c r="D2146" s="174" t="s">
        <v>4848</v>
      </c>
      <c r="E2146" s="184" t="s">
        <v>6397</v>
      </c>
      <c r="F2146" s="184"/>
      <c r="G2146" s="184"/>
      <c r="H2146" s="184"/>
      <c r="I2146" s="184"/>
      <c r="J2146" s="184" t="s">
        <v>1654</v>
      </c>
      <c r="K2146" s="184" t="s">
        <v>5568</v>
      </c>
      <c r="L2146" s="184" t="s">
        <v>6398</v>
      </c>
      <c r="M2146" s="184" t="s">
        <v>6399</v>
      </c>
      <c r="N2146" s="184"/>
      <c r="O2146" s="184"/>
    </row>
    <row r="2147" customFormat="false" ht="27.75" hidden="false" customHeight="true" outlineLevel="0" collapsed="false">
      <c r="A2147" s="184" t="s">
        <v>6936</v>
      </c>
      <c r="B2147" s="184" t="s">
        <v>4925</v>
      </c>
      <c r="C2147" s="184" t="n">
        <v>62</v>
      </c>
      <c r="D2147" s="184" t="s">
        <v>6296</v>
      </c>
      <c r="E2147" s="184" t="s">
        <v>6952</v>
      </c>
      <c r="F2147" s="184"/>
      <c r="G2147" s="184"/>
      <c r="H2147" s="184"/>
      <c r="I2147" s="184"/>
      <c r="J2147" s="184"/>
      <c r="K2147" s="184"/>
      <c r="L2147" s="184"/>
      <c r="M2147" s="184"/>
      <c r="N2147" s="184"/>
      <c r="O2147" s="184"/>
    </row>
    <row r="2148" customFormat="false" ht="27.75" hidden="false" customHeight="true" outlineLevel="0" collapsed="false">
      <c r="A2148" s="184" t="s">
        <v>6936</v>
      </c>
      <c r="B2148" s="184" t="s">
        <v>4925</v>
      </c>
      <c r="C2148" s="184" t="n">
        <v>63</v>
      </c>
      <c r="D2148" s="177" t="s">
        <v>6298</v>
      </c>
      <c r="E2148" s="184" t="s">
        <v>6953</v>
      </c>
      <c r="F2148" s="184"/>
      <c r="G2148" s="184"/>
      <c r="H2148" s="184"/>
      <c r="I2148" s="184"/>
      <c r="J2148" s="184"/>
      <c r="K2148" s="184"/>
      <c r="L2148" s="184"/>
      <c r="M2148" s="184"/>
      <c r="N2148" s="184"/>
      <c r="O2148" s="184"/>
    </row>
    <row r="2149" customFormat="false" ht="27.75" hidden="false" customHeight="true" outlineLevel="0" collapsed="false">
      <c r="A2149" s="184" t="s">
        <v>6936</v>
      </c>
      <c r="B2149" s="184" t="s">
        <v>4925</v>
      </c>
      <c r="C2149" s="184" t="n">
        <v>64</v>
      </c>
      <c r="D2149" s="177" t="s">
        <v>6298</v>
      </c>
      <c r="E2149" s="184" t="s">
        <v>6954</v>
      </c>
      <c r="F2149" s="184"/>
      <c r="G2149" s="184"/>
      <c r="H2149" s="184"/>
      <c r="I2149" s="184"/>
      <c r="J2149" s="184"/>
      <c r="K2149" s="184"/>
      <c r="L2149" s="184"/>
      <c r="M2149" s="184"/>
      <c r="N2149" s="184"/>
      <c r="O2149" s="184"/>
    </row>
    <row r="2150" customFormat="false" ht="27.75" hidden="false" customHeight="true" outlineLevel="0" collapsed="false">
      <c r="A2150" s="184" t="s">
        <v>6936</v>
      </c>
      <c r="B2150" s="184" t="s">
        <v>4925</v>
      </c>
      <c r="C2150" s="184" t="n">
        <v>65</v>
      </c>
      <c r="D2150" s="178" t="s">
        <v>6457</v>
      </c>
      <c r="E2150" s="184" t="s">
        <v>6869</v>
      </c>
      <c r="F2150" s="184"/>
      <c r="G2150" s="184"/>
      <c r="H2150" s="184"/>
      <c r="I2150" s="184"/>
      <c r="J2150" s="184"/>
      <c r="K2150" s="184"/>
      <c r="L2150" s="184"/>
      <c r="M2150" s="184" t="s">
        <v>6955</v>
      </c>
      <c r="N2150" s="184"/>
      <c r="O2150" s="184"/>
    </row>
    <row r="2151" customFormat="false" ht="27.75" hidden="false" customHeight="true" outlineLevel="0" collapsed="false">
      <c r="A2151" s="184" t="s">
        <v>6936</v>
      </c>
      <c r="B2151" s="184" t="s">
        <v>4925</v>
      </c>
      <c r="C2151" s="184" t="n">
        <v>66</v>
      </c>
      <c r="D2151" s="178" t="s">
        <v>6457</v>
      </c>
      <c r="E2151" s="184" t="s">
        <v>6871</v>
      </c>
      <c r="F2151" s="184"/>
      <c r="G2151" s="184"/>
      <c r="H2151" s="184"/>
      <c r="I2151" s="184"/>
      <c r="J2151" s="184"/>
      <c r="K2151" s="184"/>
      <c r="L2151" s="184"/>
      <c r="M2151" s="184" t="s">
        <v>6956</v>
      </c>
      <c r="N2151" s="184"/>
      <c r="O2151" s="184"/>
    </row>
    <row r="2152" customFormat="false" ht="27.75" hidden="false" customHeight="true" outlineLevel="0" collapsed="false">
      <c r="A2152" s="184" t="s">
        <v>6936</v>
      </c>
      <c r="B2152" s="184" t="s">
        <v>4925</v>
      </c>
      <c r="C2152" s="184" t="n">
        <v>67</v>
      </c>
      <c r="D2152" s="184" t="s">
        <v>6296</v>
      </c>
      <c r="E2152" s="184" t="s">
        <v>6957</v>
      </c>
      <c r="F2152" s="184"/>
      <c r="G2152" s="184"/>
      <c r="H2152" s="184"/>
      <c r="I2152" s="184"/>
      <c r="J2152" s="184"/>
      <c r="K2152" s="184"/>
      <c r="L2152" s="184"/>
      <c r="M2152" s="184"/>
      <c r="N2152" s="184"/>
      <c r="O2152" s="184"/>
    </row>
    <row r="2153" customFormat="false" ht="27.75" hidden="false" customHeight="true" outlineLevel="0" collapsed="false">
      <c r="A2153" s="184" t="s">
        <v>6936</v>
      </c>
      <c r="B2153" s="184" t="s">
        <v>4925</v>
      </c>
      <c r="C2153" s="184" t="n">
        <v>68</v>
      </c>
      <c r="D2153" s="177" t="s">
        <v>6298</v>
      </c>
      <c r="E2153" s="184" t="s">
        <v>6953</v>
      </c>
      <c r="F2153" s="184"/>
      <c r="G2153" s="184"/>
      <c r="H2153" s="184"/>
      <c r="I2153" s="184"/>
      <c r="J2153" s="184"/>
      <c r="K2153" s="184"/>
      <c r="L2153" s="184"/>
      <c r="M2153" s="184"/>
      <c r="N2153" s="184"/>
      <c r="O2153" s="184"/>
    </row>
    <row r="2154" customFormat="false" ht="27.75" hidden="false" customHeight="true" outlineLevel="0" collapsed="false">
      <c r="A2154" s="184" t="s">
        <v>6936</v>
      </c>
      <c r="B2154" s="184" t="s">
        <v>4925</v>
      </c>
      <c r="C2154" s="184" t="n">
        <v>69</v>
      </c>
      <c r="D2154" s="177" t="s">
        <v>6298</v>
      </c>
      <c r="E2154" s="184" t="s">
        <v>6958</v>
      </c>
      <c r="F2154" s="184"/>
      <c r="G2154" s="184"/>
      <c r="H2154" s="184"/>
      <c r="I2154" s="184"/>
      <c r="J2154" s="184"/>
      <c r="K2154" s="184"/>
      <c r="L2154" s="184"/>
      <c r="M2154" s="184"/>
      <c r="N2154" s="184"/>
      <c r="O2154" s="184"/>
    </row>
    <row r="2155" customFormat="false" ht="27.75" hidden="false" customHeight="true" outlineLevel="0" collapsed="false">
      <c r="A2155" s="184" t="s">
        <v>6936</v>
      </c>
      <c r="B2155" s="184" t="s">
        <v>4925</v>
      </c>
      <c r="C2155" s="184" t="n">
        <v>70</v>
      </c>
      <c r="D2155" s="178" t="s">
        <v>6457</v>
      </c>
      <c r="E2155" s="184" t="s">
        <v>6869</v>
      </c>
      <c r="F2155" s="184"/>
      <c r="G2155" s="184"/>
      <c r="H2155" s="184"/>
      <c r="I2155" s="184"/>
      <c r="J2155" s="184"/>
      <c r="K2155" s="184"/>
      <c r="L2155" s="184"/>
      <c r="M2155" s="184" t="s">
        <v>6955</v>
      </c>
      <c r="N2155" s="184"/>
      <c r="O2155" s="184"/>
    </row>
    <row r="2156" customFormat="false" ht="27.75" hidden="false" customHeight="true" outlineLevel="0" collapsed="false">
      <c r="A2156" s="184" t="s">
        <v>6936</v>
      </c>
      <c r="B2156" s="184" t="s">
        <v>4925</v>
      </c>
      <c r="C2156" s="184" t="n">
        <v>71</v>
      </c>
      <c r="D2156" s="178" t="s">
        <v>6457</v>
      </c>
      <c r="E2156" s="184" t="s">
        <v>6871</v>
      </c>
      <c r="F2156" s="184"/>
      <c r="G2156" s="184"/>
      <c r="H2156" s="184"/>
      <c r="I2156" s="184"/>
      <c r="J2156" s="184"/>
      <c r="K2156" s="184"/>
      <c r="L2156" s="184"/>
      <c r="M2156" s="184" t="s">
        <v>6959</v>
      </c>
      <c r="N2156" s="184"/>
      <c r="O2156" s="184"/>
    </row>
    <row r="2157" customFormat="false" ht="27.75" hidden="false" customHeight="true" outlineLevel="0" collapsed="false">
      <c r="A2157" s="184" t="s">
        <v>6936</v>
      </c>
      <c r="B2157" s="184" t="s">
        <v>4925</v>
      </c>
      <c r="C2157" s="184" t="n">
        <v>72</v>
      </c>
      <c r="D2157" s="184" t="s">
        <v>6296</v>
      </c>
      <c r="E2157" s="184" t="s">
        <v>724</v>
      </c>
      <c r="F2157" s="184"/>
      <c r="G2157" s="184"/>
      <c r="H2157" s="184"/>
      <c r="I2157" s="184"/>
      <c r="J2157" s="184"/>
      <c r="K2157" s="184"/>
      <c r="L2157" s="184"/>
      <c r="M2157" s="184"/>
      <c r="N2157" s="184"/>
      <c r="O2157" s="184"/>
    </row>
    <row r="2158" customFormat="false" ht="27.75" hidden="false" customHeight="true" outlineLevel="0" collapsed="false">
      <c r="A2158" s="184" t="s">
        <v>6936</v>
      </c>
      <c r="B2158" s="184" t="s">
        <v>4925</v>
      </c>
      <c r="C2158" s="184" t="n">
        <v>73</v>
      </c>
      <c r="D2158" s="177" t="s">
        <v>6298</v>
      </c>
      <c r="E2158" s="184" t="s">
        <v>6867</v>
      </c>
      <c r="F2158" s="184"/>
      <c r="G2158" s="184"/>
      <c r="H2158" s="184"/>
      <c r="I2158" s="184"/>
      <c r="J2158" s="184"/>
      <c r="K2158" s="184"/>
      <c r="L2158" s="184"/>
      <c r="M2158" s="184"/>
      <c r="N2158" s="184"/>
      <c r="O2158" s="184"/>
    </row>
    <row r="2159" customFormat="false" ht="27.75" hidden="false" customHeight="true" outlineLevel="0" collapsed="false">
      <c r="A2159" s="184" t="s">
        <v>6936</v>
      </c>
      <c r="B2159" s="184" t="s">
        <v>4925</v>
      </c>
      <c r="C2159" s="184" t="n">
        <v>74</v>
      </c>
      <c r="D2159" s="177" t="s">
        <v>6298</v>
      </c>
      <c r="E2159" s="184" t="s">
        <v>6868</v>
      </c>
      <c r="F2159" s="184"/>
      <c r="G2159" s="184"/>
      <c r="H2159" s="184"/>
      <c r="I2159" s="184"/>
      <c r="J2159" s="184"/>
      <c r="K2159" s="184"/>
      <c r="L2159" s="184"/>
      <c r="M2159" s="184"/>
      <c r="N2159" s="184"/>
      <c r="O2159" s="184"/>
    </row>
    <row r="2160" customFormat="false" ht="27.75" hidden="false" customHeight="true" outlineLevel="0" collapsed="false">
      <c r="A2160" s="184" t="s">
        <v>6936</v>
      </c>
      <c r="B2160" s="184" t="s">
        <v>4925</v>
      </c>
      <c r="C2160" s="184" t="n">
        <v>75</v>
      </c>
      <c r="D2160" s="178" t="s">
        <v>6457</v>
      </c>
      <c r="E2160" s="184" t="s">
        <v>6869</v>
      </c>
      <c r="F2160" s="184"/>
      <c r="G2160" s="184"/>
      <c r="H2160" s="184"/>
      <c r="I2160" s="184"/>
      <c r="J2160" s="184"/>
      <c r="K2160" s="184"/>
      <c r="L2160" s="184"/>
      <c r="M2160" s="184" t="s">
        <v>6870</v>
      </c>
      <c r="N2160" s="184"/>
      <c r="O2160" s="184"/>
    </row>
    <row r="2161" customFormat="false" ht="27.75" hidden="false" customHeight="true" outlineLevel="0" collapsed="false">
      <c r="A2161" s="184" t="s">
        <v>6936</v>
      </c>
      <c r="B2161" s="184" t="s">
        <v>4925</v>
      </c>
      <c r="C2161" s="184" t="n">
        <v>76</v>
      </c>
      <c r="D2161" s="178" t="s">
        <v>6457</v>
      </c>
      <c r="E2161" s="184" t="s">
        <v>6871</v>
      </c>
      <c r="F2161" s="184"/>
      <c r="G2161" s="184"/>
      <c r="H2161" s="184"/>
      <c r="I2161" s="184"/>
      <c r="J2161" s="184"/>
      <c r="K2161" s="184"/>
      <c r="L2161" s="184"/>
      <c r="M2161" s="184" t="s">
        <v>6872</v>
      </c>
      <c r="N2161" s="184"/>
      <c r="O2161" s="184"/>
    </row>
    <row r="2162" customFormat="false" ht="27.75" hidden="false" customHeight="true" outlineLevel="0" collapsed="false">
      <c r="A2162" s="184" t="s">
        <v>6936</v>
      </c>
      <c r="B2162" s="184" t="s">
        <v>4925</v>
      </c>
      <c r="C2162" s="184" t="n">
        <v>77</v>
      </c>
      <c r="D2162" s="179" t="s">
        <v>6300</v>
      </c>
      <c r="E2162" s="184" t="s">
        <v>6960</v>
      </c>
      <c r="F2162" s="184"/>
      <c r="G2162" s="184"/>
      <c r="H2162" s="184"/>
      <c r="I2162" s="184"/>
      <c r="J2162" s="184"/>
      <c r="K2162" s="184"/>
      <c r="L2162" s="184"/>
      <c r="M2162" s="184"/>
      <c r="N2162" s="184"/>
      <c r="O2162" s="184"/>
    </row>
    <row r="2163" customFormat="false" ht="27.75" hidden="false" customHeight="true" outlineLevel="0" collapsed="false">
      <c r="A2163" s="184" t="s">
        <v>6936</v>
      </c>
      <c r="B2163" s="184" t="s">
        <v>4925</v>
      </c>
      <c r="C2163" s="184" t="n">
        <v>78</v>
      </c>
      <c r="D2163" s="184" t="s">
        <v>4790</v>
      </c>
      <c r="E2163" s="184" t="s">
        <v>6874</v>
      </c>
      <c r="F2163" s="184"/>
      <c r="G2163" s="184"/>
      <c r="H2163" s="184"/>
      <c r="I2163" s="184"/>
      <c r="J2163" s="184"/>
      <c r="K2163" s="184"/>
      <c r="L2163" s="184"/>
      <c r="M2163" s="184" t="s">
        <v>6875</v>
      </c>
      <c r="N2163" s="184"/>
      <c r="O2163" s="184"/>
    </row>
    <row r="2164" customFormat="false" ht="27.75" hidden="false" customHeight="true" outlineLevel="0" collapsed="false">
      <c r="A2164" s="184" t="s">
        <v>6936</v>
      </c>
      <c r="B2164" s="184" t="s">
        <v>4925</v>
      </c>
      <c r="C2164" s="184" t="n">
        <v>79</v>
      </c>
      <c r="D2164" s="184" t="s">
        <v>4790</v>
      </c>
      <c r="E2164" s="184" t="s">
        <v>6876</v>
      </c>
      <c r="F2164" s="184"/>
      <c r="G2164" s="184"/>
      <c r="H2164" s="184"/>
      <c r="I2164" s="184"/>
      <c r="J2164" s="184"/>
      <c r="K2164" s="184"/>
      <c r="L2164" s="184"/>
      <c r="M2164" s="184" t="s">
        <v>6877</v>
      </c>
      <c r="N2164" s="184"/>
      <c r="O2164" s="184"/>
    </row>
    <row r="2165" customFormat="false" ht="27.75" hidden="false" customHeight="true" outlineLevel="0" collapsed="false">
      <c r="A2165" s="184" t="s">
        <v>6936</v>
      </c>
      <c r="B2165" s="184" t="s">
        <v>4925</v>
      </c>
      <c r="C2165" s="184" t="n">
        <v>80</v>
      </c>
      <c r="D2165" s="184" t="s">
        <v>4790</v>
      </c>
      <c r="E2165" s="184" t="s">
        <v>6878</v>
      </c>
      <c r="F2165" s="184"/>
      <c r="G2165" s="184"/>
      <c r="H2165" s="184"/>
      <c r="I2165" s="184"/>
      <c r="J2165" s="184"/>
      <c r="K2165" s="184"/>
      <c r="L2165" s="184"/>
      <c r="M2165" s="184" t="s">
        <v>6879</v>
      </c>
      <c r="N2165" s="184"/>
      <c r="O2165" s="184"/>
    </row>
    <row r="2166" customFormat="false" ht="27.75" hidden="false" customHeight="true" outlineLevel="0" collapsed="false">
      <c r="A2166" s="184" t="s">
        <v>6936</v>
      </c>
      <c r="B2166" s="184" t="s">
        <v>4925</v>
      </c>
      <c r="C2166" s="184" t="n">
        <v>81</v>
      </c>
      <c r="D2166" s="184" t="s">
        <v>4790</v>
      </c>
      <c r="E2166" s="184" t="s">
        <v>6880</v>
      </c>
      <c r="F2166" s="184"/>
      <c r="G2166" s="184"/>
      <c r="H2166" s="184"/>
      <c r="I2166" s="184"/>
      <c r="J2166" s="184"/>
      <c r="K2166" s="184"/>
      <c r="L2166" s="184"/>
      <c r="M2166" s="184" t="s">
        <v>6881</v>
      </c>
      <c r="N2166" s="184"/>
      <c r="O2166" s="184"/>
    </row>
    <row r="2167" customFormat="false" ht="27.75" hidden="false" customHeight="true" outlineLevel="0" collapsed="false">
      <c r="A2167" s="184" t="s">
        <v>6936</v>
      </c>
      <c r="B2167" s="184" t="s">
        <v>4925</v>
      </c>
      <c r="C2167" s="184" t="n">
        <v>82</v>
      </c>
      <c r="D2167" s="184" t="s">
        <v>4790</v>
      </c>
      <c r="E2167" s="184" t="s">
        <v>6882</v>
      </c>
      <c r="F2167" s="184"/>
      <c r="G2167" s="184"/>
      <c r="H2167" s="184"/>
      <c r="I2167" s="184"/>
      <c r="J2167" s="184"/>
      <c r="K2167" s="184"/>
      <c r="L2167" s="184"/>
      <c r="M2167" s="184" t="s">
        <v>6883</v>
      </c>
      <c r="N2167" s="184"/>
      <c r="O2167" s="184"/>
    </row>
    <row r="2168" customFormat="false" ht="27.75" hidden="false" customHeight="true" outlineLevel="0" collapsed="false">
      <c r="A2168" s="184" t="s">
        <v>6936</v>
      </c>
      <c r="B2168" s="184" t="s">
        <v>4925</v>
      </c>
      <c r="C2168" s="184" t="n">
        <v>83</v>
      </c>
      <c r="D2168" s="184" t="s">
        <v>4790</v>
      </c>
      <c r="E2168" s="184" t="s">
        <v>6884</v>
      </c>
      <c r="F2168" s="184"/>
      <c r="G2168" s="184"/>
      <c r="H2168" s="184"/>
      <c r="I2168" s="184"/>
      <c r="J2168" s="184"/>
      <c r="K2168" s="184"/>
      <c r="L2168" s="184"/>
      <c r="M2168" s="184" t="s">
        <v>6885</v>
      </c>
      <c r="N2168" s="184"/>
      <c r="O2168" s="184"/>
    </row>
    <row r="2169" customFormat="false" ht="27.75" hidden="false" customHeight="true" outlineLevel="0" collapsed="false">
      <c r="A2169" s="184" t="s">
        <v>6936</v>
      </c>
      <c r="B2169" s="184" t="s">
        <v>4925</v>
      </c>
      <c r="C2169" s="184" t="n">
        <v>84</v>
      </c>
      <c r="D2169" s="184" t="s">
        <v>4790</v>
      </c>
      <c r="E2169" s="184" t="s">
        <v>6886</v>
      </c>
      <c r="F2169" s="184"/>
      <c r="G2169" s="184"/>
      <c r="H2169" s="184"/>
      <c r="I2169" s="184"/>
      <c r="J2169" s="184"/>
      <c r="K2169" s="184"/>
      <c r="L2169" s="184"/>
      <c r="M2169" s="184" t="s">
        <v>6887</v>
      </c>
      <c r="N2169" s="184"/>
      <c r="O2169" s="184"/>
    </row>
    <row r="2170" customFormat="false" ht="27.75" hidden="false" customHeight="true" outlineLevel="0" collapsed="false">
      <c r="A2170" s="184" t="s">
        <v>6936</v>
      </c>
      <c r="B2170" s="184" t="s">
        <v>4925</v>
      </c>
      <c r="C2170" s="184" t="n">
        <v>85</v>
      </c>
      <c r="D2170" s="184" t="s">
        <v>4790</v>
      </c>
      <c r="E2170" s="184" t="s">
        <v>6888</v>
      </c>
      <c r="F2170" s="184"/>
      <c r="G2170" s="184"/>
      <c r="H2170" s="184"/>
      <c r="I2170" s="184"/>
      <c r="J2170" s="184"/>
      <c r="K2170" s="184"/>
      <c r="L2170" s="184"/>
      <c r="M2170" s="184" t="s">
        <v>6889</v>
      </c>
      <c r="N2170" s="184"/>
      <c r="O2170" s="184"/>
    </row>
    <row r="2171" customFormat="false" ht="27.75" hidden="false" customHeight="true" outlineLevel="0" collapsed="false">
      <c r="A2171" s="184" t="s">
        <v>6936</v>
      </c>
      <c r="B2171" s="184" t="s">
        <v>4925</v>
      </c>
      <c r="C2171" s="184" t="n">
        <v>86</v>
      </c>
      <c r="D2171" s="184" t="s">
        <v>4790</v>
      </c>
      <c r="E2171" s="184" t="s">
        <v>6890</v>
      </c>
      <c r="F2171" s="184"/>
      <c r="G2171" s="184"/>
      <c r="H2171" s="184"/>
      <c r="I2171" s="184"/>
      <c r="J2171" s="184"/>
      <c r="K2171" s="184"/>
      <c r="L2171" s="184"/>
      <c r="M2171" s="184" t="s">
        <v>6891</v>
      </c>
      <c r="N2171" s="184"/>
      <c r="O2171" s="184"/>
    </row>
    <row r="2172" customFormat="false" ht="27.75" hidden="false" customHeight="true" outlineLevel="0" collapsed="false">
      <c r="A2172" s="184" t="s">
        <v>6936</v>
      </c>
      <c r="B2172" s="184" t="s">
        <v>4925</v>
      </c>
      <c r="C2172" s="184" t="n">
        <v>87</v>
      </c>
      <c r="D2172" s="184" t="s">
        <v>4790</v>
      </c>
      <c r="E2172" s="184" t="s">
        <v>6892</v>
      </c>
      <c r="F2172" s="184"/>
      <c r="G2172" s="184"/>
      <c r="H2172" s="184"/>
      <c r="I2172" s="184"/>
      <c r="J2172" s="184"/>
      <c r="K2172" s="184"/>
      <c r="L2172" s="184"/>
      <c r="M2172" s="184" t="s">
        <v>6893</v>
      </c>
      <c r="N2172" s="184"/>
      <c r="O2172" s="184"/>
    </row>
    <row r="2173" customFormat="false" ht="27.75" hidden="false" customHeight="true" outlineLevel="0" collapsed="false">
      <c r="A2173" s="184" t="s">
        <v>6936</v>
      </c>
      <c r="B2173" s="184" t="s">
        <v>4925</v>
      </c>
      <c r="C2173" s="184" t="n">
        <v>88</v>
      </c>
      <c r="D2173" s="184" t="s">
        <v>4790</v>
      </c>
      <c r="E2173" s="184" t="s">
        <v>6894</v>
      </c>
      <c r="F2173" s="184"/>
      <c r="G2173" s="184"/>
      <c r="H2173" s="184"/>
      <c r="I2173" s="184"/>
      <c r="J2173" s="184"/>
      <c r="K2173" s="184"/>
      <c r="L2173" s="184"/>
      <c r="M2173" s="184" t="s">
        <v>6895</v>
      </c>
      <c r="N2173" s="184"/>
      <c r="O2173" s="184"/>
    </row>
    <row r="2174" customFormat="false" ht="27.75" hidden="false" customHeight="true" outlineLevel="0" collapsed="false">
      <c r="A2174" s="184" t="s">
        <v>6936</v>
      </c>
      <c r="B2174" s="184" t="s">
        <v>4925</v>
      </c>
      <c r="C2174" s="184" t="n">
        <v>89</v>
      </c>
      <c r="D2174" s="184" t="s">
        <v>4790</v>
      </c>
      <c r="E2174" s="184" t="s">
        <v>6896</v>
      </c>
      <c r="F2174" s="184"/>
      <c r="G2174" s="184"/>
      <c r="H2174" s="184"/>
      <c r="I2174" s="184"/>
      <c r="J2174" s="184"/>
      <c r="K2174" s="184"/>
      <c r="L2174" s="184"/>
      <c r="M2174" s="184" t="s">
        <v>6897</v>
      </c>
      <c r="N2174" s="184"/>
      <c r="O2174" s="184"/>
    </row>
    <row r="2175" customFormat="false" ht="27.75" hidden="false" customHeight="true" outlineLevel="0" collapsed="false">
      <c r="A2175" s="184" t="s">
        <v>6936</v>
      </c>
      <c r="B2175" s="184" t="s">
        <v>4925</v>
      </c>
      <c r="C2175" s="184" t="n">
        <v>90</v>
      </c>
      <c r="D2175" s="184" t="s">
        <v>4790</v>
      </c>
      <c r="E2175" s="184" t="s">
        <v>6898</v>
      </c>
      <c r="F2175" s="184"/>
      <c r="G2175" s="184"/>
      <c r="H2175" s="184"/>
      <c r="I2175" s="184"/>
      <c r="J2175" s="184"/>
      <c r="K2175" s="184"/>
      <c r="L2175" s="184"/>
      <c r="M2175" s="184" t="s">
        <v>6899</v>
      </c>
      <c r="N2175" s="184"/>
      <c r="O2175" s="184"/>
    </row>
    <row r="2176" customFormat="false" ht="27.75" hidden="false" customHeight="true" outlineLevel="0" collapsed="false">
      <c r="A2176" s="184" t="s">
        <v>6936</v>
      </c>
      <c r="B2176" s="184" t="s">
        <v>4925</v>
      </c>
      <c r="C2176" s="184" t="n">
        <v>91</v>
      </c>
      <c r="D2176" s="184" t="s">
        <v>4790</v>
      </c>
      <c r="E2176" s="184" t="s">
        <v>6900</v>
      </c>
      <c r="F2176" s="184"/>
      <c r="G2176" s="184"/>
      <c r="H2176" s="184"/>
      <c r="I2176" s="184"/>
      <c r="J2176" s="184"/>
      <c r="K2176" s="184"/>
      <c r="L2176" s="184"/>
      <c r="M2176" s="184" t="s">
        <v>6901</v>
      </c>
      <c r="N2176" s="184"/>
      <c r="O2176" s="184"/>
    </row>
    <row r="2177" customFormat="false" ht="27.75" hidden="false" customHeight="true" outlineLevel="0" collapsed="false">
      <c r="A2177" s="184" t="s">
        <v>6936</v>
      </c>
      <c r="B2177" s="184" t="s">
        <v>4925</v>
      </c>
      <c r="C2177" s="184" t="n">
        <v>92</v>
      </c>
      <c r="D2177" s="184" t="s">
        <v>4790</v>
      </c>
      <c r="E2177" s="184" t="s">
        <v>6902</v>
      </c>
      <c r="F2177" s="184"/>
      <c r="G2177" s="184"/>
      <c r="H2177" s="184"/>
      <c r="I2177" s="184"/>
      <c r="J2177" s="184"/>
      <c r="K2177" s="184"/>
      <c r="L2177" s="184"/>
      <c r="M2177" s="184" t="s">
        <v>6903</v>
      </c>
      <c r="N2177" s="184"/>
      <c r="O2177" s="184"/>
    </row>
    <row r="2178" customFormat="false" ht="27.75" hidden="false" customHeight="true" outlineLevel="0" collapsed="false">
      <c r="A2178" s="184" t="s">
        <v>6936</v>
      </c>
      <c r="B2178" s="184" t="s">
        <v>4925</v>
      </c>
      <c r="C2178" s="184" t="n">
        <v>93</v>
      </c>
      <c r="D2178" s="184" t="s">
        <v>4790</v>
      </c>
      <c r="E2178" s="184" t="s">
        <v>6904</v>
      </c>
      <c r="F2178" s="184"/>
      <c r="G2178" s="184"/>
      <c r="H2178" s="184"/>
      <c r="I2178" s="184"/>
      <c r="J2178" s="184"/>
      <c r="K2178" s="184"/>
      <c r="L2178" s="184"/>
      <c r="M2178" s="184" t="s">
        <v>6905</v>
      </c>
      <c r="N2178" s="184"/>
      <c r="O2178" s="184"/>
    </row>
    <row r="2179" customFormat="false" ht="27.75" hidden="false" customHeight="true" outlineLevel="0" collapsed="false">
      <c r="A2179" s="184" t="s">
        <v>6936</v>
      </c>
      <c r="B2179" s="184" t="s">
        <v>4925</v>
      </c>
      <c r="C2179" s="184" t="n">
        <v>94</v>
      </c>
      <c r="D2179" s="184" t="s">
        <v>4790</v>
      </c>
      <c r="E2179" s="184" t="s">
        <v>6906</v>
      </c>
      <c r="F2179" s="184"/>
      <c r="G2179" s="184"/>
      <c r="H2179" s="184"/>
      <c r="I2179" s="184"/>
      <c r="J2179" s="184"/>
      <c r="K2179" s="184"/>
      <c r="L2179" s="184"/>
      <c r="M2179" s="184" t="s">
        <v>6907</v>
      </c>
      <c r="N2179" s="184"/>
      <c r="O2179" s="184"/>
    </row>
    <row r="2180" customFormat="false" ht="27.75" hidden="false" customHeight="true" outlineLevel="0" collapsed="false">
      <c r="A2180" s="184" t="s">
        <v>6936</v>
      </c>
      <c r="B2180" s="184" t="s">
        <v>4925</v>
      </c>
      <c r="C2180" s="184" t="n">
        <v>95</v>
      </c>
      <c r="D2180" s="184" t="s">
        <v>4790</v>
      </c>
      <c r="E2180" s="184" t="s">
        <v>6908</v>
      </c>
      <c r="F2180" s="184"/>
      <c r="G2180" s="184"/>
      <c r="H2180" s="184"/>
      <c r="I2180" s="184"/>
      <c r="J2180" s="184"/>
      <c r="K2180" s="184"/>
      <c r="L2180" s="184"/>
      <c r="M2180" s="184" t="s">
        <v>6909</v>
      </c>
      <c r="N2180" s="184"/>
      <c r="O2180" s="184"/>
    </row>
    <row r="2181" customFormat="false" ht="27.75" hidden="false" customHeight="true" outlineLevel="0" collapsed="false">
      <c r="A2181" s="184" t="s">
        <v>6936</v>
      </c>
      <c r="B2181" s="184" t="s">
        <v>4925</v>
      </c>
      <c r="C2181" s="184" t="n">
        <v>96</v>
      </c>
      <c r="D2181" s="184" t="s">
        <v>4790</v>
      </c>
      <c r="E2181" s="184" t="s">
        <v>6912</v>
      </c>
      <c r="F2181" s="184"/>
      <c r="G2181" s="184"/>
      <c r="H2181" s="184"/>
      <c r="I2181" s="184"/>
      <c r="J2181" s="184"/>
      <c r="K2181" s="184"/>
      <c r="L2181" s="184"/>
      <c r="M2181" s="184" t="s">
        <v>6913</v>
      </c>
      <c r="N2181" s="184"/>
      <c r="O2181" s="184"/>
    </row>
    <row r="2182" customFormat="false" ht="27.75" hidden="false" customHeight="true" outlineLevel="0" collapsed="false">
      <c r="A2182" s="184" t="s">
        <v>6936</v>
      </c>
      <c r="B2182" s="184" t="s">
        <v>4925</v>
      </c>
      <c r="C2182" s="184" t="n">
        <v>97</v>
      </c>
      <c r="D2182" s="184" t="s">
        <v>4790</v>
      </c>
      <c r="E2182" s="184" t="s">
        <v>6914</v>
      </c>
      <c r="F2182" s="184"/>
      <c r="G2182" s="184"/>
      <c r="H2182" s="184"/>
      <c r="I2182" s="184"/>
      <c r="J2182" s="184"/>
      <c r="K2182" s="184"/>
      <c r="L2182" s="184"/>
      <c r="M2182" s="184" t="s">
        <v>6915</v>
      </c>
      <c r="N2182" s="184"/>
      <c r="O2182" s="184"/>
    </row>
    <row r="2183" customFormat="false" ht="27.75" hidden="false" customHeight="true" outlineLevel="0" collapsed="false">
      <c r="A2183" s="184" t="s">
        <v>6936</v>
      </c>
      <c r="B2183" s="184" t="s">
        <v>4925</v>
      </c>
      <c r="C2183" s="184" t="n">
        <v>98</v>
      </c>
      <c r="D2183" s="184" t="s">
        <v>4790</v>
      </c>
      <c r="E2183" s="184" t="s">
        <v>6918</v>
      </c>
      <c r="F2183" s="184"/>
      <c r="G2183" s="184"/>
      <c r="H2183" s="184"/>
      <c r="I2183" s="184"/>
      <c r="J2183" s="184"/>
      <c r="K2183" s="184"/>
      <c r="L2183" s="184"/>
      <c r="M2183" s="184" t="s">
        <v>6919</v>
      </c>
      <c r="N2183" s="184"/>
      <c r="O2183" s="184"/>
    </row>
    <row r="2184" customFormat="false" ht="27.75" hidden="false" customHeight="true" outlineLevel="0" collapsed="false">
      <c r="A2184" s="184" t="s">
        <v>6936</v>
      </c>
      <c r="B2184" s="184" t="s">
        <v>4925</v>
      </c>
      <c r="C2184" s="184" t="n">
        <v>99</v>
      </c>
      <c r="D2184" s="184" t="s">
        <v>4790</v>
      </c>
      <c r="E2184" s="184" t="s">
        <v>6920</v>
      </c>
      <c r="F2184" s="184"/>
      <c r="G2184" s="184"/>
      <c r="H2184" s="184"/>
      <c r="I2184" s="184"/>
      <c r="J2184" s="184"/>
      <c r="K2184" s="184"/>
      <c r="L2184" s="184"/>
      <c r="M2184" s="184" t="s">
        <v>6921</v>
      </c>
      <c r="N2184" s="184"/>
      <c r="O2184" s="184"/>
    </row>
    <row r="2185" customFormat="false" ht="27.75" hidden="false" customHeight="true" outlineLevel="0" collapsed="false">
      <c r="A2185" s="184" t="s">
        <v>6936</v>
      </c>
      <c r="B2185" s="184" t="s">
        <v>4925</v>
      </c>
      <c r="C2185" s="184" t="n">
        <v>100</v>
      </c>
      <c r="D2185" s="184" t="s">
        <v>4790</v>
      </c>
      <c r="E2185" s="184" t="s">
        <v>6922</v>
      </c>
      <c r="F2185" s="184"/>
      <c r="G2185" s="184"/>
      <c r="H2185" s="184"/>
      <c r="I2185" s="184"/>
      <c r="J2185" s="184"/>
      <c r="K2185" s="184"/>
      <c r="L2185" s="184"/>
      <c r="M2185" s="184" t="s">
        <v>6923</v>
      </c>
      <c r="N2185" s="184"/>
      <c r="O2185" s="184"/>
    </row>
    <row r="2186" customFormat="false" ht="27.75" hidden="false" customHeight="true" outlineLevel="0" collapsed="false">
      <c r="A2186" s="184" t="s">
        <v>6936</v>
      </c>
      <c r="B2186" s="184" t="s">
        <v>4925</v>
      </c>
      <c r="C2186" s="184" t="n">
        <v>101</v>
      </c>
      <c r="D2186" s="184" t="s">
        <v>4790</v>
      </c>
      <c r="E2186" s="184" t="s">
        <v>6924</v>
      </c>
      <c r="F2186" s="184"/>
      <c r="G2186" s="184"/>
      <c r="H2186" s="184"/>
      <c r="I2186" s="184"/>
      <c r="J2186" s="184"/>
      <c r="K2186" s="184"/>
      <c r="L2186" s="184"/>
      <c r="M2186" s="184" t="s">
        <v>6925</v>
      </c>
      <c r="N2186" s="184"/>
      <c r="O2186" s="184"/>
    </row>
    <row r="2187" customFormat="false" ht="27.75" hidden="false" customHeight="true" outlineLevel="0" collapsed="false">
      <c r="A2187" s="184" t="s">
        <v>6936</v>
      </c>
      <c r="B2187" s="184" t="s">
        <v>4925</v>
      </c>
      <c r="C2187" s="184" t="n">
        <v>102</v>
      </c>
      <c r="D2187" s="184" t="s">
        <v>4790</v>
      </c>
      <c r="E2187" s="184" t="s">
        <v>6926</v>
      </c>
      <c r="F2187" s="184"/>
      <c r="G2187" s="184"/>
      <c r="H2187" s="184"/>
      <c r="I2187" s="184"/>
      <c r="J2187" s="184"/>
      <c r="K2187" s="184"/>
      <c r="L2187" s="184"/>
      <c r="M2187" s="184" t="s">
        <v>6927</v>
      </c>
      <c r="N2187" s="184"/>
      <c r="O2187" s="184"/>
    </row>
    <row r="2188" customFormat="false" ht="27.75" hidden="false" customHeight="true" outlineLevel="0" collapsed="false">
      <c r="A2188" s="184" t="s">
        <v>6936</v>
      </c>
      <c r="B2188" s="184" t="s">
        <v>4925</v>
      </c>
      <c r="C2188" s="184" t="n">
        <v>103</v>
      </c>
      <c r="D2188" s="184" t="s">
        <v>4790</v>
      </c>
      <c r="E2188" s="184" t="s">
        <v>6928</v>
      </c>
      <c r="F2188" s="184"/>
      <c r="G2188" s="184"/>
      <c r="H2188" s="184"/>
      <c r="I2188" s="184"/>
      <c r="J2188" s="184"/>
      <c r="K2188" s="184"/>
      <c r="L2188" s="184"/>
      <c r="M2188" s="184" t="s">
        <v>6929</v>
      </c>
      <c r="N2188" s="184"/>
      <c r="O2188" s="184"/>
    </row>
    <row r="2189" customFormat="false" ht="27.75" hidden="false" customHeight="true" outlineLevel="0" collapsed="false">
      <c r="A2189" s="184" t="s">
        <v>6936</v>
      </c>
      <c r="B2189" s="184" t="s">
        <v>4925</v>
      </c>
      <c r="C2189" s="184" t="n">
        <v>104</v>
      </c>
      <c r="D2189" s="184" t="s">
        <v>4790</v>
      </c>
      <c r="E2189" s="184" t="s">
        <v>6930</v>
      </c>
      <c r="F2189" s="184"/>
      <c r="G2189" s="184"/>
      <c r="H2189" s="184"/>
      <c r="I2189" s="184"/>
      <c r="J2189" s="184"/>
      <c r="K2189" s="184"/>
      <c r="L2189" s="184"/>
      <c r="M2189" s="184" t="s">
        <v>6931</v>
      </c>
      <c r="N2189" s="184"/>
      <c r="O2189" s="184"/>
    </row>
    <row r="2190" customFormat="false" ht="27.75" hidden="false" customHeight="true" outlineLevel="0" collapsed="false">
      <c r="A2190" s="184" t="s">
        <v>6936</v>
      </c>
      <c r="B2190" s="184" t="s">
        <v>4925</v>
      </c>
      <c r="C2190" s="184" t="n">
        <v>105</v>
      </c>
      <c r="D2190" s="177" t="s">
        <v>6298</v>
      </c>
      <c r="E2190" s="184" t="s">
        <v>6961</v>
      </c>
      <c r="F2190" s="184"/>
      <c r="G2190" s="184"/>
      <c r="H2190" s="184"/>
      <c r="I2190" s="184"/>
      <c r="J2190" s="184"/>
      <c r="K2190" s="184"/>
      <c r="L2190" s="184"/>
      <c r="M2190" s="184"/>
      <c r="N2190" s="184"/>
      <c r="O2190" s="184"/>
    </row>
    <row r="2191" customFormat="false" ht="27.75" hidden="false" customHeight="true" outlineLevel="0" collapsed="false">
      <c r="A2191" s="184" t="s">
        <v>6936</v>
      </c>
      <c r="B2191" s="184" t="s">
        <v>4925</v>
      </c>
      <c r="C2191" s="184" t="n">
        <v>106</v>
      </c>
      <c r="D2191" s="178" t="s">
        <v>5269</v>
      </c>
      <c r="E2191" s="184" t="s">
        <v>6932</v>
      </c>
      <c r="F2191" s="184"/>
      <c r="G2191" s="184"/>
      <c r="H2191" s="184"/>
      <c r="I2191" s="184"/>
      <c r="J2191" s="184"/>
      <c r="K2191" s="184"/>
      <c r="L2191" s="184"/>
      <c r="M2191" s="184" t="s">
        <v>6962</v>
      </c>
      <c r="N2191" s="184"/>
      <c r="O2191" s="184"/>
    </row>
    <row r="2192" customFormat="false" ht="27.75" hidden="false" customHeight="true" outlineLevel="0" collapsed="false">
      <c r="A2192" s="184" t="s">
        <v>6936</v>
      </c>
      <c r="B2192" s="184" t="s">
        <v>4925</v>
      </c>
      <c r="C2192" s="184" t="n">
        <v>107</v>
      </c>
      <c r="D2192" s="178" t="s">
        <v>5269</v>
      </c>
      <c r="E2192" s="184" t="s">
        <v>6934</v>
      </c>
      <c r="F2192" s="184"/>
      <c r="G2192" s="184"/>
      <c r="H2192" s="184"/>
      <c r="I2192" s="184"/>
      <c r="J2192" s="184"/>
      <c r="K2192" s="184"/>
      <c r="L2192" s="184"/>
      <c r="M2192" s="184" t="s">
        <v>6963</v>
      </c>
      <c r="N2192" s="184"/>
      <c r="O2192" s="184"/>
    </row>
    <row r="2193" customFormat="false" ht="15" hidden="false" customHeight="true" outlineLevel="0" collapsed="false">
      <c r="A2193" s="184"/>
      <c r="B2193" s="184"/>
      <c r="C2193" s="184"/>
      <c r="D2193" s="184"/>
      <c r="E2193" s="184"/>
      <c r="F2193" s="184"/>
      <c r="G2193" s="184"/>
      <c r="H2193" s="184"/>
      <c r="I2193" s="184"/>
      <c r="J2193" s="184"/>
      <c r="K2193" s="184"/>
      <c r="L2193" s="184"/>
      <c r="M2193" s="184"/>
      <c r="N2193" s="184"/>
      <c r="O2193" s="184"/>
    </row>
    <row r="2194" customFormat="false" ht="15" hidden="false" customHeight="true" outlineLevel="0" collapsed="false">
      <c r="A2194" s="184"/>
      <c r="B2194" s="184"/>
      <c r="C2194" s="184"/>
      <c r="D2194" s="184"/>
      <c r="E2194" s="184"/>
      <c r="F2194" s="184"/>
      <c r="G2194" s="184"/>
      <c r="H2194" s="184"/>
      <c r="I2194" s="184"/>
      <c r="J2194" s="184"/>
      <c r="K2194" s="184"/>
      <c r="L2194" s="184"/>
      <c r="M2194" s="184"/>
      <c r="N2194" s="184"/>
      <c r="O2194" s="184"/>
    </row>
    <row r="2195" customFormat="false" ht="15" hidden="false" customHeight="true" outlineLevel="0" collapsed="false">
      <c r="A2195" s="184"/>
      <c r="B2195" s="184"/>
      <c r="C2195" s="184"/>
      <c r="D2195" s="184"/>
      <c r="E2195" s="184"/>
      <c r="F2195" s="184"/>
      <c r="G2195" s="184"/>
      <c r="H2195" s="184"/>
      <c r="I2195" s="184"/>
      <c r="J2195" s="184"/>
      <c r="K2195" s="184"/>
      <c r="L2195" s="184"/>
      <c r="M2195" s="184"/>
      <c r="N2195" s="184"/>
      <c r="O2195" s="184"/>
    </row>
    <row r="2196" customFormat="false" ht="15" hidden="false" customHeight="true" outlineLevel="0" collapsed="false">
      <c r="A2196" s="184"/>
      <c r="B2196" s="184"/>
      <c r="C2196" s="184"/>
      <c r="D2196" s="184"/>
      <c r="E2196" s="184"/>
      <c r="F2196" s="184"/>
      <c r="G2196" s="184"/>
      <c r="H2196" s="184"/>
      <c r="I2196" s="184"/>
      <c r="J2196" s="184"/>
      <c r="K2196" s="184"/>
      <c r="L2196" s="184"/>
      <c r="M2196" s="184"/>
      <c r="N2196" s="184"/>
      <c r="O2196" s="184"/>
    </row>
    <row r="2197" customFormat="false" ht="15" hidden="false" customHeight="true" outlineLevel="0" collapsed="false">
      <c r="A2197" s="184"/>
      <c r="B2197" s="184"/>
      <c r="C2197" s="184"/>
      <c r="D2197" s="184"/>
      <c r="E2197" s="184"/>
      <c r="F2197" s="184"/>
      <c r="G2197" s="184"/>
      <c r="H2197" s="184"/>
      <c r="I2197" s="184"/>
      <c r="J2197" s="184"/>
      <c r="K2197" s="184"/>
      <c r="L2197" s="184"/>
      <c r="M2197" s="184"/>
      <c r="N2197" s="184"/>
      <c r="O2197" s="184"/>
    </row>
    <row r="2198" customFormat="false" ht="15" hidden="false" customHeight="true" outlineLevel="0" collapsed="false">
      <c r="A2198" s="184"/>
      <c r="B2198" s="184"/>
      <c r="C2198" s="184"/>
      <c r="D2198" s="184"/>
      <c r="E2198" s="184"/>
      <c r="F2198" s="184"/>
      <c r="G2198" s="184"/>
      <c r="H2198" s="184"/>
      <c r="I2198" s="184"/>
      <c r="J2198" s="184"/>
      <c r="K2198" s="184"/>
      <c r="L2198" s="184"/>
      <c r="M2198" s="184"/>
      <c r="N2198" s="184"/>
      <c r="O2198" s="184"/>
    </row>
    <row r="2199" customFormat="false" ht="15" hidden="false" customHeight="true" outlineLevel="0" collapsed="false">
      <c r="A2199" s="184"/>
      <c r="B2199" s="184"/>
      <c r="C2199" s="184"/>
      <c r="D2199" s="184"/>
      <c r="E2199" s="184"/>
      <c r="F2199" s="184"/>
      <c r="G2199" s="184"/>
      <c r="H2199" s="184"/>
      <c r="I2199" s="184"/>
      <c r="J2199" s="184"/>
      <c r="K2199" s="184"/>
      <c r="L2199" s="184"/>
      <c r="M2199" s="184"/>
      <c r="N2199" s="184"/>
      <c r="O2199" s="184"/>
    </row>
    <row r="2200" customFormat="false" ht="15" hidden="false" customHeight="true" outlineLevel="0" collapsed="false">
      <c r="A2200" s="184"/>
      <c r="B2200" s="184"/>
      <c r="C2200" s="184"/>
      <c r="D2200" s="184"/>
      <c r="E2200" s="184"/>
      <c r="F2200" s="184"/>
      <c r="G2200" s="184"/>
      <c r="H2200" s="184"/>
      <c r="I2200" s="184"/>
      <c r="J2200" s="184"/>
      <c r="K2200" s="184"/>
      <c r="L2200" s="184"/>
      <c r="M2200" s="184"/>
      <c r="N2200" s="184"/>
      <c r="O2200" s="184"/>
    </row>
    <row r="2201" customFormat="false" ht="15" hidden="false" customHeight="true" outlineLevel="0" collapsed="false">
      <c r="A2201" s="184"/>
      <c r="B2201" s="184"/>
      <c r="C2201" s="184"/>
      <c r="D2201" s="184"/>
      <c r="E2201" s="184"/>
      <c r="F2201" s="184"/>
      <c r="G2201" s="184"/>
      <c r="H2201" s="184"/>
      <c r="I2201" s="184"/>
      <c r="J2201" s="184"/>
      <c r="K2201" s="184"/>
      <c r="L2201" s="184"/>
      <c r="M2201" s="184"/>
      <c r="N2201" s="184"/>
      <c r="O2201" s="184"/>
    </row>
    <row r="2202" customFormat="false" ht="15" hidden="false" customHeight="true" outlineLevel="0" collapsed="false">
      <c r="A2202" s="184"/>
      <c r="B2202" s="184"/>
      <c r="C2202" s="184"/>
      <c r="D2202" s="184"/>
      <c r="E2202" s="184"/>
      <c r="F2202" s="184"/>
      <c r="G2202" s="184"/>
      <c r="H2202" s="184"/>
      <c r="I2202" s="184"/>
      <c r="J2202" s="184"/>
      <c r="K2202" s="184"/>
      <c r="L2202" s="184"/>
      <c r="M2202" s="184"/>
      <c r="N2202" s="184"/>
      <c r="O2202" s="184"/>
    </row>
    <row r="2203" customFormat="false" ht="15" hidden="false" customHeight="true" outlineLevel="0" collapsed="false">
      <c r="A2203" s="184"/>
      <c r="B2203" s="184"/>
      <c r="C2203" s="184"/>
      <c r="D2203" s="184"/>
      <c r="E2203" s="184"/>
      <c r="F2203" s="184"/>
      <c r="G2203" s="184"/>
      <c r="H2203" s="184"/>
      <c r="I2203" s="184"/>
      <c r="J2203" s="184"/>
      <c r="K2203" s="184"/>
      <c r="L2203" s="184"/>
      <c r="M2203" s="184"/>
      <c r="N2203" s="184"/>
      <c r="O2203" s="184"/>
    </row>
    <row r="2204" customFormat="false" ht="15" hidden="false" customHeight="true" outlineLevel="0" collapsed="false">
      <c r="A2204" s="184"/>
      <c r="B2204" s="184"/>
      <c r="C2204" s="184"/>
      <c r="D2204" s="184"/>
      <c r="E2204" s="184"/>
      <c r="F2204" s="184"/>
      <c r="G2204" s="184"/>
      <c r="H2204" s="184"/>
      <c r="I2204" s="184"/>
      <c r="J2204" s="184"/>
      <c r="K2204" s="184"/>
      <c r="L2204" s="184"/>
      <c r="M2204" s="184"/>
      <c r="N2204" s="184"/>
      <c r="O2204" s="184"/>
    </row>
    <row r="2205" customFormat="false" ht="15" hidden="false" customHeight="true" outlineLevel="0" collapsed="false">
      <c r="A2205" s="184"/>
      <c r="B2205" s="184"/>
      <c r="C2205" s="184"/>
      <c r="D2205" s="184"/>
      <c r="E2205" s="184"/>
      <c r="F2205" s="184"/>
      <c r="G2205" s="184"/>
      <c r="H2205" s="184"/>
      <c r="I2205" s="184"/>
      <c r="J2205" s="184"/>
      <c r="K2205" s="184"/>
      <c r="L2205" s="184"/>
      <c r="M2205" s="184"/>
      <c r="N2205" s="184"/>
      <c r="O2205" s="184"/>
    </row>
    <row r="2206" customFormat="false" ht="15" hidden="false" customHeight="true" outlineLevel="0" collapsed="false">
      <c r="A2206" s="184"/>
      <c r="B2206" s="184"/>
      <c r="C2206" s="184"/>
      <c r="D2206" s="184"/>
      <c r="E2206" s="184"/>
      <c r="F2206" s="184"/>
      <c r="G2206" s="184"/>
      <c r="H2206" s="184"/>
      <c r="I2206" s="184"/>
      <c r="J2206" s="184"/>
      <c r="K2206" s="184"/>
      <c r="L2206" s="184"/>
      <c r="M2206" s="184"/>
      <c r="N2206" s="184"/>
      <c r="O2206" s="184"/>
    </row>
    <row r="2207" customFormat="false" ht="15" hidden="false" customHeight="true" outlineLevel="0" collapsed="false">
      <c r="A2207" s="184"/>
      <c r="B2207" s="184"/>
      <c r="C2207" s="184"/>
      <c r="D2207" s="184"/>
      <c r="E2207" s="184"/>
      <c r="F2207" s="184"/>
      <c r="G2207" s="184"/>
      <c r="H2207" s="184"/>
      <c r="I2207" s="184"/>
      <c r="J2207" s="184"/>
      <c r="K2207" s="184"/>
      <c r="L2207" s="184"/>
      <c r="M2207" s="184"/>
      <c r="N2207" s="184"/>
      <c r="O2207" s="184"/>
    </row>
    <row r="2208" customFormat="false" ht="15" hidden="false" customHeight="true" outlineLevel="0" collapsed="false">
      <c r="A2208" s="184"/>
      <c r="B2208" s="184"/>
      <c r="C2208" s="184"/>
      <c r="D2208" s="184"/>
      <c r="E2208" s="184"/>
      <c r="F2208" s="184"/>
      <c r="G2208" s="184"/>
      <c r="H2208" s="184"/>
      <c r="I2208" s="184"/>
      <c r="J2208" s="184"/>
      <c r="K2208" s="184"/>
      <c r="L2208" s="184"/>
      <c r="M2208" s="184"/>
      <c r="N2208" s="184"/>
      <c r="O2208" s="184"/>
    </row>
    <row r="2209" customFormat="false" ht="15" hidden="false" customHeight="true" outlineLevel="0" collapsed="false">
      <c r="A2209" s="184"/>
      <c r="B2209" s="184"/>
      <c r="C2209" s="184"/>
      <c r="D2209" s="184"/>
      <c r="E2209" s="184"/>
      <c r="F2209" s="184"/>
      <c r="G2209" s="184"/>
      <c r="H2209" s="184"/>
      <c r="I2209" s="184"/>
      <c r="J2209" s="184"/>
      <c r="K2209" s="184"/>
      <c r="L2209" s="184"/>
      <c r="M2209" s="184"/>
      <c r="N2209" s="184"/>
      <c r="O2209" s="184"/>
    </row>
    <row r="2210" customFormat="false" ht="15" hidden="false" customHeight="true" outlineLevel="0" collapsed="false">
      <c r="A2210" s="184"/>
      <c r="B2210" s="184"/>
      <c r="C2210" s="184"/>
      <c r="D2210" s="184"/>
      <c r="E2210" s="184"/>
      <c r="F2210" s="184"/>
      <c r="G2210" s="184"/>
      <c r="H2210" s="184"/>
      <c r="I2210" s="184"/>
      <c r="J2210" s="184"/>
      <c r="K2210" s="184"/>
      <c r="L2210" s="184"/>
      <c r="M2210" s="184"/>
      <c r="N2210" s="184"/>
      <c r="O2210" s="184"/>
    </row>
    <row r="2211" customFormat="false" ht="15" hidden="false" customHeight="true" outlineLevel="0" collapsed="false">
      <c r="A2211" s="184"/>
      <c r="B2211" s="184"/>
      <c r="C2211" s="184"/>
      <c r="D2211" s="184"/>
      <c r="E2211" s="184"/>
      <c r="F2211" s="184"/>
      <c r="G2211" s="184"/>
      <c r="H2211" s="184"/>
      <c r="I2211" s="184"/>
      <c r="J2211" s="184"/>
      <c r="K2211" s="184"/>
      <c r="L2211" s="184"/>
      <c r="M2211" s="184"/>
      <c r="N2211" s="184"/>
      <c r="O2211" s="184"/>
    </row>
    <row r="2212" customFormat="false" ht="15" hidden="false" customHeight="true" outlineLevel="0" collapsed="false">
      <c r="A2212" s="184"/>
      <c r="B2212" s="184"/>
      <c r="C2212" s="184"/>
      <c r="D2212" s="184"/>
      <c r="E2212" s="184"/>
      <c r="F2212" s="184"/>
      <c r="G2212" s="184"/>
      <c r="H2212" s="184"/>
      <c r="I2212" s="184"/>
      <c r="J2212" s="184"/>
      <c r="K2212" s="184"/>
      <c r="L2212" s="184"/>
      <c r="M2212" s="184"/>
      <c r="N2212" s="184"/>
      <c r="O2212" s="184"/>
    </row>
    <row r="2213" customFormat="false" ht="15" hidden="false" customHeight="true" outlineLevel="0" collapsed="false">
      <c r="A2213" s="184"/>
      <c r="B2213" s="184"/>
      <c r="C2213" s="184"/>
      <c r="D2213" s="184"/>
      <c r="E2213" s="184"/>
      <c r="F2213" s="184"/>
      <c r="G2213" s="184"/>
      <c r="H2213" s="184"/>
      <c r="I2213" s="184"/>
      <c r="J2213" s="184"/>
      <c r="K2213" s="184"/>
      <c r="L2213" s="184"/>
      <c r="M2213" s="184"/>
      <c r="N2213" s="184"/>
      <c r="O2213" s="184"/>
    </row>
    <row r="2214" customFormat="false" ht="15" hidden="false" customHeight="true" outlineLevel="0" collapsed="false">
      <c r="A2214" s="184"/>
      <c r="B2214" s="184"/>
      <c r="C2214" s="184"/>
      <c r="D2214" s="184"/>
      <c r="E2214" s="184"/>
      <c r="F2214" s="184"/>
      <c r="G2214" s="184"/>
      <c r="H2214" s="184"/>
      <c r="I2214" s="184"/>
      <c r="J2214" s="184"/>
      <c r="K2214" s="184"/>
      <c r="L2214" s="184"/>
      <c r="M2214" s="184"/>
      <c r="N2214" s="184"/>
      <c r="O2214" s="184"/>
    </row>
    <row r="2215" customFormat="false" ht="15" hidden="false" customHeight="true" outlineLevel="0" collapsed="false">
      <c r="A2215" s="184"/>
      <c r="B2215" s="184"/>
      <c r="C2215" s="184"/>
      <c r="D2215" s="184"/>
      <c r="E2215" s="184"/>
      <c r="F2215" s="184"/>
      <c r="G2215" s="184"/>
      <c r="H2215" s="184"/>
      <c r="I2215" s="184"/>
      <c r="J2215" s="184"/>
      <c r="K2215" s="184"/>
      <c r="L2215" s="184"/>
      <c r="M2215" s="184"/>
      <c r="N2215" s="184"/>
      <c r="O2215" s="184"/>
    </row>
    <row r="2216" customFormat="false" ht="15" hidden="false" customHeight="true" outlineLevel="0" collapsed="false">
      <c r="A2216" s="184"/>
      <c r="B2216" s="184"/>
      <c r="C2216" s="184"/>
      <c r="D2216" s="184"/>
      <c r="E2216" s="184"/>
      <c r="F2216" s="184"/>
      <c r="G2216" s="184"/>
      <c r="H2216" s="184"/>
      <c r="I2216" s="184"/>
      <c r="J2216" s="184"/>
      <c r="K2216" s="184"/>
      <c r="L2216" s="184"/>
      <c r="M2216" s="184"/>
      <c r="N2216" s="184"/>
      <c r="O2216" s="184"/>
    </row>
    <row r="2217" customFormat="false" ht="15" hidden="false" customHeight="true" outlineLevel="0" collapsed="false">
      <c r="A2217" s="184"/>
      <c r="B2217" s="184"/>
      <c r="C2217" s="184"/>
      <c r="D2217" s="184"/>
      <c r="E2217" s="184"/>
      <c r="F2217" s="184"/>
      <c r="G2217" s="184"/>
      <c r="H2217" s="184"/>
      <c r="I2217" s="184"/>
      <c r="J2217" s="184"/>
      <c r="K2217" s="184"/>
      <c r="L2217" s="184"/>
      <c r="M2217" s="184"/>
      <c r="N2217" s="184"/>
      <c r="O2217" s="184"/>
    </row>
    <row r="2218" customFormat="false" ht="15" hidden="false" customHeight="true" outlineLevel="0" collapsed="false">
      <c r="A2218" s="184"/>
      <c r="B2218" s="184"/>
      <c r="C2218" s="184"/>
      <c r="D2218" s="184"/>
      <c r="E2218" s="184"/>
      <c r="F2218" s="184"/>
      <c r="G2218" s="184"/>
      <c r="H2218" s="184"/>
      <c r="I2218" s="184"/>
      <c r="J2218" s="184"/>
      <c r="K2218" s="184"/>
      <c r="L2218" s="184"/>
      <c r="M2218" s="184"/>
      <c r="N2218" s="184"/>
      <c r="O2218" s="184"/>
    </row>
    <row r="2219" customFormat="false" ht="15" hidden="false" customHeight="true" outlineLevel="0" collapsed="false">
      <c r="A2219" s="184"/>
      <c r="B2219" s="184"/>
      <c r="C2219" s="184"/>
      <c r="D2219" s="184"/>
      <c r="E2219" s="184"/>
      <c r="F2219" s="184"/>
      <c r="G2219" s="184"/>
      <c r="H2219" s="184"/>
      <c r="I2219" s="184"/>
      <c r="J2219" s="184"/>
      <c r="K2219" s="184"/>
      <c r="L2219" s="184"/>
      <c r="M2219" s="184"/>
      <c r="N2219" s="184"/>
      <c r="O2219" s="184"/>
    </row>
    <row r="2220" customFormat="false" ht="15" hidden="false" customHeight="true" outlineLevel="0" collapsed="false">
      <c r="A2220" s="184"/>
      <c r="B2220" s="184"/>
      <c r="C2220" s="184"/>
      <c r="D2220" s="184"/>
      <c r="E2220" s="184"/>
      <c r="F2220" s="184"/>
      <c r="G2220" s="184"/>
      <c r="H2220" s="184"/>
      <c r="I2220" s="184"/>
      <c r="J2220" s="184"/>
      <c r="K2220" s="184"/>
      <c r="L2220" s="184"/>
      <c r="M2220" s="184"/>
      <c r="N2220" s="184"/>
      <c r="O2220" s="184"/>
    </row>
    <row r="2221" customFormat="false" ht="15" hidden="false" customHeight="true" outlineLevel="0" collapsed="false">
      <c r="A2221" s="184"/>
      <c r="B2221" s="184"/>
      <c r="C2221" s="184"/>
      <c r="D2221" s="184"/>
      <c r="E2221" s="184"/>
      <c r="F2221" s="184"/>
      <c r="G2221" s="184"/>
      <c r="H2221" s="184"/>
      <c r="I2221" s="184"/>
      <c r="J2221" s="184"/>
      <c r="K2221" s="184"/>
      <c r="L2221" s="184"/>
      <c r="M2221" s="184"/>
      <c r="N2221" s="184"/>
      <c r="O2221" s="184"/>
    </row>
    <row r="2222" customFormat="false" ht="15" hidden="false" customHeight="true" outlineLevel="0" collapsed="false">
      <c r="A2222" s="184"/>
      <c r="B2222" s="184"/>
      <c r="C2222" s="184"/>
      <c r="D2222" s="184"/>
      <c r="E2222" s="184"/>
      <c r="F2222" s="184"/>
      <c r="G2222" s="184"/>
      <c r="H2222" s="184"/>
      <c r="I2222" s="184"/>
      <c r="J2222" s="184"/>
      <c r="K2222" s="184"/>
      <c r="L2222" s="184"/>
      <c r="M2222" s="184"/>
      <c r="N2222" s="184"/>
      <c r="O2222" s="184"/>
    </row>
    <row r="2223" customFormat="false" ht="15" hidden="false" customHeight="true" outlineLevel="0" collapsed="false">
      <c r="A2223" s="184"/>
      <c r="B2223" s="184"/>
      <c r="C2223" s="184"/>
      <c r="D2223" s="184"/>
      <c r="E2223" s="184"/>
      <c r="F2223" s="184"/>
      <c r="G2223" s="184"/>
      <c r="H2223" s="184"/>
      <c r="I2223" s="184"/>
      <c r="J2223" s="184"/>
      <c r="K2223" s="184"/>
      <c r="L2223" s="184"/>
      <c r="M2223" s="184"/>
      <c r="N2223" s="184"/>
      <c r="O2223" s="184"/>
    </row>
    <row r="2224" customFormat="false" ht="15" hidden="false" customHeight="true" outlineLevel="0" collapsed="false">
      <c r="A2224" s="184"/>
      <c r="B2224" s="184"/>
      <c r="C2224" s="184"/>
      <c r="D2224" s="184"/>
      <c r="E2224" s="184"/>
      <c r="F2224" s="184"/>
      <c r="G2224" s="184"/>
      <c r="H2224" s="184"/>
      <c r="I2224" s="184"/>
      <c r="J2224" s="184"/>
      <c r="K2224" s="184"/>
      <c r="L2224" s="184"/>
      <c r="M2224" s="184"/>
      <c r="N2224" s="184"/>
      <c r="O2224" s="184"/>
    </row>
    <row r="2225" customFormat="false" ht="15" hidden="false" customHeight="true" outlineLevel="0" collapsed="false">
      <c r="A2225" s="184"/>
      <c r="B2225" s="184"/>
      <c r="C2225" s="184"/>
      <c r="D2225" s="184"/>
      <c r="E2225" s="184"/>
      <c r="F2225" s="184"/>
      <c r="G2225" s="184"/>
      <c r="H2225" s="184"/>
      <c r="I2225" s="184"/>
      <c r="J2225" s="184"/>
      <c r="K2225" s="184"/>
      <c r="L2225" s="184"/>
      <c r="M2225" s="184"/>
      <c r="N2225" s="184"/>
      <c r="O2225" s="184"/>
    </row>
    <row r="2226" customFormat="false" ht="15" hidden="false" customHeight="true" outlineLevel="0" collapsed="false">
      <c r="A2226" s="184"/>
      <c r="B2226" s="184"/>
      <c r="C2226" s="184"/>
      <c r="D2226" s="184"/>
      <c r="E2226" s="184"/>
      <c r="F2226" s="184"/>
      <c r="G2226" s="184"/>
      <c r="H2226" s="184"/>
      <c r="I2226" s="184"/>
      <c r="J2226" s="184"/>
      <c r="K2226" s="184"/>
      <c r="L2226" s="184"/>
      <c r="M2226" s="184"/>
      <c r="N2226" s="184"/>
      <c r="O2226" s="184"/>
    </row>
    <row r="2227" customFormat="false" ht="15" hidden="false" customHeight="true" outlineLevel="0" collapsed="false">
      <c r="A2227" s="184"/>
      <c r="B2227" s="184"/>
      <c r="C2227" s="184"/>
      <c r="D2227" s="184"/>
      <c r="E2227" s="184"/>
      <c r="F2227" s="184"/>
      <c r="G2227" s="184"/>
      <c r="H2227" s="184"/>
      <c r="I2227" s="184"/>
      <c r="J2227" s="184"/>
      <c r="K2227" s="184"/>
      <c r="L2227" s="184"/>
      <c r="M2227" s="184"/>
      <c r="N2227" s="184"/>
      <c r="O2227" s="184"/>
    </row>
    <row r="2228" customFormat="false" ht="15" hidden="false" customHeight="true" outlineLevel="0" collapsed="false">
      <c r="A2228" s="184"/>
      <c r="B2228" s="184"/>
      <c r="C2228" s="184"/>
      <c r="D2228" s="184"/>
      <c r="E2228" s="184"/>
      <c r="F2228" s="184"/>
      <c r="G2228" s="184"/>
      <c r="H2228" s="184"/>
      <c r="I2228" s="184"/>
      <c r="J2228" s="184"/>
      <c r="K2228" s="184"/>
      <c r="L2228" s="184"/>
      <c r="M2228" s="184"/>
      <c r="N2228" s="184"/>
      <c r="O2228" s="184"/>
    </row>
    <row r="2229" customFormat="false" ht="15" hidden="false" customHeight="true" outlineLevel="0" collapsed="false">
      <c r="A2229" s="184"/>
      <c r="B2229" s="184"/>
      <c r="C2229" s="184"/>
      <c r="D2229" s="184"/>
      <c r="E2229" s="184"/>
      <c r="F2229" s="184"/>
      <c r="G2229" s="184"/>
      <c r="H2229" s="184"/>
      <c r="I2229" s="184"/>
      <c r="J2229" s="184"/>
      <c r="K2229" s="184"/>
      <c r="L2229" s="184"/>
      <c r="M2229" s="184"/>
      <c r="N2229" s="184"/>
      <c r="O2229" s="184"/>
    </row>
    <row r="2230" customFormat="false" ht="15" hidden="false" customHeight="true" outlineLevel="0" collapsed="false">
      <c r="A2230" s="184"/>
      <c r="B2230" s="184"/>
      <c r="C2230" s="184"/>
      <c r="D2230" s="184"/>
      <c r="E2230" s="184"/>
      <c r="F2230" s="184"/>
      <c r="G2230" s="184"/>
      <c r="H2230" s="184"/>
      <c r="I2230" s="184"/>
      <c r="J2230" s="184"/>
      <c r="K2230" s="184"/>
      <c r="L2230" s="184"/>
      <c r="M2230" s="184"/>
      <c r="N2230" s="184"/>
      <c r="O2230" s="184"/>
    </row>
    <row r="2231" customFormat="false" ht="15" hidden="false" customHeight="true" outlineLevel="0" collapsed="false">
      <c r="A2231" s="184"/>
      <c r="B2231" s="184"/>
      <c r="C2231" s="184"/>
      <c r="D2231" s="184"/>
      <c r="E2231" s="184"/>
      <c r="F2231" s="184"/>
      <c r="G2231" s="184"/>
      <c r="H2231" s="184"/>
      <c r="I2231" s="184"/>
      <c r="J2231" s="184"/>
      <c r="K2231" s="184"/>
      <c r="L2231" s="184"/>
      <c r="M2231" s="184"/>
      <c r="N2231" s="184"/>
      <c r="O2231" s="184"/>
    </row>
    <row r="2232" customFormat="false" ht="15" hidden="false" customHeight="true" outlineLevel="0" collapsed="false">
      <c r="A2232" s="184"/>
      <c r="B2232" s="184"/>
      <c r="C2232" s="184"/>
      <c r="D2232" s="184"/>
      <c r="E2232" s="184"/>
      <c r="F2232" s="184"/>
      <c r="G2232" s="184"/>
      <c r="H2232" s="184"/>
      <c r="I2232" s="184"/>
      <c r="J2232" s="184"/>
      <c r="K2232" s="184"/>
      <c r="L2232" s="184"/>
      <c r="M2232" s="184"/>
      <c r="N2232" s="184"/>
      <c r="O2232" s="184"/>
    </row>
    <row r="2233" customFormat="false" ht="15" hidden="false" customHeight="true" outlineLevel="0" collapsed="false">
      <c r="A2233" s="184"/>
      <c r="B2233" s="184"/>
      <c r="C2233" s="184"/>
      <c r="D2233" s="184"/>
      <c r="E2233" s="184"/>
      <c r="F2233" s="184"/>
      <c r="G2233" s="184"/>
      <c r="H2233" s="184"/>
      <c r="I2233" s="184"/>
      <c r="J2233" s="184"/>
      <c r="K2233" s="184"/>
      <c r="L2233" s="184"/>
      <c r="M2233" s="184"/>
      <c r="N2233" s="184"/>
      <c r="O2233" s="184"/>
    </row>
    <row r="2234" customFormat="false" ht="15" hidden="false" customHeight="true" outlineLevel="0" collapsed="false">
      <c r="A2234" s="184"/>
      <c r="B2234" s="184"/>
      <c r="C2234" s="184"/>
      <c r="D2234" s="184"/>
      <c r="E2234" s="184"/>
      <c r="F2234" s="184"/>
      <c r="G2234" s="184"/>
      <c r="H2234" s="184"/>
      <c r="I2234" s="184"/>
      <c r="J2234" s="184"/>
      <c r="K2234" s="184"/>
      <c r="L2234" s="184"/>
      <c r="M2234" s="184"/>
      <c r="N2234" s="184"/>
      <c r="O2234" s="184"/>
    </row>
    <row r="2235" customFormat="false" ht="15" hidden="false" customHeight="true" outlineLevel="0" collapsed="false">
      <c r="A2235" s="184"/>
      <c r="B2235" s="184"/>
      <c r="C2235" s="184"/>
      <c r="D2235" s="184"/>
      <c r="E2235" s="184"/>
      <c r="F2235" s="184"/>
      <c r="G2235" s="184"/>
      <c r="H2235" s="184"/>
      <c r="I2235" s="184"/>
      <c r="J2235" s="184"/>
      <c r="K2235" s="184"/>
      <c r="L2235" s="184"/>
      <c r="M2235" s="184"/>
      <c r="N2235" s="184"/>
      <c r="O2235" s="184"/>
    </row>
    <row r="2236" customFormat="false" ht="15" hidden="false" customHeight="true" outlineLevel="0" collapsed="false">
      <c r="A2236" s="184"/>
      <c r="B2236" s="184"/>
      <c r="C2236" s="184"/>
      <c r="D2236" s="184"/>
      <c r="E2236" s="184"/>
      <c r="F2236" s="184"/>
      <c r="G2236" s="184"/>
      <c r="H2236" s="184"/>
      <c r="I2236" s="184"/>
      <c r="J2236" s="184"/>
      <c r="K2236" s="184"/>
      <c r="L2236" s="184"/>
      <c r="M2236" s="184"/>
      <c r="N2236" s="184"/>
      <c r="O2236" s="184"/>
    </row>
    <row r="2237" customFormat="false" ht="15" hidden="false" customHeight="true" outlineLevel="0" collapsed="false">
      <c r="A2237" s="184"/>
      <c r="B2237" s="184"/>
      <c r="C2237" s="184"/>
      <c r="D2237" s="184"/>
      <c r="E2237" s="184"/>
      <c r="F2237" s="184"/>
      <c r="G2237" s="184"/>
      <c r="H2237" s="184"/>
      <c r="I2237" s="184"/>
      <c r="J2237" s="184"/>
      <c r="K2237" s="184"/>
      <c r="L2237" s="184"/>
      <c r="M2237" s="184"/>
      <c r="N2237" s="184"/>
      <c r="O2237" s="184"/>
    </row>
    <row r="2238" customFormat="false" ht="15" hidden="false" customHeight="true" outlineLevel="0" collapsed="false">
      <c r="A2238" s="184"/>
      <c r="B2238" s="184"/>
      <c r="C2238" s="184"/>
      <c r="D2238" s="184"/>
      <c r="E2238" s="184"/>
      <c r="F2238" s="184"/>
      <c r="G2238" s="184"/>
      <c r="H2238" s="184"/>
      <c r="I2238" s="184"/>
      <c r="J2238" s="184"/>
      <c r="K2238" s="184"/>
      <c r="L2238" s="184"/>
      <c r="M2238" s="184"/>
      <c r="N2238" s="184"/>
      <c r="O2238" s="184"/>
    </row>
    <row r="2239" customFormat="false" ht="15" hidden="false" customHeight="true" outlineLevel="0" collapsed="false">
      <c r="A2239" s="184"/>
      <c r="B2239" s="184"/>
      <c r="C2239" s="184"/>
      <c r="D2239" s="184"/>
      <c r="E2239" s="184"/>
      <c r="F2239" s="184"/>
      <c r="G2239" s="184"/>
      <c r="H2239" s="184"/>
      <c r="I2239" s="184"/>
      <c r="J2239" s="184"/>
      <c r="K2239" s="184"/>
      <c r="L2239" s="184"/>
      <c r="M2239" s="184"/>
      <c r="N2239" s="184"/>
      <c r="O2239" s="184"/>
    </row>
    <row r="2240" customFormat="false" ht="15" hidden="false" customHeight="true" outlineLevel="0" collapsed="false">
      <c r="A2240" s="184"/>
      <c r="B2240" s="184"/>
      <c r="C2240" s="184"/>
      <c r="D2240" s="184"/>
      <c r="E2240" s="184"/>
      <c r="F2240" s="184"/>
      <c r="G2240" s="184"/>
      <c r="H2240" s="184"/>
      <c r="I2240" s="184"/>
      <c r="J2240" s="184"/>
      <c r="K2240" s="184"/>
      <c r="L2240" s="184"/>
      <c r="M2240" s="184"/>
      <c r="N2240" s="184"/>
      <c r="O2240" s="184"/>
    </row>
    <row r="2241" customFormat="false" ht="15" hidden="false" customHeight="true" outlineLevel="0" collapsed="false">
      <c r="A2241" s="184"/>
      <c r="B2241" s="184"/>
      <c r="C2241" s="184"/>
      <c r="D2241" s="184"/>
      <c r="E2241" s="184"/>
      <c r="F2241" s="184"/>
      <c r="G2241" s="184"/>
      <c r="H2241" s="184"/>
      <c r="I2241" s="184"/>
      <c r="J2241" s="184"/>
      <c r="K2241" s="184"/>
      <c r="L2241" s="184"/>
      <c r="M2241" s="184"/>
      <c r="N2241" s="184"/>
      <c r="O2241" s="184"/>
    </row>
    <row r="2242" customFormat="false" ht="15" hidden="false" customHeight="true" outlineLevel="0" collapsed="false">
      <c r="A2242" s="184"/>
      <c r="B2242" s="184"/>
      <c r="C2242" s="184"/>
      <c r="D2242" s="184"/>
      <c r="E2242" s="184"/>
      <c r="F2242" s="184"/>
      <c r="G2242" s="184"/>
      <c r="H2242" s="184"/>
      <c r="I2242" s="184"/>
      <c r="J2242" s="184"/>
      <c r="K2242" s="184"/>
      <c r="L2242" s="184"/>
      <c r="M2242" s="184"/>
      <c r="N2242" s="184"/>
      <c r="O2242" s="184"/>
    </row>
    <row r="2243" customFormat="false" ht="15" hidden="false" customHeight="true" outlineLevel="0" collapsed="false">
      <c r="A2243" s="184"/>
      <c r="B2243" s="184"/>
      <c r="C2243" s="184"/>
      <c r="D2243" s="184"/>
      <c r="E2243" s="184"/>
      <c r="F2243" s="184"/>
      <c r="G2243" s="184"/>
      <c r="H2243" s="184"/>
      <c r="I2243" s="184"/>
      <c r="J2243" s="184"/>
      <c r="K2243" s="184"/>
      <c r="L2243" s="184"/>
      <c r="M2243" s="184"/>
      <c r="N2243" s="184"/>
      <c r="O2243" s="184"/>
    </row>
    <row r="2244" customFormat="false" ht="15" hidden="false" customHeight="true" outlineLevel="0" collapsed="false">
      <c r="A2244" s="184"/>
      <c r="B2244" s="184"/>
      <c r="C2244" s="184"/>
      <c r="D2244" s="184"/>
      <c r="E2244" s="184"/>
      <c r="F2244" s="184"/>
      <c r="G2244" s="184"/>
      <c r="H2244" s="184"/>
      <c r="I2244" s="184"/>
      <c r="J2244" s="184"/>
      <c r="K2244" s="184"/>
      <c r="L2244" s="184"/>
      <c r="M2244" s="184"/>
      <c r="N2244" s="184"/>
      <c r="O2244" s="184"/>
    </row>
    <row r="2245" customFormat="false" ht="15" hidden="false" customHeight="true" outlineLevel="0" collapsed="false">
      <c r="A2245" s="184"/>
      <c r="B2245" s="184"/>
      <c r="C2245" s="184"/>
      <c r="D2245" s="184"/>
      <c r="E2245" s="184"/>
      <c r="F2245" s="184"/>
      <c r="G2245" s="184"/>
      <c r="H2245" s="184"/>
      <c r="I2245" s="184"/>
      <c r="J2245" s="184"/>
      <c r="K2245" s="184"/>
      <c r="L2245" s="184"/>
      <c r="M2245" s="184"/>
      <c r="N2245" s="184"/>
      <c r="O2245" s="184"/>
    </row>
    <row r="2246" customFormat="false" ht="15" hidden="false" customHeight="true" outlineLevel="0" collapsed="false">
      <c r="A2246" s="184"/>
      <c r="B2246" s="184"/>
      <c r="C2246" s="184"/>
      <c r="D2246" s="184"/>
      <c r="E2246" s="184"/>
      <c r="F2246" s="184"/>
      <c r="G2246" s="184"/>
      <c r="H2246" s="184"/>
      <c r="I2246" s="184"/>
      <c r="J2246" s="184"/>
      <c r="K2246" s="184"/>
      <c r="L2246" s="184"/>
      <c r="M2246" s="184"/>
      <c r="N2246" s="184"/>
      <c r="O2246" s="184"/>
    </row>
    <row r="2247" customFormat="false" ht="15" hidden="false" customHeight="true" outlineLevel="0" collapsed="false">
      <c r="A2247" s="184"/>
      <c r="B2247" s="184"/>
      <c r="C2247" s="184"/>
      <c r="D2247" s="184"/>
      <c r="E2247" s="184"/>
      <c r="F2247" s="184"/>
      <c r="G2247" s="184"/>
      <c r="H2247" s="184"/>
      <c r="I2247" s="184"/>
      <c r="J2247" s="184"/>
      <c r="K2247" s="184"/>
      <c r="L2247" s="184"/>
      <c r="M2247" s="184"/>
      <c r="N2247" s="184"/>
      <c r="O2247" s="184"/>
    </row>
    <row r="2248" customFormat="false" ht="15" hidden="false" customHeight="true" outlineLevel="0" collapsed="false">
      <c r="A2248" s="184"/>
      <c r="B2248" s="184"/>
      <c r="C2248" s="184"/>
      <c r="D2248" s="184"/>
      <c r="E2248" s="184"/>
      <c r="F2248" s="184"/>
      <c r="G2248" s="184"/>
      <c r="H2248" s="184"/>
      <c r="I2248" s="184"/>
      <c r="J2248" s="184"/>
      <c r="K2248" s="184"/>
      <c r="L2248" s="184"/>
      <c r="M2248" s="184"/>
      <c r="N2248" s="184"/>
      <c r="O2248" s="184"/>
    </row>
    <row r="2249" customFormat="false" ht="15" hidden="false" customHeight="true" outlineLevel="0" collapsed="false">
      <c r="A2249" s="184"/>
      <c r="B2249" s="184"/>
      <c r="C2249" s="184"/>
      <c r="D2249" s="184"/>
      <c r="E2249" s="184"/>
      <c r="F2249" s="184"/>
      <c r="G2249" s="184"/>
      <c r="H2249" s="184"/>
      <c r="I2249" s="184"/>
      <c r="J2249" s="184"/>
      <c r="K2249" s="184"/>
      <c r="L2249" s="184"/>
      <c r="M2249" s="184"/>
      <c r="N2249" s="184"/>
      <c r="O2249" s="184"/>
    </row>
    <row r="2250" customFormat="false" ht="15" hidden="false" customHeight="true" outlineLevel="0" collapsed="false">
      <c r="A2250" s="184"/>
      <c r="B2250" s="184"/>
      <c r="C2250" s="184"/>
      <c r="D2250" s="184"/>
      <c r="E2250" s="184"/>
      <c r="F2250" s="184"/>
      <c r="G2250" s="184"/>
      <c r="H2250" s="184"/>
      <c r="I2250" s="184"/>
      <c r="J2250" s="184"/>
      <c r="K2250" s="184"/>
      <c r="L2250" s="184"/>
      <c r="M2250" s="184"/>
      <c r="N2250" s="184"/>
      <c r="O2250" s="184"/>
    </row>
    <row r="2251" customFormat="false" ht="15" hidden="false" customHeight="true" outlineLevel="0" collapsed="false">
      <c r="A2251" s="184"/>
      <c r="B2251" s="184"/>
      <c r="C2251" s="184"/>
      <c r="D2251" s="184"/>
      <c r="E2251" s="184"/>
      <c r="F2251" s="184"/>
      <c r="G2251" s="184"/>
      <c r="H2251" s="184"/>
      <c r="I2251" s="184"/>
      <c r="J2251" s="184"/>
      <c r="K2251" s="184"/>
      <c r="L2251" s="184"/>
      <c r="M2251" s="184"/>
      <c r="N2251" s="184"/>
      <c r="O2251" s="184"/>
    </row>
    <row r="2252" customFormat="false" ht="15" hidden="false" customHeight="true" outlineLevel="0" collapsed="false">
      <c r="A2252" s="184"/>
      <c r="B2252" s="184"/>
      <c r="C2252" s="184"/>
      <c r="D2252" s="184"/>
      <c r="E2252" s="184"/>
      <c r="F2252" s="184"/>
      <c r="G2252" s="184"/>
      <c r="H2252" s="184"/>
      <c r="I2252" s="184"/>
      <c r="J2252" s="184"/>
      <c r="K2252" s="184"/>
      <c r="L2252" s="184"/>
      <c r="M2252" s="184"/>
      <c r="N2252" s="184"/>
      <c r="O2252" s="184"/>
    </row>
    <row r="2253" customFormat="false" ht="15" hidden="false" customHeight="true" outlineLevel="0" collapsed="false">
      <c r="A2253" s="184"/>
      <c r="B2253" s="184"/>
      <c r="C2253" s="184"/>
      <c r="D2253" s="184"/>
      <c r="E2253" s="184"/>
      <c r="F2253" s="184"/>
      <c r="G2253" s="184"/>
      <c r="H2253" s="184"/>
      <c r="I2253" s="184"/>
      <c r="J2253" s="184"/>
      <c r="K2253" s="184"/>
      <c r="L2253" s="184"/>
      <c r="M2253" s="184"/>
      <c r="N2253" s="184"/>
      <c r="O2253" s="184"/>
    </row>
    <row r="2254" customFormat="false" ht="15" hidden="false" customHeight="true" outlineLevel="0" collapsed="false">
      <c r="A2254" s="184"/>
      <c r="B2254" s="184"/>
      <c r="C2254" s="184"/>
      <c r="D2254" s="184"/>
      <c r="E2254" s="184"/>
      <c r="F2254" s="184"/>
      <c r="G2254" s="184"/>
      <c r="H2254" s="184"/>
      <c r="I2254" s="184"/>
      <c r="J2254" s="184"/>
      <c r="K2254" s="184"/>
      <c r="L2254" s="184"/>
      <c r="M2254" s="184"/>
      <c r="N2254" s="184"/>
      <c r="O2254" s="184"/>
    </row>
    <row r="2255" customFormat="false" ht="15" hidden="false" customHeight="true" outlineLevel="0" collapsed="false">
      <c r="A2255" s="184"/>
      <c r="B2255" s="184"/>
      <c r="C2255" s="184"/>
      <c r="D2255" s="184"/>
      <c r="E2255" s="184"/>
      <c r="F2255" s="184"/>
      <c r="G2255" s="184"/>
      <c r="H2255" s="184"/>
      <c r="I2255" s="184"/>
      <c r="J2255" s="184"/>
      <c r="K2255" s="184"/>
      <c r="L2255" s="184"/>
      <c r="M2255" s="184"/>
      <c r="N2255" s="184"/>
      <c r="O2255" s="184"/>
    </row>
    <row r="2256" customFormat="false" ht="15" hidden="false" customHeight="true" outlineLevel="0" collapsed="false">
      <c r="A2256" s="184"/>
      <c r="B2256" s="184"/>
      <c r="C2256" s="184"/>
      <c r="D2256" s="184"/>
      <c r="E2256" s="184"/>
      <c r="F2256" s="184"/>
      <c r="G2256" s="184"/>
      <c r="H2256" s="184"/>
      <c r="I2256" s="184"/>
      <c r="J2256" s="184"/>
      <c r="K2256" s="184"/>
      <c r="L2256" s="184"/>
      <c r="M2256" s="184"/>
      <c r="N2256" s="184"/>
      <c r="O2256" s="184"/>
    </row>
    <row r="2257" customFormat="false" ht="15" hidden="false" customHeight="true" outlineLevel="0" collapsed="false">
      <c r="A2257" s="184"/>
      <c r="B2257" s="184"/>
      <c r="C2257" s="184"/>
      <c r="D2257" s="184"/>
      <c r="E2257" s="184"/>
      <c r="F2257" s="184"/>
      <c r="G2257" s="184"/>
      <c r="H2257" s="184"/>
      <c r="I2257" s="184"/>
      <c r="J2257" s="184"/>
      <c r="K2257" s="184"/>
      <c r="L2257" s="184"/>
      <c r="M2257" s="184"/>
      <c r="N2257" s="184"/>
      <c r="O2257" s="184"/>
    </row>
    <row r="2258" customFormat="false" ht="15" hidden="false" customHeight="true" outlineLevel="0" collapsed="false">
      <c r="A2258" s="184"/>
      <c r="B2258" s="184"/>
      <c r="C2258" s="184"/>
      <c r="D2258" s="184"/>
      <c r="E2258" s="184"/>
      <c r="F2258" s="184"/>
      <c r="G2258" s="184"/>
      <c r="H2258" s="184"/>
      <c r="I2258" s="184"/>
      <c r="J2258" s="184"/>
      <c r="K2258" s="184"/>
      <c r="L2258" s="184"/>
      <c r="M2258" s="184"/>
      <c r="N2258" s="184"/>
      <c r="O2258" s="184"/>
    </row>
    <row r="2259" customFormat="false" ht="15" hidden="false" customHeight="true" outlineLevel="0" collapsed="false">
      <c r="A2259" s="184"/>
      <c r="B2259" s="184"/>
      <c r="C2259" s="184"/>
      <c r="D2259" s="184"/>
      <c r="E2259" s="184"/>
      <c r="F2259" s="184"/>
      <c r="G2259" s="184"/>
      <c r="H2259" s="184"/>
      <c r="I2259" s="184"/>
      <c r="J2259" s="184"/>
      <c r="K2259" s="184"/>
      <c r="L2259" s="184"/>
      <c r="M2259" s="184"/>
      <c r="N2259" s="184"/>
      <c r="O2259" s="184"/>
    </row>
    <row r="2260" customFormat="false" ht="15" hidden="false" customHeight="true" outlineLevel="0" collapsed="false">
      <c r="A2260" s="184"/>
      <c r="B2260" s="184"/>
      <c r="C2260" s="184"/>
      <c r="D2260" s="184"/>
      <c r="E2260" s="184"/>
      <c r="F2260" s="184"/>
      <c r="G2260" s="184"/>
      <c r="H2260" s="184"/>
      <c r="I2260" s="184"/>
      <c r="J2260" s="184"/>
      <c r="K2260" s="184"/>
      <c r="L2260" s="184"/>
      <c r="M2260" s="184"/>
      <c r="N2260" s="184"/>
      <c r="O2260" s="184"/>
    </row>
    <row r="2261" customFormat="false" ht="15" hidden="false" customHeight="true" outlineLevel="0" collapsed="false">
      <c r="A2261" s="184"/>
      <c r="B2261" s="184"/>
      <c r="C2261" s="184"/>
      <c r="D2261" s="184"/>
      <c r="E2261" s="184"/>
      <c r="F2261" s="184"/>
      <c r="G2261" s="184"/>
      <c r="H2261" s="184"/>
      <c r="I2261" s="184"/>
      <c r="J2261" s="184"/>
      <c r="K2261" s="184"/>
      <c r="L2261" s="184"/>
      <c r="M2261" s="184"/>
      <c r="N2261" s="184"/>
      <c r="O2261" s="184"/>
    </row>
    <row r="2262" customFormat="false" ht="15" hidden="false" customHeight="true" outlineLevel="0" collapsed="false">
      <c r="A2262" s="184"/>
      <c r="B2262" s="184"/>
      <c r="C2262" s="184"/>
      <c r="D2262" s="184"/>
      <c r="E2262" s="184"/>
      <c r="F2262" s="184"/>
      <c r="G2262" s="184"/>
      <c r="H2262" s="184"/>
      <c r="I2262" s="184"/>
      <c r="J2262" s="184"/>
      <c r="K2262" s="184"/>
      <c r="L2262" s="184"/>
      <c r="M2262" s="184"/>
      <c r="N2262" s="184"/>
      <c r="O2262" s="184"/>
    </row>
    <row r="2263" customFormat="false" ht="15" hidden="false" customHeight="true" outlineLevel="0" collapsed="false">
      <c r="A2263" s="184"/>
      <c r="B2263" s="184"/>
      <c r="C2263" s="184"/>
      <c r="D2263" s="184"/>
      <c r="E2263" s="184"/>
      <c r="F2263" s="184"/>
      <c r="G2263" s="184"/>
      <c r="H2263" s="184"/>
      <c r="I2263" s="184"/>
      <c r="J2263" s="184"/>
      <c r="K2263" s="184"/>
      <c r="L2263" s="184"/>
      <c r="M2263" s="184"/>
      <c r="N2263" s="184"/>
      <c r="O2263" s="184"/>
    </row>
    <row r="2264" customFormat="false" ht="15" hidden="false" customHeight="true" outlineLevel="0" collapsed="false">
      <c r="A2264" s="184"/>
      <c r="B2264" s="184"/>
      <c r="C2264" s="184"/>
      <c r="D2264" s="184"/>
      <c r="E2264" s="184"/>
      <c r="F2264" s="184"/>
      <c r="G2264" s="184"/>
      <c r="H2264" s="184"/>
      <c r="I2264" s="184"/>
      <c r="J2264" s="184"/>
      <c r="K2264" s="184"/>
      <c r="L2264" s="184"/>
      <c r="M2264" s="184"/>
      <c r="N2264" s="184"/>
      <c r="O2264" s="184"/>
    </row>
    <row r="2265" customFormat="false" ht="15" hidden="false" customHeight="true" outlineLevel="0" collapsed="false">
      <c r="A2265" s="184"/>
      <c r="B2265" s="184"/>
      <c r="C2265" s="184"/>
      <c r="D2265" s="184"/>
      <c r="E2265" s="184"/>
      <c r="F2265" s="184"/>
      <c r="G2265" s="184"/>
      <c r="H2265" s="184"/>
      <c r="I2265" s="184"/>
      <c r="J2265" s="184"/>
      <c r="K2265" s="184"/>
      <c r="L2265" s="184"/>
      <c r="M2265" s="184"/>
      <c r="N2265" s="184"/>
      <c r="O2265" s="184"/>
    </row>
    <row r="2266" customFormat="false" ht="15" hidden="false" customHeight="true" outlineLevel="0" collapsed="false">
      <c r="A2266" s="184"/>
      <c r="B2266" s="184"/>
      <c r="C2266" s="184"/>
      <c r="D2266" s="184"/>
      <c r="E2266" s="184"/>
      <c r="F2266" s="184"/>
      <c r="G2266" s="184"/>
      <c r="H2266" s="184"/>
      <c r="I2266" s="184"/>
      <c r="J2266" s="184"/>
      <c r="K2266" s="184"/>
      <c r="L2266" s="184"/>
      <c r="M2266" s="184"/>
      <c r="N2266" s="184"/>
      <c r="O2266" s="184"/>
    </row>
    <row r="2267" customFormat="false" ht="15" hidden="false" customHeight="true" outlineLevel="0" collapsed="false">
      <c r="A2267" s="184"/>
      <c r="B2267" s="184"/>
      <c r="C2267" s="184"/>
      <c r="D2267" s="184"/>
      <c r="E2267" s="184"/>
      <c r="F2267" s="184"/>
      <c r="G2267" s="184"/>
      <c r="H2267" s="184"/>
      <c r="I2267" s="184"/>
      <c r="J2267" s="184"/>
      <c r="K2267" s="184"/>
      <c r="L2267" s="184"/>
      <c r="M2267" s="184"/>
      <c r="N2267" s="184"/>
      <c r="O2267" s="184"/>
    </row>
    <row r="2268" customFormat="false" ht="15" hidden="false" customHeight="true" outlineLevel="0" collapsed="false">
      <c r="A2268" s="184"/>
      <c r="B2268" s="184"/>
      <c r="C2268" s="184"/>
      <c r="D2268" s="184"/>
      <c r="E2268" s="184"/>
      <c r="F2268" s="184"/>
      <c r="G2268" s="184"/>
      <c r="H2268" s="184"/>
      <c r="I2268" s="184"/>
      <c r="J2268" s="184"/>
      <c r="K2268" s="184"/>
      <c r="L2268" s="184"/>
      <c r="M2268" s="184"/>
      <c r="N2268" s="184"/>
      <c r="O2268" s="184"/>
    </row>
    <row r="2269" customFormat="false" ht="15" hidden="false" customHeight="true" outlineLevel="0" collapsed="false">
      <c r="A2269" s="184"/>
      <c r="B2269" s="184"/>
      <c r="C2269" s="184"/>
      <c r="D2269" s="184"/>
      <c r="E2269" s="184"/>
      <c r="F2269" s="184"/>
      <c r="G2269" s="184"/>
      <c r="H2269" s="184"/>
      <c r="I2269" s="184"/>
      <c r="J2269" s="184"/>
      <c r="K2269" s="184"/>
      <c r="L2269" s="184"/>
      <c r="M2269" s="184"/>
      <c r="N2269" s="184"/>
      <c r="O2269" s="184"/>
    </row>
    <row r="2270" customFormat="false" ht="15" hidden="false" customHeight="true" outlineLevel="0" collapsed="false">
      <c r="A2270" s="184"/>
      <c r="B2270" s="184"/>
      <c r="C2270" s="184"/>
      <c r="D2270" s="184"/>
      <c r="E2270" s="184"/>
      <c r="F2270" s="184"/>
      <c r="G2270" s="184"/>
      <c r="H2270" s="184"/>
      <c r="I2270" s="184"/>
      <c r="J2270" s="184"/>
      <c r="K2270" s="184"/>
      <c r="L2270" s="184"/>
      <c r="M2270" s="184"/>
      <c r="N2270" s="184"/>
      <c r="O2270" s="184"/>
    </row>
    <row r="2271" customFormat="false" ht="15" hidden="false" customHeight="true" outlineLevel="0" collapsed="false">
      <c r="A2271" s="184"/>
      <c r="B2271" s="184"/>
      <c r="C2271" s="184"/>
      <c r="D2271" s="184"/>
      <c r="E2271" s="184"/>
      <c r="F2271" s="184"/>
      <c r="G2271" s="184"/>
      <c r="H2271" s="184"/>
      <c r="I2271" s="184"/>
      <c r="J2271" s="184"/>
      <c r="K2271" s="184"/>
      <c r="L2271" s="184"/>
      <c r="M2271" s="184"/>
      <c r="N2271" s="184"/>
      <c r="O2271" s="184"/>
    </row>
    <row r="2272" customFormat="false" ht="15" hidden="false" customHeight="true" outlineLevel="0" collapsed="false">
      <c r="A2272" s="184"/>
      <c r="B2272" s="184"/>
      <c r="C2272" s="184"/>
      <c r="D2272" s="184"/>
      <c r="E2272" s="184"/>
      <c r="F2272" s="184"/>
      <c r="G2272" s="184"/>
      <c r="H2272" s="184"/>
      <c r="I2272" s="184"/>
      <c r="J2272" s="184"/>
      <c r="K2272" s="184"/>
      <c r="L2272" s="184"/>
      <c r="M2272" s="184"/>
      <c r="N2272" s="184"/>
      <c r="O2272" s="184"/>
    </row>
    <row r="2273" customFormat="false" ht="15" hidden="false" customHeight="true" outlineLevel="0" collapsed="false">
      <c r="A2273" s="184"/>
      <c r="B2273" s="184"/>
      <c r="C2273" s="184"/>
      <c r="D2273" s="184"/>
      <c r="E2273" s="184"/>
      <c r="F2273" s="184"/>
      <c r="G2273" s="184"/>
      <c r="H2273" s="184"/>
      <c r="I2273" s="184"/>
      <c r="J2273" s="184"/>
      <c r="K2273" s="184"/>
      <c r="L2273" s="184"/>
      <c r="M2273" s="184"/>
      <c r="N2273" s="184"/>
      <c r="O2273" s="184"/>
    </row>
    <row r="2274" customFormat="false" ht="15" hidden="false" customHeight="true" outlineLevel="0" collapsed="false">
      <c r="A2274" s="184"/>
      <c r="B2274" s="184"/>
      <c r="C2274" s="184"/>
      <c r="D2274" s="184"/>
      <c r="E2274" s="184"/>
      <c r="F2274" s="184"/>
      <c r="G2274" s="184"/>
      <c r="H2274" s="184"/>
      <c r="I2274" s="184"/>
      <c r="J2274" s="184"/>
      <c r="K2274" s="184"/>
      <c r="L2274" s="184"/>
      <c r="M2274" s="184"/>
      <c r="N2274" s="184"/>
      <c r="O2274" s="184"/>
    </row>
    <row r="2275" customFormat="false" ht="15" hidden="false" customHeight="true" outlineLevel="0" collapsed="false">
      <c r="A2275" s="184"/>
      <c r="B2275" s="184"/>
      <c r="C2275" s="184"/>
      <c r="D2275" s="184"/>
      <c r="E2275" s="184"/>
      <c r="F2275" s="184"/>
      <c r="G2275" s="184"/>
      <c r="H2275" s="184"/>
      <c r="I2275" s="184"/>
      <c r="J2275" s="184"/>
      <c r="K2275" s="184"/>
      <c r="L2275" s="184"/>
      <c r="M2275" s="184"/>
      <c r="N2275" s="184"/>
      <c r="O2275" s="184"/>
    </row>
    <row r="2276" customFormat="false" ht="15" hidden="false" customHeight="true" outlineLevel="0" collapsed="false">
      <c r="A2276" s="184"/>
      <c r="B2276" s="184"/>
      <c r="C2276" s="184"/>
      <c r="D2276" s="184"/>
      <c r="E2276" s="184"/>
      <c r="F2276" s="184"/>
      <c r="G2276" s="184"/>
      <c r="H2276" s="184"/>
      <c r="I2276" s="184"/>
      <c r="J2276" s="184"/>
      <c r="K2276" s="184"/>
      <c r="L2276" s="184"/>
      <c r="M2276" s="184"/>
      <c r="N2276" s="184"/>
      <c r="O2276" s="184"/>
    </row>
    <row r="2277" customFormat="false" ht="15" hidden="false" customHeight="true" outlineLevel="0" collapsed="false">
      <c r="A2277" s="184"/>
      <c r="B2277" s="184"/>
      <c r="C2277" s="184"/>
      <c r="D2277" s="184"/>
      <c r="E2277" s="184"/>
      <c r="F2277" s="184"/>
      <c r="G2277" s="184"/>
      <c r="H2277" s="184"/>
      <c r="I2277" s="184"/>
      <c r="J2277" s="184"/>
      <c r="K2277" s="184"/>
      <c r="L2277" s="184"/>
      <c r="M2277" s="184"/>
      <c r="N2277" s="184"/>
      <c r="O2277" s="184"/>
    </row>
    <row r="2278" customFormat="false" ht="15" hidden="false" customHeight="true" outlineLevel="0" collapsed="false">
      <c r="A2278" s="184"/>
      <c r="B2278" s="184"/>
      <c r="C2278" s="184"/>
      <c r="D2278" s="184"/>
      <c r="E2278" s="184"/>
      <c r="F2278" s="184"/>
      <c r="G2278" s="184"/>
      <c r="H2278" s="184"/>
      <c r="I2278" s="184"/>
      <c r="J2278" s="184"/>
      <c r="K2278" s="184"/>
      <c r="L2278" s="184"/>
      <c r="M2278" s="184"/>
      <c r="N2278" s="184"/>
      <c r="O2278" s="184"/>
    </row>
    <row r="2279" customFormat="false" ht="15" hidden="false" customHeight="true" outlineLevel="0" collapsed="false">
      <c r="A2279" s="184"/>
      <c r="B2279" s="184"/>
      <c r="C2279" s="184"/>
      <c r="D2279" s="184"/>
      <c r="E2279" s="184"/>
      <c r="F2279" s="184"/>
      <c r="G2279" s="184"/>
      <c r="H2279" s="184"/>
      <c r="I2279" s="184"/>
      <c r="J2279" s="184"/>
      <c r="K2279" s="184"/>
      <c r="L2279" s="184"/>
      <c r="M2279" s="184"/>
      <c r="N2279" s="184"/>
      <c r="O2279" s="184"/>
    </row>
    <row r="2280" customFormat="false" ht="15" hidden="false" customHeight="true" outlineLevel="0" collapsed="false">
      <c r="A2280" s="184"/>
      <c r="B2280" s="184"/>
      <c r="C2280" s="184"/>
      <c r="D2280" s="184"/>
      <c r="E2280" s="184"/>
      <c r="F2280" s="184"/>
      <c r="G2280" s="184"/>
      <c r="H2280" s="184"/>
      <c r="I2280" s="184"/>
      <c r="J2280" s="184"/>
      <c r="K2280" s="184"/>
      <c r="L2280" s="184"/>
      <c r="M2280" s="184"/>
      <c r="N2280" s="184"/>
      <c r="O2280" s="184"/>
    </row>
    <row r="2281" customFormat="false" ht="15" hidden="false" customHeight="true" outlineLevel="0" collapsed="false">
      <c r="A2281" s="184"/>
      <c r="B2281" s="184"/>
      <c r="C2281" s="184"/>
      <c r="D2281" s="184"/>
      <c r="E2281" s="184"/>
      <c r="F2281" s="184"/>
      <c r="G2281" s="184"/>
      <c r="H2281" s="184"/>
      <c r="I2281" s="184"/>
      <c r="J2281" s="184"/>
      <c r="K2281" s="184"/>
      <c r="L2281" s="184"/>
      <c r="M2281" s="184"/>
      <c r="N2281" s="184"/>
      <c r="O2281" s="184"/>
    </row>
    <row r="2282" customFormat="false" ht="15" hidden="false" customHeight="true" outlineLevel="0" collapsed="false">
      <c r="A2282" s="184"/>
      <c r="B2282" s="184"/>
      <c r="C2282" s="184"/>
      <c r="D2282" s="184"/>
      <c r="E2282" s="184"/>
      <c r="F2282" s="184"/>
      <c r="G2282" s="184"/>
      <c r="H2282" s="184"/>
      <c r="I2282" s="184"/>
      <c r="J2282" s="184"/>
      <c r="K2282" s="184"/>
      <c r="L2282" s="184"/>
      <c r="M2282" s="184"/>
      <c r="N2282" s="184"/>
      <c r="O2282" s="184"/>
    </row>
    <row r="2283" customFormat="false" ht="15" hidden="false" customHeight="true" outlineLevel="0" collapsed="false">
      <c r="A2283" s="184"/>
      <c r="B2283" s="184"/>
      <c r="C2283" s="184"/>
      <c r="D2283" s="184"/>
      <c r="E2283" s="184"/>
      <c r="F2283" s="184"/>
      <c r="G2283" s="184"/>
      <c r="H2283" s="184"/>
      <c r="I2283" s="184"/>
      <c r="J2283" s="184"/>
      <c r="K2283" s="184"/>
      <c r="L2283" s="184"/>
      <c r="M2283" s="184"/>
      <c r="N2283" s="184"/>
      <c r="O2283" s="184"/>
    </row>
    <row r="2284" customFormat="false" ht="15" hidden="false" customHeight="true" outlineLevel="0" collapsed="false">
      <c r="A2284" s="184"/>
      <c r="B2284" s="184"/>
      <c r="C2284" s="184"/>
      <c r="D2284" s="184"/>
      <c r="E2284" s="184"/>
      <c r="F2284" s="184"/>
      <c r="G2284" s="184"/>
      <c r="H2284" s="184"/>
      <c r="I2284" s="184"/>
      <c r="J2284" s="184"/>
      <c r="K2284" s="184"/>
      <c r="L2284" s="184"/>
      <c r="M2284" s="184"/>
      <c r="N2284" s="184"/>
      <c r="O2284" s="184"/>
    </row>
    <row r="2285" customFormat="false" ht="15" hidden="false" customHeight="true" outlineLevel="0" collapsed="false">
      <c r="A2285" s="184"/>
      <c r="B2285" s="184"/>
      <c r="C2285" s="184"/>
      <c r="D2285" s="184"/>
      <c r="E2285" s="184"/>
      <c r="F2285" s="184"/>
      <c r="G2285" s="184"/>
      <c r="H2285" s="184"/>
      <c r="I2285" s="184"/>
      <c r="J2285" s="184"/>
      <c r="K2285" s="184"/>
      <c r="L2285" s="184"/>
      <c r="M2285" s="184"/>
      <c r="N2285" s="184"/>
      <c r="O2285" s="184"/>
    </row>
    <row r="2286" customFormat="false" ht="15" hidden="false" customHeight="true" outlineLevel="0" collapsed="false">
      <c r="A2286" s="184"/>
      <c r="B2286" s="184"/>
      <c r="C2286" s="184"/>
      <c r="D2286" s="184"/>
      <c r="E2286" s="184"/>
      <c r="F2286" s="184"/>
      <c r="G2286" s="184"/>
      <c r="H2286" s="184"/>
      <c r="I2286" s="184"/>
      <c r="J2286" s="184"/>
      <c r="K2286" s="184"/>
      <c r="L2286" s="184"/>
      <c r="M2286" s="184"/>
      <c r="N2286" s="184"/>
      <c r="O2286" s="184"/>
    </row>
    <row r="2287" customFormat="false" ht="15" hidden="false" customHeight="true" outlineLevel="0" collapsed="false">
      <c r="A2287" s="184"/>
      <c r="B2287" s="184"/>
      <c r="C2287" s="184"/>
      <c r="D2287" s="184"/>
      <c r="E2287" s="184"/>
      <c r="F2287" s="184"/>
      <c r="G2287" s="184"/>
      <c r="H2287" s="184"/>
      <c r="I2287" s="184"/>
      <c r="J2287" s="184"/>
      <c r="K2287" s="184"/>
      <c r="L2287" s="184"/>
      <c r="M2287" s="184"/>
      <c r="N2287" s="184"/>
      <c r="O2287" s="184"/>
    </row>
    <row r="2288" customFormat="false" ht="15" hidden="false" customHeight="true" outlineLevel="0" collapsed="false">
      <c r="A2288" s="184"/>
      <c r="B2288" s="184"/>
      <c r="C2288" s="184"/>
      <c r="D2288" s="184"/>
      <c r="E2288" s="184"/>
      <c r="F2288" s="184"/>
      <c r="G2288" s="184"/>
      <c r="H2288" s="184"/>
      <c r="I2288" s="184"/>
      <c r="J2288" s="184"/>
      <c r="K2288" s="184"/>
      <c r="L2288" s="184"/>
      <c r="M2288" s="184"/>
      <c r="N2288" s="184"/>
      <c r="O2288" s="184"/>
    </row>
    <row r="2289" customFormat="false" ht="15" hidden="false" customHeight="true" outlineLevel="0" collapsed="false">
      <c r="A2289" s="184"/>
      <c r="B2289" s="184"/>
      <c r="C2289" s="184"/>
      <c r="D2289" s="184"/>
      <c r="E2289" s="184"/>
      <c r="F2289" s="184"/>
      <c r="G2289" s="184"/>
      <c r="H2289" s="184"/>
      <c r="I2289" s="184"/>
      <c r="J2289" s="184"/>
      <c r="K2289" s="184"/>
      <c r="L2289" s="184"/>
      <c r="M2289" s="184"/>
      <c r="N2289" s="184"/>
      <c r="O2289" s="184"/>
    </row>
    <row r="2290" customFormat="false" ht="15" hidden="false" customHeight="true" outlineLevel="0" collapsed="false">
      <c r="A2290" s="184"/>
      <c r="B2290" s="184"/>
      <c r="C2290" s="184"/>
      <c r="D2290" s="184"/>
      <c r="E2290" s="184"/>
      <c r="F2290" s="184"/>
      <c r="G2290" s="184"/>
      <c r="H2290" s="184"/>
      <c r="I2290" s="184"/>
      <c r="J2290" s="184"/>
      <c r="K2290" s="184"/>
      <c r="L2290" s="184"/>
      <c r="M2290" s="184"/>
      <c r="N2290" s="184"/>
      <c r="O2290" s="184"/>
    </row>
    <row r="2291" customFormat="false" ht="15" hidden="false" customHeight="true" outlineLevel="0" collapsed="false">
      <c r="A2291" s="184"/>
      <c r="B2291" s="184"/>
      <c r="C2291" s="184"/>
      <c r="D2291" s="184"/>
      <c r="E2291" s="184"/>
      <c r="F2291" s="184"/>
      <c r="G2291" s="184"/>
      <c r="H2291" s="184"/>
      <c r="I2291" s="184"/>
      <c r="J2291" s="184"/>
      <c r="K2291" s="184"/>
      <c r="L2291" s="184"/>
      <c r="M2291" s="184"/>
      <c r="N2291" s="184"/>
      <c r="O2291" s="184"/>
    </row>
    <row r="2292" customFormat="false" ht="15" hidden="false" customHeight="true" outlineLevel="0" collapsed="false">
      <c r="A2292" s="184"/>
      <c r="B2292" s="184"/>
      <c r="C2292" s="184"/>
      <c r="D2292" s="184"/>
      <c r="E2292" s="184"/>
      <c r="F2292" s="184"/>
      <c r="G2292" s="184"/>
      <c r="H2292" s="184"/>
      <c r="I2292" s="184"/>
      <c r="J2292" s="184"/>
      <c r="K2292" s="184"/>
      <c r="L2292" s="184"/>
      <c r="M2292" s="184"/>
      <c r="N2292" s="184"/>
      <c r="O2292" s="184"/>
    </row>
    <row r="2293" customFormat="false" ht="15" hidden="false" customHeight="true" outlineLevel="0" collapsed="false">
      <c r="A2293" s="184"/>
      <c r="B2293" s="184"/>
      <c r="C2293" s="184"/>
      <c r="D2293" s="184"/>
      <c r="E2293" s="184"/>
      <c r="F2293" s="184"/>
      <c r="G2293" s="184"/>
      <c r="H2293" s="184"/>
      <c r="I2293" s="184"/>
      <c r="J2293" s="184"/>
      <c r="K2293" s="184"/>
      <c r="L2293" s="184"/>
      <c r="M2293" s="184"/>
      <c r="N2293" s="184"/>
      <c r="O2293" s="184"/>
    </row>
    <row r="2294" customFormat="false" ht="15" hidden="false" customHeight="true" outlineLevel="0" collapsed="false">
      <c r="A2294" s="184"/>
      <c r="B2294" s="184"/>
      <c r="C2294" s="184"/>
      <c r="D2294" s="184"/>
      <c r="E2294" s="184"/>
      <c r="F2294" s="184"/>
      <c r="G2294" s="184"/>
      <c r="H2294" s="184"/>
      <c r="I2294" s="184"/>
      <c r="J2294" s="184"/>
      <c r="K2294" s="184"/>
      <c r="L2294" s="184"/>
      <c r="M2294" s="184"/>
      <c r="N2294" s="184"/>
      <c r="O2294" s="184"/>
    </row>
    <row r="2295" customFormat="false" ht="15" hidden="false" customHeight="true" outlineLevel="0" collapsed="false">
      <c r="A2295" s="184"/>
      <c r="B2295" s="184"/>
      <c r="C2295" s="184"/>
      <c r="D2295" s="184"/>
      <c r="E2295" s="184"/>
      <c r="F2295" s="184"/>
      <c r="G2295" s="184"/>
      <c r="H2295" s="184"/>
      <c r="I2295" s="184"/>
      <c r="J2295" s="184"/>
      <c r="K2295" s="184"/>
      <c r="L2295" s="184"/>
      <c r="M2295" s="184"/>
      <c r="N2295" s="184"/>
      <c r="O2295" s="184"/>
    </row>
    <row r="2296" customFormat="false" ht="15" hidden="false" customHeight="true" outlineLevel="0" collapsed="false">
      <c r="A2296" s="184"/>
      <c r="B2296" s="184"/>
      <c r="C2296" s="184"/>
      <c r="D2296" s="184"/>
      <c r="E2296" s="184"/>
      <c r="F2296" s="184"/>
      <c r="G2296" s="184"/>
      <c r="H2296" s="184"/>
      <c r="I2296" s="184"/>
      <c r="J2296" s="184"/>
      <c r="K2296" s="184"/>
      <c r="L2296" s="184"/>
      <c r="M2296" s="184"/>
      <c r="N2296" s="184"/>
      <c r="O2296" s="184"/>
    </row>
    <row r="2297" customFormat="false" ht="15" hidden="false" customHeight="true" outlineLevel="0" collapsed="false">
      <c r="A2297" s="184"/>
      <c r="B2297" s="184"/>
      <c r="C2297" s="184"/>
      <c r="D2297" s="184"/>
      <c r="E2297" s="184"/>
      <c r="F2297" s="184"/>
      <c r="G2297" s="184"/>
      <c r="H2297" s="184"/>
      <c r="I2297" s="184"/>
      <c r="J2297" s="184"/>
      <c r="K2297" s="184"/>
      <c r="L2297" s="184"/>
      <c r="M2297" s="184"/>
      <c r="N2297" s="184"/>
      <c r="O2297" s="184"/>
    </row>
    <row r="2298" customFormat="false" ht="15" hidden="false" customHeight="true" outlineLevel="0" collapsed="false">
      <c r="A2298" s="184"/>
      <c r="B2298" s="184"/>
      <c r="C2298" s="184"/>
      <c r="D2298" s="184"/>
      <c r="E2298" s="184"/>
      <c r="F2298" s="184"/>
      <c r="G2298" s="184"/>
      <c r="H2298" s="184"/>
      <c r="I2298" s="184"/>
      <c r="J2298" s="184"/>
      <c r="K2298" s="184"/>
      <c r="L2298" s="184"/>
      <c r="M2298" s="184"/>
      <c r="N2298" s="184"/>
      <c r="O2298" s="184"/>
    </row>
    <row r="2299" customFormat="false" ht="15" hidden="false" customHeight="true" outlineLevel="0" collapsed="false">
      <c r="A2299" s="184"/>
      <c r="B2299" s="184"/>
      <c r="C2299" s="184"/>
      <c r="D2299" s="184"/>
      <c r="E2299" s="184"/>
      <c r="F2299" s="184"/>
      <c r="G2299" s="184"/>
      <c r="H2299" s="184"/>
      <c r="I2299" s="184"/>
      <c r="J2299" s="184"/>
      <c r="K2299" s="184"/>
      <c r="L2299" s="184"/>
      <c r="M2299" s="184"/>
      <c r="N2299" s="184"/>
      <c r="O2299" s="184"/>
    </row>
    <row r="2300" customFormat="false" ht="15" hidden="false" customHeight="true" outlineLevel="0" collapsed="false">
      <c r="A2300" s="184"/>
      <c r="B2300" s="184"/>
      <c r="C2300" s="184"/>
      <c r="D2300" s="184"/>
      <c r="E2300" s="184"/>
      <c r="F2300" s="184"/>
      <c r="G2300" s="184"/>
      <c r="H2300" s="184"/>
      <c r="I2300" s="184"/>
      <c r="J2300" s="184"/>
      <c r="K2300" s="184"/>
      <c r="L2300" s="184"/>
      <c r="M2300" s="184"/>
      <c r="N2300" s="184"/>
      <c r="O2300" s="184"/>
    </row>
    <row r="2301" customFormat="false" ht="15" hidden="false" customHeight="true" outlineLevel="0" collapsed="false">
      <c r="A2301" s="184"/>
      <c r="B2301" s="184"/>
      <c r="C2301" s="184"/>
      <c r="D2301" s="184"/>
      <c r="E2301" s="184"/>
      <c r="F2301" s="184"/>
      <c r="G2301" s="184"/>
      <c r="H2301" s="184"/>
      <c r="I2301" s="184"/>
      <c r="J2301" s="184"/>
      <c r="K2301" s="184"/>
      <c r="L2301" s="184"/>
      <c r="M2301" s="184"/>
      <c r="N2301" s="184"/>
      <c r="O2301" s="184"/>
    </row>
    <row r="2302" customFormat="false" ht="15" hidden="false" customHeight="true" outlineLevel="0" collapsed="false">
      <c r="A2302" s="184"/>
      <c r="B2302" s="184"/>
      <c r="C2302" s="184"/>
      <c r="D2302" s="184"/>
      <c r="E2302" s="184"/>
      <c r="F2302" s="184"/>
      <c r="G2302" s="184"/>
      <c r="H2302" s="184"/>
      <c r="I2302" s="184"/>
      <c r="J2302" s="184"/>
      <c r="K2302" s="184"/>
      <c r="L2302" s="184"/>
      <c r="M2302" s="184"/>
      <c r="N2302" s="184"/>
      <c r="O2302" s="184"/>
    </row>
    <row r="2303" customFormat="false" ht="15" hidden="false" customHeight="true" outlineLevel="0" collapsed="false">
      <c r="A2303" s="184"/>
      <c r="B2303" s="184"/>
      <c r="C2303" s="184"/>
      <c r="D2303" s="184"/>
      <c r="E2303" s="184"/>
      <c r="F2303" s="184"/>
      <c r="G2303" s="184"/>
      <c r="H2303" s="184"/>
      <c r="I2303" s="184"/>
      <c r="J2303" s="184"/>
      <c r="K2303" s="184"/>
      <c r="L2303" s="184"/>
      <c r="M2303" s="184"/>
      <c r="N2303" s="184"/>
      <c r="O2303" s="184"/>
    </row>
    <row r="2304" customFormat="false" ht="15" hidden="false" customHeight="true" outlineLevel="0" collapsed="false">
      <c r="A2304" s="184"/>
      <c r="B2304" s="184"/>
      <c r="C2304" s="184"/>
      <c r="D2304" s="184"/>
      <c r="E2304" s="184"/>
      <c r="F2304" s="184"/>
      <c r="G2304" s="184"/>
      <c r="H2304" s="184"/>
      <c r="I2304" s="184"/>
      <c r="J2304" s="184"/>
      <c r="K2304" s="184"/>
      <c r="L2304" s="184"/>
      <c r="M2304" s="184"/>
      <c r="N2304" s="184"/>
      <c r="O2304" s="184"/>
    </row>
    <row r="2305" customFormat="false" ht="15" hidden="false" customHeight="true" outlineLevel="0" collapsed="false">
      <c r="A2305" s="184"/>
      <c r="B2305" s="184"/>
      <c r="C2305" s="184"/>
      <c r="D2305" s="184"/>
      <c r="E2305" s="184"/>
      <c r="F2305" s="184"/>
      <c r="G2305" s="184"/>
      <c r="H2305" s="184"/>
      <c r="I2305" s="184"/>
      <c r="J2305" s="184"/>
      <c r="K2305" s="184"/>
      <c r="L2305" s="184"/>
      <c r="M2305" s="184"/>
      <c r="N2305" s="184"/>
      <c r="O2305" s="184"/>
    </row>
    <row r="2306" customFormat="false" ht="15" hidden="false" customHeight="true" outlineLevel="0" collapsed="false">
      <c r="A2306" s="184"/>
      <c r="B2306" s="184"/>
      <c r="C2306" s="184"/>
      <c r="D2306" s="184"/>
      <c r="E2306" s="184"/>
      <c r="F2306" s="184"/>
      <c r="G2306" s="184"/>
      <c r="H2306" s="184"/>
      <c r="I2306" s="184"/>
      <c r="J2306" s="184"/>
      <c r="K2306" s="184"/>
      <c r="L2306" s="184"/>
      <c r="M2306" s="184"/>
      <c r="N2306" s="184"/>
      <c r="O2306" s="184"/>
    </row>
    <row r="2307" customFormat="false" ht="15" hidden="false" customHeight="true" outlineLevel="0" collapsed="false">
      <c r="A2307" s="184"/>
      <c r="B2307" s="184"/>
      <c r="C2307" s="184"/>
      <c r="D2307" s="184"/>
      <c r="E2307" s="184"/>
      <c r="F2307" s="184"/>
      <c r="G2307" s="184"/>
      <c r="H2307" s="184"/>
      <c r="I2307" s="184"/>
      <c r="J2307" s="184"/>
      <c r="K2307" s="184"/>
      <c r="L2307" s="184"/>
      <c r="M2307" s="184"/>
      <c r="N2307" s="184"/>
      <c r="O2307" s="184"/>
    </row>
    <row r="2308" customFormat="false" ht="15" hidden="false" customHeight="true" outlineLevel="0" collapsed="false">
      <c r="A2308" s="184"/>
      <c r="B2308" s="184"/>
      <c r="C2308" s="184"/>
      <c r="D2308" s="184"/>
      <c r="E2308" s="184"/>
      <c r="F2308" s="184"/>
      <c r="G2308" s="184"/>
      <c r="H2308" s="184"/>
      <c r="I2308" s="184"/>
      <c r="J2308" s="184"/>
      <c r="K2308" s="184"/>
      <c r="L2308" s="184"/>
      <c r="M2308" s="184"/>
      <c r="N2308" s="184"/>
      <c r="O2308" s="184"/>
    </row>
    <row r="2309" customFormat="false" ht="15" hidden="false" customHeight="true" outlineLevel="0" collapsed="false">
      <c r="A2309" s="184"/>
      <c r="B2309" s="184"/>
      <c r="C2309" s="184"/>
      <c r="D2309" s="184"/>
      <c r="E2309" s="184"/>
      <c r="F2309" s="184"/>
      <c r="G2309" s="184"/>
      <c r="H2309" s="184"/>
      <c r="I2309" s="184"/>
      <c r="J2309" s="184"/>
      <c r="K2309" s="184"/>
      <c r="L2309" s="184"/>
      <c r="M2309" s="184"/>
      <c r="N2309" s="184"/>
      <c r="O2309" s="184"/>
    </row>
    <row r="2310" customFormat="false" ht="15" hidden="false" customHeight="true" outlineLevel="0" collapsed="false">
      <c r="A2310" s="184"/>
      <c r="B2310" s="184"/>
      <c r="C2310" s="184"/>
      <c r="D2310" s="184"/>
      <c r="E2310" s="184"/>
      <c r="F2310" s="184"/>
      <c r="G2310" s="184"/>
      <c r="H2310" s="184"/>
      <c r="I2310" s="184"/>
      <c r="J2310" s="184"/>
      <c r="K2310" s="184"/>
      <c r="L2310" s="184"/>
      <c r="M2310" s="184"/>
      <c r="N2310" s="184"/>
      <c r="O2310" s="184"/>
    </row>
    <row r="2311" customFormat="false" ht="15" hidden="false" customHeight="true" outlineLevel="0" collapsed="false">
      <c r="A2311" s="184"/>
      <c r="B2311" s="184"/>
      <c r="C2311" s="184"/>
      <c r="D2311" s="184"/>
      <c r="E2311" s="184"/>
      <c r="F2311" s="184"/>
      <c r="G2311" s="184"/>
      <c r="H2311" s="184"/>
      <c r="I2311" s="184"/>
      <c r="J2311" s="184"/>
      <c r="K2311" s="184"/>
      <c r="L2311" s="184"/>
      <c r="M2311" s="184"/>
      <c r="N2311" s="184"/>
      <c r="O2311" s="184"/>
    </row>
    <row r="2312" customFormat="false" ht="15" hidden="false" customHeight="true" outlineLevel="0" collapsed="false">
      <c r="A2312" s="184"/>
      <c r="B2312" s="184"/>
      <c r="C2312" s="184"/>
      <c r="D2312" s="184"/>
      <c r="E2312" s="184"/>
      <c r="F2312" s="184"/>
      <c r="G2312" s="184"/>
      <c r="H2312" s="184"/>
      <c r="I2312" s="184"/>
      <c r="J2312" s="184"/>
      <c r="K2312" s="184"/>
      <c r="L2312" s="184"/>
      <c r="M2312" s="184"/>
      <c r="N2312" s="184"/>
      <c r="O2312" s="184"/>
    </row>
    <row r="2313" customFormat="false" ht="15" hidden="false" customHeight="true" outlineLevel="0" collapsed="false">
      <c r="A2313" s="184"/>
      <c r="B2313" s="184"/>
      <c r="C2313" s="184"/>
      <c r="D2313" s="184"/>
      <c r="E2313" s="184"/>
      <c r="F2313" s="184"/>
      <c r="G2313" s="184"/>
      <c r="H2313" s="184"/>
      <c r="I2313" s="184"/>
      <c r="J2313" s="184"/>
      <c r="K2313" s="184"/>
      <c r="L2313" s="184"/>
      <c r="M2313" s="184"/>
      <c r="N2313" s="184"/>
      <c r="O2313" s="184"/>
    </row>
    <row r="2314" customFormat="false" ht="15" hidden="false" customHeight="true" outlineLevel="0" collapsed="false">
      <c r="A2314" s="184"/>
      <c r="B2314" s="184"/>
      <c r="C2314" s="184"/>
      <c r="D2314" s="184"/>
      <c r="E2314" s="184"/>
      <c r="F2314" s="184"/>
      <c r="G2314" s="184"/>
      <c r="H2314" s="184"/>
      <c r="I2314" s="184"/>
      <c r="J2314" s="184"/>
      <c r="K2314" s="184"/>
      <c r="L2314" s="184"/>
      <c r="M2314" s="184"/>
      <c r="N2314" s="184"/>
      <c r="O2314" s="184"/>
    </row>
    <row r="2315" customFormat="false" ht="15" hidden="false" customHeight="true" outlineLevel="0" collapsed="false">
      <c r="A2315" s="184"/>
      <c r="B2315" s="184"/>
      <c r="C2315" s="184"/>
      <c r="D2315" s="184"/>
      <c r="E2315" s="184"/>
      <c r="F2315" s="184"/>
      <c r="G2315" s="184"/>
      <c r="H2315" s="184"/>
      <c r="I2315" s="184"/>
      <c r="J2315" s="184"/>
      <c r="K2315" s="184"/>
      <c r="L2315" s="184"/>
      <c r="M2315" s="184"/>
      <c r="N2315" s="184"/>
      <c r="O2315" s="184"/>
    </row>
    <row r="2316" customFormat="false" ht="15" hidden="false" customHeight="true" outlineLevel="0" collapsed="false">
      <c r="A2316" s="184"/>
      <c r="B2316" s="184"/>
      <c r="C2316" s="184"/>
      <c r="D2316" s="184"/>
      <c r="E2316" s="184"/>
      <c r="F2316" s="184"/>
      <c r="G2316" s="184"/>
      <c r="H2316" s="184"/>
      <c r="I2316" s="184"/>
      <c r="J2316" s="184"/>
      <c r="K2316" s="184"/>
      <c r="L2316" s="184"/>
      <c r="M2316" s="184"/>
      <c r="N2316" s="184"/>
      <c r="O2316" s="184"/>
    </row>
    <row r="2317" customFormat="false" ht="15" hidden="false" customHeight="true" outlineLevel="0" collapsed="false">
      <c r="A2317" s="184"/>
      <c r="B2317" s="184"/>
      <c r="C2317" s="184"/>
      <c r="D2317" s="184"/>
      <c r="E2317" s="184"/>
      <c r="F2317" s="184"/>
      <c r="G2317" s="184"/>
      <c r="H2317" s="184"/>
      <c r="I2317" s="184"/>
      <c r="J2317" s="184"/>
      <c r="K2317" s="184"/>
      <c r="L2317" s="184"/>
      <c r="M2317" s="184"/>
      <c r="N2317" s="184"/>
      <c r="O2317" s="184"/>
    </row>
    <row r="2318" customFormat="false" ht="15" hidden="false" customHeight="true" outlineLevel="0" collapsed="false">
      <c r="A2318" s="184"/>
      <c r="B2318" s="184"/>
      <c r="C2318" s="184"/>
      <c r="D2318" s="184"/>
      <c r="E2318" s="184"/>
      <c r="F2318" s="184"/>
      <c r="G2318" s="184"/>
      <c r="H2318" s="184"/>
      <c r="I2318" s="184"/>
      <c r="J2318" s="184"/>
      <c r="K2318" s="184"/>
      <c r="L2318" s="184"/>
      <c r="M2318" s="184"/>
      <c r="N2318" s="184"/>
      <c r="O2318" s="184"/>
    </row>
    <row r="2319" customFormat="false" ht="15" hidden="false" customHeight="true" outlineLevel="0" collapsed="false">
      <c r="A2319" s="184"/>
      <c r="B2319" s="184"/>
      <c r="C2319" s="184"/>
      <c r="D2319" s="184"/>
      <c r="E2319" s="184"/>
      <c r="F2319" s="184"/>
      <c r="G2319" s="184"/>
      <c r="H2319" s="184"/>
      <c r="I2319" s="184"/>
      <c r="J2319" s="184"/>
      <c r="K2319" s="184"/>
      <c r="L2319" s="184"/>
      <c r="M2319" s="184"/>
      <c r="N2319" s="184"/>
      <c r="O2319" s="184"/>
    </row>
    <row r="2320" customFormat="false" ht="15" hidden="false" customHeight="true" outlineLevel="0" collapsed="false">
      <c r="A2320" s="184"/>
      <c r="B2320" s="184"/>
      <c r="C2320" s="184"/>
      <c r="D2320" s="184"/>
      <c r="E2320" s="184"/>
      <c r="F2320" s="184"/>
      <c r="G2320" s="184"/>
      <c r="H2320" s="184"/>
      <c r="I2320" s="184"/>
      <c r="J2320" s="184"/>
      <c r="K2320" s="184"/>
      <c r="L2320" s="184"/>
      <c r="M2320" s="184"/>
      <c r="N2320" s="184"/>
      <c r="O2320" s="184"/>
    </row>
    <row r="2321" customFormat="false" ht="15" hidden="false" customHeight="true" outlineLevel="0" collapsed="false">
      <c r="A2321" s="184"/>
      <c r="B2321" s="184"/>
      <c r="C2321" s="184"/>
      <c r="D2321" s="184"/>
      <c r="E2321" s="184"/>
      <c r="F2321" s="184"/>
      <c r="G2321" s="184"/>
      <c r="H2321" s="184"/>
      <c r="I2321" s="184"/>
      <c r="J2321" s="184"/>
      <c r="K2321" s="184"/>
      <c r="L2321" s="184"/>
      <c r="M2321" s="184"/>
      <c r="N2321" s="184"/>
      <c r="O2321" s="184"/>
    </row>
    <row r="2322" customFormat="false" ht="15" hidden="false" customHeight="true" outlineLevel="0" collapsed="false">
      <c r="A2322" s="184"/>
      <c r="B2322" s="184"/>
      <c r="C2322" s="184"/>
      <c r="D2322" s="184"/>
      <c r="E2322" s="184"/>
      <c r="F2322" s="184"/>
      <c r="G2322" s="184"/>
      <c r="H2322" s="184"/>
      <c r="I2322" s="184"/>
      <c r="J2322" s="184"/>
      <c r="K2322" s="184"/>
      <c r="L2322" s="184"/>
      <c r="M2322" s="184"/>
      <c r="N2322" s="184"/>
      <c r="O2322" s="184"/>
    </row>
    <row r="2323" customFormat="false" ht="15" hidden="false" customHeight="true" outlineLevel="0" collapsed="false">
      <c r="A2323" s="184"/>
      <c r="B2323" s="184"/>
      <c r="C2323" s="184"/>
      <c r="D2323" s="184"/>
      <c r="E2323" s="184"/>
      <c r="F2323" s="184"/>
      <c r="G2323" s="184"/>
      <c r="H2323" s="184"/>
      <c r="I2323" s="184"/>
      <c r="J2323" s="184"/>
      <c r="K2323" s="184"/>
      <c r="L2323" s="184"/>
      <c r="M2323" s="184"/>
      <c r="N2323" s="184"/>
      <c r="O2323" s="184"/>
    </row>
    <row r="2324" customFormat="false" ht="15" hidden="false" customHeight="true" outlineLevel="0" collapsed="false">
      <c r="A2324" s="184"/>
      <c r="B2324" s="184"/>
      <c r="C2324" s="184"/>
      <c r="D2324" s="184"/>
      <c r="E2324" s="184"/>
      <c r="F2324" s="184"/>
      <c r="G2324" s="184"/>
      <c r="H2324" s="184"/>
      <c r="I2324" s="184"/>
      <c r="J2324" s="184"/>
      <c r="K2324" s="184"/>
      <c r="L2324" s="184"/>
      <c r="M2324" s="184"/>
      <c r="N2324" s="184"/>
      <c r="O2324" s="184"/>
    </row>
    <row r="2325" customFormat="false" ht="15" hidden="false" customHeight="true" outlineLevel="0" collapsed="false">
      <c r="A2325" s="184"/>
      <c r="B2325" s="184"/>
      <c r="C2325" s="184"/>
      <c r="D2325" s="184"/>
      <c r="E2325" s="184"/>
      <c r="F2325" s="184"/>
      <c r="G2325" s="184"/>
      <c r="H2325" s="184"/>
      <c r="I2325" s="184"/>
      <c r="J2325" s="184"/>
      <c r="K2325" s="184"/>
      <c r="L2325" s="184"/>
      <c r="M2325" s="184"/>
      <c r="N2325" s="184"/>
      <c r="O2325" s="184"/>
    </row>
    <row r="2326" customFormat="false" ht="15" hidden="false" customHeight="true" outlineLevel="0" collapsed="false">
      <c r="A2326" s="184"/>
      <c r="B2326" s="184"/>
      <c r="C2326" s="184"/>
      <c r="D2326" s="184"/>
      <c r="E2326" s="184"/>
      <c r="F2326" s="184"/>
      <c r="G2326" s="184"/>
      <c r="H2326" s="184"/>
      <c r="I2326" s="184"/>
      <c r="J2326" s="184"/>
      <c r="K2326" s="184"/>
      <c r="L2326" s="184"/>
      <c r="M2326" s="184"/>
      <c r="N2326" s="184"/>
      <c r="O2326" s="184"/>
    </row>
    <row r="2327" customFormat="false" ht="15" hidden="false" customHeight="true" outlineLevel="0" collapsed="false">
      <c r="A2327" s="184"/>
      <c r="B2327" s="184"/>
      <c r="C2327" s="184"/>
      <c r="D2327" s="184"/>
      <c r="E2327" s="184"/>
      <c r="F2327" s="184"/>
      <c r="G2327" s="184"/>
      <c r="H2327" s="184"/>
      <c r="I2327" s="184"/>
      <c r="J2327" s="184"/>
      <c r="K2327" s="184"/>
      <c r="L2327" s="184"/>
      <c r="M2327" s="184"/>
      <c r="N2327" s="184"/>
      <c r="O2327" s="184"/>
    </row>
    <row r="2328" customFormat="false" ht="15" hidden="false" customHeight="true" outlineLevel="0" collapsed="false">
      <c r="A2328" s="184"/>
      <c r="B2328" s="184"/>
      <c r="C2328" s="184"/>
      <c r="D2328" s="184"/>
      <c r="E2328" s="184"/>
      <c r="F2328" s="184"/>
      <c r="G2328" s="184"/>
      <c r="H2328" s="184"/>
      <c r="I2328" s="184"/>
      <c r="J2328" s="184"/>
      <c r="K2328" s="184"/>
      <c r="L2328" s="184"/>
      <c r="M2328" s="184"/>
      <c r="N2328" s="184"/>
      <c r="O2328" s="184"/>
    </row>
    <row r="2329" customFormat="false" ht="15" hidden="false" customHeight="true" outlineLevel="0" collapsed="false">
      <c r="A2329" s="184"/>
      <c r="B2329" s="184"/>
      <c r="C2329" s="184"/>
      <c r="D2329" s="184"/>
      <c r="E2329" s="184"/>
      <c r="F2329" s="184"/>
      <c r="G2329" s="184"/>
      <c r="H2329" s="184"/>
      <c r="I2329" s="184"/>
      <c r="J2329" s="184"/>
      <c r="K2329" s="184"/>
      <c r="L2329" s="184"/>
      <c r="M2329" s="184"/>
      <c r="N2329" s="184"/>
      <c r="O2329" s="184"/>
    </row>
    <row r="2330" customFormat="false" ht="15" hidden="false" customHeight="true" outlineLevel="0" collapsed="false">
      <c r="A2330" s="184"/>
      <c r="B2330" s="184"/>
      <c r="C2330" s="184"/>
      <c r="D2330" s="184"/>
      <c r="E2330" s="184"/>
      <c r="F2330" s="184"/>
      <c r="G2330" s="184"/>
      <c r="H2330" s="184"/>
      <c r="I2330" s="184"/>
      <c r="J2330" s="184"/>
      <c r="K2330" s="184"/>
      <c r="L2330" s="184"/>
      <c r="M2330" s="184"/>
      <c r="N2330" s="184"/>
      <c r="O2330" s="184"/>
    </row>
    <row r="2331" customFormat="false" ht="15" hidden="false" customHeight="true" outlineLevel="0" collapsed="false">
      <c r="A2331" s="184"/>
      <c r="B2331" s="184"/>
      <c r="C2331" s="184"/>
      <c r="D2331" s="184"/>
      <c r="E2331" s="184"/>
      <c r="F2331" s="184"/>
      <c r="G2331" s="184"/>
      <c r="H2331" s="184"/>
      <c r="I2331" s="184"/>
      <c r="J2331" s="184"/>
      <c r="K2331" s="184"/>
      <c r="L2331" s="184"/>
      <c r="M2331" s="184"/>
      <c r="N2331" s="184"/>
      <c r="O2331" s="184"/>
    </row>
    <row r="2332" customFormat="false" ht="15" hidden="false" customHeight="true" outlineLevel="0" collapsed="false">
      <c r="A2332" s="184"/>
      <c r="B2332" s="184"/>
      <c r="C2332" s="184"/>
      <c r="D2332" s="184"/>
      <c r="E2332" s="184"/>
      <c r="F2332" s="184"/>
      <c r="G2332" s="184"/>
      <c r="H2332" s="184"/>
      <c r="I2332" s="184"/>
      <c r="J2332" s="184"/>
      <c r="K2332" s="184"/>
      <c r="L2332" s="184"/>
      <c r="M2332" s="184"/>
      <c r="N2332" s="184"/>
      <c r="O2332" s="184"/>
    </row>
    <row r="2333" customFormat="false" ht="15" hidden="false" customHeight="true" outlineLevel="0" collapsed="false">
      <c r="A2333" s="184"/>
      <c r="B2333" s="184"/>
      <c r="C2333" s="184"/>
      <c r="D2333" s="184"/>
      <c r="E2333" s="184"/>
      <c r="F2333" s="184"/>
      <c r="G2333" s="184"/>
      <c r="H2333" s="184"/>
      <c r="I2333" s="184"/>
      <c r="J2333" s="184"/>
      <c r="K2333" s="184"/>
      <c r="L2333" s="184"/>
      <c r="M2333" s="184"/>
      <c r="N2333" s="184"/>
      <c r="O2333" s="184"/>
    </row>
    <row r="2334" customFormat="false" ht="15" hidden="false" customHeight="true" outlineLevel="0" collapsed="false">
      <c r="A2334" s="184"/>
      <c r="B2334" s="184"/>
      <c r="C2334" s="184"/>
      <c r="D2334" s="184"/>
      <c r="E2334" s="184"/>
      <c r="F2334" s="184"/>
      <c r="G2334" s="184"/>
      <c r="H2334" s="184"/>
      <c r="I2334" s="184"/>
      <c r="J2334" s="184"/>
      <c r="K2334" s="184"/>
      <c r="L2334" s="184"/>
      <c r="M2334" s="184"/>
      <c r="N2334" s="184"/>
      <c r="O2334" s="184"/>
    </row>
    <row r="2335" customFormat="false" ht="15" hidden="false" customHeight="true" outlineLevel="0" collapsed="false">
      <c r="A2335" s="184"/>
      <c r="B2335" s="184"/>
      <c r="C2335" s="184"/>
      <c r="D2335" s="184"/>
      <c r="E2335" s="184"/>
      <c r="F2335" s="184"/>
      <c r="G2335" s="184"/>
      <c r="H2335" s="184"/>
      <c r="I2335" s="184"/>
      <c r="J2335" s="184"/>
      <c r="K2335" s="184"/>
      <c r="L2335" s="184"/>
      <c r="M2335" s="184"/>
      <c r="N2335" s="184"/>
      <c r="O2335" s="184"/>
    </row>
    <row r="2336" customFormat="false" ht="15" hidden="false" customHeight="true" outlineLevel="0" collapsed="false">
      <c r="A2336" s="184"/>
      <c r="B2336" s="184"/>
      <c r="C2336" s="184"/>
      <c r="D2336" s="184"/>
      <c r="E2336" s="184"/>
      <c r="F2336" s="184"/>
      <c r="G2336" s="184"/>
      <c r="H2336" s="184"/>
      <c r="I2336" s="184"/>
      <c r="J2336" s="184"/>
      <c r="K2336" s="184"/>
      <c r="L2336" s="184"/>
      <c r="M2336" s="184"/>
      <c r="N2336" s="184"/>
      <c r="O2336" s="184"/>
    </row>
    <row r="2337" customFormat="false" ht="15" hidden="false" customHeight="true" outlineLevel="0" collapsed="false">
      <c r="A2337" s="184"/>
      <c r="B2337" s="184"/>
      <c r="C2337" s="184"/>
      <c r="D2337" s="184"/>
      <c r="E2337" s="184"/>
      <c r="F2337" s="184"/>
      <c r="G2337" s="184"/>
      <c r="H2337" s="184"/>
      <c r="I2337" s="184"/>
      <c r="J2337" s="184"/>
      <c r="K2337" s="184"/>
      <c r="L2337" s="184"/>
      <c r="M2337" s="184"/>
      <c r="N2337" s="184"/>
      <c r="O2337" s="184"/>
    </row>
    <row r="2338" customFormat="false" ht="15" hidden="false" customHeight="true" outlineLevel="0" collapsed="false">
      <c r="A2338" s="184"/>
      <c r="B2338" s="184"/>
      <c r="C2338" s="184"/>
      <c r="D2338" s="184"/>
      <c r="E2338" s="184"/>
      <c r="F2338" s="184"/>
      <c r="G2338" s="184"/>
      <c r="H2338" s="184"/>
      <c r="I2338" s="184"/>
      <c r="J2338" s="184"/>
      <c r="K2338" s="184"/>
      <c r="L2338" s="184"/>
      <c r="M2338" s="184"/>
      <c r="N2338" s="184"/>
      <c r="O2338" s="184"/>
    </row>
    <row r="2339" customFormat="false" ht="15" hidden="false" customHeight="true" outlineLevel="0" collapsed="false">
      <c r="A2339" s="184"/>
      <c r="B2339" s="184"/>
      <c r="C2339" s="184"/>
      <c r="D2339" s="184"/>
      <c r="E2339" s="184"/>
      <c r="F2339" s="184"/>
      <c r="G2339" s="184"/>
      <c r="H2339" s="184"/>
      <c r="I2339" s="184"/>
      <c r="J2339" s="184"/>
      <c r="K2339" s="184"/>
      <c r="L2339" s="184"/>
      <c r="M2339" s="184"/>
      <c r="N2339" s="184"/>
      <c r="O2339" s="184"/>
    </row>
    <row r="2340" customFormat="false" ht="15" hidden="false" customHeight="true" outlineLevel="0" collapsed="false">
      <c r="A2340" s="184"/>
      <c r="B2340" s="184"/>
      <c r="C2340" s="184"/>
      <c r="D2340" s="184"/>
      <c r="E2340" s="184"/>
      <c r="F2340" s="184"/>
      <c r="G2340" s="184"/>
      <c r="H2340" s="184"/>
      <c r="I2340" s="184"/>
      <c r="J2340" s="184"/>
      <c r="K2340" s="184"/>
      <c r="L2340" s="184"/>
      <c r="M2340" s="184"/>
      <c r="N2340" s="184"/>
      <c r="O2340" s="184"/>
    </row>
    <row r="2341" customFormat="false" ht="15" hidden="false" customHeight="true" outlineLevel="0" collapsed="false">
      <c r="A2341" s="184"/>
      <c r="B2341" s="184"/>
      <c r="C2341" s="184"/>
      <c r="D2341" s="184"/>
      <c r="E2341" s="184"/>
      <c r="F2341" s="184"/>
      <c r="G2341" s="184"/>
      <c r="H2341" s="184"/>
      <c r="I2341" s="184"/>
      <c r="J2341" s="184"/>
      <c r="K2341" s="184"/>
      <c r="L2341" s="184"/>
      <c r="M2341" s="184"/>
      <c r="N2341" s="184"/>
      <c r="O2341" s="184"/>
    </row>
    <row r="2342" customFormat="false" ht="15" hidden="false" customHeight="true" outlineLevel="0" collapsed="false">
      <c r="A2342" s="184"/>
      <c r="B2342" s="184"/>
      <c r="C2342" s="184"/>
      <c r="D2342" s="184"/>
      <c r="E2342" s="184"/>
      <c r="F2342" s="184"/>
      <c r="G2342" s="184"/>
      <c r="H2342" s="184"/>
      <c r="I2342" s="184"/>
      <c r="J2342" s="184"/>
      <c r="K2342" s="184"/>
      <c r="L2342" s="184"/>
      <c r="M2342" s="184"/>
      <c r="N2342" s="184"/>
      <c r="O2342" s="184"/>
    </row>
    <row r="2343" customFormat="false" ht="15" hidden="false" customHeight="true" outlineLevel="0" collapsed="false">
      <c r="A2343" s="184"/>
      <c r="B2343" s="184"/>
      <c r="C2343" s="184"/>
      <c r="D2343" s="184"/>
      <c r="E2343" s="184"/>
      <c r="F2343" s="184"/>
      <c r="G2343" s="184"/>
      <c r="H2343" s="184"/>
      <c r="I2343" s="184"/>
      <c r="J2343" s="184"/>
      <c r="K2343" s="184"/>
      <c r="L2343" s="184"/>
      <c r="M2343" s="184"/>
      <c r="N2343" s="184"/>
      <c r="O2343" s="184"/>
    </row>
    <row r="2344" customFormat="false" ht="15" hidden="false" customHeight="true" outlineLevel="0" collapsed="false">
      <c r="A2344" s="184"/>
      <c r="B2344" s="184"/>
      <c r="C2344" s="184"/>
      <c r="D2344" s="184"/>
      <c r="E2344" s="184"/>
      <c r="F2344" s="184"/>
      <c r="G2344" s="184"/>
      <c r="H2344" s="184"/>
      <c r="I2344" s="184"/>
      <c r="J2344" s="184"/>
      <c r="K2344" s="184"/>
      <c r="L2344" s="184"/>
      <c r="M2344" s="184"/>
      <c r="N2344" s="184"/>
      <c r="O2344" s="184"/>
    </row>
    <row r="2345" customFormat="false" ht="15" hidden="false" customHeight="true" outlineLevel="0" collapsed="false">
      <c r="A2345" s="184"/>
      <c r="B2345" s="184"/>
      <c r="C2345" s="184"/>
      <c r="D2345" s="184"/>
      <c r="E2345" s="184"/>
      <c r="F2345" s="184"/>
      <c r="G2345" s="184"/>
      <c r="H2345" s="184"/>
      <c r="I2345" s="184"/>
      <c r="J2345" s="184"/>
      <c r="K2345" s="184"/>
      <c r="L2345" s="184"/>
      <c r="M2345" s="184"/>
      <c r="N2345" s="184"/>
      <c r="O2345" s="184"/>
    </row>
    <row r="2346" customFormat="false" ht="15" hidden="false" customHeight="true" outlineLevel="0" collapsed="false">
      <c r="A2346" s="184"/>
      <c r="B2346" s="184"/>
      <c r="C2346" s="184"/>
      <c r="D2346" s="184"/>
      <c r="E2346" s="184"/>
      <c r="F2346" s="184"/>
      <c r="G2346" s="184"/>
      <c r="H2346" s="184"/>
      <c r="I2346" s="184"/>
      <c r="J2346" s="184"/>
      <c r="K2346" s="184"/>
      <c r="L2346" s="184"/>
      <c r="M2346" s="184"/>
      <c r="N2346" s="184"/>
      <c r="O2346" s="184"/>
    </row>
    <row r="2347" customFormat="false" ht="15" hidden="false" customHeight="true" outlineLevel="0" collapsed="false">
      <c r="A2347" s="184"/>
      <c r="B2347" s="184"/>
      <c r="C2347" s="184"/>
      <c r="D2347" s="184"/>
      <c r="E2347" s="184"/>
      <c r="F2347" s="184"/>
      <c r="G2347" s="184"/>
      <c r="H2347" s="184"/>
      <c r="I2347" s="184"/>
      <c r="J2347" s="184"/>
      <c r="K2347" s="184"/>
      <c r="L2347" s="184"/>
      <c r="M2347" s="184"/>
      <c r="N2347" s="184"/>
      <c r="O2347" s="184"/>
    </row>
    <row r="2348" customFormat="false" ht="15" hidden="false" customHeight="true" outlineLevel="0" collapsed="false">
      <c r="A2348" s="184"/>
      <c r="B2348" s="184"/>
      <c r="C2348" s="184"/>
      <c r="D2348" s="184"/>
      <c r="E2348" s="184"/>
      <c r="F2348" s="184"/>
      <c r="G2348" s="184"/>
      <c r="H2348" s="184"/>
      <c r="I2348" s="184"/>
      <c r="J2348" s="184"/>
      <c r="K2348" s="184"/>
      <c r="L2348" s="184"/>
      <c r="M2348" s="184"/>
      <c r="N2348" s="184"/>
      <c r="O2348" s="184"/>
    </row>
    <row r="2349" customFormat="false" ht="15" hidden="false" customHeight="true" outlineLevel="0" collapsed="false">
      <c r="A2349" s="184"/>
      <c r="B2349" s="184"/>
      <c r="C2349" s="184"/>
      <c r="D2349" s="184"/>
      <c r="E2349" s="184"/>
      <c r="F2349" s="184"/>
      <c r="G2349" s="184"/>
      <c r="H2349" s="184"/>
      <c r="I2349" s="184"/>
      <c r="J2349" s="184"/>
      <c r="K2349" s="184"/>
      <c r="L2349" s="184"/>
      <c r="M2349" s="184"/>
      <c r="N2349" s="184"/>
      <c r="O2349" s="184"/>
    </row>
    <row r="2350" customFormat="false" ht="15" hidden="false" customHeight="true" outlineLevel="0" collapsed="false">
      <c r="A2350" s="184"/>
      <c r="B2350" s="184"/>
      <c r="C2350" s="184"/>
      <c r="D2350" s="184"/>
      <c r="E2350" s="184"/>
      <c r="F2350" s="184"/>
      <c r="G2350" s="184"/>
      <c r="H2350" s="184"/>
      <c r="I2350" s="184"/>
      <c r="J2350" s="184"/>
      <c r="K2350" s="184"/>
      <c r="L2350" s="184"/>
      <c r="M2350" s="184"/>
      <c r="N2350" s="184"/>
      <c r="O2350" s="184"/>
    </row>
    <row r="2351" customFormat="false" ht="15" hidden="false" customHeight="true" outlineLevel="0" collapsed="false">
      <c r="A2351" s="184"/>
      <c r="B2351" s="184"/>
      <c r="C2351" s="184"/>
      <c r="D2351" s="184"/>
      <c r="E2351" s="184"/>
      <c r="F2351" s="184"/>
      <c r="G2351" s="184"/>
      <c r="H2351" s="184"/>
      <c r="I2351" s="184"/>
      <c r="J2351" s="184"/>
      <c r="K2351" s="184"/>
      <c r="L2351" s="184"/>
      <c r="M2351" s="184"/>
      <c r="N2351" s="184"/>
      <c r="O2351" s="184"/>
    </row>
    <row r="2352" customFormat="false" ht="15" hidden="false" customHeight="true" outlineLevel="0" collapsed="false">
      <c r="A2352" s="184"/>
      <c r="B2352" s="184"/>
      <c r="C2352" s="184"/>
      <c r="D2352" s="184"/>
      <c r="E2352" s="184"/>
      <c r="F2352" s="184"/>
      <c r="G2352" s="184"/>
      <c r="H2352" s="184"/>
      <c r="I2352" s="184"/>
      <c r="J2352" s="184"/>
      <c r="K2352" s="184"/>
      <c r="L2352" s="184"/>
      <c r="M2352" s="184"/>
      <c r="N2352" s="184"/>
      <c r="O2352" s="184"/>
    </row>
    <row r="2353" customFormat="false" ht="15" hidden="false" customHeight="true" outlineLevel="0" collapsed="false">
      <c r="A2353" s="184"/>
      <c r="B2353" s="184"/>
      <c r="C2353" s="184"/>
      <c r="D2353" s="184"/>
      <c r="E2353" s="184"/>
      <c r="F2353" s="184"/>
      <c r="G2353" s="184"/>
      <c r="H2353" s="184"/>
      <c r="I2353" s="184"/>
      <c r="J2353" s="184"/>
      <c r="K2353" s="184"/>
      <c r="L2353" s="184"/>
      <c r="M2353" s="184"/>
      <c r="N2353" s="184"/>
      <c r="O2353" s="184"/>
    </row>
    <row r="2354" customFormat="false" ht="15" hidden="false" customHeight="true" outlineLevel="0" collapsed="false">
      <c r="A2354" s="184"/>
      <c r="B2354" s="184"/>
      <c r="C2354" s="184"/>
      <c r="D2354" s="184"/>
      <c r="E2354" s="184"/>
      <c r="F2354" s="184"/>
      <c r="G2354" s="184"/>
      <c r="H2354" s="184"/>
      <c r="I2354" s="184"/>
      <c r="J2354" s="184"/>
      <c r="K2354" s="184"/>
      <c r="L2354" s="184"/>
      <c r="M2354" s="184"/>
      <c r="N2354" s="184"/>
      <c r="O2354" s="184"/>
    </row>
    <row r="2355" customFormat="false" ht="15" hidden="false" customHeight="true" outlineLevel="0" collapsed="false">
      <c r="A2355" s="184"/>
      <c r="B2355" s="184"/>
      <c r="C2355" s="184"/>
      <c r="D2355" s="184"/>
      <c r="E2355" s="184"/>
      <c r="F2355" s="184"/>
      <c r="G2355" s="184"/>
      <c r="H2355" s="184"/>
      <c r="I2355" s="184"/>
      <c r="J2355" s="184"/>
      <c r="K2355" s="184"/>
      <c r="L2355" s="184"/>
      <c r="M2355" s="184"/>
      <c r="N2355" s="184"/>
      <c r="O2355" s="184"/>
    </row>
    <row r="2356" customFormat="false" ht="15" hidden="false" customHeight="true" outlineLevel="0" collapsed="false">
      <c r="A2356" s="184"/>
      <c r="B2356" s="184"/>
      <c r="C2356" s="184"/>
      <c r="D2356" s="184"/>
      <c r="E2356" s="184"/>
      <c r="F2356" s="184"/>
      <c r="G2356" s="184"/>
      <c r="H2356" s="184"/>
      <c r="I2356" s="184"/>
      <c r="J2356" s="184"/>
      <c r="K2356" s="184"/>
      <c r="L2356" s="184"/>
      <c r="M2356" s="184"/>
      <c r="N2356" s="184"/>
      <c r="O2356" s="184"/>
    </row>
    <row r="2357" customFormat="false" ht="15" hidden="false" customHeight="true" outlineLevel="0" collapsed="false">
      <c r="A2357" s="184"/>
      <c r="B2357" s="184"/>
      <c r="C2357" s="184"/>
      <c r="D2357" s="184"/>
      <c r="E2357" s="184"/>
      <c r="F2357" s="184"/>
      <c r="G2357" s="184"/>
      <c r="H2357" s="184"/>
      <c r="I2357" s="184"/>
      <c r="J2357" s="184"/>
      <c r="K2357" s="184"/>
      <c r="L2357" s="184"/>
      <c r="M2357" s="184"/>
      <c r="N2357" s="184"/>
      <c r="O2357" s="184"/>
    </row>
    <row r="2358" customFormat="false" ht="15" hidden="false" customHeight="true" outlineLevel="0" collapsed="false">
      <c r="A2358" s="184"/>
      <c r="B2358" s="184"/>
      <c r="C2358" s="184"/>
      <c r="D2358" s="184"/>
      <c r="E2358" s="184"/>
      <c r="F2358" s="184"/>
      <c r="G2358" s="184"/>
      <c r="H2358" s="184"/>
      <c r="I2358" s="184"/>
      <c r="J2358" s="184"/>
      <c r="K2358" s="184"/>
      <c r="L2358" s="184"/>
      <c r="M2358" s="184"/>
      <c r="N2358" s="184"/>
      <c r="O2358" s="184"/>
    </row>
    <row r="2359" customFormat="false" ht="15" hidden="false" customHeight="true" outlineLevel="0" collapsed="false">
      <c r="A2359" s="184"/>
      <c r="B2359" s="184"/>
      <c r="C2359" s="184"/>
      <c r="D2359" s="184"/>
      <c r="E2359" s="184"/>
      <c r="F2359" s="184"/>
      <c r="G2359" s="184"/>
      <c r="H2359" s="184"/>
      <c r="I2359" s="184"/>
      <c r="J2359" s="184"/>
      <c r="K2359" s="184"/>
      <c r="L2359" s="184"/>
      <c r="M2359" s="184"/>
      <c r="N2359" s="184"/>
      <c r="O2359" s="184"/>
    </row>
    <row r="2360" customFormat="false" ht="15" hidden="false" customHeight="true" outlineLevel="0" collapsed="false">
      <c r="A2360" s="184"/>
      <c r="B2360" s="184"/>
      <c r="C2360" s="184"/>
      <c r="D2360" s="184"/>
      <c r="E2360" s="184"/>
      <c r="F2360" s="184"/>
      <c r="G2360" s="184"/>
      <c r="H2360" s="184"/>
      <c r="I2360" s="184"/>
      <c r="J2360" s="184"/>
      <c r="K2360" s="184"/>
      <c r="L2360" s="184"/>
      <c r="M2360" s="184"/>
      <c r="N2360" s="184"/>
      <c r="O2360" s="184"/>
    </row>
    <row r="2361" customFormat="false" ht="15" hidden="false" customHeight="true" outlineLevel="0" collapsed="false">
      <c r="A2361" s="184"/>
      <c r="B2361" s="184"/>
      <c r="C2361" s="184"/>
      <c r="D2361" s="184"/>
      <c r="E2361" s="184"/>
      <c r="F2361" s="184"/>
      <c r="G2361" s="184"/>
      <c r="H2361" s="184"/>
      <c r="I2361" s="184"/>
      <c r="J2361" s="184"/>
      <c r="K2361" s="184"/>
      <c r="L2361" s="184"/>
      <c r="M2361" s="184"/>
      <c r="N2361" s="184"/>
      <c r="O2361" s="184"/>
    </row>
    <row r="2362" customFormat="false" ht="15" hidden="false" customHeight="true" outlineLevel="0" collapsed="false">
      <c r="A2362" s="184"/>
      <c r="B2362" s="184"/>
      <c r="C2362" s="184"/>
      <c r="D2362" s="184"/>
      <c r="E2362" s="184"/>
      <c r="F2362" s="184"/>
      <c r="G2362" s="184"/>
      <c r="H2362" s="184"/>
      <c r="I2362" s="184"/>
      <c r="J2362" s="184"/>
      <c r="K2362" s="184"/>
      <c r="L2362" s="184"/>
      <c r="M2362" s="184"/>
      <c r="N2362" s="184"/>
      <c r="O2362" s="184"/>
    </row>
    <row r="2363" customFormat="false" ht="15" hidden="false" customHeight="true" outlineLevel="0" collapsed="false">
      <c r="A2363" s="184"/>
      <c r="B2363" s="184"/>
      <c r="C2363" s="184"/>
      <c r="D2363" s="184"/>
      <c r="E2363" s="184"/>
      <c r="F2363" s="184"/>
      <c r="G2363" s="184"/>
      <c r="H2363" s="184"/>
      <c r="I2363" s="184"/>
      <c r="J2363" s="184"/>
      <c r="K2363" s="184"/>
      <c r="L2363" s="184"/>
      <c r="M2363" s="184"/>
      <c r="N2363" s="184"/>
      <c r="O2363" s="184"/>
    </row>
    <row r="2364" customFormat="false" ht="15" hidden="false" customHeight="true" outlineLevel="0" collapsed="false">
      <c r="A2364" s="184"/>
      <c r="B2364" s="184"/>
      <c r="C2364" s="184"/>
      <c r="D2364" s="184"/>
      <c r="E2364" s="184"/>
      <c r="F2364" s="184"/>
      <c r="G2364" s="184"/>
      <c r="H2364" s="184"/>
      <c r="I2364" s="184"/>
      <c r="J2364" s="184"/>
      <c r="K2364" s="184"/>
      <c r="L2364" s="184"/>
      <c r="M2364" s="184"/>
      <c r="N2364" s="184"/>
      <c r="O2364" s="184"/>
    </row>
    <row r="2365" customFormat="false" ht="15" hidden="false" customHeight="true" outlineLevel="0" collapsed="false">
      <c r="A2365" s="184"/>
      <c r="B2365" s="184"/>
      <c r="C2365" s="184"/>
      <c r="D2365" s="184"/>
      <c r="E2365" s="184"/>
      <c r="F2365" s="184"/>
      <c r="G2365" s="184"/>
      <c r="H2365" s="184"/>
      <c r="I2365" s="184"/>
      <c r="J2365" s="184"/>
      <c r="K2365" s="184"/>
      <c r="L2365" s="184"/>
      <c r="M2365" s="184"/>
      <c r="N2365" s="184"/>
      <c r="O2365" s="184"/>
    </row>
    <row r="2366" customFormat="false" ht="15" hidden="false" customHeight="true" outlineLevel="0" collapsed="false">
      <c r="A2366" s="184"/>
      <c r="B2366" s="184"/>
      <c r="C2366" s="184"/>
      <c r="D2366" s="184"/>
      <c r="E2366" s="184"/>
      <c r="F2366" s="184"/>
      <c r="G2366" s="184"/>
      <c r="H2366" s="184"/>
      <c r="I2366" s="184"/>
      <c r="J2366" s="184"/>
      <c r="K2366" s="184"/>
      <c r="L2366" s="184"/>
      <c r="M2366" s="184"/>
      <c r="N2366" s="184"/>
      <c r="O2366" s="184"/>
    </row>
    <row r="2367" customFormat="false" ht="15" hidden="false" customHeight="true" outlineLevel="0" collapsed="false">
      <c r="A2367" s="184"/>
      <c r="B2367" s="184"/>
      <c r="C2367" s="184"/>
      <c r="D2367" s="184"/>
      <c r="E2367" s="184"/>
      <c r="F2367" s="184"/>
      <c r="G2367" s="184"/>
      <c r="H2367" s="184"/>
      <c r="I2367" s="184"/>
      <c r="J2367" s="184"/>
      <c r="K2367" s="184"/>
      <c r="L2367" s="184"/>
      <c r="M2367" s="184"/>
      <c r="N2367" s="184"/>
      <c r="O2367" s="184"/>
    </row>
    <row r="2368" customFormat="false" ht="15" hidden="false" customHeight="true" outlineLevel="0" collapsed="false">
      <c r="A2368" s="184"/>
      <c r="B2368" s="184"/>
      <c r="C2368" s="184"/>
      <c r="D2368" s="184"/>
      <c r="E2368" s="184"/>
      <c r="F2368" s="184"/>
      <c r="G2368" s="184"/>
      <c r="H2368" s="184"/>
      <c r="I2368" s="184"/>
      <c r="J2368" s="184"/>
      <c r="K2368" s="184"/>
      <c r="L2368" s="184"/>
      <c r="M2368" s="184"/>
      <c r="N2368" s="184"/>
      <c r="O2368" s="184"/>
    </row>
    <row r="2369" customFormat="false" ht="15" hidden="false" customHeight="true" outlineLevel="0" collapsed="false">
      <c r="A2369" s="184"/>
      <c r="B2369" s="184"/>
      <c r="C2369" s="184"/>
      <c r="D2369" s="184"/>
      <c r="E2369" s="184"/>
      <c r="F2369" s="184"/>
      <c r="G2369" s="184"/>
      <c r="H2369" s="184"/>
      <c r="I2369" s="184"/>
      <c r="J2369" s="184"/>
      <c r="K2369" s="184"/>
      <c r="L2369" s="184"/>
      <c r="M2369" s="184"/>
      <c r="N2369" s="184"/>
      <c r="O2369" s="184"/>
    </row>
    <row r="2370" customFormat="false" ht="15" hidden="false" customHeight="true" outlineLevel="0" collapsed="false">
      <c r="A2370" s="184"/>
      <c r="B2370" s="184"/>
      <c r="C2370" s="184"/>
      <c r="D2370" s="184"/>
      <c r="E2370" s="184"/>
      <c r="F2370" s="184"/>
      <c r="G2370" s="184"/>
      <c r="H2370" s="184"/>
      <c r="I2370" s="184"/>
      <c r="J2370" s="184"/>
      <c r="K2370" s="184"/>
      <c r="L2370" s="184"/>
      <c r="M2370" s="184"/>
      <c r="N2370" s="184"/>
      <c r="O2370" s="184"/>
    </row>
    <row r="2371" customFormat="false" ht="15" hidden="false" customHeight="true" outlineLevel="0" collapsed="false">
      <c r="A2371" s="184"/>
      <c r="B2371" s="184"/>
      <c r="C2371" s="184"/>
      <c r="D2371" s="184"/>
      <c r="E2371" s="184"/>
      <c r="F2371" s="184"/>
      <c r="G2371" s="184"/>
      <c r="H2371" s="184"/>
      <c r="I2371" s="184"/>
      <c r="J2371" s="184"/>
      <c r="K2371" s="184"/>
      <c r="L2371" s="184"/>
      <c r="M2371" s="184"/>
      <c r="N2371" s="184"/>
      <c r="O2371" s="184"/>
    </row>
    <row r="2372" customFormat="false" ht="15" hidden="false" customHeight="true" outlineLevel="0" collapsed="false">
      <c r="A2372" s="184"/>
      <c r="B2372" s="184"/>
      <c r="C2372" s="184"/>
      <c r="D2372" s="184"/>
      <c r="E2372" s="184"/>
      <c r="F2372" s="184"/>
      <c r="G2372" s="184"/>
      <c r="H2372" s="184"/>
      <c r="I2372" s="184"/>
      <c r="J2372" s="184"/>
      <c r="K2372" s="184"/>
      <c r="L2372" s="184"/>
      <c r="M2372" s="184"/>
      <c r="N2372" s="184"/>
      <c r="O2372" s="184"/>
    </row>
    <row r="2373" customFormat="false" ht="15" hidden="false" customHeight="true" outlineLevel="0" collapsed="false">
      <c r="A2373" s="184"/>
      <c r="B2373" s="184"/>
      <c r="C2373" s="184"/>
      <c r="D2373" s="184"/>
      <c r="E2373" s="184"/>
      <c r="F2373" s="184"/>
      <c r="G2373" s="184"/>
      <c r="H2373" s="184"/>
      <c r="I2373" s="184"/>
      <c r="J2373" s="184"/>
      <c r="K2373" s="184"/>
      <c r="L2373" s="184"/>
      <c r="M2373" s="184"/>
      <c r="N2373" s="184"/>
      <c r="O2373" s="184"/>
    </row>
    <row r="2374" customFormat="false" ht="15" hidden="false" customHeight="true" outlineLevel="0" collapsed="false">
      <c r="A2374" s="184"/>
      <c r="B2374" s="184"/>
      <c r="C2374" s="184"/>
      <c r="D2374" s="184"/>
      <c r="E2374" s="184"/>
      <c r="F2374" s="184"/>
      <c r="G2374" s="184"/>
      <c r="H2374" s="184"/>
      <c r="I2374" s="184"/>
      <c r="J2374" s="184"/>
      <c r="K2374" s="184"/>
      <c r="L2374" s="184"/>
      <c r="M2374" s="184"/>
      <c r="N2374" s="184"/>
      <c r="O2374" s="184"/>
    </row>
    <row r="2375" customFormat="false" ht="15" hidden="false" customHeight="true" outlineLevel="0" collapsed="false">
      <c r="A2375" s="184"/>
      <c r="B2375" s="184"/>
      <c r="C2375" s="184"/>
      <c r="D2375" s="184"/>
      <c r="E2375" s="184"/>
      <c r="F2375" s="184"/>
      <c r="G2375" s="184"/>
      <c r="H2375" s="184"/>
      <c r="I2375" s="184"/>
      <c r="J2375" s="184"/>
      <c r="K2375" s="184"/>
      <c r="L2375" s="184"/>
      <c r="M2375" s="184"/>
      <c r="N2375" s="184"/>
      <c r="O2375" s="184"/>
    </row>
    <row r="2376" customFormat="false" ht="15" hidden="false" customHeight="true" outlineLevel="0" collapsed="false">
      <c r="A2376" s="184"/>
      <c r="B2376" s="184"/>
      <c r="C2376" s="184"/>
      <c r="D2376" s="184"/>
      <c r="E2376" s="184"/>
      <c r="F2376" s="184"/>
      <c r="G2376" s="184"/>
      <c r="H2376" s="184"/>
      <c r="I2376" s="184"/>
      <c r="J2376" s="184"/>
      <c r="K2376" s="184"/>
      <c r="L2376" s="184"/>
      <c r="M2376" s="184"/>
      <c r="N2376" s="184"/>
      <c r="O2376" s="184"/>
    </row>
    <row r="2377" customFormat="false" ht="15" hidden="false" customHeight="true" outlineLevel="0" collapsed="false">
      <c r="A2377" s="184"/>
      <c r="B2377" s="184"/>
      <c r="C2377" s="184"/>
      <c r="D2377" s="184"/>
      <c r="E2377" s="184"/>
      <c r="F2377" s="184"/>
      <c r="G2377" s="184"/>
      <c r="H2377" s="184"/>
      <c r="I2377" s="184"/>
      <c r="J2377" s="184"/>
      <c r="K2377" s="184"/>
      <c r="L2377" s="184"/>
      <c r="M2377" s="184"/>
      <c r="N2377" s="184"/>
      <c r="O2377" s="184"/>
    </row>
    <row r="2378" customFormat="false" ht="15" hidden="false" customHeight="true" outlineLevel="0" collapsed="false">
      <c r="A2378" s="184"/>
      <c r="B2378" s="184"/>
      <c r="C2378" s="184"/>
      <c r="D2378" s="184"/>
      <c r="E2378" s="184"/>
      <c r="F2378" s="184"/>
      <c r="G2378" s="184"/>
      <c r="H2378" s="184"/>
      <c r="I2378" s="184"/>
      <c r="J2378" s="184"/>
      <c r="K2378" s="184"/>
      <c r="L2378" s="184"/>
      <c r="M2378" s="184"/>
      <c r="N2378" s="184"/>
      <c r="O2378" s="184"/>
    </row>
    <row r="2379" customFormat="false" ht="15" hidden="false" customHeight="true" outlineLevel="0" collapsed="false">
      <c r="A2379" s="184"/>
      <c r="B2379" s="184"/>
      <c r="C2379" s="184"/>
      <c r="D2379" s="184"/>
      <c r="E2379" s="184"/>
      <c r="F2379" s="184"/>
      <c r="G2379" s="184"/>
      <c r="H2379" s="184"/>
      <c r="I2379" s="184"/>
      <c r="J2379" s="184"/>
      <c r="K2379" s="184"/>
      <c r="L2379" s="184"/>
      <c r="M2379" s="184"/>
      <c r="N2379" s="184"/>
      <c r="O2379" s="184"/>
    </row>
    <row r="2380" customFormat="false" ht="15" hidden="false" customHeight="true" outlineLevel="0" collapsed="false">
      <c r="A2380" s="184"/>
      <c r="B2380" s="184"/>
      <c r="C2380" s="184"/>
      <c r="D2380" s="184"/>
      <c r="E2380" s="184"/>
      <c r="F2380" s="184"/>
      <c r="G2380" s="184"/>
      <c r="H2380" s="184"/>
      <c r="I2380" s="184"/>
      <c r="J2380" s="184"/>
      <c r="K2380" s="184"/>
      <c r="L2380" s="184"/>
      <c r="M2380" s="184"/>
      <c r="N2380" s="184"/>
      <c r="O2380" s="184"/>
    </row>
    <row r="2381" customFormat="false" ht="15" hidden="false" customHeight="true" outlineLevel="0" collapsed="false">
      <c r="A2381" s="184"/>
      <c r="B2381" s="184"/>
      <c r="C2381" s="184"/>
      <c r="D2381" s="184"/>
      <c r="E2381" s="184"/>
      <c r="F2381" s="184"/>
      <c r="G2381" s="184"/>
      <c r="H2381" s="184"/>
      <c r="I2381" s="184"/>
      <c r="J2381" s="184"/>
      <c r="K2381" s="184"/>
      <c r="L2381" s="184"/>
      <c r="M2381" s="184"/>
      <c r="N2381" s="184"/>
      <c r="O2381" s="184"/>
    </row>
    <row r="2382" customFormat="false" ht="15" hidden="false" customHeight="true" outlineLevel="0" collapsed="false">
      <c r="A2382" s="184"/>
      <c r="B2382" s="184"/>
      <c r="C2382" s="184"/>
      <c r="D2382" s="184"/>
      <c r="E2382" s="184"/>
      <c r="F2382" s="184"/>
      <c r="G2382" s="184"/>
      <c r="H2382" s="184"/>
      <c r="I2382" s="184"/>
      <c r="J2382" s="184"/>
      <c r="K2382" s="184"/>
      <c r="L2382" s="184"/>
      <c r="M2382" s="184"/>
      <c r="N2382" s="184"/>
      <c r="O2382" s="184"/>
    </row>
    <row r="2383" customFormat="false" ht="15" hidden="false" customHeight="true" outlineLevel="0" collapsed="false">
      <c r="A2383" s="184"/>
      <c r="B2383" s="184"/>
      <c r="C2383" s="184"/>
      <c r="D2383" s="184"/>
      <c r="E2383" s="184"/>
      <c r="F2383" s="184"/>
      <c r="G2383" s="184"/>
      <c r="H2383" s="184"/>
      <c r="I2383" s="184"/>
      <c r="J2383" s="184"/>
      <c r="K2383" s="184"/>
      <c r="L2383" s="184"/>
      <c r="M2383" s="184"/>
      <c r="N2383" s="184"/>
      <c r="O2383" s="184"/>
    </row>
    <row r="2384" customFormat="false" ht="15" hidden="false" customHeight="true" outlineLevel="0" collapsed="false">
      <c r="A2384" s="184"/>
      <c r="B2384" s="184"/>
      <c r="C2384" s="184"/>
      <c r="D2384" s="184"/>
      <c r="E2384" s="184"/>
      <c r="F2384" s="184"/>
      <c r="G2384" s="184"/>
      <c r="H2384" s="184"/>
      <c r="I2384" s="184"/>
      <c r="J2384" s="184"/>
      <c r="K2384" s="184"/>
      <c r="L2384" s="184"/>
      <c r="M2384" s="184"/>
      <c r="N2384" s="184"/>
      <c r="O2384" s="184"/>
    </row>
    <row r="2385" customFormat="false" ht="15" hidden="false" customHeight="true" outlineLevel="0" collapsed="false">
      <c r="A2385" s="184"/>
      <c r="B2385" s="184"/>
      <c r="C2385" s="184"/>
      <c r="D2385" s="184"/>
      <c r="E2385" s="184"/>
      <c r="F2385" s="184"/>
      <c r="G2385" s="184"/>
      <c r="H2385" s="184"/>
      <c r="I2385" s="184"/>
      <c r="J2385" s="184"/>
      <c r="K2385" s="184"/>
      <c r="L2385" s="184"/>
      <c r="M2385" s="184"/>
      <c r="N2385" s="184"/>
      <c r="O2385" s="184"/>
    </row>
    <row r="2386" customFormat="false" ht="15" hidden="false" customHeight="true" outlineLevel="0" collapsed="false">
      <c r="A2386" s="184"/>
      <c r="B2386" s="184"/>
      <c r="C2386" s="184"/>
      <c r="D2386" s="184"/>
      <c r="E2386" s="184"/>
      <c r="F2386" s="184"/>
      <c r="G2386" s="184"/>
      <c r="H2386" s="184"/>
      <c r="I2386" s="184"/>
      <c r="J2386" s="184"/>
      <c r="K2386" s="184"/>
      <c r="L2386" s="184"/>
      <c r="M2386" s="184"/>
      <c r="N2386" s="184"/>
      <c r="O2386" s="184"/>
    </row>
    <row r="2387" customFormat="false" ht="15" hidden="false" customHeight="true" outlineLevel="0" collapsed="false">
      <c r="A2387" s="184" t="s">
        <v>4927</v>
      </c>
      <c r="B2387" s="184" t="s">
        <v>4928</v>
      </c>
      <c r="C2387" s="184" t="n">
        <v>1</v>
      </c>
      <c r="D2387" s="178" t="s">
        <v>5269</v>
      </c>
      <c r="E2387" s="184" t="s">
        <v>2895</v>
      </c>
      <c r="F2387" s="184"/>
      <c r="G2387" s="184"/>
      <c r="H2387" s="184"/>
      <c r="I2387" s="184"/>
      <c r="J2387" s="184"/>
      <c r="K2387" s="184"/>
      <c r="L2387" s="184"/>
      <c r="M2387" s="184" t="s">
        <v>6291</v>
      </c>
      <c r="N2387" s="184"/>
      <c r="O2387" s="184"/>
    </row>
    <row r="2388" customFormat="false" ht="15" hidden="false" customHeight="true" outlineLevel="0" collapsed="false">
      <c r="A2388" s="184" t="s">
        <v>4927</v>
      </c>
      <c r="B2388" s="184" t="s">
        <v>4928</v>
      </c>
      <c r="C2388" s="184" t="n">
        <v>2</v>
      </c>
      <c r="D2388" s="179" t="s">
        <v>6292</v>
      </c>
      <c r="E2388" s="184" t="s">
        <v>6964</v>
      </c>
      <c r="F2388" s="184"/>
      <c r="G2388" s="184"/>
      <c r="H2388" s="184"/>
      <c r="I2388" s="184"/>
      <c r="J2388" s="184"/>
      <c r="K2388" s="184"/>
      <c r="L2388" s="184"/>
      <c r="M2388" s="184"/>
      <c r="N2388" s="184"/>
      <c r="O2388" s="184"/>
    </row>
    <row r="2389" customFormat="false" ht="15" hidden="false" customHeight="true" outlineLevel="0" collapsed="false">
      <c r="A2389" s="184" t="s">
        <v>4927</v>
      </c>
      <c r="B2389" s="184" t="s">
        <v>4928</v>
      </c>
      <c r="C2389" s="184" t="n">
        <v>3</v>
      </c>
      <c r="D2389" s="184" t="s">
        <v>6294</v>
      </c>
      <c r="E2389" s="184" t="s">
        <v>6965</v>
      </c>
      <c r="F2389" s="184"/>
      <c r="G2389" s="184"/>
      <c r="H2389" s="184"/>
      <c r="I2389" s="184"/>
      <c r="J2389" s="184"/>
      <c r="K2389" s="184"/>
      <c r="L2389" s="184"/>
      <c r="M2389" s="184"/>
      <c r="N2389" s="184"/>
      <c r="O2389" s="184"/>
    </row>
    <row r="2390" customFormat="false" ht="41.25" hidden="false" customHeight="true" outlineLevel="0" collapsed="false">
      <c r="A2390" s="184" t="s">
        <v>4927</v>
      </c>
      <c r="B2390" s="184" t="s">
        <v>4928</v>
      </c>
      <c r="C2390" s="184" t="n">
        <v>4</v>
      </c>
      <c r="D2390" s="184" t="s">
        <v>4790</v>
      </c>
      <c r="E2390" s="184" t="s">
        <v>6966</v>
      </c>
      <c r="F2390" s="184"/>
      <c r="G2390" s="184"/>
      <c r="H2390" s="184"/>
      <c r="I2390" s="184"/>
      <c r="J2390" s="184"/>
      <c r="K2390" s="184"/>
      <c r="L2390" s="184"/>
      <c r="M2390" s="184" t="s">
        <v>6967</v>
      </c>
      <c r="N2390" s="184"/>
      <c r="O2390" s="184"/>
    </row>
    <row r="2391" customFormat="false" ht="15" hidden="false" customHeight="true" outlineLevel="0" collapsed="false">
      <c r="A2391" s="184" t="s">
        <v>4927</v>
      </c>
      <c r="B2391" s="184" t="s">
        <v>4928</v>
      </c>
      <c r="C2391" s="184" t="n">
        <v>5</v>
      </c>
      <c r="D2391" s="178" t="s">
        <v>6457</v>
      </c>
      <c r="E2391" s="184" t="s">
        <v>6968</v>
      </c>
      <c r="F2391" s="184"/>
      <c r="G2391" s="184"/>
      <c r="H2391" s="184"/>
      <c r="I2391" s="184"/>
      <c r="J2391" s="184"/>
      <c r="K2391" s="184"/>
      <c r="L2391" s="184"/>
      <c r="M2391" s="184" t="s">
        <v>6969</v>
      </c>
      <c r="N2391" s="184"/>
      <c r="O2391" s="184"/>
    </row>
    <row r="2392" customFormat="false" ht="15" hidden="false" customHeight="true" outlineLevel="0" collapsed="false">
      <c r="A2392" s="184" t="s">
        <v>4927</v>
      </c>
      <c r="B2392" s="184" t="s">
        <v>4928</v>
      </c>
      <c r="C2392" s="184" t="n">
        <v>6</v>
      </c>
      <c r="D2392" s="184" t="s">
        <v>6970</v>
      </c>
      <c r="E2392" s="184" t="s">
        <v>6971</v>
      </c>
      <c r="F2392" s="184"/>
      <c r="G2392" s="184"/>
      <c r="H2392" s="184"/>
      <c r="I2392" s="184"/>
      <c r="J2392" s="184"/>
      <c r="K2392" s="184"/>
      <c r="L2392" s="184"/>
      <c r="M2392" s="184"/>
      <c r="N2392" s="184"/>
      <c r="O2392" s="184"/>
    </row>
    <row r="2393" customFormat="false" ht="15" hidden="false" customHeight="true" outlineLevel="0" collapsed="false">
      <c r="A2393" s="184" t="s">
        <v>4927</v>
      </c>
      <c r="B2393" s="184" t="s">
        <v>4928</v>
      </c>
      <c r="C2393" s="184" t="n">
        <v>7</v>
      </c>
      <c r="D2393" s="184" t="s">
        <v>6970</v>
      </c>
      <c r="E2393" s="184" t="s">
        <v>6972</v>
      </c>
      <c r="F2393" s="184"/>
      <c r="G2393" s="184"/>
      <c r="H2393" s="184"/>
      <c r="I2393" s="184"/>
      <c r="J2393" s="184"/>
      <c r="K2393" s="184"/>
      <c r="L2393" s="184"/>
      <c r="M2393" s="184"/>
      <c r="N2393" s="184"/>
      <c r="O2393" s="184"/>
    </row>
    <row r="2394" customFormat="false" ht="27.75" hidden="false" customHeight="true" outlineLevel="0" collapsed="false">
      <c r="A2394" s="184" t="s">
        <v>4927</v>
      </c>
      <c r="B2394" s="184" t="s">
        <v>4928</v>
      </c>
      <c r="C2394" s="184" t="n">
        <v>8</v>
      </c>
      <c r="D2394" s="184" t="s">
        <v>6970</v>
      </c>
      <c r="E2394" s="184" t="s">
        <v>6973</v>
      </c>
      <c r="F2394" s="184"/>
      <c r="G2394" s="184"/>
      <c r="H2394" s="184"/>
      <c r="I2394" s="184"/>
      <c r="J2394" s="184"/>
      <c r="K2394" s="184"/>
      <c r="L2394" s="184"/>
      <c r="M2394" s="184"/>
      <c r="N2394" s="184"/>
      <c r="O2394" s="184"/>
    </row>
    <row r="2395" customFormat="false" ht="15" hidden="false" customHeight="true" outlineLevel="0" collapsed="false">
      <c r="A2395" s="184" t="s">
        <v>4927</v>
      </c>
      <c r="B2395" s="184" t="s">
        <v>4928</v>
      </c>
      <c r="C2395" s="184" t="n">
        <v>9</v>
      </c>
      <c r="D2395" s="184" t="s">
        <v>6970</v>
      </c>
      <c r="E2395" s="184" t="s">
        <v>6974</v>
      </c>
      <c r="F2395" s="184"/>
      <c r="G2395" s="184"/>
      <c r="H2395" s="184"/>
      <c r="I2395" s="184"/>
      <c r="J2395" s="184"/>
      <c r="K2395" s="184"/>
      <c r="L2395" s="184"/>
      <c r="M2395" s="184"/>
      <c r="N2395" s="184"/>
      <c r="O2395" s="184"/>
    </row>
    <row r="2396" customFormat="false" ht="15" hidden="false" customHeight="true" outlineLevel="0" collapsed="false">
      <c r="A2396" s="184" t="s">
        <v>4927</v>
      </c>
      <c r="B2396" s="184" t="s">
        <v>4928</v>
      </c>
      <c r="C2396" s="184" t="n">
        <v>10</v>
      </c>
      <c r="D2396" s="184" t="s">
        <v>6970</v>
      </c>
      <c r="E2396" s="184" t="s">
        <v>6975</v>
      </c>
      <c r="F2396" s="184"/>
      <c r="G2396" s="184"/>
      <c r="H2396" s="184"/>
      <c r="I2396" s="184"/>
      <c r="J2396" s="184"/>
      <c r="K2396" s="184"/>
      <c r="L2396" s="184"/>
      <c r="M2396" s="184"/>
      <c r="N2396" s="184"/>
      <c r="O2396" s="184"/>
    </row>
    <row r="2397" customFormat="false" ht="15" hidden="false" customHeight="true" outlineLevel="0" collapsed="false">
      <c r="A2397" s="184" t="s">
        <v>4927</v>
      </c>
      <c r="B2397" s="184" t="s">
        <v>4928</v>
      </c>
      <c r="C2397" s="184" t="n">
        <v>11</v>
      </c>
      <c r="D2397" s="177" t="s">
        <v>6429</v>
      </c>
      <c r="E2397" s="184" t="s">
        <v>3408</v>
      </c>
      <c r="F2397" s="184"/>
      <c r="G2397" s="184"/>
      <c r="H2397" s="184"/>
      <c r="I2397" s="184"/>
      <c r="J2397" s="184"/>
      <c r="K2397" s="184"/>
      <c r="L2397" s="184"/>
      <c r="M2397" s="184"/>
      <c r="N2397" s="184"/>
      <c r="O2397" s="184"/>
    </row>
    <row r="2398" customFormat="false" ht="27.75" hidden="false" customHeight="true" outlineLevel="0" collapsed="false">
      <c r="A2398" s="184" t="s">
        <v>4927</v>
      </c>
      <c r="B2398" s="184" t="s">
        <v>4928</v>
      </c>
      <c r="C2398" s="184" t="n">
        <v>12</v>
      </c>
      <c r="D2398" s="184" t="s">
        <v>4790</v>
      </c>
      <c r="E2398" s="184" t="s">
        <v>6976</v>
      </c>
      <c r="F2398" s="184"/>
      <c r="G2398" s="184"/>
      <c r="H2398" s="184"/>
      <c r="I2398" s="184"/>
      <c r="J2398" s="184"/>
      <c r="K2398" s="184"/>
      <c r="L2398" s="184"/>
      <c r="M2398" s="184" t="s">
        <v>6977</v>
      </c>
      <c r="N2398" s="184"/>
      <c r="O2398" s="184"/>
    </row>
    <row r="2399" customFormat="false" ht="15" hidden="false" customHeight="true" outlineLevel="0" collapsed="false">
      <c r="A2399" s="184" t="s">
        <v>4927</v>
      </c>
      <c r="B2399" s="184" t="s">
        <v>4928</v>
      </c>
      <c r="C2399" s="184" t="n">
        <v>13</v>
      </c>
      <c r="D2399" s="178" t="s">
        <v>5269</v>
      </c>
      <c r="E2399" s="184" t="s">
        <v>6978</v>
      </c>
      <c r="F2399" s="184"/>
      <c r="G2399" s="184"/>
      <c r="H2399" s="184"/>
      <c r="I2399" s="184"/>
      <c r="J2399" s="184"/>
      <c r="K2399" s="184"/>
      <c r="L2399" s="184"/>
      <c r="M2399" s="184" t="s">
        <v>6979</v>
      </c>
      <c r="N2399" s="184"/>
      <c r="O2399" s="184"/>
    </row>
    <row r="2400" customFormat="false" ht="15" hidden="false" customHeight="true" outlineLevel="0" collapsed="false">
      <c r="A2400" s="184" t="s">
        <v>4927</v>
      </c>
      <c r="B2400" s="184" t="s">
        <v>4928</v>
      </c>
      <c r="C2400" s="184" t="n">
        <v>14</v>
      </c>
      <c r="D2400" s="179" t="s">
        <v>6292</v>
      </c>
      <c r="E2400" s="184" t="s">
        <v>6980</v>
      </c>
      <c r="F2400" s="184"/>
      <c r="G2400" s="184"/>
      <c r="H2400" s="184"/>
      <c r="I2400" s="184"/>
      <c r="J2400" s="184"/>
      <c r="K2400" s="184"/>
      <c r="L2400" s="184"/>
      <c r="M2400" s="184"/>
      <c r="N2400" s="184"/>
      <c r="O2400" s="184"/>
    </row>
    <row r="2401" customFormat="false" ht="15" hidden="false" customHeight="true" outlineLevel="0" collapsed="false">
      <c r="A2401" s="184" t="s">
        <v>4927</v>
      </c>
      <c r="B2401" s="184" t="s">
        <v>4928</v>
      </c>
      <c r="C2401" s="184" t="n">
        <v>15</v>
      </c>
      <c r="D2401" s="178" t="s">
        <v>6457</v>
      </c>
      <c r="E2401" s="184" t="s">
        <v>6981</v>
      </c>
      <c r="F2401" s="184"/>
      <c r="G2401" s="184"/>
      <c r="H2401" s="184"/>
      <c r="I2401" s="184"/>
      <c r="J2401" s="184"/>
      <c r="K2401" s="184"/>
      <c r="L2401" s="184"/>
      <c r="M2401" s="184" t="s">
        <v>6982</v>
      </c>
      <c r="N2401" s="184"/>
      <c r="O2401" s="184"/>
    </row>
    <row r="2402" customFormat="false" ht="15" hidden="false" customHeight="true" outlineLevel="0" collapsed="false">
      <c r="A2402" s="184" t="s">
        <v>4927</v>
      </c>
      <c r="B2402" s="184" t="s">
        <v>4928</v>
      </c>
      <c r="C2402" s="184" t="n">
        <v>16</v>
      </c>
      <c r="D2402" s="184" t="s">
        <v>4790</v>
      </c>
      <c r="E2402" s="184" t="s">
        <v>6983</v>
      </c>
      <c r="F2402" s="184"/>
      <c r="G2402" s="184"/>
      <c r="H2402" s="184"/>
      <c r="I2402" s="184"/>
      <c r="J2402" s="184"/>
      <c r="K2402" s="184"/>
      <c r="L2402" s="184"/>
      <c r="M2402" s="184" t="s">
        <v>6984</v>
      </c>
      <c r="N2402" s="184"/>
      <c r="O2402" s="184"/>
    </row>
    <row r="2403" customFormat="false" ht="15" hidden="false" customHeight="true" outlineLevel="0" collapsed="false">
      <c r="A2403" s="184" t="s">
        <v>4927</v>
      </c>
      <c r="B2403" s="184" t="s">
        <v>4928</v>
      </c>
      <c r="C2403" s="184" t="n">
        <v>17</v>
      </c>
      <c r="D2403" s="184" t="s">
        <v>4790</v>
      </c>
      <c r="E2403" s="184" t="s">
        <v>6985</v>
      </c>
      <c r="F2403" s="184"/>
      <c r="G2403" s="184"/>
      <c r="H2403" s="184"/>
      <c r="I2403" s="184"/>
      <c r="J2403" s="184"/>
      <c r="K2403" s="184"/>
      <c r="L2403" s="184"/>
      <c r="M2403" s="184" t="s">
        <v>6986</v>
      </c>
      <c r="N2403" s="184"/>
      <c r="O2403" s="184"/>
    </row>
    <row r="2404" customFormat="false" ht="15" hidden="false" customHeight="true" outlineLevel="0" collapsed="false">
      <c r="A2404" s="184" t="s">
        <v>4927</v>
      </c>
      <c r="B2404" s="184" t="s">
        <v>4928</v>
      </c>
      <c r="C2404" s="184" t="n">
        <v>18</v>
      </c>
      <c r="D2404" s="184" t="s">
        <v>4790</v>
      </c>
      <c r="E2404" s="184" t="s">
        <v>6987</v>
      </c>
      <c r="F2404" s="184"/>
      <c r="G2404" s="184"/>
      <c r="H2404" s="184"/>
      <c r="I2404" s="184"/>
      <c r="J2404" s="184"/>
      <c r="K2404" s="184"/>
      <c r="L2404" s="184"/>
      <c r="M2404" s="184" t="s">
        <v>6988</v>
      </c>
      <c r="N2404" s="184"/>
      <c r="O2404" s="184"/>
    </row>
    <row r="2405" customFormat="false" ht="15" hidden="false" customHeight="true" outlineLevel="0" collapsed="false">
      <c r="A2405" s="184" t="s">
        <v>4927</v>
      </c>
      <c r="B2405" s="184" t="s">
        <v>4928</v>
      </c>
      <c r="C2405" s="184" t="n">
        <v>19</v>
      </c>
      <c r="D2405" s="184" t="s">
        <v>4790</v>
      </c>
      <c r="E2405" s="184" t="s">
        <v>6989</v>
      </c>
      <c r="F2405" s="184"/>
      <c r="G2405" s="184"/>
      <c r="H2405" s="184"/>
      <c r="I2405" s="184"/>
      <c r="J2405" s="184"/>
      <c r="K2405" s="184"/>
      <c r="L2405" s="184"/>
      <c r="M2405" s="184" t="s">
        <v>6990</v>
      </c>
      <c r="N2405" s="184"/>
      <c r="O2405" s="184"/>
    </row>
    <row r="2406" customFormat="false" ht="15" hidden="false" customHeight="true" outlineLevel="0" collapsed="false">
      <c r="A2406" s="184" t="s">
        <v>4927</v>
      </c>
      <c r="B2406" s="184" t="s">
        <v>4928</v>
      </c>
      <c r="C2406" s="184" t="n">
        <v>20</v>
      </c>
      <c r="D2406" s="184" t="s">
        <v>4790</v>
      </c>
      <c r="E2406" s="184" t="s">
        <v>6991</v>
      </c>
      <c r="F2406" s="184"/>
      <c r="G2406" s="184"/>
      <c r="H2406" s="184"/>
      <c r="I2406" s="184"/>
      <c r="J2406" s="184"/>
      <c r="K2406" s="184"/>
      <c r="L2406" s="184"/>
      <c r="M2406" s="184" t="s">
        <v>6992</v>
      </c>
      <c r="N2406" s="184"/>
      <c r="O2406" s="184"/>
    </row>
    <row r="2407" customFormat="false" ht="15" hidden="false" customHeight="true" outlineLevel="0" collapsed="false">
      <c r="A2407" s="184" t="s">
        <v>4927</v>
      </c>
      <c r="B2407" s="184" t="s">
        <v>4928</v>
      </c>
      <c r="C2407" s="184" t="n">
        <v>21</v>
      </c>
      <c r="D2407" s="179" t="s">
        <v>6292</v>
      </c>
      <c r="E2407" s="184" t="s">
        <v>6993</v>
      </c>
      <c r="F2407" s="184"/>
      <c r="G2407" s="184"/>
      <c r="H2407" s="184"/>
      <c r="I2407" s="184"/>
      <c r="J2407" s="184"/>
      <c r="K2407" s="184"/>
      <c r="L2407" s="184"/>
      <c r="M2407" s="184"/>
      <c r="N2407" s="184"/>
      <c r="O2407" s="184"/>
    </row>
    <row r="2408" customFormat="false" ht="15" hidden="false" customHeight="true" outlineLevel="0" collapsed="false">
      <c r="A2408" s="184" t="s">
        <v>4927</v>
      </c>
      <c r="B2408" s="184" t="s">
        <v>4928</v>
      </c>
      <c r="C2408" s="184" t="n">
        <v>22</v>
      </c>
      <c r="D2408" s="178" t="s">
        <v>5269</v>
      </c>
      <c r="E2408" s="184" t="s">
        <v>6994</v>
      </c>
      <c r="F2408" s="184"/>
      <c r="G2408" s="184"/>
      <c r="H2408" s="184"/>
      <c r="I2408" s="184"/>
      <c r="J2408" s="184"/>
      <c r="K2408" s="184"/>
      <c r="L2408" s="184"/>
      <c r="M2408" s="184" t="s">
        <v>6995</v>
      </c>
      <c r="N2408" s="184"/>
      <c r="O2408" s="184"/>
    </row>
    <row r="2409" customFormat="false" ht="15" hidden="false" customHeight="true" outlineLevel="0" collapsed="false">
      <c r="A2409" s="184" t="s">
        <v>4927</v>
      </c>
      <c r="B2409" s="184" t="s">
        <v>4928</v>
      </c>
      <c r="C2409" s="184" t="n">
        <v>23</v>
      </c>
      <c r="D2409" s="178" t="s">
        <v>5269</v>
      </c>
      <c r="E2409" s="184" t="s">
        <v>6996</v>
      </c>
      <c r="F2409" s="184"/>
      <c r="G2409" s="184"/>
      <c r="H2409" s="184"/>
      <c r="I2409" s="184"/>
      <c r="J2409" s="184"/>
      <c r="K2409" s="184"/>
      <c r="L2409" s="184"/>
      <c r="M2409" s="184" t="s">
        <v>6997</v>
      </c>
      <c r="N2409" s="184"/>
      <c r="O2409" s="184"/>
    </row>
    <row r="2410" customFormat="false" ht="15" hidden="false" customHeight="true" outlineLevel="0" collapsed="false">
      <c r="A2410" s="184" t="s">
        <v>4927</v>
      </c>
      <c r="B2410" s="184" t="s">
        <v>4928</v>
      </c>
      <c r="C2410" s="184" t="n">
        <v>24</v>
      </c>
      <c r="D2410" s="178" t="s">
        <v>5269</v>
      </c>
      <c r="E2410" s="184" t="s">
        <v>6998</v>
      </c>
      <c r="F2410" s="184"/>
      <c r="G2410" s="184"/>
      <c r="H2410" s="184"/>
      <c r="I2410" s="184"/>
      <c r="J2410" s="184"/>
      <c r="K2410" s="184"/>
      <c r="L2410" s="184"/>
      <c r="M2410" s="184" t="s">
        <v>6641</v>
      </c>
      <c r="N2410" s="184"/>
      <c r="O2410" s="184"/>
    </row>
    <row r="2411" customFormat="false" ht="15" hidden="false" customHeight="true" outlineLevel="0" collapsed="false">
      <c r="A2411" s="184" t="s">
        <v>4927</v>
      </c>
      <c r="B2411" s="184" t="s">
        <v>4928</v>
      </c>
      <c r="C2411" s="184" t="n">
        <v>25</v>
      </c>
      <c r="D2411" s="178" t="s">
        <v>5269</v>
      </c>
      <c r="E2411" s="184" t="s">
        <v>6999</v>
      </c>
      <c r="F2411" s="184"/>
      <c r="G2411" s="184"/>
      <c r="H2411" s="184"/>
      <c r="I2411" s="184"/>
      <c r="J2411" s="184"/>
      <c r="K2411" s="184"/>
      <c r="L2411" s="184"/>
      <c r="M2411" s="184" t="s">
        <v>7000</v>
      </c>
      <c r="N2411" s="184"/>
      <c r="O2411" s="184"/>
    </row>
    <row r="2412" customFormat="false" ht="27.75" hidden="false" customHeight="true" outlineLevel="0" collapsed="false">
      <c r="A2412" s="184" t="s">
        <v>4927</v>
      </c>
      <c r="B2412" s="184" t="s">
        <v>4928</v>
      </c>
      <c r="C2412" s="184" t="n">
        <v>26</v>
      </c>
      <c r="D2412" s="177" t="s">
        <v>5276</v>
      </c>
      <c r="E2412" s="184" t="s">
        <v>7001</v>
      </c>
      <c r="F2412" s="184"/>
      <c r="G2412" s="184"/>
      <c r="H2412" s="184"/>
      <c r="I2412" s="184"/>
      <c r="J2412" s="184"/>
      <c r="K2412" s="184"/>
      <c r="L2412" s="184"/>
      <c r="M2412" s="184"/>
      <c r="N2412" s="184"/>
      <c r="O2412" s="184"/>
    </row>
    <row r="2413" customFormat="false" ht="15" hidden="false" customHeight="true" outlineLevel="0" collapsed="false">
      <c r="A2413" s="184"/>
      <c r="B2413" s="184"/>
      <c r="C2413" s="184"/>
      <c r="D2413" s="184"/>
      <c r="E2413" s="184"/>
      <c r="F2413" s="184"/>
      <c r="G2413" s="184"/>
      <c r="H2413" s="184"/>
      <c r="I2413" s="184"/>
      <c r="J2413" s="184"/>
      <c r="K2413" s="184"/>
      <c r="L2413" s="184"/>
      <c r="M2413" s="184"/>
      <c r="N2413" s="184"/>
      <c r="O2413" s="184"/>
    </row>
    <row r="2414" customFormat="false" ht="15" hidden="false" customHeight="true" outlineLevel="0" collapsed="false">
      <c r="A2414" s="184"/>
      <c r="B2414" s="184"/>
      <c r="C2414" s="184"/>
      <c r="D2414" s="184"/>
      <c r="E2414" s="184"/>
      <c r="F2414" s="184"/>
      <c r="G2414" s="184"/>
      <c r="H2414" s="184"/>
      <c r="I2414" s="184"/>
      <c r="J2414" s="184"/>
      <c r="K2414" s="184"/>
      <c r="L2414" s="184"/>
      <c r="M2414" s="184"/>
      <c r="N2414" s="184"/>
      <c r="O2414" s="184"/>
    </row>
    <row r="2415" customFormat="false" ht="15" hidden="false" customHeight="true" outlineLevel="0" collapsed="false">
      <c r="A2415" s="184"/>
      <c r="B2415" s="184"/>
      <c r="C2415" s="184"/>
      <c r="D2415" s="184"/>
      <c r="E2415" s="184"/>
      <c r="F2415" s="184"/>
      <c r="G2415" s="184"/>
      <c r="H2415" s="184"/>
      <c r="I2415" s="184"/>
      <c r="J2415" s="184"/>
      <c r="K2415" s="184"/>
      <c r="L2415" s="184"/>
      <c r="M2415" s="184"/>
      <c r="N2415" s="184"/>
      <c r="O2415" s="184"/>
    </row>
    <row r="2416" customFormat="false" ht="15" hidden="false" customHeight="true" outlineLevel="0" collapsed="false">
      <c r="A2416" s="184"/>
      <c r="B2416" s="184"/>
      <c r="C2416" s="184"/>
      <c r="D2416" s="184"/>
      <c r="E2416" s="184"/>
      <c r="F2416" s="184"/>
      <c r="G2416" s="184"/>
      <c r="H2416" s="184"/>
      <c r="I2416" s="184"/>
      <c r="J2416" s="184"/>
      <c r="K2416" s="184"/>
      <c r="L2416" s="184"/>
      <c r="M2416" s="184"/>
      <c r="N2416" s="184"/>
      <c r="O2416" s="184"/>
    </row>
    <row r="2417" customFormat="false" ht="15" hidden="false" customHeight="true" outlineLevel="0" collapsed="false">
      <c r="A2417" s="184"/>
      <c r="B2417" s="184"/>
      <c r="C2417" s="184"/>
      <c r="D2417" s="184"/>
      <c r="E2417" s="184"/>
      <c r="F2417" s="184"/>
      <c r="G2417" s="184"/>
      <c r="H2417" s="184"/>
      <c r="I2417" s="184"/>
      <c r="J2417" s="184"/>
      <c r="K2417" s="184"/>
      <c r="L2417" s="184"/>
      <c r="M2417" s="184"/>
      <c r="N2417" s="184"/>
      <c r="O2417" s="184"/>
    </row>
    <row r="2418" customFormat="false" ht="15" hidden="false" customHeight="true" outlineLevel="0" collapsed="false">
      <c r="A2418" s="184"/>
      <c r="B2418" s="184"/>
      <c r="C2418" s="184"/>
      <c r="D2418" s="184"/>
      <c r="E2418" s="184"/>
      <c r="F2418" s="184"/>
      <c r="G2418" s="184"/>
      <c r="H2418" s="184"/>
      <c r="I2418" s="184"/>
      <c r="J2418" s="184"/>
      <c r="K2418" s="184"/>
      <c r="L2418" s="184"/>
      <c r="M2418" s="184"/>
      <c r="N2418" s="184"/>
      <c r="O2418" s="184"/>
    </row>
    <row r="2419" customFormat="false" ht="15" hidden="false" customHeight="true" outlineLevel="0" collapsed="false">
      <c r="A2419" s="184"/>
      <c r="B2419" s="184"/>
      <c r="C2419" s="184"/>
      <c r="D2419" s="184"/>
      <c r="E2419" s="184"/>
      <c r="F2419" s="184"/>
      <c r="G2419" s="184"/>
      <c r="H2419" s="184"/>
      <c r="I2419" s="184"/>
      <c r="J2419" s="184"/>
      <c r="K2419" s="184"/>
      <c r="L2419" s="184"/>
      <c r="M2419" s="184"/>
      <c r="N2419" s="184"/>
      <c r="O2419" s="184"/>
    </row>
    <row r="2420" customFormat="false" ht="15" hidden="false" customHeight="true" outlineLevel="0" collapsed="false">
      <c r="A2420" s="184"/>
      <c r="B2420" s="184"/>
      <c r="C2420" s="184"/>
      <c r="D2420" s="184"/>
      <c r="E2420" s="184"/>
      <c r="F2420" s="184"/>
      <c r="G2420" s="184"/>
      <c r="H2420" s="184"/>
      <c r="I2420" s="184"/>
      <c r="J2420" s="184"/>
      <c r="K2420" s="184"/>
      <c r="L2420" s="184"/>
      <c r="M2420" s="184"/>
      <c r="N2420" s="184"/>
      <c r="O2420" s="184"/>
    </row>
    <row r="2421" customFormat="false" ht="15" hidden="false" customHeight="true" outlineLevel="0" collapsed="false">
      <c r="A2421" s="184"/>
      <c r="B2421" s="184"/>
      <c r="C2421" s="184"/>
      <c r="D2421" s="184"/>
      <c r="E2421" s="184"/>
      <c r="F2421" s="184"/>
      <c r="G2421" s="184"/>
      <c r="H2421" s="184"/>
      <c r="I2421" s="184"/>
      <c r="J2421" s="184"/>
      <c r="K2421" s="184"/>
      <c r="L2421" s="184"/>
      <c r="M2421" s="184"/>
      <c r="N2421" s="184"/>
      <c r="O2421" s="184"/>
    </row>
    <row r="2422" customFormat="false" ht="15" hidden="false" customHeight="true" outlineLevel="0" collapsed="false">
      <c r="A2422" s="184"/>
      <c r="B2422" s="184"/>
      <c r="C2422" s="184"/>
      <c r="D2422" s="184"/>
      <c r="E2422" s="184"/>
      <c r="F2422" s="184"/>
      <c r="G2422" s="184"/>
      <c r="H2422" s="184"/>
      <c r="I2422" s="184"/>
      <c r="J2422" s="184"/>
      <c r="K2422" s="184"/>
      <c r="L2422" s="184"/>
      <c r="M2422" s="184"/>
      <c r="N2422" s="184"/>
      <c r="O2422" s="184"/>
    </row>
    <row r="2423" customFormat="false" ht="15" hidden="false" customHeight="true" outlineLevel="0" collapsed="false">
      <c r="A2423" s="184"/>
      <c r="B2423" s="184"/>
      <c r="C2423" s="184"/>
      <c r="D2423" s="184"/>
      <c r="E2423" s="184"/>
      <c r="F2423" s="184"/>
      <c r="G2423" s="184"/>
      <c r="H2423" s="184"/>
      <c r="I2423" s="184"/>
      <c r="J2423" s="184"/>
      <c r="K2423" s="184"/>
      <c r="L2423" s="184"/>
      <c r="M2423" s="184"/>
      <c r="N2423" s="184"/>
      <c r="O2423" s="184"/>
    </row>
    <row r="2424" customFormat="false" ht="15" hidden="false" customHeight="true" outlineLevel="0" collapsed="false">
      <c r="A2424" s="184"/>
      <c r="B2424" s="184"/>
      <c r="C2424" s="184"/>
      <c r="D2424" s="184"/>
      <c r="E2424" s="184"/>
      <c r="F2424" s="184"/>
      <c r="G2424" s="184"/>
      <c r="H2424" s="184"/>
      <c r="I2424" s="184"/>
      <c r="J2424" s="184"/>
      <c r="K2424" s="184"/>
      <c r="L2424" s="184"/>
      <c r="M2424" s="184"/>
      <c r="N2424" s="184"/>
      <c r="O2424" s="184"/>
    </row>
    <row r="2425" customFormat="false" ht="15" hidden="false" customHeight="true" outlineLevel="0" collapsed="false">
      <c r="A2425" s="184"/>
      <c r="B2425" s="184"/>
      <c r="C2425" s="184"/>
      <c r="D2425" s="184"/>
      <c r="E2425" s="184"/>
      <c r="F2425" s="184"/>
      <c r="G2425" s="184"/>
      <c r="H2425" s="184"/>
      <c r="I2425" s="184"/>
      <c r="J2425" s="184"/>
      <c r="K2425" s="184"/>
      <c r="L2425" s="184"/>
      <c r="M2425" s="184"/>
      <c r="N2425" s="184"/>
      <c r="O2425" s="184"/>
    </row>
    <row r="2426" customFormat="false" ht="15" hidden="false" customHeight="true" outlineLevel="0" collapsed="false">
      <c r="A2426" s="184"/>
      <c r="B2426" s="184"/>
      <c r="C2426" s="184"/>
      <c r="D2426" s="184"/>
      <c r="E2426" s="184"/>
      <c r="F2426" s="184"/>
      <c r="G2426" s="184"/>
      <c r="H2426" s="184"/>
      <c r="I2426" s="184"/>
      <c r="J2426" s="184"/>
      <c r="K2426" s="184"/>
      <c r="L2426" s="184"/>
      <c r="M2426" s="184"/>
      <c r="N2426" s="184"/>
      <c r="O2426" s="184"/>
    </row>
    <row r="2427" customFormat="false" ht="15" hidden="false" customHeight="true" outlineLevel="0" collapsed="false">
      <c r="A2427" s="184"/>
      <c r="B2427" s="184"/>
      <c r="C2427" s="184"/>
      <c r="D2427" s="184"/>
      <c r="E2427" s="184"/>
      <c r="F2427" s="184"/>
      <c r="G2427" s="184"/>
      <c r="H2427" s="184"/>
      <c r="I2427" s="184"/>
      <c r="J2427" s="184"/>
      <c r="K2427" s="184"/>
      <c r="L2427" s="184"/>
      <c r="M2427" s="184"/>
      <c r="N2427" s="184"/>
      <c r="O2427" s="184"/>
    </row>
    <row r="2428" customFormat="false" ht="15" hidden="false" customHeight="true" outlineLevel="0" collapsed="false">
      <c r="A2428" s="184"/>
      <c r="B2428" s="184"/>
      <c r="C2428" s="184"/>
      <c r="D2428" s="184"/>
      <c r="E2428" s="184"/>
      <c r="F2428" s="184"/>
      <c r="G2428" s="184"/>
      <c r="H2428" s="184"/>
      <c r="I2428" s="184"/>
      <c r="J2428" s="184"/>
      <c r="K2428" s="184"/>
      <c r="L2428" s="184"/>
      <c r="M2428" s="184"/>
      <c r="N2428" s="184"/>
      <c r="O2428" s="184"/>
    </row>
    <row r="2429" customFormat="false" ht="15" hidden="false" customHeight="true" outlineLevel="0" collapsed="false">
      <c r="A2429" s="184"/>
      <c r="B2429" s="184"/>
      <c r="C2429" s="184"/>
      <c r="D2429" s="184"/>
      <c r="E2429" s="184"/>
      <c r="F2429" s="184"/>
      <c r="G2429" s="184"/>
      <c r="H2429" s="184"/>
      <c r="I2429" s="184"/>
      <c r="J2429" s="184"/>
      <c r="K2429" s="184"/>
      <c r="L2429" s="184"/>
      <c r="M2429" s="184"/>
      <c r="N2429" s="184"/>
      <c r="O2429" s="184"/>
    </row>
    <row r="2430" customFormat="false" ht="15" hidden="false" customHeight="true" outlineLevel="0" collapsed="false">
      <c r="A2430" s="184"/>
      <c r="B2430" s="184"/>
      <c r="C2430" s="184"/>
      <c r="D2430" s="184"/>
      <c r="E2430" s="184"/>
      <c r="F2430" s="184"/>
      <c r="G2430" s="184"/>
      <c r="H2430" s="184"/>
      <c r="I2430" s="184"/>
      <c r="J2430" s="184"/>
      <c r="K2430" s="184"/>
      <c r="L2430" s="184"/>
      <c r="M2430" s="184"/>
      <c r="N2430" s="184"/>
      <c r="O2430" s="184"/>
    </row>
    <row r="2431" customFormat="false" ht="15" hidden="false" customHeight="true" outlineLevel="0" collapsed="false">
      <c r="A2431" s="184"/>
      <c r="B2431" s="184"/>
      <c r="C2431" s="184"/>
      <c r="D2431" s="184"/>
      <c r="E2431" s="184"/>
      <c r="F2431" s="184"/>
      <c r="G2431" s="184"/>
      <c r="H2431" s="184"/>
      <c r="I2431" s="184"/>
      <c r="J2431" s="184"/>
      <c r="K2431" s="184"/>
      <c r="L2431" s="184"/>
      <c r="M2431" s="184"/>
      <c r="N2431" s="184"/>
      <c r="O2431" s="184"/>
    </row>
    <row r="2432" customFormat="false" ht="15" hidden="false" customHeight="true" outlineLevel="0" collapsed="false">
      <c r="A2432" s="184"/>
      <c r="B2432" s="184"/>
      <c r="C2432" s="184"/>
      <c r="D2432" s="184"/>
      <c r="E2432" s="184"/>
      <c r="F2432" s="184"/>
      <c r="G2432" s="184"/>
      <c r="H2432" s="184"/>
      <c r="I2432" s="184"/>
      <c r="J2432" s="184"/>
      <c r="K2432" s="184"/>
      <c r="L2432" s="184"/>
      <c r="M2432" s="184"/>
      <c r="N2432" s="184"/>
      <c r="O2432" s="184"/>
    </row>
    <row r="2433" customFormat="false" ht="15" hidden="false" customHeight="true" outlineLevel="0" collapsed="false">
      <c r="A2433" s="184"/>
      <c r="B2433" s="184"/>
      <c r="C2433" s="184"/>
      <c r="D2433" s="184"/>
      <c r="E2433" s="184"/>
      <c r="F2433" s="184"/>
      <c r="G2433" s="184"/>
      <c r="H2433" s="184"/>
      <c r="I2433" s="184"/>
      <c r="J2433" s="184"/>
      <c r="K2433" s="184"/>
      <c r="L2433" s="184"/>
      <c r="M2433" s="184"/>
      <c r="N2433" s="184"/>
      <c r="O2433" s="184"/>
    </row>
    <row r="2434" customFormat="false" ht="15" hidden="false" customHeight="true" outlineLevel="0" collapsed="false">
      <c r="A2434" s="184"/>
      <c r="B2434" s="184"/>
      <c r="C2434" s="184"/>
      <c r="D2434" s="184"/>
      <c r="E2434" s="184"/>
      <c r="F2434" s="184"/>
      <c r="G2434" s="184"/>
      <c r="H2434" s="184"/>
      <c r="I2434" s="184"/>
      <c r="J2434" s="184"/>
      <c r="K2434" s="184"/>
      <c r="L2434" s="184"/>
      <c r="M2434" s="184"/>
      <c r="N2434" s="184"/>
      <c r="O2434" s="184"/>
    </row>
    <row r="2435" customFormat="false" ht="15" hidden="false" customHeight="true" outlineLevel="0" collapsed="false">
      <c r="A2435" s="184"/>
      <c r="B2435" s="184"/>
      <c r="C2435" s="184"/>
      <c r="D2435" s="184"/>
      <c r="E2435" s="184"/>
      <c r="F2435" s="184"/>
      <c r="G2435" s="184"/>
      <c r="H2435" s="184"/>
      <c r="I2435" s="184"/>
      <c r="J2435" s="184"/>
      <c r="K2435" s="184"/>
      <c r="L2435" s="184"/>
      <c r="M2435" s="184"/>
      <c r="N2435" s="184"/>
      <c r="O2435" s="184"/>
    </row>
    <row r="2436" customFormat="false" ht="15" hidden="false" customHeight="true" outlineLevel="0" collapsed="false">
      <c r="A2436" s="184"/>
      <c r="B2436" s="184"/>
      <c r="C2436" s="184"/>
      <c r="D2436" s="184"/>
      <c r="E2436" s="184"/>
      <c r="F2436" s="184"/>
      <c r="G2436" s="184"/>
      <c r="H2436" s="184"/>
      <c r="I2436" s="184"/>
      <c r="J2436" s="184"/>
      <c r="K2436" s="184"/>
      <c r="L2436" s="184"/>
      <c r="M2436" s="184"/>
      <c r="N2436" s="184"/>
      <c r="O2436" s="184"/>
    </row>
    <row r="2437" customFormat="false" ht="15" hidden="false" customHeight="true" outlineLevel="0" collapsed="false">
      <c r="A2437" s="184"/>
      <c r="B2437" s="184"/>
      <c r="C2437" s="184"/>
      <c r="D2437" s="184"/>
      <c r="E2437" s="184"/>
      <c r="F2437" s="184"/>
      <c r="G2437" s="184"/>
      <c r="H2437" s="184"/>
      <c r="I2437" s="184"/>
      <c r="J2437" s="184"/>
      <c r="K2437" s="184"/>
      <c r="L2437" s="184"/>
      <c r="M2437" s="184"/>
      <c r="N2437" s="184"/>
      <c r="O2437" s="184"/>
    </row>
    <row r="2438" customFormat="false" ht="15" hidden="false" customHeight="true" outlineLevel="0" collapsed="false">
      <c r="A2438" s="184"/>
      <c r="B2438" s="184"/>
      <c r="C2438" s="184"/>
      <c r="D2438" s="184"/>
      <c r="E2438" s="184"/>
      <c r="F2438" s="184"/>
      <c r="G2438" s="184"/>
      <c r="H2438" s="184"/>
      <c r="I2438" s="184"/>
      <c r="J2438" s="184"/>
      <c r="K2438" s="184"/>
      <c r="L2438" s="184"/>
      <c r="M2438" s="184"/>
      <c r="N2438" s="184"/>
      <c r="O2438" s="184"/>
    </row>
    <row r="2439" customFormat="false" ht="15" hidden="false" customHeight="true" outlineLevel="0" collapsed="false">
      <c r="A2439" s="184"/>
      <c r="B2439" s="184"/>
      <c r="C2439" s="184"/>
      <c r="D2439" s="184"/>
      <c r="E2439" s="184"/>
      <c r="F2439" s="184"/>
      <c r="G2439" s="184"/>
      <c r="H2439" s="184"/>
      <c r="I2439" s="184"/>
      <c r="J2439" s="184"/>
      <c r="K2439" s="184"/>
      <c r="L2439" s="184"/>
      <c r="M2439" s="184"/>
      <c r="N2439" s="184"/>
      <c r="O2439" s="184"/>
    </row>
    <row r="2440" customFormat="false" ht="15" hidden="false" customHeight="true" outlineLevel="0" collapsed="false">
      <c r="A2440" s="184"/>
      <c r="B2440" s="184"/>
      <c r="C2440" s="184"/>
      <c r="D2440" s="184"/>
      <c r="E2440" s="184"/>
      <c r="F2440" s="184"/>
      <c r="G2440" s="184"/>
      <c r="H2440" s="184"/>
      <c r="I2440" s="184"/>
      <c r="J2440" s="184"/>
      <c r="K2440" s="184"/>
      <c r="L2440" s="184"/>
      <c r="M2440" s="184"/>
      <c r="N2440" s="184"/>
      <c r="O2440" s="184"/>
    </row>
    <row r="2441" customFormat="false" ht="15" hidden="false" customHeight="true" outlineLevel="0" collapsed="false">
      <c r="A2441" s="184"/>
      <c r="B2441" s="184"/>
      <c r="C2441" s="184"/>
      <c r="D2441" s="184"/>
      <c r="E2441" s="184"/>
      <c r="F2441" s="184"/>
      <c r="G2441" s="184"/>
      <c r="H2441" s="184"/>
      <c r="I2441" s="184"/>
      <c r="J2441" s="184"/>
      <c r="K2441" s="184"/>
      <c r="L2441" s="184"/>
      <c r="M2441" s="184"/>
      <c r="N2441" s="184"/>
      <c r="O2441" s="184"/>
    </row>
    <row r="2442" customFormat="false" ht="15" hidden="false" customHeight="true" outlineLevel="0" collapsed="false">
      <c r="A2442" s="184"/>
      <c r="B2442" s="184"/>
      <c r="C2442" s="184"/>
      <c r="D2442" s="184"/>
      <c r="E2442" s="184"/>
      <c r="F2442" s="184"/>
      <c r="G2442" s="184"/>
      <c r="H2442" s="184"/>
      <c r="I2442" s="184"/>
      <c r="J2442" s="184"/>
      <c r="K2442" s="184"/>
      <c r="L2442" s="184"/>
      <c r="M2442" s="184"/>
      <c r="N2442" s="184"/>
      <c r="O2442" s="184"/>
    </row>
    <row r="2443" customFormat="false" ht="15" hidden="false" customHeight="true" outlineLevel="0" collapsed="false">
      <c r="A2443" s="184"/>
      <c r="B2443" s="184"/>
      <c r="C2443" s="184"/>
      <c r="D2443" s="184"/>
      <c r="E2443" s="184"/>
      <c r="F2443" s="184"/>
      <c r="G2443" s="184"/>
      <c r="H2443" s="184"/>
      <c r="I2443" s="184"/>
      <c r="J2443" s="184"/>
      <c r="K2443" s="184"/>
      <c r="L2443" s="184"/>
      <c r="M2443" s="184"/>
      <c r="N2443" s="184"/>
      <c r="O2443" s="184"/>
    </row>
    <row r="2444" customFormat="false" ht="15" hidden="false" customHeight="true" outlineLevel="0" collapsed="false">
      <c r="A2444" s="184"/>
      <c r="B2444" s="184"/>
      <c r="C2444" s="184"/>
      <c r="D2444" s="184"/>
      <c r="E2444" s="184"/>
      <c r="F2444" s="184"/>
      <c r="G2444" s="184"/>
      <c r="H2444" s="184"/>
      <c r="I2444" s="184"/>
      <c r="J2444" s="184"/>
      <c r="K2444" s="184"/>
      <c r="L2444" s="184"/>
      <c r="M2444" s="184"/>
      <c r="N2444" s="184"/>
      <c r="O2444" s="184"/>
    </row>
    <row r="2445" customFormat="false" ht="15" hidden="false" customHeight="true" outlineLevel="0" collapsed="false">
      <c r="A2445" s="184"/>
      <c r="B2445" s="184"/>
      <c r="C2445" s="184"/>
      <c r="D2445" s="184"/>
      <c r="E2445" s="184"/>
      <c r="F2445" s="184"/>
      <c r="G2445" s="184"/>
      <c r="H2445" s="184"/>
      <c r="I2445" s="184"/>
      <c r="J2445" s="184"/>
      <c r="K2445" s="184"/>
      <c r="L2445" s="184"/>
      <c r="M2445" s="184"/>
      <c r="N2445" s="184"/>
      <c r="O2445" s="184"/>
    </row>
    <row r="2446" customFormat="false" ht="15" hidden="false" customHeight="true" outlineLevel="0" collapsed="false">
      <c r="A2446" s="184"/>
      <c r="B2446" s="184"/>
      <c r="C2446" s="184"/>
      <c r="D2446" s="184"/>
      <c r="E2446" s="184"/>
      <c r="F2446" s="184"/>
      <c r="G2446" s="184"/>
      <c r="H2446" s="184"/>
      <c r="I2446" s="184"/>
      <c r="J2446" s="184"/>
      <c r="K2446" s="184"/>
      <c r="L2446" s="184"/>
      <c r="M2446" s="184"/>
      <c r="N2446" s="184"/>
      <c r="O2446" s="184"/>
    </row>
    <row r="2447" customFormat="false" ht="15" hidden="false" customHeight="true" outlineLevel="0" collapsed="false">
      <c r="A2447" s="184"/>
      <c r="B2447" s="184"/>
      <c r="C2447" s="184"/>
      <c r="D2447" s="184"/>
      <c r="E2447" s="184"/>
      <c r="F2447" s="184"/>
      <c r="G2447" s="184"/>
      <c r="H2447" s="184"/>
      <c r="I2447" s="184"/>
      <c r="J2447" s="184"/>
      <c r="K2447" s="184"/>
      <c r="L2447" s="184"/>
      <c r="M2447" s="184"/>
      <c r="N2447" s="184"/>
      <c r="O2447" s="184"/>
    </row>
    <row r="2448" customFormat="false" ht="15" hidden="false" customHeight="true" outlineLevel="0" collapsed="false">
      <c r="A2448" s="184"/>
      <c r="B2448" s="184"/>
      <c r="C2448" s="184"/>
      <c r="D2448" s="184"/>
      <c r="E2448" s="184"/>
      <c r="F2448" s="184"/>
      <c r="G2448" s="184"/>
      <c r="H2448" s="184"/>
      <c r="I2448" s="184"/>
      <c r="J2448" s="184"/>
      <c r="K2448" s="184"/>
      <c r="L2448" s="184"/>
      <c r="M2448" s="184"/>
      <c r="N2448" s="184"/>
      <c r="O2448" s="184"/>
    </row>
    <row r="2449" customFormat="false" ht="15" hidden="false" customHeight="true" outlineLevel="0" collapsed="false">
      <c r="A2449" s="184"/>
      <c r="B2449" s="184"/>
      <c r="C2449" s="184"/>
      <c r="D2449" s="184"/>
      <c r="E2449" s="184"/>
      <c r="F2449" s="184"/>
      <c r="G2449" s="184"/>
      <c r="H2449" s="184"/>
      <c r="I2449" s="184"/>
      <c r="J2449" s="184"/>
      <c r="K2449" s="184"/>
      <c r="L2449" s="184"/>
      <c r="M2449" s="184"/>
      <c r="N2449" s="184"/>
      <c r="O2449" s="184"/>
    </row>
    <row r="2450" customFormat="false" ht="15" hidden="false" customHeight="true" outlineLevel="0" collapsed="false">
      <c r="A2450" s="184"/>
      <c r="B2450" s="184"/>
      <c r="C2450" s="184"/>
      <c r="D2450" s="184"/>
      <c r="E2450" s="184"/>
      <c r="F2450" s="184"/>
      <c r="G2450" s="184"/>
      <c r="H2450" s="184"/>
      <c r="I2450" s="184"/>
      <c r="J2450" s="184"/>
      <c r="K2450" s="184"/>
      <c r="L2450" s="184"/>
      <c r="M2450" s="184"/>
      <c r="N2450" s="184"/>
      <c r="O2450" s="184"/>
    </row>
    <row r="2451" customFormat="false" ht="15" hidden="false" customHeight="true" outlineLevel="0" collapsed="false">
      <c r="A2451" s="184"/>
      <c r="B2451" s="184"/>
      <c r="C2451" s="184"/>
      <c r="D2451" s="184"/>
      <c r="E2451" s="184"/>
      <c r="F2451" s="184"/>
      <c r="G2451" s="184"/>
      <c r="H2451" s="184"/>
      <c r="I2451" s="184"/>
      <c r="J2451" s="184"/>
      <c r="K2451" s="184"/>
      <c r="L2451" s="184"/>
      <c r="M2451" s="184"/>
      <c r="N2451" s="184"/>
      <c r="O2451" s="184"/>
    </row>
    <row r="2452" customFormat="false" ht="15" hidden="false" customHeight="true" outlineLevel="0" collapsed="false">
      <c r="A2452" s="184"/>
      <c r="B2452" s="184"/>
      <c r="C2452" s="184"/>
      <c r="D2452" s="184"/>
      <c r="E2452" s="184"/>
      <c r="F2452" s="184"/>
      <c r="G2452" s="184"/>
      <c r="H2452" s="184"/>
      <c r="I2452" s="184"/>
      <c r="J2452" s="184"/>
      <c r="K2452" s="184"/>
      <c r="L2452" s="184"/>
      <c r="M2452" s="184"/>
      <c r="N2452" s="184"/>
      <c r="O2452" s="184"/>
    </row>
    <row r="2453" customFormat="false" ht="15" hidden="false" customHeight="true" outlineLevel="0" collapsed="false">
      <c r="A2453" s="184"/>
      <c r="B2453" s="184"/>
      <c r="C2453" s="184"/>
      <c r="D2453" s="184"/>
      <c r="E2453" s="184"/>
      <c r="F2453" s="184"/>
      <c r="G2453" s="184"/>
      <c r="H2453" s="184"/>
      <c r="I2453" s="184"/>
      <c r="J2453" s="184"/>
      <c r="K2453" s="184"/>
      <c r="L2453" s="184"/>
      <c r="M2453" s="184"/>
      <c r="N2453" s="184"/>
      <c r="O2453" s="184"/>
    </row>
    <row r="2454" customFormat="false" ht="15" hidden="false" customHeight="true" outlineLevel="0" collapsed="false">
      <c r="A2454" s="184"/>
      <c r="B2454" s="184"/>
      <c r="C2454" s="184"/>
      <c r="D2454" s="184"/>
      <c r="E2454" s="184"/>
      <c r="F2454" s="184"/>
      <c r="G2454" s="184"/>
      <c r="H2454" s="184"/>
      <c r="I2454" s="184"/>
      <c r="J2454" s="184"/>
      <c r="K2454" s="184"/>
      <c r="L2454" s="184"/>
      <c r="M2454" s="184"/>
      <c r="N2454" s="184"/>
      <c r="O2454" s="184"/>
    </row>
    <row r="2455" customFormat="false" ht="15" hidden="false" customHeight="true" outlineLevel="0" collapsed="false">
      <c r="A2455" s="184"/>
      <c r="B2455" s="184"/>
      <c r="C2455" s="184"/>
      <c r="D2455" s="184"/>
      <c r="E2455" s="184"/>
      <c r="F2455" s="184"/>
      <c r="G2455" s="184"/>
      <c r="H2455" s="184"/>
      <c r="I2455" s="184"/>
      <c r="J2455" s="184"/>
      <c r="K2455" s="184"/>
      <c r="L2455" s="184"/>
      <c r="M2455" s="184"/>
      <c r="N2455" s="184"/>
      <c r="O2455" s="184"/>
    </row>
    <row r="2456" customFormat="false" ht="15" hidden="false" customHeight="true" outlineLevel="0" collapsed="false">
      <c r="A2456" s="184"/>
      <c r="B2456" s="184"/>
      <c r="C2456" s="184"/>
      <c r="D2456" s="184"/>
      <c r="E2456" s="184"/>
      <c r="F2456" s="184"/>
      <c r="G2456" s="184"/>
      <c r="H2456" s="184"/>
      <c r="I2456" s="184"/>
      <c r="J2456" s="184"/>
      <c r="K2456" s="184"/>
      <c r="L2456" s="184"/>
      <c r="M2456" s="184"/>
      <c r="N2456" s="184"/>
      <c r="O2456" s="184"/>
    </row>
    <row r="2457" customFormat="false" ht="15" hidden="false" customHeight="true" outlineLevel="0" collapsed="false">
      <c r="A2457" s="184"/>
      <c r="B2457" s="184"/>
      <c r="C2457" s="184"/>
      <c r="D2457" s="184"/>
      <c r="E2457" s="184"/>
      <c r="F2457" s="184"/>
      <c r="G2457" s="184"/>
      <c r="H2457" s="184"/>
      <c r="I2457" s="184"/>
      <c r="J2457" s="184"/>
      <c r="K2457" s="184"/>
      <c r="L2457" s="184"/>
      <c r="M2457" s="184"/>
      <c r="N2457" s="184"/>
      <c r="O2457" s="184"/>
    </row>
    <row r="2458" customFormat="false" ht="15" hidden="false" customHeight="true" outlineLevel="0" collapsed="false">
      <c r="A2458" s="184"/>
      <c r="B2458" s="184"/>
      <c r="C2458" s="184"/>
      <c r="D2458" s="184"/>
      <c r="E2458" s="184"/>
      <c r="F2458" s="184"/>
      <c r="G2458" s="184"/>
      <c r="H2458" s="184"/>
      <c r="I2458" s="184"/>
      <c r="J2458" s="184"/>
      <c r="K2458" s="184"/>
      <c r="L2458" s="184"/>
      <c r="M2458" s="184"/>
      <c r="N2458" s="184"/>
      <c r="O2458" s="184"/>
    </row>
    <row r="2459" customFormat="false" ht="15" hidden="false" customHeight="true" outlineLevel="0" collapsed="false">
      <c r="A2459" s="184"/>
      <c r="B2459" s="184"/>
      <c r="C2459" s="184"/>
      <c r="D2459" s="184"/>
      <c r="E2459" s="184"/>
      <c r="F2459" s="184"/>
      <c r="G2459" s="184"/>
      <c r="H2459" s="184"/>
      <c r="I2459" s="184"/>
      <c r="J2459" s="184"/>
      <c r="K2459" s="184"/>
      <c r="L2459" s="184"/>
      <c r="M2459" s="184"/>
      <c r="N2459" s="184"/>
      <c r="O2459" s="184"/>
    </row>
    <row r="2460" customFormat="false" ht="15" hidden="false" customHeight="true" outlineLevel="0" collapsed="false">
      <c r="A2460" s="184"/>
      <c r="B2460" s="184"/>
      <c r="C2460" s="184"/>
      <c r="D2460" s="184"/>
      <c r="E2460" s="184"/>
      <c r="F2460" s="184"/>
      <c r="G2460" s="184"/>
      <c r="H2460" s="184"/>
      <c r="I2460" s="184"/>
      <c r="J2460" s="184"/>
      <c r="K2460" s="184"/>
      <c r="L2460" s="184"/>
      <c r="M2460" s="184"/>
      <c r="N2460" s="184"/>
      <c r="O2460" s="184"/>
    </row>
    <row r="2461" customFormat="false" ht="15" hidden="false" customHeight="true" outlineLevel="0" collapsed="false">
      <c r="A2461" s="184"/>
      <c r="B2461" s="184"/>
      <c r="C2461" s="184"/>
      <c r="D2461" s="184"/>
      <c r="E2461" s="184"/>
      <c r="F2461" s="184"/>
      <c r="G2461" s="184"/>
      <c r="H2461" s="184"/>
      <c r="I2461" s="184"/>
      <c r="J2461" s="184"/>
      <c r="K2461" s="184"/>
      <c r="L2461" s="184"/>
      <c r="M2461" s="184"/>
      <c r="N2461" s="184"/>
      <c r="O2461" s="184"/>
    </row>
    <row r="2462" customFormat="false" ht="15" hidden="false" customHeight="true" outlineLevel="0" collapsed="false">
      <c r="A2462" s="184"/>
      <c r="B2462" s="184"/>
      <c r="C2462" s="184"/>
      <c r="D2462" s="184"/>
      <c r="E2462" s="184"/>
      <c r="F2462" s="184"/>
      <c r="G2462" s="184"/>
      <c r="H2462" s="184"/>
      <c r="I2462" s="184"/>
      <c r="J2462" s="184"/>
      <c r="K2462" s="184"/>
      <c r="L2462" s="184"/>
      <c r="M2462" s="184"/>
      <c r="N2462" s="184"/>
      <c r="O2462" s="184"/>
    </row>
    <row r="2463" customFormat="false" ht="15" hidden="false" customHeight="true" outlineLevel="0" collapsed="false">
      <c r="A2463" s="184"/>
      <c r="B2463" s="184"/>
      <c r="C2463" s="184"/>
      <c r="D2463" s="184"/>
      <c r="E2463" s="184"/>
      <c r="F2463" s="184"/>
      <c r="G2463" s="184"/>
      <c r="H2463" s="184"/>
      <c r="I2463" s="184"/>
      <c r="J2463" s="184"/>
      <c r="K2463" s="184"/>
      <c r="L2463" s="184"/>
      <c r="M2463" s="184"/>
      <c r="N2463" s="184"/>
      <c r="O2463" s="184"/>
    </row>
    <row r="2464" customFormat="false" ht="15" hidden="false" customHeight="true" outlineLevel="0" collapsed="false">
      <c r="A2464" s="184"/>
      <c r="B2464" s="184"/>
      <c r="C2464" s="184"/>
      <c r="D2464" s="184"/>
      <c r="E2464" s="184"/>
      <c r="F2464" s="184"/>
      <c r="G2464" s="184"/>
      <c r="H2464" s="184"/>
      <c r="I2464" s="184"/>
      <c r="J2464" s="184"/>
      <c r="K2464" s="184"/>
      <c r="L2464" s="184"/>
      <c r="M2464" s="184"/>
      <c r="N2464" s="184"/>
      <c r="O2464" s="184"/>
    </row>
    <row r="2465" customFormat="false" ht="15" hidden="false" customHeight="true" outlineLevel="0" collapsed="false">
      <c r="A2465" s="184"/>
      <c r="B2465" s="184"/>
      <c r="C2465" s="184"/>
      <c r="D2465" s="184"/>
      <c r="E2465" s="184"/>
      <c r="F2465" s="184"/>
      <c r="G2465" s="184"/>
      <c r="H2465" s="184"/>
      <c r="I2465" s="184"/>
      <c r="J2465" s="184"/>
      <c r="K2465" s="184"/>
      <c r="L2465" s="184"/>
      <c r="M2465" s="184"/>
      <c r="N2465" s="184"/>
      <c r="O2465" s="184"/>
    </row>
    <row r="2466" customFormat="false" ht="15" hidden="false" customHeight="true" outlineLevel="0" collapsed="false">
      <c r="A2466" s="184"/>
      <c r="B2466" s="184"/>
      <c r="C2466" s="184"/>
      <c r="D2466" s="184"/>
      <c r="E2466" s="184"/>
      <c r="F2466" s="184"/>
      <c r="G2466" s="184"/>
      <c r="H2466" s="184"/>
      <c r="I2466" s="184"/>
      <c r="J2466" s="184"/>
      <c r="K2466" s="184"/>
      <c r="L2466" s="184"/>
      <c r="M2466" s="184"/>
      <c r="N2466" s="184"/>
      <c r="O2466" s="184"/>
    </row>
    <row r="2467" customFormat="false" ht="15" hidden="false" customHeight="true" outlineLevel="0" collapsed="false">
      <c r="A2467" s="184"/>
      <c r="B2467" s="184"/>
      <c r="C2467" s="184"/>
      <c r="D2467" s="184"/>
      <c r="E2467" s="184"/>
      <c r="F2467" s="184"/>
      <c r="G2467" s="184"/>
      <c r="H2467" s="184"/>
      <c r="I2467" s="184"/>
      <c r="J2467" s="184"/>
      <c r="K2467" s="184"/>
      <c r="L2467" s="184"/>
      <c r="M2467" s="184"/>
      <c r="N2467" s="184"/>
      <c r="O2467" s="184"/>
    </row>
    <row r="2468" customFormat="false" ht="15" hidden="false" customHeight="true" outlineLevel="0" collapsed="false">
      <c r="A2468" s="184"/>
      <c r="B2468" s="184"/>
      <c r="C2468" s="184"/>
      <c r="D2468" s="184"/>
      <c r="E2468" s="184"/>
      <c r="F2468" s="184"/>
      <c r="G2468" s="184"/>
      <c r="H2468" s="184"/>
      <c r="I2468" s="184"/>
      <c r="J2468" s="184"/>
      <c r="K2468" s="184"/>
      <c r="L2468" s="184"/>
      <c r="M2468" s="184"/>
      <c r="N2468" s="184"/>
      <c r="O2468" s="184"/>
    </row>
    <row r="2469" customFormat="false" ht="15" hidden="false" customHeight="true" outlineLevel="0" collapsed="false">
      <c r="A2469" s="184" t="s">
        <v>4930</v>
      </c>
      <c r="B2469" s="184" t="s">
        <v>4931</v>
      </c>
      <c r="C2469" s="184" t="n">
        <v>1</v>
      </c>
      <c r="D2469" s="178" t="s">
        <v>5269</v>
      </c>
      <c r="E2469" s="184" t="s">
        <v>2895</v>
      </c>
      <c r="F2469" s="184"/>
      <c r="G2469" s="184"/>
      <c r="H2469" s="184"/>
      <c r="I2469" s="184"/>
      <c r="J2469" s="184"/>
      <c r="K2469" s="184"/>
      <c r="L2469" s="184"/>
      <c r="M2469" s="184" t="s">
        <v>6291</v>
      </c>
      <c r="N2469" s="184"/>
      <c r="O2469" s="184"/>
    </row>
    <row r="2470" customFormat="false" ht="15" hidden="false" customHeight="true" outlineLevel="0" collapsed="false">
      <c r="A2470" s="184" t="s">
        <v>4930</v>
      </c>
      <c r="B2470" s="184" t="s">
        <v>4931</v>
      </c>
      <c r="C2470" s="184" t="n">
        <v>2</v>
      </c>
      <c r="D2470" s="179" t="s">
        <v>6292</v>
      </c>
      <c r="E2470" s="184" t="s">
        <v>7002</v>
      </c>
      <c r="F2470" s="184"/>
      <c r="G2470" s="184"/>
      <c r="H2470" s="184"/>
      <c r="I2470" s="184"/>
      <c r="J2470" s="184"/>
      <c r="K2470" s="184"/>
      <c r="L2470" s="184"/>
      <c r="M2470" s="184"/>
      <c r="N2470" s="184"/>
      <c r="O2470" s="184"/>
    </row>
    <row r="2471" customFormat="false" ht="15" hidden="false" customHeight="true" outlineLevel="0" collapsed="false">
      <c r="A2471" s="184" t="s">
        <v>4930</v>
      </c>
      <c r="B2471" s="184" t="s">
        <v>4931</v>
      </c>
      <c r="C2471" s="184" t="n">
        <v>3</v>
      </c>
      <c r="D2471" s="184" t="s">
        <v>6294</v>
      </c>
      <c r="E2471" s="184" t="s">
        <v>7003</v>
      </c>
      <c r="F2471" s="184"/>
      <c r="G2471" s="184"/>
      <c r="H2471" s="184"/>
      <c r="I2471" s="184"/>
      <c r="J2471" s="184"/>
      <c r="K2471" s="184"/>
      <c r="L2471" s="184"/>
      <c r="M2471" s="184"/>
      <c r="N2471" s="184"/>
      <c r="O2471" s="184"/>
    </row>
    <row r="2472" customFormat="false" ht="15" hidden="false" customHeight="true" outlineLevel="0" collapsed="false">
      <c r="A2472" s="184" t="s">
        <v>4930</v>
      </c>
      <c r="B2472" s="184" t="s">
        <v>4931</v>
      </c>
      <c r="C2472" s="184" t="n">
        <v>4</v>
      </c>
      <c r="D2472" s="178" t="s">
        <v>6457</v>
      </c>
      <c r="E2472" s="186" t="s">
        <v>6474</v>
      </c>
      <c r="F2472" s="184"/>
      <c r="G2472" s="184"/>
      <c r="H2472" s="184"/>
      <c r="I2472" s="184"/>
      <c r="J2472" s="184"/>
      <c r="K2472" s="184"/>
      <c r="L2472" s="184"/>
      <c r="M2472" s="184" t="s">
        <v>7004</v>
      </c>
      <c r="N2472" s="184"/>
      <c r="O2472" s="184"/>
    </row>
    <row r="2473" customFormat="false" ht="15" hidden="false" customHeight="true" outlineLevel="0" collapsed="false">
      <c r="A2473" s="184" t="s">
        <v>4930</v>
      </c>
      <c r="B2473" s="184" t="s">
        <v>4931</v>
      </c>
      <c r="C2473" s="184" t="n">
        <v>5</v>
      </c>
      <c r="D2473" s="178" t="s">
        <v>6457</v>
      </c>
      <c r="E2473" s="184" t="s">
        <v>7005</v>
      </c>
      <c r="F2473" s="184"/>
      <c r="G2473" s="184"/>
      <c r="H2473" s="184"/>
      <c r="I2473" s="184"/>
      <c r="J2473" s="184"/>
      <c r="K2473" s="184"/>
      <c r="L2473" s="184"/>
      <c r="M2473" s="184" t="s">
        <v>7006</v>
      </c>
      <c r="N2473" s="184"/>
      <c r="O2473" s="184"/>
    </row>
    <row r="2474" customFormat="false" ht="15" hidden="false" customHeight="true" outlineLevel="0" collapsed="false">
      <c r="A2474" s="184" t="s">
        <v>4930</v>
      </c>
      <c r="B2474" s="184" t="s">
        <v>4931</v>
      </c>
      <c r="C2474" s="184" t="n">
        <v>6</v>
      </c>
      <c r="D2474" s="177" t="s">
        <v>6298</v>
      </c>
      <c r="E2474" s="184" t="s">
        <v>7007</v>
      </c>
      <c r="F2474" s="184"/>
      <c r="G2474" s="184"/>
      <c r="H2474" s="184"/>
      <c r="I2474" s="184"/>
      <c r="J2474" s="184"/>
      <c r="K2474" s="184"/>
      <c r="L2474" s="184"/>
      <c r="M2474" s="184"/>
      <c r="N2474" s="184"/>
      <c r="O2474" s="184"/>
    </row>
    <row r="2475" customFormat="false" ht="15" hidden="false" customHeight="true" outlineLevel="0" collapsed="false">
      <c r="A2475" s="184" t="s">
        <v>4930</v>
      </c>
      <c r="B2475" s="184" t="s">
        <v>4931</v>
      </c>
      <c r="C2475" s="184" t="n">
        <v>7</v>
      </c>
      <c r="D2475" s="178" t="s">
        <v>5269</v>
      </c>
      <c r="E2475" s="184" t="s">
        <v>7008</v>
      </c>
      <c r="F2475" s="184"/>
      <c r="G2475" s="184"/>
      <c r="H2475" s="184"/>
      <c r="I2475" s="184"/>
      <c r="J2475" s="184"/>
      <c r="K2475" s="184"/>
      <c r="L2475" s="184"/>
      <c r="M2475" s="184" t="s">
        <v>6982</v>
      </c>
      <c r="N2475" s="184"/>
      <c r="O2475" s="184"/>
    </row>
    <row r="2476" customFormat="false" ht="27.75" hidden="false" customHeight="true" outlineLevel="0" collapsed="false">
      <c r="A2476" s="184" t="s">
        <v>4930</v>
      </c>
      <c r="B2476" s="184" t="s">
        <v>4931</v>
      </c>
      <c r="C2476" s="184" t="n">
        <v>8</v>
      </c>
      <c r="D2476" s="179" t="s">
        <v>6300</v>
      </c>
      <c r="E2476" s="184" t="s">
        <v>6525</v>
      </c>
      <c r="F2476" s="184"/>
      <c r="G2476" s="184"/>
      <c r="H2476" s="184"/>
      <c r="I2476" s="184"/>
      <c r="J2476" s="184"/>
      <c r="K2476" s="184"/>
      <c r="L2476" s="184"/>
      <c r="M2476" s="184"/>
      <c r="N2476" s="184"/>
      <c r="O2476" s="184"/>
    </row>
    <row r="2477" customFormat="false" ht="15" hidden="false" customHeight="true" outlineLevel="0" collapsed="false">
      <c r="A2477" s="184" t="s">
        <v>4930</v>
      </c>
      <c r="B2477" s="184" t="s">
        <v>4931</v>
      </c>
      <c r="C2477" s="184" t="n">
        <v>9</v>
      </c>
      <c r="D2477" s="179" t="s">
        <v>6292</v>
      </c>
      <c r="E2477" s="184" t="s">
        <v>6525</v>
      </c>
      <c r="F2477" s="184"/>
      <c r="G2477" s="184"/>
      <c r="H2477" s="184"/>
      <c r="I2477" s="184"/>
      <c r="J2477" s="184"/>
      <c r="K2477" s="184"/>
      <c r="L2477" s="184"/>
      <c r="M2477" s="184"/>
      <c r="N2477" s="184"/>
      <c r="O2477" s="184"/>
    </row>
    <row r="2478" customFormat="false" ht="41.25" hidden="false" customHeight="true" outlineLevel="0" collapsed="false">
      <c r="A2478" s="184" t="s">
        <v>4930</v>
      </c>
      <c r="B2478" s="184" t="s">
        <v>4931</v>
      </c>
      <c r="C2478" s="184" t="n">
        <v>10</v>
      </c>
      <c r="D2478" s="177" t="s">
        <v>6298</v>
      </c>
      <c r="E2478" s="184" t="s">
        <v>6526</v>
      </c>
      <c r="F2478" s="184"/>
      <c r="G2478" s="184"/>
      <c r="H2478" s="184"/>
      <c r="I2478" s="184"/>
      <c r="J2478" s="184"/>
      <c r="K2478" s="184"/>
      <c r="L2478" s="184"/>
      <c r="M2478" s="184"/>
      <c r="N2478" s="184"/>
      <c r="O2478" s="184"/>
    </row>
    <row r="2479" customFormat="false" ht="15" hidden="false" customHeight="true" outlineLevel="0" collapsed="false">
      <c r="A2479" s="184" t="s">
        <v>4930</v>
      </c>
      <c r="B2479" s="184" t="s">
        <v>4931</v>
      </c>
      <c r="C2479" s="184" t="n">
        <v>11</v>
      </c>
      <c r="D2479" s="184" t="s">
        <v>4790</v>
      </c>
      <c r="E2479" s="184" t="s">
        <v>6527</v>
      </c>
      <c r="F2479" s="184"/>
      <c r="G2479" s="184"/>
      <c r="H2479" s="184"/>
      <c r="I2479" s="184"/>
      <c r="J2479" s="184"/>
      <c r="K2479" s="184"/>
      <c r="L2479" s="184"/>
      <c r="M2479" s="184" t="s">
        <v>6528</v>
      </c>
      <c r="N2479" s="184"/>
      <c r="O2479" s="184"/>
    </row>
    <row r="2480" customFormat="false" ht="15" hidden="false" customHeight="true" outlineLevel="0" collapsed="false">
      <c r="A2480" s="184" t="s">
        <v>4930</v>
      </c>
      <c r="B2480" s="184" t="s">
        <v>4931</v>
      </c>
      <c r="C2480" s="184" t="n">
        <v>12</v>
      </c>
      <c r="D2480" s="174" t="s">
        <v>6529</v>
      </c>
      <c r="E2480" s="184" t="s">
        <v>6530</v>
      </c>
      <c r="F2480" s="184"/>
      <c r="G2480" s="184"/>
      <c r="H2480" s="184"/>
      <c r="I2480" s="184"/>
      <c r="J2480" s="184"/>
      <c r="K2480" s="184"/>
      <c r="L2480" s="184"/>
      <c r="M2480" s="184" t="s">
        <v>6531</v>
      </c>
      <c r="N2480" s="184"/>
      <c r="O2480" s="184"/>
    </row>
    <row r="2481" customFormat="false" ht="15" hidden="false" customHeight="true" outlineLevel="0" collapsed="false">
      <c r="A2481" s="184" t="s">
        <v>4930</v>
      </c>
      <c r="B2481" s="184" t="s">
        <v>4931</v>
      </c>
      <c r="C2481" s="184" t="n">
        <v>13</v>
      </c>
      <c r="D2481" s="174" t="s">
        <v>6529</v>
      </c>
      <c r="E2481" s="184" t="s">
        <v>6532</v>
      </c>
      <c r="F2481" s="184"/>
      <c r="G2481" s="184"/>
      <c r="H2481" s="184"/>
      <c r="I2481" s="184"/>
      <c r="J2481" s="184"/>
      <c r="K2481" s="184"/>
      <c r="L2481" s="184"/>
      <c r="M2481" s="184" t="s">
        <v>6533</v>
      </c>
      <c r="N2481" s="184"/>
      <c r="O2481" s="184"/>
    </row>
    <row r="2482" customFormat="false" ht="15" hidden="false" customHeight="true" outlineLevel="0" collapsed="false">
      <c r="A2482" s="184" t="s">
        <v>4930</v>
      </c>
      <c r="B2482" s="184" t="s">
        <v>4931</v>
      </c>
      <c r="C2482" s="184" t="n">
        <v>14</v>
      </c>
      <c r="D2482" s="184" t="s">
        <v>4790</v>
      </c>
      <c r="E2482" s="184" t="s">
        <v>6534</v>
      </c>
      <c r="F2482" s="184"/>
      <c r="G2482" s="184"/>
      <c r="H2482" s="184"/>
      <c r="I2482" s="184"/>
      <c r="J2482" s="184"/>
      <c r="K2482" s="184"/>
      <c r="L2482" s="184"/>
      <c r="M2482" s="184" t="s">
        <v>6535</v>
      </c>
      <c r="N2482" s="184"/>
      <c r="O2482" s="184"/>
    </row>
    <row r="2483" customFormat="false" ht="15" hidden="false" customHeight="true" outlineLevel="0" collapsed="false">
      <c r="A2483" s="184" t="s">
        <v>4930</v>
      </c>
      <c r="B2483" s="184" t="s">
        <v>4931</v>
      </c>
      <c r="C2483" s="184" t="n">
        <v>15</v>
      </c>
      <c r="D2483" s="174" t="s">
        <v>6529</v>
      </c>
      <c r="E2483" s="184" t="s">
        <v>6530</v>
      </c>
      <c r="F2483" s="184"/>
      <c r="G2483" s="184"/>
      <c r="H2483" s="184"/>
      <c r="I2483" s="184"/>
      <c r="J2483" s="184"/>
      <c r="K2483" s="184"/>
      <c r="L2483" s="184"/>
      <c r="M2483" s="184" t="s">
        <v>6536</v>
      </c>
      <c r="N2483" s="184"/>
      <c r="O2483" s="184"/>
    </row>
    <row r="2484" customFormat="false" ht="15" hidden="false" customHeight="true" outlineLevel="0" collapsed="false">
      <c r="A2484" s="184" t="s">
        <v>4930</v>
      </c>
      <c r="B2484" s="184" t="s">
        <v>4931</v>
      </c>
      <c r="C2484" s="184" t="n">
        <v>16</v>
      </c>
      <c r="D2484" s="174" t="s">
        <v>6529</v>
      </c>
      <c r="E2484" s="184" t="s">
        <v>6532</v>
      </c>
      <c r="F2484" s="184"/>
      <c r="G2484" s="184"/>
      <c r="H2484" s="184"/>
      <c r="I2484" s="184"/>
      <c r="J2484" s="184"/>
      <c r="K2484" s="184"/>
      <c r="L2484" s="184"/>
      <c r="M2484" s="184" t="s">
        <v>6537</v>
      </c>
      <c r="N2484" s="184"/>
      <c r="O2484" s="184"/>
    </row>
    <row r="2485" customFormat="false" ht="15" hidden="false" customHeight="true" outlineLevel="0" collapsed="false">
      <c r="A2485" s="184" t="s">
        <v>4930</v>
      </c>
      <c r="B2485" s="184" t="s">
        <v>4931</v>
      </c>
      <c r="C2485" s="184" t="n">
        <v>17</v>
      </c>
      <c r="D2485" s="184" t="s">
        <v>4790</v>
      </c>
      <c r="E2485" s="184" t="s">
        <v>6538</v>
      </c>
      <c r="F2485" s="184"/>
      <c r="G2485" s="184"/>
      <c r="H2485" s="184"/>
      <c r="I2485" s="184"/>
      <c r="J2485" s="184"/>
      <c r="K2485" s="184"/>
      <c r="L2485" s="184"/>
      <c r="M2485" s="184" t="s">
        <v>6539</v>
      </c>
      <c r="N2485" s="184"/>
      <c r="O2485" s="184"/>
    </row>
    <row r="2486" customFormat="false" ht="15" hidden="false" customHeight="true" outlineLevel="0" collapsed="false">
      <c r="A2486" s="184" t="s">
        <v>4930</v>
      </c>
      <c r="B2486" s="184" t="s">
        <v>4931</v>
      </c>
      <c r="C2486" s="184" t="n">
        <v>18</v>
      </c>
      <c r="D2486" s="174" t="s">
        <v>6529</v>
      </c>
      <c r="E2486" s="184" t="s">
        <v>6530</v>
      </c>
      <c r="F2486" s="184"/>
      <c r="G2486" s="184"/>
      <c r="H2486" s="184"/>
      <c r="I2486" s="184"/>
      <c r="J2486" s="184"/>
      <c r="K2486" s="184"/>
      <c r="L2486" s="184"/>
      <c r="M2486" s="184" t="s">
        <v>6540</v>
      </c>
      <c r="N2486" s="184"/>
      <c r="O2486" s="184"/>
    </row>
    <row r="2487" customFormat="false" ht="15" hidden="false" customHeight="true" outlineLevel="0" collapsed="false">
      <c r="A2487" s="184" t="s">
        <v>4930</v>
      </c>
      <c r="B2487" s="184" t="s">
        <v>4931</v>
      </c>
      <c r="C2487" s="184" t="n">
        <v>19</v>
      </c>
      <c r="D2487" s="174" t="s">
        <v>6529</v>
      </c>
      <c r="E2487" s="184" t="s">
        <v>6532</v>
      </c>
      <c r="F2487" s="184"/>
      <c r="G2487" s="184"/>
      <c r="H2487" s="184"/>
      <c r="I2487" s="184"/>
      <c r="J2487" s="184"/>
      <c r="K2487" s="184"/>
      <c r="L2487" s="184"/>
      <c r="M2487" s="184" t="s">
        <v>6541</v>
      </c>
      <c r="N2487" s="184"/>
      <c r="O2487" s="184"/>
    </row>
    <row r="2488" customFormat="false" ht="15" hidden="false" customHeight="true" outlineLevel="0" collapsed="false">
      <c r="A2488" s="184" t="s">
        <v>4930</v>
      </c>
      <c r="B2488" s="184" t="s">
        <v>4931</v>
      </c>
      <c r="C2488" s="184" t="n">
        <v>20</v>
      </c>
      <c r="D2488" s="184" t="s">
        <v>4790</v>
      </c>
      <c r="E2488" s="184" t="s">
        <v>6542</v>
      </c>
      <c r="F2488" s="184"/>
      <c r="G2488" s="184"/>
      <c r="H2488" s="184"/>
      <c r="I2488" s="184"/>
      <c r="J2488" s="184"/>
      <c r="K2488" s="184"/>
      <c r="L2488" s="184"/>
      <c r="M2488" s="184" t="s">
        <v>6543</v>
      </c>
      <c r="N2488" s="184"/>
      <c r="O2488" s="184"/>
    </row>
    <row r="2489" customFormat="false" ht="15" hidden="false" customHeight="true" outlineLevel="0" collapsed="false">
      <c r="A2489" s="184" t="s">
        <v>4930</v>
      </c>
      <c r="B2489" s="184" t="s">
        <v>4931</v>
      </c>
      <c r="C2489" s="184" t="n">
        <v>21</v>
      </c>
      <c r="D2489" s="174" t="s">
        <v>6529</v>
      </c>
      <c r="E2489" s="184" t="s">
        <v>6530</v>
      </c>
      <c r="F2489" s="184"/>
      <c r="G2489" s="184"/>
      <c r="H2489" s="184"/>
      <c r="I2489" s="184"/>
      <c r="J2489" s="184"/>
      <c r="K2489" s="184"/>
      <c r="L2489" s="184"/>
      <c r="M2489" s="184" t="s">
        <v>6544</v>
      </c>
      <c r="N2489" s="184"/>
      <c r="O2489" s="184"/>
    </row>
    <row r="2490" customFormat="false" ht="15" hidden="false" customHeight="true" outlineLevel="0" collapsed="false">
      <c r="A2490" s="184" t="s">
        <v>4930</v>
      </c>
      <c r="B2490" s="184" t="s">
        <v>4931</v>
      </c>
      <c r="C2490" s="184" t="n">
        <v>22</v>
      </c>
      <c r="D2490" s="174" t="s">
        <v>6529</v>
      </c>
      <c r="E2490" s="184" t="s">
        <v>6532</v>
      </c>
      <c r="F2490" s="184"/>
      <c r="G2490" s="184"/>
      <c r="H2490" s="184"/>
      <c r="I2490" s="184"/>
      <c r="J2490" s="184"/>
      <c r="K2490" s="184"/>
      <c r="L2490" s="184"/>
      <c r="M2490" s="184" t="s">
        <v>6545</v>
      </c>
      <c r="N2490" s="184"/>
      <c r="O2490" s="184"/>
    </row>
    <row r="2491" customFormat="false" ht="41.25" hidden="false" customHeight="true" outlineLevel="0" collapsed="false">
      <c r="A2491" s="184" t="s">
        <v>4930</v>
      </c>
      <c r="B2491" s="184" t="s">
        <v>4931</v>
      </c>
      <c r="C2491" s="184" t="n">
        <v>23</v>
      </c>
      <c r="D2491" s="184" t="s">
        <v>4790</v>
      </c>
      <c r="E2491" s="184" t="s">
        <v>6546</v>
      </c>
      <c r="F2491" s="184"/>
      <c r="G2491" s="184"/>
      <c r="H2491" s="184"/>
      <c r="I2491" s="184"/>
      <c r="J2491" s="184"/>
      <c r="K2491" s="184"/>
      <c r="L2491" s="184"/>
      <c r="M2491" s="184" t="s">
        <v>6547</v>
      </c>
      <c r="N2491" s="184"/>
      <c r="O2491" s="184"/>
    </row>
    <row r="2492" customFormat="false" ht="15" hidden="false" customHeight="true" outlineLevel="0" collapsed="false">
      <c r="A2492" s="184" t="s">
        <v>4930</v>
      </c>
      <c r="B2492" s="184" t="s">
        <v>4931</v>
      </c>
      <c r="C2492" s="184" t="n">
        <v>24</v>
      </c>
      <c r="D2492" s="174" t="s">
        <v>6529</v>
      </c>
      <c r="E2492" s="184" t="s">
        <v>6530</v>
      </c>
      <c r="F2492" s="184"/>
      <c r="G2492" s="184"/>
      <c r="H2492" s="184"/>
      <c r="I2492" s="184"/>
      <c r="J2492" s="184"/>
      <c r="K2492" s="184"/>
      <c r="L2492" s="184"/>
      <c r="M2492" s="184" t="s">
        <v>6548</v>
      </c>
      <c r="N2492" s="184"/>
      <c r="O2492" s="184"/>
    </row>
    <row r="2493" customFormat="false" ht="15" hidden="false" customHeight="true" outlineLevel="0" collapsed="false">
      <c r="A2493" s="184" t="s">
        <v>4930</v>
      </c>
      <c r="B2493" s="184" t="s">
        <v>4931</v>
      </c>
      <c r="C2493" s="184" t="n">
        <v>25</v>
      </c>
      <c r="D2493" s="174" t="s">
        <v>6529</v>
      </c>
      <c r="E2493" s="184" t="s">
        <v>6532</v>
      </c>
      <c r="F2493" s="184"/>
      <c r="G2493" s="184"/>
      <c r="H2493" s="184"/>
      <c r="I2493" s="184"/>
      <c r="J2493" s="184"/>
      <c r="K2493" s="184"/>
      <c r="L2493" s="184"/>
      <c r="M2493" s="184" t="s">
        <v>6549</v>
      </c>
      <c r="N2493" s="184"/>
      <c r="O2493" s="184"/>
    </row>
    <row r="2494" customFormat="false" ht="15" hidden="false" customHeight="true" outlineLevel="0" collapsed="false">
      <c r="A2494" s="184" t="s">
        <v>4930</v>
      </c>
      <c r="B2494" s="184" t="s">
        <v>4931</v>
      </c>
      <c r="C2494" s="184" t="n">
        <v>26</v>
      </c>
      <c r="D2494" s="179" t="s">
        <v>6292</v>
      </c>
      <c r="E2494" s="184" t="s">
        <v>7009</v>
      </c>
      <c r="F2494" s="184"/>
      <c r="G2494" s="184"/>
      <c r="H2494" s="184"/>
      <c r="I2494" s="184"/>
      <c r="J2494" s="184"/>
      <c r="K2494" s="184"/>
      <c r="L2494" s="184"/>
      <c r="M2494" s="184"/>
      <c r="N2494" s="184"/>
      <c r="O2494" s="184"/>
    </row>
    <row r="2495" customFormat="false" ht="41.25" hidden="false" customHeight="true" outlineLevel="0" collapsed="false">
      <c r="A2495" s="184" t="s">
        <v>4930</v>
      </c>
      <c r="B2495" s="184" t="s">
        <v>4931</v>
      </c>
      <c r="C2495" s="184" t="n">
        <v>27</v>
      </c>
      <c r="D2495" s="177" t="s">
        <v>7010</v>
      </c>
      <c r="E2495" s="184" t="s">
        <v>7011</v>
      </c>
      <c r="F2495" s="184"/>
      <c r="G2495" s="184"/>
      <c r="H2495" s="184"/>
      <c r="I2495" s="184"/>
      <c r="J2495" s="184"/>
      <c r="K2495" s="184"/>
      <c r="L2495" s="184"/>
      <c r="M2495" s="184"/>
      <c r="N2495" s="184"/>
      <c r="O2495" s="184"/>
    </row>
    <row r="2496" customFormat="false" ht="15" hidden="false" customHeight="true" outlineLevel="0" collapsed="false">
      <c r="A2496" s="184" t="s">
        <v>4930</v>
      </c>
      <c r="B2496" s="184" t="s">
        <v>4931</v>
      </c>
      <c r="C2496" s="184" t="n">
        <v>28</v>
      </c>
      <c r="D2496" s="178" t="s">
        <v>6457</v>
      </c>
      <c r="E2496" s="184" t="s">
        <v>7012</v>
      </c>
      <c r="F2496" s="184"/>
      <c r="G2496" s="184"/>
      <c r="H2496" s="184"/>
      <c r="I2496" s="184"/>
      <c r="J2496" s="184"/>
      <c r="K2496" s="184"/>
      <c r="L2496" s="184"/>
      <c r="M2496" s="184" t="s">
        <v>7013</v>
      </c>
      <c r="N2496" s="184"/>
      <c r="O2496" s="184"/>
    </row>
    <row r="2497" customFormat="false" ht="15" hidden="false" customHeight="true" outlineLevel="0" collapsed="false">
      <c r="A2497" s="184" t="s">
        <v>4930</v>
      </c>
      <c r="B2497" s="184" t="s">
        <v>4931</v>
      </c>
      <c r="C2497" s="184" t="n">
        <v>29</v>
      </c>
      <c r="D2497" s="184" t="s">
        <v>6296</v>
      </c>
      <c r="E2497" s="184" t="s">
        <v>7014</v>
      </c>
      <c r="F2497" s="184"/>
      <c r="G2497" s="184"/>
      <c r="H2497" s="184"/>
      <c r="I2497" s="184"/>
      <c r="J2497" s="184"/>
      <c r="K2497" s="184"/>
      <c r="L2497" s="184"/>
      <c r="M2497" s="184"/>
      <c r="N2497" s="184"/>
      <c r="O2497" s="184"/>
    </row>
    <row r="2498" customFormat="false" ht="15" hidden="false" customHeight="true" outlineLevel="0" collapsed="false">
      <c r="A2498" s="184" t="s">
        <v>4930</v>
      </c>
      <c r="B2498" s="184" t="s">
        <v>4931</v>
      </c>
      <c r="C2498" s="184" t="n">
        <v>30</v>
      </c>
      <c r="D2498" s="177" t="s">
        <v>6298</v>
      </c>
      <c r="E2498" s="184" t="s">
        <v>7015</v>
      </c>
      <c r="F2498" s="184"/>
      <c r="G2498" s="184"/>
      <c r="H2498" s="184"/>
      <c r="I2498" s="184"/>
      <c r="J2498" s="184"/>
      <c r="K2498" s="184"/>
      <c r="L2498" s="184"/>
      <c r="M2498" s="184"/>
      <c r="N2498" s="184"/>
      <c r="O2498" s="184"/>
    </row>
    <row r="2499" customFormat="false" ht="15" hidden="false" customHeight="true" outlineLevel="0" collapsed="false">
      <c r="A2499" s="184" t="s">
        <v>4930</v>
      </c>
      <c r="B2499" s="184" t="s">
        <v>4931</v>
      </c>
      <c r="C2499" s="184" t="n">
        <v>31</v>
      </c>
      <c r="D2499" s="178" t="s">
        <v>6457</v>
      </c>
      <c r="E2499" s="184" t="s">
        <v>7016</v>
      </c>
      <c r="F2499" s="184"/>
      <c r="G2499" s="184"/>
      <c r="H2499" s="184"/>
      <c r="I2499" s="184"/>
      <c r="J2499" s="184"/>
      <c r="K2499" s="184"/>
      <c r="L2499" s="184"/>
      <c r="M2499" s="184" t="s">
        <v>7017</v>
      </c>
      <c r="N2499" s="184"/>
      <c r="O2499" s="184"/>
    </row>
    <row r="2500" customFormat="false" ht="15" hidden="false" customHeight="true" outlineLevel="0" collapsed="false">
      <c r="A2500" s="184" t="s">
        <v>4930</v>
      </c>
      <c r="B2500" s="184" t="s">
        <v>4931</v>
      </c>
      <c r="C2500" s="184" t="n">
        <v>32</v>
      </c>
      <c r="D2500" s="179" t="s">
        <v>6292</v>
      </c>
      <c r="E2500" s="184" t="s">
        <v>6473</v>
      </c>
      <c r="F2500" s="184"/>
      <c r="G2500" s="184"/>
      <c r="H2500" s="184"/>
      <c r="I2500" s="184"/>
      <c r="J2500" s="184"/>
      <c r="K2500" s="184"/>
      <c r="L2500" s="184"/>
      <c r="M2500" s="184"/>
      <c r="N2500" s="184"/>
      <c r="O2500" s="184"/>
    </row>
    <row r="2501" customFormat="false" ht="27.75" hidden="false" customHeight="true" outlineLevel="0" collapsed="false">
      <c r="A2501" s="184" t="s">
        <v>4930</v>
      </c>
      <c r="B2501" s="184" t="s">
        <v>4931</v>
      </c>
      <c r="C2501" s="184" t="n">
        <v>33</v>
      </c>
      <c r="D2501" s="177" t="s">
        <v>6298</v>
      </c>
      <c r="E2501" s="184" t="s">
        <v>7018</v>
      </c>
      <c r="F2501" s="184"/>
      <c r="G2501" s="184"/>
      <c r="H2501" s="184"/>
      <c r="I2501" s="184"/>
      <c r="J2501" s="184"/>
      <c r="K2501" s="184"/>
      <c r="L2501" s="184"/>
      <c r="M2501" s="184"/>
      <c r="N2501" s="184"/>
      <c r="O2501" s="184"/>
    </row>
    <row r="2502" customFormat="false" ht="27.75" hidden="false" customHeight="true" outlineLevel="0" collapsed="false">
      <c r="A2502" s="184" t="s">
        <v>4930</v>
      </c>
      <c r="B2502" s="184" t="s">
        <v>4931</v>
      </c>
      <c r="C2502" s="184" t="n">
        <v>34</v>
      </c>
      <c r="D2502" s="184" t="s">
        <v>4790</v>
      </c>
      <c r="E2502" s="184" t="s">
        <v>7019</v>
      </c>
      <c r="F2502" s="184"/>
      <c r="G2502" s="184"/>
      <c r="H2502" s="184"/>
      <c r="I2502" s="184"/>
      <c r="J2502" s="184"/>
      <c r="K2502" s="184"/>
      <c r="L2502" s="184"/>
      <c r="M2502" s="184" t="s">
        <v>7020</v>
      </c>
      <c r="N2502" s="184"/>
      <c r="O2502" s="184"/>
    </row>
    <row r="2503" customFormat="false" ht="41.25" hidden="false" customHeight="true" outlineLevel="0" collapsed="false">
      <c r="A2503" s="184" t="s">
        <v>4930</v>
      </c>
      <c r="B2503" s="184" t="s">
        <v>4931</v>
      </c>
      <c r="C2503" s="184" t="n">
        <v>35</v>
      </c>
      <c r="D2503" s="184" t="s">
        <v>4790</v>
      </c>
      <c r="E2503" s="184" t="s">
        <v>7021</v>
      </c>
      <c r="F2503" s="184"/>
      <c r="G2503" s="184"/>
      <c r="H2503" s="184"/>
      <c r="I2503" s="184"/>
      <c r="J2503" s="184"/>
      <c r="K2503" s="184"/>
      <c r="L2503" s="184"/>
      <c r="M2503" s="184" t="s">
        <v>7022</v>
      </c>
      <c r="N2503" s="184"/>
      <c r="O2503" s="184"/>
    </row>
    <row r="2504" customFormat="false" ht="41.25" hidden="false" customHeight="true" outlineLevel="0" collapsed="false">
      <c r="A2504" s="184" t="s">
        <v>4930</v>
      </c>
      <c r="B2504" s="184" t="s">
        <v>4931</v>
      </c>
      <c r="C2504" s="184" t="n">
        <v>36</v>
      </c>
      <c r="D2504" s="184" t="s">
        <v>4790</v>
      </c>
      <c r="E2504" s="184" t="s">
        <v>7023</v>
      </c>
      <c r="F2504" s="184"/>
      <c r="G2504" s="184"/>
      <c r="H2504" s="184"/>
      <c r="I2504" s="184"/>
      <c r="J2504" s="184"/>
      <c r="K2504" s="184"/>
      <c r="L2504" s="184"/>
      <c r="M2504" s="184" t="s">
        <v>7024</v>
      </c>
      <c r="N2504" s="184"/>
      <c r="O2504" s="184"/>
    </row>
    <row r="2505" customFormat="false" ht="27.75" hidden="false" customHeight="true" outlineLevel="0" collapsed="false">
      <c r="A2505" s="184" t="s">
        <v>4930</v>
      </c>
      <c r="B2505" s="184" t="s">
        <v>4931</v>
      </c>
      <c r="C2505" s="184" t="n">
        <v>37</v>
      </c>
      <c r="D2505" s="184" t="s">
        <v>4790</v>
      </c>
      <c r="E2505" s="184" t="s">
        <v>7025</v>
      </c>
      <c r="F2505" s="184"/>
      <c r="G2505" s="184"/>
      <c r="H2505" s="184"/>
      <c r="I2505" s="184"/>
      <c r="J2505" s="184"/>
      <c r="K2505" s="184"/>
      <c r="L2505" s="184"/>
      <c r="M2505" s="184" t="s">
        <v>7026</v>
      </c>
      <c r="N2505" s="184"/>
      <c r="O2505" s="184"/>
    </row>
    <row r="2506" customFormat="false" ht="27.75" hidden="false" customHeight="true" outlineLevel="0" collapsed="false">
      <c r="A2506" s="184" t="s">
        <v>4930</v>
      </c>
      <c r="B2506" s="184" t="s">
        <v>4931</v>
      </c>
      <c r="C2506" s="184" t="n">
        <v>38</v>
      </c>
      <c r="D2506" s="184" t="s">
        <v>4790</v>
      </c>
      <c r="E2506" s="184" t="s">
        <v>7027</v>
      </c>
      <c r="F2506" s="184"/>
      <c r="G2506" s="184"/>
      <c r="H2506" s="184"/>
      <c r="I2506" s="184"/>
      <c r="J2506" s="184"/>
      <c r="K2506" s="184"/>
      <c r="L2506" s="184"/>
      <c r="M2506" s="184" t="s">
        <v>7028</v>
      </c>
      <c r="N2506" s="184"/>
      <c r="O2506" s="184"/>
    </row>
    <row r="2507" customFormat="false" ht="15" hidden="false" customHeight="true" outlineLevel="0" collapsed="false">
      <c r="A2507" s="184" t="s">
        <v>4930</v>
      </c>
      <c r="B2507" s="184" t="s">
        <v>4931</v>
      </c>
      <c r="C2507" s="184" t="n">
        <v>39</v>
      </c>
      <c r="D2507" s="179" t="s">
        <v>6292</v>
      </c>
      <c r="E2507" s="184" t="s">
        <v>7029</v>
      </c>
      <c r="F2507" s="184"/>
      <c r="G2507" s="184"/>
      <c r="H2507" s="184"/>
      <c r="I2507" s="184"/>
      <c r="J2507" s="184"/>
      <c r="K2507" s="184"/>
      <c r="L2507" s="184"/>
      <c r="M2507" s="184"/>
      <c r="N2507" s="184"/>
      <c r="O2507" s="184"/>
    </row>
    <row r="2508" customFormat="false" ht="15" hidden="false" customHeight="true" outlineLevel="0" collapsed="false">
      <c r="A2508" s="184" t="s">
        <v>4930</v>
      </c>
      <c r="B2508" s="184" t="s">
        <v>4931</v>
      </c>
      <c r="C2508" s="184" t="n">
        <v>40</v>
      </c>
      <c r="D2508" s="184" t="s">
        <v>6296</v>
      </c>
      <c r="E2508" s="184" t="s">
        <v>7030</v>
      </c>
      <c r="F2508" s="184"/>
      <c r="G2508" s="184"/>
      <c r="H2508" s="184"/>
      <c r="I2508" s="184"/>
      <c r="J2508" s="184"/>
      <c r="K2508" s="184"/>
      <c r="L2508" s="184"/>
      <c r="M2508" s="184"/>
      <c r="N2508" s="184"/>
      <c r="O2508" s="184"/>
    </row>
    <row r="2509" customFormat="false" ht="15" hidden="false" customHeight="true" outlineLevel="0" collapsed="false">
      <c r="A2509" s="184" t="s">
        <v>4930</v>
      </c>
      <c r="B2509" s="184" t="s">
        <v>4931</v>
      </c>
      <c r="C2509" s="184" t="n">
        <v>41</v>
      </c>
      <c r="D2509" s="178" t="s">
        <v>6457</v>
      </c>
      <c r="E2509" s="184" t="s">
        <v>7031</v>
      </c>
      <c r="F2509" s="184"/>
      <c r="G2509" s="184"/>
      <c r="H2509" s="184"/>
      <c r="I2509" s="184"/>
      <c r="J2509" s="184"/>
      <c r="K2509" s="184"/>
      <c r="L2509" s="184"/>
      <c r="M2509" s="184" t="s">
        <v>7032</v>
      </c>
      <c r="N2509" s="184"/>
      <c r="O2509" s="184"/>
    </row>
    <row r="2510" customFormat="false" ht="15" hidden="false" customHeight="true" outlineLevel="0" collapsed="false">
      <c r="A2510" s="184" t="s">
        <v>4930</v>
      </c>
      <c r="B2510" s="184" t="s">
        <v>4931</v>
      </c>
      <c r="C2510" s="184" t="n">
        <v>42</v>
      </c>
      <c r="D2510" s="184" t="s">
        <v>6296</v>
      </c>
      <c r="E2510" s="184" t="s">
        <v>7033</v>
      </c>
      <c r="F2510" s="184"/>
      <c r="G2510" s="184"/>
      <c r="H2510" s="184"/>
      <c r="I2510" s="184"/>
      <c r="J2510" s="184"/>
      <c r="K2510" s="184"/>
      <c r="L2510" s="184"/>
      <c r="M2510" s="184"/>
      <c r="N2510" s="184"/>
      <c r="O2510" s="184"/>
    </row>
    <row r="2511" customFormat="false" ht="15" hidden="false" customHeight="true" outlineLevel="0" collapsed="false">
      <c r="A2511" s="184" t="s">
        <v>4930</v>
      </c>
      <c r="B2511" s="184" t="s">
        <v>4931</v>
      </c>
      <c r="C2511" s="184" t="n">
        <v>43</v>
      </c>
      <c r="D2511" s="178" t="s">
        <v>6457</v>
      </c>
      <c r="E2511" s="184" t="s">
        <v>7031</v>
      </c>
      <c r="F2511" s="184"/>
      <c r="G2511" s="184"/>
      <c r="H2511" s="184"/>
      <c r="I2511" s="184"/>
      <c r="J2511" s="184"/>
      <c r="K2511" s="184"/>
      <c r="L2511" s="184"/>
      <c r="M2511" s="184" t="s">
        <v>7034</v>
      </c>
      <c r="N2511" s="184"/>
      <c r="O2511" s="184"/>
    </row>
    <row r="2512" customFormat="false" ht="27.75" hidden="false" customHeight="true" outlineLevel="0" collapsed="false">
      <c r="A2512" s="184" t="s">
        <v>4930</v>
      </c>
      <c r="B2512" s="184" t="s">
        <v>4931</v>
      </c>
      <c r="C2512" s="184" t="n">
        <v>44</v>
      </c>
      <c r="D2512" s="184" t="s">
        <v>6296</v>
      </c>
      <c r="E2512" s="184" t="s">
        <v>7035</v>
      </c>
      <c r="F2512" s="184"/>
      <c r="G2512" s="184"/>
      <c r="H2512" s="184"/>
      <c r="I2512" s="184"/>
      <c r="J2512" s="184"/>
      <c r="K2512" s="184"/>
      <c r="L2512" s="184"/>
      <c r="M2512" s="184"/>
      <c r="N2512" s="184"/>
      <c r="O2512" s="184"/>
    </row>
    <row r="2513" customFormat="false" ht="15" hidden="false" customHeight="true" outlineLevel="0" collapsed="false">
      <c r="A2513" s="184" t="s">
        <v>4930</v>
      </c>
      <c r="B2513" s="184" t="s">
        <v>4931</v>
      </c>
      <c r="C2513" s="184" t="n">
        <v>45</v>
      </c>
      <c r="D2513" s="178" t="s">
        <v>6457</v>
      </c>
      <c r="E2513" s="184" t="s">
        <v>7031</v>
      </c>
      <c r="F2513" s="184"/>
      <c r="G2513" s="184"/>
      <c r="H2513" s="184"/>
      <c r="I2513" s="184"/>
      <c r="J2513" s="184"/>
      <c r="K2513" s="184"/>
      <c r="L2513" s="184"/>
      <c r="M2513" s="184" t="s">
        <v>7036</v>
      </c>
      <c r="N2513" s="184"/>
      <c r="O2513" s="184"/>
    </row>
    <row r="2514" customFormat="false" ht="15" hidden="false" customHeight="true" outlineLevel="0" collapsed="false">
      <c r="A2514" s="184" t="s">
        <v>4930</v>
      </c>
      <c r="B2514" s="184" t="s">
        <v>4931</v>
      </c>
      <c r="C2514" s="184" t="n">
        <v>46</v>
      </c>
      <c r="D2514" s="178" t="s">
        <v>5269</v>
      </c>
      <c r="E2514" s="184" t="s">
        <v>7037</v>
      </c>
      <c r="F2514" s="184"/>
      <c r="G2514" s="184"/>
      <c r="H2514" s="184"/>
      <c r="I2514" s="184"/>
      <c r="J2514" s="184"/>
      <c r="K2514" s="184"/>
      <c r="L2514" s="184"/>
      <c r="M2514" s="184" t="s">
        <v>7038</v>
      </c>
      <c r="N2514" s="184"/>
      <c r="O2514" s="184"/>
    </row>
    <row r="2515" customFormat="false" ht="15" hidden="false" customHeight="true" outlineLevel="0" collapsed="false">
      <c r="A2515" s="184" t="s">
        <v>4930</v>
      </c>
      <c r="B2515" s="184" t="s">
        <v>4931</v>
      </c>
      <c r="C2515" s="184" t="n">
        <v>47</v>
      </c>
      <c r="D2515" s="179" t="s">
        <v>6292</v>
      </c>
      <c r="E2515" s="184" t="s">
        <v>7039</v>
      </c>
      <c r="F2515" s="184"/>
      <c r="G2515" s="184"/>
      <c r="H2515" s="184"/>
      <c r="I2515" s="184"/>
      <c r="J2515" s="184"/>
      <c r="K2515" s="184"/>
      <c r="L2515" s="184"/>
      <c r="M2515" s="184"/>
      <c r="N2515" s="184"/>
      <c r="O2515" s="184"/>
    </row>
    <row r="2516" customFormat="false" ht="27.75" hidden="false" customHeight="true" outlineLevel="0" collapsed="false">
      <c r="A2516" s="184" t="s">
        <v>4930</v>
      </c>
      <c r="B2516" s="184" t="s">
        <v>4931</v>
      </c>
      <c r="C2516" s="184" t="n">
        <v>48</v>
      </c>
      <c r="D2516" s="177" t="s">
        <v>6298</v>
      </c>
      <c r="E2516" s="184" t="s">
        <v>7040</v>
      </c>
      <c r="F2516" s="184"/>
      <c r="G2516" s="184"/>
      <c r="H2516" s="184"/>
      <c r="I2516" s="184"/>
      <c r="J2516" s="184"/>
      <c r="K2516" s="184"/>
      <c r="L2516" s="184"/>
      <c r="M2516" s="184"/>
      <c r="N2516" s="184"/>
      <c r="O2516" s="184"/>
    </row>
    <row r="2517" customFormat="false" ht="27.75" hidden="false" customHeight="true" outlineLevel="0" collapsed="false">
      <c r="A2517" s="184" t="s">
        <v>4930</v>
      </c>
      <c r="B2517" s="184" t="s">
        <v>4931</v>
      </c>
      <c r="C2517" s="184" t="n">
        <v>49</v>
      </c>
      <c r="D2517" s="184" t="s">
        <v>6970</v>
      </c>
      <c r="E2517" s="184" t="s">
        <v>7041</v>
      </c>
      <c r="F2517" s="184"/>
      <c r="G2517" s="184"/>
      <c r="H2517" s="184"/>
      <c r="I2517" s="184"/>
      <c r="J2517" s="184"/>
      <c r="K2517" s="184"/>
      <c r="L2517" s="184"/>
      <c r="M2517" s="184"/>
      <c r="N2517" s="184"/>
      <c r="O2517" s="184"/>
    </row>
    <row r="2518" customFormat="false" ht="27.75" hidden="false" customHeight="true" outlineLevel="0" collapsed="false">
      <c r="A2518" s="184" t="s">
        <v>4930</v>
      </c>
      <c r="B2518" s="184" t="s">
        <v>4931</v>
      </c>
      <c r="C2518" s="184" t="n">
        <v>50</v>
      </c>
      <c r="D2518" s="184" t="s">
        <v>6970</v>
      </c>
      <c r="E2518" s="184" t="s">
        <v>7042</v>
      </c>
      <c r="F2518" s="184"/>
      <c r="G2518" s="184"/>
      <c r="H2518" s="184"/>
      <c r="I2518" s="184"/>
      <c r="J2518" s="184"/>
      <c r="K2518" s="184"/>
      <c r="L2518" s="184"/>
      <c r="M2518" s="184"/>
      <c r="N2518" s="184"/>
      <c r="O2518" s="184"/>
    </row>
    <row r="2519" customFormat="false" ht="27.75" hidden="false" customHeight="true" outlineLevel="0" collapsed="false">
      <c r="A2519" s="184" t="s">
        <v>4930</v>
      </c>
      <c r="B2519" s="184" t="s">
        <v>4931</v>
      </c>
      <c r="C2519" s="184" t="n">
        <v>51</v>
      </c>
      <c r="D2519" s="184" t="s">
        <v>6970</v>
      </c>
      <c r="E2519" s="184" t="s">
        <v>7043</v>
      </c>
      <c r="F2519" s="184"/>
      <c r="G2519" s="184"/>
      <c r="H2519" s="184"/>
      <c r="I2519" s="184"/>
      <c r="J2519" s="184"/>
      <c r="K2519" s="184"/>
      <c r="L2519" s="184"/>
      <c r="M2519" s="184"/>
      <c r="N2519" s="184"/>
      <c r="O2519" s="184"/>
    </row>
    <row r="2520" customFormat="false" ht="27.75" hidden="false" customHeight="true" outlineLevel="0" collapsed="false">
      <c r="A2520" s="184" t="s">
        <v>4930</v>
      </c>
      <c r="B2520" s="184" t="s">
        <v>4931</v>
      </c>
      <c r="C2520" s="184" t="n">
        <v>52</v>
      </c>
      <c r="D2520" s="184" t="s">
        <v>6970</v>
      </c>
      <c r="E2520" s="184" t="s">
        <v>7044</v>
      </c>
      <c r="F2520" s="184"/>
      <c r="G2520" s="184"/>
      <c r="H2520" s="184"/>
      <c r="I2520" s="184"/>
      <c r="J2520" s="184"/>
      <c r="K2520" s="184"/>
      <c r="L2520" s="184"/>
      <c r="M2520" s="184"/>
      <c r="N2520" s="184"/>
      <c r="O2520" s="184"/>
    </row>
    <row r="2521" customFormat="false" ht="27.75" hidden="false" customHeight="true" outlineLevel="0" collapsed="false">
      <c r="A2521" s="184" t="s">
        <v>4930</v>
      </c>
      <c r="B2521" s="184" t="s">
        <v>4931</v>
      </c>
      <c r="C2521" s="184" t="n">
        <v>53</v>
      </c>
      <c r="D2521" s="184" t="s">
        <v>6970</v>
      </c>
      <c r="E2521" s="184" t="s">
        <v>7045</v>
      </c>
      <c r="F2521" s="184"/>
      <c r="G2521" s="184"/>
      <c r="H2521" s="184"/>
      <c r="I2521" s="184"/>
      <c r="J2521" s="184"/>
      <c r="K2521" s="184"/>
      <c r="L2521" s="184"/>
      <c r="M2521" s="184"/>
      <c r="N2521" s="184"/>
      <c r="O2521" s="184"/>
    </row>
    <row r="2522" customFormat="false" ht="27.75" hidden="false" customHeight="true" outlineLevel="0" collapsed="false">
      <c r="A2522" s="184" t="s">
        <v>4930</v>
      </c>
      <c r="B2522" s="184" t="s">
        <v>4931</v>
      </c>
      <c r="C2522" s="184" t="n">
        <v>54</v>
      </c>
      <c r="D2522" s="177" t="s">
        <v>6298</v>
      </c>
      <c r="E2522" s="184" t="s">
        <v>7046</v>
      </c>
      <c r="F2522" s="184"/>
      <c r="G2522" s="184"/>
      <c r="H2522" s="184"/>
      <c r="I2522" s="184"/>
      <c r="J2522" s="184"/>
      <c r="K2522" s="184"/>
      <c r="L2522" s="184"/>
      <c r="M2522" s="184"/>
      <c r="N2522" s="184"/>
      <c r="O2522" s="184"/>
    </row>
    <row r="2523" customFormat="false" ht="15" hidden="false" customHeight="true" outlineLevel="0" collapsed="false">
      <c r="A2523" s="184" t="s">
        <v>4930</v>
      </c>
      <c r="B2523" s="184" t="s">
        <v>4931</v>
      </c>
      <c r="C2523" s="184" t="n">
        <v>55</v>
      </c>
      <c r="D2523" s="179" t="s">
        <v>6292</v>
      </c>
      <c r="E2523" s="184" t="s">
        <v>7047</v>
      </c>
      <c r="F2523" s="184"/>
      <c r="G2523" s="184"/>
      <c r="H2523" s="184"/>
      <c r="I2523" s="184"/>
      <c r="J2523" s="184"/>
      <c r="K2523" s="184"/>
      <c r="L2523" s="184"/>
      <c r="M2523" s="184"/>
      <c r="N2523" s="184"/>
      <c r="O2523" s="184"/>
    </row>
    <row r="2524" customFormat="false" ht="27.75" hidden="false" customHeight="true" outlineLevel="0" collapsed="false">
      <c r="A2524" s="184" t="s">
        <v>4930</v>
      </c>
      <c r="B2524" s="184" t="s">
        <v>4931</v>
      </c>
      <c r="C2524" s="184" t="n">
        <v>56</v>
      </c>
      <c r="D2524" s="177" t="s">
        <v>6298</v>
      </c>
      <c r="E2524" s="184" t="s">
        <v>7048</v>
      </c>
      <c r="F2524" s="184"/>
      <c r="G2524" s="184"/>
      <c r="H2524" s="184"/>
      <c r="I2524" s="184"/>
      <c r="J2524" s="184"/>
      <c r="K2524" s="184"/>
      <c r="L2524" s="184"/>
      <c r="M2524" s="184"/>
      <c r="N2524" s="184"/>
      <c r="O2524" s="184"/>
    </row>
    <row r="2525" customFormat="false" ht="15" hidden="false" customHeight="true" outlineLevel="0" collapsed="false">
      <c r="A2525" s="184" t="s">
        <v>4930</v>
      </c>
      <c r="B2525" s="184" t="s">
        <v>4931</v>
      </c>
      <c r="C2525" s="184" t="n">
        <v>57</v>
      </c>
      <c r="D2525" s="179" t="s">
        <v>6292</v>
      </c>
      <c r="E2525" s="184" t="s">
        <v>7049</v>
      </c>
      <c r="F2525" s="184"/>
      <c r="G2525" s="184"/>
      <c r="H2525" s="184"/>
      <c r="I2525" s="184"/>
      <c r="J2525" s="184"/>
      <c r="K2525" s="184"/>
      <c r="L2525" s="184"/>
      <c r="M2525" s="184"/>
      <c r="N2525" s="184"/>
      <c r="O2525" s="184"/>
    </row>
    <row r="2526" customFormat="false" ht="15" hidden="false" customHeight="true" outlineLevel="0" collapsed="false">
      <c r="A2526" s="184" t="s">
        <v>4930</v>
      </c>
      <c r="B2526" s="184" t="s">
        <v>4931</v>
      </c>
      <c r="C2526" s="184" t="n">
        <v>58</v>
      </c>
      <c r="D2526" s="177" t="s">
        <v>6298</v>
      </c>
      <c r="E2526" s="184" t="s">
        <v>7050</v>
      </c>
      <c r="F2526" s="184"/>
      <c r="G2526" s="184"/>
      <c r="H2526" s="184"/>
      <c r="I2526" s="184"/>
      <c r="J2526" s="184"/>
      <c r="K2526" s="184"/>
      <c r="L2526" s="184"/>
      <c r="M2526" s="184"/>
      <c r="N2526" s="184"/>
      <c r="O2526" s="184"/>
    </row>
    <row r="2527" customFormat="false" ht="41.25" hidden="false" customHeight="true" outlineLevel="0" collapsed="false">
      <c r="A2527" s="184" t="s">
        <v>4930</v>
      </c>
      <c r="B2527" s="184" t="s">
        <v>4931</v>
      </c>
      <c r="C2527" s="184" t="n">
        <v>59</v>
      </c>
      <c r="D2527" s="174" t="s">
        <v>4846</v>
      </c>
      <c r="E2527" s="184" t="s">
        <v>7051</v>
      </c>
      <c r="F2527" s="184" t="s">
        <v>227</v>
      </c>
      <c r="G2527" s="184"/>
      <c r="H2527" s="184"/>
      <c r="I2527" s="184"/>
      <c r="J2527" s="184" t="s">
        <v>7052</v>
      </c>
      <c r="K2527" s="184"/>
      <c r="L2527" s="184"/>
      <c r="M2527" s="184" t="s">
        <v>7053</v>
      </c>
      <c r="N2527" s="184"/>
      <c r="O2527" s="184"/>
    </row>
    <row r="2528" customFormat="false" ht="15" hidden="false" customHeight="true" outlineLevel="0" collapsed="false">
      <c r="A2528" s="184" t="s">
        <v>4930</v>
      </c>
      <c r="B2528" s="184" t="s">
        <v>4931</v>
      </c>
      <c r="C2528" s="184" t="n">
        <v>60</v>
      </c>
      <c r="D2528" s="179" t="s">
        <v>6292</v>
      </c>
      <c r="E2528" s="184" t="s">
        <v>7054</v>
      </c>
      <c r="F2528" s="184"/>
      <c r="G2528" s="184"/>
      <c r="H2528" s="184"/>
      <c r="I2528" s="184"/>
      <c r="J2528" s="184"/>
      <c r="K2528" s="184"/>
      <c r="L2528" s="184"/>
      <c r="M2528" s="184"/>
      <c r="N2528" s="184"/>
      <c r="O2528" s="184"/>
    </row>
    <row r="2529" customFormat="false" ht="27.75" hidden="false" customHeight="true" outlineLevel="0" collapsed="false">
      <c r="A2529" s="184" t="s">
        <v>4930</v>
      </c>
      <c r="B2529" s="184" t="s">
        <v>4931</v>
      </c>
      <c r="C2529" s="184" t="n">
        <v>61</v>
      </c>
      <c r="D2529" s="177" t="s">
        <v>6298</v>
      </c>
      <c r="E2529" s="184" t="s">
        <v>7055</v>
      </c>
      <c r="F2529" s="184"/>
      <c r="G2529" s="184"/>
      <c r="H2529" s="184"/>
      <c r="I2529" s="184"/>
      <c r="J2529" s="184"/>
      <c r="K2529" s="184"/>
      <c r="L2529" s="184"/>
      <c r="M2529" s="184"/>
      <c r="N2529" s="184"/>
      <c r="O2529" s="184"/>
    </row>
    <row r="2530" customFormat="false" ht="41.25" hidden="false" customHeight="true" outlineLevel="0" collapsed="false">
      <c r="A2530" s="184" t="s">
        <v>4930</v>
      </c>
      <c r="B2530" s="184" t="s">
        <v>4931</v>
      </c>
      <c r="C2530" s="184" t="n">
        <v>62</v>
      </c>
      <c r="D2530" s="174" t="s">
        <v>4848</v>
      </c>
      <c r="E2530" s="184" t="s">
        <v>7056</v>
      </c>
      <c r="F2530" s="184"/>
      <c r="G2530" s="184"/>
      <c r="H2530" s="184"/>
      <c r="I2530" s="184"/>
      <c r="J2530" s="184" t="s">
        <v>7057</v>
      </c>
      <c r="K2530" s="184"/>
      <c r="L2530" s="184" t="s">
        <v>7058</v>
      </c>
      <c r="M2530" s="184"/>
      <c r="N2530" s="184"/>
      <c r="O2530" s="184"/>
    </row>
    <row r="2531" customFormat="false" ht="15" hidden="false" customHeight="true" outlineLevel="0" collapsed="false">
      <c r="A2531" s="184" t="s">
        <v>4930</v>
      </c>
      <c r="B2531" s="184" t="s">
        <v>4931</v>
      </c>
      <c r="C2531" s="184" t="n">
        <v>63</v>
      </c>
      <c r="D2531" s="174" t="s">
        <v>4844</v>
      </c>
      <c r="E2531" s="184" t="s">
        <v>418</v>
      </c>
      <c r="F2531" s="184" t="s">
        <v>227</v>
      </c>
      <c r="G2531" s="184" t="s">
        <v>7059</v>
      </c>
      <c r="H2531" s="184" t="s">
        <v>7060</v>
      </c>
      <c r="I2531" s="184" t="s">
        <v>5675</v>
      </c>
      <c r="J2531" s="184" t="s">
        <v>6496</v>
      </c>
      <c r="K2531" s="184"/>
      <c r="L2531" s="184"/>
      <c r="M2531" s="184" t="s">
        <v>7061</v>
      </c>
      <c r="N2531" s="184"/>
      <c r="O2531" s="184"/>
    </row>
    <row r="2532" customFormat="false" ht="15" hidden="false" customHeight="true" outlineLevel="0" collapsed="false">
      <c r="A2532" s="184" t="s">
        <v>4930</v>
      </c>
      <c r="B2532" s="184" t="s">
        <v>4931</v>
      </c>
      <c r="C2532" s="184" t="n">
        <v>64</v>
      </c>
      <c r="D2532" s="174" t="s">
        <v>4844</v>
      </c>
      <c r="E2532" s="184" t="s">
        <v>7062</v>
      </c>
      <c r="F2532" s="184" t="s">
        <v>227</v>
      </c>
      <c r="G2532" s="184" t="s">
        <v>6496</v>
      </c>
      <c r="H2532" s="184" t="s">
        <v>6501</v>
      </c>
      <c r="I2532" s="184" t="s">
        <v>7063</v>
      </c>
      <c r="J2532" s="184" t="s">
        <v>6496</v>
      </c>
      <c r="K2532" s="184"/>
      <c r="L2532" s="184"/>
      <c r="M2532" s="184" t="s">
        <v>7064</v>
      </c>
      <c r="N2532" s="184"/>
      <c r="O2532" s="184"/>
    </row>
    <row r="2533" customFormat="false" ht="15" hidden="false" customHeight="true" outlineLevel="0" collapsed="false">
      <c r="A2533" s="184" t="s">
        <v>4930</v>
      </c>
      <c r="B2533" s="184" t="s">
        <v>4931</v>
      </c>
      <c r="C2533" s="184" t="n">
        <v>65</v>
      </c>
      <c r="D2533" s="184" t="s">
        <v>6296</v>
      </c>
      <c r="E2533" s="184" t="s">
        <v>7065</v>
      </c>
      <c r="F2533" s="184"/>
      <c r="G2533" s="184"/>
      <c r="H2533" s="184"/>
      <c r="I2533" s="184"/>
      <c r="J2533" s="184"/>
      <c r="K2533" s="184"/>
      <c r="L2533" s="184"/>
      <c r="M2533" s="184"/>
      <c r="N2533" s="184"/>
      <c r="O2533" s="184"/>
    </row>
    <row r="2534" customFormat="false" ht="27.75" hidden="false" customHeight="true" outlineLevel="0" collapsed="false">
      <c r="A2534" s="184" t="s">
        <v>4930</v>
      </c>
      <c r="B2534" s="184" t="s">
        <v>4931</v>
      </c>
      <c r="C2534" s="184" t="n">
        <v>66</v>
      </c>
      <c r="D2534" s="179" t="s">
        <v>6300</v>
      </c>
      <c r="E2534" s="184" t="s">
        <v>7066</v>
      </c>
      <c r="F2534" s="184"/>
      <c r="G2534" s="184"/>
      <c r="H2534" s="184"/>
      <c r="I2534" s="184"/>
      <c r="J2534" s="184"/>
      <c r="K2534" s="184"/>
      <c r="L2534" s="184"/>
      <c r="M2534" s="184"/>
      <c r="N2534" s="184"/>
      <c r="O2534" s="184"/>
    </row>
    <row r="2535" customFormat="false" ht="15" hidden="false" customHeight="true" outlineLevel="0" collapsed="false">
      <c r="A2535" s="184" t="s">
        <v>4930</v>
      </c>
      <c r="B2535" s="184" t="s">
        <v>4931</v>
      </c>
      <c r="C2535" s="184" t="n">
        <v>67</v>
      </c>
      <c r="D2535" s="174" t="s">
        <v>4848</v>
      </c>
      <c r="E2535" s="184" t="s">
        <v>6304</v>
      </c>
      <c r="F2535" s="184"/>
      <c r="G2535" s="184"/>
      <c r="H2535" s="184"/>
      <c r="I2535" s="184"/>
      <c r="J2535" s="184" t="s">
        <v>1297</v>
      </c>
      <c r="K2535" s="184"/>
      <c r="L2535" s="184" t="s">
        <v>6305</v>
      </c>
      <c r="M2535" s="184"/>
      <c r="N2535" s="184"/>
      <c r="O2535" s="184"/>
    </row>
    <row r="2536" customFormat="false" ht="68.25" hidden="false" customHeight="true" outlineLevel="0" collapsed="false">
      <c r="A2536" s="184" t="s">
        <v>4930</v>
      </c>
      <c r="B2536" s="184" t="s">
        <v>4931</v>
      </c>
      <c r="C2536" s="184" t="n">
        <v>68</v>
      </c>
      <c r="D2536" s="177" t="s">
        <v>6298</v>
      </c>
      <c r="E2536" s="184" t="s">
        <v>6306</v>
      </c>
      <c r="F2536" s="184"/>
      <c r="G2536" s="184"/>
      <c r="H2536" s="184"/>
      <c r="I2536" s="184"/>
      <c r="J2536" s="184"/>
      <c r="K2536" s="184"/>
      <c r="L2536" s="184"/>
      <c r="M2536" s="184"/>
      <c r="N2536" s="184"/>
      <c r="O2536" s="184"/>
    </row>
    <row r="2537" customFormat="false" ht="15" hidden="false" customHeight="true" outlineLevel="0" collapsed="false">
      <c r="A2537" s="184" t="s">
        <v>4930</v>
      </c>
      <c r="B2537" s="184" t="s">
        <v>4931</v>
      </c>
      <c r="C2537" s="184" t="n">
        <v>69</v>
      </c>
      <c r="D2537" s="184" t="s">
        <v>6296</v>
      </c>
      <c r="E2537" s="184" t="s">
        <v>7067</v>
      </c>
      <c r="F2537" s="184"/>
      <c r="G2537" s="184"/>
      <c r="H2537" s="184"/>
      <c r="I2537" s="184"/>
      <c r="J2537" s="184"/>
      <c r="K2537" s="184"/>
      <c r="L2537" s="184"/>
      <c r="M2537" s="184"/>
      <c r="N2537" s="184"/>
      <c r="O2537" s="184"/>
    </row>
    <row r="2538" customFormat="false" ht="15" hidden="false" customHeight="true" outlineLevel="0" collapsed="false">
      <c r="A2538" s="184" t="s">
        <v>4930</v>
      </c>
      <c r="B2538" s="184" t="s">
        <v>4931</v>
      </c>
      <c r="C2538" s="184" t="n">
        <v>70</v>
      </c>
      <c r="D2538" s="184" t="s">
        <v>7068</v>
      </c>
      <c r="E2538" s="184" t="s">
        <v>6333</v>
      </c>
      <c r="F2538" s="184"/>
      <c r="G2538" s="184"/>
      <c r="H2538" s="184"/>
      <c r="I2538" s="184"/>
      <c r="J2538" s="184"/>
      <c r="K2538" s="184"/>
      <c r="L2538" s="184"/>
      <c r="M2538" s="184"/>
      <c r="N2538" s="184"/>
      <c r="O2538" s="184"/>
    </row>
    <row r="2539" customFormat="false" ht="54.75" hidden="false" customHeight="true" outlineLevel="0" collapsed="false">
      <c r="A2539" s="184" t="s">
        <v>4930</v>
      </c>
      <c r="B2539" s="184" t="s">
        <v>4931</v>
      </c>
      <c r="C2539" s="184" t="n">
        <v>71</v>
      </c>
      <c r="D2539" s="177" t="s">
        <v>6298</v>
      </c>
      <c r="E2539" s="184" t="s">
        <v>6303</v>
      </c>
      <c r="F2539" s="184"/>
      <c r="G2539" s="184"/>
      <c r="H2539" s="184"/>
      <c r="I2539" s="184"/>
      <c r="J2539" s="184"/>
      <c r="K2539" s="184"/>
      <c r="L2539" s="184"/>
      <c r="M2539" s="184"/>
      <c r="N2539" s="184"/>
      <c r="O2539" s="184"/>
    </row>
    <row r="2540" customFormat="false" ht="54.75" hidden="false" customHeight="true" outlineLevel="0" collapsed="false">
      <c r="A2540" s="184" t="s">
        <v>4930</v>
      </c>
      <c r="B2540" s="184" t="s">
        <v>4931</v>
      </c>
      <c r="C2540" s="184" t="n">
        <v>72</v>
      </c>
      <c r="D2540" s="174" t="s">
        <v>4848</v>
      </c>
      <c r="E2540" s="184" t="s">
        <v>7069</v>
      </c>
      <c r="F2540" s="184"/>
      <c r="G2540" s="184"/>
      <c r="H2540" s="184"/>
      <c r="I2540" s="184"/>
      <c r="J2540" s="184" t="s">
        <v>6301</v>
      </c>
      <c r="K2540" s="184"/>
      <c r="L2540" s="184" t="s">
        <v>6302</v>
      </c>
      <c r="M2540" s="184"/>
      <c r="N2540" s="184"/>
      <c r="O2540" s="184"/>
    </row>
    <row r="2541" customFormat="false" ht="27.75" hidden="false" customHeight="true" outlineLevel="0" collapsed="false">
      <c r="A2541" s="184" t="s">
        <v>4930</v>
      </c>
      <c r="B2541" s="184" t="s">
        <v>4931</v>
      </c>
      <c r="C2541" s="184" t="n">
        <v>73</v>
      </c>
      <c r="D2541" s="177" t="s">
        <v>6298</v>
      </c>
      <c r="E2541" s="184" t="s">
        <v>7070</v>
      </c>
      <c r="F2541" s="184"/>
      <c r="G2541" s="184"/>
      <c r="H2541" s="184"/>
      <c r="I2541" s="184"/>
      <c r="J2541" s="184"/>
      <c r="K2541" s="184"/>
      <c r="L2541" s="184"/>
      <c r="M2541" s="184"/>
      <c r="N2541" s="184"/>
      <c r="O2541" s="184"/>
    </row>
    <row r="2542" customFormat="false" ht="15" hidden="false" customHeight="true" outlineLevel="0" collapsed="false">
      <c r="A2542" s="184" t="s">
        <v>4930</v>
      </c>
      <c r="B2542" s="184" t="s">
        <v>4931</v>
      </c>
      <c r="C2542" s="184" t="n">
        <v>74</v>
      </c>
      <c r="D2542" s="178" t="s">
        <v>5269</v>
      </c>
      <c r="E2542" s="184" t="s">
        <v>7071</v>
      </c>
      <c r="F2542" s="184"/>
      <c r="G2542" s="184"/>
      <c r="H2542" s="184"/>
      <c r="I2542" s="184"/>
      <c r="J2542" s="184"/>
      <c r="K2542" s="184"/>
      <c r="L2542" s="184"/>
      <c r="M2542" s="184" t="s">
        <v>7072</v>
      </c>
      <c r="N2542" s="184"/>
      <c r="O2542" s="184"/>
    </row>
    <row r="2543" customFormat="false" ht="15" hidden="false" customHeight="true" outlineLevel="0" collapsed="false">
      <c r="A2543" s="184" t="s">
        <v>4930</v>
      </c>
      <c r="B2543" s="184" t="s">
        <v>4931</v>
      </c>
      <c r="C2543" s="184" t="n">
        <v>75</v>
      </c>
      <c r="D2543" s="178" t="s">
        <v>5269</v>
      </c>
      <c r="E2543" s="184" t="s">
        <v>7073</v>
      </c>
      <c r="F2543" s="184"/>
      <c r="G2543" s="184"/>
      <c r="H2543" s="184"/>
      <c r="I2543" s="184"/>
      <c r="J2543" s="184"/>
      <c r="K2543" s="184"/>
      <c r="L2543" s="184"/>
      <c r="M2543" s="184" t="s">
        <v>7074</v>
      </c>
      <c r="N2543" s="184"/>
      <c r="O2543" s="184"/>
    </row>
    <row r="2544" customFormat="false" ht="15" hidden="false" customHeight="true" outlineLevel="0" collapsed="false">
      <c r="A2544" s="184" t="s">
        <v>4930</v>
      </c>
      <c r="B2544" s="184" t="s">
        <v>4931</v>
      </c>
      <c r="C2544" s="184" t="n">
        <v>76</v>
      </c>
      <c r="D2544" s="179" t="s">
        <v>6292</v>
      </c>
      <c r="E2544" s="184" t="s">
        <v>7075</v>
      </c>
      <c r="F2544" s="184"/>
      <c r="G2544" s="184"/>
      <c r="H2544" s="184"/>
      <c r="I2544" s="184"/>
      <c r="J2544" s="184"/>
      <c r="K2544" s="184"/>
      <c r="L2544" s="184"/>
      <c r="M2544" s="184"/>
      <c r="N2544" s="184"/>
      <c r="O2544" s="184"/>
    </row>
    <row r="2545" customFormat="false" ht="15" hidden="false" customHeight="true" outlineLevel="0" collapsed="false">
      <c r="A2545" s="184" t="s">
        <v>4930</v>
      </c>
      <c r="B2545" s="184" t="s">
        <v>4931</v>
      </c>
      <c r="C2545" s="184" t="n">
        <v>77</v>
      </c>
      <c r="D2545" s="178" t="s">
        <v>5269</v>
      </c>
      <c r="E2545" s="184" t="s">
        <v>7076</v>
      </c>
      <c r="F2545" s="184"/>
      <c r="G2545" s="184"/>
      <c r="H2545" s="184"/>
      <c r="I2545" s="184"/>
      <c r="J2545" s="184"/>
      <c r="K2545" s="184"/>
      <c r="L2545" s="184"/>
      <c r="M2545" s="184" t="s">
        <v>7077</v>
      </c>
      <c r="N2545" s="184"/>
      <c r="O2545" s="184"/>
    </row>
    <row r="2546" customFormat="false" ht="15" hidden="false" customHeight="true" outlineLevel="0" collapsed="false">
      <c r="A2546" s="184" t="s">
        <v>4930</v>
      </c>
      <c r="B2546" s="184" t="s">
        <v>4931</v>
      </c>
      <c r="C2546" s="184" t="n">
        <v>78</v>
      </c>
      <c r="D2546" s="178" t="s">
        <v>5269</v>
      </c>
      <c r="E2546" s="184" t="s">
        <v>7078</v>
      </c>
      <c r="F2546" s="184"/>
      <c r="G2546" s="184"/>
      <c r="H2546" s="184"/>
      <c r="I2546" s="184"/>
      <c r="J2546" s="184"/>
      <c r="K2546" s="184"/>
      <c r="L2546" s="184"/>
      <c r="M2546" s="184" t="s">
        <v>7079</v>
      </c>
      <c r="N2546" s="184"/>
      <c r="O2546" s="184"/>
    </row>
    <row r="2547" customFormat="false" ht="15" hidden="false" customHeight="true" outlineLevel="0" collapsed="false">
      <c r="A2547" s="184" t="s">
        <v>4930</v>
      </c>
      <c r="B2547" s="184" t="s">
        <v>4931</v>
      </c>
      <c r="C2547" s="184" t="n">
        <v>79</v>
      </c>
      <c r="D2547" s="178" t="s">
        <v>5269</v>
      </c>
      <c r="E2547" s="184" t="s">
        <v>7080</v>
      </c>
      <c r="F2547" s="184"/>
      <c r="G2547" s="184"/>
      <c r="H2547" s="184"/>
      <c r="I2547" s="184"/>
      <c r="J2547" s="184"/>
      <c r="K2547" s="184"/>
      <c r="L2547" s="184"/>
      <c r="M2547" s="184" t="s">
        <v>7081</v>
      </c>
      <c r="N2547" s="184"/>
      <c r="O2547" s="184"/>
    </row>
    <row r="2548" customFormat="false" ht="27.75" hidden="false" customHeight="true" outlineLevel="0" collapsed="false">
      <c r="A2548" s="184" t="s">
        <v>4930</v>
      </c>
      <c r="B2548" s="184" t="s">
        <v>4931</v>
      </c>
      <c r="C2548" s="184" t="n">
        <v>80</v>
      </c>
      <c r="D2548" s="177" t="s">
        <v>6298</v>
      </c>
      <c r="E2548" s="184" t="s">
        <v>7082</v>
      </c>
      <c r="F2548" s="184"/>
      <c r="G2548" s="184"/>
      <c r="H2548" s="184"/>
      <c r="I2548" s="184"/>
      <c r="J2548" s="184"/>
      <c r="K2548" s="184"/>
      <c r="L2548" s="184"/>
      <c r="M2548" s="184"/>
      <c r="N2548" s="184"/>
      <c r="O2548" s="184"/>
    </row>
    <row r="2549" customFormat="false" ht="15" hidden="false" customHeight="true" outlineLevel="0" collapsed="false">
      <c r="A2549" s="184" t="s">
        <v>4930</v>
      </c>
      <c r="B2549" s="184" t="s">
        <v>4931</v>
      </c>
      <c r="C2549" s="184" t="n">
        <v>81</v>
      </c>
      <c r="D2549" s="177" t="s">
        <v>6298</v>
      </c>
      <c r="E2549" s="184" t="s">
        <v>7083</v>
      </c>
      <c r="F2549" s="184"/>
      <c r="G2549" s="184"/>
      <c r="H2549" s="184"/>
      <c r="I2549" s="184"/>
      <c r="J2549" s="184"/>
      <c r="K2549" s="184"/>
      <c r="L2549" s="184"/>
      <c r="M2549" s="184"/>
      <c r="N2549" s="184"/>
      <c r="O2549" s="184"/>
    </row>
    <row r="2550" customFormat="false" ht="15" hidden="false" customHeight="true" outlineLevel="0" collapsed="false">
      <c r="A2550" s="184" t="s">
        <v>4930</v>
      </c>
      <c r="B2550" s="184" t="s">
        <v>4931</v>
      </c>
      <c r="C2550" s="184" t="n">
        <v>82</v>
      </c>
      <c r="D2550" s="177" t="s">
        <v>6298</v>
      </c>
      <c r="E2550" s="184" t="s">
        <v>7084</v>
      </c>
      <c r="F2550" s="184"/>
      <c r="G2550" s="184"/>
      <c r="H2550" s="184"/>
      <c r="I2550" s="184"/>
      <c r="J2550" s="184"/>
      <c r="K2550" s="184"/>
      <c r="L2550" s="184"/>
      <c r="M2550" s="184"/>
      <c r="N2550" s="184"/>
      <c r="O2550" s="184"/>
    </row>
    <row r="2551" customFormat="false" ht="15" hidden="false" customHeight="true" outlineLevel="0" collapsed="false">
      <c r="A2551" s="184" t="s">
        <v>4930</v>
      </c>
      <c r="B2551" s="184" t="s">
        <v>4931</v>
      </c>
      <c r="C2551" s="184" t="n">
        <v>83</v>
      </c>
      <c r="D2551" s="177" t="s">
        <v>6298</v>
      </c>
      <c r="E2551" s="184" t="s">
        <v>7085</v>
      </c>
      <c r="F2551" s="184"/>
      <c r="G2551" s="184"/>
      <c r="H2551" s="184"/>
      <c r="I2551" s="184"/>
      <c r="J2551" s="184"/>
      <c r="K2551" s="184"/>
      <c r="L2551" s="184"/>
      <c r="M2551" s="184"/>
      <c r="N2551" s="184"/>
      <c r="O2551" s="184"/>
    </row>
    <row r="2552" customFormat="false" ht="15" hidden="false" customHeight="true" outlineLevel="0" collapsed="false">
      <c r="A2552" s="184" t="s">
        <v>4930</v>
      </c>
      <c r="B2552" s="184" t="s">
        <v>4931</v>
      </c>
      <c r="C2552" s="184" t="n">
        <v>84</v>
      </c>
      <c r="D2552" s="177" t="s">
        <v>6298</v>
      </c>
      <c r="E2552" s="184" t="s">
        <v>7086</v>
      </c>
      <c r="F2552" s="184"/>
      <c r="G2552" s="184"/>
      <c r="H2552" s="184"/>
      <c r="I2552" s="184"/>
      <c r="J2552" s="184"/>
      <c r="K2552" s="184"/>
      <c r="L2552" s="184"/>
      <c r="M2552" s="184"/>
      <c r="N2552" s="184"/>
      <c r="O2552" s="184"/>
    </row>
    <row r="2553" customFormat="false" ht="68.25" hidden="false" customHeight="true" outlineLevel="0" collapsed="false">
      <c r="A2553" s="184" t="s">
        <v>4930</v>
      </c>
      <c r="B2553" s="184" t="s">
        <v>4931</v>
      </c>
      <c r="C2553" s="184" t="n">
        <v>85</v>
      </c>
      <c r="D2553" s="184" t="s">
        <v>6294</v>
      </c>
      <c r="E2553" s="184" t="s">
        <v>7087</v>
      </c>
      <c r="F2553" s="184"/>
      <c r="G2553" s="184"/>
      <c r="H2553" s="184"/>
      <c r="I2553" s="184"/>
      <c r="J2553" s="184"/>
      <c r="K2553" s="184"/>
      <c r="L2553" s="184"/>
      <c r="M2553" s="184"/>
      <c r="N2553" s="184"/>
      <c r="O2553" s="184"/>
    </row>
    <row r="2554" customFormat="false" ht="15" hidden="false" customHeight="true" outlineLevel="0" collapsed="false">
      <c r="A2554" s="184" t="s">
        <v>4930</v>
      </c>
      <c r="B2554" s="184" t="s">
        <v>4931</v>
      </c>
      <c r="C2554" s="184" t="n">
        <v>86</v>
      </c>
      <c r="D2554" s="178" t="s">
        <v>5269</v>
      </c>
      <c r="E2554" s="184" t="s">
        <v>7088</v>
      </c>
      <c r="F2554" s="184"/>
      <c r="G2554" s="184"/>
      <c r="H2554" s="184"/>
      <c r="I2554" s="184"/>
      <c r="J2554" s="184"/>
      <c r="K2554" s="184"/>
      <c r="L2554" s="184"/>
      <c r="M2554" s="184" t="s">
        <v>7000</v>
      </c>
      <c r="N2554" s="184"/>
      <c r="O2554" s="184"/>
    </row>
    <row r="2555" customFormat="false" ht="15" hidden="false" customHeight="true" outlineLevel="0" collapsed="false">
      <c r="A2555" s="184" t="s">
        <v>4930</v>
      </c>
      <c r="B2555" s="184" t="s">
        <v>4931</v>
      </c>
      <c r="C2555" s="184" t="n">
        <v>87</v>
      </c>
      <c r="D2555" s="178" t="s">
        <v>5269</v>
      </c>
      <c r="E2555" s="184" t="s">
        <v>7089</v>
      </c>
      <c r="F2555" s="184"/>
      <c r="G2555" s="184"/>
      <c r="H2555" s="184"/>
      <c r="I2555" s="184"/>
      <c r="J2555" s="184"/>
      <c r="K2555" s="184"/>
      <c r="L2555" s="184"/>
      <c r="M2555" s="184" t="s">
        <v>7090</v>
      </c>
      <c r="N2555" s="184"/>
      <c r="O2555" s="184"/>
    </row>
    <row r="2556" customFormat="false" ht="15" hidden="false" customHeight="true" outlineLevel="0" collapsed="false">
      <c r="A2556" s="184" t="s">
        <v>4930</v>
      </c>
      <c r="B2556" s="184" t="s">
        <v>4931</v>
      </c>
      <c r="C2556" s="184" t="n">
        <v>88</v>
      </c>
      <c r="D2556" s="178" t="s">
        <v>5269</v>
      </c>
      <c r="E2556" s="184" t="s">
        <v>7091</v>
      </c>
      <c r="F2556" s="184"/>
      <c r="G2556" s="184"/>
      <c r="H2556" s="184"/>
      <c r="I2556" s="184"/>
      <c r="J2556" s="184"/>
      <c r="K2556" s="184"/>
      <c r="L2556" s="184"/>
      <c r="M2556" s="184" t="s">
        <v>7092</v>
      </c>
      <c r="N2556" s="184"/>
      <c r="O2556" s="184"/>
    </row>
    <row r="2557" customFormat="false" ht="27.75" hidden="false" customHeight="true" outlineLevel="0" collapsed="false">
      <c r="A2557" s="184" t="s">
        <v>4930</v>
      </c>
      <c r="B2557" s="184" t="s">
        <v>4931</v>
      </c>
      <c r="C2557" s="184" t="n">
        <v>89</v>
      </c>
      <c r="D2557" s="177" t="s">
        <v>5276</v>
      </c>
      <c r="E2557" s="184" t="s">
        <v>7093</v>
      </c>
      <c r="F2557" s="184"/>
      <c r="G2557" s="184"/>
      <c r="H2557" s="184"/>
      <c r="I2557" s="184"/>
      <c r="J2557" s="184"/>
      <c r="K2557" s="184"/>
      <c r="L2557" s="184"/>
      <c r="M2557" s="184"/>
      <c r="N2557" s="184"/>
      <c r="O2557" s="184"/>
    </row>
    <row r="2558" customFormat="false" ht="54.75" hidden="false" customHeight="true" outlineLevel="0" collapsed="false">
      <c r="A2558" s="184" t="s">
        <v>4930</v>
      </c>
      <c r="B2558" s="184" t="s">
        <v>4931</v>
      </c>
      <c r="C2558" s="184" t="n">
        <v>90</v>
      </c>
      <c r="D2558" s="177" t="s">
        <v>5276</v>
      </c>
      <c r="E2558" s="184" t="s">
        <v>7094</v>
      </c>
      <c r="F2558" s="184"/>
      <c r="G2558" s="184"/>
      <c r="H2558" s="184"/>
      <c r="I2558" s="184"/>
      <c r="J2558" s="184"/>
      <c r="K2558" s="184"/>
      <c r="L2558" s="184"/>
      <c r="M2558" s="184"/>
      <c r="N2558" s="184"/>
      <c r="O2558" s="184"/>
    </row>
    <row r="2559" customFormat="false" ht="15" hidden="false" customHeight="true" outlineLevel="0" collapsed="false">
      <c r="A2559" s="184"/>
      <c r="B2559" s="184"/>
      <c r="C2559" s="184"/>
      <c r="D2559" s="184"/>
      <c r="E2559" s="184"/>
      <c r="F2559" s="184"/>
      <c r="G2559" s="184"/>
      <c r="H2559" s="184"/>
      <c r="I2559" s="184"/>
      <c r="J2559" s="184"/>
      <c r="K2559" s="184"/>
      <c r="L2559" s="184"/>
      <c r="M2559" s="184"/>
      <c r="N2559" s="184"/>
      <c r="O2559" s="184"/>
    </row>
    <row r="2560" customFormat="false" ht="15" hidden="false" customHeight="true" outlineLevel="0" collapsed="false">
      <c r="A2560" s="184"/>
      <c r="B2560" s="184"/>
      <c r="C2560" s="184"/>
      <c r="D2560" s="184"/>
      <c r="E2560" s="184"/>
      <c r="F2560" s="184"/>
      <c r="G2560" s="184"/>
      <c r="H2560" s="184"/>
      <c r="I2560" s="184"/>
      <c r="J2560" s="184"/>
      <c r="K2560" s="184"/>
      <c r="L2560" s="184"/>
      <c r="M2560" s="184"/>
      <c r="N2560" s="184"/>
      <c r="O2560" s="184"/>
    </row>
    <row r="2561" customFormat="false" ht="15" hidden="false" customHeight="true" outlineLevel="0" collapsed="false">
      <c r="A2561" s="184"/>
      <c r="B2561" s="184"/>
      <c r="C2561" s="184"/>
      <c r="D2561" s="184"/>
      <c r="E2561" s="184"/>
      <c r="F2561" s="184"/>
      <c r="G2561" s="184"/>
      <c r="H2561" s="184"/>
      <c r="I2561" s="184"/>
      <c r="J2561" s="184"/>
      <c r="K2561" s="184"/>
      <c r="L2561" s="184"/>
      <c r="M2561" s="184"/>
      <c r="N2561" s="184"/>
      <c r="O2561" s="184"/>
    </row>
    <row r="2562" customFormat="false" ht="15" hidden="false" customHeight="true" outlineLevel="0" collapsed="false">
      <c r="A2562" s="184"/>
      <c r="B2562" s="184"/>
      <c r="C2562" s="184"/>
      <c r="D2562" s="184"/>
      <c r="E2562" s="184"/>
      <c r="F2562" s="184"/>
      <c r="G2562" s="184"/>
      <c r="H2562" s="184"/>
      <c r="I2562" s="184"/>
      <c r="J2562" s="184"/>
      <c r="K2562" s="184"/>
      <c r="L2562" s="184"/>
      <c r="M2562" s="184"/>
      <c r="N2562" s="184"/>
      <c r="O2562" s="184"/>
    </row>
    <row r="2563" customFormat="false" ht="15" hidden="false" customHeight="true" outlineLevel="0" collapsed="false">
      <c r="A2563" s="184"/>
      <c r="B2563" s="184"/>
      <c r="C2563" s="184"/>
      <c r="D2563" s="184"/>
      <c r="E2563" s="184"/>
      <c r="F2563" s="184"/>
      <c r="G2563" s="184"/>
      <c r="H2563" s="184"/>
      <c r="I2563" s="184"/>
      <c r="J2563" s="184"/>
      <c r="K2563" s="184"/>
      <c r="L2563" s="184"/>
      <c r="M2563" s="184"/>
      <c r="N2563" s="184"/>
      <c r="O2563" s="184"/>
    </row>
    <row r="2564" customFormat="false" ht="15" hidden="false" customHeight="true" outlineLevel="0" collapsed="false">
      <c r="A2564" s="184"/>
      <c r="B2564" s="184"/>
      <c r="C2564" s="184"/>
      <c r="D2564" s="184"/>
      <c r="E2564" s="184"/>
      <c r="F2564" s="184"/>
      <c r="G2564" s="184"/>
      <c r="H2564" s="184"/>
      <c r="I2564" s="184"/>
      <c r="J2564" s="184"/>
      <c r="K2564" s="184"/>
      <c r="L2564" s="184"/>
      <c r="M2564" s="184"/>
      <c r="N2564" s="184"/>
      <c r="O2564" s="184"/>
    </row>
    <row r="2565" customFormat="false" ht="15" hidden="false" customHeight="true" outlineLevel="0" collapsed="false">
      <c r="A2565" s="184"/>
      <c r="B2565" s="184"/>
      <c r="C2565" s="184"/>
      <c r="D2565" s="184"/>
      <c r="E2565" s="184"/>
      <c r="F2565" s="184"/>
      <c r="G2565" s="184"/>
      <c r="H2565" s="184"/>
      <c r="I2565" s="184"/>
      <c r="J2565" s="184"/>
      <c r="K2565" s="184"/>
      <c r="L2565" s="184"/>
      <c r="M2565" s="184"/>
      <c r="N2565" s="184"/>
      <c r="O2565" s="184"/>
    </row>
    <row r="2566" customFormat="false" ht="15" hidden="false" customHeight="true" outlineLevel="0" collapsed="false">
      <c r="A2566" s="184"/>
      <c r="B2566" s="184"/>
      <c r="C2566" s="184"/>
      <c r="D2566" s="184"/>
      <c r="E2566" s="184"/>
      <c r="F2566" s="184"/>
      <c r="G2566" s="184"/>
      <c r="H2566" s="184"/>
      <c r="I2566" s="184"/>
      <c r="J2566" s="184"/>
      <c r="K2566" s="184"/>
      <c r="L2566" s="184"/>
      <c r="M2566" s="184"/>
      <c r="N2566" s="184"/>
      <c r="O2566" s="184"/>
    </row>
    <row r="2567" customFormat="false" ht="15" hidden="false" customHeight="true" outlineLevel="0" collapsed="false">
      <c r="A2567" s="184"/>
      <c r="B2567" s="184"/>
      <c r="C2567" s="184"/>
      <c r="D2567" s="184"/>
      <c r="E2567" s="184"/>
      <c r="F2567" s="184"/>
      <c r="G2567" s="184"/>
      <c r="H2567" s="184"/>
      <c r="I2567" s="184"/>
      <c r="J2567" s="184"/>
      <c r="K2567" s="184"/>
      <c r="L2567" s="184"/>
      <c r="M2567" s="184"/>
      <c r="N2567" s="184"/>
      <c r="O2567" s="184"/>
    </row>
    <row r="2568" customFormat="false" ht="15" hidden="false" customHeight="true" outlineLevel="0" collapsed="false">
      <c r="A2568" s="184"/>
      <c r="B2568" s="184"/>
      <c r="C2568" s="184"/>
      <c r="D2568" s="184"/>
      <c r="E2568" s="184"/>
      <c r="F2568" s="184"/>
      <c r="G2568" s="184"/>
      <c r="H2568" s="184"/>
      <c r="I2568" s="184"/>
      <c r="J2568" s="184"/>
      <c r="K2568" s="184"/>
      <c r="L2568" s="184"/>
      <c r="M2568" s="184"/>
      <c r="N2568" s="184"/>
      <c r="O2568" s="184"/>
    </row>
    <row r="2569" customFormat="false" ht="15" hidden="false" customHeight="true" outlineLevel="0" collapsed="false">
      <c r="A2569" s="184"/>
      <c r="B2569" s="184"/>
      <c r="C2569" s="184"/>
      <c r="D2569" s="184"/>
      <c r="E2569" s="184"/>
      <c r="F2569" s="184"/>
      <c r="G2569" s="184"/>
      <c r="H2569" s="184"/>
      <c r="I2569" s="184"/>
      <c r="J2569" s="184"/>
      <c r="K2569" s="184"/>
      <c r="L2569" s="184"/>
      <c r="M2569" s="184"/>
      <c r="N2569" s="184"/>
      <c r="O2569" s="184"/>
    </row>
    <row r="2570" customFormat="false" ht="15" hidden="false" customHeight="true" outlineLevel="0" collapsed="false">
      <c r="A2570" s="184"/>
      <c r="B2570" s="184"/>
      <c r="C2570" s="184"/>
      <c r="D2570" s="184"/>
      <c r="E2570" s="184"/>
      <c r="F2570" s="184"/>
      <c r="G2570" s="184"/>
      <c r="H2570" s="184"/>
      <c r="I2570" s="184"/>
      <c r="J2570" s="184"/>
      <c r="K2570" s="184"/>
      <c r="L2570" s="184"/>
      <c r="M2570" s="184"/>
      <c r="N2570" s="184"/>
      <c r="O2570" s="184"/>
    </row>
    <row r="2571" customFormat="false" ht="15" hidden="false" customHeight="true" outlineLevel="0" collapsed="false">
      <c r="A2571" s="184"/>
      <c r="B2571" s="184"/>
      <c r="C2571" s="184"/>
      <c r="D2571" s="184"/>
      <c r="E2571" s="184"/>
      <c r="F2571" s="184"/>
      <c r="G2571" s="184"/>
      <c r="H2571" s="184"/>
      <c r="I2571" s="184"/>
      <c r="J2571" s="184"/>
      <c r="K2571" s="184"/>
      <c r="L2571" s="184"/>
      <c r="M2571" s="184"/>
      <c r="N2571" s="184"/>
      <c r="O2571" s="184"/>
    </row>
    <row r="2572" customFormat="false" ht="15" hidden="false" customHeight="true" outlineLevel="0" collapsed="false">
      <c r="A2572" s="184"/>
      <c r="B2572" s="184"/>
      <c r="C2572" s="184"/>
      <c r="D2572" s="184"/>
      <c r="E2572" s="184"/>
      <c r="F2572" s="184"/>
      <c r="G2572" s="184"/>
      <c r="H2572" s="184"/>
      <c r="I2572" s="184"/>
      <c r="J2572" s="184"/>
      <c r="K2572" s="184"/>
      <c r="L2572" s="184"/>
      <c r="M2572" s="184"/>
      <c r="N2572" s="184"/>
      <c r="O2572" s="184"/>
    </row>
    <row r="2573" customFormat="false" ht="15" hidden="false" customHeight="true" outlineLevel="0" collapsed="false">
      <c r="A2573" s="184"/>
      <c r="B2573" s="184"/>
      <c r="C2573" s="184"/>
      <c r="D2573" s="184"/>
      <c r="E2573" s="184"/>
      <c r="F2573" s="184"/>
      <c r="G2573" s="184"/>
      <c r="H2573" s="184"/>
      <c r="I2573" s="184"/>
      <c r="J2573" s="184"/>
      <c r="K2573" s="184"/>
      <c r="L2573" s="184"/>
      <c r="M2573" s="184"/>
      <c r="N2573" s="184"/>
      <c r="O2573" s="184"/>
    </row>
    <row r="2574" customFormat="false" ht="15" hidden="false" customHeight="true" outlineLevel="0" collapsed="false">
      <c r="A2574" s="184"/>
      <c r="B2574" s="184"/>
      <c r="C2574" s="184"/>
      <c r="D2574" s="184"/>
      <c r="E2574" s="184"/>
      <c r="F2574" s="184"/>
      <c r="G2574" s="184"/>
      <c r="H2574" s="184"/>
      <c r="I2574" s="184"/>
      <c r="J2574" s="184"/>
      <c r="K2574" s="184"/>
      <c r="L2574" s="184"/>
      <c r="M2574" s="184"/>
      <c r="N2574" s="184"/>
      <c r="O2574" s="184"/>
    </row>
    <row r="2575" customFormat="false" ht="15" hidden="false" customHeight="true" outlineLevel="0" collapsed="false">
      <c r="A2575" s="184"/>
      <c r="B2575" s="184"/>
      <c r="C2575" s="184"/>
      <c r="D2575" s="184"/>
      <c r="E2575" s="184"/>
      <c r="F2575" s="184"/>
      <c r="G2575" s="184"/>
      <c r="H2575" s="184"/>
      <c r="I2575" s="184"/>
      <c r="J2575" s="184"/>
      <c r="K2575" s="184"/>
      <c r="L2575" s="184"/>
      <c r="M2575" s="184"/>
      <c r="N2575" s="184"/>
      <c r="O2575" s="184"/>
    </row>
    <row r="2576" customFormat="false" ht="15" hidden="false" customHeight="true" outlineLevel="0" collapsed="false">
      <c r="A2576" s="184"/>
      <c r="B2576" s="184"/>
      <c r="C2576" s="184"/>
      <c r="D2576" s="184"/>
      <c r="E2576" s="184"/>
      <c r="F2576" s="184"/>
      <c r="G2576" s="184"/>
      <c r="H2576" s="184"/>
      <c r="I2576" s="184"/>
      <c r="J2576" s="184"/>
      <c r="K2576" s="184"/>
      <c r="L2576" s="184"/>
      <c r="M2576" s="184"/>
      <c r="N2576" s="184"/>
      <c r="O2576" s="184"/>
    </row>
    <row r="2577" customFormat="false" ht="15" hidden="false" customHeight="true" outlineLevel="0" collapsed="false">
      <c r="A2577" s="184"/>
      <c r="B2577" s="184"/>
      <c r="C2577" s="184"/>
      <c r="D2577" s="184"/>
      <c r="E2577" s="184"/>
      <c r="F2577" s="184"/>
      <c r="G2577" s="184"/>
      <c r="H2577" s="184"/>
      <c r="I2577" s="184"/>
      <c r="J2577" s="184"/>
      <c r="K2577" s="184"/>
      <c r="L2577" s="184"/>
      <c r="M2577" s="184"/>
      <c r="N2577" s="184"/>
      <c r="O2577" s="184"/>
    </row>
    <row r="2578" customFormat="false" ht="15" hidden="false" customHeight="true" outlineLevel="0" collapsed="false">
      <c r="A2578" s="184"/>
      <c r="B2578" s="184"/>
      <c r="C2578" s="184"/>
      <c r="D2578" s="184"/>
      <c r="E2578" s="184"/>
      <c r="F2578" s="184"/>
      <c r="G2578" s="184"/>
      <c r="H2578" s="184"/>
      <c r="I2578" s="184"/>
      <c r="J2578" s="184"/>
      <c r="K2578" s="184"/>
      <c r="L2578" s="184"/>
      <c r="M2578" s="184"/>
      <c r="N2578" s="184"/>
      <c r="O2578" s="184"/>
    </row>
    <row r="2579" customFormat="false" ht="15" hidden="false" customHeight="true" outlineLevel="0" collapsed="false">
      <c r="A2579" s="184"/>
      <c r="B2579" s="184"/>
      <c r="C2579" s="184"/>
      <c r="D2579" s="184"/>
      <c r="E2579" s="184"/>
      <c r="F2579" s="184"/>
      <c r="G2579" s="184"/>
      <c r="H2579" s="184"/>
      <c r="I2579" s="184"/>
      <c r="J2579" s="184"/>
      <c r="K2579" s="184"/>
      <c r="L2579" s="184"/>
      <c r="M2579" s="184"/>
      <c r="N2579" s="184"/>
      <c r="O2579" s="184"/>
    </row>
    <row r="2580" customFormat="false" ht="15" hidden="false" customHeight="true" outlineLevel="0" collapsed="false">
      <c r="A2580" s="184"/>
      <c r="B2580" s="184"/>
      <c r="C2580" s="184"/>
      <c r="D2580" s="184"/>
      <c r="E2580" s="184"/>
      <c r="F2580" s="184"/>
      <c r="G2580" s="184"/>
      <c r="H2580" s="184"/>
      <c r="I2580" s="184"/>
      <c r="J2580" s="184"/>
      <c r="K2580" s="184"/>
      <c r="L2580" s="184"/>
      <c r="M2580" s="184"/>
      <c r="N2580" s="184"/>
      <c r="O2580" s="184"/>
    </row>
    <row r="2581" customFormat="false" ht="15" hidden="false" customHeight="true" outlineLevel="0" collapsed="false">
      <c r="A2581" s="184"/>
      <c r="B2581" s="184"/>
      <c r="C2581" s="184"/>
      <c r="D2581" s="184"/>
      <c r="E2581" s="184"/>
      <c r="F2581" s="184"/>
      <c r="G2581" s="184"/>
      <c r="H2581" s="184"/>
      <c r="I2581" s="184"/>
      <c r="J2581" s="184"/>
      <c r="K2581" s="184"/>
      <c r="L2581" s="184"/>
      <c r="M2581" s="184"/>
      <c r="N2581" s="184"/>
      <c r="O2581" s="184"/>
    </row>
    <row r="2582" customFormat="false" ht="15" hidden="false" customHeight="true" outlineLevel="0" collapsed="false">
      <c r="A2582" s="184"/>
      <c r="B2582" s="184"/>
      <c r="C2582" s="184"/>
      <c r="D2582" s="184"/>
      <c r="E2582" s="184"/>
      <c r="F2582" s="184"/>
      <c r="G2582" s="184"/>
      <c r="H2582" s="184"/>
      <c r="I2582" s="184"/>
      <c r="J2582" s="184"/>
      <c r="K2582" s="184"/>
      <c r="L2582" s="184"/>
      <c r="M2582" s="184"/>
      <c r="N2582" s="184"/>
      <c r="O2582" s="184"/>
    </row>
    <row r="2583" customFormat="false" ht="15" hidden="false" customHeight="true" outlineLevel="0" collapsed="false">
      <c r="A2583" s="184"/>
      <c r="B2583" s="184"/>
      <c r="C2583" s="184"/>
      <c r="D2583" s="184"/>
      <c r="E2583" s="184"/>
      <c r="F2583" s="184"/>
      <c r="G2583" s="184"/>
      <c r="H2583" s="184"/>
      <c r="I2583" s="184"/>
      <c r="J2583" s="184"/>
      <c r="K2583" s="184"/>
      <c r="L2583" s="184"/>
      <c r="M2583" s="184"/>
      <c r="N2583" s="184"/>
      <c r="O2583" s="184"/>
    </row>
    <row r="2584" customFormat="false" ht="15" hidden="false" customHeight="true" outlineLevel="0" collapsed="false">
      <c r="A2584" s="184"/>
      <c r="B2584" s="184"/>
      <c r="C2584" s="184"/>
      <c r="D2584" s="184"/>
      <c r="E2584" s="184"/>
      <c r="F2584" s="184"/>
      <c r="G2584" s="184"/>
      <c r="H2584" s="184"/>
      <c r="I2584" s="184"/>
      <c r="J2584" s="184"/>
      <c r="K2584" s="184"/>
      <c r="L2584" s="184"/>
      <c r="M2584" s="184"/>
      <c r="N2584" s="184"/>
      <c r="O2584" s="184"/>
    </row>
    <row r="2585" customFormat="false" ht="15" hidden="false" customHeight="true" outlineLevel="0" collapsed="false">
      <c r="A2585" s="184"/>
      <c r="B2585" s="184"/>
      <c r="C2585" s="184"/>
      <c r="D2585" s="184"/>
      <c r="E2585" s="184"/>
      <c r="F2585" s="184"/>
      <c r="G2585" s="184"/>
      <c r="H2585" s="184"/>
      <c r="I2585" s="184"/>
      <c r="J2585" s="184"/>
      <c r="K2585" s="184"/>
      <c r="L2585" s="184"/>
      <c r="M2585" s="184"/>
      <c r="N2585" s="184"/>
      <c r="O2585" s="184"/>
    </row>
    <row r="2586" customFormat="false" ht="15" hidden="false" customHeight="true" outlineLevel="0" collapsed="false">
      <c r="A2586" s="184"/>
      <c r="B2586" s="184"/>
      <c r="C2586" s="184"/>
      <c r="D2586" s="184"/>
      <c r="E2586" s="184"/>
      <c r="F2586" s="184"/>
      <c r="G2586" s="184"/>
      <c r="H2586" s="184"/>
      <c r="I2586" s="184"/>
      <c r="J2586" s="184"/>
      <c r="K2586" s="184"/>
      <c r="L2586" s="184"/>
      <c r="M2586" s="184"/>
      <c r="N2586" s="184"/>
      <c r="O2586" s="184"/>
    </row>
    <row r="2587" customFormat="false" ht="15" hidden="false" customHeight="true" outlineLevel="0" collapsed="false">
      <c r="A2587" s="184"/>
      <c r="B2587" s="184"/>
      <c r="C2587" s="184"/>
      <c r="D2587" s="184"/>
      <c r="E2587" s="184"/>
      <c r="F2587" s="184"/>
      <c r="G2587" s="184"/>
      <c r="H2587" s="184"/>
      <c r="I2587" s="184"/>
      <c r="J2587" s="184"/>
      <c r="K2587" s="184"/>
      <c r="L2587" s="184"/>
      <c r="M2587" s="184"/>
      <c r="N2587" s="184"/>
      <c r="O2587" s="184"/>
    </row>
    <row r="2588" customFormat="false" ht="15" hidden="false" customHeight="true" outlineLevel="0" collapsed="false">
      <c r="A2588" s="184"/>
      <c r="B2588" s="184"/>
      <c r="C2588" s="184"/>
      <c r="D2588" s="184"/>
      <c r="E2588" s="184"/>
      <c r="F2588" s="184"/>
      <c r="G2588" s="184"/>
      <c r="H2588" s="184"/>
      <c r="I2588" s="184"/>
      <c r="J2588" s="184"/>
      <c r="K2588" s="184"/>
      <c r="L2588" s="184"/>
      <c r="M2588" s="184"/>
      <c r="N2588" s="184"/>
      <c r="O2588" s="184"/>
    </row>
    <row r="2589" customFormat="false" ht="15" hidden="false" customHeight="true" outlineLevel="0" collapsed="false">
      <c r="A2589" s="184"/>
      <c r="B2589" s="184"/>
      <c r="C2589" s="184"/>
      <c r="D2589" s="184"/>
      <c r="E2589" s="184"/>
      <c r="F2589" s="184"/>
      <c r="G2589" s="184"/>
      <c r="H2589" s="184"/>
      <c r="I2589" s="184"/>
      <c r="J2589" s="184"/>
      <c r="K2589" s="184"/>
      <c r="L2589" s="184"/>
      <c r="M2589" s="184"/>
      <c r="N2589" s="184"/>
      <c r="O2589" s="184"/>
    </row>
    <row r="2590" customFormat="false" ht="15" hidden="false" customHeight="true" outlineLevel="0" collapsed="false">
      <c r="A2590" s="184"/>
      <c r="B2590" s="184"/>
      <c r="C2590" s="184"/>
      <c r="D2590" s="184"/>
      <c r="E2590" s="184"/>
      <c r="F2590" s="184"/>
      <c r="G2590" s="184"/>
      <c r="H2590" s="184"/>
      <c r="I2590" s="184"/>
      <c r="J2590" s="184"/>
      <c r="K2590" s="184"/>
      <c r="L2590" s="184"/>
      <c r="M2590" s="184"/>
      <c r="N2590" s="184"/>
      <c r="O2590" s="184"/>
    </row>
    <row r="2591" customFormat="false" ht="15" hidden="false" customHeight="true" outlineLevel="0" collapsed="false">
      <c r="A2591" s="184"/>
      <c r="B2591" s="184"/>
      <c r="C2591" s="184"/>
      <c r="D2591" s="184"/>
      <c r="E2591" s="184"/>
      <c r="F2591" s="184"/>
      <c r="G2591" s="184"/>
      <c r="H2591" s="184"/>
      <c r="I2591" s="184"/>
      <c r="J2591" s="184"/>
      <c r="K2591" s="184"/>
      <c r="L2591" s="184"/>
      <c r="M2591" s="184"/>
      <c r="N2591" s="184"/>
      <c r="O2591" s="184"/>
    </row>
    <row r="2592" customFormat="false" ht="15" hidden="false" customHeight="true" outlineLevel="0" collapsed="false">
      <c r="A2592" s="184"/>
      <c r="B2592" s="184"/>
      <c r="C2592" s="184"/>
      <c r="D2592" s="184"/>
      <c r="E2592" s="184"/>
      <c r="F2592" s="184"/>
      <c r="G2592" s="184"/>
      <c r="H2592" s="184"/>
      <c r="I2592" s="184"/>
      <c r="J2592" s="184"/>
      <c r="K2592" s="184"/>
      <c r="L2592" s="184"/>
      <c r="M2592" s="184"/>
      <c r="N2592" s="184"/>
      <c r="O2592" s="184"/>
    </row>
    <row r="2593" customFormat="false" ht="15" hidden="false" customHeight="true" outlineLevel="0" collapsed="false">
      <c r="A2593" s="184"/>
      <c r="B2593" s="184"/>
      <c r="C2593" s="184"/>
      <c r="D2593" s="184"/>
      <c r="E2593" s="184"/>
      <c r="F2593" s="184"/>
      <c r="G2593" s="184"/>
      <c r="H2593" s="184"/>
      <c r="I2593" s="184"/>
      <c r="J2593" s="184"/>
      <c r="K2593" s="184"/>
      <c r="L2593" s="184"/>
      <c r="M2593" s="184"/>
      <c r="N2593" s="184"/>
      <c r="O2593" s="184"/>
    </row>
    <row r="2594" customFormat="false" ht="15" hidden="false" customHeight="true" outlineLevel="0" collapsed="false">
      <c r="A2594" s="184"/>
      <c r="B2594" s="184"/>
      <c r="C2594" s="184"/>
      <c r="D2594" s="184"/>
      <c r="E2594" s="184"/>
      <c r="F2594" s="184"/>
      <c r="G2594" s="184"/>
      <c r="H2594" s="184"/>
      <c r="I2594" s="184"/>
      <c r="J2594" s="184"/>
      <c r="K2594" s="184"/>
      <c r="L2594" s="184"/>
      <c r="M2594" s="184"/>
      <c r="N2594" s="184"/>
      <c r="O2594" s="184"/>
    </row>
    <row r="2595" customFormat="false" ht="15" hidden="false" customHeight="true" outlineLevel="0" collapsed="false">
      <c r="A2595" s="184"/>
      <c r="B2595" s="184"/>
      <c r="C2595" s="184"/>
      <c r="D2595" s="184"/>
      <c r="E2595" s="184"/>
      <c r="F2595" s="184"/>
      <c r="G2595" s="184"/>
      <c r="H2595" s="184"/>
      <c r="I2595" s="184"/>
      <c r="J2595" s="184"/>
      <c r="K2595" s="184"/>
      <c r="L2595" s="184"/>
      <c r="M2595" s="184"/>
      <c r="N2595" s="184"/>
      <c r="O2595" s="184"/>
    </row>
    <row r="2596" customFormat="false" ht="15" hidden="false" customHeight="true" outlineLevel="0" collapsed="false">
      <c r="A2596" s="184"/>
      <c r="B2596" s="184"/>
      <c r="C2596" s="184"/>
      <c r="D2596" s="184"/>
      <c r="E2596" s="184"/>
      <c r="F2596" s="184"/>
      <c r="G2596" s="184"/>
      <c r="H2596" s="184"/>
      <c r="I2596" s="184"/>
      <c r="J2596" s="184"/>
      <c r="K2596" s="184"/>
      <c r="L2596" s="184"/>
      <c r="M2596" s="184"/>
      <c r="N2596" s="184"/>
      <c r="O2596" s="184"/>
    </row>
    <row r="2597" customFormat="false" ht="15" hidden="false" customHeight="true" outlineLevel="0" collapsed="false">
      <c r="A2597" s="184"/>
      <c r="B2597" s="184"/>
      <c r="C2597" s="184"/>
      <c r="D2597" s="184"/>
      <c r="E2597" s="184"/>
      <c r="F2597" s="184"/>
      <c r="G2597" s="184"/>
      <c r="H2597" s="184"/>
      <c r="I2597" s="184"/>
      <c r="J2597" s="184"/>
      <c r="K2597" s="184"/>
      <c r="L2597" s="184"/>
      <c r="M2597" s="184"/>
      <c r="N2597" s="184"/>
      <c r="O2597" s="184"/>
    </row>
    <row r="2598" customFormat="false" ht="15" hidden="false" customHeight="true" outlineLevel="0" collapsed="false">
      <c r="A2598" s="184"/>
      <c r="B2598" s="184"/>
      <c r="C2598" s="184"/>
      <c r="D2598" s="184"/>
      <c r="E2598" s="184"/>
      <c r="F2598" s="184"/>
      <c r="G2598" s="184"/>
      <c r="H2598" s="184"/>
      <c r="I2598" s="184"/>
      <c r="J2598" s="184"/>
      <c r="K2598" s="184"/>
      <c r="L2598" s="184"/>
      <c r="M2598" s="184"/>
      <c r="N2598" s="184"/>
      <c r="O2598" s="184"/>
    </row>
    <row r="2599" customFormat="false" ht="15" hidden="false" customHeight="true" outlineLevel="0" collapsed="false">
      <c r="A2599" s="184"/>
      <c r="B2599" s="184"/>
      <c r="C2599" s="184"/>
      <c r="D2599" s="184"/>
      <c r="E2599" s="184"/>
      <c r="F2599" s="184"/>
      <c r="G2599" s="184"/>
      <c r="H2599" s="184"/>
      <c r="I2599" s="184"/>
      <c r="J2599" s="184"/>
      <c r="K2599" s="184"/>
      <c r="L2599" s="184"/>
      <c r="M2599" s="184"/>
      <c r="N2599" s="184"/>
      <c r="O2599" s="184"/>
    </row>
    <row r="2600" customFormat="false" ht="15" hidden="false" customHeight="true" outlineLevel="0" collapsed="false">
      <c r="A2600" s="184"/>
      <c r="B2600" s="184"/>
      <c r="C2600" s="184"/>
      <c r="D2600" s="184"/>
      <c r="E2600" s="184"/>
      <c r="F2600" s="184"/>
      <c r="G2600" s="184"/>
      <c r="H2600" s="184"/>
      <c r="I2600" s="184"/>
      <c r="J2600" s="184"/>
      <c r="K2600" s="184"/>
      <c r="L2600" s="184"/>
      <c r="M2600" s="184"/>
      <c r="N2600" s="184"/>
      <c r="O2600" s="184"/>
    </row>
    <row r="2601" customFormat="false" ht="15" hidden="false" customHeight="true" outlineLevel="0" collapsed="false">
      <c r="A2601" s="184"/>
      <c r="B2601" s="184"/>
      <c r="C2601" s="184"/>
      <c r="D2601" s="184"/>
      <c r="E2601" s="184"/>
      <c r="F2601" s="184"/>
      <c r="G2601" s="184"/>
      <c r="H2601" s="184"/>
      <c r="I2601" s="184"/>
      <c r="J2601" s="184"/>
      <c r="K2601" s="184"/>
      <c r="L2601" s="184"/>
      <c r="M2601" s="184"/>
      <c r="N2601" s="184"/>
      <c r="O2601" s="184"/>
    </row>
    <row r="2602" customFormat="false" ht="15" hidden="false" customHeight="true" outlineLevel="0" collapsed="false">
      <c r="A2602" s="184"/>
      <c r="B2602" s="184"/>
      <c r="C2602" s="184"/>
      <c r="D2602" s="184"/>
      <c r="E2602" s="184"/>
      <c r="F2602" s="184"/>
      <c r="G2602" s="184"/>
      <c r="H2602" s="184"/>
      <c r="I2602" s="184"/>
      <c r="J2602" s="184"/>
      <c r="K2602" s="184"/>
      <c r="L2602" s="184"/>
      <c r="M2602" s="184"/>
      <c r="N2602" s="184"/>
      <c r="O2602" s="184"/>
    </row>
    <row r="2603" customFormat="false" ht="15" hidden="false" customHeight="true" outlineLevel="0" collapsed="false">
      <c r="A2603" s="184"/>
      <c r="B2603" s="184"/>
      <c r="C2603" s="184"/>
      <c r="D2603" s="184"/>
      <c r="E2603" s="184"/>
      <c r="F2603" s="184"/>
      <c r="G2603" s="184"/>
      <c r="H2603" s="184"/>
      <c r="I2603" s="184"/>
      <c r="J2603" s="184"/>
      <c r="K2603" s="184"/>
      <c r="L2603" s="184"/>
      <c r="M2603" s="184"/>
      <c r="N2603" s="184"/>
      <c r="O2603" s="184"/>
    </row>
    <row r="2604" customFormat="false" ht="15" hidden="false" customHeight="true" outlineLevel="0" collapsed="false">
      <c r="A2604" s="184"/>
      <c r="B2604" s="184"/>
      <c r="C2604" s="184"/>
      <c r="D2604" s="184"/>
      <c r="E2604" s="184"/>
      <c r="F2604" s="184"/>
      <c r="G2604" s="184"/>
      <c r="H2604" s="184"/>
      <c r="I2604" s="184"/>
      <c r="J2604" s="184"/>
      <c r="K2604" s="184"/>
      <c r="L2604" s="184"/>
      <c r="M2604" s="184"/>
      <c r="N2604" s="184"/>
      <c r="O2604" s="184"/>
    </row>
    <row r="2605" customFormat="false" ht="15" hidden="false" customHeight="true" outlineLevel="0" collapsed="false">
      <c r="A2605" s="184"/>
      <c r="B2605" s="184"/>
      <c r="C2605" s="184"/>
      <c r="D2605" s="184"/>
      <c r="E2605" s="184"/>
      <c r="F2605" s="184"/>
      <c r="G2605" s="184"/>
      <c r="H2605" s="184"/>
      <c r="I2605" s="184"/>
      <c r="J2605" s="184"/>
      <c r="K2605" s="184"/>
      <c r="L2605" s="184"/>
      <c r="M2605" s="184"/>
      <c r="N2605" s="184"/>
      <c r="O2605" s="184"/>
    </row>
    <row r="2606" customFormat="false" ht="15" hidden="false" customHeight="true" outlineLevel="0" collapsed="false">
      <c r="A2606" s="184"/>
      <c r="B2606" s="184"/>
      <c r="C2606" s="184"/>
      <c r="D2606" s="184"/>
      <c r="E2606" s="184"/>
      <c r="F2606" s="184"/>
      <c r="G2606" s="184"/>
      <c r="H2606" s="184"/>
      <c r="I2606" s="184"/>
      <c r="J2606" s="184"/>
      <c r="K2606" s="184"/>
      <c r="L2606" s="184"/>
      <c r="M2606" s="184"/>
      <c r="N2606" s="184"/>
      <c r="O2606" s="184"/>
    </row>
    <row r="2607" customFormat="false" ht="15" hidden="false" customHeight="true" outlineLevel="0" collapsed="false">
      <c r="A2607" s="184"/>
      <c r="B2607" s="184"/>
      <c r="C2607" s="184"/>
      <c r="D2607" s="184"/>
      <c r="E2607" s="184"/>
      <c r="F2607" s="184"/>
      <c r="G2607" s="184"/>
      <c r="H2607" s="184"/>
      <c r="I2607" s="184"/>
      <c r="J2607" s="184"/>
      <c r="K2607" s="184"/>
      <c r="L2607" s="184"/>
      <c r="M2607" s="184"/>
      <c r="N2607" s="184"/>
      <c r="O2607" s="184"/>
    </row>
    <row r="2608" customFormat="false" ht="15" hidden="false" customHeight="true" outlineLevel="0" collapsed="false">
      <c r="A2608" s="184"/>
      <c r="B2608" s="184"/>
      <c r="C2608" s="184"/>
      <c r="D2608" s="184"/>
      <c r="E2608" s="184"/>
      <c r="F2608" s="184"/>
      <c r="G2608" s="184"/>
      <c r="H2608" s="184"/>
      <c r="I2608" s="184"/>
      <c r="J2608" s="184"/>
      <c r="K2608" s="184"/>
      <c r="L2608" s="184"/>
      <c r="M2608" s="184"/>
      <c r="N2608" s="184"/>
      <c r="O2608" s="184"/>
    </row>
    <row r="2609" customFormat="false" ht="15" hidden="false" customHeight="true" outlineLevel="0" collapsed="false">
      <c r="A2609" s="184"/>
      <c r="B2609" s="184"/>
      <c r="C2609" s="184"/>
      <c r="D2609" s="184"/>
      <c r="E2609" s="184"/>
      <c r="F2609" s="184"/>
      <c r="G2609" s="184"/>
      <c r="H2609" s="184"/>
      <c r="I2609" s="184"/>
      <c r="J2609" s="184"/>
      <c r="K2609" s="184"/>
      <c r="L2609" s="184"/>
      <c r="M2609" s="184"/>
      <c r="N2609" s="184"/>
      <c r="O2609" s="184"/>
    </row>
    <row r="2610" customFormat="false" ht="15" hidden="false" customHeight="true" outlineLevel="0" collapsed="false">
      <c r="A2610" s="184"/>
      <c r="B2610" s="184"/>
      <c r="C2610" s="184"/>
      <c r="D2610" s="184"/>
      <c r="E2610" s="184"/>
      <c r="F2610" s="184"/>
      <c r="G2610" s="184"/>
      <c r="H2610" s="184"/>
      <c r="I2610" s="184"/>
      <c r="J2610" s="184"/>
      <c r="K2610" s="184"/>
      <c r="L2610" s="184"/>
      <c r="M2610" s="184"/>
      <c r="N2610" s="184"/>
      <c r="O2610" s="184"/>
    </row>
    <row r="2611" customFormat="false" ht="15" hidden="false" customHeight="true" outlineLevel="0" collapsed="false">
      <c r="A2611" s="184"/>
      <c r="B2611" s="184"/>
      <c r="C2611" s="184"/>
      <c r="D2611" s="184"/>
      <c r="E2611" s="184"/>
      <c r="F2611" s="184"/>
      <c r="G2611" s="184"/>
      <c r="H2611" s="184"/>
      <c r="I2611" s="184"/>
      <c r="J2611" s="184"/>
      <c r="K2611" s="184"/>
      <c r="L2611" s="184"/>
      <c r="M2611" s="184"/>
      <c r="N2611" s="184"/>
      <c r="O2611" s="184"/>
    </row>
    <row r="2612" customFormat="false" ht="15" hidden="false" customHeight="true" outlineLevel="0" collapsed="false">
      <c r="A2612" s="184"/>
      <c r="B2612" s="184"/>
      <c r="C2612" s="184"/>
      <c r="D2612" s="184"/>
      <c r="E2612" s="184"/>
      <c r="F2612" s="184"/>
      <c r="G2612" s="184"/>
      <c r="H2612" s="184"/>
      <c r="I2612" s="184"/>
      <c r="J2612" s="184"/>
      <c r="K2612" s="184"/>
      <c r="L2612" s="184"/>
      <c r="M2612" s="184"/>
      <c r="N2612" s="184"/>
      <c r="O2612" s="184"/>
    </row>
    <row r="2613" customFormat="false" ht="15" hidden="false" customHeight="true" outlineLevel="0" collapsed="false">
      <c r="A2613" s="184"/>
      <c r="B2613" s="184"/>
      <c r="C2613" s="184"/>
      <c r="D2613" s="184"/>
      <c r="E2613" s="184"/>
      <c r="F2613" s="184"/>
      <c r="G2613" s="184"/>
      <c r="H2613" s="184"/>
      <c r="I2613" s="184"/>
      <c r="J2613" s="184"/>
      <c r="K2613" s="184"/>
      <c r="L2613" s="184"/>
      <c r="M2613" s="184"/>
      <c r="N2613" s="184"/>
      <c r="O2613" s="184"/>
    </row>
    <row r="2614" customFormat="false" ht="15" hidden="false" customHeight="true" outlineLevel="0" collapsed="false">
      <c r="A2614" s="184"/>
      <c r="B2614" s="184"/>
      <c r="C2614" s="184"/>
      <c r="D2614" s="184"/>
      <c r="E2614" s="184"/>
      <c r="F2614" s="184"/>
      <c r="G2614" s="184"/>
      <c r="H2614" s="184"/>
      <c r="I2614" s="184"/>
      <c r="J2614" s="184"/>
      <c r="K2614" s="184"/>
      <c r="L2614" s="184"/>
      <c r="M2614" s="184"/>
      <c r="N2614" s="184"/>
      <c r="O2614" s="184"/>
    </row>
    <row r="2615" customFormat="false" ht="15" hidden="false" customHeight="true" outlineLevel="0" collapsed="false">
      <c r="A2615" s="184"/>
      <c r="B2615" s="184"/>
      <c r="C2615" s="184"/>
      <c r="D2615" s="184"/>
      <c r="E2615" s="184"/>
      <c r="F2615" s="184"/>
      <c r="G2615" s="184"/>
      <c r="H2615" s="184"/>
      <c r="I2615" s="184"/>
      <c r="J2615" s="184"/>
      <c r="K2615" s="184"/>
      <c r="L2615" s="184"/>
      <c r="M2615" s="184"/>
      <c r="N2615" s="184"/>
      <c r="O2615" s="184"/>
    </row>
    <row r="2616" customFormat="false" ht="15" hidden="false" customHeight="true" outlineLevel="0" collapsed="false">
      <c r="A2616" s="184"/>
      <c r="B2616" s="184"/>
      <c r="C2616" s="184"/>
      <c r="D2616" s="184"/>
      <c r="E2616" s="184"/>
      <c r="F2616" s="184"/>
      <c r="G2616" s="184"/>
      <c r="H2616" s="184"/>
      <c r="I2616" s="184"/>
      <c r="J2616" s="184"/>
      <c r="K2616" s="184"/>
      <c r="L2616" s="184"/>
      <c r="M2616" s="184"/>
      <c r="N2616" s="184"/>
      <c r="O2616" s="184"/>
    </row>
    <row r="2617" customFormat="false" ht="15" hidden="false" customHeight="true" outlineLevel="0" collapsed="false">
      <c r="A2617" s="184"/>
      <c r="B2617" s="184"/>
      <c r="C2617" s="184"/>
      <c r="D2617" s="184"/>
      <c r="E2617" s="184"/>
      <c r="F2617" s="184"/>
      <c r="G2617" s="184"/>
      <c r="H2617" s="184"/>
      <c r="I2617" s="184"/>
      <c r="J2617" s="184"/>
      <c r="K2617" s="184"/>
      <c r="L2617" s="184"/>
      <c r="M2617" s="184"/>
      <c r="N2617" s="184"/>
      <c r="O2617" s="184"/>
    </row>
    <row r="2618" customFormat="false" ht="15" hidden="false" customHeight="true" outlineLevel="0" collapsed="false">
      <c r="A2618" s="184"/>
      <c r="B2618" s="184"/>
      <c r="C2618" s="184"/>
      <c r="D2618" s="184"/>
      <c r="E2618" s="184"/>
      <c r="F2618" s="184"/>
      <c r="G2618" s="184"/>
      <c r="H2618" s="184"/>
      <c r="I2618" s="184"/>
      <c r="J2618" s="184"/>
      <c r="K2618" s="184"/>
      <c r="L2618" s="184"/>
      <c r="M2618" s="184"/>
      <c r="N2618" s="184"/>
      <c r="O2618" s="184"/>
    </row>
    <row r="2619" customFormat="false" ht="15" hidden="false" customHeight="true" outlineLevel="0" collapsed="false">
      <c r="A2619" s="184"/>
      <c r="B2619" s="184"/>
      <c r="C2619" s="184"/>
      <c r="D2619" s="184"/>
      <c r="E2619" s="184"/>
      <c r="F2619" s="184"/>
      <c r="G2619" s="184"/>
      <c r="H2619" s="184"/>
      <c r="I2619" s="184"/>
      <c r="J2619" s="184"/>
      <c r="K2619" s="184"/>
      <c r="L2619" s="184"/>
      <c r="M2619" s="184"/>
      <c r="N2619" s="184"/>
      <c r="O2619" s="184"/>
    </row>
    <row r="2620" customFormat="false" ht="15" hidden="false" customHeight="true" outlineLevel="0" collapsed="false">
      <c r="A2620" s="184"/>
      <c r="B2620" s="184"/>
      <c r="C2620" s="184"/>
      <c r="D2620" s="184"/>
      <c r="E2620" s="184"/>
      <c r="F2620" s="184"/>
      <c r="G2620" s="184"/>
      <c r="H2620" s="184"/>
      <c r="I2620" s="184"/>
      <c r="J2620" s="184"/>
      <c r="K2620" s="184"/>
      <c r="L2620" s="184"/>
      <c r="M2620" s="184"/>
      <c r="N2620" s="184"/>
      <c r="O2620" s="184"/>
    </row>
    <row r="2621" customFormat="false" ht="15" hidden="false" customHeight="true" outlineLevel="0" collapsed="false">
      <c r="A2621" s="184"/>
      <c r="B2621" s="184"/>
      <c r="C2621" s="184"/>
      <c r="D2621" s="184"/>
      <c r="E2621" s="184"/>
      <c r="F2621" s="184"/>
      <c r="G2621" s="184"/>
      <c r="H2621" s="184"/>
      <c r="I2621" s="184"/>
      <c r="J2621" s="184"/>
      <c r="K2621" s="184"/>
      <c r="L2621" s="184"/>
      <c r="M2621" s="184"/>
      <c r="N2621" s="184"/>
      <c r="O2621" s="184"/>
    </row>
    <row r="2622" customFormat="false" ht="15" hidden="false" customHeight="true" outlineLevel="0" collapsed="false">
      <c r="A2622" s="184"/>
      <c r="B2622" s="184"/>
      <c r="C2622" s="184"/>
      <c r="D2622" s="184"/>
      <c r="E2622" s="184"/>
      <c r="F2622" s="184"/>
      <c r="G2622" s="184"/>
      <c r="H2622" s="184"/>
      <c r="I2622" s="184"/>
      <c r="J2622" s="184"/>
      <c r="K2622" s="184"/>
      <c r="L2622" s="184"/>
      <c r="M2622" s="184"/>
      <c r="N2622" s="184"/>
      <c r="O2622" s="184"/>
    </row>
    <row r="2623" customFormat="false" ht="15" hidden="false" customHeight="true" outlineLevel="0" collapsed="false">
      <c r="A2623" s="184"/>
      <c r="B2623" s="184"/>
      <c r="C2623" s="184"/>
      <c r="D2623" s="184"/>
      <c r="E2623" s="184"/>
      <c r="F2623" s="184"/>
      <c r="G2623" s="184"/>
      <c r="H2623" s="184"/>
      <c r="I2623" s="184"/>
      <c r="J2623" s="184"/>
      <c r="K2623" s="184"/>
      <c r="L2623" s="184"/>
      <c r="M2623" s="184"/>
      <c r="N2623" s="184"/>
      <c r="O2623" s="184"/>
    </row>
    <row r="2624" customFormat="false" ht="15" hidden="false" customHeight="true" outlineLevel="0" collapsed="false">
      <c r="A2624" s="184"/>
      <c r="B2624" s="184"/>
      <c r="C2624" s="184"/>
      <c r="D2624" s="184"/>
      <c r="E2624" s="184"/>
      <c r="F2624" s="184"/>
      <c r="G2624" s="184"/>
      <c r="H2624" s="184"/>
      <c r="I2624" s="184"/>
      <c r="J2624" s="184"/>
      <c r="K2624" s="184"/>
      <c r="L2624" s="184"/>
      <c r="M2624" s="184"/>
      <c r="N2624" s="184"/>
      <c r="O2624" s="184"/>
    </row>
    <row r="2625" customFormat="false" ht="15" hidden="false" customHeight="true" outlineLevel="0" collapsed="false">
      <c r="A2625" s="184"/>
      <c r="B2625" s="184"/>
      <c r="C2625" s="184"/>
      <c r="D2625" s="184"/>
      <c r="E2625" s="184"/>
      <c r="F2625" s="184"/>
      <c r="G2625" s="184"/>
      <c r="H2625" s="184"/>
      <c r="I2625" s="184"/>
      <c r="J2625" s="184"/>
      <c r="K2625" s="184"/>
      <c r="L2625" s="184"/>
      <c r="M2625" s="184"/>
      <c r="N2625" s="184"/>
      <c r="O2625" s="184"/>
    </row>
    <row r="2626" customFormat="false" ht="15" hidden="false" customHeight="true" outlineLevel="0" collapsed="false">
      <c r="A2626" s="184"/>
      <c r="B2626" s="184"/>
      <c r="C2626" s="184"/>
      <c r="D2626" s="184"/>
      <c r="E2626" s="184"/>
      <c r="F2626" s="184"/>
      <c r="G2626" s="184"/>
      <c r="H2626" s="184"/>
      <c r="I2626" s="184"/>
      <c r="J2626" s="184"/>
      <c r="K2626" s="184"/>
      <c r="L2626" s="184"/>
      <c r="M2626" s="184"/>
      <c r="N2626" s="184"/>
      <c r="O2626" s="184"/>
    </row>
    <row r="2627" customFormat="false" ht="15" hidden="false" customHeight="true" outlineLevel="0" collapsed="false">
      <c r="A2627" s="184"/>
      <c r="B2627" s="184"/>
      <c r="C2627" s="184"/>
      <c r="D2627" s="184"/>
      <c r="E2627" s="184"/>
      <c r="F2627" s="184"/>
      <c r="G2627" s="184"/>
      <c r="H2627" s="184"/>
      <c r="I2627" s="184"/>
      <c r="J2627" s="184"/>
      <c r="K2627" s="184"/>
      <c r="L2627" s="184"/>
      <c r="M2627" s="184"/>
      <c r="N2627" s="184"/>
      <c r="O2627" s="184"/>
    </row>
    <row r="2628" customFormat="false" ht="15" hidden="false" customHeight="true" outlineLevel="0" collapsed="false">
      <c r="A2628" s="184"/>
      <c r="B2628" s="184"/>
      <c r="C2628" s="184"/>
      <c r="D2628" s="184"/>
      <c r="E2628" s="184"/>
      <c r="F2628" s="184"/>
      <c r="G2628" s="184"/>
      <c r="H2628" s="184"/>
      <c r="I2628" s="184"/>
      <c r="J2628" s="184"/>
      <c r="K2628" s="184"/>
      <c r="L2628" s="184"/>
      <c r="M2628" s="184"/>
      <c r="N2628" s="184"/>
      <c r="O2628" s="184"/>
    </row>
    <row r="2629" customFormat="false" ht="15" hidden="false" customHeight="true" outlineLevel="0" collapsed="false">
      <c r="A2629" s="184"/>
      <c r="B2629" s="184"/>
      <c r="C2629" s="184"/>
      <c r="D2629" s="184"/>
      <c r="E2629" s="184"/>
      <c r="F2629" s="184"/>
      <c r="G2629" s="184"/>
      <c r="H2629" s="184"/>
      <c r="I2629" s="184"/>
      <c r="J2629" s="184"/>
      <c r="K2629" s="184"/>
      <c r="L2629" s="184"/>
      <c r="M2629" s="184"/>
      <c r="N2629" s="184"/>
      <c r="O2629" s="184"/>
    </row>
    <row r="2630" customFormat="false" ht="15" hidden="false" customHeight="true" outlineLevel="0" collapsed="false">
      <c r="A2630" s="184"/>
      <c r="B2630" s="184"/>
      <c r="C2630" s="184"/>
      <c r="D2630" s="184"/>
      <c r="E2630" s="184"/>
      <c r="F2630" s="184"/>
      <c r="G2630" s="184"/>
      <c r="H2630" s="184"/>
      <c r="I2630" s="184"/>
      <c r="J2630" s="184"/>
      <c r="K2630" s="184"/>
      <c r="L2630" s="184"/>
      <c r="M2630" s="184"/>
      <c r="N2630" s="184"/>
      <c r="O2630" s="184"/>
    </row>
    <row r="2631" customFormat="false" ht="15" hidden="false" customHeight="true" outlineLevel="0" collapsed="false">
      <c r="A2631" s="184"/>
      <c r="B2631" s="184"/>
      <c r="C2631" s="184"/>
      <c r="D2631" s="184"/>
      <c r="E2631" s="184"/>
      <c r="F2631" s="184"/>
      <c r="G2631" s="184"/>
      <c r="H2631" s="184"/>
      <c r="I2631" s="184"/>
      <c r="J2631" s="184"/>
      <c r="K2631" s="184"/>
      <c r="L2631" s="184"/>
      <c r="M2631" s="184"/>
      <c r="N2631" s="184"/>
      <c r="O2631" s="184"/>
    </row>
    <row r="2632" customFormat="false" ht="15" hidden="false" customHeight="true" outlineLevel="0" collapsed="false">
      <c r="A2632" s="184"/>
      <c r="B2632" s="184"/>
      <c r="C2632" s="184"/>
      <c r="D2632" s="184"/>
      <c r="E2632" s="184"/>
      <c r="F2632" s="184"/>
      <c r="G2632" s="184"/>
      <c r="H2632" s="184"/>
      <c r="I2632" s="184"/>
      <c r="J2632" s="184"/>
      <c r="K2632" s="184"/>
      <c r="L2632" s="184"/>
      <c r="M2632" s="184"/>
      <c r="N2632" s="184"/>
      <c r="O2632" s="184"/>
    </row>
    <row r="2633" customFormat="false" ht="15" hidden="false" customHeight="true" outlineLevel="0" collapsed="false">
      <c r="A2633" s="184"/>
      <c r="B2633" s="184"/>
      <c r="C2633" s="184"/>
      <c r="D2633" s="184"/>
      <c r="E2633" s="184"/>
      <c r="F2633" s="184"/>
      <c r="G2633" s="184"/>
      <c r="H2633" s="184"/>
      <c r="I2633" s="184"/>
      <c r="J2633" s="184"/>
      <c r="K2633" s="184"/>
      <c r="L2633" s="184"/>
      <c r="M2633" s="184"/>
      <c r="N2633" s="184"/>
      <c r="O2633" s="184"/>
    </row>
    <row r="2634" customFormat="false" ht="15" hidden="false" customHeight="true" outlineLevel="0" collapsed="false">
      <c r="A2634" s="184"/>
      <c r="B2634" s="184"/>
      <c r="C2634" s="184"/>
      <c r="D2634" s="184"/>
      <c r="E2634" s="184"/>
      <c r="F2634" s="184"/>
      <c r="G2634" s="184"/>
      <c r="H2634" s="184"/>
      <c r="I2634" s="184"/>
      <c r="J2634" s="184"/>
      <c r="K2634" s="184"/>
      <c r="L2634" s="184"/>
      <c r="M2634" s="184"/>
      <c r="N2634" s="184"/>
      <c r="O2634" s="184"/>
    </row>
    <row r="2635" customFormat="false" ht="15" hidden="false" customHeight="true" outlineLevel="0" collapsed="false">
      <c r="A2635" s="184"/>
      <c r="B2635" s="184"/>
      <c r="C2635" s="184"/>
      <c r="D2635" s="184"/>
      <c r="E2635" s="184"/>
      <c r="F2635" s="184"/>
      <c r="G2635" s="184"/>
      <c r="H2635" s="184"/>
      <c r="I2635" s="184"/>
      <c r="J2635" s="184"/>
      <c r="K2635" s="184"/>
      <c r="L2635" s="184"/>
      <c r="M2635" s="184"/>
      <c r="N2635" s="184"/>
      <c r="O2635" s="184"/>
    </row>
    <row r="2636" customFormat="false" ht="15" hidden="false" customHeight="true" outlineLevel="0" collapsed="false">
      <c r="A2636" s="184"/>
      <c r="B2636" s="184"/>
      <c r="C2636" s="184"/>
      <c r="D2636" s="184"/>
      <c r="E2636" s="184"/>
      <c r="F2636" s="184"/>
      <c r="G2636" s="184"/>
      <c r="H2636" s="184"/>
      <c r="I2636" s="184"/>
      <c r="J2636" s="184"/>
      <c r="K2636" s="184"/>
      <c r="L2636" s="184"/>
      <c r="M2636" s="184"/>
      <c r="N2636" s="184"/>
      <c r="O2636" s="184"/>
    </row>
    <row r="2637" customFormat="false" ht="15" hidden="false" customHeight="true" outlineLevel="0" collapsed="false">
      <c r="A2637" s="184"/>
      <c r="B2637" s="184"/>
      <c r="C2637" s="184"/>
      <c r="D2637" s="184"/>
      <c r="E2637" s="184"/>
      <c r="F2637" s="184"/>
      <c r="G2637" s="184"/>
      <c r="H2637" s="184"/>
      <c r="I2637" s="184"/>
      <c r="J2637" s="184"/>
      <c r="K2637" s="184"/>
      <c r="L2637" s="184"/>
      <c r="M2637" s="184"/>
      <c r="N2637" s="184"/>
      <c r="O2637" s="184"/>
    </row>
    <row r="2638" customFormat="false" ht="15" hidden="false" customHeight="true" outlineLevel="0" collapsed="false">
      <c r="A2638" s="184"/>
      <c r="B2638" s="184"/>
      <c r="C2638" s="184"/>
      <c r="D2638" s="184"/>
      <c r="E2638" s="184"/>
      <c r="F2638" s="184"/>
      <c r="G2638" s="184"/>
      <c r="H2638" s="184"/>
      <c r="I2638" s="184"/>
      <c r="J2638" s="184"/>
      <c r="K2638" s="184"/>
      <c r="L2638" s="184"/>
      <c r="M2638" s="184"/>
      <c r="N2638" s="184"/>
      <c r="O2638" s="184"/>
    </row>
    <row r="2639" customFormat="false" ht="15" hidden="false" customHeight="true" outlineLevel="0" collapsed="false">
      <c r="A2639" s="184"/>
      <c r="B2639" s="184"/>
      <c r="C2639" s="184"/>
      <c r="D2639" s="184"/>
      <c r="E2639" s="184"/>
      <c r="F2639" s="184"/>
      <c r="G2639" s="184"/>
      <c r="H2639" s="184"/>
      <c r="I2639" s="184"/>
      <c r="J2639" s="184"/>
      <c r="K2639" s="184"/>
      <c r="L2639" s="184"/>
      <c r="M2639" s="184"/>
      <c r="N2639" s="184"/>
      <c r="O2639" s="184"/>
    </row>
    <row r="2640" customFormat="false" ht="15" hidden="false" customHeight="true" outlineLevel="0" collapsed="false">
      <c r="A2640" s="184"/>
      <c r="B2640" s="184"/>
      <c r="C2640" s="184"/>
      <c r="D2640" s="184"/>
      <c r="E2640" s="184"/>
      <c r="F2640" s="184"/>
      <c r="G2640" s="184"/>
      <c r="H2640" s="184"/>
      <c r="I2640" s="184"/>
      <c r="J2640" s="184"/>
      <c r="K2640" s="184"/>
      <c r="L2640" s="184"/>
      <c r="M2640" s="184"/>
      <c r="N2640" s="184"/>
      <c r="O2640" s="184"/>
    </row>
    <row r="2641" customFormat="false" ht="15" hidden="false" customHeight="true" outlineLevel="0" collapsed="false">
      <c r="A2641" s="184"/>
      <c r="B2641" s="184"/>
      <c r="C2641" s="184"/>
      <c r="D2641" s="184"/>
      <c r="E2641" s="184"/>
      <c r="F2641" s="184"/>
      <c r="G2641" s="184"/>
      <c r="H2641" s="184"/>
      <c r="I2641" s="184"/>
      <c r="J2641" s="184"/>
      <c r="K2641" s="184"/>
      <c r="L2641" s="184"/>
      <c r="M2641" s="184"/>
      <c r="N2641" s="184"/>
      <c r="O2641" s="184"/>
    </row>
    <row r="2642" customFormat="false" ht="15" hidden="false" customHeight="true" outlineLevel="0" collapsed="false">
      <c r="A2642" s="184"/>
      <c r="B2642" s="184"/>
      <c r="C2642" s="184"/>
      <c r="D2642" s="184"/>
      <c r="E2642" s="184"/>
      <c r="F2642" s="184"/>
      <c r="G2642" s="184"/>
      <c r="H2642" s="184"/>
      <c r="I2642" s="184"/>
      <c r="J2642" s="184"/>
      <c r="K2642" s="184"/>
      <c r="L2642" s="184"/>
      <c r="M2642" s="184"/>
      <c r="N2642" s="184"/>
      <c r="O2642" s="184"/>
    </row>
    <row r="2643" customFormat="false" ht="15" hidden="false" customHeight="true" outlineLevel="0" collapsed="false">
      <c r="A2643" s="184"/>
      <c r="B2643" s="184"/>
      <c r="C2643" s="184"/>
      <c r="D2643" s="184"/>
      <c r="E2643" s="184"/>
      <c r="F2643" s="184"/>
      <c r="G2643" s="184"/>
      <c r="H2643" s="184"/>
      <c r="I2643" s="184"/>
      <c r="J2643" s="184"/>
      <c r="K2643" s="184"/>
      <c r="L2643" s="184"/>
      <c r="M2643" s="184"/>
      <c r="N2643" s="184"/>
      <c r="O2643" s="184"/>
    </row>
    <row r="2644" customFormat="false" ht="15" hidden="false" customHeight="true" outlineLevel="0" collapsed="false">
      <c r="A2644" s="184"/>
      <c r="B2644" s="184"/>
      <c r="C2644" s="184"/>
      <c r="D2644" s="184"/>
      <c r="E2644" s="184"/>
      <c r="F2644" s="184"/>
      <c r="G2644" s="184"/>
      <c r="H2644" s="184"/>
      <c r="I2644" s="184"/>
      <c r="J2644" s="184"/>
      <c r="K2644" s="184"/>
      <c r="L2644" s="184"/>
      <c r="M2644" s="184"/>
      <c r="N2644" s="184"/>
      <c r="O2644" s="184"/>
    </row>
    <row r="2645" customFormat="false" ht="15" hidden="false" customHeight="true" outlineLevel="0" collapsed="false">
      <c r="A2645" s="184"/>
      <c r="B2645" s="184"/>
      <c r="C2645" s="184"/>
      <c r="D2645" s="184"/>
      <c r="E2645" s="184"/>
      <c r="F2645" s="184"/>
      <c r="G2645" s="184"/>
      <c r="H2645" s="184"/>
      <c r="I2645" s="184"/>
      <c r="J2645" s="184"/>
      <c r="K2645" s="184"/>
      <c r="L2645" s="184"/>
      <c r="M2645" s="184"/>
      <c r="N2645" s="184"/>
      <c r="O2645" s="184"/>
    </row>
    <row r="2646" customFormat="false" ht="15" hidden="false" customHeight="true" outlineLevel="0" collapsed="false">
      <c r="A2646" s="184"/>
      <c r="B2646" s="184"/>
      <c r="C2646" s="184"/>
      <c r="D2646" s="184"/>
      <c r="E2646" s="184"/>
      <c r="F2646" s="184"/>
      <c r="G2646" s="184"/>
      <c r="H2646" s="184"/>
      <c r="I2646" s="184"/>
      <c r="J2646" s="184"/>
      <c r="K2646" s="184"/>
      <c r="L2646" s="184"/>
      <c r="M2646" s="184"/>
      <c r="N2646" s="184"/>
      <c r="O2646" s="184"/>
    </row>
    <row r="2647" customFormat="false" ht="15" hidden="false" customHeight="true" outlineLevel="0" collapsed="false">
      <c r="A2647" s="184"/>
      <c r="B2647" s="184"/>
      <c r="C2647" s="184"/>
      <c r="D2647" s="184"/>
      <c r="E2647" s="184"/>
      <c r="F2647" s="184"/>
      <c r="G2647" s="184"/>
      <c r="H2647" s="184"/>
      <c r="I2647" s="184"/>
      <c r="J2647" s="184"/>
      <c r="K2647" s="184"/>
      <c r="L2647" s="184"/>
      <c r="M2647" s="184"/>
      <c r="N2647" s="184"/>
      <c r="O2647" s="184"/>
    </row>
    <row r="2648" customFormat="false" ht="15" hidden="false" customHeight="true" outlineLevel="0" collapsed="false">
      <c r="A2648" s="184"/>
      <c r="B2648" s="184"/>
      <c r="C2648" s="184"/>
      <c r="D2648" s="184"/>
      <c r="E2648" s="184"/>
      <c r="F2648" s="184"/>
      <c r="G2648" s="184"/>
      <c r="H2648" s="184"/>
      <c r="I2648" s="184"/>
      <c r="J2648" s="184"/>
      <c r="K2648" s="184"/>
      <c r="L2648" s="184"/>
      <c r="M2648" s="184"/>
      <c r="N2648" s="184"/>
      <c r="O2648" s="184"/>
    </row>
    <row r="2649" customFormat="false" ht="15" hidden="false" customHeight="true" outlineLevel="0" collapsed="false">
      <c r="A2649" s="184"/>
      <c r="B2649" s="184"/>
      <c r="C2649" s="184"/>
      <c r="D2649" s="184"/>
      <c r="E2649" s="184"/>
      <c r="F2649" s="184"/>
      <c r="G2649" s="184"/>
      <c r="H2649" s="184"/>
      <c r="I2649" s="184"/>
      <c r="J2649" s="184"/>
      <c r="K2649" s="184"/>
      <c r="L2649" s="184"/>
      <c r="M2649" s="184"/>
      <c r="N2649" s="184"/>
      <c r="O2649" s="184"/>
    </row>
    <row r="2650" customFormat="false" ht="15" hidden="false" customHeight="true" outlineLevel="0" collapsed="false">
      <c r="A2650" s="184"/>
      <c r="B2650" s="184"/>
      <c r="C2650" s="184"/>
      <c r="D2650" s="184"/>
      <c r="E2650" s="184"/>
      <c r="F2650" s="184"/>
      <c r="G2650" s="184"/>
      <c r="H2650" s="184"/>
      <c r="I2650" s="184"/>
      <c r="J2650" s="184"/>
      <c r="K2650" s="184"/>
      <c r="L2650" s="184"/>
      <c r="M2650" s="184"/>
      <c r="N2650" s="184"/>
      <c r="O2650" s="184"/>
    </row>
    <row r="2651" customFormat="false" ht="15" hidden="false" customHeight="true" outlineLevel="0" collapsed="false">
      <c r="A2651" s="184"/>
      <c r="B2651" s="184"/>
      <c r="C2651" s="184"/>
      <c r="D2651" s="184"/>
      <c r="E2651" s="184"/>
      <c r="F2651" s="184"/>
      <c r="G2651" s="184"/>
      <c r="H2651" s="184"/>
      <c r="I2651" s="184"/>
      <c r="J2651" s="184"/>
      <c r="K2651" s="184"/>
      <c r="L2651" s="184"/>
      <c r="M2651" s="184"/>
      <c r="N2651" s="184"/>
      <c r="O2651" s="184"/>
    </row>
    <row r="2652" customFormat="false" ht="15" hidden="false" customHeight="true" outlineLevel="0" collapsed="false">
      <c r="A2652" s="184"/>
      <c r="B2652" s="184"/>
      <c r="C2652" s="184"/>
      <c r="D2652" s="184"/>
      <c r="E2652" s="184"/>
      <c r="F2652" s="184"/>
      <c r="G2652" s="184"/>
      <c r="H2652" s="184"/>
      <c r="I2652" s="184"/>
      <c r="J2652" s="184"/>
      <c r="K2652" s="184"/>
      <c r="L2652" s="184"/>
      <c r="M2652" s="184"/>
      <c r="N2652" s="184"/>
      <c r="O2652" s="184"/>
    </row>
    <row r="2653" customFormat="false" ht="15" hidden="false" customHeight="true" outlineLevel="0" collapsed="false">
      <c r="A2653" s="184"/>
      <c r="B2653" s="184"/>
      <c r="C2653" s="184"/>
      <c r="D2653" s="184"/>
      <c r="E2653" s="184"/>
      <c r="F2653" s="184"/>
      <c r="G2653" s="184"/>
      <c r="H2653" s="184"/>
      <c r="I2653" s="184"/>
      <c r="J2653" s="184"/>
      <c r="K2653" s="184"/>
      <c r="L2653" s="184"/>
      <c r="M2653" s="184"/>
      <c r="N2653" s="184"/>
      <c r="O2653" s="184"/>
    </row>
    <row r="2654" customFormat="false" ht="15" hidden="false" customHeight="true" outlineLevel="0" collapsed="false">
      <c r="A2654" s="184"/>
      <c r="B2654" s="184"/>
      <c r="C2654" s="184"/>
      <c r="D2654" s="184"/>
      <c r="E2654" s="184"/>
      <c r="F2654" s="184"/>
      <c r="G2654" s="184"/>
      <c r="H2654" s="184"/>
      <c r="I2654" s="184"/>
      <c r="J2654" s="184"/>
      <c r="K2654" s="184"/>
      <c r="L2654" s="184"/>
      <c r="M2654" s="184"/>
      <c r="N2654" s="184"/>
      <c r="O2654" s="184"/>
    </row>
    <row r="2655" customFormat="false" ht="15" hidden="false" customHeight="true" outlineLevel="0" collapsed="false">
      <c r="A2655" s="184"/>
      <c r="B2655" s="184"/>
      <c r="C2655" s="184"/>
      <c r="D2655" s="184"/>
      <c r="E2655" s="184"/>
      <c r="F2655" s="184"/>
      <c r="G2655" s="184"/>
      <c r="H2655" s="184"/>
      <c r="I2655" s="184"/>
      <c r="J2655" s="184"/>
      <c r="K2655" s="184"/>
      <c r="L2655" s="184"/>
      <c r="M2655" s="184"/>
      <c r="N2655" s="184"/>
      <c r="O2655" s="184"/>
    </row>
    <row r="2656" customFormat="false" ht="15" hidden="false" customHeight="true" outlineLevel="0" collapsed="false">
      <c r="A2656" s="184"/>
      <c r="B2656" s="184"/>
      <c r="C2656" s="184"/>
      <c r="D2656" s="184"/>
      <c r="E2656" s="184"/>
      <c r="F2656" s="184"/>
      <c r="G2656" s="184"/>
      <c r="H2656" s="184"/>
      <c r="I2656" s="184"/>
      <c r="J2656" s="184"/>
      <c r="K2656" s="184"/>
      <c r="L2656" s="184"/>
      <c r="M2656" s="184"/>
      <c r="N2656" s="184"/>
      <c r="O2656" s="184"/>
    </row>
    <row r="2657" customFormat="false" ht="15" hidden="false" customHeight="true" outlineLevel="0" collapsed="false">
      <c r="A2657" s="184"/>
      <c r="B2657" s="184"/>
      <c r="C2657" s="184"/>
      <c r="D2657" s="184"/>
      <c r="E2657" s="184"/>
      <c r="F2657" s="184"/>
      <c r="G2657" s="184"/>
      <c r="H2657" s="184"/>
      <c r="I2657" s="184"/>
      <c r="J2657" s="184"/>
      <c r="K2657" s="184"/>
      <c r="L2657" s="184"/>
      <c r="M2657" s="184"/>
      <c r="N2657" s="184"/>
      <c r="O2657" s="184"/>
    </row>
    <row r="2658" customFormat="false" ht="15" hidden="false" customHeight="true" outlineLevel="0" collapsed="false">
      <c r="A2658" s="184"/>
      <c r="B2658" s="184"/>
      <c r="C2658" s="184"/>
      <c r="D2658" s="184"/>
      <c r="E2658" s="184"/>
      <c r="F2658" s="184"/>
      <c r="G2658" s="184"/>
      <c r="H2658" s="184"/>
      <c r="I2658" s="184"/>
      <c r="J2658" s="184"/>
      <c r="K2658" s="184"/>
      <c r="L2658" s="184"/>
      <c r="M2658" s="184"/>
      <c r="N2658" s="184"/>
      <c r="O2658" s="184"/>
    </row>
    <row r="2659" customFormat="false" ht="15" hidden="false" customHeight="true" outlineLevel="0" collapsed="false">
      <c r="A2659" s="184"/>
      <c r="B2659" s="184"/>
      <c r="C2659" s="184"/>
      <c r="D2659" s="184"/>
      <c r="E2659" s="184"/>
      <c r="F2659" s="184"/>
      <c r="G2659" s="184"/>
      <c r="H2659" s="184"/>
      <c r="I2659" s="184"/>
      <c r="J2659" s="184"/>
      <c r="K2659" s="184"/>
      <c r="L2659" s="184"/>
      <c r="M2659" s="184"/>
      <c r="N2659" s="184"/>
      <c r="O2659" s="184"/>
    </row>
    <row r="2660" customFormat="false" ht="15" hidden="false" customHeight="true" outlineLevel="0" collapsed="false">
      <c r="A2660" s="184"/>
      <c r="B2660" s="184"/>
      <c r="C2660" s="184"/>
      <c r="D2660" s="184"/>
      <c r="E2660" s="184"/>
      <c r="F2660" s="184"/>
      <c r="G2660" s="184"/>
      <c r="H2660" s="184"/>
      <c r="I2660" s="184"/>
      <c r="J2660" s="184"/>
      <c r="K2660" s="184"/>
      <c r="L2660" s="184"/>
      <c r="M2660" s="184"/>
      <c r="N2660" s="184"/>
      <c r="O2660" s="184"/>
    </row>
    <row r="2661" customFormat="false" ht="15" hidden="false" customHeight="true" outlineLevel="0" collapsed="false">
      <c r="A2661" s="184"/>
      <c r="B2661" s="184"/>
      <c r="C2661" s="184"/>
      <c r="D2661" s="184"/>
      <c r="E2661" s="184"/>
      <c r="F2661" s="184"/>
      <c r="G2661" s="184"/>
      <c r="H2661" s="184"/>
      <c r="I2661" s="184"/>
      <c r="J2661" s="184"/>
      <c r="K2661" s="184"/>
      <c r="L2661" s="184"/>
      <c r="M2661" s="184"/>
      <c r="N2661" s="184"/>
      <c r="O2661" s="184"/>
    </row>
    <row r="2662" customFormat="false" ht="15" hidden="false" customHeight="true" outlineLevel="0" collapsed="false">
      <c r="A2662" s="184"/>
      <c r="B2662" s="184"/>
      <c r="C2662" s="184"/>
      <c r="D2662" s="184"/>
      <c r="E2662" s="184"/>
      <c r="F2662" s="184"/>
      <c r="G2662" s="184"/>
      <c r="H2662" s="184"/>
      <c r="I2662" s="184"/>
      <c r="J2662" s="184"/>
      <c r="K2662" s="184"/>
      <c r="L2662" s="184"/>
      <c r="M2662" s="184"/>
      <c r="N2662" s="184"/>
      <c r="O2662" s="184"/>
    </row>
    <row r="2663" customFormat="false" ht="15" hidden="false" customHeight="true" outlineLevel="0" collapsed="false">
      <c r="A2663" s="184"/>
      <c r="B2663" s="184"/>
      <c r="C2663" s="184"/>
      <c r="D2663" s="184"/>
      <c r="E2663" s="184"/>
      <c r="F2663" s="184"/>
      <c r="G2663" s="184"/>
      <c r="H2663" s="184"/>
      <c r="I2663" s="184"/>
      <c r="J2663" s="184"/>
      <c r="K2663" s="184"/>
      <c r="L2663" s="184"/>
      <c r="M2663" s="184"/>
      <c r="N2663" s="184"/>
      <c r="O2663" s="184"/>
    </row>
    <row r="2664" customFormat="false" ht="15" hidden="false" customHeight="true" outlineLevel="0" collapsed="false">
      <c r="A2664" s="184"/>
      <c r="B2664" s="184"/>
      <c r="C2664" s="184"/>
      <c r="D2664" s="184"/>
      <c r="E2664" s="184"/>
      <c r="F2664" s="184"/>
      <c r="G2664" s="184"/>
      <c r="H2664" s="184"/>
      <c r="I2664" s="184"/>
      <c r="J2664" s="184"/>
      <c r="K2664" s="184"/>
      <c r="L2664" s="184"/>
      <c r="M2664" s="184"/>
      <c r="N2664" s="184"/>
      <c r="O2664" s="184"/>
    </row>
    <row r="2665" customFormat="false" ht="15" hidden="false" customHeight="true" outlineLevel="0" collapsed="false">
      <c r="A2665" s="184"/>
      <c r="B2665" s="184"/>
      <c r="C2665" s="184"/>
      <c r="D2665" s="184"/>
      <c r="E2665" s="184"/>
      <c r="F2665" s="184"/>
      <c r="G2665" s="184"/>
      <c r="H2665" s="184"/>
      <c r="I2665" s="184"/>
      <c r="J2665" s="184"/>
      <c r="K2665" s="184"/>
      <c r="L2665" s="184"/>
      <c r="M2665" s="184"/>
      <c r="N2665" s="184"/>
      <c r="O2665" s="184"/>
    </row>
    <row r="2666" customFormat="false" ht="15" hidden="false" customHeight="true" outlineLevel="0" collapsed="false">
      <c r="A2666" s="184"/>
      <c r="B2666" s="184"/>
      <c r="C2666" s="184"/>
      <c r="D2666" s="184"/>
      <c r="E2666" s="184"/>
      <c r="F2666" s="184"/>
      <c r="G2666" s="184"/>
      <c r="H2666" s="184"/>
      <c r="I2666" s="184"/>
      <c r="J2666" s="184"/>
      <c r="K2666" s="184"/>
      <c r="L2666" s="184"/>
      <c r="M2666" s="184"/>
      <c r="N2666" s="184"/>
      <c r="O2666" s="184"/>
    </row>
    <row r="2667" customFormat="false" ht="15" hidden="false" customHeight="true" outlineLevel="0" collapsed="false">
      <c r="A2667" s="184"/>
      <c r="B2667" s="184"/>
      <c r="C2667" s="184"/>
      <c r="D2667" s="184"/>
      <c r="E2667" s="184"/>
      <c r="F2667" s="184"/>
      <c r="G2667" s="184"/>
      <c r="H2667" s="184"/>
      <c r="I2667" s="184"/>
      <c r="J2667" s="184"/>
      <c r="K2667" s="184"/>
      <c r="L2667" s="184"/>
      <c r="M2667" s="184"/>
      <c r="N2667" s="184"/>
      <c r="O2667" s="184"/>
    </row>
    <row r="2668" customFormat="false" ht="15" hidden="false" customHeight="true" outlineLevel="0" collapsed="false">
      <c r="A2668" s="184"/>
      <c r="B2668" s="184"/>
      <c r="C2668" s="184"/>
      <c r="D2668" s="184"/>
      <c r="E2668" s="184"/>
      <c r="F2668" s="184"/>
      <c r="G2668" s="184"/>
      <c r="H2668" s="184"/>
      <c r="I2668" s="184"/>
      <c r="J2668" s="184"/>
      <c r="K2668" s="184"/>
      <c r="L2668" s="184"/>
      <c r="M2668" s="184"/>
      <c r="N2668" s="184"/>
      <c r="O2668" s="184"/>
    </row>
    <row r="2669" customFormat="false" ht="15" hidden="false" customHeight="true" outlineLevel="0" collapsed="false">
      <c r="A2669" s="184"/>
      <c r="B2669" s="184"/>
      <c r="C2669" s="184"/>
      <c r="D2669" s="184"/>
      <c r="E2669" s="184"/>
      <c r="F2669" s="184"/>
      <c r="G2669" s="184"/>
      <c r="H2669" s="184"/>
      <c r="I2669" s="184"/>
      <c r="J2669" s="184"/>
      <c r="K2669" s="184"/>
      <c r="L2669" s="184"/>
      <c r="M2669" s="184"/>
      <c r="N2669" s="184"/>
      <c r="O2669" s="184"/>
    </row>
    <row r="2670" customFormat="false" ht="15" hidden="false" customHeight="true" outlineLevel="0" collapsed="false">
      <c r="A2670" s="184"/>
      <c r="B2670" s="184"/>
      <c r="C2670" s="184"/>
      <c r="D2670" s="184"/>
      <c r="E2670" s="184"/>
      <c r="F2670" s="184"/>
      <c r="G2670" s="184"/>
      <c r="H2670" s="184"/>
      <c r="I2670" s="184"/>
      <c r="J2670" s="184"/>
      <c r="K2670" s="184"/>
      <c r="L2670" s="184"/>
      <c r="M2670" s="184"/>
      <c r="N2670" s="184"/>
      <c r="O2670" s="184"/>
    </row>
    <row r="2671" customFormat="false" ht="15" hidden="false" customHeight="true" outlineLevel="0" collapsed="false">
      <c r="A2671" s="184"/>
      <c r="B2671" s="184"/>
      <c r="C2671" s="184"/>
      <c r="D2671" s="184"/>
      <c r="E2671" s="184"/>
      <c r="F2671" s="184"/>
      <c r="G2671" s="184"/>
      <c r="H2671" s="184"/>
      <c r="I2671" s="184"/>
      <c r="J2671" s="184"/>
      <c r="K2671" s="184"/>
      <c r="L2671" s="184"/>
      <c r="M2671" s="184"/>
      <c r="N2671" s="184"/>
      <c r="O2671" s="184"/>
    </row>
    <row r="2672" customFormat="false" ht="15" hidden="false" customHeight="true" outlineLevel="0" collapsed="false">
      <c r="A2672" s="184"/>
      <c r="B2672" s="184"/>
      <c r="C2672" s="184"/>
      <c r="D2672" s="184"/>
      <c r="E2672" s="184"/>
      <c r="F2672" s="184"/>
      <c r="G2672" s="184"/>
      <c r="H2672" s="184"/>
      <c r="I2672" s="184"/>
      <c r="J2672" s="184"/>
      <c r="K2672" s="184"/>
      <c r="L2672" s="184"/>
      <c r="M2672" s="184"/>
      <c r="N2672" s="184"/>
      <c r="O2672" s="184"/>
    </row>
    <row r="2673" customFormat="false" ht="15" hidden="false" customHeight="true" outlineLevel="0" collapsed="false">
      <c r="A2673" s="184"/>
      <c r="B2673" s="184"/>
      <c r="C2673" s="184"/>
      <c r="D2673" s="184"/>
      <c r="E2673" s="184"/>
      <c r="F2673" s="184"/>
      <c r="G2673" s="184"/>
      <c r="H2673" s="184"/>
      <c r="I2673" s="184"/>
      <c r="J2673" s="184"/>
      <c r="K2673" s="184"/>
      <c r="L2673" s="184"/>
      <c r="M2673" s="184"/>
      <c r="N2673" s="184"/>
      <c r="O2673" s="184"/>
    </row>
    <row r="2674" customFormat="false" ht="15" hidden="false" customHeight="true" outlineLevel="0" collapsed="false">
      <c r="A2674" s="184"/>
      <c r="B2674" s="184"/>
      <c r="C2674" s="184"/>
      <c r="D2674" s="184"/>
      <c r="E2674" s="184"/>
      <c r="F2674" s="184"/>
      <c r="G2674" s="184"/>
      <c r="H2674" s="184"/>
      <c r="I2674" s="184"/>
      <c r="J2674" s="184"/>
      <c r="K2674" s="184"/>
      <c r="L2674" s="184"/>
      <c r="M2674" s="184"/>
      <c r="N2674" s="184"/>
      <c r="O2674" s="184"/>
    </row>
    <row r="2675" customFormat="false" ht="15" hidden="false" customHeight="true" outlineLevel="0" collapsed="false">
      <c r="A2675" s="184"/>
      <c r="B2675" s="184"/>
      <c r="C2675" s="184"/>
      <c r="D2675" s="184"/>
      <c r="E2675" s="184"/>
      <c r="F2675" s="184"/>
      <c r="G2675" s="184"/>
      <c r="H2675" s="184"/>
      <c r="I2675" s="184"/>
      <c r="J2675" s="184"/>
      <c r="K2675" s="184"/>
      <c r="L2675" s="184"/>
      <c r="M2675" s="184"/>
      <c r="N2675" s="184"/>
      <c r="O2675" s="184"/>
    </row>
    <row r="2676" customFormat="false" ht="15" hidden="false" customHeight="true" outlineLevel="0" collapsed="false">
      <c r="A2676" s="184"/>
      <c r="B2676" s="184"/>
      <c r="C2676" s="184"/>
      <c r="D2676" s="184"/>
      <c r="E2676" s="184"/>
      <c r="F2676" s="184"/>
      <c r="G2676" s="184"/>
      <c r="H2676" s="184"/>
      <c r="I2676" s="184"/>
      <c r="J2676" s="184"/>
      <c r="K2676" s="184"/>
      <c r="L2676" s="184"/>
      <c r="M2676" s="184"/>
      <c r="N2676" s="184"/>
      <c r="O2676" s="184"/>
    </row>
    <row r="2677" customFormat="false" ht="15" hidden="false" customHeight="true" outlineLevel="0" collapsed="false">
      <c r="A2677" s="184"/>
      <c r="B2677" s="184"/>
      <c r="C2677" s="184"/>
      <c r="D2677" s="184"/>
      <c r="E2677" s="184"/>
      <c r="F2677" s="184"/>
      <c r="G2677" s="184"/>
      <c r="H2677" s="184"/>
      <c r="I2677" s="184"/>
      <c r="J2677" s="184"/>
      <c r="K2677" s="184"/>
      <c r="L2677" s="184"/>
      <c r="M2677" s="184"/>
      <c r="N2677" s="184"/>
      <c r="O2677" s="184"/>
    </row>
    <row r="2678" customFormat="false" ht="15" hidden="false" customHeight="true" outlineLevel="0" collapsed="false">
      <c r="A2678" s="184"/>
      <c r="B2678" s="184"/>
      <c r="C2678" s="184"/>
      <c r="D2678" s="184"/>
      <c r="E2678" s="184"/>
      <c r="F2678" s="184"/>
      <c r="G2678" s="184"/>
      <c r="H2678" s="184"/>
      <c r="I2678" s="184"/>
      <c r="J2678" s="184"/>
      <c r="K2678" s="184"/>
      <c r="L2678" s="184"/>
      <c r="M2678" s="184"/>
      <c r="N2678" s="184"/>
      <c r="O2678" s="184"/>
    </row>
    <row r="2679" customFormat="false" ht="15" hidden="false" customHeight="true" outlineLevel="0" collapsed="false">
      <c r="A2679" s="184"/>
      <c r="B2679" s="184"/>
      <c r="C2679" s="184"/>
      <c r="D2679" s="184"/>
      <c r="E2679" s="184"/>
      <c r="F2679" s="184"/>
      <c r="G2679" s="184"/>
      <c r="H2679" s="184"/>
      <c r="I2679" s="184"/>
      <c r="J2679" s="184"/>
      <c r="K2679" s="184"/>
      <c r="L2679" s="184"/>
      <c r="M2679" s="184"/>
      <c r="N2679" s="184"/>
      <c r="O2679" s="184"/>
    </row>
    <row r="2680" customFormat="false" ht="15" hidden="false" customHeight="true" outlineLevel="0" collapsed="false">
      <c r="A2680" s="184"/>
      <c r="B2680" s="184"/>
      <c r="C2680" s="184"/>
      <c r="D2680" s="184"/>
      <c r="E2680" s="184"/>
      <c r="F2680" s="184"/>
      <c r="G2680" s="184"/>
      <c r="H2680" s="184"/>
      <c r="I2680" s="184"/>
      <c r="J2680" s="184"/>
      <c r="K2680" s="184"/>
      <c r="L2680" s="184"/>
      <c r="M2680" s="184"/>
      <c r="N2680" s="184"/>
      <c r="O2680" s="184"/>
    </row>
    <row r="2681" customFormat="false" ht="15" hidden="false" customHeight="true" outlineLevel="0" collapsed="false">
      <c r="A2681" s="184"/>
      <c r="B2681" s="184"/>
      <c r="C2681" s="184"/>
      <c r="D2681" s="184"/>
      <c r="E2681" s="184"/>
      <c r="F2681" s="184"/>
      <c r="G2681" s="184"/>
      <c r="H2681" s="184"/>
      <c r="I2681" s="184"/>
      <c r="J2681" s="184"/>
      <c r="K2681" s="184"/>
      <c r="L2681" s="184"/>
      <c r="M2681" s="184"/>
      <c r="N2681" s="184"/>
      <c r="O2681" s="184"/>
    </row>
    <row r="2682" customFormat="false" ht="15" hidden="false" customHeight="true" outlineLevel="0" collapsed="false">
      <c r="A2682" s="184"/>
      <c r="B2682" s="184"/>
      <c r="C2682" s="184"/>
      <c r="D2682" s="184"/>
      <c r="E2682" s="184"/>
      <c r="F2682" s="184"/>
      <c r="G2682" s="184"/>
      <c r="H2682" s="184"/>
      <c r="I2682" s="184"/>
      <c r="J2682" s="184"/>
      <c r="K2682" s="184"/>
      <c r="L2682" s="184"/>
      <c r="M2682" s="184"/>
      <c r="N2682" s="184"/>
      <c r="O2682" s="184"/>
    </row>
    <row r="2683" customFormat="false" ht="15" hidden="false" customHeight="true" outlineLevel="0" collapsed="false">
      <c r="A2683" s="184"/>
      <c r="B2683" s="184"/>
      <c r="C2683" s="184"/>
      <c r="D2683" s="184"/>
      <c r="E2683" s="184"/>
      <c r="F2683" s="184"/>
      <c r="G2683" s="184"/>
      <c r="H2683" s="184"/>
      <c r="I2683" s="184"/>
      <c r="J2683" s="184"/>
      <c r="K2683" s="184"/>
      <c r="L2683" s="184"/>
      <c r="M2683" s="184"/>
      <c r="N2683" s="184"/>
      <c r="O2683" s="184"/>
    </row>
    <row r="2684" customFormat="false" ht="15" hidden="false" customHeight="true" outlineLevel="0" collapsed="false">
      <c r="A2684" s="184"/>
      <c r="B2684" s="184"/>
      <c r="C2684" s="184"/>
      <c r="D2684" s="184"/>
      <c r="E2684" s="184"/>
      <c r="F2684" s="184"/>
      <c r="G2684" s="184"/>
      <c r="H2684" s="184"/>
      <c r="I2684" s="184"/>
      <c r="J2684" s="184"/>
      <c r="K2684" s="184"/>
      <c r="L2684" s="184"/>
      <c r="M2684" s="184"/>
      <c r="N2684" s="184"/>
      <c r="O2684" s="184"/>
    </row>
    <row r="2685" customFormat="false" ht="15" hidden="false" customHeight="true" outlineLevel="0" collapsed="false">
      <c r="A2685" s="184"/>
      <c r="B2685" s="184"/>
      <c r="C2685" s="184"/>
      <c r="D2685" s="184"/>
      <c r="E2685" s="184"/>
      <c r="F2685" s="184"/>
      <c r="G2685" s="184"/>
      <c r="H2685" s="184"/>
      <c r="I2685" s="184"/>
      <c r="J2685" s="184"/>
      <c r="K2685" s="184"/>
      <c r="L2685" s="184"/>
      <c r="M2685" s="184"/>
      <c r="N2685" s="184"/>
      <c r="O2685" s="184"/>
    </row>
    <row r="2686" customFormat="false" ht="15" hidden="false" customHeight="true" outlineLevel="0" collapsed="false">
      <c r="A2686" s="184"/>
      <c r="B2686" s="184"/>
      <c r="C2686" s="184"/>
      <c r="D2686" s="184"/>
      <c r="E2686" s="184"/>
      <c r="F2686" s="184"/>
      <c r="G2686" s="184"/>
      <c r="H2686" s="184"/>
      <c r="I2686" s="184"/>
      <c r="J2686" s="184"/>
      <c r="K2686" s="184"/>
      <c r="L2686" s="184"/>
      <c r="M2686" s="184"/>
      <c r="N2686" s="184"/>
      <c r="O2686" s="184"/>
    </row>
    <row r="2687" customFormat="false" ht="15" hidden="false" customHeight="true" outlineLevel="0" collapsed="false">
      <c r="A2687" s="184"/>
      <c r="B2687" s="184"/>
      <c r="C2687" s="184"/>
      <c r="D2687" s="184"/>
      <c r="E2687" s="184"/>
      <c r="F2687" s="184"/>
      <c r="G2687" s="184"/>
      <c r="H2687" s="184"/>
      <c r="I2687" s="184"/>
      <c r="J2687" s="184"/>
      <c r="K2687" s="184"/>
      <c r="L2687" s="184"/>
      <c r="M2687" s="184"/>
      <c r="N2687" s="184"/>
      <c r="O2687" s="184"/>
    </row>
    <row r="2688" customFormat="false" ht="15" hidden="false" customHeight="true" outlineLevel="0" collapsed="false">
      <c r="A2688" s="184"/>
      <c r="B2688" s="184"/>
      <c r="C2688" s="184"/>
      <c r="D2688" s="184"/>
      <c r="E2688" s="184"/>
      <c r="F2688" s="184"/>
      <c r="G2688" s="184"/>
      <c r="H2688" s="184"/>
      <c r="I2688" s="184"/>
      <c r="J2688" s="184"/>
      <c r="K2688" s="184"/>
      <c r="L2688" s="184"/>
      <c r="M2688" s="184"/>
      <c r="N2688" s="184"/>
      <c r="O2688" s="184"/>
    </row>
    <row r="2689" customFormat="false" ht="15" hidden="false" customHeight="true" outlineLevel="0" collapsed="false">
      <c r="A2689" s="184"/>
      <c r="B2689" s="184"/>
      <c r="C2689" s="184"/>
      <c r="D2689" s="184"/>
      <c r="E2689" s="184"/>
      <c r="F2689" s="184"/>
      <c r="G2689" s="184"/>
      <c r="H2689" s="184"/>
      <c r="I2689" s="184"/>
      <c r="J2689" s="184"/>
      <c r="K2689" s="184"/>
      <c r="L2689" s="184"/>
      <c r="M2689" s="184"/>
      <c r="N2689" s="184"/>
      <c r="O2689" s="184"/>
    </row>
    <row r="2690" customFormat="false" ht="15" hidden="false" customHeight="true" outlineLevel="0" collapsed="false">
      <c r="A2690" s="184"/>
      <c r="B2690" s="184"/>
      <c r="C2690" s="184"/>
      <c r="D2690" s="184"/>
      <c r="E2690" s="184"/>
      <c r="F2690" s="184"/>
      <c r="G2690" s="184"/>
      <c r="H2690" s="184"/>
      <c r="I2690" s="184"/>
      <c r="J2690" s="184"/>
      <c r="K2690" s="184"/>
      <c r="L2690" s="184"/>
      <c r="M2690" s="184"/>
      <c r="N2690" s="184"/>
      <c r="O2690" s="184"/>
    </row>
    <row r="2691" customFormat="false" ht="15" hidden="false" customHeight="true" outlineLevel="0" collapsed="false">
      <c r="A2691" s="184"/>
      <c r="B2691" s="184"/>
      <c r="C2691" s="184"/>
      <c r="D2691" s="184"/>
      <c r="E2691" s="184"/>
      <c r="F2691" s="184"/>
      <c r="G2691" s="184"/>
      <c r="H2691" s="184"/>
      <c r="I2691" s="184"/>
      <c r="J2691" s="184"/>
      <c r="K2691" s="184"/>
      <c r="L2691" s="184"/>
      <c r="M2691" s="184"/>
      <c r="N2691" s="184"/>
      <c r="O2691" s="184"/>
    </row>
    <row r="2692" customFormat="false" ht="15" hidden="false" customHeight="true" outlineLevel="0" collapsed="false">
      <c r="A2692" s="184"/>
      <c r="B2692" s="184"/>
      <c r="C2692" s="184"/>
      <c r="D2692" s="184"/>
      <c r="E2692" s="184"/>
      <c r="F2692" s="184"/>
      <c r="G2692" s="184"/>
      <c r="H2692" s="184"/>
      <c r="I2692" s="184"/>
      <c r="J2692" s="184"/>
      <c r="K2692" s="184"/>
      <c r="L2692" s="184"/>
      <c r="M2692" s="184"/>
      <c r="N2692" s="184"/>
      <c r="O2692" s="184"/>
    </row>
    <row r="2693" customFormat="false" ht="15" hidden="false" customHeight="true" outlineLevel="0" collapsed="false">
      <c r="A2693" s="184"/>
      <c r="B2693" s="184"/>
      <c r="C2693" s="184"/>
      <c r="D2693" s="184"/>
      <c r="E2693" s="184"/>
      <c r="F2693" s="184"/>
      <c r="G2693" s="184"/>
      <c r="H2693" s="184"/>
      <c r="I2693" s="184"/>
      <c r="J2693" s="184"/>
      <c r="K2693" s="184"/>
      <c r="L2693" s="184"/>
      <c r="M2693" s="184"/>
      <c r="N2693" s="184"/>
      <c r="O2693" s="184"/>
    </row>
    <row r="2694" customFormat="false" ht="15" hidden="false" customHeight="true" outlineLevel="0" collapsed="false">
      <c r="A2694" s="184"/>
      <c r="B2694" s="184"/>
      <c r="C2694" s="184"/>
      <c r="D2694" s="184"/>
      <c r="E2694" s="184"/>
      <c r="F2694" s="184"/>
      <c r="G2694" s="184"/>
      <c r="H2694" s="184"/>
      <c r="I2694" s="184"/>
      <c r="J2694" s="184"/>
      <c r="K2694" s="184"/>
      <c r="L2694" s="184"/>
      <c r="M2694" s="184"/>
      <c r="N2694" s="184"/>
      <c r="O2694" s="184"/>
    </row>
    <row r="2695" customFormat="false" ht="15" hidden="false" customHeight="true" outlineLevel="0" collapsed="false">
      <c r="A2695" s="184"/>
      <c r="B2695" s="184"/>
      <c r="C2695" s="184"/>
      <c r="D2695" s="184"/>
      <c r="E2695" s="184"/>
      <c r="F2695" s="184"/>
      <c r="G2695" s="184"/>
      <c r="H2695" s="184"/>
      <c r="I2695" s="184"/>
      <c r="J2695" s="184"/>
      <c r="K2695" s="184"/>
      <c r="L2695" s="184"/>
      <c r="M2695" s="184"/>
      <c r="N2695" s="184"/>
      <c r="O2695" s="184"/>
    </row>
    <row r="2696" customFormat="false" ht="15" hidden="false" customHeight="true" outlineLevel="0" collapsed="false">
      <c r="A2696" s="184"/>
      <c r="B2696" s="184"/>
      <c r="C2696" s="184"/>
      <c r="D2696" s="184"/>
      <c r="E2696" s="184"/>
      <c r="F2696" s="184"/>
      <c r="G2696" s="184"/>
      <c r="H2696" s="184"/>
      <c r="I2696" s="184"/>
      <c r="J2696" s="184"/>
      <c r="K2696" s="184"/>
      <c r="L2696" s="184"/>
      <c r="M2696" s="184"/>
      <c r="N2696" s="184"/>
      <c r="O2696" s="184"/>
    </row>
    <row r="2697" customFormat="false" ht="15" hidden="false" customHeight="true" outlineLevel="0" collapsed="false">
      <c r="A2697" s="184"/>
      <c r="B2697" s="184"/>
      <c r="C2697" s="184"/>
      <c r="D2697" s="184"/>
      <c r="E2697" s="184"/>
      <c r="F2697" s="184"/>
      <c r="G2697" s="184"/>
      <c r="H2697" s="184"/>
      <c r="I2697" s="184"/>
      <c r="J2697" s="184"/>
      <c r="K2697" s="184"/>
      <c r="L2697" s="184"/>
      <c r="M2697" s="184"/>
      <c r="N2697" s="184"/>
      <c r="O2697" s="184"/>
    </row>
    <row r="2698" customFormat="false" ht="15" hidden="false" customHeight="true" outlineLevel="0" collapsed="false">
      <c r="A2698" s="184"/>
      <c r="B2698" s="184"/>
      <c r="C2698" s="184"/>
      <c r="D2698" s="184"/>
      <c r="E2698" s="184"/>
      <c r="F2698" s="184"/>
      <c r="G2698" s="184"/>
      <c r="H2698" s="184"/>
      <c r="I2698" s="184"/>
      <c r="J2698" s="184"/>
      <c r="K2698" s="184"/>
      <c r="L2698" s="184"/>
      <c r="M2698" s="184"/>
      <c r="N2698" s="184"/>
      <c r="O2698" s="184"/>
    </row>
    <row r="2699" customFormat="false" ht="15" hidden="false" customHeight="true" outlineLevel="0" collapsed="false">
      <c r="A2699" s="184"/>
      <c r="B2699" s="184"/>
      <c r="C2699" s="184"/>
      <c r="D2699" s="184"/>
      <c r="E2699" s="184"/>
      <c r="F2699" s="184"/>
      <c r="G2699" s="184"/>
      <c r="H2699" s="184"/>
      <c r="I2699" s="184"/>
      <c r="J2699" s="184"/>
      <c r="K2699" s="184"/>
      <c r="L2699" s="184"/>
      <c r="M2699" s="184"/>
      <c r="N2699" s="184"/>
      <c r="O2699" s="184"/>
    </row>
    <row r="2700" customFormat="false" ht="15" hidden="false" customHeight="true" outlineLevel="0" collapsed="false">
      <c r="A2700" s="184"/>
      <c r="B2700" s="184"/>
      <c r="C2700" s="184"/>
      <c r="D2700" s="184"/>
      <c r="E2700" s="184"/>
      <c r="F2700" s="184"/>
      <c r="G2700" s="184"/>
      <c r="H2700" s="184"/>
      <c r="I2700" s="184"/>
      <c r="J2700" s="184"/>
      <c r="K2700" s="184"/>
      <c r="L2700" s="184"/>
      <c r="M2700" s="184"/>
      <c r="N2700" s="184"/>
      <c r="O2700" s="184"/>
    </row>
    <row r="2701" customFormat="false" ht="15" hidden="false" customHeight="true" outlineLevel="0" collapsed="false">
      <c r="A2701" s="184"/>
      <c r="B2701" s="184"/>
      <c r="C2701" s="184"/>
      <c r="D2701" s="184"/>
      <c r="E2701" s="184"/>
      <c r="F2701" s="184"/>
      <c r="G2701" s="184"/>
      <c r="H2701" s="184"/>
      <c r="I2701" s="184"/>
      <c r="J2701" s="184"/>
      <c r="K2701" s="184"/>
      <c r="L2701" s="184"/>
      <c r="M2701" s="184"/>
      <c r="N2701" s="184"/>
      <c r="O2701" s="184"/>
    </row>
    <row r="2702" customFormat="false" ht="15" hidden="false" customHeight="true" outlineLevel="0" collapsed="false">
      <c r="A2702" s="184"/>
      <c r="B2702" s="184"/>
      <c r="C2702" s="184"/>
      <c r="D2702" s="184"/>
      <c r="E2702" s="184"/>
      <c r="F2702" s="184"/>
      <c r="G2702" s="184"/>
      <c r="H2702" s="184"/>
      <c r="I2702" s="184"/>
      <c r="J2702" s="184"/>
      <c r="K2702" s="184"/>
      <c r="L2702" s="184"/>
      <c r="M2702" s="184"/>
      <c r="N2702" s="184"/>
      <c r="O2702" s="184"/>
    </row>
    <row r="2703" customFormat="false" ht="15" hidden="false" customHeight="true" outlineLevel="0" collapsed="false">
      <c r="A2703" s="184"/>
      <c r="B2703" s="184"/>
      <c r="C2703" s="184"/>
      <c r="D2703" s="184"/>
      <c r="E2703" s="184"/>
      <c r="F2703" s="184"/>
      <c r="G2703" s="184"/>
      <c r="H2703" s="184"/>
      <c r="I2703" s="184"/>
      <c r="J2703" s="184"/>
      <c r="K2703" s="184"/>
      <c r="L2703" s="184"/>
      <c r="M2703" s="184"/>
      <c r="N2703" s="184"/>
      <c r="O2703" s="184"/>
    </row>
    <row r="2704" customFormat="false" ht="15" hidden="false" customHeight="true" outlineLevel="0" collapsed="false">
      <c r="A2704" s="184"/>
      <c r="B2704" s="184"/>
      <c r="C2704" s="184"/>
      <c r="D2704" s="184"/>
      <c r="E2704" s="184"/>
      <c r="F2704" s="184"/>
      <c r="G2704" s="184"/>
      <c r="H2704" s="184"/>
      <c r="I2704" s="184"/>
      <c r="J2704" s="184"/>
      <c r="K2704" s="184"/>
      <c r="L2704" s="184"/>
      <c r="M2704" s="184"/>
      <c r="N2704" s="184"/>
      <c r="O2704" s="184"/>
    </row>
    <row r="2705" customFormat="false" ht="15" hidden="false" customHeight="true" outlineLevel="0" collapsed="false">
      <c r="A2705" s="184"/>
      <c r="B2705" s="184"/>
      <c r="C2705" s="184"/>
      <c r="D2705" s="184"/>
      <c r="E2705" s="184"/>
      <c r="F2705" s="184"/>
      <c r="G2705" s="184"/>
      <c r="H2705" s="184"/>
      <c r="I2705" s="184"/>
      <c r="J2705" s="184"/>
      <c r="K2705" s="184"/>
      <c r="L2705" s="184"/>
      <c r="M2705" s="184"/>
      <c r="N2705" s="184"/>
      <c r="O2705" s="184"/>
    </row>
    <row r="2706" customFormat="false" ht="15" hidden="false" customHeight="true" outlineLevel="0" collapsed="false">
      <c r="A2706" s="184"/>
      <c r="B2706" s="184"/>
      <c r="C2706" s="184"/>
      <c r="D2706" s="184"/>
      <c r="E2706" s="184"/>
      <c r="F2706" s="184"/>
      <c r="G2706" s="184"/>
      <c r="H2706" s="184"/>
      <c r="I2706" s="184"/>
      <c r="J2706" s="184"/>
      <c r="K2706" s="184"/>
      <c r="L2706" s="184"/>
      <c r="M2706" s="184"/>
      <c r="N2706" s="184"/>
      <c r="O2706" s="184"/>
    </row>
    <row r="2707" customFormat="false" ht="15" hidden="false" customHeight="true" outlineLevel="0" collapsed="false">
      <c r="A2707" s="184"/>
      <c r="B2707" s="184"/>
      <c r="C2707" s="184"/>
      <c r="D2707" s="184"/>
      <c r="E2707" s="184"/>
      <c r="F2707" s="184"/>
      <c r="G2707" s="184"/>
      <c r="H2707" s="184"/>
      <c r="I2707" s="184"/>
      <c r="J2707" s="184"/>
      <c r="K2707" s="184"/>
      <c r="L2707" s="184"/>
      <c r="M2707" s="184"/>
      <c r="N2707" s="184"/>
      <c r="O2707" s="184"/>
    </row>
    <row r="2708" customFormat="false" ht="15" hidden="false" customHeight="true" outlineLevel="0" collapsed="false">
      <c r="A2708" s="184"/>
      <c r="B2708" s="184"/>
      <c r="C2708" s="184"/>
      <c r="D2708" s="184"/>
      <c r="E2708" s="184"/>
      <c r="F2708" s="184"/>
      <c r="G2708" s="184"/>
      <c r="H2708" s="184"/>
      <c r="I2708" s="184"/>
      <c r="J2708" s="184"/>
      <c r="K2708" s="184"/>
      <c r="L2708" s="184"/>
      <c r="M2708" s="184"/>
      <c r="N2708" s="184"/>
      <c r="O2708" s="184"/>
    </row>
    <row r="2709" customFormat="false" ht="15" hidden="false" customHeight="true" outlineLevel="0" collapsed="false">
      <c r="A2709" s="184"/>
      <c r="B2709" s="184"/>
      <c r="C2709" s="184"/>
      <c r="D2709" s="184"/>
      <c r="E2709" s="184"/>
      <c r="F2709" s="184"/>
      <c r="G2709" s="184"/>
      <c r="H2709" s="184"/>
      <c r="I2709" s="184"/>
      <c r="J2709" s="184"/>
      <c r="K2709" s="184"/>
      <c r="L2709" s="184"/>
      <c r="M2709" s="184"/>
      <c r="N2709" s="184"/>
      <c r="O2709" s="184"/>
    </row>
    <row r="2710" customFormat="false" ht="15" hidden="false" customHeight="true" outlineLevel="0" collapsed="false">
      <c r="A2710" s="184"/>
      <c r="B2710" s="184"/>
      <c r="C2710" s="184"/>
      <c r="D2710" s="184"/>
      <c r="E2710" s="184"/>
      <c r="F2710" s="184"/>
      <c r="G2710" s="184"/>
      <c r="H2710" s="184"/>
      <c r="I2710" s="184"/>
      <c r="J2710" s="184"/>
      <c r="K2710" s="184"/>
      <c r="L2710" s="184"/>
      <c r="M2710" s="184"/>
      <c r="N2710" s="184"/>
      <c r="O2710" s="184"/>
    </row>
    <row r="2711" customFormat="false" ht="15" hidden="false" customHeight="true" outlineLevel="0" collapsed="false">
      <c r="A2711" s="184"/>
      <c r="B2711" s="184"/>
      <c r="C2711" s="184"/>
      <c r="D2711" s="184"/>
      <c r="E2711" s="184"/>
      <c r="F2711" s="184"/>
      <c r="G2711" s="184"/>
      <c r="H2711" s="184"/>
      <c r="I2711" s="184"/>
      <c r="J2711" s="184"/>
      <c r="K2711" s="184"/>
      <c r="L2711" s="184"/>
      <c r="M2711" s="184"/>
      <c r="N2711" s="184"/>
      <c r="O2711" s="184"/>
    </row>
    <row r="2712" customFormat="false" ht="15" hidden="false" customHeight="true" outlineLevel="0" collapsed="false">
      <c r="A2712" s="184"/>
      <c r="B2712" s="184"/>
      <c r="C2712" s="184"/>
      <c r="D2712" s="184"/>
      <c r="E2712" s="184"/>
      <c r="F2712" s="184"/>
      <c r="G2712" s="184"/>
      <c r="H2712" s="184"/>
      <c r="I2712" s="184"/>
      <c r="J2712" s="184"/>
      <c r="K2712" s="184"/>
      <c r="L2712" s="184"/>
      <c r="M2712" s="184"/>
      <c r="N2712" s="184"/>
      <c r="O2712" s="184"/>
    </row>
    <row r="2713" customFormat="false" ht="15" hidden="false" customHeight="true" outlineLevel="0" collapsed="false">
      <c r="A2713" s="184"/>
      <c r="B2713" s="184"/>
      <c r="C2713" s="184"/>
      <c r="D2713" s="184"/>
      <c r="E2713" s="184"/>
      <c r="F2713" s="184"/>
      <c r="G2713" s="184"/>
      <c r="H2713" s="184"/>
      <c r="I2713" s="184"/>
      <c r="J2713" s="184"/>
      <c r="K2713" s="184"/>
      <c r="L2713" s="184"/>
      <c r="M2713" s="184"/>
      <c r="N2713" s="184"/>
      <c r="O2713" s="184"/>
    </row>
    <row r="2714" customFormat="false" ht="15" hidden="false" customHeight="true" outlineLevel="0" collapsed="false">
      <c r="A2714" s="184"/>
      <c r="B2714" s="184"/>
      <c r="C2714" s="184"/>
      <c r="D2714" s="184"/>
      <c r="E2714" s="184"/>
      <c r="F2714" s="184"/>
      <c r="G2714" s="184"/>
      <c r="H2714" s="184"/>
      <c r="I2714" s="184"/>
      <c r="J2714" s="184"/>
      <c r="K2714" s="184"/>
      <c r="L2714" s="184"/>
      <c r="M2714" s="184"/>
      <c r="N2714" s="184"/>
      <c r="O2714" s="184"/>
    </row>
    <row r="2715" customFormat="false" ht="15" hidden="false" customHeight="true" outlineLevel="0" collapsed="false">
      <c r="A2715" s="184"/>
      <c r="B2715" s="184"/>
      <c r="C2715" s="184"/>
      <c r="D2715" s="184"/>
      <c r="E2715" s="184"/>
      <c r="F2715" s="184"/>
      <c r="G2715" s="184"/>
      <c r="H2715" s="184"/>
      <c r="I2715" s="184"/>
      <c r="J2715" s="184"/>
      <c r="K2715" s="184"/>
      <c r="L2715" s="184"/>
      <c r="M2715" s="184"/>
      <c r="N2715" s="184"/>
      <c r="O2715" s="184"/>
    </row>
    <row r="2716" customFormat="false" ht="15" hidden="false" customHeight="true" outlineLevel="0" collapsed="false">
      <c r="A2716" s="184"/>
      <c r="B2716" s="184"/>
      <c r="C2716" s="184"/>
      <c r="D2716" s="184"/>
      <c r="E2716" s="184"/>
      <c r="F2716" s="184"/>
      <c r="G2716" s="184"/>
      <c r="H2716" s="184"/>
      <c r="I2716" s="184"/>
      <c r="J2716" s="184"/>
      <c r="K2716" s="184"/>
      <c r="L2716" s="184"/>
      <c r="M2716" s="184"/>
      <c r="N2716" s="184"/>
      <c r="O2716" s="184"/>
    </row>
    <row r="2717" customFormat="false" ht="15" hidden="false" customHeight="true" outlineLevel="0" collapsed="false">
      <c r="A2717" s="184"/>
      <c r="B2717" s="184"/>
      <c r="C2717" s="184"/>
      <c r="D2717" s="184"/>
      <c r="E2717" s="184"/>
      <c r="F2717" s="184"/>
      <c r="G2717" s="184"/>
      <c r="H2717" s="184"/>
      <c r="I2717" s="184"/>
      <c r="J2717" s="184"/>
      <c r="K2717" s="184"/>
      <c r="L2717" s="184"/>
      <c r="M2717" s="184"/>
      <c r="N2717" s="184"/>
      <c r="O2717" s="184"/>
    </row>
    <row r="2718" customFormat="false" ht="15" hidden="false" customHeight="true" outlineLevel="0" collapsed="false">
      <c r="A2718" s="184"/>
      <c r="B2718" s="184"/>
      <c r="C2718" s="184"/>
      <c r="D2718" s="184"/>
      <c r="E2718" s="184"/>
      <c r="F2718" s="184"/>
      <c r="G2718" s="184"/>
      <c r="H2718" s="184"/>
      <c r="I2718" s="184"/>
      <c r="J2718" s="184"/>
      <c r="K2718" s="184"/>
      <c r="L2718" s="184"/>
      <c r="M2718" s="184"/>
      <c r="N2718" s="184"/>
      <c r="O2718" s="184"/>
    </row>
    <row r="2719" customFormat="false" ht="15" hidden="false" customHeight="true" outlineLevel="0" collapsed="false">
      <c r="A2719" s="184"/>
      <c r="B2719" s="184"/>
      <c r="C2719" s="184"/>
      <c r="D2719" s="184"/>
      <c r="E2719" s="184"/>
      <c r="F2719" s="184"/>
      <c r="G2719" s="184"/>
      <c r="H2719" s="184"/>
      <c r="I2719" s="184"/>
      <c r="J2719" s="184"/>
      <c r="K2719" s="184"/>
      <c r="L2719" s="184"/>
      <c r="M2719" s="184"/>
      <c r="N2719" s="184"/>
      <c r="O2719" s="184"/>
    </row>
    <row r="2720" customFormat="false" ht="15" hidden="false" customHeight="true" outlineLevel="0" collapsed="false">
      <c r="A2720" s="184"/>
      <c r="B2720" s="184"/>
      <c r="C2720" s="184"/>
      <c r="D2720" s="184"/>
      <c r="E2720" s="184"/>
      <c r="F2720" s="184"/>
      <c r="G2720" s="184"/>
      <c r="H2720" s="184"/>
      <c r="I2720" s="184"/>
      <c r="J2720" s="184"/>
      <c r="K2720" s="184"/>
      <c r="L2720" s="184"/>
      <c r="M2720" s="184"/>
      <c r="N2720" s="184"/>
      <c r="O2720" s="184"/>
    </row>
    <row r="2721" customFormat="false" ht="15" hidden="false" customHeight="true" outlineLevel="0" collapsed="false">
      <c r="A2721" s="184"/>
      <c r="B2721" s="184"/>
      <c r="C2721" s="184"/>
      <c r="D2721" s="184"/>
      <c r="E2721" s="184"/>
      <c r="F2721" s="184"/>
      <c r="G2721" s="184"/>
      <c r="H2721" s="184"/>
      <c r="I2721" s="184"/>
      <c r="J2721" s="184"/>
      <c r="K2721" s="184"/>
      <c r="L2721" s="184"/>
      <c r="M2721" s="184"/>
      <c r="N2721" s="184"/>
      <c r="O2721" s="184"/>
    </row>
    <row r="2722" customFormat="false" ht="15" hidden="false" customHeight="true" outlineLevel="0" collapsed="false">
      <c r="A2722" s="184"/>
      <c r="B2722" s="184"/>
      <c r="C2722" s="184"/>
      <c r="D2722" s="184"/>
      <c r="E2722" s="184"/>
      <c r="F2722" s="184"/>
      <c r="G2722" s="184"/>
      <c r="H2722" s="184"/>
      <c r="I2722" s="184"/>
      <c r="J2722" s="184"/>
      <c r="K2722" s="184"/>
      <c r="L2722" s="184"/>
      <c r="M2722" s="184"/>
      <c r="N2722" s="184"/>
      <c r="O2722" s="184"/>
    </row>
    <row r="2723" customFormat="false" ht="15" hidden="false" customHeight="true" outlineLevel="0" collapsed="false">
      <c r="A2723" s="184"/>
      <c r="B2723" s="184"/>
      <c r="C2723" s="184"/>
      <c r="D2723" s="184"/>
      <c r="E2723" s="184"/>
      <c r="F2723" s="184"/>
      <c r="G2723" s="184"/>
      <c r="H2723" s="184"/>
      <c r="I2723" s="184"/>
      <c r="J2723" s="184"/>
      <c r="K2723" s="184"/>
      <c r="L2723" s="184"/>
      <c r="M2723" s="184"/>
      <c r="N2723" s="184"/>
      <c r="O2723" s="184"/>
    </row>
    <row r="2724" customFormat="false" ht="15" hidden="false" customHeight="true" outlineLevel="0" collapsed="false">
      <c r="A2724" s="184"/>
      <c r="B2724" s="184"/>
      <c r="C2724" s="184"/>
      <c r="D2724" s="184"/>
      <c r="E2724" s="184"/>
      <c r="F2724" s="184"/>
      <c r="G2724" s="184"/>
      <c r="H2724" s="184"/>
      <c r="I2724" s="184"/>
      <c r="J2724" s="184"/>
      <c r="K2724" s="184"/>
      <c r="L2724" s="184"/>
      <c r="M2724" s="184"/>
      <c r="N2724" s="184"/>
      <c r="O2724" s="184"/>
    </row>
    <row r="2725" customFormat="false" ht="15" hidden="false" customHeight="true" outlineLevel="0" collapsed="false">
      <c r="A2725" s="184"/>
      <c r="B2725" s="184"/>
      <c r="C2725" s="184"/>
      <c r="D2725" s="184"/>
      <c r="E2725" s="184"/>
      <c r="F2725" s="184"/>
      <c r="G2725" s="184"/>
      <c r="H2725" s="184"/>
      <c r="I2725" s="184"/>
      <c r="J2725" s="184"/>
      <c r="K2725" s="184"/>
      <c r="L2725" s="184"/>
      <c r="M2725" s="184"/>
      <c r="N2725" s="184"/>
      <c r="O2725" s="184"/>
    </row>
    <row r="2726" customFormat="false" ht="15" hidden="false" customHeight="true" outlineLevel="0" collapsed="false">
      <c r="A2726" s="184"/>
      <c r="B2726" s="184"/>
      <c r="C2726" s="184"/>
      <c r="D2726" s="184"/>
      <c r="E2726" s="184"/>
      <c r="F2726" s="184"/>
      <c r="G2726" s="184"/>
      <c r="H2726" s="184"/>
      <c r="I2726" s="184"/>
      <c r="J2726" s="184"/>
      <c r="K2726" s="184"/>
      <c r="L2726" s="184"/>
      <c r="M2726" s="184"/>
      <c r="N2726" s="184"/>
      <c r="O2726" s="184"/>
    </row>
    <row r="2727" customFormat="false" ht="15" hidden="false" customHeight="true" outlineLevel="0" collapsed="false">
      <c r="A2727" s="184"/>
      <c r="B2727" s="184"/>
      <c r="C2727" s="184"/>
      <c r="D2727" s="184"/>
      <c r="E2727" s="184"/>
      <c r="F2727" s="184"/>
      <c r="G2727" s="184"/>
      <c r="H2727" s="184"/>
      <c r="I2727" s="184"/>
      <c r="J2727" s="184"/>
      <c r="K2727" s="184"/>
      <c r="L2727" s="184"/>
      <c r="M2727" s="184"/>
      <c r="N2727" s="184"/>
      <c r="O2727" s="184"/>
    </row>
    <row r="2728" customFormat="false" ht="15" hidden="false" customHeight="true" outlineLevel="0" collapsed="false">
      <c r="A2728" s="184"/>
      <c r="B2728" s="184"/>
      <c r="C2728" s="184"/>
      <c r="D2728" s="184"/>
      <c r="E2728" s="184"/>
      <c r="F2728" s="184"/>
      <c r="G2728" s="184"/>
      <c r="H2728" s="184"/>
      <c r="I2728" s="184"/>
      <c r="J2728" s="184"/>
      <c r="K2728" s="184"/>
      <c r="L2728" s="184"/>
      <c r="M2728" s="184"/>
      <c r="N2728" s="184"/>
      <c r="O2728" s="184"/>
    </row>
    <row r="2729" customFormat="false" ht="15" hidden="false" customHeight="true" outlineLevel="0" collapsed="false">
      <c r="A2729" s="184"/>
      <c r="B2729" s="184"/>
      <c r="C2729" s="184"/>
      <c r="D2729" s="184"/>
      <c r="E2729" s="184"/>
      <c r="F2729" s="184"/>
      <c r="G2729" s="184"/>
      <c r="H2729" s="184"/>
      <c r="I2729" s="184"/>
      <c r="J2729" s="184"/>
      <c r="K2729" s="184"/>
      <c r="L2729" s="184"/>
      <c r="M2729" s="184"/>
      <c r="N2729" s="184"/>
      <c r="O2729" s="184"/>
    </row>
    <row r="2730" customFormat="false" ht="15" hidden="false" customHeight="true" outlineLevel="0" collapsed="false">
      <c r="A2730" s="184"/>
      <c r="B2730" s="184"/>
      <c r="C2730" s="184"/>
      <c r="D2730" s="184"/>
      <c r="E2730" s="184"/>
      <c r="F2730" s="184"/>
      <c r="G2730" s="184"/>
      <c r="H2730" s="184"/>
      <c r="I2730" s="184"/>
      <c r="J2730" s="184"/>
      <c r="K2730" s="184"/>
      <c r="L2730" s="184"/>
      <c r="M2730" s="184"/>
      <c r="N2730" s="184"/>
      <c r="O2730" s="184"/>
    </row>
    <row r="2731" customFormat="false" ht="15" hidden="false" customHeight="true" outlineLevel="0" collapsed="false">
      <c r="A2731" s="184"/>
      <c r="B2731" s="184"/>
      <c r="C2731" s="184"/>
      <c r="D2731" s="184"/>
      <c r="E2731" s="184"/>
      <c r="F2731" s="184"/>
      <c r="G2731" s="184"/>
      <c r="H2731" s="184"/>
      <c r="I2731" s="184"/>
      <c r="J2731" s="184"/>
      <c r="K2731" s="184"/>
      <c r="L2731" s="184"/>
      <c r="M2731" s="184"/>
      <c r="N2731" s="184"/>
      <c r="O2731" s="184"/>
    </row>
    <row r="2732" customFormat="false" ht="15" hidden="false" customHeight="true" outlineLevel="0" collapsed="false">
      <c r="A2732" s="184"/>
      <c r="B2732" s="184"/>
      <c r="C2732" s="184"/>
      <c r="D2732" s="184"/>
      <c r="E2732" s="184"/>
      <c r="F2732" s="184"/>
      <c r="G2732" s="184"/>
      <c r="H2732" s="184"/>
      <c r="I2732" s="184"/>
      <c r="J2732" s="184"/>
      <c r="K2732" s="184"/>
      <c r="L2732" s="184"/>
      <c r="M2732" s="184"/>
      <c r="N2732" s="184"/>
      <c r="O2732" s="184"/>
    </row>
    <row r="2733" customFormat="false" ht="15" hidden="false" customHeight="true" outlineLevel="0" collapsed="false">
      <c r="A2733" s="184"/>
      <c r="B2733" s="184"/>
      <c r="C2733" s="184"/>
      <c r="D2733" s="184"/>
      <c r="E2733" s="184"/>
      <c r="F2733" s="184"/>
      <c r="G2733" s="184"/>
      <c r="H2733" s="184"/>
      <c r="I2733" s="184"/>
      <c r="J2733" s="184"/>
      <c r="K2733" s="184"/>
      <c r="L2733" s="184"/>
      <c r="M2733" s="184"/>
      <c r="N2733" s="184"/>
      <c r="O2733" s="184"/>
    </row>
    <row r="2734" customFormat="false" ht="15" hidden="false" customHeight="true" outlineLevel="0" collapsed="false">
      <c r="A2734" s="184"/>
      <c r="B2734" s="184"/>
      <c r="C2734" s="184"/>
      <c r="D2734" s="184"/>
      <c r="E2734" s="184"/>
      <c r="F2734" s="184"/>
      <c r="G2734" s="184"/>
      <c r="H2734" s="184"/>
      <c r="I2734" s="184"/>
      <c r="J2734" s="184"/>
      <c r="K2734" s="184"/>
      <c r="L2734" s="184"/>
      <c r="M2734" s="184"/>
      <c r="N2734" s="184"/>
      <c r="O2734" s="184"/>
    </row>
    <row r="2735" customFormat="false" ht="15" hidden="false" customHeight="true" outlineLevel="0" collapsed="false">
      <c r="A2735" s="184"/>
      <c r="B2735" s="184"/>
      <c r="C2735" s="184"/>
      <c r="D2735" s="184"/>
      <c r="E2735" s="184"/>
      <c r="F2735" s="184"/>
      <c r="G2735" s="184"/>
      <c r="H2735" s="184"/>
      <c r="I2735" s="184"/>
      <c r="J2735" s="184"/>
      <c r="K2735" s="184"/>
      <c r="L2735" s="184"/>
      <c r="M2735" s="184"/>
      <c r="N2735" s="184"/>
      <c r="O2735" s="184"/>
    </row>
    <row r="2736" customFormat="false" ht="15" hidden="false" customHeight="true" outlineLevel="0" collapsed="false">
      <c r="A2736" s="184"/>
      <c r="B2736" s="184"/>
      <c r="C2736" s="184"/>
      <c r="D2736" s="184"/>
      <c r="E2736" s="184"/>
      <c r="F2736" s="184"/>
      <c r="G2736" s="184"/>
      <c r="H2736" s="184"/>
      <c r="I2736" s="184"/>
      <c r="J2736" s="184"/>
      <c r="K2736" s="184"/>
      <c r="L2736" s="184"/>
      <c r="M2736" s="184"/>
      <c r="N2736" s="184"/>
      <c r="O2736" s="184"/>
    </row>
    <row r="2737" customFormat="false" ht="15" hidden="false" customHeight="true" outlineLevel="0" collapsed="false">
      <c r="A2737" s="184"/>
      <c r="B2737" s="184"/>
      <c r="C2737" s="184"/>
      <c r="D2737" s="184"/>
      <c r="E2737" s="184"/>
      <c r="F2737" s="184"/>
      <c r="G2737" s="184"/>
      <c r="H2737" s="184"/>
      <c r="I2737" s="184"/>
      <c r="J2737" s="184"/>
      <c r="K2737" s="184"/>
      <c r="L2737" s="184"/>
      <c r="M2737" s="184"/>
      <c r="N2737" s="184"/>
      <c r="O2737" s="184"/>
    </row>
    <row r="2738" customFormat="false" ht="15" hidden="false" customHeight="true" outlineLevel="0" collapsed="false">
      <c r="A2738" s="184"/>
      <c r="B2738" s="184"/>
      <c r="C2738" s="184"/>
      <c r="D2738" s="184"/>
      <c r="E2738" s="184"/>
      <c r="F2738" s="184"/>
      <c r="G2738" s="184"/>
      <c r="H2738" s="184"/>
      <c r="I2738" s="184"/>
      <c r="J2738" s="184"/>
      <c r="K2738" s="184"/>
      <c r="L2738" s="184"/>
      <c r="M2738" s="184"/>
      <c r="N2738" s="184"/>
      <c r="O2738" s="184"/>
    </row>
    <row r="2739" customFormat="false" ht="15" hidden="false" customHeight="true" outlineLevel="0" collapsed="false">
      <c r="A2739" s="184"/>
      <c r="B2739" s="184"/>
      <c r="C2739" s="184"/>
      <c r="D2739" s="184"/>
      <c r="E2739" s="184"/>
      <c r="F2739" s="184"/>
      <c r="G2739" s="184"/>
      <c r="H2739" s="184"/>
      <c r="I2739" s="184"/>
      <c r="J2739" s="184"/>
      <c r="K2739" s="184"/>
      <c r="L2739" s="184"/>
      <c r="M2739" s="184"/>
      <c r="N2739" s="184"/>
      <c r="O2739" s="184"/>
    </row>
    <row r="2740" customFormat="false" ht="15" hidden="false" customHeight="true" outlineLevel="0" collapsed="false">
      <c r="A2740" s="184"/>
      <c r="B2740" s="184"/>
      <c r="C2740" s="184"/>
      <c r="D2740" s="184"/>
      <c r="E2740" s="184"/>
      <c r="F2740" s="184"/>
      <c r="G2740" s="184"/>
      <c r="H2740" s="184"/>
      <c r="I2740" s="184"/>
      <c r="J2740" s="184"/>
      <c r="K2740" s="184"/>
      <c r="L2740" s="184"/>
      <c r="M2740" s="184"/>
      <c r="N2740" s="184"/>
      <c r="O2740" s="184"/>
    </row>
    <row r="2741" customFormat="false" ht="15" hidden="false" customHeight="true" outlineLevel="0" collapsed="false">
      <c r="A2741" s="184"/>
      <c r="B2741" s="184"/>
      <c r="C2741" s="184"/>
      <c r="D2741" s="184"/>
      <c r="E2741" s="184"/>
      <c r="F2741" s="184"/>
      <c r="G2741" s="184"/>
      <c r="H2741" s="184"/>
      <c r="I2741" s="184"/>
      <c r="J2741" s="184"/>
      <c r="K2741" s="184"/>
      <c r="L2741" s="184"/>
      <c r="M2741" s="184"/>
      <c r="N2741" s="184"/>
      <c r="O2741" s="184"/>
    </row>
    <row r="2742" customFormat="false" ht="15" hidden="false" customHeight="true" outlineLevel="0" collapsed="false">
      <c r="A2742" s="184"/>
      <c r="B2742" s="184"/>
      <c r="C2742" s="184"/>
      <c r="D2742" s="184"/>
      <c r="E2742" s="184"/>
      <c r="F2742" s="184"/>
      <c r="G2742" s="184"/>
      <c r="H2742" s="184"/>
      <c r="I2742" s="184"/>
      <c r="J2742" s="184"/>
      <c r="K2742" s="184"/>
      <c r="L2742" s="184"/>
      <c r="M2742" s="184"/>
      <c r="N2742" s="184"/>
      <c r="O2742" s="184"/>
    </row>
    <row r="2743" customFormat="false" ht="15" hidden="false" customHeight="true" outlineLevel="0" collapsed="false">
      <c r="A2743" s="184"/>
      <c r="B2743" s="184"/>
      <c r="C2743" s="184"/>
      <c r="D2743" s="184"/>
      <c r="E2743" s="184"/>
      <c r="F2743" s="184"/>
      <c r="G2743" s="184"/>
      <c r="H2743" s="184"/>
      <c r="I2743" s="184"/>
      <c r="J2743" s="184"/>
      <c r="K2743" s="184"/>
      <c r="L2743" s="184"/>
      <c r="M2743" s="184"/>
      <c r="N2743" s="184"/>
      <c r="O2743" s="184"/>
    </row>
    <row r="2744" customFormat="false" ht="15" hidden="false" customHeight="true" outlineLevel="0" collapsed="false">
      <c r="A2744" s="184"/>
      <c r="B2744" s="184"/>
      <c r="C2744" s="184"/>
      <c r="D2744" s="184"/>
      <c r="E2744" s="184"/>
      <c r="F2744" s="184"/>
      <c r="G2744" s="184"/>
      <c r="H2744" s="184"/>
      <c r="I2744" s="184"/>
      <c r="J2744" s="184"/>
      <c r="K2744" s="184"/>
      <c r="L2744" s="184"/>
      <c r="M2744" s="184"/>
      <c r="N2744" s="184"/>
      <c r="O2744" s="184"/>
    </row>
    <row r="2745" customFormat="false" ht="15" hidden="false" customHeight="true" outlineLevel="0" collapsed="false">
      <c r="A2745" s="184"/>
      <c r="B2745" s="184"/>
      <c r="C2745" s="184"/>
      <c r="D2745" s="184"/>
      <c r="E2745" s="184"/>
      <c r="F2745" s="184"/>
      <c r="G2745" s="184"/>
      <c r="H2745" s="184"/>
      <c r="I2745" s="184"/>
      <c r="J2745" s="184"/>
      <c r="K2745" s="184"/>
      <c r="L2745" s="184"/>
      <c r="M2745" s="184"/>
      <c r="N2745" s="184"/>
      <c r="O2745" s="184"/>
    </row>
    <row r="2746" customFormat="false" ht="15" hidden="false" customHeight="true" outlineLevel="0" collapsed="false">
      <c r="A2746" s="184"/>
      <c r="B2746" s="184"/>
      <c r="C2746" s="184"/>
      <c r="D2746" s="184"/>
      <c r="E2746" s="184"/>
      <c r="F2746" s="184"/>
      <c r="G2746" s="184"/>
      <c r="H2746" s="184"/>
      <c r="I2746" s="184"/>
      <c r="J2746" s="184"/>
      <c r="K2746" s="184"/>
      <c r="L2746" s="184"/>
      <c r="M2746" s="184"/>
      <c r="N2746" s="184"/>
      <c r="O2746" s="184"/>
    </row>
    <row r="2747" customFormat="false" ht="15" hidden="false" customHeight="true" outlineLevel="0" collapsed="false">
      <c r="A2747" s="184"/>
      <c r="B2747" s="184"/>
      <c r="C2747" s="184"/>
      <c r="D2747" s="184"/>
      <c r="E2747" s="184"/>
      <c r="F2747" s="184"/>
      <c r="G2747" s="184"/>
      <c r="H2747" s="184"/>
      <c r="I2747" s="184"/>
      <c r="J2747" s="184"/>
      <c r="K2747" s="184"/>
      <c r="L2747" s="184"/>
      <c r="M2747" s="184"/>
      <c r="N2747" s="184"/>
      <c r="O2747" s="184"/>
    </row>
    <row r="2748" customFormat="false" ht="15" hidden="false" customHeight="true" outlineLevel="0" collapsed="false">
      <c r="A2748" s="184" t="s">
        <v>4933</v>
      </c>
      <c r="B2748" s="184" t="s">
        <v>4934</v>
      </c>
      <c r="C2748" s="184" t="n">
        <v>1</v>
      </c>
      <c r="D2748" s="179" t="s">
        <v>6292</v>
      </c>
      <c r="E2748" s="184" t="s">
        <v>7047</v>
      </c>
      <c r="F2748" s="184"/>
      <c r="G2748" s="184"/>
      <c r="H2748" s="184"/>
      <c r="I2748" s="184"/>
      <c r="J2748" s="184"/>
      <c r="K2748" s="184"/>
      <c r="L2748" s="184"/>
      <c r="M2748" s="184"/>
      <c r="N2748" s="184"/>
      <c r="O2748" s="184"/>
    </row>
    <row r="2749" customFormat="false" ht="27.75" hidden="false" customHeight="true" outlineLevel="0" collapsed="false">
      <c r="A2749" s="184" t="s">
        <v>4933</v>
      </c>
      <c r="B2749" s="184" t="s">
        <v>4934</v>
      </c>
      <c r="C2749" s="184" t="n">
        <v>2</v>
      </c>
      <c r="D2749" s="177" t="s">
        <v>6298</v>
      </c>
      <c r="E2749" s="184" t="s">
        <v>7048</v>
      </c>
      <c r="F2749" s="184"/>
      <c r="G2749" s="184"/>
      <c r="H2749" s="184"/>
      <c r="I2749" s="184"/>
      <c r="J2749" s="184"/>
      <c r="K2749" s="184"/>
      <c r="L2749" s="184"/>
      <c r="M2749" s="184"/>
      <c r="N2749" s="184"/>
      <c r="O2749" s="184"/>
    </row>
    <row r="2750" customFormat="false" ht="15" hidden="false" customHeight="true" outlineLevel="0" collapsed="false">
      <c r="A2750" s="184" t="s">
        <v>4933</v>
      </c>
      <c r="B2750" s="184" t="s">
        <v>4934</v>
      </c>
      <c r="C2750" s="184" t="n">
        <v>3</v>
      </c>
      <c r="D2750" s="179" t="s">
        <v>6292</v>
      </c>
      <c r="E2750" s="184" t="s">
        <v>7049</v>
      </c>
      <c r="F2750" s="184"/>
      <c r="G2750" s="184"/>
      <c r="H2750" s="184"/>
      <c r="I2750" s="184"/>
      <c r="J2750" s="184"/>
      <c r="K2750" s="184"/>
      <c r="L2750" s="184"/>
      <c r="M2750" s="184"/>
      <c r="N2750" s="184"/>
      <c r="O2750" s="184"/>
    </row>
    <row r="2751" customFormat="false" ht="15" hidden="false" customHeight="true" outlineLevel="0" collapsed="false">
      <c r="A2751" s="184" t="s">
        <v>4933</v>
      </c>
      <c r="B2751" s="184" t="s">
        <v>4934</v>
      </c>
      <c r="C2751" s="184" t="n">
        <v>4</v>
      </c>
      <c r="D2751" s="177" t="s">
        <v>6298</v>
      </c>
      <c r="E2751" s="184" t="s">
        <v>7050</v>
      </c>
      <c r="F2751" s="184"/>
      <c r="G2751" s="184"/>
      <c r="H2751" s="184"/>
      <c r="I2751" s="184"/>
      <c r="J2751" s="184"/>
      <c r="K2751" s="184"/>
      <c r="L2751" s="184"/>
      <c r="M2751" s="184"/>
      <c r="N2751" s="184"/>
      <c r="O2751" s="184"/>
    </row>
    <row r="2752" customFormat="false" ht="41.25" hidden="false" customHeight="true" outlineLevel="0" collapsed="false">
      <c r="A2752" s="184" t="s">
        <v>4933</v>
      </c>
      <c r="B2752" s="184" t="s">
        <v>4934</v>
      </c>
      <c r="C2752" s="184" t="n">
        <v>5</v>
      </c>
      <c r="D2752" s="174" t="s">
        <v>4846</v>
      </c>
      <c r="E2752" s="184" t="s">
        <v>7051</v>
      </c>
      <c r="F2752" s="184" t="s">
        <v>227</v>
      </c>
      <c r="G2752" s="184"/>
      <c r="H2752" s="184"/>
      <c r="I2752" s="184"/>
      <c r="J2752" s="184" t="s">
        <v>7052</v>
      </c>
      <c r="K2752" s="184"/>
      <c r="L2752" s="184"/>
      <c r="M2752" s="184" t="s">
        <v>7053</v>
      </c>
      <c r="N2752" s="184"/>
      <c r="O2752" s="184"/>
    </row>
    <row r="2753" customFormat="false" ht="15" hidden="false" customHeight="true" outlineLevel="0" collapsed="false">
      <c r="A2753" s="184" t="s">
        <v>4933</v>
      </c>
      <c r="B2753" s="184" t="s">
        <v>4934</v>
      </c>
      <c r="C2753" s="184" t="n">
        <v>6</v>
      </c>
      <c r="D2753" s="179" t="s">
        <v>6292</v>
      </c>
      <c r="E2753" s="184" t="s">
        <v>7054</v>
      </c>
      <c r="F2753" s="184"/>
      <c r="G2753" s="184"/>
      <c r="H2753" s="184"/>
      <c r="I2753" s="184"/>
      <c r="J2753" s="184"/>
      <c r="K2753" s="184"/>
      <c r="L2753" s="184"/>
      <c r="M2753" s="184"/>
      <c r="N2753" s="184"/>
      <c r="O2753" s="184"/>
    </row>
    <row r="2754" customFormat="false" ht="27.75" hidden="false" customHeight="true" outlineLevel="0" collapsed="false">
      <c r="A2754" s="184" t="s">
        <v>4933</v>
      </c>
      <c r="B2754" s="184" t="s">
        <v>4934</v>
      </c>
      <c r="C2754" s="184" t="n">
        <v>7</v>
      </c>
      <c r="D2754" s="177" t="s">
        <v>6298</v>
      </c>
      <c r="E2754" s="184" t="s">
        <v>7055</v>
      </c>
      <c r="F2754" s="184"/>
      <c r="G2754" s="184"/>
      <c r="H2754" s="184"/>
      <c r="I2754" s="184"/>
      <c r="J2754" s="184"/>
      <c r="K2754" s="184"/>
      <c r="L2754" s="184"/>
      <c r="M2754" s="184"/>
      <c r="N2754" s="184"/>
      <c r="O2754" s="184"/>
    </row>
    <row r="2755" customFormat="false" ht="41.25" hidden="false" customHeight="true" outlineLevel="0" collapsed="false">
      <c r="A2755" s="184" t="s">
        <v>4933</v>
      </c>
      <c r="B2755" s="184" t="s">
        <v>4934</v>
      </c>
      <c r="C2755" s="184" t="n">
        <v>8</v>
      </c>
      <c r="D2755" s="174" t="s">
        <v>4848</v>
      </c>
      <c r="E2755" s="184" t="s">
        <v>7056</v>
      </c>
      <c r="F2755" s="184"/>
      <c r="G2755" s="184"/>
      <c r="H2755" s="184"/>
      <c r="I2755" s="184"/>
      <c r="J2755" s="184" t="s">
        <v>7057</v>
      </c>
      <c r="K2755" s="184"/>
      <c r="L2755" s="184" t="s">
        <v>7058</v>
      </c>
      <c r="M2755" s="184"/>
      <c r="N2755" s="184"/>
      <c r="O2755" s="184"/>
    </row>
    <row r="2756" customFormat="false" ht="15" hidden="false" customHeight="true" outlineLevel="0" collapsed="false">
      <c r="A2756" s="184" t="s">
        <v>4933</v>
      </c>
      <c r="B2756" s="184" t="s">
        <v>4934</v>
      </c>
      <c r="C2756" s="184" t="n">
        <v>9</v>
      </c>
      <c r="D2756" s="174" t="s">
        <v>4844</v>
      </c>
      <c r="E2756" s="184" t="s">
        <v>418</v>
      </c>
      <c r="F2756" s="184" t="s">
        <v>227</v>
      </c>
      <c r="G2756" s="184" t="s">
        <v>7059</v>
      </c>
      <c r="H2756" s="184" t="s">
        <v>7060</v>
      </c>
      <c r="I2756" s="184" t="s">
        <v>5675</v>
      </c>
      <c r="J2756" s="184" t="s">
        <v>7095</v>
      </c>
      <c r="K2756" s="184"/>
      <c r="L2756" s="184"/>
      <c r="M2756" s="184" t="s">
        <v>7096</v>
      </c>
      <c r="N2756" s="184"/>
      <c r="O2756" s="184"/>
    </row>
    <row r="2757" customFormat="false" ht="15" hidden="false" customHeight="true" outlineLevel="0" collapsed="false">
      <c r="A2757" s="184" t="s">
        <v>4933</v>
      </c>
      <c r="B2757" s="184" t="s">
        <v>4934</v>
      </c>
      <c r="C2757" s="184" t="n">
        <v>10</v>
      </c>
      <c r="D2757" s="174" t="s">
        <v>4844</v>
      </c>
      <c r="E2757" s="184" t="s">
        <v>7062</v>
      </c>
      <c r="F2757" s="184" t="s">
        <v>227</v>
      </c>
      <c r="G2757" s="184" t="s">
        <v>6496</v>
      </c>
      <c r="H2757" s="184" t="s">
        <v>6501</v>
      </c>
      <c r="I2757" s="184" t="s">
        <v>7063</v>
      </c>
      <c r="J2757" s="184" t="s">
        <v>6496</v>
      </c>
      <c r="K2757" s="184"/>
      <c r="L2757" s="184"/>
      <c r="M2757" s="184" t="s">
        <v>7064</v>
      </c>
      <c r="N2757" s="184"/>
      <c r="O2757" s="184"/>
    </row>
    <row r="2758" customFormat="false" ht="15" hidden="false" customHeight="true" outlineLevel="0" collapsed="false">
      <c r="A2758" s="184" t="s">
        <v>4933</v>
      </c>
      <c r="B2758" s="184" t="s">
        <v>4934</v>
      </c>
      <c r="C2758" s="184" t="n">
        <v>11</v>
      </c>
      <c r="D2758" s="184" t="s">
        <v>6296</v>
      </c>
      <c r="E2758" s="184" t="s">
        <v>7097</v>
      </c>
      <c r="F2758" s="184"/>
      <c r="G2758" s="184"/>
      <c r="H2758" s="184"/>
      <c r="I2758" s="184"/>
      <c r="J2758" s="184"/>
      <c r="K2758" s="184"/>
      <c r="L2758" s="184"/>
      <c r="M2758" s="184"/>
      <c r="N2758" s="184"/>
      <c r="O2758" s="184"/>
    </row>
    <row r="2759" customFormat="false" ht="15" hidden="false" customHeight="true" outlineLevel="0" collapsed="false">
      <c r="A2759" s="184" t="s">
        <v>4933</v>
      </c>
      <c r="B2759" s="184" t="s">
        <v>4934</v>
      </c>
      <c r="C2759" s="184" t="n">
        <v>12</v>
      </c>
      <c r="D2759" s="184" t="s">
        <v>6296</v>
      </c>
      <c r="E2759" s="184" t="s">
        <v>2505</v>
      </c>
      <c r="F2759" s="184"/>
      <c r="G2759" s="184"/>
      <c r="H2759" s="184"/>
      <c r="I2759" s="184"/>
      <c r="J2759" s="184"/>
      <c r="K2759" s="184"/>
      <c r="L2759" s="184"/>
      <c r="M2759" s="184"/>
      <c r="N2759" s="184"/>
      <c r="O2759" s="184"/>
    </row>
    <row r="2760" customFormat="false" ht="15" hidden="false" customHeight="true" outlineLevel="0" collapsed="false">
      <c r="A2760" s="184" t="s">
        <v>4933</v>
      </c>
      <c r="B2760" s="184" t="s">
        <v>4934</v>
      </c>
      <c r="C2760" s="184" t="n">
        <v>13</v>
      </c>
      <c r="D2760" s="184" t="s">
        <v>6296</v>
      </c>
      <c r="E2760" s="184" t="s">
        <v>7098</v>
      </c>
      <c r="F2760" s="184"/>
      <c r="G2760" s="184"/>
      <c r="H2760" s="184"/>
      <c r="I2760" s="184"/>
      <c r="J2760" s="184"/>
      <c r="K2760" s="184"/>
      <c r="L2760" s="184"/>
      <c r="M2760" s="184"/>
      <c r="N2760" s="184"/>
      <c r="O2760" s="184"/>
    </row>
    <row r="2761" customFormat="false" ht="27.75" hidden="false" customHeight="true" outlineLevel="0" collapsed="false">
      <c r="A2761" s="184" t="s">
        <v>4933</v>
      </c>
      <c r="B2761" s="184" t="s">
        <v>4934</v>
      </c>
      <c r="C2761" s="184" t="n">
        <v>14</v>
      </c>
      <c r="D2761" s="179" t="s">
        <v>6300</v>
      </c>
      <c r="E2761" s="184" t="s">
        <v>7066</v>
      </c>
      <c r="F2761" s="184"/>
      <c r="G2761" s="184"/>
      <c r="H2761" s="184"/>
      <c r="I2761" s="184"/>
      <c r="J2761" s="184"/>
      <c r="K2761" s="184"/>
      <c r="L2761" s="184"/>
      <c r="M2761" s="184"/>
      <c r="N2761" s="184"/>
      <c r="O2761" s="184"/>
    </row>
    <row r="2762" customFormat="false" ht="15" hidden="false" customHeight="true" outlineLevel="0" collapsed="false">
      <c r="A2762" s="184" t="s">
        <v>4933</v>
      </c>
      <c r="B2762" s="184" t="s">
        <v>4934</v>
      </c>
      <c r="C2762" s="184" t="n">
        <v>15</v>
      </c>
      <c r="D2762" s="174" t="s">
        <v>4848</v>
      </c>
      <c r="E2762" s="184" t="s">
        <v>6304</v>
      </c>
      <c r="F2762" s="184"/>
      <c r="G2762" s="184"/>
      <c r="H2762" s="184"/>
      <c r="I2762" s="184"/>
      <c r="J2762" s="184" t="s">
        <v>1297</v>
      </c>
      <c r="K2762" s="184"/>
      <c r="L2762" s="184" t="s">
        <v>6305</v>
      </c>
      <c r="M2762" s="184"/>
      <c r="N2762" s="184"/>
      <c r="O2762" s="184"/>
    </row>
    <row r="2763" customFormat="false" ht="68.25" hidden="false" customHeight="true" outlineLevel="0" collapsed="false">
      <c r="A2763" s="184" t="s">
        <v>4933</v>
      </c>
      <c r="B2763" s="184" t="s">
        <v>4934</v>
      </c>
      <c r="C2763" s="184" t="n">
        <v>16</v>
      </c>
      <c r="D2763" s="177" t="s">
        <v>6298</v>
      </c>
      <c r="E2763" s="184" t="s">
        <v>6306</v>
      </c>
      <c r="F2763" s="184"/>
      <c r="G2763" s="184"/>
      <c r="H2763" s="184"/>
      <c r="I2763" s="184"/>
      <c r="J2763" s="184"/>
      <c r="K2763" s="184"/>
      <c r="L2763" s="184"/>
      <c r="M2763" s="184"/>
      <c r="N2763" s="184"/>
      <c r="O2763" s="184"/>
    </row>
    <row r="2764" customFormat="false" ht="15" hidden="false" customHeight="true" outlineLevel="0" collapsed="false">
      <c r="A2764" s="184" t="s">
        <v>4933</v>
      </c>
      <c r="B2764" s="184" t="s">
        <v>4934</v>
      </c>
      <c r="C2764" s="184" t="n">
        <v>17</v>
      </c>
      <c r="D2764" s="184" t="s">
        <v>6296</v>
      </c>
      <c r="E2764" s="184" t="s">
        <v>7067</v>
      </c>
      <c r="F2764" s="184"/>
      <c r="G2764" s="184"/>
      <c r="H2764" s="184"/>
      <c r="I2764" s="184"/>
      <c r="J2764" s="184"/>
      <c r="K2764" s="184"/>
      <c r="L2764" s="184"/>
      <c r="M2764" s="184"/>
      <c r="N2764" s="184"/>
      <c r="O2764" s="184"/>
    </row>
    <row r="2765" customFormat="false" ht="15" hidden="false" customHeight="true" outlineLevel="0" collapsed="false">
      <c r="A2765" s="184" t="s">
        <v>4933</v>
      </c>
      <c r="B2765" s="184" t="s">
        <v>4934</v>
      </c>
      <c r="C2765" s="184" t="n">
        <v>18</v>
      </c>
      <c r="D2765" s="184" t="s">
        <v>7068</v>
      </c>
      <c r="E2765" s="184" t="s">
        <v>6333</v>
      </c>
      <c r="F2765" s="184"/>
      <c r="G2765" s="184"/>
      <c r="H2765" s="184"/>
      <c r="I2765" s="184"/>
      <c r="J2765" s="184"/>
      <c r="K2765" s="184"/>
      <c r="L2765" s="184"/>
      <c r="M2765" s="184"/>
      <c r="N2765" s="184"/>
      <c r="O2765" s="184"/>
    </row>
    <row r="2766" customFormat="false" ht="54.75" hidden="false" customHeight="true" outlineLevel="0" collapsed="false">
      <c r="A2766" s="184" t="s">
        <v>4933</v>
      </c>
      <c r="B2766" s="184" t="s">
        <v>4934</v>
      </c>
      <c r="C2766" s="184" t="n">
        <v>19</v>
      </c>
      <c r="D2766" s="177" t="s">
        <v>6298</v>
      </c>
      <c r="E2766" s="184" t="s">
        <v>6303</v>
      </c>
      <c r="F2766" s="184"/>
      <c r="G2766" s="184"/>
      <c r="H2766" s="184"/>
      <c r="I2766" s="184"/>
      <c r="J2766" s="184"/>
      <c r="K2766" s="184"/>
      <c r="L2766" s="184"/>
      <c r="M2766" s="184"/>
      <c r="N2766" s="184"/>
      <c r="O2766" s="184"/>
    </row>
    <row r="2767" customFormat="false" ht="54.75" hidden="false" customHeight="true" outlineLevel="0" collapsed="false">
      <c r="A2767" s="184" t="s">
        <v>4933</v>
      </c>
      <c r="B2767" s="184" t="s">
        <v>4934</v>
      </c>
      <c r="C2767" s="184" t="n">
        <v>20</v>
      </c>
      <c r="D2767" s="174" t="s">
        <v>4848</v>
      </c>
      <c r="E2767" s="184" t="s">
        <v>7069</v>
      </c>
      <c r="F2767" s="184"/>
      <c r="G2767" s="184"/>
      <c r="H2767" s="184"/>
      <c r="I2767" s="184"/>
      <c r="J2767" s="184" t="s">
        <v>6301</v>
      </c>
      <c r="K2767" s="184"/>
      <c r="L2767" s="184" t="s">
        <v>6302</v>
      </c>
      <c r="M2767" s="184"/>
      <c r="N2767" s="184"/>
      <c r="O2767" s="184"/>
    </row>
    <row r="2768" customFormat="false" ht="27.75" hidden="false" customHeight="true" outlineLevel="0" collapsed="false">
      <c r="A2768" s="184" t="s">
        <v>4933</v>
      </c>
      <c r="B2768" s="184" t="s">
        <v>4934</v>
      </c>
      <c r="C2768" s="184" t="n">
        <v>21</v>
      </c>
      <c r="D2768" s="177" t="s">
        <v>6298</v>
      </c>
      <c r="E2768" s="184" t="s">
        <v>7070</v>
      </c>
      <c r="F2768" s="184"/>
      <c r="G2768" s="184"/>
      <c r="H2768" s="184"/>
      <c r="I2768" s="184"/>
      <c r="J2768" s="184"/>
      <c r="K2768" s="184"/>
      <c r="L2768" s="184"/>
      <c r="M2768" s="184"/>
      <c r="N2768" s="184"/>
      <c r="O2768" s="184"/>
    </row>
    <row r="2769" customFormat="false" ht="15" hidden="false" customHeight="true" outlineLevel="0" collapsed="false">
      <c r="A2769" s="184" t="s">
        <v>4933</v>
      </c>
      <c r="B2769" s="184" t="s">
        <v>4934</v>
      </c>
      <c r="C2769" s="184" t="n">
        <v>22</v>
      </c>
      <c r="D2769" s="178" t="s">
        <v>5269</v>
      </c>
      <c r="E2769" s="184" t="s">
        <v>7071</v>
      </c>
      <c r="F2769" s="184"/>
      <c r="G2769" s="184"/>
      <c r="H2769" s="184"/>
      <c r="I2769" s="184"/>
      <c r="J2769" s="184"/>
      <c r="K2769" s="184"/>
      <c r="L2769" s="184"/>
      <c r="M2769" s="184" t="s">
        <v>7072</v>
      </c>
      <c r="N2769" s="184"/>
      <c r="O2769" s="184"/>
    </row>
    <row r="2770" customFormat="false" ht="15" hidden="false" customHeight="true" outlineLevel="0" collapsed="false">
      <c r="A2770" s="184" t="s">
        <v>4933</v>
      </c>
      <c r="B2770" s="184" t="s">
        <v>4934</v>
      </c>
      <c r="C2770" s="184" t="n">
        <v>23</v>
      </c>
      <c r="D2770" s="178" t="s">
        <v>5269</v>
      </c>
      <c r="E2770" s="184" t="s">
        <v>7073</v>
      </c>
      <c r="F2770" s="184"/>
      <c r="G2770" s="184"/>
      <c r="H2770" s="184"/>
      <c r="I2770" s="184"/>
      <c r="J2770" s="184"/>
      <c r="K2770" s="184"/>
      <c r="L2770" s="184"/>
      <c r="M2770" s="184" t="s">
        <v>7074</v>
      </c>
      <c r="N2770" s="184"/>
      <c r="O2770" s="184"/>
    </row>
    <row r="2771" customFormat="false" ht="27.75" hidden="false" customHeight="true" outlineLevel="0" collapsed="false">
      <c r="A2771" s="184" t="s">
        <v>4936</v>
      </c>
      <c r="B2771" s="184" t="s">
        <v>4937</v>
      </c>
      <c r="C2771" s="184" t="n">
        <v>1</v>
      </c>
      <c r="D2771" s="179" t="s">
        <v>6300</v>
      </c>
      <c r="E2771" s="184" t="s">
        <v>6525</v>
      </c>
      <c r="F2771" s="184"/>
      <c r="G2771" s="184"/>
      <c r="H2771" s="184"/>
      <c r="I2771" s="184"/>
      <c r="J2771" s="184"/>
      <c r="K2771" s="184"/>
      <c r="L2771" s="184"/>
      <c r="M2771" s="184"/>
      <c r="N2771" s="184"/>
      <c r="O2771" s="184"/>
    </row>
    <row r="2772" customFormat="false" ht="15" hidden="false" customHeight="true" outlineLevel="0" collapsed="false">
      <c r="A2772" s="184" t="s">
        <v>4936</v>
      </c>
      <c r="B2772" s="184" t="s">
        <v>4937</v>
      </c>
      <c r="C2772" s="184" t="n">
        <v>2</v>
      </c>
      <c r="D2772" s="179" t="s">
        <v>6292</v>
      </c>
      <c r="E2772" s="184" t="s">
        <v>6525</v>
      </c>
      <c r="F2772" s="184"/>
      <c r="G2772" s="184"/>
      <c r="H2772" s="184"/>
      <c r="I2772" s="184"/>
      <c r="J2772" s="184"/>
      <c r="K2772" s="184"/>
      <c r="L2772" s="184"/>
      <c r="M2772" s="184"/>
      <c r="N2772" s="184"/>
      <c r="O2772" s="184"/>
    </row>
    <row r="2773" customFormat="false" ht="41.25" hidden="false" customHeight="true" outlineLevel="0" collapsed="false">
      <c r="A2773" s="184" t="s">
        <v>4936</v>
      </c>
      <c r="B2773" s="184" t="s">
        <v>4937</v>
      </c>
      <c r="C2773" s="184" t="n">
        <v>3</v>
      </c>
      <c r="D2773" s="177" t="s">
        <v>6298</v>
      </c>
      <c r="E2773" s="184" t="s">
        <v>6526</v>
      </c>
      <c r="F2773" s="184"/>
      <c r="G2773" s="184"/>
      <c r="H2773" s="184"/>
      <c r="I2773" s="184"/>
      <c r="J2773" s="184"/>
      <c r="K2773" s="184"/>
      <c r="L2773" s="184"/>
      <c r="M2773" s="184"/>
      <c r="N2773" s="184"/>
      <c r="O2773" s="184"/>
    </row>
    <row r="2774" customFormat="false" ht="15" hidden="false" customHeight="true" outlineLevel="0" collapsed="false">
      <c r="A2774" s="184" t="s">
        <v>4936</v>
      </c>
      <c r="B2774" s="184" t="s">
        <v>4937</v>
      </c>
      <c r="C2774" s="184" t="n">
        <v>4</v>
      </c>
      <c r="D2774" s="184" t="s">
        <v>4790</v>
      </c>
      <c r="E2774" s="184" t="s">
        <v>6527</v>
      </c>
      <c r="F2774" s="184"/>
      <c r="G2774" s="184"/>
      <c r="H2774" s="184"/>
      <c r="I2774" s="184"/>
      <c r="J2774" s="184"/>
      <c r="K2774" s="184"/>
      <c r="L2774" s="184"/>
      <c r="M2774" s="184" t="s">
        <v>6528</v>
      </c>
      <c r="N2774" s="184"/>
      <c r="O2774" s="184"/>
    </row>
    <row r="2775" customFormat="false" ht="15" hidden="false" customHeight="true" outlineLevel="0" collapsed="false">
      <c r="A2775" s="184" t="s">
        <v>4936</v>
      </c>
      <c r="B2775" s="184" t="s">
        <v>4937</v>
      </c>
      <c r="C2775" s="184" t="n">
        <v>5</v>
      </c>
      <c r="D2775" s="174" t="s">
        <v>6529</v>
      </c>
      <c r="E2775" s="184" t="s">
        <v>6530</v>
      </c>
      <c r="F2775" s="184"/>
      <c r="G2775" s="184"/>
      <c r="H2775" s="184"/>
      <c r="I2775" s="184"/>
      <c r="J2775" s="184"/>
      <c r="K2775" s="184"/>
      <c r="L2775" s="184"/>
      <c r="M2775" s="184" t="s">
        <v>6531</v>
      </c>
      <c r="N2775" s="184"/>
      <c r="O2775" s="184"/>
    </row>
    <row r="2776" customFormat="false" ht="15" hidden="false" customHeight="true" outlineLevel="0" collapsed="false">
      <c r="A2776" s="184" t="s">
        <v>4936</v>
      </c>
      <c r="B2776" s="184" t="s">
        <v>4937</v>
      </c>
      <c r="C2776" s="184" t="n">
        <v>6</v>
      </c>
      <c r="D2776" s="174" t="s">
        <v>6529</v>
      </c>
      <c r="E2776" s="184" t="s">
        <v>6532</v>
      </c>
      <c r="F2776" s="184"/>
      <c r="G2776" s="184"/>
      <c r="H2776" s="184"/>
      <c r="I2776" s="184"/>
      <c r="J2776" s="184"/>
      <c r="K2776" s="184"/>
      <c r="L2776" s="184"/>
      <c r="M2776" s="184" t="s">
        <v>6533</v>
      </c>
      <c r="N2776" s="184"/>
      <c r="O2776" s="184"/>
    </row>
    <row r="2777" customFormat="false" ht="15" hidden="false" customHeight="true" outlineLevel="0" collapsed="false">
      <c r="A2777" s="184" t="s">
        <v>4936</v>
      </c>
      <c r="B2777" s="184" t="s">
        <v>4937</v>
      </c>
      <c r="C2777" s="184" t="n">
        <v>7</v>
      </c>
      <c r="D2777" s="184" t="s">
        <v>4790</v>
      </c>
      <c r="E2777" s="184" t="s">
        <v>6534</v>
      </c>
      <c r="F2777" s="184"/>
      <c r="G2777" s="184"/>
      <c r="H2777" s="184"/>
      <c r="I2777" s="184"/>
      <c r="J2777" s="184"/>
      <c r="K2777" s="184"/>
      <c r="L2777" s="184"/>
      <c r="M2777" s="184" t="s">
        <v>6535</v>
      </c>
      <c r="N2777" s="184"/>
      <c r="O2777" s="184"/>
    </row>
    <row r="2778" customFormat="false" ht="15" hidden="false" customHeight="true" outlineLevel="0" collapsed="false">
      <c r="A2778" s="184" t="s">
        <v>4936</v>
      </c>
      <c r="B2778" s="184" t="s">
        <v>4937</v>
      </c>
      <c r="C2778" s="184" t="n">
        <v>8</v>
      </c>
      <c r="D2778" s="174" t="s">
        <v>6529</v>
      </c>
      <c r="E2778" s="184" t="s">
        <v>6530</v>
      </c>
      <c r="F2778" s="184"/>
      <c r="G2778" s="184"/>
      <c r="H2778" s="184"/>
      <c r="I2778" s="184"/>
      <c r="J2778" s="184"/>
      <c r="K2778" s="184"/>
      <c r="L2778" s="184"/>
      <c r="M2778" s="184" t="s">
        <v>6536</v>
      </c>
      <c r="N2778" s="184"/>
      <c r="O2778" s="184"/>
    </row>
    <row r="2779" customFormat="false" ht="15" hidden="false" customHeight="true" outlineLevel="0" collapsed="false">
      <c r="A2779" s="184" t="s">
        <v>4936</v>
      </c>
      <c r="B2779" s="184" t="s">
        <v>4937</v>
      </c>
      <c r="C2779" s="184" t="n">
        <v>9</v>
      </c>
      <c r="D2779" s="174" t="s">
        <v>6529</v>
      </c>
      <c r="E2779" s="184" t="s">
        <v>6532</v>
      </c>
      <c r="F2779" s="184"/>
      <c r="G2779" s="184"/>
      <c r="H2779" s="184"/>
      <c r="I2779" s="184"/>
      <c r="J2779" s="184"/>
      <c r="K2779" s="184"/>
      <c r="L2779" s="184"/>
      <c r="M2779" s="184" t="s">
        <v>6537</v>
      </c>
      <c r="N2779" s="184"/>
      <c r="O2779" s="184"/>
    </row>
    <row r="2780" customFormat="false" ht="15" hidden="false" customHeight="true" outlineLevel="0" collapsed="false">
      <c r="A2780" s="184" t="s">
        <v>4936</v>
      </c>
      <c r="B2780" s="184" t="s">
        <v>4937</v>
      </c>
      <c r="C2780" s="184" t="n">
        <v>10</v>
      </c>
      <c r="D2780" s="184" t="s">
        <v>4790</v>
      </c>
      <c r="E2780" s="184" t="s">
        <v>6538</v>
      </c>
      <c r="F2780" s="184"/>
      <c r="G2780" s="184"/>
      <c r="H2780" s="184"/>
      <c r="I2780" s="184"/>
      <c r="J2780" s="184"/>
      <c r="K2780" s="184"/>
      <c r="L2780" s="184"/>
      <c r="M2780" s="184" t="s">
        <v>6539</v>
      </c>
      <c r="N2780" s="184"/>
      <c r="O2780" s="184"/>
    </row>
    <row r="2781" customFormat="false" ht="15" hidden="false" customHeight="true" outlineLevel="0" collapsed="false">
      <c r="A2781" s="184" t="s">
        <v>4936</v>
      </c>
      <c r="B2781" s="184" t="s">
        <v>4937</v>
      </c>
      <c r="C2781" s="184" t="n">
        <v>11</v>
      </c>
      <c r="D2781" s="174" t="s">
        <v>6529</v>
      </c>
      <c r="E2781" s="184" t="s">
        <v>6530</v>
      </c>
      <c r="F2781" s="184"/>
      <c r="G2781" s="184"/>
      <c r="H2781" s="184"/>
      <c r="I2781" s="184"/>
      <c r="J2781" s="184"/>
      <c r="K2781" s="184"/>
      <c r="L2781" s="184"/>
      <c r="M2781" s="184" t="s">
        <v>6540</v>
      </c>
      <c r="N2781" s="184"/>
      <c r="O2781" s="184"/>
    </row>
    <row r="2782" customFormat="false" ht="15" hidden="false" customHeight="true" outlineLevel="0" collapsed="false">
      <c r="A2782" s="184" t="s">
        <v>4936</v>
      </c>
      <c r="B2782" s="184" t="s">
        <v>4937</v>
      </c>
      <c r="C2782" s="184" t="n">
        <v>12</v>
      </c>
      <c r="D2782" s="174" t="s">
        <v>6529</v>
      </c>
      <c r="E2782" s="184" t="s">
        <v>6532</v>
      </c>
      <c r="F2782" s="184"/>
      <c r="G2782" s="184"/>
      <c r="H2782" s="184"/>
      <c r="I2782" s="184"/>
      <c r="J2782" s="184"/>
      <c r="K2782" s="184"/>
      <c r="L2782" s="184"/>
      <c r="M2782" s="184" t="s">
        <v>6541</v>
      </c>
      <c r="N2782" s="184"/>
      <c r="O2782" s="184"/>
    </row>
    <row r="2783" customFormat="false" ht="15" hidden="false" customHeight="true" outlineLevel="0" collapsed="false">
      <c r="A2783" s="184" t="s">
        <v>4936</v>
      </c>
      <c r="B2783" s="184" t="s">
        <v>4937</v>
      </c>
      <c r="C2783" s="184" t="n">
        <v>13</v>
      </c>
      <c r="D2783" s="184" t="s">
        <v>4790</v>
      </c>
      <c r="E2783" s="184" t="s">
        <v>6542</v>
      </c>
      <c r="F2783" s="184"/>
      <c r="G2783" s="184"/>
      <c r="H2783" s="184"/>
      <c r="I2783" s="184"/>
      <c r="J2783" s="184"/>
      <c r="K2783" s="184"/>
      <c r="L2783" s="184"/>
      <c r="M2783" s="184" t="s">
        <v>6543</v>
      </c>
      <c r="N2783" s="184"/>
      <c r="O2783" s="184"/>
    </row>
    <row r="2784" customFormat="false" ht="15" hidden="false" customHeight="true" outlineLevel="0" collapsed="false">
      <c r="A2784" s="184" t="s">
        <v>4936</v>
      </c>
      <c r="B2784" s="184" t="s">
        <v>4937</v>
      </c>
      <c r="C2784" s="184" t="n">
        <v>14</v>
      </c>
      <c r="D2784" s="174" t="s">
        <v>6529</v>
      </c>
      <c r="E2784" s="184" t="s">
        <v>6530</v>
      </c>
      <c r="F2784" s="184"/>
      <c r="G2784" s="184"/>
      <c r="H2784" s="184"/>
      <c r="I2784" s="184"/>
      <c r="J2784" s="184"/>
      <c r="K2784" s="184"/>
      <c r="L2784" s="184"/>
      <c r="M2784" s="184" t="s">
        <v>6544</v>
      </c>
      <c r="N2784" s="184"/>
      <c r="O2784" s="184"/>
    </row>
    <row r="2785" customFormat="false" ht="15" hidden="false" customHeight="true" outlineLevel="0" collapsed="false">
      <c r="A2785" s="184" t="s">
        <v>4936</v>
      </c>
      <c r="B2785" s="184" t="s">
        <v>4937</v>
      </c>
      <c r="C2785" s="184" t="n">
        <v>15</v>
      </c>
      <c r="D2785" s="174" t="s">
        <v>6529</v>
      </c>
      <c r="E2785" s="184" t="s">
        <v>6532</v>
      </c>
      <c r="F2785" s="184"/>
      <c r="G2785" s="184"/>
      <c r="H2785" s="184"/>
      <c r="I2785" s="184"/>
      <c r="J2785" s="184"/>
      <c r="K2785" s="184"/>
      <c r="L2785" s="184"/>
      <c r="M2785" s="184" t="s">
        <v>6545</v>
      </c>
      <c r="N2785" s="184"/>
      <c r="O2785" s="184"/>
    </row>
    <row r="2786" customFormat="false" ht="41.25" hidden="false" customHeight="true" outlineLevel="0" collapsed="false">
      <c r="A2786" s="184" t="s">
        <v>4936</v>
      </c>
      <c r="B2786" s="184" t="s">
        <v>4937</v>
      </c>
      <c r="C2786" s="184" t="n">
        <v>16</v>
      </c>
      <c r="D2786" s="184" t="s">
        <v>4790</v>
      </c>
      <c r="E2786" s="184" t="s">
        <v>6546</v>
      </c>
      <c r="F2786" s="184"/>
      <c r="G2786" s="184"/>
      <c r="H2786" s="184"/>
      <c r="I2786" s="184"/>
      <c r="J2786" s="184"/>
      <c r="K2786" s="184"/>
      <c r="L2786" s="184"/>
      <c r="M2786" s="184" t="s">
        <v>6547</v>
      </c>
      <c r="N2786" s="184"/>
      <c r="O2786" s="184"/>
    </row>
    <row r="2787" customFormat="false" ht="15" hidden="false" customHeight="true" outlineLevel="0" collapsed="false">
      <c r="A2787" s="184" t="s">
        <v>4936</v>
      </c>
      <c r="B2787" s="184" t="s">
        <v>4937</v>
      </c>
      <c r="C2787" s="184" t="n">
        <v>17</v>
      </c>
      <c r="D2787" s="174" t="s">
        <v>6529</v>
      </c>
      <c r="E2787" s="184" t="s">
        <v>6530</v>
      </c>
      <c r="F2787" s="184"/>
      <c r="G2787" s="184"/>
      <c r="H2787" s="184"/>
      <c r="I2787" s="184"/>
      <c r="J2787" s="184"/>
      <c r="K2787" s="184"/>
      <c r="L2787" s="184"/>
      <c r="M2787" s="184" t="s">
        <v>6548</v>
      </c>
      <c r="N2787" s="184"/>
      <c r="O2787" s="184"/>
    </row>
    <row r="2788" customFormat="false" ht="15" hidden="false" customHeight="true" outlineLevel="0" collapsed="false">
      <c r="A2788" s="184" t="s">
        <v>4936</v>
      </c>
      <c r="B2788" s="184" t="s">
        <v>4937</v>
      </c>
      <c r="C2788" s="184" t="n">
        <v>18</v>
      </c>
      <c r="D2788" s="174" t="s">
        <v>6529</v>
      </c>
      <c r="E2788" s="184" t="s">
        <v>6532</v>
      </c>
      <c r="F2788" s="184"/>
      <c r="G2788" s="184"/>
      <c r="H2788" s="184"/>
      <c r="I2788" s="184"/>
      <c r="J2788" s="184"/>
      <c r="K2788" s="184"/>
      <c r="L2788" s="184"/>
      <c r="M2788" s="184" t="s">
        <v>6549</v>
      </c>
      <c r="N2788" s="184"/>
      <c r="O2788" s="184"/>
    </row>
    <row r="2789" customFormat="false" ht="27.75" hidden="false" customHeight="true" outlineLevel="0" collapsed="false">
      <c r="A2789" s="184" t="s">
        <v>4939</v>
      </c>
      <c r="B2789" s="184" t="s">
        <v>4940</v>
      </c>
      <c r="C2789" s="184" t="n">
        <v>1</v>
      </c>
      <c r="D2789" s="178" t="s">
        <v>6457</v>
      </c>
      <c r="E2789" s="184" t="s">
        <v>6968</v>
      </c>
      <c r="F2789" s="184"/>
      <c r="G2789" s="184"/>
      <c r="H2789" s="184"/>
      <c r="I2789" s="184"/>
      <c r="J2789" s="184"/>
      <c r="K2789" s="184"/>
      <c r="L2789" s="184"/>
      <c r="M2789" s="184" t="s">
        <v>6969</v>
      </c>
      <c r="N2789" s="184"/>
      <c r="O2789" s="184"/>
    </row>
    <row r="2790" customFormat="false" ht="27.75" hidden="false" customHeight="true" outlineLevel="0" collapsed="false">
      <c r="A2790" s="184" t="s">
        <v>4939</v>
      </c>
      <c r="B2790" s="184" t="s">
        <v>4940</v>
      </c>
      <c r="C2790" s="184" t="n">
        <v>2</v>
      </c>
      <c r="D2790" s="184" t="s">
        <v>6970</v>
      </c>
      <c r="E2790" s="184" t="s">
        <v>6971</v>
      </c>
      <c r="F2790" s="184"/>
      <c r="G2790" s="184"/>
      <c r="H2790" s="184"/>
      <c r="I2790" s="184"/>
      <c r="J2790" s="184"/>
      <c r="K2790" s="184"/>
      <c r="L2790" s="184"/>
      <c r="M2790" s="184"/>
      <c r="N2790" s="184"/>
      <c r="O2790" s="184"/>
    </row>
    <row r="2791" customFormat="false" ht="27.75" hidden="false" customHeight="true" outlineLevel="0" collapsed="false">
      <c r="A2791" s="184" t="s">
        <v>4939</v>
      </c>
      <c r="B2791" s="184" t="s">
        <v>4940</v>
      </c>
      <c r="C2791" s="184" t="n">
        <v>3</v>
      </c>
      <c r="D2791" s="184" t="s">
        <v>6970</v>
      </c>
      <c r="E2791" s="184" t="s">
        <v>6972</v>
      </c>
      <c r="F2791" s="184"/>
      <c r="G2791" s="184"/>
      <c r="H2791" s="184"/>
      <c r="I2791" s="184"/>
      <c r="J2791" s="184"/>
      <c r="K2791" s="184"/>
      <c r="L2791" s="184"/>
      <c r="M2791" s="184"/>
      <c r="N2791" s="184"/>
      <c r="O2791" s="184"/>
    </row>
    <row r="2792" customFormat="false" ht="27.75" hidden="false" customHeight="true" outlineLevel="0" collapsed="false">
      <c r="A2792" s="184" t="s">
        <v>4939</v>
      </c>
      <c r="B2792" s="184" t="s">
        <v>4940</v>
      </c>
      <c r="C2792" s="184" t="n">
        <v>4</v>
      </c>
      <c r="D2792" s="184" t="s">
        <v>6970</v>
      </c>
      <c r="E2792" s="184" t="s">
        <v>6973</v>
      </c>
      <c r="F2792" s="184"/>
      <c r="G2792" s="184"/>
      <c r="H2792" s="184"/>
      <c r="I2792" s="184"/>
      <c r="J2792" s="184"/>
      <c r="K2792" s="184"/>
      <c r="L2792" s="184"/>
      <c r="M2792" s="184"/>
      <c r="N2792" s="184"/>
      <c r="O2792" s="184"/>
    </row>
    <row r="2793" customFormat="false" ht="27.75" hidden="false" customHeight="true" outlineLevel="0" collapsed="false">
      <c r="A2793" s="184" t="s">
        <v>4939</v>
      </c>
      <c r="B2793" s="184" t="s">
        <v>4940</v>
      </c>
      <c r="C2793" s="184" t="n">
        <v>5</v>
      </c>
      <c r="D2793" s="184" t="s">
        <v>6970</v>
      </c>
      <c r="E2793" s="184" t="s">
        <v>6974</v>
      </c>
      <c r="F2793" s="184"/>
      <c r="G2793" s="184"/>
      <c r="H2793" s="184"/>
      <c r="I2793" s="184"/>
      <c r="J2793" s="184"/>
      <c r="K2793" s="184"/>
      <c r="L2793" s="184"/>
      <c r="M2793" s="184"/>
      <c r="N2793" s="184"/>
      <c r="O2793" s="184"/>
    </row>
    <row r="2794" customFormat="false" ht="27.75" hidden="false" customHeight="true" outlineLevel="0" collapsed="false">
      <c r="A2794" s="184" t="s">
        <v>4939</v>
      </c>
      <c r="B2794" s="184" t="s">
        <v>4940</v>
      </c>
      <c r="C2794" s="184" t="n">
        <v>6</v>
      </c>
      <c r="D2794" s="184" t="s">
        <v>6970</v>
      </c>
      <c r="E2794" s="184" t="s">
        <v>6975</v>
      </c>
      <c r="F2794" s="184"/>
      <c r="G2794" s="184"/>
      <c r="H2794" s="184"/>
      <c r="I2794" s="184"/>
      <c r="J2794" s="184"/>
      <c r="K2794" s="184"/>
      <c r="L2794" s="184"/>
      <c r="M2794" s="184"/>
      <c r="N2794" s="184"/>
      <c r="O2794" s="184"/>
    </row>
    <row r="2795" customFormat="false" ht="15" hidden="false" customHeight="true" outlineLevel="0" collapsed="false">
      <c r="A2795" s="184" t="s">
        <v>4942</v>
      </c>
      <c r="B2795" s="184" t="s">
        <v>4943</v>
      </c>
      <c r="C2795" s="184" t="n">
        <v>1</v>
      </c>
      <c r="D2795" s="178" t="s">
        <v>5269</v>
      </c>
      <c r="E2795" s="184" t="s">
        <v>6289</v>
      </c>
      <c r="F2795" s="184"/>
      <c r="G2795" s="184"/>
      <c r="H2795" s="184"/>
      <c r="I2795" s="184"/>
      <c r="J2795" s="184"/>
      <c r="K2795" s="184"/>
      <c r="L2795" s="184"/>
      <c r="M2795" s="184" t="s">
        <v>6290</v>
      </c>
      <c r="N2795" s="184"/>
      <c r="O2795" s="184"/>
    </row>
    <row r="2796" customFormat="false" ht="15" hidden="false" customHeight="true" outlineLevel="0" collapsed="false">
      <c r="A2796" s="184" t="s">
        <v>4942</v>
      </c>
      <c r="B2796" s="184" t="s">
        <v>4943</v>
      </c>
      <c r="C2796" s="184" t="n">
        <v>2</v>
      </c>
      <c r="D2796" s="178" t="s">
        <v>5269</v>
      </c>
      <c r="E2796" s="184" t="s">
        <v>2895</v>
      </c>
      <c r="F2796" s="184"/>
      <c r="G2796" s="184"/>
      <c r="H2796" s="184"/>
      <c r="I2796" s="184"/>
      <c r="J2796" s="184"/>
      <c r="K2796" s="184"/>
      <c r="L2796" s="184"/>
      <c r="M2796" s="184" t="s">
        <v>6291</v>
      </c>
      <c r="N2796" s="184"/>
      <c r="O2796" s="184"/>
    </row>
    <row r="2797" customFormat="false" ht="15" hidden="false" customHeight="true" outlineLevel="0" collapsed="false">
      <c r="A2797" s="184" t="s">
        <v>4942</v>
      </c>
      <c r="B2797" s="184" t="s">
        <v>4943</v>
      </c>
      <c r="C2797" s="184" t="n">
        <v>3</v>
      </c>
      <c r="D2797" s="179" t="s">
        <v>6292</v>
      </c>
      <c r="E2797" s="184" t="s">
        <v>4943</v>
      </c>
      <c r="F2797" s="184"/>
      <c r="G2797" s="184"/>
      <c r="H2797" s="184"/>
      <c r="I2797" s="184"/>
      <c r="J2797" s="184"/>
      <c r="K2797" s="184"/>
      <c r="L2797" s="184"/>
      <c r="M2797" s="184"/>
      <c r="N2797" s="184"/>
      <c r="O2797" s="184"/>
    </row>
    <row r="2798" customFormat="false" ht="15" hidden="false" customHeight="true" outlineLevel="0" collapsed="false">
      <c r="A2798" s="184" t="s">
        <v>4942</v>
      </c>
      <c r="B2798" s="184" t="s">
        <v>4943</v>
      </c>
      <c r="C2798" s="184" t="n">
        <v>4</v>
      </c>
      <c r="D2798" s="184" t="s">
        <v>6294</v>
      </c>
      <c r="E2798" s="184" t="s">
        <v>7099</v>
      </c>
      <c r="F2798" s="184"/>
      <c r="G2798" s="184"/>
      <c r="H2798" s="184"/>
      <c r="I2798" s="184"/>
      <c r="J2798" s="184"/>
      <c r="K2798" s="184"/>
      <c r="L2798" s="184"/>
      <c r="M2798" s="184"/>
      <c r="N2798" s="184"/>
      <c r="O2798" s="184"/>
    </row>
    <row r="2799" customFormat="false" ht="15" hidden="false" customHeight="true" outlineLevel="0" collapsed="false">
      <c r="A2799" s="184" t="s">
        <v>4942</v>
      </c>
      <c r="B2799" s="184" t="s">
        <v>4943</v>
      </c>
      <c r="C2799" s="184" t="n">
        <v>5</v>
      </c>
      <c r="D2799" s="178" t="s">
        <v>5269</v>
      </c>
      <c r="E2799" s="184" t="s">
        <v>7100</v>
      </c>
      <c r="F2799" s="184"/>
      <c r="G2799" s="184"/>
      <c r="H2799" s="184"/>
      <c r="I2799" s="184"/>
      <c r="J2799" s="184"/>
      <c r="K2799" s="184"/>
      <c r="L2799" s="184"/>
      <c r="M2799" s="184" t="s">
        <v>6641</v>
      </c>
      <c r="N2799" s="184"/>
      <c r="O2799" s="184"/>
    </row>
    <row r="2800" customFormat="false" ht="27.75" hidden="false" customHeight="true" outlineLevel="0" collapsed="false">
      <c r="A2800" s="184" t="s">
        <v>4942</v>
      </c>
      <c r="B2800" s="184" t="s">
        <v>4943</v>
      </c>
      <c r="C2800" s="184" t="n">
        <v>6</v>
      </c>
      <c r="D2800" s="178" t="s">
        <v>5269</v>
      </c>
      <c r="E2800" s="184" t="s">
        <v>6644</v>
      </c>
      <c r="F2800" s="184"/>
      <c r="G2800" s="184"/>
      <c r="H2800" s="184"/>
      <c r="I2800" s="184"/>
      <c r="J2800" s="184"/>
      <c r="K2800" s="184"/>
      <c r="L2800" s="184"/>
      <c r="M2800" s="184" t="s">
        <v>6645</v>
      </c>
      <c r="N2800" s="184"/>
      <c r="O2800" s="184"/>
    </row>
    <row r="2801" customFormat="false" ht="41.25" hidden="false" customHeight="true" outlineLevel="0" collapsed="false">
      <c r="A2801" s="184" t="s">
        <v>4942</v>
      </c>
      <c r="B2801" s="184" t="s">
        <v>4943</v>
      </c>
      <c r="C2801" s="184" t="n">
        <v>7</v>
      </c>
      <c r="D2801" s="178" t="s">
        <v>5269</v>
      </c>
      <c r="E2801" s="184" t="s">
        <v>6646</v>
      </c>
      <c r="F2801" s="184"/>
      <c r="G2801" s="184"/>
      <c r="H2801" s="184"/>
      <c r="I2801" s="184"/>
      <c r="J2801" s="184"/>
      <c r="K2801" s="184"/>
      <c r="L2801" s="184"/>
      <c r="M2801" s="184" t="s">
        <v>6647</v>
      </c>
      <c r="N2801" s="184"/>
      <c r="O2801" s="184"/>
    </row>
    <row r="2802" customFormat="false" ht="27.75" hidden="false" customHeight="true" outlineLevel="0" collapsed="false">
      <c r="A2802" s="184" t="s">
        <v>4942</v>
      </c>
      <c r="B2802" s="184" t="s">
        <v>4943</v>
      </c>
      <c r="C2802" s="184" t="n">
        <v>8</v>
      </c>
      <c r="D2802" s="178" t="s">
        <v>5269</v>
      </c>
      <c r="E2802" s="184" t="s">
        <v>6648</v>
      </c>
      <c r="F2802" s="184"/>
      <c r="G2802" s="184"/>
      <c r="H2802" s="184"/>
      <c r="I2802" s="184"/>
      <c r="J2802" s="184"/>
      <c r="K2802" s="184"/>
      <c r="L2802" s="184"/>
      <c r="M2802" s="184" t="s">
        <v>6649</v>
      </c>
      <c r="N2802" s="184"/>
      <c r="O2802" s="184"/>
    </row>
    <row r="2803" customFormat="false" ht="27.75" hidden="false" customHeight="true" outlineLevel="0" collapsed="false">
      <c r="A2803" s="184" t="s">
        <v>4942</v>
      </c>
      <c r="B2803" s="184" t="s">
        <v>4943</v>
      </c>
      <c r="C2803" s="184" t="n">
        <v>9</v>
      </c>
      <c r="D2803" s="178" t="s">
        <v>5269</v>
      </c>
      <c r="E2803" s="184" t="s">
        <v>6650</v>
      </c>
      <c r="F2803" s="184"/>
      <c r="G2803" s="184"/>
      <c r="H2803" s="184"/>
      <c r="I2803" s="184"/>
      <c r="J2803" s="184"/>
      <c r="K2803" s="184"/>
      <c r="L2803" s="184"/>
      <c r="M2803" s="184" t="s">
        <v>6651</v>
      </c>
      <c r="N2803" s="184"/>
      <c r="O2803" s="184"/>
    </row>
    <row r="2804" customFormat="false" ht="27.75" hidden="false" customHeight="true" outlineLevel="0" collapsed="false">
      <c r="A2804" s="184" t="s">
        <v>4942</v>
      </c>
      <c r="B2804" s="184" t="s">
        <v>4943</v>
      </c>
      <c r="C2804" s="184" t="n">
        <v>10</v>
      </c>
      <c r="D2804" s="178" t="s">
        <v>5269</v>
      </c>
      <c r="E2804" s="184" t="s">
        <v>6652</v>
      </c>
      <c r="F2804" s="184"/>
      <c r="G2804" s="184"/>
      <c r="H2804" s="184"/>
      <c r="I2804" s="184"/>
      <c r="J2804" s="184"/>
      <c r="K2804" s="184"/>
      <c r="L2804" s="184"/>
      <c r="M2804" s="184" t="s">
        <v>6653</v>
      </c>
      <c r="N2804" s="184"/>
      <c r="O2804" s="184"/>
    </row>
    <row r="2805" customFormat="false" ht="27.75" hidden="false" customHeight="true" outlineLevel="0" collapsed="false">
      <c r="A2805" s="184" t="s">
        <v>4942</v>
      </c>
      <c r="B2805" s="184" t="s">
        <v>4943</v>
      </c>
      <c r="C2805" s="184" t="n">
        <v>11</v>
      </c>
      <c r="D2805" s="178" t="s">
        <v>5269</v>
      </c>
      <c r="E2805" s="184" t="s">
        <v>6654</v>
      </c>
      <c r="F2805" s="184"/>
      <c r="G2805" s="184"/>
      <c r="H2805" s="184"/>
      <c r="I2805" s="184"/>
      <c r="J2805" s="184"/>
      <c r="K2805" s="184"/>
      <c r="L2805" s="184"/>
      <c r="M2805" s="184" t="s">
        <v>6655</v>
      </c>
      <c r="N2805" s="184"/>
      <c r="O2805" s="184"/>
    </row>
    <row r="2806" customFormat="false" ht="15" hidden="false" customHeight="true" outlineLevel="0" collapsed="false">
      <c r="A2806" s="184" t="s">
        <v>4942</v>
      </c>
      <c r="B2806" s="184" t="s">
        <v>4943</v>
      </c>
      <c r="C2806" s="184" t="n">
        <v>12</v>
      </c>
      <c r="D2806" s="184" t="s">
        <v>6296</v>
      </c>
      <c r="E2806" s="184" t="s">
        <v>7101</v>
      </c>
      <c r="F2806" s="184"/>
      <c r="G2806" s="184"/>
      <c r="H2806" s="184"/>
      <c r="I2806" s="184"/>
      <c r="J2806" s="184"/>
      <c r="K2806" s="184"/>
      <c r="L2806" s="184"/>
      <c r="M2806" s="184"/>
      <c r="N2806" s="184"/>
      <c r="O2806" s="184"/>
    </row>
    <row r="2807" customFormat="false" ht="15" hidden="false" customHeight="true" outlineLevel="0" collapsed="false">
      <c r="A2807" s="184" t="s">
        <v>4942</v>
      </c>
      <c r="B2807" s="184" t="s">
        <v>4943</v>
      </c>
      <c r="C2807" s="184" t="n">
        <v>13</v>
      </c>
      <c r="D2807" s="184" t="s">
        <v>4790</v>
      </c>
      <c r="E2807" s="184" t="s">
        <v>7102</v>
      </c>
      <c r="F2807" s="184"/>
      <c r="G2807" s="184"/>
      <c r="H2807" s="184"/>
      <c r="I2807" s="184"/>
      <c r="J2807" s="184"/>
      <c r="K2807" s="184"/>
      <c r="L2807" s="184"/>
      <c r="M2807" s="184"/>
      <c r="N2807" s="184"/>
      <c r="O2807" s="184"/>
    </row>
    <row r="2808" customFormat="false" ht="15" hidden="false" customHeight="true" outlineLevel="0" collapsed="false">
      <c r="A2808" s="184" t="s">
        <v>4942</v>
      </c>
      <c r="B2808" s="184" t="s">
        <v>4943</v>
      </c>
      <c r="C2808" s="184" t="n">
        <v>14</v>
      </c>
      <c r="D2808" s="178" t="s">
        <v>6457</v>
      </c>
      <c r="E2808" s="184" t="s">
        <v>7103</v>
      </c>
      <c r="F2808" s="184"/>
      <c r="G2808" s="184"/>
      <c r="H2808" s="184"/>
      <c r="I2808" s="184"/>
      <c r="J2808" s="184"/>
      <c r="K2808" s="184"/>
      <c r="L2808" s="184"/>
      <c r="M2808" s="184" t="s">
        <v>6870</v>
      </c>
      <c r="N2808" s="184"/>
      <c r="O2808" s="184"/>
    </row>
    <row r="2809" customFormat="false" ht="15" hidden="false" customHeight="true" outlineLevel="0" collapsed="false">
      <c r="A2809" s="184"/>
      <c r="B2809" s="184"/>
      <c r="C2809" s="184"/>
      <c r="D2809" s="184"/>
      <c r="E2809" s="184"/>
      <c r="F2809" s="184"/>
      <c r="G2809" s="184"/>
      <c r="H2809" s="184"/>
      <c r="I2809" s="184"/>
      <c r="J2809" s="184"/>
      <c r="K2809" s="184"/>
      <c r="L2809" s="184"/>
      <c r="M2809" s="184"/>
      <c r="N2809" s="184"/>
      <c r="O2809" s="184"/>
    </row>
    <row r="2810" customFormat="false" ht="15" hidden="false" customHeight="true" outlineLevel="0" collapsed="false">
      <c r="A2810" s="184"/>
      <c r="B2810" s="184"/>
      <c r="C2810" s="184"/>
      <c r="D2810" s="184"/>
      <c r="E2810" s="184"/>
      <c r="F2810" s="184"/>
      <c r="G2810" s="184"/>
      <c r="H2810" s="184"/>
      <c r="I2810" s="184"/>
      <c r="J2810" s="184"/>
      <c r="K2810" s="184"/>
      <c r="L2810" s="184"/>
      <c r="M2810" s="184"/>
      <c r="N2810" s="184"/>
      <c r="O2810" s="184"/>
    </row>
    <row r="2811" customFormat="false" ht="15" hidden="false" customHeight="true" outlineLevel="0" collapsed="false">
      <c r="A2811" s="184"/>
      <c r="B2811" s="184"/>
      <c r="C2811" s="184"/>
      <c r="D2811" s="184"/>
      <c r="E2811" s="184"/>
      <c r="F2811" s="184"/>
      <c r="G2811" s="184"/>
      <c r="H2811" s="184"/>
      <c r="I2811" s="184"/>
      <c r="J2811" s="184"/>
      <c r="K2811" s="184"/>
      <c r="L2811" s="184"/>
      <c r="M2811" s="184"/>
      <c r="N2811" s="184"/>
      <c r="O2811" s="184"/>
    </row>
    <row r="2812" customFormat="false" ht="15" hidden="false" customHeight="true" outlineLevel="0" collapsed="false">
      <c r="A2812" s="184"/>
      <c r="B2812" s="184"/>
      <c r="C2812" s="184"/>
      <c r="D2812" s="184"/>
      <c r="E2812" s="184"/>
      <c r="F2812" s="184"/>
      <c r="G2812" s="184"/>
      <c r="H2812" s="184"/>
      <c r="I2812" s="184"/>
      <c r="J2812" s="184"/>
      <c r="K2812" s="184"/>
      <c r="L2812" s="184"/>
      <c r="M2812" s="184"/>
      <c r="N2812" s="184"/>
      <c r="O2812" s="184"/>
    </row>
    <row r="2813" customFormat="false" ht="15" hidden="false" customHeight="true" outlineLevel="0" collapsed="false">
      <c r="A2813" s="184"/>
      <c r="B2813" s="184"/>
      <c r="C2813" s="184"/>
      <c r="D2813" s="184"/>
      <c r="E2813" s="184"/>
      <c r="F2813" s="184"/>
      <c r="G2813" s="184"/>
      <c r="H2813" s="184"/>
      <c r="I2813" s="184"/>
      <c r="J2813" s="184"/>
      <c r="K2813" s="184"/>
      <c r="L2813" s="184"/>
      <c r="M2813" s="184"/>
      <c r="N2813" s="184"/>
      <c r="O2813" s="184"/>
    </row>
    <row r="2814" customFormat="false" ht="15" hidden="false" customHeight="true" outlineLevel="0" collapsed="false">
      <c r="A2814" s="184"/>
      <c r="B2814" s="184"/>
      <c r="C2814" s="184"/>
      <c r="D2814" s="184"/>
      <c r="E2814" s="184"/>
      <c r="F2814" s="184"/>
      <c r="G2814" s="184"/>
      <c r="H2814" s="184"/>
      <c r="I2814" s="184"/>
      <c r="J2814" s="184"/>
      <c r="K2814" s="184"/>
      <c r="L2814" s="184"/>
      <c r="M2814" s="184"/>
      <c r="N2814" s="184"/>
      <c r="O2814" s="184"/>
    </row>
    <row r="2815" customFormat="false" ht="15" hidden="false" customHeight="true" outlineLevel="0" collapsed="false">
      <c r="A2815" s="184"/>
      <c r="B2815" s="184"/>
      <c r="C2815" s="184"/>
      <c r="D2815" s="184"/>
      <c r="E2815" s="184"/>
      <c r="F2815" s="184"/>
      <c r="G2815" s="184"/>
      <c r="H2815" s="184"/>
      <c r="I2815" s="184"/>
      <c r="J2815" s="184"/>
      <c r="K2815" s="184"/>
      <c r="L2815" s="184"/>
      <c r="M2815" s="184"/>
      <c r="N2815" s="184"/>
      <c r="O2815" s="184"/>
    </row>
    <row r="2816" customFormat="false" ht="15" hidden="false" customHeight="true" outlineLevel="0" collapsed="false">
      <c r="A2816" s="184"/>
      <c r="B2816" s="184"/>
      <c r="C2816" s="184"/>
      <c r="D2816" s="184"/>
      <c r="E2816" s="184"/>
      <c r="F2816" s="184"/>
      <c r="G2816" s="184"/>
      <c r="H2816" s="184"/>
      <c r="I2816" s="184"/>
      <c r="J2816" s="184"/>
      <c r="K2816" s="184"/>
      <c r="L2816" s="184"/>
      <c r="M2816" s="184"/>
      <c r="N2816" s="184"/>
      <c r="O2816" s="184"/>
    </row>
    <row r="2817" customFormat="false" ht="15" hidden="false" customHeight="true" outlineLevel="0" collapsed="false">
      <c r="A2817" s="184"/>
      <c r="B2817" s="184"/>
      <c r="C2817" s="184"/>
      <c r="D2817" s="184"/>
      <c r="E2817" s="184"/>
      <c r="F2817" s="184"/>
      <c r="G2817" s="184"/>
      <c r="H2817" s="184"/>
      <c r="I2817" s="184"/>
      <c r="J2817" s="184"/>
      <c r="K2817" s="184"/>
      <c r="L2817" s="184"/>
      <c r="M2817" s="184"/>
      <c r="N2817" s="184"/>
      <c r="O2817" s="184"/>
    </row>
    <row r="2818" customFormat="false" ht="15" hidden="false" customHeight="true" outlineLevel="0" collapsed="false">
      <c r="A2818" s="184"/>
      <c r="B2818" s="184"/>
      <c r="C2818" s="184"/>
      <c r="D2818" s="184"/>
      <c r="E2818" s="184"/>
      <c r="F2818" s="184"/>
      <c r="G2818" s="184"/>
      <c r="H2818" s="184"/>
      <c r="I2818" s="184"/>
      <c r="J2818" s="184"/>
      <c r="K2818" s="184"/>
      <c r="L2818" s="184"/>
      <c r="M2818" s="184"/>
      <c r="N2818" s="184"/>
      <c r="O2818" s="184"/>
    </row>
    <row r="2819" customFormat="false" ht="15" hidden="false" customHeight="true" outlineLevel="0" collapsed="false">
      <c r="A2819" s="184"/>
      <c r="B2819" s="184"/>
      <c r="C2819" s="184"/>
      <c r="D2819" s="184"/>
      <c r="E2819" s="184"/>
      <c r="F2819" s="184"/>
      <c r="G2819" s="184"/>
      <c r="H2819" s="184"/>
      <c r="I2819" s="184"/>
      <c r="J2819" s="184"/>
      <c r="K2819" s="184"/>
      <c r="L2819" s="184"/>
      <c r="M2819" s="184"/>
      <c r="N2819" s="184"/>
      <c r="O2819" s="184"/>
    </row>
    <row r="2820" customFormat="false" ht="15" hidden="false" customHeight="true" outlineLevel="0" collapsed="false">
      <c r="A2820" s="184"/>
      <c r="B2820" s="184"/>
      <c r="C2820" s="184"/>
      <c r="D2820" s="184"/>
      <c r="E2820" s="184"/>
      <c r="F2820" s="184"/>
      <c r="G2820" s="184"/>
      <c r="H2820" s="184"/>
      <c r="I2820" s="184"/>
      <c r="J2820" s="184"/>
      <c r="K2820" s="184"/>
      <c r="L2820" s="184"/>
      <c r="M2820" s="184"/>
      <c r="N2820" s="184"/>
      <c r="O2820" s="184"/>
    </row>
    <row r="2821" customFormat="false" ht="15" hidden="false" customHeight="true" outlineLevel="0" collapsed="false">
      <c r="A2821" s="184"/>
      <c r="B2821" s="184"/>
      <c r="C2821" s="184"/>
      <c r="D2821" s="184"/>
      <c r="E2821" s="184"/>
      <c r="F2821" s="184"/>
      <c r="G2821" s="184"/>
      <c r="H2821" s="184"/>
      <c r="I2821" s="184"/>
      <c r="J2821" s="184"/>
      <c r="K2821" s="184"/>
      <c r="L2821" s="184"/>
      <c r="M2821" s="184"/>
      <c r="N2821" s="184"/>
      <c r="O2821" s="184"/>
    </row>
    <row r="2822" customFormat="false" ht="15" hidden="false" customHeight="true" outlineLevel="0" collapsed="false">
      <c r="A2822" s="184"/>
      <c r="B2822" s="184"/>
      <c r="C2822" s="184"/>
      <c r="D2822" s="184"/>
      <c r="E2822" s="184"/>
      <c r="F2822" s="184"/>
      <c r="G2822" s="184"/>
      <c r="H2822" s="184"/>
      <c r="I2822" s="184"/>
      <c r="J2822" s="184"/>
      <c r="K2822" s="184"/>
      <c r="L2822" s="184"/>
      <c r="M2822" s="184"/>
      <c r="N2822" s="184"/>
      <c r="O2822" s="184"/>
    </row>
    <row r="2823" customFormat="false" ht="15" hidden="false" customHeight="true" outlineLevel="0" collapsed="false">
      <c r="A2823" s="184"/>
      <c r="B2823" s="184"/>
      <c r="C2823" s="184"/>
      <c r="D2823" s="184"/>
      <c r="E2823" s="184"/>
      <c r="F2823" s="184"/>
      <c r="G2823" s="184"/>
      <c r="H2823" s="184"/>
      <c r="I2823" s="184"/>
      <c r="J2823" s="184"/>
      <c r="K2823" s="184"/>
      <c r="L2823" s="184"/>
      <c r="M2823" s="184"/>
      <c r="N2823" s="184"/>
      <c r="O2823" s="184"/>
    </row>
    <row r="2824" customFormat="false" ht="15" hidden="false" customHeight="true" outlineLevel="0" collapsed="false">
      <c r="A2824" s="184"/>
      <c r="B2824" s="184"/>
      <c r="C2824" s="184"/>
      <c r="D2824" s="184"/>
      <c r="E2824" s="184"/>
      <c r="F2824" s="184"/>
      <c r="G2824" s="184"/>
      <c r="H2824" s="184"/>
      <c r="I2824" s="184"/>
      <c r="J2824" s="184"/>
      <c r="K2824" s="184"/>
      <c r="L2824" s="184"/>
      <c r="M2824" s="184"/>
      <c r="N2824" s="184"/>
      <c r="O2824" s="184"/>
    </row>
    <row r="2825" customFormat="false" ht="15" hidden="false" customHeight="true" outlineLevel="0" collapsed="false">
      <c r="A2825" s="184"/>
      <c r="B2825" s="184"/>
      <c r="C2825" s="184"/>
      <c r="D2825" s="184"/>
      <c r="E2825" s="184"/>
      <c r="F2825" s="184"/>
      <c r="G2825" s="184"/>
      <c r="H2825" s="184"/>
      <c r="I2825" s="184"/>
      <c r="J2825" s="184"/>
      <c r="K2825" s="184"/>
      <c r="L2825" s="184"/>
      <c r="M2825" s="184"/>
      <c r="N2825" s="184"/>
      <c r="O2825" s="184"/>
    </row>
    <row r="2826" customFormat="false" ht="15" hidden="false" customHeight="true" outlineLevel="0" collapsed="false">
      <c r="A2826" s="184"/>
      <c r="B2826" s="184"/>
      <c r="C2826" s="184"/>
      <c r="D2826" s="184"/>
      <c r="E2826" s="184"/>
      <c r="F2826" s="184"/>
      <c r="G2826" s="184"/>
      <c r="H2826" s="184"/>
      <c r="I2826" s="184"/>
      <c r="J2826" s="184"/>
      <c r="K2826" s="184"/>
      <c r="L2826" s="184"/>
      <c r="M2826" s="184"/>
      <c r="N2826" s="184"/>
      <c r="O2826" s="184"/>
    </row>
    <row r="2827" customFormat="false" ht="15" hidden="false" customHeight="true" outlineLevel="0" collapsed="false">
      <c r="A2827" s="184"/>
      <c r="B2827" s="184"/>
      <c r="C2827" s="184"/>
      <c r="D2827" s="184"/>
      <c r="E2827" s="184"/>
      <c r="F2827" s="184"/>
      <c r="G2827" s="184"/>
      <c r="H2827" s="184"/>
      <c r="I2827" s="184"/>
      <c r="J2827" s="184"/>
      <c r="K2827" s="184"/>
      <c r="L2827" s="184"/>
      <c r="M2827" s="184"/>
      <c r="N2827" s="184"/>
      <c r="O2827" s="184"/>
    </row>
    <row r="2828" customFormat="false" ht="15" hidden="false" customHeight="true" outlineLevel="0" collapsed="false">
      <c r="A2828" s="184"/>
      <c r="B2828" s="184"/>
      <c r="C2828" s="184"/>
      <c r="D2828" s="184"/>
      <c r="E2828" s="184"/>
      <c r="F2828" s="184"/>
      <c r="G2828" s="184"/>
      <c r="H2828" s="184"/>
      <c r="I2828" s="184"/>
      <c r="J2828" s="184"/>
      <c r="K2828" s="184"/>
      <c r="L2828" s="184"/>
      <c r="M2828" s="184"/>
      <c r="N2828" s="184"/>
      <c r="O2828" s="184"/>
    </row>
    <row r="2829" customFormat="false" ht="15" hidden="false" customHeight="true" outlineLevel="0" collapsed="false">
      <c r="A2829" s="184"/>
      <c r="B2829" s="184"/>
      <c r="C2829" s="184"/>
      <c r="D2829" s="184"/>
      <c r="E2829" s="184"/>
      <c r="F2829" s="184"/>
      <c r="G2829" s="184"/>
      <c r="H2829" s="184"/>
      <c r="I2829" s="184"/>
      <c r="J2829" s="184"/>
      <c r="K2829" s="184"/>
      <c r="L2829" s="184"/>
      <c r="M2829" s="184"/>
      <c r="N2829" s="184"/>
      <c r="O2829" s="184"/>
    </row>
    <row r="2830" customFormat="false" ht="15" hidden="false" customHeight="true" outlineLevel="0" collapsed="false">
      <c r="A2830" s="184"/>
      <c r="B2830" s="184"/>
      <c r="C2830" s="184"/>
      <c r="D2830" s="184"/>
      <c r="E2830" s="184"/>
      <c r="F2830" s="184"/>
      <c r="G2830" s="184"/>
      <c r="H2830" s="184"/>
      <c r="I2830" s="184"/>
      <c r="J2830" s="184"/>
      <c r="K2830" s="184"/>
      <c r="L2830" s="184"/>
      <c r="M2830" s="184"/>
      <c r="N2830" s="184"/>
      <c r="O2830" s="184"/>
    </row>
    <row r="2831" customFormat="false" ht="15" hidden="false" customHeight="true" outlineLevel="0" collapsed="false">
      <c r="A2831" s="184"/>
      <c r="B2831" s="184"/>
      <c r="C2831" s="184"/>
      <c r="D2831" s="184"/>
      <c r="E2831" s="184"/>
      <c r="F2831" s="184"/>
      <c r="G2831" s="184"/>
      <c r="H2831" s="184"/>
      <c r="I2831" s="184"/>
      <c r="J2831" s="184"/>
      <c r="K2831" s="184"/>
      <c r="L2831" s="184"/>
      <c r="M2831" s="184"/>
      <c r="N2831" s="184"/>
      <c r="O2831" s="184"/>
    </row>
    <row r="2832" customFormat="false" ht="15" hidden="false" customHeight="true" outlineLevel="0" collapsed="false">
      <c r="A2832" s="184"/>
      <c r="B2832" s="184"/>
      <c r="C2832" s="184"/>
      <c r="D2832" s="184"/>
      <c r="E2832" s="184"/>
      <c r="F2832" s="184"/>
      <c r="G2832" s="184"/>
      <c r="H2832" s="184"/>
      <c r="I2832" s="184"/>
      <c r="J2832" s="184"/>
      <c r="K2832" s="184"/>
      <c r="L2832" s="184"/>
      <c r="M2832" s="184"/>
      <c r="N2832" s="184"/>
      <c r="O2832" s="184"/>
    </row>
    <row r="2833" customFormat="false" ht="15" hidden="false" customHeight="true" outlineLevel="0" collapsed="false">
      <c r="A2833" s="184"/>
      <c r="B2833" s="184"/>
      <c r="C2833" s="184"/>
      <c r="D2833" s="184"/>
      <c r="E2833" s="184"/>
      <c r="F2833" s="184"/>
      <c r="G2833" s="184"/>
      <c r="H2833" s="184"/>
      <c r="I2833" s="184"/>
      <c r="J2833" s="184"/>
      <c r="K2833" s="184"/>
      <c r="L2833" s="184"/>
      <c r="M2833" s="184"/>
      <c r="N2833" s="184"/>
      <c r="O2833" s="184"/>
    </row>
    <row r="2834" customFormat="false" ht="15" hidden="false" customHeight="true" outlineLevel="0" collapsed="false">
      <c r="A2834" s="184"/>
      <c r="B2834" s="184"/>
      <c r="C2834" s="184"/>
      <c r="D2834" s="184"/>
      <c r="E2834" s="184"/>
      <c r="F2834" s="184"/>
      <c r="G2834" s="184"/>
      <c r="H2834" s="184"/>
      <c r="I2834" s="184"/>
      <c r="J2834" s="184"/>
      <c r="K2834" s="184"/>
      <c r="L2834" s="184"/>
      <c r="M2834" s="184"/>
      <c r="N2834" s="184"/>
      <c r="O2834" s="184"/>
    </row>
    <row r="2835" customFormat="false" ht="15" hidden="false" customHeight="true" outlineLevel="0" collapsed="false">
      <c r="A2835" s="184"/>
      <c r="B2835" s="184"/>
      <c r="C2835" s="184"/>
      <c r="D2835" s="184"/>
      <c r="E2835" s="184"/>
      <c r="F2835" s="184"/>
      <c r="G2835" s="184"/>
      <c r="H2835" s="184"/>
      <c r="I2835" s="184"/>
      <c r="J2835" s="184"/>
      <c r="K2835" s="184"/>
      <c r="L2835" s="184"/>
      <c r="M2835" s="184"/>
      <c r="N2835" s="184"/>
      <c r="O2835" s="184"/>
    </row>
    <row r="2836" customFormat="false" ht="15" hidden="false" customHeight="true" outlineLevel="0" collapsed="false">
      <c r="A2836" s="184"/>
      <c r="B2836" s="184"/>
      <c r="C2836" s="184"/>
      <c r="D2836" s="184"/>
      <c r="E2836" s="184"/>
      <c r="F2836" s="184"/>
      <c r="G2836" s="184"/>
      <c r="H2836" s="184"/>
      <c r="I2836" s="184"/>
      <c r="J2836" s="184"/>
      <c r="K2836" s="184"/>
      <c r="L2836" s="184"/>
      <c r="M2836" s="184"/>
      <c r="N2836" s="184"/>
      <c r="O2836" s="184"/>
    </row>
    <row r="2837" customFormat="false" ht="15" hidden="false" customHeight="true" outlineLevel="0" collapsed="false">
      <c r="A2837" s="184"/>
      <c r="B2837" s="184"/>
      <c r="C2837" s="184"/>
      <c r="D2837" s="184"/>
      <c r="E2837" s="184"/>
      <c r="F2837" s="184"/>
      <c r="G2837" s="184"/>
      <c r="H2837" s="184"/>
      <c r="I2837" s="184"/>
      <c r="J2837" s="184"/>
      <c r="K2837" s="184"/>
      <c r="L2837" s="184"/>
      <c r="M2837" s="184"/>
      <c r="N2837" s="184"/>
      <c r="O2837" s="184"/>
    </row>
    <row r="2838" customFormat="false" ht="15" hidden="false" customHeight="true" outlineLevel="0" collapsed="false">
      <c r="A2838" s="184"/>
      <c r="B2838" s="184"/>
      <c r="C2838" s="184"/>
      <c r="D2838" s="184"/>
      <c r="E2838" s="184"/>
      <c r="F2838" s="184"/>
      <c r="G2838" s="184"/>
      <c r="H2838" s="184"/>
      <c r="I2838" s="184"/>
      <c r="J2838" s="184"/>
      <c r="K2838" s="184"/>
      <c r="L2838" s="184"/>
      <c r="M2838" s="184"/>
      <c r="N2838" s="184"/>
      <c r="O2838" s="184"/>
    </row>
    <row r="2839" customFormat="false" ht="15" hidden="false" customHeight="true" outlineLevel="0" collapsed="false">
      <c r="A2839" s="184"/>
      <c r="B2839" s="184"/>
      <c r="C2839" s="184"/>
      <c r="D2839" s="184"/>
      <c r="E2839" s="184"/>
      <c r="F2839" s="184"/>
      <c r="G2839" s="184"/>
      <c r="H2839" s="184"/>
      <c r="I2839" s="184"/>
      <c r="J2839" s="184"/>
      <c r="K2839" s="184"/>
      <c r="L2839" s="184"/>
      <c r="M2839" s="184"/>
      <c r="N2839" s="184"/>
      <c r="O2839" s="184"/>
    </row>
    <row r="2840" customFormat="false" ht="15" hidden="false" customHeight="true" outlineLevel="0" collapsed="false">
      <c r="A2840" s="184"/>
      <c r="B2840" s="184"/>
      <c r="C2840" s="184"/>
      <c r="D2840" s="184"/>
      <c r="E2840" s="184"/>
      <c r="F2840" s="184"/>
      <c r="G2840" s="184"/>
      <c r="H2840" s="184"/>
      <c r="I2840" s="184"/>
      <c r="J2840" s="184"/>
      <c r="K2840" s="184"/>
      <c r="L2840" s="184"/>
      <c r="M2840" s="184"/>
      <c r="N2840" s="184"/>
      <c r="O2840" s="184"/>
    </row>
    <row r="2841" customFormat="false" ht="15" hidden="false" customHeight="true" outlineLevel="0" collapsed="false">
      <c r="A2841" s="184"/>
      <c r="B2841" s="184"/>
      <c r="C2841" s="184"/>
      <c r="D2841" s="184"/>
      <c r="E2841" s="184"/>
      <c r="F2841" s="184"/>
      <c r="G2841" s="184"/>
      <c r="H2841" s="184"/>
      <c r="I2841" s="184"/>
      <c r="J2841" s="184"/>
      <c r="K2841" s="184"/>
      <c r="L2841" s="184"/>
      <c r="M2841" s="184"/>
      <c r="N2841" s="184"/>
      <c r="O2841" s="184"/>
    </row>
    <row r="2842" customFormat="false" ht="15" hidden="false" customHeight="true" outlineLevel="0" collapsed="false">
      <c r="A2842" s="184"/>
      <c r="B2842" s="184"/>
      <c r="C2842" s="184"/>
      <c r="D2842" s="184"/>
      <c r="E2842" s="184"/>
      <c r="F2842" s="184"/>
      <c r="G2842" s="184"/>
      <c r="H2842" s="184"/>
      <c r="I2842" s="184"/>
      <c r="J2842" s="184"/>
      <c r="K2842" s="184"/>
      <c r="L2842" s="184"/>
      <c r="M2842" s="184"/>
      <c r="N2842" s="184"/>
      <c r="O2842" s="184"/>
    </row>
    <row r="2843" customFormat="false" ht="15" hidden="false" customHeight="true" outlineLevel="0" collapsed="false">
      <c r="A2843" s="184"/>
      <c r="B2843" s="184"/>
      <c r="C2843" s="184"/>
      <c r="D2843" s="184"/>
      <c r="E2843" s="184"/>
      <c r="F2843" s="184"/>
      <c r="G2843" s="184"/>
      <c r="H2843" s="184"/>
      <c r="I2843" s="184"/>
      <c r="J2843" s="184"/>
      <c r="K2843" s="184"/>
      <c r="L2843" s="184"/>
      <c r="M2843" s="184"/>
      <c r="N2843" s="184"/>
      <c r="O2843" s="184"/>
    </row>
    <row r="2844" customFormat="false" ht="15" hidden="false" customHeight="true" outlineLevel="0" collapsed="false">
      <c r="A2844" s="184"/>
      <c r="B2844" s="184"/>
      <c r="C2844" s="184"/>
      <c r="D2844" s="184"/>
      <c r="E2844" s="184"/>
      <c r="F2844" s="184"/>
      <c r="G2844" s="184"/>
      <c r="H2844" s="184"/>
      <c r="I2844" s="184"/>
      <c r="J2844" s="184"/>
      <c r="K2844" s="184"/>
      <c r="L2844" s="184"/>
      <c r="M2844" s="184"/>
      <c r="N2844" s="184"/>
      <c r="O2844" s="184"/>
    </row>
    <row r="2845" customFormat="false" ht="15" hidden="false" customHeight="true" outlineLevel="0" collapsed="false">
      <c r="A2845" s="184"/>
      <c r="B2845" s="184"/>
      <c r="C2845" s="184"/>
      <c r="D2845" s="184"/>
      <c r="E2845" s="184"/>
      <c r="F2845" s="184"/>
      <c r="G2845" s="184"/>
      <c r="H2845" s="184"/>
      <c r="I2845" s="184"/>
      <c r="J2845" s="184"/>
      <c r="K2845" s="184"/>
      <c r="L2845" s="184"/>
      <c r="M2845" s="184"/>
      <c r="N2845" s="184"/>
      <c r="O2845" s="184"/>
    </row>
    <row r="2846" customFormat="false" ht="15" hidden="false" customHeight="true" outlineLevel="0" collapsed="false">
      <c r="A2846" s="184"/>
      <c r="B2846" s="184"/>
      <c r="C2846" s="184"/>
      <c r="D2846" s="184"/>
      <c r="E2846" s="184"/>
      <c r="F2846" s="184"/>
      <c r="G2846" s="184"/>
      <c r="H2846" s="184"/>
      <c r="I2846" s="184"/>
      <c r="J2846" s="184"/>
      <c r="K2846" s="184"/>
      <c r="L2846" s="184"/>
      <c r="M2846" s="184"/>
      <c r="N2846" s="184"/>
      <c r="O2846" s="184"/>
    </row>
    <row r="2847" customFormat="false" ht="15" hidden="false" customHeight="true" outlineLevel="0" collapsed="false">
      <c r="A2847" s="184"/>
      <c r="B2847" s="184"/>
      <c r="C2847" s="184"/>
      <c r="D2847" s="184"/>
      <c r="E2847" s="184"/>
      <c r="F2847" s="184"/>
      <c r="G2847" s="184"/>
      <c r="H2847" s="184"/>
      <c r="I2847" s="184"/>
      <c r="J2847" s="184"/>
      <c r="K2847" s="184"/>
      <c r="L2847" s="184"/>
      <c r="M2847" s="184"/>
      <c r="N2847" s="184"/>
      <c r="O2847" s="184"/>
    </row>
    <row r="2848" customFormat="false" ht="15" hidden="false" customHeight="true" outlineLevel="0" collapsed="false">
      <c r="A2848" s="184"/>
      <c r="B2848" s="184"/>
      <c r="C2848" s="184"/>
      <c r="D2848" s="184"/>
      <c r="E2848" s="184"/>
      <c r="F2848" s="184"/>
      <c r="G2848" s="184"/>
      <c r="H2848" s="184"/>
      <c r="I2848" s="184"/>
      <c r="J2848" s="184"/>
      <c r="K2848" s="184"/>
      <c r="L2848" s="184"/>
      <c r="M2848" s="184"/>
      <c r="N2848" s="184"/>
      <c r="O2848" s="184"/>
    </row>
    <row r="2849" customFormat="false" ht="15" hidden="false" customHeight="true" outlineLevel="0" collapsed="false">
      <c r="A2849" s="184"/>
      <c r="B2849" s="184"/>
      <c r="C2849" s="184"/>
      <c r="D2849" s="184"/>
      <c r="E2849" s="184"/>
      <c r="F2849" s="184"/>
      <c r="G2849" s="184"/>
      <c r="H2849" s="184"/>
      <c r="I2849" s="184"/>
      <c r="J2849" s="184"/>
      <c r="K2849" s="184"/>
      <c r="L2849" s="184"/>
      <c r="M2849" s="184"/>
      <c r="N2849" s="184"/>
      <c r="O2849" s="184"/>
    </row>
    <row r="2850" customFormat="false" ht="15" hidden="false" customHeight="true" outlineLevel="0" collapsed="false">
      <c r="A2850" s="184"/>
      <c r="B2850" s="184"/>
      <c r="C2850" s="184"/>
      <c r="D2850" s="184"/>
      <c r="E2850" s="184"/>
      <c r="F2850" s="184"/>
      <c r="G2850" s="184"/>
      <c r="H2850" s="184"/>
      <c r="I2850" s="184"/>
      <c r="J2850" s="184"/>
      <c r="K2850" s="184"/>
      <c r="L2850" s="184"/>
      <c r="M2850" s="184"/>
      <c r="N2850" s="184"/>
      <c r="O2850" s="184"/>
    </row>
    <row r="2851" customFormat="false" ht="15" hidden="false" customHeight="true" outlineLevel="0" collapsed="false">
      <c r="A2851" s="184"/>
      <c r="B2851" s="184"/>
      <c r="C2851" s="184"/>
      <c r="D2851" s="184"/>
      <c r="E2851" s="184"/>
      <c r="F2851" s="184"/>
      <c r="G2851" s="184"/>
      <c r="H2851" s="184"/>
      <c r="I2851" s="184"/>
      <c r="J2851" s="184"/>
      <c r="K2851" s="184"/>
      <c r="L2851" s="184"/>
      <c r="M2851" s="184"/>
      <c r="N2851" s="184"/>
      <c r="O2851" s="184"/>
    </row>
    <row r="2852" customFormat="false" ht="15" hidden="false" customHeight="true" outlineLevel="0" collapsed="false">
      <c r="A2852" s="184" t="s">
        <v>4945</v>
      </c>
      <c r="B2852" s="184" t="s">
        <v>4946</v>
      </c>
      <c r="C2852" s="184" t="n">
        <v>1</v>
      </c>
      <c r="D2852" s="178" t="s">
        <v>5269</v>
      </c>
      <c r="E2852" s="184" t="s">
        <v>6289</v>
      </c>
      <c r="F2852" s="184"/>
      <c r="G2852" s="184"/>
      <c r="H2852" s="184"/>
      <c r="I2852" s="184"/>
      <c r="J2852" s="184"/>
      <c r="K2852" s="184"/>
      <c r="L2852" s="184"/>
      <c r="M2852" s="184" t="s">
        <v>6290</v>
      </c>
      <c r="N2852" s="184"/>
      <c r="O2852" s="184"/>
    </row>
    <row r="2853" customFormat="false" ht="15" hidden="false" customHeight="true" outlineLevel="0" collapsed="false">
      <c r="A2853" s="184" t="s">
        <v>4945</v>
      </c>
      <c r="B2853" s="184" t="s">
        <v>4946</v>
      </c>
      <c r="C2853" s="184" t="n">
        <v>2</v>
      </c>
      <c r="D2853" s="178" t="s">
        <v>5269</v>
      </c>
      <c r="E2853" s="184" t="s">
        <v>2895</v>
      </c>
      <c r="F2853" s="184"/>
      <c r="G2853" s="184"/>
      <c r="H2853" s="184"/>
      <c r="I2853" s="184"/>
      <c r="J2853" s="184"/>
      <c r="K2853" s="184"/>
      <c r="L2853" s="184"/>
      <c r="M2853" s="184" t="s">
        <v>6291</v>
      </c>
      <c r="N2853" s="184"/>
      <c r="O2853" s="184"/>
    </row>
    <row r="2854" customFormat="false" ht="15" hidden="false" customHeight="true" outlineLevel="0" collapsed="false">
      <c r="A2854" s="184" t="s">
        <v>4945</v>
      </c>
      <c r="B2854" s="184" t="s">
        <v>4946</v>
      </c>
      <c r="C2854" s="184" t="n">
        <v>3</v>
      </c>
      <c r="D2854" s="179" t="s">
        <v>6292</v>
      </c>
      <c r="E2854" s="184" t="s">
        <v>7104</v>
      </c>
      <c r="F2854" s="184"/>
      <c r="G2854" s="184"/>
      <c r="H2854" s="184"/>
      <c r="I2854" s="184"/>
      <c r="J2854" s="184"/>
      <c r="K2854" s="184"/>
      <c r="L2854" s="184"/>
      <c r="M2854" s="184"/>
      <c r="N2854" s="184"/>
      <c r="O2854" s="184"/>
    </row>
    <row r="2855" customFormat="false" ht="15" hidden="false" customHeight="true" outlineLevel="0" collapsed="false">
      <c r="A2855" s="184" t="s">
        <v>4945</v>
      </c>
      <c r="B2855" s="184" t="s">
        <v>4946</v>
      </c>
      <c r="C2855" s="184" t="n">
        <v>4</v>
      </c>
      <c r="D2855" s="184" t="s">
        <v>6294</v>
      </c>
      <c r="E2855" s="184" t="s">
        <v>7105</v>
      </c>
      <c r="F2855" s="184"/>
      <c r="G2855" s="184"/>
      <c r="H2855" s="184"/>
      <c r="I2855" s="184"/>
      <c r="J2855" s="184"/>
      <c r="K2855" s="184"/>
      <c r="L2855" s="184"/>
      <c r="M2855" s="184"/>
      <c r="N2855" s="184"/>
      <c r="O2855" s="184"/>
    </row>
    <row r="2856" customFormat="false" ht="15" hidden="false" customHeight="true" outlineLevel="0" collapsed="false">
      <c r="A2856" s="184" t="s">
        <v>4945</v>
      </c>
      <c r="B2856" s="184" t="s">
        <v>4946</v>
      </c>
      <c r="C2856" s="184" t="n">
        <v>5</v>
      </c>
      <c r="D2856" s="184" t="s">
        <v>4790</v>
      </c>
      <c r="E2856" s="184" t="s">
        <v>6558</v>
      </c>
      <c r="F2856" s="184"/>
      <c r="G2856" s="184"/>
      <c r="H2856" s="184"/>
      <c r="I2856" s="184"/>
      <c r="J2856" s="184"/>
      <c r="K2856" s="184"/>
      <c r="L2856" s="184"/>
      <c r="M2856" s="184" t="s">
        <v>6559</v>
      </c>
      <c r="N2856" s="184"/>
      <c r="O2856" s="184"/>
    </row>
    <row r="2857" customFormat="false" ht="15" hidden="false" customHeight="true" outlineLevel="0" collapsed="false">
      <c r="A2857" s="184" t="s">
        <v>4945</v>
      </c>
      <c r="B2857" s="184" t="s">
        <v>4946</v>
      </c>
      <c r="C2857" s="184" t="n">
        <v>6</v>
      </c>
      <c r="D2857" s="177" t="s">
        <v>6298</v>
      </c>
      <c r="E2857" s="184" t="s">
        <v>6586</v>
      </c>
      <c r="F2857" s="184"/>
      <c r="G2857" s="184"/>
      <c r="H2857" s="184"/>
      <c r="I2857" s="184"/>
      <c r="J2857" s="184"/>
      <c r="K2857" s="184"/>
      <c r="L2857" s="184"/>
      <c r="M2857" s="184"/>
      <c r="N2857" s="184"/>
      <c r="O2857" s="184"/>
    </row>
    <row r="2858" customFormat="false" ht="15" hidden="false" customHeight="true" outlineLevel="0" collapsed="false">
      <c r="A2858" s="184" t="s">
        <v>4945</v>
      </c>
      <c r="B2858" s="184" t="s">
        <v>4946</v>
      </c>
      <c r="C2858" s="184" t="n">
        <v>7</v>
      </c>
      <c r="D2858" s="178" t="s">
        <v>6457</v>
      </c>
      <c r="E2858" s="184" t="s">
        <v>6561</v>
      </c>
      <c r="F2858" s="184"/>
      <c r="G2858" s="184"/>
      <c r="H2858" s="184"/>
      <c r="I2858" s="184"/>
      <c r="J2858" s="184"/>
      <c r="K2858" s="184"/>
      <c r="L2858" s="184"/>
      <c r="M2858" s="184" t="s">
        <v>6587</v>
      </c>
      <c r="N2858" s="184"/>
      <c r="O2858" s="184"/>
    </row>
    <row r="2859" customFormat="false" ht="27.75" hidden="false" customHeight="true" outlineLevel="0" collapsed="false">
      <c r="A2859" s="184" t="s">
        <v>4945</v>
      </c>
      <c r="B2859" s="184" t="s">
        <v>4946</v>
      </c>
      <c r="C2859" s="184" t="n">
        <v>8</v>
      </c>
      <c r="D2859" s="177" t="s">
        <v>6298</v>
      </c>
      <c r="E2859" s="184" t="s">
        <v>6590</v>
      </c>
      <c r="F2859" s="184"/>
      <c r="G2859" s="184"/>
      <c r="H2859" s="184"/>
      <c r="I2859" s="184"/>
      <c r="J2859" s="184"/>
      <c r="K2859" s="184"/>
      <c r="L2859" s="184"/>
      <c r="M2859" s="184"/>
      <c r="N2859" s="184"/>
      <c r="O2859" s="184"/>
    </row>
    <row r="2860" customFormat="false" ht="15" hidden="false" customHeight="true" outlineLevel="0" collapsed="false">
      <c r="A2860" s="184" t="s">
        <v>4945</v>
      </c>
      <c r="B2860" s="184" t="s">
        <v>4946</v>
      </c>
      <c r="C2860" s="184" t="n">
        <v>9</v>
      </c>
      <c r="D2860" s="178" t="s">
        <v>6457</v>
      </c>
      <c r="E2860" s="184" t="s">
        <v>6561</v>
      </c>
      <c r="F2860" s="184"/>
      <c r="G2860" s="184"/>
      <c r="H2860" s="184"/>
      <c r="I2860" s="184"/>
      <c r="J2860" s="184"/>
      <c r="K2860" s="184"/>
      <c r="L2860" s="184"/>
      <c r="M2860" s="184" t="s">
        <v>6591</v>
      </c>
      <c r="N2860" s="184"/>
      <c r="O2860" s="184"/>
    </row>
    <row r="2861" customFormat="false" ht="15" hidden="false" customHeight="true" outlineLevel="0" collapsed="false">
      <c r="A2861" s="184" t="s">
        <v>4945</v>
      </c>
      <c r="B2861" s="184" t="s">
        <v>4946</v>
      </c>
      <c r="C2861" s="184" t="n">
        <v>10</v>
      </c>
      <c r="D2861" s="177" t="s">
        <v>6298</v>
      </c>
      <c r="E2861" s="184" t="s">
        <v>6570</v>
      </c>
      <c r="F2861" s="184"/>
      <c r="G2861" s="184"/>
      <c r="H2861" s="184"/>
      <c r="I2861" s="184"/>
      <c r="J2861" s="184"/>
      <c r="K2861" s="184"/>
      <c r="L2861" s="184"/>
      <c r="M2861" s="184"/>
      <c r="N2861" s="184"/>
      <c r="O2861" s="184"/>
    </row>
    <row r="2862" customFormat="false" ht="15" hidden="false" customHeight="true" outlineLevel="0" collapsed="false">
      <c r="A2862" s="184" t="s">
        <v>4945</v>
      </c>
      <c r="B2862" s="184" t="s">
        <v>4946</v>
      </c>
      <c r="C2862" s="184" t="n">
        <v>11</v>
      </c>
      <c r="D2862" s="178" t="s">
        <v>6457</v>
      </c>
      <c r="E2862" s="184" t="s">
        <v>6561</v>
      </c>
      <c r="F2862" s="184"/>
      <c r="G2862" s="184"/>
      <c r="H2862" s="184"/>
      <c r="I2862" s="184"/>
      <c r="J2862" s="184"/>
      <c r="K2862" s="184"/>
      <c r="L2862" s="184"/>
      <c r="M2862" s="184" t="s">
        <v>6571</v>
      </c>
      <c r="N2862" s="184"/>
      <c r="O2862" s="184"/>
    </row>
    <row r="2863" customFormat="false" ht="15" hidden="false" customHeight="true" outlineLevel="0" collapsed="false">
      <c r="A2863" s="184" t="s">
        <v>4945</v>
      </c>
      <c r="B2863" s="184" t="s">
        <v>4946</v>
      </c>
      <c r="C2863" s="184" t="n">
        <v>12</v>
      </c>
      <c r="D2863" s="177" t="s">
        <v>6298</v>
      </c>
      <c r="E2863" s="184" t="s">
        <v>6560</v>
      </c>
      <c r="F2863" s="184"/>
      <c r="G2863" s="184"/>
      <c r="H2863" s="184"/>
      <c r="I2863" s="184"/>
      <c r="J2863" s="184"/>
      <c r="K2863" s="184"/>
      <c r="L2863" s="184"/>
      <c r="M2863" s="184"/>
      <c r="N2863" s="184"/>
      <c r="O2863" s="184"/>
    </row>
    <row r="2864" customFormat="false" ht="15" hidden="false" customHeight="true" outlineLevel="0" collapsed="false">
      <c r="A2864" s="184" t="s">
        <v>4945</v>
      </c>
      <c r="B2864" s="184" t="s">
        <v>4946</v>
      </c>
      <c r="C2864" s="184" t="n">
        <v>13</v>
      </c>
      <c r="D2864" s="178" t="s">
        <v>6457</v>
      </c>
      <c r="E2864" s="184" t="s">
        <v>6561</v>
      </c>
      <c r="F2864" s="184"/>
      <c r="G2864" s="184"/>
      <c r="H2864" s="184"/>
      <c r="I2864" s="184"/>
      <c r="J2864" s="184"/>
      <c r="K2864" s="184"/>
      <c r="L2864" s="184"/>
      <c r="M2864" s="184" t="s">
        <v>6562</v>
      </c>
      <c r="N2864" s="184"/>
      <c r="O2864" s="184"/>
    </row>
    <row r="2865" customFormat="false" ht="27.75" hidden="false" customHeight="true" outlineLevel="0" collapsed="false">
      <c r="A2865" s="184" t="s">
        <v>4945</v>
      </c>
      <c r="B2865" s="184" t="s">
        <v>4946</v>
      </c>
      <c r="C2865" s="184" t="n">
        <v>14</v>
      </c>
      <c r="D2865" s="177" t="s">
        <v>6298</v>
      </c>
      <c r="E2865" s="184" t="s">
        <v>6563</v>
      </c>
      <c r="F2865" s="184"/>
      <c r="G2865" s="184"/>
      <c r="H2865" s="184"/>
      <c r="I2865" s="184"/>
      <c r="J2865" s="184"/>
      <c r="K2865" s="184"/>
      <c r="L2865" s="184"/>
      <c r="M2865" s="184"/>
      <c r="N2865" s="184"/>
      <c r="O2865" s="184"/>
    </row>
    <row r="2866" customFormat="false" ht="15" hidden="false" customHeight="true" outlineLevel="0" collapsed="false">
      <c r="A2866" s="184" t="s">
        <v>4945</v>
      </c>
      <c r="B2866" s="184" t="s">
        <v>4946</v>
      </c>
      <c r="C2866" s="184" t="n">
        <v>15</v>
      </c>
      <c r="D2866" s="178" t="s">
        <v>6457</v>
      </c>
      <c r="E2866" s="184" t="s">
        <v>6561</v>
      </c>
      <c r="F2866" s="184"/>
      <c r="G2866" s="184"/>
      <c r="H2866" s="184"/>
      <c r="I2866" s="184"/>
      <c r="J2866" s="184"/>
      <c r="K2866" s="184"/>
      <c r="L2866" s="184"/>
      <c r="M2866" s="184" t="s">
        <v>6564</v>
      </c>
      <c r="N2866" s="184"/>
      <c r="O2866" s="184"/>
    </row>
    <row r="2867" customFormat="false" ht="15" hidden="false" customHeight="true" outlineLevel="0" collapsed="false">
      <c r="A2867" s="184" t="s">
        <v>4945</v>
      </c>
      <c r="B2867" s="184" t="s">
        <v>4946</v>
      </c>
      <c r="C2867" s="184" t="n">
        <v>16</v>
      </c>
      <c r="D2867" s="177" t="s">
        <v>6298</v>
      </c>
      <c r="E2867" s="184" t="s">
        <v>6588</v>
      </c>
      <c r="F2867" s="184"/>
      <c r="G2867" s="184"/>
      <c r="H2867" s="184"/>
      <c r="I2867" s="184"/>
      <c r="J2867" s="184"/>
      <c r="K2867" s="184"/>
      <c r="L2867" s="184"/>
      <c r="M2867" s="184"/>
      <c r="N2867" s="184"/>
      <c r="O2867" s="184"/>
    </row>
    <row r="2868" customFormat="false" ht="15" hidden="false" customHeight="true" outlineLevel="0" collapsed="false">
      <c r="A2868" s="184" t="s">
        <v>4945</v>
      </c>
      <c r="B2868" s="184" t="s">
        <v>4946</v>
      </c>
      <c r="C2868" s="184" t="n">
        <v>17</v>
      </c>
      <c r="D2868" s="178" t="s">
        <v>6457</v>
      </c>
      <c r="E2868" s="184" t="s">
        <v>6561</v>
      </c>
      <c r="F2868" s="184"/>
      <c r="G2868" s="184"/>
      <c r="H2868" s="184"/>
      <c r="I2868" s="184"/>
      <c r="J2868" s="184"/>
      <c r="K2868" s="184"/>
      <c r="L2868" s="184"/>
      <c r="M2868" s="184" t="s">
        <v>6589</v>
      </c>
      <c r="N2868" s="184"/>
      <c r="O2868" s="184"/>
    </row>
    <row r="2869" customFormat="false" ht="15" hidden="false" customHeight="true" outlineLevel="0" collapsed="false">
      <c r="A2869" s="184" t="s">
        <v>4945</v>
      </c>
      <c r="B2869" s="184" t="s">
        <v>4946</v>
      </c>
      <c r="C2869" s="184" t="n">
        <v>18</v>
      </c>
      <c r="D2869" s="178" t="s">
        <v>5269</v>
      </c>
      <c r="E2869" s="184" t="s">
        <v>7106</v>
      </c>
      <c r="F2869" s="184"/>
      <c r="G2869" s="184"/>
      <c r="H2869" s="184"/>
      <c r="I2869" s="184"/>
      <c r="J2869" s="184"/>
      <c r="K2869" s="184"/>
      <c r="L2869" s="184"/>
      <c r="M2869" s="184" t="s">
        <v>7107</v>
      </c>
      <c r="N2869" s="184"/>
      <c r="O2869" s="184"/>
    </row>
    <row r="2870" customFormat="false" ht="15" hidden="false" customHeight="true" outlineLevel="0" collapsed="false">
      <c r="A2870" s="184"/>
      <c r="B2870" s="184"/>
      <c r="C2870" s="184"/>
      <c r="D2870" s="184"/>
      <c r="E2870" s="184"/>
      <c r="F2870" s="184"/>
      <c r="G2870" s="184"/>
      <c r="H2870" s="184"/>
      <c r="I2870" s="184"/>
      <c r="J2870" s="184"/>
      <c r="K2870" s="184"/>
      <c r="L2870" s="184"/>
      <c r="M2870" s="184"/>
      <c r="N2870" s="184"/>
      <c r="O2870" s="184"/>
    </row>
    <row r="2871" customFormat="false" ht="15" hidden="false" customHeight="true" outlineLevel="0" collapsed="false">
      <c r="A2871" s="184"/>
      <c r="B2871" s="184"/>
      <c r="C2871" s="184"/>
      <c r="D2871" s="184"/>
      <c r="E2871" s="184"/>
      <c r="F2871" s="184"/>
      <c r="G2871" s="184"/>
      <c r="H2871" s="184"/>
      <c r="I2871" s="184"/>
      <c r="J2871" s="184"/>
      <c r="K2871" s="184"/>
      <c r="L2871" s="184"/>
      <c r="M2871" s="184"/>
      <c r="N2871" s="184"/>
      <c r="O2871" s="184"/>
    </row>
    <row r="2872" customFormat="false" ht="15" hidden="false" customHeight="true" outlineLevel="0" collapsed="false">
      <c r="A2872" s="184"/>
      <c r="B2872" s="184"/>
      <c r="C2872" s="184"/>
      <c r="D2872" s="184"/>
      <c r="E2872" s="184"/>
      <c r="F2872" s="184"/>
      <c r="G2872" s="184"/>
      <c r="H2872" s="184"/>
      <c r="I2872" s="184"/>
      <c r="J2872" s="184"/>
      <c r="K2872" s="184"/>
      <c r="L2872" s="184"/>
      <c r="M2872" s="184"/>
      <c r="N2872" s="184"/>
      <c r="O2872" s="184"/>
    </row>
    <row r="2873" customFormat="false" ht="15" hidden="false" customHeight="true" outlineLevel="0" collapsed="false">
      <c r="A2873" s="184"/>
      <c r="B2873" s="184"/>
      <c r="C2873" s="184"/>
      <c r="D2873" s="184"/>
      <c r="E2873" s="184"/>
      <c r="F2873" s="184"/>
      <c r="G2873" s="184"/>
      <c r="H2873" s="184"/>
      <c r="I2873" s="184"/>
      <c r="J2873" s="184"/>
      <c r="K2873" s="184"/>
      <c r="L2873" s="184"/>
      <c r="M2873" s="184"/>
      <c r="N2873" s="184"/>
      <c r="O2873" s="184"/>
    </row>
    <row r="2874" customFormat="false" ht="15" hidden="false" customHeight="true" outlineLevel="0" collapsed="false">
      <c r="A2874" s="184"/>
      <c r="B2874" s="184"/>
      <c r="C2874" s="184"/>
      <c r="D2874" s="184"/>
      <c r="E2874" s="184"/>
      <c r="F2874" s="184"/>
      <c r="G2874" s="184"/>
      <c r="H2874" s="184"/>
      <c r="I2874" s="184"/>
      <c r="J2874" s="184"/>
      <c r="K2874" s="184"/>
      <c r="L2874" s="184"/>
      <c r="M2874" s="184"/>
      <c r="N2874" s="184"/>
      <c r="O2874" s="184"/>
    </row>
    <row r="2875" customFormat="false" ht="15" hidden="false" customHeight="true" outlineLevel="0" collapsed="false">
      <c r="A2875" s="184"/>
      <c r="B2875" s="184"/>
      <c r="C2875" s="184"/>
      <c r="D2875" s="184"/>
      <c r="E2875" s="184"/>
      <c r="F2875" s="184"/>
      <c r="G2875" s="184"/>
      <c r="H2875" s="184"/>
      <c r="I2875" s="184"/>
      <c r="J2875" s="184"/>
      <c r="K2875" s="184"/>
      <c r="L2875" s="184"/>
      <c r="M2875" s="184"/>
      <c r="N2875" s="184"/>
      <c r="O2875" s="184"/>
    </row>
    <row r="2876" customFormat="false" ht="15" hidden="false" customHeight="true" outlineLevel="0" collapsed="false">
      <c r="A2876" s="184"/>
      <c r="B2876" s="184"/>
      <c r="C2876" s="184"/>
      <c r="D2876" s="184"/>
      <c r="E2876" s="184"/>
      <c r="F2876" s="184"/>
      <c r="G2876" s="184"/>
      <c r="H2876" s="184"/>
      <c r="I2876" s="184"/>
      <c r="J2876" s="184"/>
      <c r="K2876" s="184"/>
      <c r="L2876" s="184"/>
      <c r="M2876" s="184"/>
      <c r="N2876" s="184"/>
      <c r="O2876" s="184"/>
    </row>
    <row r="2877" customFormat="false" ht="15" hidden="false" customHeight="true" outlineLevel="0" collapsed="false">
      <c r="A2877" s="184"/>
      <c r="B2877" s="184"/>
      <c r="C2877" s="184"/>
      <c r="D2877" s="184"/>
      <c r="E2877" s="184"/>
      <c r="F2877" s="184"/>
      <c r="G2877" s="184"/>
      <c r="H2877" s="184"/>
      <c r="I2877" s="184"/>
      <c r="J2877" s="184"/>
      <c r="K2877" s="184"/>
      <c r="L2877" s="184"/>
      <c r="M2877" s="184"/>
      <c r="N2877" s="184"/>
      <c r="O2877" s="184"/>
    </row>
    <row r="2878" customFormat="false" ht="15" hidden="false" customHeight="true" outlineLevel="0" collapsed="false">
      <c r="A2878" s="184"/>
      <c r="B2878" s="184"/>
      <c r="C2878" s="184"/>
      <c r="D2878" s="184"/>
      <c r="E2878" s="184"/>
      <c r="F2878" s="184"/>
      <c r="G2878" s="184"/>
      <c r="H2878" s="184"/>
      <c r="I2878" s="184"/>
      <c r="J2878" s="184"/>
      <c r="K2878" s="184"/>
      <c r="L2878" s="184"/>
      <c r="M2878" s="184"/>
      <c r="N2878" s="184"/>
      <c r="O2878" s="184"/>
    </row>
    <row r="2879" customFormat="false" ht="15" hidden="false" customHeight="true" outlineLevel="0" collapsed="false">
      <c r="A2879" s="184"/>
      <c r="B2879" s="184"/>
      <c r="C2879" s="184"/>
      <c r="D2879" s="184"/>
      <c r="E2879" s="184"/>
      <c r="F2879" s="184"/>
      <c r="G2879" s="184"/>
      <c r="H2879" s="184"/>
      <c r="I2879" s="184"/>
      <c r="J2879" s="184"/>
      <c r="K2879" s="184"/>
      <c r="L2879" s="184"/>
      <c r="M2879" s="184"/>
      <c r="N2879" s="184"/>
      <c r="O2879" s="184"/>
    </row>
    <row r="2880" customFormat="false" ht="15" hidden="false" customHeight="true" outlineLevel="0" collapsed="false">
      <c r="A2880" s="184"/>
      <c r="B2880" s="184"/>
      <c r="C2880" s="184"/>
      <c r="D2880" s="184"/>
      <c r="E2880" s="184"/>
      <c r="F2880" s="184"/>
      <c r="G2880" s="184"/>
      <c r="H2880" s="184"/>
      <c r="I2880" s="184"/>
      <c r="J2880" s="184"/>
      <c r="K2880" s="184"/>
      <c r="L2880" s="184"/>
      <c r="M2880" s="184"/>
      <c r="N2880" s="184"/>
      <c r="O2880" s="184"/>
    </row>
    <row r="2881" customFormat="false" ht="15" hidden="false" customHeight="true" outlineLevel="0" collapsed="false">
      <c r="A2881" s="184"/>
      <c r="B2881" s="184"/>
      <c r="C2881" s="184"/>
      <c r="D2881" s="184"/>
      <c r="E2881" s="184"/>
      <c r="F2881" s="184"/>
      <c r="G2881" s="184"/>
      <c r="H2881" s="184"/>
      <c r="I2881" s="184"/>
      <c r="J2881" s="184"/>
      <c r="K2881" s="184"/>
      <c r="L2881" s="184"/>
      <c r="M2881" s="184"/>
      <c r="N2881" s="184"/>
      <c r="O2881" s="184"/>
    </row>
    <row r="2882" customFormat="false" ht="15" hidden="false" customHeight="true" outlineLevel="0" collapsed="false">
      <c r="A2882" s="184"/>
      <c r="B2882" s="184"/>
      <c r="C2882" s="184"/>
      <c r="D2882" s="184"/>
      <c r="E2882" s="184"/>
      <c r="F2882" s="184"/>
      <c r="G2882" s="184"/>
      <c r="H2882" s="184"/>
      <c r="I2882" s="184"/>
      <c r="J2882" s="184"/>
      <c r="K2882" s="184"/>
      <c r="L2882" s="184"/>
      <c r="M2882" s="184"/>
      <c r="N2882" s="184"/>
      <c r="O2882" s="184"/>
    </row>
    <row r="2883" customFormat="false" ht="15" hidden="false" customHeight="true" outlineLevel="0" collapsed="false">
      <c r="A2883" s="184"/>
      <c r="B2883" s="184"/>
      <c r="C2883" s="184"/>
      <c r="D2883" s="184"/>
      <c r="E2883" s="184"/>
      <c r="F2883" s="184"/>
      <c r="G2883" s="184"/>
      <c r="H2883" s="184"/>
      <c r="I2883" s="184"/>
      <c r="J2883" s="184"/>
      <c r="K2883" s="184"/>
      <c r="L2883" s="184"/>
      <c r="M2883" s="184"/>
      <c r="N2883" s="184"/>
      <c r="O2883" s="184"/>
    </row>
    <row r="2884" customFormat="false" ht="15" hidden="false" customHeight="true" outlineLevel="0" collapsed="false">
      <c r="A2884" s="184"/>
      <c r="B2884" s="184"/>
      <c r="C2884" s="184"/>
      <c r="D2884" s="184"/>
      <c r="E2884" s="184"/>
      <c r="F2884" s="184"/>
      <c r="G2884" s="184"/>
      <c r="H2884" s="184"/>
      <c r="I2884" s="184"/>
      <c r="J2884" s="184"/>
      <c r="K2884" s="184"/>
      <c r="L2884" s="184"/>
      <c r="M2884" s="184"/>
      <c r="N2884" s="184"/>
      <c r="O2884" s="184"/>
    </row>
    <row r="2885" customFormat="false" ht="15" hidden="false" customHeight="true" outlineLevel="0" collapsed="false">
      <c r="A2885" s="184"/>
      <c r="B2885" s="184"/>
      <c r="C2885" s="184"/>
      <c r="D2885" s="184"/>
      <c r="E2885" s="184"/>
      <c r="F2885" s="184"/>
      <c r="G2885" s="184"/>
      <c r="H2885" s="184"/>
      <c r="I2885" s="184"/>
      <c r="J2885" s="184"/>
      <c r="K2885" s="184"/>
      <c r="L2885" s="184"/>
      <c r="M2885" s="184"/>
      <c r="N2885" s="184"/>
      <c r="O2885" s="184"/>
    </row>
    <row r="2886" customFormat="false" ht="15" hidden="false" customHeight="true" outlineLevel="0" collapsed="false">
      <c r="A2886" s="184"/>
      <c r="B2886" s="184"/>
      <c r="C2886" s="184"/>
      <c r="D2886" s="184"/>
      <c r="E2886" s="184"/>
      <c r="F2886" s="184"/>
      <c r="G2886" s="184"/>
      <c r="H2886" s="184"/>
      <c r="I2886" s="184"/>
      <c r="J2886" s="184"/>
      <c r="K2886" s="184"/>
      <c r="L2886" s="184"/>
      <c r="M2886" s="184"/>
      <c r="N2886" s="184"/>
      <c r="O2886" s="184"/>
    </row>
    <row r="2887" customFormat="false" ht="15" hidden="false" customHeight="true" outlineLevel="0" collapsed="false">
      <c r="A2887" s="184"/>
      <c r="B2887" s="184"/>
      <c r="C2887" s="184"/>
      <c r="D2887" s="184"/>
      <c r="E2887" s="184"/>
      <c r="F2887" s="184"/>
      <c r="G2887" s="184"/>
      <c r="H2887" s="184"/>
      <c r="I2887" s="184"/>
      <c r="J2887" s="184"/>
      <c r="K2887" s="184"/>
      <c r="L2887" s="184"/>
      <c r="M2887" s="184"/>
      <c r="N2887" s="184"/>
      <c r="O2887" s="184"/>
    </row>
    <row r="2888" customFormat="false" ht="15" hidden="false" customHeight="true" outlineLevel="0" collapsed="false">
      <c r="A2888" s="184"/>
      <c r="B2888" s="184"/>
      <c r="C2888" s="184"/>
      <c r="D2888" s="184"/>
      <c r="E2888" s="184"/>
      <c r="F2888" s="184"/>
      <c r="G2888" s="184"/>
      <c r="H2888" s="184"/>
      <c r="I2888" s="184"/>
      <c r="J2888" s="184"/>
      <c r="K2888" s="184"/>
      <c r="L2888" s="184"/>
      <c r="M2888" s="184"/>
      <c r="N2888" s="184"/>
      <c r="O2888" s="184"/>
    </row>
    <row r="2889" customFormat="false" ht="15" hidden="false" customHeight="true" outlineLevel="0" collapsed="false">
      <c r="A2889" s="184"/>
      <c r="B2889" s="184"/>
      <c r="C2889" s="184"/>
      <c r="D2889" s="184"/>
      <c r="E2889" s="184"/>
      <c r="F2889" s="184"/>
      <c r="G2889" s="184"/>
      <c r="H2889" s="184"/>
      <c r="I2889" s="184"/>
      <c r="J2889" s="184"/>
      <c r="K2889" s="184"/>
      <c r="L2889" s="184"/>
      <c r="M2889" s="184"/>
      <c r="N2889" s="184"/>
      <c r="O2889" s="184"/>
    </row>
    <row r="2890" customFormat="false" ht="15" hidden="false" customHeight="true" outlineLevel="0" collapsed="false">
      <c r="A2890" s="184"/>
      <c r="B2890" s="184"/>
      <c r="C2890" s="184"/>
      <c r="D2890" s="184"/>
      <c r="E2890" s="184"/>
      <c r="F2890" s="184"/>
      <c r="G2890" s="184"/>
      <c r="H2890" s="184"/>
      <c r="I2890" s="184"/>
      <c r="J2890" s="184"/>
      <c r="K2890" s="184"/>
      <c r="L2890" s="184"/>
      <c r="M2890" s="184"/>
      <c r="N2890" s="184"/>
      <c r="O2890" s="184"/>
    </row>
    <row r="2891" customFormat="false" ht="15" hidden="false" customHeight="true" outlineLevel="0" collapsed="false">
      <c r="A2891" s="184"/>
      <c r="B2891" s="184"/>
      <c r="C2891" s="184"/>
      <c r="D2891" s="184"/>
      <c r="E2891" s="184"/>
      <c r="F2891" s="184"/>
      <c r="G2891" s="184"/>
      <c r="H2891" s="184"/>
      <c r="I2891" s="184"/>
      <c r="J2891" s="184"/>
      <c r="K2891" s="184"/>
      <c r="L2891" s="184"/>
      <c r="M2891" s="184"/>
      <c r="N2891" s="184"/>
      <c r="O2891" s="184"/>
    </row>
    <row r="2892" customFormat="false" ht="15" hidden="false" customHeight="true" outlineLevel="0" collapsed="false">
      <c r="A2892" s="184"/>
      <c r="B2892" s="184"/>
      <c r="C2892" s="184"/>
      <c r="D2892" s="184"/>
      <c r="E2892" s="184"/>
      <c r="F2892" s="184"/>
      <c r="G2892" s="184"/>
      <c r="H2892" s="184"/>
      <c r="I2892" s="184"/>
      <c r="J2892" s="184"/>
      <c r="K2892" s="184"/>
      <c r="L2892" s="184"/>
      <c r="M2892" s="184"/>
      <c r="N2892" s="184"/>
      <c r="O2892" s="184"/>
    </row>
    <row r="2893" customFormat="false" ht="15" hidden="false" customHeight="true" outlineLevel="0" collapsed="false">
      <c r="A2893" s="184"/>
      <c r="B2893" s="184"/>
      <c r="C2893" s="184"/>
      <c r="D2893" s="184"/>
      <c r="E2893" s="184"/>
      <c r="F2893" s="184"/>
      <c r="G2893" s="184"/>
      <c r="H2893" s="184"/>
      <c r="I2893" s="184"/>
      <c r="J2893" s="184"/>
      <c r="K2893" s="184"/>
      <c r="L2893" s="184"/>
      <c r="M2893" s="184"/>
      <c r="N2893" s="184"/>
      <c r="O2893" s="184"/>
    </row>
    <row r="2894" customFormat="false" ht="15" hidden="false" customHeight="true" outlineLevel="0" collapsed="false">
      <c r="A2894" s="184"/>
      <c r="B2894" s="184"/>
      <c r="C2894" s="184"/>
      <c r="D2894" s="184"/>
      <c r="E2894" s="184"/>
      <c r="F2894" s="184"/>
      <c r="G2894" s="184"/>
      <c r="H2894" s="184"/>
      <c r="I2894" s="184"/>
      <c r="J2894" s="184"/>
      <c r="K2894" s="184"/>
      <c r="L2894" s="184"/>
      <c r="M2894" s="184"/>
      <c r="N2894" s="184"/>
      <c r="O2894" s="184"/>
    </row>
    <row r="2895" customFormat="false" ht="15" hidden="false" customHeight="true" outlineLevel="0" collapsed="false">
      <c r="A2895" s="184"/>
      <c r="B2895" s="184"/>
      <c r="C2895" s="184"/>
      <c r="D2895" s="184"/>
      <c r="E2895" s="184"/>
      <c r="F2895" s="184"/>
      <c r="G2895" s="184"/>
      <c r="H2895" s="184"/>
      <c r="I2895" s="184"/>
      <c r="J2895" s="184"/>
      <c r="K2895" s="184"/>
      <c r="L2895" s="184"/>
      <c r="M2895" s="184"/>
      <c r="N2895" s="184"/>
      <c r="O2895" s="184"/>
    </row>
    <row r="2896" customFormat="false" ht="15" hidden="false" customHeight="true" outlineLevel="0" collapsed="false">
      <c r="A2896" s="184"/>
      <c r="B2896" s="184"/>
      <c r="C2896" s="184"/>
      <c r="D2896" s="184"/>
      <c r="E2896" s="184"/>
      <c r="F2896" s="184"/>
      <c r="G2896" s="184"/>
      <c r="H2896" s="184"/>
      <c r="I2896" s="184"/>
      <c r="J2896" s="184"/>
      <c r="K2896" s="184"/>
      <c r="L2896" s="184"/>
      <c r="M2896" s="184"/>
      <c r="N2896" s="184"/>
      <c r="O2896" s="184"/>
    </row>
    <row r="2897" customFormat="false" ht="15" hidden="false" customHeight="true" outlineLevel="0" collapsed="false">
      <c r="A2897" s="184"/>
      <c r="B2897" s="184"/>
      <c r="C2897" s="184"/>
      <c r="D2897" s="184"/>
      <c r="E2897" s="184"/>
      <c r="F2897" s="184"/>
      <c r="G2897" s="184"/>
      <c r="H2897" s="184"/>
      <c r="I2897" s="184"/>
      <c r="J2897" s="184"/>
      <c r="K2897" s="184"/>
      <c r="L2897" s="184"/>
      <c r="M2897" s="184"/>
      <c r="N2897" s="184"/>
      <c r="O2897" s="184"/>
    </row>
    <row r="2898" customFormat="false" ht="15" hidden="false" customHeight="true" outlineLevel="0" collapsed="false">
      <c r="A2898" s="184"/>
      <c r="B2898" s="184"/>
      <c r="C2898" s="184"/>
      <c r="D2898" s="184"/>
      <c r="E2898" s="184"/>
      <c r="F2898" s="184"/>
      <c r="G2898" s="184"/>
      <c r="H2898" s="184"/>
      <c r="I2898" s="184"/>
      <c r="J2898" s="184"/>
      <c r="K2898" s="184"/>
      <c r="L2898" s="184"/>
      <c r="M2898" s="184"/>
      <c r="N2898" s="184"/>
      <c r="O2898" s="184"/>
    </row>
    <row r="2899" customFormat="false" ht="15" hidden="false" customHeight="true" outlineLevel="0" collapsed="false">
      <c r="A2899" s="184"/>
      <c r="B2899" s="184"/>
      <c r="C2899" s="184"/>
      <c r="D2899" s="184"/>
      <c r="E2899" s="184"/>
      <c r="F2899" s="184"/>
      <c r="G2899" s="184"/>
      <c r="H2899" s="184"/>
      <c r="I2899" s="184"/>
      <c r="J2899" s="184"/>
      <c r="K2899" s="184"/>
      <c r="L2899" s="184"/>
      <c r="M2899" s="184"/>
      <c r="N2899" s="184"/>
      <c r="O2899" s="184"/>
    </row>
    <row r="2900" customFormat="false" ht="15" hidden="false" customHeight="true" outlineLevel="0" collapsed="false">
      <c r="A2900" s="184"/>
      <c r="B2900" s="184"/>
      <c r="C2900" s="184"/>
      <c r="D2900" s="184"/>
      <c r="E2900" s="184"/>
      <c r="F2900" s="184"/>
      <c r="G2900" s="184"/>
      <c r="H2900" s="184"/>
      <c r="I2900" s="184"/>
      <c r="J2900" s="184"/>
      <c r="K2900" s="184"/>
      <c r="L2900" s="184"/>
      <c r="M2900" s="184"/>
      <c r="N2900" s="184"/>
      <c r="O2900" s="184"/>
    </row>
    <row r="2901" customFormat="false" ht="15" hidden="false" customHeight="true" outlineLevel="0" collapsed="false">
      <c r="A2901" s="184"/>
      <c r="B2901" s="184"/>
      <c r="C2901" s="184"/>
      <c r="D2901" s="184"/>
      <c r="E2901" s="184"/>
      <c r="F2901" s="184"/>
      <c r="G2901" s="184"/>
      <c r="H2901" s="184"/>
      <c r="I2901" s="184"/>
      <c r="J2901" s="184"/>
      <c r="K2901" s="184"/>
      <c r="L2901" s="184"/>
      <c r="M2901" s="184"/>
      <c r="N2901" s="184"/>
      <c r="O2901" s="184"/>
    </row>
    <row r="2902" customFormat="false" ht="15" hidden="false" customHeight="true" outlineLevel="0" collapsed="false">
      <c r="A2902" s="184"/>
      <c r="B2902" s="184"/>
      <c r="C2902" s="184"/>
      <c r="D2902" s="184"/>
      <c r="E2902" s="184"/>
      <c r="F2902" s="184"/>
      <c r="G2902" s="184"/>
      <c r="H2902" s="184"/>
      <c r="I2902" s="184"/>
      <c r="J2902" s="184"/>
      <c r="K2902" s="184"/>
      <c r="L2902" s="184"/>
      <c r="M2902" s="184"/>
      <c r="N2902" s="184"/>
      <c r="O2902" s="184"/>
    </row>
    <row r="2903" customFormat="false" ht="15" hidden="false" customHeight="true" outlineLevel="0" collapsed="false">
      <c r="A2903" s="184"/>
      <c r="B2903" s="184"/>
      <c r="C2903" s="184"/>
      <c r="D2903" s="184"/>
      <c r="E2903" s="184"/>
      <c r="F2903" s="184"/>
      <c r="G2903" s="184"/>
      <c r="H2903" s="184"/>
      <c r="I2903" s="184"/>
      <c r="J2903" s="184"/>
      <c r="K2903" s="184"/>
      <c r="L2903" s="184"/>
      <c r="M2903" s="184"/>
      <c r="N2903" s="184"/>
      <c r="O2903" s="184"/>
    </row>
    <row r="2904" customFormat="false" ht="15" hidden="false" customHeight="true" outlineLevel="0" collapsed="false">
      <c r="A2904" s="184"/>
      <c r="B2904" s="184"/>
      <c r="C2904" s="184"/>
      <c r="D2904" s="184"/>
      <c r="E2904" s="184"/>
      <c r="F2904" s="184"/>
      <c r="G2904" s="184"/>
      <c r="H2904" s="184"/>
      <c r="I2904" s="184"/>
      <c r="J2904" s="184"/>
      <c r="K2904" s="184"/>
      <c r="L2904" s="184"/>
      <c r="M2904" s="184"/>
      <c r="N2904" s="184"/>
      <c r="O2904" s="184"/>
    </row>
    <row r="2905" customFormat="false" ht="15" hidden="false" customHeight="true" outlineLevel="0" collapsed="false">
      <c r="A2905" s="184" t="s">
        <v>4948</v>
      </c>
      <c r="B2905" s="184" t="s">
        <v>4949</v>
      </c>
      <c r="C2905" s="184" t="n">
        <v>1</v>
      </c>
      <c r="D2905" s="178" t="s">
        <v>5269</v>
      </c>
      <c r="E2905" s="184" t="s">
        <v>2895</v>
      </c>
      <c r="F2905" s="184"/>
      <c r="G2905" s="184"/>
      <c r="H2905" s="184"/>
      <c r="I2905" s="184"/>
      <c r="J2905" s="184"/>
      <c r="K2905" s="184"/>
      <c r="L2905" s="184"/>
      <c r="M2905" s="184" t="s">
        <v>6291</v>
      </c>
      <c r="N2905" s="184"/>
      <c r="O2905" s="184"/>
    </row>
    <row r="2906" customFormat="false" ht="15" hidden="false" customHeight="true" outlineLevel="0" collapsed="false">
      <c r="A2906" s="184" t="s">
        <v>4948</v>
      </c>
      <c r="B2906" s="184" t="s">
        <v>4949</v>
      </c>
      <c r="C2906" s="184" t="n">
        <v>2</v>
      </c>
      <c r="D2906" s="179" t="s">
        <v>6292</v>
      </c>
      <c r="E2906" s="184" t="s">
        <v>3698</v>
      </c>
      <c r="F2906" s="184"/>
      <c r="G2906" s="184"/>
      <c r="H2906" s="184"/>
      <c r="I2906" s="184"/>
      <c r="J2906" s="184"/>
      <c r="K2906" s="184"/>
      <c r="L2906" s="184"/>
      <c r="M2906" s="184"/>
      <c r="N2906" s="184"/>
      <c r="O2906" s="184"/>
    </row>
    <row r="2907" customFormat="false" ht="27.75" hidden="false" customHeight="true" outlineLevel="0" collapsed="false">
      <c r="A2907" s="184" t="s">
        <v>4948</v>
      </c>
      <c r="B2907" s="184" t="s">
        <v>4949</v>
      </c>
      <c r="C2907" s="184" t="n">
        <v>3</v>
      </c>
      <c r="D2907" s="184" t="s">
        <v>6294</v>
      </c>
      <c r="E2907" s="184" t="s">
        <v>7108</v>
      </c>
      <c r="F2907" s="184"/>
      <c r="G2907" s="184"/>
      <c r="H2907" s="184"/>
      <c r="I2907" s="184"/>
      <c r="J2907" s="184"/>
      <c r="K2907" s="184"/>
      <c r="L2907" s="184"/>
      <c r="M2907" s="184"/>
      <c r="N2907" s="184"/>
      <c r="O2907" s="184"/>
    </row>
    <row r="2908" customFormat="false" ht="15" hidden="false" customHeight="true" outlineLevel="0" collapsed="false">
      <c r="A2908" s="184" t="s">
        <v>4948</v>
      </c>
      <c r="B2908" s="184" t="s">
        <v>4949</v>
      </c>
      <c r="C2908" s="184" t="n">
        <v>4</v>
      </c>
      <c r="D2908" s="179" t="s">
        <v>6292</v>
      </c>
      <c r="E2908" s="184" t="s">
        <v>7109</v>
      </c>
      <c r="F2908" s="184"/>
      <c r="G2908" s="184"/>
      <c r="H2908" s="184"/>
      <c r="I2908" s="184"/>
      <c r="J2908" s="184"/>
      <c r="K2908" s="184"/>
      <c r="L2908" s="184"/>
      <c r="M2908" s="184"/>
      <c r="N2908" s="184"/>
      <c r="O2908" s="184"/>
    </row>
    <row r="2909" customFormat="false" ht="15" hidden="false" customHeight="true" outlineLevel="0" collapsed="false">
      <c r="A2909" s="184" t="s">
        <v>4948</v>
      </c>
      <c r="B2909" s="184" t="s">
        <v>4949</v>
      </c>
      <c r="C2909" s="184" t="n">
        <v>5</v>
      </c>
      <c r="D2909" s="178" t="s">
        <v>5269</v>
      </c>
      <c r="E2909" s="184" t="s">
        <v>7110</v>
      </c>
      <c r="F2909" s="184"/>
      <c r="G2909" s="184"/>
      <c r="H2909" s="184"/>
      <c r="I2909" s="184"/>
      <c r="J2909" s="184"/>
      <c r="K2909" s="184"/>
      <c r="L2909" s="184"/>
      <c r="M2909" s="184" t="s">
        <v>7111</v>
      </c>
      <c r="N2909" s="184"/>
      <c r="O2909" s="184"/>
    </row>
    <row r="2910" customFormat="false" ht="15" hidden="false" customHeight="true" outlineLevel="0" collapsed="false">
      <c r="A2910" s="184" t="s">
        <v>4948</v>
      </c>
      <c r="B2910" s="184" t="s">
        <v>4949</v>
      </c>
      <c r="C2910" s="184" t="n">
        <v>6</v>
      </c>
      <c r="D2910" s="178" t="s">
        <v>5269</v>
      </c>
      <c r="E2910" s="184" t="s">
        <v>7112</v>
      </c>
      <c r="F2910" s="184"/>
      <c r="G2910" s="184"/>
      <c r="H2910" s="184"/>
      <c r="I2910" s="184"/>
      <c r="J2910" s="184"/>
      <c r="K2910" s="184"/>
      <c r="L2910" s="184"/>
      <c r="M2910" s="184" t="s">
        <v>7113</v>
      </c>
      <c r="N2910" s="184"/>
      <c r="O2910" s="184"/>
    </row>
    <row r="2911" customFormat="false" ht="27.75" hidden="false" customHeight="true" outlineLevel="0" collapsed="false">
      <c r="A2911" s="184" t="s">
        <v>4948</v>
      </c>
      <c r="B2911" s="184" t="s">
        <v>4949</v>
      </c>
      <c r="C2911" s="184" t="n">
        <v>7</v>
      </c>
      <c r="D2911" s="178" t="s">
        <v>5269</v>
      </c>
      <c r="E2911" s="184" t="s">
        <v>7114</v>
      </c>
      <c r="F2911" s="184"/>
      <c r="G2911" s="184"/>
      <c r="H2911" s="184"/>
      <c r="I2911" s="184"/>
      <c r="J2911" s="184"/>
      <c r="K2911" s="184"/>
      <c r="L2911" s="184"/>
      <c r="M2911" s="184" t="s">
        <v>7115</v>
      </c>
      <c r="N2911" s="184"/>
      <c r="O2911" s="184"/>
    </row>
    <row r="2912" customFormat="false" ht="15" hidden="false" customHeight="true" outlineLevel="0" collapsed="false">
      <c r="A2912" s="184" t="s">
        <v>4948</v>
      </c>
      <c r="B2912" s="184" t="s">
        <v>4949</v>
      </c>
      <c r="C2912" s="184" t="n">
        <v>8</v>
      </c>
      <c r="D2912" s="179" t="s">
        <v>6292</v>
      </c>
      <c r="E2912" s="184" t="s">
        <v>7116</v>
      </c>
      <c r="F2912" s="184"/>
      <c r="G2912" s="184"/>
      <c r="H2912" s="184"/>
      <c r="I2912" s="184"/>
      <c r="J2912" s="184"/>
      <c r="K2912" s="184"/>
      <c r="L2912" s="184"/>
      <c r="M2912" s="184"/>
      <c r="N2912" s="184"/>
      <c r="O2912" s="184"/>
    </row>
    <row r="2913" customFormat="false" ht="15" hidden="false" customHeight="true" outlineLevel="0" collapsed="false">
      <c r="A2913" s="184" t="s">
        <v>4948</v>
      </c>
      <c r="B2913" s="184" t="s">
        <v>4949</v>
      </c>
      <c r="C2913" s="184" t="n">
        <v>9</v>
      </c>
      <c r="D2913" s="178" t="s">
        <v>5269</v>
      </c>
      <c r="E2913" s="184" t="s">
        <v>7117</v>
      </c>
      <c r="F2913" s="184"/>
      <c r="G2913" s="184"/>
      <c r="H2913" s="184"/>
      <c r="I2913" s="184"/>
      <c r="J2913" s="184"/>
      <c r="K2913" s="184"/>
      <c r="L2913" s="184"/>
      <c r="M2913" s="184" t="s">
        <v>7118</v>
      </c>
      <c r="N2913" s="184"/>
      <c r="O2913" s="184"/>
    </row>
    <row r="2914" customFormat="false" ht="15" hidden="false" customHeight="true" outlineLevel="0" collapsed="false">
      <c r="A2914" s="184" t="s">
        <v>4948</v>
      </c>
      <c r="B2914" s="184" t="s">
        <v>4949</v>
      </c>
      <c r="C2914" s="184" t="n">
        <v>10</v>
      </c>
      <c r="D2914" s="178" t="s">
        <v>5269</v>
      </c>
      <c r="E2914" s="184" t="s">
        <v>7119</v>
      </c>
      <c r="F2914" s="184"/>
      <c r="G2914" s="184"/>
      <c r="H2914" s="184"/>
      <c r="I2914" s="184"/>
      <c r="J2914" s="184"/>
      <c r="K2914" s="184"/>
      <c r="L2914" s="184"/>
      <c r="M2914" s="184" t="s">
        <v>7120</v>
      </c>
      <c r="N2914" s="184"/>
      <c r="O2914" s="184"/>
    </row>
    <row r="2915" customFormat="false" ht="27.75" hidden="false" customHeight="true" outlineLevel="0" collapsed="false">
      <c r="A2915" s="184" t="s">
        <v>4948</v>
      </c>
      <c r="B2915" s="184" t="s">
        <v>4949</v>
      </c>
      <c r="C2915" s="184" t="n">
        <v>11</v>
      </c>
      <c r="D2915" s="178" t="s">
        <v>5269</v>
      </c>
      <c r="E2915" s="184" t="s">
        <v>7121</v>
      </c>
      <c r="F2915" s="184"/>
      <c r="G2915" s="184"/>
      <c r="H2915" s="184"/>
      <c r="I2915" s="184"/>
      <c r="J2915" s="184"/>
      <c r="K2915" s="184"/>
      <c r="L2915" s="184"/>
      <c r="M2915" s="184" t="s">
        <v>7122</v>
      </c>
      <c r="N2915" s="184"/>
      <c r="O2915" s="184"/>
    </row>
    <row r="2916" customFormat="false" ht="15" hidden="false" customHeight="true" outlineLevel="0" collapsed="false">
      <c r="A2916" s="184" t="s">
        <v>4948</v>
      </c>
      <c r="B2916" s="184" t="s">
        <v>4949</v>
      </c>
      <c r="C2916" s="184" t="n">
        <v>12</v>
      </c>
      <c r="D2916" s="178" t="s">
        <v>5269</v>
      </c>
      <c r="E2916" s="184" t="s">
        <v>7123</v>
      </c>
      <c r="F2916" s="184"/>
      <c r="G2916" s="184"/>
      <c r="H2916" s="184"/>
      <c r="I2916" s="184"/>
      <c r="J2916" s="184"/>
      <c r="K2916" s="184"/>
      <c r="L2916" s="184"/>
      <c r="M2916" s="184" t="s">
        <v>7124</v>
      </c>
      <c r="N2916" s="184"/>
      <c r="O2916" s="184"/>
    </row>
    <row r="2917" customFormat="false" ht="15" hidden="false" customHeight="true" outlineLevel="0" collapsed="false">
      <c r="A2917" s="184" t="s">
        <v>4948</v>
      </c>
      <c r="B2917" s="184" t="s">
        <v>4949</v>
      </c>
      <c r="C2917" s="184" t="n">
        <v>13</v>
      </c>
      <c r="D2917" s="178" t="s">
        <v>5269</v>
      </c>
      <c r="E2917" s="184" t="s">
        <v>7125</v>
      </c>
      <c r="F2917" s="184"/>
      <c r="G2917" s="184"/>
      <c r="H2917" s="184"/>
      <c r="I2917" s="184"/>
      <c r="J2917" s="184"/>
      <c r="K2917" s="184"/>
      <c r="L2917" s="184"/>
      <c r="M2917" s="184" t="s">
        <v>7126</v>
      </c>
      <c r="N2917" s="184"/>
      <c r="O2917" s="184"/>
    </row>
    <row r="2918" customFormat="false" ht="15" hidden="false" customHeight="true" outlineLevel="0" collapsed="false">
      <c r="A2918" s="184" t="s">
        <v>4948</v>
      </c>
      <c r="B2918" s="184" t="s">
        <v>4949</v>
      </c>
      <c r="C2918" s="184" t="n">
        <v>14</v>
      </c>
      <c r="D2918" s="178" t="s">
        <v>5269</v>
      </c>
      <c r="E2918" s="184" t="s">
        <v>7127</v>
      </c>
      <c r="F2918" s="184"/>
      <c r="G2918" s="184"/>
      <c r="H2918" s="184"/>
      <c r="I2918" s="184"/>
      <c r="J2918" s="184"/>
      <c r="K2918" s="184"/>
      <c r="L2918" s="184"/>
      <c r="M2918" s="184" t="s">
        <v>7128</v>
      </c>
      <c r="N2918" s="184"/>
      <c r="O2918" s="184"/>
    </row>
    <row r="2919" customFormat="false" ht="15" hidden="false" customHeight="true" outlineLevel="0" collapsed="false">
      <c r="A2919" s="184" t="s">
        <v>4948</v>
      </c>
      <c r="B2919" s="184" t="s">
        <v>4949</v>
      </c>
      <c r="C2919" s="184" t="n">
        <v>15</v>
      </c>
      <c r="D2919" s="179" t="s">
        <v>6292</v>
      </c>
      <c r="E2919" s="184" t="s">
        <v>3699</v>
      </c>
      <c r="F2919" s="184"/>
      <c r="G2919" s="184"/>
      <c r="H2919" s="184"/>
      <c r="I2919" s="184"/>
      <c r="J2919" s="184"/>
      <c r="K2919" s="184"/>
      <c r="L2919" s="184"/>
      <c r="M2919" s="184"/>
      <c r="N2919" s="184"/>
      <c r="O2919" s="184"/>
    </row>
    <row r="2920" customFormat="false" ht="15" hidden="false" customHeight="true" outlineLevel="0" collapsed="false">
      <c r="A2920" s="184" t="s">
        <v>4948</v>
      </c>
      <c r="B2920" s="184" t="s">
        <v>4949</v>
      </c>
      <c r="C2920" s="184" t="n">
        <v>16</v>
      </c>
      <c r="D2920" s="178" t="s">
        <v>5269</v>
      </c>
      <c r="E2920" s="184" t="s">
        <v>7129</v>
      </c>
      <c r="F2920" s="184"/>
      <c r="G2920" s="184"/>
      <c r="H2920" s="184"/>
      <c r="I2920" s="184"/>
      <c r="J2920" s="184"/>
      <c r="K2920" s="184"/>
      <c r="L2920" s="184"/>
      <c r="M2920" s="184" t="s">
        <v>7130</v>
      </c>
      <c r="N2920" s="184"/>
      <c r="O2920" s="184"/>
    </row>
    <row r="2921" customFormat="false" ht="15" hidden="false" customHeight="true" outlineLevel="0" collapsed="false">
      <c r="A2921" s="184" t="s">
        <v>4948</v>
      </c>
      <c r="B2921" s="184" t="s">
        <v>4949</v>
      </c>
      <c r="C2921" s="184" t="n">
        <v>17</v>
      </c>
      <c r="D2921" s="178" t="s">
        <v>5269</v>
      </c>
      <c r="E2921" s="184" t="s">
        <v>7131</v>
      </c>
      <c r="F2921" s="184"/>
      <c r="G2921" s="184"/>
      <c r="H2921" s="184"/>
      <c r="I2921" s="184"/>
      <c r="J2921" s="184"/>
      <c r="K2921" s="184"/>
      <c r="L2921" s="184"/>
      <c r="M2921" s="184" t="s">
        <v>7132</v>
      </c>
      <c r="N2921" s="184"/>
      <c r="O2921" s="184"/>
    </row>
    <row r="2922" customFormat="false" ht="15" hidden="false" customHeight="true" outlineLevel="0" collapsed="false">
      <c r="A2922" s="184" t="s">
        <v>4948</v>
      </c>
      <c r="B2922" s="184" t="s">
        <v>4949</v>
      </c>
      <c r="C2922" s="184" t="n">
        <v>18</v>
      </c>
      <c r="D2922" s="178" t="s">
        <v>5269</v>
      </c>
      <c r="E2922" s="184" t="s">
        <v>7133</v>
      </c>
      <c r="F2922" s="184"/>
      <c r="G2922" s="184"/>
      <c r="H2922" s="184"/>
      <c r="I2922" s="184"/>
      <c r="J2922" s="184"/>
      <c r="K2922" s="184"/>
      <c r="L2922" s="184"/>
      <c r="M2922" s="184" t="s">
        <v>7134</v>
      </c>
      <c r="N2922" s="184"/>
      <c r="O2922" s="184"/>
    </row>
    <row r="2923" customFormat="false" ht="15" hidden="false" customHeight="true" outlineLevel="0" collapsed="false">
      <c r="A2923" s="184" t="s">
        <v>4948</v>
      </c>
      <c r="B2923" s="184" t="s">
        <v>4949</v>
      </c>
      <c r="C2923" s="184" t="n">
        <v>19</v>
      </c>
      <c r="D2923" s="178" t="s">
        <v>5269</v>
      </c>
      <c r="E2923" s="184" t="s">
        <v>7135</v>
      </c>
      <c r="F2923" s="184"/>
      <c r="G2923" s="184"/>
      <c r="H2923" s="184"/>
      <c r="I2923" s="184"/>
      <c r="J2923" s="184"/>
      <c r="K2923" s="184"/>
      <c r="L2923" s="184"/>
      <c r="M2923" s="184" t="s">
        <v>7136</v>
      </c>
      <c r="N2923" s="184"/>
      <c r="O2923" s="184"/>
    </row>
    <row r="2924" customFormat="false" ht="15" hidden="false" customHeight="true" outlineLevel="0" collapsed="false">
      <c r="A2924" s="184" t="s">
        <v>4948</v>
      </c>
      <c r="B2924" s="184" t="s">
        <v>4949</v>
      </c>
      <c r="C2924" s="184" t="n">
        <v>20</v>
      </c>
      <c r="D2924" s="178" t="s">
        <v>5269</v>
      </c>
      <c r="E2924" s="184" t="s">
        <v>7137</v>
      </c>
      <c r="F2924" s="184"/>
      <c r="G2924" s="184"/>
      <c r="H2924" s="184"/>
      <c r="I2924" s="184"/>
      <c r="J2924" s="184"/>
      <c r="K2924" s="184"/>
      <c r="L2924" s="184"/>
      <c r="M2924" s="184" t="s">
        <v>7138</v>
      </c>
      <c r="N2924" s="184"/>
      <c r="O2924" s="184"/>
    </row>
    <row r="2925" customFormat="false" ht="15" hidden="false" customHeight="true" outlineLevel="0" collapsed="false">
      <c r="A2925" s="184" t="s">
        <v>4948</v>
      </c>
      <c r="B2925" s="184" t="s">
        <v>4949</v>
      </c>
      <c r="C2925" s="184" t="n">
        <v>21</v>
      </c>
      <c r="D2925" s="178" t="s">
        <v>5269</v>
      </c>
      <c r="E2925" s="184" t="s">
        <v>7139</v>
      </c>
      <c r="F2925" s="184"/>
      <c r="G2925" s="184"/>
      <c r="H2925" s="184"/>
      <c r="I2925" s="184"/>
      <c r="J2925" s="184"/>
      <c r="K2925" s="184"/>
      <c r="L2925" s="184"/>
      <c r="M2925" s="184" t="s">
        <v>7140</v>
      </c>
      <c r="N2925" s="184"/>
      <c r="O2925" s="184"/>
    </row>
    <row r="2926" customFormat="false" ht="15" hidden="false" customHeight="true" outlineLevel="0" collapsed="false">
      <c r="A2926" s="184" t="s">
        <v>4948</v>
      </c>
      <c r="B2926" s="184" t="s">
        <v>4949</v>
      </c>
      <c r="C2926" s="184" t="n">
        <v>22</v>
      </c>
      <c r="D2926" s="179" t="s">
        <v>6292</v>
      </c>
      <c r="E2926" s="184" t="s">
        <v>7141</v>
      </c>
      <c r="F2926" s="184"/>
      <c r="G2926" s="184"/>
      <c r="H2926" s="184"/>
      <c r="I2926" s="184"/>
      <c r="J2926" s="184"/>
      <c r="K2926" s="184"/>
      <c r="L2926" s="184"/>
      <c r="M2926" s="184"/>
      <c r="N2926" s="184"/>
      <c r="O2926" s="184"/>
    </row>
    <row r="2927" customFormat="false" ht="15" hidden="false" customHeight="true" outlineLevel="0" collapsed="false">
      <c r="A2927" s="184" t="s">
        <v>4948</v>
      </c>
      <c r="B2927" s="184" t="s">
        <v>4949</v>
      </c>
      <c r="C2927" s="184" t="n">
        <v>23</v>
      </c>
      <c r="D2927" s="178" t="s">
        <v>6457</v>
      </c>
      <c r="E2927" s="184" t="s">
        <v>7142</v>
      </c>
      <c r="F2927" s="184"/>
      <c r="G2927" s="184"/>
      <c r="H2927" s="184"/>
      <c r="I2927" s="184"/>
      <c r="J2927" s="184"/>
      <c r="K2927" s="184"/>
      <c r="L2927" s="184"/>
      <c r="M2927" s="184" t="s">
        <v>7143</v>
      </c>
      <c r="N2927" s="184"/>
      <c r="O2927" s="184"/>
    </row>
    <row r="2928" customFormat="false" ht="41.25" hidden="false" customHeight="true" outlineLevel="0" collapsed="false">
      <c r="A2928" s="184" t="s">
        <v>4948</v>
      </c>
      <c r="B2928" s="184" t="s">
        <v>4949</v>
      </c>
      <c r="C2928" s="184" t="n">
        <v>24</v>
      </c>
      <c r="D2928" s="178" t="s">
        <v>5269</v>
      </c>
      <c r="E2928" s="184" t="s">
        <v>7144</v>
      </c>
      <c r="F2928" s="184"/>
      <c r="G2928" s="184"/>
      <c r="H2928" s="184"/>
      <c r="I2928" s="184"/>
      <c r="J2928" s="184"/>
      <c r="K2928" s="184"/>
      <c r="L2928" s="184"/>
      <c r="M2928" s="184" t="s">
        <v>7145</v>
      </c>
      <c r="N2928" s="184"/>
      <c r="O2928" s="184"/>
    </row>
    <row r="2929" customFormat="false" ht="15" hidden="false" customHeight="true" outlineLevel="0" collapsed="false">
      <c r="A2929" s="184" t="s">
        <v>4948</v>
      </c>
      <c r="B2929" s="184" t="s">
        <v>4949</v>
      </c>
      <c r="C2929" s="184" t="n">
        <v>25</v>
      </c>
      <c r="D2929" s="178" t="s">
        <v>5269</v>
      </c>
      <c r="E2929" s="184" t="s">
        <v>7146</v>
      </c>
      <c r="F2929" s="184"/>
      <c r="G2929" s="184"/>
      <c r="H2929" s="184"/>
      <c r="I2929" s="184"/>
      <c r="J2929" s="184"/>
      <c r="K2929" s="184"/>
      <c r="L2929" s="184"/>
      <c r="M2929" s="184" t="s">
        <v>7147</v>
      </c>
      <c r="N2929" s="184"/>
      <c r="O2929" s="184"/>
    </row>
    <row r="2930" customFormat="false" ht="15" hidden="false" customHeight="true" outlineLevel="0" collapsed="false">
      <c r="A2930" s="184" t="s">
        <v>4948</v>
      </c>
      <c r="B2930" s="184" t="s">
        <v>4949</v>
      </c>
      <c r="C2930" s="184" t="n">
        <v>26</v>
      </c>
      <c r="D2930" s="178" t="s">
        <v>5269</v>
      </c>
      <c r="E2930" s="184" t="s">
        <v>7148</v>
      </c>
      <c r="F2930" s="184"/>
      <c r="G2930" s="184"/>
      <c r="H2930" s="184"/>
      <c r="I2930" s="184"/>
      <c r="J2930" s="184"/>
      <c r="K2930" s="184"/>
      <c r="L2930" s="184"/>
      <c r="M2930" s="184" t="s">
        <v>7149</v>
      </c>
      <c r="N2930" s="184"/>
      <c r="O2930" s="184"/>
    </row>
    <row r="2931" customFormat="false" ht="27.75" hidden="false" customHeight="true" outlineLevel="0" collapsed="false">
      <c r="A2931" s="184" t="s">
        <v>4948</v>
      </c>
      <c r="B2931" s="184" t="s">
        <v>4949</v>
      </c>
      <c r="C2931" s="184" t="n">
        <v>27</v>
      </c>
      <c r="D2931" s="178" t="s">
        <v>5269</v>
      </c>
      <c r="E2931" s="184" t="s">
        <v>7150</v>
      </c>
      <c r="F2931" s="184"/>
      <c r="G2931" s="184"/>
      <c r="H2931" s="184"/>
      <c r="I2931" s="184"/>
      <c r="J2931" s="184"/>
      <c r="K2931" s="184"/>
      <c r="L2931" s="184"/>
      <c r="M2931" s="184" t="s">
        <v>7151</v>
      </c>
      <c r="N2931" s="184"/>
      <c r="O2931" s="184"/>
    </row>
    <row r="2932" customFormat="false" ht="27.75" hidden="false" customHeight="true" outlineLevel="0" collapsed="false">
      <c r="A2932" s="184" t="s">
        <v>4948</v>
      </c>
      <c r="B2932" s="184" t="s">
        <v>4949</v>
      </c>
      <c r="C2932" s="184" t="n">
        <v>28</v>
      </c>
      <c r="D2932" s="178" t="s">
        <v>5269</v>
      </c>
      <c r="E2932" s="184" t="s">
        <v>7152</v>
      </c>
      <c r="F2932" s="184"/>
      <c r="G2932" s="184"/>
      <c r="H2932" s="184"/>
      <c r="I2932" s="184"/>
      <c r="J2932" s="184"/>
      <c r="K2932" s="184"/>
      <c r="L2932" s="184"/>
      <c r="M2932" s="184" t="s">
        <v>7153</v>
      </c>
      <c r="N2932" s="184"/>
      <c r="O2932" s="184"/>
    </row>
    <row r="2933" customFormat="false" ht="15" hidden="false" customHeight="true" outlineLevel="0" collapsed="false">
      <c r="A2933" s="184" t="s">
        <v>4948</v>
      </c>
      <c r="B2933" s="184" t="s">
        <v>4949</v>
      </c>
      <c r="C2933" s="184" t="n">
        <v>29</v>
      </c>
      <c r="D2933" s="178" t="s">
        <v>6457</v>
      </c>
      <c r="E2933" s="184" t="s">
        <v>7154</v>
      </c>
      <c r="F2933" s="184"/>
      <c r="G2933" s="184"/>
      <c r="H2933" s="184"/>
      <c r="I2933" s="184"/>
      <c r="J2933" s="184"/>
      <c r="K2933" s="184"/>
      <c r="L2933" s="184"/>
      <c r="M2933" s="184" t="s">
        <v>7155</v>
      </c>
      <c r="N2933" s="184"/>
      <c r="O2933" s="184"/>
    </row>
    <row r="2934" customFormat="false" ht="15" hidden="false" customHeight="true" outlineLevel="0" collapsed="false">
      <c r="A2934" s="184" t="s">
        <v>4948</v>
      </c>
      <c r="B2934" s="184" t="s">
        <v>4949</v>
      </c>
      <c r="C2934" s="184" t="n">
        <v>30</v>
      </c>
      <c r="D2934" s="179" t="s">
        <v>6292</v>
      </c>
      <c r="E2934" s="184" t="s">
        <v>29</v>
      </c>
      <c r="F2934" s="184"/>
      <c r="G2934" s="184"/>
      <c r="H2934" s="184"/>
      <c r="I2934" s="184"/>
      <c r="J2934" s="184"/>
      <c r="K2934" s="184"/>
      <c r="L2934" s="184"/>
      <c r="M2934" s="184"/>
      <c r="N2934" s="184"/>
      <c r="O2934" s="184"/>
    </row>
    <row r="2935" customFormat="false" ht="27.75" hidden="false" customHeight="true" outlineLevel="0" collapsed="false">
      <c r="A2935" s="184" t="s">
        <v>4948</v>
      </c>
      <c r="B2935" s="184" t="s">
        <v>4949</v>
      </c>
      <c r="C2935" s="184" t="n">
        <v>31</v>
      </c>
      <c r="D2935" s="178" t="s">
        <v>5269</v>
      </c>
      <c r="E2935" s="184" t="s">
        <v>7156</v>
      </c>
      <c r="F2935" s="184"/>
      <c r="G2935" s="184"/>
      <c r="H2935" s="184"/>
      <c r="I2935" s="184"/>
      <c r="J2935" s="184"/>
      <c r="K2935" s="184"/>
      <c r="L2935" s="184"/>
      <c r="M2935" s="184" t="s">
        <v>7157</v>
      </c>
      <c r="N2935" s="184"/>
      <c r="O2935" s="184"/>
    </row>
    <row r="2936" customFormat="false" ht="15" hidden="false" customHeight="true" outlineLevel="0" collapsed="false">
      <c r="A2936" s="184" t="s">
        <v>4948</v>
      </c>
      <c r="B2936" s="184" t="s">
        <v>4949</v>
      </c>
      <c r="C2936" s="184" t="n">
        <v>32</v>
      </c>
      <c r="D2936" s="178" t="s">
        <v>5269</v>
      </c>
      <c r="E2936" s="184" t="s">
        <v>7158</v>
      </c>
      <c r="F2936" s="184"/>
      <c r="G2936" s="184"/>
      <c r="H2936" s="184"/>
      <c r="I2936" s="184"/>
      <c r="J2936" s="184"/>
      <c r="K2936" s="184"/>
      <c r="L2936" s="184"/>
      <c r="M2936" s="184" t="s">
        <v>7159</v>
      </c>
      <c r="N2936" s="184"/>
      <c r="O2936" s="184"/>
    </row>
    <row r="2937" customFormat="false" ht="27.75" hidden="false" customHeight="true" outlineLevel="0" collapsed="false">
      <c r="A2937" s="184" t="s">
        <v>4948</v>
      </c>
      <c r="B2937" s="184" t="s">
        <v>4949</v>
      </c>
      <c r="C2937" s="184" t="n">
        <v>33</v>
      </c>
      <c r="D2937" s="178" t="s">
        <v>5269</v>
      </c>
      <c r="E2937" s="184" t="s">
        <v>7160</v>
      </c>
      <c r="F2937" s="184"/>
      <c r="G2937" s="184"/>
      <c r="H2937" s="184"/>
      <c r="I2937" s="184"/>
      <c r="J2937" s="184"/>
      <c r="K2937" s="184"/>
      <c r="L2937" s="184"/>
      <c r="M2937" s="184" t="s">
        <v>7161</v>
      </c>
      <c r="N2937" s="184"/>
      <c r="O2937" s="184"/>
    </row>
    <row r="2938" customFormat="false" ht="15" hidden="false" customHeight="true" outlineLevel="0" collapsed="false">
      <c r="A2938" s="184" t="s">
        <v>4948</v>
      </c>
      <c r="B2938" s="184" t="s">
        <v>4949</v>
      </c>
      <c r="C2938" s="184" t="n">
        <v>34</v>
      </c>
      <c r="D2938" s="178" t="s">
        <v>5269</v>
      </c>
      <c r="E2938" s="184" t="s">
        <v>7162</v>
      </c>
      <c r="F2938" s="184"/>
      <c r="G2938" s="184"/>
      <c r="H2938" s="184"/>
      <c r="I2938" s="184"/>
      <c r="J2938" s="184"/>
      <c r="K2938" s="184"/>
      <c r="L2938" s="184"/>
      <c r="M2938" s="184" t="s">
        <v>7163</v>
      </c>
      <c r="N2938" s="184"/>
      <c r="O2938" s="184"/>
    </row>
    <row r="2939" customFormat="false" ht="15" hidden="false" customHeight="true" outlineLevel="0" collapsed="false">
      <c r="A2939" s="184" t="s">
        <v>4948</v>
      </c>
      <c r="B2939" s="184" t="s">
        <v>4949</v>
      </c>
      <c r="C2939" s="184" t="n">
        <v>35</v>
      </c>
      <c r="D2939" s="178" t="s">
        <v>5269</v>
      </c>
      <c r="E2939" s="184" t="s">
        <v>7164</v>
      </c>
      <c r="F2939" s="184"/>
      <c r="G2939" s="184"/>
      <c r="H2939" s="184"/>
      <c r="I2939" s="184"/>
      <c r="J2939" s="184"/>
      <c r="K2939" s="184"/>
      <c r="L2939" s="184"/>
      <c r="M2939" s="184" t="s">
        <v>7165</v>
      </c>
      <c r="N2939" s="184"/>
      <c r="O2939" s="184"/>
    </row>
    <row r="2940" customFormat="false" ht="27.75" hidden="false" customHeight="true" outlineLevel="0" collapsed="false">
      <c r="A2940" s="184" t="s">
        <v>4948</v>
      </c>
      <c r="B2940" s="184" t="s">
        <v>4949</v>
      </c>
      <c r="C2940" s="184" t="n">
        <v>36</v>
      </c>
      <c r="D2940" s="178" t="s">
        <v>5269</v>
      </c>
      <c r="E2940" s="184" t="s">
        <v>7166</v>
      </c>
      <c r="F2940" s="184"/>
      <c r="G2940" s="184"/>
      <c r="H2940" s="184"/>
      <c r="I2940" s="184"/>
      <c r="J2940" s="184"/>
      <c r="K2940" s="184"/>
      <c r="L2940" s="184"/>
      <c r="M2940" s="184" t="s">
        <v>7167</v>
      </c>
      <c r="N2940" s="184"/>
      <c r="O2940" s="184"/>
    </row>
    <row r="2941" customFormat="false" ht="27.75" hidden="false" customHeight="true" outlineLevel="0" collapsed="false">
      <c r="A2941" s="184" t="s">
        <v>4948</v>
      </c>
      <c r="B2941" s="184" t="s">
        <v>4949</v>
      </c>
      <c r="C2941" s="184" t="n">
        <v>37</v>
      </c>
      <c r="D2941" s="177" t="s">
        <v>5276</v>
      </c>
      <c r="E2941" s="184" t="s">
        <v>7168</v>
      </c>
      <c r="F2941" s="184"/>
      <c r="G2941" s="184"/>
      <c r="H2941" s="184"/>
      <c r="I2941" s="184"/>
      <c r="J2941" s="184"/>
      <c r="K2941" s="184"/>
      <c r="L2941" s="184"/>
      <c r="M2941" s="184"/>
      <c r="N2941" s="184"/>
      <c r="O2941" s="184"/>
    </row>
    <row r="2942" customFormat="false" ht="15" hidden="false" customHeight="true" outlineLevel="0" collapsed="false">
      <c r="A2942" s="184"/>
      <c r="B2942" s="184"/>
      <c r="C2942" s="184"/>
      <c r="D2942" s="184"/>
      <c r="E2942" s="184"/>
      <c r="F2942" s="184"/>
      <c r="G2942" s="184"/>
      <c r="H2942" s="184"/>
      <c r="I2942" s="184"/>
      <c r="J2942" s="184"/>
      <c r="K2942" s="184"/>
      <c r="L2942" s="184"/>
      <c r="M2942" s="184"/>
      <c r="N2942" s="184"/>
      <c r="O2942" s="184"/>
    </row>
    <row r="2943" customFormat="false" ht="15" hidden="false" customHeight="true" outlineLevel="0" collapsed="false">
      <c r="A2943" s="184"/>
      <c r="B2943" s="184"/>
      <c r="C2943" s="184"/>
      <c r="D2943" s="184"/>
      <c r="E2943" s="184"/>
      <c r="F2943" s="184"/>
      <c r="G2943" s="184"/>
      <c r="H2943" s="184"/>
      <c r="I2943" s="184"/>
      <c r="J2943" s="184"/>
      <c r="K2943" s="184"/>
      <c r="L2943" s="184"/>
      <c r="M2943" s="184"/>
      <c r="N2943" s="184"/>
      <c r="O2943" s="184"/>
    </row>
    <row r="2944" customFormat="false" ht="15" hidden="false" customHeight="true" outlineLevel="0" collapsed="false">
      <c r="A2944" s="184"/>
      <c r="B2944" s="184"/>
      <c r="C2944" s="184"/>
      <c r="D2944" s="184"/>
      <c r="E2944" s="184"/>
      <c r="F2944" s="184"/>
      <c r="G2944" s="184"/>
      <c r="H2944" s="184"/>
      <c r="I2944" s="184"/>
      <c r="J2944" s="184"/>
      <c r="K2944" s="184"/>
      <c r="L2944" s="184"/>
      <c r="M2944" s="184"/>
      <c r="N2944" s="184"/>
      <c r="O2944" s="184"/>
    </row>
    <row r="2945" customFormat="false" ht="15" hidden="false" customHeight="true" outlineLevel="0" collapsed="false">
      <c r="A2945" s="184"/>
      <c r="B2945" s="184"/>
      <c r="C2945" s="184"/>
      <c r="D2945" s="184"/>
      <c r="E2945" s="184"/>
      <c r="F2945" s="184"/>
      <c r="G2945" s="184"/>
      <c r="H2945" s="184"/>
      <c r="I2945" s="184"/>
      <c r="J2945" s="184"/>
      <c r="K2945" s="184"/>
      <c r="L2945" s="184"/>
      <c r="M2945" s="184"/>
      <c r="N2945" s="184"/>
      <c r="O2945" s="184"/>
    </row>
    <row r="2946" customFormat="false" ht="15" hidden="false" customHeight="true" outlineLevel="0" collapsed="false">
      <c r="A2946" s="184"/>
      <c r="B2946" s="184"/>
      <c r="C2946" s="184"/>
      <c r="D2946" s="184"/>
      <c r="E2946" s="184"/>
      <c r="F2946" s="184"/>
      <c r="G2946" s="184"/>
      <c r="H2946" s="184"/>
      <c r="I2946" s="184"/>
      <c r="J2946" s="184"/>
      <c r="K2946" s="184"/>
      <c r="L2946" s="184"/>
      <c r="M2946" s="184"/>
      <c r="N2946" s="184"/>
      <c r="O2946" s="184"/>
    </row>
    <row r="2947" customFormat="false" ht="15" hidden="false" customHeight="true" outlineLevel="0" collapsed="false">
      <c r="A2947" s="184"/>
      <c r="B2947" s="184"/>
      <c r="C2947" s="184"/>
      <c r="D2947" s="184"/>
      <c r="E2947" s="184"/>
      <c r="F2947" s="184"/>
      <c r="G2947" s="184"/>
      <c r="H2947" s="184"/>
      <c r="I2947" s="184"/>
      <c r="J2947" s="184"/>
      <c r="K2947" s="184"/>
      <c r="L2947" s="184"/>
      <c r="M2947" s="184"/>
      <c r="N2947" s="184"/>
      <c r="O2947" s="184"/>
    </row>
    <row r="2948" customFormat="false" ht="15" hidden="false" customHeight="true" outlineLevel="0" collapsed="false">
      <c r="A2948" s="184"/>
      <c r="B2948" s="184"/>
      <c r="C2948" s="184"/>
      <c r="D2948" s="184"/>
      <c r="E2948" s="184"/>
      <c r="F2948" s="184"/>
      <c r="G2948" s="184"/>
      <c r="H2948" s="184"/>
      <c r="I2948" s="184"/>
      <c r="J2948" s="184"/>
      <c r="K2948" s="184"/>
      <c r="L2948" s="184"/>
      <c r="M2948" s="184"/>
      <c r="N2948" s="184"/>
      <c r="O2948" s="184"/>
    </row>
    <row r="2949" customFormat="false" ht="15" hidden="false" customHeight="true" outlineLevel="0" collapsed="false">
      <c r="A2949" s="184"/>
      <c r="B2949" s="184"/>
      <c r="C2949" s="184"/>
      <c r="D2949" s="184"/>
      <c r="E2949" s="184"/>
      <c r="F2949" s="184"/>
      <c r="G2949" s="184"/>
      <c r="H2949" s="184"/>
      <c r="I2949" s="184"/>
      <c r="J2949" s="184"/>
      <c r="K2949" s="184"/>
      <c r="L2949" s="184"/>
      <c r="M2949" s="184"/>
      <c r="N2949" s="184"/>
      <c r="O2949" s="184"/>
    </row>
    <row r="2950" customFormat="false" ht="15" hidden="false" customHeight="true" outlineLevel="0" collapsed="false">
      <c r="A2950" s="184"/>
      <c r="B2950" s="184"/>
      <c r="C2950" s="184"/>
      <c r="D2950" s="184"/>
      <c r="E2950" s="184"/>
      <c r="F2950" s="184"/>
      <c r="G2950" s="184"/>
      <c r="H2950" s="184"/>
      <c r="I2950" s="184"/>
      <c r="J2950" s="184"/>
      <c r="K2950" s="184"/>
      <c r="L2950" s="184"/>
      <c r="M2950" s="184"/>
      <c r="N2950" s="184"/>
      <c r="O2950" s="184"/>
    </row>
    <row r="2951" customFormat="false" ht="15" hidden="false" customHeight="true" outlineLevel="0" collapsed="false">
      <c r="A2951" s="184"/>
      <c r="B2951" s="184"/>
      <c r="C2951" s="184"/>
      <c r="D2951" s="184"/>
      <c r="E2951" s="184"/>
      <c r="F2951" s="184"/>
      <c r="G2951" s="184"/>
      <c r="H2951" s="184"/>
      <c r="I2951" s="184"/>
      <c r="J2951" s="184"/>
      <c r="K2951" s="184"/>
      <c r="L2951" s="184"/>
      <c r="M2951" s="184"/>
      <c r="N2951" s="184"/>
      <c r="O2951" s="184"/>
    </row>
    <row r="2952" customFormat="false" ht="15" hidden="false" customHeight="true" outlineLevel="0" collapsed="false">
      <c r="A2952" s="184"/>
      <c r="B2952" s="184"/>
      <c r="C2952" s="184"/>
      <c r="D2952" s="184"/>
      <c r="E2952" s="184"/>
      <c r="F2952" s="184"/>
      <c r="G2952" s="184"/>
      <c r="H2952" s="184"/>
      <c r="I2952" s="184"/>
      <c r="J2952" s="184"/>
      <c r="K2952" s="184"/>
      <c r="L2952" s="184"/>
      <c r="M2952" s="184"/>
      <c r="N2952" s="184"/>
      <c r="O2952" s="184"/>
    </row>
    <row r="2953" customFormat="false" ht="15" hidden="false" customHeight="true" outlineLevel="0" collapsed="false">
      <c r="A2953" s="184"/>
      <c r="B2953" s="184"/>
      <c r="C2953" s="184"/>
      <c r="D2953" s="184"/>
      <c r="E2953" s="184"/>
      <c r="F2953" s="184"/>
      <c r="G2953" s="184"/>
      <c r="H2953" s="184"/>
      <c r="I2953" s="184"/>
      <c r="J2953" s="184"/>
      <c r="K2953" s="184"/>
      <c r="L2953" s="184"/>
      <c r="M2953" s="184"/>
      <c r="N2953" s="184"/>
      <c r="O2953" s="184"/>
    </row>
    <row r="2954" customFormat="false" ht="15" hidden="false" customHeight="true" outlineLevel="0" collapsed="false">
      <c r="A2954" s="184"/>
      <c r="B2954" s="184"/>
      <c r="C2954" s="184"/>
      <c r="D2954" s="184"/>
      <c r="E2954" s="184"/>
      <c r="F2954" s="184"/>
      <c r="G2954" s="184"/>
      <c r="H2954" s="184"/>
      <c r="I2954" s="184"/>
      <c r="J2954" s="184"/>
      <c r="K2954" s="184"/>
      <c r="L2954" s="184"/>
      <c r="M2954" s="184"/>
      <c r="N2954" s="184"/>
      <c r="O2954" s="184"/>
    </row>
    <row r="2955" customFormat="false" ht="15" hidden="false" customHeight="true" outlineLevel="0" collapsed="false">
      <c r="A2955" s="184"/>
      <c r="B2955" s="184"/>
      <c r="C2955" s="184"/>
      <c r="D2955" s="184"/>
      <c r="E2955" s="184"/>
      <c r="F2955" s="184"/>
      <c r="G2955" s="184"/>
      <c r="H2955" s="184"/>
      <c r="I2955" s="184"/>
      <c r="J2955" s="184"/>
      <c r="K2955" s="184"/>
      <c r="L2955" s="184"/>
      <c r="M2955" s="184"/>
      <c r="N2955" s="184"/>
      <c r="O2955" s="184"/>
    </row>
    <row r="2956" customFormat="false" ht="15" hidden="false" customHeight="true" outlineLevel="0" collapsed="false">
      <c r="A2956" s="184"/>
      <c r="B2956" s="184"/>
      <c r="C2956" s="184"/>
      <c r="D2956" s="184"/>
      <c r="E2956" s="184"/>
      <c r="F2956" s="184"/>
      <c r="G2956" s="184"/>
      <c r="H2956" s="184"/>
      <c r="I2956" s="184"/>
      <c r="J2956" s="184"/>
      <c r="K2956" s="184"/>
      <c r="L2956" s="184"/>
      <c r="M2956" s="184"/>
      <c r="N2956" s="184"/>
      <c r="O2956" s="184"/>
    </row>
    <row r="2957" customFormat="false" ht="15" hidden="false" customHeight="true" outlineLevel="0" collapsed="false">
      <c r="A2957" s="184"/>
      <c r="B2957" s="184"/>
      <c r="C2957" s="184"/>
      <c r="D2957" s="184"/>
      <c r="E2957" s="184"/>
      <c r="F2957" s="184"/>
      <c r="G2957" s="184"/>
      <c r="H2957" s="184"/>
      <c r="I2957" s="184"/>
      <c r="J2957" s="184"/>
      <c r="K2957" s="184"/>
      <c r="L2957" s="184"/>
      <c r="M2957" s="184"/>
      <c r="N2957" s="184"/>
      <c r="O2957" s="184"/>
    </row>
    <row r="2958" customFormat="false" ht="15" hidden="false" customHeight="true" outlineLevel="0" collapsed="false">
      <c r="A2958" s="184"/>
      <c r="B2958" s="184"/>
      <c r="C2958" s="184"/>
      <c r="D2958" s="184"/>
      <c r="E2958" s="184"/>
      <c r="F2958" s="184"/>
      <c r="G2958" s="184"/>
      <c r="H2958" s="184"/>
      <c r="I2958" s="184"/>
      <c r="J2958" s="184"/>
      <c r="K2958" s="184"/>
      <c r="L2958" s="184"/>
      <c r="M2958" s="184"/>
      <c r="N2958" s="184"/>
      <c r="O2958" s="184"/>
    </row>
    <row r="2959" customFormat="false" ht="15" hidden="false" customHeight="true" outlineLevel="0" collapsed="false">
      <c r="A2959" s="184"/>
      <c r="B2959" s="184"/>
      <c r="C2959" s="184"/>
      <c r="D2959" s="184"/>
      <c r="E2959" s="184"/>
      <c r="F2959" s="184"/>
      <c r="G2959" s="184"/>
      <c r="H2959" s="184"/>
      <c r="I2959" s="184"/>
      <c r="J2959" s="184"/>
      <c r="K2959" s="184"/>
      <c r="L2959" s="184"/>
      <c r="M2959" s="184"/>
      <c r="N2959" s="184"/>
      <c r="O2959" s="184"/>
    </row>
    <row r="2960" customFormat="false" ht="15" hidden="false" customHeight="true" outlineLevel="0" collapsed="false">
      <c r="A2960" s="184"/>
      <c r="B2960" s="184"/>
      <c r="C2960" s="184"/>
      <c r="D2960" s="184"/>
      <c r="E2960" s="184"/>
      <c r="F2960" s="184"/>
      <c r="G2960" s="184"/>
      <c r="H2960" s="184"/>
      <c r="I2960" s="184"/>
      <c r="J2960" s="184"/>
      <c r="K2960" s="184"/>
      <c r="L2960" s="184"/>
      <c r="M2960" s="184"/>
      <c r="N2960" s="184"/>
      <c r="O2960" s="184"/>
    </row>
    <row r="2961" customFormat="false" ht="15" hidden="false" customHeight="true" outlineLevel="0" collapsed="false">
      <c r="A2961" s="184"/>
      <c r="B2961" s="184"/>
      <c r="C2961" s="184"/>
      <c r="D2961" s="184"/>
      <c r="E2961" s="184"/>
      <c r="F2961" s="184"/>
      <c r="G2961" s="184"/>
      <c r="H2961" s="184"/>
      <c r="I2961" s="184"/>
      <c r="J2961" s="184"/>
      <c r="K2961" s="184"/>
      <c r="L2961" s="184"/>
      <c r="M2961" s="184"/>
      <c r="N2961" s="184"/>
      <c r="O2961" s="184"/>
    </row>
    <row r="2962" customFormat="false" ht="15" hidden="false" customHeight="true" outlineLevel="0" collapsed="false">
      <c r="A2962" s="184"/>
      <c r="B2962" s="184"/>
      <c r="C2962" s="184"/>
      <c r="D2962" s="184"/>
      <c r="E2962" s="184"/>
      <c r="F2962" s="184"/>
      <c r="G2962" s="184"/>
      <c r="H2962" s="184"/>
      <c r="I2962" s="184"/>
      <c r="J2962" s="184"/>
      <c r="K2962" s="184"/>
      <c r="L2962" s="184"/>
      <c r="M2962" s="184"/>
      <c r="N2962" s="184"/>
      <c r="O2962" s="184"/>
    </row>
    <row r="2963" customFormat="false" ht="15" hidden="false" customHeight="true" outlineLevel="0" collapsed="false">
      <c r="A2963" s="184"/>
      <c r="B2963" s="184"/>
      <c r="C2963" s="184"/>
      <c r="D2963" s="184"/>
      <c r="E2963" s="184"/>
      <c r="F2963" s="184"/>
      <c r="G2963" s="184"/>
      <c r="H2963" s="184"/>
      <c r="I2963" s="184"/>
      <c r="J2963" s="184"/>
      <c r="K2963" s="184"/>
      <c r="L2963" s="184"/>
      <c r="M2963" s="184"/>
      <c r="N2963" s="184"/>
      <c r="O2963" s="184"/>
    </row>
    <row r="2964" customFormat="false" ht="15" hidden="false" customHeight="true" outlineLevel="0" collapsed="false">
      <c r="A2964" s="184"/>
      <c r="B2964" s="184"/>
      <c r="C2964" s="184"/>
      <c r="D2964" s="184"/>
      <c r="E2964" s="184"/>
      <c r="F2964" s="184"/>
      <c r="G2964" s="184"/>
      <c r="H2964" s="184"/>
      <c r="I2964" s="184"/>
      <c r="J2964" s="184"/>
      <c r="K2964" s="184"/>
      <c r="L2964" s="184"/>
      <c r="M2964" s="184"/>
      <c r="N2964" s="184"/>
      <c r="O2964" s="184"/>
    </row>
    <row r="2965" customFormat="false" ht="15" hidden="false" customHeight="true" outlineLevel="0" collapsed="false">
      <c r="A2965" s="184"/>
      <c r="B2965" s="184"/>
      <c r="C2965" s="184"/>
      <c r="D2965" s="184"/>
      <c r="E2965" s="184"/>
      <c r="F2965" s="184"/>
      <c r="G2965" s="184"/>
      <c r="H2965" s="184"/>
      <c r="I2965" s="184"/>
      <c r="J2965" s="184"/>
      <c r="K2965" s="184"/>
      <c r="L2965" s="184"/>
      <c r="M2965" s="184"/>
      <c r="N2965" s="184"/>
      <c r="O2965" s="184"/>
    </row>
    <row r="2966" customFormat="false" ht="15" hidden="false" customHeight="true" outlineLevel="0" collapsed="false">
      <c r="A2966" s="184"/>
      <c r="B2966" s="184"/>
      <c r="C2966" s="184"/>
      <c r="D2966" s="184"/>
      <c r="E2966" s="184"/>
      <c r="F2966" s="184"/>
      <c r="G2966" s="184"/>
      <c r="H2966" s="184"/>
      <c r="I2966" s="184"/>
      <c r="J2966" s="184"/>
      <c r="K2966" s="184"/>
      <c r="L2966" s="184"/>
      <c r="M2966" s="184"/>
      <c r="N2966" s="184"/>
      <c r="O2966" s="184"/>
    </row>
    <row r="2967" customFormat="false" ht="15" hidden="false" customHeight="true" outlineLevel="0" collapsed="false">
      <c r="A2967" s="184"/>
      <c r="B2967" s="184"/>
      <c r="C2967" s="184"/>
      <c r="D2967" s="184"/>
      <c r="E2967" s="184"/>
      <c r="F2967" s="184"/>
      <c r="G2967" s="184"/>
      <c r="H2967" s="184"/>
      <c r="I2967" s="184"/>
      <c r="J2967" s="184"/>
      <c r="K2967" s="184"/>
      <c r="L2967" s="184"/>
      <c r="M2967" s="184"/>
      <c r="N2967" s="184"/>
      <c r="O2967" s="184"/>
    </row>
    <row r="2968" customFormat="false" ht="15" hidden="false" customHeight="true" outlineLevel="0" collapsed="false">
      <c r="A2968" s="184"/>
      <c r="B2968" s="184"/>
      <c r="C2968" s="184"/>
      <c r="D2968" s="184"/>
      <c r="E2968" s="184"/>
      <c r="F2968" s="184"/>
      <c r="G2968" s="184"/>
      <c r="H2968" s="184"/>
      <c r="I2968" s="184"/>
      <c r="J2968" s="184"/>
      <c r="K2968" s="184"/>
      <c r="L2968" s="184"/>
      <c r="M2968" s="184"/>
      <c r="N2968" s="184"/>
      <c r="O2968" s="184"/>
    </row>
    <row r="2969" customFormat="false" ht="15" hidden="false" customHeight="true" outlineLevel="0" collapsed="false">
      <c r="A2969" s="184"/>
      <c r="B2969" s="184"/>
      <c r="C2969" s="184"/>
      <c r="D2969" s="184"/>
      <c r="E2969" s="184"/>
      <c r="F2969" s="184"/>
      <c r="G2969" s="184"/>
      <c r="H2969" s="184"/>
      <c r="I2969" s="184"/>
      <c r="J2969" s="184"/>
      <c r="K2969" s="184"/>
      <c r="L2969" s="184"/>
      <c r="M2969" s="184"/>
      <c r="N2969" s="184"/>
      <c r="O2969" s="184"/>
    </row>
    <row r="2970" customFormat="false" ht="15" hidden="false" customHeight="true" outlineLevel="0" collapsed="false">
      <c r="A2970" s="184"/>
      <c r="B2970" s="184"/>
      <c r="C2970" s="184"/>
      <c r="D2970" s="184"/>
      <c r="E2970" s="184"/>
      <c r="F2970" s="184"/>
      <c r="G2970" s="184"/>
      <c r="H2970" s="184"/>
      <c r="I2970" s="184"/>
      <c r="J2970" s="184"/>
      <c r="K2970" s="184"/>
      <c r="L2970" s="184"/>
      <c r="M2970" s="184"/>
      <c r="N2970" s="184"/>
      <c r="O2970" s="184"/>
    </row>
    <row r="2971" customFormat="false" ht="15" hidden="false" customHeight="true" outlineLevel="0" collapsed="false">
      <c r="A2971" s="184"/>
      <c r="B2971" s="184"/>
      <c r="C2971" s="184"/>
      <c r="D2971" s="184"/>
      <c r="E2971" s="184"/>
      <c r="F2971" s="184"/>
      <c r="G2971" s="184"/>
      <c r="H2971" s="184"/>
      <c r="I2971" s="184"/>
      <c r="J2971" s="184"/>
      <c r="K2971" s="184"/>
      <c r="L2971" s="184"/>
      <c r="M2971" s="184"/>
      <c r="N2971" s="184"/>
      <c r="O2971" s="184"/>
    </row>
    <row r="2972" customFormat="false" ht="15" hidden="false" customHeight="true" outlineLevel="0" collapsed="false">
      <c r="A2972" s="184"/>
      <c r="B2972" s="184"/>
      <c r="C2972" s="184"/>
      <c r="D2972" s="184"/>
      <c r="E2972" s="184"/>
      <c r="F2972" s="184"/>
      <c r="G2972" s="184"/>
      <c r="H2972" s="184"/>
      <c r="I2972" s="184"/>
      <c r="J2972" s="184"/>
      <c r="K2972" s="184"/>
      <c r="L2972" s="184"/>
      <c r="M2972" s="184"/>
      <c r="N2972" s="184"/>
      <c r="O2972" s="184"/>
    </row>
    <row r="2973" customFormat="false" ht="15" hidden="false" customHeight="true" outlineLevel="0" collapsed="false">
      <c r="A2973" s="184"/>
      <c r="B2973" s="184"/>
      <c r="C2973" s="184"/>
      <c r="D2973" s="184"/>
      <c r="E2973" s="184"/>
      <c r="F2973" s="184"/>
      <c r="G2973" s="184"/>
      <c r="H2973" s="184"/>
      <c r="I2973" s="184"/>
      <c r="J2973" s="184"/>
      <c r="K2973" s="184"/>
      <c r="L2973" s="184"/>
      <c r="M2973" s="184"/>
      <c r="N2973" s="184"/>
      <c r="O2973" s="184"/>
    </row>
    <row r="2974" customFormat="false" ht="15" hidden="false" customHeight="true" outlineLevel="0" collapsed="false">
      <c r="A2974" s="184"/>
      <c r="B2974" s="184"/>
      <c r="C2974" s="184"/>
      <c r="D2974" s="184"/>
      <c r="E2974" s="184"/>
      <c r="F2974" s="184"/>
      <c r="G2974" s="184"/>
      <c r="H2974" s="184"/>
      <c r="I2974" s="184"/>
      <c r="J2974" s="184"/>
      <c r="K2974" s="184"/>
      <c r="L2974" s="184"/>
      <c r="M2974" s="184"/>
      <c r="N2974" s="184"/>
      <c r="O2974" s="184"/>
    </row>
    <row r="2975" customFormat="false" ht="15" hidden="false" customHeight="true" outlineLevel="0" collapsed="false">
      <c r="A2975" s="184"/>
      <c r="B2975" s="184"/>
      <c r="C2975" s="184"/>
      <c r="D2975" s="184"/>
      <c r="E2975" s="184"/>
      <c r="F2975" s="184"/>
      <c r="G2975" s="184"/>
      <c r="H2975" s="184"/>
      <c r="I2975" s="184"/>
      <c r="J2975" s="184"/>
      <c r="K2975" s="184"/>
      <c r="L2975" s="184"/>
      <c r="M2975" s="184"/>
      <c r="N2975" s="184"/>
      <c r="O2975" s="184"/>
    </row>
    <row r="2976" customFormat="false" ht="15" hidden="false" customHeight="true" outlineLevel="0" collapsed="false">
      <c r="A2976" s="184"/>
      <c r="B2976" s="184"/>
      <c r="C2976" s="184"/>
      <c r="D2976" s="184"/>
      <c r="E2976" s="184"/>
      <c r="F2976" s="184"/>
      <c r="G2976" s="184"/>
      <c r="H2976" s="184"/>
      <c r="I2976" s="184"/>
      <c r="J2976" s="184"/>
      <c r="K2976" s="184"/>
      <c r="L2976" s="184"/>
      <c r="M2976" s="184"/>
      <c r="N2976" s="184"/>
      <c r="O2976" s="184"/>
    </row>
    <row r="2977" customFormat="false" ht="15" hidden="false" customHeight="true" outlineLevel="0" collapsed="false">
      <c r="A2977" s="184"/>
      <c r="B2977" s="184"/>
      <c r="C2977" s="184"/>
      <c r="D2977" s="184"/>
      <c r="E2977" s="184"/>
      <c r="F2977" s="184"/>
      <c r="G2977" s="184"/>
      <c r="H2977" s="184"/>
      <c r="I2977" s="184"/>
      <c r="J2977" s="184"/>
      <c r="K2977" s="184"/>
      <c r="L2977" s="184"/>
      <c r="M2977" s="184"/>
      <c r="N2977" s="184"/>
      <c r="O2977" s="184"/>
    </row>
    <row r="2978" customFormat="false" ht="15" hidden="false" customHeight="true" outlineLevel="0" collapsed="false">
      <c r="A2978" s="184"/>
      <c r="B2978" s="184"/>
      <c r="C2978" s="184"/>
      <c r="D2978" s="184"/>
      <c r="E2978" s="184"/>
      <c r="F2978" s="184"/>
      <c r="G2978" s="184"/>
      <c r="H2978" s="184"/>
      <c r="I2978" s="184"/>
      <c r="J2978" s="184"/>
      <c r="K2978" s="184"/>
      <c r="L2978" s="184"/>
      <c r="M2978" s="184"/>
      <c r="N2978" s="184"/>
      <c r="O2978" s="184"/>
    </row>
    <row r="2979" customFormat="false" ht="15" hidden="false" customHeight="true" outlineLevel="0" collapsed="false">
      <c r="A2979" s="184"/>
      <c r="B2979" s="184"/>
      <c r="C2979" s="184"/>
      <c r="D2979" s="184"/>
      <c r="E2979" s="184"/>
      <c r="F2979" s="184"/>
      <c r="G2979" s="184"/>
      <c r="H2979" s="184"/>
      <c r="I2979" s="184"/>
      <c r="J2979" s="184"/>
      <c r="K2979" s="184"/>
      <c r="L2979" s="184"/>
      <c r="M2979" s="184"/>
      <c r="N2979" s="184"/>
      <c r="O2979" s="184"/>
    </row>
    <row r="2980" customFormat="false" ht="15" hidden="false" customHeight="true" outlineLevel="0" collapsed="false">
      <c r="A2980" s="184"/>
      <c r="B2980" s="184"/>
      <c r="C2980" s="184"/>
      <c r="D2980" s="184"/>
      <c r="E2980" s="184"/>
      <c r="F2980" s="184"/>
      <c r="G2980" s="184"/>
      <c r="H2980" s="184"/>
      <c r="I2980" s="184"/>
      <c r="J2980" s="184"/>
      <c r="K2980" s="184"/>
      <c r="L2980" s="184"/>
      <c r="M2980" s="184"/>
      <c r="N2980" s="184"/>
      <c r="O2980" s="184"/>
    </row>
    <row r="2981" customFormat="false" ht="15" hidden="false" customHeight="true" outlineLevel="0" collapsed="false">
      <c r="A2981" s="184"/>
      <c r="B2981" s="184"/>
      <c r="C2981" s="184"/>
      <c r="D2981" s="184"/>
      <c r="E2981" s="184"/>
      <c r="F2981" s="184"/>
      <c r="G2981" s="184"/>
      <c r="H2981" s="184"/>
      <c r="I2981" s="184"/>
      <c r="J2981" s="184"/>
      <c r="K2981" s="184"/>
      <c r="L2981" s="184"/>
      <c r="M2981" s="184"/>
      <c r="N2981" s="184"/>
      <c r="O2981" s="184"/>
    </row>
    <row r="2982" customFormat="false" ht="15" hidden="false" customHeight="true" outlineLevel="0" collapsed="false">
      <c r="A2982" s="184"/>
      <c r="B2982" s="184"/>
      <c r="C2982" s="184"/>
      <c r="D2982" s="184"/>
      <c r="E2982" s="184"/>
      <c r="F2982" s="184"/>
      <c r="G2982" s="184"/>
      <c r="H2982" s="184"/>
      <c r="I2982" s="184"/>
      <c r="J2982" s="184"/>
      <c r="K2982" s="184"/>
      <c r="L2982" s="184"/>
      <c r="M2982" s="184"/>
      <c r="N2982" s="184"/>
      <c r="O2982" s="184"/>
    </row>
    <row r="2983" customFormat="false" ht="15" hidden="false" customHeight="true" outlineLevel="0" collapsed="false">
      <c r="A2983" s="184"/>
      <c r="B2983" s="184"/>
      <c r="C2983" s="184"/>
      <c r="D2983" s="184"/>
      <c r="E2983" s="184"/>
      <c r="F2983" s="184"/>
      <c r="G2983" s="184"/>
      <c r="H2983" s="184"/>
      <c r="I2983" s="184"/>
      <c r="J2983" s="184"/>
      <c r="K2983" s="184"/>
      <c r="L2983" s="184"/>
      <c r="M2983" s="184"/>
      <c r="N2983" s="184"/>
      <c r="O2983" s="184"/>
    </row>
    <row r="2984" customFormat="false" ht="15" hidden="false" customHeight="true" outlineLevel="0" collapsed="false">
      <c r="A2984" s="184"/>
      <c r="B2984" s="184"/>
      <c r="C2984" s="184"/>
      <c r="D2984" s="184"/>
      <c r="E2984" s="184"/>
      <c r="F2984" s="184"/>
      <c r="G2984" s="184"/>
      <c r="H2984" s="184"/>
      <c r="I2984" s="184"/>
      <c r="J2984" s="184"/>
      <c r="K2984" s="184"/>
      <c r="L2984" s="184"/>
      <c r="M2984" s="184"/>
      <c r="N2984" s="184"/>
      <c r="O2984" s="184"/>
    </row>
    <row r="2985" customFormat="false" ht="15" hidden="false" customHeight="true" outlineLevel="0" collapsed="false">
      <c r="A2985" s="184"/>
      <c r="B2985" s="184"/>
      <c r="C2985" s="184"/>
      <c r="D2985" s="184"/>
      <c r="E2985" s="184"/>
      <c r="F2985" s="184"/>
      <c r="G2985" s="184"/>
      <c r="H2985" s="184"/>
      <c r="I2985" s="184"/>
      <c r="J2985" s="184"/>
      <c r="K2985" s="184"/>
      <c r="L2985" s="184"/>
      <c r="M2985" s="184"/>
      <c r="N2985" s="184"/>
      <c r="O2985" s="184"/>
    </row>
    <row r="2986" customFormat="false" ht="15" hidden="false" customHeight="true" outlineLevel="0" collapsed="false">
      <c r="A2986" s="184"/>
      <c r="B2986" s="184"/>
      <c r="C2986" s="184"/>
      <c r="D2986" s="184"/>
      <c r="E2986" s="184"/>
      <c r="F2986" s="184"/>
      <c r="G2986" s="184"/>
      <c r="H2986" s="184"/>
      <c r="I2986" s="184"/>
      <c r="J2986" s="184"/>
      <c r="K2986" s="184"/>
      <c r="L2986" s="184"/>
      <c r="M2986" s="184"/>
      <c r="N2986" s="184"/>
      <c r="O2986" s="184"/>
    </row>
    <row r="2987" customFormat="false" ht="15" hidden="false" customHeight="true" outlineLevel="0" collapsed="false">
      <c r="A2987" s="184"/>
      <c r="B2987" s="184"/>
      <c r="C2987" s="184"/>
      <c r="D2987" s="184"/>
      <c r="E2987" s="184"/>
      <c r="F2987" s="184"/>
      <c r="G2987" s="184"/>
      <c r="H2987" s="184"/>
      <c r="I2987" s="184"/>
      <c r="J2987" s="184"/>
      <c r="K2987" s="184"/>
      <c r="L2987" s="184"/>
      <c r="M2987" s="184"/>
      <c r="N2987" s="184"/>
      <c r="O2987" s="184"/>
    </row>
    <row r="2988" customFormat="false" ht="15" hidden="false" customHeight="true" outlineLevel="0" collapsed="false">
      <c r="A2988" s="184"/>
      <c r="B2988" s="184"/>
      <c r="C2988" s="184"/>
      <c r="D2988" s="184"/>
      <c r="E2988" s="184"/>
      <c r="F2988" s="184"/>
      <c r="G2988" s="184"/>
      <c r="H2988" s="184"/>
      <c r="I2988" s="184"/>
      <c r="J2988" s="184"/>
      <c r="K2988" s="184"/>
      <c r="L2988" s="184"/>
      <c r="M2988" s="184"/>
      <c r="N2988" s="184"/>
      <c r="O2988" s="184"/>
    </row>
    <row r="2989" customFormat="false" ht="15" hidden="false" customHeight="true" outlineLevel="0" collapsed="false">
      <c r="A2989" s="184"/>
      <c r="B2989" s="184"/>
      <c r="C2989" s="184"/>
      <c r="D2989" s="184"/>
      <c r="E2989" s="184"/>
      <c r="F2989" s="184"/>
      <c r="G2989" s="184"/>
      <c r="H2989" s="184"/>
      <c r="I2989" s="184"/>
      <c r="J2989" s="184"/>
      <c r="K2989" s="184"/>
      <c r="L2989" s="184"/>
      <c r="M2989" s="184"/>
      <c r="N2989" s="184"/>
      <c r="O2989" s="184"/>
    </row>
    <row r="2990" customFormat="false" ht="15" hidden="false" customHeight="true" outlineLevel="0" collapsed="false">
      <c r="A2990" s="184"/>
      <c r="B2990" s="184"/>
      <c r="C2990" s="184"/>
      <c r="D2990" s="184"/>
      <c r="E2990" s="184"/>
      <c r="F2990" s="184"/>
      <c r="G2990" s="184"/>
      <c r="H2990" s="184"/>
      <c r="I2990" s="184"/>
      <c r="J2990" s="184"/>
      <c r="K2990" s="184"/>
      <c r="L2990" s="184"/>
      <c r="M2990" s="184"/>
      <c r="N2990" s="184"/>
      <c r="O2990" s="184"/>
    </row>
    <row r="2991" customFormat="false" ht="15" hidden="false" customHeight="true" outlineLevel="0" collapsed="false">
      <c r="A2991" s="184"/>
      <c r="B2991" s="184"/>
      <c r="C2991" s="184"/>
      <c r="D2991" s="184"/>
      <c r="E2991" s="184"/>
      <c r="F2991" s="184"/>
      <c r="G2991" s="184"/>
      <c r="H2991" s="184"/>
      <c r="I2991" s="184"/>
      <c r="J2991" s="184"/>
      <c r="K2991" s="184"/>
      <c r="L2991" s="184"/>
      <c r="M2991" s="184"/>
      <c r="N2991" s="184"/>
      <c r="O2991" s="184"/>
    </row>
    <row r="2992" customFormat="false" ht="15" hidden="false" customHeight="true" outlineLevel="0" collapsed="false">
      <c r="A2992" s="184"/>
      <c r="B2992" s="184"/>
      <c r="C2992" s="184"/>
      <c r="D2992" s="184"/>
      <c r="E2992" s="184"/>
      <c r="F2992" s="184"/>
      <c r="G2992" s="184"/>
      <c r="H2992" s="184"/>
      <c r="I2992" s="184"/>
      <c r="J2992" s="184"/>
      <c r="K2992" s="184"/>
      <c r="L2992" s="184"/>
      <c r="M2992" s="184"/>
      <c r="N2992" s="184"/>
      <c r="O2992" s="184"/>
    </row>
    <row r="2993" customFormat="false" ht="15" hidden="false" customHeight="true" outlineLevel="0" collapsed="false">
      <c r="A2993" s="184"/>
      <c r="B2993" s="184"/>
      <c r="C2993" s="184"/>
      <c r="D2993" s="184"/>
      <c r="E2993" s="184"/>
      <c r="F2993" s="184"/>
      <c r="G2993" s="184"/>
      <c r="H2993" s="184"/>
      <c r="I2993" s="184"/>
      <c r="J2993" s="184"/>
      <c r="K2993" s="184"/>
      <c r="L2993" s="184"/>
      <c r="M2993" s="184"/>
      <c r="N2993" s="184"/>
      <c r="O2993" s="184"/>
    </row>
    <row r="2994" customFormat="false" ht="15" hidden="false" customHeight="true" outlineLevel="0" collapsed="false">
      <c r="A2994" s="184"/>
      <c r="B2994" s="184"/>
      <c r="C2994" s="184"/>
      <c r="D2994" s="184"/>
      <c r="E2994" s="184"/>
      <c r="F2994" s="184"/>
      <c r="G2994" s="184"/>
      <c r="H2994" s="184"/>
      <c r="I2994" s="184"/>
      <c r="J2994" s="184"/>
      <c r="K2994" s="184"/>
      <c r="L2994" s="184"/>
      <c r="M2994" s="184"/>
      <c r="N2994" s="184"/>
      <c r="O2994" s="184"/>
    </row>
    <row r="2995" customFormat="false" ht="15" hidden="false" customHeight="true" outlineLevel="0" collapsed="false">
      <c r="A2995" s="184"/>
      <c r="B2995" s="184"/>
      <c r="C2995" s="184"/>
      <c r="D2995" s="184"/>
      <c r="E2995" s="184"/>
      <c r="F2995" s="184"/>
      <c r="G2995" s="184"/>
      <c r="H2995" s="184"/>
      <c r="I2995" s="184"/>
      <c r="J2995" s="184"/>
      <c r="K2995" s="184"/>
      <c r="L2995" s="184"/>
      <c r="M2995" s="184"/>
      <c r="N2995" s="184"/>
      <c r="O2995" s="184"/>
    </row>
    <row r="2996" customFormat="false" ht="15" hidden="false" customHeight="true" outlineLevel="0" collapsed="false">
      <c r="A2996" s="184"/>
      <c r="B2996" s="184"/>
      <c r="C2996" s="184"/>
      <c r="D2996" s="184"/>
      <c r="E2996" s="184"/>
      <c r="F2996" s="184"/>
      <c r="G2996" s="184"/>
      <c r="H2996" s="184"/>
      <c r="I2996" s="184"/>
      <c r="J2996" s="184"/>
      <c r="K2996" s="184"/>
      <c r="L2996" s="184"/>
      <c r="M2996" s="184"/>
      <c r="N2996" s="184"/>
      <c r="O2996" s="184"/>
    </row>
    <row r="2997" customFormat="false" ht="15" hidden="false" customHeight="true" outlineLevel="0" collapsed="false">
      <c r="A2997" s="184"/>
      <c r="B2997" s="184"/>
      <c r="C2997" s="184"/>
      <c r="D2997" s="184"/>
      <c r="E2997" s="184"/>
      <c r="F2997" s="184"/>
      <c r="G2997" s="184"/>
      <c r="H2997" s="184"/>
      <c r="I2997" s="184"/>
      <c r="J2997" s="184"/>
      <c r="K2997" s="184"/>
      <c r="L2997" s="184"/>
      <c r="M2997" s="184"/>
      <c r="N2997" s="184"/>
      <c r="O2997" s="184"/>
    </row>
    <row r="2998" customFormat="false" ht="15" hidden="false" customHeight="true" outlineLevel="0" collapsed="false">
      <c r="A2998" s="184"/>
      <c r="B2998" s="184"/>
      <c r="C2998" s="184"/>
      <c r="D2998" s="184"/>
      <c r="E2998" s="184"/>
      <c r="F2998" s="184"/>
      <c r="G2998" s="184"/>
      <c r="H2998" s="184"/>
      <c r="I2998" s="184"/>
      <c r="J2998" s="184"/>
      <c r="K2998" s="184"/>
      <c r="L2998" s="184"/>
      <c r="M2998" s="184"/>
      <c r="N2998" s="184"/>
      <c r="O2998" s="184"/>
    </row>
    <row r="2999" customFormat="false" ht="15" hidden="false" customHeight="true" outlineLevel="0" collapsed="false">
      <c r="A2999" s="184"/>
      <c r="B2999" s="184"/>
      <c r="C2999" s="184"/>
      <c r="D2999" s="184"/>
      <c r="E2999" s="184"/>
      <c r="F2999" s="184"/>
      <c r="G2999" s="184"/>
      <c r="H2999" s="184"/>
      <c r="I2999" s="184"/>
      <c r="J2999" s="184"/>
      <c r="K2999" s="184"/>
      <c r="L2999" s="184"/>
      <c r="M2999" s="184"/>
      <c r="N2999" s="184"/>
      <c r="O2999" s="184"/>
    </row>
    <row r="3000" customFormat="false" ht="15" hidden="false" customHeight="true" outlineLevel="0" collapsed="false">
      <c r="A3000" s="184"/>
      <c r="B3000" s="184"/>
      <c r="C3000" s="184"/>
      <c r="D3000" s="184"/>
      <c r="E3000" s="184"/>
      <c r="F3000" s="184"/>
      <c r="G3000" s="184"/>
      <c r="H3000" s="184"/>
      <c r="I3000" s="184"/>
      <c r="J3000" s="184"/>
      <c r="K3000" s="184"/>
      <c r="L3000" s="184"/>
      <c r="M3000" s="184"/>
      <c r="N3000" s="184"/>
      <c r="O3000" s="184"/>
    </row>
    <row r="3001" customFormat="false" ht="15" hidden="false" customHeight="true" outlineLevel="0" collapsed="false">
      <c r="A3001" s="184"/>
      <c r="B3001" s="184"/>
      <c r="C3001" s="184"/>
      <c r="D3001" s="184"/>
      <c r="E3001" s="184"/>
      <c r="F3001" s="184"/>
      <c r="G3001" s="184"/>
      <c r="H3001" s="184"/>
      <c r="I3001" s="184"/>
      <c r="J3001" s="184"/>
      <c r="K3001" s="184"/>
      <c r="L3001" s="184"/>
      <c r="M3001" s="184"/>
      <c r="N3001" s="184"/>
      <c r="O3001" s="184"/>
    </row>
    <row r="3002" customFormat="false" ht="15" hidden="false" customHeight="true" outlineLevel="0" collapsed="false">
      <c r="A3002" s="184"/>
      <c r="B3002" s="184"/>
      <c r="C3002" s="184"/>
      <c r="D3002" s="184"/>
      <c r="E3002" s="184"/>
      <c r="F3002" s="184"/>
      <c r="G3002" s="184"/>
      <c r="H3002" s="184"/>
      <c r="I3002" s="184"/>
      <c r="J3002" s="184"/>
      <c r="K3002" s="184"/>
      <c r="L3002" s="184"/>
      <c r="M3002" s="184"/>
      <c r="N3002" s="184"/>
      <c r="O3002" s="184"/>
    </row>
    <row r="3003" customFormat="false" ht="15" hidden="false" customHeight="true" outlineLevel="0" collapsed="false">
      <c r="A3003" s="184"/>
      <c r="B3003" s="184"/>
      <c r="C3003" s="184"/>
      <c r="D3003" s="184"/>
      <c r="E3003" s="184"/>
      <c r="F3003" s="184"/>
      <c r="G3003" s="184"/>
      <c r="H3003" s="184"/>
      <c r="I3003" s="184"/>
      <c r="J3003" s="184"/>
      <c r="K3003" s="184"/>
      <c r="L3003" s="184"/>
      <c r="M3003" s="184"/>
      <c r="N3003" s="184"/>
      <c r="O3003" s="184"/>
    </row>
    <row r="3004" customFormat="false" ht="15" hidden="false" customHeight="true" outlineLevel="0" collapsed="false">
      <c r="A3004" s="184"/>
      <c r="B3004" s="184"/>
      <c r="C3004" s="184"/>
      <c r="D3004" s="184"/>
      <c r="E3004" s="184"/>
      <c r="F3004" s="184"/>
      <c r="G3004" s="184"/>
      <c r="H3004" s="184"/>
      <c r="I3004" s="184"/>
      <c r="J3004" s="184"/>
      <c r="K3004" s="184"/>
      <c r="L3004" s="184"/>
      <c r="M3004" s="184"/>
      <c r="N3004" s="184"/>
      <c r="O3004" s="184"/>
    </row>
    <row r="3005" customFormat="false" ht="15" hidden="false" customHeight="true" outlineLevel="0" collapsed="false">
      <c r="A3005" s="184"/>
      <c r="B3005" s="184"/>
      <c r="C3005" s="184"/>
      <c r="D3005" s="184"/>
      <c r="E3005" s="184"/>
      <c r="F3005" s="184"/>
      <c r="G3005" s="184"/>
      <c r="H3005" s="184"/>
      <c r="I3005" s="184"/>
      <c r="J3005" s="184"/>
      <c r="K3005" s="184"/>
      <c r="L3005" s="184"/>
      <c r="M3005" s="184"/>
      <c r="N3005" s="184"/>
      <c r="O3005" s="184"/>
    </row>
    <row r="3006" customFormat="false" ht="15" hidden="false" customHeight="true" outlineLevel="0" collapsed="false">
      <c r="A3006" s="184"/>
      <c r="B3006" s="184"/>
      <c r="C3006" s="184"/>
      <c r="D3006" s="184"/>
      <c r="E3006" s="184"/>
      <c r="F3006" s="184"/>
      <c r="G3006" s="184"/>
      <c r="H3006" s="184"/>
      <c r="I3006" s="184"/>
      <c r="J3006" s="184"/>
      <c r="K3006" s="184"/>
      <c r="L3006" s="184"/>
      <c r="M3006" s="184"/>
      <c r="N3006" s="184"/>
      <c r="O3006" s="184"/>
    </row>
    <row r="3007" customFormat="false" ht="15" hidden="false" customHeight="true" outlineLevel="0" collapsed="false">
      <c r="A3007" s="184"/>
      <c r="B3007" s="184"/>
      <c r="C3007" s="184"/>
      <c r="D3007" s="184"/>
      <c r="E3007" s="184"/>
      <c r="F3007" s="184"/>
      <c r="G3007" s="184"/>
      <c r="H3007" s="184"/>
      <c r="I3007" s="184"/>
      <c r="J3007" s="184"/>
      <c r="K3007" s="184"/>
      <c r="L3007" s="184"/>
      <c r="M3007" s="184"/>
      <c r="N3007" s="184"/>
      <c r="O3007" s="184"/>
    </row>
    <row r="3008" customFormat="false" ht="15" hidden="false" customHeight="true" outlineLevel="0" collapsed="false">
      <c r="A3008" s="184"/>
      <c r="B3008" s="184"/>
      <c r="C3008" s="184"/>
      <c r="D3008" s="184"/>
      <c r="E3008" s="184"/>
      <c r="F3008" s="184"/>
      <c r="G3008" s="184"/>
      <c r="H3008" s="184"/>
      <c r="I3008" s="184"/>
      <c r="J3008" s="184"/>
      <c r="K3008" s="184"/>
      <c r="L3008" s="184"/>
      <c r="M3008" s="184"/>
      <c r="N3008" s="184"/>
      <c r="O3008" s="184"/>
    </row>
    <row r="3009" customFormat="false" ht="15" hidden="false" customHeight="true" outlineLevel="0" collapsed="false">
      <c r="A3009" s="184"/>
      <c r="B3009" s="184"/>
      <c r="C3009" s="184"/>
      <c r="D3009" s="184"/>
      <c r="E3009" s="184"/>
      <c r="F3009" s="184"/>
      <c r="G3009" s="184"/>
      <c r="H3009" s="184"/>
      <c r="I3009" s="184"/>
      <c r="J3009" s="184"/>
      <c r="K3009" s="184"/>
      <c r="L3009" s="184"/>
      <c r="M3009" s="184"/>
      <c r="N3009" s="184"/>
      <c r="O3009" s="184"/>
    </row>
    <row r="3010" customFormat="false" ht="15" hidden="false" customHeight="true" outlineLevel="0" collapsed="false">
      <c r="A3010" s="184"/>
      <c r="B3010" s="184"/>
      <c r="C3010" s="184"/>
      <c r="D3010" s="184"/>
      <c r="E3010" s="184"/>
      <c r="F3010" s="184"/>
      <c r="G3010" s="184"/>
      <c r="H3010" s="184"/>
      <c r="I3010" s="184"/>
      <c r="J3010" s="184"/>
      <c r="K3010" s="184"/>
      <c r="L3010" s="184"/>
      <c r="M3010" s="184"/>
      <c r="N3010" s="184"/>
      <c r="O3010" s="184"/>
    </row>
    <row r="3011" customFormat="false" ht="15" hidden="false" customHeight="true" outlineLevel="0" collapsed="false">
      <c r="A3011" s="184"/>
      <c r="B3011" s="184"/>
      <c r="C3011" s="184"/>
      <c r="D3011" s="184"/>
      <c r="E3011" s="184"/>
      <c r="F3011" s="184"/>
      <c r="G3011" s="184"/>
      <c r="H3011" s="184"/>
      <c r="I3011" s="184"/>
      <c r="J3011" s="184"/>
      <c r="K3011" s="184"/>
      <c r="L3011" s="184"/>
      <c r="M3011" s="184"/>
      <c r="N3011" s="184"/>
      <c r="O3011" s="184"/>
    </row>
    <row r="3012" customFormat="false" ht="15" hidden="false" customHeight="true" outlineLevel="0" collapsed="false">
      <c r="A3012" s="184"/>
      <c r="B3012" s="184"/>
      <c r="C3012" s="184"/>
      <c r="D3012" s="184"/>
      <c r="E3012" s="184"/>
      <c r="F3012" s="184"/>
      <c r="G3012" s="184"/>
      <c r="H3012" s="184"/>
      <c r="I3012" s="184"/>
      <c r="J3012" s="184"/>
      <c r="K3012" s="184"/>
      <c r="L3012" s="184"/>
      <c r="M3012" s="184"/>
      <c r="N3012" s="184"/>
      <c r="O3012" s="184"/>
    </row>
    <row r="3013" customFormat="false" ht="15" hidden="false" customHeight="true" outlineLevel="0" collapsed="false">
      <c r="A3013" s="184"/>
      <c r="B3013" s="184"/>
      <c r="C3013" s="184"/>
      <c r="D3013" s="184"/>
      <c r="E3013" s="184"/>
      <c r="F3013" s="184"/>
      <c r="G3013" s="184"/>
      <c r="H3013" s="184"/>
      <c r="I3013" s="184"/>
      <c r="J3013" s="184"/>
      <c r="K3013" s="184"/>
      <c r="L3013" s="184"/>
      <c r="M3013" s="184"/>
      <c r="N3013" s="184"/>
      <c r="O3013" s="184"/>
    </row>
    <row r="3014" customFormat="false" ht="15" hidden="false" customHeight="true" outlineLevel="0" collapsed="false">
      <c r="A3014" s="184"/>
      <c r="B3014" s="184"/>
      <c r="C3014" s="184"/>
      <c r="D3014" s="184"/>
      <c r="E3014" s="184"/>
      <c r="F3014" s="184"/>
      <c r="G3014" s="184"/>
      <c r="H3014" s="184"/>
      <c r="I3014" s="184"/>
      <c r="J3014" s="184"/>
      <c r="K3014" s="184"/>
      <c r="L3014" s="184"/>
      <c r="M3014" s="184"/>
      <c r="N3014" s="184"/>
      <c r="O3014" s="184"/>
    </row>
    <row r="3015" customFormat="false" ht="15" hidden="false" customHeight="true" outlineLevel="0" collapsed="false">
      <c r="A3015" s="184"/>
      <c r="B3015" s="184"/>
      <c r="C3015" s="184"/>
      <c r="D3015" s="184"/>
      <c r="E3015" s="184"/>
      <c r="F3015" s="184"/>
      <c r="G3015" s="184"/>
      <c r="H3015" s="184"/>
      <c r="I3015" s="184"/>
      <c r="J3015" s="184"/>
      <c r="K3015" s="184"/>
      <c r="L3015" s="184"/>
      <c r="M3015" s="184"/>
      <c r="N3015" s="184"/>
      <c r="O3015" s="184"/>
    </row>
    <row r="3016" customFormat="false" ht="15" hidden="false" customHeight="true" outlineLevel="0" collapsed="false">
      <c r="A3016" s="184"/>
      <c r="B3016" s="184"/>
      <c r="C3016" s="184"/>
      <c r="D3016" s="184"/>
      <c r="E3016" s="184"/>
      <c r="F3016" s="184"/>
      <c r="G3016" s="184"/>
      <c r="H3016" s="184"/>
      <c r="I3016" s="184"/>
      <c r="J3016" s="184"/>
      <c r="K3016" s="184"/>
      <c r="L3016" s="184"/>
      <c r="M3016" s="184"/>
      <c r="N3016" s="184"/>
      <c r="O3016" s="184"/>
    </row>
    <row r="3017" customFormat="false" ht="15" hidden="false" customHeight="true" outlineLevel="0" collapsed="false">
      <c r="A3017" s="184"/>
      <c r="B3017" s="184"/>
      <c r="C3017" s="184"/>
      <c r="D3017" s="184"/>
      <c r="E3017" s="184"/>
      <c r="F3017" s="184"/>
      <c r="G3017" s="184"/>
      <c r="H3017" s="184"/>
      <c r="I3017" s="184"/>
      <c r="J3017" s="184"/>
      <c r="K3017" s="184"/>
      <c r="L3017" s="184"/>
      <c r="M3017" s="184"/>
      <c r="N3017" s="184"/>
      <c r="O3017" s="184"/>
    </row>
    <row r="3018" customFormat="false" ht="15" hidden="false" customHeight="true" outlineLevel="0" collapsed="false">
      <c r="A3018" s="184"/>
      <c r="B3018" s="184"/>
      <c r="C3018" s="184"/>
      <c r="D3018" s="184"/>
      <c r="E3018" s="184"/>
      <c r="F3018" s="184"/>
      <c r="G3018" s="184"/>
      <c r="H3018" s="184"/>
      <c r="I3018" s="184"/>
      <c r="J3018" s="184"/>
      <c r="K3018" s="184"/>
      <c r="L3018" s="184"/>
      <c r="M3018" s="184"/>
      <c r="N3018" s="184"/>
      <c r="O3018" s="184"/>
    </row>
    <row r="3019" customFormat="false" ht="15" hidden="false" customHeight="true" outlineLevel="0" collapsed="false">
      <c r="A3019" s="184"/>
      <c r="B3019" s="184"/>
      <c r="C3019" s="184"/>
      <c r="D3019" s="184"/>
      <c r="E3019" s="184"/>
      <c r="F3019" s="184"/>
      <c r="G3019" s="184"/>
      <c r="H3019" s="184"/>
      <c r="I3019" s="184"/>
      <c r="J3019" s="184"/>
      <c r="K3019" s="184"/>
      <c r="L3019" s="184"/>
      <c r="M3019" s="184"/>
      <c r="N3019" s="184"/>
      <c r="O3019" s="184"/>
    </row>
    <row r="3020" customFormat="false" ht="15" hidden="false" customHeight="true" outlineLevel="0" collapsed="false">
      <c r="A3020" s="184"/>
      <c r="B3020" s="184"/>
      <c r="C3020" s="184"/>
      <c r="D3020" s="184"/>
      <c r="E3020" s="184"/>
      <c r="F3020" s="184"/>
      <c r="G3020" s="184"/>
      <c r="H3020" s="184"/>
      <c r="I3020" s="184"/>
      <c r="J3020" s="184"/>
      <c r="K3020" s="184"/>
      <c r="L3020" s="184"/>
      <c r="M3020" s="184"/>
      <c r="N3020" s="184"/>
      <c r="O3020" s="184"/>
    </row>
    <row r="3021" customFormat="false" ht="15" hidden="false" customHeight="true" outlineLevel="0" collapsed="false">
      <c r="A3021" s="184"/>
      <c r="B3021" s="184"/>
      <c r="C3021" s="184"/>
      <c r="D3021" s="184"/>
      <c r="E3021" s="184"/>
      <c r="F3021" s="184"/>
      <c r="G3021" s="184"/>
      <c r="H3021" s="184"/>
      <c r="I3021" s="184"/>
      <c r="J3021" s="184"/>
      <c r="K3021" s="184"/>
      <c r="L3021" s="184"/>
      <c r="M3021" s="184"/>
      <c r="N3021" s="184"/>
      <c r="O3021" s="184"/>
    </row>
    <row r="3022" customFormat="false" ht="15" hidden="false" customHeight="true" outlineLevel="0" collapsed="false">
      <c r="A3022" s="184"/>
      <c r="B3022" s="184"/>
      <c r="C3022" s="184"/>
      <c r="D3022" s="184"/>
      <c r="E3022" s="184"/>
      <c r="F3022" s="184"/>
      <c r="G3022" s="184"/>
      <c r="H3022" s="184"/>
      <c r="I3022" s="184"/>
      <c r="J3022" s="184"/>
      <c r="K3022" s="184"/>
      <c r="L3022" s="184"/>
      <c r="M3022" s="184"/>
      <c r="N3022" s="184"/>
      <c r="O3022" s="184"/>
    </row>
    <row r="3023" customFormat="false" ht="15" hidden="false" customHeight="true" outlineLevel="0" collapsed="false">
      <c r="A3023" s="184"/>
      <c r="B3023" s="184"/>
      <c r="C3023" s="184"/>
      <c r="D3023" s="184"/>
      <c r="E3023" s="184"/>
      <c r="F3023" s="184"/>
      <c r="G3023" s="184"/>
      <c r="H3023" s="184"/>
      <c r="I3023" s="184"/>
      <c r="J3023" s="184"/>
      <c r="K3023" s="184"/>
      <c r="L3023" s="184"/>
      <c r="M3023" s="184"/>
      <c r="N3023" s="184"/>
      <c r="O3023" s="184"/>
    </row>
    <row r="3024" customFormat="false" ht="15" hidden="false" customHeight="true" outlineLevel="0" collapsed="false">
      <c r="A3024" s="184"/>
      <c r="B3024" s="184"/>
      <c r="C3024" s="184"/>
      <c r="D3024" s="184"/>
      <c r="E3024" s="184"/>
      <c r="F3024" s="184"/>
      <c r="G3024" s="184"/>
      <c r="H3024" s="184"/>
      <c r="I3024" s="184"/>
      <c r="J3024" s="184"/>
      <c r="K3024" s="184"/>
      <c r="L3024" s="184"/>
      <c r="M3024" s="184"/>
      <c r="N3024" s="184"/>
      <c r="O3024" s="184"/>
    </row>
    <row r="3025" customFormat="false" ht="15" hidden="false" customHeight="true" outlineLevel="0" collapsed="false">
      <c r="A3025" s="184"/>
      <c r="B3025" s="184"/>
      <c r="C3025" s="184"/>
      <c r="D3025" s="184"/>
      <c r="E3025" s="184"/>
      <c r="F3025" s="184"/>
      <c r="G3025" s="184"/>
      <c r="H3025" s="184"/>
      <c r="I3025" s="184"/>
      <c r="J3025" s="184"/>
      <c r="K3025" s="184"/>
      <c r="L3025" s="184"/>
      <c r="M3025" s="184"/>
      <c r="N3025" s="184"/>
      <c r="O3025" s="184"/>
    </row>
    <row r="3026" customFormat="false" ht="15" hidden="false" customHeight="true" outlineLevel="0" collapsed="false">
      <c r="A3026" s="184"/>
      <c r="B3026" s="184"/>
      <c r="C3026" s="184"/>
      <c r="D3026" s="184"/>
      <c r="E3026" s="184"/>
      <c r="F3026" s="184"/>
      <c r="G3026" s="184"/>
      <c r="H3026" s="184"/>
      <c r="I3026" s="184"/>
      <c r="J3026" s="184"/>
      <c r="K3026" s="184"/>
      <c r="L3026" s="184"/>
      <c r="M3026" s="184"/>
      <c r="N3026" s="184"/>
      <c r="O3026" s="184"/>
    </row>
    <row r="3027" customFormat="false" ht="15" hidden="false" customHeight="true" outlineLevel="0" collapsed="false">
      <c r="A3027" s="184"/>
      <c r="B3027" s="184"/>
      <c r="C3027" s="184"/>
      <c r="D3027" s="184"/>
      <c r="E3027" s="184"/>
      <c r="F3027" s="184"/>
      <c r="G3027" s="184"/>
      <c r="H3027" s="184"/>
      <c r="I3027" s="184"/>
      <c r="J3027" s="184"/>
      <c r="K3027" s="184"/>
      <c r="L3027" s="184"/>
      <c r="M3027" s="184"/>
      <c r="N3027" s="184"/>
      <c r="O3027" s="184"/>
    </row>
    <row r="3028" customFormat="false" ht="15" hidden="false" customHeight="true" outlineLevel="0" collapsed="false">
      <c r="A3028" s="184"/>
      <c r="B3028" s="184"/>
      <c r="C3028" s="184"/>
      <c r="D3028" s="184"/>
      <c r="E3028" s="184"/>
      <c r="F3028" s="184"/>
      <c r="G3028" s="184"/>
      <c r="H3028" s="184"/>
      <c r="I3028" s="184"/>
      <c r="J3028" s="184"/>
      <c r="K3028" s="184"/>
      <c r="L3028" s="184"/>
      <c r="M3028" s="184"/>
      <c r="N3028" s="184"/>
      <c r="O3028" s="184"/>
    </row>
    <row r="3029" customFormat="false" ht="15" hidden="false" customHeight="true" outlineLevel="0" collapsed="false">
      <c r="A3029" s="184"/>
      <c r="B3029" s="184"/>
      <c r="C3029" s="184"/>
      <c r="D3029" s="184"/>
      <c r="E3029" s="184"/>
      <c r="F3029" s="184"/>
      <c r="G3029" s="184"/>
      <c r="H3029" s="184"/>
      <c r="I3029" s="184"/>
      <c r="J3029" s="184"/>
      <c r="K3029" s="184"/>
      <c r="L3029" s="184"/>
      <c r="M3029" s="184"/>
      <c r="N3029" s="184"/>
      <c r="O3029" s="184"/>
    </row>
    <row r="3030" customFormat="false" ht="15" hidden="false" customHeight="true" outlineLevel="0" collapsed="false">
      <c r="A3030" s="184"/>
      <c r="B3030" s="184"/>
      <c r="C3030" s="184"/>
      <c r="D3030" s="184"/>
      <c r="E3030" s="184"/>
      <c r="F3030" s="184"/>
      <c r="G3030" s="184"/>
      <c r="H3030" s="184"/>
      <c r="I3030" s="184"/>
      <c r="J3030" s="184"/>
      <c r="K3030" s="184"/>
      <c r="L3030" s="184"/>
      <c r="M3030" s="184"/>
      <c r="N3030" s="184"/>
      <c r="O3030" s="184"/>
    </row>
    <row r="3031" customFormat="false" ht="15" hidden="false" customHeight="true" outlineLevel="0" collapsed="false">
      <c r="A3031" s="184"/>
      <c r="B3031" s="184"/>
      <c r="C3031" s="184"/>
      <c r="D3031" s="184"/>
      <c r="E3031" s="184"/>
      <c r="F3031" s="184"/>
      <c r="G3031" s="184"/>
      <c r="H3031" s="184"/>
      <c r="I3031" s="184"/>
      <c r="J3031" s="184"/>
      <c r="K3031" s="184"/>
      <c r="L3031" s="184"/>
      <c r="M3031" s="184"/>
      <c r="N3031" s="184"/>
      <c r="O3031" s="184"/>
    </row>
    <row r="3032" customFormat="false" ht="15" hidden="false" customHeight="true" outlineLevel="0" collapsed="false">
      <c r="A3032" s="184"/>
      <c r="B3032" s="184"/>
      <c r="C3032" s="184"/>
      <c r="D3032" s="184"/>
      <c r="E3032" s="184"/>
      <c r="F3032" s="184"/>
      <c r="G3032" s="184"/>
      <c r="H3032" s="184"/>
      <c r="I3032" s="184"/>
      <c r="J3032" s="184"/>
      <c r="K3032" s="184"/>
      <c r="L3032" s="184"/>
      <c r="M3032" s="184"/>
      <c r="N3032" s="184"/>
      <c r="O3032" s="184"/>
    </row>
    <row r="3033" customFormat="false" ht="15" hidden="false" customHeight="true" outlineLevel="0" collapsed="false">
      <c r="A3033" s="184"/>
      <c r="B3033" s="184"/>
      <c r="C3033" s="184"/>
      <c r="D3033" s="184"/>
      <c r="E3033" s="184"/>
      <c r="F3033" s="184"/>
      <c r="G3033" s="184"/>
      <c r="H3033" s="184"/>
      <c r="I3033" s="184"/>
      <c r="J3033" s="184"/>
      <c r="K3033" s="184"/>
      <c r="L3033" s="184"/>
      <c r="M3033" s="184"/>
      <c r="N3033" s="184"/>
      <c r="O3033" s="184"/>
    </row>
    <row r="3034" customFormat="false" ht="15" hidden="false" customHeight="true" outlineLevel="0" collapsed="false">
      <c r="A3034" s="184"/>
      <c r="B3034" s="184"/>
      <c r="C3034" s="184"/>
      <c r="D3034" s="184"/>
      <c r="E3034" s="184"/>
      <c r="F3034" s="184"/>
      <c r="G3034" s="184"/>
      <c r="H3034" s="184"/>
      <c r="I3034" s="184"/>
      <c r="J3034" s="184"/>
      <c r="K3034" s="184"/>
      <c r="L3034" s="184"/>
      <c r="M3034" s="184"/>
      <c r="N3034" s="184"/>
      <c r="O3034" s="184"/>
    </row>
    <row r="3035" customFormat="false" ht="15" hidden="false" customHeight="true" outlineLevel="0" collapsed="false">
      <c r="A3035" s="184"/>
      <c r="B3035" s="184"/>
      <c r="C3035" s="184"/>
      <c r="D3035" s="184"/>
      <c r="E3035" s="184"/>
      <c r="F3035" s="184"/>
      <c r="G3035" s="184"/>
      <c r="H3035" s="184"/>
      <c r="I3035" s="184"/>
      <c r="J3035" s="184"/>
      <c r="K3035" s="184"/>
      <c r="L3035" s="184"/>
      <c r="M3035" s="184"/>
      <c r="N3035" s="184"/>
      <c r="O3035" s="184"/>
    </row>
    <row r="3036" customFormat="false" ht="15" hidden="false" customHeight="true" outlineLevel="0" collapsed="false">
      <c r="B3036" s="172" t="s">
        <v>7169</v>
      </c>
    </row>
    <row r="3037" customFormat="false" ht="15" hidden="false" customHeight="true" outlineLevel="0" collapsed="false">
      <c r="B3037" s="181" t="s">
        <v>7170</v>
      </c>
    </row>
    <row r="3038" customFormat="false" ht="68.25" hidden="false" customHeight="true" outlineLevel="0" collapsed="false">
      <c r="A3038" s="184" t="s">
        <v>4951</v>
      </c>
      <c r="B3038" s="184" t="s">
        <v>4952</v>
      </c>
      <c r="C3038" s="184"/>
      <c r="D3038" s="179" t="s">
        <v>4858</v>
      </c>
      <c r="E3038" s="184" t="s">
        <v>7171</v>
      </c>
      <c r="F3038" s="184"/>
      <c r="G3038" s="184"/>
      <c r="H3038" s="184"/>
      <c r="I3038" s="184"/>
      <c r="J3038" s="184"/>
      <c r="K3038" s="184"/>
      <c r="L3038" s="184"/>
      <c r="M3038" s="184" t="s">
        <v>7172</v>
      </c>
      <c r="N3038" s="184"/>
      <c r="O3038" s="184"/>
    </row>
    <row r="3039" customFormat="false" ht="27.75" hidden="false" customHeight="true" outlineLevel="0" collapsed="false">
      <c r="A3039" s="184" t="s">
        <v>4951</v>
      </c>
      <c r="B3039" s="184" t="s">
        <v>4952</v>
      </c>
      <c r="C3039" s="184" t="n">
        <v>1</v>
      </c>
      <c r="D3039" s="184" t="s">
        <v>6296</v>
      </c>
      <c r="E3039" s="184" t="s">
        <v>7173</v>
      </c>
      <c r="F3039" s="184"/>
      <c r="G3039" s="184"/>
      <c r="H3039" s="184"/>
      <c r="I3039" s="184"/>
      <c r="J3039" s="184"/>
      <c r="K3039" s="184"/>
      <c r="L3039" s="184"/>
      <c r="M3039" s="184"/>
      <c r="N3039" s="184"/>
      <c r="O3039" s="184"/>
    </row>
    <row r="3040" customFormat="false" ht="27.75" hidden="false" customHeight="true" outlineLevel="0" collapsed="false">
      <c r="A3040" s="184" t="s">
        <v>4951</v>
      </c>
      <c r="B3040" s="184" t="s">
        <v>4952</v>
      </c>
      <c r="C3040" s="184" t="n">
        <v>2</v>
      </c>
      <c r="D3040" s="177" t="s">
        <v>6298</v>
      </c>
      <c r="E3040" s="184" t="s">
        <v>7174</v>
      </c>
      <c r="F3040" s="184"/>
      <c r="G3040" s="184"/>
      <c r="H3040" s="184"/>
      <c r="I3040" s="184"/>
      <c r="J3040" s="184"/>
      <c r="K3040" s="184"/>
      <c r="L3040" s="184"/>
      <c r="M3040" s="184"/>
      <c r="N3040" s="184"/>
      <c r="O3040" s="184"/>
    </row>
    <row r="3041" customFormat="false" ht="27.75" hidden="false" customHeight="true" outlineLevel="0" collapsed="false">
      <c r="A3041" s="184" t="s">
        <v>4951</v>
      </c>
      <c r="B3041" s="184" t="s">
        <v>4952</v>
      </c>
      <c r="C3041" s="184" t="n">
        <v>3</v>
      </c>
      <c r="D3041" s="178" t="s">
        <v>5269</v>
      </c>
      <c r="E3041" s="184" t="s">
        <v>7175</v>
      </c>
      <c r="F3041" s="184"/>
      <c r="G3041" s="184"/>
      <c r="H3041" s="184"/>
      <c r="I3041" s="184"/>
      <c r="J3041" s="184"/>
      <c r="K3041" s="184"/>
      <c r="L3041" s="184"/>
      <c r="M3041" s="184" t="s">
        <v>7176</v>
      </c>
      <c r="N3041" s="184"/>
      <c r="O3041" s="184"/>
    </row>
    <row r="3042" customFormat="false" ht="27.75" hidden="false" customHeight="true" outlineLevel="0" collapsed="false">
      <c r="A3042" s="184" t="s">
        <v>4951</v>
      </c>
      <c r="B3042" s="184" t="s">
        <v>4952</v>
      </c>
      <c r="C3042" s="184" t="n">
        <v>4</v>
      </c>
      <c r="D3042" s="184" t="s">
        <v>6296</v>
      </c>
      <c r="E3042" s="184" t="s">
        <v>7173</v>
      </c>
      <c r="F3042" s="184"/>
      <c r="G3042" s="184"/>
      <c r="H3042" s="184"/>
      <c r="I3042" s="184"/>
      <c r="J3042" s="184"/>
      <c r="K3042" s="184"/>
      <c r="L3042" s="184"/>
      <c r="M3042" s="184"/>
      <c r="N3042" s="184"/>
      <c r="O3042" s="184"/>
    </row>
    <row r="3043" customFormat="false" ht="41.25" hidden="false" customHeight="true" outlineLevel="0" collapsed="false">
      <c r="A3043" s="184" t="s">
        <v>4951</v>
      </c>
      <c r="B3043" s="184" t="s">
        <v>4952</v>
      </c>
      <c r="C3043" s="184" t="n">
        <v>5</v>
      </c>
      <c r="D3043" s="177" t="s">
        <v>6298</v>
      </c>
      <c r="E3043" s="184" t="s">
        <v>7177</v>
      </c>
      <c r="F3043" s="184"/>
      <c r="G3043" s="184"/>
      <c r="H3043" s="184"/>
      <c r="I3043" s="184"/>
      <c r="J3043" s="184"/>
      <c r="K3043" s="184"/>
      <c r="L3043" s="184"/>
      <c r="M3043" s="184"/>
      <c r="N3043" s="184"/>
      <c r="O3043" s="184"/>
    </row>
    <row r="3044" customFormat="false" ht="27.75" hidden="false" customHeight="true" outlineLevel="0" collapsed="false">
      <c r="A3044" s="184" t="s">
        <v>4951</v>
      </c>
      <c r="B3044" s="184" t="s">
        <v>4952</v>
      </c>
      <c r="C3044" s="184" t="n">
        <v>6</v>
      </c>
      <c r="D3044" s="184" t="s">
        <v>4790</v>
      </c>
      <c r="E3044" s="184" t="s">
        <v>784</v>
      </c>
      <c r="F3044" s="184"/>
      <c r="G3044" s="184"/>
      <c r="H3044" s="184"/>
      <c r="I3044" s="184"/>
      <c r="J3044" s="184"/>
      <c r="K3044" s="184"/>
      <c r="L3044" s="184"/>
      <c r="M3044" s="184"/>
      <c r="N3044" s="184"/>
      <c r="O3044" s="184"/>
    </row>
    <row r="3045" customFormat="false" ht="27.75" hidden="false" customHeight="true" outlineLevel="0" collapsed="false">
      <c r="A3045" s="184" t="s">
        <v>4951</v>
      </c>
      <c r="B3045" s="184" t="s">
        <v>4952</v>
      </c>
      <c r="C3045" s="184" t="n">
        <v>7</v>
      </c>
      <c r="D3045" s="178" t="s">
        <v>5269</v>
      </c>
      <c r="E3045" s="184" t="s">
        <v>7175</v>
      </c>
      <c r="F3045" s="184"/>
      <c r="G3045" s="184"/>
      <c r="H3045" s="184"/>
      <c r="I3045" s="184"/>
      <c r="J3045" s="184"/>
      <c r="K3045" s="184"/>
      <c r="L3045" s="184"/>
      <c r="M3045" s="184" t="s">
        <v>7176</v>
      </c>
      <c r="N3045" s="184"/>
      <c r="O3045" s="184"/>
    </row>
    <row r="3046" customFormat="false" ht="27.75" hidden="false" customHeight="true" outlineLevel="0" collapsed="false">
      <c r="A3046" s="184" t="s">
        <v>4951</v>
      </c>
      <c r="B3046" s="184" t="s">
        <v>4952</v>
      </c>
      <c r="C3046" s="184" t="n">
        <v>8</v>
      </c>
      <c r="D3046" s="184" t="s">
        <v>4790</v>
      </c>
      <c r="E3046" s="184" t="s">
        <v>1779</v>
      </c>
      <c r="F3046" s="184"/>
      <c r="G3046" s="184"/>
      <c r="H3046" s="184"/>
      <c r="I3046" s="184"/>
      <c r="J3046" s="184"/>
      <c r="K3046" s="184"/>
      <c r="L3046" s="184"/>
      <c r="M3046" s="184"/>
      <c r="N3046" s="184"/>
      <c r="O3046" s="184"/>
    </row>
    <row r="3047" customFormat="false" ht="27.75" hidden="false" customHeight="true" outlineLevel="0" collapsed="false">
      <c r="A3047" s="184" t="s">
        <v>4951</v>
      </c>
      <c r="B3047" s="184" t="s">
        <v>4952</v>
      </c>
      <c r="C3047" s="184" t="n">
        <v>9</v>
      </c>
      <c r="D3047" s="178" t="s">
        <v>5269</v>
      </c>
      <c r="E3047" s="184" t="s">
        <v>7175</v>
      </c>
      <c r="F3047" s="184"/>
      <c r="G3047" s="184"/>
      <c r="H3047" s="184"/>
      <c r="I3047" s="184"/>
      <c r="J3047" s="184"/>
      <c r="K3047" s="184"/>
      <c r="L3047" s="184"/>
      <c r="M3047" s="184" t="s">
        <v>7178</v>
      </c>
      <c r="N3047" s="184"/>
      <c r="O3047" s="184"/>
    </row>
    <row r="3048" customFormat="false" ht="27.75" hidden="false" customHeight="true" outlineLevel="0" collapsed="false">
      <c r="A3048" s="184" t="s">
        <v>4951</v>
      </c>
      <c r="B3048" s="184" t="s">
        <v>4952</v>
      </c>
      <c r="C3048" s="184" t="n">
        <v>10</v>
      </c>
      <c r="D3048" s="184" t="s">
        <v>4790</v>
      </c>
      <c r="E3048" s="184" t="s">
        <v>2630</v>
      </c>
      <c r="F3048" s="184"/>
      <c r="G3048" s="184"/>
      <c r="H3048" s="184"/>
      <c r="I3048" s="184"/>
      <c r="J3048" s="184"/>
      <c r="K3048" s="184"/>
      <c r="L3048" s="184"/>
      <c r="M3048" s="184"/>
      <c r="N3048" s="184"/>
      <c r="O3048" s="184"/>
    </row>
    <row r="3049" customFormat="false" ht="27.75" hidden="false" customHeight="true" outlineLevel="0" collapsed="false">
      <c r="A3049" s="184" t="s">
        <v>4951</v>
      </c>
      <c r="B3049" s="184" t="s">
        <v>4952</v>
      </c>
      <c r="C3049" s="184" t="n">
        <v>11</v>
      </c>
      <c r="D3049" s="178" t="s">
        <v>5269</v>
      </c>
      <c r="E3049" s="184" t="s">
        <v>7175</v>
      </c>
      <c r="F3049" s="184"/>
      <c r="G3049" s="184"/>
      <c r="H3049" s="184"/>
      <c r="I3049" s="184"/>
      <c r="J3049" s="184"/>
      <c r="K3049" s="184"/>
      <c r="L3049" s="184"/>
      <c r="M3049" s="184" t="s">
        <v>7179</v>
      </c>
      <c r="N3049" s="184"/>
      <c r="O3049" s="184"/>
    </row>
    <row r="3050" customFormat="false" ht="27.75" hidden="false" customHeight="true" outlineLevel="0" collapsed="false">
      <c r="A3050" s="184" t="s">
        <v>4951</v>
      </c>
      <c r="B3050" s="184" t="s">
        <v>4952</v>
      </c>
      <c r="C3050" s="184" t="n">
        <v>12</v>
      </c>
      <c r="D3050" s="184" t="s">
        <v>4790</v>
      </c>
      <c r="E3050" s="184" t="s">
        <v>2633</v>
      </c>
      <c r="F3050" s="184"/>
      <c r="G3050" s="184"/>
      <c r="H3050" s="184"/>
      <c r="I3050" s="184"/>
      <c r="J3050" s="184"/>
      <c r="K3050" s="184"/>
      <c r="L3050" s="184"/>
      <c r="M3050" s="184"/>
      <c r="N3050" s="184"/>
      <c r="O3050" s="184"/>
    </row>
    <row r="3051" customFormat="false" ht="27.75" hidden="false" customHeight="true" outlineLevel="0" collapsed="false">
      <c r="A3051" s="184" t="s">
        <v>4951</v>
      </c>
      <c r="B3051" s="184" t="s">
        <v>4952</v>
      </c>
      <c r="C3051" s="184" t="n">
        <v>13</v>
      </c>
      <c r="D3051" s="178" t="s">
        <v>5269</v>
      </c>
      <c r="E3051" s="184" t="s">
        <v>7175</v>
      </c>
      <c r="F3051" s="184"/>
      <c r="G3051" s="184"/>
      <c r="H3051" s="184"/>
      <c r="I3051" s="184"/>
      <c r="J3051" s="184"/>
      <c r="K3051" s="184"/>
      <c r="L3051" s="184"/>
      <c r="M3051" s="184" t="s">
        <v>7180</v>
      </c>
      <c r="N3051" s="184"/>
      <c r="O3051" s="184"/>
    </row>
    <row r="3052" customFormat="false" ht="15" hidden="false" customHeight="true" outlineLevel="0" collapsed="false">
      <c r="A3052" s="184"/>
      <c r="B3052" s="184"/>
      <c r="C3052" s="184"/>
      <c r="D3052" s="184"/>
      <c r="E3052" s="184"/>
      <c r="F3052" s="184"/>
      <c r="G3052" s="184"/>
      <c r="H3052" s="184"/>
      <c r="I3052" s="184"/>
      <c r="J3052" s="184"/>
      <c r="K3052" s="184"/>
      <c r="L3052" s="184"/>
      <c r="M3052" s="184"/>
      <c r="N3052" s="184"/>
      <c r="O3052" s="184"/>
    </row>
    <row r="3053" customFormat="false" ht="15" hidden="false" customHeight="true" outlineLevel="0" collapsed="false">
      <c r="A3053" s="184"/>
      <c r="B3053" s="184"/>
      <c r="C3053" s="184"/>
      <c r="D3053" s="184"/>
      <c r="E3053" s="184"/>
      <c r="F3053" s="184"/>
      <c r="G3053" s="184"/>
      <c r="H3053" s="184"/>
      <c r="I3053" s="184"/>
      <c r="J3053" s="184"/>
      <c r="K3053" s="184"/>
      <c r="L3053" s="184"/>
      <c r="M3053" s="184"/>
      <c r="N3053" s="184"/>
      <c r="O3053" s="184"/>
    </row>
    <row r="3054" customFormat="false" ht="15" hidden="false" customHeight="true" outlineLevel="0" collapsed="false">
      <c r="A3054" s="184"/>
      <c r="B3054" s="184"/>
      <c r="C3054" s="184"/>
      <c r="D3054" s="184"/>
      <c r="E3054" s="184"/>
      <c r="F3054" s="184"/>
      <c r="G3054" s="184"/>
      <c r="H3054" s="184"/>
      <c r="I3054" s="184"/>
      <c r="J3054" s="184"/>
      <c r="K3054" s="184"/>
      <c r="L3054" s="184"/>
      <c r="M3054" s="184"/>
      <c r="N3054" s="184"/>
      <c r="O3054" s="184"/>
    </row>
    <row r="3055" customFormat="false" ht="15" hidden="false" customHeight="true" outlineLevel="0" collapsed="false">
      <c r="A3055" s="184"/>
      <c r="B3055" s="184"/>
      <c r="C3055" s="184"/>
      <c r="D3055" s="184"/>
      <c r="E3055" s="184"/>
      <c r="F3055" s="184"/>
      <c r="G3055" s="184"/>
      <c r="H3055" s="184"/>
      <c r="I3055" s="184"/>
      <c r="J3055" s="184"/>
      <c r="K3055" s="184"/>
      <c r="L3055" s="184"/>
      <c r="M3055" s="184"/>
      <c r="N3055" s="184"/>
      <c r="O3055" s="184"/>
    </row>
    <row r="3056" customFormat="false" ht="15" hidden="false" customHeight="true" outlineLevel="0" collapsed="false">
      <c r="A3056" s="184"/>
      <c r="B3056" s="184"/>
      <c r="C3056" s="184"/>
      <c r="D3056" s="184"/>
      <c r="E3056" s="184"/>
      <c r="F3056" s="184"/>
      <c r="G3056" s="184"/>
      <c r="H3056" s="184"/>
      <c r="I3056" s="184"/>
      <c r="J3056" s="184"/>
      <c r="K3056" s="184"/>
      <c r="L3056" s="184"/>
      <c r="M3056" s="184"/>
      <c r="N3056" s="184"/>
      <c r="O3056" s="184"/>
    </row>
    <row r="3057" customFormat="false" ht="15" hidden="false" customHeight="true" outlineLevel="0" collapsed="false">
      <c r="A3057" s="184"/>
      <c r="B3057" s="184"/>
      <c r="C3057" s="184"/>
      <c r="D3057" s="184"/>
      <c r="E3057" s="184"/>
      <c r="F3057" s="184"/>
      <c r="G3057" s="184"/>
      <c r="H3057" s="184"/>
      <c r="I3057" s="184"/>
      <c r="J3057" s="184"/>
      <c r="K3057" s="184"/>
      <c r="L3057" s="184"/>
      <c r="M3057" s="184"/>
      <c r="N3057" s="184"/>
      <c r="O3057" s="184"/>
    </row>
    <row r="3058" customFormat="false" ht="15" hidden="false" customHeight="true" outlineLevel="0" collapsed="false">
      <c r="A3058" s="184"/>
      <c r="B3058" s="184"/>
      <c r="C3058" s="184"/>
      <c r="D3058" s="184"/>
      <c r="E3058" s="184"/>
      <c r="F3058" s="184"/>
      <c r="G3058" s="184"/>
      <c r="H3058" s="184"/>
      <c r="I3058" s="184"/>
      <c r="J3058" s="184"/>
      <c r="K3058" s="184"/>
      <c r="L3058" s="184"/>
      <c r="M3058" s="184"/>
      <c r="N3058" s="184"/>
      <c r="O3058" s="184"/>
    </row>
    <row r="3059" customFormat="false" ht="15" hidden="false" customHeight="true" outlineLevel="0" collapsed="false">
      <c r="A3059" s="184"/>
      <c r="B3059" s="184"/>
      <c r="C3059" s="184"/>
      <c r="D3059" s="184"/>
      <c r="E3059" s="184"/>
      <c r="F3059" s="184"/>
      <c r="G3059" s="184"/>
      <c r="H3059" s="184"/>
      <c r="I3059" s="184"/>
      <c r="J3059" s="184"/>
      <c r="K3059" s="184"/>
      <c r="L3059" s="184"/>
      <c r="M3059" s="184"/>
      <c r="N3059" s="184"/>
      <c r="O3059" s="184"/>
    </row>
    <row r="3060" customFormat="false" ht="15" hidden="false" customHeight="true" outlineLevel="0" collapsed="false">
      <c r="A3060" s="184"/>
      <c r="B3060" s="184"/>
      <c r="C3060" s="184"/>
      <c r="D3060" s="184"/>
      <c r="E3060" s="184"/>
      <c r="F3060" s="184"/>
      <c r="G3060" s="184"/>
      <c r="H3060" s="184"/>
      <c r="I3060" s="184"/>
      <c r="J3060" s="184"/>
      <c r="K3060" s="184"/>
      <c r="L3060" s="184"/>
      <c r="M3060" s="184"/>
      <c r="N3060" s="184"/>
      <c r="O3060" s="184"/>
    </row>
    <row r="3061" customFormat="false" ht="15" hidden="false" customHeight="true" outlineLevel="0" collapsed="false">
      <c r="A3061" s="184"/>
      <c r="B3061" s="184"/>
      <c r="C3061" s="184"/>
      <c r="D3061" s="184"/>
      <c r="E3061" s="184"/>
      <c r="F3061" s="184"/>
      <c r="G3061" s="184"/>
      <c r="H3061" s="184"/>
      <c r="I3061" s="184"/>
      <c r="J3061" s="184"/>
      <c r="K3061" s="184"/>
      <c r="L3061" s="184"/>
      <c r="M3061" s="184"/>
      <c r="N3061" s="184"/>
      <c r="O3061" s="184"/>
    </row>
    <row r="3062" customFormat="false" ht="15" hidden="false" customHeight="true" outlineLevel="0" collapsed="false">
      <c r="A3062" s="184"/>
      <c r="B3062" s="184"/>
      <c r="C3062" s="184"/>
      <c r="D3062" s="184"/>
      <c r="E3062" s="184"/>
      <c r="F3062" s="184"/>
      <c r="G3062" s="184"/>
      <c r="H3062" s="184"/>
      <c r="I3062" s="184"/>
      <c r="J3062" s="184"/>
      <c r="K3062" s="184"/>
      <c r="L3062" s="184"/>
      <c r="M3062" s="184"/>
      <c r="N3062" s="184"/>
      <c r="O3062" s="184"/>
    </row>
    <row r="3063" customFormat="false" ht="15" hidden="false" customHeight="true" outlineLevel="0" collapsed="false">
      <c r="A3063" s="184"/>
      <c r="B3063" s="184"/>
      <c r="C3063" s="184"/>
      <c r="D3063" s="184"/>
      <c r="E3063" s="184"/>
      <c r="F3063" s="184"/>
      <c r="G3063" s="184"/>
      <c r="H3063" s="184"/>
      <c r="I3063" s="184"/>
      <c r="J3063" s="184"/>
      <c r="K3063" s="184"/>
      <c r="L3063" s="184"/>
      <c r="M3063" s="184"/>
      <c r="N3063" s="184"/>
      <c r="O3063" s="184"/>
    </row>
    <row r="3064" customFormat="false" ht="15" hidden="false" customHeight="true" outlineLevel="0" collapsed="false">
      <c r="A3064" s="184"/>
      <c r="B3064" s="184"/>
      <c r="C3064" s="184"/>
      <c r="D3064" s="184"/>
      <c r="E3064" s="184"/>
      <c r="F3064" s="184"/>
      <c r="G3064" s="184"/>
      <c r="H3064" s="184"/>
      <c r="I3064" s="184"/>
      <c r="J3064" s="184"/>
      <c r="K3064" s="184"/>
      <c r="L3064" s="184"/>
      <c r="M3064" s="184"/>
      <c r="N3064" s="184"/>
      <c r="O3064" s="184"/>
    </row>
    <row r="3065" customFormat="false" ht="15" hidden="false" customHeight="true" outlineLevel="0" collapsed="false">
      <c r="A3065" s="184"/>
      <c r="B3065" s="184"/>
      <c r="C3065" s="184"/>
      <c r="D3065" s="184"/>
      <c r="E3065" s="184"/>
      <c r="F3065" s="184"/>
      <c r="G3065" s="184"/>
      <c r="H3065" s="184"/>
      <c r="I3065" s="184"/>
      <c r="J3065" s="184"/>
      <c r="K3065" s="184"/>
      <c r="L3065" s="184"/>
      <c r="M3065" s="184"/>
      <c r="N3065" s="184"/>
      <c r="O3065" s="184"/>
    </row>
    <row r="3066" customFormat="false" ht="15" hidden="false" customHeight="true" outlineLevel="0" collapsed="false">
      <c r="A3066" s="184"/>
      <c r="B3066" s="184"/>
      <c r="C3066" s="184"/>
      <c r="D3066" s="184"/>
      <c r="E3066" s="184"/>
      <c r="F3066" s="184"/>
      <c r="G3066" s="184"/>
      <c r="H3066" s="184"/>
      <c r="I3066" s="184"/>
      <c r="J3066" s="184"/>
      <c r="K3066" s="184"/>
      <c r="L3066" s="184"/>
      <c r="M3066" s="184"/>
      <c r="N3066" s="184"/>
      <c r="O3066" s="184"/>
    </row>
    <row r="3067" customFormat="false" ht="15" hidden="false" customHeight="true" outlineLevel="0" collapsed="false">
      <c r="A3067" s="184"/>
      <c r="B3067" s="184"/>
      <c r="C3067" s="184"/>
      <c r="D3067" s="184"/>
      <c r="E3067" s="184"/>
      <c r="F3067" s="184"/>
      <c r="G3067" s="184"/>
      <c r="H3067" s="184"/>
      <c r="I3067" s="184"/>
      <c r="J3067" s="184"/>
      <c r="K3067" s="184"/>
      <c r="L3067" s="184"/>
      <c r="M3067" s="184"/>
      <c r="N3067" s="184"/>
      <c r="O3067" s="184"/>
    </row>
    <row r="3068" customFormat="false" ht="15" hidden="false" customHeight="true" outlineLevel="0" collapsed="false">
      <c r="A3068" s="184"/>
      <c r="B3068" s="184"/>
      <c r="C3068" s="184"/>
      <c r="D3068" s="184"/>
      <c r="E3068" s="184"/>
      <c r="F3068" s="184"/>
      <c r="G3068" s="184"/>
      <c r="H3068" s="184"/>
      <c r="I3068" s="184"/>
      <c r="J3068" s="184"/>
      <c r="K3068" s="184"/>
      <c r="L3068" s="184"/>
      <c r="M3068" s="184"/>
      <c r="N3068" s="184"/>
      <c r="O3068" s="184"/>
    </row>
    <row r="3069" customFormat="false" ht="15" hidden="false" customHeight="true" outlineLevel="0" collapsed="false">
      <c r="A3069" s="184"/>
      <c r="B3069" s="184"/>
      <c r="C3069" s="184"/>
      <c r="D3069" s="184"/>
      <c r="E3069" s="184"/>
      <c r="F3069" s="184"/>
      <c r="G3069" s="184"/>
      <c r="H3069" s="184"/>
      <c r="I3069" s="184"/>
      <c r="J3069" s="184"/>
      <c r="K3069" s="184"/>
      <c r="L3069" s="184"/>
      <c r="M3069" s="184"/>
      <c r="N3069" s="184"/>
      <c r="O3069" s="184"/>
    </row>
    <row r="3070" customFormat="false" ht="15" hidden="false" customHeight="true" outlineLevel="0" collapsed="false">
      <c r="A3070" s="184"/>
      <c r="B3070" s="184"/>
      <c r="C3070" s="184"/>
      <c r="D3070" s="184"/>
      <c r="E3070" s="184"/>
      <c r="F3070" s="184"/>
      <c r="G3070" s="184"/>
      <c r="H3070" s="184"/>
      <c r="I3070" s="184"/>
      <c r="J3070" s="184"/>
      <c r="K3070" s="184"/>
      <c r="L3070" s="184"/>
      <c r="M3070" s="184"/>
      <c r="N3070" s="184"/>
      <c r="O3070" s="184"/>
    </row>
    <row r="3071" customFormat="false" ht="15" hidden="false" customHeight="true" outlineLevel="0" collapsed="false">
      <c r="A3071" s="184"/>
      <c r="B3071" s="184"/>
      <c r="C3071" s="184"/>
      <c r="D3071" s="184"/>
      <c r="E3071" s="184"/>
      <c r="F3071" s="184"/>
      <c r="G3071" s="184"/>
      <c r="H3071" s="184"/>
      <c r="I3071" s="184"/>
      <c r="J3071" s="184"/>
      <c r="K3071" s="184"/>
      <c r="L3071" s="184"/>
      <c r="M3071" s="184"/>
      <c r="N3071" s="184"/>
      <c r="O3071" s="184"/>
    </row>
    <row r="3072" customFormat="false" ht="15" hidden="false" customHeight="true" outlineLevel="0" collapsed="false">
      <c r="A3072" s="184"/>
      <c r="B3072" s="184"/>
      <c r="C3072" s="184"/>
      <c r="D3072" s="184"/>
      <c r="E3072" s="184"/>
      <c r="F3072" s="184"/>
      <c r="G3072" s="184"/>
      <c r="H3072" s="184"/>
      <c r="I3072" s="184"/>
      <c r="J3072" s="184"/>
      <c r="K3072" s="184"/>
      <c r="L3072" s="184"/>
      <c r="M3072" s="184"/>
      <c r="N3072" s="184"/>
      <c r="O3072" s="184"/>
    </row>
    <row r="3073" customFormat="false" ht="15" hidden="false" customHeight="true" outlineLevel="0" collapsed="false">
      <c r="A3073" s="184"/>
      <c r="B3073" s="184"/>
      <c r="C3073" s="184"/>
      <c r="D3073" s="184"/>
      <c r="E3073" s="184"/>
      <c r="F3073" s="184"/>
      <c r="G3073" s="184"/>
      <c r="H3073" s="184"/>
      <c r="I3073" s="184"/>
      <c r="J3073" s="184"/>
      <c r="K3073" s="184"/>
      <c r="L3073" s="184"/>
      <c r="M3073" s="184"/>
      <c r="N3073" s="184"/>
      <c r="O3073" s="184"/>
    </row>
    <row r="3074" customFormat="false" ht="15" hidden="false" customHeight="true" outlineLevel="0" collapsed="false">
      <c r="A3074" s="184"/>
      <c r="B3074" s="184"/>
      <c r="C3074" s="184"/>
      <c r="D3074" s="184"/>
      <c r="E3074" s="184"/>
      <c r="F3074" s="184"/>
      <c r="G3074" s="184"/>
      <c r="H3074" s="184"/>
      <c r="I3074" s="184"/>
      <c r="J3074" s="184"/>
      <c r="K3074" s="184"/>
      <c r="L3074" s="184"/>
      <c r="M3074" s="184"/>
      <c r="N3074" s="184"/>
      <c r="O3074" s="184"/>
    </row>
    <row r="3075" customFormat="false" ht="15" hidden="false" customHeight="true" outlineLevel="0" collapsed="false">
      <c r="A3075" s="184"/>
      <c r="B3075" s="184"/>
      <c r="C3075" s="184"/>
      <c r="D3075" s="184"/>
      <c r="E3075" s="184"/>
      <c r="F3075" s="184"/>
      <c r="G3075" s="184"/>
      <c r="H3075" s="184"/>
      <c r="I3075" s="184"/>
      <c r="J3075" s="184"/>
      <c r="K3075" s="184"/>
      <c r="L3075" s="184"/>
      <c r="M3075" s="184"/>
      <c r="N3075" s="184"/>
      <c r="O3075" s="184"/>
    </row>
    <row r="3076" customFormat="false" ht="15" hidden="false" customHeight="true" outlineLevel="0" collapsed="false">
      <c r="A3076" s="184"/>
      <c r="B3076" s="184"/>
      <c r="C3076" s="184"/>
      <c r="D3076" s="184"/>
      <c r="E3076" s="184"/>
      <c r="F3076" s="184"/>
      <c r="G3076" s="184"/>
      <c r="H3076" s="184"/>
      <c r="I3076" s="184"/>
      <c r="J3076" s="184"/>
      <c r="K3076" s="184"/>
      <c r="L3076" s="184"/>
      <c r="M3076" s="184"/>
      <c r="N3076" s="184"/>
      <c r="O3076" s="184"/>
    </row>
    <row r="3077" customFormat="false" ht="15" hidden="false" customHeight="true" outlineLevel="0" collapsed="false">
      <c r="A3077" s="184"/>
      <c r="B3077" s="184"/>
      <c r="C3077" s="184"/>
      <c r="D3077" s="184"/>
      <c r="E3077" s="184"/>
      <c r="F3077" s="184"/>
      <c r="G3077" s="184"/>
      <c r="H3077" s="184"/>
      <c r="I3077" s="184"/>
      <c r="J3077" s="184"/>
      <c r="K3077" s="184"/>
      <c r="L3077" s="184"/>
      <c r="M3077" s="184"/>
      <c r="N3077" s="184"/>
      <c r="O3077" s="184"/>
    </row>
    <row r="3078" customFormat="false" ht="15" hidden="false" customHeight="true" outlineLevel="0" collapsed="false">
      <c r="A3078" s="184"/>
      <c r="B3078" s="184"/>
      <c r="C3078" s="184"/>
      <c r="D3078" s="184"/>
      <c r="E3078" s="184"/>
      <c r="F3078" s="184"/>
      <c r="G3078" s="184"/>
      <c r="H3078" s="184"/>
      <c r="I3078" s="184"/>
      <c r="J3078" s="184"/>
      <c r="K3078" s="184"/>
      <c r="L3078" s="184"/>
      <c r="M3078" s="184"/>
      <c r="N3078" s="184"/>
      <c r="O3078" s="184"/>
    </row>
    <row r="3079" customFormat="false" ht="15" hidden="false" customHeight="true" outlineLevel="0" collapsed="false">
      <c r="A3079" s="184"/>
      <c r="B3079" s="184"/>
      <c r="C3079" s="184"/>
      <c r="D3079" s="184"/>
      <c r="E3079" s="184"/>
      <c r="F3079" s="184"/>
      <c r="G3079" s="184"/>
      <c r="H3079" s="184"/>
      <c r="I3079" s="184"/>
      <c r="J3079" s="184"/>
      <c r="K3079" s="184"/>
      <c r="L3079" s="184"/>
      <c r="M3079" s="184"/>
      <c r="N3079" s="184"/>
      <c r="O3079" s="184"/>
    </row>
    <row r="3080" customFormat="false" ht="15" hidden="false" customHeight="true" outlineLevel="0" collapsed="false">
      <c r="A3080" s="184"/>
      <c r="B3080" s="184"/>
      <c r="C3080" s="184"/>
      <c r="D3080" s="184"/>
      <c r="E3080" s="184"/>
      <c r="F3080" s="184"/>
      <c r="G3080" s="184"/>
      <c r="H3080" s="184"/>
      <c r="I3080" s="184"/>
      <c r="J3080" s="184"/>
      <c r="K3080" s="184"/>
      <c r="L3080" s="184"/>
      <c r="M3080" s="184"/>
      <c r="N3080" s="184"/>
      <c r="O3080" s="184"/>
    </row>
    <row r="3081" customFormat="false" ht="15" hidden="false" customHeight="true" outlineLevel="0" collapsed="false">
      <c r="A3081" s="184"/>
      <c r="B3081" s="184"/>
      <c r="C3081" s="184"/>
      <c r="D3081" s="184"/>
      <c r="E3081" s="184"/>
      <c r="F3081" s="184"/>
      <c r="G3081" s="184"/>
      <c r="H3081" s="184"/>
      <c r="I3081" s="184"/>
      <c r="J3081" s="184"/>
      <c r="K3081" s="184"/>
      <c r="L3081" s="184"/>
      <c r="M3081" s="184"/>
      <c r="N3081" s="184"/>
      <c r="O3081" s="184"/>
    </row>
    <row r="3082" customFormat="false" ht="15" hidden="false" customHeight="true" outlineLevel="0" collapsed="false">
      <c r="A3082" s="184"/>
      <c r="B3082" s="184"/>
      <c r="C3082" s="184"/>
      <c r="D3082" s="184"/>
      <c r="E3082" s="184"/>
      <c r="F3082" s="184"/>
      <c r="G3082" s="184"/>
      <c r="H3082" s="184"/>
      <c r="I3082" s="184"/>
      <c r="J3082" s="184"/>
      <c r="K3082" s="184"/>
      <c r="L3082" s="184"/>
      <c r="M3082" s="184"/>
      <c r="N3082" s="184"/>
      <c r="O3082" s="184"/>
    </row>
    <row r="3083" customFormat="false" ht="15" hidden="false" customHeight="true" outlineLevel="0" collapsed="false">
      <c r="A3083" s="184"/>
      <c r="B3083" s="184"/>
      <c r="C3083" s="184"/>
      <c r="D3083" s="184"/>
      <c r="E3083" s="184"/>
      <c r="F3083" s="184"/>
      <c r="G3083" s="184"/>
      <c r="H3083" s="184"/>
      <c r="I3083" s="184"/>
      <c r="J3083" s="184"/>
      <c r="K3083" s="184"/>
      <c r="L3083" s="184"/>
      <c r="M3083" s="184"/>
      <c r="N3083" s="184"/>
      <c r="O3083" s="184"/>
    </row>
    <row r="3084" customFormat="false" ht="15" hidden="false" customHeight="true" outlineLevel="0" collapsed="false">
      <c r="A3084" s="184"/>
      <c r="B3084" s="184"/>
      <c r="C3084" s="184"/>
      <c r="D3084" s="184"/>
      <c r="E3084" s="184"/>
      <c r="F3084" s="184"/>
      <c r="G3084" s="184"/>
      <c r="H3084" s="184"/>
      <c r="I3084" s="184"/>
      <c r="J3084" s="184"/>
      <c r="K3084" s="184"/>
      <c r="L3084" s="184"/>
      <c r="M3084" s="184"/>
      <c r="N3084" s="184"/>
      <c r="O3084" s="184"/>
    </row>
    <row r="3085" customFormat="false" ht="15" hidden="false" customHeight="true" outlineLevel="0" collapsed="false">
      <c r="A3085" s="184"/>
      <c r="B3085" s="184"/>
      <c r="C3085" s="184"/>
      <c r="D3085" s="184"/>
      <c r="E3085" s="184"/>
      <c r="F3085" s="184"/>
      <c r="G3085" s="184"/>
      <c r="H3085" s="184"/>
      <c r="I3085" s="184"/>
      <c r="J3085" s="184"/>
      <c r="K3085" s="184"/>
      <c r="L3085" s="184"/>
      <c r="M3085" s="184"/>
      <c r="N3085" s="184"/>
      <c r="O3085" s="184"/>
    </row>
    <row r="3086" customFormat="false" ht="15" hidden="false" customHeight="true" outlineLevel="0" collapsed="false">
      <c r="A3086" s="184"/>
      <c r="B3086" s="184"/>
      <c r="C3086" s="184"/>
      <c r="D3086" s="184"/>
      <c r="E3086" s="184"/>
      <c r="F3086" s="184"/>
      <c r="G3086" s="184"/>
      <c r="H3086" s="184"/>
      <c r="I3086" s="184"/>
      <c r="J3086" s="184"/>
      <c r="K3086" s="184"/>
      <c r="L3086" s="184"/>
      <c r="M3086" s="184"/>
      <c r="N3086" s="184"/>
      <c r="O3086" s="184"/>
    </row>
    <row r="3087" customFormat="false" ht="15" hidden="false" customHeight="true" outlineLevel="0" collapsed="false">
      <c r="A3087" s="184"/>
      <c r="B3087" s="184"/>
      <c r="C3087" s="184"/>
      <c r="D3087" s="184"/>
      <c r="E3087" s="184"/>
      <c r="F3087" s="184"/>
      <c r="G3087" s="184"/>
      <c r="H3087" s="184"/>
      <c r="I3087" s="184"/>
      <c r="J3087" s="184"/>
      <c r="K3087" s="184"/>
      <c r="L3087" s="184"/>
      <c r="M3087" s="184"/>
      <c r="N3087" s="184"/>
      <c r="O3087" s="184"/>
    </row>
    <row r="3088" customFormat="false" ht="15" hidden="false" customHeight="true" outlineLevel="0" collapsed="false">
      <c r="A3088" s="184"/>
      <c r="B3088" s="184"/>
      <c r="C3088" s="184"/>
      <c r="D3088" s="184"/>
      <c r="E3088" s="184"/>
      <c r="F3088" s="184"/>
      <c r="G3088" s="184"/>
      <c r="H3088" s="184"/>
      <c r="I3088" s="184"/>
      <c r="J3088" s="184"/>
      <c r="K3088" s="184"/>
      <c r="L3088" s="184"/>
      <c r="M3088" s="184"/>
      <c r="N3088" s="184"/>
      <c r="O3088" s="184"/>
    </row>
    <row r="3089" customFormat="false" ht="15" hidden="false" customHeight="true" outlineLevel="0" collapsed="false">
      <c r="A3089" s="184"/>
      <c r="B3089" s="184"/>
      <c r="C3089" s="184"/>
      <c r="D3089" s="184"/>
      <c r="E3089" s="184"/>
      <c r="F3089" s="184"/>
      <c r="G3089" s="184"/>
      <c r="H3089" s="184"/>
      <c r="I3089" s="184"/>
      <c r="J3089" s="184"/>
      <c r="K3089" s="184"/>
      <c r="L3089" s="184"/>
      <c r="M3089" s="184"/>
      <c r="N3089" s="184"/>
      <c r="O3089" s="184"/>
    </row>
    <row r="3090" customFormat="false" ht="15" hidden="false" customHeight="true" outlineLevel="0" collapsed="false">
      <c r="A3090" s="184"/>
      <c r="B3090" s="184"/>
      <c r="C3090" s="184"/>
      <c r="D3090" s="184"/>
      <c r="E3090" s="184"/>
      <c r="F3090" s="184"/>
      <c r="G3090" s="184"/>
      <c r="H3090" s="184"/>
      <c r="I3090" s="184"/>
      <c r="J3090" s="184"/>
      <c r="K3090" s="184"/>
      <c r="L3090" s="184"/>
      <c r="M3090" s="184"/>
      <c r="N3090" s="184"/>
      <c r="O3090" s="184"/>
    </row>
    <row r="3091" customFormat="false" ht="15" hidden="false" customHeight="true" outlineLevel="0" collapsed="false">
      <c r="A3091" s="184"/>
      <c r="B3091" s="184"/>
      <c r="C3091" s="184"/>
      <c r="D3091" s="184"/>
      <c r="E3091" s="184"/>
      <c r="F3091" s="184"/>
      <c r="G3091" s="184"/>
      <c r="H3091" s="184"/>
      <c r="I3091" s="184"/>
      <c r="J3091" s="184"/>
      <c r="K3091" s="184"/>
      <c r="L3091" s="184"/>
      <c r="M3091" s="184"/>
      <c r="N3091" s="184"/>
      <c r="O3091" s="184"/>
    </row>
    <row r="3092" customFormat="false" ht="15" hidden="false" customHeight="true" outlineLevel="0" collapsed="false">
      <c r="A3092" s="184"/>
      <c r="B3092" s="184"/>
      <c r="C3092" s="184"/>
      <c r="D3092" s="184"/>
      <c r="E3092" s="184"/>
      <c r="F3092" s="184"/>
      <c r="G3092" s="184"/>
      <c r="H3092" s="184"/>
      <c r="I3092" s="184"/>
      <c r="J3092" s="184"/>
      <c r="K3092" s="184"/>
      <c r="L3092" s="184"/>
      <c r="M3092" s="184"/>
      <c r="N3092" s="184"/>
      <c r="O3092" s="184"/>
    </row>
    <row r="3093" customFormat="false" ht="15" hidden="false" customHeight="true" outlineLevel="0" collapsed="false">
      <c r="A3093" s="184"/>
      <c r="B3093" s="184"/>
      <c r="C3093" s="184"/>
      <c r="D3093" s="184"/>
      <c r="E3093" s="184"/>
      <c r="F3093" s="184"/>
      <c r="G3093" s="184"/>
      <c r="H3093" s="184"/>
      <c r="I3093" s="184"/>
      <c r="J3093" s="184"/>
      <c r="K3093" s="184"/>
      <c r="L3093" s="184"/>
      <c r="M3093" s="184"/>
      <c r="N3093" s="184"/>
      <c r="O3093" s="184"/>
    </row>
    <row r="3094" customFormat="false" ht="15" hidden="false" customHeight="true" outlineLevel="0" collapsed="false">
      <c r="A3094" s="184"/>
      <c r="B3094" s="184"/>
      <c r="C3094" s="184"/>
      <c r="D3094" s="184"/>
      <c r="E3094" s="184"/>
      <c r="F3094" s="184"/>
      <c r="G3094" s="184"/>
      <c r="H3094" s="184"/>
      <c r="I3094" s="184"/>
      <c r="J3094" s="184"/>
      <c r="K3094" s="184"/>
      <c r="L3094" s="184"/>
      <c r="M3094" s="184"/>
      <c r="N3094" s="184"/>
      <c r="O3094" s="184"/>
    </row>
    <row r="3095" customFormat="false" ht="15" hidden="false" customHeight="true" outlineLevel="0" collapsed="false">
      <c r="A3095" s="184"/>
      <c r="B3095" s="184"/>
      <c r="C3095" s="184"/>
      <c r="D3095" s="184"/>
      <c r="E3095" s="184"/>
      <c r="F3095" s="184"/>
      <c r="G3095" s="184"/>
      <c r="H3095" s="184"/>
      <c r="I3095" s="184"/>
      <c r="J3095" s="184"/>
      <c r="K3095" s="184"/>
      <c r="L3095" s="184"/>
      <c r="M3095" s="184"/>
      <c r="N3095" s="184"/>
      <c r="O3095" s="184"/>
    </row>
    <row r="3096" customFormat="false" ht="15" hidden="false" customHeight="true" outlineLevel="0" collapsed="false">
      <c r="A3096" s="184"/>
      <c r="B3096" s="184"/>
      <c r="C3096" s="184"/>
      <c r="D3096" s="184"/>
      <c r="E3096" s="184"/>
      <c r="F3096" s="184"/>
      <c r="G3096" s="184"/>
      <c r="H3096" s="184"/>
      <c r="I3096" s="184"/>
      <c r="J3096" s="184"/>
      <c r="K3096" s="184"/>
      <c r="L3096" s="184"/>
      <c r="M3096" s="184"/>
      <c r="N3096" s="184"/>
      <c r="O3096" s="184"/>
    </row>
    <row r="3097" customFormat="false" ht="15" hidden="false" customHeight="true" outlineLevel="0" collapsed="false">
      <c r="A3097" s="184"/>
      <c r="B3097" s="184"/>
      <c r="C3097" s="184"/>
      <c r="D3097" s="184"/>
      <c r="E3097" s="184"/>
      <c r="F3097" s="184"/>
      <c r="G3097" s="184"/>
      <c r="H3097" s="184"/>
      <c r="I3097" s="184"/>
      <c r="J3097" s="184"/>
      <c r="K3097" s="184"/>
      <c r="L3097" s="184"/>
      <c r="M3097" s="184"/>
      <c r="N3097" s="184"/>
      <c r="O3097" s="184"/>
    </row>
    <row r="3098" customFormat="false" ht="15" hidden="false" customHeight="true" outlineLevel="0" collapsed="false">
      <c r="A3098" s="184"/>
      <c r="B3098" s="184"/>
      <c r="C3098" s="184"/>
      <c r="D3098" s="184"/>
      <c r="E3098" s="184"/>
      <c r="F3098" s="184"/>
      <c r="G3098" s="184"/>
      <c r="H3098" s="184"/>
      <c r="I3098" s="184"/>
      <c r="J3098" s="184"/>
      <c r="K3098" s="184"/>
      <c r="L3098" s="184"/>
      <c r="M3098" s="184"/>
      <c r="N3098" s="184"/>
      <c r="O3098" s="184"/>
    </row>
    <row r="3099" customFormat="false" ht="15" hidden="false" customHeight="true" outlineLevel="0" collapsed="false">
      <c r="A3099" s="184"/>
      <c r="B3099" s="184"/>
      <c r="C3099" s="184"/>
      <c r="D3099" s="184"/>
      <c r="E3099" s="184"/>
      <c r="F3099" s="184"/>
      <c r="G3099" s="184"/>
      <c r="H3099" s="184"/>
      <c r="I3099" s="184"/>
      <c r="J3099" s="184"/>
      <c r="K3099" s="184"/>
      <c r="L3099" s="184"/>
      <c r="M3099" s="184"/>
      <c r="N3099" s="184"/>
      <c r="O3099" s="184"/>
    </row>
    <row r="3100" customFormat="false" ht="15" hidden="false" customHeight="true" outlineLevel="0" collapsed="false">
      <c r="A3100" s="184"/>
      <c r="B3100" s="184"/>
      <c r="C3100" s="184"/>
      <c r="D3100" s="184"/>
      <c r="E3100" s="184"/>
      <c r="F3100" s="184"/>
      <c r="G3100" s="184"/>
      <c r="H3100" s="184"/>
      <c r="I3100" s="184"/>
      <c r="J3100" s="184"/>
      <c r="K3100" s="184"/>
      <c r="L3100" s="184"/>
      <c r="M3100" s="184"/>
      <c r="N3100" s="184"/>
      <c r="O3100" s="184"/>
    </row>
    <row r="3101" customFormat="false" ht="15" hidden="false" customHeight="true" outlineLevel="0" collapsed="false">
      <c r="A3101" s="184"/>
      <c r="B3101" s="184"/>
      <c r="C3101" s="184"/>
      <c r="D3101" s="184"/>
      <c r="E3101" s="184"/>
      <c r="F3101" s="184"/>
      <c r="G3101" s="184"/>
      <c r="H3101" s="184"/>
      <c r="I3101" s="184"/>
      <c r="J3101" s="184"/>
      <c r="K3101" s="184"/>
      <c r="L3101" s="184"/>
      <c r="M3101" s="184"/>
      <c r="N3101" s="184"/>
      <c r="O3101" s="184"/>
    </row>
    <row r="3102" customFormat="false" ht="15" hidden="false" customHeight="true" outlineLevel="0" collapsed="false">
      <c r="A3102" s="184"/>
      <c r="B3102" s="184"/>
      <c r="C3102" s="184"/>
      <c r="D3102" s="184"/>
      <c r="E3102" s="184"/>
      <c r="F3102" s="184"/>
      <c r="G3102" s="184"/>
      <c r="H3102" s="184"/>
      <c r="I3102" s="184"/>
      <c r="J3102" s="184"/>
      <c r="K3102" s="184"/>
      <c r="L3102" s="184"/>
      <c r="M3102" s="184"/>
      <c r="N3102" s="184"/>
      <c r="O3102" s="184"/>
    </row>
    <row r="3103" customFormat="false" ht="15" hidden="false" customHeight="true" outlineLevel="0" collapsed="false">
      <c r="A3103" s="184"/>
      <c r="B3103" s="184"/>
      <c r="C3103" s="184"/>
      <c r="D3103" s="184"/>
      <c r="E3103" s="184"/>
      <c r="F3103" s="184"/>
      <c r="G3103" s="184"/>
      <c r="H3103" s="184"/>
      <c r="I3103" s="184"/>
      <c r="J3103" s="184"/>
      <c r="K3103" s="184"/>
      <c r="L3103" s="184"/>
      <c r="M3103" s="184"/>
      <c r="N3103" s="184"/>
      <c r="O3103" s="184"/>
    </row>
    <row r="3104" customFormat="false" ht="15" hidden="false" customHeight="true" outlineLevel="0" collapsed="false">
      <c r="A3104" s="184"/>
      <c r="B3104" s="184"/>
      <c r="C3104" s="184"/>
      <c r="D3104" s="184"/>
      <c r="E3104" s="184"/>
      <c r="F3104" s="184"/>
      <c r="G3104" s="184"/>
      <c r="H3104" s="184"/>
      <c r="I3104" s="184"/>
      <c r="J3104" s="184"/>
      <c r="K3104" s="184"/>
      <c r="L3104" s="184"/>
      <c r="M3104" s="184"/>
      <c r="N3104" s="184"/>
      <c r="O3104" s="184"/>
    </row>
    <row r="3105" customFormat="false" ht="15" hidden="false" customHeight="true" outlineLevel="0" collapsed="false">
      <c r="A3105" s="184"/>
      <c r="B3105" s="184"/>
      <c r="C3105" s="184"/>
      <c r="D3105" s="184"/>
      <c r="E3105" s="184"/>
      <c r="F3105" s="184"/>
      <c r="G3105" s="184"/>
      <c r="H3105" s="184"/>
      <c r="I3105" s="184"/>
      <c r="J3105" s="184"/>
      <c r="K3105" s="184"/>
      <c r="L3105" s="184"/>
      <c r="M3105" s="184"/>
      <c r="N3105" s="184"/>
      <c r="O3105" s="184"/>
    </row>
    <row r="3106" customFormat="false" ht="15" hidden="false" customHeight="true" outlineLevel="0" collapsed="false">
      <c r="A3106" s="184"/>
      <c r="B3106" s="184"/>
      <c r="C3106" s="184"/>
      <c r="D3106" s="184"/>
      <c r="E3106" s="184"/>
      <c r="F3106" s="184"/>
      <c r="G3106" s="184"/>
      <c r="H3106" s="184"/>
      <c r="I3106" s="184"/>
      <c r="J3106" s="184"/>
      <c r="K3106" s="184"/>
      <c r="L3106" s="184"/>
      <c r="M3106" s="184"/>
      <c r="N3106" s="184"/>
      <c r="O3106" s="184"/>
    </row>
    <row r="3107" customFormat="false" ht="15" hidden="false" customHeight="true" outlineLevel="0" collapsed="false">
      <c r="A3107" s="184"/>
      <c r="B3107" s="184"/>
      <c r="C3107" s="184"/>
      <c r="D3107" s="184"/>
      <c r="E3107" s="184"/>
      <c r="F3107" s="184"/>
      <c r="G3107" s="184"/>
      <c r="H3107" s="184"/>
      <c r="I3107" s="184"/>
      <c r="J3107" s="184"/>
      <c r="K3107" s="184"/>
      <c r="L3107" s="184"/>
      <c r="M3107" s="184"/>
      <c r="N3107" s="184"/>
      <c r="O3107" s="184"/>
    </row>
    <row r="3108" customFormat="false" ht="15" hidden="false" customHeight="true" outlineLevel="0" collapsed="false">
      <c r="A3108" s="184"/>
      <c r="B3108" s="184"/>
      <c r="C3108" s="184"/>
      <c r="D3108" s="184"/>
      <c r="E3108" s="184"/>
      <c r="F3108" s="184"/>
      <c r="G3108" s="184"/>
      <c r="H3108" s="184"/>
      <c r="I3108" s="184"/>
      <c r="J3108" s="184"/>
      <c r="K3108" s="184"/>
      <c r="L3108" s="184"/>
      <c r="M3108" s="184"/>
      <c r="N3108" s="184"/>
      <c r="O3108" s="184"/>
    </row>
    <row r="3109" customFormat="false" ht="15" hidden="false" customHeight="true" outlineLevel="0" collapsed="false">
      <c r="A3109" s="184"/>
      <c r="B3109" s="184"/>
      <c r="C3109" s="184"/>
      <c r="D3109" s="184"/>
      <c r="E3109" s="184"/>
      <c r="F3109" s="184"/>
      <c r="G3109" s="184"/>
      <c r="H3109" s="184"/>
      <c r="I3109" s="184"/>
      <c r="J3109" s="184"/>
      <c r="K3109" s="184"/>
      <c r="L3109" s="184"/>
      <c r="M3109" s="184"/>
      <c r="N3109" s="184"/>
      <c r="O3109" s="184"/>
    </row>
    <row r="3110" customFormat="false" ht="15" hidden="false" customHeight="true" outlineLevel="0" collapsed="false">
      <c r="A3110" s="184"/>
      <c r="B3110" s="184"/>
      <c r="C3110" s="184"/>
      <c r="D3110" s="184"/>
      <c r="E3110" s="184"/>
      <c r="F3110" s="184"/>
      <c r="G3110" s="184"/>
      <c r="H3110" s="184"/>
      <c r="I3110" s="184"/>
      <c r="J3110" s="184"/>
      <c r="K3110" s="184"/>
      <c r="L3110" s="184"/>
      <c r="M3110" s="184"/>
      <c r="N3110" s="184"/>
      <c r="O3110" s="184"/>
    </row>
    <row r="3111" customFormat="false" ht="15" hidden="false" customHeight="true" outlineLevel="0" collapsed="false">
      <c r="A3111" s="184"/>
      <c r="B3111" s="184"/>
      <c r="C3111" s="184"/>
      <c r="D3111" s="184"/>
      <c r="E3111" s="184"/>
      <c r="F3111" s="184"/>
      <c r="G3111" s="184"/>
      <c r="H3111" s="184"/>
      <c r="I3111" s="184"/>
      <c r="J3111" s="184"/>
      <c r="K3111" s="184"/>
      <c r="L3111" s="184"/>
      <c r="M3111" s="184"/>
      <c r="N3111" s="184"/>
      <c r="O3111" s="184"/>
    </row>
    <row r="3112" customFormat="false" ht="15" hidden="false" customHeight="true" outlineLevel="0" collapsed="false">
      <c r="A3112" s="184"/>
      <c r="B3112" s="184"/>
      <c r="C3112" s="184"/>
      <c r="D3112" s="184"/>
      <c r="E3112" s="184"/>
      <c r="F3112" s="184"/>
      <c r="G3112" s="184"/>
      <c r="H3112" s="184"/>
      <c r="I3112" s="184"/>
      <c r="J3112" s="184"/>
      <c r="K3112" s="184"/>
      <c r="L3112" s="184"/>
      <c r="M3112" s="184"/>
      <c r="N3112" s="184"/>
      <c r="O3112" s="184"/>
    </row>
    <row r="3113" customFormat="false" ht="15" hidden="false" customHeight="true" outlineLevel="0" collapsed="false">
      <c r="A3113" s="184"/>
      <c r="B3113" s="184"/>
      <c r="C3113" s="184"/>
      <c r="D3113" s="184"/>
      <c r="E3113" s="184"/>
      <c r="F3113" s="184"/>
      <c r="G3113" s="184"/>
      <c r="H3113" s="184"/>
      <c r="I3113" s="184"/>
      <c r="J3113" s="184"/>
      <c r="K3113" s="184"/>
      <c r="L3113" s="184"/>
      <c r="M3113" s="184"/>
      <c r="N3113" s="184"/>
      <c r="O3113" s="184"/>
    </row>
    <row r="3114" customFormat="false" ht="15" hidden="false" customHeight="true" outlineLevel="0" collapsed="false">
      <c r="A3114" s="184"/>
      <c r="B3114" s="184"/>
      <c r="C3114" s="184"/>
      <c r="D3114" s="184"/>
      <c r="E3114" s="184"/>
      <c r="F3114" s="184"/>
      <c r="G3114" s="184"/>
      <c r="H3114" s="184"/>
      <c r="I3114" s="184"/>
      <c r="J3114" s="184"/>
      <c r="K3114" s="184"/>
      <c r="L3114" s="184"/>
      <c r="M3114" s="184"/>
      <c r="N3114" s="184"/>
      <c r="O3114" s="184"/>
    </row>
    <row r="3115" customFormat="false" ht="68.25" hidden="false" customHeight="true" outlineLevel="0" collapsed="false">
      <c r="A3115" s="184" t="s">
        <v>4954</v>
      </c>
      <c r="B3115" s="184" t="s">
        <v>4955</v>
      </c>
      <c r="C3115" s="184"/>
      <c r="D3115" s="179" t="s">
        <v>4858</v>
      </c>
      <c r="E3115" s="184" t="s">
        <v>7181</v>
      </c>
      <c r="F3115" s="184"/>
      <c r="G3115" s="184"/>
      <c r="H3115" s="184"/>
      <c r="I3115" s="184"/>
      <c r="J3115" s="184"/>
      <c r="K3115" s="184"/>
      <c r="L3115" s="184"/>
      <c r="M3115" s="184" t="s">
        <v>7172</v>
      </c>
      <c r="N3115" s="184"/>
      <c r="O3115" s="184"/>
    </row>
    <row r="3116" customFormat="false" ht="27.75" hidden="false" customHeight="true" outlineLevel="0" collapsed="false">
      <c r="A3116" s="184" t="s">
        <v>4954</v>
      </c>
      <c r="B3116" s="184" t="s">
        <v>4955</v>
      </c>
      <c r="C3116" s="184" t="n">
        <v>1</v>
      </c>
      <c r="D3116" s="184" t="s">
        <v>6296</v>
      </c>
      <c r="E3116" s="184" t="s">
        <v>7182</v>
      </c>
      <c r="F3116" s="184"/>
      <c r="G3116" s="184"/>
      <c r="H3116" s="184"/>
      <c r="I3116" s="184"/>
      <c r="J3116" s="184"/>
      <c r="K3116" s="184"/>
      <c r="L3116" s="184"/>
      <c r="M3116" s="184"/>
      <c r="N3116" s="184"/>
      <c r="O3116" s="184"/>
    </row>
    <row r="3117" customFormat="false" ht="27.75" hidden="false" customHeight="true" outlineLevel="0" collapsed="false">
      <c r="A3117" s="184" t="s">
        <v>4954</v>
      </c>
      <c r="B3117" s="184" t="s">
        <v>4955</v>
      </c>
      <c r="C3117" s="184" t="n">
        <v>2</v>
      </c>
      <c r="D3117" s="177" t="s">
        <v>6298</v>
      </c>
      <c r="E3117" s="184" t="s">
        <v>7174</v>
      </c>
      <c r="F3117" s="184"/>
      <c r="G3117" s="184"/>
      <c r="H3117" s="184"/>
      <c r="I3117" s="184"/>
      <c r="J3117" s="184"/>
      <c r="K3117" s="184"/>
      <c r="L3117" s="184"/>
      <c r="M3117" s="184"/>
      <c r="N3117" s="184"/>
      <c r="O3117" s="184"/>
    </row>
    <row r="3118" customFormat="false" ht="27.75" hidden="false" customHeight="true" outlineLevel="0" collapsed="false">
      <c r="A3118" s="184" t="s">
        <v>4954</v>
      </c>
      <c r="B3118" s="184" t="s">
        <v>4955</v>
      </c>
      <c r="C3118" s="184" t="n">
        <v>3</v>
      </c>
      <c r="D3118" s="178" t="s">
        <v>5269</v>
      </c>
      <c r="E3118" s="184" t="s">
        <v>7175</v>
      </c>
      <c r="F3118" s="184"/>
      <c r="G3118" s="184"/>
      <c r="H3118" s="184"/>
      <c r="I3118" s="184"/>
      <c r="J3118" s="184"/>
      <c r="K3118" s="184"/>
      <c r="L3118" s="184"/>
      <c r="M3118" s="184" t="s">
        <v>7178</v>
      </c>
      <c r="N3118" s="184"/>
      <c r="O3118" s="184"/>
    </row>
    <row r="3119" customFormat="false" ht="27.75" hidden="false" customHeight="true" outlineLevel="0" collapsed="false">
      <c r="A3119" s="184" t="s">
        <v>4954</v>
      </c>
      <c r="B3119" s="184" t="s">
        <v>4955</v>
      </c>
      <c r="C3119" s="184" t="n">
        <v>4</v>
      </c>
      <c r="D3119" s="184" t="s">
        <v>6296</v>
      </c>
      <c r="E3119" s="184" t="s">
        <v>7182</v>
      </c>
      <c r="F3119" s="184"/>
      <c r="G3119" s="184"/>
      <c r="H3119" s="184"/>
      <c r="I3119" s="184"/>
      <c r="J3119" s="184"/>
      <c r="K3119" s="184"/>
      <c r="L3119" s="184"/>
      <c r="M3119" s="184"/>
      <c r="N3119" s="184"/>
      <c r="O3119" s="184"/>
    </row>
    <row r="3120" customFormat="false" ht="41.25" hidden="false" customHeight="true" outlineLevel="0" collapsed="false">
      <c r="A3120" s="184" t="s">
        <v>4954</v>
      </c>
      <c r="B3120" s="184" t="s">
        <v>4955</v>
      </c>
      <c r="C3120" s="184" t="n">
        <v>5</v>
      </c>
      <c r="D3120" s="177" t="s">
        <v>6298</v>
      </c>
      <c r="E3120" s="184" t="s">
        <v>7177</v>
      </c>
      <c r="F3120" s="184"/>
      <c r="G3120" s="184"/>
      <c r="H3120" s="184"/>
      <c r="I3120" s="184"/>
      <c r="J3120" s="184"/>
      <c r="K3120" s="184"/>
      <c r="L3120" s="184"/>
      <c r="M3120" s="184"/>
      <c r="N3120" s="184"/>
      <c r="O3120" s="184"/>
    </row>
    <row r="3121" customFormat="false" ht="27.75" hidden="false" customHeight="true" outlineLevel="0" collapsed="false">
      <c r="A3121" s="184" t="s">
        <v>4954</v>
      </c>
      <c r="B3121" s="184" t="s">
        <v>4955</v>
      </c>
      <c r="C3121" s="184" t="n">
        <v>6</v>
      </c>
      <c r="D3121" s="184" t="s">
        <v>4790</v>
      </c>
      <c r="E3121" s="184" t="s">
        <v>1779</v>
      </c>
      <c r="F3121" s="184"/>
      <c r="G3121" s="184"/>
      <c r="H3121" s="184"/>
      <c r="I3121" s="184"/>
      <c r="J3121" s="184"/>
      <c r="K3121" s="184"/>
      <c r="L3121" s="184"/>
      <c r="M3121" s="184"/>
      <c r="N3121" s="184"/>
      <c r="O3121" s="184"/>
    </row>
    <row r="3122" customFormat="false" ht="27.75" hidden="false" customHeight="true" outlineLevel="0" collapsed="false">
      <c r="A3122" s="184" t="s">
        <v>4954</v>
      </c>
      <c r="B3122" s="184" t="s">
        <v>4955</v>
      </c>
      <c r="C3122" s="184" t="n">
        <v>7</v>
      </c>
      <c r="D3122" s="178" t="s">
        <v>5269</v>
      </c>
      <c r="E3122" s="184" t="s">
        <v>7175</v>
      </c>
      <c r="F3122" s="184"/>
      <c r="G3122" s="184"/>
      <c r="H3122" s="184"/>
      <c r="I3122" s="184"/>
      <c r="J3122" s="184"/>
      <c r="K3122" s="184"/>
      <c r="L3122" s="184"/>
      <c r="M3122" s="184" t="s">
        <v>7178</v>
      </c>
      <c r="N3122" s="184"/>
      <c r="O3122" s="184"/>
    </row>
    <row r="3123" customFormat="false" ht="27.75" hidden="false" customHeight="true" outlineLevel="0" collapsed="false">
      <c r="A3123" s="184" t="s">
        <v>4954</v>
      </c>
      <c r="B3123" s="184" t="s">
        <v>4955</v>
      </c>
      <c r="C3123" s="184" t="n">
        <v>8</v>
      </c>
      <c r="D3123" s="184" t="s">
        <v>4790</v>
      </c>
      <c r="E3123" s="184" t="s">
        <v>2630</v>
      </c>
      <c r="F3123" s="184"/>
      <c r="G3123" s="184"/>
      <c r="H3123" s="184"/>
      <c r="I3123" s="184"/>
      <c r="J3123" s="184"/>
      <c r="K3123" s="184"/>
      <c r="L3123" s="184"/>
      <c r="M3123" s="184"/>
      <c r="N3123" s="184"/>
      <c r="O3123" s="184"/>
    </row>
    <row r="3124" customFormat="false" ht="27.75" hidden="false" customHeight="true" outlineLevel="0" collapsed="false">
      <c r="A3124" s="184" t="s">
        <v>4954</v>
      </c>
      <c r="B3124" s="184" t="s">
        <v>4955</v>
      </c>
      <c r="C3124" s="184" t="n">
        <v>9</v>
      </c>
      <c r="D3124" s="178" t="s">
        <v>5269</v>
      </c>
      <c r="E3124" s="184" t="s">
        <v>7175</v>
      </c>
      <c r="F3124" s="184"/>
      <c r="G3124" s="184"/>
      <c r="H3124" s="184"/>
      <c r="I3124" s="184"/>
      <c r="J3124" s="184"/>
      <c r="K3124" s="184"/>
      <c r="L3124" s="184"/>
      <c r="M3124" s="184" t="s">
        <v>7179</v>
      </c>
      <c r="N3124" s="184"/>
      <c r="O3124" s="184"/>
    </row>
    <row r="3125" customFormat="false" ht="27.75" hidden="false" customHeight="true" outlineLevel="0" collapsed="false">
      <c r="A3125" s="184" t="s">
        <v>4954</v>
      </c>
      <c r="B3125" s="184" t="s">
        <v>4955</v>
      </c>
      <c r="C3125" s="184" t="n">
        <v>10</v>
      </c>
      <c r="D3125" s="184" t="s">
        <v>4790</v>
      </c>
      <c r="E3125" s="184" t="s">
        <v>2633</v>
      </c>
      <c r="F3125" s="184"/>
      <c r="G3125" s="184"/>
      <c r="H3125" s="184"/>
      <c r="I3125" s="184"/>
      <c r="J3125" s="184"/>
      <c r="K3125" s="184"/>
      <c r="L3125" s="184"/>
      <c r="M3125" s="184"/>
      <c r="N3125" s="184"/>
      <c r="O3125" s="184"/>
    </row>
    <row r="3126" customFormat="false" ht="27.75" hidden="false" customHeight="true" outlineLevel="0" collapsed="false">
      <c r="A3126" s="184" t="s">
        <v>4954</v>
      </c>
      <c r="B3126" s="184" t="s">
        <v>4955</v>
      </c>
      <c r="C3126" s="184" t="n">
        <v>11</v>
      </c>
      <c r="D3126" s="178" t="s">
        <v>5269</v>
      </c>
      <c r="E3126" s="184" t="s">
        <v>7175</v>
      </c>
      <c r="F3126" s="184"/>
      <c r="G3126" s="184"/>
      <c r="H3126" s="184"/>
      <c r="I3126" s="184"/>
      <c r="J3126" s="184"/>
      <c r="K3126" s="184"/>
      <c r="L3126" s="184"/>
      <c r="M3126" s="184" t="s">
        <v>7180</v>
      </c>
      <c r="N3126" s="184"/>
      <c r="O3126" s="184"/>
    </row>
    <row r="3127" customFormat="false" ht="15" hidden="false" customHeight="true" outlineLevel="0" collapsed="false">
      <c r="A3127" s="184"/>
      <c r="B3127" s="184"/>
      <c r="C3127" s="184"/>
      <c r="D3127" s="184"/>
      <c r="E3127" s="184"/>
      <c r="F3127" s="184"/>
      <c r="G3127" s="184"/>
      <c r="H3127" s="184"/>
      <c r="I3127" s="184"/>
      <c r="J3127" s="184"/>
      <c r="K3127" s="184"/>
      <c r="L3127" s="184"/>
      <c r="M3127" s="184"/>
      <c r="N3127" s="184"/>
      <c r="O3127" s="184"/>
    </row>
    <row r="3128" customFormat="false" ht="15" hidden="false" customHeight="true" outlineLevel="0" collapsed="false">
      <c r="A3128" s="184"/>
      <c r="B3128" s="184"/>
      <c r="C3128" s="184"/>
      <c r="D3128" s="184"/>
      <c r="E3128" s="184"/>
      <c r="F3128" s="184"/>
      <c r="G3128" s="184"/>
      <c r="H3128" s="184"/>
      <c r="I3128" s="184"/>
      <c r="J3128" s="184"/>
      <c r="K3128" s="184"/>
      <c r="L3128" s="184"/>
      <c r="M3128" s="184"/>
      <c r="N3128" s="184"/>
      <c r="O3128" s="184"/>
    </row>
    <row r="3129" customFormat="false" ht="15" hidden="false" customHeight="true" outlineLevel="0" collapsed="false">
      <c r="A3129" s="184"/>
      <c r="B3129" s="184"/>
      <c r="C3129" s="184"/>
      <c r="D3129" s="184"/>
      <c r="E3129" s="184"/>
      <c r="F3129" s="184"/>
      <c r="G3129" s="184"/>
      <c r="H3129" s="184"/>
      <c r="I3129" s="184"/>
      <c r="J3129" s="184"/>
      <c r="K3129" s="184"/>
      <c r="L3129" s="184"/>
      <c r="M3129" s="184"/>
      <c r="N3129" s="184"/>
      <c r="O3129" s="184"/>
    </row>
    <row r="3130" customFormat="false" ht="15" hidden="false" customHeight="true" outlineLevel="0" collapsed="false">
      <c r="A3130" s="184"/>
      <c r="B3130" s="184"/>
      <c r="C3130" s="184"/>
      <c r="D3130" s="184"/>
      <c r="E3130" s="184"/>
      <c r="F3130" s="184"/>
      <c r="G3130" s="184"/>
      <c r="H3130" s="184"/>
      <c r="I3130" s="184"/>
      <c r="J3130" s="184"/>
      <c r="K3130" s="184"/>
      <c r="L3130" s="184"/>
      <c r="M3130" s="184"/>
      <c r="N3130" s="184"/>
      <c r="O3130" s="184"/>
    </row>
    <row r="3131" customFormat="false" ht="15" hidden="false" customHeight="true" outlineLevel="0" collapsed="false">
      <c r="A3131" s="184"/>
      <c r="B3131" s="184"/>
      <c r="C3131" s="184"/>
      <c r="D3131" s="184"/>
      <c r="E3131" s="184"/>
      <c r="F3131" s="184"/>
      <c r="G3131" s="184"/>
      <c r="H3131" s="184"/>
      <c r="I3131" s="184"/>
      <c r="J3131" s="184"/>
      <c r="K3131" s="184"/>
      <c r="L3131" s="184"/>
      <c r="M3131" s="184"/>
      <c r="N3131" s="184"/>
      <c r="O3131" s="184"/>
    </row>
    <row r="3132" customFormat="false" ht="15" hidden="false" customHeight="true" outlineLevel="0" collapsed="false">
      <c r="A3132" s="184"/>
      <c r="B3132" s="184"/>
      <c r="C3132" s="184"/>
      <c r="D3132" s="184"/>
      <c r="E3132" s="184"/>
      <c r="F3132" s="184"/>
      <c r="G3132" s="184"/>
      <c r="H3132" s="184"/>
      <c r="I3132" s="184"/>
      <c r="J3132" s="184"/>
      <c r="K3132" s="184"/>
      <c r="L3132" s="184"/>
      <c r="M3132" s="184"/>
      <c r="N3132" s="184"/>
      <c r="O3132" s="184"/>
    </row>
    <row r="3133" customFormat="false" ht="15" hidden="false" customHeight="true" outlineLevel="0" collapsed="false">
      <c r="A3133" s="184"/>
      <c r="B3133" s="184"/>
      <c r="C3133" s="184"/>
      <c r="D3133" s="184"/>
      <c r="E3133" s="184"/>
      <c r="F3133" s="184"/>
      <c r="G3133" s="184"/>
      <c r="H3133" s="184"/>
      <c r="I3133" s="184"/>
      <c r="J3133" s="184"/>
      <c r="K3133" s="184"/>
      <c r="L3133" s="184"/>
      <c r="M3133" s="184"/>
      <c r="N3133" s="184"/>
      <c r="O3133" s="184"/>
    </row>
    <row r="3134" customFormat="false" ht="15" hidden="false" customHeight="true" outlineLevel="0" collapsed="false">
      <c r="A3134" s="184"/>
      <c r="B3134" s="184"/>
      <c r="C3134" s="184"/>
      <c r="D3134" s="184"/>
      <c r="E3134" s="184"/>
      <c r="F3134" s="184"/>
      <c r="G3134" s="184"/>
      <c r="H3134" s="184"/>
      <c r="I3134" s="184"/>
      <c r="J3134" s="184"/>
      <c r="K3134" s="184"/>
      <c r="L3134" s="184"/>
      <c r="M3134" s="184"/>
      <c r="N3134" s="184"/>
      <c r="O3134" s="184"/>
    </row>
    <row r="3135" customFormat="false" ht="15" hidden="false" customHeight="true" outlineLevel="0" collapsed="false">
      <c r="A3135" s="184"/>
      <c r="B3135" s="184"/>
      <c r="C3135" s="184"/>
      <c r="D3135" s="184"/>
      <c r="E3135" s="184"/>
      <c r="F3135" s="184"/>
      <c r="G3135" s="184"/>
      <c r="H3135" s="184"/>
      <c r="I3135" s="184"/>
      <c r="J3135" s="184"/>
      <c r="K3135" s="184"/>
      <c r="L3135" s="184"/>
      <c r="M3135" s="184"/>
      <c r="N3135" s="184"/>
      <c r="O3135" s="184"/>
    </row>
    <row r="3136" customFormat="false" ht="15" hidden="false" customHeight="true" outlineLevel="0" collapsed="false">
      <c r="A3136" s="184"/>
      <c r="B3136" s="184"/>
      <c r="C3136" s="184"/>
      <c r="D3136" s="184"/>
      <c r="E3136" s="184"/>
      <c r="F3136" s="184"/>
      <c r="G3136" s="184"/>
      <c r="H3136" s="184"/>
      <c r="I3136" s="184"/>
      <c r="J3136" s="184"/>
      <c r="K3136" s="184"/>
      <c r="L3136" s="184"/>
      <c r="M3136" s="184"/>
      <c r="N3136" s="184"/>
      <c r="O3136" s="184"/>
    </row>
    <row r="3137" customFormat="false" ht="15" hidden="false" customHeight="true" outlineLevel="0" collapsed="false">
      <c r="A3137" s="184"/>
      <c r="B3137" s="184"/>
      <c r="C3137" s="184"/>
      <c r="D3137" s="184"/>
      <c r="E3137" s="184"/>
      <c r="F3137" s="184"/>
      <c r="G3137" s="184"/>
      <c r="H3137" s="184"/>
      <c r="I3137" s="184"/>
      <c r="J3137" s="184"/>
      <c r="K3137" s="184"/>
      <c r="L3137" s="184"/>
      <c r="M3137" s="184"/>
      <c r="N3137" s="184"/>
      <c r="O3137" s="184"/>
    </row>
    <row r="3138" customFormat="false" ht="15" hidden="false" customHeight="true" outlineLevel="0" collapsed="false">
      <c r="A3138" s="184"/>
      <c r="B3138" s="184"/>
      <c r="C3138" s="184"/>
      <c r="D3138" s="184"/>
      <c r="E3138" s="184"/>
      <c r="F3138" s="184"/>
      <c r="G3138" s="184"/>
      <c r="H3138" s="184"/>
      <c r="I3138" s="184"/>
      <c r="J3138" s="184"/>
      <c r="K3138" s="184"/>
      <c r="L3138" s="184"/>
      <c r="M3138" s="184"/>
      <c r="N3138" s="184"/>
      <c r="O3138" s="184"/>
    </row>
    <row r="3139" customFormat="false" ht="15" hidden="false" customHeight="true" outlineLevel="0" collapsed="false">
      <c r="A3139" s="184"/>
      <c r="B3139" s="184"/>
      <c r="C3139" s="184"/>
      <c r="D3139" s="184"/>
      <c r="E3139" s="184"/>
      <c r="F3139" s="184"/>
      <c r="G3139" s="184"/>
      <c r="H3139" s="184"/>
      <c r="I3139" s="184"/>
      <c r="J3139" s="184"/>
      <c r="K3139" s="184"/>
      <c r="L3139" s="184"/>
      <c r="M3139" s="184"/>
      <c r="N3139" s="184"/>
      <c r="O3139" s="184"/>
    </row>
    <row r="3140" customFormat="false" ht="15" hidden="false" customHeight="true" outlineLevel="0" collapsed="false">
      <c r="A3140" s="184"/>
      <c r="B3140" s="184"/>
      <c r="C3140" s="184"/>
      <c r="D3140" s="184"/>
      <c r="E3140" s="184"/>
      <c r="F3140" s="184"/>
      <c r="G3140" s="184"/>
      <c r="H3140" s="184"/>
      <c r="I3140" s="184"/>
      <c r="J3140" s="184"/>
      <c r="K3140" s="184"/>
      <c r="L3140" s="184"/>
      <c r="M3140" s="184"/>
      <c r="N3140" s="184"/>
      <c r="O3140" s="184"/>
    </row>
    <row r="3141" customFormat="false" ht="15" hidden="false" customHeight="true" outlineLevel="0" collapsed="false">
      <c r="A3141" s="184"/>
      <c r="B3141" s="184"/>
      <c r="C3141" s="184"/>
      <c r="D3141" s="184"/>
      <c r="E3141" s="184"/>
      <c r="F3141" s="184"/>
      <c r="G3141" s="184"/>
      <c r="H3141" s="184"/>
      <c r="I3141" s="184"/>
      <c r="J3141" s="184"/>
      <c r="K3141" s="184"/>
      <c r="L3141" s="184"/>
      <c r="M3141" s="184"/>
      <c r="N3141" s="184"/>
      <c r="O3141" s="184"/>
    </row>
    <row r="3142" customFormat="false" ht="15" hidden="false" customHeight="true" outlineLevel="0" collapsed="false">
      <c r="A3142" s="184"/>
      <c r="B3142" s="184"/>
      <c r="C3142" s="184"/>
      <c r="D3142" s="184"/>
      <c r="E3142" s="184"/>
      <c r="F3142" s="184"/>
      <c r="G3142" s="184"/>
      <c r="H3142" s="184"/>
      <c r="I3142" s="184"/>
      <c r="J3142" s="184"/>
      <c r="K3142" s="184"/>
      <c r="L3142" s="184"/>
      <c r="M3142" s="184"/>
      <c r="N3142" s="184"/>
      <c r="O3142" s="184"/>
    </row>
    <row r="3143" customFormat="false" ht="15" hidden="false" customHeight="true" outlineLevel="0" collapsed="false">
      <c r="A3143" s="184"/>
      <c r="B3143" s="184"/>
      <c r="C3143" s="184"/>
      <c r="D3143" s="184"/>
      <c r="E3143" s="184"/>
      <c r="F3143" s="184"/>
      <c r="G3143" s="184"/>
      <c r="H3143" s="184"/>
      <c r="I3143" s="184"/>
      <c r="J3143" s="184"/>
      <c r="K3143" s="184"/>
      <c r="L3143" s="184"/>
      <c r="M3143" s="184"/>
      <c r="N3143" s="184"/>
      <c r="O3143" s="184"/>
    </row>
    <row r="3144" customFormat="false" ht="15" hidden="false" customHeight="true" outlineLevel="0" collapsed="false">
      <c r="A3144" s="184"/>
      <c r="B3144" s="184"/>
      <c r="C3144" s="184"/>
      <c r="D3144" s="184"/>
      <c r="E3144" s="184"/>
      <c r="F3144" s="184"/>
      <c r="G3144" s="184"/>
      <c r="H3144" s="184"/>
      <c r="I3144" s="184"/>
      <c r="J3144" s="184"/>
      <c r="K3144" s="184"/>
      <c r="L3144" s="184"/>
      <c r="M3144" s="184"/>
      <c r="N3144" s="184"/>
      <c r="O3144" s="184"/>
    </row>
    <row r="3145" customFormat="false" ht="15" hidden="false" customHeight="true" outlineLevel="0" collapsed="false">
      <c r="A3145" s="184"/>
      <c r="B3145" s="184"/>
      <c r="C3145" s="184"/>
      <c r="D3145" s="184"/>
      <c r="E3145" s="184"/>
      <c r="F3145" s="184"/>
      <c r="G3145" s="184"/>
      <c r="H3145" s="184"/>
      <c r="I3145" s="184"/>
      <c r="J3145" s="184"/>
      <c r="K3145" s="184"/>
      <c r="L3145" s="184"/>
      <c r="M3145" s="184"/>
      <c r="N3145" s="184"/>
      <c r="O3145" s="184"/>
    </row>
    <row r="3146" customFormat="false" ht="15" hidden="false" customHeight="true" outlineLevel="0" collapsed="false">
      <c r="A3146" s="184"/>
      <c r="B3146" s="184"/>
      <c r="C3146" s="184"/>
      <c r="D3146" s="184"/>
      <c r="E3146" s="184"/>
      <c r="F3146" s="184"/>
      <c r="G3146" s="184"/>
      <c r="H3146" s="184"/>
      <c r="I3146" s="184"/>
      <c r="J3146" s="184"/>
      <c r="K3146" s="184"/>
      <c r="L3146" s="184"/>
      <c r="M3146" s="184"/>
      <c r="N3146" s="184"/>
      <c r="O3146" s="184"/>
    </row>
    <row r="3147" customFormat="false" ht="15" hidden="false" customHeight="true" outlineLevel="0" collapsed="false">
      <c r="A3147" s="184"/>
      <c r="B3147" s="184"/>
      <c r="C3147" s="184"/>
      <c r="D3147" s="184"/>
      <c r="E3147" s="184"/>
      <c r="F3147" s="184"/>
      <c r="G3147" s="184"/>
      <c r="H3147" s="184"/>
      <c r="I3147" s="184"/>
      <c r="J3147" s="184"/>
      <c r="K3147" s="184"/>
      <c r="L3147" s="184"/>
      <c r="M3147" s="184"/>
      <c r="N3147" s="184"/>
      <c r="O3147" s="184"/>
    </row>
    <row r="3148" customFormat="false" ht="15" hidden="false" customHeight="true" outlineLevel="0" collapsed="false">
      <c r="A3148" s="184"/>
      <c r="B3148" s="184"/>
      <c r="C3148" s="184"/>
      <c r="D3148" s="184"/>
      <c r="E3148" s="184"/>
      <c r="F3148" s="184"/>
      <c r="G3148" s="184"/>
      <c r="H3148" s="184"/>
      <c r="I3148" s="184"/>
      <c r="J3148" s="184"/>
      <c r="K3148" s="184"/>
      <c r="L3148" s="184"/>
      <c r="M3148" s="184"/>
      <c r="N3148" s="184"/>
      <c r="O3148" s="184"/>
    </row>
    <row r="3149" customFormat="false" ht="15" hidden="false" customHeight="true" outlineLevel="0" collapsed="false">
      <c r="A3149" s="184"/>
      <c r="B3149" s="184"/>
      <c r="C3149" s="184"/>
      <c r="D3149" s="184"/>
      <c r="E3149" s="184"/>
      <c r="F3149" s="184"/>
      <c r="G3149" s="184"/>
      <c r="H3149" s="184"/>
      <c r="I3149" s="184"/>
      <c r="J3149" s="184"/>
      <c r="K3149" s="184"/>
      <c r="L3149" s="184"/>
      <c r="M3149" s="184"/>
      <c r="N3149" s="184"/>
      <c r="O3149" s="184"/>
    </row>
    <row r="3150" customFormat="false" ht="15" hidden="false" customHeight="true" outlineLevel="0" collapsed="false">
      <c r="A3150" s="184"/>
      <c r="B3150" s="184"/>
      <c r="C3150" s="184"/>
      <c r="D3150" s="184"/>
      <c r="E3150" s="184"/>
      <c r="F3150" s="184"/>
      <c r="G3150" s="184"/>
      <c r="H3150" s="184"/>
      <c r="I3150" s="184"/>
      <c r="J3150" s="184"/>
      <c r="K3150" s="184"/>
      <c r="L3150" s="184"/>
      <c r="M3150" s="184"/>
      <c r="N3150" s="184"/>
      <c r="O3150" s="184"/>
    </row>
    <row r="3151" customFormat="false" ht="15" hidden="false" customHeight="true" outlineLevel="0" collapsed="false">
      <c r="A3151" s="184"/>
      <c r="B3151" s="184"/>
      <c r="C3151" s="184"/>
      <c r="D3151" s="184"/>
      <c r="E3151" s="184"/>
      <c r="F3151" s="184"/>
      <c r="G3151" s="184"/>
      <c r="H3151" s="184"/>
      <c r="I3151" s="184"/>
      <c r="J3151" s="184"/>
      <c r="K3151" s="184"/>
      <c r="L3151" s="184"/>
      <c r="M3151" s="184"/>
      <c r="N3151" s="184"/>
      <c r="O3151" s="184"/>
    </row>
    <row r="3152" customFormat="false" ht="15" hidden="false" customHeight="true" outlineLevel="0" collapsed="false">
      <c r="A3152" s="184"/>
      <c r="B3152" s="184"/>
      <c r="C3152" s="184"/>
      <c r="D3152" s="184"/>
      <c r="E3152" s="184"/>
      <c r="F3152" s="184"/>
      <c r="G3152" s="184"/>
      <c r="H3152" s="184"/>
      <c r="I3152" s="184"/>
      <c r="J3152" s="184"/>
      <c r="K3152" s="184"/>
      <c r="L3152" s="184"/>
      <c r="M3152" s="184"/>
      <c r="N3152" s="184"/>
      <c r="O3152" s="184"/>
    </row>
    <row r="3153" customFormat="false" ht="15" hidden="false" customHeight="true" outlineLevel="0" collapsed="false">
      <c r="A3153" s="184"/>
      <c r="B3153" s="184"/>
      <c r="C3153" s="184"/>
      <c r="D3153" s="184"/>
      <c r="E3153" s="184"/>
      <c r="F3153" s="184"/>
      <c r="G3153" s="184"/>
      <c r="H3153" s="184"/>
      <c r="I3153" s="184"/>
      <c r="J3153" s="184"/>
      <c r="K3153" s="184"/>
      <c r="L3153" s="184"/>
      <c r="M3153" s="184"/>
      <c r="N3153" s="184"/>
      <c r="O3153" s="184"/>
    </row>
    <row r="3154" customFormat="false" ht="15" hidden="false" customHeight="true" outlineLevel="0" collapsed="false">
      <c r="A3154" s="184"/>
      <c r="B3154" s="184"/>
      <c r="C3154" s="184"/>
      <c r="D3154" s="184"/>
      <c r="E3154" s="184"/>
      <c r="F3154" s="184"/>
      <c r="G3154" s="184"/>
      <c r="H3154" s="184"/>
      <c r="I3154" s="184"/>
      <c r="J3154" s="184"/>
      <c r="K3154" s="184"/>
      <c r="L3154" s="184"/>
      <c r="M3154" s="184"/>
      <c r="N3154" s="184"/>
      <c r="O3154" s="184"/>
    </row>
    <row r="3155" customFormat="false" ht="15" hidden="false" customHeight="true" outlineLevel="0" collapsed="false">
      <c r="A3155" s="184"/>
      <c r="B3155" s="184"/>
      <c r="C3155" s="184"/>
      <c r="D3155" s="184"/>
      <c r="E3155" s="184"/>
      <c r="F3155" s="184"/>
      <c r="G3155" s="184"/>
      <c r="H3155" s="184"/>
      <c r="I3155" s="184"/>
      <c r="J3155" s="184"/>
      <c r="K3155" s="184"/>
      <c r="L3155" s="184"/>
      <c r="M3155" s="184"/>
      <c r="N3155" s="184"/>
      <c r="O3155" s="184"/>
    </row>
    <row r="3156" customFormat="false" ht="15" hidden="false" customHeight="true" outlineLevel="0" collapsed="false">
      <c r="A3156" s="184"/>
      <c r="B3156" s="184"/>
      <c r="C3156" s="184"/>
      <c r="D3156" s="184"/>
      <c r="E3156" s="184"/>
      <c r="F3156" s="184"/>
      <c r="G3156" s="184"/>
      <c r="H3156" s="184"/>
      <c r="I3156" s="184"/>
      <c r="J3156" s="184"/>
      <c r="K3156" s="184"/>
      <c r="L3156" s="184"/>
      <c r="M3156" s="184"/>
      <c r="N3156" s="184"/>
      <c r="O3156" s="184"/>
    </row>
    <row r="3157" customFormat="false" ht="15" hidden="false" customHeight="true" outlineLevel="0" collapsed="false">
      <c r="A3157" s="184"/>
      <c r="B3157" s="184"/>
      <c r="C3157" s="184"/>
      <c r="D3157" s="184"/>
      <c r="E3157" s="184"/>
      <c r="F3157" s="184"/>
      <c r="G3157" s="184"/>
      <c r="H3157" s="184"/>
      <c r="I3157" s="184"/>
      <c r="J3157" s="184"/>
      <c r="K3157" s="184"/>
      <c r="L3157" s="184"/>
      <c r="M3157" s="184"/>
      <c r="N3157" s="184"/>
      <c r="O3157" s="184"/>
    </row>
    <row r="3158" customFormat="false" ht="15" hidden="false" customHeight="true" outlineLevel="0" collapsed="false">
      <c r="A3158" s="184"/>
      <c r="B3158" s="184"/>
      <c r="C3158" s="184"/>
      <c r="D3158" s="184"/>
      <c r="E3158" s="184"/>
      <c r="F3158" s="184"/>
      <c r="G3158" s="184"/>
      <c r="H3158" s="184"/>
      <c r="I3158" s="184"/>
      <c r="J3158" s="184"/>
      <c r="K3158" s="184"/>
      <c r="L3158" s="184"/>
      <c r="M3158" s="184"/>
      <c r="N3158" s="184"/>
      <c r="O3158" s="184"/>
    </row>
    <row r="3159" customFormat="false" ht="15" hidden="false" customHeight="true" outlineLevel="0" collapsed="false">
      <c r="A3159" s="184"/>
      <c r="B3159" s="184"/>
      <c r="C3159" s="184"/>
      <c r="D3159" s="184"/>
      <c r="E3159" s="184"/>
      <c r="F3159" s="184"/>
      <c r="G3159" s="184"/>
      <c r="H3159" s="184"/>
      <c r="I3159" s="184"/>
      <c r="J3159" s="184"/>
      <c r="K3159" s="184"/>
      <c r="L3159" s="184"/>
      <c r="M3159" s="184"/>
      <c r="N3159" s="184"/>
      <c r="O3159" s="184"/>
    </row>
    <row r="3160" customFormat="false" ht="15" hidden="false" customHeight="true" outlineLevel="0" collapsed="false">
      <c r="A3160" s="184"/>
      <c r="B3160" s="184"/>
      <c r="C3160" s="184"/>
      <c r="D3160" s="184"/>
      <c r="E3160" s="184"/>
      <c r="F3160" s="184"/>
      <c r="G3160" s="184"/>
      <c r="H3160" s="184"/>
      <c r="I3160" s="184"/>
      <c r="J3160" s="184"/>
      <c r="K3160" s="184"/>
      <c r="L3160" s="184"/>
      <c r="M3160" s="184"/>
      <c r="N3160" s="184"/>
      <c r="O3160" s="184"/>
    </row>
    <row r="3161" customFormat="false" ht="15" hidden="false" customHeight="true" outlineLevel="0" collapsed="false">
      <c r="A3161" s="184"/>
      <c r="B3161" s="184"/>
      <c r="C3161" s="184"/>
      <c r="D3161" s="184"/>
      <c r="E3161" s="184"/>
      <c r="F3161" s="184"/>
      <c r="G3161" s="184"/>
      <c r="H3161" s="184"/>
      <c r="I3161" s="184"/>
      <c r="J3161" s="184"/>
      <c r="K3161" s="184"/>
      <c r="L3161" s="184"/>
      <c r="M3161" s="184"/>
      <c r="N3161" s="184"/>
      <c r="O3161" s="184"/>
    </row>
    <row r="3162" customFormat="false" ht="15" hidden="false" customHeight="true" outlineLevel="0" collapsed="false">
      <c r="A3162" s="184"/>
      <c r="B3162" s="184"/>
      <c r="C3162" s="184"/>
      <c r="D3162" s="184"/>
      <c r="E3162" s="184"/>
      <c r="F3162" s="184"/>
      <c r="G3162" s="184"/>
      <c r="H3162" s="184"/>
      <c r="I3162" s="184"/>
      <c r="J3162" s="184"/>
      <c r="K3162" s="184"/>
      <c r="L3162" s="184"/>
      <c r="M3162" s="184"/>
      <c r="N3162" s="184"/>
      <c r="O3162" s="184"/>
    </row>
    <row r="3163" customFormat="false" ht="15" hidden="false" customHeight="true" outlineLevel="0" collapsed="false">
      <c r="A3163" s="184"/>
      <c r="B3163" s="184"/>
      <c r="C3163" s="184"/>
      <c r="D3163" s="184"/>
      <c r="E3163" s="184"/>
      <c r="F3163" s="184"/>
      <c r="G3163" s="184"/>
      <c r="H3163" s="184"/>
      <c r="I3163" s="184"/>
      <c r="J3163" s="184"/>
      <c r="K3163" s="184"/>
      <c r="L3163" s="184"/>
      <c r="M3163" s="184"/>
      <c r="N3163" s="184"/>
      <c r="O3163" s="184"/>
    </row>
    <row r="3164" customFormat="false" ht="15" hidden="false" customHeight="true" outlineLevel="0" collapsed="false">
      <c r="A3164" s="184"/>
      <c r="B3164" s="184"/>
      <c r="C3164" s="184"/>
      <c r="D3164" s="184"/>
      <c r="E3164" s="184"/>
      <c r="F3164" s="184"/>
      <c r="G3164" s="184"/>
      <c r="H3164" s="184"/>
      <c r="I3164" s="184"/>
      <c r="J3164" s="184"/>
      <c r="K3164" s="184"/>
      <c r="L3164" s="184"/>
      <c r="M3164" s="184"/>
      <c r="N3164" s="184"/>
      <c r="O3164" s="184"/>
    </row>
    <row r="3165" customFormat="false" ht="15" hidden="false" customHeight="true" outlineLevel="0" collapsed="false">
      <c r="A3165" s="184"/>
      <c r="B3165" s="184"/>
      <c r="C3165" s="184"/>
      <c r="D3165" s="184"/>
      <c r="E3165" s="184"/>
      <c r="F3165" s="184"/>
      <c r="G3165" s="184"/>
      <c r="H3165" s="184"/>
      <c r="I3165" s="184"/>
      <c r="J3165" s="184"/>
      <c r="K3165" s="184"/>
      <c r="L3165" s="184"/>
      <c r="M3165" s="184"/>
      <c r="N3165" s="184"/>
      <c r="O3165" s="184"/>
    </row>
    <row r="3166" customFormat="false" ht="15" hidden="false" customHeight="true" outlineLevel="0" collapsed="false">
      <c r="A3166" s="184"/>
      <c r="B3166" s="184"/>
      <c r="C3166" s="184"/>
      <c r="D3166" s="184"/>
      <c r="E3166" s="184"/>
      <c r="F3166" s="184"/>
      <c r="G3166" s="184"/>
      <c r="H3166" s="184"/>
      <c r="I3166" s="184"/>
      <c r="J3166" s="184"/>
      <c r="K3166" s="184"/>
      <c r="L3166" s="184"/>
      <c r="M3166" s="184"/>
      <c r="N3166" s="184"/>
      <c r="O3166" s="184"/>
    </row>
    <row r="3167" customFormat="false" ht="15" hidden="false" customHeight="true" outlineLevel="0" collapsed="false">
      <c r="A3167" s="184"/>
      <c r="B3167" s="184"/>
      <c r="C3167" s="184"/>
      <c r="D3167" s="184"/>
      <c r="E3167" s="184"/>
      <c r="F3167" s="184"/>
      <c r="G3167" s="184"/>
      <c r="H3167" s="184"/>
      <c r="I3167" s="184"/>
      <c r="J3167" s="184"/>
      <c r="K3167" s="184"/>
      <c r="L3167" s="184"/>
      <c r="M3167" s="184"/>
      <c r="N3167" s="184"/>
      <c r="O3167" s="184"/>
    </row>
    <row r="3168" customFormat="false" ht="15" hidden="false" customHeight="true" outlineLevel="0" collapsed="false">
      <c r="A3168" s="184"/>
      <c r="B3168" s="184"/>
      <c r="C3168" s="184"/>
      <c r="D3168" s="184"/>
      <c r="E3168" s="184"/>
      <c r="F3168" s="184"/>
      <c r="G3168" s="184"/>
      <c r="H3168" s="184"/>
      <c r="I3168" s="184"/>
      <c r="J3168" s="184"/>
      <c r="K3168" s="184"/>
      <c r="L3168" s="184"/>
      <c r="M3168" s="184"/>
      <c r="N3168" s="184"/>
      <c r="O3168" s="184"/>
    </row>
    <row r="3169" customFormat="false" ht="15" hidden="false" customHeight="true" outlineLevel="0" collapsed="false">
      <c r="A3169" s="184"/>
      <c r="B3169" s="184"/>
      <c r="C3169" s="184"/>
      <c r="D3169" s="184"/>
      <c r="E3169" s="184"/>
      <c r="F3169" s="184"/>
      <c r="G3169" s="184"/>
      <c r="H3169" s="184"/>
      <c r="I3169" s="184"/>
      <c r="J3169" s="184"/>
      <c r="K3169" s="184"/>
      <c r="L3169" s="184"/>
      <c r="M3169" s="184"/>
      <c r="N3169" s="184"/>
      <c r="O3169" s="184"/>
    </row>
    <row r="3170" customFormat="false" ht="15" hidden="false" customHeight="true" outlineLevel="0" collapsed="false">
      <c r="A3170" s="184"/>
      <c r="B3170" s="184"/>
      <c r="C3170" s="184"/>
      <c r="D3170" s="184"/>
      <c r="E3170" s="184"/>
      <c r="F3170" s="184"/>
      <c r="G3170" s="184"/>
      <c r="H3170" s="184"/>
      <c r="I3170" s="184"/>
      <c r="J3170" s="184"/>
      <c r="K3170" s="184"/>
      <c r="L3170" s="184"/>
      <c r="M3170" s="184"/>
      <c r="N3170" s="184"/>
      <c r="O3170" s="184"/>
    </row>
    <row r="3171" customFormat="false" ht="15" hidden="false" customHeight="true" outlineLevel="0" collapsed="false">
      <c r="A3171" s="184"/>
      <c r="B3171" s="184"/>
      <c r="C3171" s="184"/>
      <c r="D3171" s="184"/>
      <c r="E3171" s="184"/>
      <c r="F3171" s="184"/>
      <c r="G3171" s="184"/>
      <c r="H3171" s="184"/>
      <c r="I3171" s="184"/>
      <c r="J3171" s="184"/>
      <c r="K3171" s="184"/>
      <c r="L3171" s="184"/>
      <c r="M3171" s="184"/>
      <c r="N3171" s="184"/>
      <c r="O3171" s="184"/>
    </row>
    <row r="3172" customFormat="false" ht="15" hidden="false" customHeight="true" outlineLevel="0" collapsed="false">
      <c r="A3172" s="184"/>
      <c r="B3172" s="184"/>
      <c r="C3172" s="184"/>
      <c r="D3172" s="184"/>
      <c r="E3172" s="184"/>
      <c r="F3172" s="184"/>
      <c r="G3172" s="184"/>
      <c r="H3172" s="184"/>
      <c r="I3172" s="184"/>
      <c r="J3172" s="184"/>
      <c r="K3172" s="184"/>
      <c r="L3172" s="184"/>
      <c r="M3172" s="184"/>
      <c r="N3172" s="184"/>
      <c r="O3172" s="184"/>
    </row>
    <row r="3173" customFormat="false" ht="15" hidden="false" customHeight="true" outlineLevel="0" collapsed="false">
      <c r="A3173" s="184"/>
      <c r="B3173" s="184"/>
      <c r="C3173" s="184"/>
      <c r="D3173" s="184"/>
      <c r="E3173" s="184"/>
      <c r="F3173" s="184"/>
      <c r="G3173" s="184"/>
      <c r="H3173" s="184"/>
      <c r="I3173" s="184"/>
      <c r="J3173" s="184"/>
      <c r="K3173" s="184"/>
      <c r="L3173" s="184"/>
      <c r="M3173" s="184"/>
      <c r="N3173" s="184"/>
      <c r="O3173" s="184"/>
    </row>
    <row r="3174" customFormat="false" ht="15" hidden="false" customHeight="true" outlineLevel="0" collapsed="false">
      <c r="A3174" s="184"/>
      <c r="B3174" s="184"/>
      <c r="C3174" s="184"/>
      <c r="D3174" s="184"/>
      <c r="E3174" s="184"/>
      <c r="F3174" s="184"/>
      <c r="G3174" s="184"/>
      <c r="H3174" s="184"/>
      <c r="I3174" s="184"/>
      <c r="J3174" s="184"/>
      <c r="K3174" s="184"/>
      <c r="L3174" s="184"/>
      <c r="M3174" s="184"/>
      <c r="N3174" s="184"/>
      <c r="O3174" s="184"/>
    </row>
    <row r="3175" customFormat="false" ht="15" hidden="false" customHeight="true" outlineLevel="0" collapsed="false">
      <c r="A3175" s="184"/>
      <c r="B3175" s="184"/>
      <c r="C3175" s="184"/>
      <c r="D3175" s="184"/>
      <c r="E3175" s="184"/>
      <c r="F3175" s="184"/>
      <c r="G3175" s="184"/>
      <c r="H3175" s="184"/>
      <c r="I3175" s="184"/>
      <c r="J3175" s="184"/>
      <c r="K3175" s="184"/>
      <c r="L3175" s="184"/>
      <c r="M3175" s="184"/>
      <c r="N3175" s="184"/>
      <c r="O3175" s="184"/>
    </row>
    <row r="3176" customFormat="false" ht="15" hidden="false" customHeight="true" outlineLevel="0" collapsed="false">
      <c r="A3176" s="184"/>
      <c r="B3176" s="184"/>
      <c r="C3176" s="184"/>
      <c r="D3176" s="184"/>
      <c r="E3176" s="184"/>
      <c r="F3176" s="184"/>
      <c r="G3176" s="184"/>
      <c r="H3176" s="184"/>
      <c r="I3176" s="184"/>
      <c r="J3176" s="184"/>
      <c r="K3176" s="184"/>
      <c r="L3176" s="184"/>
      <c r="M3176" s="184"/>
      <c r="N3176" s="184"/>
      <c r="O3176" s="184"/>
    </row>
    <row r="3177" customFormat="false" ht="15" hidden="false" customHeight="true" outlineLevel="0" collapsed="false">
      <c r="A3177" s="184"/>
      <c r="B3177" s="184"/>
      <c r="C3177" s="184"/>
      <c r="D3177" s="184"/>
      <c r="E3177" s="184"/>
      <c r="F3177" s="184"/>
      <c r="G3177" s="184"/>
      <c r="H3177" s="184"/>
      <c r="I3177" s="184"/>
      <c r="J3177" s="184"/>
      <c r="K3177" s="184"/>
      <c r="L3177" s="184"/>
      <c r="M3177" s="184"/>
      <c r="N3177" s="184"/>
      <c r="O3177" s="184"/>
    </row>
    <row r="3178" customFormat="false" ht="15" hidden="false" customHeight="true" outlineLevel="0" collapsed="false">
      <c r="A3178" s="184"/>
      <c r="B3178" s="184"/>
      <c r="C3178" s="184"/>
      <c r="D3178" s="184"/>
      <c r="E3178" s="184"/>
      <c r="F3178" s="184"/>
      <c r="G3178" s="184"/>
      <c r="H3178" s="184"/>
      <c r="I3178" s="184"/>
      <c r="J3178" s="184"/>
      <c r="K3178" s="184"/>
      <c r="L3178" s="184"/>
      <c r="M3178" s="184"/>
      <c r="N3178" s="184"/>
      <c r="O3178" s="184"/>
    </row>
    <row r="3179" customFormat="false" ht="15" hidden="false" customHeight="true" outlineLevel="0" collapsed="false">
      <c r="A3179" s="184"/>
      <c r="B3179" s="184"/>
      <c r="C3179" s="184"/>
      <c r="D3179" s="184"/>
      <c r="E3179" s="184"/>
      <c r="F3179" s="184"/>
      <c r="G3179" s="184"/>
      <c r="H3179" s="184"/>
      <c r="I3179" s="184"/>
      <c r="J3179" s="184"/>
      <c r="K3179" s="184"/>
      <c r="L3179" s="184"/>
      <c r="M3179" s="184"/>
      <c r="N3179" s="184"/>
      <c r="O3179" s="184"/>
    </row>
    <row r="3180" customFormat="false" ht="15" hidden="false" customHeight="true" outlineLevel="0" collapsed="false">
      <c r="A3180" s="184"/>
      <c r="B3180" s="184"/>
      <c r="C3180" s="184"/>
      <c r="D3180" s="184"/>
      <c r="E3180" s="184"/>
      <c r="F3180" s="184"/>
      <c r="G3180" s="184"/>
      <c r="H3180" s="184"/>
      <c r="I3180" s="184"/>
      <c r="J3180" s="184"/>
      <c r="K3180" s="184"/>
      <c r="L3180" s="184"/>
      <c r="M3180" s="184"/>
      <c r="N3180" s="184"/>
      <c r="O3180" s="184"/>
    </row>
    <row r="3181" customFormat="false" ht="15" hidden="false" customHeight="true" outlineLevel="0" collapsed="false">
      <c r="A3181" s="184"/>
      <c r="B3181" s="184"/>
      <c r="C3181" s="184"/>
      <c r="D3181" s="184"/>
      <c r="E3181" s="184"/>
      <c r="F3181" s="184"/>
      <c r="G3181" s="184"/>
      <c r="H3181" s="184"/>
      <c r="I3181" s="184"/>
      <c r="J3181" s="184"/>
      <c r="K3181" s="184"/>
      <c r="L3181" s="184"/>
      <c r="M3181" s="184"/>
      <c r="N3181" s="184"/>
      <c r="O3181" s="184"/>
    </row>
    <row r="3182" customFormat="false" ht="15" hidden="false" customHeight="true" outlineLevel="0" collapsed="false">
      <c r="A3182" s="184"/>
      <c r="B3182" s="184"/>
      <c r="C3182" s="184"/>
      <c r="D3182" s="184"/>
      <c r="E3182" s="184"/>
      <c r="F3182" s="184"/>
      <c r="G3182" s="184"/>
      <c r="H3182" s="184"/>
      <c r="I3182" s="184"/>
      <c r="J3182" s="184"/>
      <c r="K3182" s="184"/>
      <c r="L3182" s="184"/>
      <c r="M3182" s="184"/>
      <c r="N3182" s="184"/>
      <c r="O3182" s="184"/>
    </row>
    <row r="3183" customFormat="false" ht="15" hidden="false" customHeight="true" outlineLevel="0" collapsed="false">
      <c r="A3183" s="184"/>
      <c r="B3183" s="184"/>
      <c r="C3183" s="184"/>
      <c r="D3183" s="184"/>
      <c r="E3183" s="184"/>
      <c r="F3183" s="184"/>
      <c r="G3183" s="184"/>
      <c r="H3183" s="184"/>
      <c r="I3183" s="184"/>
      <c r="J3183" s="184"/>
      <c r="K3183" s="184"/>
      <c r="L3183" s="184"/>
      <c r="M3183" s="184"/>
      <c r="N3183" s="184"/>
      <c r="O3183" s="184"/>
    </row>
    <row r="3184" customFormat="false" ht="15" hidden="false" customHeight="true" outlineLevel="0" collapsed="false">
      <c r="A3184" s="184"/>
      <c r="B3184" s="184"/>
      <c r="C3184" s="184"/>
      <c r="D3184" s="184"/>
      <c r="E3184" s="184"/>
      <c r="F3184" s="184"/>
      <c r="G3184" s="184"/>
      <c r="H3184" s="184"/>
      <c r="I3184" s="184"/>
      <c r="J3184" s="184"/>
      <c r="K3184" s="184"/>
      <c r="L3184" s="184"/>
      <c r="M3184" s="184"/>
      <c r="N3184" s="184"/>
      <c r="O3184" s="184"/>
    </row>
    <row r="3185" customFormat="false" ht="15" hidden="false" customHeight="true" outlineLevel="0" collapsed="false">
      <c r="A3185" s="184"/>
      <c r="B3185" s="184"/>
      <c r="C3185" s="184"/>
      <c r="D3185" s="184"/>
      <c r="E3185" s="184"/>
      <c r="F3185" s="184"/>
      <c r="G3185" s="184"/>
      <c r="H3185" s="184"/>
      <c r="I3185" s="184"/>
      <c r="J3185" s="184"/>
      <c r="K3185" s="184"/>
      <c r="L3185" s="184"/>
      <c r="M3185" s="184"/>
      <c r="N3185" s="184"/>
      <c r="O3185" s="184"/>
    </row>
    <row r="3186" customFormat="false" ht="15" hidden="false" customHeight="true" outlineLevel="0" collapsed="false">
      <c r="A3186" s="184"/>
      <c r="B3186" s="184"/>
      <c r="C3186" s="184"/>
      <c r="D3186" s="184"/>
      <c r="E3186" s="184"/>
      <c r="F3186" s="184"/>
      <c r="G3186" s="184"/>
      <c r="H3186" s="184"/>
      <c r="I3186" s="184"/>
      <c r="J3186" s="184"/>
      <c r="K3186" s="184"/>
      <c r="L3186" s="184"/>
      <c r="M3186" s="184"/>
      <c r="N3186" s="184"/>
      <c r="O3186" s="184"/>
    </row>
    <row r="3187" customFormat="false" ht="15" hidden="false" customHeight="true" outlineLevel="0" collapsed="false">
      <c r="A3187" s="184"/>
      <c r="B3187" s="184"/>
      <c r="C3187" s="184"/>
      <c r="D3187" s="184"/>
      <c r="E3187" s="184"/>
      <c r="F3187" s="184"/>
      <c r="G3187" s="184"/>
      <c r="H3187" s="184"/>
      <c r="I3187" s="184"/>
      <c r="J3187" s="184"/>
      <c r="K3187" s="184"/>
      <c r="L3187" s="184"/>
      <c r="M3187" s="184"/>
      <c r="N3187" s="184"/>
      <c r="O3187" s="184"/>
    </row>
    <row r="3188" customFormat="false" ht="15" hidden="false" customHeight="true" outlineLevel="0" collapsed="false">
      <c r="A3188" s="184"/>
      <c r="B3188" s="184"/>
      <c r="C3188" s="184"/>
      <c r="D3188" s="184"/>
      <c r="E3188" s="184"/>
      <c r="F3188" s="184"/>
      <c r="G3188" s="184"/>
      <c r="H3188" s="184"/>
      <c r="I3188" s="184"/>
      <c r="J3188" s="184"/>
      <c r="K3188" s="184"/>
      <c r="L3188" s="184"/>
      <c r="M3188" s="184"/>
      <c r="N3188" s="184"/>
      <c r="O3188" s="184"/>
    </row>
    <row r="3189" customFormat="false" ht="68.25" hidden="false" customHeight="true" outlineLevel="0" collapsed="false">
      <c r="A3189" s="184" t="s">
        <v>4957</v>
      </c>
      <c r="B3189" s="184" t="s">
        <v>4958</v>
      </c>
      <c r="C3189" s="184"/>
      <c r="D3189" s="179" t="s">
        <v>4858</v>
      </c>
      <c r="E3189" s="184" t="s">
        <v>7183</v>
      </c>
      <c r="F3189" s="184"/>
      <c r="G3189" s="184"/>
      <c r="H3189" s="184"/>
      <c r="I3189" s="184"/>
      <c r="J3189" s="184"/>
      <c r="K3189" s="184"/>
      <c r="L3189" s="184"/>
      <c r="M3189" s="184" t="s">
        <v>7172</v>
      </c>
      <c r="N3189" s="184"/>
      <c r="O3189" s="184"/>
    </row>
    <row r="3190" customFormat="false" ht="27.75" hidden="false" customHeight="true" outlineLevel="0" collapsed="false">
      <c r="A3190" s="184" t="s">
        <v>4957</v>
      </c>
      <c r="B3190" s="184" t="s">
        <v>4958</v>
      </c>
      <c r="C3190" s="184" t="n">
        <v>1</v>
      </c>
      <c r="D3190" s="184" t="s">
        <v>6296</v>
      </c>
      <c r="E3190" s="184" t="s">
        <v>7184</v>
      </c>
      <c r="F3190" s="184"/>
      <c r="G3190" s="184"/>
      <c r="H3190" s="184"/>
      <c r="I3190" s="184"/>
      <c r="J3190" s="184"/>
      <c r="K3190" s="184"/>
      <c r="L3190" s="184"/>
      <c r="M3190" s="184"/>
      <c r="N3190" s="184"/>
      <c r="O3190" s="184"/>
    </row>
    <row r="3191" customFormat="false" ht="27.75" hidden="false" customHeight="true" outlineLevel="0" collapsed="false">
      <c r="A3191" s="184" t="s">
        <v>4957</v>
      </c>
      <c r="B3191" s="184" t="s">
        <v>4958</v>
      </c>
      <c r="C3191" s="184" t="n">
        <v>2</v>
      </c>
      <c r="D3191" s="177" t="s">
        <v>6298</v>
      </c>
      <c r="E3191" s="184" t="s">
        <v>7174</v>
      </c>
      <c r="F3191" s="184"/>
      <c r="G3191" s="184"/>
      <c r="H3191" s="184"/>
      <c r="I3191" s="184"/>
      <c r="J3191" s="184"/>
      <c r="K3191" s="184"/>
      <c r="L3191" s="184"/>
      <c r="M3191" s="184"/>
      <c r="N3191" s="184"/>
      <c r="O3191" s="184"/>
    </row>
    <row r="3192" customFormat="false" ht="27.75" hidden="false" customHeight="true" outlineLevel="0" collapsed="false">
      <c r="A3192" s="184" t="s">
        <v>4957</v>
      </c>
      <c r="B3192" s="184" t="s">
        <v>4958</v>
      </c>
      <c r="C3192" s="184" t="n">
        <v>3</v>
      </c>
      <c r="D3192" s="178" t="s">
        <v>5269</v>
      </c>
      <c r="E3192" s="184" t="s">
        <v>7175</v>
      </c>
      <c r="F3192" s="184"/>
      <c r="G3192" s="184"/>
      <c r="H3192" s="184"/>
      <c r="I3192" s="184"/>
      <c r="J3192" s="184"/>
      <c r="K3192" s="184"/>
      <c r="L3192" s="184"/>
      <c r="M3192" s="184" t="s">
        <v>7179</v>
      </c>
      <c r="N3192" s="184"/>
      <c r="O3192" s="184"/>
    </row>
    <row r="3193" customFormat="false" ht="27.75" hidden="false" customHeight="true" outlineLevel="0" collapsed="false">
      <c r="A3193" s="184" t="s">
        <v>4957</v>
      </c>
      <c r="B3193" s="184" t="s">
        <v>4958</v>
      </c>
      <c r="C3193" s="184" t="n">
        <v>4</v>
      </c>
      <c r="D3193" s="184" t="s">
        <v>6296</v>
      </c>
      <c r="E3193" s="184" t="s">
        <v>7184</v>
      </c>
      <c r="F3193" s="184"/>
      <c r="G3193" s="184"/>
      <c r="H3193" s="184"/>
      <c r="I3193" s="184"/>
      <c r="J3193" s="184"/>
      <c r="K3193" s="184"/>
      <c r="L3193" s="184"/>
      <c r="M3193" s="184"/>
      <c r="N3193" s="184"/>
      <c r="O3193" s="184"/>
    </row>
    <row r="3194" customFormat="false" ht="41.25" hidden="false" customHeight="true" outlineLevel="0" collapsed="false">
      <c r="A3194" s="184" t="s">
        <v>4957</v>
      </c>
      <c r="B3194" s="184" t="s">
        <v>4958</v>
      </c>
      <c r="C3194" s="184" t="n">
        <v>5</v>
      </c>
      <c r="D3194" s="177" t="s">
        <v>6298</v>
      </c>
      <c r="E3194" s="184" t="s">
        <v>7177</v>
      </c>
      <c r="F3194" s="184"/>
      <c r="G3194" s="184"/>
      <c r="H3194" s="184"/>
      <c r="I3194" s="184"/>
      <c r="J3194" s="184"/>
      <c r="K3194" s="184"/>
      <c r="L3194" s="184"/>
      <c r="M3194" s="184"/>
      <c r="N3194" s="184"/>
      <c r="O3194" s="184"/>
    </row>
    <row r="3195" customFormat="false" ht="27.75" hidden="false" customHeight="true" outlineLevel="0" collapsed="false">
      <c r="A3195" s="184" t="s">
        <v>4957</v>
      </c>
      <c r="B3195" s="184" t="s">
        <v>4958</v>
      </c>
      <c r="C3195" s="184" t="n">
        <v>6</v>
      </c>
      <c r="D3195" s="184" t="s">
        <v>4790</v>
      </c>
      <c r="E3195" s="184" t="s">
        <v>2630</v>
      </c>
      <c r="F3195" s="184"/>
      <c r="G3195" s="184"/>
      <c r="H3195" s="184"/>
      <c r="I3195" s="184"/>
      <c r="J3195" s="184"/>
      <c r="K3195" s="184"/>
      <c r="L3195" s="184"/>
      <c r="M3195" s="184"/>
      <c r="N3195" s="184"/>
      <c r="O3195" s="184"/>
    </row>
    <row r="3196" customFormat="false" ht="27.75" hidden="false" customHeight="true" outlineLevel="0" collapsed="false">
      <c r="A3196" s="184" t="s">
        <v>4957</v>
      </c>
      <c r="B3196" s="184" t="s">
        <v>4958</v>
      </c>
      <c r="C3196" s="184" t="n">
        <v>7</v>
      </c>
      <c r="D3196" s="178" t="s">
        <v>5269</v>
      </c>
      <c r="E3196" s="184" t="s">
        <v>7175</v>
      </c>
      <c r="F3196" s="184"/>
      <c r="G3196" s="184"/>
      <c r="H3196" s="184"/>
      <c r="I3196" s="184"/>
      <c r="J3196" s="184"/>
      <c r="K3196" s="184"/>
      <c r="L3196" s="184"/>
      <c r="M3196" s="184" t="s">
        <v>7179</v>
      </c>
      <c r="N3196" s="184"/>
      <c r="O3196" s="184"/>
    </row>
    <row r="3197" customFormat="false" ht="27.75" hidden="false" customHeight="true" outlineLevel="0" collapsed="false">
      <c r="A3197" s="184" t="s">
        <v>4957</v>
      </c>
      <c r="B3197" s="184" t="s">
        <v>4958</v>
      </c>
      <c r="C3197" s="184" t="n">
        <v>8</v>
      </c>
      <c r="D3197" s="184" t="s">
        <v>4790</v>
      </c>
      <c r="E3197" s="184" t="s">
        <v>2633</v>
      </c>
      <c r="F3197" s="184"/>
      <c r="G3197" s="184"/>
      <c r="H3197" s="184"/>
      <c r="I3197" s="184"/>
      <c r="J3197" s="184"/>
      <c r="K3197" s="184"/>
      <c r="L3197" s="184"/>
      <c r="M3197" s="184"/>
      <c r="N3197" s="184"/>
      <c r="O3197" s="184"/>
    </row>
    <row r="3198" customFormat="false" ht="27.75" hidden="false" customHeight="true" outlineLevel="0" collapsed="false">
      <c r="A3198" s="184" t="s">
        <v>4957</v>
      </c>
      <c r="B3198" s="184" t="s">
        <v>4958</v>
      </c>
      <c r="C3198" s="184" t="n">
        <v>9</v>
      </c>
      <c r="D3198" s="178" t="s">
        <v>5269</v>
      </c>
      <c r="E3198" s="184" t="s">
        <v>7175</v>
      </c>
      <c r="F3198" s="184"/>
      <c r="G3198" s="184"/>
      <c r="H3198" s="184"/>
      <c r="I3198" s="184"/>
      <c r="J3198" s="184"/>
      <c r="K3198" s="184"/>
      <c r="L3198" s="184"/>
      <c r="M3198" s="184" t="s">
        <v>7180</v>
      </c>
      <c r="N3198" s="184"/>
      <c r="O3198" s="184"/>
    </row>
    <row r="3199" customFormat="false" ht="15" hidden="false" customHeight="true" outlineLevel="0" collapsed="false">
      <c r="A3199" s="184"/>
      <c r="B3199" s="184"/>
      <c r="C3199" s="184"/>
      <c r="D3199" s="184"/>
      <c r="E3199" s="184"/>
      <c r="F3199" s="184"/>
      <c r="G3199" s="184"/>
      <c r="H3199" s="184"/>
      <c r="I3199" s="184"/>
      <c r="J3199" s="184"/>
      <c r="K3199" s="184"/>
      <c r="L3199" s="184"/>
      <c r="M3199" s="184"/>
      <c r="N3199" s="184"/>
      <c r="O3199" s="184"/>
    </row>
    <row r="3200" customFormat="false" ht="15" hidden="false" customHeight="true" outlineLevel="0" collapsed="false">
      <c r="A3200" s="184"/>
      <c r="B3200" s="184"/>
      <c r="C3200" s="184"/>
      <c r="D3200" s="184"/>
      <c r="E3200" s="184"/>
      <c r="F3200" s="184"/>
      <c r="G3200" s="184"/>
      <c r="H3200" s="184"/>
      <c r="I3200" s="184"/>
      <c r="J3200" s="184"/>
      <c r="K3200" s="184"/>
      <c r="L3200" s="184"/>
      <c r="M3200" s="184"/>
      <c r="N3200" s="184"/>
      <c r="O3200" s="184"/>
    </row>
    <row r="3201" customFormat="false" ht="15" hidden="false" customHeight="true" outlineLevel="0" collapsed="false">
      <c r="A3201" s="184"/>
      <c r="B3201" s="184"/>
      <c r="C3201" s="184"/>
      <c r="D3201" s="184"/>
      <c r="E3201" s="184"/>
      <c r="F3201" s="184"/>
      <c r="G3201" s="184"/>
      <c r="H3201" s="184"/>
      <c r="I3201" s="184"/>
      <c r="J3201" s="184"/>
      <c r="K3201" s="184"/>
      <c r="L3201" s="184"/>
      <c r="M3201" s="184"/>
      <c r="N3201" s="184"/>
      <c r="O3201" s="184"/>
    </row>
    <row r="3202" customFormat="false" ht="15" hidden="false" customHeight="true" outlineLevel="0" collapsed="false">
      <c r="A3202" s="184"/>
      <c r="B3202" s="184"/>
      <c r="C3202" s="184"/>
      <c r="D3202" s="184"/>
      <c r="E3202" s="184"/>
      <c r="F3202" s="184"/>
      <c r="G3202" s="184"/>
      <c r="H3202" s="184"/>
      <c r="I3202" s="184"/>
      <c r="J3202" s="184"/>
      <c r="K3202" s="184"/>
      <c r="L3202" s="184"/>
      <c r="M3202" s="184"/>
      <c r="N3202" s="184"/>
      <c r="O3202" s="184"/>
    </row>
    <row r="3203" customFormat="false" ht="15" hidden="false" customHeight="true" outlineLevel="0" collapsed="false">
      <c r="A3203" s="184"/>
      <c r="B3203" s="184"/>
      <c r="C3203" s="184"/>
      <c r="D3203" s="184"/>
      <c r="E3203" s="184"/>
      <c r="F3203" s="184"/>
      <c r="G3203" s="184"/>
      <c r="H3203" s="184"/>
      <c r="I3203" s="184"/>
      <c r="J3203" s="184"/>
      <c r="K3203" s="184"/>
      <c r="L3203" s="184"/>
      <c r="M3203" s="184"/>
      <c r="N3203" s="184"/>
      <c r="O3203" s="184"/>
    </row>
    <row r="3204" customFormat="false" ht="15" hidden="false" customHeight="true" outlineLevel="0" collapsed="false">
      <c r="A3204" s="184"/>
      <c r="B3204" s="184"/>
      <c r="C3204" s="184"/>
      <c r="D3204" s="184"/>
      <c r="E3204" s="184"/>
      <c r="F3204" s="184"/>
      <c r="G3204" s="184"/>
      <c r="H3204" s="184"/>
      <c r="I3204" s="184"/>
      <c r="J3204" s="184"/>
      <c r="K3204" s="184"/>
      <c r="L3204" s="184"/>
      <c r="M3204" s="184"/>
      <c r="N3204" s="184"/>
      <c r="O3204" s="184"/>
    </row>
    <row r="3205" customFormat="false" ht="15" hidden="false" customHeight="true" outlineLevel="0" collapsed="false">
      <c r="A3205" s="184"/>
      <c r="B3205" s="184"/>
      <c r="C3205" s="184"/>
      <c r="D3205" s="184"/>
      <c r="E3205" s="184"/>
      <c r="F3205" s="184"/>
      <c r="G3205" s="184"/>
      <c r="H3205" s="184"/>
      <c r="I3205" s="184"/>
      <c r="J3205" s="184"/>
      <c r="K3205" s="184"/>
      <c r="L3205" s="184"/>
      <c r="M3205" s="184"/>
      <c r="N3205" s="184"/>
      <c r="O3205" s="184"/>
    </row>
    <row r="3206" customFormat="false" ht="15" hidden="false" customHeight="true" outlineLevel="0" collapsed="false">
      <c r="A3206" s="184"/>
      <c r="B3206" s="184"/>
      <c r="C3206" s="184"/>
      <c r="D3206" s="184"/>
      <c r="E3206" s="184"/>
      <c r="F3206" s="184"/>
      <c r="G3206" s="184"/>
      <c r="H3206" s="184"/>
      <c r="I3206" s="184"/>
      <c r="J3206" s="184"/>
      <c r="K3206" s="184"/>
      <c r="L3206" s="184"/>
      <c r="M3206" s="184"/>
      <c r="N3206" s="184"/>
      <c r="O3206" s="184"/>
    </row>
    <row r="3207" customFormat="false" ht="15" hidden="false" customHeight="true" outlineLevel="0" collapsed="false">
      <c r="A3207" s="184"/>
      <c r="B3207" s="184"/>
      <c r="C3207" s="184"/>
      <c r="D3207" s="184"/>
      <c r="E3207" s="184"/>
      <c r="F3207" s="184"/>
      <c r="G3207" s="184"/>
      <c r="H3207" s="184"/>
      <c r="I3207" s="184"/>
      <c r="J3207" s="184"/>
      <c r="K3207" s="184"/>
      <c r="L3207" s="184"/>
      <c r="M3207" s="184"/>
      <c r="N3207" s="184"/>
      <c r="O3207" s="184"/>
    </row>
    <row r="3208" customFormat="false" ht="15" hidden="false" customHeight="true" outlineLevel="0" collapsed="false">
      <c r="A3208" s="184"/>
      <c r="B3208" s="184"/>
      <c r="C3208" s="184"/>
      <c r="D3208" s="184"/>
      <c r="E3208" s="184"/>
      <c r="F3208" s="184"/>
      <c r="G3208" s="184"/>
      <c r="H3208" s="184"/>
      <c r="I3208" s="184"/>
      <c r="J3208" s="184"/>
      <c r="K3208" s="184"/>
      <c r="L3208" s="184"/>
      <c r="M3208" s="184"/>
      <c r="N3208" s="184"/>
      <c r="O3208" s="184"/>
    </row>
    <row r="3209" customFormat="false" ht="15" hidden="false" customHeight="true" outlineLevel="0" collapsed="false">
      <c r="A3209" s="184"/>
      <c r="B3209" s="184"/>
      <c r="C3209" s="184"/>
      <c r="D3209" s="184"/>
      <c r="E3209" s="184"/>
      <c r="F3209" s="184"/>
      <c r="G3209" s="184"/>
      <c r="H3209" s="184"/>
      <c r="I3209" s="184"/>
      <c r="J3209" s="184"/>
      <c r="K3209" s="184"/>
      <c r="L3209" s="184"/>
      <c r="M3209" s="184"/>
      <c r="N3209" s="184"/>
      <c r="O3209" s="184"/>
    </row>
    <row r="3210" customFormat="false" ht="15" hidden="false" customHeight="true" outlineLevel="0" collapsed="false">
      <c r="A3210" s="184"/>
      <c r="B3210" s="184"/>
      <c r="C3210" s="184"/>
      <c r="D3210" s="184"/>
      <c r="E3210" s="184"/>
      <c r="F3210" s="184"/>
      <c r="G3210" s="184"/>
      <c r="H3210" s="184"/>
      <c r="I3210" s="184"/>
      <c r="J3210" s="184"/>
      <c r="K3210" s="184"/>
      <c r="L3210" s="184"/>
      <c r="M3210" s="184"/>
      <c r="N3210" s="184"/>
      <c r="O3210" s="184"/>
    </row>
    <row r="3211" customFormat="false" ht="15" hidden="false" customHeight="true" outlineLevel="0" collapsed="false">
      <c r="A3211" s="184"/>
      <c r="B3211" s="184"/>
      <c r="C3211" s="184"/>
      <c r="D3211" s="184"/>
      <c r="E3211" s="184"/>
      <c r="F3211" s="184"/>
      <c r="G3211" s="184"/>
      <c r="H3211" s="184"/>
      <c r="I3211" s="184"/>
      <c r="J3211" s="184"/>
      <c r="K3211" s="184"/>
      <c r="L3211" s="184"/>
      <c r="M3211" s="184"/>
      <c r="N3211" s="184"/>
      <c r="O3211" s="184"/>
    </row>
    <row r="3212" customFormat="false" ht="15" hidden="false" customHeight="true" outlineLevel="0" collapsed="false">
      <c r="A3212" s="184"/>
      <c r="B3212" s="184"/>
      <c r="C3212" s="184"/>
      <c r="D3212" s="184"/>
      <c r="E3212" s="184"/>
      <c r="F3212" s="184"/>
      <c r="G3212" s="184"/>
      <c r="H3212" s="184"/>
      <c r="I3212" s="184"/>
      <c r="J3212" s="184"/>
      <c r="K3212" s="184"/>
      <c r="L3212" s="184"/>
      <c r="M3212" s="184"/>
      <c r="N3212" s="184"/>
      <c r="O3212" s="184"/>
    </row>
    <row r="3213" customFormat="false" ht="15" hidden="false" customHeight="true" outlineLevel="0" collapsed="false">
      <c r="A3213" s="184"/>
      <c r="B3213" s="184"/>
      <c r="C3213" s="184"/>
      <c r="D3213" s="184"/>
      <c r="E3213" s="184"/>
      <c r="F3213" s="184"/>
      <c r="G3213" s="184"/>
      <c r="H3213" s="184"/>
      <c r="I3213" s="184"/>
      <c r="J3213" s="184"/>
      <c r="K3213" s="184"/>
      <c r="L3213" s="184"/>
      <c r="M3213" s="184"/>
      <c r="N3213" s="184"/>
      <c r="O3213" s="184"/>
    </row>
    <row r="3214" customFormat="false" ht="15" hidden="false" customHeight="true" outlineLevel="0" collapsed="false">
      <c r="A3214" s="184"/>
      <c r="B3214" s="184"/>
      <c r="C3214" s="184"/>
      <c r="D3214" s="184"/>
      <c r="E3214" s="184"/>
      <c r="F3214" s="184"/>
      <c r="G3214" s="184"/>
      <c r="H3214" s="184"/>
      <c r="I3214" s="184"/>
      <c r="J3214" s="184"/>
      <c r="K3214" s="184"/>
      <c r="L3214" s="184"/>
      <c r="M3214" s="184"/>
      <c r="N3214" s="184"/>
      <c r="O3214" s="184"/>
    </row>
    <row r="3215" customFormat="false" ht="15" hidden="false" customHeight="true" outlineLevel="0" collapsed="false">
      <c r="A3215" s="184"/>
      <c r="B3215" s="184"/>
      <c r="C3215" s="184"/>
      <c r="D3215" s="184"/>
      <c r="E3215" s="184"/>
      <c r="F3215" s="184"/>
      <c r="G3215" s="184"/>
      <c r="H3215" s="184"/>
      <c r="I3215" s="184"/>
      <c r="J3215" s="184"/>
      <c r="K3215" s="184"/>
      <c r="L3215" s="184"/>
      <c r="M3215" s="184"/>
      <c r="N3215" s="184"/>
      <c r="O3215" s="184"/>
    </row>
    <row r="3216" customFormat="false" ht="15" hidden="false" customHeight="true" outlineLevel="0" collapsed="false">
      <c r="A3216" s="184"/>
      <c r="B3216" s="184"/>
      <c r="C3216" s="184"/>
      <c r="D3216" s="184"/>
      <c r="E3216" s="184"/>
      <c r="F3216" s="184"/>
      <c r="G3216" s="184"/>
      <c r="H3216" s="184"/>
      <c r="I3216" s="184"/>
      <c r="J3216" s="184"/>
      <c r="K3216" s="184"/>
      <c r="L3216" s="184"/>
      <c r="M3216" s="184"/>
      <c r="N3216" s="184"/>
      <c r="O3216" s="184"/>
    </row>
    <row r="3217" customFormat="false" ht="15" hidden="false" customHeight="true" outlineLevel="0" collapsed="false">
      <c r="A3217" s="184"/>
      <c r="B3217" s="184"/>
      <c r="C3217" s="184"/>
      <c r="D3217" s="184"/>
      <c r="E3217" s="184"/>
      <c r="F3217" s="184"/>
      <c r="G3217" s="184"/>
      <c r="H3217" s="184"/>
      <c r="I3217" s="184"/>
      <c r="J3217" s="184"/>
      <c r="K3217" s="184"/>
      <c r="L3217" s="184"/>
      <c r="M3217" s="184"/>
      <c r="N3217" s="184"/>
      <c r="O3217" s="184"/>
    </row>
    <row r="3218" customFormat="false" ht="15" hidden="false" customHeight="true" outlineLevel="0" collapsed="false">
      <c r="A3218" s="184"/>
      <c r="B3218" s="184"/>
      <c r="C3218" s="184"/>
      <c r="D3218" s="184"/>
      <c r="E3218" s="184"/>
      <c r="F3218" s="184"/>
      <c r="G3218" s="184"/>
      <c r="H3218" s="184"/>
      <c r="I3218" s="184"/>
      <c r="J3218" s="184"/>
      <c r="K3218" s="184"/>
      <c r="L3218" s="184"/>
      <c r="M3218" s="184"/>
      <c r="N3218" s="184"/>
      <c r="O3218" s="184"/>
    </row>
    <row r="3219" customFormat="false" ht="15" hidden="false" customHeight="true" outlineLevel="0" collapsed="false">
      <c r="A3219" s="184"/>
      <c r="B3219" s="184"/>
      <c r="C3219" s="184"/>
      <c r="D3219" s="184"/>
      <c r="E3219" s="184"/>
      <c r="F3219" s="184"/>
      <c r="G3219" s="184"/>
      <c r="H3219" s="184"/>
      <c r="I3219" s="184"/>
      <c r="J3219" s="184"/>
      <c r="K3219" s="184"/>
      <c r="L3219" s="184"/>
      <c r="M3219" s="184"/>
      <c r="N3219" s="184"/>
      <c r="O3219" s="184"/>
    </row>
    <row r="3220" customFormat="false" ht="15" hidden="false" customHeight="true" outlineLevel="0" collapsed="false">
      <c r="A3220" s="184"/>
      <c r="B3220" s="184"/>
      <c r="C3220" s="184"/>
      <c r="D3220" s="184"/>
      <c r="E3220" s="184"/>
      <c r="F3220" s="184"/>
      <c r="G3220" s="184"/>
      <c r="H3220" s="184"/>
      <c r="I3220" s="184"/>
      <c r="J3220" s="184"/>
      <c r="K3220" s="184"/>
      <c r="L3220" s="184"/>
      <c r="M3220" s="184"/>
      <c r="N3220" s="184"/>
      <c r="O3220" s="184"/>
    </row>
    <row r="3221" customFormat="false" ht="15" hidden="false" customHeight="true" outlineLevel="0" collapsed="false">
      <c r="A3221" s="184"/>
      <c r="B3221" s="184"/>
      <c r="C3221" s="184"/>
      <c r="D3221" s="184"/>
      <c r="E3221" s="184"/>
      <c r="F3221" s="184"/>
      <c r="G3221" s="184"/>
      <c r="H3221" s="184"/>
      <c r="I3221" s="184"/>
      <c r="J3221" s="184"/>
      <c r="K3221" s="184"/>
      <c r="L3221" s="184"/>
      <c r="M3221" s="184"/>
      <c r="N3221" s="184"/>
      <c r="O3221" s="184"/>
    </row>
    <row r="3222" customFormat="false" ht="15" hidden="false" customHeight="true" outlineLevel="0" collapsed="false">
      <c r="A3222" s="184"/>
      <c r="B3222" s="184"/>
      <c r="C3222" s="184"/>
      <c r="D3222" s="184"/>
      <c r="E3222" s="184"/>
      <c r="F3222" s="184"/>
      <c r="G3222" s="184"/>
      <c r="H3222" s="184"/>
      <c r="I3222" s="184"/>
      <c r="J3222" s="184"/>
      <c r="K3222" s="184"/>
      <c r="L3222" s="184"/>
      <c r="M3222" s="184"/>
      <c r="N3222" s="184"/>
      <c r="O3222" s="184"/>
    </row>
    <row r="3223" customFormat="false" ht="15" hidden="false" customHeight="true" outlineLevel="0" collapsed="false">
      <c r="A3223" s="184"/>
      <c r="B3223" s="184"/>
      <c r="C3223" s="184"/>
      <c r="D3223" s="184"/>
      <c r="E3223" s="184"/>
      <c r="F3223" s="184"/>
      <c r="G3223" s="184"/>
      <c r="H3223" s="184"/>
      <c r="I3223" s="184"/>
      <c r="J3223" s="184"/>
      <c r="K3223" s="184"/>
      <c r="L3223" s="184"/>
      <c r="M3223" s="184"/>
      <c r="N3223" s="184"/>
      <c r="O3223" s="184"/>
    </row>
    <row r="3224" customFormat="false" ht="15" hidden="false" customHeight="true" outlineLevel="0" collapsed="false">
      <c r="A3224" s="184"/>
      <c r="B3224" s="184"/>
      <c r="C3224" s="184"/>
      <c r="D3224" s="184"/>
      <c r="E3224" s="184"/>
      <c r="F3224" s="184"/>
      <c r="G3224" s="184"/>
      <c r="H3224" s="184"/>
      <c r="I3224" s="184"/>
      <c r="J3224" s="184"/>
      <c r="K3224" s="184"/>
      <c r="L3224" s="184"/>
      <c r="M3224" s="184"/>
      <c r="N3224" s="184"/>
      <c r="O3224" s="184"/>
    </row>
    <row r="3225" customFormat="false" ht="15" hidden="false" customHeight="true" outlineLevel="0" collapsed="false">
      <c r="A3225" s="184"/>
      <c r="B3225" s="184"/>
      <c r="C3225" s="184"/>
      <c r="D3225" s="184"/>
      <c r="E3225" s="184"/>
      <c r="F3225" s="184"/>
      <c r="G3225" s="184"/>
      <c r="H3225" s="184"/>
      <c r="I3225" s="184"/>
      <c r="J3225" s="184"/>
      <c r="K3225" s="184"/>
      <c r="L3225" s="184"/>
      <c r="M3225" s="184"/>
      <c r="N3225" s="184"/>
      <c r="O3225" s="184"/>
    </row>
    <row r="3226" customFormat="false" ht="15" hidden="false" customHeight="true" outlineLevel="0" collapsed="false">
      <c r="A3226" s="184"/>
      <c r="B3226" s="184"/>
      <c r="C3226" s="184"/>
      <c r="D3226" s="184"/>
      <c r="E3226" s="184"/>
      <c r="F3226" s="184"/>
      <c r="G3226" s="184"/>
      <c r="H3226" s="184"/>
      <c r="I3226" s="184"/>
      <c r="J3226" s="184"/>
      <c r="K3226" s="184"/>
      <c r="L3226" s="184"/>
      <c r="M3226" s="184"/>
      <c r="N3226" s="184"/>
      <c r="O3226" s="184"/>
    </row>
    <row r="3227" customFormat="false" ht="15" hidden="false" customHeight="true" outlineLevel="0" collapsed="false">
      <c r="A3227" s="184"/>
      <c r="B3227" s="184"/>
      <c r="C3227" s="184"/>
      <c r="D3227" s="184"/>
      <c r="E3227" s="184"/>
      <c r="F3227" s="184"/>
      <c r="G3227" s="184"/>
      <c r="H3227" s="184"/>
      <c r="I3227" s="184"/>
      <c r="J3227" s="184"/>
      <c r="K3227" s="184"/>
      <c r="L3227" s="184"/>
      <c r="M3227" s="184"/>
      <c r="N3227" s="184"/>
      <c r="O3227" s="184"/>
    </row>
    <row r="3228" customFormat="false" ht="15" hidden="false" customHeight="true" outlineLevel="0" collapsed="false">
      <c r="A3228" s="184"/>
      <c r="B3228" s="184"/>
      <c r="C3228" s="184"/>
      <c r="D3228" s="184"/>
      <c r="E3228" s="184"/>
      <c r="F3228" s="184"/>
      <c r="G3228" s="184"/>
      <c r="H3228" s="184"/>
      <c r="I3228" s="184"/>
      <c r="J3228" s="184"/>
      <c r="K3228" s="184"/>
      <c r="L3228" s="184"/>
      <c r="M3228" s="184"/>
      <c r="N3228" s="184"/>
      <c r="O3228" s="184"/>
    </row>
    <row r="3229" customFormat="false" ht="15" hidden="false" customHeight="true" outlineLevel="0" collapsed="false">
      <c r="A3229" s="184"/>
      <c r="B3229" s="184"/>
      <c r="C3229" s="184"/>
      <c r="D3229" s="184"/>
      <c r="E3229" s="184"/>
      <c r="F3229" s="184"/>
      <c r="G3229" s="184"/>
      <c r="H3229" s="184"/>
      <c r="I3229" s="184"/>
      <c r="J3229" s="184"/>
      <c r="K3229" s="184"/>
      <c r="L3229" s="184"/>
      <c r="M3229" s="184"/>
      <c r="N3229" s="184"/>
      <c r="O3229" s="184"/>
    </row>
    <row r="3230" customFormat="false" ht="15" hidden="false" customHeight="true" outlineLevel="0" collapsed="false">
      <c r="A3230" s="184"/>
      <c r="B3230" s="184"/>
      <c r="C3230" s="184"/>
      <c r="D3230" s="184"/>
      <c r="E3230" s="184"/>
      <c r="F3230" s="184"/>
      <c r="G3230" s="184"/>
      <c r="H3230" s="184"/>
      <c r="I3230" s="184"/>
      <c r="J3230" s="184"/>
      <c r="K3230" s="184"/>
      <c r="L3230" s="184"/>
      <c r="M3230" s="184"/>
      <c r="N3230" s="184"/>
      <c r="O3230" s="184"/>
    </row>
    <row r="3231" customFormat="false" ht="15" hidden="false" customHeight="true" outlineLevel="0" collapsed="false">
      <c r="A3231" s="184"/>
      <c r="B3231" s="184"/>
      <c r="C3231" s="184"/>
      <c r="D3231" s="184"/>
      <c r="E3231" s="184"/>
      <c r="F3231" s="184"/>
      <c r="G3231" s="184"/>
      <c r="H3231" s="184"/>
      <c r="I3231" s="184"/>
      <c r="J3231" s="184"/>
      <c r="K3231" s="184"/>
      <c r="L3231" s="184"/>
      <c r="M3231" s="184"/>
      <c r="N3231" s="184"/>
      <c r="O3231" s="184"/>
    </row>
    <row r="3232" customFormat="false" ht="15" hidden="false" customHeight="true" outlineLevel="0" collapsed="false">
      <c r="A3232" s="184"/>
      <c r="B3232" s="184"/>
      <c r="C3232" s="184"/>
      <c r="D3232" s="184"/>
      <c r="E3232" s="184"/>
      <c r="F3232" s="184"/>
      <c r="G3232" s="184"/>
      <c r="H3232" s="184"/>
      <c r="I3232" s="184"/>
      <c r="J3232" s="184"/>
      <c r="K3232" s="184"/>
      <c r="L3232" s="184"/>
      <c r="M3232" s="184"/>
      <c r="N3232" s="184"/>
      <c r="O3232" s="184"/>
    </row>
    <row r="3233" customFormat="false" ht="15" hidden="false" customHeight="true" outlineLevel="0" collapsed="false">
      <c r="A3233" s="184"/>
      <c r="B3233" s="184"/>
      <c r="C3233" s="184"/>
      <c r="D3233" s="184"/>
      <c r="E3233" s="184"/>
      <c r="F3233" s="184"/>
      <c r="G3233" s="184"/>
      <c r="H3233" s="184"/>
      <c r="I3233" s="184"/>
      <c r="J3233" s="184"/>
      <c r="K3233" s="184"/>
      <c r="L3233" s="184"/>
      <c r="M3233" s="184"/>
      <c r="N3233" s="184"/>
      <c r="O3233" s="184"/>
    </row>
    <row r="3234" customFormat="false" ht="15" hidden="false" customHeight="true" outlineLevel="0" collapsed="false">
      <c r="A3234" s="184"/>
      <c r="B3234" s="184"/>
      <c r="C3234" s="184"/>
      <c r="D3234" s="184"/>
      <c r="E3234" s="184"/>
      <c r="F3234" s="184"/>
      <c r="G3234" s="184"/>
      <c r="H3234" s="184"/>
      <c r="I3234" s="184"/>
      <c r="J3234" s="184"/>
      <c r="K3234" s="184"/>
      <c r="L3234" s="184"/>
      <c r="M3234" s="184"/>
      <c r="N3234" s="184"/>
      <c r="O3234" s="184"/>
    </row>
    <row r="3235" customFormat="false" ht="15" hidden="false" customHeight="true" outlineLevel="0" collapsed="false">
      <c r="A3235" s="184"/>
      <c r="B3235" s="184"/>
      <c r="C3235" s="184"/>
      <c r="D3235" s="184"/>
      <c r="E3235" s="184"/>
      <c r="F3235" s="184"/>
      <c r="G3235" s="184"/>
      <c r="H3235" s="184"/>
      <c r="I3235" s="184"/>
      <c r="J3235" s="184"/>
      <c r="K3235" s="184"/>
      <c r="L3235" s="184"/>
      <c r="M3235" s="184"/>
      <c r="N3235" s="184"/>
      <c r="O3235" s="184"/>
    </row>
    <row r="3236" customFormat="false" ht="15" hidden="false" customHeight="true" outlineLevel="0" collapsed="false">
      <c r="A3236" s="184"/>
      <c r="B3236" s="184"/>
      <c r="C3236" s="184"/>
      <c r="D3236" s="184"/>
      <c r="E3236" s="184"/>
      <c r="F3236" s="184"/>
      <c r="G3236" s="184"/>
      <c r="H3236" s="184"/>
      <c r="I3236" s="184"/>
      <c r="J3236" s="184"/>
      <c r="K3236" s="184"/>
      <c r="L3236" s="184"/>
      <c r="M3236" s="184"/>
      <c r="N3236" s="184"/>
      <c r="O3236" s="184"/>
    </row>
    <row r="3237" customFormat="false" ht="15" hidden="false" customHeight="true" outlineLevel="0" collapsed="false">
      <c r="A3237" s="184"/>
      <c r="B3237" s="184"/>
      <c r="C3237" s="184"/>
      <c r="D3237" s="184"/>
      <c r="E3237" s="184"/>
      <c r="F3237" s="184"/>
      <c r="G3237" s="184"/>
      <c r="H3237" s="184"/>
      <c r="I3237" s="184"/>
      <c r="J3237" s="184"/>
      <c r="K3237" s="184"/>
      <c r="L3237" s="184"/>
      <c r="M3237" s="184"/>
      <c r="N3237" s="184"/>
      <c r="O3237" s="184"/>
    </row>
    <row r="3238" customFormat="false" ht="15" hidden="false" customHeight="true" outlineLevel="0" collapsed="false">
      <c r="A3238" s="184"/>
      <c r="B3238" s="184"/>
      <c r="C3238" s="184"/>
      <c r="D3238" s="184"/>
      <c r="E3238" s="184"/>
      <c r="F3238" s="184"/>
      <c r="G3238" s="184"/>
      <c r="H3238" s="184"/>
      <c r="I3238" s="184"/>
      <c r="J3238" s="184"/>
      <c r="K3238" s="184"/>
      <c r="L3238" s="184"/>
      <c r="M3238" s="184"/>
      <c r="N3238" s="184"/>
      <c r="O3238" s="184"/>
    </row>
    <row r="3239" customFormat="false" ht="15" hidden="false" customHeight="true" outlineLevel="0" collapsed="false">
      <c r="A3239" s="184"/>
      <c r="B3239" s="184"/>
      <c r="C3239" s="184"/>
      <c r="D3239" s="184"/>
      <c r="E3239" s="184"/>
      <c r="F3239" s="184"/>
      <c r="G3239" s="184"/>
      <c r="H3239" s="184"/>
      <c r="I3239" s="184"/>
      <c r="J3239" s="184"/>
      <c r="K3239" s="184"/>
      <c r="L3239" s="184"/>
      <c r="M3239" s="184"/>
      <c r="N3239" s="184"/>
      <c r="O3239" s="184"/>
    </row>
    <row r="3240" customFormat="false" ht="15" hidden="false" customHeight="true" outlineLevel="0" collapsed="false">
      <c r="A3240" s="184"/>
      <c r="B3240" s="184"/>
      <c r="C3240" s="184"/>
      <c r="D3240" s="184"/>
      <c r="E3240" s="184"/>
      <c r="F3240" s="184"/>
      <c r="G3240" s="184"/>
      <c r="H3240" s="184"/>
      <c r="I3240" s="184"/>
      <c r="J3240" s="184"/>
      <c r="K3240" s="184"/>
      <c r="L3240" s="184"/>
      <c r="M3240" s="184"/>
      <c r="N3240" s="184"/>
      <c r="O3240" s="184"/>
    </row>
    <row r="3241" customFormat="false" ht="15" hidden="false" customHeight="true" outlineLevel="0" collapsed="false">
      <c r="A3241" s="184"/>
      <c r="B3241" s="184"/>
      <c r="C3241" s="184"/>
      <c r="D3241" s="184"/>
      <c r="E3241" s="184"/>
      <c r="F3241" s="184"/>
      <c r="G3241" s="184"/>
      <c r="H3241" s="184"/>
      <c r="I3241" s="184"/>
      <c r="J3241" s="184"/>
      <c r="K3241" s="184"/>
      <c r="L3241" s="184"/>
      <c r="M3241" s="184"/>
      <c r="N3241" s="184"/>
      <c r="O3241" s="184"/>
    </row>
    <row r="3242" customFormat="false" ht="15" hidden="false" customHeight="true" outlineLevel="0" collapsed="false">
      <c r="A3242" s="184"/>
      <c r="B3242" s="184"/>
      <c r="C3242" s="184"/>
      <c r="D3242" s="184"/>
      <c r="E3242" s="184"/>
      <c r="F3242" s="184"/>
      <c r="G3242" s="184"/>
      <c r="H3242" s="184"/>
      <c r="I3242" s="184"/>
      <c r="J3242" s="184"/>
      <c r="K3242" s="184"/>
      <c r="L3242" s="184"/>
      <c r="M3242" s="184"/>
      <c r="N3242" s="184"/>
      <c r="O3242" s="184"/>
    </row>
    <row r="3243" customFormat="false" ht="15" hidden="false" customHeight="true" outlineLevel="0" collapsed="false">
      <c r="A3243" s="184"/>
      <c r="B3243" s="184"/>
      <c r="C3243" s="184"/>
      <c r="D3243" s="184"/>
      <c r="E3243" s="184"/>
      <c r="F3243" s="184"/>
      <c r="G3243" s="184"/>
      <c r="H3243" s="184"/>
      <c r="I3243" s="184"/>
      <c r="J3243" s="184"/>
      <c r="K3243" s="184"/>
      <c r="L3243" s="184"/>
      <c r="M3243" s="184"/>
      <c r="N3243" s="184"/>
      <c r="O3243" s="184"/>
    </row>
    <row r="3244" customFormat="false" ht="15" hidden="false" customHeight="true" outlineLevel="0" collapsed="false">
      <c r="A3244" s="184"/>
      <c r="B3244" s="184"/>
      <c r="C3244" s="184"/>
      <c r="D3244" s="184"/>
      <c r="E3244" s="184"/>
      <c r="F3244" s="184"/>
      <c r="G3244" s="184"/>
      <c r="H3244" s="184"/>
      <c r="I3244" s="184"/>
      <c r="J3244" s="184"/>
      <c r="K3244" s="184"/>
      <c r="L3244" s="184"/>
      <c r="M3244" s="184"/>
      <c r="N3244" s="184"/>
      <c r="O3244" s="184"/>
    </row>
    <row r="3245" customFormat="false" ht="15" hidden="false" customHeight="true" outlineLevel="0" collapsed="false">
      <c r="A3245" s="184"/>
      <c r="B3245" s="184"/>
      <c r="C3245" s="184"/>
      <c r="D3245" s="184"/>
      <c r="E3245" s="184"/>
      <c r="F3245" s="184"/>
      <c r="G3245" s="184"/>
      <c r="H3245" s="184"/>
      <c r="I3245" s="184"/>
      <c r="J3245" s="184"/>
      <c r="K3245" s="184"/>
      <c r="L3245" s="184"/>
      <c r="M3245" s="184"/>
      <c r="N3245" s="184"/>
      <c r="O3245" s="184"/>
    </row>
    <row r="3246" customFormat="false" ht="15" hidden="false" customHeight="true" outlineLevel="0" collapsed="false">
      <c r="A3246" s="184"/>
      <c r="B3246" s="184"/>
      <c r="C3246" s="184"/>
      <c r="D3246" s="184"/>
      <c r="E3246" s="184"/>
      <c r="F3246" s="184"/>
      <c r="G3246" s="184"/>
      <c r="H3246" s="184"/>
      <c r="I3246" s="184"/>
      <c r="J3246" s="184"/>
      <c r="K3246" s="184"/>
      <c r="L3246" s="184"/>
      <c r="M3246" s="184"/>
      <c r="N3246" s="184"/>
      <c r="O3246" s="184"/>
    </row>
    <row r="3247" customFormat="false" ht="15" hidden="false" customHeight="true" outlineLevel="0" collapsed="false">
      <c r="A3247" s="184"/>
      <c r="B3247" s="184"/>
      <c r="C3247" s="184"/>
      <c r="D3247" s="184"/>
      <c r="E3247" s="184"/>
      <c r="F3247" s="184"/>
      <c r="G3247" s="184"/>
      <c r="H3247" s="184"/>
      <c r="I3247" s="184"/>
      <c r="J3247" s="184"/>
      <c r="K3247" s="184"/>
      <c r="L3247" s="184"/>
      <c r="M3247" s="184"/>
      <c r="N3247" s="184"/>
      <c r="O3247" s="184"/>
    </row>
    <row r="3248" customFormat="false" ht="15" hidden="false" customHeight="true" outlineLevel="0" collapsed="false">
      <c r="A3248" s="184"/>
      <c r="B3248" s="184"/>
      <c r="C3248" s="184"/>
      <c r="D3248" s="184"/>
      <c r="E3248" s="184"/>
      <c r="F3248" s="184"/>
      <c r="G3248" s="184"/>
      <c r="H3248" s="184"/>
      <c r="I3248" s="184"/>
      <c r="J3248" s="184"/>
      <c r="K3248" s="184"/>
      <c r="L3248" s="184"/>
      <c r="M3248" s="184"/>
      <c r="N3248" s="184"/>
      <c r="O3248" s="184"/>
    </row>
    <row r="3249" customFormat="false" ht="15" hidden="false" customHeight="true" outlineLevel="0" collapsed="false">
      <c r="A3249" s="184"/>
      <c r="B3249" s="184"/>
      <c r="C3249" s="184"/>
      <c r="D3249" s="184"/>
      <c r="E3249" s="184"/>
      <c r="F3249" s="184"/>
      <c r="G3249" s="184"/>
      <c r="H3249" s="184"/>
      <c r="I3249" s="184"/>
      <c r="J3249" s="184"/>
      <c r="K3249" s="184"/>
      <c r="L3249" s="184"/>
      <c r="M3249" s="184"/>
      <c r="N3249" s="184"/>
      <c r="O3249" s="184"/>
    </row>
    <row r="3250" customFormat="false" ht="15" hidden="false" customHeight="true" outlineLevel="0" collapsed="false">
      <c r="A3250" s="184"/>
      <c r="B3250" s="184"/>
      <c r="C3250" s="184"/>
      <c r="D3250" s="184"/>
      <c r="E3250" s="184"/>
      <c r="F3250" s="184"/>
      <c r="G3250" s="184"/>
      <c r="H3250" s="184"/>
      <c r="I3250" s="184"/>
      <c r="J3250" s="184"/>
      <c r="K3250" s="184"/>
      <c r="L3250" s="184"/>
      <c r="M3250" s="184"/>
      <c r="N3250" s="184"/>
      <c r="O3250" s="184"/>
    </row>
    <row r="3251" customFormat="false" ht="15" hidden="false" customHeight="true" outlineLevel="0" collapsed="false">
      <c r="A3251" s="184"/>
      <c r="B3251" s="184"/>
      <c r="C3251" s="184"/>
      <c r="D3251" s="184"/>
      <c r="E3251" s="184"/>
      <c r="F3251" s="184"/>
      <c r="G3251" s="184"/>
      <c r="H3251" s="184"/>
      <c r="I3251" s="184"/>
      <c r="J3251" s="184"/>
      <c r="K3251" s="184"/>
      <c r="L3251" s="184"/>
      <c r="M3251" s="184"/>
      <c r="N3251" s="184"/>
      <c r="O3251" s="184"/>
    </row>
    <row r="3252" customFormat="false" ht="15" hidden="false" customHeight="true" outlineLevel="0" collapsed="false">
      <c r="A3252" s="184"/>
      <c r="B3252" s="184"/>
      <c r="C3252" s="184"/>
      <c r="D3252" s="184"/>
      <c r="E3252" s="184"/>
      <c r="F3252" s="184"/>
      <c r="G3252" s="184"/>
      <c r="H3252" s="184"/>
      <c r="I3252" s="184"/>
      <c r="J3252" s="184"/>
      <c r="K3252" s="184"/>
      <c r="L3252" s="184"/>
      <c r="M3252" s="184"/>
      <c r="N3252" s="184"/>
      <c r="O3252" s="184"/>
    </row>
    <row r="3253" customFormat="false" ht="15" hidden="false" customHeight="true" outlineLevel="0" collapsed="false">
      <c r="A3253" s="184"/>
      <c r="B3253" s="184"/>
      <c r="C3253" s="184"/>
      <c r="D3253" s="184"/>
      <c r="E3253" s="184"/>
      <c r="F3253" s="184"/>
      <c r="G3253" s="184"/>
      <c r="H3253" s="184"/>
      <c r="I3253" s="184"/>
      <c r="J3253" s="184"/>
      <c r="K3253" s="184"/>
      <c r="L3253" s="184"/>
      <c r="M3253" s="184"/>
      <c r="N3253" s="184"/>
      <c r="O3253" s="184"/>
    </row>
    <row r="3254" customFormat="false" ht="15" hidden="false" customHeight="true" outlineLevel="0" collapsed="false">
      <c r="A3254" s="184"/>
      <c r="B3254" s="184"/>
      <c r="C3254" s="184"/>
      <c r="D3254" s="184"/>
      <c r="E3254" s="184"/>
      <c r="F3254" s="184"/>
      <c r="G3254" s="184"/>
      <c r="H3254" s="184"/>
      <c r="I3254" s="184"/>
      <c r="J3254" s="184"/>
      <c r="K3254" s="184"/>
      <c r="L3254" s="184"/>
      <c r="M3254" s="184"/>
      <c r="N3254" s="184"/>
      <c r="O3254" s="184"/>
    </row>
    <row r="3255" customFormat="false" ht="15" hidden="false" customHeight="true" outlineLevel="0" collapsed="false">
      <c r="A3255" s="184"/>
      <c r="B3255" s="184"/>
      <c r="C3255" s="184"/>
      <c r="D3255" s="184"/>
      <c r="E3255" s="184"/>
      <c r="F3255" s="184"/>
      <c r="G3255" s="184"/>
      <c r="H3255" s="184"/>
      <c r="I3255" s="184"/>
      <c r="J3255" s="184"/>
      <c r="K3255" s="184"/>
      <c r="L3255" s="184"/>
      <c r="M3255" s="184"/>
      <c r="N3255" s="184"/>
      <c r="O3255" s="184"/>
    </row>
    <row r="3256" customFormat="false" ht="15" hidden="false" customHeight="true" outlineLevel="0" collapsed="false">
      <c r="A3256" s="184"/>
      <c r="B3256" s="184"/>
      <c r="C3256" s="184"/>
      <c r="D3256" s="184"/>
      <c r="E3256" s="184"/>
      <c r="F3256" s="184"/>
      <c r="G3256" s="184"/>
      <c r="H3256" s="184"/>
      <c r="I3256" s="184"/>
      <c r="J3256" s="184"/>
      <c r="K3256" s="184"/>
      <c r="L3256" s="184"/>
      <c r="M3256" s="184"/>
      <c r="N3256" s="184"/>
      <c r="O3256" s="184"/>
    </row>
    <row r="3257" customFormat="false" ht="15" hidden="false" customHeight="true" outlineLevel="0" collapsed="false">
      <c r="A3257" s="184"/>
      <c r="B3257" s="184"/>
      <c r="C3257" s="184"/>
      <c r="D3257" s="184"/>
      <c r="E3257" s="184"/>
      <c r="F3257" s="184"/>
      <c r="G3257" s="184"/>
      <c r="H3257" s="184"/>
      <c r="I3257" s="184"/>
      <c r="J3257" s="184"/>
      <c r="K3257" s="184"/>
      <c r="L3257" s="184"/>
      <c r="M3257" s="184"/>
      <c r="N3257" s="184"/>
      <c r="O3257" s="184"/>
    </row>
    <row r="3258" customFormat="false" ht="15" hidden="false" customHeight="true" outlineLevel="0" collapsed="false">
      <c r="A3258" s="184"/>
      <c r="B3258" s="184"/>
      <c r="C3258" s="184"/>
      <c r="D3258" s="184"/>
      <c r="E3258" s="184"/>
      <c r="F3258" s="184"/>
      <c r="G3258" s="184"/>
      <c r="H3258" s="184"/>
      <c r="I3258" s="184"/>
      <c r="J3258" s="184"/>
      <c r="K3258" s="184"/>
      <c r="L3258" s="184"/>
      <c r="M3258" s="184"/>
      <c r="N3258" s="184"/>
      <c r="O3258" s="184"/>
    </row>
    <row r="3259" customFormat="false" ht="68.25" hidden="false" customHeight="true" outlineLevel="0" collapsed="false">
      <c r="A3259" s="184" t="s">
        <v>4960</v>
      </c>
      <c r="B3259" s="184" t="s">
        <v>4961</v>
      </c>
      <c r="C3259" s="184"/>
      <c r="D3259" s="179" t="s">
        <v>4858</v>
      </c>
      <c r="E3259" s="184" t="s">
        <v>7185</v>
      </c>
      <c r="F3259" s="184"/>
      <c r="G3259" s="184"/>
      <c r="H3259" s="184"/>
      <c r="I3259" s="184"/>
      <c r="J3259" s="184"/>
      <c r="K3259" s="184"/>
      <c r="L3259" s="184"/>
      <c r="M3259" s="184" t="s">
        <v>7172</v>
      </c>
      <c r="N3259" s="184"/>
      <c r="O3259" s="184"/>
    </row>
    <row r="3260" customFormat="false" ht="27.75" hidden="false" customHeight="true" outlineLevel="0" collapsed="false">
      <c r="A3260" s="184" t="s">
        <v>4960</v>
      </c>
      <c r="B3260" s="184" t="s">
        <v>4961</v>
      </c>
      <c r="C3260" s="184" t="n">
        <v>1</v>
      </c>
      <c r="D3260" s="184" t="s">
        <v>6296</v>
      </c>
      <c r="E3260" s="184" t="s">
        <v>7186</v>
      </c>
      <c r="F3260" s="184"/>
      <c r="G3260" s="184"/>
      <c r="H3260" s="184"/>
      <c r="I3260" s="184"/>
      <c r="J3260" s="184"/>
      <c r="K3260" s="184"/>
      <c r="L3260" s="184"/>
      <c r="M3260" s="184"/>
      <c r="N3260" s="184"/>
      <c r="O3260" s="184"/>
    </row>
    <row r="3261" customFormat="false" ht="27.75" hidden="false" customHeight="true" outlineLevel="0" collapsed="false">
      <c r="A3261" s="184" t="s">
        <v>4960</v>
      </c>
      <c r="B3261" s="184" t="s">
        <v>4961</v>
      </c>
      <c r="C3261" s="184" t="n">
        <v>2</v>
      </c>
      <c r="D3261" s="177" t="s">
        <v>6298</v>
      </c>
      <c r="E3261" s="184" t="s">
        <v>7187</v>
      </c>
      <c r="F3261" s="184"/>
      <c r="G3261" s="184"/>
      <c r="H3261" s="184"/>
      <c r="I3261" s="184"/>
      <c r="J3261" s="184"/>
      <c r="K3261" s="184"/>
      <c r="L3261" s="184"/>
      <c r="M3261" s="184"/>
      <c r="N3261" s="184"/>
      <c r="O3261" s="184"/>
    </row>
    <row r="3262" customFormat="false" ht="27.75" hidden="false" customHeight="true" outlineLevel="0" collapsed="false">
      <c r="A3262" s="184" t="s">
        <v>4960</v>
      </c>
      <c r="B3262" s="184" t="s">
        <v>4961</v>
      </c>
      <c r="C3262" s="184" t="n">
        <v>3</v>
      </c>
      <c r="D3262" s="178" t="s">
        <v>5269</v>
      </c>
      <c r="E3262" s="184" t="s">
        <v>7175</v>
      </c>
      <c r="F3262" s="184"/>
      <c r="G3262" s="184"/>
      <c r="H3262" s="184"/>
      <c r="I3262" s="184"/>
      <c r="J3262" s="184"/>
      <c r="K3262" s="184"/>
      <c r="L3262" s="184"/>
      <c r="M3262" s="184" t="s">
        <v>7180</v>
      </c>
      <c r="N3262" s="184"/>
      <c r="O3262" s="184"/>
    </row>
    <row r="3263" customFormat="false" ht="27.75" hidden="false" customHeight="true" outlineLevel="0" collapsed="false">
      <c r="A3263" s="184" t="s">
        <v>4960</v>
      </c>
      <c r="B3263" s="184" t="s">
        <v>4961</v>
      </c>
      <c r="C3263" s="184" t="n">
        <v>4</v>
      </c>
      <c r="D3263" s="184" t="s">
        <v>6296</v>
      </c>
      <c r="E3263" s="184" t="s">
        <v>7186</v>
      </c>
      <c r="F3263" s="184"/>
      <c r="G3263" s="184"/>
      <c r="H3263" s="184"/>
      <c r="I3263" s="184"/>
      <c r="J3263" s="184"/>
      <c r="K3263" s="184"/>
      <c r="L3263" s="184"/>
      <c r="M3263" s="184"/>
      <c r="N3263" s="184"/>
      <c r="O3263" s="184"/>
    </row>
    <row r="3264" customFormat="false" ht="41.25" hidden="false" customHeight="true" outlineLevel="0" collapsed="false">
      <c r="A3264" s="184" t="s">
        <v>4960</v>
      </c>
      <c r="B3264" s="184" t="s">
        <v>4961</v>
      </c>
      <c r="C3264" s="184" t="n">
        <v>5</v>
      </c>
      <c r="D3264" s="177" t="s">
        <v>6298</v>
      </c>
      <c r="E3264" s="184" t="s">
        <v>7188</v>
      </c>
      <c r="F3264" s="184"/>
      <c r="G3264" s="184"/>
      <c r="H3264" s="184"/>
      <c r="I3264" s="184"/>
      <c r="J3264" s="184"/>
      <c r="K3264" s="184"/>
      <c r="L3264" s="184"/>
      <c r="M3264" s="184"/>
      <c r="N3264" s="184"/>
      <c r="O3264" s="184"/>
    </row>
    <row r="3265" customFormat="false" ht="27.75" hidden="false" customHeight="true" outlineLevel="0" collapsed="false">
      <c r="A3265" s="184" t="s">
        <v>4960</v>
      </c>
      <c r="B3265" s="184" t="s">
        <v>4961</v>
      </c>
      <c r="C3265" s="184" t="n">
        <v>6</v>
      </c>
      <c r="D3265" s="184" t="s">
        <v>4790</v>
      </c>
      <c r="E3265" s="184" t="s">
        <v>2633</v>
      </c>
      <c r="F3265" s="184"/>
      <c r="G3265" s="184"/>
      <c r="H3265" s="184"/>
      <c r="I3265" s="184"/>
      <c r="J3265" s="184"/>
      <c r="K3265" s="184"/>
      <c r="L3265" s="184"/>
      <c r="M3265" s="184"/>
      <c r="N3265" s="184"/>
      <c r="O3265" s="184"/>
    </row>
    <row r="3266" customFormat="false" ht="27.75" hidden="false" customHeight="true" outlineLevel="0" collapsed="false">
      <c r="A3266" s="184" t="s">
        <v>4960</v>
      </c>
      <c r="B3266" s="184" t="s">
        <v>4961</v>
      </c>
      <c r="C3266" s="184" t="n">
        <v>7</v>
      </c>
      <c r="D3266" s="178" t="s">
        <v>5269</v>
      </c>
      <c r="E3266" s="184" t="s">
        <v>7175</v>
      </c>
      <c r="F3266" s="184"/>
      <c r="G3266" s="184"/>
      <c r="H3266" s="184"/>
      <c r="I3266" s="184"/>
      <c r="J3266" s="184"/>
      <c r="K3266" s="184"/>
      <c r="L3266" s="184"/>
      <c r="M3266" s="184" t="s">
        <v>7180</v>
      </c>
      <c r="N3266" s="184"/>
      <c r="O3266" s="184"/>
    </row>
    <row r="3267" customFormat="false" ht="15" hidden="false" customHeight="true" outlineLevel="0" collapsed="false">
      <c r="A3267" s="184"/>
      <c r="B3267" s="184"/>
      <c r="C3267" s="184"/>
      <c r="D3267" s="184"/>
      <c r="E3267" s="184"/>
      <c r="F3267" s="184"/>
      <c r="G3267" s="184"/>
      <c r="H3267" s="184"/>
      <c r="I3267" s="184"/>
      <c r="J3267" s="184"/>
      <c r="K3267" s="184"/>
      <c r="L3267" s="184"/>
      <c r="M3267" s="184"/>
      <c r="N3267" s="184"/>
      <c r="O3267" s="184"/>
    </row>
    <row r="3268" customFormat="false" ht="15" hidden="false" customHeight="true" outlineLevel="0" collapsed="false">
      <c r="A3268" s="184"/>
      <c r="B3268" s="184"/>
      <c r="C3268" s="184"/>
      <c r="D3268" s="184"/>
      <c r="E3268" s="184"/>
      <c r="F3268" s="184"/>
      <c r="G3268" s="184"/>
      <c r="H3268" s="184"/>
      <c r="I3268" s="184"/>
      <c r="J3268" s="184"/>
      <c r="K3268" s="184"/>
      <c r="L3268" s="184"/>
      <c r="M3268" s="184"/>
      <c r="N3268" s="184"/>
      <c r="O3268" s="184"/>
    </row>
    <row r="3269" customFormat="false" ht="15" hidden="false" customHeight="true" outlineLevel="0" collapsed="false">
      <c r="A3269" s="184"/>
      <c r="B3269" s="184"/>
      <c r="C3269" s="184"/>
      <c r="D3269" s="184"/>
      <c r="E3269" s="184"/>
      <c r="F3269" s="184"/>
      <c r="G3269" s="184"/>
      <c r="H3269" s="184"/>
      <c r="I3269" s="184"/>
      <c r="J3269" s="184"/>
      <c r="K3269" s="184"/>
      <c r="L3269" s="184"/>
      <c r="M3269" s="184"/>
      <c r="N3269" s="184"/>
      <c r="O3269" s="184"/>
    </row>
    <row r="3270" customFormat="false" ht="15" hidden="false" customHeight="true" outlineLevel="0" collapsed="false">
      <c r="A3270" s="184"/>
      <c r="B3270" s="184"/>
      <c r="C3270" s="184"/>
      <c r="D3270" s="184"/>
      <c r="E3270" s="184"/>
      <c r="F3270" s="184"/>
      <c r="G3270" s="184"/>
      <c r="H3270" s="184"/>
      <c r="I3270" s="184"/>
      <c r="J3270" s="184"/>
      <c r="K3270" s="184"/>
      <c r="L3270" s="184"/>
      <c r="M3270" s="184"/>
      <c r="N3270" s="184"/>
      <c r="O3270" s="184"/>
    </row>
    <row r="3271" customFormat="false" ht="15" hidden="false" customHeight="true" outlineLevel="0" collapsed="false">
      <c r="A3271" s="184"/>
      <c r="B3271" s="184"/>
      <c r="C3271" s="184"/>
      <c r="D3271" s="184"/>
      <c r="E3271" s="184"/>
      <c r="F3271" s="184"/>
      <c r="G3271" s="184"/>
      <c r="H3271" s="184"/>
      <c r="I3271" s="184"/>
      <c r="J3271" s="184"/>
      <c r="K3271" s="184"/>
      <c r="L3271" s="184"/>
      <c r="M3271" s="184"/>
      <c r="N3271" s="184"/>
      <c r="O3271" s="184"/>
    </row>
    <row r="3272" customFormat="false" ht="15" hidden="false" customHeight="true" outlineLevel="0" collapsed="false">
      <c r="A3272" s="184"/>
      <c r="B3272" s="184"/>
      <c r="C3272" s="184"/>
      <c r="D3272" s="184"/>
      <c r="E3272" s="184"/>
      <c r="F3272" s="184"/>
      <c r="G3272" s="184"/>
      <c r="H3272" s="184"/>
      <c r="I3272" s="184"/>
      <c r="J3272" s="184"/>
      <c r="K3272" s="184"/>
      <c r="L3272" s="184"/>
      <c r="M3272" s="184"/>
      <c r="N3272" s="184"/>
      <c r="O3272" s="184"/>
    </row>
    <row r="3273" customFormat="false" ht="15" hidden="false" customHeight="true" outlineLevel="0" collapsed="false">
      <c r="A3273" s="184"/>
      <c r="B3273" s="184"/>
      <c r="C3273" s="184"/>
      <c r="D3273" s="184"/>
      <c r="E3273" s="184"/>
      <c r="F3273" s="184"/>
      <c r="G3273" s="184"/>
      <c r="H3273" s="184"/>
      <c r="I3273" s="184"/>
      <c r="J3273" s="184"/>
      <c r="K3273" s="184"/>
      <c r="L3273" s="184"/>
      <c r="M3273" s="184"/>
      <c r="N3273" s="184"/>
      <c r="O3273" s="184"/>
    </row>
    <row r="3274" customFormat="false" ht="15" hidden="false" customHeight="true" outlineLevel="0" collapsed="false">
      <c r="A3274" s="184"/>
      <c r="B3274" s="184"/>
      <c r="C3274" s="184"/>
      <c r="D3274" s="184"/>
      <c r="E3274" s="184"/>
      <c r="F3274" s="184"/>
      <c r="G3274" s="184"/>
      <c r="H3274" s="184"/>
      <c r="I3274" s="184"/>
      <c r="J3274" s="184"/>
      <c r="K3274" s="184"/>
      <c r="L3274" s="184"/>
      <c r="M3274" s="184"/>
      <c r="N3274" s="184"/>
      <c r="O3274" s="184"/>
    </row>
    <row r="3275" customFormat="false" ht="15" hidden="false" customHeight="true" outlineLevel="0" collapsed="false">
      <c r="A3275" s="184"/>
      <c r="B3275" s="184"/>
      <c r="C3275" s="184"/>
      <c r="D3275" s="184"/>
      <c r="E3275" s="184"/>
      <c r="F3275" s="184"/>
      <c r="G3275" s="184"/>
      <c r="H3275" s="184"/>
      <c r="I3275" s="184"/>
      <c r="J3275" s="184"/>
      <c r="K3275" s="184"/>
      <c r="L3275" s="184"/>
      <c r="M3275" s="184"/>
      <c r="N3275" s="184"/>
      <c r="O3275" s="184"/>
    </row>
    <row r="3276" customFormat="false" ht="15" hidden="false" customHeight="true" outlineLevel="0" collapsed="false">
      <c r="A3276" s="184"/>
      <c r="B3276" s="184"/>
      <c r="C3276" s="184"/>
      <c r="D3276" s="184"/>
      <c r="E3276" s="184"/>
      <c r="F3276" s="184"/>
      <c r="G3276" s="184"/>
      <c r="H3276" s="184"/>
      <c r="I3276" s="184"/>
      <c r="J3276" s="184"/>
      <c r="K3276" s="184"/>
      <c r="L3276" s="184"/>
      <c r="M3276" s="184"/>
      <c r="N3276" s="184"/>
      <c r="O3276" s="184"/>
    </row>
    <row r="3277" customFormat="false" ht="15" hidden="false" customHeight="true" outlineLevel="0" collapsed="false">
      <c r="A3277" s="184"/>
      <c r="B3277" s="184"/>
      <c r="C3277" s="184"/>
      <c r="D3277" s="184"/>
      <c r="E3277" s="184"/>
      <c r="F3277" s="184"/>
      <c r="G3277" s="184"/>
      <c r="H3277" s="184"/>
      <c r="I3277" s="184"/>
      <c r="J3277" s="184"/>
      <c r="K3277" s="184"/>
      <c r="L3277" s="184"/>
      <c r="M3277" s="184"/>
      <c r="N3277" s="184"/>
      <c r="O3277" s="184"/>
    </row>
    <row r="3278" customFormat="false" ht="15" hidden="false" customHeight="true" outlineLevel="0" collapsed="false">
      <c r="A3278" s="184"/>
      <c r="B3278" s="184"/>
      <c r="C3278" s="184"/>
      <c r="D3278" s="184"/>
      <c r="E3278" s="184"/>
      <c r="F3278" s="184"/>
      <c r="G3278" s="184"/>
      <c r="H3278" s="184"/>
      <c r="I3278" s="184"/>
      <c r="J3278" s="184"/>
      <c r="K3278" s="184"/>
      <c r="L3278" s="184"/>
      <c r="M3278" s="184"/>
      <c r="N3278" s="184"/>
      <c r="O3278" s="184"/>
    </row>
    <row r="3279" customFormat="false" ht="15" hidden="false" customHeight="true" outlineLevel="0" collapsed="false">
      <c r="A3279" s="184"/>
      <c r="B3279" s="184"/>
      <c r="C3279" s="184"/>
      <c r="D3279" s="184"/>
      <c r="E3279" s="184"/>
      <c r="F3279" s="184"/>
      <c r="G3279" s="184"/>
      <c r="H3279" s="184"/>
      <c r="I3279" s="184"/>
      <c r="J3279" s="184"/>
      <c r="K3279" s="184"/>
      <c r="L3279" s="184"/>
      <c r="M3279" s="184"/>
      <c r="N3279" s="184"/>
      <c r="O3279" s="184"/>
    </row>
    <row r="3280" customFormat="false" ht="15" hidden="false" customHeight="true" outlineLevel="0" collapsed="false">
      <c r="A3280" s="184"/>
      <c r="B3280" s="184"/>
      <c r="C3280" s="184"/>
      <c r="D3280" s="184"/>
      <c r="E3280" s="184"/>
      <c r="F3280" s="184"/>
      <c r="G3280" s="184"/>
      <c r="H3280" s="184"/>
      <c r="I3280" s="184"/>
      <c r="J3280" s="184"/>
      <c r="K3280" s="184"/>
      <c r="L3280" s="184"/>
      <c r="M3280" s="184"/>
      <c r="N3280" s="184"/>
      <c r="O3280" s="184"/>
    </row>
    <row r="3281" customFormat="false" ht="15" hidden="false" customHeight="true" outlineLevel="0" collapsed="false">
      <c r="A3281" s="184"/>
      <c r="B3281" s="184"/>
      <c r="C3281" s="184"/>
      <c r="D3281" s="184"/>
      <c r="E3281" s="184"/>
      <c r="F3281" s="184"/>
      <c r="G3281" s="184"/>
      <c r="H3281" s="184"/>
      <c r="I3281" s="184"/>
      <c r="J3281" s="184"/>
      <c r="K3281" s="184"/>
      <c r="L3281" s="184"/>
      <c r="M3281" s="184"/>
      <c r="N3281" s="184"/>
      <c r="O3281" s="184"/>
    </row>
    <row r="3282" customFormat="false" ht="15" hidden="false" customHeight="true" outlineLevel="0" collapsed="false">
      <c r="A3282" s="184"/>
      <c r="B3282" s="184"/>
      <c r="C3282" s="184"/>
      <c r="D3282" s="184"/>
      <c r="E3282" s="184"/>
      <c r="F3282" s="184"/>
      <c r="G3282" s="184"/>
      <c r="H3282" s="184"/>
      <c r="I3282" s="184"/>
      <c r="J3282" s="184"/>
      <c r="K3282" s="184"/>
      <c r="L3282" s="184"/>
      <c r="M3282" s="184"/>
      <c r="N3282" s="184"/>
      <c r="O3282" s="184"/>
    </row>
    <row r="3283" customFormat="false" ht="15" hidden="false" customHeight="true" outlineLevel="0" collapsed="false">
      <c r="A3283" s="184"/>
      <c r="B3283" s="184"/>
      <c r="C3283" s="184"/>
      <c r="D3283" s="184"/>
      <c r="E3283" s="184"/>
      <c r="F3283" s="184"/>
      <c r="G3283" s="184"/>
      <c r="H3283" s="184"/>
      <c r="I3283" s="184"/>
      <c r="J3283" s="184"/>
      <c r="K3283" s="184"/>
      <c r="L3283" s="184"/>
      <c r="M3283" s="184"/>
      <c r="N3283" s="184"/>
      <c r="O3283" s="184"/>
    </row>
    <row r="3284" customFormat="false" ht="15" hidden="false" customHeight="true" outlineLevel="0" collapsed="false">
      <c r="A3284" s="184"/>
      <c r="B3284" s="184"/>
      <c r="C3284" s="184"/>
      <c r="D3284" s="184"/>
      <c r="E3284" s="184"/>
      <c r="F3284" s="184"/>
      <c r="G3284" s="184"/>
      <c r="H3284" s="184"/>
      <c r="I3284" s="184"/>
      <c r="J3284" s="184"/>
      <c r="K3284" s="184"/>
      <c r="L3284" s="184"/>
      <c r="M3284" s="184"/>
      <c r="N3284" s="184"/>
      <c r="O3284" s="184"/>
    </row>
    <row r="3285" customFormat="false" ht="15" hidden="false" customHeight="true" outlineLevel="0" collapsed="false">
      <c r="A3285" s="184"/>
      <c r="B3285" s="184"/>
      <c r="C3285" s="184"/>
      <c r="D3285" s="184"/>
      <c r="E3285" s="184"/>
      <c r="F3285" s="184"/>
      <c r="G3285" s="184"/>
      <c r="H3285" s="184"/>
      <c r="I3285" s="184"/>
      <c r="J3285" s="184"/>
      <c r="K3285" s="184"/>
      <c r="L3285" s="184"/>
      <c r="M3285" s="184"/>
      <c r="N3285" s="184"/>
      <c r="O3285" s="184"/>
    </row>
    <row r="3286" customFormat="false" ht="15" hidden="false" customHeight="true" outlineLevel="0" collapsed="false">
      <c r="A3286" s="184"/>
      <c r="B3286" s="184"/>
      <c r="C3286" s="184"/>
      <c r="D3286" s="184"/>
      <c r="E3286" s="184"/>
      <c r="F3286" s="184"/>
      <c r="G3286" s="184"/>
      <c r="H3286" s="184"/>
      <c r="I3286" s="184"/>
      <c r="J3286" s="184"/>
      <c r="K3286" s="184"/>
      <c r="L3286" s="184"/>
      <c r="M3286" s="184"/>
      <c r="N3286" s="184"/>
      <c r="O3286" s="184"/>
    </row>
    <row r="3287" customFormat="false" ht="15" hidden="false" customHeight="true" outlineLevel="0" collapsed="false">
      <c r="A3287" s="184"/>
      <c r="B3287" s="184"/>
      <c r="C3287" s="184"/>
      <c r="D3287" s="184"/>
      <c r="E3287" s="184"/>
      <c r="F3287" s="184"/>
      <c r="G3287" s="184"/>
      <c r="H3287" s="184"/>
      <c r="I3287" s="184"/>
      <c r="J3287" s="184"/>
      <c r="K3287" s="184"/>
      <c r="L3287" s="184"/>
      <c r="M3287" s="184"/>
      <c r="N3287" s="184"/>
      <c r="O3287" s="184"/>
    </row>
    <row r="3288" customFormat="false" ht="15" hidden="false" customHeight="true" outlineLevel="0" collapsed="false">
      <c r="A3288" s="184"/>
      <c r="B3288" s="184"/>
      <c r="C3288" s="184"/>
      <c r="D3288" s="184"/>
      <c r="E3288" s="184"/>
      <c r="F3288" s="184"/>
      <c r="G3288" s="184"/>
      <c r="H3288" s="184"/>
      <c r="I3288" s="184"/>
      <c r="J3288" s="184"/>
      <c r="K3288" s="184"/>
      <c r="L3288" s="184"/>
      <c r="M3288" s="184"/>
      <c r="N3288" s="184"/>
      <c r="O3288" s="184"/>
    </row>
    <row r="3289" customFormat="false" ht="15" hidden="false" customHeight="true" outlineLevel="0" collapsed="false">
      <c r="A3289" s="184"/>
      <c r="B3289" s="184"/>
      <c r="C3289" s="184"/>
      <c r="D3289" s="184"/>
      <c r="E3289" s="184"/>
      <c r="F3289" s="184"/>
      <c r="G3289" s="184"/>
      <c r="H3289" s="184"/>
      <c r="I3289" s="184"/>
      <c r="J3289" s="184"/>
      <c r="K3289" s="184"/>
      <c r="L3289" s="184"/>
      <c r="M3289" s="184"/>
      <c r="N3289" s="184"/>
      <c r="O3289" s="184"/>
    </row>
    <row r="3290" customFormat="false" ht="15" hidden="false" customHeight="true" outlineLevel="0" collapsed="false">
      <c r="A3290" s="184"/>
      <c r="B3290" s="184"/>
      <c r="C3290" s="184"/>
      <c r="D3290" s="184"/>
      <c r="E3290" s="184"/>
      <c r="F3290" s="184"/>
      <c r="G3290" s="184"/>
      <c r="H3290" s="184"/>
      <c r="I3290" s="184"/>
      <c r="J3290" s="184"/>
      <c r="K3290" s="184"/>
      <c r="L3290" s="184"/>
      <c r="M3290" s="184"/>
      <c r="N3290" s="184"/>
      <c r="O3290" s="184"/>
    </row>
    <row r="3291" customFormat="false" ht="15" hidden="false" customHeight="true" outlineLevel="0" collapsed="false">
      <c r="A3291" s="184"/>
      <c r="B3291" s="184"/>
      <c r="C3291" s="184"/>
      <c r="D3291" s="184"/>
      <c r="E3291" s="184"/>
      <c r="F3291" s="184"/>
      <c r="G3291" s="184"/>
      <c r="H3291" s="184"/>
      <c r="I3291" s="184"/>
      <c r="J3291" s="184"/>
      <c r="K3291" s="184"/>
      <c r="L3291" s="184"/>
      <c r="M3291" s="184"/>
      <c r="N3291" s="184"/>
      <c r="O3291" s="184"/>
    </row>
    <row r="3292" customFormat="false" ht="15" hidden="false" customHeight="true" outlineLevel="0" collapsed="false">
      <c r="A3292" s="184"/>
      <c r="B3292" s="184"/>
      <c r="C3292" s="184"/>
      <c r="D3292" s="184"/>
      <c r="E3292" s="184"/>
      <c r="F3292" s="184"/>
      <c r="G3292" s="184"/>
      <c r="H3292" s="184"/>
      <c r="I3292" s="184"/>
      <c r="J3292" s="184"/>
      <c r="K3292" s="184"/>
      <c r="L3292" s="184"/>
      <c r="M3292" s="184"/>
      <c r="N3292" s="184"/>
      <c r="O3292" s="184"/>
    </row>
    <row r="3293" customFormat="false" ht="15" hidden="false" customHeight="true" outlineLevel="0" collapsed="false">
      <c r="A3293" s="184"/>
      <c r="B3293" s="184"/>
      <c r="C3293" s="184"/>
      <c r="D3293" s="184"/>
      <c r="E3293" s="184"/>
      <c r="F3293" s="184"/>
      <c r="G3293" s="184"/>
      <c r="H3293" s="184"/>
      <c r="I3293" s="184"/>
      <c r="J3293" s="184"/>
      <c r="K3293" s="184"/>
      <c r="L3293" s="184"/>
      <c r="M3293" s="184"/>
      <c r="N3293" s="184"/>
      <c r="O3293" s="184"/>
    </row>
    <row r="3294" customFormat="false" ht="15" hidden="false" customHeight="true" outlineLevel="0" collapsed="false">
      <c r="A3294" s="184"/>
      <c r="B3294" s="184"/>
      <c r="C3294" s="184"/>
      <c r="D3294" s="184"/>
      <c r="E3294" s="184"/>
      <c r="F3294" s="184"/>
      <c r="G3294" s="184"/>
      <c r="H3294" s="184"/>
      <c r="I3294" s="184"/>
      <c r="J3294" s="184"/>
      <c r="K3294" s="184"/>
      <c r="L3294" s="184"/>
      <c r="M3294" s="184"/>
      <c r="N3294" s="184"/>
      <c r="O3294" s="184"/>
    </row>
    <row r="3295" customFormat="false" ht="15" hidden="false" customHeight="true" outlineLevel="0" collapsed="false">
      <c r="A3295" s="184"/>
      <c r="B3295" s="184"/>
      <c r="C3295" s="184"/>
      <c r="D3295" s="184"/>
      <c r="E3295" s="184"/>
      <c r="F3295" s="184"/>
      <c r="G3295" s="184"/>
      <c r="H3295" s="184"/>
      <c r="I3295" s="184"/>
      <c r="J3295" s="184"/>
      <c r="K3295" s="184"/>
      <c r="L3295" s="184"/>
      <c r="M3295" s="184"/>
      <c r="N3295" s="184"/>
      <c r="O3295" s="184"/>
    </row>
    <row r="3296" customFormat="false" ht="15" hidden="false" customHeight="true" outlineLevel="0" collapsed="false">
      <c r="A3296" s="184"/>
      <c r="B3296" s="184"/>
      <c r="C3296" s="184"/>
      <c r="D3296" s="184"/>
      <c r="E3296" s="184"/>
      <c r="F3296" s="184"/>
      <c r="G3296" s="184"/>
      <c r="H3296" s="184"/>
      <c r="I3296" s="184"/>
      <c r="J3296" s="184"/>
      <c r="K3296" s="184"/>
      <c r="L3296" s="184"/>
      <c r="M3296" s="184"/>
      <c r="N3296" s="184"/>
      <c r="O3296" s="184"/>
    </row>
    <row r="3297" customFormat="false" ht="15" hidden="false" customHeight="true" outlineLevel="0" collapsed="false">
      <c r="A3297" s="184"/>
      <c r="B3297" s="184"/>
      <c r="C3297" s="184"/>
      <c r="D3297" s="184"/>
      <c r="E3297" s="184"/>
      <c r="F3297" s="184"/>
      <c r="G3297" s="184"/>
      <c r="H3297" s="184"/>
      <c r="I3297" s="184"/>
      <c r="J3297" s="184"/>
      <c r="K3297" s="184"/>
      <c r="L3297" s="184"/>
      <c r="M3297" s="184"/>
      <c r="N3297" s="184"/>
      <c r="O3297" s="184"/>
    </row>
    <row r="3298" customFormat="false" ht="15" hidden="false" customHeight="true" outlineLevel="0" collapsed="false">
      <c r="A3298" s="184"/>
      <c r="B3298" s="184"/>
      <c r="C3298" s="184"/>
      <c r="D3298" s="184"/>
      <c r="E3298" s="184"/>
      <c r="F3298" s="184"/>
      <c r="G3298" s="184"/>
      <c r="H3298" s="184"/>
      <c r="I3298" s="184"/>
      <c r="J3298" s="184"/>
      <c r="K3298" s="184"/>
      <c r="L3298" s="184"/>
      <c r="M3298" s="184"/>
      <c r="N3298" s="184"/>
      <c r="O3298" s="184"/>
    </row>
    <row r="3299" customFormat="false" ht="15" hidden="false" customHeight="true" outlineLevel="0" collapsed="false">
      <c r="A3299" s="184"/>
      <c r="B3299" s="184"/>
      <c r="C3299" s="184"/>
      <c r="D3299" s="184"/>
      <c r="E3299" s="184"/>
      <c r="F3299" s="184"/>
      <c r="G3299" s="184"/>
      <c r="H3299" s="184"/>
      <c r="I3299" s="184"/>
      <c r="J3299" s="184"/>
      <c r="K3299" s="184"/>
      <c r="L3299" s="184"/>
      <c r="M3299" s="184"/>
      <c r="N3299" s="184"/>
      <c r="O3299" s="184"/>
    </row>
    <row r="3300" customFormat="false" ht="15" hidden="false" customHeight="true" outlineLevel="0" collapsed="false">
      <c r="A3300" s="184"/>
      <c r="B3300" s="184"/>
      <c r="C3300" s="184"/>
      <c r="D3300" s="184"/>
      <c r="E3300" s="184"/>
      <c r="F3300" s="184"/>
      <c r="G3300" s="184"/>
      <c r="H3300" s="184"/>
      <c r="I3300" s="184"/>
      <c r="J3300" s="184"/>
      <c r="K3300" s="184"/>
      <c r="L3300" s="184"/>
      <c r="M3300" s="184"/>
      <c r="N3300" s="184"/>
      <c r="O3300" s="184"/>
    </row>
    <row r="3301" customFormat="false" ht="15" hidden="false" customHeight="true" outlineLevel="0" collapsed="false">
      <c r="A3301" s="184"/>
      <c r="B3301" s="184"/>
      <c r="C3301" s="184"/>
      <c r="D3301" s="184"/>
      <c r="E3301" s="184"/>
      <c r="F3301" s="184"/>
      <c r="G3301" s="184"/>
      <c r="H3301" s="184"/>
      <c r="I3301" s="184"/>
      <c r="J3301" s="184"/>
      <c r="K3301" s="184"/>
      <c r="L3301" s="184"/>
      <c r="M3301" s="184"/>
      <c r="N3301" s="184"/>
      <c r="O3301" s="184"/>
    </row>
    <row r="3302" customFormat="false" ht="15" hidden="false" customHeight="true" outlineLevel="0" collapsed="false">
      <c r="A3302" s="184"/>
      <c r="B3302" s="184"/>
      <c r="C3302" s="184"/>
      <c r="D3302" s="184"/>
      <c r="E3302" s="184"/>
      <c r="F3302" s="184"/>
      <c r="G3302" s="184"/>
      <c r="H3302" s="184"/>
      <c r="I3302" s="184"/>
      <c r="J3302" s="184"/>
      <c r="K3302" s="184"/>
      <c r="L3302" s="184"/>
      <c r="M3302" s="184"/>
      <c r="N3302" s="184"/>
      <c r="O3302" s="184"/>
    </row>
    <row r="3303" customFormat="false" ht="15" hidden="false" customHeight="true" outlineLevel="0" collapsed="false">
      <c r="A3303" s="184"/>
      <c r="B3303" s="184"/>
      <c r="C3303" s="184"/>
      <c r="D3303" s="184"/>
      <c r="E3303" s="184"/>
      <c r="F3303" s="184"/>
      <c r="G3303" s="184"/>
      <c r="H3303" s="184"/>
      <c r="I3303" s="184"/>
      <c r="J3303" s="184"/>
      <c r="K3303" s="184"/>
      <c r="L3303" s="184"/>
      <c r="M3303" s="184"/>
      <c r="N3303" s="184"/>
      <c r="O3303" s="184"/>
    </row>
    <row r="3304" customFormat="false" ht="15" hidden="false" customHeight="true" outlineLevel="0" collapsed="false">
      <c r="A3304" s="184"/>
      <c r="B3304" s="184"/>
      <c r="C3304" s="184"/>
      <c r="D3304" s="184"/>
      <c r="E3304" s="184"/>
      <c r="F3304" s="184"/>
      <c r="G3304" s="184"/>
      <c r="H3304" s="184"/>
      <c r="I3304" s="184"/>
      <c r="J3304" s="184"/>
      <c r="K3304" s="184"/>
      <c r="L3304" s="184"/>
      <c r="M3304" s="184"/>
      <c r="N3304" s="184"/>
      <c r="O3304" s="184"/>
    </row>
    <row r="3305" customFormat="false" ht="15" hidden="false" customHeight="true" outlineLevel="0" collapsed="false">
      <c r="A3305" s="184"/>
      <c r="B3305" s="184"/>
      <c r="C3305" s="184"/>
      <c r="D3305" s="184"/>
      <c r="E3305" s="184"/>
      <c r="F3305" s="184"/>
      <c r="G3305" s="184"/>
      <c r="H3305" s="184"/>
      <c r="I3305" s="184"/>
      <c r="J3305" s="184"/>
      <c r="K3305" s="184"/>
      <c r="L3305" s="184"/>
      <c r="M3305" s="184"/>
      <c r="N3305" s="184"/>
      <c r="O3305" s="184"/>
    </row>
    <row r="3306" customFormat="false" ht="15" hidden="false" customHeight="true" outlineLevel="0" collapsed="false">
      <c r="A3306" s="184"/>
      <c r="B3306" s="184"/>
      <c r="C3306" s="184"/>
      <c r="D3306" s="184"/>
      <c r="E3306" s="184"/>
      <c r="F3306" s="184"/>
      <c r="G3306" s="184"/>
      <c r="H3306" s="184"/>
      <c r="I3306" s="184"/>
      <c r="J3306" s="184"/>
      <c r="K3306" s="184"/>
      <c r="L3306" s="184"/>
      <c r="M3306" s="184"/>
      <c r="N3306" s="184"/>
      <c r="O3306" s="184"/>
    </row>
    <row r="3307" customFormat="false" ht="15" hidden="false" customHeight="true" outlineLevel="0" collapsed="false">
      <c r="A3307" s="184"/>
      <c r="B3307" s="184"/>
      <c r="C3307" s="184"/>
      <c r="D3307" s="184"/>
      <c r="E3307" s="184"/>
      <c r="F3307" s="184"/>
      <c r="G3307" s="184"/>
      <c r="H3307" s="184"/>
      <c r="I3307" s="184"/>
      <c r="J3307" s="184"/>
      <c r="K3307" s="184"/>
      <c r="L3307" s="184"/>
      <c r="M3307" s="184"/>
      <c r="N3307" s="184"/>
      <c r="O3307" s="184"/>
    </row>
    <row r="3308" customFormat="false" ht="15" hidden="false" customHeight="true" outlineLevel="0" collapsed="false">
      <c r="A3308" s="184"/>
      <c r="B3308" s="184"/>
      <c r="C3308" s="184"/>
      <c r="D3308" s="184"/>
      <c r="E3308" s="184"/>
      <c r="F3308" s="184"/>
      <c r="G3308" s="184"/>
      <c r="H3308" s="184"/>
      <c r="I3308" s="184"/>
      <c r="J3308" s="184"/>
      <c r="K3308" s="184"/>
      <c r="L3308" s="184"/>
      <c r="M3308" s="184"/>
      <c r="N3308" s="184"/>
      <c r="O3308" s="184"/>
    </row>
    <row r="3309" customFormat="false" ht="15" hidden="false" customHeight="true" outlineLevel="0" collapsed="false">
      <c r="A3309" s="184"/>
      <c r="B3309" s="184"/>
      <c r="C3309" s="184"/>
      <c r="D3309" s="184"/>
      <c r="E3309" s="184"/>
      <c r="F3309" s="184"/>
      <c r="G3309" s="184"/>
      <c r="H3309" s="184"/>
      <c r="I3309" s="184"/>
      <c r="J3309" s="184"/>
      <c r="K3309" s="184"/>
      <c r="L3309" s="184"/>
      <c r="M3309" s="184"/>
      <c r="N3309" s="184"/>
      <c r="O3309" s="184"/>
    </row>
    <row r="3310" customFormat="false" ht="15" hidden="false" customHeight="true" outlineLevel="0" collapsed="false">
      <c r="A3310" s="184"/>
      <c r="B3310" s="184"/>
      <c r="C3310" s="184"/>
      <c r="D3310" s="184"/>
      <c r="E3310" s="184"/>
      <c r="F3310" s="184"/>
      <c r="G3310" s="184"/>
      <c r="H3310" s="184"/>
      <c r="I3310" s="184"/>
      <c r="J3310" s="184"/>
      <c r="K3310" s="184"/>
      <c r="L3310" s="184"/>
      <c r="M3310" s="184"/>
      <c r="N3310" s="184"/>
      <c r="O3310" s="184"/>
    </row>
    <row r="3311" customFormat="false" ht="15" hidden="false" customHeight="true" outlineLevel="0" collapsed="false">
      <c r="A3311" s="184"/>
      <c r="B3311" s="184"/>
      <c r="C3311" s="184"/>
      <c r="D3311" s="184"/>
      <c r="E3311" s="184"/>
      <c r="F3311" s="184"/>
      <c r="G3311" s="184"/>
      <c r="H3311" s="184"/>
      <c r="I3311" s="184"/>
      <c r="J3311" s="184"/>
      <c r="K3311" s="184"/>
      <c r="L3311" s="184"/>
      <c r="M3311" s="184"/>
      <c r="N3311" s="184"/>
      <c r="O3311" s="184"/>
    </row>
    <row r="3312" customFormat="false" ht="15" hidden="false" customHeight="true" outlineLevel="0" collapsed="false">
      <c r="A3312" s="184"/>
      <c r="B3312" s="184"/>
      <c r="C3312" s="184"/>
      <c r="D3312" s="184"/>
      <c r="E3312" s="184"/>
      <c r="F3312" s="184"/>
      <c r="G3312" s="184"/>
      <c r="H3312" s="184"/>
      <c r="I3312" s="184"/>
      <c r="J3312" s="184"/>
      <c r="K3312" s="184"/>
      <c r="L3312" s="184"/>
      <c r="M3312" s="184"/>
      <c r="N3312" s="184"/>
      <c r="O3312" s="184"/>
    </row>
    <row r="3313" customFormat="false" ht="15" hidden="false" customHeight="true" outlineLevel="0" collapsed="false">
      <c r="A3313" s="184"/>
      <c r="B3313" s="184"/>
      <c r="C3313" s="184"/>
      <c r="D3313" s="184"/>
      <c r="E3313" s="184"/>
      <c r="F3313" s="184"/>
      <c r="G3313" s="184"/>
      <c r="H3313" s="184"/>
      <c r="I3313" s="184"/>
      <c r="J3313" s="184"/>
      <c r="K3313" s="184"/>
      <c r="L3313" s="184"/>
      <c r="M3313" s="184"/>
      <c r="N3313" s="184"/>
      <c r="O3313" s="184"/>
    </row>
    <row r="3314" customFormat="false" ht="15" hidden="false" customHeight="true" outlineLevel="0" collapsed="false">
      <c r="A3314" s="184"/>
      <c r="B3314" s="184"/>
      <c r="C3314" s="184"/>
      <c r="D3314" s="184"/>
      <c r="E3314" s="184"/>
      <c r="F3314" s="184"/>
      <c r="G3314" s="184"/>
      <c r="H3314" s="184"/>
      <c r="I3314" s="184"/>
      <c r="J3314" s="184"/>
      <c r="K3314" s="184"/>
      <c r="L3314" s="184"/>
      <c r="M3314" s="184"/>
      <c r="N3314" s="184"/>
      <c r="O3314" s="184"/>
    </row>
    <row r="3315" customFormat="false" ht="15" hidden="false" customHeight="true" outlineLevel="0" collapsed="false">
      <c r="A3315" s="184"/>
      <c r="B3315" s="184"/>
      <c r="C3315" s="184"/>
      <c r="D3315" s="184"/>
      <c r="E3315" s="184"/>
      <c r="F3315" s="184"/>
      <c r="G3315" s="184"/>
      <c r="H3315" s="184"/>
      <c r="I3315" s="184"/>
      <c r="J3315" s="184"/>
      <c r="K3315" s="184"/>
      <c r="L3315" s="184"/>
      <c r="M3315" s="184"/>
      <c r="N3315" s="184"/>
      <c r="O3315" s="184"/>
    </row>
    <row r="3316" customFormat="false" ht="15" hidden="false" customHeight="true" outlineLevel="0" collapsed="false">
      <c r="A3316" s="184"/>
      <c r="B3316" s="184"/>
      <c r="C3316" s="184"/>
      <c r="D3316" s="184"/>
      <c r="E3316" s="184"/>
      <c r="F3316" s="184"/>
      <c r="G3316" s="184"/>
      <c r="H3316" s="184"/>
      <c r="I3316" s="184"/>
      <c r="J3316" s="184"/>
      <c r="K3316" s="184"/>
      <c r="L3316" s="184"/>
      <c r="M3316" s="184"/>
      <c r="N3316" s="184"/>
      <c r="O3316" s="184"/>
    </row>
    <row r="3317" customFormat="false" ht="15" hidden="false" customHeight="true" outlineLevel="0" collapsed="false">
      <c r="A3317" s="184"/>
      <c r="B3317" s="184"/>
      <c r="C3317" s="184"/>
      <c r="D3317" s="184"/>
      <c r="E3317" s="184"/>
      <c r="F3317" s="184"/>
      <c r="G3317" s="184"/>
      <c r="H3317" s="184"/>
      <c r="I3317" s="184"/>
      <c r="J3317" s="184"/>
      <c r="K3317" s="184"/>
      <c r="L3317" s="184"/>
      <c r="M3317" s="184"/>
      <c r="N3317" s="184"/>
      <c r="O3317" s="184"/>
    </row>
    <row r="3318" customFormat="false" ht="15" hidden="false" customHeight="true" outlineLevel="0" collapsed="false">
      <c r="A3318" s="184"/>
      <c r="B3318" s="184"/>
      <c r="C3318" s="184"/>
      <c r="D3318" s="184"/>
      <c r="E3318" s="184"/>
      <c r="F3318" s="184"/>
      <c r="G3318" s="184"/>
      <c r="H3318" s="184"/>
      <c r="I3318" s="184"/>
      <c r="J3318" s="184"/>
      <c r="K3318" s="184"/>
      <c r="L3318" s="184"/>
      <c r="M3318" s="184"/>
      <c r="N3318" s="184"/>
      <c r="O3318" s="184"/>
    </row>
    <row r="3319" customFormat="false" ht="15" hidden="false" customHeight="true" outlineLevel="0" collapsed="false">
      <c r="A3319" s="184"/>
      <c r="B3319" s="184"/>
      <c r="C3319" s="184"/>
      <c r="D3319" s="184"/>
      <c r="E3319" s="184"/>
      <c r="F3319" s="184"/>
      <c r="G3319" s="184"/>
      <c r="H3319" s="184"/>
      <c r="I3319" s="184"/>
      <c r="J3319" s="184"/>
      <c r="K3319" s="184"/>
      <c r="L3319" s="184"/>
      <c r="M3319" s="184"/>
      <c r="N3319" s="184"/>
      <c r="O3319" s="184"/>
    </row>
    <row r="3320" customFormat="false" ht="15" hidden="false" customHeight="true" outlineLevel="0" collapsed="false">
      <c r="A3320" s="184"/>
      <c r="B3320" s="184"/>
      <c r="C3320" s="184"/>
      <c r="D3320" s="184"/>
      <c r="E3320" s="184"/>
      <c r="F3320" s="184"/>
      <c r="G3320" s="184"/>
      <c r="H3320" s="184"/>
      <c r="I3320" s="184"/>
      <c r="J3320" s="184"/>
      <c r="K3320" s="184"/>
      <c r="L3320" s="184"/>
      <c r="M3320" s="184"/>
      <c r="N3320" s="184"/>
      <c r="O3320" s="184"/>
    </row>
    <row r="3321" customFormat="false" ht="15" hidden="false" customHeight="true" outlineLevel="0" collapsed="false">
      <c r="A3321" s="184"/>
      <c r="B3321" s="184"/>
      <c r="C3321" s="184"/>
      <c r="D3321" s="184"/>
      <c r="E3321" s="184"/>
      <c r="F3321" s="184"/>
      <c r="G3321" s="184"/>
      <c r="H3321" s="184"/>
      <c r="I3321" s="184"/>
      <c r="J3321" s="184"/>
      <c r="K3321" s="184"/>
      <c r="L3321" s="184"/>
      <c r="M3321" s="184"/>
      <c r="N3321" s="184"/>
      <c r="O3321" s="184"/>
    </row>
    <row r="3322" customFormat="false" ht="15" hidden="false" customHeight="true" outlineLevel="0" collapsed="false">
      <c r="A3322" s="184"/>
      <c r="B3322" s="184"/>
      <c r="C3322" s="184"/>
      <c r="D3322" s="184"/>
      <c r="E3322" s="184"/>
      <c r="F3322" s="184"/>
      <c r="G3322" s="184"/>
      <c r="H3322" s="184"/>
      <c r="I3322" s="184"/>
      <c r="J3322" s="184"/>
      <c r="K3322" s="184"/>
      <c r="L3322" s="184"/>
      <c r="M3322" s="184"/>
      <c r="N3322" s="184"/>
      <c r="O3322" s="184"/>
    </row>
    <row r="3323" customFormat="false" ht="15" hidden="false" customHeight="true" outlineLevel="0" collapsed="false">
      <c r="A3323" s="184"/>
      <c r="B3323" s="184"/>
      <c r="C3323" s="184"/>
      <c r="D3323" s="184"/>
      <c r="E3323" s="184"/>
      <c r="F3323" s="184"/>
      <c r="G3323" s="184"/>
      <c r="H3323" s="184"/>
      <c r="I3323" s="184"/>
      <c r="J3323" s="184"/>
      <c r="K3323" s="184"/>
      <c r="L3323" s="184"/>
      <c r="M3323" s="184"/>
      <c r="N3323" s="184"/>
      <c r="O3323" s="184"/>
    </row>
    <row r="3324" customFormat="false" ht="15" hidden="false" customHeight="true" outlineLevel="0" collapsed="false">
      <c r="A3324" s="184"/>
      <c r="B3324" s="184"/>
      <c r="C3324" s="184"/>
      <c r="D3324" s="184"/>
      <c r="E3324" s="184"/>
      <c r="F3324" s="184"/>
      <c r="G3324" s="184"/>
      <c r="H3324" s="184"/>
      <c r="I3324" s="184"/>
      <c r="J3324" s="184"/>
      <c r="K3324" s="184"/>
      <c r="L3324" s="184"/>
      <c r="M3324" s="184"/>
      <c r="N3324" s="184"/>
      <c r="O3324" s="184"/>
    </row>
    <row r="3325" customFormat="false" ht="15" hidden="false" customHeight="true" outlineLevel="0" collapsed="false">
      <c r="A3325" s="184"/>
      <c r="B3325" s="184"/>
      <c r="C3325" s="184"/>
      <c r="D3325" s="184"/>
      <c r="E3325" s="184"/>
      <c r="F3325" s="184"/>
      <c r="G3325" s="184"/>
      <c r="H3325" s="184"/>
      <c r="I3325" s="184"/>
      <c r="J3325" s="184"/>
      <c r="K3325" s="184"/>
      <c r="L3325" s="184"/>
      <c r="M3325" s="184"/>
      <c r="N3325" s="184"/>
      <c r="O3325" s="184"/>
    </row>
    <row r="3326" customFormat="false" ht="15" hidden="false" customHeight="true" outlineLevel="0" collapsed="false">
      <c r="A3326" s="184"/>
      <c r="B3326" s="184"/>
      <c r="C3326" s="184"/>
      <c r="D3326" s="184"/>
      <c r="E3326" s="184"/>
      <c r="F3326" s="184"/>
      <c r="G3326" s="184"/>
      <c r="H3326" s="184"/>
      <c r="I3326" s="184"/>
      <c r="J3326" s="184"/>
      <c r="K3326" s="184"/>
      <c r="L3326" s="184"/>
      <c r="M3326" s="184"/>
      <c r="N3326" s="184"/>
      <c r="O3326" s="184"/>
    </row>
    <row r="3327" customFormat="false" ht="15" hidden="false" customHeight="true" outlineLevel="0" collapsed="false">
      <c r="A3327" s="184"/>
      <c r="B3327" s="184"/>
      <c r="C3327" s="184"/>
      <c r="D3327" s="184"/>
      <c r="E3327" s="184"/>
      <c r="F3327" s="184"/>
      <c r="G3327" s="184"/>
      <c r="H3327" s="184"/>
      <c r="I3327" s="184"/>
      <c r="J3327" s="184"/>
      <c r="K3327" s="184"/>
      <c r="L3327" s="184"/>
      <c r="M3327" s="184"/>
      <c r="N3327" s="184"/>
      <c r="O3327" s="184"/>
    </row>
    <row r="3328" customFormat="false" ht="15" hidden="false" customHeight="true" outlineLevel="0" collapsed="false">
      <c r="A3328" s="184"/>
      <c r="B3328" s="184"/>
      <c r="C3328" s="184"/>
      <c r="D3328" s="184"/>
      <c r="E3328" s="184"/>
      <c r="F3328" s="184"/>
      <c r="G3328" s="184"/>
      <c r="H3328" s="184"/>
      <c r="I3328" s="184"/>
      <c r="J3328" s="184"/>
      <c r="K3328" s="184"/>
      <c r="L3328" s="184"/>
      <c r="M3328" s="184"/>
      <c r="N3328" s="184"/>
      <c r="O3328" s="184"/>
    </row>
    <row r="3329" customFormat="false" ht="68.25" hidden="false" customHeight="true" outlineLevel="0" collapsed="false">
      <c r="A3329" s="184" t="s">
        <v>4963</v>
      </c>
      <c r="B3329" s="184" t="s">
        <v>4964</v>
      </c>
      <c r="C3329" s="184"/>
      <c r="D3329" s="179" t="s">
        <v>4858</v>
      </c>
      <c r="E3329" s="184" t="s">
        <v>7189</v>
      </c>
      <c r="F3329" s="184"/>
      <c r="G3329" s="184"/>
      <c r="H3329" s="184"/>
      <c r="I3329" s="184"/>
      <c r="J3329" s="184"/>
      <c r="K3329" s="184"/>
      <c r="L3329" s="184"/>
      <c r="M3329" s="184" t="s">
        <v>7172</v>
      </c>
      <c r="N3329" s="184"/>
      <c r="O3329" s="184"/>
    </row>
    <row r="3330" customFormat="false" ht="27.75" hidden="false" customHeight="true" outlineLevel="0" collapsed="false">
      <c r="A3330" s="184" t="s">
        <v>4963</v>
      </c>
      <c r="B3330" s="184" t="s">
        <v>4964</v>
      </c>
      <c r="C3330" s="184" t="n">
        <v>1</v>
      </c>
      <c r="D3330" s="184" t="s">
        <v>6296</v>
      </c>
      <c r="E3330" s="184" t="s">
        <v>7182</v>
      </c>
      <c r="F3330" s="184"/>
      <c r="G3330" s="184"/>
      <c r="H3330" s="184"/>
      <c r="I3330" s="184"/>
      <c r="J3330" s="184"/>
      <c r="K3330" s="184"/>
      <c r="L3330" s="184"/>
      <c r="M3330" s="184"/>
      <c r="N3330" s="184"/>
      <c r="O3330" s="184"/>
    </row>
    <row r="3331" customFormat="false" ht="27.75" hidden="false" customHeight="true" outlineLevel="0" collapsed="false">
      <c r="A3331" s="184" t="s">
        <v>4963</v>
      </c>
      <c r="B3331" s="184" t="s">
        <v>4964</v>
      </c>
      <c r="C3331" s="184" t="n">
        <v>2</v>
      </c>
      <c r="D3331" s="177" t="s">
        <v>6298</v>
      </c>
      <c r="E3331" s="184" t="s">
        <v>7174</v>
      </c>
      <c r="F3331" s="184"/>
      <c r="G3331" s="184"/>
      <c r="H3331" s="184"/>
      <c r="I3331" s="184"/>
      <c r="J3331" s="184"/>
      <c r="K3331" s="184"/>
      <c r="L3331" s="184"/>
      <c r="M3331" s="184"/>
      <c r="N3331" s="184"/>
      <c r="O3331" s="184"/>
    </row>
    <row r="3332" customFormat="false" ht="27.75" hidden="false" customHeight="true" outlineLevel="0" collapsed="false">
      <c r="A3332" s="184" t="s">
        <v>4963</v>
      </c>
      <c r="B3332" s="184" t="s">
        <v>4964</v>
      </c>
      <c r="C3332" s="184" t="n">
        <v>3</v>
      </c>
      <c r="D3332" s="178" t="s">
        <v>5269</v>
      </c>
      <c r="E3332" s="184" t="s">
        <v>7175</v>
      </c>
      <c r="F3332" s="184"/>
      <c r="G3332" s="184"/>
      <c r="H3332" s="184"/>
      <c r="I3332" s="184"/>
      <c r="J3332" s="184"/>
      <c r="K3332" s="184"/>
      <c r="L3332" s="184"/>
      <c r="M3332" s="184" t="s">
        <v>7176</v>
      </c>
      <c r="N3332" s="184"/>
      <c r="O3332" s="184"/>
    </row>
    <row r="3333" customFormat="false" ht="27.75" hidden="false" customHeight="true" outlineLevel="0" collapsed="false">
      <c r="A3333" s="184" t="s">
        <v>4963</v>
      </c>
      <c r="B3333" s="184" t="s">
        <v>4964</v>
      </c>
      <c r="C3333" s="184" t="n">
        <v>4</v>
      </c>
      <c r="D3333" s="184" t="s">
        <v>6296</v>
      </c>
      <c r="E3333" s="184" t="s">
        <v>7182</v>
      </c>
      <c r="F3333" s="184"/>
      <c r="G3333" s="184"/>
      <c r="H3333" s="184"/>
      <c r="I3333" s="184"/>
      <c r="J3333" s="184"/>
      <c r="K3333" s="184"/>
      <c r="L3333" s="184"/>
      <c r="M3333" s="184"/>
      <c r="N3333" s="184"/>
      <c r="O3333" s="184"/>
    </row>
    <row r="3334" customFormat="false" ht="41.25" hidden="false" customHeight="true" outlineLevel="0" collapsed="false">
      <c r="A3334" s="184" t="s">
        <v>4963</v>
      </c>
      <c r="B3334" s="184" t="s">
        <v>4964</v>
      </c>
      <c r="C3334" s="184" t="n">
        <v>5</v>
      </c>
      <c r="D3334" s="177" t="s">
        <v>6298</v>
      </c>
      <c r="E3334" s="184" t="s">
        <v>7177</v>
      </c>
      <c r="F3334" s="184"/>
      <c r="G3334" s="184"/>
      <c r="H3334" s="184"/>
      <c r="I3334" s="184"/>
      <c r="J3334" s="184"/>
      <c r="K3334" s="184"/>
      <c r="L3334" s="184"/>
      <c r="M3334" s="184"/>
      <c r="N3334" s="184"/>
      <c r="O3334" s="184"/>
    </row>
    <row r="3335" customFormat="false" ht="27.75" hidden="false" customHeight="true" outlineLevel="0" collapsed="false">
      <c r="A3335" s="184" t="s">
        <v>4963</v>
      </c>
      <c r="B3335" s="184" t="s">
        <v>4964</v>
      </c>
      <c r="C3335" s="184" t="n">
        <v>6</v>
      </c>
      <c r="D3335" s="184" t="s">
        <v>4790</v>
      </c>
      <c r="E3335" s="184" t="s">
        <v>784</v>
      </c>
      <c r="F3335" s="184"/>
      <c r="G3335" s="184"/>
      <c r="H3335" s="184"/>
      <c r="I3335" s="184"/>
      <c r="J3335" s="184"/>
      <c r="K3335" s="184"/>
      <c r="L3335" s="184"/>
      <c r="M3335" s="184"/>
      <c r="N3335" s="184"/>
      <c r="O3335" s="184"/>
    </row>
    <row r="3336" customFormat="false" ht="27.75" hidden="false" customHeight="true" outlineLevel="0" collapsed="false">
      <c r="A3336" s="184" t="s">
        <v>4963</v>
      </c>
      <c r="B3336" s="184" t="s">
        <v>4964</v>
      </c>
      <c r="C3336" s="184" t="n">
        <v>7</v>
      </c>
      <c r="D3336" s="178" t="s">
        <v>5269</v>
      </c>
      <c r="E3336" s="184" t="s">
        <v>7175</v>
      </c>
      <c r="F3336" s="184"/>
      <c r="G3336" s="184"/>
      <c r="H3336" s="184"/>
      <c r="I3336" s="184"/>
      <c r="J3336" s="184"/>
      <c r="K3336" s="184"/>
      <c r="L3336" s="184"/>
      <c r="M3336" s="184" t="s">
        <v>7176</v>
      </c>
      <c r="N3336" s="184"/>
      <c r="O3336" s="184"/>
    </row>
    <row r="3337" customFormat="false" ht="27.75" hidden="false" customHeight="true" outlineLevel="0" collapsed="false">
      <c r="A3337" s="184" t="s">
        <v>4963</v>
      </c>
      <c r="B3337" s="184" t="s">
        <v>4964</v>
      </c>
      <c r="C3337" s="184" t="n">
        <v>8</v>
      </c>
      <c r="D3337" s="184" t="s">
        <v>4790</v>
      </c>
      <c r="E3337" s="184" t="s">
        <v>1779</v>
      </c>
      <c r="F3337" s="184"/>
      <c r="G3337" s="184"/>
      <c r="H3337" s="184"/>
      <c r="I3337" s="184"/>
      <c r="J3337" s="184"/>
      <c r="K3337" s="184"/>
      <c r="L3337" s="184"/>
      <c r="M3337" s="184"/>
      <c r="N3337" s="184"/>
      <c r="O3337" s="184"/>
    </row>
    <row r="3338" customFormat="false" ht="27.75" hidden="false" customHeight="true" outlineLevel="0" collapsed="false">
      <c r="A3338" s="184" t="s">
        <v>4963</v>
      </c>
      <c r="B3338" s="184" t="s">
        <v>4964</v>
      </c>
      <c r="C3338" s="184" t="n">
        <v>9</v>
      </c>
      <c r="D3338" s="178" t="s">
        <v>5269</v>
      </c>
      <c r="E3338" s="184" t="s">
        <v>7175</v>
      </c>
      <c r="F3338" s="184"/>
      <c r="G3338" s="184"/>
      <c r="H3338" s="184"/>
      <c r="I3338" s="184"/>
      <c r="J3338" s="184"/>
      <c r="K3338" s="184"/>
      <c r="L3338" s="184"/>
      <c r="M3338" s="184" t="s">
        <v>7178</v>
      </c>
      <c r="N3338" s="184"/>
      <c r="O3338" s="184"/>
    </row>
    <row r="3339" customFormat="false" ht="27.75" hidden="false" customHeight="true" outlineLevel="0" collapsed="false">
      <c r="A3339" s="184" t="s">
        <v>4963</v>
      </c>
      <c r="B3339" s="184" t="s">
        <v>4964</v>
      </c>
      <c r="C3339" s="184" t="n">
        <v>10</v>
      </c>
      <c r="D3339" s="184" t="s">
        <v>4790</v>
      </c>
      <c r="E3339" s="184" t="s">
        <v>2630</v>
      </c>
      <c r="F3339" s="184"/>
      <c r="G3339" s="184"/>
      <c r="H3339" s="184"/>
      <c r="I3339" s="184"/>
      <c r="J3339" s="184"/>
      <c r="K3339" s="184"/>
      <c r="L3339" s="184"/>
      <c r="M3339" s="184"/>
      <c r="N3339" s="184"/>
      <c r="O3339" s="184"/>
    </row>
    <row r="3340" customFormat="false" ht="27.75" hidden="false" customHeight="true" outlineLevel="0" collapsed="false">
      <c r="A3340" s="184" t="s">
        <v>4963</v>
      </c>
      <c r="B3340" s="184" t="s">
        <v>4964</v>
      </c>
      <c r="C3340" s="184" t="n">
        <v>11</v>
      </c>
      <c r="D3340" s="178" t="s">
        <v>5269</v>
      </c>
      <c r="E3340" s="184" t="s">
        <v>7175</v>
      </c>
      <c r="F3340" s="184"/>
      <c r="G3340" s="184"/>
      <c r="H3340" s="184"/>
      <c r="I3340" s="184"/>
      <c r="J3340" s="184"/>
      <c r="K3340" s="184"/>
      <c r="L3340" s="184"/>
      <c r="M3340" s="184" t="s">
        <v>7179</v>
      </c>
      <c r="N3340" s="184"/>
      <c r="O3340" s="184"/>
    </row>
    <row r="3341" customFormat="false" ht="15" hidden="false" customHeight="true" outlineLevel="0" collapsed="false">
      <c r="A3341" s="184"/>
      <c r="B3341" s="184"/>
      <c r="C3341" s="184"/>
      <c r="D3341" s="184"/>
      <c r="E3341" s="184"/>
      <c r="F3341" s="184"/>
      <c r="G3341" s="184"/>
      <c r="H3341" s="184"/>
      <c r="I3341" s="184"/>
      <c r="J3341" s="184"/>
      <c r="K3341" s="184"/>
      <c r="L3341" s="184"/>
      <c r="M3341" s="184"/>
      <c r="N3341" s="184"/>
      <c r="O3341" s="184"/>
    </row>
    <row r="3342" customFormat="false" ht="15" hidden="false" customHeight="true" outlineLevel="0" collapsed="false">
      <c r="A3342" s="184"/>
      <c r="B3342" s="184"/>
      <c r="C3342" s="184"/>
      <c r="D3342" s="184"/>
      <c r="E3342" s="184"/>
      <c r="F3342" s="184"/>
      <c r="G3342" s="184"/>
      <c r="H3342" s="184"/>
      <c r="I3342" s="184"/>
      <c r="J3342" s="184"/>
      <c r="K3342" s="184"/>
      <c r="L3342" s="184"/>
      <c r="M3342" s="184"/>
      <c r="N3342" s="184"/>
      <c r="O3342" s="184"/>
    </row>
    <row r="3343" customFormat="false" ht="15" hidden="false" customHeight="true" outlineLevel="0" collapsed="false">
      <c r="A3343" s="184"/>
      <c r="B3343" s="184"/>
      <c r="C3343" s="184"/>
      <c r="D3343" s="184"/>
      <c r="E3343" s="184"/>
      <c r="F3343" s="184"/>
      <c r="G3343" s="184"/>
      <c r="H3343" s="184"/>
      <c r="I3343" s="184"/>
      <c r="J3343" s="184"/>
      <c r="K3343" s="184"/>
      <c r="L3343" s="184"/>
      <c r="M3343" s="184"/>
      <c r="N3343" s="184"/>
      <c r="O3343" s="184"/>
    </row>
    <row r="3344" customFormat="false" ht="15" hidden="false" customHeight="true" outlineLevel="0" collapsed="false">
      <c r="A3344" s="184"/>
      <c r="B3344" s="184"/>
      <c r="C3344" s="184"/>
      <c r="D3344" s="184"/>
      <c r="E3344" s="184"/>
      <c r="F3344" s="184"/>
      <c r="G3344" s="184"/>
      <c r="H3344" s="184"/>
      <c r="I3344" s="184"/>
      <c r="J3344" s="184"/>
      <c r="K3344" s="184"/>
      <c r="L3344" s="184"/>
      <c r="M3344" s="184"/>
      <c r="N3344" s="184"/>
      <c r="O3344" s="184"/>
    </row>
    <row r="3345" customFormat="false" ht="15" hidden="false" customHeight="true" outlineLevel="0" collapsed="false">
      <c r="A3345" s="184"/>
      <c r="B3345" s="184"/>
      <c r="C3345" s="184"/>
      <c r="D3345" s="184"/>
      <c r="E3345" s="184"/>
      <c r="F3345" s="184"/>
      <c r="G3345" s="184"/>
      <c r="H3345" s="184"/>
      <c r="I3345" s="184"/>
      <c r="J3345" s="184"/>
      <c r="K3345" s="184"/>
      <c r="L3345" s="184"/>
      <c r="M3345" s="184"/>
      <c r="N3345" s="184"/>
      <c r="O3345" s="184"/>
    </row>
    <row r="3346" customFormat="false" ht="15" hidden="false" customHeight="true" outlineLevel="0" collapsed="false">
      <c r="A3346" s="184"/>
      <c r="B3346" s="184"/>
      <c r="C3346" s="184"/>
      <c r="D3346" s="184"/>
      <c r="E3346" s="184"/>
      <c r="F3346" s="184"/>
      <c r="G3346" s="184"/>
      <c r="H3346" s="184"/>
      <c r="I3346" s="184"/>
      <c r="J3346" s="184"/>
      <c r="K3346" s="184"/>
      <c r="L3346" s="184"/>
      <c r="M3346" s="184"/>
      <c r="N3346" s="184"/>
      <c r="O3346" s="184"/>
    </row>
    <row r="3347" customFormat="false" ht="15" hidden="false" customHeight="true" outlineLevel="0" collapsed="false">
      <c r="A3347" s="184"/>
      <c r="B3347" s="184"/>
      <c r="C3347" s="184"/>
      <c r="D3347" s="184"/>
      <c r="E3347" s="184"/>
      <c r="F3347" s="184"/>
      <c r="G3347" s="184"/>
      <c r="H3347" s="184"/>
      <c r="I3347" s="184"/>
      <c r="J3347" s="184"/>
      <c r="K3347" s="184"/>
      <c r="L3347" s="184"/>
      <c r="M3347" s="184"/>
      <c r="N3347" s="184"/>
      <c r="O3347" s="184"/>
    </row>
    <row r="3348" customFormat="false" ht="15" hidden="false" customHeight="true" outlineLevel="0" collapsed="false">
      <c r="A3348" s="184"/>
      <c r="B3348" s="184"/>
      <c r="C3348" s="184"/>
      <c r="D3348" s="184"/>
      <c r="E3348" s="184"/>
      <c r="F3348" s="184"/>
      <c r="G3348" s="184"/>
      <c r="H3348" s="184"/>
      <c r="I3348" s="184"/>
      <c r="J3348" s="184"/>
      <c r="K3348" s="184"/>
      <c r="L3348" s="184"/>
      <c r="M3348" s="184"/>
      <c r="N3348" s="184"/>
      <c r="O3348" s="184"/>
    </row>
    <row r="3349" customFormat="false" ht="15" hidden="false" customHeight="true" outlineLevel="0" collapsed="false">
      <c r="A3349" s="184"/>
      <c r="B3349" s="184"/>
      <c r="C3349" s="184"/>
      <c r="D3349" s="184"/>
      <c r="E3349" s="184"/>
      <c r="F3349" s="184"/>
      <c r="G3349" s="184"/>
      <c r="H3349" s="184"/>
      <c r="I3349" s="184"/>
      <c r="J3349" s="184"/>
      <c r="K3349" s="184"/>
      <c r="L3349" s="184"/>
      <c r="M3349" s="184"/>
      <c r="N3349" s="184"/>
      <c r="O3349" s="184"/>
    </row>
    <row r="3350" customFormat="false" ht="15" hidden="false" customHeight="true" outlineLevel="0" collapsed="false">
      <c r="A3350" s="184"/>
      <c r="B3350" s="184"/>
      <c r="C3350" s="184"/>
      <c r="D3350" s="184"/>
      <c r="E3350" s="184"/>
      <c r="F3350" s="184"/>
      <c r="G3350" s="184"/>
      <c r="H3350" s="184"/>
      <c r="I3350" s="184"/>
      <c r="J3350" s="184"/>
      <c r="K3350" s="184"/>
      <c r="L3350" s="184"/>
      <c r="M3350" s="184"/>
      <c r="N3350" s="184"/>
      <c r="O3350" s="184"/>
    </row>
    <row r="3351" customFormat="false" ht="15" hidden="false" customHeight="true" outlineLevel="0" collapsed="false">
      <c r="A3351" s="184"/>
      <c r="B3351" s="184"/>
      <c r="C3351" s="184"/>
      <c r="D3351" s="184"/>
      <c r="E3351" s="184"/>
      <c r="F3351" s="184"/>
      <c r="G3351" s="184"/>
      <c r="H3351" s="184"/>
      <c r="I3351" s="184"/>
      <c r="J3351" s="184"/>
      <c r="K3351" s="184"/>
      <c r="L3351" s="184"/>
      <c r="M3351" s="184"/>
      <c r="N3351" s="184"/>
      <c r="O3351" s="184"/>
    </row>
    <row r="3352" customFormat="false" ht="15" hidden="false" customHeight="true" outlineLevel="0" collapsed="false">
      <c r="A3352" s="184"/>
      <c r="B3352" s="184"/>
      <c r="C3352" s="184"/>
      <c r="D3352" s="184"/>
      <c r="E3352" s="184"/>
      <c r="F3352" s="184"/>
      <c r="G3352" s="184"/>
      <c r="H3352" s="184"/>
      <c r="I3352" s="184"/>
      <c r="J3352" s="184"/>
      <c r="K3352" s="184"/>
      <c r="L3352" s="184"/>
      <c r="M3352" s="184"/>
      <c r="N3352" s="184"/>
      <c r="O3352" s="184"/>
    </row>
    <row r="3353" customFormat="false" ht="15" hidden="false" customHeight="true" outlineLevel="0" collapsed="false">
      <c r="A3353" s="184"/>
      <c r="B3353" s="184"/>
      <c r="C3353" s="184"/>
      <c r="D3353" s="184"/>
      <c r="E3353" s="184"/>
      <c r="F3353" s="184"/>
      <c r="G3353" s="184"/>
      <c r="H3353" s="184"/>
      <c r="I3353" s="184"/>
      <c r="J3353" s="184"/>
      <c r="K3353" s="184"/>
      <c r="L3353" s="184"/>
      <c r="M3353" s="184"/>
      <c r="N3353" s="184"/>
      <c r="O3353" s="184"/>
    </row>
    <row r="3354" customFormat="false" ht="15" hidden="false" customHeight="true" outlineLevel="0" collapsed="false">
      <c r="A3354" s="184"/>
      <c r="B3354" s="184"/>
      <c r="C3354" s="184"/>
      <c r="D3354" s="184"/>
      <c r="E3354" s="184"/>
      <c r="F3354" s="184"/>
      <c r="G3354" s="184"/>
      <c r="H3354" s="184"/>
      <c r="I3354" s="184"/>
      <c r="J3354" s="184"/>
      <c r="K3354" s="184"/>
      <c r="L3354" s="184"/>
      <c r="M3354" s="184"/>
      <c r="N3354" s="184"/>
      <c r="O3354" s="184"/>
    </row>
    <row r="3355" customFormat="false" ht="15" hidden="false" customHeight="true" outlineLevel="0" collapsed="false">
      <c r="A3355" s="184"/>
      <c r="B3355" s="184"/>
      <c r="C3355" s="184"/>
      <c r="D3355" s="184"/>
      <c r="E3355" s="184"/>
      <c r="F3355" s="184"/>
      <c r="G3355" s="184"/>
      <c r="H3355" s="184"/>
      <c r="I3355" s="184"/>
      <c r="J3355" s="184"/>
      <c r="K3355" s="184"/>
      <c r="L3355" s="184"/>
      <c r="M3355" s="184"/>
      <c r="N3355" s="184"/>
      <c r="O3355" s="184"/>
    </row>
    <row r="3356" customFormat="false" ht="15" hidden="false" customHeight="true" outlineLevel="0" collapsed="false">
      <c r="A3356" s="184"/>
      <c r="B3356" s="184"/>
      <c r="C3356" s="184"/>
      <c r="D3356" s="184"/>
      <c r="E3356" s="184"/>
      <c r="F3356" s="184"/>
      <c r="G3356" s="184"/>
      <c r="H3356" s="184"/>
      <c r="I3356" s="184"/>
      <c r="J3356" s="184"/>
      <c r="K3356" s="184"/>
      <c r="L3356" s="184"/>
      <c r="M3356" s="184"/>
      <c r="N3356" s="184"/>
      <c r="O3356" s="184"/>
    </row>
    <row r="3357" customFormat="false" ht="15" hidden="false" customHeight="true" outlineLevel="0" collapsed="false">
      <c r="A3357" s="184"/>
      <c r="B3357" s="184"/>
      <c r="C3357" s="184"/>
      <c r="D3357" s="184"/>
      <c r="E3357" s="184"/>
      <c r="F3357" s="184"/>
      <c r="G3357" s="184"/>
      <c r="H3357" s="184"/>
      <c r="I3357" s="184"/>
      <c r="J3357" s="184"/>
      <c r="K3357" s="184"/>
      <c r="L3357" s="184"/>
      <c r="M3357" s="184"/>
      <c r="N3357" s="184"/>
      <c r="O3357" s="184"/>
    </row>
    <row r="3358" customFormat="false" ht="15" hidden="false" customHeight="true" outlineLevel="0" collapsed="false">
      <c r="A3358" s="184"/>
      <c r="B3358" s="184"/>
      <c r="C3358" s="184"/>
      <c r="D3358" s="184"/>
      <c r="E3358" s="184"/>
      <c r="F3358" s="184"/>
      <c r="G3358" s="184"/>
      <c r="H3358" s="184"/>
      <c r="I3358" s="184"/>
      <c r="J3358" s="184"/>
      <c r="K3358" s="184"/>
      <c r="L3358" s="184"/>
      <c r="M3358" s="184"/>
      <c r="N3358" s="184"/>
      <c r="O3358" s="184"/>
    </row>
    <row r="3359" customFormat="false" ht="15" hidden="false" customHeight="true" outlineLevel="0" collapsed="false">
      <c r="A3359" s="184"/>
      <c r="B3359" s="184"/>
      <c r="C3359" s="184"/>
      <c r="D3359" s="184"/>
      <c r="E3359" s="184"/>
      <c r="F3359" s="184"/>
      <c r="G3359" s="184"/>
      <c r="H3359" s="184"/>
      <c r="I3359" s="184"/>
      <c r="J3359" s="184"/>
      <c r="K3359" s="184"/>
      <c r="L3359" s="184"/>
      <c r="M3359" s="184"/>
      <c r="N3359" s="184"/>
      <c r="O3359" s="184"/>
    </row>
    <row r="3360" customFormat="false" ht="15" hidden="false" customHeight="true" outlineLevel="0" collapsed="false">
      <c r="A3360" s="184"/>
      <c r="B3360" s="184"/>
      <c r="C3360" s="184"/>
      <c r="D3360" s="184"/>
      <c r="E3360" s="184"/>
      <c r="F3360" s="184"/>
      <c r="G3360" s="184"/>
      <c r="H3360" s="184"/>
      <c r="I3360" s="184"/>
      <c r="J3360" s="184"/>
      <c r="K3360" s="184"/>
      <c r="L3360" s="184"/>
      <c r="M3360" s="184"/>
      <c r="N3360" s="184"/>
      <c r="O3360" s="184"/>
    </row>
    <row r="3361" customFormat="false" ht="15" hidden="false" customHeight="true" outlineLevel="0" collapsed="false">
      <c r="A3361" s="184"/>
      <c r="B3361" s="184"/>
      <c r="C3361" s="184"/>
      <c r="D3361" s="184"/>
      <c r="E3361" s="184"/>
      <c r="F3361" s="184"/>
      <c r="G3361" s="184"/>
      <c r="H3361" s="184"/>
      <c r="I3361" s="184"/>
      <c r="J3361" s="184"/>
      <c r="K3361" s="184"/>
      <c r="L3361" s="184"/>
      <c r="M3361" s="184"/>
      <c r="N3361" s="184"/>
      <c r="O3361" s="184"/>
    </row>
    <row r="3362" customFormat="false" ht="15" hidden="false" customHeight="true" outlineLevel="0" collapsed="false">
      <c r="A3362" s="184"/>
      <c r="B3362" s="184"/>
      <c r="C3362" s="184"/>
      <c r="D3362" s="184"/>
      <c r="E3362" s="184"/>
      <c r="F3362" s="184"/>
      <c r="G3362" s="184"/>
      <c r="H3362" s="184"/>
      <c r="I3362" s="184"/>
      <c r="J3362" s="184"/>
      <c r="K3362" s="184"/>
      <c r="L3362" s="184"/>
      <c r="M3362" s="184"/>
      <c r="N3362" s="184"/>
      <c r="O3362" s="184"/>
    </row>
    <row r="3363" customFormat="false" ht="15" hidden="false" customHeight="true" outlineLevel="0" collapsed="false">
      <c r="A3363" s="184"/>
      <c r="B3363" s="184"/>
      <c r="C3363" s="184"/>
      <c r="D3363" s="184"/>
      <c r="E3363" s="184"/>
      <c r="F3363" s="184"/>
      <c r="G3363" s="184"/>
      <c r="H3363" s="184"/>
      <c r="I3363" s="184"/>
      <c r="J3363" s="184"/>
      <c r="K3363" s="184"/>
      <c r="L3363" s="184"/>
      <c r="M3363" s="184"/>
      <c r="N3363" s="184"/>
      <c r="O3363" s="184"/>
    </row>
    <row r="3364" customFormat="false" ht="15" hidden="false" customHeight="true" outlineLevel="0" collapsed="false">
      <c r="A3364" s="184"/>
      <c r="B3364" s="184"/>
      <c r="C3364" s="184"/>
      <c r="D3364" s="184"/>
      <c r="E3364" s="184"/>
      <c r="F3364" s="184"/>
      <c r="G3364" s="184"/>
      <c r="H3364" s="184"/>
      <c r="I3364" s="184"/>
      <c r="J3364" s="184"/>
      <c r="K3364" s="184"/>
      <c r="L3364" s="184"/>
      <c r="M3364" s="184"/>
      <c r="N3364" s="184"/>
      <c r="O3364" s="184"/>
    </row>
    <row r="3365" customFormat="false" ht="15" hidden="false" customHeight="true" outlineLevel="0" collapsed="false">
      <c r="A3365" s="184"/>
      <c r="B3365" s="184"/>
      <c r="C3365" s="184"/>
      <c r="D3365" s="184"/>
      <c r="E3365" s="184"/>
      <c r="F3365" s="184"/>
      <c r="G3365" s="184"/>
      <c r="H3365" s="184"/>
      <c r="I3365" s="184"/>
      <c r="J3365" s="184"/>
      <c r="K3365" s="184"/>
      <c r="L3365" s="184"/>
      <c r="M3365" s="184"/>
      <c r="N3365" s="184"/>
      <c r="O3365" s="184"/>
    </row>
    <row r="3366" customFormat="false" ht="15" hidden="false" customHeight="true" outlineLevel="0" collapsed="false">
      <c r="A3366" s="184"/>
      <c r="B3366" s="184"/>
      <c r="C3366" s="184"/>
      <c r="D3366" s="184"/>
      <c r="E3366" s="184"/>
      <c r="F3366" s="184"/>
      <c r="G3366" s="184"/>
      <c r="H3366" s="184"/>
      <c r="I3366" s="184"/>
      <c r="J3366" s="184"/>
      <c r="K3366" s="184"/>
      <c r="L3366" s="184"/>
      <c r="M3366" s="184"/>
      <c r="N3366" s="184"/>
      <c r="O3366" s="184"/>
    </row>
    <row r="3367" customFormat="false" ht="15" hidden="false" customHeight="true" outlineLevel="0" collapsed="false">
      <c r="A3367" s="184"/>
      <c r="B3367" s="184"/>
      <c r="C3367" s="184"/>
      <c r="D3367" s="184"/>
      <c r="E3367" s="184"/>
      <c r="F3367" s="184"/>
      <c r="G3367" s="184"/>
      <c r="H3367" s="184"/>
      <c r="I3367" s="184"/>
      <c r="J3367" s="184"/>
      <c r="K3367" s="184"/>
      <c r="L3367" s="184"/>
      <c r="M3367" s="184"/>
      <c r="N3367" s="184"/>
      <c r="O3367" s="184"/>
    </row>
    <row r="3368" customFormat="false" ht="15" hidden="false" customHeight="true" outlineLevel="0" collapsed="false">
      <c r="A3368" s="184"/>
      <c r="B3368" s="184"/>
      <c r="C3368" s="184"/>
      <c r="D3368" s="184"/>
      <c r="E3368" s="184"/>
      <c r="F3368" s="184"/>
      <c r="G3368" s="184"/>
      <c r="H3368" s="184"/>
      <c r="I3368" s="184"/>
      <c r="J3368" s="184"/>
      <c r="K3368" s="184"/>
      <c r="L3368" s="184"/>
      <c r="M3368" s="184"/>
      <c r="N3368" s="184"/>
      <c r="O3368" s="184"/>
    </row>
    <row r="3369" customFormat="false" ht="15" hidden="false" customHeight="true" outlineLevel="0" collapsed="false">
      <c r="A3369" s="184"/>
      <c r="B3369" s="184"/>
      <c r="C3369" s="184"/>
      <c r="D3369" s="184"/>
      <c r="E3369" s="184"/>
      <c r="F3369" s="184"/>
      <c r="G3369" s="184"/>
      <c r="H3369" s="184"/>
      <c r="I3369" s="184"/>
      <c r="J3369" s="184"/>
      <c r="K3369" s="184"/>
      <c r="L3369" s="184"/>
      <c r="M3369" s="184"/>
      <c r="N3369" s="184"/>
      <c r="O3369" s="184"/>
    </row>
    <row r="3370" customFormat="false" ht="15" hidden="false" customHeight="true" outlineLevel="0" collapsed="false">
      <c r="A3370" s="184"/>
      <c r="B3370" s="184"/>
      <c r="C3370" s="184"/>
      <c r="D3370" s="184"/>
      <c r="E3370" s="184"/>
      <c r="F3370" s="184"/>
      <c r="G3370" s="184"/>
      <c r="H3370" s="184"/>
      <c r="I3370" s="184"/>
      <c r="J3370" s="184"/>
      <c r="K3370" s="184"/>
      <c r="L3370" s="184"/>
      <c r="M3370" s="184"/>
      <c r="N3370" s="184"/>
      <c r="O3370" s="184"/>
    </row>
    <row r="3371" customFormat="false" ht="15" hidden="false" customHeight="true" outlineLevel="0" collapsed="false">
      <c r="A3371" s="184"/>
      <c r="B3371" s="184"/>
      <c r="C3371" s="184"/>
      <c r="D3371" s="184"/>
      <c r="E3371" s="184"/>
      <c r="F3371" s="184"/>
      <c r="G3371" s="184"/>
      <c r="H3371" s="184"/>
      <c r="I3371" s="184"/>
      <c r="J3371" s="184"/>
      <c r="K3371" s="184"/>
      <c r="L3371" s="184"/>
      <c r="M3371" s="184"/>
      <c r="N3371" s="184"/>
      <c r="O3371" s="184"/>
    </row>
    <row r="3372" customFormat="false" ht="15" hidden="false" customHeight="true" outlineLevel="0" collapsed="false">
      <c r="A3372" s="184"/>
      <c r="B3372" s="184"/>
      <c r="C3372" s="184"/>
      <c r="D3372" s="184"/>
      <c r="E3372" s="184"/>
      <c r="F3372" s="184"/>
      <c r="G3372" s="184"/>
      <c r="H3372" s="184"/>
      <c r="I3372" s="184"/>
      <c r="J3372" s="184"/>
      <c r="K3372" s="184"/>
      <c r="L3372" s="184"/>
      <c r="M3372" s="184"/>
      <c r="N3372" s="184"/>
      <c r="O3372" s="184"/>
    </row>
    <row r="3373" customFormat="false" ht="15" hidden="false" customHeight="true" outlineLevel="0" collapsed="false">
      <c r="A3373" s="184"/>
      <c r="B3373" s="184"/>
      <c r="C3373" s="184"/>
      <c r="D3373" s="184"/>
      <c r="E3373" s="184"/>
      <c r="F3373" s="184"/>
      <c r="G3373" s="184"/>
      <c r="H3373" s="184"/>
      <c r="I3373" s="184"/>
      <c r="J3373" s="184"/>
      <c r="K3373" s="184"/>
      <c r="L3373" s="184"/>
      <c r="M3373" s="184"/>
      <c r="N3373" s="184"/>
      <c r="O3373" s="184"/>
    </row>
    <row r="3374" customFormat="false" ht="15" hidden="false" customHeight="true" outlineLevel="0" collapsed="false">
      <c r="A3374" s="184"/>
      <c r="B3374" s="184"/>
      <c r="C3374" s="184"/>
      <c r="D3374" s="184"/>
      <c r="E3374" s="184"/>
      <c r="F3374" s="184"/>
      <c r="G3374" s="184"/>
      <c r="H3374" s="184"/>
      <c r="I3374" s="184"/>
      <c r="J3374" s="184"/>
      <c r="K3374" s="184"/>
      <c r="L3374" s="184"/>
      <c r="M3374" s="184"/>
      <c r="N3374" s="184"/>
      <c r="O3374" s="184"/>
    </row>
    <row r="3375" customFormat="false" ht="15" hidden="false" customHeight="true" outlineLevel="0" collapsed="false">
      <c r="A3375" s="184"/>
      <c r="B3375" s="184"/>
      <c r="C3375" s="184"/>
      <c r="D3375" s="184"/>
      <c r="E3375" s="184"/>
      <c r="F3375" s="184"/>
      <c r="G3375" s="184"/>
      <c r="H3375" s="184"/>
      <c r="I3375" s="184"/>
      <c r="J3375" s="184"/>
      <c r="K3375" s="184"/>
      <c r="L3375" s="184"/>
      <c r="M3375" s="184"/>
      <c r="N3375" s="184"/>
      <c r="O3375" s="184"/>
    </row>
    <row r="3376" customFormat="false" ht="15" hidden="false" customHeight="true" outlineLevel="0" collapsed="false">
      <c r="A3376" s="184"/>
      <c r="B3376" s="184"/>
      <c r="C3376" s="184"/>
      <c r="D3376" s="184"/>
      <c r="E3376" s="184"/>
      <c r="F3376" s="184"/>
      <c r="G3376" s="184"/>
      <c r="H3376" s="184"/>
      <c r="I3376" s="184"/>
      <c r="J3376" s="184"/>
      <c r="K3376" s="184"/>
      <c r="L3376" s="184"/>
      <c r="M3376" s="184"/>
      <c r="N3376" s="184"/>
      <c r="O3376" s="184"/>
    </row>
    <row r="3377" customFormat="false" ht="15" hidden="false" customHeight="true" outlineLevel="0" collapsed="false">
      <c r="A3377" s="184"/>
      <c r="B3377" s="184"/>
      <c r="C3377" s="184"/>
      <c r="D3377" s="184"/>
      <c r="E3377" s="184"/>
      <c r="F3377" s="184"/>
      <c r="G3377" s="184"/>
      <c r="H3377" s="184"/>
      <c r="I3377" s="184"/>
      <c r="J3377" s="184"/>
      <c r="K3377" s="184"/>
      <c r="L3377" s="184"/>
      <c r="M3377" s="184"/>
      <c r="N3377" s="184"/>
      <c r="O3377" s="184"/>
    </row>
    <row r="3378" customFormat="false" ht="15" hidden="false" customHeight="true" outlineLevel="0" collapsed="false">
      <c r="A3378" s="184"/>
      <c r="B3378" s="184"/>
      <c r="C3378" s="184"/>
      <c r="D3378" s="184"/>
      <c r="E3378" s="184"/>
      <c r="F3378" s="184"/>
      <c r="G3378" s="184"/>
      <c r="H3378" s="184"/>
      <c r="I3378" s="184"/>
      <c r="J3378" s="184"/>
      <c r="K3378" s="184"/>
      <c r="L3378" s="184"/>
      <c r="M3378" s="184"/>
      <c r="N3378" s="184"/>
      <c r="O3378" s="184"/>
    </row>
    <row r="3379" customFormat="false" ht="15" hidden="false" customHeight="true" outlineLevel="0" collapsed="false">
      <c r="A3379" s="184"/>
      <c r="B3379" s="184"/>
      <c r="C3379" s="184"/>
      <c r="D3379" s="184"/>
      <c r="E3379" s="184"/>
      <c r="F3379" s="184"/>
      <c r="G3379" s="184"/>
      <c r="H3379" s="184"/>
      <c r="I3379" s="184"/>
      <c r="J3379" s="184"/>
      <c r="K3379" s="184"/>
      <c r="L3379" s="184"/>
      <c r="M3379" s="184"/>
      <c r="N3379" s="184"/>
      <c r="O3379" s="184"/>
    </row>
    <row r="3380" customFormat="false" ht="15" hidden="false" customHeight="true" outlineLevel="0" collapsed="false">
      <c r="A3380" s="184"/>
      <c r="B3380" s="184"/>
      <c r="C3380" s="184"/>
      <c r="D3380" s="184"/>
      <c r="E3380" s="184"/>
      <c r="F3380" s="184"/>
      <c r="G3380" s="184"/>
      <c r="H3380" s="184"/>
      <c r="I3380" s="184"/>
      <c r="J3380" s="184"/>
      <c r="K3380" s="184"/>
      <c r="L3380" s="184"/>
      <c r="M3380" s="184"/>
      <c r="N3380" s="184"/>
      <c r="O3380" s="184"/>
    </row>
    <row r="3381" customFormat="false" ht="15" hidden="false" customHeight="true" outlineLevel="0" collapsed="false">
      <c r="A3381" s="184"/>
      <c r="B3381" s="184"/>
      <c r="C3381" s="184"/>
      <c r="D3381" s="184"/>
      <c r="E3381" s="184"/>
      <c r="F3381" s="184"/>
      <c r="G3381" s="184"/>
      <c r="H3381" s="184"/>
      <c r="I3381" s="184"/>
      <c r="J3381" s="184"/>
      <c r="K3381" s="184"/>
      <c r="L3381" s="184"/>
      <c r="M3381" s="184"/>
      <c r="N3381" s="184"/>
      <c r="O3381" s="184"/>
    </row>
    <row r="3382" customFormat="false" ht="15" hidden="false" customHeight="true" outlineLevel="0" collapsed="false">
      <c r="A3382" s="184"/>
      <c r="B3382" s="184"/>
      <c r="C3382" s="184"/>
      <c r="D3382" s="184"/>
      <c r="E3382" s="184"/>
      <c r="F3382" s="184"/>
      <c r="G3382" s="184"/>
      <c r="H3382" s="184"/>
      <c r="I3382" s="184"/>
      <c r="J3382" s="184"/>
      <c r="K3382" s="184"/>
      <c r="L3382" s="184"/>
      <c r="M3382" s="184"/>
      <c r="N3382" s="184"/>
      <c r="O3382" s="184"/>
    </row>
    <row r="3383" customFormat="false" ht="15" hidden="false" customHeight="true" outlineLevel="0" collapsed="false">
      <c r="A3383" s="184"/>
      <c r="B3383" s="184"/>
      <c r="C3383" s="184"/>
      <c r="D3383" s="184"/>
      <c r="E3383" s="184"/>
      <c r="F3383" s="184"/>
      <c r="G3383" s="184"/>
      <c r="H3383" s="184"/>
      <c r="I3383" s="184"/>
      <c r="J3383" s="184"/>
      <c r="K3383" s="184"/>
      <c r="L3383" s="184"/>
      <c r="M3383" s="184"/>
      <c r="N3383" s="184"/>
      <c r="O3383" s="184"/>
    </row>
    <row r="3384" customFormat="false" ht="15" hidden="false" customHeight="true" outlineLevel="0" collapsed="false">
      <c r="A3384" s="184"/>
      <c r="B3384" s="184"/>
      <c r="C3384" s="184"/>
      <c r="D3384" s="184"/>
      <c r="E3384" s="184"/>
      <c r="F3384" s="184"/>
      <c r="G3384" s="184"/>
      <c r="H3384" s="184"/>
      <c r="I3384" s="184"/>
      <c r="J3384" s="184"/>
      <c r="K3384" s="184"/>
      <c r="L3384" s="184"/>
      <c r="M3384" s="184"/>
      <c r="N3384" s="184"/>
      <c r="O3384" s="184"/>
    </row>
    <row r="3385" customFormat="false" ht="15" hidden="false" customHeight="true" outlineLevel="0" collapsed="false">
      <c r="A3385" s="184"/>
      <c r="B3385" s="184"/>
      <c r="C3385" s="184"/>
      <c r="D3385" s="184"/>
      <c r="E3385" s="184"/>
      <c r="F3385" s="184"/>
      <c r="G3385" s="184"/>
      <c r="H3385" s="184"/>
      <c r="I3385" s="184"/>
      <c r="J3385" s="184"/>
      <c r="K3385" s="184"/>
      <c r="L3385" s="184"/>
      <c r="M3385" s="184"/>
      <c r="N3385" s="184"/>
      <c r="O3385" s="184"/>
    </row>
    <row r="3386" customFormat="false" ht="15" hidden="false" customHeight="true" outlineLevel="0" collapsed="false">
      <c r="A3386" s="184"/>
      <c r="B3386" s="184"/>
      <c r="C3386" s="184"/>
      <c r="D3386" s="184"/>
      <c r="E3386" s="184"/>
      <c r="F3386" s="184"/>
      <c r="G3386" s="184"/>
      <c r="H3386" s="184"/>
      <c r="I3386" s="184"/>
      <c r="J3386" s="184"/>
      <c r="K3386" s="184"/>
      <c r="L3386" s="184"/>
      <c r="M3386" s="184"/>
      <c r="N3386" s="184"/>
      <c r="O3386" s="184"/>
    </row>
    <row r="3387" customFormat="false" ht="15" hidden="false" customHeight="true" outlineLevel="0" collapsed="false">
      <c r="A3387" s="184"/>
      <c r="B3387" s="184"/>
      <c r="C3387" s="184"/>
      <c r="D3387" s="184"/>
      <c r="E3387" s="184"/>
      <c r="F3387" s="184"/>
      <c r="G3387" s="184"/>
      <c r="H3387" s="184"/>
      <c r="I3387" s="184"/>
      <c r="J3387" s="184"/>
      <c r="K3387" s="184"/>
      <c r="L3387" s="184"/>
      <c r="M3387" s="184"/>
      <c r="N3387" s="184"/>
      <c r="O3387" s="184"/>
    </row>
    <row r="3388" customFormat="false" ht="15" hidden="false" customHeight="true" outlineLevel="0" collapsed="false">
      <c r="A3388" s="184"/>
      <c r="B3388" s="184"/>
      <c r="C3388" s="184"/>
      <c r="D3388" s="184"/>
      <c r="E3388" s="184"/>
      <c r="F3388" s="184"/>
      <c r="G3388" s="184"/>
      <c r="H3388" s="184"/>
      <c r="I3388" s="184"/>
      <c r="J3388" s="184"/>
      <c r="K3388" s="184"/>
      <c r="L3388" s="184"/>
      <c r="M3388" s="184"/>
      <c r="N3388" s="184"/>
      <c r="O3388" s="184"/>
    </row>
    <row r="3389" customFormat="false" ht="15" hidden="false" customHeight="true" outlineLevel="0" collapsed="false">
      <c r="A3389" s="184"/>
      <c r="B3389" s="184"/>
      <c r="C3389" s="184"/>
      <c r="D3389" s="184"/>
      <c r="E3389" s="184"/>
      <c r="F3389" s="184"/>
      <c r="G3389" s="184"/>
      <c r="H3389" s="184"/>
      <c r="I3389" s="184"/>
      <c r="J3389" s="184"/>
      <c r="K3389" s="184"/>
      <c r="L3389" s="184"/>
      <c r="M3389" s="184"/>
      <c r="N3389" s="184"/>
      <c r="O3389" s="184"/>
    </row>
    <row r="3390" customFormat="false" ht="15" hidden="false" customHeight="true" outlineLevel="0" collapsed="false">
      <c r="A3390" s="184"/>
      <c r="B3390" s="184"/>
      <c r="C3390" s="184"/>
      <c r="D3390" s="184"/>
      <c r="E3390" s="184"/>
      <c r="F3390" s="184"/>
      <c r="G3390" s="184"/>
      <c r="H3390" s="184"/>
      <c r="I3390" s="184"/>
      <c r="J3390" s="184"/>
      <c r="K3390" s="184"/>
      <c r="L3390" s="184"/>
      <c r="M3390" s="184"/>
      <c r="N3390" s="184"/>
      <c r="O3390" s="184"/>
    </row>
    <row r="3391" customFormat="false" ht="15" hidden="false" customHeight="true" outlineLevel="0" collapsed="false">
      <c r="A3391" s="184"/>
      <c r="B3391" s="184"/>
      <c r="C3391" s="184"/>
      <c r="D3391" s="184"/>
      <c r="E3391" s="184"/>
      <c r="F3391" s="184"/>
      <c r="G3391" s="184"/>
      <c r="H3391" s="184"/>
      <c r="I3391" s="184"/>
      <c r="J3391" s="184"/>
      <c r="K3391" s="184"/>
      <c r="L3391" s="184"/>
      <c r="M3391" s="184"/>
      <c r="N3391" s="184"/>
      <c r="O3391" s="184"/>
    </row>
    <row r="3392" customFormat="false" ht="15" hidden="false" customHeight="true" outlineLevel="0" collapsed="false">
      <c r="A3392" s="184"/>
      <c r="B3392" s="184"/>
      <c r="C3392" s="184"/>
      <c r="D3392" s="184"/>
      <c r="E3392" s="184"/>
      <c r="F3392" s="184"/>
      <c r="G3392" s="184"/>
      <c r="H3392" s="184"/>
      <c r="I3392" s="184"/>
      <c r="J3392" s="184"/>
      <c r="K3392" s="184"/>
      <c r="L3392" s="184"/>
      <c r="M3392" s="184"/>
      <c r="N3392" s="184"/>
      <c r="O3392" s="184"/>
    </row>
    <row r="3393" customFormat="false" ht="15" hidden="false" customHeight="true" outlineLevel="0" collapsed="false">
      <c r="A3393" s="184"/>
      <c r="B3393" s="184"/>
      <c r="C3393" s="184"/>
      <c r="D3393" s="184"/>
      <c r="E3393" s="184"/>
      <c r="F3393" s="184"/>
      <c r="G3393" s="184"/>
      <c r="H3393" s="184"/>
      <c r="I3393" s="184"/>
      <c r="J3393" s="184"/>
      <c r="K3393" s="184"/>
      <c r="L3393" s="184"/>
      <c r="M3393" s="184"/>
      <c r="N3393" s="184"/>
      <c r="O3393" s="184"/>
    </row>
    <row r="3394" customFormat="false" ht="15" hidden="false" customHeight="true" outlineLevel="0" collapsed="false">
      <c r="A3394" s="184"/>
      <c r="B3394" s="184"/>
      <c r="C3394" s="184"/>
      <c r="D3394" s="184"/>
      <c r="E3394" s="184"/>
      <c r="F3394" s="184"/>
      <c r="G3394" s="184"/>
      <c r="H3394" s="184"/>
      <c r="I3394" s="184"/>
      <c r="J3394" s="184"/>
      <c r="K3394" s="184"/>
      <c r="L3394" s="184"/>
      <c r="M3394" s="184"/>
      <c r="N3394" s="184"/>
      <c r="O3394" s="184"/>
    </row>
    <row r="3395" customFormat="false" ht="15" hidden="false" customHeight="true" outlineLevel="0" collapsed="false">
      <c r="A3395" s="184"/>
      <c r="B3395" s="184"/>
      <c r="C3395" s="184"/>
      <c r="D3395" s="184"/>
      <c r="E3395" s="184"/>
      <c r="F3395" s="184"/>
      <c r="G3395" s="184"/>
      <c r="H3395" s="184"/>
      <c r="I3395" s="184"/>
      <c r="J3395" s="184"/>
      <c r="K3395" s="184"/>
      <c r="L3395" s="184"/>
      <c r="M3395" s="184"/>
      <c r="N3395" s="184"/>
      <c r="O3395" s="184"/>
    </row>
    <row r="3396" customFormat="false" ht="15" hidden="false" customHeight="true" outlineLevel="0" collapsed="false">
      <c r="A3396" s="184"/>
      <c r="B3396" s="184"/>
      <c r="C3396" s="184"/>
      <c r="D3396" s="184"/>
      <c r="E3396" s="184"/>
      <c r="F3396" s="184"/>
      <c r="G3396" s="184"/>
      <c r="H3396" s="184"/>
      <c r="I3396" s="184"/>
      <c r="J3396" s="184"/>
      <c r="K3396" s="184"/>
      <c r="L3396" s="184"/>
      <c r="M3396" s="184"/>
      <c r="N3396" s="184"/>
      <c r="O3396" s="184"/>
    </row>
    <row r="3397" customFormat="false" ht="15" hidden="false" customHeight="true" outlineLevel="0" collapsed="false">
      <c r="A3397" s="184"/>
      <c r="B3397" s="184"/>
      <c r="C3397" s="184"/>
      <c r="D3397" s="184"/>
      <c r="E3397" s="184"/>
      <c r="F3397" s="184"/>
      <c r="G3397" s="184"/>
      <c r="H3397" s="184"/>
      <c r="I3397" s="184"/>
      <c r="J3397" s="184"/>
      <c r="K3397" s="184"/>
      <c r="L3397" s="184"/>
      <c r="M3397" s="184"/>
      <c r="N3397" s="184"/>
      <c r="O3397" s="184"/>
    </row>
    <row r="3398" customFormat="false" ht="15" hidden="false" customHeight="true" outlineLevel="0" collapsed="false">
      <c r="A3398" s="184"/>
      <c r="B3398" s="184"/>
      <c r="C3398" s="184"/>
      <c r="D3398" s="184"/>
      <c r="E3398" s="184"/>
      <c r="F3398" s="184"/>
      <c r="G3398" s="184"/>
      <c r="H3398" s="184"/>
      <c r="I3398" s="184"/>
      <c r="J3398" s="184"/>
      <c r="K3398" s="184"/>
      <c r="L3398" s="184"/>
      <c r="M3398" s="184"/>
      <c r="N3398" s="184"/>
      <c r="O3398" s="184"/>
    </row>
    <row r="3399" customFormat="false" ht="15" hidden="false" customHeight="true" outlineLevel="0" collapsed="false">
      <c r="A3399" s="184"/>
      <c r="B3399" s="184"/>
      <c r="C3399" s="184"/>
      <c r="D3399" s="184"/>
      <c r="E3399" s="184"/>
      <c r="F3399" s="184"/>
      <c r="G3399" s="184"/>
      <c r="H3399" s="184"/>
      <c r="I3399" s="184"/>
      <c r="J3399" s="184"/>
      <c r="K3399" s="184"/>
      <c r="L3399" s="184"/>
      <c r="M3399" s="184"/>
      <c r="N3399" s="184"/>
      <c r="O3399" s="184"/>
    </row>
    <row r="3400" customFormat="false" ht="15" hidden="false" customHeight="true" outlineLevel="0" collapsed="false">
      <c r="A3400" s="184"/>
      <c r="B3400" s="184"/>
      <c r="C3400" s="184"/>
      <c r="D3400" s="184"/>
      <c r="E3400" s="184"/>
      <c r="F3400" s="184"/>
      <c r="G3400" s="184"/>
      <c r="H3400" s="184"/>
      <c r="I3400" s="184"/>
      <c r="J3400" s="184"/>
      <c r="K3400" s="184"/>
      <c r="L3400" s="184"/>
      <c r="M3400" s="184"/>
      <c r="N3400" s="184"/>
      <c r="O3400" s="184"/>
    </row>
    <row r="3401" customFormat="false" ht="15" hidden="false" customHeight="true" outlineLevel="0" collapsed="false">
      <c r="A3401" s="184"/>
      <c r="B3401" s="184"/>
      <c r="C3401" s="184"/>
      <c r="D3401" s="184"/>
      <c r="E3401" s="184"/>
      <c r="F3401" s="184"/>
      <c r="G3401" s="184"/>
      <c r="H3401" s="184"/>
      <c r="I3401" s="184"/>
      <c r="J3401" s="184"/>
      <c r="K3401" s="184"/>
      <c r="L3401" s="184"/>
      <c r="M3401" s="184"/>
      <c r="N3401" s="184"/>
      <c r="O3401" s="184"/>
    </row>
    <row r="3402" customFormat="false" ht="15" hidden="false" customHeight="true" outlineLevel="0" collapsed="false">
      <c r="A3402" s="184"/>
      <c r="B3402" s="184"/>
      <c r="C3402" s="184"/>
      <c r="D3402" s="184"/>
      <c r="E3402" s="184"/>
      <c r="F3402" s="184"/>
      <c r="G3402" s="184"/>
      <c r="H3402" s="184"/>
      <c r="I3402" s="184"/>
      <c r="J3402" s="184"/>
      <c r="K3402" s="184"/>
      <c r="L3402" s="184"/>
      <c r="M3402" s="184"/>
      <c r="N3402" s="184"/>
      <c r="O3402" s="184"/>
    </row>
    <row r="3403" customFormat="false" ht="68.25" hidden="false" customHeight="true" outlineLevel="0" collapsed="false">
      <c r="A3403" s="184" t="s">
        <v>4966</v>
      </c>
      <c r="B3403" s="184" t="s">
        <v>4967</v>
      </c>
      <c r="C3403" s="184"/>
      <c r="D3403" s="179" t="s">
        <v>4858</v>
      </c>
      <c r="E3403" s="184" t="s">
        <v>7190</v>
      </c>
      <c r="F3403" s="184"/>
      <c r="G3403" s="184"/>
      <c r="H3403" s="184"/>
      <c r="I3403" s="184"/>
      <c r="J3403" s="184"/>
      <c r="K3403" s="184"/>
      <c r="L3403" s="184"/>
      <c r="M3403" s="184" t="s">
        <v>7172</v>
      </c>
      <c r="N3403" s="184"/>
      <c r="O3403" s="184"/>
    </row>
    <row r="3404" customFormat="false" ht="27.75" hidden="false" customHeight="true" outlineLevel="0" collapsed="false">
      <c r="A3404" s="184" t="s">
        <v>4966</v>
      </c>
      <c r="B3404" s="184" t="s">
        <v>4967</v>
      </c>
      <c r="C3404" s="184" t="n">
        <v>1</v>
      </c>
      <c r="D3404" s="184" t="s">
        <v>6296</v>
      </c>
      <c r="E3404" s="184" t="s">
        <v>7184</v>
      </c>
      <c r="F3404" s="184"/>
      <c r="G3404" s="184"/>
      <c r="H3404" s="184"/>
      <c r="I3404" s="184"/>
      <c r="J3404" s="184"/>
      <c r="K3404" s="184"/>
      <c r="L3404" s="184"/>
      <c r="M3404" s="184"/>
      <c r="N3404" s="184"/>
      <c r="O3404" s="184"/>
    </row>
    <row r="3405" customFormat="false" ht="27.75" hidden="false" customHeight="true" outlineLevel="0" collapsed="false">
      <c r="A3405" s="184" t="s">
        <v>4966</v>
      </c>
      <c r="B3405" s="184" t="s">
        <v>4967</v>
      </c>
      <c r="C3405" s="184" t="n">
        <v>2</v>
      </c>
      <c r="D3405" s="177" t="s">
        <v>6298</v>
      </c>
      <c r="E3405" s="184" t="s">
        <v>7174</v>
      </c>
      <c r="F3405" s="184"/>
      <c r="G3405" s="184"/>
      <c r="H3405" s="184"/>
      <c r="I3405" s="184"/>
      <c r="J3405" s="184"/>
      <c r="K3405" s="184"/>
      <c r="L3405" s="184"/>
      <c r="M3405" s="184"/>
      <c r="N3405" s="184"/>
      <c r="O3405" s="184"/>
    </row>
    <row r="3406" customFormat="false" ht="27.75" hidden="false" customHeight="true" outlineLevel="0" collapsed="false">
      <c r="A3406" s="184" t="s">
        <v>4966</v>
      </c>
      <c r="B3406" s="184" t="s">
        <v>4967</v>
      </c>
      <c r="C3406" s="184" t="n">
        <v>3</v>
      </c>
      <c r="D3406" s="178" t="s">
        <v>5269</v>
      </c>
      <c r="E3406" s="184" t="s">
        <v>7175</v>
      </c>
      <c r="F3406" s="184"/>
      <c r="G3406" s="184"/>
      <c r="H3406" s="184"/>
      <c r="I3406" s="184"/>
      <c r="J3406" s="184"/>
      <c r="K3406" s="184"/>
      <c r="L3406" s="184"/>
      <c r="M3406" s="184" t="s">
        <v>7178</v>
      </c>
      <c r="N3406" s="184"/>
      <c r="O3406" s="184"/>
    </row>
    <row r="3407" customFormat="false" ht="27.75" hidden="false" customHeight="true" outlineLevel="0" collapsed="false">
      <c r="A3407" s="184" t="s">
        <v>4966</v>
      </c>
      <c r="B3407" s="184" t="s">
        <v>4967</v>
      </c>
      <c r="C3407" s="184" t="n">
        <v>4</v>
      </c>
      <c r="D3407" s="184" t="s">
        <v>6296</v>
      </c>
      <c r="E3407" s="184" t="s">
        <v>7184</v>
      </c>
      <c r="F3407" s="184"/>
      <c r="G3407" s="184"/>
      <c r="H3407" s="184"/>
      <c r="I3407" s="184"/>
      <c r="J3407" s="184"/>
      <c r="K3407" s="184"/>
      <c r="L3407" s="184"/>
      <c r="M3407" s="184"/>
      <c r="N3407" s="184"/>
      <c r="O3407" s="184"/>
    </row>
    <row r="3408" customFormat="false" ht="41.25" hidden="false" customHeight="true" outlineLevel="0" collapsed="false">
      <c r="A3408" s="184" t="s">
        <v>4966</v>
      </c>
      <c r="B3408" s="184" t="s">
        <v>4967</v>
      </c>
      <c r="C3408" s="184" t="n">
        <v>5</v>
      </c>
      <c r="D3408" s="177" t="s">
        <v>6298</v>
      </c>
      <c r="E3408" s="184" t="s">
        <v>7177</v>
      </c>
      <c r="F3408" s="184"/>
      <c r="G3408" s="184"/>
      <c r="H3408" s="184"/>
      <c r="I3408" s="184"/>
      <c r="J3408" s="184"/>
      <c r="K3408" s="184"/>
      <c r="L3408" s="184"/>
      <c r="M3408" s="184"/>
      <c r="N3408" s="184"/>
      <c r="O3408" s="184"/>
    </row>
    <row r="3409" customFormat="false" ht="27.75" hidden="false" customHeight="true" outlineLevel="0" collapsed="false">
      <c r="A3409" s="184" t="s">
        <v>4966</v>
      </c>
      <c r="B3409" s="184" t="s">
        <v>4967</v>
      </c>
      <c r="C3409" s="184" t="n">
        <v>6</v>
      </c>
      <c r="D3409" s="184" t="s">
        <v>4790</v>
      </c>
      <c r="E3409" s="184" t="s">
        <v>1779</v>
      </c>
      <c r="F3409" s="184"/>
      <c r="G3409" s="184"/>
      <c r="H3409" s="184"/>
      <c r="I3409" s="184"/>
      <c r="J3409" s="184"/>
      <c r="K3409" s="184"/>
      <c r="L3409" s="184"/>
      <c r="M3409" s="184"/>
      <c r="N3409" s="184"/>
      <c r="O3409" s="184"/>
    </row>
    <row r="3410" customFormat="false" ht="27.75" hidden="false" customHeight="true" outlineLevel="0" collapsed="false">
      <c r="A3410" s="184" t="s">
        <v>4966</v>
      </c>
      <c r="B3410" s="184" t="s">
        <v>4967</v>
      </c>
      <c r="C3410" s="184" t="n">
        <v>7</v>
      </c>
      <c r="D3410" s="178" t="s">
        <v>5269</v>
      </c>
      <c r="E3410" s="184" t="s">
        <v>7175</v>
      </c>
      <c r="F3410" s="184"/>
      <c r="G3410" s="184"/>
      <c r="H3410" s="184"/>
      <c r="I3410" s="184"/>
      <c r="J3410" s="184"/>
      <c r="K3410" s="184"/>
      <c r="L3410" s="184"/>
      <c r="M3410" s="184" t="s">
        <v>7178</v>
      </c>
      <c r="N3410" s="184"/>
      <c r="O3410" s="184"/>
    </row>
    <row r="3411" customFormat="false" ht="27.75" hidden="false" customHeight="true" outlineLevel="0" collapsed="false">
      <c r="A3411" s="184" t="s">
        <v>4966</v>
      </c>
      <c r="B3411" s="184" t="s">
        <v>4967</v>
      </c>
      <c r="C3411" s="184" t="n">
        <v>8</v>
      </c>
      <c r="D3411" s="184" t="s">
        <v>4790</v>
      </c>
      <c r="E3411" s="184" t="s">
        <v>2630</v>
      </c>
      <c r="F3411" s="184"/>
      <c r="G3411" s="184"/>
      <c r="H3411" s="184"/>
      <c r="I3411" s="184"/>
      <c r="J3411" s="184"/>
      <c r="K3411" s="184"/>
      <c r="L3411" s="184"/>
      <c r="M3411" s="184"/>
      <c r="N3411" s="184"/>
      <c r="O3411" s="184"/>
    </row>
    <row r="3412" customFormat="false" ht="27.75" hidden="false" customHeight="true" outlineLevel="0" collapsed="false">
      <c r="A3412" s="184" t="s">
        <v>4966</v>
      </c>
      <c r="B3412" s="184" t="s">
        <v>4967</v>
      </c>
      <c r="C3412" s="184" t="n">
        <v>9</v>
      </c>
      <c r="D3412" s="178" t="s">
        <v>5269</v>
      </c>
      <c r="E3412" s="184" t="s">
        <v>7175</v>
      </c>
      <c r="F3412" s="184"/>
      <c r="G3412" s="184"/>
      <c r="H3412" s="184"/>
      <c r="I3412" s="184"/>
      <c r="J3412" s="184"/>
      <c r="K3412" s="184"/>
      <c r="L3412" s="184"/>
      <c r="M3412" s="184" t="s">
        <v>7179</v>
      </c>
      <c r="N3412" s="184"/>
      <c r="O3412" s="184"/>
    </row>
    <row r="3413" customFormat="false" ht="15" hidden="false" customHeight="true" outlineLevel="0" collapsed="false">
      <c r="A3413" s="184"/>
      <c r="B3413" s="184"/>
      <c r="C3413" s="184"/>
      <c r="D3413" s="184"/>
      <c r="E3413" s="184"/>
      <c r="F3413" s="184"/>
      <c r="G3413" s="184"/>
      <c r="H3413" s="184"/>
      <c r="I3413" s="184"/>
      <c r="J3413" s="184"/>
      <c r="K3413" s="184"/>
      <c r="L3413" s="184"/>
      <c r="M3413" s="184"/>
      <c r="N3413" s="184"/>
      <c r="O3413" s="184"/>
    </row>
    <row r="3414" customFormat="false" ht="15" hidden="false" customHeight="true" outlineLevel="0" collapsed="false">
      <c r="A3414" s="184"/>
      <c r="B3414" s="184"/>
      <c r="C3414" s="184"/>
      <c r="D3414" s="184"/>
      <c r="E3414" s="184"/>
      <c r="F3414" s="184"/>
      <c r="G3414" s="184"/>
      <c r="H3414" s="184"/>
      <c r="I3414" s="184"/>
      <c r="J3414" s="184"/>
      <c r="K3414" s="184"/>
      <c r="L3414" s="184"/>
      <c r="M3414" s="184"/>
      <c r="N3414" s="184"/>
      <c r="O3414" s="184"/>
    </row>
    <row r="3415" customFormat="false" ht="15" hidden="false" customHeight="true" outlineLevel="0" collapsed="false">
      <c r="A3415" s="184"/>
      <c r="B3415" s="184"/>
      <c r="C3415" s="184"/>
      <c r="D3415" s="184"/>
      <c r="E3415" s="184"/>
      <c r="F3415" s="184"/>
      <c r="G3415" s="184"/>
      <c r="H3415" s="184"/>
      <c r="I3415" s="184"/>
      <c r="J3415" s="184"/>
      <c r="K3415" s="184"/>
      <c r="L3415" s="184"/>
      <c r="M3415" s="184"/>
      <c r="N3415" s="184"/>
      <c r="O3415" s="184"/>
    </row>
    <row r="3416" customFormat="false" ht="15" hidden="false" customHeight="true" outlineLevel="0" collapsed="false">
      <c r="A3416" s="184"/>
      <c r="B3416" s="184"/>
      <c r="C3416" s="184"/>
      <c r="D3416" s="184"/>
      <c r="E3416" s="184"/>
      <c r="F3416" s="184"/>
      <c r="G3416" s="184"/>
      <c r="H3416" s="184"/>
      <c r="I3416" s="184"/>
      <c r="J3416" s="184"/>
      <c r="K3416" s="184"/>
      <c r="L3416" s="184"/>
      <c r="M3416" s="184"/>
      <c r="N3416" s="184"/>
      <c r="O3416" s="184"/>
    </row>
    <row r="3417" customFormat="false" ht="15" hidden="false" customHeight="true" outlineLevel="0" collapsed="false">
      <c r="A3417" s="184"/>
      <c r="B3417" s="184"/>
      <c r="C3417" s="184"/>
      <c r="D3417" s="184"/>
      <c r="E3417" s="184"/>
      <c r="F3417" s="184"/>
      <c r="G3417" s="184"/>
      <c r="H3417" s="184"/>
      <c r="I3417" s="184"/>
      <c r="J3417" s="184"/>
      <c r="K3417" s="184"/>
      <c r="L3417" s="184"/>
      <c r="M3417" s="184"/>
      <c r="N3417" s="184"/>
      <c r="O3417" s="184"/>
    </row>
    <row r="3418" customFormat="false" ht="15" hidden="false" customHeight="true" outlineLevel="0" collapsed="false">
      <c r="A3418" s="184"/>
      <c r="B3418" s="184"/>
      <c r="C3418" s="184"/>
      <c r="D3418" s="184"/>
      <c r="E3418" s="184"/>
      <c r="F3418" s="184"/>
      <c r="G3418" s="184"/>
      <c r="H3418" s="184"/>
      <c r="I3418" s="184"/>
      <c r="J3418" s="184"/>
      <c r="K3418" s="184"/>
      <c r="L3418" s="184"/>
      <c r="M3418" s="184"/>
      <c r="N3418" s="184"/>
      <c r="O3418" s="184"/>
    </row>
    <row r="3419" customFormat="false" ht="15" hidden="false" customHeight="true" outlineLevel="0" collapsed="false">
      <c r="A3419" s="184"/>
      <c r="B3419" s="184"/>
      <c r="C3419" s="184"/>
      <c r="D3419" s="184"/>
      <c r="E3419" s="184"/>
      <c r="F3419" s="184"/>
      <c r="G3419" s="184"/>
      <c r="H3419" s="184"/>
      <c r="I3419" s="184"/>
      <c r="J3419" s="184"/>
      <c r="K3419" s="184"/>
      <c r="L3419" s="184"/>
      <c r="M3419" s="184"/>
      <c r="N3419" s="184"/>
      <c r="O3419" s="184"/>
    </row>
    <row r="3420" customFormat="false" ht="15" hidden="false" customHeight="true" outlineLevel="0" collapsed="false">
      <c r="A3420" s="184"/>
      <c r="B3420" s="184"/>
      <c r="C3420" s="184"/>
      <c r="D3420" s="184"/>
      <c r="E3420" s="184"/>
      <c r="F3420" s="184"/>
      <c r="G3420" s="184"/>
      <c r="H3420" s="184"/>
      <c r="I3420" s="184"/>
      <c r="J3420" s="184"/>
      <c r="K3420" s="184"/>
      <c r="L3420" s="184"/>
      <c r="M3420" s="184"/>
      <c r="N3420" s="184"/>
      <c r="O3420" s="184"/>
    </row>
    <row r="3421" customFormat="false" ht="15" hidden="false" customHeight="true" outlineLevel="0" collapsed="false">
      <c r="A3421" s="184"/>
      <c r="B3421" s="184"/>
      <c r="C3421" s="184"/>
      <c r="D3421" s="184"/>
      <c r="E3421" s="184"/>
      <c r="F3421" s="184"/>
      <c r="G3421" s="184"/>
      <c r="H3421" s="184"/>
      <c r="I3421" s="184"/>
      <c r="J3421" s="184"/>
      <c r="K3421" s="184"/>
      <c r="L3421" s="184"/>
      <c r="M3421" s="184"/>
      <c r="N3421" s="184"/>
      <c r="O3421" s="184"/>
    </row>
    <row r="3422" customFormat="false" ht="15" hidden="false" customHeight="true" outlineLevel="0" collapsed="false">
      <c r="A3422" s="184"/>
      <c r="B3422" s="184"/>
      <c r="C3422" s="184"/>
      <c r="D3422" s="184"/>
      <c r="E3422" s="184"/>
      <c r="F3422" s="184"/>
      <c r="G3422" s="184"/>
      <c r="H3422" s="184"/>
      <c r="I3422" s="184"/>
      <c r="J3422" s="184"/>
      <c r="K3422" s="184"/>
      <c r="L3422" s="184"/>
      <c r="M3422" s="184"/>
      <c r="N3422" s="184"/>
      <c r="O3422" s="184"/>
    </row>
    <row r="3423" customFormat="false" ht="15" hidden="false" customHeight="true" outlineLevel="0" collapsed="false">
      <c r="A3423" s="184"/>
      <c r="B3423" s="184"/>
      <c r="C3423" s="184"/>
      <c r="D3423" s="184"/>
      <c r="E3423" s="184"/>
      <c r="F3423" s="184"/>
      <c r="G3423" s="184"/>
      <c r="H3423" s="184"/>
      <c r="I3423" s="184"/>
      <c r="J3423" s="184"/>
      <c r="K3423" s="184"/>
      <c r="L3423" s="184"/>
      <c r="M3423" s="184"/>
      <c r="N3423" s="184"/>
      <c r="O3423" s="184"/>
    </row>
    <row r="3424" customFormat="false" ht="15" hidden="false" customHeight="true" outlineLevel="0" collapsed="false">
      <c r="A3424" s="184"/>
      <c r="B3424" s="184"/>
      <c r="C3424" s="184"/>
      <c r="D3424" s="184"/>
      <c r="E3424" s="184"/>
      <c r="F3424" s="184"/>
      <c r="G3424" s="184"/>
      <c r="H3424" s="184"/>
      <c r="I3424" s="184"/>
      <c r="J3424" s="184"/>
      <c r="K3424" s="184"/>
      <c r="L3424" s="184"/>
      <c r="M3424" s="184"/>
      <c r="N3424" s="184"/>
      <c r="O3424" s="184"/>
    </row>
    <row r="3425" customFormat="false" ht="15" hidden="false" customHeight="true" outlineLevel="0" collapsed="false">
      <c r="A3425" s="184"/>
      <c r="B3425" s="184"/>
      <c r="C3425" s="184"/>
      <c r="D3425" s="184"/>
      <c r="E3425" s="184"/>
      <c r="F3425" s="184"/>
      <c r="G3425" s="184"/>
      <c r="H3425" s="184"/>
      <c r="I3425" s="184"/>
      <c r="J3425" s="184"/>
      <c r="K3425" s="184"/>
      <c r="L3425" s="184"/>
      <c r="M3425" s="184"/>
      <c r="N3425" s="184"/>
      <c r="O3425" s="184"/>
    </row>
    <row r="3426" customFormat="false" ht="15" hidden="false" customHeight="true" outlineLevel="0" collapsed="false">
      <c r="A3426" s="184"/>
      <c r="B3426" s="184"/>
      <c r="C3426" s="184"/>
      <c r="D3426" s="184"/>
      <c r="E3426" s="184"/>
      <c r="F3426" s="184"/>
      <c r="G3426" s="184"/>
      <c r="H3426" s="184"/>
      <c r="I3426" s="184"/>
      <c r="J3426" s="184"/>
      <c r="K3426" s="184"/>
      <c r="L3426" s="184"/>
      <c r="M3426" s="184"/>
      <c r="N3426" s="184"/>
      <c r="O3426" s="184"/>
    </row>
    <row r="3427" customFormat="false" ht="15" hidden="false" customHeight="true" outlineLevel="0" collapsed="false">
      <c r="A3427" s="184"/>
      <c r="B3427" s="184"/>
      <c r="C3427" s="184"/>
      <c r="D3427" s="184"/>
      <c r="E3427" s="184"/>
      <c r="F3427" s="184"/>
      <c r="G3427" s="184"/>
      <c r="H3427" s="184"/>
      <c r="I3427" s="184"/>
      <c r="J3427" s="184"/>
      <c r="K3427" s="184"/>
      <c r="L3427" s="184"/>
      <c r="M3427" s="184"/>
      <c r="N3427" s="184"/>
      <c r="O3427" s="184"/>
    </row>
    <row r="3428" customFormat="false" ht="15" hidden="false" customHeight="true" outlineLevel="0" collapsed="false">
      <c r="A3428" s="184"/>
      <c r="B3428" s="184"/>
      <c r="C3428" s="184"/>
      <c r="D3428" s="184"/>
      <c r="E3428" s="184"/>
      <c r="F3428" s="184"/>
      <c r="G3428" s="184"/>
      <c r="H3428" s="184"/>
      <c r="I3428" s="184"/>
      <c r="J3428" s="184"/>
      <c r="K3428" s="184"/>
      <c r="L3428" s="184"/>
      <c r="M3428" s="184"/>
      <c r="N3428" s="184"/>
      <c r="O3428" s="184"/>
    </row>
    <row r="3429" customFormat="false" ht="15" hidden="false" customHeight="true" outlineLevel="0" collapsed="false">
      <c r="A3429" s="184"/>
      <c r="B3429" s="184"/>
      <c r="C3429" s="184"/>
      <c r="D3429" s="184"/>
      <c r="E3429" s="184"/>
      <c r="F3429" s="184"/>
      <c r="G3429" s="184"/>
      <c r="H3429" s="184"/>
      <c r="I3429" s="184"/>
      <c r="J3429" s="184"/>
      <c r="K3429" s="184"/>
      <c r="L3429" s="184"/>
      <c r="M3429" s="184"/>
      <c r="N3429" s="184"/>
      <c r="O3429" s="184"/>
    </row>
    <row r="3430" customFormat="false" ht="15" hidden="false" customHeight="true" outlineLevel="0" collapsed="false">
      <c r="A3430" s="184"/>
      <c r="B3430" s="184"/>
      <c r="C3430" s="184"/>
      <c r="D3430" s="184"/>
      <c r="E3430" s="184"/>
      <c r="F3430" s="184"/>
      <c r="G3430" s="184"/>
      <c r="H3430" s="184"/>
      <c r="I3430" s="184"/>
      <c r="J3430" s="184"/>
      <c r="K3430" s="184"/>
      <c r="L3430" s="184"/>
      <c r="M3430" s="184"/>
      <c r="N3430" s="184"/>
      <c r="O3430" s="184"/>
    </row>
    <row r="3431" customFormat="false" ht="15" hidden="false" customHeight="true" outlineLevel="0" collapsed="false">
      <c r="A3431" s="184"/>
      <c r="B3431" s="184"/>
      <c r="C3431" s="184"/>
      <c r="D3431" s="184"/>
      <c r="E3431" s="184"/>
      <c r="F3431" s="184"/>
      <c r="G3431" s="184"/>
      <c r="H3431" s="184"/>
      <c r="I3431" s="184"/>
      <c r="J3431" s="184"/>
      <c r="K3431" s="184"/>
      <c r="L3431" s="184"/>
      <c r="M3431" s="184"/>
      <c r="N3431" s="184"/>
      <c r="O3431" s="184"/>
    </row>
    <row r="3432" customFormat="false" ht="15" hidden="false" customHeight="true" outlineLevel="0" collapsed="false">
      <c r="A3432" s="184"/>
      <c r="B3432" s="184"/>
      <c r="C3432" s="184"/>
      <c r="D3432" s="184"/>
      <c r="E3432" s="184"/>
      <c r="F3432" s="184"/>
      <c r="G3432" s="184"/>
      <c r="H3432" s="184"/>
      <c r="I3432" s="184"/>
      <c r="J3432" s="184"/>
      <c r="K3432" s="184"/>
      <c r="L3432" s="184"/>
      <c r="M3432" s="184"/>
      <c r="N3432" s="184"/>
      <c r="O3432" s="184"/>
    </row>
    <row r="3433" customFormat="false" ht="15" hidden="false" customHeight="true" outlineLevel="0" collapsed="false">
      <c r="A3433" s="184"/>
      <c r="B3433" s="184"/>
      <c r="C3433" s="184"/>
      <c r="D3433" s="184"/>
      <c r="E3433" s="184"/>
      <c r="F3433" s="184"/>
      <c r="G3433" s="184"/>
      <c r="H3433" s="184"/>
      <c r="I3433" s="184"/>
      <c r="J3433" s="184"/>
      <c r="K3433" s="184"/>
      <c r="L3433" s="184"/>
      <c r="M3433" s="184"/>
      <c r="N3433" s="184"/>
      <c r="O3433" s="184"/>
    </row>
    <row r="3434" customFormat="false" ht="15" hidden="false" customHeight="true" outlineLevel="0" collapsed="false">
      <c r="A3434" s="184"/>
      <c r="B3434" s="184"/>
      <c r="C3434" s="184"/>
      <c r="D3434" s="184"/>
      <c r="E3434" s="184"/>
      <c r="F3434" s="184"/>
      <c r="G3434" s="184"/>
      <c r="H3434" s="184"/>
      <c r="I3434" s="184"/>
      <c r="J3434" s="184"/>
      <c r="K3434" s="184"/>
      <c r="L3434" s="184"/>
      <c r="M3434" s="184"/>
      <c r="N3434" s="184"/>
      <c r="O3434" s="184"/>
    </row>
    <row r="3435" customFormat="false" ht="15" hidden="false" customHeight="true" outlineLevel="0" collapsed="false">
      <c r="A3435" s="184"/>
      <c r="B3435" s="184"/>
      <c r="C3435" s="184"/>
      <c r="D3435" s="184"/>
      <c r="E3435" s="184"/>
      <c r="F3435" s="184"/>
      <c r="G3435" s="184"/>
      <c r="H3435" s="184"/>
      <c r="I3435" s="184"/>
      <c r="J3435" s="184"/>
      <c r="K3435" s="184"/>
      <c r="L3435" s="184"/>
      <c r="M3435" s="184"/>
      <c r="N3435" s="184"/>
      <c r="O3435" s="184"/>
    </row>
    <row r="3436" customFormat="false" ht="15" hidden="false" customHeight="true" outlineLevel="0" collapsed="false">
      <c r="A3436" s="184"/>
      <c r="B3436" s="184"/>
      <c r="C3436" s="184"/>
      <c r="D3436" s="184"/>
      <c r="E3436" s="184"/>
      <c r="F3436" s="184"/>
      <c r="G3436" s="184"/>
      <c r="H3436" s="184"/>
      <c r="I3436" s="184"/>
      <c r="J3436" s="184"/>
      <c r="K3436" s="184"/>
      <c r="L3436" s="184"/>
      <c r="M3436" s="184"/>
      <c r="N3436" s="184"/>
      <c r="O3436" s="184"/>
    </row>
    <row r="3437" customFormat="false" ht="15" hidden="false" customHeight="true" outlineLevel="0" collapsed="false">
      <c r="A3437" s="184"/>
      <c r="B3437" s="184"/>
      <c r="C3437" s="184"/>
      <c r="D3437" s="184"/>
      <c r="E3437" s="184"/>
      <c r="F3437" s="184"/>
      <c r="G3437" s="184"/>
      <c r="H3437" s="184"/>
      <c r="I3437" s="184"/>
      <c r="J3437" s="184"/>
      <c r="K3437" s="184"/>
      <c r="L3437" s="184"/>
      <c r="M3437" s="184"/>
      <c r="N3437" s="184"/>
      <c r="O3437" s="184"/>
    </row>
    <row r="3438" customFormat="false" ht="15" hidden="false" customHeight="true" outlineLevel="0" collapsed="false">
      <c r="A3438" s="184"/>
      <c r="B3438" s="184"/>
      <c r="C3438" s="184"/>
      <c r="D3438" s="184"/>
      <c r="E3438" s="184"/>
      <c r="F3438" s="184"/>
      <c r="G3438" s="184"/>
      <c r="H3438" s="184"/>
      <c r="I3438" s="184"/>
      <c r="J3438" s="184"/>
      <c r="K3438" s="184"/>
      <c r="L3438" s="184"/>
      <c r="M3438" s="184"/>
      <c r="N3438" s="184"/>
      <c r="O3438" s="184"/>
    </row>
    <row r="3439" customFormat="false" ht="15" hidden="false" customHeight="true" outlineLevel="0" collapsed="false">
      <c r="A3439" s="184"/>
      <c r="B3439" s="184"/>
      <c r="C3439" s="184"/>
      <c r="D3439" s="184"/>
      <c r="E3439" s="184"/>
      <c r="F3439" s="184"/>
      <c r="G3439" s="184"/>
      <c r="H3439" s="184"/>
      <c r="I3439" s="184"/>
      <c r="J3439" s="184"/>
      <c r="K3439" s="184"/>
      <c r="L3439" s="184"/>
      <c r="M3439" s="184"/>
      <c r="N3439" s="184"/>
      <c r="O3439" s="184"/>
    </row>
    <row r="3440" customFormat="false" ht="15" hidden="false" customHeight="true" outlineLevel="0" collapsed="false">
      <c r="A3440" s="184"/>
      <c r="B3440" s="184"/>
      <c r="C3440" s="184"/>
      <c r="D3440" s="184"/>
      <c r="E3440" s="184"/>
      <c r="F3440" s="184"/>
      <c r="G3440" s="184"/>
      <c r="H3440" s="184"/>
      <c r="I3440" s="184"/>
      <c r="J3440" s="184"/>
      <c r="K3440" s="184"/>
      <c r="L3440" s="184"/>
      <c r="M3440" s="184"/>
      <c r="N3440" s="184"/>
      <c r="O3440" s="184"/>
    </row>
    <row r="3441" customFormat="false" ht="15" hidden="false" customHeight="true" outlineLevel="0" collapsed="false">
      <c r="A3441" s="184"/>
      <c r="B3441" s="184"/>
      <c r="C3441" s="184"/>
      <c r="D3441" s="184"/>
      <c r="E3441" s="184"/>
      <c r="F3441" s="184"/>
      <c r="G3441" s="184"/>
      <c r="H3441" s="184"/>
      <c r="I3441" s="184"/>
      <c r="J3441" s="184"/>
      <c r="K3441" s="184"/>
      <c r="L3441" s="184"/>
      <c r="M3441" s="184"/>
      <c r="N3441" s="184"/>
      <c r="O3441" s="184"/>
    </row>
    <row r="3442" customFormat="false" ht="15" hidden="false" customHeight="true" outlineLevel="0" collapsed="false">
      <c r="A3442" s="184"/>
      <c r="B3442" s="184"/>
      <c r="C3442" s="184"/>
      <c r="D3442" s="184"/>
      <c r="E3442" s="184"/>
      <c r="F3442" s="184"/>
      <c r="G3442" s="184"/>
      <c r="H3442" s="184"/>
      <c r="I3442" s="184"/>
      <c r="J3442" s="184"/>
      <c r="K3442" s="184"/>
      <c r="L3442" s="184"/>
      <c r="M3442" s="184"/>
      <c r="N3442" s="184"/>
      <c r="O3442" s="184"/>
    </row>
    <row r="3443" customFormat="false" ht="15" hidden="false" customHeight="true" outlineLevel="0" collapsed="false">
      <c r="A3443" s="184"/>
      <c r="B3443" s="184"/>
      <c r="C3443" s="184"/>
      <c r="D3443" s="184"/>
      <c r="E3443" s="184"/>
      <c r="F3443" s="184"/>
      <c r="G3443" s="184"/>
      <c r="H3443" s="184"/>
      <c r="I3443" s="184"/>
      <c r="J3443" s="184"/>
      <c r="K3443" s="184"/>
      <c r="L3443" s="184"/>
      <c r="M3443" s="184"/>
      <c r="N3443" s="184"/>
      <c r="O3443" s="184"/>
    </row>
    <row r="3444" customFormat="false" ht="15" hidden="false" customHeight="true" outlineLevel="0" collapsed="false">
      <c r="A3444" s="184"/>
      <c r="B3444" s="184"/>
      <c r="C3444" s="184"/>
      <c r="D3444" s="184"/>
      <c r="E3444" s="184"/>
      <c r="F3444" s="184"/>
      <c r="G3444" s="184"/>
      <c r="H3444" s="184"/>
      <c r="I3444" s="184"/>
      <c r="J3444" s="184"/>
      <c r="K3444" s="184"/>
      <c r="L3444" s="184"/>
      <c r="M3444" s="184"/>
      <c r="N3444" s="184"/>
      <c r="O3444" s="184"/>
    </row>
    <row r="3445" customFormat="false" ht="15" hidden="false" customHeight="true" outlineLevel="0" collapsed="false">
      <c r="A3445" s="184"/>
      <c r="B3445" s="184"/>
      <c r="C3445" s="184"/>
      <c r="D3445" s="184"/>
      <c r="E3445" s="184"/>
      <c r="F3445" s="184"/>
      <c r="G3445" s="184"/>
      <c r="H3445" s="184"/>
      <c r="I3445" s="184"/>
      <c r="J3445" s="184"/>
      <c r="K3445" s="184"/>
      <c r="L3445" s="184"/>
      <c r="M3445" s="184"/>
      <c r="N3445" s="184"/>
      <c r="O3445" s="184"/>
    </row>
    <row r="3446" customFormat="false" ht="15" hidden="false" customHeight="true" outlineLevel="0" collapsed="false">
      <c r="A3446" s="184"/>
      <c r="B3446" s="184"/>
      <c r="C3446" s="184"/>
      <c r="D3446" s="184"/>
      <c r="E3446" s="184"/>
      <c r="F3446" s="184"/>
      <c r="G3446" s="184"/>
      <c r="H3446" s="184"/>
      <c r="I3446" s="184"/>
      <c r="J3446" s="184"/>
      <c r="K3446" s="184"/>
      <c r="L3446" s="184"/>
      <c r="M3446" s="184"/>
      <c r="N3446" s="184"/>
      <c r="O3446" s="184"/>
    </row>
    <row r="3447" customFormat="false" ht="15" hidden="false" customHeight="true" outlineLevel="0" collapsed="false">
      <c r="A3447" s="184"/>
      <c r="B3447" s="184"/>
      <c r="C3447" s="184"/>
      <c r="D3447" s="184"/>
      <c r="E3447" s="184"/>
      <c r="F3447" s="184"/>
      <c r="G3447" s="184"/>
      <c r="H3447" s="184"/>
      <c r="I3447" s="184"/>
      <c r="J3447" s="184"/>
      <c r="K3447" s="184"/>
      <c r="L3447" s="184"/>
      <c r="M3447" s="184"/>
      <c r="N3447" s="184"/>
      <c r="O3447" s="184"/>
    </row>
    <row r="3448" customFormat="false" ht="15" hidden="false" customHeight="true" outlineLevel="0" collapsed="false">
      <c r="A3448" s="184"/>
      <c r="B3448" s="184"/>
      <c r="C3448" s="184"/>
      <c r="D3448" s="184"/>
      <c r="E3448" s="184"/>
      <c r="F3448" s="184"/>
      <c r="G3448" s="184"/>
      <c r="H3448" s="184"/>
      <c r="I3448" s="184"/>
      <c r="J3448" s="184"/>
      <c r="K3448" s="184"/>
      <c r="L3448" s="184"/>
      <c r="M3448" s="184"/>
      <c r="N3448" s="184"/>
      <c r="O3448" s="184"/>
    </row>
    <row r="3449" customFormat="false" ht="15" hidden="false" customHeight="true" outlineLevel="0" collapsed="false">
      <c r="A3449" s="184"/>
      <c r="B3449" s="184"/>
      <c r="C3449" s="184"/>
      <c r="D3449" s="184"/>
      <c r="E3449" s="184"/>
      <c r="F3449" s="184"/>
      <c r="G3449" s="184"/>
      <c r="H3449" s="184"/>
      <c r="I3449" s="184"/>
      <c r="J3449" s="184"/>
      <c r="K3449" s="184"/>
      <c r="L3449" s="184"/>
      <c r="M3449" s="184"/>
      <c r="N3449" s="184"/>
      <c r="O3449" s="184"/>
    </row>
    <row r="3450" customFormat="false" ht="15" hidden="false" customHeight="true" outlineLevel="0" collapsed="false">
      <c r="A3450" s="184"/>
      <c r="B3450" s="184"/>
      <c r="C3450" s="184"/>
      <c r="D3450" s="184"/>
      <c r="E3450" s="184"/>
      <c r="F3450" s="184"/>
      <c r="G3450" s="184"/>
      <c r="H3450" s="184"/>
      <c r="I3450" s="184"/>
      <c r="J3450" s="184"/>
      <c r="K3450" s="184"/>
      <c r="L3450" s="184"/>
      <c r="M3450" s="184"/>
      <c r="N3450" s="184"/>
      <c r="O3450" s="184"/>
    </row>
    <row r="3451" customFormat="false" ht="15" hidden="false" customHeight="true" outlineLevel="0" collapsed="false">
      <c r="A3451" s="184"/>
      <c r="B3451" s="184"/>
      <c r="C3451" s="184"/>
      <c r="D3451" s="184"/>
      <c r="E3451" s="184"/>
      <c r="F3451" s="184"/>
      <c r="G3451" s="184"/>
      <c r="H3451" s="184"/>
      <c r="I3451" s="184"/>
      <c r="J3451" s="184"/>
      <c r="K3451" s="184"/>
      <c r="L3451" s="184"/>
      <c r="M3451" s="184"/>
      <c r="N3451" s="184"/>
      <c r="O3451" s="184"/>
    </row>
    <row r="3452" customFormat="false" ht="15" hidden="false" customHeight="true" outlineLevel="0" collapsed="false">
      <c r="A3452" s="184"/>
      <c r="B3452" s="184"/>
      <c r="C3452" s="184"/>
      <c r="D3452" s="184"/>
      <c r="E3452" s="184"/>
      <c r="F3452" s="184"/>
      <c r="G3452" s="184"/>
      <c r="H3452" s="184"/>
      <c r="I3452" s="184"/>
      <c r="J3452" s="184"/>
      <c r="K3452" s="184"/>
      <c r="L3452" s="184"/>
      <c r="M3452" s="184"/>
      <c r="N3452" s="184"/>
      <c r="O3452" s="184"/>
    </row>
    <row r="3453" customFormat="false" ht="15" hidden="false" customHeight="true" outlineLevel="0" collapsed="false">
      <c r="A3453" s="184"/>
      <c r="B3453" s="184"/>
      <c r="C3453" s="184"/>
      <c r="D3453" s="184"/>
      <c r="E3453" s="184"/>
      <c r="F3453" s="184"/>
      <c r="G3453" s="184"/>
      <c r="H3453" s="184"/>
      <c r="I3453" s="184"/>
      <c r="J3453" s="184"/>
      <c r="K3453" s="184"/>
      <c r="L3453" s="184"/>
      <c r="M3453" s="184"/>
      <c r="N3453" s="184"/>
      <c r="O3453" s="184"/>
    </row>
    <row r="3454" customFormat="false" ht="15" hidden="false" customHeight="true" outlineLevel="0" collapsed="false">
      <c r="A3454" s="184"/>
      <c r="B3454" s="184"/>
      <c r="C3454" s="184"/>
      <c r="D3454" s="184"/>
      <c r="E3454" s="184"/>
      <c r="F3454" s="184"/>
      <c r="G3454" s="184"/>
      <c r="H3454" s="184"/>
      <c r="I3454" s="184"/>
      <c r="J3454" s="184"/>
      <c r="K3454" s="184"/>
      <c r="L3454" s="184"/>
      <c r="M3454" s="184"/>
      <c r="N3454" s="184"/>
      <c r="O3454" s="184"/>
    </row>
    <row r="3455" customFormat="false" ht="15" hidden="false" customHeight="true" outlineLevel="0" collapsed="false">
      <c r="A3455" s="184"/>
      <c r="B3455" s="184"/>
      <c r="C3455" s="184"/>
      <c r="D3455" s="184"/>
      <c r="E3455" s="184"/>
      <c r="F3455" s="184"/>
      <c r="G3455" s="184"/>
      <c r="H3455" s="184"/>
      <c r="I3455" s="184"/>
      <c r="J3455" s="184"/>
      <c r="K3455" s="184"/>
      <c r="L3455" s="184"/>
      <c r="M3455" s="184"/>
      <c r="N3455" s="184"/>
      <c r="O3455" s="184"/>
    </row>
    <row r="3456" customFormat="false" ht="15" hidden="false" customHeight="true" outlineLevel="0" collapsed="false">
      <c r="A3456" s="184"/>
      <c r="B3456" s="184"/>
      <c r="C3456" s="184"/>
      <c r="D3456" s="184"/>
      <c r="E3456" s="184"/>
      <c r="F3456" s="184"/>
      <c r="G3456" s="184"/>
      <c r="H3456" s="184"/>
      <c r="I3456" s="184"/>
      <c r="J3456" s="184"/>
      <c r="K3456" s="184"/>
      <c r="L3456" s="184"/>
      <c r="M3456" s="184"/>
      <c r="N3456" s="184"/>
      <c r="O3456" s="184"/>
    </row>
    <row r="3457" customFormat="false" ht="15" hidden="false" customHeight="true" outlineLevel="0" collapsed="false">
      <c r="A3457" s="184"/>
      <c r="B3457" s="184"/>
      <c r="C3457" s="184"/>
      <c r="D3457" s="184"/>
      <c r="E3457" s="184"/>
      <c r="F3457" s="184"/>
      <c r="G3457" s="184"/>
      <c r="H3457" s="184"/>
      <c r="I3457" s="184"/>
      <c r="J3457" s="184"/>
      <c r="K3457" s="184"/>
      <c r="L3457" s="184"/>
      <c r="M3457" s="184"/>
      <c r="N3457" s="184"/>
      <c r="O3457" s="184"/>
    </row>
    <row r="3458" customFormat="false" ht="15" hidden="false" customHeight="true" outlineLevel="0" collapsed="false">
      <c r="A3458" s="184"/>
      <c r="B3458" s="184"/>
      <c r="C3458" s="184"/>
      <c r="D3458" s="184"/>
      <c r="E3458" s="184"/>
      <c r="F3458" s="184"/>
      <c r="G3458" s="184"/>
      <c r="H3458" s="184"/>
      <c r="I3458" s="184"/>
      <c r="J3458" s="184"/>
      <c r="K3458" s="184"/>
      <c r="L3458" s="184"/>
      <c r="M3458" s="184"/>
      <c r="N3458" s="184"/>
      <c r="O3458" s="184"/>
    </row>
    <row r="3459" customFormat="false" ht="15" hidden="false" customHeight="true" outlineLevel="0" collapsed="false">
      <c r="A3459" s="184"/>
      <c r="B3459" s="184"/>
      <c r="C3459" s="184"/>
      <c r="D3459" s="184"/>
      <c r="E3459" s="184"/>
      <c r="F3459" s="184"/>
      <c r="G3459" s="184"/>
      <c r="H3459" s="184"/>
      <c r="I3459" s="184"/>
      <c r="J3459" s="184"/>
      <c r="K3459" s="184"/>
      <c r="L3459" s="184"/>
      <c r="M3459" s="184"/>
      <c r="N3459" s="184"/>
      <c r="O3459" s="184"/>
    </row>
    <row r="3460" customFormat="false" ht="15" hidden="false" customHeight="true" outlineLevel="0" collapsed="false">
      <c r="A3460" s="184"/>
      <c r="B3460" s="184"/>
      <c r="C3460" s="184"/>
      <c r="D3460" s="184"/>
      <c r="E3460" s="184"/>
      <c r="F3460" s="184"/>
      <c r="G3460" s="184"/>
      <c r="H3460" s="184"/>
      <c r="I3460" s="184"/>
      <c r="J3460" s="184"/>
      <c r="K3460" s="184"/>
      <c r="L3460" s="184"/>
      <c r="M3460" s="184"/>
      <c r="N3460" s="184"/>
      <c r="O3460" s="184"/>
    </row>
    <row r="3461" customFormat="false" ht="15" hidden="false" customHeight="true" outlineLevel="0" collapsed="false">
      <c r="A3461" s="184"/>
      <c r="B3461" s="184"/>
      <c r="C3461" s="184"/>
      <c r="D3461" s="184"/>
      <c r="E3461" s="184"/>
      <c r="F3461" s="184"/>
      <c r="G3461" s="184"/>
      <c r="H3461" s="184"/>
      <c r="I3461" s="184"/>
      <c r="J3461" s="184"/>
      <c r="K3461" s="184"/>
      <c r="L3461" s="184"/>
      <c r="M3461" s="184"/>
      <c r="N3461" s="184"/>
      <c r="O3461" s="184"/>
    </row>
    <row r="3462" customFormat="false" ht="15" hidden="false" customHeight="true" outlineLevel="0" collapsed="false">
      <c r="A3462" s="184"/>
      <c r="B3462" s="184"/>
      <c r="C3462" s="184"/>
      <c r="D3462" s="184"/>
      <c r="E3462" s="184"/>
      <c r="F3462" s="184"/>
      <c r="G3462" s="184"/>
      <c r="H3462" s="184"/>
      <c r="I3462" s="184"/>
      <c r="J3462" s="184"/>
      <c r="K3462" s="184"/>
      <c r="L3462" s="184"/>
      <c r="M3462" s="184"/>
      <c r="N3462" s="184"/>
      <c r="O3462" s="184"/>
    </row>
    <row r="3463" customFormat="false" ht="15" hidden="false" customHeight="true" outlineLevel="0" collapsed="false">
      <c r="A3463" s="184"/>
      <c r="B3463" s="184"/>
      <c r="C3463" s="184"/>
      <c r="D3463" s="184"/>
      <c r="E3463" s="184"/>
      <c r="F3463" s="184"/>
      <c r="G3463" s="184"/>
      <c r="H3463" s="184"/>
      <c r="I3463" s="184"/>
      <c r="J3463" s="184"/>
      <c r="K3463" s="184"/>
      <c r="L3463" s="184"/>
      <c r="M3463" s="184"/>
      <c r="N3463" s="184"/>
      <c r="O3463" s="184"/>
    </row>
    <row r="3464" customFormat="false" ht="15" hidden="false" customHeight="true" outlineLevel="0" collapsed="false">
      <c r="A3464" s="184"/>
      <c r="B3464" s="184"/>
      <c r="C3464" s="184"/>
      <c r="D3464" s="184"/>
      <c r="E3464" s="184"/>
      <c r="F3464" s="184"/>
      <c r="G3464" s="184"/>
      <c r="H3464" s="184"/>
      <c r="I3464" s="184"/>
      <c r="J3464" s="184"/>
      <c r="K3464" s="184"/>
      <c r="L3464" s="184"/>
      <c r="M3464" s="184"/>
      <c r="N3464" s="184"/>
      <c r="O3464" s="184"/>
    </row>
    <row r="3465" customFormat="false" ht="15" hidden="false" customHeight="true" outlineLevel="0" collapsed="false">
      <c r="A3465" s="184"/>
      <c r="B3465" s="184"/>
      <c r="C3465" s="184"/>
      <c r="D3465" s="184"/>
      <c r="E3465" s="184"/>
      <c r="F3465" s="184"/>
      <c r="G3465" s="184"/>
      <c r="H3465" s="184"/>
      <c r="I3465" s="184"/>
      <c r="J3465" s="184"/>
      <c r="K3465" s="184"/>
      <c r="L3465" s="184"/>
      <c r="M3465" s="184"/>
      <c r="N3465" s="184"/>
      <c r="O3465" s="184"/>
    </row>
    <row r="3466" customFormat="false" ht="15" hidden="false" customHeight="true" outlineLevel="0" collapsed="false">
      <c r="A3466" s="184"/>
      <c r="B3466" s="184"/>
      <c r="C3466" s="184"/>
      <c r="D3466" s="184"/>
      <c r="E3466" s="184"/>
      <c r="F3466" s="184"/>
      <c r="G3466" s="184"/>
      <c r="H3466" s="184"/>
      <c r="I3466" s="184"/>
      <c r="J3466" s="184"/>
      <c r="K3466" s="184"/>
      <c r="L3466" s="184"/>
      <c r="M3466" s="184"/>
      <c r="N3466" s="184"/>
      <c r="O3466" s="184"/>
    </row>
    <row r="3467" customFormat="false" ht="15" hidden="false" customHeight="true" outlineLevel="0" collapsed="false">
      <c r="A3467" s="184"/>
      <c r="B3467" s="184"/>
      <c r="C3467" s="184"/>
      <c r="D3467" s="184"/>
      <c r="E3467" s="184"/>
      <c r="F3467" s="184"/>
      <c r="G3467" s="184"/>
      <c r="H3467" s="184"/>
      <c r="I3467" s="184"/>
      <c r="J3467" s="184"/>
      <c r="K3467" s="184"/>
      <c r="L3467" s="184"/>
      <c r="M3467" s="184"/>
      <c r="N3467" s="184"/>
      <c r="O3467" s="184"/>
    </row>
    <row r="3468" customFormat="false" ht="15" hidden="false" customHeight="true" outlineLevel="0" collapsed="false">
      <c r="A3468" s="184"/>
      <c r="B3468" s="184"/>
      <c r="C3468" s="184"/>
      <c r="D3468" s="184"/>
      <c r="E3468" s="184"/>
      <c r="F3468" s="184"/>
      <c r="G3468" s="184"/>
      <c r="H3468" s="184"/>
      <c r="I3468" s="184"/>
      <c r="J3468" s="184"/>
      <c r="K3468" s="184"/>
      <c r="L3468" s="184"/>
      <c r="M3468" s="184"/>
      <c r="N3468" s="184"/>
      <c r="O3468" s="184"/>
    </row>
    <row r="3469" customFormat="false" ht="15" hidden="false" customHeight="true" outlineLevel="0" collapsed="false">
      <c r="A3469" s="184"/>
      <c r="B3469" s="184"/>
      <c r="C3469" s="184"/>
      <c r="D3469" s="184"/>
      <c r="E3469" s="184"/>
      <c r="F3469" s="184"/>
      <c r="G3469" s="184"/>
      <c r="H3469" s="184"/>
      <c r="I3469" s="184"/>
      <c r="J3469" s="184"/>
      <c r="K3469" s="184"/>
      <c r="L3469" s="184"/>
      <c r="M3469" s="184"/>
      <c r="N3469" s="184"/>
      <c r="O3469" s="184"/>
    </row>
    <row r="3470" customFormat="false" ht="15" hidden="false" customHeight="true" outlineLevel="0" collapsed="false">
      <c r="A3470" s="184"/>
      <c r="B3470" s="184"/>
      <c r="C3470" s="184"/>
      <c r="D3470" s="184"/>
      <c r="E3470" s="184"/>
      <c r="F3470" s="184"/>
      <c r="G3470" s="184"/>
      <c r="H3470" s="184"/>
      <c r="I3470" s="184"/>
      <c r="J3470" s="184"/>
      <c r="K3470" s="184"/>
      <c r="L3470" s="184"/>
      <c r="M3470" s="184"/>
      <c r="N3470" s="184"/>
      <c r="O3470" s="184"/>
    </row>
    <row r="3471" customFormat="false" ht="15" hidden="false" customHeight="true" outlineLevel="0" collapsed="false">
      <c r="A3471" s="184"/>
      <c r="B3471" s="184"/>
      <c r="C3471" s="184"/>
      <c r="D3471" s="184"/>
      <c r="E3471" s="184"/>
      <c r="F3471" s="184"/>
      <c r="G3471" s="184"/>
      <c r="H3471" s="184"/>
      <c r="I3471" s="184"/>
      <c r="J3471" s="184"/>
      <c r="K3471" s="184"/>
      <c r="L3471" s="184"/>
      <c r="M3471" s="184"/>
      <c r="N3471" s="184"/>
      <c r="O3471" s="184"/>
    </row>
    <row r="3472" customFormat="false" ht="15" hidden="false" customHeight="true" outlineLevel="0" collapsed="false">
      <c r="A3472" s="184"/>
      <c r="B3472" s="184"/>
      <c r="C3472" s="184"/>
      <c r="D3472" s="184"/>
      <c r="E3472" s="184"/>
      <c r="F3472" s="184"/>
      <c r="G3472" s="184"/>
      <c r="H3472" s="184"/>
      <c r="I3472" s="184"/>
      <c r="J3472" s="184"/>
      <c r="K3472" s="184"/>
      <c r="L3472" s="184"/>
      <c r="M3472" s="184"/>
      <c r="N3472" s="184"/>
      <c r="O3472" s="184"/>
    </row>
    <row r="3473" customFormat="false" ht="68.25" hidden="false" customHeight="true" outlineLevel="0" collapsed="false">
      <c r="A3473" s="184" t="s">
        <v>4969</v>
      </c>
      <c r="B3473" s="184" t="s">
        <v>4970</v>
      </c>
      <c r="C3473" s="184"/>
      <c r="D3473" s="179" t="s">
        <v>4858</v>
      </c>
      <c r="E3473" s="184" t="s">
        <v>7191</v>
      </c>
      <c r="F3473" s="184"/>
      <c r="G3473" s="184"/>
      <c r="H3473" s="184"/>
      <c r="I3473" s="184"/>
      <c r="J3473" s="184"/>
      <c r="K3473" s="184"/>
      <c r="L3473" s="184"/>
      <c r="M3473" s="184" t="s">
        <v>7172</v>
      </c>
      <c r="N3473" s="184"/>
      <c r="O3473" s="184"/>
    </row>
    <row r="3474" customFormat="false" ht="27.75" hidden="false" customHeight="true" outlineLevel="0" collapsed="false">
      <c r="A3474" s="184" t="s">
        <v>4969</v>
      </c>
      <c r="B3474" s="184" t="s">
        <v>4970</v>
      </c>
      <c r="C3474" s="184" t="n">
        <v>1</v>
      </c>
      <c r="D3474" s="184" t="s">
        <v>6296</v>
      </c>
      <c r="E3474" s="184" t="s">
        <v>7186</v>
      </c>
      <c r="F3474" s="184"/>
      <c r="G3474" s="184"/>
      <c r="H3474" s="184"/>
      <c r="I3474" s="184"/>
      <c r="J3474" s="184"/>
      <c r="K3474" s="184"/>
      <c r="L3474" s="184"/>
      <c r="M3474" s="184"/>
      <c r="N3474" s="184"/>
      <c r="O3474" s="184"/>
    </row>
    <row r="3475" customFormat="false" ht="27.75" hidden="false" customHeight="true" outlineLevel="0" collapsed="false">
      <c r="A3475" s="184" t="s">
        <v>4969</v>
      </c>
      <c r="B3475" s="184" t="s">
        <v>4970</v>
      </c>
      <c r="C3475" s="184" t="n">
        <v>2</v>
      </c>
      <c r="D3475" s="177" t="s">
        <v>6298</v>
      </c>
      <c r="E3475" s="184" t="s">
        <v>7187</v>
      </c>
      <c r="F3475" s="184"/>
      <c r="G3475" s="184"/>
      <c r="H3475" s="184"/>
      <c r="I3475" s="184"/>
      <c r="J3475" s="184"/>
      <c r="K3475" s="184"/>
      <c r="L3475" s="184"/>
      <c r="M3475" s="184"/>
      <c r="N3475" s="184"/>
      <c r="O3475" s="184"/>
    </row>
    <row r="3476" customFormat="false" ht="27.75" hidden="false" customHeight="true" outlineLevel="0" collapsed="false">
      <c r="A3476" s="184" t="s">
        <v>4969</v>
      </c>
      <c r="B3476" s="184" t="s">
        <v>4970</v>
      </c>
      <c r="C3476" s="184" t="n">
        <v>3</v>
      </c>
      <c r="D3476" s="178" t="s">
        <v>5269</v>
      </c>
      <c r="E3476" s="184" t="s">
        <v>7175</v>
      </c>
      <c r="F3476" s="184"/>
      <c r="G3476" s="184"/>
      <c r="H3476" s="184"/>
      <c r="I3476" s="184"/>
      <c r="J3476" s="184"/>
      <c r="K3476" s="184"/>
      <c r="L3476" s="184"/>
      <c r="M3476" s="184" t="s">
        <v>7179</v>
      </c>
      <c r="N3476" s="184"/>
      <c r="O3476" s="184"/>
    </row>
    <row r="3477" customFormat="false" ht="27.75" hidden="false" customHeight="true" outlineLevel="0" collapsed="false">
      <c r="A3477" s="184" t="s">
        <v>4969</v>
      </c>
      <c r="B3477" s="184" t="s">
        <v>4970</v>
      </c>
      <c r="C3477" s="184" t="n">
        <v>4</v>
      </c>
      <c r="D3477" s="184" t="s">
        <v>6296</v>
      </c>
      <c r="E3477" s="184" t="s">
        <v>7186</v>
      </c>
      <c r="F3477" s="184"/>
      <c r="G3477" s="184"/>
      <c r="H3477" s="184"/>
      <c r="I3477" s="184"/>
      <c r="J3477" s="184"/>
      <c r="K3477" s="184"/>
      <c r="L3477" s="184"/>
      <c r="M3477" s="184"/>
      <c r="N3477" s="184"/>
      <c r="O3477" s="184"/>
    </row>
    <row r="3478" customFormat="false" ht="41.25" hidden="false" customHeight="true" outlineLevel="0" collapsed="false">
      <c r="A3478" s="184" t="s">
        <v>4969</v>
      </c>
      <c r="B3478" s="184" t="s">
        <v>4970</v>
      </c>
      <c r="C3478" s="184" t="n">
        <v>5</v>
      </c>
      <c r="D3478" s="177" t="s">
        <v>6298</v>
      </c>
      <c r="E3478" s="184" t="s">
        <v>7188</v>
      </c>
      <c r="F3478" s="184"/>
      <c r="G3478" s="184"/>
      <c r="H3478" s="184"/>
      <c r="I3478" s="184"/>
      <c r="J3478" s="184"/>
      <c r="K3478" s="184"/>
      <c r="L3478" s="184"/>
      <c r="M3478" s="184"/>
      <c r="N3478" s="184"/>
      <c r="O3478" s="184"/>
    </row>
    <row r="3479" customFormat="false" ht="27.75" hidden="false" customHeight="true" outlineLevel="0" collapsed="false">
      <c r="A3479" s="184" t="s">
        <v>4969</v>
      </c>
      <c r="B3479" s="184" t="s">
        <v>4970</v>
      </c>
      <c r="C3479" s="184" t="n">
        <v>6</v>
      </c>
      <c r="D3479" s="184" t="s">
        <v>4790</v>
      </c>
      <c r="E3479" s="184" t="s">
        <v>2630</v>
      </c>
      <c r="F3479" s="184"/>
      <c r="G3479" s="184"/>
      <c r="H3479" s="184"/>
      <c r="I3479" s="184"/>
      <c r="J3479" s="184"/>
      <c r="K3479" s="184"/>
      <c r="L3479" s="184"/>
      <c r="M3479" s="184"/>
      <c r="N3479" s="184"/>
      <c r="O3479" s="184"/>
    </row>
    <row r="3480" customFormat="false" ht="27.75" hidden="false" customHeight="true" outlineLevel="0" collapsed="false">
      <c r="A3480" s="184" t="s">
        <v>4969</v>
      </c>
      <c r="B3480" s="184" t="s">
        <v>4970</v>
      </c>
      <c r="C3480" s="184" t="n">
        <v>7</v>
      </c>
      <c r="D3480" s="178" t="s">
        <v>5269</v>
      </c>
      <c r="E3480" s="184" t="s">
        <v>7175</v>
      </c>
      <c r="F3480" s="184"/>
      <c r="G3480" s="184"/>
      <c r="H3480" s="184"/>
      <c r="I3480" s="184"/>
      <c r="J3480" s="184"/>
      <c r="K3480" s="184"/>
      <c r="L3480" s="184"/>
      <c r="M3480" s="184" t="s">
        <v>7179</v>
      </c>
      <c r="N3480" s="184"/>
      <c r="O3480" s="184"/>
    </row>
    <row r="3481" customFormat="false" ht="15" hidden="false" customHeight="true" outlineLevel="0" collapsed="false">
      <c r="A3481" s="184"/>
      <c r="B3481" s="184"/>
      <c r="C3481" s="184"/>
      <c r="D3481" s="184"/>
      <c r="E3481" s="184"/>
      <c r="F3481" s="184"/>
      <c r="G3481" s="184"/>
      <c r="H3481" s="184"/>
      <c r="I3481" s="184"/>
      <c r="J3481" s="184"/>
      <c r="K3481" s="184"/>
      <c r="L3481" s="184"/>
      <c r="M3481" s="184"/>
      <c r="N3481" s="184"/>
      <c r="O3481" s="184"/>
    </row>
    <row r="3482" customFormat="false" ht="15" hidden="false" customHeight="true" outlineLevel="0" collapsed="false">
      <c r="A3482" s="184"/>
      <c r="B3482" s="184"/>
      <c r="C3482" s="184"/>
      <c r="D3482" s="184"/>
      <c r="E3482" s="184"/>
      <c r="F3482" s="184"/>
      <c r="G3482" s="184"/>
      <c r="H3482" s="184"/>
      <c r="I3482" s="184"/>
      <c r="J3482" s="184"/>
      <c r="K3482" s="184"/>
      <c r="L3482" s="184"/>
      <c r="M3482" s="184"/>
      <c r="N3482" s="184"/>
      <c r="O3482" s="184"/>
    </row>
    <row r="3483" customFormat="false" ht="15" hidden="false" customHeight="true" outlineLevel="0" collapsed="false">
      <c r="A3483" s="184"/>
      <c r="B3483" s="184"/>
      <c r="C3483" s="184"/>
      <c r="D3483" s="184"/>
      <c r="E3483" s="184"/>
      <c r="F3483" s="184"/>
      <c r="G3483" s="184"/>
      <c r="H3483" s="184"/>
      <c r="I3483" s="184"/>
      <c r="J3483" s="184"/>
      <c r="K3483" s="184"/>
      <c r="L3483" s="184"/>
      <c r="M3483" s="184"/>
      <c r="N3483" s="184"/>
      <c r="O3483" s="184"/>
    </row>
    <row r="3484" customFormat="false" ht="15" hidden="false" customHeight="true" outlineLevel="0" collapsed="false">
      <c r="A3484" s="184"/>
      <c r="B3484" s="184"/>
      <c r="C3484" s="184"/>
      <c r="D3484" s="184"/>
      <c r="E3484" s="184"/>
      <c r="F3484" s="184"/>
      <c r="G3484" s="184"/>
      <c r="H3484" s="184"/>
      <c r="I3484" s="184"/>
      <c r="J3484" s="184"/>
      <c r="K3484" s="184"/>
      <c r="L3484" s="184"/>
      <c r="M3484" s="184"/>
      <c r="N3484" s="184"/>
      <c r="O3484" s="184"/>
    </row>
    <row r="3485" customFormat="false" ht="15" hidden="false" customHeight="true" outlineLevel="0" collapsed="false">
      <c r="A3485" s="184"/>
      <c r="B3485" s="184"/>
      <c r="C3485" s="184"/>
      <c r="D3485" s="184"/>
      <c r="E3485" s="184"/>
      <c r="F3485" s="184"/>
      <c r="G3485" s="184"/>
      <c r="H3485" s="184"/>
      <c r="I3485" s="184"/>
      <c r="J3485" s="184"/>
      <c r="K3485" s="184"/>
      <c r="L3485" s="184"/>
      <c r="M3485" s="184"/>
      <c r="N3485" s="184"/>
      <c r="O3485" s="184"/>
    </row>
    <row r="3486" customFormat="false" ht="15" hidden="false" customHeight="true" outlineLevel="0" collapsed="false">
      <c r="A3486" s="184"/>
      <c r="B3486" s="184"/>
      <c r="C3486" s="184"/>
      <c r="D3486" s="184"/>
      <c r="E3486" s="184"/>
      <c r="F3486" s="184"/>
      <c r="G3486" s="184"/>
      <c r="H3486" s="184"/>
      <c r="I3486" s="184"/>
      <c r="J3486" s="184"/>
      <c r="K3486" s="184"/>
      <c r="L3486" s="184"/>
      <c r="M3486" s="184"/>
      <c r="N3486" s="184"/>
      <c r="O3486" s="184"/>
    </row>
    <row r="3487" customFormat="false" ht="15" hidden="false" customHeight="true" outlineLevel="0" collapsed="false">
      <c r="A3487" s="184"/>
      <c r="B3487" s="184"/>
      <c r="C3487" s="184"/>
      <c r="D3487" s="184"/>
      <c r="E3487" s="184"/>
      <c r="F3487" s="184"/>
      <c r="G3487" s="184"/>
      <c r="H3487" s="184"/>
      <c r="I3487" s="184"/>
      <c r="J3487" s="184"/>
      <c r="K3487" s="184"/>
      <c r="L3487" s="184"/>
      <c r="M3487" s="184"/>
      <c r="N3487" s="184"/>
      <c r="O3487" s="184"/>
    </row>
    <row r="3488" customFormat="false" ht="15" hidden="false" customHeight="true" outlineLevel="0" collapsed="false">
      <c r="A3488" s="184"/>
      <c r="B3488" s="184"/>
      <c r="C3488" s="184"/>
      <c r="D3488" s="184"/>
      <c r="E3488" s="184"/>
      <c r="F3488" s="184"/>
      <c r="G3488" s="184"/>
      <c r="H3488" s="184"/>
      <c r="I3488" s="184"/>
      <c r="J3488" s="184"/>
      <c r="K3488" s="184"/>
      <c r="L3488" s="184"/>
      <c r="M3488" s="184"/>
      <c r="N3488" s="184"/>
      <c r="O3488" s="184"/>
    </row>
    <row r="3489" customFormat="false" ht="15" hidden="false" customHeight="true" outlineLevel="0" collapsed="false">
      <c r="A3489" s="184"/>
      <c r="B3489" s="184"/>
      <c r="C3489" s="184"/>
      <c r="D3489" s="184"/>
      <c r="E3489" s="184"/>
      <c r="F3489" s="184"/>
      <c r="G3489" s="184"/>
      <c r="H3489" s="184"/>
      <c r="I3489" s="184"/>
      <c r="J3489" s="184"/>
      <c r="K3489" s="184"/>
      <c r="L3489" s="184"/>
      <c r="M3489" s="184"/>
      <c r="N3489" s="184"/>
      <c r="O3489" s="184"/>
    </row>
    <row r="3490" customFormat="false" ht="15" hidden="false" customHeight="true" outlineLevel="0" collapsed="false">
      <c r="A3490" s="184"/>
      <c r="B3490" s="184"/>
      <c r="C3490" s="184"/>
      <c r="D3490" s="184"/>
      <c r="E3490" s="184"/>
      <c r="F3490" s="184"/>
      <c r="G3490" s="184"/>
      <c r="H3490" s="184"/>
      <c r="I3490" s="184"/>
      <c r="J3490" s="184"/>
      <c r="K3490" s="184"/>
      <c r="L3490" s="184"/>
      <c r="M3490" s="184"/>
      <c r="N3490" s="184"/>
      <c r="O3490" s="184"/>
    </row>
    <row r="3491" customFormat="false" ht="15" hidden="false" customHeight="true" outlineLevel="0" collapsed="false">
      <c r="A3491" s="184"/>
      <c r="B3491" s="184"/>
      <c r="C3491" s="184"/>
      <c r="D3491" s="184"/>
      <c r="E3491" s="184"/>
      <c r="F3491" s="184"/>
      <c r="G3491" s="184"/>
      <c r="H3491" s="184"/>
      <c r="I3491" s="184"/>
      <c r="J3491" s="184"/>
      <c r="K3491" s="184"/>
      <c r="L3491" s="184"/>
      <c r="M3491" s="184"/>
      <c r="N3491" s="184"/>
      <c r="O3491" s="184"/>
    </row>
    <row r="3492" customFormat="false" ht="15" hidden="false" customHeight="true" outlineLevel="0" collapsed="false">
      <c r="A3492" s="184"/>
      <c r="B3492" s="184"/>
      <c r="C3492" s="184"/>
      <c r="D3492" s="184"/>
      <c r="E3492" s="184"/>
      <c r="F3492" s="184"/>
      <c r="G3492" s="184"/>
      <c r="H3492" s="184"/>
      <c r="I3492" s="184"/>
      <c r="J3492" s="184"/>
      <c r="K3492" s="184"/>
      <c r="L3492" s="184"/>
      <c r="M3492" s="184"/>
      <c r="N3492" s="184"/>
      <c r="O3492" s="184"/>
    </row>
    <row r="3493" customFormat="false" ht="15" hidden="false" customHeight="true" outlineLevel="0" collapsed="false">
      <c r="A3493" s="184"/>
      <c r="B3493" s="184"/>
      <c r="C3493" s="184"/>
      <c r="D3493" s="184"/>
      <c r="E3493" s="184"/>
      <c r="F3493" s="184"/>
      <c r="G3493" s="184"/>
      <c r="H3493" s="184"/>
      <c r="I3493" s="184"/>
      <c r="J3493" s="184"/>
      <c r="K3493" s="184"/>
      <c r="L3493" s="184"/>
      <c r="M3493" s="184"/>
      <c r="N3493" s="184"/>
      <c r="O3493" s="184"/>
    </row>
    <row r="3494" customFormat="false" ht="15" hidden="false" customHeight="true" outlineLevel="0" collapsed="false">
      <c r="A3494" s="184"/>
      <c r="B3494" s="184"/>
      <c r="C3494" s="184"/>
      <c r="D3494" s="184"/>
      <c r="E3494" s="184"/>
      <c r="F3494" s="184"/>
      <c r="G3494" s="184"/>
      <c r="H3494" s="184"/>
      <c r="I3494" s="184"/>
      <c r="J3494" s="184"/>
      <c r="K3494" s="184"/>
      <c r="L3494" s="184"/>
      <c r="M3494" s="184"/>
      <c r="N3494" s="184"/>
      <c r="O3494" s="184"/>
    </row>
    <row r="3495" customFormat="false" ht="15" hidden="false" customHeight="true" outlineLevel="0" collapsed="false">
      <c r="A3495" s="184"/>
      <c r="B3495" s="184"/>
      <c r="C3495" s="184"/>
      <c r="D3495" s="184"/>
      <c r="E3495" s="184"/>
      <c r="F3495" s="184"/>
      <c r="G3495" s="184"/>
      <c r="H3495" s="184"/>
      <c r="I3495" s="184"/>
      <c r="J3495" s="184"/>
      <c r="K3495" s="184"/>
      <c r="L3495" s="184"/>
      <c r="M3495" s="184"/>
      <c r="N3495" s="184"/>
      <c r="O3495" s="184"/>
    </row>
    <row r="3496" customFormat="false" ht="15" hidden="false" customHeight="true" outlineLevel="0" collapsed="false">
      <c r="A3496" s="184"/>
      <c r="B3496" s="184"/>
      <c r="C3496" s="184"/>
      <c r="D3496" s="184"/>
      <c r="E3496" s="184"/>
      <c r="F3496" s="184"/>
      <c r="G3496" s="184"/>
      <c r="H3496" s="184"/>
      <c r="I3496" s="184"/>
      <c r="J3496" s="184"/>
      <c r="K3496" s="184"/>
      <c r="L3496" s="184"/>
      <c r="M3496" s="184"/>
      <c r="N3496" s="184"/>
      <c r="O3496" s="184"/>
    </row>
    <row r="3497" customFormat="false" ht="15" hidden="false" customHeight="true" outlineLevel="0" collapsed="false">
      <c r="A3497" s="184"/>
      <c r="B3497" s="184"/>
      <c r="C3497" s="184"/>
      <c r="D3497" s="184"/>
      <c r="E3497" s="184"/>
      <c r="F3497" s="184"/>
      <c r="G3497" s="184"/>
      <c r="H3497" s="184"/>
      <c r="I3497" s="184"/>
      <c r="J3497" s="184"/>
      <c r="K3497" s="184"/>
      <c r="L3497" s="184"/>
      <c r="M3497" s="184"/>
      <c r="N3497" s="184"/>
      <c r="O3497" s="184"/>
    </row>
    <row r="3498" customFormat="false" ht="15" hidden="false" customHeight="true" outlineLevel="0" collapsed="false">
      <c r="A3498" s="184"/>
      <c r="B3498" s="184"/>
      <c r="C3498" s="184"/>
      <c r="D3498" s="184"/>
      <c r="E3498" s="184"/>
      <c r="F3498" s="184"/>
      <c r="G3498" s="184"/>
      <c r="H3498" s="184"/>
      <c r="I3498" s="184"/>
      <c r="J3498" s="184"/>
      <c r="K3498" s="184"/>
      <c r="L3498" s="184"/>
      <c r="M3498" s="184"/>
      <c r="N3498" s="184"/>
      <c r="O3498" s="184"/>
    </row>
    <row r="3499" customFormat="false" ht="15" hidden="false" customHeight="true" outlineLevel="0" collapsed="false">
      <c r="A3499" s="184"/>
      <c r="B3499" s="184"/>
      <c r="C3499" s="184"/>
      <c r="D3499" s="184"/>
      <c r="E3499" s="184"/>
      <c r="F3499" s="184"/>
      <c r="G3499" s="184"/>
      <c r="H3499" s="184"/>
      <c r="I3499" s="184"/>
      <c r="J3499" s="184"/>
      <c r="K3499" s="184"/>
      <c r="L3499" s="184"/>
      <c r="M3499" s="184"/>
      <c r="N3499" s="184"/>
      <c r="O3499" s="184"/>
    </row>
    <row r="3500" customFormat="false" ht="15" hidden="false" customHeight="true" outlineLevel="0" collapsed="false">
      <c r="A3500" s="184"/>
      <c r="B3500" s="184"/>
      <c r="C3500" s="184"/>
      <c r="D3500" s="184"/>
      <c r="E3500" s="184"/>
      <c r="F3500" s="184"/>
      <c r="G3500" s="184"/>
      <c r="H3500" s="184"/>
      <c r="I3500" s="184"/>
      <c r="J3500" s="184"/>
      <c r="K3500" s="184"/>
      <c r="L3500" s="184"/>
      <c r="M3500" s="184"/>
      <c r="N3500" s="184"/>
      <c r="O3500" s="184"/>
    </row>
    <row r="3501" customFormat="false" ht="15" hidden="false" customHeight="true" outlineLevel="0" collapsed="false">
      <c r="A3501" s="184"/>
      <c r="B3501" s="184"/>
      <c r="C3501" s="184"/>
      <c r="D3501" s="184"/>
      <c r="E3501" s="184"/>
      <c r="F3501" s="184"/>
      <c r="G3501" s="184"/>
      <c r="H3501" s="184"/>
      <c r="I3501" s="184"/>
      <c r="J3501" s="184"/>
      <c r="K3501" s="184"/>
      <c r="L3501" s="184"/>
      <c r="M3501" s="184"/>
      <c r="N3501" s="184"/>
      <c r="O3501" s="184"/>
    </row>
    <row r="3502" customFormat="false" ht="15" hidden="false" customHeight="true" outlineLevel="0" collapsed="false">
      <c r="A3502" s="184"/>
      <c r="B3502" s="184"/>
      <c r="C3502" s="184"/>
      <c r="D3502" s="184"/>
      <c r="E3502" s="184"/>
      <c r="F3502" s="184"/>
      <c r="G3502" s="184"/>
      <c r="H3502" s="184"/>
      <c r="I3502" s="184"/>
      <c r="J3502" s="184"/>
      <c r="K3502" s="184"/>
      <c r="L3502" s="184"/>
      <c r="M3502" s="184"/>
      <c r="N3502" s="184"/>
      <c r="O3502" s="184"/>
    </row>
    <row r="3503" customFormat="false" ht="15" hidden="false" customHeight="true" outlineLevel="0" collapsed="false">
      <c r="A3503" s="184"/>
      <c r="B3503" s="184"/>
      <c r="C3503" s="184"/>
      <c r="D3503" s="184"/>
      <c r="E3503" s="184"/>
      <c r="F3503" s="184"/>
      <c r="G3503" s="184"/>
      <c r="H3503" s="184"/>
      <c r="I3503" s="184"/>
      <c r="J3503" s="184"/>
      <c r="K3503" s="184"/>
      <c r="L3503" s="184"/>
      <c r="M3503" s="184"/>
      <c r="N3503" s="184"/>
      <c r="O3503" s="184"/>
    </row>
    <row r="3504" customFormat="false" ht="15" hidden="false" customHeight="true" outlineLevel="0" collapsed="false">
      <c r="A3504" s="184"/>
      <c r="B3504" s="184"/>
      <c r="C3504" s="184"/>
      <c r="D3504" s="184"/>
      <c r="E3504" s="184"/>
      <c r="F3504" s="184"/>
      <c r="G3504" s="184"/>
      <c r="H3504" s="184"/>
      <c r="I3504" s="184"/>
      <c r="J3504" s="184"/>
      <c r="K3504" s="184"/>
      <c r="L3504" s="184"/>
      <c r="M3504" s="184"/>
      <c r="N3504" s="184"/>
      <c r="O3504" s="184"/>
    </row>
    <row r="3505" customFormat="false" ht="15" hidden="false" customHeight="true" outlineLevel="0" collapsed="false">
      <c r="A3505" s="184"/>
      <c r="B3505" s="184"/>
      <c r="C3505" s="184"/>
      <c r="D3505" s="184"/>
      <c r="E3505" s="184"/>
      <c r="F3505" s="184"/>
      <c r="G3505" s="184"/>
      <c r="H3505" s="184"/>
      <c r="I3505" s="184"/>
      <c r="J3505" s="184"/>
      <c r="K3505" s="184"/>
      <c r="L3505" s="184"/>
      <c r="M3505" s="184"/>
      <c r="N3505" s="184"/>
      <c r="O3505" s="184"/>
    </row>
    <row r="3506" customFormat="false" ht="15" hidden="false" customHeight="true" outlineLevel="0" collapsed="false">
      <c r="A3506" s="184"/>
      <c r="B3506" s="184"/>
      <c r="C3506" s="184"/>
      <c r="D3506" s="184"/>
      <c r="E3506" s="184"/>
      <c r="F3506" s="184"/>
      <c r="G3506" s="184"/>
      <c r="H3506" s="184"/>
      <c r="I3506" s="184"/>
      <c r="J3506" s="184"/>
      <c r="K3506" s="184"/>
      <c r="L3506" s="184"/>
      <c r="M3506" s="184"/>
      <c r="N3506" s="184"/>
      <c r="O3506" s="184"/>
    </row>
    <row r="3507" customFormat="false" ht="15" hidden="false" customHeight="true" outlineLevel="0" collapsed="false">
      <c r="A3507" s="184"/>
      <c r="B3507" s="184"/>
      <c r="C3507" s="184"/>
      <c r="D3507" s="184"/>
      <c r="E3507" s="184"/>
      <c r="F3507" s="184"/>
      <c r="G3507" s="184"/>
      <c r="H3507" s="184"/>
      <c r="I3507" s="184"/>
      <c r="J3507" s="184"/>
      <c r="K3507" s="184"/>
      <c r="L3507" s="184"/>
      <c r="M3507" s="184"/>
      <c r="N3507" s="184"/>
      <c r="O3507" s="184"/>
    </row>
    <row r="3508" customFormat="false" ht="15" hidden="false" customHeight="true" outlineLevel="0" collapsed="false">
      <c r="A3508" s="184"/>
      <c r="B3508" s="184"/>
      <c r="C3508" s="184"/>
      <c r="D3508" s="184"/>
      <c r="E3508" s="184"/>
      <c r="F3508" s="184"/>
      <c r="G3508" s="184"/>
      <c r="H3508" s="184"/>
      <c r="I3508" s="184"/>
      <c r="J3508" s="184"/>
      <c r="K3508" s="184"/>
      <c r="L3508" s="184"/>
      <c r="M3508" s="184"/>
      <c r="N3508" s="184"/>
      <c r="O3508" s="184"/>
    </row>
    <row r="3509" customFormat="false" ht="15" hidden="false" customHeight="true" outlineLevel="0" collapsed="false">
      <c r="A3509" s="184"/>
      <c r="B3509" s="184"/>
      <c r="C3509" s="184"/>
      <c r="D3509" s="184"/>
      <c r="E3509" s="184"/>
      <c r="F3509" s="184"/>
      <c r="G3509" s="184"/>
      <c r="H3509" s="184"/>
      <c r="I3509" s="184"/>
      <c r="J3509" s="184"/>
      <c r="K3509" s="184"/>
      <c r="L3509" s="184"/>
      <c r="M3509" s="184"/>
      <c r="N3509" s="184"/>
      <c r="O3509" s="184"/>
    </row>
    <row r="3510" customFormat="false" ht="15" hidden="false" customHeight="true" outlineLevel="0" collapsed="false">
      <c r="A3510" s="184"/>
      <c r="B3510" s="184"/>
      <c r="C3510" s="184"/>
      <c r="D3510" s="184"/>
      <c r="E3510" s="184"/>
      <c r="F3510" s="184"/>
      <c r="G3510" s="184"/>
      <c r="H3510" s="184"/>
      <c r="I3510" s="184"/>
      <c r="J3510" s="184"/>
      <c r="K3510" s="184"/>
      <c r="L3510" s="184"/>
      <c r="M3510" s="184"/>
      <c r="N3510" s="184"/>
      <c r="O3510" s="184"/>
    </row>
    <row r="3511" customFormat="false" ht="15" hidden="false" customHeight="true" outlineLevel="0" collapsed="false">
      <c r="A3511" s="184"/>
      <c r="B3511" s="184"/>
      <c r="C3511" s="184"/>
      <c r="D3511" s="184"/>
      <c r="E3511" s="184"/>
      <c r="F3511" s="184"/>
      <c r="G3511" s="184"/>
      <c r="H3511" s="184"/>
      <c r="I3511" s="184"/>
      <c r="J3511" s="184"/>
      <c r="K3511" s="184"/>
      <c r="L3511" s="184"/>
      <c r="M3511" s="184"/>
      <c r="N3511" s="184"/>
      <c r="O3511" s="184"/>
    </row>
    <row r="3512" customFormat="false" ht="15" hidden="false" customHeight="true" outlineLevel="0" collapsed="false">
      <c r="A3512" s="184"/>
      <c r="B3512" s="184"/>
      <c r="C3512" s="184"/>
      <c r="D3512" s="184"/>
      <c r="E3512" s="184"/>
      <c r="F3512" s="184"/>
      <c r="G3512" s="184"/>
      <c r="H3512" s="184"/>
      <c r="I3512" s="184"/>
      <c r="J3512" s="184"/>
      <c r="K3512" s="184"/>
      <c r="L3512" s="184"/>
      <c r="M3512" s="184"/>
      <c r="N3512" s="184"/>
      <c r="O3512" s="184"/>
    </row>
    <row r="3513" customFormat="false" ht="15" hidden="false" customHeight="true" outlineLevel="0" collapsed="false">
      <c r="A3513" s="184"/>
      <c r="B3513" s="184"/>
      <c r="C3513" s="184"/>
      <c r="D3513" s="184"/>
      <c r="E3513" s="184"/>
      <c r="F3513" s="184"/>
      <c r="G3513" s="184"/>
      <c r="H3513" s="184"/>
      <c r="I3513" s="184"/>
      <c r="J3513" s="184"/>
      <c r="K3513" s="184"/>
      <c r="L3513" s="184"/>
      <c r="M3513" s="184"/>
      <c r="N3513" s="184"/>
      <c r="O3513" s="184"/>
    </row>
    <row r="3514" customFormat="false" ht="15" hidden="false" customHeight="true" outlineLevel="0" collapsed="false">
      <c r="A3514" s="184"/>
      <c r="B3514" s="184"/>
      <c r="C3514" s="184"/>
      <c r="D3514" s="184"/>
      <c r="E3514" s="184"/>
      <c r="F3514" s="184"/>
      <c r="G3514" s="184"/>
      <c r="H3514" s="184"/>
      <c r="I3514" s="184"/>
      <c r="J3514" s="184"/>
      <c r="K3514" s="184"/>
      <c r="L3514" s="184"/>
      <c r="M3514" s="184"/>
      <c r="N3514" s="184"/>
      <c r="O3514" s="184"/>
    </row>
    <row r="3515" customFormat="false" ht="15" hidden="false" customHeight="true" outlineLevel="0" collapsed="false">
      <c r="A3515" s="184"/>
      <c r="B3515" s="184"/>
      <c r="C3515" s="184"/>
      <c r="D3515" s="184"/>
      <c r="E3515" s="184"/>
      <c r="F3515" s="184"/>
      <c r="G3515" s="184"/>
      <c r="H3515" s="184"/>
      <c r="I3515" s="184"/>
      <c r="J3515" s="184"/>
      <c r="K3515" s="184"/>
      <c r="L3515" s="184"/>
      <c r="M3515" s="184"/>
      <c r="N3515" s="184"/>
      <c r="O3515" s="184"/>
    </row>
    <row r="3516" customFormat="false" ht="15" hidden="false" customHeight="true" outlineLevel="0" collapsed="false">
      <c r="A3516" s="184"/>
      <c r="B3516" s="184"/>
      <c r="C3516" s="184"/>
      <c r="D3516" s="184"/>
      <c r="E3516" s="184"/>
      <c r="F3516" s="184"/>
      <c r="G3516" s="184"/>
      <c r="H3516" s="184"/>
      <c r="I3516" s="184"/>
      <c r="J3516" s="184"/>
      <c r="K3516" s="184"/>
      <c r="L3516" s="184"/>
      <c r="M3516" s="184"/>
      <c r="N3516" s="184"/>
      <c r="O3516" s="184"/>
    </row>
    <row r="3517" customFormat="false" ht="15" hidden="false" customHeight="true" outlineLevel="0" collapsed="false">
      <c r="A3517" s="184"/>
      <c r="B3517" s="184"/>
      <c r="C3517" s="184"/>
      <c r="D3517" s="184"/>
      <c r="E3517" s="184"/>
      <c r="F3517" s="184"/>
      <c r="G3517" s="184"/>
      <c r="H3517" s="184"/>
      <c r="I3517" s="184"/>
      <c r="J3517" s="184"/>
      <c r="K3517" s="184"/>
      <c r="L3517" s="184"/>
      <c r="M3517" s="184"/>
      <c r="N3517" s="184"/>
      <c r="O3517" s="184"/>
    </row>
    <row r="3518" customFormat="false" ht="15" hidden="false" customHeight="true" outlineLevel="0" collapsed="false">
      <c r="A3518" s="184"/>
      <c r="B3518" s="184"/>
      <c r="C3518" s="184"/>
      <c r="D3518" s="184"/>
      <c r="E3518" s="184"/>
      <c r="F3518" s="184"/>
      <c r="G3518" s="184"/>
      <c r="H3518" s="184"/>
      <c r="I3518" s="184"/>
      <c r="J3518" s="184"/>
      <c r="K3518" s="184"/>
      <c r="L3518" s="184"/>
      <c r="M3518" s="184"/>
      <c r="N3518" s="184"/>
      <c r="O3518" s="184"/>
    </row>
    <row r="3519" customFormat="false" ht="15" hidden="false" customHeight="true" outlineLevel="0" collapsed="false">
      <c r="A3519" s="184"/>
      <c r="B3519" s="184"/>
      <c r="C3519" s="184"/>
      <c r="D3519" s="184"/>
      <c r="E3519" s="184"/>
      <c r="F3519" s="184"/>
      <c r="G3519" s="184"/>
      <c r="H3519" s="184"/>
      <c r="I3519" s="184"/>
      <c r="J3519" s="184"/>
      <c r="K3519" s="184"/>
      <c r="L3519" s="184"/>
      <c r="M3519" s="184"/>
      <c r="N3519" s="184"/>
      <c r="O3519" s="184"/>
    </row>
    <row r="3520" customFormat="false" ht="15" hidden="false" customHeight="true" outlineLevel="0" collapsed="false">
      <c r="A3520" s="184"/>
      <c r="B3520" s="184"/>
      <c r="C3520" s="184"/>
      <c r="D3520" s="184"/>
      <c r="E3520" s="184"/>
      <c r="F3520" s="184"/>
      <c r="G3520" s="184"/>
      <c r="H3520" s="184"/>
      <c r="I3520" s="184"/>
      <c r="J3520" s="184"/>
      <c r="K3520" s="184"/>
      <c r="L3520" s="184"/>
      <c r="M3520" s="184"/>
      <c r="N3520" s="184"/>
      <c r="O3520" s="184"/>
    </row>
    <row r="3521" customFormat="false" ht="15" hidden="false" customHeight="true" outlineLevel="0" collapsed="false">
      <c r="A3521" s="184"/>
      <c r="B3521" s="184"/>
      <c r="C3521" s="184"/>
      <c r="D3521" s="184"/>
      <c r="E3521" s="184"/>
      <c r="F3521" s="184"/>
      <c r="G3521" s="184"/>
      <c r="H3521" s="184"/>
      <c r="I3521" s="184"/>
      <c r="J3521" s="184"/>
      <c r="K3521" s="184"/>
      <c r="L3521" s="184"/>
      <c r="M3521" s="184"/>
      <c r="N3521" s="184"/>
      <c r="O3521" s="184"/>
    </row>
    <row r="3522" customFormat="false" ht="15" hidden="false" customHeight="true" outlineLevel="0" collapsed="false">
      <c r="A3522" s="184"/>
      <c r="B3522" s="184"/>
      <c r="C3522" s="184"/>
      <c r="D3522" s="184"/>
      <c r="E3522" s="184"/>
      <c r="F3522" s="184"/>
      <c r="G3522" s="184"/>
      <c r="H3522" s="184"/>
      <c r="I3522" s="184"/>
      <c r="J3522" s="184"/>
      <c r="K3522" s="184"/>
      <c r="L3522" s="184"/>
      <c r="M3522" s="184"/>
      <c r="N3522" s="184"/>
      <c r="O3522" s="184"/>
    </row>
    <row r="3523" customFormat="false" ht="15" hidden="false" customHeight="true" outlineLevel="0" collapsed="false">
      <c r="A3523" s="184"/>
      <c r="B3523" s="184"/>
      <c r="C3523" s="184"/>
      <c r="D3523" s="184"/>
      <c r="E3523" s="184"/>
      <c r="F3523" s="184"/>
      <c r="G3523" s="184"/>
      <c r="H3523" s="184"/>
      <c r="I3523" s="184"/>
      <c r="J3523" s="184"/>
      <c r="K3523" s="184"/>
      <c r="L3523" s="184"/>
      <c r="M3523" s="184"/>
      <c r="N3523" s="184"/>
      <c r="O3523" s="184"/>
    </row>
    <row r="3524" customFormat="false" ht="15" hidden="false" customHeight="true" outlineLevel="0" collapsed="false">
      <c r="A3524" s="184"/>
      <c r="B3524" s="184"/>
      <c r="C3524" s="184"/>
      <c r="D3524" s="184"/>
      <c r="E3524" s="184"/>
      <c r="F3524" s="184"/>
      <c r="G3524" s="184"/>
      <c r="H3524" s="184"/>
      <c r="I3524" s="184"/>
      <c r="J3524" s="184"/>
      <c r="K3524" s="184"/>
      <c r="L3524" s="184"/>
      <c r="M3524" s="184"/>
      <c r="N3524" s="184"/>
      <c r="O3524" s="184"/>
    </row>
    <row r="3525" customFormat="false" ht="15" hidden="false" customHeight="true" outlineLevel="0" collapsed="false">
      <c r="A3525" s="184"/>
      <c r="B3525" s="184"/>
      <c r="C3525" s="184"/>
      <c r="D3525" s="184"/>
      <c r="E3525" s="184"/>
      <c r="F3525" s="184"/>
      <c r="G3525" s="184"/>
      <c r="H3525" s="184"/>
      <c r="I3525" s="184"/>
      <c r="J3525" s="184"/>
      <c r="K3525" s="184"/>
      <c r="L3525" s="184"/>
      <c r="M3525" s="184"/>
      <c r="N3525" s="184"/>
      <c r="O3525" s="184"/>
    </row>
    <row r="3526" customFormat="false" ht="15" hidden="false" customHeight="true" outlineLevel="0" collapsed="false">
      <c r="A3526" s="184"/>
      <c r="B3526" s="184"/>
      <c r="C3526" s="184"/>
      <c r="D3526" s="184"/>
      <c r="E3526" s="184"/>
      <c r="F3526" s="184"/>
      <c r="G3526" s="184"/>
      <c r="H3526" s="184"/>
      <c r="I3526" s="184"/>
      <c r="J3526" s="184"/>
      <c r="K3526" s="184"/>
      <c r="L3526" s="184"/>
      <c r="M3526" s="184"/>
      <c r="N3526" s="184"/>
      <c r="O3526" s="184"/>
    </row>
    <row r="3527" customFormat="false" ht="15" hidden="false" customHeight="true" outlineLevel="0" collapsed="false">
      <c r="A3527" s="184"/>
      <c r="B3527" s="184"/>
      <c r="C3527" s="184"/>
      <c r="D3527" s="184"/>
      <c r="E3527" s="184"/>
      <c r="F3527" s="184"/>
      <c r="G3527" s="184"/>
      <c r="H3527" s="184"/>
      <c r="I3527" s="184"/>
      <c r="J3527" s="184"/>
      <c r="K3527" s="184"/>
      <c r="L3527" s="184"/>
      <c r="M3527" s="184"/>
      <c r="N3527" s="184"/>
      <c r="O3527" s="184"/>
    </row>
    <row r="3528" customFormat="false" ht="15" hidden="false" customHeight="true" outlineLevel="0" collapsed="false">
      <c r="A3528" s="184"/>
      <c r="B3528" s="184"/>
      <c r="C3528" s="184"/>
      <c r="D3528" s="184"/>
      <c r="E3528" s="184"/>
      <c r="F3528" s="184"/>
      <c r="G3528" s="184"/>
      <c r="H3528" s="184"/>
      <c r="I3528" s="184"/>
      <c r="J3528" s="184"/>
      <c r="K3528" s="184"/>
      <c r="L3528" s="184"/>
      <c r="M3528" s="184"/>
      <c r="N3528" s="184"/>
      <c r="O3528" s="184"/>
    </row>
    <row r="3529" customFormat="false" ht="15" hidden="false" customHeight="true" outlineLevel="0" collapsed="false">
      <c r="A3529" s="184"/>
      <c r="B3529" s="184"/>
      <c r="C3529" s="184"/>
      <c r="D3529" s="184"/>
      <c r="E3529" s="184"/>
      <c r="F3529" s="184"/>
      <c r="G3529" s="184"/>
      <c r="H3529" s="184"/>
      <c r="I3529" s="184"/>
      <c r="J3529" s="184"/>
      <c r="K3529" s="184"/>
      <c r="L3529" s="184"/>
      <c r="M3529" s="184"/>
      <c r="N3529" s="184"/>
      <c r="O3529" s="184"/>
    </row>
    <row r="3530" customFormat="false" ht="15" hidden="false" customHeight="true" outlineLevel="0" collapsed="false">
      <c r="A3530" s="184"/>
      <c r="B3530" s="184"/>
      <c r="C3530" s="184"/>
      <c r="D3530" s="184"/>
      <c r="E3530" s="184"/>
      <c r="F3530" s="184"/>
      <c r="G3530" s="184"/>
      <c r="H3530" s="184"/>
      <c r="I3530" s="184"/>
      <c r="J3530" s="184"/>
      <c r="K3530" s="184"/>
      <c r="L3530" s="184"/>
      <c r="M3530" s="184"/>
      <c r="N3530" s="184"/>
      <c r="O3530" s="184"/>
    </row>
    <row r="3531" customFormat="false" ht="15" hidden="false" customHeight="true" outlineLevel="0" collapsed="false">
      <c r="A3531" s="184"/>
      <c r="B3531" s="184"/>
      <c r="C3531" s="184"/>
      <c r="D3531" s="184"/>
      <c r="E3531" s="184"/>
      <c r="F3531" s="184"/>
      <c r="G3531" s="184"/>
      <c r="H3531" s="184"/>
      <c r="I3531" s="184"/>
      <c r="J3531" s="184"/>
      <c r="K3531" s="184"/>
      <c r="L3531" s="184"/>
      <c r="M3531" s="184"/>
      <c r="N3531" s="184"/>
      <c r="O3531" s="184"/>
    </row>
    <row r="3532" customFormat="false" ht="15" hidden="false" customHeight="true" outlineLevel="0" collapsed="false">
      <c r="A3532" s="184"/>
      <c r="B3532" s="184"/>
      <c r="C3532" s="184"/>
      <c r="D3532" s="184"/>
      <c r="E3532" s="184"/>
      <c r="F3532" s="184"/>
      <c r="G3532" s="184"/>
      <c r="H3532" s="184"/>
      <c r="I3532" s="184"/>
      <c r="J3532" s="184"/>
      <c r="K3532" s="184"/>
      <c r="L3532" s="184"/>
      <c r="M3532" s="184"/>
      <c r="N3532" s="184"/>
      <c r="O3532" s="184"/>
    </row>
    <row r="3533" customFormat="false" ht="15" hidden="false" customHeight="true" outlineLevel="0" collapsed="false">
      <c r="A3533" s="184"/>
      <c r="B3533" s="184"/>
      <c r="C3533" s="184"/>
      <c r="D3533" s="184"/>
      <c r="E3533" s="184"/>
      <c r="F3533" s="184"/>
      <c r="G3533" s="184"/>
      <c r="H3533" s="184"/>
      <c r="I3533" s="184"/>
      <c r="J3533" s="184"/>
      <c r="K3533" s="184"/>
      <c r="L3533" s="184"/>
      <c r="M3533" s="184"/>
      <c r="N3533" s="184"/>
      <c r="O3533" s="184"/>
    </row>
    <row r="3534" customFormat="false" ht="15" hidden="false" customHeight="true" outlineLevel="0" collapsed="false">
      <c r="A3534" s="184"/>
      <c r="B3534" s="184"/>
      <c r="C3534" s="184"/>
      <c r="D3534" s="184"/>
      <c r="E3534" s="184"/>
      <c r="F3534" s="184"/>
      <c r="G3534" s="184"/>
      <c r="H3534" s="184"/>
      <c r="I3534" s="184"/>
      <c r="J3534" s="184"/>
      <c r="K3534" s="184"/>
      <c r="L3534" s="184"/>
      <c r="M3534" s="184"/>
      <c r="N3534" s="184"/>
      <c r="O3534" s="184"/>
    </row>
    <row r="3535" customFormat="false" ht="15" hidden="false" customHeight="true" outlineLevel="0" collapsed="false">
      <c r="A3535" s="184"/>
      <c r="B3535" s="184"/>
      <c r="C3535" s="184"/>
      <c r="D3535" s="184"/>
      <c r="E3535" s="184"/>
      <c r="F3535" s="184"/>
      <c r="G3535" s="184"/>
      <c r="H3535" s="184"/>
      <c r="I3535" s="184"/>
      <c r="J3535" s="184"/>
      <c r="K3535" s="184"/>
      <c r="L3535" s="184"/>
      <c r="M3535" s="184"/>
      <c r="N3535" s="184"/>
      <c r="O3535" s="184"/>
    </row>
    <row r="3536" customFormat="false" ht="15" hidden="false" customHeight="true" outlineLevel="0" collapsed="false">
      <c r="A3536" s="184"/>
      <c r="B3536" s="184"/>
      <c r="C3536" s="184"/>
      <c r="D3536" s="184"/>
      <c r="E3536" s="184"/>
      <c r="F3536" s="184"/>
      <c r="G3536" s="184"/>
      <c r="H3536" s="184"/>
      <c r="I3536" s="184"/>
      <c r="J3536" s="184"/>
      <c r="K3536" s="184"/>
      <c r="L3536" s="184"/>
      <c r="M3536" s="184"/>
      <c r="N3536" s="184"/>
      <c r="O3536" s="184"/>
    </row>
    <row r="3537" customFormat="false" ht="15" hidden="false" customHeight="true" outlineLevel="0" collapsed="false">
      <c r="A3537" s="184"/>
      <c r="B3537" s="184"/>
      <c r="C3537" s="184"/>
      <c r="D3537" s="184"/>
      <c r="E3537" s="184"/>
      <c r="F3537" s="184"/>
      <c r="G3537" s="184"/>
      <c r="H3537" s="184"/>
      <c r="I3537" s="184"/>
      <c r="J3537" s="184"/>
      <c r="K3537" s="184"/>
      <c r="L3537" s="184"/>
      <c r="M3537" s="184"/>
      <c r="N3537" s="184"/>
      <c r="O3537" s="184"/>
    </row>
    <row r="3538" customFormat="false" ht="15" hidden="false" customHeight="true" outlineLevel="0" collapsed="false">
      <c r="A3538" s="184"/>
      <c r="B3538" s="184"/>
      <c r="C3538" s="184"/>
      <c r="D3538" s="184"/>
      <c r="E3538" s="184"/>
      <c r="F3538" s="184"/>
      <c r="G3538" s="184"/>
      <c r="H3538" s="184"/>
      <c r="I3538" s="184"/>
      <c r="J3538" s="184"/>
      <c r="K3538" s="184"/>
      <c r="L3538" s="184"/>
      <c r="M3538" s="184"/>
      <c r="N3538" s="184"/>
      <c r="O3538" s="184"/>
    </row>
    <row r="3539" customFormat="false" ht="15" hidden="false" customHeight="true" outlineLevel="0" collapsed="false">
      <c r="A3539" s="184"/>
      <c r="B3539" s="184"/>
      <c r="C3539" s="184"/>
      <c r="D3539" s="184"/>
      <c r="E3539" s="184"/>
      <c r="F3539" s="184"/>
      <c r="G3539" s="184"/>
      <c r="H3539" s="184"/>
      <c r="I3539" s="184"/>
      <c r="J3539" s="184"/>
      <c r="K3539" s="184"/>
      <c r="L3539" s="184"/>
      <c r="M3539" s="184"/>
      <c r="N3539" s="184"/>
      <c r="O3539" s="184"/>
    </row>
    <row r="3540" customFormat="false" ht="15" hidden="false" customHeight="true" outlineLevel="0" collapsed="false">
      <c r="A3540" s="184"/>
      <c r="B3540" s="184"/>
      <c r="C3540" s="184"/>
      <c r="D3540" s="184"/>
      <c r="E3540" s="184"/>
      <c r="F3540" s="184"/>
      <c r="G3540" s="184"/>
      <c r="H3540" s="184"/>
      <c r="I3540" s="184"/>
      <c r="J3540" s="184"/>
      <c r="K3540" s="184"/>
      <c r="L3540" s="184"/>
      <c r="M3540" s="184"/>
      <c r="N3540" s="184"/>
      <c r="O3540" s="184"/>
    </row>
    <row r="3541" customFormat="false" ht="15" hidden="false" customHeight="true" outlineLevel="0" collapsed="false">
      <c r="A3541" s="184"/>
      <c r="B3541" s="184"/>
      <c r="C3541" s="184"/>
      <c r="D3541" s="184"/>
      <c r="E3541" s="184"/>
      <c r="F3541" s="184"/>
      <c r="G3541" s="184"/>
      <c r="H3541" s="184"/>
      <c r="I3541" s="184"/>
      <c r="J3541" s="184"/>
      <c r="K3541" s="184"/>
      <c r="L3541" s="184"/>
      <c r="M3541" s="184"/>
      <c r="N3541" s="184"/>
      <c r="O3541" s="184"/>
    </row>
    <row r="3542" customFormat="false" ht="15" hidden="false" customHeight="true" outlineLevel="0" collapsed="false">
      <c r="A3542" s="184"/>
      <c r="B3542" s="184"/>
      <c r="C3542" s="184"/>
      <c r="D3542" s="184"/>
      <c r="E3542" s="184"/>
      <c r="F3542" s="184"/>
      <c r="G3542" s="184"/>
      <c r="H3542" s="184"/>
      <c r="I3542" s="184"/>
      <c r="J3542" s="184"/>
      <c r="K3542" s="184"/>
      <c r="L3542" s="184"/>
      <c r="M3542" s="184"/>
      <c r="N3542" s="184"/>
      <c r="O3542" s="184"/>
    </row>
    <row r="3543" customFormat="false" ht="54.75" hidden="false" customHeight="true" outlineLevel="0" collapsed="false">
      <c r="A3543" s="184" t="s">
        <v>4972</v>
      </c>
      <c r="B3543" s="184" t="s">
        <v>4973</v>
      </c>
      <c r="C3543" s="184"/>
      <c r="D3543" s="179" t="s">
        <v>4858</v>
      </c>
      <c r="E3543" s="184" t="s">
        <v>7192</v>
      </c>
      <c r="F3543" s="184"/>
      <c r="G3543" s="184"/>
      <c r="H3543" s="184"/>
      <c r="I3543" s="184"/>
      <c r="J3543" s="184"/>
      <c r="K3543" s="184"/>
      <c r="L3543" s="184"/>
      <c r="M3543" s="184" t="s">
        <v>7193</v>
      </c>
      <c r="N3543" s="184"/>
      <c r="O3543" s="184"/>
    </row>
    <row r="3544" customFormat="false" ht="27.75" hidden="false" customHeight="true" outlineLevel="0" collapsed="false">
      <c r="A3544" s="184" t="s">
        <v>4972</v>
      </c>
      <c r="B3544" s="184" t="s">
        <v>4973</v>
      </c>
      <c r="C3544" s="184" t="n">
        <v>1</v>
      </c>
      <c r="D3544" s="184" t="s">
        <v>6296</v>
      </c>
      <c r="E3544" s="184" t="s">
        <v>7173</v>
      </c>
      <c r="F3544" s="184"/>
      <c r="G3544" s="184"/>
      <c r="H3544" s="184"/>
      <c r="I3544" s="184"/>
      <c r="J3544" s="184"/>
      <c r="K3544" s="184"/>
      <c r="L3544" s="184"/>
      <c r="M3544" s="184"/>
      <c r="N3544" s="184"/>
      <c r="O3544" s="184"/>
    </row>
    <row r="3545" customFormat="false" ht="41.25" hidden="false" customHeight="true" outlineLevel="0" collapsed="false">
      <c r="A3545" s="184" t="s">
        <v>4972</v>
      </c>
      <c r="B3545" s="184" t="s">
        <v>4973</v>
      </c>
      <c r="C3545" s="184" t="n">
        <v>2</v>
      </c>
      <c r="D3545" s="177" t="s">
        <v>6298</v>
      </c>
      <c r="E3545" s="184" t="s">
        <v>7177</v>
      </c>
      <c r="F3545" s="184"/>
      <c r="G3545" s="184"/>
      <c r="H3545" s="184"/>
      <c r="I3545" s="184"/>
      <c r="J3545" s="184"/>
      <c r="K3545" s="184"/>
      <c r="L3545" s="184"/>
      <c r="M3545" s="184"/>
      <c r="N3545" s="184"/>
      <c r="O3545" s="184"/>
    </row>
    <row r="3546" customFormat="false" ht="27.75" hidden="false" customHeight="true" outlineLevel="0" collapsed="false">
      <c r="A3546" s="184" t="s">
        <v>4972</v>
      </c>
      <c r="B3546" s="184" t="s">
        <v>4973</v>
      </c>
      <c r="C3546" s="184" t="n">
        <v>3</v>
      </c>
      <c r="D3546" s="184" t="s">
        <v>4790</v>
      </c>
      <c r="E3546" s="184" t="s">
        <v>784</v>
      </c>
      <c r="F3546" s="184"/>
      <c r="G3546" s="184"/>
      <c r="H3546" s="184"/>
      <c r="I3546" s="184"/>
      <c r="J3546" s="184"/>
      <c r="K3546" s="184"/>
      <c r="L3546" s="184"/>
      <c r="M3546" s="184"/>
      <c r="N3546" s="184"/>
      <c r="O3546" s="184"/>
    </row>
    <row r="3547" customFormat="false" ht="27.75" hidden="false" customHeight="true" outlineLevel="0" collapsed="false">
      <c r="A3547" s="184" t="s">
        <v>4972</v>
      </c>
      <c r="B3547" s="184" t="s">
        <v>4973</v>
      </c>
      <c r="C3547" s="184" t="n">
        <v>4</v>
      </c>
      <c r="D3547" s="178" t="s">
        <v>5269</v>
      </c>
      <c r="E3547" s="184" t="s">
        <v>7175</v>
      </c>
      <c r="F3547" s="184"/>
      <c r="G3547" s="184"/>
      <c r="H3547" s="184"/>
      <c r="I3547" s="184"/>
      <c r="J3547" s="184"/>
      <c r="K3547" s="184"/>
      <c r="L3547" s="184"/>
      <c r="M3547" s="184" t="s">
        <v>7176</v>
      </c>
      <c r="N3547" s="184"/>
      <c r="O3547" s="184"/>
    </row>
    <row r="3548" customFormat="false" ht="27.75" hidden="false" customHeight="true" outlineLevel="0" collapsed="false">
      <c r="A3548" s="184" t="s">
        <v>4972</v>
      </c>
      <c r="B3548" s="184" t="s">
        <v>4973</v>
      </c>
      <c r="C3548" s="184" t="n">
        <v>5</v>
      </c>
      <c r="D3548" s="184" t="s">
        <v>4790</v>
      </c>
      <c r="E3548" s="184" t="s">
        <v>1779</v>
      </c>
      <c r="F3548" s="184"/>
      <c r="G3548" s="184"/>
      <c r="H3548" s="184"/>
      <c r="I3548" s="184"/>
      <c r="J3548" s="184"/>
      <c r="K3548" s="184"/>
      <c r="L3548" s="184"/>
      <c r="M3548" s="184"/>
      <c r="N3548" s="184"/>
      <c r="O3548" s="184"/>
    </row>
    <row r="3549" customFormat="false" ht="27.75" hidden="false" customHeight="true" outlineLevel="0" collapsed="false">
      <c r="A3549" s="184" t="s">
        <v>4972</v>
      </c>
      <c r="B3549" s="184" t="s">
        <v>4973</v>
      </c>
      <c r="C3549" s="184" t="n">
        <v>6</v>
      </c>
      <c r="D3549" s="178" t="s">
        <v>5269</v>
      </c>
      <c r="E3549" s="184" t="s">
        <v>7175</v>
      </c>
      <c r="F3549" s="184"/>
      <c r="G3549" s="184"/>
      <c r="H3549" s="184"/>
      <c r="I3549" s="184"/>
      <c r="J3549" s="184"/>
      <c r="K3549" s="184"/>
      <c r="L3549" s="184"/>
      <c r="M3549" s="184" t="s">
        <v>7178</v>
      </c>
      <c r="N3549" s="184"/>
      <c r="O3549" s="184"/>
    </row>
    <row r="3550" customFormat="false" ht="27.75" hidden="false" customHeight="true" outlineLevel="0" collapsed="false">
      <c r="A3550" s="184" t="s">
        <v>4972</v>
      </c>
      <c r="B3550" s="184" t="s">
        <v>4973</v>
      </c>
      <c r="C3550" s="184" t="n">
        <v>7</v>
      </c>
      <c r="D3550" s="184" t="s">
        <v>4790</v>
      </c>
      <c r="E3550" s="184" t="s">
        <v>2630</v>
      </c>
      <c r="F3550" s="184"/>
      <c r="G3550" s="184"/>
      <c r="H3550" s="184"/>
      <c r="I3550" s="184"/>
      <c r="J3550" s="184"/>
      <c r="K3550" s="184"/>
      <c r="L3550" s="184"/>
      <c r="M3550" s="184"/>
      <c r="N3550" s="184"/>
      <c r="O3550" s="184"/>
    </row>
    <row r="3551" customFormat="false" ht="27.75" hidden="false" customHeight="true" outlineLevel="0" collapsed="false">
      <c r="A3551" s="184" t="s">
        <v>4972</v>
      </c>
      <c r="B3551" s="184" t="s">
        <v>4973</v>
      </c>
      <c r="C3551" s="184" t="n">
        <v>8</v>
      </c>
      <c r="D3551" s="178" t="s">
        <v>5269</v>
      </c>
      <c r="E3551" s="184" t="s">
        <v>7175</v>
      </c>
      <c r="F3551" s="184"/>
      <c r="G3551" s="184"/>
      <c r="H3551" s="184"/>
      <c r="I3551" s="184"/>
      <c r="J3551" s="184"/>
      <c r="K3551" s="184"/>
      <c r="L3551" s="184"/>
      <c r="M3551" s="184" t="s">
        <v>7179</v>
      </c>
      <c r="N3551" s="184"/>
      <c r="O3551" s="184"/>
    </row>
    <row r="3552" customFormat="false" ht="27.75" hidden="false" customHeight="true" outlineLevel="0" collapsed="false">
      <c r="A3552" s="184" t="s">
        <v>4972</v>
      </c>
      <c r="B3552" s="184" t="s">
        <v>4973</v>
      </c>
      <c r="C3552" s="184" t="n">
        <v>9</v>
      </c>
      <c r="D3552" s="184" t="s">
        <v>4790</v>
      </c>
      <c r="E3552" s="184" t="s">
        <v>2633</v>
      </c>
      <c r="F3552" s="184"/>
      <c r="G3552" s="184"/>
      <c r="H3552" s="184"/>
      <c r="I3552" s="184"/>
      <c r="J3552" s="184"/>
      <c r="K3552" s="184"/>
      <c r="L3552" s="184"/>
      <c r="M3552" s="184"/>
      <c r="N3552" s="184"/>
      <c r="O3552" s="184"/>
    </row>
    <row r="3553" customFormat="false" ht="27.75" hidden="false" customHeight="true" outlineLevel="0" collapsed="false">
      <c r="A3553" s="184" t="s">
        <v>4972</v>
      </c>
      <c r="B3553" s="184" t="s">
        <v>4973</v>
      </c>
      <c r="C3553" s="184" t="n">
        <v>10</v>
      </c>
      <c r="D3553" s="178" t="s">
        <v>5269</v>
      </c>
      <c r="E3553" s="184" t="s">
        <v>7175</v>
      </c>
      <c r="F3553" s="184"/>
      <c r="G3553" s="184"/>
      <c r="H3553" s="184"/>
      <c r="I3553" s="184"/>
      <c r="J3553" s="184"/>
      <c r="K3553" s="184"/>
      <c r="L3553" s="184"/>
      <c r="M3553" s="184" t="s">
        <v>7180</v>
      </c>
      <c r="N3553" s="184"/>
      <c r="O3553" s="184"/>
    </row>
    <row r="3554" customFormat="false" ht="15" hidden="false" customHeight="true" outlineLevel="0" collapsed="false">
      <c r="A3554" s="184"/>
      <c r="B3554" s="184"/>
      <c r="C3554" s="184"/>
      <c r="D3554" s="184"/>
      <c r="E3554" s="184"/>
      <c r="F3554" s="184"/>
      <c r="G3554" s="184"/>
      <c r="H3554" s="184"/>
      <c r="I3554" s="184"/>
      <c r="J3554" s="184"/>
      <c r="K3554" s="184"/>
      <c r="L3554" s="184"/>
      <c r="M3554" s="184"/>
      <c r="N3554" s="184"/>
      <c r="O3554" s="184"/>
    </row>
    <row r="3555" customFormat="false" ht="15" hidden="false" customHeight="true" outlineLevel="0" collapsed="false">
      <c r="A3555" s="184"/>
      <c r="B3555" s="184"/>
      <c r="C3555" s="184"/>
      <c r="D3555" s="184"/>
      <c r="E3555" s="184"/>
      <c r="F3555" s="184"/>
      <c r="G3555" s="184"/>
      <c r="H3555" s="184"/>
      <c r="I3555" s="184"/>
      <c r="J3555" s="184"/>
      <c r="K3555" s="184"/>
      <c r="L3555" s="184"/>
      <c r="M3555" s="184"/>
      <c r="N3555" s="184"/>
      <c r="O3555" s="184"/>
    </row>
    <row r="3556" customFormat="false" ht="15" hidden="false" customHeight="true" outlineLevel="0" collapsed="false">
      <c r="A3556" s="184"/>
      <c r="B3556" s="184"/>
      <c r="C3556" s="184"/>
      <c r="D3556" s="184"/>
      <c r="E3556" s="184"/>
      <c r="F3556" s="184"/>
      <c r="G3556" s="184"/>
      <c r="H3556" s="184"/>
      <c r="I3556" s="184"/>
      <c r="J3556" s="184"/>
      <c r="K3556" s="184"/>
      <c r="L3556" s="184"/>
      <c r="M3556" s="184"/>
      <c r="N3556" s="184"/>
      <c r="O3556" s="184"/>
    </row>
    <row r="3557" customFormat="false" ht="15" hidden="false" customHeight="true" outlineLevel="0" collapsed="false">
      <c r="A3557" s="184"/>
      <c r="B3557" s="184"/>
      <c r="C3557" s="184"/>
      <c r="D3557" s="184"/>
      <c r="E3557" s="184"/>
      <c r="F3557" s="184"/>
      <c r="G3557" s="184"/>
      <c r="H3557" s="184"/>
      <c r="I3557" s="184"/>
      <c r="J3557" s="184"/>
      <c r="K3557" s="184"/>
      <c r="L3557" s="184"/>
      <c r="M3557" s="184"/>
      <c r="N3557" s="184"/>
      <c r="O3557" s="184"/>
    </row>
    <row r="3558" customFormat="false" ht="15" hidden="false" customHeight="true" outlineLevel="0" collapsed="false">
      <c r="A3558" s="184"/>
      <c r="B3558" s="184"/>
      <c r="C3558" s="184"/>
      <c r="D3558" s="184"/>
      <c r="E3558" s="184"/>
      <c r="F3558" s="184"/>
      <c r="G3558" s="184"/>
      <c r="H3558" s="184"/>
      <c r="I3558" s="184"/>
      <c r="J3558" s="184"/>
      <c r="K3558" s="184"/>
      <c r="L3558" s="184"/>
      <c r="M3558" s="184"/>
      <c r="N3558" s="184"/>
      <c r="O3558" s="184"/>
    </row>
    <row r="3559" customFormat="false" ht="15" hidden="false" customHeight="true" outlineLevel="0" collapsed="false">
      <c r="A3559" s="184"/>
      <c r="B3559" s="184"/>
      <c r="C3559" s="184"/>
      <c r="D3559" s="184"/>
      <c r="E3559" s="184"/>
      <c r="F3559" s="184"/>
      <c r="G3559" s="184"/>
      <c r="H3559" s="184"/>
      <c r="I3559" s="184"/>
      <c r="J3559" s="184"/>
      <c r="K3559" s="184"/>
      <c r="L3559" s="184"/>
      <c r="M3559" s="184"/>
      <c r="N3559" s="184"/>
      <c r="O3559" s="184"/>
    </row>
    <row r="3560" customFormat="false" ht="15" hidden="false" customHeight="true" outlineLevel="0" collapsed="false">
      <c r="A3560" s="184"/>
      <c r="B3560" s="184"/>
      <c r="C3560" s="184"/>
      <c r="D3560" s="184"/>
      <c r="E3560" s="184"/>
      <c r="F3560" s="184"/>
      <c r="G3560" s="184"/>
      <c r="H3560" s="184"/>
      <c r="I3560" s="184"/>
      <c r="J3560" s="184"/>
      <c r="K3560" s="184"/>
      <c r="L3560" s="184"/>
      <c r="M3560" s="184"/>
      <c r="N3560" s="184"/>
      <c r="O3560" s="184"/>
    </row>
    <row r="3561" customFormat="false" ht="15" hidden="false" customHeight="true" outlineLevel="0" collapsed="false">
      <c r="A3561" s="184"/>
      <c r="B3561" s="184"/>
      <c r="C3561" s="184"/>
      <c r="D3561" s="184"/>
      <c r="E3561" s="184"/>
      <c r="F3561" s="184"/>
      <c r="G3561" s="184"/>
      <c r="H3561" s="184"/>
      <c r="I3561" s="184"/>
      <c r="J3561" s="184"/>
      <c r="K3561" s="184"/>
      <c r="L3561" s="184"/>
      <c r="M3561" s="184"/>
      <c r="N3561" s="184"/>
      <c r="O3561" s="184"/>
    </row>
    <row r="3562" customFormat="false" ht="15" hidden="false" customHeight="true" outlineLevel="0" collapsed="false">
      <c r="A3562" s="184"/>
      <c r="B3562" s="184"/>
      <c r="C3562" s="184"/>
      <c r="D3562" s="184"/>
      <c r="E3562" s="184"/>
      <c r="F3562" s="184"/>
      <c r="G3562" s="184"/>
      <c r="H3562" s="184"/>
      <c r="I3562" s="184"/>
      <c r="J3562" s="184"/>
      <c r="K3562" s="184"/>
      <c r="L3562" s="184"/>
      <c r="M3562" s="184"/>
      <c r="N3562" s="184"/>
      <c r="O3562" s="184"/>
    </row>
    <row r="3563" customFormat="false" ht="15" hidden="false" customHeight="true" outlineLevel="0" collapsed="false">
      <c r="A3563" s="184"/>
      <c r="B3563" s="184"/>
      <c r="C3563" s="184"/>
      <c r="D3563" s="184"/>
      <c r="E3563" s="184"/>
      <c r="F3563" s="184"/>
      <c r="G3563" s="184"/>
      <c r="H3563" s="184"/>
      <c r="I3563" s="184"/>
      <c r="J3563" s="184"/>
      <c r="K3563" s="184"/>
      <c r="L3563" s="184"/>
      <c r="M3563" s="184"/>
      <c r="N3563" s="184"/>
      <c r="O3563" s="184"/>
    </row>
    <row r="3564" customFormat="false" ht="15" hidden="false" customHeight="true" outlineLevel="0" collapsed="false">
      <c r="A3564" s="184"/>
      <c r="B3564" s="184"/>
      <c r="C3564" s="184"/>
      <c r="D3564" s="184"/>
      <c r="E3564" s="184"/>
      <c r="F3564" s="184"/>
      <c r="G3564" s="184"/>
      <c r="H3564" s="184"/>
      <c r="I3564" s="184"/>
      <c r="J3564" s="184"/>
      <c r="K3564" s="184"/>
      <c r="L3564" s="184"/>
      <c r="M3564" s="184"/>
      <c r="N3564" s="184"/>
      <c r="O3564" s="184"/>
    </row>
    <row r="3565" customFormat="false" ht="15" hidden="false" customHeight="true" outlineLevel="0" collapsed="false">
      <c r="A3565" s="184"/>
      <c r="B3565" s="184"/>
      <c r="C3565" s="184"/>
      <c r="D3565" s="184"/>
      <c r="E3565" s="184"/>
      <c r="F3565" s="184"/>
      <c r="G3565" s="184"/>
      <c r="H3565" s="184"/>
      <c r="I3565" s="184"/>
      <c r="J3565" s="184"/>
      <c r="K3565" s="184"/>
      <c r="L3565" s="184"/>
      <c r="M3565" s="184"/>
      <c r="N3565" s="184"/>
      <c r="O3565" s="184"/>
    </row>
    <row r="3566" customFormat="false" ht="15" hidden="false" customHeight="true" outlineLevel="0" collapsed="false">
      <c r="A3566" s="184"/>
      <c r="B3566" s="184"/>
      <c r="C3566" s="184"/>
      <c r="D3566" s="184"/>
      <c r="E3566" s="184"/>
      <c r="F3566" s="184"/>
      <c r="G3566" s="184"/>
      <c r="H3566" s="184"/>
      <c r="I3566" s="184"/>
      <c r="J3566" s="184"/>
      <c r="K3566" s="184"/>
      <c r="L3566" s="184"/>
      <c r="M3566" s="184"/>
      <c r="N3566" s="184"/>
      <c r="O3566" s="184"/>
    </row>
    <row r="3567" customFormat="false" ht="15" hidden="false" customHeight="true" outlineLevel="0" collapsed="false">
      <c r="A3567" s="184"/>
      <c r="B3567" s="184"/>
      <c r="C3567" s="184"/>
      <c r="D3567" s="184"/>
      <c r="E3567" s="184"/>
      <c r="F3567" s="184"/>
      <c r="G3567" s="184"/>
      <c r="H3567" s="184"/>
      <c r="I3567" s="184"/>
      <c r="J3567" s="184"/>
      <c r="K3567" s="184"/>
      <c r="L3567" s="184"/>
      <c r="M3567" s="184"/>
      <c r="N3567" s="184"/>
      <c r="O3567" s="184"/>
    </row>
    <row r="3568" customFormat="false" ht="15" hidden="false" customHeight="true" outlineLevel="0" collapsed="false">
      <c r="A3568" s="184"/>
      <c r="B3568" s="184"/>
      <c r="C3568" s="184"/>
      <c r="D3568" s="184"/>
      <c r="E3568" s="184"/>
      <c r="F3568" s="184"/>
      <c r="G3568" s="184"/>
      <c r="H3568" s="184"/>
      <c r="I3568" s="184"/>
      <c r="J3568" s="184"/>
      <c r="K3568" s="184"/>
      <c r="L3568" s="184"/>
      <c r="M3568" s="184"/>
      <c r="N3568" s="184"/>
      <c r="O3568" s="184"/>
    </row>
    <row r="3569" customFormat="false" ht="15" hidden="false" customHeight="true" outlineLevel="0" collapsed="false">
      <c r="A3569" s="184"/>
      <c r="B3569" s="184"/>
      <c r="C3569" s="184"/>
      <c r="D3569" s="184"/>
      <c r="E3569" s="184"/>
      <c r="F3569" s="184"/>
      <c r="G3569" s="184"/>
      <c r="H3569" s="184"/>
      <c r="I3569" s="184"/>
      <c r="J3569" s="184"/>
      <c r="K3569" s="184"/>
      <c r="L3569" s="184"/>
      <c r="M3569" s="184"/>
      <c r="N3569" s="184"/>
      <c r="O3569" s="184"/>
    </row>
    <row r="3570" customFormat="false" ht="15" hidden="false" customHeight="true" outlineLevel="0" collapsed="false">
      <c r="A3570" s="184"/>
      <c r="B3570" s="184"/>
      <c r="C3570" s="184"/>
      <c r="D3570" s="184"/>
      <c r="E3570" s="184"/>
      <c r="F3570" s="184"/>
      <c r="G3570" s="184"/>
      <c r="H3570" s="184"/>
      <c r="I3570" s="184"/>
      <c r="J3570" s="184"/>
      <c r="K3570" s="184"/>
      <c r="L3570" s="184"/>
      <c r="M3570" s="184"/>
      <c r="N3570" s="184"/>
      <c r="O3570" s="184"/>
    </row>
    <row r="3571" customFormat="false" ht="15" hidden="false" customHeight="true" outlineLevel="0" collapsed="false">
      <c r="A3571" s="184"/>
      <c r="B3571" s="184"/>
      <c r="C3571" s="184"/>
      <c r="D3571" s="184"/>
      <c r="E3571" s="184"/>
      <c r="F3571" s="184"/>
      <c r="G3571" s="184"/>
      <c r="H3571" s="184"/>
      <c r="I3571" s="184"/>
      <c r="J3571" s="184"/>
      <c r="K3571" s="184"/>
      <c r="L3571" s="184"/>
      <c r="M3571" s="184"/>
      <c r="N3571" s="184"/>
      <c r="O3571" s="184"/>
    </row>
    <row r="3572" customFormat="false" ht="15" hidden="false" customHeight="true" outlineLevel="0" collapsed="false">
      <c r="A3572" s="184"/>
      <c r="B3572" s="184"/>
      <c r="C3572" s="184"/>
      <c r="D3572" s="184"/>
      <c r="E3572" s="184"/>
      <c r="F3572" s="184"/>
      <c r="G3572" s="184"/>
      <c r="H3572" s="184"/>
      <c r="I3572" s="184"/>
      <c r="J3572" s="184"/>
      <c r="K3572" s="184"/>
      <c r="L3572" s="184"/>
      <c r="M3572" s="184"/>
      <c r="N3572" s="184"/>
      <c r="O3572" s="184"/>
    </row>
    <row r="3573" customFormat="false" ht="15" hidden="false" customHeight="true" outlineLevel="0" collapsed="false">
      <c r="A3573" s="184"/>
      <c r="B3573" s="184"/>
      <c r="C3573" s="184"/>
      <c r="D3573" s="184"/>
      <c r="E3573" s="184"/>
      <c r="F3573" s="184"/>
      <c r="G3573" s="184"/>
      <c r="H3573" s="184"/>
      <c r="I3573" s="184"/>
      <c r="J3573" s="184"/>
      <c r="K3573" s="184"/>
      <c r="L3573" s="184"/>
      <c r="M3573" s="184"/>
      <c r="N3573" s="184"/>
      <c r="O3573" s="184"/>
    </row>
    <row r="3574" customFormat="false" ht="15" hidden="false" customHeight="true" outlineLevel="0" collapsed="false">
      <c r="A3574" s="184"/>
      <c r="B3574" s="184"/>
      <c r="C3574" s="184"/>
      <c r="D3574" s="184"/>
      <c r="E3574" s="184"/>
      <c r="F3574" s="184"/>
      <c r="G3574" s="184"/>
      <c r="H3574" s="184"/>
      <c r="I3574" s="184"/>
      <c r="J3574" s="184"/>
      <c r="K3574" s="184"/>
      <c r="L3574" s="184"/>
      <c r="M3574" s="184"/>
      <c r="N3574" s="184"/>
      <c r="O3574" s="184"/>
    </row>
    <row r="3575" customFormat="false" ht="15" hidden="false" customHeight="true" outlineLevel="0" collapsed="false">
      <c r="A3575" s="184"/>
      <c r="B3575" s="184"/>
      <c r="C3575" s="184"/>
      <c r="D3575" s="184"/>
      <c r="E3575" s="184"/>
      <c r="F3575" s="184"/>
      <c r="G3575" s="184"/>
      <c r="H3575" s="184"/>
      <c r="I3575" s="184"/>
      <c r="J3575" s="184"/>
      <c r="K3575" s="184"/>
      <c r="L3575" s="184"/>
      <c r="M3575" s="184"/>
      <c r="N3575" s="184"/>
      <c r="O3575" s="184"/>
    </row>
    <row r="3576" customFormat="false" ht="15" hidden="false" customHeight="true" outlineLevel="0" collapsed="false">
      <c r="A3576" s="184"/>
      <c r="B3576" s="184"/>
      <c r="C3576" s="184"/>
      <c r="D3576" s="184"/>
      <c r="E3576" s="184"/>
      <c r="F3576" s="184"/>
      <c r="G3576" s="184"/>
      <c r="H3576" s="184"/>
      <c r="I3576" s="184"/>
      <c r="J3576" s="184"/>
      <c r="K3576" s="184"/>
      <c r="L3576" s="184"/>
      <c r="M3576" s="184"/>
      <c r="N3576" s="184"/>
      <c r="O3576" s="184"/>
    </row>
    <row r="3577" customFormat="false" ht="15" hidden="false" customHeight="true" outlineLevel="0" collapsed="false">
      <c r="A3577" s="184"/>
      <c r="B3577" s="184"/>
      <c r="C3577" s="184"/>
      <c r="D3577" s="184"/>
      <c r="E3577" s="184"/>
      <c r="F3577" s="184"/>
      <c r="G3577" s="184"/>
      <c r="H3577" s="184"/>
      <c r="I3577" s="184"/>
      <c r="J3577" s="184"/>
      <c r="K3577" s="184"/>
      <c r="L3577" s="184"/>
      <c r="M3577" s="184"/>
      <c r="N3577" s="184"/>
      <c r="O3577" s="184"/>
    </row>
    <row r="3578" customFormat="false" ht="15" hidden="false" customHeight="true" outlineLevel="0" collapsed="false">
      <c r="A3578" s="184"/>
      <c r="B3578" s="184"/>
      <c r="C3578" s="184"/>
      <c r="D3578" s="184"/>
      <c r="E3578" s="184"/>
      <c r="F3578" s="184"/>
      <c r="G3578" s="184"/>
      <c r="H3578" s="184"/>
      <c r="I3578" s="184"/>
      <c r="J3578" s="184"/>
      <c r="K3578" s="184"/>
      <c r="L3578" s="184"/>
      <c r="M3578" s="184"/>
      <c r="N3578" s="184"/>
      <c r="O3578" s="184"/>
    </row>
    <row r="3579" customFormat="false" ht="54.75" hidden="false" customHeight="true" outlineLevel="0" collapsed="false">
      <c r="A3579" s="184" t="s">
        <v>4975</v>
      </c>
      <c r="B3579" s="184" t="s">
        <v>4976</v>
      </c>
      <c r="C3579" s="184"/>
      <c r="D3579" s="179" t="s">
        <v>4858</v>
      </c>
      <c r="E3579" s="184" t="s">
        <v>7194</v>
      </c>
      <c r="F3579" s="184"/>
      <c r="G3579" s="184"/>
      <c r="H3579" s="184"/>
      <c r="I3579" s="184"/>
      <c r="J3579" s="184"/>
      <c r="K3579" s="184"/>
      <c r="L3579" s="184"/>
      <c r="M3579" s="184" t="s">
        <v>7193</v>
      </c>
      <c r="N3579" s="184"/>
      <c r="O3579" s="184"/>
    </row>
    <row r="3580" customFormat="false" ht="27.75" hidden="false" customHeight="true" outlineLevel="0" collapsed="false">
      <c r="A3580" s="184" t="s">
        <v>4975</v>
      </c>
      <c r="B3580" s="184" t="s">
        <v>4976</v>
      </c>
      <c r="C3580" s="184" t="n">
        <v>1</v>
      </c>
      <c r="D3580" s="184" t="s">
        <v>6296</v>
      </c>
      <c r="E3580" s="184" t="s">
        <v>7182</v>
      </c>
      <c r="F3580" s="184"/>
      <c r="G3580" s="184"/>
      <c r="H3580" s="184"/>
      <c r="I3580" s="184"/>
      <c r="J3580" s="184"/>
      <c r="K3580" s="184"/>
      <c r="L3580" s="184"/>
      <c r="M3580" s="184"/>
      <c r="N3580" s="184"/>
      <c r="O3580" s="184"/>
    </row>
    <row r="3581" customFormat="false" ht="41.25" hidden="false" customHeight="true" outlineLevel="0" collapsed="false">
      <c r="A3581" s="184" t="s">
        <v>4975</v>
      </c>
      <c r="B3581" s="184" t="s">
        <v>4976</v>
      </c>
      <c r="C3581" s="184" t="n">
        <v>2</v>
      </c>
      <c r="D3581" s="177" t="s">
        <v>6298</v>
      </c>
      <c r="E3581" s="184" t="s">
        <v>7177</v>
      </c>
      <c r="F3581" s="184"/>
      <c r="G3581" s="184"/>
      <c r="H3581" s="184"/>
      <c r="I3581" s="184"/>
      <c r="J3581" s="184"/>
      <c r="K3581" s="184"/>
      <c r="L3581" s="184"/>
      <c r="M3581" s="184"/>
      <c r="N3581" s="184"/>
      <c r="O3581" s="184"/>
    </row>
    <row r="3582" customFormat="false" ht="27.75" hidden="false" customHeight="true" outlineLevel="0" collapsed="false">
      <c r="A3582" s="184" t="s">
        <v>4975</v>
      </c>
      <c r="B3582" s="184" t="s">
        <v>4976</v>
      </c>
      <c r="C3582" s="184" t="n">
        <v>3</v>
      </c>
      <c r="D3582" s="184" t="s">
        <v>4790</v>
      </c>
      <c r="E3582" s="184" t="s">
        <v>784</v>
      </c>
      <c r="F3582" s="184"/>
      <c r="G3582" s="184"/>
      <c r="H3582" s="184"/>
      <c r="I3582" s="184"/>
      <c r="J3582" s="184"/>
      <c r="K3582" s="184"/>
      <c r="L3582" s="184"/>
      <c r="M3582" s="184"/>
      <c r="N3582" s="184"/>
      <c r="O3582" s="184"/>
    </row>
    <row r="3583" customFormat="false" ht="27.75" hidden="false" customHeight="true" outlineLevel="0" collapsed="false">
      <c r="A3583" s="184" t="s">
        <v>4975</v>
      </c>
      <c r="B3583" s="184" t="s">
        <v>4976</v>
      </c>
      <c r="C3583" s="184" t="n">
        <v>4</v>
      </c>
      <c r="D3583" s="178" t="s">
        <v>5269</v>
      </c>
      <c r="E3583" s="184" t="s">
        <v>7175</v>
      </c>
      <c r="F3583" s="184"/>
      <c r="G3583" s="184"/>
      <c r="H3583" s="184"/>
      <c r="I3583" s="184"/>
      <c r="J3583" s="184"/>
      <c r="K3583" s="184"/>
      <c r="L3583" s="184"/>
      <c r="M3583" s="184" t="s">
        <v>7176</v>
      </c>
      <c r="N3583" s="184"/>
      <c r="O3583" s="184"/>
    </row>
    <row r="3584" customFormat="false" ht="27.75" hidden="false" customHeight="true" outlineLevel="0" collapsed="false">
      <c r="A3584" s="184" t="s">
        <v>4975</v>
      </c>
      <c r="B3584" s="184" t="s">
        <v>4976</v>
      </c>
      <c r="C3584" s="184" t="n">
        <v>5</v>
      </c>
      <c r="D3584" s="184" t="s">
        <v>4790</v>
      </c>
      <c r="E3584" s="184" t="s">
        <v>1779</v>
      </c>
      <c r="F3584" s="184"/>
      <c r="G3584" s="184"/>
      <c r="H3584" s="184"/>
      <c r="I3584" s="184"/>
      <c r="J3584" s="184"/>
      <c r="K3584" s="184"/>
      <c r="L3584" s="184"/>
      <c r="M3584" s="184"/>
      <c r="N3584" s="184"/>
      <c r="O3584" s="184"/>
    </row>
    <row r="3585" customFormat="false" ht="27.75" hidden="false" customHeight="true" outlineLevel="0" collapsed="false">
      <c r="A3585" s="184" t="s">
        <v>4975</v>
      </c>
      <c r="B3585" s="184" t="s">
        <v>4976</v>
      </c>
      <c r="C3585" s="184" t="n">
        <v>6</v>
      </c>
      <c r="D3585" s="178" t="s">
        <v>5269</v>
      </c>
      <c r="E3585" s="184" t="s">
        <v>7175</v>
      </c>
      <c r="F3585" s="184"/>
      <c r="G3585" s="184"/>
      <c r="H3585" s="184"/>
      <c r="I3585" s="184"/>
      <c r="J3585" s="184"/>
      <c r="K3585" s="184"/>
      <c r="L3585" s="184"/>
      <c r="M3585" s="184" t="s">
        <v>7178</v>
      </c>
      <c r="N3585" s="184"/>
      <c r="O3585" s="184"/>
    </row>
    <row r="3586" customFormat="false" ht="27.75" hidden="false" customHeight="true" outlineLevel="0" collapsed="false">
      <c r="A3586" s="184" t="s">
        <v>4975</v>
      </c>
      <c r="B3586" s="184" t="s">
        <v>4976</v>
      </c>
      <c r="C3586" s="184" t="n">
        <v>7</v>
      </c>
      <c r="D3586" s="184" t="s">
        <v>4790</v>
      </c>
      <c r="E3586" s="184" t="s">
        <v>2630</v>
      </c>
      <c r="F3586" s="184"/>
      <c r="G3586" s="184"/>
      <c r="H3586" s="184"/>
      <c r="I3586" s="184"/>
      <c r="J3586" s="184"/>
      <c r="K3586" s="184"/>
      <c r="L3586" s="184"/>
      <c r="M3586" s="184"/>
      <c r="N3586" s="184"/>
      <c r="O3586" s="184"/>
    </row>
    <row r="3587" customFormat="false" ht="27.75" hidden="false" customHeight="true" outlineLevel="0" collapsed="false">
      <c r="A3587" s="184" t="s">
        <v>4975</v>
      </c>
      <c r="B3587" s="184" t="s">
        <v>4976</v>
      </c>
      <c r="C3587" s="184" t="n">
        <v>8</v>
      </c>
      <c r="D3587" s="178" t="s">
        <v>5269</v>
      </c>
      <c r="E3587" s="184" t="s">
        <v>7175</v>
      </c>
      <c r="F3587" s="184"/>
      <c r="G3587" s="184"/>
      <c r="H3587" s="184"/>
      <c r="I3587" s="184"/>
      <c r="J3587" s="184"/>
      <c r="K3587" s="184"/>
      <c r="L3587" s="184"/>
      <c r="M3587" s="184" t="s">
        <v>7179</v>
      </c>
      <c r="N3587" s="184"/>
      <c r="O3587" s="184"/>
    </row>
    <row r="3588" customFormat="false" ht="15" hidden="false" customHeight="true" outlineLevel="0" collapsed="false">
      <c r="A3588" s="184"/>
      <c r="B3588" s="184"/>
      <c r="C3588" s="184"/>
      <c r="D3588" s="184"/>
      <c r="E3588" s="184"/>
      <c r="F3588" s="184"/>
      <c r="G3588" s="184"/>
      <c r="H3588" s="184"/>
      <c r="I3588" s="184"/>
      <c r="J3588" s="184"/>
      <c r="K3588" s="184"/>
      <c r="L3588" s="184"/>
      <c r="M3588" s="184"/>
      <c r="N3588" s="184"/>
      <c r="O3588" s="184"/>
    </row>
    <row r="3589" customFormat="false" ht="15" hidden="false" customHeight="true" outlineLevel="0" collapsed="false">
      <c r="A3589" s="184"/>
      <c r="B3589" s="184"/>
      <c r="C3589" s="184"/>
      <c r="D3589" s="184"/>
      <c r="E3589" s="184"/>
      <c r="F3589" s="184"/>
      <c r="G3589" s="184"/>
      <c r="H3589" s="184"/>
      <c r="I3589" s="184"/>
      <c r="J3589" s="184"/>
      <c r="K3589" s="184"/>
      <c r="L3589" s="184"/>
      <c r="M3589" s="184"/>
      <c r="N3589" s="184"/>
      <c r="O3589" s="184"/>
    </row>
    <row r="3590" customFormat="false" ht="15" hidden="false" customHeight="true" outlineLevel="0" collapsed="false">
      <c r="A3590" s="184"/>
      <c r="B3590" s="184"/>
      <c r="C3590" s="184"/>
      <c r="D3590" s="184"/>
      <c r="E3590" s="184"/>
      <c r="F3590" s="184"/>
      <c r="G3590" s="184"/>
      <c r="H3590" s="184"/>
      <c r="I3590" s="184"/>
      <c r="J3590" s="184"/>
      <c r="K3590" s="184"/>
      <c r="L3590" s="184"/>
      <c r="M3590" s="184"/>
      <c r="N3590" s="184"/>
      <c r="O3590" s="184"/>
    </row>
    <row r="3591" customFormat="false" ht="15" hidden="false" customHeight="true" outlineLevel="0" collapsed="false">
      <c r="A3591" s="184"/>
      <c r="B3591" s="184"/>
      <c r="C3591" s="184"/>
      <c r="D3591" s="184"/>
      <c r="E3591" s="184"/>
      <c r="F3591" s="184"/>
      <c r="G3591" s="184"/>
      <c r="H3591" s="184"/>
      <c r="I3591" s="184"/>
      <c r="J3591" s="184"/>
      <c r="K3591" s="184"/>
      <c r="L3591" s="184"/>
      <c r="M3591" s="184"/>
      <c r="N3591" s="184"/>
      <c r="O3591" s="184"/>
    </row>
    <row r="3592" customFormat="false" ht="15" hidden="false" customHeight="true" outlineLevel="0" collapsed="false">
      <c r="A3592" s="184"/>
      <c r="B3592" s="184"/>
      <c r="C3592" s="184"/>
      <c r="D3592" s="184"/>
      <c r="E3592" s="184"/>
      <c r="F3592" s="184"/>
      <c r="G3592" s="184"/>
      <c r="H3592" s="184"/>
      <c r="I3592" s="184"/>
      <c r="J3592" s="184"/>
      <c r="K3592" s="184"/>
      <c r="L3592" s="184"/>
      <c r="M3592" s="184"/>
      <c r="N3592" s="184"/>
      <c r="O3592" s="184"/>
    </row>
    <row r="3593" customFormat="false" ht="15" hidden="false" customHeight="true" outlineLevel="0" collapsed="false">
      <c r="A3593" s="184"/>
      <c r="B3593" s="184"/>
      <c r="C3593" s="184"/>
      <c r="D3593" s="184"/>
      <c r="E3593" s="184"/>
      <c r="F3593" s="184"/>
      <c r="G3593" s="184"/>
      <c r="H3593" s="184"/>
      <c r="I3593" s="184"/>
      <c r="J3593" s="184"/>
      <c r="K3593" s="184"/>
      <c r="L3593" s="184"/>
      <c r="M3593" s="184"/>
      <c r="N3593" s="184"/>
      <c r="O3593" s="184"/>
    </row>
    <row r="3594" customFormat="false" ht="15" hidden="false" customHeight="true" outlineLevel="0" collapsed="false">
      <c r="A3594" s="184"/>
      <c r="B3594" s="184"/>
      <c r="C3594" s="184"/>
      <c r="D3594" s="184"/>
      <c r="E3594" s="184"/>
      <c r="F3594" s="184"/>
      <c r="G3594" s="184"/>
      <c r="H3594" s="184"/>
      <c r="I3594" s="184"/>
      <c r="J3594" s="184"/>
      <c r="K3594" s="184"/>
      <c r="L3594" s="184"/>
      <c r="M3594" s="184"/>
      <c r="N3594" s="184"/>
      <c r="O3594" s="184"/>
    </row>
    <row r="3595" customFormat="false" ht="15" hidden="false" customHeight="true" outlineLevel="0" collapsed="false">
      <c r="A3595" s="184"/>
      <c r="B3595" s="184"/>
      <c r="C3595" s="184"/>
      <c r="D3595" s="184"/>
      <c r="E3595" s="184"/>
      <c r="F3595" s="184"/>
      <c r="G3595" s="184"/>
      <c r="H3595" s="184"/>
      <c r="I3595" s="184"/>
      <c r="J3595" s="184"/>
      <c r="K3595" s="184"/>
      <c r="L3595" s="184"/>
      <c r="M3595" s="184"/>
      <c r="N3595" s="184"/>
      <c r="O3595" s="184"/>
    </row>
    <row r="3596" customFormat="false" ht="15" hidden="false" customHeight="true" outlineLevel="0" collapsed="false">
      <c r="A3596" s="184"/>
      <c r="B3596" s="184"/>
      <c r="C3596" s="184"/>
      <c r="D3596" s="184"/>
      <c r="E3596" s="184"/>
      <c r="F3596" s="184"/>
      <c r="G3596" s="184"/>
      <c r="H3596" s="184"/>
      <c r="I3596" s="184"/>
      <c r="J3596" s="184"/>
      <c r="K3596" s="184"/>
      <c r="L3596" s="184"/>
      <c r="M3596" s="184"/>
      <c r="N3596" s="184"/>
      <c r="O3596" s="184"/>
    </row>
    <row r="3597" customFormat="false" ht="15" hidden="false" customHeight="true" outlineLevel="0" collapsed="false">
      <c r="A3597" s="184"/>
      <c r="B3597" s="184"/>
      <c r="C3597" s="184"/>
      <c r="D3597" s="184"/>
      <c r="E3597" s="184"/>
      <c r="F3597" s="184"/>
      <c r="G3597" s="184"/>
      <c r="H3597" s="184"/>
      <c r="I3597" s="184"/>
      <c r="J3597" s="184"/>
      <c r="K3597" s="184"/>
      <c r="L3597" s="184"/>
      <c r="M3597" s="184"/>
      <c r="N3597" s="184"/>
      <c r="O3597" s="184"/>
    </row>
    <row r="3598" customFormat="false" ht="15" hidden="false" customHeight="true" outlineLevel="0" collapsed="false">
      <c r="A3598" s="184"/>
      <c r="B3598" s="184"/>
      <c r="C3598" s="184"/>
      <c r="D3598" s="184"/>
      <c r="E3598" s="184"/>
      <c r="F3598" s="184"/>
      <c r="G3598" s="184"/>
      <c r="H3598" s="184"/>
      <c r="I3598" s="184"/>
      <c r="J3598" s="184"/>
      <c r="K3598" s="184"/>
      <c r="L3598" s="184"/>
      <c r="M3598" s="184"/>
      <c r="N3598" s="184"/>
      <c r="O3598" s="184"/>
    </row>
    <row r="3599" customFormat="false" ht="15" hidden="false" customHeight="true" outlineLevel="0" collapsed="false">
      <c r="A3599" s="184"/>
      <c r="B3599" s="184"/>
      <c r="C3599" s="184"/>
      <c r="D3599" s="184"/>
      <c r="E3599" s="184"/>
      <c r="F3599" s="184"/>
      <c r="G3599" s="184"/>
      <c r="H3599" s="184"/>
      <c r="I3599" s="184"/>
      <c r="J3599" s="184"/>
      <c r="K3599" s="184"/>
      <c r="L3599" s="184"/>
      <c r="M3599" s="184"/>
      <c r="N3599" s="184"/>
      <c r="O3599" s="184"/>
    </row>
    <row r="3600" customFormat="false" ht="15" hidden="false" customHeight="true" outlineLevel="0" collapsed="false">
      <c r="A3600" s="184"/>
      <c r="B3600" s="184"/>
      <c r="C3600" s="184"/>
      <c r="D3600" s="184"/>
      <c r="E3600" s="184"/>
      <c r="F3600" s="184"/>
      <c r="G3600" s="184"/>
      <c r="H3600" s="184"/>
      <c r="I3600" s="184"/>
      <c r="J3600" s="184"/>
      <c r="K3600" s="184"/>
      <c r="L3600" s="184"/>
      <c r="M3600" s="184"/>
      <c r="N3600" s="184"/>
      <c r="O3600" s="184"/>
    </row>
    <row r="3601" customFormat="false" ht="15" hidden="false" customHeight="true" outlineLevel="0" collapsed="false">
      <c r="A3601" s="184"/>
      <c r="B3601" s="184"/>
      <c r="C3601" s="184"/>
      <c r="D3601" s="184"/>
      <c r="E3601" s="184"/>
      <c r="F3601" s="184"/>
      <c r="G3601" s="184"/>
      <c r="H3601" s="184"/>
      <c r="I3601" s="184"/>
      <c r="J3601" s="184"/>
      <c r="K3601" s="184"/>
      <c r="L3601" s="184"/>
      <c r="M3601" s="184"/>
      <c r="N3601" s="184"/>
      <c r="O3601" s="184"/>
    </row>
    <row r="3602" customFormat="false" ht="15" hidden="false" customHeight="true" outlineLevel="0" collapsed="false">
      <c r="A3602" s="184"/>
      <c r="B3602" s="184"/>
      <c r="C3602" s="184"/>
      <c r="D3602" s="184"/>
      <c r="E3602" s="184"/>
      <c r="F3602" s="184"/>
      <c r="G3602" s="184"/>
      <c r="H3602" s="184"/>
      <c r="I3602" s="184"/>
      <c r="J3602" s="184"/>
      <c r="K3602" s="184"/>
      <c r="L3602" s="184"/>
      <c r="M3602" s="184"/>
      <c r="N3602" s="184"/>
      <c r="O3602" s="184"/>
    </row>
    <row r="3603" customFormat="false" ht="15" hidden="false" customHeight="true" outlineLevel="0" collapsed="false">
      <c r="A3603" s="184"/>
      <c r="B3603" s="184"/>
      <c r="C3603" s="184"/>
      <c r="D3603" s="184"/>
      <c r="E3603" s="184"/>
      <c r="F3603" s="184"/>
      <c r="G3603" s="184"/>
      <c r="H3603" s="184"/>
      <c r="I3603" s="184"/>
      <c r="J3603" s="184"/>
      <c r="K3603" s="184"/>
      <c r="L3603" s="184"/>
      <c r="M3603" s="184"/>
      <c r="N3603" s="184"/>
      <c r="O3603" s="184"/>
    </row>
    <row r="3604" customFormat="false" ht="15" hidden="false" customHeight="true" outlineLevel="0" collapsed="false">
      <c r="A3604" s="184"/>
      <c r="B3604" s="184"/>
      <c r="C3604" s="184"/>
      <c r="D3604" s="184"/>
      <c r="E3604" s="184"/>
      <c r="F3604" s="184"/>
      <c r="G3604" s="184"/>
      <c r="H3604" s="184"/>
      <c r="I3604" s="184"/>
      <c r="J3604" s="184"/>
      <c r="K3604" s="184"/>
      <c r="L3604" s="184"/>
      <c r="M3604" s="184"/>
      <c r="N3604" s="184"/>
      <c r="O3604" s="184"/>
    </row>
    <row r="3605" customFormat="false" ht="15" hidden="false" customHeight="true" outlineLevel="0" collapsed="false">
      <c r="A3605" s="184"/>
      <c r="B3605" s="184"/>
      <c r="C3605" s="184"/>
      <c r="D3605" s="184"/>
      <c r="E3605" s="184"/>
      <c r="F3605" s="184"/>
      <c r="G3605" s="184"/>
      <c r="H3605" s="184"/>
      <c r="I3605" s="184"/>
      <c r="J3605" s="184"/>
      <c r="K3605" s="184"/>
      <c r="L3605" s="184"/>
      <c r="M3605" s="184"/>
      <c r="N3605" s="184"/>
      <c r="O3605" s="184"/>
    </row>
    <row r="3606" customFormat="false" ht="15" hidden="false" customHeight="true" outlineLevel="0" collapsed="false">
      <c r="A3606" s="184"/>
      <c r="B3606" s="184"/>
      <c r="C3606" s="184"/>
      <c r="D3606" s="184"/>
      <c r="E3606" s="184"/>
      <c r="F3606" s="184"/>
      <c r="G3606" s="184"/>
      <c r="H3606" s="184"/>
      <c r="I3606" s="184"/>
      <c r="J3606" s="184"/>
      <c r="K3606" s="184"/>
      <c r="L3606" s="184"/>
      <c r="M3606" s="184"/>
      <c r="N3606" s="184"/>
      <c r="O3606" s="184"/>
    </row>
    <row r="3607" customFormat="false" ht="15" hidden="false" customHeight="true" outlineLevel="0" collapsed="false">
      <c r="A3607" s="184"/>
      <c r="B3607" s="184"/>
      <c r="C3607" s="184"/>
      <c r="D3607" s="184"/>
      <c r="E3607" s="184"/>
      <c r="F3607" s="184"/>
      <c r="G3607" s="184"/>
      <c r="H3607" s="184"/>
      <c r="I3607" s="184"/>
      <c r="J3607" s="184"/>
      <c r="K3607" s="184"/>
      <c r="L3607" s="184"/>
      <c r="M3607" s="184"/>
      <c r="N3607" s="184"/>
      <c r="O3607" s="184"/>
    </row>
    <row r="3608" customFormat="false" ht="15" hidden="false" customHeight="true" outlineLevel="0" collapsed="false">
      <c r="A3608" s="184"/>
      <c r="B3608" s="184"/>
      <c r="C3608" s="184"/>
      <c r="D3608" s="184"/>
      <c r="E3608" s="184"/>
      <c r="F3608" s="184"/>
      <c r="G3608" s="184"/>
      <c r="H3608" s="184"/>
      <c r="I3608" s="184"/>
      <c r="J3608" s="184"/>
      <c r="K3608" s="184"/>
      <c r="L3608" s="184"/>
      <c r="M3608" s="184"/>
      <c r="N3608" s="184"/>
      <c r="O3608" s="184"/>
    </row>
    <row r="3609" customFormat="false" ht="15" hidden="false" customHeight="true" outlineLevel="0" collapsed="false">
      <c r="A3609" s="184"/>
      <c r="B3609" s="184"/>
      <c r="C3609" s="184"/>
      <c r="D3609" s="184"/>
      <c r="E3609" s="184"/>
      <c r="F3609" s="184"/>
      <c r="G3609" s="184"/>
      <c r="H3609" s="184"/>
      <c r="I3609" s="184"/>
      <c r="J3609" s="184"/>
      <c r="K3609" s="184"/>
      <c r="L3609" s="184"/>
      <c r="M3609" s="184"/>
      <c r="N3609" s="184"/>
      <c r="O3609" s="184"/>
    </row>
    <row r="3610" customFormat="false" ht="15" hidden="false" customHeight="true" outlineLevel="0" collapsed="false">
      <c r="A3610" s="184"/>
      <c r="B3610" s="184"/>
      <c r="C3610" s="184"/>
      <c r="D3610" s="184"/>
      <c r="E3610" s="184"/>
      <c r="F3610" s="184"/>
      <c r="G3610" s="184"/>
      <c r="H3610" s="184"/>
      <c r="I3610" s="184"/>
      <c r="J3610" s="184"/>
      <c r="K3610" s="184"/>
      <c r="L3610" s="184"/>
      <c r="M3610" s="184"/>
      <c r="N3610" s="184"/>
      <c r="O3610" s="184"/>
    </row>
    <row r="3611" customFormat="false" ht="15" hidden="false" customHeight="true" outlineLevel="0" collapsed="false">
      <c r="A3611" s="184"/>
      <c r="B3611" s="184"/>
      <c r="C3611" s="184"/>
      <c r="D3611" s="184"/>
      <c r="E3611" s="184"/>
      <c r="F3611" s="184"/>
      <c r="G3611" s="184"/>
      <c r="H3611" s="184"/>
      <c r="I3611" s="184"/>
      <c r="J3611" s="184"/>
      <c r="K3611" s="184"/>
      <c r="L3611" s="184"/>
      <c r="M3611" s="184"/>
      <c r="N3611" s="184"/>
      <c r="O3611" s="184"/>
    </row>
    <row r="3612" customFormat="false" ht="15" hidden="false" customHeight="true" outlineLevel="0" collapsed="false">
      <c r="A3612" s="184"/>
      <c r="B3612" s="184"/>
      <c r="C3612" s="184"/>
      <c r="D3612" s="184"/>
      <c r="E3612" s="184"/>
      <c r="F3612" s="184"/>
      <c r="G3612" s="184"/>
      <c r="H3612" s="184"/>
      <c r="I3612" s="184"/>
      <c r="J3612" s="184"/>
      <c r="K3612" s="184"/>
      <c r="L3612" s="184"/>
      <c r="M3612" s="184"/>
      <c r="N3612" s="184"/>
      <c r="O3612" s="184"/>
    </row>
    <row r="3613" customFormat="false" ht="15" hidden="false" customHeight="true" outlineLevel="0" collapsed="false">
      <c r="A3613" s="184"/>
      <c r="B3613" s="184"/>
      <c r="C3613" s="184"/>
      <c r="D3613" s="184"/>
      <c r="E3613" s="184"/>
      <c r="F3613" s="184"/>
      <c r="G3613" s="184"/>
      <c r="H3613" s="184"/>
      <c r="I3613" s="184"/>
      <c r="J3613" s="184"/>
      <c r="K3613" s="184"/>
      <c r="L3613" s="184"/>
      <c r="M3613" s="184"/>
      <c r="N3613" s="184"/>
      <c r="O3613" s="184"/>
    </row>
    <row r="3614" customFormat="false" ht="15" hidden="false" customHeight="true" outlineLevel="0" collapsed="false">
      <c r="A3614" s="184"/>
      <c r="B3614" s="184"/>
      <c r="C3614" s="184"/>
      <c r="D3614" s="184"/>
      <c r="E3614" s="184"/>
      <c r="F3614" s="184"/>
      <c r="G3614" s="184"/>
      <c r="H3614" s="184"/>
      <c r="I3614" s="184"/>
      <c r="J3614" s="184"/>
      <c r="K3614" s="184"/>
      <c r="L3614" s="184"/>
      <c r="M3614" s="184"/>
      <c r="N3614" s="184"/>
      <c r="O3614" s="184"/>
    </row>
    <row r="3615" customFormat="false" ht="54.75" hidden="false" customHeight="true" outlineLevel="0" collapsed="false">
      <c r="A3615" s="184" t="s">
        <v>4978</v>
      </c>
      <c r="B3615" s="184" t="s">
        <v>4979</v>
      </c>
      <c r="C3615" s="184"/>
      <c r="D3615" s="179" t="s">
        <v>4858</v>
      </c>
      <c r="E3615" s="184" t="s">
        <v>7195</v>
      </c>
      <c r="F3615" s="184"/>
      <c r="G3615" s="184"/>
      <c r="H3615" s="184"/>
      <c r="I3615" s="184"/>
      <c r="J3615" s="184"/>
      <c r="K3615" s="184"/>
      <c r="L3615" s="184"/>
      <c r="M3615" s="184" t="s">
        <v>7193</v>
      </c>
      <c r="N3615" s="184"/>
      <c r="O3615" s="184"/>
    </row>
    <row r="3616" customFormat="false" ht="27.75" hidden="false" customHeight="true" outlineLevel="0" collapsed="false">
      <c r="A3616" s="184" t="s">
        <v>4978</v>
      </c>
      <c r="B3616" s="184" t="s">
        <v>4979</v>
      </c>
      <c r="C3616" s="184" t="n">
        <v>1</v>
      </c>
      <c r="D3616" s="184" t="s">
        <v>6296</v>
      </c>
      <c r="E3616" s="184" t="s">
        <v>7186</v>
      </c>
      <c r="F3616" s="184"/>
      <c r="G3616" s="184"/>
      <c r="H3616" s="184"/>
      <c r="I3616" s="184"/>
      <c r="J3616" s="184"/>
      <c r="K3616" s="184"/>
      <c r="L3616" s="184"/>
      <c r="M3616" s="184"/>
      <c r="N3616" s="184"/>
      <c r="O3616" s="184"/>
    </row>
    <row r="3617" customFormat="false" ht="41.25" hidden="false" customHeight="true" outlineLevel="0" collapsed="false">
      <c r="A3617" s="184" t="s">
        <v>4978</v>
      </c>
      <c r="B3617" s="184" t="s">
        <v>4979</v>
      </c>
      <c r="C3617" s="184" t="n">
        <v>2</v>
      </c>
      <c r="D3617" s="177" t="s">
        <v>6298</v>
      </c>
      <c r="E3617" s="184" t="s">
        <v>7188</v>
      </c>
      <c r="F3617" s="184"/>
      <c r="G3617" s="184"/>
      <c r="H3617" s="184"/>
      <c r="I3617" s="184"/>
      <c r="J3617" s="184"/>
      <c r="K3617" s="184"/>
      <c r="L3617" s="184"/>
      <c r="M3617" s="184"/>
      <c r="N3617" s="184"/>
      <c r="O3617" s="184"/>
    </row>
    <row r="3618" customFormat="false" ht="27.75" hidden="false" customHeight="true" outlineLevel="0" collapsed="false">
      <c r="A3618" s="184" t="s">
        <v>4978</v>
      </c>
      <c r="B3618" s="184" t="s">
        <v>4979</v>
      </c>
      <c r="C3618" s="184" t="n">
        <v>3</v>
      </c>
      <c r="D3618" s="184" t="s">
        <v>4790</v>
      </c>
      <c r="E3618" s="184" t="s">
        <v>2630</v>
      </c>
      <c r="F3618" s="184"/>
      <c r="G3618" s="184"/>
      <c r="H3618" s="184"/>
      <c r="I3618" s="184"/>
      <c r="J3618" s="184"/>
      <c r="K3618" s="184"/>
      <c r="L3618" s="184"/>
      <c r="M3618" s="184"/>
      <c r="N3618" s="184"/>
      <c r="O3618" s="184"/>
    </row>
    <row r="3619" customFormat="false" ht="27.75" hidden="false" customHeight="true" outlineLevel="0" collapsed="false">
      <c r="A3619" s="184" t="s">
        <v>4978</v>
      </c>
      <c r="B3619" s="184" t="s">
        <v>4979</v>
      </c>
      <c r="C3619" s="184" t="n">
        <v>4</v>
      </c>
      <c r="D3619" s="178" t="s">
        <v>5269</v>
      </c>
      <c r="E3619" s="184" t="s">
        <v>7175</v>
      </c>
      <c r="F3619" s="184"/>
      <c r="G3619" s="184"/>
      <c r="H3619" s="184"/>
      <c r="I3619" s="184"/>
      <c r="J3619" s="184"/>
      <c r="K3619" s="184"/>
      <c r="L3619" s="184"/>
      <c r="M3619" s="184" t="s">
        <v>7179</v>
      </c>
      <c r="N3619" s="184"/>
      <c r="O3619" s="184"/>
    </row>
    <row r="3620" customFormat="false" ht="15" hidden="false" customHeight="true" outlineLevel="0" collapsed="false">
      <c r="A3620" s="184"/>
      <c r="B3620" s="184"/>
      <c r="C3620" s="184"/>
      <c r="D3620" s="184"/>
      <c r="E3620" s="184"/>
      <c r="F3620" s="184"/>
      <c r="G3620" s="184"/>
      <c r="H3620" s="184"/>
      <c r="I3620" s="184"/>
      <c r="J3620" s="184"/>
      <c r="K3620" s="184"/>
      <c r="L3620" s="184"/>
      <c r="M3620" s="184"/>
      <c r="N3620" s="184"/>
      <c r="O3620" s="184"/>
    </row>
    <row r="3621" customFormat="false" ht="15" hidden="false" customHeight="true" outlineLevel="0" collapsed="false">
      <c r="A3621" s="184"/>
      <c r="B3621" s="184"/>
      <c r="C3621" s="184"/>
      <c r="D3621" s="184"/>
      <c r="E3621" s="184"/>
      <c r="F3621" s="184"/>
      <c r="G3621" s="184"/>
      <c r="H3621" s="184"/>
      <c r="I3621" s="184"/>
      <c r="J3621" s="184"/>
      <c r="K3621" s="184"/>
      <c r="L3621" s="184"/>
      <c r="M3621" s="184"/>
      <c r="N3621" s="184"/>
      <c r="O3621" s="184"/>
    </row>
    <row r="3622" customFormat="false" ht="15" hidden="false" customHeight="true" outlineLevel="0" collapsed="false">
      <c r="A3622" s="184"/>
      <c r="B3622" s="184"/>
      <c r="C3622" s="184"/>
      <c r="D3622" s="184"/>
      <c r="E3622" s="184"/>
      <c r="F3622" s="184"/>
      <c r="G3622" s="184"/>
      <c r="H3622" s="184"/>
      <c r="I3622" s="184"/>
      <c r="J3622" s="184"/>
      <c r="K3622" s="184"/>
      <c r="L3622" s="184"/>
      <c r="M3622" s="184"/>
      <c r="N3622" s="184"/>
      <c r="O3622" s="184"/>
    </row>
    <row r="3623" customFormat="false" ht="15" hidden="false" customHeight="true" outlineLevel="0" collapsed="false">
      <c r="A3623" s="184"/>
      <c r="B3623" s="184"/>
      <c r="C3623" s="184"/>
      <c r="D3623" s="184"/>
      <c r="E3623" s="184"/>
      <c r="F3623" s="184"/>
      <c r="G3623" s="184"/>
      <c r="H3623" s="184"/>
      <c r="I3623" s="184"/>
      <c r="J3623" s="184"/>
      <c r="K3623" s="184"/>
      <c r="L3623" s="184"/>
      <c r="M3623" s="184"/>
      <c r="N3623" s="184"/>
      <c r="O3623" s="184"/>
    </row>
    <row r="3624" customFormat="false" ht="15" hidden="false" customHeight="true" outlineLevel="0" collapsed="false">
      <c r="A3624" s="184"/>
      <c r="B3624" s="184"/>
      <c r="C3624" s="184"/>
      <c r="D3624" s="184"/>
      <c r="E3624" s="184"/>
      <c r="F3624" s="184"/>
      <c r="G3624" s="184"/>
      <c r="H3624" s="184"/>
      <c r="I3624" s="184"/>
      <c r="J3624" s="184"/>
      <c r="K3624" s="184"/>
      <c r="L3624" s="184"/>
      <c r="M3624" s="184"/>
      <c r="N3624" s="184"/>
      <c r="O3624" s="184"/>
    </row>
    <row r="3625" customFormat="false" ht="15" hidden="false" customHeight="true" outlineLevel="0" collapsed="false">
      <c r="A3625" s="184"/>
      <c r="B3625" s="184"/>
      <c r="C3625" s="184"/>
      <c r="D3625" s="184"/>
      <c r="E3625" s="184"/>
      <c r="F3625" s="184"/>
      <c r="G3625" s="184"/>
      <c r="H3625" s="184"/>
      <c r="I3625" s="184"/>
      <c r="J3625" s="184"/>
      <c r="K3625" s="184"/>
      <c r="L3625" s="184"/>
      <c r="M3625" s="184"/>
      <c r="N3625" s="184"/>
      <c r="O3625" s="184"/>
    </row>
    <row r="3626" customFormat="false" ht="15" hidden="false" customHeight="true" outlineLevel="0" collapsed="false">
      <c r="A3626" s="184"/>
      <c r="B3626" s="184"/>
      <c r="C3626" s="184"/>
      <c r="D3626" s="184"/>
      <c r="E3626" s="184"/>
      <c r="F3626" s="184"/>
      <c r="G3626" s="184"/>
      <c r="H3626" s="184"/>
      <c r="I3626" s="184"/>
      <c r="J3626" s="184"/>
      <c r="K3626" s="184"/>
      <c r="L3626" s="184"/>
      <c r="M3626" s="184"/>
      <c r="N3626" s="184"/>
      <c r="O3626" s="184"/>
    </row>
    <row r="3627" customFormat="false" ht="15" hidden="false" customHeight="true" outlineLevel="0" collapsed="false">
      <c r="A3627" s="184"/>
      <c r="B3627" s="184"/>
      <c r="C3627" s="184"/>
      <c r="D3627" s="184"/>
      <c r="E3627" s="184"/>
      <c r="F3627" s="184"/>
      <c r="G3627" s="184"/>
      <c r="H3627" s="184"/>
      <c r="I3627" s="184"/>
      <c r="J3627" s="184"/>
      <c r="K3627" s="184"/>
      <c r="L3627" s="184"/>
      <c r="M3627" s="184"/>
      <c r="N3627" s="184"/>
      <c r="O3627" s="184"/>
    </row>
    <row r="3628" customFormat="false" ht="15" hidden="false" customHeight="true" outlineLevel="0" collapsed="false">
      <c r="A3628" s="184"/>
      <c r="B3628" s="184"/>
      <c r="C3628" s="184"/>
      <c r="D3628" s="184"/>
      <c r="E3628" s="184"/>
      <c r="F3628" s="184"/>
      <c r="G3628" s="184"/>
      <c r="H3628" s="184"/>
      <c r="I3628" s="184"/>
      <c r="J3628" s="184"/>
      <c r="K3628" s="184"/>
      <c r="L3628" s="184"/>
      <c r="M3628" s="184"/>
      <c r="N3628" s="184"/>
      <c r="O3628" s="184"/>
    </row>
    <row r="3629" customFormat="false" ht="15" hidden="false" customHeight="true" outlineLevel="0" collapsed="false">
      <c r="A3629" s="184"/>
      <c r="B3629" s="184"/>
      <c r="C3629" s="184"/>
      <c r="D3629" s="184"/>
      <c r="E3629" s="184"/>
      <c r="F3629" s="184"/>
      <c r="G3629" s="184"/>
      <c r="H3629" s="184"/>
      <c r="I3629" s="184"/>
      <c r="J3629" s="184"/>
      <c r="K3629" s="184"/>
      <c r="L3629" s="184"/>
      <c r="M3629" s="184"/>
      <c r="N3629" s="184"/>
      <c r="O3629" s="184"/>
    </row>
    <row r="3630" customFormat="false" ht="15" hidden="false" customHeight="true" outlineLevel="0" collapsed="false">
      <c r="A3630" s="184"/>
      <c r="B3630" s="184"/>
      <c r="C3630" s="184"/>
      <c r="D3630" s="184"/>
      <c r="E3630" s="184"/>
      <c r="F3630" s="184"/>
      <c r="G3630" s="184"/>
      <c r="H3630" s="184"/>
      <c r="I3630" s="184"/>
      <c r="J3630" s="184"/>
      <c r="K3630" s="184"/>
      <c r="L3630" s="184"/>
      <c r="M3630" s="184"/>
      <c r="N3630" s="184"/>
      <c r="O3630" s="184"/>
    </row>
    <row r="3631" customFormat="false" ht="15" hidden="false" customHeight="true" outlineLevel="0" collapsed="false">
      <c r="A3631" s="184"/>
      <c r="B3631" s="184"/>
      <c r="C3631" s="184"/>
      <c r="D3631" s="184"/>
      <c r="E3631" s="184"/>
      <c r="F3631" s="184"/>
      <c r="G3631" s="184"/>
      <c r="H3631" s="184"/>
      <c r="I3631" s="184"/>
      <c r="J3631" s="184"/>
      <c r="K3631" s="184"/>
      <c r="L3631" s="184"/>
      <c r="M3631" s="184"/>
      <c r="N3631" s="184"/>
      <c r="O3631" s="184"/>
    </row>
    <row r="3632" customFormat="false" ht="15" hidden="false" customHeight="true" outlineLevel="0" collapsed="false">
      <c r="A3632" s="184"/>
      <c r="B3632" s="184"/>
      <c r="C3632" s="184"/>
      <c r="D3632" s="184"/>
      <c r="E3632" s="184"/>
      <c r="F3632" s="184"/>
      <c r="G3632" s="184"/>
      <c r="H3632" s="184"/>
      <c r="I3632" s="184"/>
      <c r="J3632" s="184"/>
      <c r="K3632" s="184"/>
      <c r="L3632" s="184"/>
      <c r="M3632" s="184"/>
      <c r="N3632" s="184"/>
      <c r="O3632" s="184"/>
    </row>
    <row r="3633" customFormat="false" ht="15" hidden="false" customHeight="true" outlineLevel="0" collapsed="false">
      <c r="A3633" s="184"/>
      <c r="B3633" s="184"/>
      <c r="C3633" s="184"/>
      <c r="D3633" s="184"/>
      <c r="E3633" s="184"/>
      <c r="F3633" s="184"/>
      <c r="G3633" s="184"/>
      <c r="H3633" s="184"/>
      <c r="I3633" s="184"/>
      <c r="J3633" s="184"/>
      <c r="K3633" s="184"/>
      <c r="L3633" s="184"/>
      <c r="M3633" s="184"/>
      <c r="N3633" s="184"/>
      <c r="O3633" s="184"/>
    </row>
    <row r="3634" customFormat="false" ht="15" hidden="false" customHeight="true" outlineLevel="0" collapsed="false">
      <c r="A3634" s="184"/>
      <c r="B3634" s="184"/>
      <c r="C3634" s="184"/>
      <c r="D3634" s="184"/>
      <c r="E3634" s="184"/>
      <c r="F3634" s="184"/>
      <c r="G3634" s="184"/>
      <c r="H3634" s="184"/>
      <c r="I3634" s="184"/>
      <c r="J3634" s="184"/>
      <c r="K3634" s="184"/>
      <c r="L3634" s="184"/>
      <c r="M3634" s="184"/>
      <c r="N3634" s="184"/>
      <c r="O3634" s="184"/>
    </row>
    <row r="3635" customFormat="false" ht="15" hidden="false" customHeight="true" outlineLevel="0" collapsed="false">
      <c r="A3635" s="184"/>
      <c r="B3635" s="184"/>
      <c r="C3635" s="184"/>
      <c r="D3635" s="184"/>
      <c r="E3635" s="184"/>
      <c r="F3635" s="184"/>
      <c r="G3635" s="184"/>
      <c r="H3635" s="184"/>
      <c r="I3635" s="184"/>
      <c r="J3635" s="184"/>
      <c r="K3635" s="184"/>
      <c r="L3635" s="184"/>
      <c r="M3635" s="184"/>
      <c r="N3635" s="184"/>
      <c r="O3635" s="184"/>
    </row>
    <row r="3636" customFormat="false" ht="15" hidden="false" customHeight="true" outlineLevel="0" collapsed="false">
      <c r="A3636" s="184"/>
      <c r="B3636" s="184"/>
      <c r="C3636" s="184"/>
      <c r="D3636" s="184"/>
      <c r="E3636" s="184"/>
      <c r="F3636" s="184"/>
      <c r="G3636" s="184"/>
      <c r="H3636" s="184"/>
      <c r="I3636" s="184"/>
      <c r="J3636" s="184"/>
      <c r="K3636" s="184"/>
      <c r="L3636" s="184"/>
      <c r="M3636" s="184"/>
      <c r="N3636" s="184"/>
      <c r="O3636" s="184"/>
    </row>
    <row r="3637" customFormat="false" ht="15" hidden="false" customHeight="true" outlineLevel="0" collapsed="false">
      <c r="A3637" s="184"/>
      <c r="B3637" s="184"/>
      <c r="C3637" s="184"/>
      <c r="D3637" s="184"/>
      <c r="E3637" s="184"/>
      <c r="F3637" s="184"/>
      <c r="G3637" s="184"/>
      <c r="H3637" s="184"/>
      <c r="I3637" s="184"/>
      <c r="J3637" s="184"/>
      <c r="K3637" s="184"/>
      <c r="L3637" s="184"/>
      <c r="M3637" s="184"/>
      <c r="N3637" s="184"/>
      <c r="O3637" s="184"/>
    </row>
    <row r="3638" customFormat="false" ht="15" hidden="false" customHeight="true" outlineLevel="0" collapsed="false">
      <c r="A3638" s="184"/>
      <c r="B3638" s="184"/>
      <c r="C3638" s="184"/>
      <c r="D3638" s="184"/>
      <c r="E3638" s="184"/>
      <c r="F3638" s="184"/>
      <c r="G3638" s="184"/>
      <c r="H3638" s="184"/>
      <c r="I3638" s="184"/>
      <c r="J3638" s="184"/>
      <c r="K3638" s="184"/>
      <c r="L3638" s="184"/>
      <c r="M3638" s="184"/>
      <c r="N3638" s="184"/>
      <c r="O3638" s="184"/>
    </row>
    <row r="3639" customFormat="false" ht="15" hidden="false" customHeight="true" outlineLevel="0" collapsed="false">
      <c r="A3639" s="184"/>
      <c r="B3639" s="184"/>
      <c r="C3639" s="184"/>
      <c r="D3639" s="184"/>
      <c r="E3639" s="184"/>
      <c r="F3639" s="184"/>
      <c r="G3639" s="184"/>
      <c r="H3639" s="184"/>
      <c r="I3639" s="184"/>
      <c r="J3639" s="184"/>
      <c r="K3639" s="184"/>
      <c r="L3639" s="184"/>
      <c r="M3639" s="184"/>
      <c r="N3639" s="184"/>
      <c r="O3639" s="184"/>
    </row>
    <row r="3640" customFormat="false" ht="15" hidden="false" customHeight="true" outlineLevel="0" collapsed="false">
      <c r="A3640" s="184"/>
      <c r="B3640" s="184"/>
      <c r="C3640" s="184"/>
      <c r="D3640" s="184"/>
      <c r="E3640" s="184"/>
      <c r="F3640" s="184"/>
      <c r="G3640" s="184"/>
      <c r="H3640" s="184"/>
      <c r="I3640" s="184"/>
      <c r="J3640" s="184"/>
      <c r="K3640" s="184"/>
      <c r="L3640" s="184"/>
      <c r="M3640" s="184"/>
      <c r="N3640" s="184"/>
      <c r="O3640" s="184"/>
    </row>
    <row r="3641" customFormat="false" ht="15" hidden="false" customHeight="true" outlineLevel="0" collapsed="false">
      <c r="A3641" s="184"/>
      <c r="B3641" s="184"/>
      <c r="C3641" s="184"/>
      <c r="D3641" s="184"/>
      <c r="E3641" s="184"/>
      <c r="F3641" s="184"/>
      <c r="G3641" s="184"/>
      <c r="H3641" s="184"/>
      <c r="I3641" s="184"/>
      <c r="J3641" s="184"/>
      <c r="K3641" s="184"/>
      <c r="L3641" s="184"/>
      <c r="M3641" s="184"/>
      <c r="N3641" s="184"/>
      <c r="O3641" s="184"/>
    </row>
    <row r="3642" customFormat="false" ht="15" hidden="false" customHeight="true" outlineLevel="0" collapsed="false">
      <c r="A3642" s="184"/>
      <c r="B3642" s="184"/>
      <c r="C3642" s="184"/>
      <c r="D3642" s="184"/>
      <c r="E3642" s="184"/>
      <c r="F3642" s="184"/>
      <c r="G3642" s="184"/>
      <c r="H3642" s="184"/>
      <c r="I3642" s="184"/>
      <c r="J3642" s="184"/>
      <c r="K3642" s="184"/>
      <c r="L3642" s="184"/>
      <c r="M3642" s="184"/>
      <c r="N3642" s="184"/>
      <c r="O3642" s="184"/>
    </row>
    <row r="3643" customFormat="false" ht="15" hidden="false" customHeight="true" outlineLevel="0" collapsed="false">
      <c r="A3643" s="184"/>
      <c r="B3643" s="184"/>
      <c r="C3643" s="184"/>
      <c r="D3643" s="184"/>
      <c r="E3643" s="184"/>
      <c r="F3643" s="184"/>
      <c r="G3643" s="184"/>
      <c r="H3643" s="184"/>
      <c r="I3643" s="184"/>
      <c r="J3643" s="184"/>
      <c r="K3643" s="184"/>
      <c r="L3643" s="184"/>
      <c r="M3643" s="184"/>
      <c r="N3643" s="184"/>
      <c r="O3643" s="184"/>
    </row>
    <row r="3644" customFormat="false" ht="15" hidden="false" customHeight="true" outlineLevel="0" collapsed="false">
      <c r="A3644" s="184"/>
      <c r="B3644" s="184"/>
      <c r="C3644" s="184"/>
      <c r="D3644" s="184"/>
      <c r="E3644" s="184"/>
      <c r="F3644" s="184"/>
      <c r="G3644" s="184"/>
      <c r="H3644" s="184"/>
      <c r="I3644" s="184"/>
      <c r="J3644" s="184"/>
      <c r="K3644" s="184"/>
      <c r="L3644" s="184"/>
      <c r="M3644" s="184"/>
      <c r="N3644" s="184"/>
      <c r="O3644" s="184"/>
    </row>
    <row r="3645" customFormat="false" ht="15" hidden="false" customHeight="true" outlineLevel="0" collapsed="false">
      <c r="A3645" s="184"/>
      <c r="B3645" s="184"/>
      <c r="C3645" s="184"/>
      <c r="D3645" s="184"/>
      <c r="E3645" s="184"/>
      <c r="F3645" s="184"/>
      <c r="G3645" s="184"/>
      <c r="H3645" s="184"/>
      <c r="I3645" s="184"/>
      <c r="J3645" s="184"/>
      <c r="K3645" s="184"/>
      <c r="L3645" s="184"/>
      <c r="M3645" s="184"/>
      <c r="N3645" s="184"/>
      <c r="O3645" s="184"/>
    </row>
    <row r="3646" customFormat="false" ht="15" hidden="false" customHeight="true" outlineLevel="0" collapsed="false">
      <c r="A3646" s="184"/>
      <c r="B3646" s="184"/>
      <c r="C3646" s="184"/>
      <c r="D3646" s="184"/>
      <c r="E3646" s="184"/>
      <c r="F3646" s="184"/>
      <c r="G3646" s="184"/>
      <c r="H3646" s="184"/>
      <c r="I3646" s="184"/>
      <c r="J3646" s="184"/>
      <c r="K3646" s="184"/>
      <c r="L3646" s="184"/>
      <c r="M3646" s="184"/>
      <c r="N3646" s="184"/>
      <c r="O3646" s="184"/>
    </row>
    <row r="3647" customFormat="false" ht="15" hidden="false" customHeight="true" outlineLevel="0" collapsed="false">
      <c r="A3647" s="184"/>
      <c r="B3647" s="184"/>
      <c r="C3647" s="184"/>
      <c r="D3647" s="184"/>
      <c r="E3647" s="184"/>
      <c r="F3647" s="184"/>
      <c r="G3647" s="184"/>
      <c r="H3647" s="184"/>
      <c r="I3647" s="184"/>
      <c r="J3647" s="184"/>
      <c r="K3647" s="184"/>
      <c r="L3647" s="184"/>
      <c r="M3647" s="184"/>
      <c r="N3647" s="184"/>
      <c r="O3647" s="184"/>
    </row>
    <row r="3648" customFormat="false" ht="15" hidden="false" customHeight="true" outlineLevel="0" collapsed="false">
      <c r="A3648" s="184"/>
      <c r="B3648" s="184"/>
      <c r="C3648" s="184"/>
      <c r="D3648" s="184"/>
      <c r="E3648" s="184"/>
      <c r="F3648" s="184"/>
      <c r="G3648" s="184"/>
      <c r="H3648" s="184"/>
      <c r="I3648" s="184"/>
      <c r="J3648" s="184"/>
      <c r="K3648" s="184"/>
      <c r="L3648" s="184"/>
      <c r="M3648" s="184"/>
      <c r="N3648" s="184"/>
      <c r="O3648" s="184"/>
    </row>
    <row r="3649" customFormat="false" ht="15" hidden="false" customHeight="true" outlineLevel="0" collapsed="false">
      <c r="A3649" s="184"/>
      <c r="B3649" s="184"/>
      <c r="C3649" s="184"/>
      <c r="D3649" s="184"/>
      <c r="E3649" s="184"/>
      <c r="F3649" s="184"/>
      <c r="G3649" s="184"/>
      <c r="H3649" s="184"/>
      <c r="I3649" s="184"/>
      <c r="J3649" s="184"/>
      <c r="K3649" s="184"/>
      <c r="L3649" s="184"/>
      <c r="M3649" s="184"/>
      <c r="N3649" s="184"/>
      <c r="O3649" s="184"/>
    </row>
    <row r="3650" customFormat="false" ht="15" hidden="false" customHeight="true" outlineLevel="0" collapsed="false">
      <c r="A3650" s="184"/>
      <c r="B3650" s="184"/>
      <c r="C3650" s="184"/>
      <c r="D3650" s="184"/>
      <c r="E3650" s="184"/>
      <c r="F3650" s="184"/>
      <c r="G3650" s="184"/>
      <c r="H3650" s="184"/>
      <c r="I3650" s="184"/>
      <c r="J3650" s="184"/>
      <c r="K3650" s="184"/>
      <c r="L3650" s="184"/>
      <c r="M3650" s="184"/>
      <c r="N3650" s="184"/>
      <c r="O3650" s="184"/>
    </row>
    <row r="3651" customFormat="false" ht="81.75" hidden="false" customHeight="true" outlineLevel="0" collapsed="false">
      <c r="A3651" s="184" t="s">
        <v>4981</v>
      </c>
      <c r="B3651" s="184" t="s">
        <v>4982</v>
      </c>
      <c r="C3651" s="184"/>
      <c r="D3651" s="179" t="s">
        <v>4858</v>
      </c>
      <c r="E3651" s="184" t="s">
        <v>7196</v>
      </c>
      <c r="F3651" s="184"/>
      <c r="G3651" s="184"/>
      <c r="H3651" s="184"/>
      <c r="I3651" s="184"/>
      <c r="J3651" s="184"/>
      <c r="K3651" s="184"/>
      <c r="L3651" s="184"/>
      <c r="M3651" s="184" t="s">
        <v>7197</v>
      </c>
      <c r="N3651" s="184"/>
      <c r="O3651" s="184"/>
    </row>
    <row r="3652" customFormat="false" ht="27.75" hidden="false" customHeight="true" outlineLevel="0" collapsed="false">
      <c r="A3652" s="184" t="s">
        <v>4981</v>
      </c>
      <c r="B3652" s="184" t="s">
        <v>4982</v>
      </c>
      <c r="C3652" s="184" t="n">
        <v>1</v>
      </c>
      <c r="D3652" s="178" t="s">
        <v>5269</v>
      </c>
      <c r="E3652" s="184" t="s">
        <v>7198</v>
      </c>
      <c r="F3652" s="184"/>
      <c r="G3652" s="184"/>
      <c r="H3652" s="184"/>
      <c r="I3652" s="184"/>
      <c r="J3652" s="184"/>
      <c r="K3652" s="184"/>
      <c r="L3652" s="184"/>
      <c r="M3652" s="184" t="s">
        <v>7199</v>
      </c>
      <c r="N3652" s="184"/>
      <c r="O3652" s="184"/>
    </row>
    <row r="3653" customFormat="false" ht="27.75" hidden="false" customHeight="true" outlineLevel="0" collapsed="false">
      <c r="A3653" s="184" t="s">
        <v>4981</v>
      </c>
      <c r="B3653" s="184" t="s">
        <v>4982</v>
      </c>
      <c r="C3653" s="184" t="n">
        <v>2</v>
      </c>
      <c r="D3653" s="179" t="s">
        <v>6292</v>
      </c>
      <c r="E3653" s="184" t="s">
        <v>7200</v>
      </c>
      <c r="F3653" s="184"/>
      <c r="G3653" s="184"/>
      <c r="H3653" s="184"/>
      <c r="I3653" s="184"/>
      <c r="J3653" s="184"/>
      <c r="K3653" s="184"/>
      <c r="L3653" s="184"/>
      <c r="M3653" s="184"/>
      <c r="N3653" s="184"/>
      <c r="O3653" s="184"/>
    </row>
    <row r="3654" customFormat="false" ht="27.75" hidden="false" customHeight="true" outlineLevel="0" collapsed="false">
      <c r="A3654" s="184" t="s">
        <v>4981</v>
      </c>
      <c r="B3654" s="184" t="s">
        <v>4982</v>
      </c>
      <c r="C3654" s="184" t="n">
        <v>3</v>
      </c>
      <c r="D3654" s="184" t="s">
        <v>6296</v>
      </c>
      <c r="E3654" s="184" t="s">
        <v>7173</v>
      </c>
      <c r="F3654" s="184"/>
      <c r="G3654" s="184"/>
      <c r="H3654" s="184"/>
      <c r="I3654" s="184"/>
      <c r="J3654" s="184"/>
      <c r="K3654" s="184"/>
      <c r="L3654" s="184"/>
      <c r="M3654" s="184"/>
      <c r="N3654" s="184"/>
      <c r="O3654" s="184"/>
    </row>
    <row r="3655" customFormat="false" ht="41.25" hidden="false" customHeight="true" outlineLevel="0" collapsed="false">
      <c r="A3655" s="184" t="s">
        <v>4981</v>
      </c>
      <c r="B3655" s="184" t="s">
        <v>4982</v>
      </c>
      <c r="C3655" s="184" t="n">
        <v>4</v>
      </c>
      <c r="D3655" s="177" t="s">
        <v>6298</v>
      </c>
      <c r="E3655" s="184" t="s">
        <v>7177</v>
      </c>
      <c r="F3655" s="184"/>
      <c r="G3655" s="184"/>
      <c r="H3655" s="184"/>
      <c r="I3655" s="184"/>
      <c r="J3655" s="184"/>
      <c r="K3655" s="184"/>
      <c r="L3655" s="184"/>
      <c r="M3655" s="184"/>
      <c r="N3655" s="184"/>
      <c r="O3655" s="184"/>
    </row>
    <row r="3656" customFormat="false" ht="27.75" hidden="false" customHeight="true" outlineLevel="0" collapsed="false">
      <c r="A3656" s="184" t="s">
        <v>4981</v>
      </c>
      <c r="B3656" s="184" t="s">
        <v>4982</v>
      </c>
      <c r="C3656" s="184" t="n">
        <v>5</v>
      </c>
      <c r="D3656" s="184" t="s">
        <v>4790</v>
      </c>
      <c r="E3656" s="184" t="s">
        <v>784</v>
      </c>
      <c r="F3656" s="184"/>
      <c r="G3656" s="184"/>
      <c r="H3656" s="184"/>
      <c r="I3656" s="184"/>
      <c r="J3656" s="184"/>
      <c r="K3656" s="184"/>
      <c r="L3656" s="184"/>
      <c r="M3656" s="184"/>
      <c r="N3656" s="184"/>
      <c r="O3656" s="184"/>
    </row>
    <row r="3657" customFormat="false" ht="27.75" hidden="false" customHeight="true" outlineLevel="0" collapsed="false">
      <c r="A3657" s="184" t="s">
        <v>4981</v>
      </c>
      <c r="B3657" s="184" t="s">
        <v>4982</v>
      </c>
      <c r="C3657" s="184" t="n">
        <v>6</v>
      </c>
      <c r="D3657" s="178" t="s">
        <v>5269</v>
      </c>
      <c r="E3657" s="184" t="s">
        <v>7175</v>
      </c>
      <c r="F3657" s="184"/>
      <c r="G3657" s="184"/>
      <c r="H3657" s="184"/>
      <c r="I3657" s="184"/>
      <c r="J3657" s="184"/>
      <c r="K3657" s="184"/>
      <c r="L3657" s="184"/>
      <c r="M3657" s="184" t="s">
        <v>7176</v>
      </c>
      <c r="N3657" s="184"/>
      <c r="O3657" s="184"/>
    </row>
    <row r="3658" customFormat="false" ht="27.75" hidden="false" customHeight="true" outlineLevel="0" collapsed="false">
      <c r="A3658" s="184" t="s">
        <v>4981</v>
      </c>
      <c r="B3658" s="184" t="s">
        <v>4982</v>
      </c>
      <c r="C3658" s="184" t="n">
        <v>7</v>
      </c>
      <c r="D3658" s="184" t="s">
        <v>4790</v>
      </c>
      <c r="E3658" s="184" t="s">
        <v>1779</v>
      </c>
      <c r="F3658" s="184"/>
      <c r="G3658" s="184"/>
      <c r="H3658" s="184"/>
      <c r="I3658" s="184"/>
      <c r="J3658" s="184"/>
      <c r="K3658" s="184"/>
      <c r="L3658" s="184"/>
      <c r="M3658" s="184"/>
      <c r="N3658" s="184"/>
      <c r="O3658" s="184"/>
    </row>
    <row r="3659" customFormat="false" ht="27.75" hidden="false" customHeight="true" outlineLevel="0" collapsed="false">
      <c r="A3659" s="184" t="s">
        <v>4981</v>
      </c>
      <c r="B3659" s="184" t="s">
        <v>4982</v>
      </c>
      <c r="C3659" s="184" t="n">
        <v>8</v>
      </c>
      <c r="D3659" s="178" t="s">
        <v>5269</v>
      </c>
      <c r="E3659" s="184" t="s">
        <v>7175</v>
      </c>
      <c r="F3659" s="184"/>
      <c r="G3659" s="184"/>
      <c r="H3659" s="184"/>
      <c r="I3659" s="184"/>
      <c r="J3659" s="184"/>
      <c r="K3659" s="184"/>
      <c r="L3659" s="184"/>
      <c r="M3659" s="184" t="s">
        <v>7178</v>
      </c>
      <c r="N3659" s="184"/>
      <c r="O3659" s="184"/>
    </row>
    <row r="3660" customFormat="false" ht="27.75" hidden="false" customHeight="true" outlineLevel="0" collapsed="false">
      <c r="A3660" s="184" t="s">
        <v>4981</v>
      </c>
      <c r="B3660" s="184" t="s">
        <v>4982</v>
      </c>
      <c r="C3660" s="184" t="n">
        <v>9</v>
      </c>
      <c r="D3660" s="184" t="s">
        <v>4790</v>
      </c>
      <c r="E3660" s="184" t="s">
        <v>2630</v>
      </c>
      <c r="F3660" s="184"/>
      <c r="G3660" s="184"/>
      <c r="H3660" s="184"/>
      <c r="I3660" s="184"/>
      <c r="J3660" s="184"/>
      <c r="K3660" s="184"/>
      <c r="L3660" s="184"/>
      <c r="M3660" s="184"/>
      <c r="N3660" s="184"/>
      <c r="O3660" s="184"/>
    </row>
    <row r="3661" customFormat="false" ht="27.75" hidden="false" customHeight="true" outlineLevel="0" collapsed="false">
      <c r="A3661" s="184" t="s">
        <v>4981</v>
      </c>
      <c r="B3661" s="184" t="s">
        <v>4982</v>
      </c>
      <c r="C3661" s="184" t="n">
        <v>10</v>
      </c>
      <c r="D3661" s="178" t="s">
        <v>5269</v>
      </c>
      <c r="E3661" s="184" t="s">
        <v>7175</v>
      </c>
      <c r="F3661" s="184"/>
      <c r="G3661" s="184"/>
      <c r="H3661" s="184"/>
      <c r="I3661" s="184"/>
      <c r="J3661" s="184"/>
      <c r="K3661" s="184"/>
      <c r="L3661" s="184"/>
      <c r="M3661" s="184" t="s">
        <v>7179</v>
      </c>
      <c r="N3661" s="184"/>
      <c r="O3661" s="184"/>
    </row>
    <row r="3662" customFormat="false" ht="27.75" hidden="false" customHeight="true" outlineLevel="0" collapsed="false">
      <c r="A3662" s="184" t="s">
        <v>4981</v>
      </c>
      <c r="B3662" s="184" t="s">
        <v>4982</v>
      </c>
      <c r="C3662" s="184" t="n">
        <v>11</v>
      </c>
      <c r="D3662" s="184" t="s">
        <v>4790</v>
      </c>
      <c r="E3662" s="184" t="s">
        <v>2633</v>
      </c>
      <c r="F3662" s="184"/>
      <c r="G3662" s="184"/>
      <c r="H3662" s="184"/>
      <c r="I3662" s="184"/>
      <c r="J3662" s="184"/>
      <c r="K3662" s="184"/>
      <c r="L3662" s="184"/>
      <c r="M3662" s="184"/>
      <c r="N3662" s="184"/>
      <c r="O3662" s="184"/>
    </row>
    <row r="3663" customFormat="false" ht="27.75" hidden="false" customHeight="true" outlineLevel="0" collapsed="false">
      <c r="A3663" s="184" t="s">
        <v>4981</v>
      </c>
      <c r="B3663" s="184" t="s">
        <v>4982</v>
      </c>
      <c r="C3663" s="184" t="n">
        <v>12</v>
      </c>
      <c r="D3663" s="178" t="s">
        <v>5269</v>
      </c>
      <c r="E3663" s="184" t="s">
        <v>7175</v>
      </c>
      <c r="F3663" s="184"/>
      <c r="G3663" s="184"/>
      <c r="H3663" s="184"/>
      <c r="I3663" s="184"/>
      <c r="J3663" s="184"/>
      <c r="K3663" s="184"/>
      <c r="L3663" s="184"/>
      <c r="M3663" s="184" t="s">
        <v>7180</v>
      </c>
      <c r="N3663" s="184"/>
      <c r="O3663" s="184"/>
    </row>
    <row r="3664" customFormat="false" ht="27.75" hidden="false" customHeight="true" outlineLevel="0" collapsed="false">
      <c r="A3664" s="184" t="s">
        <v>4981</v>
      </c>
      <c r="B3664" s="184" t="s">
        <v>4982</v>
      </c>
      <c r="C3664" s="184" t="n">
        <v>13</v>
      </c>
      <c r="D3664" s="178" t="s">
        <v>5269</v>
      </c>
      <c r="E3664" s="184" t="s">
        <v>7201</v>
      </c>
      <c r="F3664" s="184"/>
      <c r="G3664" s="184"/>
      <c r="H3664" s="184"/>
      <c r="I3664" s="184"/>
      <c r="J3664" s="184"/>
      <c r="K3664" s="184"/>
      <c r="L3664" s="184"/>
      <c r="M3664" s="184" t="s">
        <v>7199</v>
      </c>
      <c r="N3664" s="184"/>
      <c r="O3664" s="184"/>
    </row>
    <row r="3665" customFormat="false" ht="15" hidden="false" customHeight="true" outlineLevel="0" collapsed="false">
      <c r="A3665" s="184"/>
      <c r="B3665" s="184"/>
      <c r="C3665" s="184"/>
      <c r="D3665" s="184"/>
      <c r="E3665" s="184"/>
      <c r="F3665" s="184"/>
      <c r="G3665" s="184"/>
      <c r="H3665" s="184"/>
      <c r="I3665" s="184"/>
      <c r="J3665" s="184"/>
      <c r="K3665" s="184"/>
      <c r="L3665" s="184"/>
      <c r="M3665" s="184"/>
      <c r="N3665" s="184"/>
      <c r="O3665" s="184"/>
    </row>
    <row r="3666" customFormat="false" ht="15" hidden="false" customHeight="true" outlineLevel="0" collapsed="false">
      <c r="A3666" s="184"/>
      <c r="B3666" s="184"/>
      <c r="C3666" s="184"/>
      <c r="D3666" s="184"/>
      <c r="E3666" s="184"/>
      <c r="F3666" s="184"/>
      <c r="G3666" s="184"/>
      <c r="H3666" s="184"/>
      <c r="I3666" s="184"/>
      <c r="J3666" s="184"/>
      <c r="K3666" s="184"/>
      <c r="L3666" s="184"/>
      <c r="M3666" s="184"/>
      <c r="N3666" s="184"/>
      <c r="O3666" s="184"/>
    </row>
    <row r="3667" customFormat="false" ht="15" hidden="false" customHeight="true" outlineLevel="0" collapsed="false">
      <c r="A3667" s="184"/>
      <c r="B3667" s="184"/>
      <c r="C3667" s="184"/>
      <c r="D3667" s="184"/>
      <c r="E3667" s="184"/>
      <c r="F3667" s="184"/>
      <c r="G3667" s="184"/>
      <c r="H3667" s="184"/>
      <c r="I3667" s="184"/>
      <c r="J3667" s="184"/>
      <c r="K3667" s="184"/>
      <c r="L3667" s="184"/>
      <c r="M3667" s="184"/>
      <c r="N3667" s="184"/>
      <c r="O3667" s="184"/>
    </row>
    <row r="3668" customFormat="false" ht="15" hidden="false" customHeight="true" outlineLevel="0" collapsed="false">
      <c r="A3668" s="184"/>
      <c r="B3668" s="184"/>
      <c r="C3668" s="184"/>
      <c r="D3668" s="184"/>
      <c r="E3668" s="184"/>
      <c r="F3668" s="184"/>
      <c r="G3668" s="184"/>
      <c r="H3668" s="184"/>
      <c r="I3668" s="184"/>
      <c r="J3668" s="184"/>
      <c r="K3668" s="184"/>
      <c r="L3668" s="184"/>
      <c r="M3668" s="184"/>
      <c r="N3668" s="184"/>
      <c r="O3668" s="184"/>
    </row>
    <row r="3669" customFormat="false" ht="15" hidden="false" customHeight="true" outlineLevel="0" collapsed="false">
      <c r="A3669" s="184"/>
      <c r="B3669" s="184"/>
      <c r="C3669" s="184"/>
      <c r="D3669" s="184"/>
      <c r="E3669" s="184"/>
      <c r="F3669" s="184"/>
      <c r="G3669" s="184"/>
      <c r="H3669" s="184"/>
      <c r="I3669" s="184"/>
      <c r="J3669" s="184"/>
      <c r="K3669" s="184"/>
      <c r="L3669" s="184"/>
      <c r="M3669" s="184"/>
      <c r="N3669" s="184"/>
      <c r="O3669" s="184"/>
    </row>
    <row r="3670" customFormat="false" ht="15" hidden="false" customHeight="true" outlineLevel="0" collapsed="false">
      <c r="A3670" s="184"/>
      <c r="B3670" s="184"/>
      <c r="C3670" s="184"/>
      <c r="D3670" s="184"/>
      <c r="E3670" s="184"/>
      <c r="F3670" s="184"/>
      <c r="G3670" s="184"/>
      <c r="H3670" s="184"/>
      <c r="I3670" s="184"/>
      <c r="J3670" s="184"/>
      <c r="K3670" s="184"/>
      <c r="L3670" s="184"/>
      <c r="M3670" s="184"/>
      <c r="N3670" s="184"/>
      <c r="O3670" s="184"/>
    </row>
    <row r="3671" customFormat="false" ht="15" hidden="false" customHeight="true" outlineLevel="0" collapsed="false">
      <c r="A3671" s="184"/>
      <c r="B3671" s="184"/>
      <c r="C3671" s="184"/>
      <c r="D3671" s="184"/>
      <c r="E3671" s="184"/>
      <c r="F3671" s="184"/>
      <c r="G3671" s="184"/>
      <c r="H3671" s="184"/>
      <c r="I3671" s="184"/>
      <c r="J3671" s="184"/>
      <c r="K3671" s="184"/>
      <c r="L3671" s="184"/>
      <c r="M3671" s="184"/>
      <c r="N3671" s="184"/>
      <c r="O3671" s="184"/>
    </row>
    <row r="3672" customFormat="false" ht="15" hidden="false" customHeight="true" outlineLevel="0" collapsed="false">
      <c r="A3672" s="184"/>
      <c r="B3672" s="184"/>
      <c r="C3672" s="184"/>
      <c r="D3672" s="184"/>
      <c r="E3672" s="184"/>
      <c r="F3672" s="184"/>
      <c r="G3672" s="184"/>
      <c r="H3672" s="184"/>
      <c r="I3672" s="184"/>
      <c r="J3672" s="184"/>
      <c r="K3672" s="184"/>
      <c r="L3672" s="184"/>
      <c r="M3672" s="184"/>
      <c r="N3672" s="184"/>
      <c r="O3672" s="184"/>
    </row>
    <row r="3673" customFormat="false" ht="15" hidden="false" customHeight="true" outlineLevel="0" collapsed="false">
      <c r="A3673" s="184"/>
      <c r="B3673" s="184"/>
      <c r="C3673" s="184"/>
      <c r="D3673" s="184"/>
      <c r="E3673" s="184"/>
      <c r="F3673" s="184"/>
      <c r="G3673" s="184"/>
      <c r="H3673" s="184"/>
      <c r="I3673" s="184"/>
      <c r="J3673" s="184"/>
      <c r="K3673" s="184"/>
      <c r="L3673" s="184"/>
      <c r="M3673" s="184"/>
      <c r="N3673" s="184"/>
      <c r="O3673" s="184"/>
    </row>
    <row r="3674" customFormat="false" ht="15" hidden="false" customHeight="true" outlineLevel="0" collapsed="false">
      <c r="A3674" s="184"/>
      <c r="B3674" s="184"/>
      <c r="C3674" s="184"/>
      <c r="D3674" s="184"/>
      <c r="E3674" s="184"/>
      <c r="F3674" s="184"/>
      <c r="G3674" s="184"/>
      <c r="H3674" s="184"/>
      <c r="I3674" s="184"/>
      <c r="J3674" s="184"/>
      <c r="K3674" s="184"/>
      <c r="L3674" s="184"/>
      <c r="M3674" s="184"/>
      <c r="N3674" s="184"/>
      <c r="O3674" s="184"/>
    </row>
    <row r="3675" customFormat="false" ht="15" hidden="false" customHeight="true" outlineLevel="0" collapsed="false">
      <c r="A3675" s="184"/>
      <c r="B3675" s="184"/>
      <c r="C3675" s="184"/>
      <c r="D3675" s="184"/>
      <c r="E3675" s="184"/>
      <c r="F3675" s="184"/>
      <c r="G3675" s="184"/>
      <c r="H3675" s="184"/>
      <c r="I3675" s="184"/>
      <c r="J3675" s="184"/>
      <c r="K3675" s="184"/>
      <c r="L3675" s="184"/>
      <c r="M3675" s="184"/>
      <c r="N3675" s="184"/>
      <c r="O3675" s="184"/>
    </row>
    <row r="3676" customFormat="false" ht="15" hidden="false" customHeight="true" outlineLevel="0" collapsed="false">
      <c r="A3676" s="184"/>
      <c r="B3676" s="184"/>
      <c r="C3676" s="184"/>
      <c r="D3676" s="184"/>
      <c r="E3676" s="184"/>
      <c r="F3676" s="184"/>
      <c r="G3676" s="184"/>
      <c r="H3676" s="184"/>
      <c r="I3676" s="184"/>
      <c r="J3676" s="184"/>
      <c r="K3676" s="184"/>
      <c r="L3676" s="184"/>
      <c r="M3676" s="184"/>
      <c r="N3676" s="184"/>
      <c r="O3676" s="184"/>
    </row>
    <row r="3677" customFormat="false" ht="15" hidden="false" customHeight="true" outlineLevel="0" collapsed="false">
      <c r="A3677" s="184"/>
      <c r="B3677" s="184"/>
      <c r="C3677" s="184"/>
      <c r="D3677" s="184"/>
      <c r="E3677" s="184"/>
      <c r="F3677" s="184"/>
      <c r="G3677" s="184"/>
      <c r="H3677" s="184"/>
      <c r="I3677" s="184"/>
      <c r="J3677" s="184"/>
      <c r="K3677" s="184"/>
      <c r="L3677" s="184"/>
      <c r="M3677" s="184"/>
      <c r="N3677" s="184"/>
      <c r="O3677" s="184"/>
    </row>
    <row r="3678" customFormat="false" ht="15" hidden="false" customHeight="true" outlineLevel="0" collapsed="false">
      <c r="A3678" s="184"/>
      <c r="B3678" s="184"/>
      <c r="C3678" s="184"/>
      <c r="D3678" s="184"/>
      <c r="E3678" s="184"/>
      <c r="F3678" s="184"/>
      <c r="G3678" s="184"/>
      <c r="H3678" s="184"/>
      <c r="I3678" s="184"/>
      <c r="J3678" s="184"/>
      <c r="K3678" s="184"/>
      <c r="L3678" s="184"/>
      <c r="M3678" s="184"/>
      <c r="N3678" s="184"/>
      <c r="O3678" s="184"/>
    </row>
    <row r="3679" customFormat="false" ht="15" hidden="false" customHeight="true" outlineLevel="0" collapsed="false">
      <c r="A3679" s="184"/>
      <c r="B3679" s="184"/>
      <c r="C3679" s="184"/>
      <c r="D3679" s="184"/>
      <c r="E3679" s="184"/>
      <c r="F3679" s="184"/>
      <c r="G3679" s="184"/>
      <c r="H3679" s="184"/>
      <c r="I3679" s="184"/>
      <c r="J3679" s="184"/>
      <c r="K3679" s="184"/>
      <c r="L3679" s="184"/>
      <c r="M3679" s="184"/>
      <c r="N3679" s="184"/>
      <c r="O3679" s="184"/>
    </row>
    <row r="3680" customFormat="false" ht="15" hidden="false" customHeight="true" outlineLevel="0" collapsed="false">
      <c r="A3680" s="184"/>
      <c r="B3680" s="184"/>
      <c r="C3680" s="184"/>
      <c r="D3680" s="184"/>
      <c r="E3680" s="184"/>
      <c r="F3680" s="184"/>
      <c r="G3680" s="184"/>
      <c r="H3680" s="184"/>
      <c r="I3680" s="184"/>
      <c r="J3680" s="184"/>
      <c r="K3680" s="184"/>
      <c r="L3680" s="184"/>
      <c r="M3680" s="184"/>
      <c r="N3680" s="184"/>
      <c r="O3680" s="184"/>
    </row>
    <row r="3681" customFormat="false" ht="15" hidden="false" customHeight="true" outlineLevel="0" collapsed="false">
      <c r="A3681" s="184"/>
      <c r="B3681" s="184"/>
      <c r="C3681" s="184"/>
      <c r="D3681" s="184"/>
      <c r="E3681" s="184"/>
      <c r="F3681" s="184"/>
      <c r="G3681" s="184"/>
      <c r="H3681" s="184"/>
      <c r="I3681" s="184"/>
      <c r="J3681" s="184"/>
      <c r="K3681" s="184"/>
      <c r="L3681" s="184"/>
      <c r="M3681" s="184"/>
      <c r="N3681" s="184"/>
      <c r="O3681" s="184"/>
    </row>
    <row r="3682" customFormat="false" ht="15" hidden="false" customHeight="true" outlineLevel="0" collapsed="false">
      <c r="A3682" s="184"/>
      <c r="B3682" s="184"/>
      <c r="C3682" s="184"/>
      <c r="D3682" s="184"/>
      <c r="E3682" s="184"/>
      <c r="F3682" s="184"/>
      <c r="G3682" s="184"/>
      <c r="H3682" s="184"/>
      <c r="I3682" s="184"/>
      <c r="J3682" s="184"/>
      <c r="K3682" s="184"/>
      <c r="L3682" s="184"/>
      <c r="M3682" s="184"/>
      <c r="N3682" s="184"/>
      <c r="O3682" s="184"/>
    </row>
    <row r="3683" customFormat="false" ht="15" hidden="false" customHeight="true" outlineLevel="0" collapsed="false">
      <c r="A3683" s="184"/>
      <c r="B3683" s="184"/>
      <c r="C3683" s="184"/>
      <c r="D3683" s="184"/>
      <c r="E3683" s="184"/>
      <c r="F3683" s="184"/>
      <c r="G3683" s="184"/>
      <c r="H3683" s="184"/>
      <c r="I3683" s="184"/>
      <c r="J3683" s="184"/>
      <c r="K3683" s="184"/>
      <c r="L3683" s="184"/>
      <c r="M3683" s="184"/>
      <c r="N3683" s="184"/>
      <c r="O3683" s="184"/>
    </row>
    <row r="3684" customFormat="false" ht="15" hidden="false" customHeight="true" outlineLevel="0" collapsed="false">
      <c r="A3684" s="184"/>
      <c r="B3684" s="184"/>
      <c r="C3684" s="184"/>
      <c r="D3684" s="184"/>
      <c r="E3684" s="184"/>
      <c r="F3684" s="184"/>
      <c r="G3684" s="184"/>
      <c r="H3684" s="184"/>
      <c r="I3684" s="184"/>
      <c r="J3684" s="184"/>
      <c r="K3684" s="184"/>
      <c r="L3684" s="184"/>
      <c r="M3684" s="184"/>
      <c r="N3684" s="184"/>
      <c r="O3684" s="184"/>
    </row>
    <row r="3685" customFormat="false" ht="15" hidden="false" customHeight="true" outlineLevel="0" collapsed="false">
      <c r="A3685" s="184"/>
      <c r="B3685" s="184"/>
      <c r="C3685" s="184"/>
      <c r="D3685" s="184"/>
      <c r="E3685" s="184"/>
      <c r="F3685" s="184"/>
      <c r="G3685" s="184"/>
      <c r="H3685" s="184"/>
      <c r="I3685" s="184"/>
      <c r="J3685" s="184"/>
      <c r="K3685" s="184"/>
      <c r="L3685" s="184"/>
      <c r="M3685" s="184"/>
      <c r="N3685" s="184"/>
      <c r="O3685" s="184"/>
    </row>
    <row r="3686" customFormat="false" ht="15" hidden="false" customHeight="true" outlineLevel="0" collapsed="false">
      <c r="A3686" s="184"/>
      <c r="B3686" s="184"/>
      <c r="C3686" s="184"/>
      <c r="D3686" s="184"/>
      <c r="E3686" s="184"/>
      <c r="F3686" s="184"/>
      <c r="G3686" s="184"/>
      <c r="H3686" s="184"/>
      <c r="I3686" s="184"/>
      <c r="J3686" s="184"/>
      <c r="K3686" s="184"/>
      <c r="L3686" s="184"/>
      <c r="M3686" s="184"/>
      <c r="N3686" s="184"/>
      <c r="O3686" s="184"/>
    </row>
    <row r="3687" customFormat="false" ht="15" hidden="false" customHeight="true" outlineLevel="0" collapsed="false">
      <c r="A3687" s="184"/>
      <c r="B3687" s="184"/>
      <c r="C3687" s="184"/>
      <c r="D3687" s="184"/>
      <c r="E3687" s="184"/>
      <c r="F3687" s="184"/>
      <c r="G3687" s="184"/>
      <c r="H3687" s="184"/>
      <c r="I3687" s="184"/>
      <c r="J3687" s="184"/>
      <c r="K3687" s="184"/>
      <c r="L3687" s="184"/>
      <c r="M3687" s="184"/>
      <c r="N3687" s="184"/>
      <c r="O3687" s="184"/>
    </row>
    <row r="3688" customFormat="false" ht="15" hidden="false" customHeight="true" outlineLevel="0" collapsed="false">
      <c r="A3688" s="184"/>
      <c r="B3688" s="184"/>
      <c r="C3688" s="184"/>
      <c r="D3688" s="184"/>
      <c r="E3688" s="184"/>
      <c r="F3688" s="184"/>
      <c r="G3688" s="184"/>
      <c r="H3688" s="184"/>
      <c r="I3688" s="184"/>
      <c r="J3688" s="184"/>
      <c r="K3688" s="184"/>
      <c r="L3688" s="184"/>
      <c r="M3688" s="184"/>
      <c r="N3688" s="184"/>
      <c r="O3688" s="184"/>
    </row>
    <row r="3689" customFormat="false" ht="15" hidden="false" customHeight="true" outlineLevel="0" collapsed="false">
      <c r="A3689" s="184"/>
      <c r="B3689" s="184"/>
      <c r="C3689" s="184"/>
      <c r="D3689" s="184"/>
      <c r="E3689" s="184"/>
      <c r="F3689" s="184"/>
      <c r="G3689" s="184"/>
      <c r="H3689" s="184"/>
      <c r="I3689" s="184"/>
      <c r="J3689" s="184"/>
      <c r="K3689" s="184"/>
      <c r="L3689" s="184"/>
      <c r="M3689" s="184"/>
      <c r="N3689" s="184"/>
      <c r="O3689" s="184"/>
    </row>
    <row r="3690" customFormat="false" ht="15" hidden="false" customHeight="true" outlineLevel="0" collapsed="false">
      <c r="A3690" s="184"/>
      <c r="B3690" s="184"/>
      <c r="C3690" s="184"/>
      <c r="D3690" s="184"/>
      <c r="E3690" s="184"/>
      <c r="F3690" s="184"/>
      <c r="G3690" s="184"/>
      <c r="H3690" s="184"/>
      <c r="I3690" s="184"/>
      <c r="J3690" s="184"/>
      <c r="K3690" s="184"/>
      <c r="L3690" s="184"/>
      <c r="M3690" s="184"/>
      <c r="N3690" s="184"/>
      <c r="O3690" s="184"/>
    </row>
    <row r="3691" customFormat="false" ht="15" hidden="false" customHeight="true" outlineLevel="0" collapsed="false">
      <c r="A3691" s="184"/>
      <c r="B3691" s="184"/>
      <c r="C3691" s="184"/>
      <c r="D3691" s="184"/>
      <c r="E3691" s="184"/>
      <c r="F3691" s="184"/>
      <c r="G3691" s="184"/>
      <c r="H3691" s="184"/>
      <c r="I3691" s="184"/>
      <c r="J3691" s="184"/>
      <c r="K3691" s="184"/>
      <c r="L3691" s="184"/>
      <c r="M3691" s="184"/>
      <c r="N3691" s="184"/>
      <c r="O3691" s="184"/>
    </row>
    <row r="3692" customFormat="false" ht="15" hidden="false" customHeight="true" outlineLevel="0" collapsed="false">
      <c r="A3692" s="184"/>
      <c r="B3692" s="184"/>
      <c r="C3692" s="184"/>
      <c r="D3692" s="184"/>
      <c r="E3692" s="184"/>
      <c r="F3692" s="184"/>
      <c r="G3692" s="184"/>
      <c r="H3692" s="184"/>
      <c r="I3692" s="184"/>
      <c r="J3692" s="184"/>
      <c r="K3692" s="184"/>
      <c r="L3692" s="184"/>
      <c r="M3692" s="184"/>
      <c r="N3692" s="184"/>
      <c r="O3692" s="184"/>
    </row>
    <row r="3693" customFormat="false" ht="15" hidden="false" customHeight="true" outlineLevel="0" collapsed="false">
      <c r="A3693" s="184"/>
      <c r="B3693" s="184"/>
      <c r="C3693" s="184"/>
      <c r="D3693" s="184"/>
      <c r="E3693" s="184"/>
      <c r="F3693" s="184"/>
      <c r="G3693" s="184"/>
      <c r="H3693" s="184"/>
      <c r="I3693" s="184"/>
      <c r="J3693" s="184"/>
      <c r="K3693" s="184"/>
      <c r="L3693" s="184"/>
      <c r="M3693" s="184"/>
      <c r="N3693" s="184"/>
      <c r="O3693" s="184"/>
    </row>
    <row r="3694" customFormat="false" ht="15" hidden="false" customHeight="true" outlineLevel="0" collapsed="false">
      <c r="A3694" s="184"/>
      <c r="B3694" s="184"/>
      <c r="C3694" s="184"/>
      <c r="D3694" s="184"/>
      <c r="E3694" s="184"/>
      <c r="F3694" s="184"/>
      <c r="G3694" s="184"/>
      <c r="H3694" s="184"/>
      <c r="I3694" s="184"/>
      <c r="J3694" s="184"/>
      <c r="K3694" s="184"/>
      <c r="L3694" s="184"/>
      <c r="M3694" s="184"/>
      <c r="N3694" s="184"/>
      <c r="O3694" s="184"/>
    </row>
    <row r="3695" customFormat="false" ht="15" hidden="false" customHeight="true" outlineLevel="0" collapsed="false">
      <c r="A3695" s="184"/>
      <c r="B3695" s="184"/>
      <c r="C3695" s="184"/>
      <c r="D3695" s="184"/>
      <c r="E3695" s="184"/>
      <c r="F3695" s="184"/>
      <c r="G3695" s="184"/>
      <c r="H3695" s="184"/>
      <c r="I3695" s="184"/>
      <c r="J3695" s="184"/>
      <c r="K3695" s="184"/>
      <c r="L3695" s="184"/>
      <c r="M3695" s="184"/>
      <c r="N3695" s="184"/>
      <c r="O3695" s="184"/>
    </row>
    <row r="3696" customFormat="false" ht="15" hidden="false" customHeight="true" outlineLevel="0" collapsed="false">
      <c r="A3696" s="184"/>
      <c r="B3696" s="184"/>
      <c r="C3696" s="184"/>
      <c r="D3696" s="184"/>
      <c r="E3696" s="184"/>
      <c r="F3696" s="184"/>
      <c r="G3696" s="184"/>
      <c r="H3696" s="184"/>
      <c r="I3696" s="184"/>
      <c r="J3696" s="184"/>
      <c r="K3696" s="184"/>
      <c r="L3696" s="184"/>
      <c r="M3696" s="184"/>
      <c r="N3696" s="184"/>
      <c r="O3696" s="184"/>
    </row>
    <row r="3697" customFormat="false" ht="15" hidden="false" customHeight="true" outlineLevel="0" collapsed="false">
      <c r="A3697" s="184"/>
      <c r="B3697" s="184"/>
      <c r="C3697" s="184"/>
      <c r="D3697" s="184"/>
      <c r="E3697" s="184"/>
      <c r="F3697" s="184"/>
      <c r="G3697" s="184"/>
      <c r="H3697" s="184"/>
      <c r="I3697" s="184"/>
      <c r="J3697" s="184"/>
      <c r="K3697" s="184"/>
      <c r="L3697" s="184"/>
      <c r="M3697" s="184"/>
      <c r="N3697" s="184"/>
      <c r="O3697" s="184"/>
    </row>
    <row r="3698" customFormat="false" ht="15" hidden="false" customHeight="true" outlineLevel="0" collapsed="false">
      <c r="A3698" s="184"/>
      <c r="B3698" s="184"/>
      <c r="C3698" s="184"/>
      <c r="D3698" s="184"/>
      <c r="E3698" s="184"/>
      <c r="F3698" s="184"/>
      <c r="G3698" s="184"/>
      <c r="H3698" s="184"/>
      <c r="I3698" s="184"/>
      <c r="J3698" s="184"/>
      <c r="K3698" s="184"/>
      <c r="L3698" s="184"/>
      <c r="M3698" s="184"/>
      <c r="N3698" s="184"/>
      <c r="O3698" s="184"/>
    </row>
    <row r="3699" customFormat="false" ht="15" hidden="false" customHeight="true" outlineLevel="0" collapsed="false">
      <c r="A3699" s="184"/>
      <c r="B3699" s="184"/>
      <c r="C3699" s="184"/>
      <c r="D3699" s="184"/>
      <c r="E3699" s="184"/>
      <c r="F3699" s="184"/>
      <c r="G3699" s="184"/>
      <c r="H3699" s="184"/>
      <c r="I3699" s="184"/>
      <c r="J3699" s="184"/>
      <c r="K3699" s="184"/>
      <c r="L3699" s="184"/>
      <c r="M3699" s="184"/>
      <c r="N3699" s="184"/>
      <c r="O3699" s="184"/>
    </row>
    <row r="3700" customFormat="false" ht="15" hidden="false" customHeight="true" outlineLevel="0" collapsed="false">
      <c r="A3700" s="184"/>
      <c r="B3700" s="184"/>
      <c r="C3700" s="184"/>
      <c r="D3700" s="184"/>
      <c r="E3700" s="184"/>
      <c r="F3700" s="184"/>
      <c r="G3700" s="184"/>
      <c r="H3700" s="184"/>
      <c r="I3700" s="184"/>
      <c r="J3700" s="184"/>
      <c r="K3700" s="184"/>
      <c r="L3700" s="184"/>
      <c r="M3700" s="184"/>
      <c r="N3700" s="184"/>
      <c r="O3700" s="184"/>
    </row>
    <row r="3701" customFormat="false" ht="15" hidden="false" customHeight="true" outlineLevel="0" collapsed="false">
      <c r="A3701" s="184"/>
      <c r="B3701" s="184"/>
      <c r="C3701" s="184"/>
      <c r="D3701" s="184"/>
      <c r="E3701" s="184"/>
      <c r="F3701" s="184"/>
      <c r="G3701" s="184"/>
      <c r="H3701" s="184"/>
      <c r="I3701" s="184"/>
      <c r="J3701" s="184"/>
      <c r="K3701" s="184"/>
      <c r="L3701" s="184"/>
      <c r="M3701" s="184"/>
      <c r="N3701" s="184"/>
      <c r="O3701" s="184"/>
    </row>
    <row r="3702" customFormat="false" ht="15" hidden="false" customHeight="true" outlineLevel="0" collapsed="false">
      <c r="A3702" s="184"/>
      <c r="B3702" s="184"/>
      <c r="C3702" s="184"/>
      <c r="D3702" s="184"/>
      <c r="E3702" s="184"/>
      <c r="F3702" s="184"/>
      <c r="G3702" s="184"/>
      <c r="H3702" s="184"/>
      <c r="I3702" s="184"/>
      <c r="J3702" s="184"/>
      <c r="K3702" s="184"/>
      <c r="L3702" s="184"/>
      <c r="M3702" s="184"/>
      <c r="N3702" s="184"/>
      <c r="O3702" s="184"/>
    </row>
    <row r="3703" customFormat="false" ht="15" hidden="false" customHeight="true" outlineLevel="0" collapsed="false">
      <c r="A3703" s="184"/>
      <c r="B3703" s="184"/>
      <c r="C3703" s="184"/>
      <c r="D3703" s="184"/>
      <c r="E3703" s="184"/>
      <c r="F3703" s="184"/>
      <c r="G3703" s="184"/>
      <c r="H3703" s="184"/>
      <c r="I3703" s="184"/>
      <c r="J3703" s="184"/>
      <c r="K3703" s="184"/>
      <c r="L3703" s="184"/>
      <c r="M3703" s="184"/>
      <c r="N3703" s="184"/>
      <c r="O3703" s="184"/>
    </row>
    <row r="3704" customFormat="false" ht="15" hidden="false" customHeight="true" outlineLevel="0" collapsed="false">
      <c r="A3704" s="184"/>
      <c r="B3704" s="184"/>
      <c r="C3704" s="184"/>
      <c r="D3704" s="184"/>
      <c r="E3704" s="184"/>
      <c r="F3704" s="184"/>
      <c r="G3704" s="184"/>
      <c r="H3704" s="184"/>
      <c r="I3704" s="184"/>
      <c r="J3704" s="184"/>
      <c r="K3704" s="184"/>
      <c r="L3704" s="184"/>
      <c r="M3704" s="184"/>
      <c r="N3704" s="184"/>
      <c r="O3704" s="184"/>
    </row>
    <row r="3705" customFormat="false" ht="15" hidden="false" customHeight="true" outlineLevel="0" collapsed="false">
      <c r="A3705" s="184"/>
      <c r="B3705" s="184"/>
      <c r="C3705" s="184"/>
      <c r="D3705" s="184"/>
      <c r="E3705" s="184"/>
      <c r="F3705" s="184"/>
      <c r="G3705" s="184"/>
      <c r="H3705" s="184"/>
      <c r="I3705" s="184"/>
      <c r="J3705" s="184"/>
      <c r="K3705" s="184"/>
      <c r="L3705" s="184"/>
      <c r="M3705" s="184"/>
      <c r="N3705" s="184"/>
      <c r="O3705" s="184"/>
    </row>
    <row r="3706" customFormat="false" ht="15" hidden="false" customHeight="true" outlineLevel="0" collapsed="false">
      <c r="A3706" s="184"/>
      <c r="B3706" s="184"/>
      <c r="C3706" s="184"/>
      <c r="D3706" s="184"/>
      <c r="E3706" s="184"/>
      <c r="F3706" s="184"/>
      <c r="G3706" s="184"/>
      <c r="H3706" s="184"/>
      <c r="I3706" s="184"/>
      <c r="J3706" s="184"/>
      <c r="K3706" s="184"/>
      <c r="L3706" s="184"/>
      <c r="M3706" s="184"/>
      <c r="N3706" s="184"/>
      <c r="O3706" s="184"/>
    </row>
    <row r="3707" customFormat="false" ht="15" hidden="false" customHeight="true" outlineLevel="0" collapsed="false">
      <c r="A3707" s="184"/>
      <c r="B3707" s="184"/>
      <c r="C3707" s="184"/>
      <c r="D3707" s="184"/>
      <c r="E3707" s="184"/>
      <c r="F3707" s="184"/>
      <c r="G3707" s="184"/>
      <c r="H3707" s="184"/>
      <c r="I3707" s="184"/>
      <c r="J3707" s="184"/>
      <c r="K3707" s="184"/>
      <c r="L3707" s="184"/>
      <c r="M3707" s="184"/>
      <c r="N3707" s="184"/>
      <c r="O3707" s="184"/>
    </row>
    <row r="3708" customFormat="false" ht="15" hidden="false" customHeight="true" outlineLevel="0" collapsed="false">
      <c r="A3708" s="184"/>
      <c r="B3708" s="184"/>
      <c r="C3708" s="184"/>
      <c r="D3708" s="184"/>
      <c r="E3708" s="184"/>
      <c r="F3708" s="184"/>
      <c r="G3708" s="184"/>
      <c r="H3708" s="184"/>
      <c r="I3708" s="184"/>
      <c r="J3708" s="184"/>
      <c r="K3708" s="184"/>
      <c r="L3708" s="184"/>
      <c r="M3708" s="184"/>
      <c r="N3708" s="184"/>
      <c r="O3708" s="184"/>
    </row>
    <row r="3709" customFormat="false" ht="15" hidden="false" customHeight="true" outlineLevel="0" collapsed="false">
      <c r="A3709" s="184"/>
      <c r="B3709" s="184"/>
      <c r="C3709" s="184"/>
      <c r="D3709" s="184"/>
      <c r="E3709" s="184"/>
      <c r="F3709" s="184"/>
      <c r="G3709" s="184"/>
      <c r="H3709" s="184"/>
      <c r="I3709" s="184"/>
      <c r="J3709" s="184"/>
      <c r="K3709" s="184"/>
      <c r="L3709" s="184"/>
      <c r="M3709" s="184"/>
      <c r="N3709" s="184"/>
      <c r="O3709" s="184"/>
    </row>
    <row r="3710" customFormat="false" ht="15" hidden="false" customHeight="true" outlineLevel="0" collapsed="false">
      <c r="A3710" s="184"/>
      <c r="B3710" s="184"/>
      <c r="C3710" s="184"/>
      <c r="D3710" s="184"/>
      <c r="E3710" s="184"/>
      <c r="F3710" s="184"/>
      <c r="G3710" s="184"/>
      <c r="H3710" s="184"/>
      <c r="I3710" s="184"/>
      <c r="J3710" s="184"/>
      <c r="K3710" s="184"/>
      <c r="L3710" s="184"/>
      <c r="M3710" s="184"/>
      <c r="N3710" s="184"/>
      <c r="O3710" s="184"/>
    </row>
    <row r="3711" customFormat="false" ht="15" hidden="false" customHeight="true" outlineLevel="0" collapsed="false">
      <c r="A3711" s="184"/>
      <c r="B3711" s="184"/>
      <c r="C3711" s="184"/>
      <c r="D3711" s="184"/>
      <c r="E3711" s="184"/>
      <c r="F3711" s="184"/>
      <c r="G3711" s="184"/>
      <c r="H3711" s="184"/>
      <c r="I3711" s="184"/>
      <c r="J3711" s="184"/>
      <c r="K3711" s="184"/>
      <c r="L3711" s="184"/>
      <c r="M3711" s="184"/>
      <c r="N3711" s="184"/>
      <c r="O3711" s="184"/>
    </row>
    <row r="3712" customFormat="false" ht="15" hidden="false" customHeight="true" outlineLevel="0" collapsed="false">
      <c r="A3712" s="184"/>
      <c r="B3712" s="184"/>
      <c r="C3712" s="184"/>
      <c r="D3712" s="184"/>
      <c r="E3712" s="184"/>
      <c r="F3712" s="184"/>
      <c r="G3712" s="184"/>
      <c r="H3712" s="184"/>
      <c r="I3712" s="184"/>
      <c r="J3712" s="184"/>
      <c r="K3712" s="184"/>
      <c r="L3712" s="184"/>
      <c r="M3712" s="184"/>
      <c r="N3712" s="184"/>
      <c r="O3712" s="184"/>
    </row>
    <row r="3713" customFormat="false" ht="15" hidden="false" customHeight="true" outlineLevel="0" collapsed="false">
      <c r="A3713" s="184"/>
      <c r="B3713" s="184"/>
      <c r="C3713" s="184"/>
      <c r="D3713" s="184"/>
      <c r="E3713" s="184"/>
      <c r="F3713" s="184"/>
      <c r="G3713" s="184"/>
      <c r="H3713" s="184"/>
      <c r="I3713" s="184"/>
      <c r="J3713" s="184"/>
      <c r="K3713" s="184"/>
      <c r="L3713" s="184"/>
      <c r="M3713" s="184"/>
      <c r="N3713" s="184"/>
      <c r="O3713" s="184"/>
    </row>
    <row r="3714" customFormat="false" ht="15" hidden="false" customHeight="true" outlineLevel="0" collapsed="false">
      <c r="A3714" s="184"/>
      <c r="B3714" s="184"/>
      <c r="C3714" s="184"/>
      <c r="D3714" s="184"/>
      <c r="E3714" s="184"/>
      <c r="F3714" s="184"/>
      <c r="G3714" s="184"/>
      <c r="H3714" s="184"/>
      <c r="I3714" s="184"/>
      <c r="J3714" s="184"/>
      <c r="K3714" s="184"/>
      <c r="L3714" s="184"/>
      <c r="M3714" s="184"/>
      <c r="N3714" s="184"/>
      <c r="O3714" s="184"/>
    </row>
    <row r="3715" customFormat="false" ht="15" hidden="false" customHeight="true" outlineLevel="0" collapsed="false">
      <c r="A3715" s="184"/>
      <c r="B3715" s="184"/>
      <c r="C3715" s="184"/>
      <c r="D3715" s="184"/>
      <c r="E3715" s="184"/>
      <c r="F3715" s="184"/>
      <c r="G3715" s="184"/>
      <c r="H3715" s="184"/>
      <c r="I3715" s="184"/>
      <c r="J3715" s="184"/>
      <c r="K3715" s="184"/>
      <c r="L3715" s="184"/>
      <c r="M3715" s="184"/>
      <c r="N3715" s="184"/>
      <c r="O3715" s="184"/>
    </row>
    <row r="3716" customFormat="false" ht="15" hidden="false" customHeight="true" outlineLevel="0" collapsed="false">
      <c r="A3716" s="184"/>
      <c r="B3716" s="184"/>
      <c r="C3716" s="184"/>
      <c r="D3716" s="184"/>
      <c r="E3716" s="184"/>
      <c r="F3716" s="184"/>
      <c r="G3716" s="184"/>
      <c r="H3716" s="184"/>
      <c r="I3716" s="184"/>
      <c r="J3716" s="184"/>
      <c r="K3716" s="184"/>
      <c r="L3716" s="184"/>
      <c r="M3716" s="184"/>
      <c r="N3716" s="184"/>
      <c r="O3716" s="184"/>
    </row>
    <row r="3717" customFormat="false" ht="15" hidden="false" customHeight="true" outlineLevel="0" collapsed="false">
      <c r="A3717" s="184"/>
      <c r="B3717" s="184"/>
      <c r="C3717" s="184"/>
      <c r="D3717" s="184"/>
      <c r="E3717" s="184"/>
      <c r="F3717" s="184"/>
      <c r="G3717" s="184"/>
      <c r="H3717" s="184"/>
      <c r="I3717" s="184"/>
      <c r="J3717" s="184"/>
      <c r="K3717" s="184"/>
      <c r="L3717" s="184"/>
      <c r="M3717" s="184"/>
      <c r="N3717" s="184"/>
      <c r="O3717" s="184"/>
    </row>
    <row r="3718" customFormat="false" ht="15" hidden="false" customHeight="true" outlineLevel="0" collapsed="false">
      <c r="A3718" s="184"/>
      <c r="B3718" s="184"/>
      <c r="C3718" s="184"/>
      <c r="D3718" s="184"/>
      <c r="E3718" s="184"/>
      <c r="F3718" s="184"/>
      <c r="G3718" s="184"/>
      <c r="H3718" s="184"/>
      <c r="I3718" s="184"/>
      <c r="J3718" s="184"/>
      <c r="K3718" s="184"/>
      <c r="L3718" s="184"/>
      <c r="M3718" s="184"/>
      <c r="N3718" s="184"/>
      <c r="O3718" s="184"/>
    </row>
    <row r="3719" customFormat="false" ht="15" hidden="false" customHeight="true" outlineLevel="0" collapsed="false">
      <c r="A3719" s="184"/>
      <c r="B3719" s="184"/>
      <c r="C3719" s="184"/>
      <c r="D3719" s="184"/>
      <c r="E3719" s="184"/>
      <c r="F3719" s="184"/>
      <c r="G3719" s="184"/>
      <c r="H3719" s="184"/>
      <c r="I3719" s="184"/>
      <c r="J3719" s="184"/>
      <c r="K3719" s="184"/>
      <c r="L3719" s="184"/>
      <c r="M3719" s="184"/>
      <c r="N3719" s="184"/>
      <c r="O3719" s="184"/>
    </row>
    <row r="3720" customFormat="false" ht="15" hidden="false" customHeight="true" outlineLevel="0" collapsed="false">
      <c r="A3720" s="184"/>
      <c r="B3720" s="184"/>
      <c r="C3720" s="184"/>
      <c r="D3720" s="184"/>
      <c r="E3720" s="184"/>
      <c r="F3720" s="184"/>
      <c r="G3720" s="184"/>
      <c r="H3720" s="184"/>
      <c r="I3720" s="184"/>
      <c r="J3720" s="184"/>
      <c r="K3720" s="184"/>
      <c r="L3720" s="184"/>
      <c r="M3720" s="184"/>
      <c r="N3720" s="184"/>
      <c r="O3720" s="184"/>
    </row>
    <row r="3721" customFormat="false" ht="15" hidden="false" customHeight="true" outlineLevel="0" collapsed="false">
      <c r="A3721" s="184"/>
      <c r="B3721" s="184"/>
      <c r="C3721" s="184"/>
      <c r="D3721" s="184"/>
      <c r="E3721" s="184"/>
      <c r="F3721" s="184"/>
      <c r="G3721" s="184"/>
      <c r="H3721" s="184"/>
      <c r="I3721" s="184"/>
      <c r="J3721" s="184"/>
      <c r="K3721" s="184"/>
      <c r="L3721" s="184"/>
      <c r="M3721" s="184"/>
      <c r="N3721" s="184"/>
      <c r="O3721" s="184"/>
    </row>
    <row r="3722" customFormat="false" ht="15" hidden="false" customHeight="true" outlineLevel="0" collapsed="false">
      <c r="A3722" s="184"/>
      <c r="B3722" s="184"/>
      <c r="C3722" s="184"/>
      <c r="D3722" s="184"/>
      <c r="E3722" s="184"/>
      <c r="F3722" s="184"/>
      <c r="G3722" s="184"/>
      <c r="H3722" s="184"/>
      <c r="I3722" s="184"/>
      <c r="J3722" s="184"/>
      <c r="K3722" s="184"/>
      <c r="L3722" s="184"/>
      <c r="M3722" s="184"/>
      <c r="N3722" s="184"/>
      <c r="O3722" s="184"/>
    </row>
    <row r="3723" customFormat="false" ht="15" hidden="false" customHeight="true" outlineLevel="0" collapsed="false">
      <c r="A3723" s="184"/>
      <c r="B3723" s="184"/>
      <c r="C3723" s="184"/>
      <c r="D3723" s="184"/>
      <c r="E3723" s="184"/>
      <c r="F3723" s="184"/>
      <c r="G3723" s="184"/>
      <c r="H3723" s="184"/>
      <c r="I3723" s="184"/>
      <c r="J3723" s="184"/>
      <c r="K3723" s="184"/>
      <c r="L3723" s="184"/>
      <c r="M3723" s="184"/>
      <c r="N3723" s="184"/>
      <c r="O3723" s="184"/>
    </row>
    <row r="3724" customFormat="false" ht="15" hidden="false" customHeight="true" outlineLevel="0" collapsed="false">
      <c r="A3724" s="184"/>
      <c r="B3724" s="184"/>
      <c r="C3724" s="184"/>
      <c r="D3724" s="184"/>
      <c r="E3724" s="184"/>
      <c r="F3724" s="184"/>
      <c r="G3724" s="184"/>
      <c r="H3724" s="184"/>
      <c r="I3724" s="184"/>
      <c r="J3724" s="184"/>
      <c r="K3724" s="184"/>
      <c r="L3724" s="184"/>
      <c r="M3724" s="184"/>
      <c r="N3724" s="184"/>
      <c r="O3724" s="184"/>
    </row>
    <row r="3725" customFormat="false" ht="15" hidden="false" customHeight="true" outlineLevel="0" collapsed="false">
      <c r="A3725" s="184"/>
      <c r="B3725" s="184"/>
      <c r="C3725" s="184"/>
      <c r="D3725" s="184"/>
      <c r="E3725" s="184"/>
      <c r="F3725" s="184"/>
      <c r="G3725" s="184"/>
      <c r="H3725" s="184"/>
      <c r="I3725" s="184"/>
      <c r="J3725" s="184"/>
      <c r="K3725" s="184"/>
      <c r="L3725" s="184"/>
      <c r="M3725" s="184"/>
      <c r="N3725" s="184"/>
      <c r="O3725" s="184"/>
    </row>
    <row r="3726" customFormat="false" ht="15" hidden="false" customHeight="true" outlineLevel="0" collapsed="false">
      <c r="A3726" s="184"/>
      <c r="B3726" s="184"/>
      <c r="C3726" s="184"/>
      <c r="D3726" s="184"/>
      <c r="E3726" s="184"/>
      <c r="F3726" s="184"/>
      <c r="G3726" s="184"/>
      <c r="H3726" s="184"/>
      <c r="I3726" s="184"/>
      <c r="J3726" s="184"/>
      <c r="K3726" s="184"/>
      <c r="L3726" s="184"/>
      <c r="M3726" s="184"/>
      <c r="N3726" s="184"/>
      <c r="O3726" s="184"/>
    </row>
    <row r="3727" customFormat="false" ht="15" hidden="false" customHeight="true" outlineLevel="0" collapsed="false">
      <c r="A3727" s="184"/>
      <c r="B3727" s="184"/>
      <c r="C3727" s="184"/>
      <c r="D3727" s="184"/>
      <c r="E3727" s="184"/>
      <c r="F3727" s="184"/>
      <c r="G3727" s="184"/>
      <c r="H3727" s="184"/>
      <c r="I3727" s="184"/>
      <c r="J3727" s="184"/>
      <c r="K3727" s="184"/>
      <c r="L3727" s="184"/>
      <c r="M3727" s="184"/>
      <c r="N3727" s="184"/>
      <c r="O3727" s="184"/>
    </row>
    <row r="3728" customFormat="false" ht="81.75" hidden="false" customHeight="true" outlineLevel="0" collapsed="false">
      <c r="A3728" s="184" t="s">
        <v>4984</v>
      </c>
      <c r="B3728" s="184" t="s">
        <v>4985</v>
      </c>
      <c r="C3728" s="184"/>
      <c r="D3728" s="179" t="s">
        <v>4858</v>
      </c>
      <c r="E3728" s="184" t="s">
        <v>7202</v>
      </c>
      <c r="F3728" s="184"/>
      <c r="G3728" s="184"/>
      <c r="H3728" s="184"/>
      <c r="I3728" s="184"/>
      <c r="J3728" s="184"/>
      <c r="K3728" s="184"/>
      <c r="L3728" s="184"/>
      <c r="M3728" s="184" t="s">
        <v>7197</v>
      </c>
      <c r="N3728" s="184"/>
      <c r="O3728" s="184"/>
    </row>
    <row r="3729" customFormat="false" ht="27.75" hidden="false" customHeight="true" outlineLevel="0" collapsed="false">
      <c r="A3729" s="184" t="s">
        <v>4984</v>
      </c>
      <c r="B3729" s="184" t="s">
        <v>4985</v>
      </c>
      <c r="C3729" s="184" t="n">
        <v>1</v>
      </c>
      <c r="D3729" s="178" t="s">
        <v>5269</v>
      </c>
      <c r="E3729" s="184" t="s">
        <v>7198</v>
      </c>
      <c r="F3729" s="184"/>
      <c r="G3729" s="184"/>
      <c r="H3729" s="184"/>
      <c r="I3729" s="184"/>
      <c r="J3729" s="184"/>
      <c r="K3729" s="184"/>
      <c r="L3729" s="184"/>
      <c r="M3729" s="184" t="s">
        <v>7199</v>
      </c>
      <c r="N3729" s="184"/>
      <c r="O3729" s="184"/>
    </row>
    <row r="3730" customFormat="false" ht="27.75" hidden="false" customHeight="true" outlineLevel="0" collapsed="false">
      <c r="A3730" s="184" t="s">
        <v>4984</v>
      </c>
      <c r="B3730" s="184" t="s">
        <v>4985</v>
      </c>
      <c r="C3730" s="184" t="n">
        <v>2</v>
      </c>
      <c r="D3730" s="179" t="s">
        <v>6292</v>
      </c>
      <c r="E3730" s="184" t="s">
        <v>7200</v>
      </c>
      <c r="F3730" s="184"/>
      <c r="G3730" s="184"/>
      <c r="H3730" s="184"/>
      <c r="I3730" s="184"/>
      <c r="J3730" s="184"/>
      <c r="K3730" s="184"/>
      <c r="L3730" s="184"/>
      <c r="M3730" s="184"/>
      <c r="N3730" s="184"/>
      <c r="O3730" s="184"/>
    </row>
    <row r="3731" customFormat="false" ht="27.75" hidden="false" customHeight="true" outlineLevel="0" collapsed="false">
      <c r="A3731" s="184" t="s">
        <v>4984</v>
      </c>
      <c r="B3731" s="184" t="s">
        <v>4985</v>
      </c>
      <c r="C3731" s="184" t="n">
        <v>3</v>
      </c>
      <c r="D3731" s="184" t="s">
        <v>6296</v>
      </c>
      <c r="E3731" s="184" t="s">
        <v>7182</v>
      </c>
      <c r="F3731" s="184"/>
      <c r="G3731" s="184"/>
      <c r="H3731" s="184"/>
      <c r="I3731" s="184"/>
      <c r="J3731" s="184"/>
      <c r="K3731" s="184"/>
      <c r="L3731" s="184"/>
      <c r="M3731" s="184"/>
      <c r="N3731" s="184"/>
      <c r="O3731" s="184"/>
    </row>
    <row r="3732" customFormat="false" ht="41.25" hidden="false" customHeight="true" outlineLevel="0" collapsed="false">
      <c r="A3732" s="184" t="s">
        <v>4984</v>
      </c>
      <c r="B3732" s="184" t="s">
        <v>4985</v>
      </c>
      <c r="C3732" s="184" t="n">
        <v>4</v>
      </c>
      <c r="D3732" s="177" t="s">
        <v>6298</v>
      </c>
      <c r="E3732" s="184" t="s">
        <v>7177</v>
      </c>
      <c r="F3732" s="184"/>
      <c r="G3732" s="184"/>
      <c r="H3732" s="184"/>
      <c r="I3732" s="184"/>
      <c r="J3732" s="184"/>
      <c r="K3732" s="184"/>
      <c r="L3732" s="184"/>
      <c r="M3732" s="184"/>
      <c r="N3732" s="184"/>
      <c r="O3732" s="184"/>
    </row>
    <row r="3733" customFormat="false" ht="27.75" hidden="false" customHeight="true" outlineLevel="0" collapsed="false">
      <c r="A3733" s="184" t="s">
        <v>4984</v>
      </c>
      <c r="B3733" s="184" t="s">
        <v>4985</v>
      </c>
      <c r="C3733" s="184" t="n">
        <v>5</v>
      </c>
      <c r="D3733" s="184" t="s">
        <v>4790</v>
      </c>
      <c r="E3733" s="184" t="s">
        <v>784</v>
      </c>
      <c r="F3733" s="184"/>
      <c r="G3733" s="184"/>
      <c r="H3733" s="184"/>
      <c r="I3733" s="184"/>
      <c r="J3733" s="184"/>
      <c r="K3733" s="184"/>
      <c r="L3733" s="184"/>
      <c r="M3733" s="184"/>
      <c r="N3733" s="184"/>
      <c r="O3733" s="184"/>
    </row>
    <row r="3734" customFormat="false" ht="27.75" hidden="false" customHeight="true" outlineLevel="0" collapsed="false">
      <c r="A3734" s="184" t="s">
        <v>4984</v>
      </c>
      <c r="B3734" s="184" t="s">
        <v>4985</v>
      </c>
      <c r="C3734" s="184" t="n">
        <v>6</v>
      </c>
      <c r="D3734" s="178" t="s">
        <v>5269</v>
      </c>
      <c r="E3734" s="184" t="s">
        <v>7175</v>
      </c>
      <c r="F3734" s="184"/>
      <c r="G3734" s="184"/>
      <c r="H3734" s="184"/>
      <c r="I3734" s="184"/>
      <c r="J3734" s="184"/>
      <c r="K3734" s="184"/>
      <c r="L3734" s="184"/>
      <c r="M3734" s="184" t="s">
        <v>7176</v>
      </c>
      <c r="N3734" s="184"/>
      <c r="O3734" s="184"/>
    </row>
    <row r="3735" customFormat="false" ht="27.75" hidden="false" customHeight="true" outlineLevel="0" collapsed="false">
      <c r="A3735" s="184" t="s">
        <v>4984</v>
      </c>
      <c r="B3735" s="184" t="s">
        <v>4985</v>
      </c>
      <c r="C3735" s="184" t="n">
        <v>7</v>
      </c>
      <c r="D3735" s="184" t="s">
        <v>4790</v>
      </c>
      <c r="E3735" s="184" t="s">
        <v>1779</v>
      </c>
      <c r="F3735" s="184"/>
      <c r="G3735" s="184"/>
      <c r="H3735" s="184"/>
      <c r="I3735" s="184"/>
      <c r="J3735" s="184"/>
      <c r="K3735" s="184"/>
      <c r="L3735" s="184"/>
      <c r="M3735" s="184"/>
      <c r="N3735" s="184"/>
      <c r="O3735" s="184"/>
    </row>
    <row r="3736" customFormat="false" ht="27.75" hidden="false" customHeight="true" outlineLevel="0" collapsed="false">
      <c r="A3736" s="184" t="s">
        <v>4984</v>
      </c>
      <c r="B3736" s="184" t="s">
        <v>4985</v>
      </c>
      <c r="C3736" s="184" t="n">
        <v>8</v>
      </c>
      <c r="D3736" s="178" t="s">
        <v>5269</v>
      </c>
      <c r="E3736" s="184" t="s">
        <v>7175</v>
      </c>
      <c r="F3736" s="184"/>
      <c r="G3736" s="184"/>
      <c r="H3736" s="184"/>
      <c r="I3736" s="184"/>
      <c r="J3736" s="184"/>
      <c r="K3736" s="184"/>
      <c r="L3736" s="184"/>
      <c r="M3736" s="184" t="s">
        <v>7178</v>
      </c>
      <c r="N3736" s="184"/>
      <c r="O3736" s="184"/>
    </row>
    <row r="3737" customFormat="false" ht="27.75" hidden="false" customHeight="true" outlineLevel="0" collapsed="false">
      <c r="A3737" s="184" t="s">
        <v>4984</v>
      </c>
      <c r="B3737" s="184" t="s">
        <v>4985</v>
      </c>
      <c r="C3737" s="184" t="n">
        <v>9</v>
      </c>
      <c r="D3737" s="184" t="s">
        <v>4790</v>
      </c>
      <c r="E3737" s="184" t="s">
        <v>2630</v>
      </c>
      <c r="F3737" s="184"/>
      <c r="G3737" s="184"/>
      <c r="H3737" s="184"/>
      <c r="I3737" s="184"/>
      <c r="J3737" s="184"/>
      <c r="K3737" s="184"/>
      <c r="L3737" s="184"/>
      <c r="M3737" s="184"/>
      <c r="N3737" s="184"/>
      <c r="O3737" s="184"/>
    </row>
    <row r="3738" customFormat="false" ht="27.75" hidden="false" customHeight="true" outlineLevel="0" collapsed="false">
      <c r="A3738" s="184" t="s">
        <v>4984</v>
      </c>
      <c r="B3738" s="184" t="s">
        <v>4985</v>
      </c>
      <c r="C3738" s="184" t="n">
        <v>10</v>
      </c>
      <c r="D3738" s="178" t="s">
        <v>5269</v>
      </c>
      <c r="E3738" s="184" t="s">
        <v>7175</v>
      </c>
      <c r="F3738" s="184"/>
      <c r="G3738" s="184"/>
      <c r="H3738" s="184"/>
      <c r="I3738" s="184"/>
      <c r="J3738" s="184"/>
      <c r="K3738" s="184"/>
      <c r="L3738" s="184"/>
      <c r="M3738" s="184" t="s">
        <v>7179</v>
      </c>
      <c r="N3738" s="184"/>
      <c r="O3738" s="184"/>
    </row>
    <row r="3739" customFormat="false" ht="27.75" hidden="false" customHeight="true" outlineLevel="0" collapsed="false">
      <c r="A3739" s="184" t="s">
        <v>4984</v>
      </c>
      <c r="B3739" s="184" t="s">
        <v>4985</v>
      </c>
      <c r="C3739" s="184" t="n">
        <v>11</v>
      </c>
      <c r="D3739" s="178" t="s">
        <v>5269</v>
      </c>
      <c r="E3739" s="184" t="s">
        <v>7201</v>
      </c>
      <c r="F3739" s="184"/>
      <c r="G3739" s="184"/>
      <c r="H3739" s="184"/>
      <c r="I3739" s="184"/>
      <c r="J3739" s="184"/>
      <c r="K3739" s="184"/>
      <c r="L3739" s="184"/>
      <c r="M3739" s="184" t="s">
        <v>7199</v>
      </c>
      <c r="N3739" s="184"/>
      <c r="O3739" s="184"/>
    </row>
    <row r="3740" customFormat="false" ht="15" hidden="false" customHeight="true" outlineLevel="0" collapsed="false">
      <c r="A3740" s="184"/>
      <c r="B3740" s="184"/>
      <c r="C3740" s="184"/>
      <c r="D3740" s="184"/>
      <c r="E3740" s="184"/>
      <c r="F3740" s="184"/>
      <c r="G3740" s="184"/>
      <c r="H3740" s="184"/>
      <c r="I3740" s="184"/>
      <c r="J3740" s="184"/>
      <c r="K3740" s="184"/>
      <c r="L3740" s="184"/>
      <c r="M3740" s="184"/>
      <c r="N3740" s="184"/>
      <c r="O3740" s="184"/>
    </row>
    <row r="3741" customFormat="false" ht="15" hidden="false" customHeight="true" outlineLevel="0" collapsed="false">
      <c r="A3741" s="184"/>
      <c r="B3741" s="184"/>
      <c r="C3741" s="184"/>
      <c r="D3741" s="184"/>
      <c r="E3741" s="184"/>
      <c r="F3741" s="184"/>
      <c r="G3741" s="184"/>
      <c r="H3741" s="184"/>
      <c r="I3741" s="184"/>
      <c r="J3741" s="184"/>
      <c r="K3741" s="184"/>
      <c r="L3741" s="184"/>
      <c r="M3741" s="184"/>
      <c r="N3741" s="184"/>
      <c r="O3741" s="184"/>
    </row>
    <row r="3742" customFormat="false" ht="15" hidden="false" customHeight="true" outlineLevel="0" collapsed="false">
      <c r="A3742" s="184"/>
      <c r="B3742" s="184"/>
      <c r="C3742" s="184"/>
      <c r="D3742" s="184"/>
      <c r="E3742" s="184"/>
      <c r="F3742" s="184"/>
      <c r="G3742" s="184"/>
      <c r="H3742" s="184"/>
      <c r="I3742" s="184"/>
      <c r="J3742" s="184"/>
      <c r="K3742" s="184"/>
      <c r="L3742" s="184"/>
      <c r="M3742" s="184"/>
      <c r="N3742" s="184"/>
      <c r="O3742" s="184"/>
    </row>
    <row r="3743" customFormat="false" ht="15" hidden="false" customHeight="true" outlineLevel="0" collapsed="false">
      <c r="A3743" s="184"/>
      <c r="B3743" s="184"/>
      <c r="C3743" s="184"/>
      <c r="D3743" s="184"/>
      <c r="E3743" s="184"/>
      <c r="F3743" s="184"/>
      <c r="G3743" s="184"/>
      <c r="H3743" s="184"/>
      <c r="I3743" s="184"/>
      <c r="J3743" s="184"/>
      <c r="K3743" s="184"/>
      <c r="L3743" s="184"/>
      <c r="M3743" s="184"/>
      <c r="N3743" s="184"/>
      <c r="O3743" s="184"/>
    </row>
    <row r="3744" customFormat="false" ht="15" hidden="false" customHeight="true" outlineLevel="0" collapsed="false">
      <c r="A3744" s="184"/>
      <c r="B3744" s="184"/>
      <c r="C3744" s="184"/>
      <c r="D3744" s="184"/>
      <c r="E3744" s="184"/>
      <c r="F3744" s="184"/>
      <c r="G3744" s="184"/>
      <c r="H3744" s="184"/>
      <c r="I3744" s="184"/>
      <c r="J3744" s="184"/>
      <c r="K3744" s="184"/>
      <c r="L3744" s="184"/>
      <c r="M3744" s="184"/>
      <c r="N3744" s="184"/>
      <c r="O3744" s="184"/>
    </row>
    <row r="3745" customFormat="false" ht="15" hidden="false" customHeight="true" outlineLevel="0" collapsed="false">
      <c r="A3745" s="184"/>
      <c r="B3745" s="184"/>
      <c r="C3745" s="184"/>
      <c r="D3745" s="184"/>
      <c r="E3745" s="184"/>
      <c r="F3745" s="184"/>
      <c r="G3745" s="184"/>
      <c r="H3745" s="184"/>
      <c r="I3745" s="184"/>
      <c r="J3745" s="184"/>
      <c r="K3745" s="184"/>
      <c r="L3745" s="184"/>
      <c r="M3745" s="184"/>
      <c r="N3745" s="184"/>
      <c r="O3745" s="184"/>
    </row>
    <row r="3746" customFormat="false" ht="15" hidden="false" customHeight="true" outlineLevel="0" collapsed="false">
      <c r="A3746" s="184"/>
      <c r="B3746" s="184"/>
      <c r="C3746" s="184"/>
      <c r="D3746" s="184"/>
      <c r="E3746" s="184"/>
      <c r="F3746" s="184"/>
      <c r="G3746" s="184"/>
      <c r="H3746" s="184"/>
      <c r="I3746" s="184"/>
      <c r="J3746" s="184"/>
      <c r="K3746" s="184"/>
      <c r="L3746" s="184"/>
      <c r="M3746" s="184"/>
      <c r="N3746" s="184"/>
      <c r="O3746" s="184"/>
    </row>
    <row r="3747" customFormat="false" ht="15" hidden="false" customHeight="true" outlineLevel="0" collapsed="false">
      <c r="A3747" s="184"/>
      <c r="B3747" s="184"/>
      <c r="C3747" s="184"/>
      <c r="D3747" s="184"/>
      <c r="E3747" s="184"/>
      <c r="F3747" s="184"/>
      <c r="G3747" s="184"/>
      <c r="H3747" s="184"/>
      <c r="I3747" s="184"/>
      <c r="J3747" s="184"/>
      <c r="K3747" s="184"/>
      <c r="L3747" s="184"/>
      <c r="M3747" s="184"/>
      <c r="N3747" s="184"/>
      <c r="O3747" s="184"/>
    </row>
    <row r="3748" customFormat="false" ht="15" hidden="false" customHeight="true" outlineLevel="0" collapsed="false">
      <c r="A3748" s="184"/>
      <c r="B3748" s="184"/>
      <c r="C3748" s="184"/>
      <c r="D3748" s="184"/>
      <c r="E3748" s="184"/>
      <c r="F3748" s="184"/>
      <c r="G3748" s="184"/>
      <c r="H3748" s="184"/>
      <c r="I3748" s="184"/>
      <c r="J3748" s="184"/>
      <c r="K3748" s="184"/>
      <c r="L3748" s="184"/>
      <c r="M3748" s="184"/>
      <c r="N3748" s="184"/>
      <c r="O3748" s="184"/>
    </row>
    <row r="3749" customFormat="false" ht="15" hidden="false" customHeight="true" outlineLevel="0" collapsed="false">
      <c r="A3749" s="184"/>
      <c r="B3749" s="184"/>
      <c r="C3749" s="184"/>
      <c r="D3749" s="184"/>
      <c r="E3749" s="184"/>
      <c r="F3749" s="184"/>
      <c r="G3749" s="184"/>
      <c r="H3749" s="184"/>
      <c r="I3749" s="184"/>
      <c r="J3749" s="184"/>
      <c r="K3749" s="184"/>
      <c r="L3749" s="184"/>
      <c r="M3749" s="184"/>
      <c r="N3749" s="184"/>
      <c r="O3749" s="184"/>
    </row>
    <row r="3750" customFormat="false" ht="15" hidden="false" customHeight="true" outlineLevel="0" collapsed="false">
      <c r="A3750" s="184"/>
      <c r="B3750" s="184"/>
      <c r="C3750" s="184"/>
      <c r="D3750" s="184"/>
      <c r="E3750" s="184"/>
      <c r="F3750" s="184"/>
      <c r="G3750" s="184"/>
      <c r="H3750" s="184"/>
      <c r="I3750" s="184"/>
      <c r="J3750" s="184"/>
      <c r="K3750" s="184"/>
      <c r="L3750" s="184"/>
      <c r="M3750" s="184"/>
      <c r="N3750" s="184"/>
      <c r="O3750" s="184"/>
    </row>
    <row r="3751" customFormat="false" ht="15" hidden="false" customHeight="true" outlineLevel="0" collapsed="false">
      <c r="A3751" s="184"/>
      <c r="B3751" s="184"/>
      <c r="C3751" s="184"/>
      <c r="D3751" s="184"/>
      <c r="E3751" s="184"/>
      <c r="F3751" s="184"/>
      <c r="G3751" s="184"/>
      <c r="H3751" s="184"/>
      <c r="I3751" s="184"/>
      <c r="J3751" s="184"/>
      <c r="K3751" s="184"/>
      <c r="L3751" s="184"/>
      <c r="M3751" s="184"/>
      <c r="N3751" s="184"/>
      <c r="O3751" s="184"/>
    </row>
    <row r="3752" customFormat="false" ht="15" hidden="false" customHeight="true" outlineLevel="0" collapsed="false">
      <c r="A3752" s="184"/>
      <c r="B3752" s="184"/>
      <c r="C3752" s="184"/>
      <c r="D3752" s="184"/>
      <c r="E3752" s="184"/>
      <c r="F3752" s="184"/>
      <c r="G3752" s="184"/>
      <c r="H3752" s="184"/>
      <c r="I3752" s="184"/>
      <c r="J3752" s="184"/>
      <c r="K3752" s="184"/>
      <c r="L3752" s="184"/>
      <c r="M3752" s="184"/>
      <c r="N3752" s="184"/>
      <c r="O3752" s="184"/>
    </row>
    <row r="3753" customFormat="false" ht="15" hidden="false" customHeight="true" outlineLevel="0" collapsed="false">
      <c r="A3753" s="184"/>
      <c r="B3753" s="184"/>
      <c r="C3753" s="184"/>
      <c r="D3753" s="184"/>
      <c r="E3753" s="184"/>
      <c r="F3753" s="184"/>
      <c r="G3753" s="184"/>
      <c r="H3753" s="184"/>
      <c r="I3753" s="184"/>
      <c r="J3753" s="184"/>
      <c r="K3753" s="184"/>
      <c r="L3753" s="184"/>
      <c r="M3753" s="184"/>
      <c r="N3753" s="184"/>
      <c r="O3753" s="184"/>
    </row>
    <row r="3754" customFormat="false" ht="15" hidden="false" customHeight="true" outlineLevel="0" collapsed="false">
      <c r="A3754" s="184"/>
      <c r="B3754" s="184"/>
      <c r="C3754" s="184"/>
      <c r="D3754" s="184"/>
      <c r="E3754" s="184"/>
      <c r="F3754" s="184"/>
      <c r="G3754" s="184"/>
      <c r="H3754" s="184"/>
      <c r="I3754" s="184"/>
      <c r="J3754" s="184"/>
      <c r="K3754" s="184"/>
      <c r="L3754" s="184"/>
      <c r="M3754" s="184"/>
      <c r="N3754" s="184"/>
      <c r="O3754" s="184"/>
    </row>
    <row r="3755" customFormat="false" ht="15" hidden="false" customHeight="true" outlineLevel="0" collapsed="false">
      <c r="A3755" s="184"/>
      <c r="B3755" s="184"/>
      <c r="C3755" s="184"/>
      <c r="D3755" s="184"/>
      <c r="E3755" s="184"/>
      <c r="F3755" s="184"/>
      <c r="G3755" s="184"/>
      <c r="H3755" s="184"/>
      <c r="I3755" s="184"/>
      <c r="J3755" s="184"/>
      <c r="K3755" s="184"/>
      <c r="L3755" s="184"/>
      <c r="M3755" s="184"/>
      <c r="N3755" s="184"/>
      <c r="O3755" s="184"/>
    </row>
    <row r="3756" customFormat="false" ht="15" hidden="false" customHeight="true" outlineLevel="0" collapsed="false">
      <c r="A3756" s="184"/>
      <c r="B3756" s="184"/>
      <c r="C3756" s="184"/>
      <c r="D3756" s="184"/>
      <c r="E3756" s="184"/>
      <c r="F3756" s="184"/>
      <c r="G3756" s="184"/>
      <c r="H3756" s="184"/>
      <c r="I3756" s="184"/>
      <c r="J3756" s="184"/>
      <c r="K3756" s="184"/>
      <c r="L3756" s="184"/>
      <c r="M3756" s="184"/>
      <c r="N3756" s="184"/>
      <c r="O3756" s="184"/>
    </row>
    <row r="3757" customFormat="false" ht="15" hidden="false" customHeight="true" outlineLevel="0" collapsed="false">
      <c r="A3757" s="184"/>
      <c r="B3757" s="184"/>
      <c r="C3757" s="184"/>
      <c r="D3757" s="184"/>
      <c r="E3757" s="184"/>
      <c r="F3757" s="184"/>
      <c r="G3757" s="184"/>
      <c r="H3757" s="184"/>
      <c r="I3757" s="184"/>
      <c r="J3757" s="184"/>
      <c r="K3757" s="184"/>
      <c r="L3757" s="184"/>
      <c r="M3757" s="184"/>
      <c r="N3757" s="184"/>
      <c r="O3757" s="184"/>
    </row>
    <row r="3758" customFormat="false" ht="15" hidden="false" customHeight="true" outlineLevel="0" collapsed="false">
      <c r="A3758" s="184"/>
      <c r="B3758" s="184"/>
      <c r="C3758" s="184"/>
      <c r="D3758" s="184"/>
      <c r="E3758" s="184"/>
      <c r="F3758" s="184"/>
      <c r="G3758" s="184"/>
      <c r="H3758" s="184"/>
      <c r="I3758" s="184"/>
      <c r="J3758" s="184"/>
      <c r="K3758" s="184"/>
      <c r="L3758" s="184"/>
      <c r="M3758" s="184"/>
      <c r="N3758" s="184"/>
      <c r="O3758" s="184"/>
    </row>
    <row r="3759" customFormat="false" ht="15" hidden="false" customHeight="true" outlineLevel="0" collapsed="false">
      <c r="A3759" s="184"/>
      <c r="B3759" s="184"/>
      <c r="C3759" s="184"/>
      <c r="D3759" s="184"/>
      <c r="E3759" s="184"/>
      <c r="F3759" s="184"/>
      <c r="G3759" s="184"/>
      <c r="H3759" s="184"/>
      <c r="I3759" s="184"/>
      <c r="J3759" s="184"/>
      <c r="K3759" s="184"/>
      <c r="L3759" s="184"/>
      <c r="M3759" s="184"/>
      <c r="N3759" s="184"/>
      <c r="O3759" s="184"/>
    </row>
    <row r="3760" customFormat="false" ht="15" hidden="false" customHeight="true" outlineLevel="0" collapsed="false">
      <c r="A3760" s="184"/>
      <c r="B3760" s="184"/>
      <c r="C3760" s="184"/>
      <c r="D3760" s="184"/>
      <c r="E3760" s="184"/>
      <c r="F3760" s="184"/>
      <c r="G3760" s="184"/>
      <c r="H3760" s="184"/>
      <c r="I3760" s="184"/>
      <c r="J3760" s="184"/>
      <c r="K3760" s="184"/>
      <c r="L3760" s="184"/>
      <c r="M3760" s="184"/>
      <c r="N3760" s="184"/>
      <c r="O3760" s="184"/>
    </row>
    <row r="3761" customFormat="false" ht="15" hidden="false" customHeight="true" outlineLevel="0" collapsed="false">
      <c r="A3761" s="184"/>
      <c r="B3761" s="184"/>
      <c r="C3761" s="184"/>
      <c r="D3761" s="184"/>
      <c r="E3761" s="184"/>
      <c r="F3761" s="184"/>
      <c r="G3761" s="184"/>
      <c r="H3761" s="184"/>
      <c r="I3761" s="184"/>
      <c r="J3761" s="184"/>
      <c r="K3761" s="184"/>
      <c r="L3761" s="184"/>
      <c r="M3761" s="184"/>
      <c r="N3761" s="184"/>
      <c r="O3761" s="184"/>
    </row>
    <row r="3762" customFormat="false" ht="15" hidden="false" customHeight="true" outlineLevel="0" collapsed="false">
      <c r="A3762" s="184"/>
      <c r="B3762" s="184"/>
      <c r="C3762" s="184"/>
      <c r="D3762" s="184"/>
      <c r="E3762" s="184"/>
      <c r="F3762" s="184"/>
      <c r="G3762" s="184"/>
      <c r="H3762" s="184"/>
      <c r="I3762" s="184"/>
      <c r="J3762" s="184"/>
      <c r="K3762" s="184"/>
      <c r="L3762" s="184"/>
      <c r="M3762" s="184"/>
      <c r="N3762" s="184"/>
      <c r="O3762" s="184"/>
    </row>
    <row r="3763" customFormat="false" ht="15" hidden="false" customHeight="true" outlineLevel="0" collapsed="false">
      <c r="A3763" s="184"/>
      <c r="B3763" s="184"/>
      <c r="C3763" s="184"/>
      <c r="D3763" s="184"/>
      <c r="E3763" s="184"/>
      <c r="F3763" s="184"/>
      <c r="G3763" s="184"/>
      <c r="H3763" s="184"/>
      <c r="I3763" s="184"/>
      <c r="J3763" s="184"/>
      <c r="K3763" s="184"/>
      <c r="L3763" s="184"/>
      <c r="M3763" s="184"/>
      <c r="N3763" s="184"/>
      <c r="O3763" s="184"/>
    </row>
    <row r="3764" customFormat="false" ht="15" hidden="false" customHeight="true" outlineLevel="0" collapsed="false">
      <c r="A3764" s="184"/>
      <c r="B3764" s="184"/>
      <c r="C3764" s="184"/>
      <c r="D3764" s="184"/>
      <c r="E3764" s="184"/>
      <c r="F3764" s="184"/>
      <c r="G3764" s="184"/>
      <c r="H3764" s="184"/>
      <c r="I3764" s="184"/>
      <c r="J3764" s="184"/>
      <c r="K3764" s="184"/>
      <c r="L3764" s="184"/>
      <c r="M3764" s="184"/>
      <c r="N3764" s="184"/>
      <c r="O3764" s="184"/>
    </row>
    <row r="3765" customFormat="false" ht="15" hidden="false" customHeight="true" outlineLevel="0" collapsed="false">
      <c r="A3765" s="184"/>
      <c r="B3765" s="184"/>
      <c r="C3765" s="184"/>
      <c r="D3765" s="184"/>
      <c r="E3765" s="184"/>
      <c r="F3765" s="184"/>
      <c r="G3765" s="184"/>
      <c r="H3765" s="184"/>
      <c r="I3765" s="184"/>
      <c r="J3765" s="184"/>
      <c r="K3765" s="184"/>
      <c r="L3765" s="184"/>
      <c r="M3765" s="184"/>
      <c r="N3765" s="184"/>
      <c r="O3765" s="184"/>
    </row>
    <row r="3766" customFormat="false" ht="15" hidden="false" customHeight="true" outlineLevel="0" collapsed="false">
      <c r="A3766" s="184"/>
      <c r="B3766" s="184"/>
      <c r="C3766" s="184"/>
      <c r="D3766" s="184"/>
      <c r="E3766" s="184"/>
      <c r="F3766" s="184"/>
      <c r="G3766" s="184"/>
      <c r="H3766" s="184"/>
      <c r="I3766" s="184"/>
      <c r="J3766" s="184"/>
      <c r="K3766" s="184"/>
      <c r="L3766" s="184"/>
      <c r="M3766" s="184"/>
      <c r="N3766" s="184"/>
      <c r="O3766" s="184"/>
    </row>
    <row r="3767" customFormat="false" ht="15" hidden="false" customHeight="true" outlineLevel="0" collapsed="false">
      <c r="A3767" s="184"/>
      <c r="B3767" s="184"/>
      <c r="C3767" s="184"/>
      <c r="D3767" s="184"/>
      <c r="E3767" s="184"/>
      <c r="F3767" s="184"/>
      <c r="G3767" s="184"/>
      <c r="H3767" s="184"/>
      <c r="I3767" s="184"/>
      <c r="J3767" s="184"/>
      <c r="K3767" s="184"/>
      <c r="L3767" s="184"/>
      <c r="M3767" s="184"/>
      <c r="N3767" s="184"/>
      <c r="O3767" s="184"/>
    </row>
    <row r="3768" customFormat="false" ht="15" hidden="false" customHeight="true" outlineLevel="0" collapsed="false">
      <c r="A3768" s="184"/>
      <c r="B3768" s="184"/>
      <c r="C3768" s="184"/>
      <c r="D3768" s="184"/>
      <c r="E3768" s="184"/>
      <c r="F3768" s="184"/>
      <c r="G3768" s="184"/>
      <c r="H3768" s="184"/>
      <c r="I3768" s="184"/>
      <c r="J3768" s="184"/>
      <c r="K3768" s="184"/>
      <c r="L3768" s="184"/>
      <c r="M3768" s="184"/>
      <c r="N3768" s="184"/>
      <c r="O3768" s="184"/>
    </row>
    <row r="3769" customFormat="false" ht="15" hidden="false" customHeight="true" outlineLevel="0" collapsed="false">
      <c r="A3769" s="184"/>
      <c r="B3769" s="184"/>
      <c r="C3769" s="184"/>
      <c r="D3769" s="184"/>
      <c r="E3769" s="184"/>
      <c r="F3769" s="184"/>
      <c r="G3769" s="184"/>
      <c r="H3769" s="184"/>
      <c r="I3769" s="184"/>
      <c r="J3769" s="184"/>
      <c r="K3769" s="184"/>
      <c r="L3769" s="184"/>
      <c r="M3769" s="184"/>
      <c r="N3769" s="184"/>
      <c r="O3769" s="184"/>
    </row>
    <row r="3770" customFormat="false" ht="15" hidden="false" customHeight="true" outlineLevel="0" collapsed="false">
      <c r="A3770" s="184"/>
      <c r="B3770" s="184"/>
      <c r="C3770" s="184"/>
      <c r="D3770" s="184"/>
      <c r="E3770" s="184"/>
      <c r="F3770" s="184"/>
      <c r="G3770" s="184"/>
      <c r="H3770" s="184"/>
      <c r="I3770" s="184"/>
      <c r="J3770" s="184"/>
      <c r="K3770" s="184"/>
      <c r="L3770" s="184"/>
      <c r="M3770" s="184"/>
      <c r="N3770" s="184"/>
      <c r="O3770" s="184"/>
    </row>
    <row r="3771" customFormat="false" ht="15" hidden="false" customHeight="true" outlineLevel="0" collapsed="false">
      <c r="A3771" s="184"/>
      <c r="B3771" s="184"/>
      <c r="C3771" s="184"/>
      <c r="D3771" s="184"/>
      <c r="E3771" s="184"/>
      <c r="F3771" s="184"/>
      <c r="G3771" s="184"/>
      <c r="H3771" s="184"/>
      <c r="I3771" s="184"/>
      <c r="J3771" s="184"/>
      <c r="K3771" s="184"/>
      <c r="L3771" s="184"/>
      <c r="M3771" s="184"/>
      <c r="N3771" s="184"/>
      <c r="O3771" s="184"/>
    </row>
    <row r="3772" customFormat="false" ht="15" hidden="false" customHeight="true" outlineLevel="0" collapsed="false">
      <c r="A3772" s="184"/>
      <c r="B3772" s="184"/>
      <c r="C3772" s="184"/>
      <c r="D3772" s="184"/>
      <c r="E3772" s="184"/>
      <c r="F3772" s="184"/>
      <c r="G3772" s="184"/>
      <c r="H3772" s="184"/>
      <c r="I3772" s="184"/>
      <c r="J3772" s="184"/>
      <c r="K3772" s="184"/>
      <c r="L3772" s="184"/>
      <c r="M3772" s="184"/>
      <c r="N3772" s="184"/>
      <c r="O3772" s="184"/>
    </row>
    <row r="3773" customFormat="false" ht="15" hidden="false" customHeight="true" outlineLevel="0" collapsed="false">
      <c r="A3773" s="184"/>
      <c r="B3773" s="184"/>
      <c r="C3773" s="184"/>
      <c r="D3773" s="184"/>
      <c r="E3773" s="184"/>
      <c r="F3773" s="184"/>
      <c r="G3773" s="184"/>
      <c r="H3773" s="184"/>
      <c r="I3773" s="184"/>
      <c r="J3773" s="184"/>
      <c r="K3773" s="184"/>
      <c r="L3773" s="184"/>
      <c r="M3773" s="184"/>
      <c r="N3773" s="184"/>
      <c r="O3773" s="184"/>
    </row>
    <row r="3774" customFormat="false" ht="15" hidden="false" customHeight="true" outlineLevel="0" collapsed="false">
      <c r="A3774" s="184"/>
      <c r="B3774" s="184"/>
      <c r="C3774" s="184"/>
      <c r="D3774" s="184"/>
      <c r="E3774" s="184"/>
      <c r="F3774" s="184"/>
      <c r="G3774" s="184"/>
      <c r="H3774" s="184"/>
      <c r="I3774" s="184"/>
      <c r="J3774" s="184"/>
      <c r="K3774" s="184"/>
      <c r="L3774" s="184"/>
      <c r="M3774" s="184"/>
      <c r="N3774" s="184"/>
      <c r="O3774" s="184"/>
    </row>
    <row r="3775" customFormat="false" ht="15" hidden="false" customHeight="true" outlineLevel="0" collapsed="false">
      <c r="A3775" s="184"/>
      <c r="B3775" s="184"/>
      <c r="C3775" s="184"/>
      <c r="D3775" s="184"/>
      <c r="E3775" s="184"/>
      <c r="F3775" s="184"/>
      <c r="G3775" s="184"/>
      <c r="H3775" s="184"/>
      <c r="I3775" s="184"/>
      <c r="J3775" s="184"/>
      <c r="K3775" s="184"/>
      <c r="L3775" s="184"/>
      <c r="M3775" s="184"/>
      <c r="N3775" s="184"/>
      <c r="O3775" s="184"/>
    </row>
    <row r="3776" customFormat="false" ht="15" hidden="false" customHeight="true" outlineLevel="0" collapsed="false">
      <c r="A3776" s="184"/>
      <c r="B3776" s="184"/>
      <c r="C3776" s="184"/>
      <c r="D3776" s="184"/>
      <c r="E3776" s="184"/>
      <c r="F3776" s="184"/>
      <c r="G3776" s="184"/>
      <c r="H3776" s="184"/>
      <c r="I3776" s="184"/>
      <c r="J3776" s="184"/>
      <c r="K3776" s="184"/>
      <c r="L3776" s="184"/>
      <c r="M3776" s="184"/>
      <c r="N3776" s="184"/>
      <c r="O3776" s="184"/>
    </row>
    <row r="3777" customFormat="false" ht="15" hidden="false" customHeight="true" outlineLevel="0" collapsed="false">
      <c r="A3777" s="184"/>
      <c r="B3777" s="184"/>
      <c r="C3777" s="184"/>
      <c r="D3777" s="184"/>
      <c r="E3777" s="184"/>
      <c r="F3777" s="184"/>
      <c r="G3777" s="184"/>
      <c r="H3777" s="184"/>
      <c r="I3777" s="184"/>
      <c r="J3777" s="184"/>
      <c r="K3777" s="184"/>
      <c r="L3777" s="184"/>
      <c r="M3777" s="184"/>
      <c r="N3777" s="184"/>
      <c r="O3777" s="184"/>
    </row>
    <row r="3778" customFormat="false" ht="15" hidden="false" customHeight="true" outlineLevel="0" collapsed="false">
      <c r="A3778" s="184"/>
      <c r="B3778" s="184"/>
      <c r="C3778" s="184"/>
      <c r="D3778" s="184"/>
      <c r="E3778" s="184"/>
      <c r="F3778" s="184"/>
      <c r="G3778" s="184"/>
      <c r="H3778" s="184"/>
      <c r="I3778" s="184"/>
      <c r="J3778" s="184"/>
      <c r="K3778" s="184"/>
      <c r="L3778" s="184"/>
      <c r="M3778" s="184"/>
      <c r="N3778" s="184"/>
      <c r="O3778" s="184"/>
    </row>
    <row r="3779" customFormat="false" ht="15" hidden="false" customHeight="true" outlineLevel="0" collapsed="false">
      <c r="A3779" s="184"/>
      <c r="B3779" s="184"/>
      <c r="C3779" s="184"/>
      <c r="D3779" s="184"/>
      <c r="E3779" s="184"/>
      <c r="F3779" s="184"/>
      <c r="G3779" s="184"/>
      <c r="H3779" s="184"/>
      <c r="I3779" s="184"/>
      <c r="J3779" s="184"/>
      <c r="K3779" s="184"/>
      <c r="L3779" s="184"/>
      <c r="M3779" s="184"/>
      <c r="N3779" s="184"/>
      <c r="O3779" s="184"/>
    </row>
    <row r="3780" customFormat="false" ht="15" hidden="false" customHeight="true" outlineLevel="0" collapsed="false">
      <c r="A3780" s="184"/>
      <c r="B3780" s="184"/>
      <c r="C3780" s="184"/>
      <c r="D3780" s="184"/>
      <c r="E3780" s="184"/>
      <c r="F3780" s="184"/>
      <c r="G3780" s="184"/>
      <c r="H3780" s="184"/>
      <c r="I3780" s="184"/>
      <c r="J3780" s="184"/>
      <c r="K3780" s="184"/>
      <c r="L3780" s="184"/>
      <c r="M3780" s="184"/>
      <c r="N3780" s="184"/>
      <c r="O3780" s="184"/>
    </row>
    <row r="3781" customFormat="false" ht="15" hidden="false" customHeight="true" outlineLevel="0" collapsed="false">
      <c r="A3781" s="184"/>
      <c r="B3781" s="184"/>
      <c r="C3781" s="184"/>
      <c r="D3781" s="184"/>
      <c r="E3781" s="184"/>
      <c r="F3781" s="184"/>
      <c r="G3781" s="184"/>
      <c r="H3781" s="184"/>
      <c r="I3781" s="184"/>
      <c r="J3781" s="184"/>
      <c r="K3781" s="184"/>
      <c r="L3781" s="184"/>
      <c r="M3781" s="184"/>
      <c r="N3781" s="184"/>
      <c r="O3781" s="184"/>
    </row>
    <row r="3782" customFormat="false" ht="15" hidden="false" customHeight="true" outlineLevel="0" collapsed="false">
      <c r="A3782" s="184"/>
      <c r="B3782" s="184"/>
      <c r="C3782" s="184"/>
      <c r="D3782" s="184"/>
      <c r="E3782" s="184"/>
      <c r="F3782" s="184"/>
      <c r="G3782" s="184"/>
      <c r="H3782" s="184"/>
      <c r="I3782" s="184"/>
      <c r="J3782" s="184"/>
      <c r="K3782" s="184"/>
      <c r="L3782" s="184"/>
      <c r="M3782" s="184"/>
      <c r="N3782" s="184"/>
      <c r="O3782" s="184"/>
    </row>
    <row r="3783" customFormat="false" ht="15" hidden="false" customHeight="true" outlineLevel="0" collapsed="false">
      <c r="A3783" s="184"/>
      <c r="B3783" s="184"/>
      <c r="C3783" s="184"/>
      <c r="D3783" s="184"/>
      <c r="E3783" s="184"/>
      <c r="F3783" s="184"/>
      <c r="G3783" s="184"/>
      <c r="H3783" s="184"/>
      <c r="I3783" s="184"/>
      <c r="J3783" s="184"/>
      <c r="K3783" s="184"/>
      <c r="L3783" s="184"/>
      <c r="M3783" s="184"/>
      <c r="N3783" s="184"/>
      <c r="O3783" s="184"/>
    </row>
    <row r="3784" customFormat="false" ht="15" hidden="false" customHeight="true" outlineLevel="0" collapsed="false">
      <c r="A3784" s="184"/>
      <c r="B3784" s="184"/>
      <c r="C3784" s="184"/>
      <c r="D3784" s="184"/>
      <c r="E3784" s="184"/>
      <c r="F3784" s="184"/>
      <c r="G3784" s="184"/>
      <c r="H3784" s="184"/>
      <c r="I3784" s="184"/>
      <c r="J3784" s="184"/>
      <c r="K3784" s="184"/>
      <c r="L3784" s="184"/>
      <c r="M3784" s="184"/>
      <c r="N3784" s="184"/>
      <c r="O3784" s="184"/>
    </row>
    <row r="3785" customFormat="false" ht="15" hidden="false" customHeight="true" outlineLevel="0" collapsed="false">
      <c r="A3785" s="184"/>
      <c r="B3785" s="184"/>
      <c r="C3785" s="184"/>
      <c r="D3785" s="184"/>
      <c r="E3785" s="184"/>
      <c r="F3785" s="184"/>
      <c r="G3785" s="184"/>
      <c r="H3785" s="184"/>
      <c r="I3785" s="184"/>
      <c r="J3785" s="184"/>
      <c r="K3785" s="184"/>
      <c r="L3785" s="184"/>
      <c r="M3785" s="184"/>
      <c r="N3785" s="184"/>
      <c r="O3785" s="184"/>
    </row>
    <row r="3786" customFormat="false" ht="15" hidden="false" customHeight="true" outlineLevel="0" collapsed="false">
      <c r="A3786" s="184"/>
      <c r="B3786" s="184"/>
      <c r="C3786" s="184"/>
      <c r="D3786" s="184"/>
      <c r="E3786" s="184"/>
      <c r="F3786" s="184"/>
      <c r="G3786" s="184"/>
      <c r="H3786" s="184"/>
      <c r="I3786" s="184"/>
      <c r="J3786" s="184"/>
      <c r="K3786" s="184"/>
      <c r="L3786" s="184"/>
      <c r="M3786" s="184"/>
      <c r="N3786" s="184"/>
      <c r="O3786" s="184"/>
    </row>
    <row r="3787" customFormat="false" ht="15" hidden="false" customHeight="true" outlineLevel="0" collapsed="false">
      <c r="A3787" s="184"/>
      <c r="B3787" s="184"/>
      <c r="C3787" s="184"/>
      <c r="D3787" s="184"/>
      <c r="E3787" s="184"/>
      <c r="F3787" s="184"/>
      <c r="G3787" s="184"/>
      <c r="H3787" s="184"/>
      <c r="I3787" s="184"/>
      <c r="J3787" s="184"/>
      <c r="K3787" s="184"/>
      <c r="L3787" s="184"/>
      <c r="M3787" s="184"/>
      <c r="N3787" s="184"/>
      <c r="O3787" s="184"/>
    </row>
    <row r="3788" customFormat="false" ht="15" hidden="false" customHeight="true" outlineLevel="0" collapsed="false">
      <c r="A3788" s="184"/>
      <c r="B3788" s="184"/>
      <c r="C3788" s="184"/>
      <c r="D3788" s="184"/>
      <c r="E3788" s="184"/>
      <c r="F3788" s="184"/>
      <c r="G3788" s="184"/>
      <c r="H3788" s="184"/>
      <c r="I3788" s="184"/>
      <c r="J3788" s="184"/>
      <c r="K3788" s="184"/>
      <c r="L3788" s="184"/>
      <c r="M3788" s="184"/>
      <c r="N3788" s="184"/>
      <c r="O3788" s="184"/>
    </row>
    <row r="3789" customFormat="false" ht="15" hidden="false" customHeight="true" outlineLevel="0" collapsed="false">
      <c r="A3789" s="184"/>
      <c r="B3789" s="184"/>
      <c r="C3789" s="184"/>
      <c r="D3789" s="184"/>
      <c r="E3789" s="184"/>
      <c r="F3789" s="184"/>
      <c r="G3789" s="184"/>
      <c r="H3789" s="184"/>
      <c r="I3789" s="184"/>
      <c r="J3789" s="184"/>
      <c r="K3789" s="184"/>
      <c r="L3789" s="184"/>
      <c r="M3789" s="184"/>
      <c r="N3789" s="184"/>
      <c r="O3789" s="184"/>
    </row>
    <row r="3790" customFormat="false" ht="15" hidden="false" customHeight="true" outlineLevel="0" collapsed="false">
      <c r="A3790" s="184"/>
      <c r="B3790" s="184"/>
      <c r="C3790" s="184"/>
      <c r="D3790" s="184"/>
      <c r="E3790" s="184"/>
      <c r="F3790" s="184"/>
      <c r="G3790" s="184"/>
      <c r="H3790" s="184"/>
      <c r="I3790" s="184"/>
      <c r="J3790" s="184"/>
      <c r="K3790" s="184"/>
      <c r="L3790" s="184"/>
      <c r="M3790" s="184"/>
      <c r="N3790" s="184"/>
      <c r="O3790" s="184"/>
    </row>
    <row r="3791" customFormat="false" ht="15" hidden="false" customHeight="true" outlineLevel="0" collapsed="false">
      <c r="A3791" s="184"/>
      <c r="B3791" s="184"/>
      <c r="C3791" s="184"/>
      <c r="D3791" s="184"/>
      <c r="E3791" s="184"/>
      <c r="F3791" s="184"/>
      <c r="G3791" s="184"/>
      <c r="H3791" s="184"/>
      <c r="I3791" s="184"/>
      <c r="J3791" s="184"/>
      <c r="K3791" s="184"/>
      <c r="L3791" s="184"/>
      <c r="M3791" s="184"/>
      <c r="N3791" s="184"/>
      <c r="O3791" s="184"/>
    </row>
    <row r="3792" customFormat="false" ht="15" hidden="false" customHeight="true" outlineLevel="0" collapsed="false">
      <c r="A3792" s="184"/>
      <c r="B3792" s="184"/>
      <c r="C3792" s="184"/>
      <c r="D3792" s="184"/>
      <c r="E3792" s="184"/>
      <c r="F3792" s="184"/>
      <c r="G3792" s="184"/>
      <c r="H3792" s="184"/>
      <c r="I3792" s="184"/>
      <c r="J3792" s="184"/>
      <c r="K3792" s="184"/>
      <c r="L3792" s="184"/>
      <c r="M3792" s="184"/>
      <c r="N3792" s="184"/>
      <c r="O3792" s="184"/>
    </row>
    <row r="3793" customFormat="false" ht="15" hidden="false" customHeight="true" outlineLevel="0" collapsed="false">
      <c r="A3793" s="184"/>
      <c r="B3793" s="184"/>
      <c r="C3793" s="184"/>
      <c r="D3793" s="184"/>
      <c r="E3793" s="184"/>
      <c r="F3793" s="184"/>
      <c r="G3793" s="184"/>
      <c r="H3793" s="184"/>
      <c r="I3793" s="184"/>
      <c r="J3793" s="184"/>
      <c r="K3793" s="184"/>
      <c r="L3793" s="184"/>
      <c r="M3793" s="184"/>
      <c r="N3793" s="184"/>
      <c r="O3793" s="184"/>
    </row>
    <row r="3794" customFormat="false" ht="15" hidden="false" customHeight="true" outlineLevel="0" collapsed="false">
      <c r="A3794" s="184"/>
      <c r="B3794" s="184"/>
      <c r="C3794" s="184"/>
      <c r="D3794" s="184"/>
      <c r="E3794" s="184"/>
      <c r="F3794" s="184"/>
      <c r="G3794" s="184"/>
      <c r="H3794" s="184"/>
      <c r="I3794" s="184"/>
      <c r="J3794" s="184"/>
      <c r="K3794" s="184"/>
      <c r="L3794" s="184"/>
      <c r="M3794" s="184"/>
      <c r="N3794" s="184"/>
      <c r="O3794" s="184"/>
    </row>
    <row r="3795" customFormat="false" ht="15" hidden="false" customHeight="true" outlineLevel="0" collapsed="false">
      <c r="A3795" s="184"/>
      <c r="B3795" s="184"/>
      <c r="C3795" s="184"/>
      <c r="D3795" s="184"/>
      <c r="E3795" s="184"/>
      <c r="F3795" s="184"/>
      <c r="G3795" s="184"/>
      <c r="H3795" s="184"/>
      <c r="I3795" s="184"/>
      <c r="J3795" s="184"/>
      <c r="K3795" s="184"/>
      <c r="L3795" s="184"/>
      <c r="M3795" s="184"/>
      <c r="N3795" s="184"/>
      <c r="O3795" s="184"/>
    </row>
    <row r="3796" customFormat="false" ht="15" hidden="false" customHeight="true" outlineLevel="0" collapsed="false">
      <c r="A3796" s="184"/>
      <c r="B3796" s="184"/>
      <c r="C3796" s="184"/>
      <c r="D3796" s="184"/>
      <c r="E3796" s="184"/>
      <c r="F3796" s="184"/>
      <c r="G3796" s="184"/>
      <c r="H3796" s="184"/>
      <c r="I3796" s="184"/>
      <c r="J3796" s="184"/>
      <c r="K3796" s="184"/>
      <c r="L3796" s="184"/>
      <c r="M3796" s="184"/>
      <c r="N3796" s="184"/>
      <c r="O3796" s="184"/>
    </row>
    <row r="3797" customFormat="false" ht="15" hidden="false" customHeight="true" outlineLevel="0" collapsed="false">
      <c r="A3797" s="184"/>
      <c r="B3797" s="184"/>
      <c r="C3797" s="184"/>
      <c r="D3797" s="184"/>
      <c r="E3797" s="184"/>
      <c r="F3797" s="184"/>
      <c r="G3797" s="184"/>
      <c r="H3797" s="184"/>
      <c r="I3797" s="184"/>
      <c r="J3797" s="184"/>
      <c r="K3797" s="184"/>
      <c r="L3797" s="184"/>
      <c r="M3797" s="184"/>
      <c r="N3797" s="184"/>
      <c r="O3797" s="184"/>
    </row>
    <row r="3798" customFormat="false" ht="15" hidden="false" customHeight="true" outlineLevel="0" collapsed="false">
      <c r="A3798" s="184"/>
      <c r="B3798" s="184"/>
      <c r="C3798" s="184"/>
      <c r="D3798" s="184"/>
      <c r="E3798" s="184"/>
      <c r="F3798" s="184"/>
      <c r="G3798" s="184"/>
      <c r="H3798" s="184"/>
      <c r="I3798" s="184"/>
      <c r="J3798" s="184"/>
      <c r="K3798" s="184"/>
      <c r="L3798" s="184"/>
      <c r="M3798" s="184"/>
      <c r="N3798" s="184"/>
      <c r="O3798" s="184"/>
    </row>
    <row r="3799" customFormat="false" ht="15" hidden="false" customHeight="true" outlineLevel="0" collapsed="false">
      <c r="A3799" s="184"/>
      <c r="B3799" s="184"/>
      <c r="C3799" s="184"/>
      <c r="D3799" s="184"/>
      <c r="E3799" s="184"/>
      <c r="F3799" s="184"/>
      <c r="G3799" s="184"/>
      <c r="H3799" s="184"/>
      <c r="I3799" s="184"/>
      <c r="J3799" s="184"/>
      <c r="K3799" s="184"/>
      <c r="L3799" s="184"/>
      <c r="M3799" s="184"/>
      <c r="N3799" s="184"/>
      <c r="O3799" s="184"/>
    </row>
    <row r="3800" customFormat="false" ht="15" hidden="false" customHeight="true" outlineLevel="0" collapsed="false">
      <c r="A3800" s="184"/>
      <c r="B3800" s="184"/>
      <c r="C3800" s="184"/>
      <c r="D3800" s="184"/>
      <c r="E3800" s="184"/>
      <c r="F3800" s="184"/>
      <c r="G3800" s="184"/>
      <c r="H3800" s="184"/>
      <c r="I3800" s="184"/>
      <c r="J3800" s="184"/>
      <c r="K3800" s="184"/>
      <c r="L3800" s="184"/>
      <c r="M3800" s="184"/>
      <c r="N3800" s="184"/>
      <c r="O3800" s="184"/>
    </row>
    <row r="3801" customFormat="false" ht="15" hidden="false" customHeight="true" outlineLevel="0" collapsed="false">
      <c r="A3801" s="184"/>
      <c r="B3801" s="184"/>
      <c r="C3801" s="184"/>
      <c r="D3801" s="184"/>
      <c r="E3801" s="184"/>
      <c r="F3801" s="184"/>
      <c r="G3801" s="184"/>
      <c r="H3801" s="184"/>
      <c r="I3801" s="184"/>
      <c r="J3801" s="184"/>
      <c r="K3801" s="184"/>
      <c r="L3801" s="184"/>
      <c r="M3801" s="184"/>
      <c r="N3801" s="184"/>
      <c r="O3801" s="184"/>
    </row>
    <row r="3802" customFormat="false" ht="81.75" hidden="false" customHeight="true" outlineLevel="0" collapsed="false">
      <c r="A3802" s="184" t="s">
        <v>4987</v>
      </c>
      <c r="B3802" s="184" t="s">
        <v>4988</v>
      </c>
      <c r="C3802" s="184"/>
      <c r="D3802" s="179" t="s">
        <v>4858</v>
      </c>
      <c r="E3802" s="184" t="s">
        <v>7203</v>
      </c>
      <c r="F3802" s="184"/>
      <c r="G3802" s="184"/>
      <c r="H3802" s="184"/>
      <c r="I3802" s="184"/>
      <c r="J3802" s="184"/>
      <c r="K3802" s="184"/>
      <c r="L3802" s="184"/>
      <c r="M3802" s="184" t="s">
        <v>7197</v>
      </c>
      <c r="N3802" s="184"/>
      <c r="O3802" s="184"/>
    </row>
    <row r="3803" customFormat="false" ht="27.75" hidden="false" customHeight="true" outlineLevel="0" collapsed="false">
      <c r="A3803" s="184" t="s">
        <v>4987</v>
      </c>
      <c r="B3803" s="184" t="s">
        <v>4988</v>
      </c>
      <c r="C3803" s="184" t="n">
        <v>1</v>
      </c>
      <c r="D3803" s="178" t="s">
        <v>5269</v>
      </c>
      <c r="E3803" s="184" t="s">
        <v>7198</v>
      </c>
      <c r="F3803" s="184"/>
      <c r="G3803" s="184"/>
      <c r="H3803" s="184"/>
      <c r="I3803" s="184"/>
      <c r="J3803" s="184"/>
      <c r="K3803" s="184"/>
      <c r="L3803" s="184"/>
      <c r="M3803" s="184" t="s">
        <v>7199</v>
      </c>
      <c r="N3803" s="184"/>
      <c r="O3803" s="184"/>
    </row>
    <row r="3804" customFormat="false" ht="27.75" hidden="false" customHeight="true" outlineLevel="0" collapsed="false">
      <c r="A3804" s="184" t="s">
        <v>4987</v>
      </c>
      <c r="B3804" s="184" t="s">
        <v>4988</v>
      </c>
      <c r="C3804" s="184" t="n">
        <v>2</v>
      </c>
      <c r="D3804" s="179" t="s">
        <v>6292</v>
      </c>
      <c r="E3804" s="184" t="s">
        <v>7200</v>
      </c>
      <c r="F3804" s="184"/>
      <c r="G3804" s="184"/>
      <c r="H3804" s="184"/>
      <c r="I3804" s="184"/>
      <c r="J3804" s="184"/>
      <c r="K3804" s="184"/>
      <c r="L3804" s="184"/>
      <c r="M3804" s="184"/>
      <c r="N3804" s="184"/>
      <c r="O3804" s="184"/>
    </row>
    <row r="3805" customFormat="false" ht="27.75" hidden="false" customHeight="true" outlineLevel="0" collapsed="false">
      <c r="A3805" s="184" t="s">
        <v>4987</v>
      </c>
      <c r="B3805" s="184" t="s">
        <v>4988</v>
      </c>
      <c r="C3805" s="184" t="n">
        <v>3</v>
      </c>
      <c r="D3805" s="184" t="s">
        <v>6296</v>
      </c>
      <c r="E3805" s="184" t="s">
        <v>7186</v>
      </c>
      <c r="F3805" s="184"/>
      <c r="G3805" s="184"/>
      <c r="H3805" s="184"/>
      <c r="I3805" s="184"/>
      <c r="J3805" s="184"/>
      <c r="K3805" s="184"/>
      <c r="L3805" s="184"/>
      <c r="M3805" s="184"/>
      <c r="N3805" s="184"/>
      <c r="O3805" s="184"/>
    </row>
    <row r="3806" customFormat="false" ht="41.25" hidden="false" customHeight="true" outlineLevel="0" collapsed="false">
      <c r="A3806" s="184" t="s">
        <v>4987</v>
      </c>
      <c r="B3806" s="184" t="s">
        <v>4988</v>
      </c>
      <c r="C3806" s="184" t="n">
        <v>4</v>
      </c>
      <c r="D3806" s="177" t="s">
        <v>6298</v>
      </c>
      <c r="E3806" s="184" t="s">
        <v>7188</v>
      </c>
      <c r="F3806" s="184"/>
      <c r="G3806" s="184"/>
      <c r="H3806" s="184"/>
      <c r="I3806" s="184"/>
      <c r="J3806" s="184"/>
      <c r="K3806" s="184"/>
      <c r="L3806" s="184"/>
      <c r="M3806" s="184"/>
      <c r="N3806" s="184"/>
      <c r="O3806" s="184"/>
    </row>
    <row r="3807" customFormat="false" ht="27.75" hidden="false" customHeight="true" outlineLevel="0" collapsed="false">
      <c r="A3807" s="184" t="s">
        <v>4987</v>
      </c>
      <c r="B3807" s="184" t="s">
        <v>4988</v>
      </c>
      <c r="C3807" s="184" t="n">
        <v>5</v>
      </c>
      <c r="D3807" s="184" t="s">
        <v>4790</v>
      </c>
      <c r="E3807" s="184" t="s">
        <v>2630</v>
      </c>
      <c r="F3807" s="184"/>
      <c r="G3807" s="184"/>
      <c r="H3807" s="184"/>
      <c r="I3807" s="184"/>
      <c r="J3807" s="184"/>
      <c r="K3807" s="184"/>
      <c r="L3807" s="184"/>
      <c r="M3807" s="184"/>
      <c r="N3807" s="184"/>
      <c r="O3807" s="184"/>
    </row>
    <row r="3808" customFormat="false" ht="27.75" hidden="false" customHeight="true" outlineLevel="0" collapsed="false">
      <c r="A3808" s="184" t="s">
        <v>4987</v>
      </c>
      <c r="B3808" s="184" t="s">
        <v>4988</v>
      </c>
      <c r="C3808" s="184" t="n">
        <v>6</v>
      </c>
      <c r="D3808" s="178" t="s">
        <v>5269</v>
      </c>
      <c r="E3808" s="184" t="s">
        <v>7175</v>
      </c>
      <c r="F3808" s="184"/>
      <c r="G3808" s="184"/>
      <c r="H3808" s="184"/>
      <c r="I3808" s="184"/>
      <c r="J3808" s="184"/>
      <c r="K3808" s="184"/>
      <c r="L3808" s="184"/>
      <c r="M3808" s="184" t="s">
        <v>7179</v>
      </c>
      <c r="N3808" s="184"/>
      <c r="O3808" s="184"/>
    </row>
    <row r="3809" customFormat="false" ht="27.75" hidden="false" customHeight="true" outlineLevel="0" collapsed="false">
      <c r="A3809" s="184" t="s">
        <v>4987</v>
      </c>
      <c r="B3809" s="184" t="s">
        <v>4988</v>
      </c>
      <c r="C3809" s="184" t="n">
        <v>7</v>
      </c>
      <c r="D3809" s="178" t="s">
        <v>5269</v>
      </c>
      <c r="E3809" s="184" t="s">
        <v>7201</v>
      </c>
      <c r="F3809" s="184"/>
      <c r="G3809" s="184"/>
      <c r="H3809" s="184"/>
      <c r="I3809" s="184"/>
      <c r="J3809" s="184"/>
      <c r="K3809" s="184"/>
      <c r="L3809" s="184"/>
      <c r="M3809" s="184" t="s">
        <v>7199</v>
      </c>
      <c r="N3809" s="184"/>
      <c r="O3809" s="184"/>
    </row>
    <row r="3810" customFormat="false" ht="15" hidden="false" customHeight="true" outlineLevel="0" collapsed="false">
      <c r="A3810" s="184"/>
      <c r="B3810" s="184"/>
      <c r="C3810" s="184"/>
      <c r="D3810" s="184"/>
      <c r="E3810" s="184"/>
      <c r="F3810" s="184"/>
      <c r="G3810" s="184"/>
      <c r="H3810" s="184"/>
      <c r="I3810" s="184"/>
      <c r="J3810" s="184"/>
      <c r="K3810" s="184"/>
      <c r="L3810" s="184"/>
      <c r="M3810" s="184"/>
      <c r="N3810" s="184"/>
      <c r="O3810" s="184"/>
    </row>
    <row r="3811" customFormat="false" ht="15" hidden="false" customHeight="true" outlineLevel="0" collapsed="false">
      <c r="A3811" s="184"/>
      <c r="B3811" s="184"/>
      <c r="C3811" s="184"/>
      <c r="D3811" s="184"/>
      <c r="E3811" s="184"/>
      <c r="F3811" s="184"/>
      <c r="G3811" s="184"/>
      <c r="H3811" s="184"/>
      <c r="I3811" s="184"/>
      <c r="J3811" s="184"/>
      <c r="K3811" s="184"/>
      <c r="L3811" s="184"/>
      <c r="M3811" s="184"/>
      <c r="N3811" s="184"/>
      <c r="O3811" s="184"/>
    </row>
    <row r="3812" customFormat="false" ht="15" hidden="false" customHeight="true" outlineLevel="0" collapsed="false">
      <c r="A3812" s="184"/>
      <c r="B3812" s="184"/>
      <c r="C3812" s="184"/>
      <c r="D3812" s="184"/>
      <c r="E3812" s="184"/>
      <c r="F3812" s="184"/>
      <c r="G3812" s="184"/>
      <c r="H3812" s="184"/>
      <c r="I3812" s="184"/>
      <c r="J3812" s="184"/>
      <c r="K3812" s="184"/>
      <c r="L3812" s="184"/>
      <c r="M3812" s="184"/>
      <c r="N3812" s="184"/>
      <c r="O3812" s="184"/>
    </row>
    <row r="3813" customFormat="false" ht="15" hidden="false" customHeight="true" outlineLevel="0" collapsed="false">
      <c r="A3813" s="184"/>
      <c r="B3813" s="184"/>
      <c r="C3813" s="184"/>
      <c r="D3813" s="184"/>
      <c r="E3813" s="184"/>
      <c r="F3813" s="184"/>
      <c r="G3813" s="184"/>
      <c r="H3813" s="184"/>
      <c r="I3813" s="184"/>
      <c r="J3813" s="184"/>
      <c r="K3813" s="184"/>
      <c r="L3813" s="184"/>
      <c r="M3813" s="184"/>
      <c r="N3813" s="184"/>
      <c r="O3813" s="184"/>
    </row>
    <row r="3814" customFormat="false" ht="15" hidden="false" customHeight="true" outlineLevel="0" collapsed="false">
      <c r="A3814" s="184"/>
      <c r="B3814" s="184"/>
      <c r="C3814" s="184"/>
      <c r="D3814" s="184"/>
      <c r="E3814" s="184"/>
      <c r="F3814" s="184"/>
      <c r="G3814" s="184"/>
      <c r="H3814" s="184"/>
      <c r="I3814" s="184"/>
      <c r="J3814" s="184"/>
      <c r="K3814" s="184"/>
      <c r="L3814" s="184"/>
      <c r="M3814" s="184"/>
      <c r="N3814" s="184"/>
      <c r="O3814" s="184"/>
    </row>
    <row r="3815" customFormat="false" ht="15" hidden="false" customHeight="true" outlineLevel="0" collapsed="false">
      <c r="A3815" s="184"/>
      <c r="B3815" s="184"/>
      <c r="C3815" s="184"/>
      <c r="D3815" s="184"/>
      <c r="E3815" s="184"/>
      <c r="F3815" s="184"/>
      <c r="G3815" s="184"/>
      <c r="H3815" s="184"/>
      <c r="I3815" s="184"/>
      <c r="J3815" s="184"/>
      <c r="K3815" s="184"/>
      <c r="L3815" s="184"/>
      <c r="M3815" s="184"/>
      <c r="N3815" s="184"/>
      <c r="O3815" s="184"/>
    </row>
    <row r="3816" customFormat="false" ht="15" hidden="false" customHeight="true" outlineLevel="0" collapsed="false">
      <c r="A3816" s="184"/>
      <c r="B3816" s="184"/>
      <c r="C3816" s="184"/>
      <c r="D3816" s="184"/>
      <c r="E3816" s="184"/>
      <c r="F3816" s="184"/>
      <c r="G3816" s="184"/>
      <c r="H3816" s="184"/>
      <c r="I3816" s="184"/>
      <c r="J3816" s="184"/>
      <c r="K3816" s="184"/>
      <c r="L3816" s="184"/>
      <c r="M3816" s="184"/>
      <c r="N3816" s="184"/>
      <c r="O3816" s="184"/>
    </row>
    <row r="3817" customFormat="false" ht="15" hidden="false" customHeight="true" outlineLevel="0" collapsed="false">
      <c r="A3817" s="184"/>
      <c r="B3817" s="184"/>
      <c r="C3817" s="184"/>
      <c r="D3817" s="184"/>
      <c r="E3817" s="184"/>
      <c r="F3817" s="184"/>
      <c r="G3817" s="184"/>
      <c r="H3817" s="184"/>
      <c r="I3817" s="184"/>
      <c r="J3817" s="184"/>
      <c r="K3817" s="184"/>
      <c r="L3817" s="184"/>
      <c r="M3817" s="184"/>
      <c r="N3817" s="184"/>
      <c r="O3817" s="184"/>
    </row>
    <row r="3818" customFormat="false" ht="15" hidden="false" customHeight="true" outlineLevel="0" collapsed="false">
      <c r="A3818" s="184"/>
      <c r="B3818" s="184"/>
      <c r="C3818" s="184"/>
      <c r="D3818" s="184"/>
      <c r="E3818" s="184"/>
      <c r="F3818" s="184"/>
      <c r="G3818" s="184"/>
      <c r="H3818" s="184"/>
      <c r="I3818" s="184"/>
      <c r="J3818" s="184"/>
      <c r="K3818" s="184"/>
      <c r="L3818" s="184"/>
      <c r="M3818" s="184"/>
      <c r="N3818" s="184"/>
      <c r="O3818" s="184"/>
    </row>
    <row r="3819" customFormat="false" ht="15" hidden="false" customHeight="true" outlineLevel="0" collapsed="false">
      <c r="A3819" s="184"/>
      <c r="B3819" s="184"/>
      <c r="C3819" s="184"/>
      <c r="D3819" s="184"/>
      <c r="E3819" s="184"/>
      <c r="F3819" s="184"/>
      <c r="G3819" s="184"/>
      <c r="H3819" s="184"/>
      <c r="I3819" s="184"/>
      <c r="J3819" s="184"/>
      <c r="K3819" s="184"/>
      <c r="L3819" s="184"/>
      <c r="M3819" s="184"/>
      <c r="N3819" s="184"/>
      <c r="O3819" s="184"/>
    </row>
    <row r="3820" customFormat="false" ht="15" hidden="false" customHeight="true" outlineLevel="0" collapsed="false">
      <c r="A3820" s="184"/>
      <c r="B3820" s="184"/>
      <c r="C3820" s="184"/>
      <c r="D3820" s="184"/>
      <c r="E3820" s="184"/>
      <c r="F3820" s="184"/>
      <c r="G3820" s="184"/>
      <c r="H3820" s="184"/>
      <c r="I3820" s="184"/>
      <c r="J3820" s="184"/>
      <c r="K3820" s="184"/>
      <c r="L3820" s="184"/>
      <c r="M3820" s="184"/>
      <c r="N3820" s="184"/>
      <c r="O3820" s="184"/>
    </row>
    <row r="3821" customFormat="false" ht="15" hidden="false" customHeight="true" outlineLevel="0" collapsed="false">
      <c r="A3821" s="184"/>
      <c r="B3821" s="184"/>
      <c r="C3821" s="184"/>
      <c r="D3821" s="184"/>
      <c r="E3821" s="184"/>
      <c r="F3821" s="184"/>
      <c r="G3821" s="184"/>
      <c r="H3821" s="184"/>
      <c r="I3821" s="184"/>
      <c r="J3821" s="184"/>
      <c r="K3821" s="184"/>
      <c r="L3821" s="184"/>
      <c r="M3821" s="184"/>
      <c r="N3821" s="184"/>
      <c r="O3821" s="184"/>
    </row>
    <row r="3822" customFormat="false" ht="15" hidden="false" customHeight="true" outlineLevel="0" collapsed="false">
      <c r="A3822" s="184"/>
      <c r="B3822" s="184"/>
      <c r="C3822" s="184"/>
      <c r="D3822" s="184"/>
      <c r="E3822" s="184"/>
      <c r="F3822" s="184"/>
      <c r="G3822" s="184"/>
      <c r="H3822" s="184"/>
      <c r="I3822" s="184"/>
      <c r="J3822" s="184"/>
      <c r="K3822" s="184"/>
      <c r="L3822" s="184"/>
      <c r="M3822" s="184"/>
      <c r="N3822" s="184"/>
      <c r="O3822" s="184"/>
    </row>
    <row r="3823" customFormat="false" ht="15" hidden="false" customHeight="true" outlineLevel="0" collapsed="false">
      <c r="A3823" s="184"/>
      <c r="B3823" s="184"/>
      <c r="C3823" s="184"/>
      <c r="D3823" s="184"/>
      <c r="E3823" s="184"/>
      <c r="F3823" s="184"/>
      <c r="G3823" s="184"/>
      <c r="H3823" s="184"/>
      <c r="I3823" s="184"/>
      <c r="J3823" s="184"/>
      <c r="K3823" s="184"/>
      <c r="L3823" s="184"/>
      <c r="M3823" s="184"/>
      <c r="N3823" s="184"/>
      <c r="O3823" s="184"/>
    </row>
    <row r="3824" customFormat="false" ht="15" hidden="false" customHeight="true" outlineLevel="0" collapsed="false">
      <c r="A3824" s="184"/>
      <c r="B3824" s="184"/>
      <c r="C3824" s="184"/>
      <c r="D3824" s="184"/>
      <c r="E3824" s="184"/>
      <c r="F3824" s="184"/>
      <c r="G3824" s="184"/>
      <c r="H3824" s="184"/>
      <c r="I3824" s="184"/>
      <c r="J3824" s="184"/>
      <c r="K3824" s="184"/>
      <c r="L3824" s="184"/>
      <c r="M3824" s="184"/>
      <c r="N3824" s="184"/>
      <c r="O3824" s="184"/>
    </row>
    <row r="3825" customFormat="false" ht="15" hidden="false" customHeight="true" outlineLevel="0" collapsed="false">
      <c r="A3825" s="184"/>
      <c r="B3825" s="184"/>
      <c r="C3825" s="184"/>
      <c r="D3825" s="184"/>
      <c r="E3825" s="184"/>
      <c r="F3825" s="184"/>
      <c r="G3825" s="184"/>
      <c r="H3825" s="184"/>
      <c r="I3825" s="184"/>
      <c r="J3825" s="184"/>
      <c r="K3825" s="184"/>
      <c r="L3825" s="184"/>
      <c r="M3825" s="184"/>
      <c r="N3825" s="184"/>
      <c r="O3825" s="184"/>
    </row>
    <row r="3826" customFormat="false" ht="15" hidden="false" customHeight="true" outlineLevel="0" collapsed="false">
      <c r="A3826" s="184"/>
      <c r="B3826" s="184"/>
      <c r="C3826" s="184"/>
      <c r="D3826" s="184"/>
      <c r="E3826" s="184"/>
      <c r="F3826" s="184"/>
      <c r="G3826" s="184"/>
      <c r="H3826" s="184"/>
      <c r="I3826" s="184"/>
      <c r="J3826" s="184"/>
      <c r="K3826" s="184"/>
      <c r="L3826" s="184"/>
      <c r="M3826" s="184"/>
      <c r="N3826" s="184"/>
      <c r="O3826" s="184"/>
    </row>
    <row r="3827" customFormat="false" ht="15" hidden="false" customHeight="true" outlineLevel="0" collapsed="false">
      <c r="A3827" s="184"/>
      <c r="B3827" s="184"/>
      <c r="C3827" s="184"/>
      <c r="D3827" s="184"/>
      <c r="E3827" s="184"/>
      <c r="F3827" s="184"/>
      <c r="G3827" s="184"/>
      <c r="H3827" s="184"/>
      <c r="I3827" s="184"/>
      <c r="J3827" s="184"/>
      <c r="K3827" s="184"/>
      <c r="L3827" s="184"/>
      <c r="M3827" s="184"/>
      <c r="N3827" s="184"/>
      <c r="O3827" s="184"/>
    </row>
    <row r="3828" customFormat="false" ht="15" hidden="false" customHeight="true" outlineLevel="0" collapsed="false">
      <c r="A3828" s="184"/>
      <c r="B3828" s="184"/>
      <c r="C3828" s="184"/>
      <c r="D3828" s="184"/>
      <c r="E3828" s="184"/>
      <c r="F3828" s="184"/>
      <c r="G3828" s="184"/>
      <c r="H3828" s="184"/>
      <c r="I3828" s="184"/>
      <c r="J3828" s="184"/>
      <c r="K3828" s="184"/>
      <c r="L3828" s="184"/>
      <c r="M3828" s="184"/>
      <c r="N3828" s="184"/>
      <c r="O3828" s="184"/>
    </row>
    <row r="3829" customFormat="false" ht="15" hidden="false" customHeight="true" outlineLevel="0" collapsed="false">
      <c r="A3829" s="184"/>
      <c r="B3829" s="184"/>
      <c r="C3829" s="184"/>
      <c r="D3829" s="184"/>
      <c r="E3829" s="184"/>
      <c r="F3829" s="184"/>
      <c r="G3829" s="184"/>
      <c r="H3829" s="184"/>
      <c r="I3829" s="184"/>
      <c r="J3829" s="184"/>
      <c r="K3829" s="184"/>
      <c r="L3829" s="184"/>
      <c r="M3829" s="184"/>
      <c r="N3829" s="184"/>
      <c r="O3829" s="184"/>
    </row>
    <row r="3830" customFormat="false" ht="15" hidden="false" customHeight="true" outlineLevel="0" collapsed="false">
      <c r="A3830" s="184"/>
      <c r="B3830" s="184"/>
      <c r="C3830" s="184"/>
      <c r="D3830" s="184"/>
      <c r="E3830" s="184"/>
      <c r="F3830" s="184"/>
      <c r="G3830" s="184"/>
      <c r="H3830" s="184"/>
      <c r="I3830" s="184"/>
      <c r="J3830" s="184"/>
      <c r="K3830" s="184"/>
      <c r="L3830" s="184"/>
      <c r="M3830" s="184"/>
      <c r="N3830" s="184"/>
      <c r="O3830" s="184"/>
    </row>
    <row r="3831" customFormat="false" ht="15" hidden="false" customHeight="true" outlineLevel="0" collapsed="false">
      <c r="A3831" s="184"/>
      <c r="B3831" s="184"/>
      <c r="C3831" s="184"/>
      <c r="D3831" s="184"/>
      <c r="E3831" s="184"/>
      <c r="F3831" s="184"/>
      <c r="G3831" s="184"/>
      <c r="H3831" s="184"/>
      <c r="I3831" s="184"/>
      <c r="J3831" s="184"/>
      <c r="K3831" s="184"/>
      <c r="L3831" s="184"/>
      <c r="M3831" s="184"/>
      <c r="N3831" s="184"/>
      <c r="O3831" s="184"/>
    </row>
    <row r="3832" customFormat="false" ht="15" hidden="false" customHeight="true" outlineLevel="0" collapsed="false">
      <c r="A3832" s="184"/>
      <c r="B3832" s="184"/>
      <c r="C3832" s="184"/>
      <c r="D3832" s="184"/>
      <c r="E3832" s="184"/>
      <c r="F3832" s="184"/>
      <c r="G3832" s="184"/>
      <c r="H3832" s="184"/>
      <c r="I3832" s="184"/>
      <c r="J3832" s="184"/>
      <c r="K3832" s="184"/>
      <c r="L3832" s="184"/>
      <c r="M3832" s="184"/>
      <c r="N3832" s="184"/>
      <c r="O3832" s="184"/>
    </row>
    <row r="3833" customFormat="false" ht="15" hidden="false" customHeight="true" outlineLevel="0" collapsed="false">
      <c r="A3833" s="184"/>
      <c r="B3833" s="184"/>
      <c r="C3833" s="184"/>
      <c r="D3833" s="184"/>
      <c r="E3833" s="184"/>
      <c r="F3833" s="184"/>
      <c r="G3833" s="184"/>
      <c r="H3833" s="184"/>
      <c r="I3833" s="184"/>
      <c r="J3833" s="184"/>
      <c r="K3833" s="184"/>
      <c r="L3833" s="184"/>
      <c r="M3833" s="184"/>
      <c r="N3833" s="184"/>
      <c r="O3833" s="184"/>
    </row>
    <row r="3834" customFormat="false" ht="15" hidden="false" customHeight="true" outlineLevel="0" collapsed="false">
      <c r="A3834" s="184"/>
      <c r="B3834" s="184"/>
      <c r="C3834" s="184"/>
      <c r="D3834" s="184"/>
      <c r="E3834" s="184"/>
      <c r="F3834" s="184"/>
      <c r="G3834" s="184"/>
      <c r="H3834" s="184"/>
      <c r="I3834" s="184"/>
      <c r="J3834" s="184"/>
      <c r="K3834" s="184"/>
      <c r="L3834" s="184"/>
      <c r="M3834" s="184"/>
      <c r="N3834" s="184"/>
      <c r="O3834" s="184"/>
    </row>
    <row r="3835" customFormat="false" ht="15" hidden="false" customHeight="true" outlineLevel="0" collapsed="false">
      <c r="A3835" s="184"/>
      <c r="B3835" s="184"/>
      <c r="C3835" s="184"/>
      <c r="D3835" s="184"/>
      <c r="E3835" s="184"/>
      <c r="F3835" s="184"/>
      <c r="G3835" s="184"/>
      <c r="H3835" s="184"/>
      <c r="I3835" s="184"/>
      <c r="J3835" s="184"/>
      <c r="K3835" s="184"/>
      <c r="L3835" s="184"/>
      <c r="M3835" s="184"/>
      <c r="N3835" s="184"/>
      <c r="O3835" s="184"/>
    </row>
    <row r="3836" customFormat="false" ht="15" hidden="false" customHeight="true" outlineLevel="0" collapsed="false">
      <c r="A3836" s="184"/>
      <c r="B3836" s="184"/>
      <c r="C3836" s="184"/>
      <c r="D3836" s="184"/>
      <c r="E3836" s="184"/>
      <c r="F3836" s="184"/>
      <c r="G3836" s="184"/>
      <c r="H3836" s="184"/>
      <c r="I3836" s="184"/>
      <c r="J3836" s="184"/>
      <c r="K3836" s="184"/>
      <c r="L3836" s="184"/>
      <c r="M3836" s="184"/>
      <c r="N3836" s="184"/>
      <c r="O3836" s="184"/>
    </row>
    <row r="3837" customFormat="false" ht="15" hidden="false" customHeight="true" outlineLevel="0" collapsed="false">
      <c r="A3837" s="184"/>
      <c r="B3837" s="184"/>
      <c r="C3837" s="184"/>
      <c r="D3837" s="184"/>
      <c r="E3837" s="184"/>
      <c r="F3837" s="184"/>
      <c r="G3837" s="184"/>
      <c r="H3837" s="184"/>
      <c r="I3837" s="184"/>
      <c r="J3837" s="184"/>
      <c r="K3837" s="184"/>
      <c r="L3837" s="184"/>
      <c r="M3837" s="184"/>
      <c r="N3837" s="184"/>
      <c r="O3837" s="184"/>
    </row>
    <row r="3838" customFormat="false" ht="15" hidden="false" customHeight="true" outlineLevel="0" collapsed="false">
      <c r="A3838" s="184"/>
      <c r="B3838" s="184"/>
      <c r="C3838" s="184"/>
      <c r="D3838" s="184"/>
      <c r="E3838" s="184"/>
      <c r="F3838" s="184"/>
      <c r="G3838" s="184"/>
      <c r="H3838" s="184"/>
      <c r="I3838" s="184"/>
      <c r="J3838" s="184"/>
      <c r="K3838" s="184"/>
      <c r="L3838" s="184"/>
      <c r="M3838" s="184"/>
      <c r="N3838" s="184"/>
      <c r="O3838" s="184"/>
    </row>
    <row r="3839" customFormat="false" ht="15" hidden="false" customHeight="true" outlineLevel="0" collapsed="false">
      <c r="A3839" s="184"/>
      <c r="B3839" s="184"/>
      <c r="C3839" s="184"/>
      <c r="D3839" s="184"/>
      <c r="E3839" s="184"/>
      <c r="F3839" s="184"/>
      <c r="G3839" s="184"/>
      <c r="H3839" s="184"/>
      <c r="I3839" s="184"/>
      <c r="J3839" s="184"/>
      <c r="K3839" s="184"/>
      <c r="L3839" s="184"/>
      <c r="M3839" s="184"/>
      <c r="N3839" s="184"/>
      <c r="O3839" s="184"/>
    </row>
    <row r="3840" customFormat="false" ht="15" hidden="false" customHeight="true" outlineLevel="0" collapsed="false">
      <c r="A3840" s="184"/>
      <c r="B3840" s="184"/>
      <c r="C3840" s="184"/>
      <c r="D3840" s="184"/>
      <c r="E3840" s="184"/>
      <c r="F3840" s="184"/>
      <c r="G3840" s="184"/>
      <c r="H3840" s="184"/>
      <c r="I3840" s="184"/>
      <c r="J3840" s="184"/>
      <c r="K3840" s="184"/>
      <c r="L3840" s="184"/>
      <c r="M3840" s="184"/>
      <c r="N3840" s="184"/>
      <c r="O3840" s="184"/>
    </row>
    <row r="3841" customFormat="false" ht="15" hidden="false" customHeight="true" outlineLevel="0" collapsed="false">
      <c r="A3841" s="184"/>
      <c r="B3841" s="184"/>
      <c r="C3841" s="184"/>
      <c r="D3841" s="184"/>
      <c r="E3841" s="184"/>
      <c r="F3841" s="184"/>
      <c r="G3841" s="184"/>
      <c r="H3841" s="184"/>
      <c r="I3841" s="184"/>
      <c r="J3841" s="184"/>
      <c r="K3841" s="184"/>
      <c r="L3841" s="184"/>
      <c r="M3841" s="184"/>
      <c r="N3841" s="184"/>
      <c r="O3841" s="184"/>
    </row>
    <row r="3842" customFormat="false" ht="15" hidden="false" customHeight="true" outlineLevel="0" collapsed="false">
      <c r="A3842" s="184"/>
      <c r="B3842" s="184"/>
      <c r="C3842" s="184"/>
      <c r="D3842" s="184"/>
      <c r="E3842" s="184"/>
      <c r="F3842" s="184"/>
      <c r="G3842" s="184"/>
      <c r="H3842" s="184"/>
      <c r="I3842" s="184"/>
      <c r="J3842" s="184"/>
      <c r="K3842" s="184"/>
      <c r="L3842" s="184"/>
      <c r="M3842" s="184"/>
      <c r="N3842" s="184"/>
      <c r="O3842" s="184"/>
    </row>
    <row r="3843" customFormat="false" ht="15" hidden="false" customHeight="true" outlineLevel="0" collapsed="false">
      <c r="A3843" s="184"/>
      <c r="B3843" s="184"/>
      <c r="C3843" s="184"/>
      <c r="D3843" s="184"/>
      <c r="E3843" s="184"/>
      <c r="F3843" s="184"/>
      <c r="G3843" s="184"/>
      <c r="H3843" s="184"/>
      <c r="I3843" s="184"/>
      <c r="J3843" s="184"/>
      <c r="K3843" s="184"/>
      <c r="L3843" s="184"/>
      <c r="M3843" s="184"/>
      <c r="N3843" s="184"/>
      <c r="O3843" s="184"/>
    </row>
    <row r="3844" customFormat="false" ht="15" hidden="false" customHeight="true" outlineLevel="0" collapsed="false">
      <c r="A3844" s="184"/>
      <c r="B3844" s="184"/>
      <c r="C3844" s="184"/>
      <c r="D3844" s="184"/>
      <c r="E3844" s="184"/>
      <c r="F3844" s="184"/>
      <c r="G3844" s="184"/>
      <c r="H3844" s="184"/>
      <c r="I3844" s="184"/>
      <c r="J3844" s="184"/>
      <c r="K3844" s="184"/>
      <c r="L3844" s="184"/>
      <c r="M3844" s="184"/>
      <c r="N3844" s="184"/>
      <c r="O3844" s="184"/>
    </row>
    <row r="3845" customFormat="false" ht="15" hidden="false" customHeight="true" outlineLevel="0" collapsed="false">
      <c r="A3845" s="184"/>
      <c r="B3845" s="184"/>
      <c r="C3845" s="184"/>
      <c r="D3845" s="184"/>
      <c r="E3845" s="184"/>
      <c r="F3845" s="184"/>
      <c r="G3845" s="184"/>
      <c r="H3845" s="184"/>
      <c r="I3845" s="184"/>
      <c r="J3845" s="184"/>
      <c r="K3845" s="184"/>
      <c r="L3845" s="184"/>
      <c r="M3845" s="184"/>
      <c r="N3845" s="184"/>
      <c r="O3845" s="184"/>
    </row>
    <row r="3846" customFormat="false" ht="15" hidden="false" customHeight="true" outlineLevel="0" collapsed="false">
      <c r="A3846" s="184"/>
      <c r="B3846" s="184"/>
      <c r="C3846" s="184"/>
      <c r="D3846" s="184"/>
      <c r="E3846" s="184"/>
      <c r="F3846" s="184"/>
      <c r="G3846" s="184"/>
      <c r="H3846" s="184"/>
      <c r="I3846" s="184"/>
      <c r="J3846" s="184"/>
      <c r="K3846" s="184"/>
      <c r="L3846" s="184"/>
      <c r="M3846" s="184"/>
      <c r="N3846" s="184"/>
      <c r="O3846" s="184"/>
    </row>
    <row r="3847" customFormat="false" ht="15" hidden="false" customHeight="true" outlineLevel="0" collapsed="false">
      <c r="A3847" s="184"/>
      <c r="B3847" s="184"/>
      <c r="C3847" s="184"/>
      <c r="D3847" s="184"/>
      <c r="E3847" s="184"/>
      <c r="F3847" s="184"/>
      <c r="G3847" s="184"/>
      <c r="H3847" s="184"/>
      <c r="I3847" s="184"/>
      <c r="J3847" s="184"/>
      <c r="K3847" s="184"/>
      <c r="L3847" s="184"/>
      <c r="M3847" s="184"/>
      <c r="N3847" s="184"/>
      <c r="O3847" s="184"/>
    </row>
    <row r="3848" customFormat="false" ht="15" hidden="false" customHeight="true" outlineLevel="0" collapsed="false">
      <c r="A3848" s="184"/>
      <c r="B3848" s="184"/>
      <c r="C3848" s="184"/>
      <c r="D3848" s="184"/>
      <c r="E3848" s="184"/>
      <c r="F3848" s="184"/>
      <c r="G3848" s="184"/>
      <c r="H3848" s="184"/>
      <c r="I3848" s="184"/>
      <c r="J3848" s="184"/>
      <c r="K3848" s="184"/>
      <c r="L3848" s="184"/>
      <c r="M3848" s="184"/>
      <c r="N3848" s="184"/>
      <c r="O3848" s="184"/>
    </row>
    <row r="3849" customFormat="false" ht="15" hidden="false" customHeight="true" outlineLevel="0" collapsed="false">
      <c r="A3849" s="184"/>
      <c r="B3849" s="184"/>
      <c r="C3849" s="184"/>
      <c r="D3849" s="184"/>
      <c r="E3849" s="184"/>
      <c r="F3849" s="184"/>
      <c r="G3849" s="184"/>
      <c r="H3849" s="184"/>
      <c r="I3849" s="184"/>
      <c r="J3849" s="184"/>
      <c r="K3849" s="184"/>
      <c r="L3849" s="184"/>
      <c r="M3849" s="184"/>
      <c r="N3849" s="184"/>
      <c r="O3849" s="184"/>
    </row>
    <row r="3850" customFormat="false" ht="15" hidden="false" customHeight="true" outlineLevel="0" collapsed="false">
      <c r="A3850" s="184"/>
      <c r="B3850" s="184"/>
      <c r="C3850" s="184"/>
      <c r="D3850" s="184"/>
      <c r="E3850" s="184"/>
      <c r="F3850" s="184"/>
      <c r="G3850" s="184"/>
      <c r="H3850" s="184"/>
      <c r="I3850" s="184"/>
      <c r="J3850" s="184"/>
      <c r="K3850" s="184"/>
      <c r="L3850" s="184"/>
      <c r="M3850" s="184"/>
      <c r="N3850" s="184"/>
      <c r="O3850" s="184"/>
    </row>
    <row r="3851" customFormat="false" ht="15" hidden="false" customHeight="true" outlineLevel="0" collapsed="false">
      <c r="A3851" s="184"/>
      <c r="B3851" s="184"/>
      <c r="C3851" s="184"/>
      <c r="D3851" s="184"/>
      <c r="E3851" s="184"/>
      <c r="F3851" s="184"/>
      <c r="G3851" s="184"/>
      <c r="H3851" s="184"/>
      <c r="I3851" s="184"/>
      <c r="J3851" s="184"/>
      <c r="K3851" s="184"/>
      <c r="L3851" s="184"/>
      <c r="M3851" s="184"/>
      <c r="N3851" s="184"/>
      <c r="O3851" s="184"/>
    </row>
    <row r="3852" customFormat="false" ht="15" hidden="false" customHeight="true" outlineLevel="0" collapsed="false">
      <c r="A3852" s="184"/>
      <c r="B3852" s="184"/>
      <c r="C3852" s="184"/>
      <c r="D3852" s="184"/>
      <c r="E3852" s="184"/>
      <c r="F3852" s="184"/>
      <c r="G3852" s="184"/>
      <c r="H3852" s="184"/>
      <c r="I3852" s="184"/>
      <c r="J3852" s="184"/>
      <c r="K3852" s="184"/>
      <c r="L3852" s="184"/>
      <c r="M3852" s="184"/>
      <c r="N3852" s="184"/>
      <c r="O3852" s="184"/>
    </row>
    <row r="3853" customFormat="false" ht="15" hidden="false" customHeight="true" outlineLevel="0" collapsed="false">
      <c r="A3853" s="184"/>
      <c r="B3853" s="184"/>
      <c r="C3853" s="184"/>
      <c r="D3853" s="184"/>
      <c r="E3853" s="184"/>
      <c r="F3853" s="184"/>
      <c r="G3853" s="184"/>
      <c r="H3853" s="184"/>
      <c r="I3853" s="184"/>
      <c r="J3853" s="184"/>
      <c r="K3853" s="184"/>
      <c r="L3853" s="184"/>
      <c r="M3853" s="184"/>
      <c r="N3853" s="184"/>
      <c r="O3853" s="184"/>
    </row>
    <row r="3854" customFormat="false" ht="15" hidden="false" customHeight="true" outlineLevel="0" collapsed="false">
      <c r="A3854" s="184"/>
      <c r="B3854" s="184"/>
      <c r="C3854" s="184"/>
      <c r="D3854" s="184"/>
      <c r="E3854" s="184"/>
      <c r="F3854" s="184"/>
      <c r="G3854" s="184"/>
      <c r="H3854" s="184"/>
      <c r="I3854" s="184"/>
      <c r="J3854" s="184"/>
      <c r="K3854" s="184"/>
      <c r="L3854" s="184"/>
      <c r="M3854" s="184"/>
      <c r="N3854" s="184"/>
      <c r="O3854" s="184"/>
    </row>
    <row r="3855" customFormat="false" ht="15" hidden="false" customHeight="true" outlineLevel="0" collapsed="false">
      <c r="A3855" s="184"/>
      <c r="B3855" s="184"/>
      <c r="C3855" s="184"/>
      <c r="D3855" s="184"/>
      <c r="E3855" s="184"/>
      <c r="F3855" s="184"/>
      <c r="G3855" s="184"/>
      <c r="H3855" s="184"/>
      <c r="I3855" s="184"/>
      <c r="J3855" s="184"/>
      <c r="K3855" s="184"/>
      <c r="L3855" s="184"/>
      <c r="M3855" s="184"/>
      <c r="N3855" s="184"/>
      <c r="O3855" s="184"/>
    </row>
    <row r="3856" customFormat="false" ht="15" hidden="false" customHeight="true" outlineLevel="0" collapsed="false">
      <c r="A3856" s="184"/>
      <c r="B3856" s="184"/>
      <c r="C3856" s="184"/>
      <c r="D3856" s="184"/>
      <c r="E3856" s="184"/>
      <c r="F3856" s="184"/>
      <c r="G3856" s="184"/>
      <c r="H3856" s="184"/>
      <c r="I3856" s="184"/>
      <c r="J3856" s="184"/>
      <c r="K3856" s="184"/>
      <c r="L3856" s="184"/>
      <c r="M3856" s="184"/>
      <c r="N3856" s="184"/>
      <c r="O3856" s="184"/>
    </row>
    <row r="3857" customFormat="false" ht="15" hidden="false" customHeight="true" outlineLevel="0" collapsed="false">
      <c r="A3857" s="184"/>
      <c r="B3857" s="184"/>
      <c r="C3857" s="184"/>
      <c r="D3857" s="184"/>
      <c r="E3857" s="184"/>
      <c r="F3857" s="184"/>
      <c r="G3857" s="184"/>
      <c r="H3857" s="184"/>
      <c r="I3857" s="184"/>
      <c r="J3857" s="184"/>
      <c r="K3857" s="184"/>
      <c r="L3857" s="184"/>
      <c r="M3857" s="184"/>
      <c r="N3857" s="184"/>
      <c r="O3857" s="184"/>
    </row>
    <row r="3858" customFormat="false" ht="15" hidden="false" customHeight="true" outlineLevel="0" collapsed="false">
      <c r="A3858" s="184"/>
      <c r="B3858" s="184"/>
      <c r="C3858" s="184"/>
      <c r="D3858" s="184"/>
      <c r="E3858" s="184"/>
      <c r="F3858" s="184"/>
      <c r="G3858" s="184"/>
      <c r="H3858" s="184"/>
      <c r="I3858" s="184"/>
      <c r="J3858" s="184"/>
      <c r="K3858" s="184"/>
      <c r="L3858" s="184"/>
      <c r="M3858" s="184"/>
      <c r="N3858" s="184"/>
      <c r="O3858" s="184"/>
    </row>
    <row r="3859" customFormat="false" ht="15" hidden="false" customHeight="true" outlineLevel="0" collapsed="false">
      <c r="A3859" s="184"/>
      <c r="B3859" s="184"/>
      <c r="C3859" s="184"/>
      <c r="D3859" s="184"/>
      <c r="E3859" s="184"/>
      <c r="F3859" s="184"/>
      <c r="G3859" s="184"/>
      <c r="H3859" s="184"/>
      <c r="I3859" s="184"/>
      <c r="J3859" s="184"/>
      <c r="K3859" s="184"/>
      <c r="L3859" s="184"/>
      <c r="M3859" s="184"/>
      <c r="N3859" s="184"/>
      <c r="O3859" s="184"/>
    </row>
    <row r="3860" customFormat="false" ht="15" hidden="false" customHeight="true" outlineLevel="0" collapsed="false">
      <c r="A3860" s="184"/>
      <c r="B3860" s="184"/>
      <c r="C3860" s="184"/>
      <c r="D3860" s="184"/>
      <c r="E3860" s="184"/>
      <c r="F3860" s="184"/>
      <c r="G3860" s="184"/>
      <c r="H3860" s="184"/>
      <c r="I3860" s="184"/>
      <c r="J3860" s="184"/>
      <c r="K3860" s="184"/>
      <c r="L3860" s="184"/>
      <c r="M3860" s="184"/>
      <c r="N3860" s="184"/>
      <c r="O3860" s="184"/>
    </row>
    <row r="3861" customFormat="false" ht="15" hidden="false" customHeight="true" outlineLevel="0" collapsed="false">
      <c r="A3861" s="184"/>
      <c r="B3861" s="184"/>
      <c r="C3861" s="184"/>
      <c r="D3861" s="184"/>
      <c r="E3861" s="184"/>
      <c r="F3861" s="184"/>
      <c r="G3861" s="184"/>
      <c r="H3861" s="184"/>
      <c r="I3861" s="184"/>
      <c r="J3861" s="184"/>
      <c r="K3861" s="184"/>
      <c r="L3861" s="184"/>
      <c r="M3861" s="184"/>
      <c r="N3861" s="184"/>
      <c r="O3861" s="184"/>
    </row>
    <row r="3862" customFormat="false" ht="15" hidden="false" customHeight="true" outlineLevel="0" collapsed="false">
      <c r="A3862" s="184"/>
      <c r="B3862" s="184"/>
      <c r="C3862" s="184"/>
      <c r="D3862" s="184"/>
      <c r="E3862" s="184"/>
      <c r="F3862" s="184"/>
      <c r="G3862" s="184"/>
      <c r="H3862" s="184"/>
      <c r="I3862" s="184"/>
      <c r="J3862" s="184"/>
      <c r="K3862" s="184"/>
      <c r="L3862" s="184"/>
      <c r="M3862" s="184"/>
      <c r="N3862" s="184"/>
      <c r="O3862" s="184"/>
    </row>
    <row r="3863" customFormat="false" ht="15" hidden="false" customHeight="true" outlineLevel="0" collapsed="false">
      <c r="A3863" s="184"/>
      <c r="B3863" s="184"/>
      <c r="C3863" s="184"/>
      <c r="D3863" s="184"/>
      <c r="E3863" s="184"/>
      <c r="F3863" s="184"/>
      <c r="G3863" s="184"/>
      <c r="H3863" s="184"/>
      <c r="I3863" s="184"/>
      <c r="J3863" s="184"/>
      <c r="K3863" s="184"/>
      <c r="L3863" s="184"/>
      <c r="M3863" s="184"/>
      <c r="N3863" s="184"/>
      <c r="O3863" s="184"/>
    </row>
    <row r="3864" customFormat="false" ht="15" hidden="false" customHeight="true" outlineLevel="0" collapsed="false">
      <c r="A3864" s="184"/>
      <c r="B3864" s="184"/>
      <c r="C3864" s="184"/>
      <c r="D3864" s="184"/>
      <c r="E3864" s="184"/>
      <c r="F3864" s="184"/>
      <c r="G3864" s="184"/>
      <c r="H3864" s="184"/>
      <c r="I3864" s="184"/>
      <c r="J3864" s="184"/>
      <c r="K3864" s="184"/>
      <c r="L3864" s="184"/>
      <c r="M3864" s="184"/>
      <c r="N3864" s="184"/>
      <c r="O3864" s="184"/>
    </row>
    <row r="3865" customFormat="false" ht="15" hidden="false" customHeight="true" outlineLevel="0" collapsed="false">
      <c r="A3865" s="184"/>
      <c r="B3865" s="184"/>
      <c r="C3865" s="184"/>
      <c r="D3865" s="184"/>
      <c r="E3865" s="184"/>
      <c r="F3865" s="184"/>
      <c r="G3865" s="184"/>
      <c r="H3865" s="184"/>
      <c r="I3865" s="184"/>
      <c r="J3865" s="184"/>
      <c r="K3865" s="184"/>
      <c r="L3865" s="184"/>
      <c r="M3865" s="184"/>
      <c r="N3865" s="184"/>
      <c r="O3865" s="184"/>
    </row>
    <row r="3866" customFormat="false" ht="15" hidden="false" customHeight="true" outlineLevel="0" collapsed="false">
      <c r="A3866" s="184"/>
      <c r="B3866" s="184"/>
      <c r="C3866" s="184"/>
      <c r="D3866" s="184"/>
      <c r="E3866" s="184"/>
      <c r="F3866" s="184"/>
      <c r="G3866" s="184"/>
      <c r="H3866" s="184"/>
      <c r="I3866" s="184"/>
      <c r="J3866" s="184"/>
      <c r="K3866" s="184"/>
      <c r="L3866" s="184"/>
      <c r="M3866" s="184"/>
      <c r="N3866" s="184"/>
      <c r="O3866" s="184"/>
    </row>
    <row r="3867" customFormat="false" ht="15" hidden="false" customHeight="true" outlineLevel="0" collapsed="false">
      <c r="A3867" s="184"/>
      <c r="B3867" s="184"/>
      <c r="C3867" s="184"/>
      <c r="D3867" s="184"/>
      <c r="E3867" s="184"/>
      <c r="F3867" s="184"/>
      <c r="G3867" s="184"/>
      <c r="H3867" s="184"/>
      <c r="I3867" s="184"/>
      <c r="J3867" s="184"/>
      <c r="K3867" s="184"/>
      <c r="L3867" s="184"/>
      <c r="M3867" s="184"/>
      <c r="N3867" s="184"/>
      <c r="O3867" s="184"/>
    </row>
    <row r="3868" customFormat="false" ht="15" hidden="false" customHeight="true" outlineLevel="0" collapsed="false">
      <c r="A3868" s="184"/>
      <c r="B3868" s="184"/>
      <c r="C3868" s="184"/>
      <c r="D3868" s="184"/>
      <c r="E3868" s="184"/>
      <c r="F3868" s="184"/>
      <c r="G3868" s="184"/>
      <c r="H3868" s="184"/>
      <c r="I3868" s="184"/>
      <c r="J3868" s="184"/>
      <c r="K3868" s="184"/>
      <c r="L3868" s="184"/>
      <c r="M3868" s="184"/>
      <c r="N3868" s="184"/>
      <c r="O3868" s="184"/>
    </row>
    <row r="3869" customFormat="false" ht="15" hidden="false" customHeight="true" outlineLevel="0" collapsed="false">
      <c r="A3869" s="184"/>
      <c r="B3869" s="184"/>
      <c r="C3869" s="184"/>
      <c r="D3869" s="184"/>
      <c r="E3869" s="184"/>
      <c r="F3869" s="184"/>
      <c r="G3869" s="184"/>
      <c r="H3869" s="184"/>
      <c r="I3869" s="184"/>
      <c r="J3869" s="184"/>
      <c r="K3869" s="184"/>
      <c r="L3869" s="184"/>
      <c r="M3869" s="184"/>
      <c r="N3869" s="184"/>
      <c r="O3869" s="184"/>
    </row>
    <row r="3870" customFormat="false" ht="15" hidden="false" customHeight="true" outlineLevel="0" collapsed="false">
      <c r="A3870" s="184"/>
      <c r="B3870" s="184"/>
      <c r="C3870" s="184"/>
      <c r="D3870" s="184"/>
      <c r="E3870" s="184"/>
      <c r="F3870" s="184"/>
      <c r="G3870" s="184"/>
      <c r="H3870" s="184"/>
      <c r="I3870" s="184"/>
      <c r="J3870" s="184"/>
      <c r="K3870" s="184"/>
      <c r="L3870" s="184"/>
      <c r="M3870" s="184"/>
      <c r="N3870" s="184"/>
      <c r="O3870" s="184"/>
    </row>
    <row r="3871" customFormat="false" ht="15" hidden="false" customHeight="true" outlineLevel="0" collapsed="false">
      <c r="A3871" s="184"/>
      <c r="B3871" s="184"/>
      <c r="C3871" s="184"/>
      <c r="D3871" s="184"/>
      <c r="E3871" s="184"/>
      <c r="F3871" s="184"/>
      <c r="G3871" s="184"/>
      <c r="H3871" s="184"/>
      <c r="I3871" s="184"/>
      <c r="J3871" s="184"/>
      <c r="K3871" s="184"/>
      <c r="L3871" s="184"/>
      <c r="M3871" s="184"/>
      <c r="N3871" s="184"/>
      <c r="O3871" s="184"/>
    </row>
    <row r="3872" customFormat="false" ht="54.75" hidden="false" customHeight="true" outlineLevel="0" collapsed="false">
      <c r="A3872" s="184" t="s">
        <v>4990</v>
      </c>
      <c r="B3872" s="184" t="s">
        <v>4991</v>
      </c>
      <c r="C3872" s="184"/>
      <c r="D3872" s="179" t="s">
        <v>4858</v>
      </c>
      <c r="E3872" s="184" t="s">
        <v>7204</v>
      </c>
      <c r="F3872" s="184"/>
      <c r="G3872" s="184"/>
      <c r="H3872" s="184"/>
      <c r="I3872" s="184"/>
      <c r="J3872" s="184"/>
      <c r="K3872" s="184"/>
      <c r="L3872" s="184"/>
      <c r="M3872" s="184" t="s">
        <v>7205</v>
      </c>
      <c r="N3872" s="184"/>
      <c r="O3872" s="184"/>
    </row>
    <row r="3873" customFormat="false" ht="54.75" hidden="false" customHeight="true" outlineLevel="0" collapsed="false">
      <c r="A3873" s="184" t="s">
        <v>4990</v>
      </c>
      <c r="B3873" s="184" t="s">
        <v>4991</v>
      </c>
      <c r="C3873" s="184" t="n">
        <v>1</v>
      </c>
      <c r="D3873" s="184" t="s">
        <v>6296</v>
      </c>
      <c r="E3873" s="184" t="s">
        <v>7182</v>
      </c>
      <c r="F3873" s="184"/>
      <c r="G3873" s="184"/>
      <c r="H3873" s="184"/>
      <c r="I3873" s="184"/>
      <c r="J3873" s="184"/>
      <c r="K3873" s="184"/>
      <c r="L3873" s="184"/>
      <c r="M3873" s="184"/>
      <c r="N3873" s="184"/>
      <c r="O3873" s="184"/>
    </row>
    <row r="3874" customFormat="false" ht="68.25" hidden="false" customHeight="true" outlineLevel="0" collapsed="false">
      <c r="A3874" s="184" t="s">
        <v>4990</v>
      </c>
      <c r="B3874" s="184" t="s">
        <v>4991</v>
      </c>
      <c r="C3874" s="184" t="n">
        <v>2</v>
      </c>
      <c r="D3874" s="177" t="s">
        <v>6298</v>
      </c>
      <c r="E3874" s="184" t="s">
        <v>6299</v>
      </c>
      <c r="F3874" s="184"/>
      <c r="G3874" s="184"/>
      <c r="H3874" s="184"/>
      <c r="I3874" s="184"/>
      <c r="J3874" s="184"/>
      <c r="K3874" s="184"/>
      <c r="L3874" s="184"/>
      <c r="M3874" s="184"/>
      <c r="N3874" s="184"/>
      <c r="O3874" s="184"/>
    </row>
    <row r="3875" customFormat="false" ht="54.75" hidden="false" customHeight="true" outlineLevel="0" collapsed="false">
      <c r="A3875" s="184" t="s">
        <v>4990</v>
      </c>
      <c r="B3875" s="184" t="s">
        <v>4991</v>
      </c>
      <c r="C3875" s="184" t="n">
        <v>3</v>
      </c>
      <c r="D3875" s="184" t="s">
        <v>6296</v>
      </c>
      <c r="E3875" s="184" t="s">
        <v>7067</v>
      </c>
      <c r="F3875" s="184"/>
      <c r="G3875" s="184"/>
      <c r="H3875" s="184"/>
      <c r="I3875" s="184"/>
      <c r="J3875" s="184"/>
      <c r="K3875" s="184"/>
      <c r="L3875" s="184"/>
      <c r="M3875" s="184"/>
      <c r="N3875" s="184"/>
      <c r="O3875" s="184"/>
    </row>
    <row r="3876" customFormat="false" ht="54.75" hidden="false" customHeight="true" outlineLevel="0" collapsed="false">
      <c r="A3876" s="184" t="s">
        <v>4990</v>
      </c>
      <c r="B3876" s="184" t="s">
        <v>4991</v>
      </c>
      <c r="C3876" s="184" t="n">
        <v>4</v>
      </c>
      <c r="D3876" s="184" t="s">
        <v>7068</v>
      </c>
      <c r="E3876" s="184" t="s">
        <v>5215</v>
      </c>
      <c r="F3876" s="184"/>
      <c r="G3876" s="184"/>
      <c r="H3876" s="184"/>
      <c r="I3876" s="184"/>
      <c r="J3876" s="184"/>
      <c r="K3876" s="184"/>
      <c r="L3876" s="184"/>
      <c r="M3876" s="184"/>
      <c r="N3876" s="184"/>
      <c r="O3876" s="184"/>
    </row>
    <row r="3877" customFormat="false" ht="54.75" hidden="false" customHeight="true" outlineLevel="0" collapsed="false">
      <c r="A3877" s="184" t="s">
        <v>4990</v>
      </c>
      <c r="B3877" s="184" t="s">
        <v>4991</v>
      </c>
      <c r="C3877" s="184" t="n">
        <v>5</v>
      </c>
      <c r="D3877" s="177" t="s">
        <v>6298</v>
      </c>
      <c r="E3877" s="184" t="s">
        <v>6303</v>
      </c>
      <c r="F3877" s="184"/>
      <c r="G3877" s="184"/>
      <c r="H3877" s="184"/>
      <c r="I3877" s="184"/>
      <c r="J3877" s="184"/>
      <c r="K3877" s="184"/>
      <c r="L3877" s="184"/>
      <c r="M3877" s="184"/>
      <c r="N3877" s="184"/>
      <c r="O3877" s="184"/>
    </row>
    <row r="3878" customFormat="false" ht="54.75" hidden="false" customHeight="true" outlineLevel="0" collapsed="false">
      <c r="A3878" s="184" t="s">
        <v>4990</v>
      </c>
      <c r="B3878" s="184" t="s">
        <v>4991</v>
      </c>
      <c r="C3878" s="184" t="n">
        <v>6</v>
      </c>
      <c r="D3878" s="174" t="s">
        <v>6529</v>
      </c>
      <c r="E3878" s="184" t="s">
        <v>6301</v>
      </c>
      <c r="F3878" s="184"/>
      <c r="G3878" s="184"/>
      <c r="H3878" s="184"/>
      <c r="I3878" s="184"/>
      <c r="J3878" s="184"/>
      <c r="K3878" s="184"/>
      <c r="L3878" s="184"/>
      <c r="M3878" s="184" t="s">
        <v>7206</v>
      </c>
      <c r="N3878" s="184"/>
      <c r="O3878" s="184"/>
    </row>
    <row r="3879" customFormat="false" ht="54.75" hidden="false" customHeight="true" outlineLevel="0" collapsed="false">
      <c r="A3879" s="184" t="s">
        <v>4990</v>
      </c>
      <c r="B3879" s="184" t="s">
        <v>4991</v>
      </c>
      <c r="C3879" s="184" t="n">
        <v>7</v>
      </c>
      <c r="D3879" s="174" t="s">
        <v>6529</v>
      </c>
      <c r="E3879" s="184" t="s">
        <v>7207</v>
      </c>
      <c r="F3879" s="184"/>
      <c r="G3879" s="184"/>
      <c r="H3879" s="184"/>
      <c r="I3879" s="184"/>
      <c r="J3879" s="184"/>
      <c r="K3879" s="184"/>
      <c r="L3879" s="184"/>
      <c r="M3879" s="184" t="s">
        <v>7208</v>
      </c>
      <c r="N3879" s="184"/>
      <c r="O3879" s="184"/>
    </row>
    <row r="3880" customFormat="false" ht="54.75" hidden="false" customHeight="true" outlineLevel="0" collapsed="false">
      <c r="A3880" s="184" t="s">
        <v>4990</v>
      </c>
      <c r="B3880" s="184" t="s">
        <v>4991</v>
      </c>
      <c r="C3880" s="184" t="n">
        <v>8</v>
      </c>
      <c r="D3880" s="174" t="s">
        <v>6529</v>
      </c>
      <c r="E3880" s="184" t="s">
        <v>7209</v>
      </c>
      <c r="F3880" s="184"/>
      <c r="G3880" s="184"/>
      <c r="H3880" s="184"/>
      <c r="I3880" s="184"/>
      <c r="J3880" s="184"/>
      <c r="K3880" s="184"/>
      <c r="L3880" s="184"/>
      <c r="M3880" s="184" t="s">
        <v>7210</v>
      </c>
      <c r="N3880" s="184"/>
      <c r="O3880" s="184"/>
    </row>
    <row r="3881" customFormat="false" ht="15" hidden="false" customHeight="true" outlineLevel="0" collapsed="false">
      <c r="A3881" s="184"/>
      <c r="B3881" s="184"/>
      <c r="C3881" s="184"/>
      <c r="D3881" s="184"/>
      <c r="E3881" s="184"/>
      <c r="F3881" s="184"/>
      <c r="G3881" s="184"/>
      <c r="H3881" s="184"/>
      <c r="I3881" s="184"/>
      <c r="J3881" s="184"/>
      <c r="K3881" s="184"/>
      <c r="L3881" s="184"/>
      <c r="M3881" s="184"/>
      <c r="N3881" s="184"/>
      <c r="O3881" s="184"/>
    </row>
    <row r="3882" customFormat="false" ht="15" hidden="false" customHeight="true" outlineLevel="0" collapsed="false">
      <c r="A3882" s="184"/>
      <c r="B3882" s="184"/>
      <c r="C3882" s="184"/>
      <c r="D3882" s="184"/>
      <c r="E3882" s="184"/>
      <c r="F3882" s="184"/>
      <c r="G3882" s="184"/>
      <c r="H3882" s="184"/>
      <c r="I3882" s="184"/>
      <c r="J3882" s="184"/>
      <c r="K3882" s="184"/>
      <c r="L3882" s="184"/>
      <c r="M3882" s="184"/>
      <c r="N3882" s="184"/>
      <c r="O3882" s="184"/>
    </row>
    <row r="3883" customFormat="false" ht="15" hidden="false" customHeight="true" outlineLevel="0" collapsed="false">
      <c r="A3883" s="184"/>
      <c r="B3883" s="184"/>
      <c r="C3883" s="184"/>
      <c r="D3883" s="184"/>
      <c r="E3883" s="184"/>
      <c r="F3883" s="184"/>
      <c r="G3883" s="184"/>
      <c r="H3883" s="184"/>
      <c r="I3883" s="184"/>
      <c r="J3883" s="184"/>
      <c r="K3883" s="184"/>
      <c r="L3883" s="184"/>
      <c r="M3883" s="184"/>
      <c r="N3883" s="184"/>
      <c r="O3883" s="184"/>
    </row>
    <row r="3884" customFormat="false" ht="15" hidden="false" customHeight="true" outlineLevel="0" collapsed="false">
      <c r="A3884" s="184"/>
      <c r="B3884" s="184"/>
      <c r="C3884" s="184"/>
      <c r="D3884" s="184"/>
      <c r="E3884" s="184"/>
      <c r="F3884" s="184"/>
      <c r="G3884" s="184"/>
      <c r="H3884" s="184"/>
      <c r="I3884" s="184"/>
      <c r="J3884" s="184"/>
      <c r="K3884" s="184"/>
      <c r="L3884" s="184"/>
      <c r="M3884" s="184"/>
      <c r="N3884" s="184"/>
      <c r="O3884" s="184"/>
    </row>
    <row r="3885" customFormat="false" ht="15" hidden="false" customHeight="true" outlineLevel="0" collapsed="false">
      <c r="A3885" s="184"/>
      <c r="B3885" s="184"/>
      <c r="C3885" s="184"/>
      <c r="D3885" s="184"/>
      <c r="E3885" s="184"/>
      <c r="F3885" s="184"/>
      <c r="G3885" s="184"/>
      <c r="H3885" s="184"/>
      <c r="I3885" s="184"/>
      <c r="J3885" s="184"/>
      <c r="K3885" s="184"/>
      <c r="L3885" s="184"/>
      <c r="M3885" s="184"/>
      <c r="N3885" s="184"/>
      <c r="O3885" s="184"/>
    </row>
    <row r="3886" customFormat="false" ht="15" hidden="false" customHeight="true" outlineLevel="0" collapsed="false">
      <c r="A3886" s="184"/>
      <c r="B3886" s="184"/>
      <c r="C3886" s="184"/>
      <c r="D3886" s="184"/>
      <c r="E3886" s="184"/>
      <c r="F3886" s="184"/>
      <c r="G3886" s="184"/>
      <c r="H3886" s="184"/>
      <c r="I3886" s="184"/>
      <c r="J3886" s="184"/>
      <c r="K3886" s="184"/>
      <c r="L3886" s="184"/>
      <c r="M3886" s="184"/>
      <c r="N3886" s="184"/>
      <c r="O3886" s="184"/>
    </row>
    <row r="3887" customFormat="false" ht="15" hidden="false" customHeight="true" outlineLevel="0" collapsed="false">
      <c r="A3887" s="184"/>
      <c r="B3887" s="184"/>
      <c r="C3887" s="184"/>
      <c r="D3887" s="184"/>
      <c r="E3887" s="184"/>
      <c r="F3887" s="184"/>
      <c r="G3887" s="184"/>
      <c r="H3887" s="184"/>
      <c r="I3887" s="184"/>
      <c r="J3887" s="184"/>
      <c r="K3887" s="184"/>
      <c r="L3887" s="184"/>
      <c r="M3887" s="184"/>
      <c r="N3887" s="184"/>
      <c r="O3887" s="184"/>
    </row>
    <row r="3888" customFormat="false" ht="15" hidden="false" customHeight="true" outlineLevel="0" collapsed="false">
      <c r="A3888" s="184"/>
      <c r="B3888" s="184"/>
      <c r="C3888" s="184"/>
      <c r="D3888" s="184"/>
      <c r="E3888" s="184"/>
      <c r="F3888" s="184"/>
      <c r="G3888" s="184"/>
      <c r="H3888" s="184"/>
      <c r="I3888" s="184"/>
      <c r="J3888" s="184"/>
      <c r="K3888" s="184"/>
      <c r="L3888" s="184"/>
      <c r="M3888" s="184"/>
      <c r="N3888" s="184"/>
      <c r="O3888" s="184"/>
    </row>
    <row r="3889" customFormat="false" ht="15" hidden="false" customHeight="true" outlineLevel="0" collapsed="false">
      <c r="A3889" s="184"/>
      <c r="B3889" s="184"/>
      <c r="C3889" s="184"/>
      <c r="D3889" s="184"/>
      <c r="E3889" s="184"/>
      <c r="F3889" s="184"/>
      <c r="G3889" s="184"/>
      <c r="H3889" s="184"/>
      <c r="I3889" s="184"/>
      <c r="J3889" s="184"/>
      <c r="K3889" s="184"/>
      <c r="L3889" s="184"/>
      <c r="M3889" s="184"/>
      <c r="N3889" s="184"/>
      <c r="O3889" s="184"/>
    </row>
    <row r="3890" customFormat="false" ht="15" hidden="false" customHeight="true" outlineLevel="0" collapsed="false">
      <c r="A3890" s="184"/>
      <c r="B3890" s="184"/>
      <c r="C3890" s="184"/>
      <c r="D3890" s="184"/>
      <c r="E3890" s="184"/>
      <c r="F3890" s="184"/>
      <c r="G3890" s="184"/>
      <c r="H3890" s="184"/>
      <c r="I3890" s="184"/>
      <c r="J3890" s="184"/>
      <c r="K3890" s="184"/>
      <c r="L3890" s="184"/>
      <c r="M3890" s="184"/>
      <c r="N3890" s="184"/>
      <c r="O3890" s="184"/>
    </row>
    <row r="3891" customFormat="false" ht="15" hidden="false" customHeight="true" outlineLevel="0" collapsed="false">
      <c r="A3891" s="184"/>
      <c r="B3891" s="184"/>
      <c r="C3891" s="184"/>
      <c r="D3891" s="184"/>
      <c r="E3891" s="184"/>
      <c r="F3891" s="184"/>
      <c r="G3891" s="184"/>
      <c r="H3891" s="184"/>
      <c r="I3891" s="184"/>
      <c r="J3891" s="184"/>
      <c r="K3891" s="184"/>
      <c r="L3891" s="184"/>
      <c r="M3891" s="184"/>
      <c r="N3891" s="184"/>
      <c r="O3891" s="184"/>
    </row>
    <row r="3892" customFormat="false" ht="15" hidden="false" customHeight="true" outlineLevel="0" collapsed="false">
      <c r="A3892" s="184"/>
      <c r="B3892" s="184"/>
      <c r="C3892" s="184"/>
      <c r="D3892" s="184"/>
      <c r="E3892" s="184"/>
      <c r="F3892" s="184"/>
      <c r="G3892" s="184"/>
      <c r="H3892" s="184"/>
      <c r="I3892" s="184"/>
      <c r="J3892" s="184"/>
      <c r="K3892" s="184"/>
      <c r="L3892" s="184"/>
      <c r="M3892" s="184"/>
      <c r="N3892" s="184"/>
      <c r="O3892" s="184"/>
    </row>
    <row r="3893" customFormat="false" ht="15" hidden="false" customHeight="true" outlineLevel="0" collapsed="false">
      <c r="A3893" s="184"/>
      <c r="B3893" s="184"/>
      <c r="C3893" s="184"/>
      <c r="D3893" s="184"/>
      <c r="E3893" s="184"/>
      <c r="F3893" s="184"/>
      <c r="G3893" s="184"/>
      <c r="H3893" s="184"/>
      <c r="I3893" s="184"/>
      <c r="J3893" s="184"/>
      <c r="K3893" s="184"/>
      <c r="L3893" s="184"/>
      <c r="M3893" s="184"/>
      <c r="N3893" s="184"/>
      <c r="O3893" s="184"/>
    </row>
    <row r="3894" customFormat="false" ht="15" hidden="false" customHeight="true" outlineLevel="0" collapsed="false">
      <c r="A3894" s="184"/>
      <c r="B3894" s="184"/>
      <c r="C3894" s="184"/>
      <c r="D3894" s="184"/>
      <c r="E3894" s="184"/>
      <c r="F3894" s="184"/>
      <c r="G3894" s="184"/>
      <c r="H3894" s="184"/>
      <c r="I3894" s="184"/>
      <c r="J3894" s="184"/>
      <c r="K3894" s="184"/>
      <c r="L3894" s="184"/>
      <c r="M3894" s="184"/>
      <c r="N3894" s="184"/>
      <c r="O3894" s="184"/>
    </row>
    <row r="3895" customFormat="false" ht="15" hidden="false" customHeight="true" outlineLevel="0" collapsed="false">
      <c r="A3895" s="184"/>
      <c r="B3895" s="184"/>
      <c r="C3895" s="184"/>
      <c r="D3895" s="184"/>
      <c r="E3895" s="184"/>
      <c r="F3895" s="184"/>
      <c r="G3895" s="184"/>
      <c r="H3895" s="184"/>
      <c r="I3895" s="184"/>
      <c r="J3895" s="184"/>
      <c r="K3895" s="184"/>
      <c r="L3895" s="184"/>
      <c r="M3895" s="184"/>
      <c r="N3895" s="184"/>
      <c r="O3895" s="184"/>
    </row>
    <row r="3896" customFormat="false" ht="15" hidden="false" customHeight="true" outlineLevel="0" collapsed="false">
      <c r="A3896" s="184"/>
      <c r="B3896" s="184"/>
      <c r="C3896" s="184"/>
      <c r="D3896" s="184"/>
      <c r="E3896" s="184"/>
      <c r="F3896" s="184"/>
      <c r="G3896" s="184"/>
      <c r="H3896" s="184"/>
      <c r="I3896" s="184"/>
      <c r="J3896" s="184"/>
      <c r="K3896" s="184"/>
      <c r="L3896" s="184"/>
      <c r="M3896" s="184"/>
      <c r="N3896" s="184"/>
      <c r="O3896" s="184"/>
    </row>
    <row r="3897" customFormat="false" ht="15" hidden="false" customHeight="true" outlineLevel="0" collapsed="false">
      <c r="A3897" s="184"/>
      <c r="B3897" s="184"/>
      <c r="C3897" s="184"/>
      <c r="D3897" s="184"/>
      <c r="E3897" s="184"/>
      <c r="F3897" s="184"/>
      <c r="G3897" s="184"/>
      <c r="H3897" s="184"/>
      <c r="I3897" s="184"/>
      <c r="J3897" s="184"/>
      <c r="K3897" s="184"/>
      <c r="L3897" s="184"/>
      <c r="M3897" s="184"/>
      <c r="N3897" s="184"/>
      <c r="O3897" s="184"/>
    </row>
    <row r="3898" customFormat="false" ht="15" hidden="false" customHeight="true" outlineLevel="0" collapsed="false">
      <c r="A3898" s="184"/>
      <c r="B3898" s="184"/>
      <c r="C3898" s="184"/>
      <c r="D3898" s="184"/>
      <c r="E3898" s="184"/>
      <c r="F3898" s="184"/>
      <c r="G3898" s="184"/>
      <c r="H3898" s="184"/>
      <c r="I3898" s="184"/>
      <c r="J3898" s="184"/>
      <c r="K3898" s="184"/>
      <c r="L3898" s="184"/>
      <c r="M3898" s="184"/>
      <c r="N3898" s="184"/>
      <c r="O3898" s="184"/>
    </row>
    <row r="3899" customFormat="false" ht="15" hidden="false" customHeight="true" outlineLevel="0" collapsed="false">
      <c r="A3899" s="184"/>
      <c r="B3899" s="184"/>
      <c r="C3899" s="184"/>
      <c r="D3899" s="184"/>
      <c r="E3899" s="184"/>
      <c r="F3899" s="184"/>
      <c r="G3899" s="184"/>
      <c r="H3899" s="184"/>
      <c r="I3899" s="184"/>
      <c r="J3899" s="184"/>
      <c r="K3899" s="184"/>
      <c r="L3899" s="184"/>
      <c r="M3899" s="184"/>
      <c r="N3899" s="184"/>
      <c r="O3899" s="184"/>
    </row>
    <row r="3900" customFormat="false" ht="15" hidden="false" customHeight="true" outlineLevel="0" collapsed="false">
      <c r="A3900" s="184"/>
      <c r="B3900" s="184"/>
      <c r="C3900" s="184"/>
      <c r="D3900" s="184"/>
      <c r="E3900" s="184"/>
      <c r="F3900" s="184"/>
      <c r="G3900" s="184"/>
      <c r="H3900" s="184"/>
      <c r="I3900" s="184"/>
      <c r="J3900" s="184"/>
      <c r="K3900" s="184"/>
      <c r="L3900" s="184"/>
      <c r="M3900" s="184"/>
      <c r="N3900" s="184"/>
      <c r="O3900" s="184"/>
    </row>
    <row r="3901" customFormat="false" ht="15" hidden="false" customHeight="true" outlineLevel="0" collapsed="false">
      <c r="A3901" s="184"/>
      <c r="B3901" s="184"/>
      <c r="C3901" s="184"/>
      <c r="D3901" s="184"/>
      <c r="E3901" s="184"/>
      <c r="F3901" s="184"/>
      <c r="G3901" s="184"/>
      <c r="H3901" s="184"/>
      <c r="I3901" s="184"/>
      <c r="J3901" s="184"/>
      <c r="K3901" s="184"/>
      <c r="L3901" s="184"/>
      <c r="M3901" s="184"/>
      <c r="N3901" s="184"/>
      <c r="O3901" s="184"/>
    </row>
    <row r="3902" customFormat="false" ht="15" hidden="false" customHeight="true" outlineLevel="0" collapsed="false">
      <c r="A3902" s="184"/>
      <c r="B3902" s="184"/>
      <c r="C3902" s="184"/>
      <c r="D3902" s="184"/>
      <c r="E3902" s="184"/>
      <c r="F3902" s="184"/>
      <c r="G3902" s="184"/>
      <c r="H3902" s="184"/>
      <c r="I3902" s="184"/>
      <c r="J3902" s="184"/>
      <c r="K3902" s="184"/>
      <c r="L3902" s="184"/>
      <c r="M3902" s="184"/>
      <c r="N3902" s="184"/>
      <c r="O3902" s="184"/>
    </row>
    <row r="3903" customFormat="false" ht="15" hidden="false" customHeight="true" outlineLevel="0" collapsed="false">
      <c r="A3903" s="184"/>
      <c r="B3903" s="184"/>
      <c r="C3903" s="184"/>
      <c r="D3903" s="184"/>
      <c r="E3903" s="184"/>
      <c r="F3903" s="184"/>
      <c r="G3903" s="184"/>
      <c r="H3903" s="184"/>
      <c r="I3903" s="184"/>
      <c r="J3903" s="184"/>
      <c r="K3903" s="184"/>
      <c r="L3903" s="184"/>
      <c r="M3903" s="184"/>
      <c r="N3903" s="184"/>
      <c r="O3903" s="184"/>
    </row>
    <row r="3904" customFormat="false" ht="15" hidden="false" customHeight="true" outlineLevel="0" collapsed="false">
      <c r="A3904" s="184"/>
      <c r="B3904" s="184"/>
      <c r="C3904" s="184"/>
      <c r="D3904" s="184"/>
      <c r="E3904" s="184"/>
      <c r="F3904" s="184"/>
      <c r="G3904" s="184"/>
      <c r="H3904" s="184"/>
      <c r="I3904" s="184"/>
      <c r="J3904" s="184"/>
      <c r="K3904" s="184"/>
      <c r="L3904" s="184"/>
      <c r="M3904" s="184"/>
      <c r="N3904" s="184"/>
      <c r="O3904" s="184"/>
    </row>
    <row r="3905" customFormat="false" ht="15" hidden="false" customHeight="true" outlineLevel="0" collapsed="false">
      <c r="A3905" s="184"/>
      <c r="B3905" s="184"/>
      <c r="C3905" s="184"/>
      <c r="D3905" s="184"/>
      <c r="E3905" s="184"/>
      <c r="F3905" s="184"/>
      <c r="G3905" s="184"/>
      <c r="H3905" s="184"/>
      <c r="I3905" s="184"/>
      <c r="J3905" s="184"/>
      <c r="K3905" s="184"/>
      <c r="L3905" s="184"/>
      <c r="M3905" s="184"/>
      <c r="N3905" s="184"/>
      <c r="O3905" s="184"/>
    </row>
    <row r="3906" customFormat="false" ht="15" hidden="false" customHeight="true" outlineLevel="0" collapsed="false">
      <c r="A3906" s="184"/>
      <c r="B3906" s="184"/>
      <c r="C3906" s="184"/>
      <c r="D3906" s="184"/>
      <c r="E3906" s="184"/>
      <c r="F3906" s="184"/>
      <c r="G3906" s="184"/>
      <c r="H3906" s="184"/>
      <c r="I3906" s="184"/>
      <c r="J3906" s="184"/>
      <c r="K3906" s="184"/>
      <c r="L3906" s="184"/>
      <c r="M3906" s="184"/>
      <c r="N3906" s="184"/>
      <c r="O3906" s="184"/>
    </row>
    <row r="3907" customFormat="false" ht="15" hidden="false" customHeight="true" outlineLevel="0" collapsed="false">
      <c r="A3907" s="184"/>
      <c r="B3907" s="184"/>
      <c r="C3907" s="184"/>
      <c r="D3907" s="184"/>
      <c r="E3907" s="184"/>
      <c r="F3907" s="184"/>
      <c r="G3907" s="184"/>
      <c r="H3907" s="184"/>
      <c r="I3907" s="184"/>
      <c r="J3907" s="184"/>
      <c r="K3907" s="184"/>
      <c r="L3907" s="184"/>
      <c r="M3907" s="184"/>
      <c r="N3907" s="184"/>
      <c r="O3907" s="184"/>
    </row>
    <row r="3908" customFormat="false" ht="15" hidden="false" customHeight="true" outlineLevel="0" collapsed="false">
      <c r="A3908" s="184"/>
      <c r="B3908" s="184"/>
      <c r="C3908" s="184"/>
      <c r="D3908" s="184"/>
      <c r="E3908" s="184"/>
      <c r="F3908" s="184"/>
      <c r="G3908" s="184"/>
      <c r="H3908" s="184"/>
      <c r="I3908" s="184"/>
      <c r="J3908" s="184"/>
      <c r="K3908" s="184"/>
      <c r="L3908" s="184"/>
      <c r="M3908" s="184"/>
      <c r="N3908" s="184"/>
      <c r="O3908" s="184"/>
    </row>
    <row r="3909" customFormat="false" ht="15" hidden="false" customHeight="true" outlineLevel="0" collapsed="false">
      <c r="A3909" s="184"/>
      <c r="B3909" s="184"/>
      <c r="C3909" s="184"/>
      <c r="D3909" s="184"/>
      <c r="E3909" s="184"/>
      <c r="F3909" s="184"/>
      <c r="G3909" s="184"/>
      <c r="H3909" s="184"/>
      <c r="I3909" s="184"/>
      <c r="J3909" s="184"/>
      <c r="K3909" s="184"/>
      <c r="L3909" s="184"/>
      <c r="M3909" s="184"/>
      <c r="N3909" s="184"/>
      <c r="O3909" s="184"/>
    </row>
    <row r="3910" customFormat="false" ht="15" hidden="false" customHeight="true" outlineLevel="0" collapsed="false">
      <c r="A3910" s="184"/>
      <c r="B3910" s="184"/>
      <c r="C3910" s="184"/>
      <c r="D3910" s="184"/>
      <c r="E3910" s="184"/>
      <c r="F3910" s="184"/>
      <c r="G3910" s="184"/>
      <c r="H3910" s="184"/>
      <c r="I3910" s="184"/>
      <c r="J3910" s="184"/>
      <c r="K3910" s="184"/>
      <c r="L3910" s="184"/>
      <c r="M3910" s="184"/>
      <c r="N3910" s="184"/>
      <c r="O3910" s="184"/>
    </row>
    <row r="3911" customFormat="false" ht="15" hidden="false" customHeight="true" outlineLevel="0" collapsed="false">
      <c r="A3911" s="184"/>
      <c r="B3911" s="184"/>
      <c r="C3911" s="184"/>
      <c r="D3911" s="184"/>
      <c r="E3911" s="184"/>
      <c r="F3911" s="184"/>
      <c r="G3911" s="184"/>
      <c r="H3911" s="184"/>
      <c r="I3911" s="184"/>
      <c r="J3911" s="184"/>
      <c r="K3911" s="184"/>
      <c r="L3911" s="184"/>
      <c r="M3911" s="184"/>
      <c r="N3911" s="184"/>
      <c r="O3911" s="184"/>
    </row>
    <row r="3912" customFormat="false" ht="15" hidden="false" customHeight="true" outlineLevel="0" collapsed="false">
      <c r="A3912" s="184"/>
      <c r="B3912" s="184"/>
      <c r="C3912" s="184"/>
      <c r="D3912" s="184"/>
      <c r="E3912" s="184"/>
      <c r="F3912" s="184"/>
      <c r="G3912" s="184"/>
      <c r="H3912" s="184"/>
      <c r="I3912" s="184"/>
      <c r="J3912" s="184"/>
      <c r="K3912" s="184"/>
      <c r="L3912" s="184"/>
      <c r="M3912" s="184"/>
      <c r="N3912" s="184"/>
      <c r="O3912" s="184"/>
    </row>
    <row r="3913" customFormat="false" ht="15" hidden="false" customHeight="true" outlineLevel="0" collapsed="false">
      <c r="A3913" s="184"/>
      <c r="B3913" s="184"/>
      <c r="C3913" s="184"/>
      <c r="D3913" s="184"/>
      <c r="E3913" s="184"/>
      <c r="F3913" s="184"/>
      <c r="G3913" s="184"/>
      <c r="H3913" s="184"/>
      <c r="I3913" s="184"/>
      <c r="J3913" s="184"/>
      <c r="K3913" s="184"/>
      <c r="L3913" s="184"/>
      <c r="M3913" s="184"/>
      <c r="N3913" s="184"/>
      <c r="O3913" s="184"/>
    </row>
    <row r="3914" customFormat="false" ht="15" hidden="false" customHeight="true" outlineLevel="0" collapsed="false">
      <c r="A3914" s="184"/>
      <c r="B3914" s="184"/>
      <c r="C3914" s="184"/>
      <c r="D3914" s="184"/>
      <c r="E3914" s="184"/>
      <c r="F3914" s="184"/>
      <c r="G3914" s="184"/>
      <c r="H3914" s="184"/>
      <c r="I3914" s="184"/>
      <c r="J3914" s="184"/>
      <c r="K3914" s="184"/>
      <c r="L3914" s="184"/>
      <c r="M3914" s="184"/>
      <c r="N3914" s="184"/>
      <c r="O3914" s="184"/>
    </row>
    <row r="3915" customFormat="false" ht="15" hidden="false" customHeight="true" outlineLevel="0" collapsed="false">
      <c r="A3915" s="184"/>
      <c r="B3915" s="184"/>
      <c r="C3915" s="184"/>
      <c r="D3915" s="184"/>
      <c r="E3915" s="184"/>
      <c r="F3915" s="184"/>
      <c r="G3915" s="184"/>
      <c r="H3915" s="184"/>
      <c r="I3915" s="184"/>
      <c r="J3915" s="184"/>
      <c r="K3915" s="184"/>
      <c r="L3915" s="184"/>
      <c r="M3915" s="184"/>
      <c r="N3915" s="184"/>
      <c r="O3915" s="184"/>
    </row>
    <row r="3916" customFormat="false" ht="15" hidden="false" customHeight="true" outlineLevel="0" collapsed="false">
      <c r="A3916" s="184"/>
      <c r="B3916" s="184"/>
      <c r="C3916" s="184"/>
      <c r="D3916" s="184"/>
      <c r="E3916" s="184"/>
      <c r="F3916" s="184"/>
      <c r="G3916" s="184"/>
      <c r="H3916" s="184"/>
      <c r="I3916" s="184"/>
      <c r="J3916" s="184"/>
      <c r="K3916" s="184"/>
      <c r="L3916" s="184"/>
      <c r="M3916" s="184"/>
      <c r="N3916" s="184"/>
      <c r="O3916" s="184"/>
    </row>
    <row r="3917" customFormat="false" ht="15" hidden="false" customHeight="true" outlineLevel="0" collapsed="false">
      <c r="A3917" s="184"/>
      <c r="B3917" s="184"/>
      <c r="C3917" s="184"/>
      <c r="D3917" s="184"/>
      <c r="E3917" s="184"/>
      <c r="F3917" s="184"/>
      <c r="G3917" s="184"/>
      <c r="H3917" s="184"/>
      <c r="I3917" s="184"/>
      <c r="J3917" s="184"/>
      <c r="K3917" s="184"/>
      <c r="L3917" s="184"/>
      <c r="M3917" s="184"/>
      <c r="N3917" s="184"/>
      <c r="O3917" s="184"/>
    </row>
    <row r="3918" customFormat="false" ht="15" hidden="false" customHeight="true" outlineLevel="0" collapsed="false">
      <c r="A3918" s="184"/>
      <c r="B3918" s="184"/>
      <c r="C3918" s="184"/>
      <c r="D3918" s="184"/>
      <c r="E3918" s="184"/>
      <c r="F3918" s="184"/>
      <c r="G3918" s="184"/>
      <c r="H3918" s="184"/>
      <c r="I3918" s="184"/>
      <c r="J3918" s="184"/>
      <c r="K3918" s="184"/>
      <c r="L3918" s="184"/>
      <c r="M3918" s="184"/>
      <c r="N3918" s="184"/>
      <c r="O3918" s="184"/>
    </row>
    <row r="3919" customFormat="false" ht="15" hidden="false" customHeight="true" outlineLevel="0" collapsed="false">
      <c r="A3919" s="184"/>
      <c r="B3919" s="184"/>
      <c r="C3919" s="184"/>
      <c r="D3919" s="184"/>
      <c r="E3919" s="184"/>
      <c r="F3919" s="184"/>
      <c r="G3919" s="184"/>
      <c r="H3919" s="184"/>
      <c r="I3919" s="184"/>
      <c r="J3919" s="184"/>
      <c r="K3919" s="184"/>
      <c r="L3919" s="184"/>
      <c r="M3919" s="184"/>
      <c r="N3919" s="184"/>
      <c r="O3919" s="184"/>
    </row>
    <row r="3920" customFormat="false" ht="15" hidden="false" customHeight="true" outlineLevel="0" collapsed="false">
      <c r="A3920" s="184"/>
      <c r="B3920" s="184"/>
      <c r="C3920" s="184"/>
      <c r="D3920" s="184"/>
      <c r="E3920" s="184"/>
      <c r="F3920" s="184"/>
      <c r="G3920" s="184"/>
      <c r="H3920" s="184"/>
      <c r="I3920" s="184"/>
      <c r="J3920" s="184"/>
      <c r="K3920" s="184"/>
      <c r="L3920" s="184"/>
      <c r="M3920" s="184"/>
      <c r="N3920" s="184"/>
      <c r="O3920" s="184"/>
    </row>
    <row r="3921" customFormat="false" ht="15" hidden="false" customHeight="true" outlineLevel="0" collapsed="false">
      <c r="A3921" s="184"/>
      <c r="B3921" s="184"/>
      <c r="C3921" s="184"/>
      <c r="D3921" s="184"/>
      <c r="E3921" s="184"/>
      <c r="F3921" s="184"/>
      <c r="G3921" s="184"/>
      <c r="H3921" s="184"/>
      <c r="I3921" s="184"/>
      <c r="J3921" s="184"/>
      <c r="K3921" s="184"/>
      <c r="L3921" s="184"/>
      <c r="M3921" s="184"/>
      <c r="N3921" s="184"/>
      <c r="O3921" s="184"/>
    </row>
    <row r="3922" customFormat="false" ht="15" hidden="false" customHeight="true" outlineLevel="0" collapsed="false">
      <c r="A3922" s="184"/>
      <c r="B3922" s="184"/>
      <c r="C3922" s="184"/>
      <c r="D3922" s="184"/>
      <c r="E3922" s="184"/>
      <c r="F3922" s="184"/>
      <c r="G3922" s="184"/>
      <c r="H3922" s="184"/>
      <c r="I3922" s="184"/>
      <c r="J3922" s="184"/>
      <c r="K3922" s="184"/>
      <c r="L3922" s="184"/>
      <c r="M3922" s="184"/>
      <c r="N3922" s="184"/>
      <c r="O3922" s="184"/>
    </row>
    <row r="3923" customFormat="false" ht="15" hidden="false" customHeight="true" outlineLevel="0" collapsed="false">
      <c r="A3923" s="184"/>
      <c r="B3923" s="184"/>
      <c r="C3923" s="184"/>
      <c r="D3923" s="184"/>
      <c r="E3923" s="184"/>
      <c r="F3923" s="184"/>
      <c r="G3923" s="184"/>
      <c r="H3923" s="184"/>
      <c r="I3923" s="184"/>
      <c r="J3923" s="184"/>
      <c r="K3923" s="184"/>
      <c r="L3923" s="184"/>
      <c r="M3923" s="184"/>
      <c r="N3923" s="184"/>
      <c r="O3923" s="184"/>
    </row>
    <row r="3924" customFormat="false" ht="15" hidden="false" customHeight="true" outlineLevel="0" collapsed="false">
      <c r="A3924" s="184"/>
      <c r="B3924" s="184"/>
      <c r="C3924" s="184"/>
      <c r="D3924" s="184"/>
      <c r="E3924" s="184"/>
      <c r="F3924" s="184"/>
      <c r="G3924" s="184"/>
      <c r="H3924" s="184"/>
      <c r="I3924" s="184"/>
      <c r="J3924" s="184"/>
      <c r="K3924" s="184"/>
      <c r="L3924" s="184"/>
      <c r="M3924" s="184"/>
      <c r="N3924" s="184"/>
      <c r="O3924" s="184"/>
    </row>
    <row r="3925" customFormat="false" ht="15" hidden="false" customHeight="true" outlineLevel="0" collapsed="false">
      <c r="A3925" s="184"/>
      <c r="B3925" s="184"/>
      <c r="C3925" s="184"/>
      <c r="D3925" s="184"/>
      <c r="E3925" s="184"/>
      <c r="F3925" s="184"/>
      <c r="G3925" s="184"/>
      <c r="H3925" s="184"/>
      <c r="I3925" s="184"/>
      <c r="J3925" s="184"/>
      <c r="K3925" s="184"/>
      <c r="L3925" s="184"/>
      <c r="M3925" s="184"/>
      <c r="N3925" s="184"/>
      <c r="O3925" s="184"/>
    </row>
    <row r="3926" customFormat="false" ht="15" hidden="false" customHeight="true" outlineLevel="0" collapsed="false">
      <c r="A3926" s="184"/>
      <c r="B3926" s="184"/>
      <c r="C3926" s="184"/>
      <c r="D3926" s="184"/>
      <c r="E3926" s="184"/>
      <c r="F3926" s="184"/>
      <c r="G3926" s="184"/>
      <c r="H3926" s="184"/>
      <c r="I3926" s="184"/>
      <c r="J3926" s="184"/>
      <c r="K3926" s="184"/>
      <c r="L3926" s="184"/>
      <c r="M3926" s="184"/>
      <c r="N3926" s="184"/>
      <c r="O3926" s="184"/>
    </row>
    <row r="3927" customFormat="false" ht="15" hidden="false" customHeight="true" outlineLevel="0" collapsed="false">
      <c r="A3927" s="184"/>
      <c r="B3927" s="184"/>
      <c r="C3927" s="184"/>
      <c r="D3927" s="184"/>
      <c r="E3927" s="184"/>
      <c r="F3927" s="184"/>
      <c r="G3927" s="184"/>
      <c r="H3927" s="184"/>
      <c r="I3927" s="184"/>
      <c r="J3927" s="184"/>
      <c r="K3927" s="184"/>
      <c r="L3927" s="184"/>
      <c r="M3927" s="184"/>
      <c r="N3927" s="184"/>
      <c r="O3927" s="184"/>
    </row>
    <row r="3928" customFormat="false" ht="15" hidden="false" customHeight="true" outlineLevel="0" collapsed="false">
      <c r="A3928" s="184"/>
      <c r="B3928" s="184"/>
      <c r="C3928" s="184"/>
      <c r="D3928" s="184"/>
      <c r="E3928" s="184"/>
      <c r="F3928" s="184"/>
      <c r="G3928" s="184"/>
      <c r="H3928" s="184"/>
      <c r="I3928" s="184"/>
      <c r="J3928" s="184"/>
      <c r="K3928" s="184"/>
      <c r="L3928" s="184"/>
      <c r="M3928" s="184"/>
      <c r="N3928" s="184"/>
      <c r="O3928" s="184"/>
    </row>
    <row r="3929" customFormat="false" ht="15" hidden="false" customHeight="true" outlineLevel="0" collapsed="false">
      <c r="A3929" s="184"/>
      <c r="B3929" s="184"/>
      <c r="C3929" s="184"/>
      <c r="D3929" s="184"/>
      <c r="E3929" s="184"/>
      <c r="F3929" s="184"/>
      <c r="G3929" s="184"/>
      <c r="H3929" s="184"/>
      <c r="I3929" s="184"/>
      <c r="J3929" s="184"/>
      <c r="K3929" s="184"/>
      <c r="L3929" s="184"/>
      <c r="M3929" s="184"/>
      <c r="N3929" s="184"/>
      <c r="O3929" s="184"/>
    </row>
    <row r="3930" customFormat="false" ht="15" hidden="false" customHeight="true" outlineLevel="0" collapsed="false">
      <c r="A3930" s="184"/>
      <c r="B3930" s="184"/>
      <c r="C3930" s="184"/>
      <c r="D3930" s="184"/>
      <c r="E3930" s="184"/>
      <c r="F3930" s="184"/>
      <c r="G3930" s="184"/>
      <c r="H3930" s="184"/>
      <c r="I3930" s="184"/>
      <c r="J3930" s="184"/>
      <c r="K3930" s="184"/>
      <c r="L3930" s="184"/>
      <c r="M3930" s="184"/>
      <c r="N3930" s="184"/>
      <c r="O3930" s="184"/>
    </row>
    <row r="3931" customFormat="false" ht="15" hidden="false" customHeight="true" outlineLevel="0" collapsed="false">
      <c r="A3931" s="184"/>
      <c r="B3931" s="184"/>
      <c r="C3931" s="184"/>
      <c r="D3931" s="184"/>
      <c r="E3931" s="184"/>
      <c r="F3931" s="184"/>
      <c r="G3931" s="184"/>
      <c r="H3931" s="184"/>
      <c r="I3931" s="184"/>
      <c r="J3931" s="184"/>
      <c r="K3931" s="184"/>
      <c r="L3931" s="184"/>
      <c r="M3931" s="184"/>
      <c r="N3931" s="184"/>
      <c r="O3931" s="184"/>
    </row>
    <row r="3932" customFormat="false" ht="15" hidden="false" customHeight="true" outlineLevel="0" collapsed="false">
      <c r="A3932" s="184"/>
      <c r="B3932" s="184"/>
      <c r="C3932" s="184"/>
      <c r="D3932" s="184"/>
      <c r="E3932" s="184"/>
      <c r="F3932" s="184"/>
      <c r="G3932" s="184"/>
      <c r="H3932" s="184"/>
      <c r="I3932" s="184"/>
      <c r="J3932" s="184"/>
      <c r="K3932" s="184"/>
      <c r="L3932" s="184"/>
      <c r="M3932" s="184"/>
      <c r="N3932" s="184"/>
      <c r="O3932" s="184"/>
    </row>
    <row r="3933" customFormat="false" ht="15" hidden="false" customHeight="true" outlineLevel="0" collapsed="false">
      <c r="A3933" s="184"/>
      <c r="B3933" s="184"/>
      <c r="C3933" s="184"/>
      <c r="D3933" s="184"/>
      <c r="E3933" s="184"/>
      <c r="F3933" s="184"/>
      <c r="G3933" s="184"/>
      <c r="H3933" s="184"/>
      <c r="I3933" s="184"/>
      <c r="J3933" s="184"/>
      <c r="K3933" s="184"/>
      <c r="L3933" s="184"/>
      <c r="M3933" s="184"/>
      <c r="N3933" s="184"/>
      <c r="O3933" s="184"/>
    </row>
    <row r="3934" customFormat="false" ht="15" hidden="false" customHeight="true" outlineLevel="0" collapsed="false">
      <c r="A3934" s="184"/>
      <c r="B3934" s="184"/>
      <c r="C3934" s="184"/>
      <c r="D3934" s="184"/>
      <c r="E3934" s="184"/>
      <c r="F3934" s="184"/>
      <c r="G3934" s="184"/>
      <c r="H3934" s="184"/>
      <c r="I3934" s="184"/>
      <c r="J3934" s="184"/>
      <c r="K3934" s="184"/>
      <c r="L3934" s="184"/>
      <c r="M3934" s="184"/>
      <c r="N3934" s="184"/>
      <c r="O3934" s="184"/>
    </row>
    <row r="3935" customFormat="false" ht="15" hidden="false" customHeight="true" outlineLevel="0" collapsed="false">
      <c r="A3935" s="184"/>
      <c r="B3935" s="184"/>
      <c r="C3935" s="184"/>
      <c r="D3935" s="184"/>
      <c r="E3935" s="184"/>
      <c r="F3935" s="184"/>
      <c r="G3935" s="184"/>
      <c r="H3935" s="184"/>
      <c r="I3935" s="184"/>
      <c r="J3935" s="184"/>
      <c r="K3935" s="184"/>
      <c r="L3935" s="184"/>
      <c r="M3935" s="184"/>
      <c r="N3935" s="184"/>
      <c r="O3935" s="184"/>
    </row>
    <row r="3936" customFormat="false" ht="15" hidden="false" customHeight="true" outlineLevel="0" collapsed="false">
      <c r="A3936" s="184"/>
      <c r="B3936" s="184"/>
      <c r="C3936" s="184"/>
      <c r="D3936" s="184"/>
      <c r="E3936" s="184"/>
      <c r="F3936" s="184"/>
      <c r="G3936" s="184"/>
      <c r="H3936" s="184"/>
      <c r="I3936" s="184"/>
      <c r="J3936" s="184"/>
      <c r="K3936" s="184"/>
      <c r="L3936" s="184"/>
      <c r="M3936" s="184"/>
      <c r="N3936" s="184"/>
      <c r="O3936" s="184"/>
    </row>
    <row r="3937" customFormat="false" ht="15" hidden="false" customHeight="true" outlineLevel="0" collapsed="false">
      <c r="A3937" s="184"/>
      <c r="B3937" s="184"/>
      <c r="C3937" s="184"/>
      <c r="D3937" s="184"/>
      <c r="E3937" s="184"/>
      <c r="F3937" s="184"/>
      <c r="G3937" s="184"/>
      <c r="H3937" s="184"/>
      <c r="I3937" s="184"/>
      <c r="J3937" s="184"/>
      <c r="K3937" s="184"/>
      <c r="L3937" s="184"/>
      <c r="M3937" s="184"/>
      <c r="N3937" s="184"/>
      <c r="O3937" s="184"/>
    </row>
    <row r="3938" customFormat="false" ht="15" hidden="false" customHeight="true" outlineLevel="0" collapsed="false">
      <c r="A3938" s="184"/>
      <c r="B3938" s="184"/>
      <c r="C3938" s="184"/>
      <c r="D3938" s="184"/>
      <c r="E3938" s="184"/>
      <c r="F3938" s="184"/>
      <c r="G3938" s="184"/>
      <c r="H3938" s="184"/>
      <c r="I3938" s="184"/>
      <c r="J3938" s="184"/>
      <c r="K3938" s="184"/>
      <c r="L3938" s="184"/>
      <c r="M3938" s="184"/>
      <c r="N3938" s="184"/>
      <c r="O3938" s="184"/>
    </row>
    <row r="3939" customFormat="false" ht="15" hidden="false" customHeight="true" outlineLevel="0" collapsed="false">
      <c r="A3939" s="184"/>
      <c r="B3939" s="184"/>
      <c r="C3939" s="184"/>
      <c r="D3939" s="184"/>
      <c r="E3939" s="184"/>
      <c r="F3939" s="184"/>
      <c r="G3939" s="184"/>
      <c r="H3939" s="184"/>
      <c r="I3939" s="184"/>
      <c r="J3939" s="184"/>
      <c r="K3939" s="184"/>
      <c r="L3939" s="184"/>
      <c r="M3939" s="184"/>
      <c r="N3939" s="184"/>
      <c r="O3939" s="184"/>
    </row>
    <row r="3940" customFormat="false" ht="15" hidden="false" customHeight="true" outlineLevel="0" collapsed="false">
      <c r="A3940" s="184"/>
      <c r="B3940" s="184"/>
      <c r="C3940" s="184"/>
      <c r="D3940" s="184"/>
      <c r="E3940" s="184"/>
      <c r="F3940" s="184"/>
      <c r="G3940" s="184"/>
      <c r="H3940" s="184"/>
      <c r="I3940" s="184"/>
      <c r="J3940" s="184"/>
      <c r="K3940" s="184"/>
      <c r="L3940" s="184"/>
      <c r="M3940" s="184"/>
      <c r="N3940" s="184"/>
      <c r="O3940" s="184"/>
    </row>
    <row r="3941" customFormat="false" ht="15" hidden="false" customHeight="true" outlineLevel="0" collapsed="false">
      <c r="A3941" s="184"/>
      <c r="B3941" s="184"/>
      <c r="C3941" s="184"/>
      <c r="D3941" s="184"/>
      <c r="E3941" s="184"/>
      <c r="F3941" s="184"/>
      <c r="G3941" s="184"/>
      <c r="H3941" s="184"/>
      <c r="I3941" s="184"/>
      <c r="J3941" s="184"/>
      <c r="K3941" s="184"/>
      <c r="L3941" s="184"/>
      <c r="M3941" s="184"/>
      <c r="N3941" s="184"/>
      <c r="O3941" s="184"/>
    </row>
    <row r="3942" customFormat="false" ht="15" hidden="false" customHeight="true" outlineLevel="0" collapsed="false">
      <c r="A3942" s="184"/>
      <c r="B3942" s="184"/>
      <c r="C3942" s="184"/>
      <c r="D3942" s="184"/>
      <c r="E3942" s="184"/>
      <c r="F3942" s="184"/>
      <c r="G3942" s="184"/>
      <c r="H3942" s="184"/>
      <c r="I3942" s="184"/>
      <c r="J3942" s="184"/>
      <c r="K3942" s="184"/>
      <c r="L3942" s="184"/>
      <c r="M3942" s="184"/>
      <c r="N3942" s="184"/>
      <c r="O3942" s="184"/>
    </row>
    <row r="3943" customFormat="false" ht="15" hidden="false" customHeight="true" outlineLevel="0" collapsed="false">
      <c r="A3943" s="184"/>
      <c r="B3943" s="184"/>
      <c r="C3943" s="184"/>
      <c r="D3943" s="184"/>
      <c r="E3943" s="184"/>
      <c r="F3943" s="184"/>
      <c r="G3943" s="184"/>
      <c r="H3943" s="184"/>
      <c r="I3943" s="184"/>
      <c r="J3943" s="184"/>
      <c r="K3943" s="184"/>
      <c r="L3943" s="184"/>
      <c r="M3943" s="184"/>
      <c r="N3943" s="184"/>
      <c r="O3943" s="184"/>
    </row>
    <row r="3944" customFormat="false" ht="15" hidden="false" customHeight="true" outlineLevel="0" collapsed="false">
      <c r="A3944" s="184"/>
      <c r="B3944" s="184"/>
      <c r="C3944" s="184"/>
      <c r="D3944" s="184"/>
      <c r="E3944" s="184"/>
      <c r="F3944" s="184"/>
      <c r="G3944" s="184"/>
      <c r="H3944" s="184"/>
      <c r="I3944" s="184"/>
      <c r="J3944" s="184"/>
      <c r="K3944" s="184"/>
      <c r="L3944" s="184"/>
      <c r="M3944" s="184"/>
      <c r="N3944" s="184"/>
      <c r="O3944" s="184"/>
    </row>
    <row r="3945" customFormat="false" ht="15" hidden="false" customHeight="true" outlineLevel="0" collapsed="false">
      <c r="A3945" s="184"/>
      <c r="B3945" s="184"/>
      <c r="C3945" s="184"/>
      <c r="D3945" s="184"/>
      <c r="E3945" s="184"/>
      <c r="F3945" s="184"/>
      <c r="G3945" s="184"/>
      <c r="H3945" s="184"/>
      <c r="I3945" s="184"/>
      <c r="J3945" s="184"/>
      <c r="K3945" s="184"/>
      <c r="L3945" s="184"/>
      <c r="M3945" s="184"/>
      <c r="N3945" s="184"/>
      <c r="O3945" s="184"/>
    </row>
    <row r="3946" customFormat="false" ht="15" hidden="false" customHeight="true" outlineLevel="0" collapsed="false">
      <c r="A3946" s="184"/>
      <c r="B3946" s="184"/>
      <c r="C3946" s="184"/>
      <c r="D3946" s="184"/>
      <c r="E3946" s="184"/>
      <c r="F3946" s="184"/>
      <c r="G3946" s="184"/>
      <c r="H3946" s="184"/>
      <c r="I3946" s="184"/>
      <c r="J3946" s="184"/>
      <c r="K3946" s="184"/>
      <c r="L3946" s="184"/>
      <c r="M3946" s="184"/>
      <c r="N3946" s="184"/>
      <c r="O3946" s="184"/>
    </row>
    <row r="3947" customFormat="false" ht="15" hidden="false" customHeight="true" outlineLevel="0" collapsed="false">
      <c r="A3947" s="184"/>
      <c r="B3947" s="184"/>
      <c r="C3947" s="184"/>
      <c r="D3947" s="184"/>
      <c r="E3947" s="184"/>
      <c r="F3947" s="184"/>
      <c r="G3947" s="184"/>
      <c r="H3947" s="184"/>
      <c r="I3947" s="184"/>
      <c r="J3947" s="184"/>
      <c r="K3947" s="184"/>
      <c r="L3947" s="184"/>
      <c r="M3947" s="184"/>
      <c r="N3947" s="184"/>
      <c r="O3947" s="184"/>
    </row>
    <row r="3948" customFormat="false" ht="15" hidden="false" customHeight="true" outlineLevel="0" collapsed="false">
      <c r="A3948" s="184"/>
      <c r="B3948" s="184"/>
      <c r="C3948" s="184"/>
      <c r="D3948" s="184"/>
      <c r="E3948" s="184"/>
      <c r="F3948" s="184"/>
      <c r="G3948" s="184"/>
      <c r="H3948" s="184"/>
      <c r="I3948" s="184"/>
      <c r="J3948" s="184"/>
      <c r="K3948" s="184"/>
      <c r="L3948" s="184"/>
      <c r="M3948" s="184"/>
      <c r="N3948" s="184"/>
      <c r="O3948" s="184"/>
    </row>
    <row r="3949" customFormat="false" ht="15" hidden="false" customHeight="true" outlineLevel="0" collapsed="false">
      <c r="A3949" s="184"/>
      <c r="B3949" s="184"/>
      <c r="C3949" s="184"/>
      <c r="D3949" s="184"/>
      <c r="E3949" s="184"/>
      <c r="F3949" s="184"/>
      <c r="G3949" s="184"/>
      <c r="H3949" s="184"/>
      <c r="I3949" s="184"/>
      <c r="J3949" s="184"/>
      <c r="K3949" s="184"/>
      <c r="L3949" s="184"/>
      <c r="M3949" s="184"/>
      <c r="N3949" s="184"/>
      <c r="O3949" s="184"/>
    </row>
    <row r="3950" customFormat="false" ht="15" hidden="false" customHeight="true" outlineLevel="0" collapsed="false">
      <c r="A3950" s="184"/>
      <c r="B3950" s="184"/>
      <c r="C3950" s="184"/>
      <c r="D3950" s="184"/>
      <c r="E3950" s="184"/>
      <c r="F3950" s="184"/>
      <c r="G3950" s="184"/>
      <c r="H3950" s="184"/>
      <c r="I3950" s="184"/>
      <c r="J3950" s="184"/>
      <c r="K3950" s="184"/>
      <c r="L3950" s="184"/>
      <c r="M3950" s="184"/>
      <c r="N3950" s="184"/>
      <c r="O3950" s="184"/>
    </row>
    <row r="3951" customFormat="false" ht="15" hidden="false" customHeight="true" outlineLevel="0" collapsed="false">
      <c r="A3951" s="184"/>
      <c r="B3951" s="184"/>
      <c r="C3951" s="184"/>
      <c r="D3951" s="184"/>
      <c r="E3951" s="184"/>
      <c r="F3951" s="184"/>
      <c r="G3951" s="184"/>
      <c r="H3951" s="184"/>
      <c r="I3951" s="184"/>
      <c r="J3951" s="184"/>
      <c r="K3951" s="184"/>
      <c r="L3951" s="184"/>
      <c r="M3951" s="184"/>
      <c r="N3951" s="184"/>
      <c r="O3951" s="184"/>
    </row>
    <row r="3952" customFormat="false" ht="15" hidden="false" customHeight="true" outlineLevel="0" collapsed="false">
      <c r="A3952" s="184"/>
      <c r="B3952" s="184"/>
      <c r="C3952" s="184"/>
      <c r="D3952" s="184"/>
      <c r="E3952" s="184"/>
      <c r="F3952" s="184"/>
      <c r="G3952" s="184"/>
      <c r="H3952" s="184"/>
      <c r="I3952" s="184"/>
      <c r="J3952" s="184"/>
      <c r="K3952" s="184"/>
      <c r="L3952" s="184"/>
      <c r="M3952" s="184"/>
      <c r="N3952" s="184"/>
      <c r="O3952" s="184"/>
    </row>
    <row r="3953" customFormat="false" ht="15" hidden="false" customHeight="true" outlineLevel="0" collapsed="false">
      <c r="A3953" s="184"/>
      <c r="B3953" s="184"/>
      <c r="C3953" s="184"/>
      <c r="D3953" s="184"/>
      <c r="E3953" s="184"/>
      <c r="F3953" s="184"/>
      <c r="G3953" s="184"/>
      <c r="H3953" s="184"/>
      <c r="I3953" s="184"/>
      <c r="J3953" s="184"/>
      <c r="K3953" s="184"/>
      <c r="L3953" s="184"/>
      <c r="M3953" s="184"/>
      <c r="N3953" s="184"/>
      <c r="O3953" s="184"/>
    </row>
    <row r="3954" customFormat="false" ht="15" hidden="false" customHeight="true" outlineLevel="0" collapsed="false">
      <c r="A3954" s="184"/>
      <c r="B3954" s="184"/>
      <c r="C3954" s="184"/>
      <c r="D3954" s="184"/>
      <c r="E3954" s="184"/>
      <c r="F3954" s="184"/>
      <c r="G3954" s="184"/>
      <c r="H3954" s="184"/>
      <c r="I3954" s="184"/>
      <c r="J3954" s="184"/>
      <c r="K3954" s="184"/>
      <c r="L3954" s="184"/>
      <c r="M3954" s="184"/>
      <c r="N3954" s="184"/>
      <c r="O3954" s="184"/>
    </row>
    <row r="3955" customFormat="false" ht="15" hidden="false" customHeight="true" outlineLevel="0" collapsed="false">
      <c r="A3955" s="184"/>
      <c r="B3955" s="184"/>
      <c r="C3955" s="184"/>
      <c r="D3955" s="184"/>
      <c r="E3955" s="184"/>
      <c r="F3955" s="184"/>
      <c r="G3955" s="184"/>
      <c r="H3955" s="184"/>
      <c r="I3955" s="184"/>
      <c r="J3955" s="184"/>
      <c r="K3955" s="184"/>
      <c r="L3955" s="184"/>
      <c r="M3955" s="184"/>
      <c r="N3955" s="184"/>
      <c r="O3955" s="184"/>
    </row>
    <row r="3956" customFormat="false" ht="15" hidden="false" customHeight="true" outlineLevel="0" collapsed="false">
      <c r="A3956" s="184"/>
      <c r="B3956" s="184"/>
      <c r="C3956" s="184"/>
      <c r="D3956" s="184"/>
      <c r="E3956" s="184"/>
      <c r="F3956" s="184"/>
      <c r="G3956" s="184"/>
      <c r="H3956" s="184"/>
      <c r="I3956" s="184"/>
      <c r="J3956" s="184"/>
      <c r="K3956" s="184"/>
      <c r="L3956" s="184"/>
      <c r="M3956" s="184"/>
      <c r="N3956" s="184"/>
      <c r="O3956" s="184"/>
    </row>
    <row r="3957" customFormat="false" ht="15" hidden="false" customHeight="true" outlineLevel="0" collapsed="false">
      <c r="A3957" s="184"/>
      <c r="B3957" s="184"/>
      <c r="C3957" s="184"/>
      <c r="D3957" s="184"/>
      <c r="E3957" s="184"/>
      <c r="F3957" s="184"/>
      <c r="G3957" s="184"/>
      <c r="H3957" s="184"/>
      <c r="I3957" s="184"/>
      <c r="J3957" s="184"/>
      <c r="K3957" s="184"/>
      <c r="L3957" s="184"/>
      <c r="M3957" s="184"/>
      <c r="N3957" s="184"/>
      <c r="O3957" s="184"/>
    </row>
    <row r="3958" customFormat="false" ht="15" hidden="false" customHeight="true" outlineLevel="0" collapsed="false">
      <c r="A3958" s="184"/>
      <c r="B3958" s="184"/>
      <c r="C3958" s="184"/>
      <c r="D3958" s="184"/>
      <c r="E3958" s="184"/>
      <c r="F3958" s="184"/>
      <c r="G3958" s="184"/>
      <c r="H3958" s="184"/>
      <c r="I3958" s="184"/>
      <c r="J3958" s="184"/>
      <c r="K3958" s="184"/>
      <c r="L3958" s="184"/>
      <c r="M3958" s="184"/>
      <c r="N3958" s="184"/>
      <c r="O3958" s="184"/>
    </row>
    <row r="3959" customFormat="false" ht="15" hidden="false" customHeight="true" outlineLevel="0" collapsed="false">
      <c r="A3959" s="184"/>
      <c r="B3959" s="184"/>
      <c r="C3959" s="184"/>
      <c r="D3959" s="184"/>
      <c r="E3959" s="184"/>
      <c r="F3959" s="184"/>
      <c r="G3959" s="184"/>
      <c r="H3959" s="184"/>
      <c r="I3959" s="184"/>
      <c r="J3959" s="184"/>
      <c r="K3959" s="184"/>
      <c r="L3959" s="184"/>
      <c r="M3959" s="184"/>
      <c r="N3959" s="184"/>
      <c r="O3959" s="184"/>
    </row>
    <row r="3960" customFormat="false" ht="15" hidden="false" customHeight="true" outlineLevel="0" collapsed="false">
      <c r="A3960" s="184"/>
      <c r="B3960" s="184"/>
      <c r="C3960" s="184"/>
      <c r="D3960" s="184"/>
      <c r="E3960" s="184"/>
      <c r="F3960" s="184"/>
      <c r="G3960" s="184"/>
      <c r="H3960" s="184"/>
      <c r="I3960" s="184"/>
      <c r="J3960" s="184"/>
      <c r="K3960" s="184"/>
      <c r="L3960" s="184"/>
      <c r="M3960" s="184"/>
      <c r="N3960" s="184"/>
      <c r="O3960" s="184"/>
    </row>
    <row r="3961" customFormat="false" ht="15" hidden="false" customHeight="true" outlineLevel="0" collapsed="false">
      <c r="A3961" s="184"/>
      <c r="B3961" s="184"/>
      <c r="C3961" s="184"/>
      <c r="D3961" s="184"/>
      <c r="E3961" s="184"/>
      <c r="F3961" s="184"/>
      <c r="G3961" s="184"/>
      <c r="H3961" s="184"/>
      <c r="I3961" s="184"/>
      <c r="J3961" s="184"/>
      <c r="K3961" s="184"/>
      <c r="L3961" s="184"/>
      <c r="M3961" s="184"/>
      <c r="N3961" s="184"/>
      <c r="O3961" s="184"/>
    </row>
    <row r="3962" customFormat="false" ht="15" hidden="false" customHeight="true" outlineLevel="0" collapsed="false">
      <c r="A3962" s="184"/>
      <c r="B3962" s="184"/>
      <c r="C3962" s="184"/>
      <c r="D3962" s="184"/>
      <c r="E3962" s="184"/>
      <c r="F3962" s="184"/>
      <c r="G3962" s="184"/>
      <c r="H3962" s="184"/>
      <c r="I3962" s="184"/>
      <c r="J3962" s="184"/>
      <c r="K3962" s="184"/>
      <c r="L3962" s="184"/>
      <c r="M3962" s="184"/>
      <c r="N3962" s="184"/>
      <c r="O3962" s="184"/>
    </row>
    <row r="3963" customFormat="false" ht="15" hidden="false" customHeight="true" outlineLevel="0" collapsed="false">
      <c r="A3963" s="184"/>
      <c r="B3963" s="184"/>
      <c r="C3963" s="184"/>
      <c r="D3963" s="184"/>
      <c r="E3963" s="184"/>
      <c r="F3963" s="184"/>
      <c r="G3963" s="184"/>
      <c r="H3963" s="184"/>
      <c r="I3963" s="184"/>
      <c r="J3963" s="184"/>
      <c r="K3963" s="184"/>
      <c r="L3963" s="184"/>
      <c r="M3963" s="184"/>
      <c r="N3963" s="184"/>
      <c r="O3963" s="184"/>
    </row>
    <row r="3964" customFormat="false" ht="15" hidden="false" customHeight="true" outlineLevel="0" collapsed="false">
      <c r="A3964" s="184"/>
      <c r="B3964" s="184"/>
      <c r="C3964" s="184"/>
      <c r="D3964" s="184"/>
      <c r="E3964" s="184"/>
      <c r="F3964" s="184"/>
      <c r="G3964" s="184"/>
      <c r="H3964" s="184"/>
      <c r="I3964" s="184"/>
      <c r="J3964" s="184"/>
      <c r="K3964" s="184"/>
      <c r="L3964" s="184"/>
      <c r="M3964" s="184"/>
      <c r="N3964" s="184"/>
      <c r="O3964" s="184"/>
    </row>
    <row r="3965" customFormat="false" ht="15" hidden="false" customHeight="true" outlineLevel="0" collapsed="false">
      <c r="A3965" s="184"/>
      <c r="B3965" s="184"/>
      <c r="C3965" s="184"/>
      <c r="D3965" s="184"/>
      <c r="E3965" s="184"/>
      <c r="F3965" s="184"/>
      <c r="G3965" s="184"/>
      <c r="H3965" s="184"/>
      <c r="I3965" s="184"/>
      <c r="J3965" s="184"/>
      <c r="K3965" s="184"/>
      <c r="L3965" s="184"/>
      <c r="M3965" s="184"/>
      <c r="N3965" s="184"/>
      <c r="O3965" s="184"/>
    </row>
    <row r="3966" customFormat="false" ht="15" hidden="false" customHeight="true" outlineLevel="0" collapsed="false">
      <c r="A3966" s="184"/>
      <c r="B3966" s="184"/>
      <c r="C3966" s="184"/>
      <c r="D3966" s="184"/>
      <c r="E3966" s="184"/>
      <c r="F3966" s="184"/>
      <c r="G3966" s="184"/>
      <c r="H3966" s="184"/>
      <c r="I3966" s="184"/>
      <c r="J3966" s="184"/>
      <c r="K3966" s="184"/>
      <c r="L3966" s="184"/>
      <c r="M3966" s="184"/>
      <c r="N3966" s="184"/>
      <c r="O3966" s="184"/>
    </row>
    <row r="3967" customFormat="false" ht="15" hidden="false" customHeight="true" outlineLevel="0" collapsed="false">
      <c r="A3967" s="184"/>
      <c r="B3967" s="184"/>
      <c r="C3967" s="184"/>
      <c r="D3967" s="184"/>
      <c r="E3967" s="184"/>
      <c r="F3967" s="184"/>
      <c r="G3967" s="184"/>
      <c r="H3967" s="184"/>
      <c r="I3967" s="184"/>
      <c r="J3967" s="184"/>
      <c r="K3967" s="184"/>
      <c r="L3967" s="184"/>
      <c r="M3967" s="184"/>
      <c r="N3967" s="184"/>
      <c r="O3967" s="184"/>
    </row>
    <row r="3968" customFormat="false" ht="15" hidden="false" customHeight="true" outlineLevel="0" collapsed="false">
      <c r="A3968" s="184"/>
      <c r="B3968" s="184"/>
      <c r="C3968" s="184"/>
      <c r="D3968" s="184"/>
      <c r="E3968" s="184"/>
      <c r="F3968" s="184"/>
      <c r="G3968" s="184"/>
      <c r="H3968" s="184"/>
      <c r="I3968" s="184"/>
      <c r="J3968" s="184"/>
      <c r="K3968" s="184"/>
      <c r="L3968" s="184"/>
      <c r="M3968" s="184"/>
      <c r="N3968" s="184"/>
      <c r="O3968" s="184"/>
    </row>
    <row r="3969" customFormat="false" ht="15" hidden="false" customHeight="true" outlineLevel="0" collapsed="false">
      <c r="A3969" s="184"/>
      <c r="B3969" s="184"/>
      <c r="C3969" s="184"/>
      <c r="D3969" s="184"/>
      <c r="E3969" s="184"/>
      <c r="F3969" s="184"/>
      <c r="G3969" s="184"/>
      <c r="H3969" s="184"/>
      <c r="I3969" s="184"/>
      <c r="J3969" s="184"/>
      <c r="K3969" s="184"/>
      <c r="L3969" s="184"/>
      <c r="M3969" s="184"/>
      <c r="N3969" s="184"/>
      <c r="O3969" s="184"/>
    </row>
    <row r="3970" customFormat="false" ht="15" hidden="false" customHeight="true" outlineLevel="0" collapsed="false">
      <c r="A3970" s="184"/>
      <c r="B3970" s="184"/>
      <c r="C3970" s="184"/>
      <c r="D3970" s="184"/>
      <c r="E3970" s="184"/>
      <c r="F3970" s="184"/>
      <c r="G3970" s="184"/>
      <c r="H3970" s="184"/>
      <c r="I3970" s="184"/>
      <c r="J3970" s="184"/>
      <c r="K3970" s="184"/>
      <c r="L3970" s="184"/>
      <c r="M3970" s="184"/>
      <c r="N3970" s="184"/>
      <c r="O3970" s="184"/>
    </row>
    <row r="3971" customFormat="false" ht="15" hidden="false" customHeight="true" outlineLevel="0" collapsed="false">
      <c r="A3971" s="184"/>
      <c r="B3971" s="184"/>
      <c r="C3971" s="184"/>
      <c r="D3971" s="184"/>
      <c r="E3971" s="184"/>
      <c r="F3971" s="184"/>
      <c r="G3971" s="184"/>
      <c r="H3971" s="184"/>
      <c r="I3971" s="184"/>
      <c r="J3971" s="184"/>
      <c r="K3971" s="184"/>
      <c r="L3971" s="184"/>
      <c r="M3971" s="184"/>
      <c r="N3971" s="184"/>
      <c r="O3971" s="184"/>
    </row>
    <row r="3972" customFormat="false" ht="15" hidden="false" customHeight="true" outlineLevel="0" collapsed="false">
      <c r="A3972" s="184"/>
      <c r="B3972" s="184"/>
      <c r="C3972" s="184"/>
      <c r="D3972" s="184"/>
      <c r="E3972" s="184"/>
      <c r="F3972" s="184"/>
      <c r="G3972" s="184"/>
      <c r="H3972" s="184"/>
      <c r="I3972" s="184"/>
      <c r="J3972" s="184"/>
      <c r="K3972" s="184"/>
      <c r="L3972" s="184"/>
      <c r="M3972" s="184"/>
      <c r="N3972" s="184"/>
      <c r="O3972" s="184"/>
    </row>
    <row r="3973" customFormat="false" ht="15" hidden="false" customHeight="true" outlineLevel="0" collapsed="false">
      <c r="A3973" s="184"/>
      <c r="B3973" s="184"/>
      <c r="C3973" s="184"/>
      <c r="D3973" s="184"/>
      <c r="E3973" s="184"/>
      <c r="F3973" s="184"/>
      <c r="G3973" s="184"/>
      <c r="H3973" s="184"/>
      <c r="I3973" s="184"/>
      <c r="J3973" s="184"/>
      <c r="K3973" s="184"/>
      <c r="L3973" s="184"/>
      <c r="M3973" s="184"/>
      <c r="N3973" s="184"/>
      <c r="O3973" s="184"/>
    </row>
    <row r="3974" customFormat="false" ht="15" hidden="false" customHeight="true" outlineLevel="0" collapsed="false">
      <c r="A3974" s="184"/>
      <c r="B3974" s="184"/>
      <c r="C3974" s="184"/>
      <c r="D3974" s="184"/>
      <c r="E3974" s="184"/>
      <c r="F3974" s="184"/>
      <c r="G3974" s="184"/>
      <c r="H3974" s="184"/>
      <c r="I3974" s="184"/>
      <c r="J3974" s="184"/>
      <c r="K3974" s="184"/>
      <c r="L3974" s="184"/>
      <c r="M3974" s="184"/>
      <c r="N3974" s="184"/>
      <c r="O3974" s="184"/>
    </row>
    <row r="3975" customFormat="false" ht="15" hidden="false" customHeight="true" outlineLevel="0" collapsed="false">
      <c r="A3975" s="184"/>
      <c r="B3975" s="184"/>
      <c r="C3975" s="184"/>
      <c r="D3975" s="184"/>
      <c r="E3975" s="184"/>
      <c r="F3975" s="184"/>
      <c r="G3975" s="184"/>
      <c r="H3975" s="184"/>
      <c r="I3975" s="184"/>
      <c r="J3975" s="184"/>
      <c r="K3975" s="184"/>
      <c r="L3975" s="184"/>
      <c r="M3975" s="184"/>
      <c r="N3975" s="184"/>
      <c r="O3975" s="184"/>
    </row>
    <row r="3976" customFormat="false" ht="15" hidden="false" customHeight="true" outlineLevel="0" collapsed="false">
      <c r="A3976" s="184"/>
      <c r="B3976" s="184"/>
      <c r="C3976" s="184"/>
      <c r="D3976" s="184"/>
      <c r="E3976" s="184"/>
      <c r="F3976" s="184"/>
      <c r="G3976" s="184"/>
      <c r="H3976" s="184"/>
      <c r="I3976" s="184"/>
      <c r="J3976" s="184"/>
      <c r="K3976" s="184"/>
      <c r="L3976" s="184"/>
      <c r="M3976" s="184"/>
      <c r="N3976" s="184"/>
      <c r="O3976" s="184"/>
    </row>
    <row r="3977" customFormat="false" ht="15" hidden="false" customHeight="true" outlineLevel="0" collapsed="false">
      <c r="A3977" s="184"/>
      <c r="B3977" s="184"/>
      <c r="C3977" s="184"/>
      <c r="D3977" s="184"/>
      <c r="E3977" s="184"/>
      <c r="F3977" s="184"/>
      <c r="G3977" s="184"/>
      <c r="H3977" s="184"/>
      <c r="I3977" s="184"/>
      <c r="J3977" s="184"/>
      <c r="K3977" s="184"/>
      <c r="L3977" s="184"/>
      <c r="M3977" s="184"/>
      <c r="N3977" s="184"/>
      <c r="O3977" s="184"/>
    </row>
    <row r="3978" customFormat="false" ht="15" hidden="false" customHeight="true" outlineLevel="0" collapsed="false">
      <c r="A3978" s="184"/>
      <c r="B3978" s="184"/>
      <c r="C3978" s="184"/>
      <c r="D3978" s="184"/>
      <c r="E3978" s="184"/>
      <c r="F3978" s="184"/>
      <c r="G3978" s="184"/>
      <c r="H3978" s="184"/>
      <c r="I3978" s="184"/>
      <c r="J3978" s="184"/>
      <c r="K3978" s="184"/>
      <c r="L3978" s="184"/>
      <c r="M3978" s="184"/>
      <c r="N3978" s="184"/>
      <c r="O3978" s="184"/>
    </row>
    <row r="3979" customFormat="false" ht="15" hidden="false" customHeight="true" outlineLevel="0" collapsed="false">
      <c r="A3979" s="184"/>
      <c r="B3979" s="184"/>
      <c r="C3979" s="184"/>
      <c r="D3979" s="184"/>
      <c r="E3979" s="184"/>
      <c r="F3979" s="184"/>
      <c r="G3979" s="184"/>
      <c r="H3979" s="184"/>
      <c r="I3979" s="184"/>
      <c r="J3979" s="184"/>
      <c r="K3979" s="184"/>
      <c r="L3979" s="184"/>
      <c r="M3979" s="184"/>
      <c r="N3979" s="184"/>
      <c r="O3979" s="184"/>
    </row>
    <row r="3980" customFormat="false" ht="15" hidden="false" customHeight="true" outlineLevel="0" collapsed="false">
      <c r="A3980" s="184"/>
      <c r="B3980" s="184"/>
      <c r="C3980" s="184"/>
      <c r="D3980" s="184"/>
      <c r="E3980" s="184"/>
      <c r="F3980" s="184"/>
      <c r="G3980" s="184"/>
      <c r="H3980" s="184"/>
      <c r="I3980" s="184"/>
      <c r="J3980" s="184"/>
      <c r="K3980" s="184"/>
      <c r="L3980" s="184"/>
      <c r="M3980" s="184"/>
      <c r="N3980" s="184"/>
      <c r="O3980" s="184"/>
    </row>
    <row r="3981" customFormat="false" ht="15" hidden="false" customHeight="true" outlineLevel="0" collapsed="false">
      <c r="A3981" s="184"/>
      <c r="B3981" s="184"/>
      <c r="C3981" s="184"/>
      <c r="D3981" s="184"/>
      <c r="E3981" s="184"/>
      <c r="F3981" s="184"/>
      <c r="G3981" s="184"/>
      <c r="H3981" s="184"/>
      <c r="I3981" s="184"/>
      <c r="J3981" s="184"/>
      <c r="K3981" s="184"/>
      <c r="L3981" s="184"/>
      <c r="M3981" s="184"/>
      <c r="N3981" s="184"/>
      <c r="O3981" s="184"/>
    </row>
    <row r="3982" customFormat="false" ht="15" hidden="false" customHeight="true" outlineLevel="0" collapsed="false">
      <c r="A3982" s="184"/>
      <c r="B3982" s="184"/>
      <c r="C3982" s="184"/>
      <c r="D3982" s="184"/>
      <c r="E3982" s="184"/>
      <c r="F3982" s="184"/>
      <c r="G3982" s="184"/>
      <c r="H3982" s="184"/>
      <c r="I3982" s="184"/>
      <c r="J3982" s="184"/>
      <c r="K3982" s="184"/>
      <c r="L3982" s="184"/>
      <c r="M3982" s="184"/>
      <c r="N3982" s="184"/>
      <c r="O3982" s="184"/>
    </row>
    <row r="3983" customFormat="false" ht="15" hidden="false" customHeight="true" outlineLevel="0" collapsed="false">
      <c r="A3983" s="184"/>
      <c r="B3983" s="184"/>
      <c r="C3983" s="184"/>
      <c r="D3983" s="184"/>
      <c r="E3983" s="184"/>
      <c r="F3983" s="184"/>
      <c r="G3983" s="184"/>
      <c r="H3983" s="184"/>
      <c r="I3983" s="184"/>
      <c r="J3983" s="184"/>
      <c r="K3983" s="184"/>
      <c r="L3983" s="184"/>
      <c r="M3983" s="184"/>
      <c r="N3983" s="184"/>
      <c r="O3983" s="184"/>
    </row>
    <row r="3984" customFormat="false" ht="15" hidden="false" customHeight="true" outlineLevel="0" collapsed="false">
      <c r="A3984" s="184"/>
      <c r="B3984" s="184"/>
      <c r="C3984" s="184"/>
      <c r="D3984" s="184"/>
      <c r="E3984" s="184"/>
      <c r="F3984" s="184"/>
      <c r="G3984" s="184"/>
      <c r="H3984" s="184"/>
      <c r="I3984" s="184"/>
      <c r="J3984" s="184"/>
      <c r="K3984" s="184"/>
      <c r="L3984" s="184"/>
      <c r="M3984" s="184"/>
      <c r="N3984" s="184"/>
      <c r="O3984" s="184"/>
    </row>
    <row r="3985" customFormat="false" ht="15" hidden="false" customHeight="true" outlineLevel="0" collapsed="false">
      <c r="A3985" s="184"/>
      <c r="B3985" s="184"/>
      <c r="C3985" s="184"/>
      <c r="D3985" s="184"/>
      <c r="E3985" s="184"/>
      <c r="F3985" s="184"/>
      <c r="G3985" s="184"/>
      <c r="H3985" s="184"/>
      <c r="I3985" s="184"/>
      <c r="J3985" s="184"/>
      <c r="K3985" s="184"/>
      <c r="L3985" s="184"/>
      <c r="M3985" s="184"/>
      <c r="N3985" s="184"/>
      <c r="O3985" s="184"/>
    </row>
    <row r="3986" customFormat="false" ht="15" hidden="false" customHeight="true" outlineLevel="0" collapsed="false">
      <c r="A3986" s="184"/>
      <c r="B3986" s="184"/>
      <c r="C3986" s="184"/>
      <c r="D3986" s="184"/>
      <c r="E3986" s="184"/>
      <c r="F3986" s="184"/>
      <c r="G3986" s="184"/>
      <c r="H3986" s="184"/>
      <c r="I3986" s="184"/>
      <c r="J3986" s="184"/>
      <c r="K3986" s="184"/>
      <c r="L3986" s="184"/>
      <c r="M3986" s="184"/>
      <c r="N3986" s="184"/>
      <c r="O3986" s="184"/>
    </row>
    <row r="3987" customFormat="false" ht="15" hidden="false" customHeight="true" outlineLevel="0" collapsed="false">
      <c r="A3987" s="184"/>
      <c r="B3987" s="184"/>
      <c r="C3987" s="184"/>
      <c r="D3987" s="184"/>
      <c r="E3987" s="184"/>
      <c r="F3987" s="184"/>
      <c r="G3987" s="184"/>
      <c r="H3987" s="184"/>
      <c r="I3987" s="184"/>
      <c r="J3987" s="184"/>
      <c r="K3987" s="184"/>
      <c r="L3987" s="184"/>
      <c r="M3987" s="184"/>
      <c r="N3987" s="184"/>
      <c r="O3987" s="184"/>
    </row>
    <row r="3988" customFormat="false" ht="15" hidden="false" customHeight="true" outlineLevel="0" collapsed="false">
      <c r="A3988" s="184"/>
      <c r="B3988" s="184"/>
      <c r="C3988" s="184"/>
      <c r="D3988" s="184"/>
      <c r="E3988" s="184"/>
      <c r="F3988" s="184"/>
      <c r="G3988" s="184"/>
      <c r="H3988" s="184"/>
      <c r="I3988" s="184"/>
      <c r="J3988" s="184"/>
      <c r="K3988" s="184"/>
      <c r="L3988" s="184"/>
      <c r="M3988" s="184"/>
      <c r="N3988" s="184"/>
      <c r="O3988" s="184"/>
    </row>
    <row r="3989" customFormat="false" ht="15" hidden="false" customHeight="true" outlineLevel="0" collapsed="false">
      <c r="A3989" s="184"/>
      <c r="B3989" s="184"/>
      <c r="C3989" s="184"/>
      <c r="D3989" s="184"/>
      <c r="E3989" s="184"/>
      <c r="F3989" s="184"/>
      <c r="G3989" s="184"/>
      <c r="H3989" s="184"/>
      <c r="I3989" s="184"/>
      <c r="J3989" s="184"/>
      <c r="K3989" s="184"/>
      <c r="L3989" s="184"/>
      <c r="M3989" s="184"/>
      <c r="N3989" s="184"/>
      <c r="O3989" s="184"/>
    </row>
    <row r="3990" customFormat="false" ht="15" hidden="false" customHeight="true" outlineLevel="0" collapsed="false">
      <c r="A3990" s="184"/>
      <c r="B3990" s="184"/>
      <c r="C3990" s="184"/>
      <c r="D3990" s="184"/>
      <c r="E3990" s="184"/>
      <c r="F3990" s="184"/>
      <c r="G3990" s="184"/>
      <c r="H3990" s="184"/>
      <c r="I3990" s="184"/>
      <c r="J3990" s="184"/>
      <c r="K3990" s="184"/>
      <c r="L3990" s="184"/>
      <c r="M3990" s="184"/>
      <c r="N3990" s="184"/>
      <c r="O3990" s="184"/>
    </row>
    <row r="3991" customFormat="false" ht="15" hidden="false" customHeight="true" outlineLevel="0" collapsed="false">
      <c r="A3991" s="184"/>
      <c r="B3991" s="184"/>
      <c r="C3991" s="184"/>
      <c r="D3991" s="184"/>
      <c r="E3991" s="184"/>
      <c r="F3991" s="184"/>
      <c r="G3991" s="184"/>
      <c r="H3991" s="184"/>
      <c r="I3991" s="184"/>
      <c r="J3991" s="184"/>
      <c r="K3991" s="184"/>
      <c r="L3991" s="184"/>
      <c r="M3991" s="184"/>
      <c r="N3991" s="184"/>
      <c r="O3991" s="184"/>
    </row>
    <row r="3992" customFormat="false" ht="15" hidden="false" customHeight="true" outlineLevel="0" collapsed="false">
      <c r="A3992" s="184"/>
      <c r="B3992" s="184"/>
      <c r="C3992" s="184"/>
      <c r="D3992" s="184"/>
      <c r="E3992" s="184"/>
      <c r="F3992" s="184"/>
      <c r="G3992" s="184"/>
      <c r="H3992" s="184"/>
      <c r="I3992" s="184"/>
      <c r="J3992" s="184"/>
      <c r="K3992" s="184"/>
      <c r="L3992" s="184"/>
      <c r="M3992" s="184"/>
      <c r="N3992" s="184"/>
      <c r="O3992" s="184"/>
    </row>
    <row r="3993" customFormat="false" ht="15" hidden="false" customHeight="true" outlineLevel="0" collapsed="false">
      <c r="A3993" s="184"/>
      <c r="B3993" s="184"/>
      <c r="C3993" s="184"/>
      <c r="D3993" s="184"/>
      <c r="E3993" s="184"/>
      <c r="F3993" s="184"/>
      <c r="G3993" s="184"/>
      <c r="H3993" s="184"/>
      <c r="I3993" s="184"/>
      <c r="J3993" s="184"/>
      <c r="K3993" s="184"/>
      <c r="L3993" s="184"/>
      <c r="M3993" s="184"/>
      <c r="N3993" s="184"/>
      <c r="O3993" s="184"/>
    </row>
    <row r="3994" customFormat="false" ht="15" hidden="false" customHeight="true" outlineLevel="0" collapsed="false">
      <c r="A3994" s="184"/>
      <c r="B3994" s="184"/>
      <c r="C3994" s="184"/>
      <c r="D3994" s="184"/>
      <c r="E3994" s="184"/>
      <c r="F3994" s="184"/>
      <c r="G3994" s="184"/>
      <c r="H3994" s="184"/>
      <c r="I3994" s="184"/>
      <c r="J3994" s="184"/>
      <c r="K3994" s="184"/>
      <c r="L3994" s="184"/>
      <c r="M3994" s="184"/>
      <c r="N3994" s="184"/>
      <c r="O3994" s="184"/>
    </row>
    <row r="3995" customFormat="false" ht="15" hidden="false" customHeight="true" outlineLevel="0" collapsed="false">
      <c r="A3995" s="184"/>
      <c r="B3995" s="184"/>
      <c r="C3995" s="184"/>
      <c r="D3995" s="184"/>
      <c r="E3995" s="184"/>
      <c r="F3995" s="184"/>
      <c r="G3995" s="184"/>
      <c r="H3995" s="184"/>
      <c r="I3995" s="184"/>
      <c r="J3995" s="184"/>
      <c r="K3995" s="184"/>
      <c r="L3995" s="184"/>
      <c r="M3995" s="184"/>
      <c r="N3995" s="184"/>
      <c r="O3995" s="184"/>
    </row>
    <row r="3996" customFormat="false" ht="15" hidden="false" customHeight="true" outlineLevel="0" collapsed="false">
      <c r="A3996" s="184"/>
      <c r="B3996" s="184"/>
      <c r="C3996" s="184"/>
      <c r="D3996" s="184"/>
      <c r="E3996" s="184"/>
      <c r="F3996" s="184"/>
      <c r="G3996" s="184"/>
      <c r="H3996" s="184"/>
      <c r="I3996" s="184"/>
      <c r="J3996" s="184"/>
      <c r="K3996" s="184"/>
      <c r="L3996" s="184"/>
      <c r="M3996" s="184"/>
      <c r="N3996" s="184"/>
      <c r="O3996" s="184"/>
    </row>
    <row r="3997" customFormat="false" ht="15" hidden="false" customHeight="true" outlineLevel="0" collapsed="false">
      <c r="A3997" s="184"/>
      <c r="B3997" s="184"/>
      <c r="C3997" s="184"/>
      <c r="D3997" s="184"/>
      <c r="E3997" s="184"/>
      <c r="F3997" s="184"/>
      <c r="G3997" s="184"/>
      <c r="H3997" s="184"/>
      <c r="I3997" s="184"/>
      <c r="J3997" s="184"/>
      <c r="K3997" s="184"/>
      <c r="L3997" s="184"/>
      <c r="M3997" s="184"/>
      <c r="N3997" s="184"/>
      <c r="O3997" s="184"/>
    </row>
    <row r="3998" customFormat="false" ht="15" hidden="false" customHeight="true" outlineLevel="0" collapsed="false">
      <c r="A3998" s="184"/>
      <c r="B3998" s="184"/>
      <c r="C3998" s="184"/>
      <c r="D3998" s="184"/>
      <c r="E3998" s="184"/>
      <c r="F3998" s="184"/>
      <c r="G3998" s="184"/>
      <c r="H3998" s="184"/>
      <c r="I3998" s="184"/>
      <c r="J3998" s="184"/>
      <c r="K3998" s="184"/>
      <c r="L3998" s="184"/>
      <c r="M3998" s="184"/>
      <c r="N3998" s="184"/>
      <c r="O3998" s="184"/>
    </row>
    <row r="3999" customFormat="false" ht="15" hidden="false" customHeight="true" outlineLevel="0" collapsed="false">
      <c r="A3999" s="184"/>
      <c r="B3999" s="184"/>
      <c r="C3999" s="184"/>
      <c r="D3999" s="184"/>
      <c r="E3999" s="184"/>
      <c r="F3999" s="184"/>
      <c r="G3999" s="184"/>
      <c r="H3999" s="184"/>
      <c r="I3999" s="184"/>
      <c r="J3999" s="184"/>
      <c r="K3999" s="184"/>
      <c r="L3999" s="184"/>
      <c r="M3999" s="184"/>
      <c r="N3999" s="184"/>
      <c r="O3999" s="184"/>
    </row>
    <row r="4000" customFormat="false" ht="15" hidden="false" customHeight="true" outlineLevel="0" collapsed="false">
      <c r="A4000" s="184"/>
      <c r="B4000" s="184"/>
      <c r="C4000" s="184"/>
      <c r="D4000" s="184"/>
      <c r="E4000" s="184"/>
      <c r="F4000" s="184"/>
      <c r="G4000" s="184"/>
      <c r="H4000" s="184"/>
      <c r="I4000" s="184"/>
      <c r="J4000" s="184"/>
      <c r="K4000" s="184"/>
      <c r="L4000" s="184"/>
      <c r="M4000" s="184"/>
      <c r="N4000" s="184"/>
      <c r="O4000" s="184"/>
    </row>
    <row r="4001" customFormat="false" ht="15" hidden="false" customHeight="true" outlineLevel="0" collapsed="false">
      <c r="A4001" s="184"/>
      <c r="B4001" s="184"/>
      <c r="C4001" s="184"/>
      <c r="D4001" s="184"/>
      <c r="E4001" s="184"/>
      <c r="F4001" s="184"/>
      <c r="G4001" s="184"/>
      <c r="H4001" s="184"/>
      <c r="I4001" s="184"/>
      <c r="J4001" s="184"/>
      <c r="K4001" s="184"/>
      <c r="L4001" s="184"/>
      <c r="M4001" s="184"/>
      <c r="N4001" s="184"/>
      <c r="O4001" s="184"/>
    </row>
    <row r="4002" customFormat="false" ht="15" hidden="false" customHeight="true" outlineLevel="0" collapsed="false">
      <c r="A4002" s="184"/>
      <c r="B4002" s="184"/>
      <c r="C4002" s="184"/>
      <c r="D4002" s="184"/>
      <c r="E4002" s="184"/>
      <c r="F4002" s="184"/>
      <c r="G4002" s="184"/>
      <c r="H4002" s="184"/>
      <c r="I4002" s="184"/>
      <c r="J4002" s="184"/>
      <c r="K4002" s="184"/>
      <c r="L4002" s="184"/>
      <c r="M4002" s="184"/>
      <c r="N4002" s="184"/>
      <c r="O4002" s="184"/>
    </row>
    <row r="4003" customFormat="false" ht="15" hidden="false" customHeight="true" outlineLevel="0" collapsed="false">
      <c r="A4003" s="184"/>
      <c r="B4003" s="184"/>
      <c r="C4003" s="184"/>
      <c r="D4003" s="184"/>
      <c r="E4003" s="184"/>
      <c r="F4003" s="184"/>
      <c r="G4003" s="184"/>
      <c r="H4003" s="184"/>
      <c r="I4003" s="184"/>
      <c r="J4003" s="184"/>
      <c r="K4003" s="184"/>
      <c r="L4003" s="184"/>
      <c r="M4003" s="184"/>
      <c r="N4003" s="184"/>
      <c r="O4003" s="184"/>
    </row>
    <row r="4004" customFormat="false" ht="15" hidden="false" customHeight="true" outlineLevel="0" collapsed="false">
      <c r="A4004" s="184"/>
      <c r="B4004" s="184"/>
      <c r="C4004" s="184"/>
      <c r="D4004" s="184"/>
      <c r="E4004" s="184"/>
      <c r="F4004" s="184"/>
      <c r="G4004" s="184"/>
      <c r="H4004" s="184"/>
      <c r="I4004" s="184"/>
      <c r="J4004" s="184"/>
      <c r="K4004" s="184"/>
      <c r="L4004" s="184"/>
      <c r="M4004" s="184"/>
      <c r="N4004" s="184"/>
      <c r="O4004" s="184"/>
    </row>
    <row r="4005" customFormat="false" ht="15" hidden="false" customHeight="true" outlineLevel="0" collapsed="false">
      <c r="A4005" s="184"/>
      <c r="B4005" s="184"/>
      <c r="C4005" s="184"/>
      <c r="D4005" s="184"/>
      <c r="E4005" s="184"/>
      <c r="F4005" s="184"/>
      <c r="G4005" s="184"/>
      <c r="H4005" s="184"/>
      <c r="I4005" s="184"/>
      <c r="J4005" s="184"/>
      <c r="K4005" s="184"/>
      <c r="L4005" s="184"/>
      <c r="M4005" s="184"/>
      <c r="N4005" s="184"/>
      <c r="O4005" s="184"/>
    </row>
    <row r="4006" customFormat="false" ht="15" hidden="false" customHeight="true" outlineLevel="0" collapsed="false">
      <c r="A4006" s="184"/>
      <c r="B4006" s="184"/>
      <c r="C4006" s="184"/>
      <c r="D4006" s="184"/>
      <c r="E4006" s="184"/>
      <c r="F4006" s="184"/>
      <c r="G4006" s="184"/>
      <c r="H4006" s="184"/>
      <c r="I4006" s="184"/>
      <c r="J4006" s="184"/>
      <c r="K4006" s="184"/>
      <c r="L4006" s="184"/>
      <c r="M4006" s="184"/>
      <c r="N4006" s="184"/>
      <c r="O4006" s="184"/>
    </row>
    <row r="4007" customFormat="false" ht="15" hidden="false" customHeight="true" outlineLevel="0" collapsed="false">
      <c r="A4007" s="184"/>
      <c r="B4007" s="184"/>
      <c r="C4007" s="184"/>
      <c r="D4007" s="184"/>
      <c r="E4007" s="184"/>
      <c r="F4007" s="184"/>
      <c r="G4007" s="184"/>
      <c r="H4007" s="184"/>
      <c r="I4007" s="184"/>
      <c r="J4007" s="184"/>
      <c r="K4007" s="184"/>
      <c r="L4007" s="184"/>
      <c r="M4007" s="184"/>
      <c r="N4007" s="184"/>
      <c r="O4007" s="184"/>
    </row>
    <row r="4008" customFormat="false" ht="15" hidden="false" customHeight="true" outlineLevel="0" collapsed="false">
      <c r="A4008" s="184"/>
      <c r="B4008" s="184"/>
      <c r="C4008" s="184"/>
      <c r="D4008" s="184"/>
      <c r="E4008" s="184"/>
      <c r="F4008" s="184"/>
      <c r="G4008" s="184"/>
      <c r="H4008" s="184"/>
      <c r="I4008" s="184"/>
      <c r="J4008" s="184"/>
      <c r="K4008" s="184"/>
      <c r="L4008" s="184"/>
      <c r="M4008" s="184"/>
      <c r="N4008" s="184"/>
      <c r="O4008" s="184"/>
    </row>
    <row r="4009" customFormat="false" ht="15" hidden="false" customHeight="true" outlineLevel="0" collapsed="false">
      <c r="A4009" s="184"/>
      <c r="B4009" s="184"/>
      <c r="C4009" s="184"/>
      <c r="D4009" s="184"/>
      <c r="E4009" s="184"/>
      <c r="F4009" s="184"/>
      <c r="G4009" s="184"/>
      <c r="H4009" s="184"/>
      <c r="I4009" s="184"/>
      <c r="J4009" s="184"/>
      <c r="K4009" s="184"/>
      <c r="L4009" s="184"/>
      <c r="M4009" s="184"/>
      <c r="N4009" s="184"/>
      <c r="O4009" s="184"/>
    </row>
    <row r="4010" customFormat="false" ht="15" hidden="false" customHeight="true" outlineLevel="0" collapsed="false">
      <c r="A4010" s="184"/>
      <c r="B4010" s="184"/>
      <c r="C4010" s="184"/>
      <c r="D4010" s="184"/>
      <c r="E4010" s="184"/>
      <c r="F4010" s="184"/>
      <c r="G4010" s="184"/>
      <c r="H4010" s="184"/>
      <c r="I4010" s="184"/>
      <c r="J4010" s="184"/>
      <c r="K4010" s="184"/>
      <c r="L4010" s="184"/>
      <c r="M4010" s="184"/>
      <c r="N4010" s="184"/>
      <c r="O4010" s="184"/>
    </row>
    <row r="4011" customFormat="false" ht="15" hidden="false" customHeight="true" outlineLevel="0" collapsed="false">
      <c r="A4011" s="184"/>
      <c r="B4011" s="184"/>
      <c r="C4011" s="184"/>
      <c r="D4011" s="184"/>
      <c r="E4011" s="184"/>
      <c r="F4011" s="184"/>
      <c r="G4011" s="184"/>
      <c r="H4011" s="184"/>
      <c r="I4011" s="184"/>
      <c r="J4011" s="184"/>
      <c r="K4011" s="184"/>
      <c r="L4011" s="184"/>
      <c r="M4011" s="184"/>
      <c r="N4011" s="184"/>
      <c r="O4011" s="184"/>
    </row>
    <row r="4012" customFormat="false" ht="15" hidden="false" customHeight="true" outlineLevel="0" collapsed="false">
      <c r="A4012" s="184"/>
      <c r="B4012" s="184"/>
      <c r="C4012" s="184"/>
      <c r="D4012" s="184"/>
      <c r="E4012" s="184"/>
      <c r="F4012" s="184"/>
      <c r="G4012" s="184"/>
      <c r="H4012" s="184"/>
      <c r="I4012" s="184"/>
      <c r="J4012" s="184"/>
      <c r="K4012" s="184"/>
      <c r="L4012" s="184"/>
      <c r="M4012" s="184"/>
      <c r="N4012" s="184"/>
      <c r="O4012" s="184"/>
    </row>
    <row r="4013" customFormat="false" ht="15" hidden="false" customHeight="true" outlineLevel="0" collapsed="false">
      <c r="A4013" s="184"/>
      <c r="B4013" s="184"/>
      <c r="C4013" s="184"/>
      <c r="D4013" s="184"/>
      <c r="E4013" s="184"/>
      <c r="F4013" s="184"/>
      <c r="G4013" s="184"/>
      <c r="H4013" s="184"/>
      <c r="I4013" s="184"/>
      <c r="J4013" s="184"/>
      <c r="K4013" s="184"/>
      <c r="L4013" s="184"/>
      <c r="M4013" s="184"/>
      <c r="N4013" s="184"/>
      <c r="O4013" s="184"/>
    </row>
    <row r="4014" customFormat="false" ht="15" hidden="false" customHeight="true" outlineLevel="0" collapsed="false">
      <c r="A4014" s="184"/>
      <c r="B4014" s="184"/>
      <c r="C4014" s="184"/>
      <c r="D4014" s="184"/>
      <c r="E4014" s="184"/>
      <c r="F4014" s="184"/>
      <c r="G4014" s="184"/>
      <c r="H4014" s="184"/>
      <c r="I4014" s="184"/>
      <c r="J4014" s="184"/>
      <c r="K4014" s="184"/>
      <c r="L4014" s="184"/>
      <c r="M4014" s="184"/>
      <c r="N4014" s="184"/>
      <c r="O4014" s="184"/>
    </row>
    <row r="4015" customFormat="false" ht="15" hidden="false" customHeight="true" outlineLevel="0" collapsed="false">
      <c r="A4015" s="184"/>
      <c r="B4015" s="184"/>
      <c r="C4015" s="184"/>
      <c r="D4015" s="184"/>
      <c r="E4015" s="184"/>
      <c r="F4015" s="184"/>
      <c r="G4015" s="184"/>
      <c r="H4015" s="184"/>
      <c r="I4015" s="184"/>
      <c r="J4015" s="184"/>
      <c r="K4015" s="184"/>
      <c r="L4015" s="184"/>
      <c r="M4015" s="184"/>
      <c r="N4015" s="184"/>
      <c r="O4015" s="184"/>
    </row>
    <row r="4016" customFormat="false" ht="15" hidden="false" customHeight="true" outlineLevel="0" collapsed="false">
      <c r="A4016" s="184"/>
      <c r="B4016" s="184"/>
      <c r="C4016" s="184"/>
      <c r="D4016" s="184"/>
      <c r="E4016" s="184"/>
      <c r="F4016" s="184"/>
      <c r="G4016" s="184"/>
      <c r="H4016" s="184"/>
      <c r="I4016" s="184"/>
      <c r="J4016" s="184"/>
      <c r="K4016" s="184"/>
      <c r="L4016" s="184"/>
      <c r="M4016" s="184"/>
      <c r="N4016" s="184"/>
      <c r="O4016" s="184"/>
    </row>
    <row r="4017" customFormat="false" ht="15" hidden="false" customHeight="true" outlineLevel="0" collapsed="false">
      <c r="A4017" s="184"/>
      <c r="B4017" s="184"/>
      <c r="C4017" s="184"/>
      <c r="D4017" s="184"/>
      <c r="E4017" s="184"/>
      <c r="F4017" s="184"/>
      <c r="G4017" s="184"/>
      <c r="H4017" s="184"/>
      <c r="I4017" s="184"/>
      <c r="J4017" s="184"/>
      <c r="K4017" s="184"/>
      <c r="L4017" s="184"/>
      <c r="M4017" s="184"/>
      <c r="N4017" s="184"/>
      <c r="O4017" s="184"/>
    </row>
    <row r="4018" customFormat="false" ht="15" hidden="false" customHeight="true" outlineLevel="0" collapsed="false">
      <c r="A4018" s="184"/>
      <c r="B4018" s="184"/>
      <c r="C4018" s="184"/>
      <c r="D4018" s="184"/>
      <c r="E4018" s="184"/>
      <c r="F4018" s="184"/>
      <c r="G4018" s="184"/>
      <c r="H4018" s="184"/>
      <c r="I4018" s="184"/>
      <c r="J4018" s="184"/>
      <c r="K4018" s="184"/>
      <c r="L4018" s="184"/>
      <c r="M4018" s="184"/>
      <c r="N4018" s="184"/>
      <c r="O4018" s="184"/>
    </row>
    <row r="4019" customFormat="false" ht="15" hidden="false" customHeight="true" outlineLevel="0" collapsed="false">
      <c r="A4019" s="184"/>
      <c r="B4019" s="184"/>
      <c r="C4019" s="184"/>
      <c r="D4019" s="184"/>
      <c r="E4019" s="184"/>
      <c r="F4019" s="184"/>
      <c r="G4019" s="184"/>
      <c r="H4019" s="184"/>
      <c r="I4019" s="184"/>
      <c r="J4019" s="184"/>
      <c r="K4019" s="184"/>
      <c r="L4019" s="184"/>
      <c r="M4019" s="184"/>
      <c r="N4019" s="184"/>
      <c r="O4019" s="184"/>
    </row>
    <row r="4020" customFormat="false" ht="15" hidden="false" customHeight="true" outlineLevel="0" collapsed="false">
      <c r="A4020" s="184"/>
      <c r="B4020" s="184"/>
      <c r="C4020" s="184"/>
      <c r="D4020" s="184"/>
      <c r="E4020" s="184"/>
      <c r="F4020" s="184"/>
      <c r="G4020" s="184"/>
      <c r="H4020" s="184"/>
      <c r="I4020" s="184"/>
      <c r="J4020" s="184"/>
      <c r="K4020" s="184"/>
      <c r="L4020" s="184"/>
      <c r="M4020" s="184"/>
      <c r="N4020" s="184"/>
      <c r="O4020" s="184"/>
    </row>
    <row r="4021" customFormat="false" ht="15" hidden="false" customHeight="true" outlineLevel="0" collapsed="false">
      <c r="A4021" s="184"/>
      <c r="B4021" s="184"/>
      <c r="C4021" s="184"/>
      <c r="D4021" s="184"/>
      <c r="E4021" s="184"/>
      <c r="F4021" s="184"/>
      <c r="G4021" s="184"/>
      <c r="H4021" s="184"/>
      <c r="I4021" s="184"/>
      <c r="J4021" s="184"/>
      <c r="K4021" s="184"/>
      <c r="L4021" s="184"/>
      <c r="M4021" s="184"/>
      <c r="N4021" s="184"/>
      <c r="O4021" s="184"/>
    </row>
    <row r="4022" customFormat="false" ht="15" hidden="false" customHeight="true" outlineLevel="0" collapsed="false">
      <c r="A4022" s="184"/>
      <c r="B4022" s="184"/>
      <c r="C4022" s="184"/>
      <c r="D4022" s="184"/>
      <c r="E4022" s="184"/>
      <c r="F4022" s="184"/>
      <c r="G4022" s="184"/>
      <c r="H4022" s="184"/>
      <c r="I4022" s="184"/>
      <c r="J4022" s="184"/>
      <c r="K4022" s="184"/>
      <c r="L4022" s="184"/>
      <c r="M4022" s="184"/>
      <c r="N4022" s="184"/>
      <c r="O4022" s="184"/>
    </row>
    <row r="4023" customFormat="false" ht="15" hidden="false" customHeight="true" outlineLevel="0" collapsed="false">
      <c r="A4023" s="184"/>
      <c r="B4023" s="184"/>
      <c r="C4023" s="184"/>
      <c r="D4023" s="184"/>
      <c r="E4023" s="184"/>
      <c r="F4023" s="184"/>
      <c r="G4023" s="184"/>
      <c r="H4023" s="184"/>
      <c r="I4023" s="184"/>
      <c r="J4023" s="184"/>
      <c r="K4023" s="184"/>
      <c r="L4023" s="184"/>
      <c r="M4023" s="184"/>
      <c r="N4023" s="184"/>
      <c r="O4023" s="184"/>
    </row>
    <row r="4024" customFormat="false" ht="15" hidden="false" customHeight="true" outlineLevel="0" collapsed="false">
      <c r="A4024" s="184"/>
      <c r="B4024" s="184"/>
      <c r="C4024" s="184"/>
      <c r="D4024" s="184"/>
      <c r="E4024" s="184"/>
      <c r="F4024" s="184"/>
      <c r="G4024" s="184"/>
      <c r="H4024" s="184"/>
      <c r="I4024" s="184"/>
      <c r="J4024" s="184"/>
      <c r="K4024" s="184"/>
      <c r="L4024" s="184"/>
      <c r="M4024" s="184"/>
      <c r="N4024" s="184"/>
      <c r="O4024" s="184"/>
    </row>
    <row r="4025" customFormat="false" ht="15" hidden="false" customHeight="true" outlineLevel="0" collapsed="false">
      <c r="A4025" s="184"/>
      <c r="B4025" s="184"/>
      <c r="C4025" s="184"/>
      <c r="D4025" s="184"/>
      <c r="E4025" s="184"/>
      <c r="F4025" s="184"/>
      <c r="G4025" s="184"/>
      <c r="H4025" s="184"/>
      <c r="I4025" s="184"/>
      <c r="J4025" s="184"/>
      <c r="K4025" s="184"/>
      <c r="L4025" s="184"/>
      <c r="M4025" s="184"/>
      <c r="N4025" s="184"/>
      <c r="O4025" s="184"/>
    </row>
    <row r="4026" customFormat="false" ht="15" hidden="false" customHeight="true" outlineLevel="0" collapsed="false">
      <c r="A4026" s="184"/>
      <c r="B4026" s="184"/>
      <c r="C4026" s="184"/>
      <c r="D4026" s="184"/>
      <c r="E4026" s="184"/>
      <c r="F4026" s="184"/>
      <c r="G4026" s="184"/>
      <c r="H4026" s="184"/>
      <c r="I4026" s="184"/>
      <c r="J4026" s="184"/>
      <c r="K4026" s="184"/>
      <c r="L4026" s="184"/>
      <c r="M4026" s="184"/>
      <c r="N4026" s="184"/>
      <c r="O4026" s="184"/>
    </row>
    <row r="4027" customFormat="false" ht="15" hidden="false" customHeight="true" outlineLevel="0" collapsed="false">
      <c r="A4027" s="184"/>
      <c r="B4027" s="184"/>
      <c r="C4027" s="184"/>
      <c r="D4027" s="184"/>
      <c r="E4027" s="184"/>
      <c r="F4027" s="184"/>
      <c r="G4027" s="184"/>
      <c r="H4027" s="184"/>
      <c r="I4027" s="184"/>
      <c r="J4027" s="184"/>
      <c r="K4027" s="184"/>
      <c r="L4027" s="184"/>
      <c r="M4027" s="184"/>
      <c r="N4027" s="184"/>
      <c r="O4027" s="184"/>
    </row>
    <row r="4028" customFormat="false" ht="15" hidden="false" customHeight="true" outlineLevel="0" collapsed="false">
      <c r="A4028" s="184"/>
      <c r="B4028" s="184"/>
      <c r="C4028" s="184"/>
      <c r="D4028" s="184"/>
      <c r="E4028" s="184"/>
      <c r="F4028" s="184"/>
      <c r="G4028" s="184"/>
      <c r="H4028" s="184"/>
      <c r="I4028" s="184"/>
      <c r="J4028" s="184"/>
      <c r="K4028" s="184"/>
      <c r="L4028" s="184"/>
      <c r="M4028" s="184"/>
      <c r="N4028" s="184"/>
      <c r="O4028" s="184"/>
    </row>
    <row r="4029" customFormat="false" ht="15" hidden="false" customHeight="true" outlineLevel="0" collapsed="false">
      <c r="A4029" s="184"/>
      <c r="B4029" s="184"/>
      <c r="C4029" s="184"/>
      <c r="D4029" s="184"/>
      <c r="E4029" s="184"/>
      <c r="F4029" s="184"/>
      <c r="G4029" s="184"/>
      <c r="H4029" s="184"/>
      <c r="I4029" s="184"/>
      <c r="J4029" s="184"/>
      <c r="K4029" s="184"/>
      <c r="L4029" s="184"/>
      <c r="M4029" s="184"/>
      <c r="N4029" s="184"/>
      <c r="O4029" s="184"/>
    </row>
    <row r="4030" customFormat="false" ht="15" hidden="false" customHeight="true" outlineLevel="0" collapsed="false">
      <c r="A4030" s="184"/>
      <c r="B4030" s="184"/>
      <c r="C4030" s="184"/>
      <c r="D4030" s="184"/>
      <c r="E4030" s="184"/>
      <c r="F4030" s="184"/>
      <c r="G4030" s="184"/>
      <c r="H4030" s="184"/>
      <c r="I4030" s="184"/>
      <c r="J4030" s="184"/>
      <c r="K4030" s="184"/>
      <c r="L4030" s="184"/>
      <c r="M4030" s="184"/>
      <c r="N4030" s="184"/>
      <c r="O4030" s="184"/>
    </row>
    <row r="4031" customFormat="false" ht="15" hidden="false" customHeight="true" outlineLevel="0" collapsed="false">
      <c r="A4031" s="184"/>
      <c r="B4031" s="184"/>
      <c r="C4031" s="184"/>
      <c r="D4031" s="184"/>
      <c r="E4031" s="184"/>
      <c r="F4031" s="184"/>
      <c r="G4031" s="184"/>
      <c r="H4031" s="184"/>
      <c r="I4031" s="184"/>
      <c r="J4031" s="184"/>
      <c r="K4031" s="184"/>
      <c r="L4031" s="184"/>
      <c r="M4031" s="184"/>
      <c r="N4031" s="184"/>
      <c r="O4031" s="184"/>
    </row>
    <row r="4032" customFormat="false" ht="15" hidden="false" customHeight="true" outlineLevel="0" collapsed="false">
      <c r="A4032" s="184"/>
      <c r="B4032" s="184"/>
      <c r="C4032" s="184"/>
      <c r="D4032" s="184"/>
      <c r="E4032" s="184"/>
      <c r="F4032" s="184"/>
      <c r="G4032" s="184"/>
      <c r="H4032" s="184"/>
      <c r="I4032" s="184"/>
      <c r="J4032" s="184"/>
      <c r="K4032" s="184"/>
      <c r="L4032" s="184"/>
      <c r="M4032" s="184"/>
      <c r="N4032" s="184"/>
      <c r="O4032" s="184"/>
    </row>
    <row r="4033" customFormat="false" ht="15" hidden="false" customHeight="true" outlineLevel="0" collapsed="false">
      <c r="A4033" s="184"/>
      <c r="B4033" s="184"/>
      <c r="C4033" s="184"/>
      <c r="D4033" s="184"/>
      <c r="E4033" s="184"/>
      <c r="F4033" s="184"/>
      <c r="G4033" s="184"/>
      <c r="H4033" s="184"/>
      <c r="I4033" s="184"/>
      <c r="J4033" s="184"/>
      <c r="K4033" s="184"/>
      <c r="L4033" s="184"/>
      <c r="M4033" s="184"/>
      <c r="N4033" s="184"/>
      <c r="O4033" s="184"/>
    </row>
    <row r="4034" customFormat="false" ht="15" hidden="false" customHeight="true" outlineLevel="0" collapsed="false">
      <c r="A4034" s="184"/>
      <c r="B4034" s="184"/>
      <c r="C4034" s="184"/>
      <c r="D4034" s="184"/>
      <c r="E4034" s="184"/>
      <c r="F4034" s="184"/>
      <c r="G4034" s="184"/>
      <c r="H4034" s="184"/>
      <c r="I4034" s="184"/>
      <c r="J4034" s="184"/>
      <c r="K4034" s="184"/>
      <c r="L4034" s="184"/>
      <c r="M4034" s="184"/>
      <c r="N4034" s="184"/>
      <c r="O4034" s="184"/>
    </row>
    <row r="4035" customFormat="false" ht="15" hidden="false" customHeight="true" outlineLevel="0" collapsed="false">
      <c r="A4035" s="184"/>
      <c r="B4035" s="184"/>
      <c r="C4035" s="184"/>
      <c r="D4035" s="184"/>
      <c r="E4035" s="184"/>
      <c r="F4035" s="184"/>
      <c r="G4035" s="184"/>
      <c r="H4035" s="184"/>
      <c r="I4035" s="184"/>
      <c r="J4035" s="184"/>
      <c r="K4035" s="184"/>
      <c r="L4035" s="184"/>
      <c r="M4035" s="184"/>
      <c r="N4035" s="184"/>
      <c r="O4035" s="184"/>
    </row>
    <row r="4036" customFormat="false" ht="15" hidden="false" customHeight="true" outlineLevel="0" collapsed="false">
      <c r="A4036" s="184"/>
      <c r="B4036" s="184"/>
      <c r="C4036" s="184"/>
      <c r="D4036" s="184"/>
      <c r="E4036" s="184"/>
      <c r="F4036" s="184"/>
      <c r="G4036" s="184"/>
      <c r="H4036" s="184"/>
      <c r="I4036" s="184"/>
      <c r="J4036" s="184"/>
      <c r="K4036" s="184"/>
      <c r="L4036" s="184"/>
      <c r="M4036" s="184"/>
      <c r="N4036" s="184"/>
      <c r="O4036" s="184"/>
    </row>
    <row r="4037" customFormat="false" ht="15" hidden="false" customHeight="true" outlineLevel="0" collapsed="false">
      <c r="A4037" s="184"/>
      <c r="B4037" s="184"/>
      <c r="C4037" s="184"/>
      <c r="D4037" s="184"/>
      <c r="E4037" s="184"/>
      <c r="F4037" s="184"/>
      <c r="G4037" s="184"/>
      <c r="H4037" s="184"/>
      <c r="I4037" s="184"/>
      <c r="J4037" s="184"/>
      <c r="K4037" s="184"/>
      <c r="L4037" s="184"/>
      <c r="M4037" s="184"/>
      <c r="N4037" s="184"/>
      <c r="O4037" s="184"/>
    </row>
    <row r="4038" customFormat="false" ht="15" hidden="false" customHeight="true" outlineLevel="0" collapsed="false">
      <c r="A4038" s="184"/>
      <c r="B4038" s="184"/>
      <c r="C4038" s="184"/>
      <c r="D4038" s="184"/>
      <c r="E4038" s="184"/>
      <c r="F4038" s="184"/>
      <c r="G4038" s="184"/>
      <c r="H4038" s="184"/>
      <c r="I4038" s="184"/>
      <c r="J4038" s="184"/>
      <c r="K4038" s="184"/>
      <c r="L4038" s="184"/>
      <c r="M4038" s="184"/>
      <c r="N4038" s="184"/>
      <c r="O4038" s="184"/>
    </row>
    <row r="4039" customFormat="false" ht="15" hidden="false" customHeight="true" outlineLevel="0" collapsed="false">
      <c r="A4039" s="184"/>
      <c r="B4039" s="184"/>
      <c r="C4039" s="184"/>
      <c r="D4039" s="184"/>
      <c r="E4039" s="184"/>
      <c r="F4039" s="184"/>
      <c r="G4039" s="184"/>
      <c r="H4039" s="184"/>
      <c r="I4039" s="184"/>
      <c r="J4039" s="184"/>
      <c r="K4039" s="184"/>
      <c r="L4039" s="184"/>
      <c r="M4039" s="184"/>
      <c r="N4039" s="184"/>
      <c r="O4039" s="184"/>
    </row>
    <row r="4040" customFormat="false" ht="15" hidden="false" customHeight="true" outlineLevel="0" collapsed="false">
      <c r="A4040" s="184"/>
      <c r="B4040" s="184"/>
      <c r="C4040" s="184"/>
      <c r="D4040" s="184"/>
      <c r="E4040" s="184"/>
      <c r="F4040" s="184"/>
      <c r="G4040" s="184"/>
      <c r="H4040" s="184"/>
      <c r="I4040" s="184"/>
      <c r="J4040" s="184"/>
      <c r="K4040" s="184"/>
      <c r="L4040" s="184"/>
      <c r="M4040" s="184"/>
      <c r="N4040" s="184"/>
      <c r="O4040" s="184"/>
    </row>
    <row r="4041" customFormat="false" ht="15" hidden="false" customHeight="true" outlineLevel="0" collapsed="false">
      <c r="A4041" s="184"/>
      <c r="B4041" s="184"/>
      <c r="C4041" s="184"/>
      <c r="D4041" s="184"/>
      <c r="E4041" s="184"/>
      <c r="F4041" s="184"/>
      <c r="G4041" s="184"/>
      <c r="H4041" s="184"/>
      <c r="I4041" s="184"/>
      <c r="J4041" s="184"/>
      <c r="K4041" s="184"/>
      <c r="L4041" s="184"/>
      <c r="M4041" s="184"/>
      <c r="N4041" s="184"/>
      <c r="O4041" s="184"/>
    </row>
    <row r="4042" customFormat="false" ht="15" hidden="false" customHeight="true" outlineLevel="0" collapsed="false">
      <c r="A4042" s="184"/>
      <c r="B4042" s="184"/>
      <c r="C4042" s="184"/>
      <c r="D4042" s="184"/>
      <c r="E4042" s="184"/>
      <c r="F4042" s="184"/>
      <c r="G4042" s="184"/>
      <c r="H4042" s="184"/>
      <c r="I4042" s="184"/>
      <c r="J4042" s="184"/>
      <c r="K4042" s="184"/>
      <c r="L4042" s="184"/>
      <c r="M4042" s="184"/>
      <c r="N4042" s="184"/>
      <c r="O4042" s="184"/>
    </row>
    <row r="4043" customFormat="false" ht="15" hidden="false" customHeight="true" outlineLevel="0" collapsed="false">
      <c r="A4043" s="184"/>
      <c r="B4043" s="184"/>
      <c r="C4043" s="184"/>
      <c r="D4043" s="184"/>
      <c r="E4043" s="184"/>
      <c r="F4043" s="184"/>
      <c r="G4043" s="184"/>
      <c r="H4043" s="184"/>
      <c r="I4043" s="184"/>
      <c r="J4043" s="184"/>
      <c r="K4043" s="184"/>
      <c r="L4043" s="184"/>
      <c r="M4043" s="184"/>
      <c r="N4043" s="184"/>
      <c r="O4043" s="184"/>
    </row>
    <row r="4044" customFormat="false" ht="15" hidden="false" customHeight="true" outlineLevel="0" collapsed="false">
      <c r="A4044" s="184"/>
      <c r="B4044" s="184"/>
      <c r="C4044" s="184"/>
      <c r="D4044" s="184"/>
      <c r="E4044" s="184"/>
      <c r="F4044" s="184"/>
      <c r="G4044" s="184"/>
      <c r="H4044" s="184"/>
      <c r="I4044" s="184"/>
      <c r="J4044" s="184"/>
      <c r="K4044" s="184"/>
      <c r="L4044" s="184"/>
      <c r="M4044" s="184"/>
      <c r="N4044" s="184"/>
      <c r="O4044" s="184"/>
    </row>
    <row r="4045" customFormat="false" ht="15" hidden="false" customHeight="true" outlineLevel="0" collapsed="false">
      <c r="A4045" s="184"/>
      <c r="B4045" s="184"/>
      <c r="C4045" s="184"/>
      <c r="D4045" s="184"/>
      <c r="E4045" s="184"/>
      <c r="F4045" s="184"/>
      <c r="G4045" s="184"/>
      <c r="H4045" s="184"/>
      <c r="I4045" s="184"/>
      <c r="J4045" s="184"/>
      <c r="K4045" s="184"/>
      <c r="L4045" s="184"/>
      <c r="M4045" s="184"/>
      <c r="N4045" s="184"/>
      <c r="O4045" s="184"/>
    </row>
    <row r="4046" customFormat="false" ht="15" hidden="false" customHeight="true" outlineLevel="0" collapsed="false">
      <c r="A4046" s="184"/>
      <c r="B4046" s="184"/>
      <c r="C4046" s="184"/>
      <c r="D4046" s="184"/>
      <c r="E4046" s="184"/>
      <c r="F4046" s="184"/>
      <c r="G4046" s="184"/>
      <c r="H4046" s="184"/>
      <c r="I4046" s="184"/>
      <c r="J4046" s="184"/>
      <c r="K4046" s="184"/>
      <c r="L4046" s="184"/>
      <c r="M4046" s="184"/>
      <c r="N4046" s="184"/>
      <c r="O4046" s="184"/>
    </row>
    <row r="4047" customFormat="false" ht="15" hidden="false" customHeight="true" outlineLevel="0" collapsed="false">
      <c r="A4047" s="184"/>
      <c r="B4047" s="184"/>
      <c r="C4047" s="184"/>
      <c r="D4047" s="184"/>
      <c r="E4047" s="184"/>
      <c r="F4047" s="184"/>
      <c r="G4047" s="184"/>
      <c r="H4047" s="184"/>
      <c r="I4047" s="184"/>
      <c r="J4047" s="184"/>
      <c r="K4047" s="184"/>
      <c r="L4047" s="184"/>
      <c r="M4047" s="184"/>
      <c r="N4047" s="184"/>
      <c r="O4047" s="184"/>
    </row>
    <row r="4048" customFormat="false" ht="15" hidden="false" customHeight="true" outlineLevel="0" collapsed="false">
      <c r="A4048" s="184"/>
      <c r="B4048" s="184"/>
      <c r="C4048" s="184"/>
      <c r="D4048" s="184"/>
      <c r="E4048" s="184"/>
      <c r="F4048" s="184"/>
      <c r="G4048" s="184"/>
      <c r="H4048" s="184"/>
      <c r="I4048" s="184"/>
      <c r="J4048" s="184"/>
      <c r="K4048" s="184"/>
      <c r="L4048" s="184"/>
      <c r="M4048" s="184"/>
      <c r="N4048" s="184"/>
      <c r="O4048" s="184"/>
    </row>
    <row r="4049" customFormat="false" ht="15" hidden="false" customHeight="true" outlineLevel="0" collapsed="false">
      <c r="A4049" s="184"/>
      <c r="B4049" s="184"/>
      <c r="C4049" s="184"/>
      <c r="D4049" s="184"/>
      <c r="E4049" s="184"/>
      <c r="F4049" s="184"/>
      <c r="G4049" s="184"/>
      <c r="H4049" s="184"/>
      <c r="I4049" s="184"/>
      <c r="J4049" s="184"/>
      <c r="K4049" s="184"/>
      <c r="L4049" s="184"/>
      <c r="M4049" s="184"/>
      <c r="N4049" s="184"/>
      <c r="O4049" s="184"/>
    </row>
    <row r="4050" customFormat="false" ht="15" hidden="false" customHeight="true" outlineLevel="0" collapsed="false">
      <c r="A4050" s="184"/>
      <c r="B4050" s="184"/>
      <c r="C4050" s="184"/>
      <c r="D4050" s="184"/>
      <c r="E4050" s="184"/>
      <c r="F4050" s="184"/>
      <c r="G4050" s="184"/>
      <c r="H4050" s="184"/>
      <c r="I4050" s="184"/>
      <c r="J4050" s="184"/>
      <c r="K4050" s="184"/>
      <c r="L4050" s="184"/>
      <c r="M4050" s="184"/>
      <c r="N4050" s="184"/>
      <c r="O4050" s="184"/>
    </row>
    <row r="4051" customFormat="false" ht="15" hidden="false" customHeight="true" outlineLevel="0" collapsed="false">
      <c r="A4051" s="184"/>
      <c r="B4051" s="184"/>
      <c r="C4051" s="184"/>
      <c r="D4051" s="184"/>
      <c r="E4051" s="184"/>
      <c r="F4051" s="184"/>
      <c r="G4051" s="184"/>
      <c r="H4051" s="184"/>
      <c r="I4051" s="184"/>
      <c r="J4051" s="184"/>
      <c r="K4051" s="184"/>
      <c r="L4051" s="184"/>
      <c r="M4051" s="184"/>
      <c r="N4051" s="184"/>
      <c r="O4051" s="184"/>
    </row>
    <row r="4052" customFormat="false" ht="15" hidden="false" customHeight="true" outlineLevel="0" collapsed="false">
      <c r="A4052" s="184"/>
      <c r="B4052" s="184"/>
      <c r="C4052" s="184"/>
      <c r="D4052" s="184"/>
      <c r="E4052" s="184"/>
      <c r="F4052" s="184"/>
      <c r="G4052" s="184"/>
      <c r="H4052" s="184"/>
      <c r="I4052" s="184"/>
      <c r="J4052" s="184"/>
      <c r="K4052" s="184"/>
      <c r="L4052" s="184"/>
      <c r="M4052" s="184"/>
      <c r="N4052" s="184"/>
      <c r="O4052" s="184"/>
    </row>
    <row r="4053" customFormat="false" ht="15" hidden="false" customHeight="true" outlineLevel="0" collapsed="false">
      <c r="A4053" s="184"/>
      <c r="B4053" s="184"/>
      <c r="C4053" s="184"/>
      <c r="D4053" s="184"/>
      <c r="E4053" s="184"/>
      <c r="F4053" s="184"/>
      <c r="G4053" s="184"/>
      <c r="H4053" s="184"/>
      <c r="I4053" s="184"/>
      <c r="J4053" s="184"/>
      <c r="K4053" s="184"/>
      <c r="L4053" s="184"/>
      <c r="M4053" s="184"/>
      <c r="N4053" s="184"/>
      <c r="O4053" s="184"/>
    </row>
    <row r="4054" customFormat="false" ht="15" hidden="false" customHeight="true" outlineLevel="0" collapsed="false">
      <c r="A4054" s="184"/>
      <c r="B4054" s="184"/>
      <c r="C4054" s="184"/>
      <c r="D4054" s="184"/>
      <c r="E4054" s="184"/>
      <c r="F4054" s="184"/>
      <c r="G4054" s="184"/>
      <c r="H4054" s="184"/>
      <c r="I4054" s="184"/>
      <c r="J4054" s="184"/>
      <c r="K4054" s="184"/>
      <c r="L4054" s="184"/>
      <c r="M4054" s="184"/>
      <c r="N4054" s="184"/>
      <c r="O4054" s="184"/>
    </row>
    <row r="4055" customFormat="false" ht="15" hidden="false" customHeight="true" outlineLevel="0" collapsed="false">
      <c r="A4055" s="184"/>
      <c r="B4055" s="184"/>
      <c r="C4055" s="184"/>
      <c r="D4055" s="184"/>
      <c r="E4055" s="184"/>
      <c r="F4055" s="184"/>
      <c r="G4055" s="184"/>
      <c r="H4055" s="184"/>
      <c r="I4055" s="184"/>
      <c r="J4055" s="184"/>
      <c r="K4055" s="184"/>
      <c r="L4055" s="184"/>
      <c r="M4055" s="184"/>
      <c r="N4055" s="184"/>
      <c r="O4055" s="184"/>
    </row>
    <row r="4056" customFormat="false" ht="15" hidden="false" customHeight="true" outlineLevel="0" collapsed="false">
      <c r="A4056" s="184"/>
      <c r="B4056" s="184"/>
      <c r="C4056" s="184"/>
      <c r="D4056" s="184"/>
      <c r="E4056" s="184"/>
      <c r="F4056" s="184"/>
      <c r="G4056" s="184"/>
      <c r="H4056" s="184"/>
      <c r="I4056" s="184"/>
      <c r="J4056" s="184"/>
      <c r="K4056" s="184"/>
      <c r="L4056" s="184"/>
      <c r="M4056" s="184"/>
      <c r="N4056" s="184"/>
      <c r="O4056" s="184"/>
    </row>
    <row r="4057" customFormat="false" ht="15" hidden="false" customHeight="true" outlineLevel="0" collapsed="false">
      <c r="A4057" s="184"/>
      <c r="B4057" s="184"/>
      <c r="C4057" s="184"/>
      <c r="D4057" s="184"/>
      <c r="E4057" s="184"/>
      <c r="F4057" s="184"/>
      <c r="G4057" s="184"/>
      <c r="H4057" s="184"/>
      <c r="I4057" s="184"/>
      <c r="J4057" s="184"/>
      <c r="K4057" s="184"/>
      <c r="L4057" s="184"/>
      <c r="M4057" s="184"/>
      <c r="N4057" s="184"/>
      <c r="O4057" s="184"/>
    </row>
    <row r="4058" customFormat="false" ht="15" hidden="false" customHeight="true" outlineLevel="0" collapsed="false">
      <c r="A4058" s="184"/>
      <c r="B4058" s="184"/>
      <c r="C4058" s="184"/>
      <c r="D4058" s="184"/>
      <c r="E4058" s="184"/>
      <c r="F4058" s="184"/>
      <c r="G4058" s="184"/>
      <c r="H4058" s="184"/>
      <c r="I4058" s="184"/>
      <c r="J4058" s="184"/>
      <c r="K4058" s="184"/>
      <c r="L4058" s="184"/>
      <c r="M4058" s="184"/>
      <c r="N4058" s="184"/>
      <c r="O4058" s="184"/>
    </row>
    <row r="4059" customFormat="false" ht="15" hidden="false" customHeight="true" outlineLevel="0" collapsed="false">
      <c r="A4059" s="184"/>
      <c r="B4059" s="184"/>
      <c r="C4059" s="184"/>
      <c r="D4059" s="184"/>
      <c r="E4059" s="184"/>
      <c r="F4059" s="184"/>
      <c r="G4059" s="184"/>
      <c r="H4059" s="184"/>
      <c r="I4059" s="184"/>
      <c r="J4059" s="184"/>
      <c r="K4059" s="184"/>
      <c r="L4059" s="184"/>
      <c r="M4059" s="184"/>
      <c r="N4059" s="184"/>
      <c r="O4059" s="184"/>
    </row>
    <row r="4060" customFormat="false" ht="15" hidden="false" customHeight="true" outlineLevel="0" collapsed="false">
      <c r="A4060" s="184"/>
      <c r="B4060" s="184"/>
      <c r="C4060" s="184"/>
      <c r="D4060" s="184"/>
      <c r="E4060" s="184"/>
      <c r="F4060" s="184"/>
      <c r="G4060" s="184"/>
      <c r="H4060" s="184"/>
      <c r="I4060" s="184"/>
      <c r="J4060" s="184"/>
      <c r="K4060" s="184"/>
      <c r="L4060" s="184"/>
      <c r="M4060" s="184"/>
      <c r="N4060" s="184"/>
      <c r="O4060" s="184"/>
    </row>
    <row r="4061" customFormat="false" ht="15" hidden="false" customHeight="true" outlineLevel="0" collapsed="false">
      <c r="A4061" s="184"/>
      <c r="B4061" s="184"/>
      <c r="C4061" s="184"/>
      <c r="D4061" s="184"/>
      <c r="E4061" s="184"/>
      <c r="F4061" s="184"/>
      <c r="G4061" s="184"/>
      <c r="H4061" s="184"/>
      <c r="I4061" s="184"/>
      <c r="J4061" s="184"/>
      <c r="K4061" s="184"/>
      <c r="L4061" s="184"/>
      <c r="M4061" s="184"/>
      <c r="N4061" s="184"/>
      <c r="O4061" s="184"/>
    </row>
    <row r="4062" customFormat="false" ht="15" hidden="false" customHeight="true" outlineLevel="0" collapsed="false">
      <c r="A4062" s="184"/>
      <c r="B4062" s="184"/>
      <c r="C4062" s="184"/>
      <c r="D4062" s="184"/>
      <c r="E4062" s="184"/>
      <c r="F4062" s="184"/>
      <c r="G4062" s="184"/>
      <c r="H4062" s="184"/>
      <c r="I4062" s="184"/>
      <c r="J4062" s="184"/>
      <c r="K4062" s="184"/>
      <c r="L4062" s="184"/>
      <c r="M4062" s="184"/>
      <c r="N4062" s="184"/>
      <c r="O4062" s="184"/>
    </row>
    <row r="4063" customFormat="false" ht="15" hidden="false" customHeight="true" outlineLevel="0" collapsed="false">
      <c r="A4063" s="184"/>
      <c r="B4063" s="184"/>
      <c r="C4063" s="184"/>
      <c r="D4063" s="184"/>
      <c r="E4063" s="184"/>
      <c r="F4063" s="184"/>
      <c r="G4063" s="184"/>
      <c r="H4063" s="184"/>
      <c r="I4063" s="184"/>
      <c r="J4063" s="184"/>
      <c r="K4063" s="184"/>
      <c r="L4063" s="184"/>
      <c r="M4063" s="184"/>
      <c r="N4063" s="184"/>
      <c r="O4063" s="184"/>
    </row>
    <row r="4064" customFormat="false" ht="15" hidden="false" customHeight="true" outlineLevel="0" collapsed="false">
      <c r="A4064" s="184"/>
      <c r="B4064" s="184"/>
      <c r="C4064" s="184"/>
      <c r="D4064" s="184"/>
      <c r="E4064" s="184"/>
      <c r="F4064" s="184"/>
      <c r="G4064" s="184"/>
      <c r="H4064" s="184"/>
      <c r="I4064" s="184"/>
      <c r="J4064" s="184"/>
      <c r="K4064" s="184"/>
      <c r="L4064" s="184"/>
      <c r="M4064" s="184"/>
      <c r="N4064" s="184"/>
      <c r="O4064" s="184"/>
    </row>
    <row r="4065" customFormat="false" ht="15" hidden="false" customHeight="true" outlineLevel="0" collapsed="false">
      <c r="A4065" s="184"/>
      <c r="B4065" s="184"/>
      <c r="C4065" s="184"/>
      <c r="D4065" s="184"/>
      <c r="E4065" s="184"/>
      <c r="F4065" s="184"/>
      <c r="G4065" s="184"/>
      <c r="H4065" s="184"/>
      <c r="I4065" s="184"/>
      <c r="J4065" s="184"/>
      <c r="K4065" s="184"/>
      <c r="L4065" s="184"/>
      <c r="M4065" s="184"/>
      <c r="N4065" s="184"/>
      <c r="O4065" s="184"/>
    </row>
    <row r="4066" customFormat="false" ht="15" hidden="false" customHeight="true" outlineLevel="0" collapsed="false">
      <c r="A4066" s="184"/>
      <c r="B4066" s="184"/>
      <c r="C4066" s="184"/>
      <c r="D4066" s="184"/>
      <c r="E4066" s="184"/>
      <c r="F4066" s="184"/>
      <c r="G4066" s="184"/>
      <c r="H4066" s="184"/>
      <c r="I4066" s="184"/>
      <c r="J4066" s="184"/>
      <c r="K4066" s="184"/>
      <c r="L4066" s="184"/>
      <c r="M4066" s="184"/>
      <c r="N4066" s="184"/>
      <c r="O4066" s="184"/>
    </row>
    <row r="4067" customFormat="false" ht="15" hidden="false" customHeight="true" outlineLevel="0" collapsed="false">
      <c r="A4067" s="184"/>
      <c r="B4067" s="184"/>
      <c r="C4067" s="184"/>
      <c r="D4067" s="184"/>
      <c r="E4067" s="184"/>
      <c r="F4067" s="184"/>
      <c r="G4067" s="184"/>
      <c r="H4067" s="184"/>
      <c r="I4067" s="184"/>
      <c r="J4067" s="184"/>
      <c r="K4067" s="184"/>
      <c r="L4067" s="184"/>
      <c r="M4067" s="184"/>
      <c r="N4067" s="184"/>
      <c r="O4067" s="184"/>
    </row>
    <row r="4068" customFormat="false" ht="15" hidden="false" customHeight="true" outlineLevel="0" collapsed="false">
      <c r="A4068" s="184"/>
      <c r="B4068" s="184"/>
      <c r="C4068" s="184"/>
      <c r="D4068" s="184"/>
      <c r="E4068" s="184"/>
      <c r="F4068" s="184"/>
      <c r="G4068" s="184"/>
      <c r="H4068" s="184"/>
      <c r="I4068" s="184"/>
      <c r="J4068" s="184"/>
      <c r="K4068" s="184"/>
      <c r="L4068" s="184"/>
      <c r="M4068" s="184"/>
      <c r="N4068" s="184"/>
      <c r="O4068" s="184"/>
    </row>
    <row r="4069" customFormat="false" ht="15" hidden="false" customHeight="true" outlineLevel="0" collapsed="false">
      <c r="A4069" s="184"/>
      <c r="B4069" s="184"/>
      <c r="C4069" s="184"/>
      <c r="D4069" s="184"/>
      <c r="E4069" s="184"/>
      <c r="F4069" s="184"/>
      <c r="G4069" s="184"/>
      <c r="H4069" s="184"/>
      <c r="I4069" s="184"/>
      <c r="J4069" s="184"/>
      <c r="K4069" s="184"/>
      <c r="L4069" s="184"/>
      <c r="M4069" s="184"/>
      <c r="N4069" s="184"/>
      <c r="O4069" s="184"/>
    </row>
    <row r="4070" customFormat="false" ht="15" hidden="false" customHeight="true" outlineLevel="0" collapsed="false">
      <c r="A4070" s="184"/>
      <c r="B4070" s="184"/>
      <c r="C4070" s="184"/>
      <c r="D4070" s="184"/>
      <c r="E4070" s="184"/>
      <c r="F4070" s="184"/>
      <c r="G4070" s="184"/>
      <c r="H4070" s="184"/>
      <c r="I4070" s="184"/>
      <c r="J4070" s="184"/>
      <c r="K4070" s="184"/>
      <c r="L4070" s="184"/>
      <c r="M4070" s="184"/>
      <c r="N4070" s="184"/>
      <c r="O4070" s="184"/>
    </row>
    <row r="4071" customFormat="false" ht="15" hidden="false" customHeight="true" outlineLevel="0" collapsed="false">
      <c r="A4071" s="184"/>
      <c r="B4071" s="184"/>
      <c r="C4071" s="184"/>
      <c r="D4071" s="184"/>
      <c r="E4071" s="184"/>
      <c r="F4071" s="184"/>
      <c r="G4071" s="184"/>
      <c r="H4071" s="184"/>
      <c r="I4071" s="184"/>
      <c r="J4071" s="184"/>
      <c r="K4071" s="184"/>
      <c r="L4071" s="184"/>
      <c r="M4071" s="184"/>
      <c r="N4071" s="184"/>
      <c r="O4071" s="184"/>
    </row>
    <row r="4072" customFormat="false" ht="15" hidden="false" customHeight="true" outlineLevel="0" collapsed="false">
      <c r="A4072" s="184"/>
      <c r="B4072" s="184"/>
      <c r="C4072" s="184"/>
      <c r="D4072" s="184"/>
      <c r="E4072" s="184"/>
      <c r="F4072" s="184"/>
      <c r="G4072" s="184"/>
      <c r="H4072" s="184"/>
      <c r="I4072" s="184"/>
      <c r="J4072" s="184"/>
      <c r="K4072" s="184"/>
      <c r="L4072" s="184"/>
      <c r="M4072" s="184"/>
      <c r="N4072" s="184"/>
      <c r="O4072" s="184"/>
    </row>
    <row r="4073" customFormat="false" ht="15" hidden="false" customHeight="true" outlineLevel="0" collapsed="false">
      <c r="A4073" s="184"/>
      <c r="B4073" s="184"/>
      <c r="C4073" s="184"/>
      <c r="D4073" s="184"/>
      <c r="E4073" s="184"/>
      <c r="F4073" s="184"/>
      <c r="G4073" s="184"/>
      <c r="H4073" s="184"/>
      <c r="I4073" s="184"/>
      <c r="J4073" s="184"/>
      <c r="K4073" s="184"/>
      <c r="L4073" s="184"/>
      <c r="M4073" s="184"/>
      <c r="N4073" s="184"/>
      <c r="O4073" s="184"/>
    </row>
    <row r="4074" customFormat="false" ht="15" hidden="false" customHeight="true" outlineLevel="0" collapsed="false">
      <c r="A4074" s="184"/>
      <c r="B4074" s="184"/>
      <c r="C4074" s="184"/>
      <c r="D4074" s="184"/>
      <c r="E4074" s="184"/>
      <c r="F4074" s="184"/>
      <c r="G4074" s="184"/>
      <c r="H4074" s="184"/>
      <c r="I4074" s="184"/>
      <c r="J4074" s="184"/>
      <c r="K4074" s="184"/>
      <c r="L4074" s="184"/>
      <c r="M4074" s="184"/>
      <c r="N4074" s="184"/>
      <c r="O4074" s="184"/>
    </row>
    <row r="4075" customFormat="false" ht="15" hidden="false" customHeight="true" outlineLevel="0" collapsed="false">
      <c r="A4075" s="184"/>
      <c r="B4075" s="184"/>
      <c r="C4075" s="184"/>
      <c r="D4075" s="184"/>
      <c r="E4075" s="184"/>
      <c r="F4075" s="184"/>
      <c r="G4075" s="184"/>
      <c r="H4075" s="184"/>
      <c r="I4075" s="184"/>
      <c r="J4075" s="184"/>
      <c r="K4075" s="184"/>
      <c r="L4075" s="184"/>
      <c r="M4075" s="184"/>
      <c r="N4075" s="184"/>
      <c r="O4075" s="184"/>
    </row>
    <row r="4076" customFormat="false" ht="15" hidden="false" customHeight="true" outlineLevel="0" collapsed="false">
      <c r="A4076" s="184"/>
      <c r="B4076" s="184"/>
      <c r="C4076" s="184"/>
      <c r="D4076" s="184"/>
      <c r="E4076" s="184"/>
      <c r="F4076" s="184"/>
      <c r="G4076" s="184"/>
      <c r="H4076" s="184"/>
      <c r="I4076" s="184"/>
      <c r="J4076" s="184"/>
      <c r="K4076" s="184"/>
      <c r="L4076" s="184"/>
      <c r="M4076" s="184"/>
      <c r="N4076" s="184"/>
      <c r="O4076" s="184"/>
    </row>
    <row r="4077" customFormat="false" ht="15" hidden="false" customHeight="true" outlineLevel="0" collapsed="false">
      <c r="A4077" s="184"/>
      <c r="B4077" s="184"/>
      <c r="C4077" s="184"/>
      <c r="D4077" s="184"/>
      <c r="E4077" s="184"/>
      <c r="F4077" s="184"/>
      <c r="G4077" s="184"/>
      <c r="H4077" s="184"/>
      <c r="I4077" s="184"/>
      <c r="J4077" s="184"/>
      <c r="K4077" s="184"/>
      <c r="L4077" s="184"/>
      <c r="M4077" s="184"/>
      <c r="N4077" s="184"/>
      <c r="O4077" s="184"/>
    </row>
    <row r="4078" customFormat="false" ht="15" hidden="false" customHeight="true" outlineLevel="0" collapsed="false">
      <c r="A4078" s="184"/>
      <c r="B4078" s="184"/>
      <c r="C4078" s="184"/>
      <c r="D4078" s="184"/>
      <c r="E4078" s="184"/>
      <c r="F4078" s="184"/>
      <c r="G4078" s="184"/>
      <c r="H4078" s="184"/>
      <c r="I4078" s="184"/>
      <c r="J4078" s="184"/>
      <c r="K4078" s="184"/>
      <c r="L4078" s="184"/>
      <c r="M4078" s="184"/>
      <c r="N4078" s="184"/>
      <c r="O4078" s="184"/>
    </row>
    <row r="4079" customFormat="false" ht="15" hidden="false" customHeight="true" outlineLevel="0" collapsed="false">
      <c r="A4079" s="184"/>
      <c r="B4079" s="184"/>
      <c r="C4079" s="184"/>
      <c r="D4079" s="184"/>
      <c r="E4079" s="184"/>
      <c r="F4079" s="184"/>
      <c r="G4079" s="184"/>
      <c r="H4079" s="184"/>
      <c r="I4079" s="184"/>
      <c r="J4079" s="184"/>
      <c r="K4079" s="184"/>
      <c r="L4079" s="184"/>
      <c r="M4079" s="184"/>
      <c r="N4079" s="184"/>
      <c r="O4079" s="184"/>
    </row>
    <row r="4080" customFormat="false" ht="15" hidden="false" customHeight="true" outlineLevel="0" collapsed="false">
      <c r="A4080" s="184"/>
      <c r="B4080" s="184"/>
      <c r="C4080" s="184"/>
      <c r="D4080" s="184"/>
      <c r="E4080" s="184"/>
      <c r="F4080" s="184"/>
      <c r="G4080" s="184"/>
      <c r="H4080" s="184"/>
      <c r="I4080" s="184"/>
      <c r="J4080" s="184"/>
      <c r="K4080" s="184"/>
      <c r="L4080" s="184"/>
      <c r="M4080" s="184"/>
      <c r="N4080" s="184"/>
      <c r="O4080" s="184"/>
    </row>
    <row r="4081" customFormat="false" ht="15" hidden="false" customHeight="true" outlineLevel="0" collapsed="false">
      <c r="A4081" s="184"/>
      <c r="B4081" s="184"/>
      <c r="C4081" s="184"/>
      <c r="D4081" s="184"/>
      <c r="E4081" s="184"/>
      <c r="F4081" s="184"/>
      <c r="G4081" s="184"/>
      <c r="H4081" s="184"/>
      <c r="I4081" s="184"/>
      <c r="J4081" s="184"/>
      <c r="K4081" s="184"/>
      <c r="L4081" s="184"/>
      <c r="M4081" s="184"/>
      <c r="N4081" s="184"/>
      <c r="O4081" s="184"/>
    </row>
    <row r="4082" customFormat="false" ht="15" hidden="false" customHeight="true" outlineLevel="0" collapsed="false">
      <c r="A4082" s="184"/>
      <c r="B4082" s="184"/>
      <c r="C4082" s="184"/>
      <c r="D4082" s="184"/>
      <c r="E4082" s="184"/>
      <c r="F4082" s="184"/>
      <c r="G4082" s="184"/>
      <c r="H4082" s="184"/>
      <c r="I4082" s="184"/>
      <c r="J4082" s="184"/>
      <c r="K4082" s="184"/>
      <c r="L4082" s="184"/>
      <c r="M4082" s="184"/>
      <c r="N4082" s="184"/>
      <c r="O4082" s="184"/>
    </row>
    <row r="4083" customFormat="false" ht="15" hidden="false" customHeight="true" outlineLevel="0" collapsed="false">
      <c r="A4083" s="184"/>
      <c r="B4083" s="184"/>
      <c r="C4083" s="184"/>
      <c r="D4083" s="184"/>
      <c r="E4083" s="184"/>
      <c r="F4083" s="184"/>
      <c r="G4083" s="184"/>
      <c r="H4083" s="184"/>
      <c r="I4083" s="184"/>
      <c r="J4083" s="184"/>
      <c r="K4083" s="184"/>
      <c r="L4083" s="184"/>
      <c r="M4083" s="184"/>
      <c r="N4083" s="184"/>
      <c r="O4083" s="184"/>
    </row>
    <row r="4084" customFormat="false" ht="15" hidden="false" customHeight="true" outlineLevel="0" collapsed="false">
      <c r="A4084" s="184"/>
      <c r="B4084" s="184"/>
      <c r="C4084" s="184"/>
      <c r="D4084" s="184"/>
      <c r="E4084" s="184"/>
      <c r="F4084" s="184"/>
      <c r="G4084" s="184"/>
      <c r="H4084" s="184"/>
      <c r="I4084" s="184"/>
      <c r="J4084" s="184"/>
      <c r="K4084" s="184"/>
      <c r="L4084" s="184"/>
      <c r="M4084" s="184"/>
      <c r="N4084" s="184"/>
      <c r="O4084" s="184"/>
    </row>
    <row r="4085" customFormat="false" ht="15" hidden="false" customHeight="true" outlineLevel="0" collapsed="false">
      <c r="A4085" s="184"/>
      <c r="B4085" s="184"/>
      <c r="C4085" s="184"/>
      <c r="D4085" s="184"/>
      <c r="E4085" s="184"/>
      <c r="F4085" s="184"/>
      <c r="G4085" s="184"/>
      <c r="H4085" s="184"/>
      <c r="I4085" s="184"/>
      <c r="J4085" s="184"/>
      <c r="K4085" s="184"/>
      <c r="L4085" s="184"/>
      <c r="M4085" s="184"/>
      <c r="N4085" s="184"/>
      <c r="O4085" s="184"/>
    </row>
    <row r="4086" customFormat="false" ht="15" hidden="false" customHeight="true" outlineLevel="0" collapsed="false">
      <c r="A4086" s="184"/>
      <c r="B4086" s="184"/>
      <c r="C4086" s="184"/>
      <c r="D4086" s="184"/>
      <c r="E4086" s="184"/>
      <c r="F4086" s="184"/>
      <c r="G4086" s="184"/>
      <c r="H4086" s="184"/>
      <c r="I4086" s="184"/>
      <c r="J4086" s="184"/>
      <c r="K4086" s="184"/>
      <c r="L4086" s="184"/>
      <c r="M4086" s="184"/>
      <c r="N4086" s="184"/>
      <c r="O4086" s="184"/>
    </row>
    <row r="4087" customFormat="false" ht="15" hidden="false" customHeight="true" outlineLevel="0" collapsed="false">
      <c r="A4087" s="184"/>
      <c r="B4087" s="184"/>
      <c r="C4087" s="184"/>
      <c r="D4087" s="184"/>
      <c r="E4087" s="184"/>
      <c r="F4087" s="184"/>
      <c r="G4087" s="184"/>
      <c r="H4087" s="184"/>
      <c r="I4087" s="184"/>
      <c r="J4087" s="184"/>
      <c r="K4087" s="184"/>
      <c r="L4087" s="184"/>
      <c r="M4087" s="184"/>
      <c r="N4087" s="184"/>
      <c r="O4087" s="184"/>
    </row>
    <row r="4088" customFormat="false" ht="15" hidden="false" customHeight="true" outlineLevel="0" collapsed="false">
      <c r="A4088" s="184"/>
      <c r="B4088" s="184"/>
      <c r="C4088" s="184"/>
      <c r="D4088" s="184"/>
      <c r="E4088" s="184"/>
      <c r="F4088" s="184"/>
      <c r="G4088" s="184"/>
      <c r="H4088" s="184"/>
      <c r="I4088" s="184"/>
      <c r="J4088" s="184"/>
      <c r="K4088" s="184"/>
      <c r="L4088" s="184"/>
      <c r="M4088" s="184"/>
      <c r="N4088" s="184"/>
      <c r="O4088" s="184"/>
    </row>
    <row r="4089" customFormat="false" ht="15" hidden="false" customHeight="true" outlineLevel="0" collapsed="false">
      <c r="A4089" s="184"/>
      <c r="B4089" s="184"/>
      <c r="C4089" s="184"/>
      <c r="D4089" s="184"/>
      <c r="E4089" s="184"/>
      <c r="F4089" s="184"/>
      <c r="G4089" s="184"/>
      <c r="H4089" s="184"/>
      <c r="I4089" s="184"/>
      <c r="J4089" s="184"/>
      <c r="K4089" s="184"/>
      <c r="L4089" s="184"/>
      <c r="M4089" s="184"/>
      <c r="N4089" s="184"/>
      <c r="O4089" s="184"/>
    </row>
    <row r="4090" customFormat="false" ht="15" hidden="false" customHeight="true" outlineLevel="0" collapsed="false">
      <c r="A4090" s="184"/>
      <c r="B4090" s="184"/>
      <c r="C4090" s="184"/>
      <c r="D4090" s="184"/>
      <c r="E4090" s="184"/>
      <c r="F4090" s="184"/>
      <c r="G4090" s="184"/>
      <c r="H4090" s="184"/>
      <c r="I4090" s="184"/>
      <c r="J4090" s="184"/>
      <c r="K4090" s="184"/>
      <c r="L4090" s="184"/>
      <c r="M4090" s="184"/>
      <c r="N4090" s="184"/>
      <c r="O4090" s="184"/>
    </row>
    <row r="4091" customFormat="false" ht="15" hidden="false" customHeight="true" outlineLevel="0" collapsed="false">
      <c r="A4091" s="184"/>
      <c r="B4091" s="184"/>
      <c r="C4091" s="184"/>
      <c r="D4091" s="184"/>
      <c r="E4091" s="184"/>
      <c r="F4091" s="184"/>
      <c r="G4091" s="184"/>
      <c r="H4091" s="184"/>
      <c r="I4091" s="184"/>
      <c r="J4091" s="184"/>
      <c r="K4091" s="184"/>
      <c r="L4091" s="184"/>
      <c r="M4091" s="184"/>
      <c r="N4091" s="184"/>
      <c r="O4091" s="184"/>
    </row>
    <row r="4092" customFormat="false" ht="15" hidden="false" customHeight="true" outlineLevel="0" collapsed="false">
      <c r="A4092" s="184"/>
      <c r="B4092" s="184"/>
      <c r="C4092" s="184"/>
      <c r="D4092" s="184"/>
      <c r="E4092" s="184"/>
      <c r="F4092" s="184"/>
      <c r="G4092" s="184"/>
      <c r="H4092" s="184"/>
      <c r="I4092" s="184"/>
      <c r="J4092" s="184"/>
      <c r="K4092" s="184"/>
      <c r="L4092" s="184"/>
      <c r="M4092" s="184"/>
      <c r="N4092" s="184"/>
      <c r="O4092" s="184"/>
    </row>
    <row r="4093" customFormat="false" ht="15" hidden="false" customHeight="true" outlineLevel="0" collapsed="false">
      <c r="A4093" s="184"/>
      <c r="B4093" s="184"/>
      <c r="C4093" s="184"/>
      <c r="D4093" s="184"/>
      <c r="E4093" s="184"/>
      <c r="F4093" s="184"/>
      <c r="G4093" s="184"/>
      <c r="H4093" s="184"/>
      <c r="I4093" s="184"/>
      <c r="J4093" s="184"/>
      <c r="K4093" s="184"/>
      <c r="L4093" s="184"/>
      <c r="M4093" s="184"/>
      <c r="N4093" s="184"/>
      <c r="O4093" s="184"/>
    </row>
    <row r="4094" customFormat="false" ht="15" hidden="false" customHeight="true" outlineLevel="0" collapsed="false">
      <c r="A4094" s="184"/>
      <c r="B4094" s="184"/>
      <c r="C4094" s="184"/>
      <c r="D4094" s="184"/>
      <c r="E4094" s="184"/>
      <c r="F4094" s="184"/>
      <c r="G4094" s="184"/>
      <c r="H4094" s="184"/>
      <c r="I4094" s="184"/>
      <c r="J4094" s="184"/>
      <c r="K4094" s="184"/>
      <c r="L4094" s="184"/>
      <c r="M4094" s="184"/>
      <c r="N4094" s="184"/>
      <c r="O4094" s="184"/>
    </row>
    <row r="4095" customFormat="false" ht="15" hidden="false" customHeight="true" outlineLevel="0" collapsed="false">
      <c r="A4095" s="184"/>
      <c r="B4095" s="184"/>
      <c r="C4095" s="184"/>
      <c r="D4095" s="184"/>
      <c r="E4095" s="184"/>
      <c r="F4095" s="184"/>
      <c r="G4095" s="184"/>
      <c r="H4095" s="184"/>
      <c r="I4095" s="184"/>
      <c r="J4095" s="184"/>
      <c r="K4095" s="184"/>
      <c r="L4095" s="184"/>
      <c r="M4095" s="184"/>
      <c r="N4095" s="184"/>
      <c r="O4095" s="184"/>
    </row>
    <row r="4096" customFormat="false" ht="15" hidden="false" customHeight="true" outlineLevel="0" collapsed="false">
      <c r="A4096" s="184"/>
      <c r="B4096" s="184"/>
      <c r="C4096" s="184"/>
      <c r="D4096" s="184"/>
      <c r="E4096" s="184"/>
      <c r="F4096" s="184"/>
      <c r="G4096" s="184"/>
      <c r="H4096" s="184"/>
      <c r="I4096" s="184"/>
      <c r="J4096" s="184"/>
      <c r="K4096" s="184"/>
      <c r="L4096" s="184"/>
      <c r="M4096" s="184"/>
      <c r="N4096" s="184"/>
      <c r="O4096" s="184"/>
    </row>
    <row r="4097" customFormat="false" ht="15" hidden="false" customHeight="true" outlineLevel="0" collapsed="false">
      <c r="A4097" s="184"/>
      <c r="B4097" s="184"/>
      <c r="C4097" s="184"/>
      <c r="D4097" s="184"/>
      <c r="E4097" s="184"/>
      <c r="F4097" s="184"/>
      <c r="G4097" s="184"/>
      <c r="H4097" s="184"/>
      <c r="I4097" s="184"/>
      <c r="J4097" s="184"/>
      <c r="K4097" s="184"/>
      <c r="L4097" s="184"/>
      <c r="M4097" s="184"/>
      <c r="N4097" s="184"/>
      <c r="O4097" s="184"/>
    </row>
    <row r="4098" customFormat="false" ht="15" hidden="false" customHeight="true" outlineLevel="0" collapsed="false">
      <c r="A4098" s="184"/>
      <c r="B4098" s="184"/>
      <c r="C4098" s="184"/>
      <c r="D4098" s="184"/>
      <c r="E4098" s="184"/>
      <c r="F4098" s="184"/>
      <c r="G4098" s="184"/>
      <c r="H4098" s="184"/>
      <c r="I4098" s="184"/>
      <c r="J4098" s="184"/>
      <c r="K4098" s="184"/>
      <c r="L4098" s="184"/>
      <c r="M4098" s="184"/>
      <c r="N4098" s="184"/>
      <c r="O4098" s="184"/>
    </row>
    <row r="4099" customFormat="false" ht="15" hidden="false" customHeight="true" outlineLevel="0" collapsed="false">
      <c r="A4099" s="184"/>
      <c r="B4099" s="184"/>
      <c r="C4099" s="184"/>
      <c r="D4099" s="184"/>
      <c r="E4099" s="184"/>
      <c r="F4099" s="184"/>
      <c r="G4099" s="184"/>
      <c r="H4099" s="184"/>
      <c r="I4099" s="184"/>
      <c r="J4099" s="184"/>
      <c r="K4099" s="184"/>
      <c r="L4099" s="184"/>
      <c r="M4099" s="184"/>
      <c r="N4099" s="184"/>
      <c r="O4099" s="184"/>
    </row>
    <row r="4100" customFormat="false" ht="15" hidden="false" customHeight="true" outlineLevel="0" collapsed="false">
      <c r="A4100" s="184"/>
      <c r="B4100" s="184"/>
      <c r="C4100" s="184"/>
      <c r="D4100" s="184"/>
      <c r="E4100" s="184"/>
      <c r="F4100" s="184"/>
      <c r="G4100" s="184"/>
      <c r="H4100" s="184"/>
      <c r="I4100" s="184"/>
      <c r="J4100" s="184"/>
      <c r="K4100" s="184"/>
      <c r="L4100" s="184"/>
      <c r="M4100" s="184"/>
      <c r="N4100" s="184"/>
      <c r="O4100" s="184"/>
    </row>
    <row r="4101" customFormat="false" ht="15" hidden="false" customHeight="true" outlineLevel="0" collapsed="false">
      <c r="A4101" s="184"/>
      <c r="B4101" s="184"/>
      <c r="C4101" s="184"/>
      <c r="D4101" s="184"/>
      <c r="E4101" s="184"/>
      <c r="F4101" s="184"/>
      <c r="G4101" s="184"/>
      <c r="H4101" s="184"/>
      <c r="I4101" s="184"/>
      <c r="J4101" s="184"/>
      <c r="K4101" s="184"/>
      <c r="L4101" s="184"/>
      <c r="M4101" s="184"/>
      <c r="N4101" s="184"/>
      <c r="O4101" s="184"/>
    </row>
    <row r="4102" customFormat="false" ht="15" hidden="false" customHeight="true" outlineLevel="0" collapsed="false">
      <c r="A4102" s="184"/>
      <c r="B4102" s="184"/>
      <c r="C4102" s="184"/>
      <c r="D4102" s="184"/>
      <c r="E4102" s="184"/>
      <c r="F4102" s="184"/>
      <c r="G4102" s="184"/>
      <c r="H4102" s="184"/>
      <c r="I4102" s="184"/>
      <c r="J4102" s="184"/>
      <c r="K4102" s="184"/>
      <c r="L4102" s="184"/>
      <c r="M4102" s="184"/>
      <c r="N4102" s="184"/>
      <c r="O4102" s="184"/>
    </row>
    <row r="4103" customFormat="false" ht="15" hidden="false" customHeight="true" outlineLevel="0" collapsed="false">
      <c r="A4103" s="184"/>
      <c r="B4103" s="184"/>
      <c r="C4103" s="184"/>
      <c r="D4103" s="184"/>
      <c r="E4103" s="184"/>
      <c r="F4103" s="184"/>
      <c r="G4103" s="184"/>
      <c r="H4103" s="184"/>
      <c r="I4103" s="184"/>
      <c r="J4103" s="184"/>
      <c r="K4103" s="184"/>
      <c r="L4103" s="184"/>
      <c r="M4103" s="184"/>
      <c r="N4103" s="184"/>
      <c r="O4103" s="184"/>
    </row>
    <row r="4104" customFormat="false" ht="15" hidden="false" customHeight="true" outlineLevel="0" collapsed="false">
      <c r="A4104" s="184"/>
      <c r="B4104" s="184"/>
      <c r="C4104" s="184"/>
      <c r="D4104" s="184"/>
      <c r="E4104" s="184"/>
      <c r="F4104" s="184"/>
      <c r="G4104" s="184"/>
      <c r="H4104" s="184"/>
      <c r="I4104" s="184"/>
      <c r="J4104" s="184"/>
      <c r="K4104" s="184"/>
      <c r="L4104" s="184"/>
      <c r="M4104" s="184"/>
      <c r="N4104" s="184"/>
      <c r="O4104" s="184"/>
    </row>
    <row r="4105" customFormat="false" ht="15" hidden="false" customHeight="true" outlineLevel="0" collapsed="false">
      <c r="A4105" s="184"/>
      <c r="B4105" s="184"/>
      <c r="C4105" s="184"/>
      <c r="D4105" s="184"/>
      <c r="E4105" s="184"/>
      <c r="F4105" s="184"/>
      <c r="G4105" s="184"/>
      <c r="H4105" s="184"/>
      <c r="I4105" s="184"/>
      <c r="J4105" s="184"/>
      <c r="K4105" s="184"/>
      <c r="L4105" s="184"/>
      <c r="M4105" s="184"/>
      <c r="N4105" s="184"/>
      <c r="O4105" s="184"/>
    </row>
    <row r="4106" customFormat="false" ht="15" hidden="false" customHeight="true" outlineLevel="0" collapsed="false">
      <c r="A4106" s="184"/>
      <c r="B4106" s="184"/>
      <c r="C4106" s="184"/>
      <c r="D4106" s="184"/>
      <c r="E4106" s="184"/>
      <c r="F4106" s="184"/>
      <c r="G4106" s="184"/>
      <c r="H4106" s="184"/>
      <c r="I4106" s="184"/>
      <c r="J4106" s="184"/>
      <c r="K4106" s="184"/>
      <c r="L4106" s="184"/>
      <c r="M4106" s="184"/>
      <c r="N4106" s="184"/>
      <c r="O4106" s="184"/>
    </row>
    <row r="4107" customFormat="false" ht="15" hidden="false" customHeight="true" outlineLevel="0" collapsed="false">
      <c r="A4107" s="184"/>
      <c r="B4107" s="184"/>
      <c r="C4107" s="184"/>
      <c r="D4107" s="184"/>
      <c r="E4107" s="184"/>
      <c r="F4107" s="184"/>
      <c r="G4107" s="184"/>
      <c r="H4107" s="184"/>
      <c r="I4107" s="184"/>
      <c r="J4107" s="184"/>
      <c r="K4107" s="184"/>
      <c r="L4107" s="184"/>
      <c r="M4107" s="184"/>
      <c r="N4107" s="184"/>
      <c r="O4107" s="184"/>
    </row>
    <row r="4108" customFormat="false" ht="15" hidden="false" customHeight="true" outlineLevel="0" collapsed="false">
      <c r="A4108" s="184"/>
      <c r="B4108" s="184"/>
      <c r="C4108" s="184"/>
      <c r="D4108" s="184"/>
      <c r="E4108" s="184"/>
      <c r="F4108" s="184"/>
      <c r="G4108" s="184"/>
      <c r="H4108" s="184"/>
      <c r="I4108" s="184"/>
      <c r="J4108" s="184"/>
      <c r="K4108" s="184"/>
      <c r="L4108" s="184"/>
      <c r="M4108" s="184"/>
      <c r="N4108" s="184"/>
      <c r="O4108" s="184"/>
    </row>
    <row r="4109" customFormat="false" ht="15" hidden="false" customHeight="true" outlineLevel="0" collapsed="false">
      <c r="A4109" s="184"/>
      <c r="B4109" s="184"/>
      <c r="C4109" s="184"/>
      <c r="D4109" s="184"/>
      <c r="E4109" s="184"/>
      <c r="F4109" s="184"/>
      <c r="G4109" s="184"/>
      <c r="H4109" s="184"/>
      <c r="I4109" s="184"/>
      <c r="J4109" s="184"/>
      <c r="K4109" s="184"/>
      <c r="L4109" s="184"/>
      <c r="M4109" s="184"/>
      <c r="N4109" s="184"/>
      <c r="O4109" s="184"/>
    </row>
    <row r="4110" customFormat="false" ht="15" hidden="false" customHeight="true" outlineLevel="0" collapsed="false">
      <c r="A4110" s="184"/>
      <c r="B4110" s="184"/>
      <c r="C4110" s="184"/>
      <c r="D4110" s="184"/>
      <c r="E4110" s="184"/>
      <c r="F4110" s="184"/>
      <c r="G4110" s="184"/>
      <c r="H4110" s="184"/>
      <c r="I4110" s="184"/>
      <c r="J4110" s="184"/>
      <c r="K4110" s="184"/>
      <c r="L4110" s="184"/>
      <c r="M4110" s="184"/>
      <c r="N4110" s="184"/>
      <c r="O4110" s="184"/>
    </row>
    <row r="4111" customFormat="false" ht="15" hidden="false" customHeight="true" outlineLevel="0" collapsed="false">
      <c r="A4111" s="184"/>
      <c r="B4111" s="184"/>
      <c r="C4111" s="184"/>
      <c r="D4111" s="184"/>
      <c r="E4111" s="184"/>
      <c r="F4111" s="184"/>
      <c r="G4111" s="184"/>
      <c r="H4111" s="184"/>
      <c r="I4111" s="184"/>
      <c r="J4111" s="184"/>
      <c r="K4111" s="184"/>
      <c r="L4111" s="184"/>
      <c r="M4111" s="184"/>
      <c r="N4111" s="184"/>
      <c r="O4111" s="184"/>
    </row>
    <row r="4112" customFormat="false" ht="15" hidden="false" customHeight="true" outlineLevel="0" collapsed="false">
      <c r="A4112" s="184"/>
      <c r="B4112" s="184"/>
      <c r="C4112" s="184"/>
      <c r="D4112" s="184"/>
      <c r="E4112" s="184"/>
      <c r="F4112" s="184"/>
      <c r="G4112" s="184"/>
      <c r="H4112" s="184"/>
      <c r="I4112" s="184"/>
      <c r="J4112" s="184"/>
      <c r="K4112" s="184"/>
      <c r="L4112" s="184"/>
      <c r="M4112" s="184"/>
      <c r="N4112" s="184"/>
      <c r="O4112" s="184"/>
    </row>
    <row r="4113" customFormat="false" ht="15" hidden="false" customHeight="true" outlineLevel="0" collapsed="false">
      <c r="A4113" s="184"/>
      <c r="B4113" s="184"/>
      <c r="C4113" s="184"/>
      <c r="D4113" s="184"/>
      <c r="E4113" s="184"/>
      <c r="F4113" s="184"/>
      <c r="G4113" s="184"/>
      <c r="H4113" s="184"/>
      <c r="I4113" s="184"/>
      <c r="J4113" s="184"/>
      <c r="K4113" s="184"/>
      <c r="L4113" s="184"/>
      <c r="M4113" s="184"/>
      <c r="N4113" s="184"/>
      <c r="O4113" s="184"/>
    </row>
    <row r="4114" customFormat="false" ht="15" hidden="false" customHeight="true" outlineLevel="0" collapsed="false">
      <c r="A4114" s="184"/>
      <c r="B4114" s="184"/>
      <c r="C4114" s="184"/>
      <c r="D4114" s="184"/>
      <c r="E4114" s="184"/>
      <c r="F4114" s="184"/>
      <c r="G4114" s="184"/>
      <c r="H4114" s="184"/>
      <c r="I4114" s="184"/>
      <c r="J4114" s="184"/>
      <c r="K4114" s="184"/>
      <c r="L4114" s="184"/>
      <c r="M4114" s="184"/>
      <c r="N4114" s="184"/>
      <c r="O4114" s="184"/>
    </row>
    <row r="4115" customFormat="false" ht="15" hidden="false" customHeight="true" outlineLevel="0" collapsed="false">
      <c r="A4115" s="184"/>
      <c r="B4115" s="184"/>
      <c r="C4115" s="184"/>
      <c r="D4115" s="184"/>
      <c r="E4115" s="184"/>
      <c r="F4115" s="184"/>
      <c r="G4115" s="184"/>
      <c r="H4115" s="184"/>
      <c r="I4115" s="184"/>
      <c r="J4115" s="184"/>
      <c r="K4115" s="184"/>
      <c r="L4115" s="184"/>
      <c r="M4115" s="184"/>
      <c r="N4115" s="184"/>
      <c r="O4115" s="184"/>
    </row>
    <row r="4116" customFormat="false" ht="15" hidden="false" customHeight="true" outlineLevel="0" collapsed="false">
      <c r="A4116" s="184"/>
      <c r="B4116" s="184"/>
      <c r="C4116" s="184"/>
      <c r="D4116" s="184"/>
      <c r="E4116" s="184"/>
      <c r="F4116" s="184"/>
      <c r="G4116" s="184"/>
      <c r="H4116" s="184"/>
      <c r="I4116" s="184"/>
      <c r="J4116" s="184"/>
      <c r="K4116" s="184"/>
      <c r="L4116" s="184"/>
      <c r="M4116" s="184"/>
      <c r="N4116" s="184"/>
      <c r="O4116" s="184"/>
    </row>
    <row r="4117" customFormat="false" ht="15" hidden="false" customHeight="true" outlineLevel="0" collapsed="false">
      <c r="A4117" s="184"/>
      <c r="B4117" s="184"/>
      <c r="C4117" s="184"/>
      <c r="D4117" s="184"/>
      <c r="E4117" s="184"/>
      <c r="F4117" s="184"/>
      <c r="G4117" s="184"/>
      <c r="H4117" s="184"/>
      <c r="I4117" s="184"/>
      <c r="J4117" s="184"/>
      <c r="K4117" s="184"/>
      <c r="L4117" s="184"/>
      <c r="M4117" s="184"/>
      <c r="N4117" s="184"/>
      <c r="O4117" s="184"/>
    </row>
    <row r="4118" customFormat="false" ht="15" hidden="false" customHeight="true" outlineLevel="0" collapsed="false">
      <c r="A4118" s="184"/>
      <c r="B4118" s="184"/>
      <c r="C4118" s="184"/>
      <c r="D4118" s="184"/>
      <c r="E4118" s="184"/>
      <c r="F4118" s="184"/>
      <c r="G4118" s="184"/>
      <c r="H4118" s="184"/>
      <c r="I4118" s="184"/>
      <c r="J4118" s="184"/>
      <c r="K4118" s="184"/>
      <c r="L4118" s="184"/>
      <c r="M4118" s="184"/>
      <c r="N4118" s="184"/>
      <c r="O4118" s="184"/>
    </row>
    <row r="4119" customFormat="false" ht="15" hidden="false" customHeight="true" outlineLevel="0" collapsed="false">
      <c r="A4119" s="184"/>
      <c r="B4119" s="184"/>
      <c r="C4119" s="184"/>
      <c r="D4119" s="184"/>
      <c r="E4119" s="184"/>
      <c r="F4119" s="184"/>
      <c r="G4119" s="184"/>
      <c r="H4119" s="184"/>
      <c r="I4119" s="184"/>
      <c r="J4119" s="184"/>
      <c r="K4119" s="184"/>
      <c r="L4119" s="184"/>
      <c r="M4119" s="184"/>
      <c r="N4119" s="184"/>
      <c r="O4119" s="184"/>
    </row>
    <row r="4120" customFormat="false" ht="15" hidden="false" customHeight="true" outlineLevel="0" collapsed="false">
      <c r="A4120" s="184"/>
      <c r="B4120" s="184"/>
      <c r="C4120" s="184"/>
      <c r="D4120" s="184"/>
      <c r="E4120" s="184"/>
      <c r="F4120" s="184"/>
      <c r="G4120" s="184"/>
      <c r="H4120" s="184"/>
      <c r="I4120" s="184"/>
      <c r="J4120" s="184"/>
      <c r="K4120" s="184"/>
      <c r="L4120" s="184"/>
      <c r="M4120" s="184"/>
      <c r="N4120" s="184"/>
      <c r="O4120" s="184"/>
    </row>
    <row r="4121" customFormat="false" ht="15" hidden="false" customHeight="true" outlineLevel="0" collapsed="false">
      <c r="A4121" s="184"/>
      <c r="B4121" s="184"/>
      <c r="C4121" s="184"/>
      <c r="D4121" s="184"/>
      <c r="E4121" s="184"/>
      <c r="F4121" s="184"/>
      <c r="G4121" s="184"/>
      <c r="H4121" s="184"/>
      <c r="I4121" s="184"/>
      <c r="J4121" s="184"/>
      <c r="K4121" s="184"/>
      <c r="L4121" s="184"/>
      <c r="M4121" s="184"/>
      <c r="N4121" s="184"/>
      <c r="O4121" s="184"/>
    </row>
    <row r="4122" customFormat="false" ht="15" hidden="false" customHeight="true" outlineLevel="0" collapsed="false">
      <c r="A4122" s="184"/>
      <c r="B4122" s="184"/>
      <c r="C4122" s="184"/>
      <c r="D4122" s="184"/>
      <c r="E4122" s="184"/>
      <c r="F4122" s="184"/>
      <c r="G4122" s="184"/>
      <c r="H4122" s="184"/>
      <c r="I4122" s="184"/>
      <c r="J4122" s="184"/>
      <c r="K4122" s="184"/>
      <c r="L4122" s="184"/>
      <c r="M4122" s="184"/>
      <c r="N4122" s="184"/>
      <c r="O4122" s="184"/>
    </row>
    <row r="4123" customFormat="false" ht="15" hidden="false" customHeight="true" outlineLevel="0" collapsed="false">
      <c r="A4123" s="184"/>
      <c r="B4123" s="184"/>
      <c r="C4123" s="184"/>
      <c r="D4123" s="184"/>
      <c r="E4123" s="184"/>
      <c r="F4123" s="184"/>
      <c r="G4123" s="184"/>
      <c r="H4123" s="184"/>
      <c r="I4123" s="184"/>
      <c r="J4123" s="184"/>
      <c r="K4123" s="184"/>
      <c r="L4123" s="184"/>
      <c r="M4123" s="184"/>
      <c r="N4123" s="184"/>
      <c r="O4123" s="184"/>
    </row>
    <row r="4124" customFormat="false" ht="15" hidden="false" customHeight="true" outlineLevel="0" collapsed="false">
      <c r="A4124" s="184"/>
      <c r="B4124" s="184"/>
      <c r="C4124" s="184"/>
      <c r="D4124" s="184"/>
      <c r="E4124" s="184"/>
      <c r="F4124" s="184"/>
      <c r="G4124" s="184"/>
      <c r="H4124" s="184"/>
      <c r="I4124" s="184"/>
      <c r="J4124" s="184"/>
      <c r="K4124" s="184"/>
      <c r="L4124" s="184"/>
      <c r="M4124" s="184"/>
      <c r="N4124" s="184"/>
      <c r="O4124" s="184"/>
    </row>
    <row r="4125" customFormat="false" ht="15" hidden="false" customHeight="true" outlineLevel="0" collapsed="false">
      <c r="A4125" s="184"/>
      <c r="B4125" s="184"/>
      <c r="C4125" s="184"/>
      <c r="D4125" s="184"/>
      <c r="E4125" s="184"/>
      <c r="F4125" s="184"/>
      <c r="G4125" s="184"/>
      <c r="H4125" s="184"/>
      <c r="I4125" s="184"/>
      <c r="J4125" s="184"/>
      <c r="K4125" s="184"/>
      <c r="L4125" s="184"/>
      <c r="M4125" s="184"/>
      <c r="N4125" s="184"/>
      <c r="O4125" s="184"/>
    </row>
    <row r="4126" customFormat="false" ht="15" hidden="false" customHeight="true" outlineLevel="0" collapsed="false">
      <c r="A4126" s="184"/>
      <c r="B4126" s="184"/>
      <c r="C4126" s="184"/>
      <c r="D4126" s="184"/>
      <c r="E4126" s="184"/>
      <c r="F4126" s="184"/>
      <c r="G4126" s="184"/>
      <c r="H4126" s="184"/>
      <c r="I4126" s="184"/>
      <c r="J4126" s="184"/>
      <c r="K4126" s="184"/>
      <c r="L4126" s="184"/>
      <c r="M4126" s="184"/>
      <c r="N4126" s="184"/>
      <c r="O4126" s="184"/>
    </row>
    <row r="4127" customFormat="false" ht="15" hidden="false" customHeight="true" outlineLevel="0" collapsed="false">
      <c r="A4127" s="184"/>
      <c r="B4127" s="184"/>
      <c r="C4127" s="184"/>
      <c r="D4127" s="184"/>
      <c r="E4127" s="184"/>
      <c r="F4127" s="184"/>
      <c r="G4127" s="184"/>
      <c r="H4127" s="184"/>
      <c r="I4127" s="184"/>
      <c r="J4127" s="184"/>
      <c r="K4127" s="184"/>
      <c r="L4127" s="184"/>
      <c r="M4127" s="184"/>
      <c r="N4127" s="184"/>
      <c r="O4127" s="184"/>
    </row>
    <row r="4128" customFormat="false" ht="15" hidden="false" customHeight="true" outlineLevel="0" collapsed="false">
      <c r="A4128" s="184"/>
      <c r="B4128" s="184"/>
      <c r="C4128" s="184"/>
      <c r="D4128" s="184"/>
      <c r="E4128" s="184"/>
      <c r="F4128" s="184"/>
      <c r="G4128" s="184"/>
      <c r="H4128" s="184"/>
      <c r="I4128" s="184"/>
      <c r="J4128" s="184"/>
      <c r="K4128" s="184"/>
      <c r="L4128" s="184"/>
      <c r="M4128" s="184"/>
      <c r="N4128" s="184"/>
      <c r="O4128" s="184"/>
    </row>
    <row r="4129" customFormat="false" ht="15" hidden="false" customHeight="true" outlineLevel="0" collapsed="false">
      <c r="A4129" s="184"/>
      <c r="B4129" s="184"/>
      <c r="C4129" s="184"/>
      <c r="D4129" s="184"/>
      <c r="E4129" s="184"/>
      <c r="F4129" s="184"/>
      <c r="G4129" s="184"/>
      <c r="H4129" s="184"/>
      <c r="I4129" s="184"/>
      <c r="J4129" s="184"/>
      <c r="K4129" s="184"/>
      <c r="L4129" s="184"/>
      <c r="M4129" s="184"/>
      <c r="N4129" s="184"/>
      <c r="O4129" s="184"/>
    </row>
    <row r="4130" customFormat="false" ht="15" hidden="false" customHeight="true" outlineLevel="0" collapsed="false">
      <c r="A4130" s="184"/>
      <c r="B4130" s="184"/>
      <c r="C4130" s="184"/>
      <c r="D4130" s="184"/>
      <c r="E4130" s="184"/>
      <c r="F4130" s="184"/>
      <c r="G4130" s="184"/>
      <c r="H4130" s="184"/>
      <c r="I4130" s="184"/>
      <c r="J4130" s="184"/>
      <c r="K4130" s="184"/>
      <c r="L4130" s="184"/>
      <c r="M4130" s="184"/>
      <c r="N4130" s="184"/>
      <c r="O4130" s="184"/>
    </row>
    <row r="4131" customFormat="false" ht="15" hidden="false" customHeight="true" outlineLevel="0" collapsed="false">
      <c r="A4131" s="184"/>
      <c r="B4131" s="184"/>
      <c r="C4131" s="184"/>
      <c r="D4131" s="184"/>
      <c r="E4131" s="184"/>
      <c r="F4131" s="184"/>
      <c r="G4131" s="184"/>
      <c r="H4131" s="184"/>
      <c r="I4131" s="184"/>
      <c r="J4131" s="184"/>
      <c r="K4131" s="184"/>
      <c r="L4131" s="184"/>
      <c r="M4131" s="184"/>
      <c r="N4131" s="184"/>
      <c r="O4131" s="184"/>
    </row>
    <row r="4132" customFormat="false" ht="15" hidden="false" customHeight="true" outlineLevel="0" collapsed="false">
      <c r="A4132" s="184"/>
      <c r="B4132" s="184"/>
      <c r="C4132" s="184"/>
      <c r="D4132" s="184"/>
      <c r="E4132" s="184"/>
      <c r="F4132" s="184"/>
      <c r="G4132" s="184"/>
      <c r="H4132" s="184"/>
      <c r="I4132" s="184"/>
      <c r="J4132" s="184"/>
      <c r="K4132" s="184"/>
      <c r="L4132" s="184"/>
      <c r="M4132" s="184"/>
      <c r="N4132" s="184"/>
      <c r="O4132" s="184"/>
    </row>
    <row r="4133" customFormat="false" ht="15" hidden="false" customHeight="true" outlineLevel="0" collapsed="false">
      <c r="A4133" s="184"/>
      <c r="B4133" s="184"/>
      <c r="C4133" s="184"/>
      <c r="D4133" s="184"/>
      <c r="E4133" s="184"/>
      <c r="F4133" s="184"/>
      <c r="G4133" s="184"/>
      <c r="H4133" s="184"/>
      <c r="I4133" s="184"/>
      <c r="J4133" s="184"/>
      <c r="K4133" s="184"/>
      <c r="L4133" s="184"/>
      <c r="M4133" s="184"/>
      <c r="N4133" s="184"/>
      <c r="O4133" s="184"/>
    </row>
    <row r="4134" customFormat="false" ht="15" hidden="false" customHeight="true" outlineLevel="0" collapsed="false">
      <c r="A4134" s="184"/>
      <c r="B4134" s="184"/>
      <c r="C4134" s="184"/>
      <c r="D4134" s="184"/>
      <c r="E4134" s="184"/>
      <c r="F4134" s="184"/>
      <c r="G4134" s="184"/>
      <c r="H4134" s="184"/>
      <c r="I4134" s="184"/>
      <c r="J4134" s="184"/>
      <c r="K4134" s="184"/>
      <c r="L4134" s="184"/>
      <c r="M4134" s="184"/>
      <c r="N4134" s="184"/>
      <c r="O4134" s="184"/>
    </row>
    <row r="4135" customFormat="false" ht="15" hidden="false" customHeight="true" outlineLevel="0" collapsed="false">
      <c r="A4135" s="184"/>
      <c r="B4135" s="184"/>
      <c r="C4135" s="184"/>
      <c r="D4135" s="184"/>
      <c r="E4135" s="184"/>
      <c r="F4135" s="184"/>
      <c r="G4135" s="184"/>
      <c r="H4135" s="184"/>
      <c r="I4135" s="184"/>
      <c r="J4135" s="184"/>
      <c r="K4135" s="184"/>
      <c r="L4135" s="184"/>
      <c r="M4135" s="184"/>
      <c r="N4135" s="184"/>
      <c r="O4135" s="184"/>
    </row>
    <row r="4136" customFormat="false" ht="15" hidden="false" customHeight="true" outlineLevel="0" collapsed="false">
      <c r="A4136" s="184"/>
      <c r="B4136" s="184"/>
      <c r="C4136" s="184"/>
      <c r="D4136" s="184"/>
      <c r="E4136" s="184"/>
      <c r="F4136" s="184"/>
      <c r="G4136" s="184"/>
      <c r="H4136" s="184"/>
      <c r="I4136" s="184"/>
      <c r="J4136" s="184"/>
      <c r="K4136" s="184"/>
      <c r="L4136" s="184"/>
      <c r="M4136" s="184"/>
      <c r="N4136" s="184"/>
      <c r="O4136" s="184"/>
    </row>
    <row r="4137" customFormat="false" ht="15" hidden="false" customHeight="true" outlineLevel="0" collapsed="false">
      <c r="A4137" s="184"/>
      <c r="B4137" s="184"/>
      <c r="C4137" s="184"/>
      <c r="D4137" s="184"/>
      <c r="E4137" s="184"/>
      <c r="F4137" s="184"/>
      <c r="G4137" s="184"/>
      <c r="H4137" s="184"/>
      <c r="I4137" s="184"/>
      <c r="J4137" s="184"/>
      <c r="K4137" s="184"/>
      <c r="L4137" s="184"/>
      <c r="M4137" s="184"/>
      <c r="N4137" s="184"/>
      <c r="O4137" s="184"/>
    </row>
    <row r="4138" customFormat="false" ht="15" hidden="false" customHeight="true" outlineLevel="0" collapsed="false">
      <c r="A4138" s="184"/>
      <c r="B4138" s="184"/>
      <c r="C4138" s="184"/>
      <c r="D4138" s="184"/>
      <c r="E4138" s="184"/>
      <c r="F4138" s="184"/>
      <c r="G4138" s="184"/>
      <c r="H4138" s="184"/>
      <c r="I4138" s="184"/>
      <c r="J4138" s="184"/>
      <c r="K4138" s="184"/>
      <c r="L4138" s="184"/>
      <c r="M4138" s="184"/>
      <c r="N4138" s="184"/>
      <c r="O4138" s="184"/>
    </row>
    <row r="4139" customFormat="false" ht="15" hidden="false" customHeight="true" outlineLevel="0" collapsed="false">
      <c r="A4139" s="184"/>
      <c r="B4139" s="184"/>
      <c r="C4139" s="184"/>
      <c r="D4139" s="184"/>
      <c r="E4139" s="184"/>
      <c r="F4139" s="184"/>
      <c r="G4139" s="184"/>
      <c r="H4139" s="184"/>
      <c r="I4139" s="184"/>
      <c r="J4139" s="184"/>
      <c r="K4139" s="184"/>
      <c r="L4139" s="184"/>
      <c r="M4139" s="184"/>
      <c r="N4139" s="184"/>
      <c r="O4139" s="184"/>
    </row>
    <row r="4140" customFormat="false" ht="15" hidden="false" customHeight="true" outlineLevel="0" collapsed="false">
      <c r="A4140" s="184"/>
      <c r="B4140" s="184"/>
      <c r="C4140" s="184"/>
      <c r="D4140" s="184"/>
      <c r="E4140" s="184"/>
      <c r="F4140" s="184"/>
      <c r="G4140" s="184"/>
      <c r="H4140" s="184"/>
      <c r="I4140" s="184"/>
      <c r="J4140" s="184"/>
      <c r="K4140" s="184"/>
      <c r="L4140" s="184"/>
      <c r="M4140" s="184"/>
      <c r="N4140" s="184"/>
      <c r="O4140" s="184"/>
    </row>
    <row r="4141" customFormat="false" ht="15" hidden="false" customHeight="true" outlineLevel="0" collapsed="false">
      <c r="A4141" s="184"/>
      <c r="B4141" s="184"/>
      <c r="C4141" s="184"/>
      <c r="D4141" s="184"/>
      <c r="E4141" s="184"/>
      <c r="F4141" s="184"/>
      <c r="G4141" s="184"/>
      <c r="H4141" s="184"/>
      <c r="I4141" s="184"/>
      <c r="J4141" s="184"/>
      <c r="K4141" s="184"/>
      <c r="L4141" s="184"/>
      <c r="M4141" s="184"/>
      <c r="N4141" s="184"/>
      <c r="O4141" s="184"/>
    </row>
    <row r="4142" customFormat="false" ht="15" hidden="false" customHeight="true" outlineLevel="0" collapsed="false">
      <c r="A4142" s="184"/>
      <c r="B4142" s="184"/>
      <c r="C4142" s="184"/>
      <c r="D4142" s="184"/>
      <c r="E4142" s="184"/>
      <c r="F4142" s="184"/>
      <c r="G4142" s="184"/>
      <c r="H4142" s="184"/>
      <c r="I4142" s="184"/>
      <c r="J4142" s="184"/>
      <c r="K4142" s="184"/>
      <c r="L4142" s="184"/>
      <c r="M4142" s="184"/>
      <c r="N4142" s="184"/>
      <c r="O4142" s="184"/>
    </row>
    <row r="4143" customFormat="false" ht="15" hidden="false" customHeight="true" outlineLevel="0" collapsed="false">
      <c r="A4143" s="184"/>
      <c r="B4143" s="184"/>
      <c r="C4143" s="184"/>
      <c r="D4143" s="184"/>
      <c r="E4143" s="184"/>
      <c r="F4143" s="184"/>
      <c r="G4143" s="184"/>
      <c r="H4143" s="184"/>
      <c r="I4143" s="184"/>
      <c r="J4143" s="184"/>
      <c r="K4143" s="184"/>
      <c r="L4143" s="184"/>
      <c r="M4143" s="184"/>
      <c r="N4143" s="184"/>
      <c r="O4143" s="184"/>
    </row>
    <row r="4144" customFormat="false" ht="15" hidden="false" customHeight="true" outlineLevel="0" collapsed="false">
      <c r="A4144" s="184"/>
      <c r="B4144" s="184"/>
      <c r="C4144" s="184"/>
      <c r="D4144" s="184"/>
      <c r="E4144" s="184"/>
      <c r="F4144" s="184"/>
      <c r="G4144" s="184"/>
      <c r="H4144" s="184"/>
      <c r="I4144" s="184"/>
      <c r="J4144" s="184"/>
      <c r="K4144" s="184"/>
      <c r="L4144" s="184"/>
      <c r="M4144" s="184"/>
      <c r="N4144" s="184"/>
      <c r="O4144" s="184"/>
    </row>
    <row r="4145" customFormat="false" ht="15" hidden="false" customHeight="true" outlineLevel="0" collapsed="false">
      <c r="A4145" s="184"/>
      <c r="B4145" s="184"/>
      <c r="C4145" s="184"/>
      <c r="D4145" s="184"/>
      <c r="E4145" s="184"/>
      <c r="F4145" s="184"/>
      <c r="G4145" s="184"/>
      <c r="H4145" s="184"/>
      <c r="I4145" s="184"/>
      <c r="J4145" s="184"/>
      <c r="K4145" s="184"/>
      <c r="L4145" s="184"/>
      <c r="M4145" s="184"/>
      <c r="N4145" s="184"/>
      <c r="O4145" s="184"/>
    </row>
    <row r="4146" customFormat="false" ht="15" hidden="false" customHeight="true" outlineLevel="0" collapsed="false">
      <c r="A4146" s="184"/>
      <c r="B4146" s="184"/>
      <c r="C4146" s="184"/>
      <c r="D4146" s="184"/>
      <c r="E4146" s="184"/>
      <c r="F4146" s="184"/>
      <c r="G4146" s="184"/>
      <c r="H4146" s="184"/>
      <c r="I4146" s="184"/>
      <c r="J4146" s="184"/>
      <c r="K4146" s="184"/>
      <c r="L4146" s="184"/>
      <c r="M4146" s="184"/>
      <c r="N4146" s="184"/>
      <c r="O4146" s="184"/>
    </row>
    <row r="4147" customFormat="false" ht="15" hidden="false" customHeight="true" outlineLevel="0" collapsed="false">
      <c r="A4147" s="184"/>
      <c r="B4147" s="184"/>
      <c r="C4147" s="184"/>
      <c r="D4147" s="184"/>
      <c r="E4147" s="184"/>
      <c r="F4147" s="184"/>
      <c r="G4147" s="184"/>
      <c r="H4147" s="184"/>
      <c r="I4147" s="184"/>
      <c r="J4147" s="184"/>
      <c r="K4147" s="184"/>
      <c r="L4147" s="184"/>
      <c r="M4147" s="184"/>
      <c r="N4147" s="184"/>
      <c r="O4147" s="184"/>
    </row>
    <row r="4148" customFormat="false" ht="15" hidden="false" customHeight="true" outlineLevel="0" collapsed="false">
      <c r="A4148" s="184"/>
      <c r="B4148" s="184"/>
      <c r="C4148" s="184"/>
      <c r="D4148" s="184"/>
      <c r="E4148" s="184"/>
      <c r="F4148" s="184"/>
      <c r="G4148" s="184"/>
      <c r="H4148" s="184"/>
      <c r="I4148" s="184"/>
      <c r="J4148" s="184"/>
      <c r="K4148" s="184"/>
      <c r="L4148" s="184"/>
      <c r="M4148" s="184"/>
      <c r="N4148" s="184"/>
      <c r="O4148" s="184"/>
    </row>
    <row r="4149" customFormat="false" ht="15" hidden="false" customHeight="true" outlineLevel="0" collapsed="false">
      <c r="A4149" s="184"/>
      <c r="B4149" s="184"/>
      <c r="C4149" s="184"/>
      <c r="D4149" s="184"/>
      <c r="E4149" s="184"/>
      <c r="F4149" s="184"/>
      <c r="G4149" s="184"/>
      <c r="H4149" s="184"/>
      <c r="I4149" s="184"/>
      <c r="J4149" s="184"/>
      <c r="K4149" s="184"/>
      <c r="L4149" s="184"/>
      <c r="M4149" s="184"/>
      <c r="N4149" s="184"/>
      <c r="O4149" s="184"/>
    </row>
    <row r="4150" customFormat="false" ht="15" hidden="false" customHeight="true" outlineLevel="0" collapsed="false">
      <c r="A4150" s="184"/>
      <c r="B4150" s="184"/>
      <c r="C4150" s="184"/>
      <c r="D4150" s="184"/>
      <c r="E4150" s="184"/>
      <c r="F4150" s="184"/>
      <c r="G4150" s="184"/>
      <c r="H4150" s="184"/>
      <c r="I4150" s="184"/>
      <c r="J4150" s="184"/>
      <c r="K4150" s="184"/>
      <c r="L4150" s="184"/>
      <c r="M4150" s="184"/>
      <c r="N4150" s="184"/>
      <c r="O4150" s="184"/>
    </row>
    <row r="4151" customFormat="false" ht="15" hidden="false" customHeight="true" outlineLevel="0" collapsed="false">
      <c r="A4151" s="184"/>
      <c r="B4151" s="184"/>
      <c r="C4151" s="184"/>
      <c r="D4151" s="184"/>
      <c r="E4151" s="184"/>
      <c r="F4151" s="184"/>
      <c r="G4151" s="184"/>
      <c r="H4151" s="184"/>
      <c r="I4151" s="184"/>
      <c r="J4151" s="184"/>
      <c r="K4151" s="184"/>
      <c r="L4151" s="184"/>
      <c r="M4151" s="184"/>
      <c r="N4151" s="184"/>
      <c r="O4151" s="184"/>
    </row>
    <row r="4152" customFormat="false" ht="15" hidden="false" customHeight="true" outlineLevel="0" collapsed="false">
      <c r="A4152" s="184"/>
      <c r="B4152" s="184"/>
      <c r="C4152" s="184"/>
      <c r="D4152" s="184"/>
      <c r="E4152" s="184"/>
      <c r="F4152" s="184"/>
      <c r="G4152" s="184"/>
      <c r="H4152" s="184"/>
      <c r="I4152" s="184"/>
      <c r="J4152" s="184"/>
      <c r="K4152" s="184"/>
      <c r="L4152" s="184"/>
      <c r="M4152" s="184"/>
      <c r="N4152" s="184"/>
      <c r="O4152" s="184"/>
    </row>
    <row r="4153" customFormat="false" ht="15" hidden="false" customHeight="true" outlineLevel="0" collapsed="false">
      <c r="A4153" s="184"/>
      <c r="B4153" s="184"/>
      <c r="C4153" s="184"/>
      <c r="D4153" s="184"/>
      <c r="E4153" s="184"/>
      <c r="F4153" s="184"/>
      <c r="G4153" s="184"/>
      <c r="H4153" s="184"/>
      <c r="I4153" s="184"/>
      <c r="J4153" s="184"/>
      <c r="K4153" s="184"/>
      <c r="L4153" s="184"/>
      <c r="M4153" s="184"/>
      <c r="N4153" s="184"/>
      <c r="O4153" s="184"/>
    </row>
    <row r="4154" customFormat="false" ht="15" hidden="false" customHeight="true" outlineLevel="0" collapsed="false">
      <c r="A4154" s="184"/>
      <c r="B4154" s="184"/>
      <c r="C4154" s="184"/>
      <c r="D4154" s="184"/>
      <c r="E4154" s="184"/>
      <c r="F4154" s="184"/>
      <c r="G4154" s="184"/>
      <c r="H4154" s="184"/>
      <c r="I4154" s="184"/>
      <c r="J4154" s="184"/>
      <c r="K4154" s="184"/>
      <c r="L4154" s="184"/>
      <c r="M4154" s="184"/>
      <c r="N4154" s="184"/>
      <c r="O4154" s="184"/>
    </row>
    <row r="4155" customFormat="false" ht="15" hidden="false" customHeight="true" outlineLevel="0" collapsed="false">
      <c r="A4155" s="184"/>
      <c r="B4155" s="184"/>
      <c r="C4155" s="184"/>
      <c r="D4155" s="184"/>
      <c r="E4155" s="184"/>
      <c r="F4155" s="184"/>
      <c r="G4155" s="184"/>
      <c r="H4155" s="184"/>
      <c r="I4155" s="184"/>
      <c r="J4155" s="184"/>
      <c r="K4155" s="184"/>
      <c r="L4155" s="184"/>
      <c r="M4155" s="184"/>
      <c r="N4155" s="184"/>
      <c r="O4155" s="184"/>
    </row>
    <row r="4156" customFormat="false" ht="15" hidden="false" customHeight="true" outlineLevel="0" collapsed="false">
      <c r="A4156" s="184"/>
      <c r="B4156" s="184"/>
      <c r="C4156" s="184"/>
      <c r="D4156" s="184"/>
      <c r="E4156" s="184"/>
      <c r="F4156" s="184"/>
      <c r="G4156" s="184"/>
      <c r="H4156" s="184"/>
      <c r="I4156" s="184"/>
      <c r="J4156" s="184"/>
      <c r="K4156" s="184"/>
      <c r="L4156" s="184"/>
      <c r="M4156" s="184"/>
      <c r="N4156" s="184"/>
      <c r="O4156" s="184"/>
    </row>
    <row r="4157" customFormat="false" ht="15" hidden="false" customHeight="true" outlineLevel="0" collapsed="false">
      <c r="A4157" s="184"/>
      <c r="B4157" s="184"/>
      <c r="C4157" s="184"/>
      <c r="D4157" s="184"/>
      <c r="E4157" s="184"/>
      <c r="F4157" s="184"/>
      <c r="G4157" s="184"/>
      <c r="H4157" s="184"/>
      <c r="I4157" s="184"/>
      <c r="J4157" s="184"/>
      <c r="K4157" s="184"/>
      <c r="L4157" s="184"/>
      <c r="M4157" s="184"/>
      <c r="N4157" s="184"/>
      <c r="O4157" s="184"/>
    </row>
    <row r="4158" customFormat="false" ht="15" hidden="false" customHeight="true" outlineLevel="0" collapsed="false">
      <c r="A4158" s="184"/>
      <c r="B4158" s="184"/>
      <c r="C4158" s="184"/>
      <c r="D4158" s="184"/>
      <c r="E4158" s="184"/>
      <c r="F4158" s="184"/>
      <c r="G4158" s="184"/>
      <c r="H4158" s="184"/>
      <c r="I4158" s="184"/>
      <c r="J4158" s="184"/>
      <c r="K4158" s="184"/>
      <c r="L4158" s="184"/>
      <c r="M4158" s="184"/>
      <c r="N4158" s="184"/>
      <c r="O4158" s="184"/>
    </row>
    <row r="4159" customFormat="false" ht="15" hidden="false" customHeight="true" outlineLevel="0" collapsed="false">
      <c r="A4159" s="184"/>
      <c r="B4159" s="184"/>
      <c r="C4159" s="184"/>
      <c r="D4159" s="184"/>
      <c r="E4159" s="184"/>
      <c r="F4159" s="184"/>
      <c r="G4159" s="184"/>
      <c r="H4159" s="184"/>
      <c r="I4159" s="184"/>
      <c r="J4159" s="184"/>
      <c r="K4159" s="184"/>
      <c r="L4159" s="184"/>
      <c r="M4159" s="184"/>
      <c r="N4159" s="184"/>
      <c r="O4159" s="184"/>
    </row>
    <row r="4160" customFormat="false" ht="15" hidden="false" customHeight="true" outlineLevel="0" collapsed="false">
      <c r="A4160" s="184"/>
      <c r="B4160" s="184"/>
      <c r="C4160" s="184"/>
      <c r="D4160" s="184"/>
      <c r="E4160" s="184"/>
      <c r="F4160" s="184"/>
      <c r="G4160" s="184"/>
      <c r="H4160" s="184"/>
      <c r="I4160" s="184"/>
      <c r="J4160" s="184"/>
      <c r="K4160" s="184"/>
      <c r="L4160" s="184"/>
      <c r="M4160" s="184"/>
      <c r="N4160" s="184"/>
      <c r="O4160" s="184"/>
    </row>
    <row r="4161" customFormat="false" ht="15" hidden="false" customHeight="true" outlineLevel="0" collapsed="false">
      <c r="A4161" s="184"/>
      <c r="B4161" s="184"/>
      <c r="C4161" s="184"/>
      <c r="D4161" s="184"/>
      <c r="E4161" s="184"/>
      <c r="F4161" s="184"/>
      <c r="G4161" s="184"/>
      <c r="H4161" s="184"/>
      <c r="I4161" s="184"/>
      <c r="J4161" s="184"/>
      <c r="K4161" s="184"/>
      <c r="L4161" s="184"/>
      <c r="M4161" s="184"/>
      <c r="N4161" s="184"/>
      <c r="O4161" s="184"/>
    </row>
    <row r="4162" customFormat="false" ht="15" hidden="false" customHeight="true" outlineLevel="0" collapsed="false">
      <c r="A4162" s="184"/>
      <c r="B4162" s="184"/>
      <c r="C4162" s="184"/>
      <c r="D4162" s="184"/>
      <c r="E4162" s="184"/>
      <c r="F4162" s="184"/>
      <c r="G4162" s="184"/>
      <c r="H4162" s="184"/>
      <c r="I4162" s="184"/>
      <c r="J4162" s="184"/>
      <c r="K4162" s="184"/>
      <c r="L4162" s="184"/>
      <c r="M4162" s="184"/>
      <c r="N4162" s="184"/>
      <c r="O4162" s="184"/>
    </row>
    <row r="4163" customFormat="false" ht="15" hidden="false" customHeight="true" outlineLevel="0" collapsed="false">
      <c r="A4163" s="184"/>
      <c r="B4163" s="184"/>
      <c r="C4163" s="184"/>
      <c r="D4163" s="184"/>
      <c r="E4163" s="184"/>
      <c r="F4163" s="184"/>
      <c r="G4163" s="184"/>
      <c r="H4163" s="184"/>
      <c r="I4163" s="184"/>
      <c r="J4163" s="184"/>
      <c r="K4163" s="184"/>
      <c r="L4163" s="184"/>
      <c r="M4163" s="184"/>
      <c r="N4163" s="184"/>
      <c r="O4163" s="184"/>
    </row>
    <row r="4164" customFormat="false" ht="15" hidden="false" customHeight="true" outlineLevel="0" collapsed="false">
      <c r="A4164" s="184"/>
      <c r="B4164" s="184"/>
      <c r="C4164" s="184"/>
      <c r="D4164" s="184"/>
      <c r="E4164" s="184"/>
      <c r="F4164" s="184"/>
      <c r="G4164" s="184"/>
      <c r="H4164" s="184"/>
      <c r="I4164" s="184"/>
      <c r="J4164" s="184"/>
      <c r="K4164" s="184"/>
      <c r="L4164" s="184"/>
      <c r="M4164" s="184"/>
      <c r="N4164" s="184"/>
      <c r="O4164" s="184"/>
    </row>
    <row r="4165" customFormat="false" ht="15" hidden="false" customHeight="true" outlineLevel="0" collapsed="false">
      <c r="A4165" s="184"/>
      <c r="B4165" s="184"/>
      <c r="C4165" s="184"/>
      <c r="D4165" s="184"/>
      <c r="E4165" s="184"/>
      <c r="F4165" s="184"/>
      <c r="G4165" s="184"/>
      <c r="H4165" s="184"/>
      <c r="I4165" s="184"/>
      <c r="J4165" s="184"/>
      <c r="K4165" s="184"/>
      <c r="L4165" s="184"/>
      <c r="M4165" s="184"/>
      <c r="N4165" s="184"/>
      <c r="O4165" s="184"/>
    </row>
    <row r="4166" customFormat="false" ht="15" hidden="false" customHeight="true" outlineLevel="0" collapsed="false">
      <c r="A4166" s="184"/>
      <c r="B4166" s="184"/>
      <c r="C4166" s="184"/>
      <c r="D4166" s="184"/>
      <c r="E4166" s="184"/>
      <c r="F4166" s="184"/>
      <c r="G4166" s="184"/>
      <c r="H4166" s="184"/>
      <c r="I4166" s="184"/>
      <c r="J4166" s="184"/>
      <c r="K4166" s="184"/>
      <c r="L4166" s="184"/>
      <c r="M4166" s="184"/>
      <c r="N4166" s="184"/>
      <c r="O4166" s="184"/>
    </row>
    <row r="4167" customFormat="false" ht="15" hidden="false" customHeight="true" outlineLevel="0" collapsed="false">
      <c r="A4167" s="184"/>
      <c r="B4167" s="184"/>
      <c r="C4167" s="184"/>
      <c r="D4167" s="184"/>
      <c r="E4167" s="184"/>
      <c r="F4167" s="184"/>
      <c r="G4167" s="184"/>
      <c r="H4167" s="184"/>
      <c r="I4167" s="184"/>
      <c r="J4167" s="184"/>
      <c r="K4167" s="184"/>
      <c r="L4167" s="184"/>
      <c r="M4167" s="184"/>
      <c r="N4167" s="184"/>
      <c r="O4167" s="184"/>
    </row>
    <row r="4168" customFormat="false" ht="15" hidden="false" customHeight="true" outlineLevel="0" collapsed="false">
      <c r="A4168" s="184"/>
      <c r="B4168" s="184"/>
      <c r="C4168" s="184"/>
      <c r="D4168" s="184"/>
      <c r="E4168" s="184"/>
      <c r="F4168" s="184"/>
      <c r="G4168" s="184"/>
      <c r="H4168" s="184"/>
      <c r="I4168" s="184"/>
      <c r="J4168" s="184"/>
      <c r="K4168" s="184"/>
      <c r="L4168" s="184"/>
      <c r="M4168" s="184"/>
      <c r="N4168" s="184"/>
      <c r="O4168" s="184"/>
    </row>
    <row r="4169" customFormat="false" ht="15" hidden="false" customHeight="true" outlineLevel="0" collapsed="false">
      <c r="A4169" s="184"/>
      <c r="B4169" s="184"/>
      <c r="C4169" s="184"/>
      <c r="D4169" s="184"/>
      <c r="E4169" s="184"/>
      <c r="F4169" s="184"/>
      <c r="G4169" s="184"/>
      <c r="H4169" s="184"/>
      <c r="I4169" s="184"/>
      <c r="J4169" s="184"/>
      <c r="K4169" s="184"/>
      <c r="L4169" s="184"/>
      <c r="M4169" s="184"/>
      <c r="N4169" s="184"/>
      <c r="O4169" s="184"/>
    </row>
    <row r="4170" customFormat="false" ht="15" hidden="false" customHeight="true" outlineLevel="0" collapsed="false">
      <c r="A4170" s="184"/>
      <c r="B4170" s="184"/>
      <c r="C4170" s="184"/>
      <c r="D4170" s="184"/>
      <c r="E4170" s="184"/>
      <c r="F4170" s="184"/>
      <c r="G4170" s="184"/>
      <c r="H4170" s="184"/>
      <c r="I4170" s="184"/>
      <c r="J4170" s="184"/>
      <c r="K4170" s="184"/>
      <c r="L4170" s="184"/>
      <c r="M4170" s="184"/>
      <c r="N4170" s="184"/>
      <c r="O4170" s="184"/>
    </row>
    <row r="4171" customFormat="false" ht="15" hidden="false" customHeight="true" outlineLevel="0" collapsed="false">
      <c r="A4171" s="184"/>
      <c r="B4171" s="184"/>
      <c r="C4171" s="184"/>
      <c r="D4171" s="184"/>
      <c r="E4171" s="184"/>
      <c r="F4171" s="184"/>
      <c r="G4171" s="184"/>
      <c r="H4171" s="184"/>
      <c r="I4171" s="184"/>
      <c r="J4171" s="184"/>
      <c r="K4171" s="184"/>
      <c r="L4171" s="184"/>
      <c r="M4171" s="184"/>
      <c r="N4171" s="184"/>
      <c r="O4171" s="184"/>
    </row>
    <row r="4172" customFormat="false" ht="15" hidden="false" customHeight="true" outlineLevel="0" collapsed="false">
      <c r="A4172" s="184"/>
      <c r="B4172" s="184"/>
      <c r="C4172" s="184"/>
      <c r="D4172" s="184"/>
      <c r="E4172" s="184"/>
      <c r="F4172" s="184"/>
      <c r="G4172" s="184"/>
      <c r="H4172" s="184"/>
      <c r="I4172" s="184"/>
      <c r="J4172" s="184"/>
      <c r="K4172" s="184"/>
      <c r="L4172" s="184"/>
      <c r="M4172" s="184"/>
      <c r="N4172" s="184"/>
      <c r="O4172" s="184"/>
    </row>
    <row r="4173" customFormat="false" ht="15" hidden="false" customHeight="true" outlineLevel="0" collapsed="false">
      <c r="B4173" s="181" t="s">
        <v>7211</v>
      </c>
    </row>
    <row r="4174" customFormat="false" ht="41.25" hidden="false" customHeight="true" outlineLevel="0" collapsed="false">
      <c r="A4174" s="184" t="s">
        <v>4993</v>
      </c>
      <c r="B4174" s="184" t="s">
        <v>4994</v>
      </c>
      <c r="C4174" s="184"/>
      <c r="D4174" s="179" t="s">
        <v>4858</v>
      </c>
      <c r="E4174" s="184" t="s">
        <v>7212</v>
      </c>
      <c r="F4174" s="184"/>
      <c r="G4174" s="184"/>
      <c r="H4174" s="184"/>
      <c r="I4174" s="184"/>
      <c r="J4174" s="184"/>
      <c r="K4174" s="184"/>
      <c r="L4174" s="184"/>
      <c r="M4174" s="184" t="s">
        <v>7213</v>
      </c>
      <c r="N4174" s="184"/>
      <c r="O4174" s="184"/>
    </row>
    <row r="4175" customFormat="false" ht="27.75" hidden="false" customHeight="true" outlineLevel="0" collapsed="false">
      <c r="A4175" s="184" t="s">
        <v>4993</v>
      </c>
      <c r="B4175" s="184" t="s">
        <v>4994</v>
      </c>
      <c r="C4175" s="184" t="n">
        <v>1</v>
      </c>
      <c r="D4175" s="178" t="s">
        <v>5269</v>
      </c>
      <c r="E4175" s="184" t="s">
        <v>6289</v>
      </c>
      <c r="F4175" s="184"/>
      <c r="G4175" s="184"/>
      <c r="H4175" s="184"/>
      <c r="I4175" s="184"/>
      <c r="J4175" s="184"/>
      <c r="K4175" s="184"/>
      <c r="L4175" s="184"/>
      <c r="M4175" s="184" t="s">
        <v>6859</v>
      </c>
      <c r="N4175" s="184"/>
      <c r="O4175" s="184"/>
    </row>
    <row r="4176" customFormat="false" ht="27.75" hidden="false" customHeight="true" outlineLevel="0" collapsed="false">
      <c r="A4176" s="184" t="s">
        <v>4993</v>
      </c>
      <c r="B4176" s="184" t="s">
        <v>4994</v>
      </c>
      <c r="C4176" s="184" t="n">
        <v>2</v>
      </c>
      <c r="D4176" s="177" t="s">
        <v>6429</v>
      </c>
      <c r="E4176" s="184" t="s">
        <v>6860</v>
      </c>
      <c r="F4176" s="184"/>
      <c r="G4176" s="184"/>
      <c r="H4176" s="184"/>
      <c r="I4176" s="184"/>
      <c r="J4176" s="184"/>
      <c r="K4176" s="184"/>
      <c r="L4176" s="184"/>
      <c r="M4176" s="184"/>
      <c r="N4176" s="184"/>
      <c r="O4176" s="184"/>
    </row>
    <row r="4177" customFormat="false" ht="27.75" hidden="false" customHeight="true" outlineLevel="0" collapsed="false">
      <c r="A4177" s="184" t="s">
        <v>4993</v>
      </c>
      <c r="B4177" s="184" t="s">
        <v>4994</v>
      </c>
      <c r="C4177" s="184" t="n">
        <v>3</v>
      </c>
      <c r="D4177" s="179" t="s">
        <v>6292</v>
      </c>
      <c r="E4177" s="184" t="s">
        <v>3448</v>
      </c>
      <c r="F4177" s="184"/>
      <c r="G4177" s="184"/>
      <c r="H4177" s="184"/>
      <c r="I4177" s="184"/>
      <c r="J4177" s="184"/>
      <c r="K4177" s="184"/>
      <c r="L4177" s="184"/>
      <c r="M4177" s="184"/>
      <c r="N4177" s="184"/>
      <c r="O4177" s="184"/>
    </row>
    <row r="4178" customFormat="false" ht="27.75" hidden="false" customHeight="true" outlineLevel="0" collapsed="false">
      <c r="A4178" s="184" t="s">
        <v>4993</v>
      </c>
      <c r="B4178" s="184" t="s">
        <v>4994</v>
      </c>
      <c r="C4178" s="184" t="n">
        <v>4</v>
      </c>
      <c r="D4178" s="184" t="s">
        <v>6294</v>
      </c>
      <c r="E4178" s="184" t="s">
        <v>6861</v>
      </c>
      <c r="F4178" s="184"/>
      <c r="G4178" s="184"/>
      <c r="H4178" s="184"/>
      <c r="I4178" s="184"/>
      <c r="J4178" s="184"/>
      <c r="K4178" s="184"/>
      <c r="L4178" s="184"/>
      <c r="M4178" s="184"/>
      <c r="N4178" s="184"/>
      <c r="O4178" s="184"/>
    </row>
    <row r="4179" customFormat="false" ht="27.75" hidden="false" customHeight="true" outlineLevel="0" collapsed="false">
      <c r="A4179" s="184" t="s">
        <v>4993</v>
      </c>
      <c r="B4179" s="184" t="s">
        <v>4994</v>
      </c>
      <c r="C4179" s="184" t="n">
        <v>5</v>
      </c>
      <c r="D4179" s="179" t="s">
        <v>6292</v>
      </c>
      <c r="E4179" s="184" t="s">
        <v>7214</v>
      </c>
      <c r="F4179" s="184"/>
      <c r="G4179" s="184"/>
      <c r="H4179" s="184"/>
      <c r="I4179" s="184"/>
      <c r="J4179" s="184"/>
      <c r="K4179" s="184"/>
      <c r="L4179" s="184"/>
      <c r="M4179" s="184"/>
      <c r="N4179" s="184"/>
      <c r="O4179" s="184"/>
    </row>
    <row r="4180" customFormat="false" ht="27.75" hidden="false" customHeight="true" outlineLevel="0" collapsed="false">
      <c r="A4180" s="184" t="s">
        <v>4993</v>
      </c>
      <c r="B4180" s="184" t="s">
        <v>4994</v>
      </c>
      <c r="C4180" s="184" t="n">
        <v>6</v>
      </c>
      <c r="D4180" s="177" t="s">
        <v>6298</v>
      </c>
      <c r="E4180" s="184" t="s">
        <v>7215</v>
      </c>
      <c r="F4180" s="184"/>
      <c r="G4180" s="184"/>
      <c r="H4180" s="184"/>
      <c r="I4180" s="184"/>
      <c r="J4180" s="184"/>
      <c r="K4180" s="184"/>
      <c r="L4180" s="184"/>
      <c r="M4180" s="184"/>
      <c r="N4180" s="184"/>
      <c r="O4180" s="184"/>
    </row>
    <row r="4181" customFormat="false" ht="27.75" hidden="false" customHeight="true" outlineLevel="0" collapsed="false">
      <c r="A4181" s="184" t="s">
        <v>4993</v>
      </c>
      <c r="B4181" s="184" t="s">
        <v>4994</v>
      </c>
      <c r="C4181" s="184" t="n">
        <v>7</v>
      </c>
      <c r="D4181" s="177" t="s">
        <v>6298</v>
      </c>
      <c r="E4181" s="184" t="s">
        <v>7216</v>
      </c>
      <c r="F4181" s="184"/>
      <c r="G4181" s="184"/>
      <c r="H4181" s="184"/>
      <c r="I4181" s="184"/>
      <c r="J4181" s="184"/>
      <c r="K4181" s="184"/>
      <c r="L4181" s="184"/>
      <c r="M4181" s="184"/>
      <c r="N4181" s="184"/>
      <c r="O4181" s="184"/>
    </row>
    <row r="4182" customFormat="false" ht="54.75" hidden="false" customHeight="true" outlineLevel="0" collapsed="false">
      <c r="A4182" s="184" t="s">
        <v>4993</v>
      </c>
      <c r="B4182" s="184" t="s">
        <v>4994</v>
      </c>
      <c r="C4182" s="184" t="n">
        <v>8</v>
      </c>
      <c r="D4182" s="174" t="s">
        <v>4846</v>
      </c>
      <c r="E4182" s="184" t="s">
        <v>784</v>
      </c>
      <c r="F4182" s="184" t="s">
        <v>715</v>
      </c>
      <c r="G4182" s="184"/>
      <c r="H4182" s="184"/>
      <c r="I4182" s="184"/>
      <c r="J4182" s="184"/>
      <c r="K4182" s="184" t="s">
        <v>5215</v>
      </c>
      <c r="L4182" s="184"/>
      <c r="M4182" s="184" t="s">
        <v>7217</v>
      </c>
      <c r="N4182" s="184"/>
      <c r="O4182" s="184"/>
    </row>
    <row r="4183" customFormat="false" ht="54.75" hidden="false" customHeight="true" outlineLevel="0" collapsed="false">
      <c r="A4183" s="184" t="s">
        <v>4993</v>
      </c>
      <c r="B4183" s="184" t="s">
        <v>4994</v>
      </c>
      <c r="C4183" s="184" t="n">
        <v>9</v>
      </c>
      <c r="D4183" s="174" t="s">
        <v>4846</v>
      </c>
      <c r="E4183" s="184" t="s">
        <v>5837</v>
      </c>
      <c r="F4183" s="184" t="s">
        <v>715</v>
      </c>
      <c r="G4183" s="184"/>
      <c r="H4183" s="184"/>
      <c r="I4183" s="184"/>
      <c r="J4183" s="184"/>
      <c r="K4183" s="184" t="s">
        <v>5215</v>
      </c>
      <c r="L4183" s="184"/>
      <c r="M4183" s="184" t="s">
        <v>5839</v>
      </c>
      <c r="N4183" s="184"/>
      <c r="O4183" s="184"/>
    </row>
    <row r="4184" customFormat="false" ht="54.75" hidden="false" customHeight="true" outlineLevel="0" collapsed="false">
      <c r="A4184" s="184" t="s">
        <v>4993</v>
      </c>
      <c r="B4184" s="184" t="s">
        <v>4994</v>
      </c>
      <c r="C4184" s="184" t="n">
        <v>10</v>
      </c>
      <c r="D4184" s="174" t="s">
        <v>4848</v>
      </c>
      <c r="E4184" s="184"/>
      <c r="F4184" s="184"/>
      <c r="G4184" s="184"/>
      <c r="H4184" s="184"/>
      <c r="I4184" s="184"/>
      <c r="J4184" s="184"/>
      <c r="K4184" s="184"/>
      <c r="L4184" s="184" t="s">
        <v>6302</v>
      </c>
      <c r="M4184" s="184" t="s">
        <v>6303</v>
      </c>
      <c r="N4184" s="184"/>
      <c r="O4184" s="184"/>
    </row>
    <row r="4185" customFormat="false" ht="27.75" hidden="false" customHeight="true" outlineLevel="0" collapsed="false">
      <c r="A4185" s="184" t="s">
        <v>4993</v>
      </c>
      <c r="B4185" s="184" t="s">
        <v>4994</v>
      </c>
      <c r="C4185" s="184" t="n">
        <v>11</v>
      </c>
      <c r="D4185" s="179" t="s">
        <v>6300</v>
      </c>
      <c r="E4185" s="184" t="s">
        <v>6865</v>
      </c>
      <c r="F4185" s="184"/>
      <c r="G4185" s="184"/>
      <c r="H4185" s="184"/>
      <c r="I4185" s="184"/>
      <c r="J4185" s="184"/>
      <c r="K4185" s="184"/>
      <c r="L4185" s="184"/>
      <c r="M4185" s="184"/>
      <c r="N4185" s="184"/>
      <c r="O4185" s="184"/>
    </row>
    <row r="4186" customFormat="false" ht="68.25" hidden="false" customHeight="true" outlineLevel="0" collapsed="false">
      <c r="A4186" s="184" t="s">
        <v>4993</v>
      </c>
      <c r="B4186" s="184" t="s">
        <v>4994</v>
      </c>
      <c r="C4186" s="184" t="n">
        <v>12</v>
      </c>
      <c r="D4186" s="177" t="s">
        <v>6298</v>
      </c>
      <c r="E4186" s="184" t="s">
        <v>6866</v>
      </c>
      <c r="F4186" s="184"/>
      <c r="G4186" s="184"/>
      <c r="H4186" s="184"/>
      <c r="I4186" s="184"/>
      <c r="J4186" s="184"/>
      <c r="K4186" s="184"/>
      <c r="L4186" s="184"/>
      <c r="M4186" s="184"/>
      <c r="N4186" s="184"/>
      <c r="O4186" s="184"/>
    </row>
    <row r="4187" customFormat="false" ht="175.5" hidden="false" customHeight="true" outlineLevel="0" collapsed="false">
      <c r="A4187" s="184" t="s">
        <v>4993</v>
      </c>
      <c r="B4187" s="184" t="s">
        <v>4994</v>
      </c>
      <c r="C4187" s="184" t="n">
        <v>13</v>
      </c>
      <c r="D4187" s="174" t="s">
        <v>4846</v>
      </c>
      <c r="E4187" s="184" t="s">
        <v>6307</v>
      </c>
      <c r="F4187" s="184" t="s">
        <v>238</v>
      </c>
      <c r="G4187" s="184"/>
      <c r="H4187" s="184"/>
      <c r="I4187" s="184"/>
      <c r="J4187" s="184" t="s">
        <v>6308</v>
      </c>
      <c r="K4187" s="184" t="s">
        <v>5568</v>
      </c>
      <c r="L4187" s="184"/>
      <c r="M4187" s="184" t="s">
        <v>6309</v>
      </c>
      <c r="N4187" s="184"/>
      <c r="O4187" s="184"/>
    </row>
    <row r="4188" customFormat="false" ht="122.25" hidden="false" customHeight="true" outlineLevel="0" collapsed="false">
      <c r="A4188" s="184" t="s">
        <v>4993</v>
      </c>
      <c r="B4188" s="184" t="s">
        <v>4994</v>
      </c>
      <c r="C4188" s="184" t="n">
        <v>14</v>
      </c>
      <c r="D4188" s="174" t="s">
        <v>4846</v>
      </c>
      <c r="E4188" s="184" t="s">
        <v>6310</v>
      </c>
      <c r="F4188" s="184" t="s">
        <v>238</v>
      </c>
      <c r="G4188" s="184"/>
      <c r="H4188" s="184"/>
      <c r="I4188" s="184"/>
      <c r="J4188" s="184" t="s">
        <v>6311</v>
      </c>
      <c r="K4188" s="184" t="s">
        <v>5568</v>
      </c>
      <c r="L4188" s="184"/>
      <c r="M4188" s="184" t="s">
        <v>6312</v>
      </c>
      <c r="N4188" s="184"/>
      <c r="O4188" s="184"/>
    </row>
    <row r="4189" customFormat="false" ht="81.75" hidden="false" customHeight="true" outlineLevel="0" collapsed="false">
      <c r="A4189" s="184" t="s">
        <v>4993</v>
      </c>
      <c r="B4189" s="184" t="s">
        <v>4994</v>
      </c>
      <c r="C4189" s="184" t="n">
        <v>15</v>
      </c>
      <c r="D4189" s="174" t="s">
        <v>4846</v>
      </c>
      <c r="E4189" s="184" t="s">
        <v>6313</v>
      </c>
      <c r="F4189" s="184" t="s">
        <v>238</v>
      </c>
      <c r="G4189" s="184"/>
      <c r="H4189" s="184"/>
      <c r="I4189" s="184"/>
      <c r="J4189" s="184" t="s">
        <v>6314</v>
      </c>
      <c r="K4189" s="184" t="s">
        <v>5568</v>
      </c>
      <c r="L4189" s="184"/>
      <c r="M4189" s="184" t="s">
        <v>6315</v>
      </c>
      <c r="N4189" s="184"/>
      <c r="O4189" s="184"/>
    </row>
    <row r="4190" customFormat="false" ht="108.75" hidden="false" customHeight="true" outlineLevel="0" collapsed="false">
      <c r="A4190" s="184" t="s">
        <v>4993</v>
      </c>
      <c r="B4190" s="184" t="s">
        <v>4994</v>
      </c>
      <c r="C4190" s="184" t="n">
        <v>16</v>
      </c>
      <c r="D4190" s="174" t="s">
        <v>4846</v>
      </c>
      <c r="E4190" s="184" t="s">
        <v>6316</v>
      </c>
      <c r="F4190" s="184" t="s">
        <v>238</v>
      </c>
      <c r="G4190" s="184"/>
      <c r="H4190" s="184"/>
      <c r="I4190" s="184"/>
      <c r="J4190" s="184" t="s">
        <v>6317</v>
      </c>
      <c r="K4190" s="184" t="s">
        <v>5568</v>
      </c>
      <c r="L4190" s="184"/>
      <c r="M4190" s="184" t="s">
        <v>6318</v>
      </c>
      <c r="N4190" s="184"/>
      <c r="O4190" s="184"/>
    </row>
    <row r="4191" customFormat="false" ht="108.75" hidden="false" customHeight="true" outlineLevel="0" collapsed="false">
      <c r="A4191" s="184" t="s">
        <v>4993</v>
      </c>
      <c r="B4191" s="184" t="s">
        <v>4994</v>
      </c>
      <c r="C4191" s="184" t="n">
        <v>17</v>
      </c>
      <c r="D4191" s="174" t="s">
        <v>4846</v>
      </c>
      <c r="E4191" s="184" t="s">
        <v>6319</v>
      </c>
      <c r="F4191" s="184" t="s">
        <v>238</v>
      </c>
      <c r="G4191" s="184"/>
      <c r="H4191" s="184"/>
      <c r="I4191" s="184"/>
      <c r="J4191" s="184" t="s">
        <v>6320</v>
      </c>
      <c r="K4191" s="184" t="s">
        <v>5568</v>
      </c>
      <c r="L4191" s="184"/>
      <c r="M4191" s="184" t="s">
        <v>6321</v>
      </c>
      <c r="N4191" s="184"/>
      <c r="O4191" s="184"/>
    </row>
    <row r="4192" customFormat="false" ht="68.25" hidden="false" customHeight="true" outlineLevel="0" collapsed="false">
      <c r="A4192" s="184" t="s">
        <v>4993</v>
      </c>
      <c r="B4192" s="184" t="s">
        <v>4994</v>
      </c>
      <c r="C4192" s="184" t="n">
        <v>18</v>
      </c>
      <c r="D4192" s="174" t="s">
        <v>4846</v>
      </c>
      <c r="E4192" s="184" t="s">
        <v>6322</v>
      </c>
      <c r="F4192" s="184" t="s">
        <v>238</v>
      </c>
      <c r="G4192" s="184"/>
      <c r="H4192" s="184"/>
      <c r="I4192" s="184"/>
      <c r="J4192" s="184" t="s">
        <v>6314</v>
      </c>
      <c r="K4192" s="184" t="s">
        <v>6323</v>
      </c>
      <c r="L4192" s="184"/>
      <c r="M4192" s="184" t="s">
        <v>6324</v>
      </c>
      <c r="N4192" s="184"/>
      <c r="O4192" s="184"/>
    </row>
    <row r="4193" customFormat="false" ht="81.75" hidden="false" customHeight="true" outlineLevel="0" collapsed="false">
      <c r="A4193" s="184" t="s">
        <v>4993</v>
      </c>
      <c r="B4193" s="184" t="s">
        <v>4994</v>
      </c>
      <c r="C4193" s="184" t="n">
        <v>19</v>
      </c>
      <c r="D4193" s="174" t="s">
        <v>4846</v>
      </c>
      <c r="E4193" s="184" t="s">
        <v>1434</v>
      </c>
      <c r="F4193" s="184" t="s">
        <v>238</v>
      </c>
      <c r="G4193" s="184"/>
      <c r="H4193" s="184"/>
      <c r="I4193" s="184"/>
      <c r="J4193" s="184" t="s">
        <v>6325</v>
      </c>
      <c r="K4193" s="184" t="s">
        <v>5568</v>
      </c>
      <c r="L4193" s="184"/>
      <c r="M4193" s="184" t="s">
        <v>5673</v>
      </c>
      <c r="N4193" s="184"/>
      <c r="O4193" s="184"/>
    </row>
    <row r="4194" customFormat="false" ht="108.75" hidden="false" customHeight="true" outlineLevel="0" collapsed="false">
      <c r="A4194" s="184" t="s">
        <v>4993</v>
      </c>
      <c r="B4194" s="184" t="s">
        <v>4994</v>
      </c>
      <c r="C4194" s="184" t="n">
        <v>20</v>
      </c>
      <c r="D4194" s="174" t="s">
        <v>4848</v>
      </c>
      <c r="E4194" s="184" t="s">
        <v>1789</v>
      </c>
      <c r="F4194" s="184"/>
      <c r="G4194" s="184"/>
      <c r="H4194" s="184"/>
      <c r="I4194" s="184"/>
      <c r="J4194" s="184" t="s">
        <v>6326</v>
      </c>
      <c r="K4194" s="184" t="s">
        <v>5568</v>
      </c>
      <c r="L4194" s="184" t="s">
        <v>6327</v>
      </c>
      <c r="M4194" s="184" t="s">
        <v>6328</v>
      </c>
      <c r="N4194" s="184"/>
      <c r="O4194" s="184"/>
    </row>
    <row r="4195" customFormat="false" ht="108.75" hidden="false" customHeight="true" outlineLevel="0" collapsed="false">
      <c r="A4195" s="184" t="s">
        <v>4993</v>
      </c>
      <c r="B4195" s="184" t="s">
        <v>4994</v>
      </c>
      <c r="C4195" s="184" t="n">
        <v>21</v>
      </c>
      <c r="D4195" s="174" t="s">
        <v>4846</v>
      </c>
      <c r="E4195" s="184" t="s">
        <v>5459</v>
      </c>
      <c r="F4195" s="184" t="s">
        <v>238</v>
      </c>
      <c r="G4195" s="184"/>
      <c r="H4195" s="184"/>
      <c r="I4195" s="184"/>
      <c r="J4195" s="184" t="s">
        <v>6325</v>
      </c>
      <c r="K4195" s="184" t="s">
        <v>5568</v>
      </c>
      <c r="L4195" s="184"/>
      <c r="M4195" s="184" t="s">
        <v>5462</v>
      </c>
      <c r="N4195" s="184"/>
      <c r="O4195" s="184"/>
    </row>
    <row r="4196" customFormat="false" ht="81.75" hidden="false" customHeight="true" outlineLevel="0" collapsed="false">
      <c r="A4196" s="184" t="s">
        <v>4993</v>
      </c>
      <c r="B4196" s="184" t="s">
        <v>4994</v>
      </c>
      <c r="C4196" s="184" t="n">
        <v>22</v>
      </c>
      <c r="D4196" s="174" t="s">
        <v>4846</v>
      </c>
      <c r="E4196" s="184" t="s">
        <v>6329</v>
      </c>
      <c r="F4196" s="184" t="s">
        <v>238</v>
      </c>
      <c r="G4196" s="184"/>
      <c r="H4196" s="184"/>
      <c r="I4196" s="184"/>
      <c r="J4196" s="184" t="s">
        <v>6330</v>
      </c>
      <c r="K4196" s="184" t="s">
        <v>5568</v>
      </c>
      <c r="L4196" s="184"/>
      <c r="M4196" s="184" t="s">
        <v>6331</v>
      </c>
      <c r="N4196" s="184"/>
      <c r="O4196" s="184"/>
    </row>
    <row r="4197" customFormat="false" ht="68.25" hidden="false" customHeight="true" outlineLevel="0" collapsed="false">
      <c r="A4197" s="184" t="s">
        <v>4993</v>
      </c>
      <c r="B4197" s="184" t="s">
        <v>4994</v>
      </c>
      <c r="C4197" s="184" t="n">
        <v>23</v>
      </c>
      <c r="D4197" s="174" t="s">
        <v>4846</v>
      </c>
      <c r="E4197" s="184" t="s">
        <v>5463</v>
      </c>
      <c r="F4197" s="184" t="s">
        <v>238</v>
      </c>
      <c r="G4197" s="184"/>
      <c r="H4197" s="184"/>
      <c r="I4197" s="184"/>
      <c r="J4197" s="184" t="s">
        <v>6314</v>
      </c>
      <c r="K4197" s="184" t="s">
        <v>5568</v>
      </c>
      <c r="L4197" s="184"/>
      <c r="M4197" s="184" t="s">
        <v>5466</v>
      </c>
      <c r="N4197" s="184"/>
      <c r="O4197" s="184"/>
    </row>
    <row r="4198" customFormat="false" ht="41.25" hidden="false" customHeight="true" outlineLevel="0" collapsed="false">
      <c r="A4198" s="184" t="s">
        <v>4993</v>
      </c>
      <c r="B4198" s="184" t="s">
        <v>4994</v>
      </c>
      <c r="C4198" s="184" t="n">
        <v>24</v>
      </c>
      <c r="D4198" s="174" t="s">
        <v>4846</v>
      </c>
      <c r="E4198" s="184" t="s">
        <v>5228</v>
      </c>
      <c r="F4198" s="184" t="s">
        <v>227</v>
      </c>
      <c r="G4198" s="184"/>
      <c r="H4198" s="184"/>
      <c r="I4198" s="184"/>
      <c r="J4198" s="184" t="s">
        <v>6332</v>
      </c>
      <c r="K4198" s="184" t="s">
        <v>6333</v>
      </c>
      <c r="L4198" s="184"/>
      <c r="M4198" s="184" t="s">
        <v>5230</v>
      </c>
      <c r="N4198" s="184"/>
      <c r="O4198" s="184"/>
    </row>
    <row r="4199" customFormat="false" ht="41.25" hidden="false" customHeight="true" outlineLevel="0" collapsed="false">
      <c r="A4199" s="184" t="s">
        <v>4993</v>
      </c>
      <c r="B4199" s="184" t="s">
        <v>4994</v>
      </c>
      <c r="C4199" s="184" t="n">
        <v>25</v>
      </c>
      <c r="D4199" s="174" t="s">
        <v>4846</v>
      </c>
      <c r="E4199" s="184" t="s">
        <v>5467</v>
      </c>
      <c r="F4199" s="184" t="s">
        <v>238</v>
      </c>
      <c r="G4199" s="184"/>
      <c r="H4199" s="184"/>
      <c r="I4199" s="184"/>
      <c r="J4199" s="184" t="s">
        <v>6314</v>
      </c>
      <c r="K4199" s="184" t="s">
        <v>6333</v>
      </c>
      <c r="L4199" s="184" t="s">
        <v>5469</v>
      </c>
      <c r="M4199" s="184" t="s">
        <v>6334</v>
      </c>
      <c r="N4199" s="184"/>
      <c r="O4199" s="184"/>
    </row>
    <row r="4200" customFormat="false" ht="68.25" hidden="false" customHeight="true" outlineLevel="0" collapsed="false">
      <c r="A4200" s="184" t="s">
        <v>4993</v>
      </c>
      <c r="B4200" s="184" t="s">
        <v>4994</v>
      </c>
      <c r="C4200" s="184" t="n">
        <v>26</v>
      </c>
      <c r="D4200" s="174" t="s">
        <v>4846</v>
      </c>
      <c r="E4200" s="184" t="s">
        <v>5864</v>
      </c>
      <c r="F4200" s="184" t="s">
        <v>238</v>
      </c>
      <c r="G4200" s="184"/>
      <c r="H4200" s="184"/>
      <c r="I4200" s="184"/>
      <c r="J4200" s="184" t="s">
        <v>6330</v>
      </c>
      <c r="K4200" s="184" t="s">
        <v>5568</v>
      </c>
      <c r="L4200" s="184"/>
      <c r="M4200" s="184" t="s">
        <v>5867</v>
      </c>
      <c r="N4200" s="184"/>
      <c r="O4200" s="184"/>
    </row>
    <row r="4201" customFormat="false" ht="68.25" hidden="false" customHeight="true" outlineLevel="0" collapsed="false">
      <c r="A4201" s="184" t="s">
        <v>4993</v>
      </c>
      <c r="B4201" s="184" t="s">
        <v>4994</v>
      </c>
      <c r="C4201" s="184" t="n">
        <v>27</v>
      </c>
      <c r="D4201" s="174" t="s">
        <v>4846</v>
      </c>
      <c r="E4201" s="184" t="s">
        <v>5868</v>
      </c>
      <c r="F4201" s="184" t="s">
        <v>238</v>
      </c>
      <c r="G4201" s="184"/>
      <c r="H4201" s="184"/>
      <c r="I4201" s="184"/>
      <c r="J4201" s="184" t="s">
        <v>6335</v>
      </c>
      <c r="K4201" s="184" t="s">
        <v>5568</v>
      </c>
      <c r="L4201" s="184"/>
      <c r="M4201" s="184" t="s">
        <v>5871</v>
      </c>
      <c r="N4201" s="184"/>
      <c r="O4201" s="184"/>
    </row>
    <row r="4202" customFormat="false" ht="68.25" hidden="false" customHeight="true" outlineLevel="0" collapsed="false">
      <c r="A4202" s="184" t="s">
        <v>4993</v>
      </c>
      <c r="B4202" s="184" t="s">
        <v>4994</v>
      </c>
      <c r="C4202" s="184" t="n">
        <v>28</v>
      </c>
      <c r="D4202" s="174" t="s">
        <v>4846</v>
      </c>
      <c r="E4202" s="184" t="s">
        <v>5872</v>
      </c>
      <c r="F4202" s="184" t="s">
        <v>238</v>
      </c>
      <c r="G4202" s="184"/>
      <c r="H4202" s="184"/>
      <c r="I4202" s="184"/>
      <c r="J4202" s="184" t="s">
        <v>6336</v>
      </c>
      <c r="K4202" s="184" t="s">
        <v>5568</v>
      </c>
      <c r="L4202" s="184"/>
      <c r="M4202" s="184" t="s">
        <v>5875</v>
      </c>
      <c r="N4202" s="184"/>
      <c r="O4202" s="184"/>
    </row>
    <row r="4203" customFormat="false" ht="54.75" hidden="false" customHeight="true" outlineLevel="0" collapsed="false">
      <c r="A4203" s="184" t="s">
        <v>4993</v>
      </c>
      <c r="B4203" s="184" t="s">
        <v>4994</v>
      </c>
      <c r="C4203" s="184" t="n">
        <v>29</v>
      </c>
      <c r="D4203" s="174" t="s">
        <v>4846</v>
      </c>
      <c r="E4203" s="184" t="s">
        <v>5963</v>
      </c>
      <c r="F4203" s="184" t="s">
        <v>238</v>
      </c>
      <c r="G4203" s="184"/>
      <c r="H4203" s="184"/>
      <c r="I4203" s="184"/>
      <c r="J4203" s="184" t="s">
        <v>6311</v>
      </c>
      <c r="K4203" s="184" t="s">
        <v>5568</v>
      </c>
      <c r="L4203" s="184"/>
      <c r="M4203" s="184" t="s">
        <v>5966</v>
      </c>
      <c r="N4203" s="184"/>
      <c r="O4203" s="184"/>
    </row>
    <row r="4204" customFormat="false" ht="54.75" hidden="false" customHeight="true" outlineLevel="0" collapsed="false">
      <c r="A4204" s="184" t="s">
        <v>4993</v>
      </c>
      <c r="B4204" s="184" t="s">
        <v>4994</v>
      </c>
      <c r="C4204" s="184" t="n">
        <v>30</v>
      </c>
      <c r="D4204" s="174" t="s">
        <v>4846</v>
      </c>
      <c r="E4204" s="184" t="s">
        <v>5967</v>
      </c>
      <c r="F4204" s="184" t="s">
        <v>238</v>
      </c>
      <c r="G4204" s="184"/>
      <c r="H4204" s="184"/>
      <c r="I4204" s="184"/>
      <c r="J4204" s="184" t="s">
        <v>6337</v>
      </c>
      <c r="K4204" s="184" t="s">
        <v>5568</v>
      </c>
      <c r="L4204" s="184"/>
      <c r="M4204" s="184" t="s">
        <v>5970</v>
      </c>
      <c r="N4204" s="184"/>
      <c r="O4204" s="184"/>
    </row>
    <row r="4205" customFormat="false" ht="54.75" hidden="false" customHeight="true" outlineLevel="0" collapsed="false">
      <c r="A4205" s="184" t="s">
        <v>4993</v>
      </c>
      <c r="B4205" s="184" t="s">
        <v>4994</v>
      </c>
      <c r="C4205" s="184" t="n">
        <v>31</v>
      </c>
      <c r="D4205" s="174" t="s">
        <v>4846</v>
      </c>
      <c r="E4205" s="184" t="s">
        <v>5971</v>
      </c>
      <c r="F4205" s="184" t="s">
        <v>238</v>
      </c>
      <c r="G4205" s="184"/>
      <c r="H4205" s="184"/>
      <c r="I4205" s="184"/>
      <c r="J4205" s="184" t="s">
        <v>6338</v>
      </c>
      <c r="K4205" s="184" t="s">
        <v>5568</v>
      </c>
      <c r="L4205" s="184"/>
      <c r="M4205" s="184" t="s">
        <v>5974</v>
      </c>
      <c r="N4205" s="184"/>
      <c r="O4205" s="184"/>
    </row>
    <row r="4206" customFormat="false" ht="81.75" hidden="false" customHeight="true" outlineLevel="0" collapsed="false">
      <c r="A4206" s="184" t="s">
        <v>4993</v>
      </c>
      <c r="B4206" s="184" t="s">
        <v>4994</v>
      </c>
      <c r="C4206" s="184" t="n">
        <v>32</v>
      </c>
      <c r="D4206" s="174" t="s">
        <v>4848</v>
      </c>
      <c r="E4206" s="184" t="s">
        <v>1790</v>
      </c>
      <c r="F4206" s="184"/>
      <c r="G4206" s="184"/>
      <c r="H4206" s="184"/>
      <c r="I4206" s="184"/>
      <c r="J4206" s="184" t="s">
        <v>6339</v>
      </c>
      <c r="K4206" s="184" t="s">
        <v>5568</v>
      </c>
      <c r="L4206" s="184" t="s">
        <v>6340</v>
      </c>
      <c r="M4206" s="184" t="s">
        <v>6341</v>
      </c>
      <c r="N4206" s="184"/>
      <c r="O4206" s="184"/>
    </row>
    <row r="4207" customFormat="false" ht="54.75" hidden="false" customHeight="true" outlineLevel="0" collapsed="false">
      <c r="A4207" s="184" t="s">
        <v>4993</v>
      </c>
      <c r="B4207" s="184" t="s">
        <v>4994</v>
      </c>
      <c r="C4207" s="184" t="n">
        <v>33</v>
      </c>
      <c r="D4207" s="174" t="s">
        <v>4846</v>
      </c>
      <c r="E4207" s="184" t="s">
        <v>6342</v>
      </c>
      <c r="F4207" s="184" t="s">
        <v>5221</v>
      </c>
      <c r="G4207" s="184"/>
      <c r="H4207" s="184"/>
      <c r="I4207" s="184"/>
      <c r="J4207" s="184"/>
      <c r="K4207" s="184" t="s">
        <v>6343</v>
      </c>
      <c r="L4207" s="184"/>
      <c r="M4207" s="184" t="s">
        <v>6344</v>
      </c>
      <c r="N4207" s="184"/>
      <c r="O4207" s="184"/>
    </row>
    <row r="4208" customFormat="false" ht="81.75" hidden="false" customHeight="true" outlineLevel="0" collapsed="false">
      <c r="A4208" s="184" t="s">
        <v>4993</v>
      </c>
      <c r="B4208" s="184" t="s">
        <v>4994</v>
      </c>
      <c r="C4208" s="184" t="n">
        <v>34</v>
      </c>
      <c r="D4208" s="174" t="s">
        <v>4846</v>
      </c>
      <c r="E4208" s="184" t="s">
        <v>6345</v>
      </c>
      <c r="F4208" s="184" t="s">
        <v>227</v>
      </c>
      <c r="G4208" s="184"/>
      <c r="H4208" s="184"/>
      <c r="I4208" s="184"/>
      <c r="J4208" s="184" t="s">
        <v>6346</v>
      </c>
      <c r="K4208" s="184" t="s">
        <v>6323</v>
      </c>
      <c r="L4208" s="184"/>
      <c r="M4208" s="184" t="s">
        <v>6347</v>
      </c>
      <c r="N4208" s="184"/>
      <c r="O4208" s="184"/>
    </row>
    <row r="4209" customFormat="false" ht="27.75" hidden="false" customHeight="true" outlineLevel="0" collapsed="false">
      <c r="A4209" s="184" t="s">
        <v>4993</v>
      </c>
      <c r="B4209" s="184" t="s">
        <v>4994</v>
      </c>
      <c r="C4209" s="184" t="n">
        <v>35</v>
      </c>
      <c r="D4209" s="174" t="s">
        <v>4846</v>
      </c>
      <c r="E4209" s="184" t="s">
        <v>6348</v>
      </c>
      <c r="F4209" s="184" t="s">
        <v>227</v>
      </c>
      <c r="G4209" s="184"/>
      <c r="H4209" s="184"/>
      <c r="I4209" s="184"/>
      <c r="J4209" s="184" t="s">
        <v>6346</v>
      </c>
      <c r="K4209" s="184" t="s">
        <v>6333</v>
      </c>
      <c r="L4209" s="184"/>
      <c r="M4209" s="184" t="s">
        <v>6349</v>
      </c>
      <c r="N4209" s="184"/>
      <c r="O4209" s="184"/>
    </row>
    <row r="4210" customFormat="false" ht="122.25" hidden="false" customHeight="true" outlineLevel="0" collapsed="false">
      <c r="A4210" s="184" t="s">
        <v>4993</v>
      </c>
      <c r="B4210" s="184" t="s">
        <v>4994</v>
      </c>
      <c r="C4210" s="184" t="n">
        <v>36</v>
      </c>
      <c r="D4210" s="174" t="s">
        <v>4846</v>
      </c>
      <c r="E4210" s="184" t="s">
        <v>6350</v>
      </c>
      <c r="F4210" s="184" t="s">
        <v>238</v>
      </c>
      <c r="G4210" s="184"/>
      <c r="H4210" s="184"/>
      <c r="I4210" s="184"/>
      <c r="J4210" s="184" t="s">
        <v>5736</v>
      </c>
      <c r="K4210" s="184" t="s">
        <v>5568</v>
      </c>
      <c r="L4210" s="184"/>
      <c r="M4210" s="184" t="s">
        <v>6351</v>
      </c>
      <c r="N4210" s="184"/>
      <c r="O4210" s="184"/>
    </row>
    <row r="4211" customFormat="false" ht="95.25" hidden="false" customHeight="true" outlineLevel="0" collapsed="false">
      <c r="A4211" s="184" t="s">
        <v>4993</v>
      </c>
      <c r="B4211" s="184" t="s">
        <v>4994</v>
      </c>
      <c r="C4211" s="184" t="n">
        <v>37</v>
      </c>
      <c r="D4211" s="174" t="s">
        <v>4846</v>
      </c>
      <c r="E4211" s="184" t="s">
        <v>5674</v>
      </c>
      <c r="F4211" s="184"/>
      <c r="G4211" s="184"/>
      <c r="H4211" s="184"/>
      <c r="I4211" s="184"/>
      <c r="J4211" s="184" t="s">
        <v>5675</v>
      </c>
      <c r="K4211" s="184" t="s">
        <v>5568</v>
      </c>
      <c r="L4211" s="184"/>
      <c r="M4211" s="184" t="s">
        <v>5677</v>
      </c>
      <c r="N4211" s="184"/>
      <c r="O4211" s="184"/>
    </row>
    <row r="4212" customFormat="false" ht="95.25" hidden="false" customHeight="true" outlineLevel="0" collapsed="false">
      <c r="A4212" s="184" t="s">
        <v>4993</v>
      </c>
      <c r="B4212" s="184" t="s">
        <v>4994</v>
      </c>
      <c r="C4212" s="184" t="n">
        <v>38</v>
      </c>
      <c r="D4212" s="174" t="s">
        <v>4846</v>
      </c>
      <c r="E4212" s="184" t="s">
        <v>6352</v>
      </c>
      <c r="F4212" s="184" t="s">
        <v>238</v>
      </c>
      <c r="G4212" s="184"/>
      <c r="H4212" s="184"/>
      <c r="I4212" s="184"/>
      <c r="J4212" s="184" t="s">
        <v>6353</v>
      </c>
      <c r="K4212" s="184" t="s">
        <v>5568</v>
      </c>
      <c r="L4212" s="184"/>
      <c r="M4212" s="184" t="s">
        <v>6354</v>
      </c>
      <c r="N4212" s="184"/>
      <c r="O4212" s="184"/>
    </row>
    <row r="4213" customFormat="false" ht="135.75" hidden="false" customHeight="true" outlineLevel="0" collapsed="false">
      <c r="A4213" s="184" t="s">
        <v>4993</v>
      </c>
      <c r="B4213" s="184" t="s">
        <v>4994</v>
      </c>
      <c r="C4213" s="184" t="n">
        <v>39</v>
      </c>
      <c r="D4213" s="174" t="s">
        <v>4846</v>
      </c>
      <c r="E4213" s="184" t="s">
        <v>5678</v>
      </c>
      <c r="F4213" s="184" t="s">
        <v>238</v>
      </c>
      <c r="G4213" s="184"/>
      <c r="H4213" s="184"/>
      <c r="I4213" s="184"/>
      <c r="J4213" s="184" t="s">
        <v>5675</v>
      </c>
      <c r="K4213" s="184" t="s">
        <v>5568</v>
      </c>
      <c r="L4213" s="184"/>
      <c r="M4213" s="184" t="s">
        <v>5681</v>
      </c>
      <c r="N4213" s="184"/>
      <c r="O4213" s="184"/>
    </row>
    <row r="4214" customFormat="false" ht="162" hidden="false" customHeight="true" outlineLevel="0" collapsed="false">
      <c r="A4214" s="184" t="s">
        <v>4993</v>
      </c>
      <c r="B4214" s="184" t="s">
        <v>4994</v>
      </c>
      <c r="C4214" s="184" t="n">
        <v>40</v>
      </c>
      <c r="D4214" s="174" t="s">
        <v>4848</v>
      </c>
      <c r="E4214" s="184" t="s">
        <v>5682</v>
      </c>
      <c r="F4214" s="184"/>
      <c r="G4214" s="184"/>
      <c r="H4214" s="184"/>
      <c r="I4214" s="184"/>
      <c r="J4214" s="184" t="s">
        <v>5683</v>
      </c>
      <c r="K4214" s="184" t="s">
        <v>5568</v>
      </c>
      <c r="L4214" s="184" t="s">
        <v>6355</v>
      </c>
      <c r="M4214" s="184" t="s">
        <v>5685</v>
      </c>
      <c r="N4214" s="184"/>
      <c r="O4214" s="184"/>
    </row>
    <row r="4215" customFormat="false" ht="108.75" hidden="false" customHeight="true" outlineLevel="0" collapsed="false">
      <c r="A4215" s="184" t="s">
        <v>4993</v>
      </c>
      <c r="B4215" s="184" t="s">
        <v>4994</v>
      </c>
      <c r="C4215" s="184" t="n">
        <v>41</v>
      </c>
      <c r="D4215" s="174" t="s">
        <v>4848</v>
      </c>
      <c r="E4215" s="184" t="s">
        <v>6356</v>
      </c>
      <c r="F4215" s="184"/>
      <c r="G4215" s="184"/>
      <c r="H4215" s="184"/>
      <c r="I4215" s="184"/>
      <c r="J4215" s="184" t="s">
        <v>6357</v>
      </c>
      <c r="K4215" s="184" t="s">
        <v>5568</v>
      </c>
      <c r="L4215" s="184" t="s">
        <v>6358</v>
      </c>
      <c r="M4215" s="184" t="s">
        <v>6359</v>
      </c>
      <c r="N4215" s="184"/>
      <c r="O4215" s="184"/>
    </row>
    <row r="4216" customFormat="false" ht="81.75" hidden="false" customHeight="true" outlineLevel="0" collapsed="false">
      <c r="A4216" s="184" t="s">
        <v>4993</v>
      </c>
      <c r="B4216" s="184" t="s">
        <v>4994</v>
      </c>
      <c r="C4216" s="184" t="n">
        <v>42</v>
      </c>
      <c r="D4216" s="174" t="s">
        <v>4848</v>
      </c>
      <c r="E4216" s="184" t="s">
        <v>5833</v>
      </c>
      <c r="F4216" s="184"/>
      <c r="G4216" s="184"/>
      <c r="H4216" s="184"/>
      <c r="I4216" s="184"/>
      <c r="J4216" s="184" t="s">
        <v>5834</v>
      </c>
      <c r="K4216" s="184" t="s">
        <v>5568</v>
      </c>
      <c r="L4216" s="184" t="s">
        <v>6360</v>
      </c>
      <c r="M4216" s="184" t="s">
        <v>5836</v>
      </c>
      <c r="N4216" s="184"/>
      <c r="O4216" s="184"/>
    </row>
    <row r="4217" customFormat="false" ht="41.25" hidden="false" customHeight="true" outlineLevel="0" collapsed="false">
      <c r="A4217" s="184" t="s">
        <v>4993</v>
      </c>
      <c r="B4217" s="184" t="s">
        <v>4994</v>
      </c>
      <c r="C4217" s="184" t="n">
        <v>43</v>
      </c>
      <c r="D4217" s="174" t="s">
        <v>4846</v>
      </c>
      <c r="E4217" s="184" t="s">
        <v>6361</v>
      </c>
      <c r="F4217" s="184" t="s">
        <v>227</v>
      </c>
      <c r="G4217" s="184"/>
      <c r="H4217" s="184"/>
      <c r="I4217" s="184"/>
      <c r="J4217" s="184" t="s">
        <v>6362</v>
      </c>
      <c r="K4217" s="184" t="s">
        <v>6323</v>
      </c>
      <c r="L4217" s="184"/>
      <c r="M4217" s="184" t="s">
        <v>6363</v>
      </c>
      <c r="N4217" s="184"/>
      <c r="O4217" s="184"/>
    </row>
    <row r="4218" customFormat="false" ht="149.25" hidden="false" customHeight="true" outlineLevel="0" collapsed="false">
      <c r="A4218" s="184" t="s">
        <v>4993</v>
      </c>
      <c r="B4218" s="184" t="s">
        <v>4994</v>
      </c>
      <c r="C4218" s="184" t="n">
        <v>44</v>
      </c>
      <c r="D4218" s="174" t="s">
        <v>4846</v>
      </c>
      <c r="E4218" s="184" t="s">
        <v>681</v>
      </c>
      <c r="F4218" s="184"/>
      <c r="G4218" s="184"/>
      <c r="H4218" s="184"/>
      <c r="I4218" s="184"/>
      <c r="J4218" s="184" t="s">
        <v>6336</v>
      </c>
      <c r="K4218" s="184" t="s">
        <v>5568</v>
      </c>
      <c r="L4218" s="184"/>
      <c r="M4218" s="184" t="s">
        <v>7218</v>
      </c>
      <c r="N4218" s="184"/>
      <c r="O4218" s="184"/>
    </row>
    <row r="4219" customFormat="false" ht="27.75" hidden="false" customHeight="true" outlineLevel="0" collapsed="false">
      <c r="A4219" s="184" t="s">
        <v>4993</v>
      </c>
      <c r="B4219" s="184" t="s">
        <v>4994</v>
      </c>
      <c r="C4219" s="184" t="n">
        <v>45</v>
      </c>
      <c r="D4219" s="174" t="s">
        <v>4846</v>
      </c>
      <c r="E4219" s="184" t="s">
        <v>6366</v>
      </c>
      <c r="F4219" s="184" t="s">
        <v>238</v>
      </c>
      <c r="G4219" s="184"/>
      <c r="H4219" s="184"/>
      <c r="I4219" s="184"/>
      <c r="J4219" s="184" t="s">
        <v>6367</v>
      </c>
      <c r="K4219" s="184" t="s">
        <v>6333</v>
      </c>
      <c r="L4219" s="184" t="s">
        <v>6368</v>
      </c>
      <c r="M4219" s="184" t="s">
        <v>4371</v>
      </c>
      <c r="N4219" s="184"/>
      <c r="O4219" s="184"/>
    </row>
    <row r="4220" customFormat="false" ht="41.25" hidden="false" customHeight="true" outlineLevel="0" collapsed="false">
      <c r="A4220" s="184" t="s">
        <v>4993</v>
      </c>
      <c r="B4220" s="184" t="s">
        <v>4994</v>
      </c>
      <c r="C4220" s="184" t="n">
        <v>46</v>
      </c>
      <c r="D4220" s="174" t="s">
        <v>4846</v>
      </c>
      <c r="E4220" s="184" t="s">
        <v>6369</v>
      </c>
      <c r="F4220" s="184" t="s">
        <v>238</v>
      </c>
      <c r="G4220" s="184"/>
      <c r="H4220" s="184"/>
      <c r="I4220" s="184"/>
      <c r="J4220" s="184" t="s">
        <v>6370</v>
      </c>
      <c r="K4220" s="184" t="s">
        <v>6333</v>
      </c>
      <c r="L4220" s="184"/>
      <c r="M4220" s="184" t="s">
        <v>6170</v>
      </c>
      <c r="N4220" s="184"/>
      <c r="O4220" s="184"/>
    </row>
    <row r="4221" customFormat="false" ht="27.75" hidden="false" customHeight="true" outlineLevel="0" collapsed="false">
      <c r="A4221" s="184" t="s">
        <v>4993</v>
      </c>
      <c r="B4221" s="184" t="s">
        <v>4994</v>
      </c>
      <c r="C4221" s="184" t="n">
        <v>47</v>
      </c>
      <c r="D4221" s="174" t="s">
        <v>4846</v>
      </c>
      <c r="E4221" s="184" t="s">
        <v>6371</v>
      </c>
      <c r="F4221" s="184" t="s">
        <v>238</v>
      </c>
      <c r="G4221" s="184"/>
      <c r="H4221" s="184"/>
      <c r="I4221" s="184"/>
      <c r="J4221" s="184" t="s">
        <v>6372</v>
      </c>
      <c r="K4221" s="184" t="s">
        <v>6333</v>
      </c>
      <c r="L4221" s="184" t="s">
        <v>6373</v>
      </c>
      <c r="M4221" s="184" t="s">
        <v>4375</v>
      </c>
      <c r="N4221" s="184"/>
      <c r="O4221" s="184"/>
    </row>
    <row r="4222" customFormat="false" ht="108.75" hidden="false" customHeight="true" outlineLevel="0" collapsed="false">
      <c r="A4222" s="184" t="s">
        <v>4993</v>
      </c>
      <c r="B4222" s="184" t="s">
        <v>4994</v>
      </c>
      <c r="C4222" s="184" t="n">
        <v>48</v>
      </c>
      <c r="D4222" s="174" t="s">
        <v>4846</v>
      </c>
      <c r="E4222" s="184" t="s">
        <v>1454</v>
      </c>
      <c r="F4222" s="184" t="s">
        <v>5221</v>
      </c>
      <c r="G4222" s="184"/>
      <c r="H4222" s="184"/>
      <c r="I4222" s="184"/>
      <c r="J4222" s="184" t="s">
        <v>6311</v>
      </c>
      <c r="K4222" s="184" t="s">
        <v>5568</v>
      </c>
      <c r="L4222" s="184"/>
      <c r="M4222" s="184" t="s">
        <v>6374</v>
      </c>
      <c r="N4222" s="184"/>
      <c r="O4222" s="184"/>
    </row>
    <row r="4223" customFormat="false" ht="68.25" hidden="false" customHeight="true" outlineLevel="0" collapsed="false">
      <c r="A4223" s="184" t="s">
        <v>4993</v>
      </c>
      <c r="B4223" s="184" t="s">
        <v>4994</v>
      </c>
      <c r="C4223" s="184" t="n">
        <v>49</v>
      </c>
      <c r="D4223" s="174" t="s">
        <v>4846</v>
      </c>
      <c r="E4223" s="184" t="s">
        <v>6375</v>
      </c>
      <c r="F4223" s="184" t="s">
        <v>238</v>
      </c>
      <c r="G4223" s="184"/>
      <c r="H4223" s="184"/>
      <c r="I4223" s="184"/>
      <c r="J4223" s="184" t="s">
        <v>6376</v>
      </c>
      <c r="K4223" s="184" t="s">
        <v>5568</v>
      </c>
      <c r="L4223" s="184"/>
      <c r="M4223" s="184" t="s">
        <v>6377</v>
      </c>
      <c r="N4223" s="184"/>
      <c r="O4223" s="184"/>
    </row>
    <row r="4224" customFormat="false" ht="81.75" hidden="false" customHeight="true" outlineLevel="0" collapsed="false">
      <c r="A4224" s="184" t="s">
        <v>4993</v>
      </c>
      <c r="B4224" s="184" t="s">
        <v>4994</v>
      </c>
      <c r="C4224" s="184" t="n">
        <v>50</v>
      </c>
      <c r="D4224" s="174" t="s">
        <v>4846</v>
      </c>
      <c r="E4224" s="184" t="s">
        <v>6378</v>
      </c>
      <c r="F4224" s="184" t="s">
        <v>238</v>
      </c>
      <c r="G4224" s="184"/>
      <c r="H4224" s="184"/>
      <c r="I4224" s="184"/>
      <c r="J4224" s="184" t="s">
        <v>5736</v>
      </c>
      <c r="K4224" s="184" t="s">
        <v>5568</v>
      </c>
      <c r="L4224" s="184"/>
      <c r="M4224" s="184" t="s">
        <v>6379</v>
      </c>
      <c r="N4224" s="184"/>
      <c r="O4224" s="184"/>
    </row>
    <row r="4225" customFormat="false" ht="68.25" hidden="false" customHeight="true" outlineLevel="0" collapsed="false">
      <c r="A4225" s="184" t="s">
        <v>4993</v>
      </c>
      <c r="B4225" s="184" t="s">
        <v>4994</v>
      </c>
      <c r="C4225" s="184" t="n">
        <v>51</v>
      </c>
      <c r="D4225" s="174" t="s">
        <v>4846</v>
      </c>
      <c r="E4225" s="184" t="s">
        <v>6380</v>
      </c>
      <c r="F4225" s="184" t="s">
        <v>227</v>
      </c>
      <c r="G4225" s="184"/>
      <c r="H4225" s="184"/>
      <c r="I4225" s="184"/>
      <c r="J4225" s="184" t="s">
        <v>6381</v>
      </c>
      <c r="K4225" s="184" t="s">
        <v>5568</v>
      </c>
      <c r="L4225" s="184"/>
      <c r="M4225" s="184" t="s">
        <v>6382</v>
      </c>
      <c r="N4225" s="184"/>
      <c r="O4225" s="184"/>
    </row>
    <row r="4226" customFormat="false" ht="68.25" hidden="false" customHeight="true" outlineLevel="0" collapsed="false">
      <c r="A4226" s="184" t="s">
        <v>4993</v>
      </c>
      <c r="B4226" s="184" t="s">
        <v>4994</v>
      </c>
      <c r="C4226" s="184" t="n">
        <v>52</v>
      </c>
      <c r="D4226" s="174" t="s">
        <v>4846</v>
      </c>
      <c r="E4226" s="184" t="s">
        <v>6016</v>
      </c>
      <c r="F4226" s="184" t="s">
        <v>238</v>
      </c>
      <c r="G4226" s="184"/>
      <c r="H4226" s="184"/>
      <c r="I4226" s="184"/>
      <c r="J4226" s="184" t="s">
        <v>6383</v>
      </c>
      <c r="K4226" s="184" t="s">
        <v>5568</v>
      </c>
      <c r="L4226" s="184"/>
      <c r="M4226" s="184" t="s">
        <v>6019</v>
      </c>
      <c r="N4226" s="184"/>
      <c r="O4226" s="184"/>
    </row>
    <row r="4227" customFormat="false" ht="68.25" hidden="false" customHeight="true" outlineLevel="0" collapsed="false">
      <c r="A4227" s="184" t="s">
        <v>4993</v>
      </c>
      <c r="B4227" s="184" t="s">
        <v>4994</v>
      </c>
      <c r="C4227" s="184" t="n">
        <v>53</v>
      </c>
      <c r="D4227" s="174" t="s">
        <v>4846</v>
      </c>
      <c r="E4227" s="184" t="s">
        <v>6384</v>
      </c>
      <c r="F4227" s="184" t="s">
        <v>5221</v>
      </c>
      <c r="G4227" s="184"/>
      <c r="H4227" s="184"/>
      <c r="I4227" s="184"/>
      <c r="J4227" s="184" t="s">
        <v>6385</v>
      </c>
      <c r="K4227" s="184" t="s">
        <v>5568</v>
      </c>
      <c r="L4227" s="184"/>
      <c r="M4227" s="184" t="s">
        <v>6386</v>
      </c>
      <c r="N4227" s="184"/>
      <c r="O4227" s="184"/>
    </row>
    <row r="4228" customFormat="false" ht="54.75" hidden="false" customHeight="true" outlineLevel="0" collapsed="false">
      <c r="A4228" s="184" t="s">
        <v>4993</v>
      </c>
      <c r="B4228" s="184" t="s">
        <v>4994</v>
      </c>
      <c r="C4228" s="184" t="n">
        <v>54</v>
      </c>
      <c r="D4228" s="174" t="s">
        <v>4846</v>
      </c>
      <c r="E4228" s="184" t="s">
        <v>6387</v>
      </c>
      <c r="F4228" s="184" t="s">
        <v>227</v>
      </c>
      <c r="G4228" s="184"/>
      <c r="H4228" s="184"/>
      <c r="I4228" s="184"/>
      <c r="J4228" s="184" t="s">
        <v>6388</v>
      </c>
      <c r="K4228" s="184" t="s">
        <v>6333</v>
      </c>
      <c r="L4228" s="184"/>
      <c r="M4228" s="184" t="s">
        <v>6389</v>
      </c>
      <c r="N4228" s="184"/>
      <c r="O4228" s="184"/>
    </row>
    <row r="4229" customFormat="false" ht="54.75" hidden="false" customHeight="true" outlineLevel="0" collapsed="false">
      <c r="A4229" s="184" t="s">
        <v>4993</v>
      </c>
      <c r="B4229" s="184" t="s">
        <v>4994</v>
      </c>
      <c r="C4229" s="184" t="n">
        <v>55</v>
      </c>
      <c r="D4229" s="174" t="s">
        <v>4846</v>
      </c>
      <c r="E4229" s="184" t="s">
        <v>6138</v>
      </c>
      <c r="F4229" s="184" t="s">
        <v>238</v>
      </c>
      <c r="G4229" s="184"/>
      <c r="H4229" s="184"/>
      <c r="I4229" s="184"/>
      <c r="J4229" s="184" t="s">
        <v>5736</v>
      </c>
      <c r="K4229" s="184" t="s">
        <v>5568</v>
      </c>
      <c r="L4229" s="184"/>
      <c r="M4229" s="184" t="s">
        <v>6141</v>
      </c>
      <c r="N4229" s="184"/>
      <c r="O4229" s="184"/>
    </row>
    <row r="4230" customFormat="false" ht="54.75" hidden="false" customHeight="true" outlineLevel="0" collapsed="false">
      <c r="A4230" s="184" t="s">
        <v>4993</v>
      </c>
      <c r="B4230" s="184" t="s">
        <v>4994</v>
      </c>
      <c r="C4230" s="184" t="n">
        <v>56</v>
      </c>
      <c r="D4230" s="174" t="s">
        <v>4846</v>
      </c>
      <c r="E4230" s="184" t="s">
        <v>6142</v>
      </c>
      <c r="F4230" s="184" t="s">
        <v>238</v>
      </c>
      <c r="G4230" s="184"/>
      <c r="H4230" s="184"/>
      <c r="I4230" s="184"/>
      <c r="J4230" s="184" t="s">
        <v>6390</v>
      </c>
      <c r="K4230" s="184" t="s">
        <v>5568</v>
      </c>
      <c r="L4230" s="184"/>
      <c r="M4230" s="184" t="s">
        <v>6145</v>
      </c>
      <c r="N4230" s="184"/>
      <c r="O4230" s="184"/>
    </row>
    <row r="4231" customFormat="false" ht="54.75" hidden="false" customHeight="true" outlineLevel="0" collapsed="false">
      <c r="A4231" s="184" t="s">
        <v>4993</v>
      </c>
      <c r="B4231" s="184" t="s">
        <v>4994</v>
      </c>
      <c r="C4231" s="184" t="n">
        <v>57</v>
      </c>
      <c r="D4231" s="174" t="s">
        <v>4846</v>
      </c>
      <c r="E4231" s="184" t="s">
        <v>6146</v>
      </c>
      <c r="F4231" s="184" t="s">
        <v>238</v>
      </c>
      <c r="G4231" s="184"/>
      <c r="H4231" s="184"/>
      <c r="I4231" s="184"/>
      <c r="J4231" s="184" t="s">
        <v>6370</v>
      </c>
      <c r="K4231" s="184" t="s">
        <v>5568</v>
      </c>
      <c r="L4231" s="184"/>
      <c r="M4231" s="184" t="s">
        <v>6149</v>
      </c>
      <c r="N4231" s="184"/>
      <c r="O4231" s="184"/>
    </row>
    <row r="4232" customFormat="false" ht="27.75" hidden="false" customHeight="true" outlineLevel="0" collapsed="false">
      <c r="A4232" s="184" t="s">
        <v>4993</v>
      </c>
      <c r="B4232" s="184" t="s">
        <v>4994</v>
      </c>
      <c r="C4232" s="184" t="n">
        <v>58</v>
      </c>
      <c r="D4232" s="174" t="s">
        <v>4848</v>
      </c>
      <c r="E4232" s="184" t="s">
        <v>6397</v>
      </c>
      <c r="F4232" s="184"/>
      <c r="G4232" s="184"/>
      <c r="H4232" s="184"/>
      <c r="I4232" s="184"/>
      <c r="J4232" s="184" t="s">
        <v>1654</v>
      </c>
      <c r="K4232" s="184" t="s">
        <v>5568</v>
      </c>
      <c r="L4232" s="184" t="s">
        <v>6398</v>
      </c>
      <c r="M4232" s="184" t="s">
        <v>6399</v>
      </c>
      <c r="N4232" s="184"/>
      <c r="O4232" s="184"/>
    </row>
    <row r="4233" customFormat="false" ht="27.75" hidden="false" customHeight="true" outlineLevel="0" collapsed="false">
      <c r="A4233" s="184" t="s">
        <v>4993</v>
      </c>
      <c r="B4233" s="184" t="s">
        <v>4994</v>
      </c>
      <c r="C4233" s="184" t="n">
        <v>59</v>
      </c>
      <c r="D4233" s="184" t="s">
        <v>6296</v>
      </c>
      <c r="E4233" s="184" t="s">
        <v>724</v>
      </c>
      <c r="F4233" s="184"/>
      <c r="G4233" s="184"/>
      <c r="H4233" s="184"/>
      <c r="I4233" s="184"/>
      <c r="J4233" s="184"/>
      <c r="K4233" s="184"/>
      <c r="L4233" s="184"/>
      <c r="M4233" s="184"/>
      <c r="N4233" s="184"/>
      <c r="O4233" s="184"/>
    </row>
    <row r="4234" customFormat="false" ht="27.75" hidden="false" customHeight="true" outlineLevel="0" collapsed="false">
      <c r="A4234" s="184" t="s">
        <v>4993</v>
      </c>
      <c r="B4234" s="184" t="s">
        <v>4994</v>
      </c>
      <c r="C4234" s="184" t="n">
        <v>60</v>
      </c>
      <c r="D4234" s="177" t="s">
        <v>6298</v>
      </c>
      <c r="E4234" s="184" t="s">
        <v>6867</v>
      </c>
      <c r="F4234" s="184"/>
      <c r="G4234" s="184"/>
      <c r="H4234" s="184"/>
      <c r="I4234" s="184"/>
      <c r="J4234" s="184"/>
      <c r="K4234" s="184"/>
      <c r="L4234" s="184"/>
      <c r="M4234" s="184"/>
      <c r="N4234" s="184"/>
      <c r="O4234" s="184"/>
    </row>
    <row r="4235" customFormat="false" ht="27.75" hidden="false" customHeight="true" outlineLevel="0" collapsed="false">
      <c r="A4235" s="184" t="s">
        <v>4993</v>
      </c>
      <c r="B4235" s="184" t="s">
        <v>4994</v>
      </c>
      <c r="C4235" s="184" t="n">
        <v>61</v>
      </c>
      <c r="D4235" s="177" t="s">
        <v>6298</v>
      </c>
      <c r="E4235" s="184" t="s">
        <v>6868</v>
      </c>
      <c r="F4235" s="184"/>
      <c r="G4235" s="184"/>
      <c r="H4235" s="184"/>
      <c r="I4235" s="184"/>
      <c r="J4235" s="184"/>
      <c r="K4235" s="184"/>
      <c r="L4235" s="184"/>
      <c r="M4235" s="184"/>
      <c r="N4235" s="184"/>
      <c r="O4235" s="184"/>
    </row>
    <row r="4236" customFormat="false" ht="27.75" hidden="false" customHeight="true" outlineLevel="0" collapsed="false">
      <c r="A4236" s="184" t="s">
        <v>4993</v>
      </c>
      <c r="B4236" s="184" t="s">
        <v>4994</v>
      </c>
      <c r="C4236" s="184" t="n">
        <v>62</v>
      </c>
      <c r="D4236" s="178" t="s">
        <v>6457</v>
      </c>
      <c r="E4236" s="184" t="s">
        <v>6869</v>
      </c>
      <c r="F4236" s="184"/>
      <c r="G4236" s="184"/>
      <c r="H4236" s="184"/>
      <c r="I4236" s="184"/>
      <c r="J4236" s="184"/>
      <c r="K4236" s="184"/>
      <c r="L4236" s="184"/>
      <c r="M4236" s="184" t="s">
        <v>6870</v>
      </c>
      <c r="N4236" s="184"/>
      <c r="O4236" s="184"/>
    </row>
    <row r="4237" customFormat="false" ht="27.75" hidden="false" customHeight="true" outlineLevel="0" collapsed="false">
      <c r="A4237" s="184" t="s">
        <v>4993</v>
      </c>
      <c r="B4237" s="184" t="s">
        <v>4994</v>
      </c>
      <c r="C4237" s="184" t="n">
        <v>63</v>
      </c>
      <c r="D4237" s="178" t="s">
        <v>6457</v>
      </c>
      <c r="E4237" s="184" t="s">
        <v>6871</v>
      </c>
      <c r="F4237" s="184"/>
      <c r="G4237" s="184"/>
      <c r="H4237" s="184"/>
      <c r="I4237" s="184"/>
      <c r="J4237" s="184"/>
      <c r="K4237" s="184"/>
      <c r="L4237" s="184"/>
      <c r="M4237" s="184" t="s">
        <v>6872</v>
      </c>
      <c r="N4237" s="184"/>
      <c r="O4237" s="184"/>
    </row>
    <row r="4238" customFormat="false" ht="27.75" hidden="false" customHeight="true" outlineLevel="0" collapsed="false">
      <c r="A4238" s="184" t="s">
        <v>4993</v>
      </c>
      <c r="B4238" s="184" t="s">
        <v>4994</v>
      </c>
      <c r="C4238" s="184" t="n">
        <v>64</v>
      </c>
      <c r="D4238" s="179" t="s">
        <v>6300</v>
      </c>
      <c r="E4238" s="184" t="s">
        <v>6960</v>
      </c>
      <c r="F4238" s="184"/>
      <c r="G4238" s="184"/>
      <c r="H4238" s="184"/>
      <c r="I4238" s="184"/>
      <c r="J4238" s="184"/>
      <c r="K4238" s="184"/>
      <c r="L4238" s="184"/>
      <c r="M4238" s="184"/>
      <c r="N4238" s="184"/>
      <c r="O4238" s="184"/>
    </row>
    <row r="4239" customFormat="false" ht="27.75" hidden="false" customHeight="true" outlineLevel="0" collapsed="false">
      <c r="A4239" s="184" t="s">
        <v>4993</v>
      </c>
      <c r="B4239" s="184" t="s">
        <v>4994</v>
      </c>
      <c r="C4239" s="184" t="n">
        <v>65</v>
      </c>
      <c r="D4239" s="184" t="s">
        <v>4790</v>
      </c>
      <c r="E4239" s="184" t="s">
        <v>6874</v>
      </c>
      <c r="F4239" s="184"/>
      <c r="G4239" s="184"/>
      <c r="H4239" s="184"/>
      <c r="I4239" s="184"/>
      <c r="J4239" s="184"/>
      <c r="K4239" s="184"/>
      <c r="L4239" s="184"/>
      <c r="M4239" s="184" t="s">
        <v>6875</v>
      </c>
      <c r="N4239" s="184"/>
      <c r="O4239" s="184"/>
    </row>
    <row r="4240" customFormat="false" ht="27.75" hidden="false" customHeight="true" outlineLevel="0" collapsed="false">
      <c r="A4240" s="184" t="s">
        <v>4993</v>
      </c>
      <c r="B4240" s="184" t="s">
        <v>4994</v>
      </c>
      <c r="C4240" s="184" t="n">
        <v>66</v>
      </c>
      <c r="D4240" s="184" t="s">
        <v>4790</v>
      </c>
      <c r="E4240" s="184" t="s">
        <v>6878</v>
      </c>
      <c r="F4240" s="184"/>
      <c r="G4240" s="184"/>
      <c r="H4240" s="184"/>
      <c r="I4240" s="184"/>
      <c r="J4240" s="184"/>
      <c r="K4240" s="184"/>
      <c r="L4240" s="184"/>
      <c r="M4240" s="184" t="s">
        <v>6879</v>
      </c>
      <c r="N4240" s="184"/>
      <c r="O4240" s="184"/>
    </row>
    <row r="4241" customFormat="false" ht="27.75" hidden="false" customHeight="true" outlineLevel="0" collapsed="false">
      <c r="A4241" s="184" t="s">
        <v>4993</v>
      </c>
      <c r="B4241" s="184" t="s">
        <v>4994</v>
      </c>
      <c r="C4241" s="184" t="n">
        <v>67</v>
      </c>
      <c r="D4241" s="184" t="s">
        <v>4790</v>
      </c>
      <c r="E4241" s="184" t="s">
        <v>6880</v>
      </c>
      <c r="F4241" s="184"/>
      <c r="G4241" s="184"/>
      <c r="H4241" s="184"/>
      <c r="I4241" s="184"/>
      <c r="J4241" s="184"/>
      <c r="K4241" s="184"/>
      <c r="L4241" s="184"/>
      <c r="M4241" s="184" t="s">
        <v>6881</v>
      </c>
      <c r="N4241" s="184"/>
      <c r="O4241" s="184"/>
    </row>
    <row r="4242" customFormat="false" ht="27.75" hidden="false" customHeight="true" outlineLevel="0" collapsed="false">
      <c r="A4242" s="184" t="s">
        <v>4993</v>
      </c>
      <c r="B4242" s="184" t="s">
        <v>4994</v>
      </c>
      <c r="C4242" s="184" t="n">
        <v>68</v>
      </c>
      <c r="D4242" s="184" t="s">
        <v>4790</v>
      </c>
      <c r="E4242" s="184" t="s">
        <v>6884</v>
      </c>
      <c r="F4242" s="184"/>
      <c r="G4242" s="184"/>
      <c r="H4242" s="184"/>
      <c r="I4242" s="184"/>
      <c r="J4242" s="184"/>
      <c r="K4242" s="184"/>
      <c r="L4242" s="184"/>
      <c r="M4242" s="184" t="s">
        <v>6885</v>
      </c>
      <c r="N4242" s="184"/>
      <c r="O4242" s="184"/>
    </row>
    <row r="4243" customFormat="false" ht="27.75" hidden="false" customHeight="true" outlineLevel="0" collapsed="false">
      <c r="A4243" s="184" t="s">
        <v>4993</v>
      </c>
      <c r="B4243" s="184" t="s">
        <v>4994</v>
      </c>
      <c r="C4243" s="184" t="n">
        <v>69</v>
      </c>
      <c r="D4243" s="184" t="s">
        <v>4790</v>
      </c>
      <c r="E4243" s="184" t="s">
        <v>6886</v>
      </c>
      <c r="F4243" s="184"/>
      <c r="G4243" s="184"/>
      <c r="H4243" s="184"/>
      <c r="I4243" s="184"/>
      <c r="J4243" s="184"/>
      <c r="K4243" s="184"/>
      <c r="L4243" s="184"/>
      <c r="M4243" s="184" t="s">
        <v>6887</v>
      </c>
      <c r="N4243" s="184"/>
      <c r="O4243" s="184"/>
    </row>
    <row r="4244" customFormat="false" ht="27.75" hidden="false" customHeight="true" outlineLevel="0" collapsed="false">
      <c r="A4244" s="184" t="s">
        <v>4993</v>
      </c>
      <c r="B4244" s="184" t="s">
        <v>4994</v>
      </c>
      <c r="C4244" s="184" t="n">
        <v>70</v>
      </c>
      <c r="D4244" s="184" t="s">
        <v>4790</v>
      </c>
      <c r="E4244" s="184" t="s">
        <v>6888</v>
      </c>
      <c r="F4244" s="184"/>
      <c r="G4244" s="184"/>
      <c r="H4244" s="184"/>
      <c r="I4244" s="184"/>
      <c r="J4244" s="184"/>
      <c r="K4244" s="184"/>
      <c r="L4244" s="184"/>
      <c r="M4244" s="184" t="s">
        <v>6889</v>
      </c>
      <c r="N4244" s="184"/>
      <c r="O4244" s="184"/>
    </row>
    <row r="4245" customFormat="false" ht="27.75" hidden="false" customHeight="true" outlineLevel="0" collapsed="false">
      <c r="A4245" s="184" t="s">
        <v>4993</v>
      </c>
      <c r="B4245" s="184" t="s">
        <v>4994</v>
      </c>
      <c r="C4245" s="184" t="n">
        <v>71</v>
      </c>
      <c r="D4245" s="184" t="s">
        <v>4790</v>
      </c>
      <c r="E4245" s="184" t="s">
        <v>6890</v>
      </c>
      <c r="F4245" s="184"/>
      <c r="G4245" s="184"/>
      <c r="H4245" s="184"/>
      <c r="I4245" s="184"/>
      <c r="J4245" s="184"/>
      <c r="K4245" s="184"/>
      <c r="L4245" s="184"/>
      <c r="M4245" s="184" t="s">
        <v>6891</v>
      </c>
      <c r="N4245" s="184"/>
      <c r="O4245" s="184"/>
    </row>
    <row r="4246" customFormat="false" ht="27.75" hidden="false" customHeight="true" outlineLevel="0" collapsed="false">
      <c r="A4246" s="184" t="s">
        <v>4993</v>
      </c>
      <c r="B4246" s="184" t="s">
        <v>4994</v>
      </c>
      <c r="C4246" s="184" t="n">
        <v>72</v>
      </c>
      <c r="D4246" s="184" t="s">
        <v>4790</v>
      </c>
      <c r="E4246" s="184" t="s">
        <v>6892</v>
      </c>
      <c r="F4246" s="184"/>
      <c r="G4246" s="184"/>
      <c r="H4246" s="184"/>
      <c r="I4246" s="184"/>
      <c r="J4246" s="184"/>
      <c r="K4246" s="184"/>
      <c r="L4246" s="184"/>
      <c r="M4246" s="184" t="s">
        <v>6893</v>
      </c>
      <c r="N4246" s="184"/>
      <c r="O4246" s="184"/>
    </row>
    <row r="4247" customFormat="false" ht="27.75" hidden="false" customHeight="true" outlineLevel="0" collapsed="false">
      <c r="A4247" s="184" t="s">
        <v>4993</v>
      </c>
      <c r="B4247" s="184" t="s">
        <v>4994</v>
      </c>
      <c r="C4247" s="184" t="n">
        <v>73</v>
      </c>
      <c r="D4247" s="184" t="s">
        <v>4790</v>
      </c>
      <c r="E4247" s="184" t="s">
        <v>6894</v>
      </c>
      <c r="F4247" s="184"/>
      <c r="G4247" s="184"/>
      <c r="H4247" s="184"/>
      <c r="I4247" s="184"/>
      <c r="J4247" s="184"/>
      <c r="K4247" s="184"/>
      <c r="L4247" s="184"/>
      <c r="M4247" s="184" t="s">
        <v>6895</v>
      </c>
      <c r="N4247" s="184"/>
      <c r="O4247" s="184"/>
    </row>
    <row r="4248" customFormat="false" ht="27.75" hidden="false" customHeight="true" outlineLevel="0" collapsed="false">
      <c r="A4248" s="184" t="s">
        <v>4993</v>
      </c>
      <c r="B4248" s="184" t="s">
        <v>4994</v>
      </c>
      <c r="C4248" s="184" t="n">
        <v>74</v>
      </c>
      <c r="D4248" s="184" t="s">
        <v>4790</v>
      </c>
      <c r="E4248" s="184" t="s">
        <v>6896</v>
      </c>
      <c r="F4248" s="184"/>
      <c r="G4248" s="184"/>
      <c r="H4248" s="184"/>
      <c r="I4248" s="184"/>
      <c r="J4248" s="184"/>
      <c r="K4248" s="184"/>
      <c r="L4248" s="184"/>
      <c r="M4248" s="184" t="s">
        <v>6897</v>
      </c>
      <c r="N4248" s="184"/>
      <c r="O4248" s="184"/>
    </row>
    <row r="4249" customFormat="false" ht="27.75" hidden="false" customHeight="true" outlineLevel="0" collapsed="false">
      <c r="A4249" s="184" t="s">
        <v>4993</v>
      </c>
      <c r="B4249" s="184" t="s">
        <v>4994</v>
      </c>
      <c r="C4249" s="184" t="n">
        <v>75</v>
      </c>
      <c r="D4249" s="184" t="s">
        <v>4790</v>
      </c>
      <c r="E4249" s="184" t="s">
        <v>6898</v>
      </c>
      <c r="F4249" s="184"/>
      <c r="G4249" s="184"/>
      <c r="H4249" s="184"/>
      <c r="I4249" s="184"/>
      <c r="J4249" s="184"/>
      <c r="K4249" s="184"/>
      <c r="L4249" s="184"/>
      <c r="M4249" s="184" t="s">
        <v>6899</v>
      </c>
      <c r="N4249" s="184"/>
      <c r="O4249" s="184"/>
    </row>
    <row r="4250" customFormat="false" ht="27.75" hidden="false" customHeight="true" outlineLevel="0" collapsed="false">
      <c r="A4250" s="184" t="s">
        <v>4993</v>
      </c>
      <c r="B4250" s="184" t="s">
        <v>4994</v>
      </c>
      <c r="C4250" s="184" t="n">
        <v>76</v>
      </c>
      <c r="D4250" s="184" t="s">
        <v>4790</v>
      </c>
      <c r="E4250" s="184" t="s">
        <v>6900</v>
      </c>
      <c r="F4250" s="184"/>
      <c r="G4250" s="184"/>
      <c r="H4250" s="184"/>
      <c r="I4250" s="184"/>
      <c r="J4250" s="184"/>
      <c r="K4250" s="184"/>
      <c r="L4250" s="184"/>
      <c r="M4250" s="184" t="s">
        <v>6901</v>
      </c>
      <c r="N4250" s="184"/>
      <c r="O4250" s="184"/>
    </row>
    <row r="4251" customFormat="false" ht="27.75" hidden="false" customHeight="true" outlineLevel="0" collapsed="false">
      <c r="A4251" s="184" t="s">
        <v>4993</v>
      </c>
      <c r="B4251" s="184" t="s">
        <v>4994</v>
      </c>
      <c r="C4251" s="184" t="n">
        <v>77</v>
      </c>
      <c r="D4251" s="184" t="s">
        <v>4790</v>
      </c>
      <c r="E4251" s="184" t="s">
        <v>6902</v>
      </c>
      <c r="F4251" s="184"/>
      <c r="G4251" s="184"/>
      <c r="H4251" s="184"/>
      <c r="I4251" s="184"/>
      <c r="J4251" s="184"/>
      <c r="K4251" s="184"/>
      <c r="L4251" s="184"/>
      <c r="M4251" s="184" t="s">
        <v>6903</v>
      </c>
      <c r="N4251" s="184"/>
      <c r="O4251" s="184"/>
    </row>
    <row r="4252" customFormat="false" ht="27.75" hidden="false" customHeight="true" outlineLevel="0" collapsed="false">
      <c r="A4252" s="184" t="s">
        <v>4993</v>
      </c>
      <c r="B4252" s="184" t="s">
        <v>4994</v>
      </c>
      <c r="C4252" s="184" t="n">
        <v>78</v>
      </c>
      <c r="D4252" s="184" t="s">
        <v>4790</v>
      </c>
      <c r="E4252" s="184" t="s">
        <v>6904</v>
      </c>
      <c r="F4252" s="184"/>
      <c r="G4252" s="184"/>
      <c r="H4252" s="184"/>
      <c r="I4252" s="184"/>
      <c r="J4252" s="184"/>
      <c r="K4252" s="184"/>
      <c r="L4252" s="184"/>
      <c r="M4252" s="184" t="s">
        <v>6905</v>
      </c>
      <c r="N4252" s="184"/>
      <c r="O4252" s="184"/>
    </row>
    <row r="4253" customFormat="false" ht="27.75" hidden="false" customHeight="true" outlineLevel="0" collapsed="false">
      <c r="A4253" s="184" t="s">
        <v>4993</v>
      </c>
      <c r="B4253" s="184" t="s">
        <v>4994</v>
      </c>
      <c r="C4253" s="184" t="n">
        <v>79</v>
      </c>
      <c r="D4253" s="184" t="s">
        <v>4790</v>
      </c>
      <c r="E4253" s="184" t="s">
        <v>6906</v>
      </c>
      <c r="F4253" s="184"/>
      <c r="G4253" s="184"/>
      <c r="H4253" s="184"/>
      <c r="I4253" s="184"/>
      <c r="J4253" s="184"/>
      <c r="K4253" s="184"/>
      <c r="L4253" s="184"/>
      <c r="M4253" s="184" t="s">
        <v>6907</v>
      </c>
      <c r="N4253" s="184"/>
      <c r="O4253" s="184"/>
    </row>
    <row r="4254" customFormat="false" ht="27.75" hidden="false" customHeight="true" outlineLevel="0" collapsed="false">
      <c r="A4254" s="184" t="s">
        <v>4993</v>
      </c>
      <c r="B4254" s="184" t="s">
        <v>4994</v>
      </c>
      <c r="C4254" s="184" t="n">
        <v>80</v>
      </c>
      <c r="D4254" s="184" t="s">
        <v>4790</v>
      </c>
      <c r="E4254" s="184" t="s">
        <v>6908</v>
      </c>
      <c r="F4254" s="184"/>
      <c r="G4254" s="184"/>
      <c r="H4254" s="184"/>
      <c r="I4254" s="184"/>
      <c r="J4254" s="184"/>
      <c r="K4254" s="184"/>
      <c r="L4254" s="184"/>
      <c r="M4254" s="184" t="s">
        <v>6909</v>
      </c>
      <c r="N4254" s="184"/>
      <c r="O4254" s="184"/>
    </row>
    <row r="4255" customFormat="false" ht="27.75" hidden="false" customHeight="true" outlineLevel="0" collapsed="false">
      <c r="A4255" s="184" t="s">
        <v>4993</v>
      </c>
      <c r="B4255" s="184" t="s">
        <v>4994</v>
      </c>
      <c r="C4255" s="184" t="n">
        <v>81</v>
      </c>
      <c r="D4255" s="184" t="s">
        <v>4790</v>
      </c>
      <c r="E4255" s="184" t="s">
        <v>6910</v>
      </c>
      <c r="F4255" s="184"/>
      <c r="G4255" s="184"/>
      <c r="H4255" s="184"/>
      <c r="I4255" s="184"/>
      <c r="J4255" s="184"/>
      <c r="K4255" s="184"/>
      <c r="L4255" s="184"/>
      <c r="M4255" s="184" t="s">
        <v>6911</v>
      </c>
      <c r="N4255" s="184"/>
      <c r="O4255" s="184"/>
    </row>
    <row r="4256" customFormat="false" ht="27.75" hidden="false" customHeight="true" outlineLevel="0" collapsed="false">
      <c r="A4256" s="184" t="s">
        <v>4993</v>
      </c>
      <c r="B4256" s="184" t="s">
        <v>4994</v>
      </c>
      <c r="C4256" s="184" t="n">
        <v>82</v>
      </c>
      <c r="D4256" s="184" t="s">
        <v>4790</v>
      </c>
      <c r="E4256" s="184" t="s">
        <v>6912</v>
      </c>
      <c r="F4256" s="184"/>
      <c r="G4256" s="184"/>
      <c r="H4256" s="184"/>
      <c r="I4256" s="184"/>
      <c r="J4256" s="184"/>
      <c r="K4256" s="184"/>
      <c r="L4256" s="184"/>
      <c r="M4256" s="184" t="s">
        <v>6913</v>
      </c>
      <c r="N4256" s="184"/>
      <c r="O4256" s="184"/>
    </row>
    <row r="4257" customFormat="false" ht="27.75" hidden="false" customHeight="true" outlineLevel="0" collapsed="false">
      <c r="A4257" s="184" t="s">
        <v>4993</v>
      </c>
      <c r="B4257" s="184" t="s">
        <v>4994</v>
      </c>
      <c r="C4257" s="184" t="n">
        <v>83</v>
      </c>
      <c r="D4257" s="184" t="s">
        <v>4790</v>
      </c>
      <c r="E4257" s="184" t="s">
        <v>6914</v>
      </c>
      <c r="F4257" s="184"/>
      <c r="G4257" s="184"/>
      <c r="H4257" s="184"/>
      <c r="I4257" s="184"/>
      <c r="J4257" s="184"/>
      <c r="K4257" s="184"/>
      <c r="L4257" s="184"/>
      <c r="M4257" s="184" t="s">
        <v>6915</v>
      </c>
      <c r="N4257" s="184"/>
      <c r="O4257" s="184"/>
    </row>
    <row r="4258" customFormat="false" ht="27.75" hidden="false" customHeight="true" outlineLevel="0" collapsed="false">
      <c r="A4258" s="184" t="s">
        <v>4993</v>
      </c>
      <c r="B4258" s="184" t="s">
        <v>4994</v>
      </c>
      <c r="C4258" s="184" t="n">
        <v>84</v>
      </c>
      <c r="D4258" s="184" t="s">
        <v>4790</v>
      </c>
      <c r="E4258" s="184" t="s">
        <v>6916</v>
      </c>
      <c r="F4258" s="184"/>
      <c r="G4258" s="184"/>
      <c r="H4258" s="184"/>
      <c r="I4258" s="184"/>
      <c r="J4258" s="184"/>
      <c r="K4258" s="184"/>
      <c r="L4258" s="184"/>
      <c r="M4258" s="184" t="s">
        <v>6917</v>
      </c>
      <c r="N4258" s="184"/>
      <c r="O4258" s="184"/>
    </row>
    <row r="4259" customFormat="false" ht="27.75" hidden="false" customHeight="true" outlineLevel="0" collapsed="false">
      <c r="A4259" s="184" t="s">
        <v>4993</v>
      </c>
      <c r="B4259" s="184" t="s">
        <v>4994</v>
      </c>
      <c r="C4259" s="184" t="n">
        <v>85</v>
      </c>
      <c r="D4259" s="184" t="s">
        <v>4790</v>
      </c>
      <c r="E4259" s="184" t="s">
        <v>6918</v>
      </c>
      <c r="F4259" s="184"/>
      <c r="G4259" s="184"/>
      <c r="H4259" s="184"/>
      <c r="I4259" s="184"/>
      <c r="J4259" s="184"/>
      <c r="K4259" s="184"/>
      <c r="L4259" s="184"/>
      <c r="M4259" s="184" t="s">
        <v>6919</v>
      </c>
      <c r="N4259" s="184"/>
      <c r="O4259" s="184"/>
    </row>
    <row r="4260" customFormat="false" ht="27.75" hidden="false" customHeight="true" outlineLevel="0" collapsed="false">
      <c r="A4260" s="184" t="s">
        <v>4993</v>
      </c>
      <c r="B4260" s="184" t="s">
        <v>4994</v>
      </c>
      <c r="C4260" s="184" t="n">
        <v>86</v>
      </c>
      <c r="D4260" s="184" t="s">
        <v>4790</v>
      </c>
      <c r="E4260" s="184" t="s">
        <v>6920</v>
      </c>
      <c r="F4260" s="184"/>
      <c r="G4260" s="184"/>
      <c r="H4260" s="184"/>
      <c r="I4260" s="184"/>
      <c r="J4260" s="184"/>
      <c r="K4260" s="184"/>
      <c r="L4260" s="184"/>
      <c r="M4260" s="184" t="s">
        <v>6921</v>
      </c>
      <c r="N4260" s="184"/>
      <c r="O4260" s="184"/>
    </row>
    <row r="4261" customFormat="false" ht="27.75" hidden="false" customHeight="true" outlineLevel="0" collapsed="false">
      <c r="A4261" s="184" t="s">
        <v>4993</v>
      </c>
      <c r="B4261" s="184" t="s">
        <v>4994</v>
      </c>
      <c r="C4261" s="184" t="n">
        <v>87</v>
      </c>
      <c r="D4261" s="184" t="s">
        <v>4790</v>
      </c>
      <c r="E4261" s="184" t="s">
        <v>6922</v>
      </c>
      <c r="F4261" s="184"/>
      <c r="G4261" s="184"/>
      <c r="H4261" s="184"/>
      <c r="I4261" s="184"/>
      <c r="J4261" s="184"/>
      <c r="K4261" s="184"/>
      <c r="L4261" s="184"/>
      <c r="M4261" s="184" t="s">
        <v>6923</v>
      </c>
      <c r="N4261" s="184"/>
      <c r="O4261" s="184"/>
    </row>
    <row r="4262" customFormat="false" ht="27.75" hidden="false" customHeight="true" outlineLevel="0" collapsed="false">
      <c r="A4262" s="184" t="s">
        <v>4993</v>
      </c>
      <c r="B4262" s="184" t="s">
        <v>4994</v>
      </c>
      <c r="C4262" s="184" t="n">
        <v>88</v>
      </c>
      <c r="D4262" s="184" t="s">
        <v>4790</v>
      </c>
      <c r="E4262" s="184" t="s">
        <v>6924</v>
      </c>
      <c r="F4262" s="184"/>
      <c r="G4262" s="184"/>
      <c r="H4262" s="184"/>
      <c r="I4262" s="184"/>
      <c r="J4262" s="184"/>
      <c r="K4262" s="184"/>
      <c r="L4262" s="184"/>
      <c r="M4262" s="184" t="s">
        <v>6925</v>
      </c>
      <c r="N4262" s="184"/>
      <c r="O4262" s="184"/>
    </row>
    <row r="4263" customFormat="false" ht="27.75" hidden="false" customHeight="true" outlineLevel="0" collapsed="false">
      <c r="A4263" s="184" t="s">
        <v>4993</v>
      </c>
      <c r="B4263" s="184" t="s">
        <v>4994</v>
      </c>
      <c r="C4263" s="184" t="n">
        <v>89</v>
      </c>
      <c r="D4263" s="184" t="s">
        <v>4790</v>
      </c>
      <c r="E4263" s="184" t="s">
        <v>6926</v>
      </c>
      <c r="F4263" s="184"/>
      <c r="G4263" s="184"/>
      <c r="H4263" s="184"/>
      <c r="I4263" s="184"/>
      <c r="J4263" s="184"/>
      <c r="K4263" s="184"/>
      <c r="L4263" s="184"/>
      <c r="M4263" s="184" t="s">
        <v>6927</v>
      </c>
      <c r="N4263" s="184"/>
      <c r="O4263" s="184"/>
    </row>
    <row r="4264" customFormat="false" ht="27.75" hidden="false" customHeight="true" outlineLevel="0" collapsed="false">
      <c r="A4264" s="184" t="s">
        <v>4993</v>
      </c>
      <c r="B4264" s="184" t="s">
        <v>4994</v>
      </c>
      <c r="C4264" s="184" t="n">
        <v>90</v>
      </c>
      <c r="D4264" s="184" t="s">
        <v>4790</v>
      </c>
      <c r="E4264" s="184" t="s">
        <v>6928</v>
      </c>
      <c r="F4264" s="184"/>
      <c r="G4264" s="184"/>
      <c r="H4264" s="184"/>
      <c r="I4264" s="184"/>
      <c r="J4264" s="184"/>
      <c r="K4264" s="184"/>
      <c r="L4264" s="184"/>
      <c r="M4264" s="184" t="s">
        <v>6929</v>
      </c>
      <c r="N4264" s="184"/>
      <c r="O4264" s="184"/>
    </row>
    <row r="4265" customFormat="false" ht="27.75" hidden="false" customHeight="true" outlineLevel="0" collapsed="false">
      <c r="A4265" s="184" t="s">
        <v>4993</v>
      </c>
      <c r="B4265" s="184" t="s">
        <v>4994</v>
      </c>
      <c r="C4265" s="184" t="n">
        <v>91</v>
      </c>
      <c r="D4265" s="184" t="s">
        <v>4790</v>
      </c>
      <c r="E4265" s="184" t="s">
        <v>6930</v>
      </c>
      <c r="F4265" s="184"/>
      <c r="G4265" s="184"/>
      <c r="H4265" s="184"/>
      <c r="I4265" s="184"/>
      <c r="J4265" s="184"/>
      <c r="K4265" s="184"/>
      <c r="L4265" s="184"/>
      <c r="M4265" s="184" t="s">
        <v>6931</v>
      </c>
      <c r="N4265" s="184"/>
      <c r="O4265" s="184"/>
    </row>
    <row r="4266" customFormat="false" ht="27.75" hidden="false" customHeight="true" outlineLevel="0" collapsed="false">
      <c r="A4266" s="184" t="s">
        <v>4993</v>
      </c>
      <c r="B4266" s="184" t="s">
        <v>4994</v>
      </c>
      <c r="C4266" s="184" t="n">
        <v>92</v>
      </c>
      <c r="D4266" s="177" t="s">
        <v>6298</v>
      </c>
      <c r="E4266" s="184" t="s">
        <v>6961</v>
      </c>
      <c r="F4266" s="184"/>
      <c r="G4266" s="184"/>
      <c r="H4266" s="184"/>
      <c r="I4266" s="184"/>
      <c r="J4266" s="184"/>
      <c r="K4266" s="184"/>
      <c r="L4266" s="184"/>
      <c r="M4266" s="184"/>
      <c r="N4266" s="184"/>
      <c r="O4266" s="184"/>
    </row>
    <row r="4267" customFormat="false" ht="27.75" hidden="false" customHeight="true" outlineLevel="0" collapsed="false">
      <c r="A4267" s="184" t="s">
        <v>4993</v>
      </c>
      <c r="B4267" s="184" t="s">
        <v>4994</v>
      </c>
      <c r="C4267" s="184" t="n">
        <v>93</v>
      </c>
      <c r="D4267" s="178" t="s">
        <v>5269</v>
      </c>
      <c r="E4267" s="184" t="s">
        <v>6932</v>
      </c>
      <c r="F4267" s="184"/>
      <c r="G4267" s="184"/>
      <c r="H4267" s="184"/>
      <c r="I4267" s="184"/>
      <c r="J4267" s="184"/>
      <c r="K4267" s="184"/>
      <c r="L4267" s="184"/>
      <c r="M4267" s="184" t="s">
        <v>6962</v>
      </c>
      <c r="N4267" s="184"/>
      <c r="O4267" s="184"/>
    </row>
    <row r="4268" customFormat="false" ht="27.75" hidden="false" customHeight="true" outlineLevel="0" collapsed="false">
      <c r="A4268" s="184" t="s">
        <v>4993</v>
      </c>
      <c r="B4268" s="184" t="s">
        <v>4994</v>
      </c>
      <c r="C4268" s="184" t="n">
        <v>94</v>
      </c>
      <c r="D4268" s="178" t="s">
        <v>5269</v>
      </c>
      <c r="E4268" s="184" t="s">
        <v>6934</v>
      </c>
      <c r="F4268" s="184"/>
      <c r="G4268" s="184"/>
      <c r="H4268" s="184"/>
      <c r="I4268" s="184"/>
      <c r="J4268" s="184"/>
      <c r="K4268" s="184"/>
      <c r="L4268" s="184"/>
      <c r="M4268" s="184" t="s">
        <v>6963</v>
      </c>
      <c r="N4268" s="184"/>
      <c r="O4268" s="184"/>
    </row>
    <row r="4269" customFormat="false" ht="15" hidden="false" customHeight="true" outlineLevel="0" collapsed="false">
      <c r="A4269" s="184"/>
      <c r="B4269" s="184"/>
      <c r="C4269" s="184"/>
      <c r="D4269" s="184"/>
      <c r="E4269" s="184"/>
      <c r="F4269" s="184"/>
      <c r="G4269" s="184"/>
      <c r="H4269" s="184"/>
      <c r="I4269" s="184"/>
      <c r="J4269" s="184"/>
      <c r="K4269" s="184"/>
      <c r="L4269" s="184"/>
      <c r="M4269" s="184"/>
      <c r="N4269" s="184"/>
      <c r="O4269" s="184"/>
    </row>
    <row r="4270" customFormat="false" ht="15" hidden="false" customHeight="true" outlineLevel="0" collapsed="false">
      <c r="A4270" s="184"/>
      <c r="B4270" s="184"/>
      <c r="C4270" s="184"/>
      <c r="D4270" s="184"/>
      <c r="E4270" s="184"/>
      <c r="F4270" s="184"/>
      <c r="G4270" s="184"/>
      <c r="H4270" s="184"/>
      <c r="I4270" s="184"/>
      <c r="J4270" s="184"/>
      <c r="K4270" s="184"/>
      <c r="L4270" s="184"/>
      <c r="M4270" s="184"/>
      <c r="N4270" s="184"/>
      <c r="O4270" s="184"/>
    </row>
    <row r="4271" customFormat="false" ht="15" hidden="false" customHeight="true" outlineLevel="0" collapsed="false">
      <c r="A4271" s="184"/>
      <c r="B4271" s="184"/>
      <c r="C4271" s="184"/>
      <c r="D4271" s="184"/>
      <c r="E4271" s="184"/>
      <c r="F4271" s="184"/>
      <c r="G4271" s="184"/>
      <c r="H4271" s="184"/>
      <c r="I4271" s="184"/>
      <c r="J4271" s="184"/>
      <c r="K4271" s="184"/>
      <c r="L4271" s="184"/>
      <c r="M4271" s="184"/>
      <c r="N4271" s="184"/>
      <c r="O4271" s="184"/>
    </row>
    <row r="4272" customFormat="false" ht="15" hidden="false" customHeight="true" outlineLevel="0" collapsed="false">
      <c r="A4272" s="184"/>
      <c r="B4272" s="184"/>
      <c r="C4272" s="184"/>
      <c r="D4272" s="184"/>
      <c r="E4272" s="184"/>
      <c r="F4272" s="184"/>
      <c r="G4272" s="184"/>
      <c r="H4272" s="184"/>
      <c r="I4272" s="184"/>
      <c r="J4272" s="184"/>
      <c r="K4272" s="184"/>
      <c r="L4272" s="184"/>
      <c r="M4272" s="184"/>
      <c r="N4272" s="184"/>
      <c r="O4272" s="184"/>
    </row>
    <row r="4273" customFormat="false" ht="15" hidden="false" customHeight="true" outlineLevel="0" collapsed="false">
      <c r="A4273" s="184"/>
      <c r="B4273" s="184"/>
      <c r="C4273" s="184"/>
      <c r="D4273" s="184"/>
      <c r="E4273" s="184"/>
      <c r="F4273" s="184"/>
      <c r="G4273" s="184"/>
      <c r="H4273" s="184"/>
      <c r="I4273" s="184"/>
      <c r="J4273" s="184"/>
      <c r="K4273" s="184"/>
      <c r="L4273" s="184"/>
      <c r="M4273" s="184"/>
      <c r="N4273" s="184"/>
      <c r="O4273" s="184"/>
    </row>
    <row r="4274" customFormat="false" ht="15" hidden="false" customHeight="true" outlineLevel="0" collapsed="false">
      <c r="A4274" s="184"/>
      <c r="B4274" s="184"/>
      <c r="C4274" s="184"/>
      <c r="D4274" s="184"/>
      <c r="E4274" s="184"/>
      <c r="F4274" s="184"/>
      <c r="G4274" s="184"/>
      <c r="H4274" s="184"/>
      <c r="I4274" s="184"/>
      <c r="J4274" s="184"/>
      <c r="K4274" s="184"/>
      <c r="L4274" s="184"/>
      <c r="M4274" s="184"/>
      <c r="N4274" s="184"/>
      <c r="O4274" s="184"/>
    </row>
    <row r="4275" customFormat="false" ht="15" hidden="false" customHeight="true" outlineLevel="0" collapsed="false">
      <c r="A4275" s="184"/>
      <c r="B4275" s="184"/>
      <c r="C4275" s="184"/>
      <c r="D4275" s="184"/>
      <c r="E4275" s="184"/>
      <c r="F4275" s="184"/>
      <c r="G4275" s="184"/>
      <c r="H4275" s="184"/>
      <c r="I4275" s="184"/>
      <c r="J4275" s="184"/>
      <c r="K4275" s="184"/>
      <c r="L4275" s="184"/>
      <c r="M4275" s="184"/>
      <c r="N4275" s="184"/>
      <c r="O4275" s="184"/>
    </row>
    <row r="4276" customFormat="false" ht="15" hidden="false" customHeight="true" outlineLevel="0" collapsed="false">
      <c r="A4276" s="184"/>
      <c r="B4276" s="184"/>
      <c r="C4276" s="184"/>
      <c r="D4276" s="184"/>
      <c r="E4276" s="184"/>
      <c r="F4276" s="184"/>
      <c r="G4276" s="184"/>
      <c r="H4276" s="184"/>
      <c r="I4276" s="184"/>
      <c r="J4276" s="184"/>
      <c r="K4276" s="184"/>
      <c r="L4276" s="184"/>
      <c r="M4276" s="184"/>
      <c r="N4276" s="184"/>
      <c r="O4276" s="184"/>
    </row>
    <row r="4277" customFormat="false" ht="15" hidden="false" customHeight="true" outlineLevel="0" collapsed="false">
      <c r="A4277" s="184"/>
      <c r="B4277" s="184"/>
      <c r="C4277" s="184"/>
      <c r="D4277" s="184"/>
      <c r="E4277" s="184"/>
      <c r="F4277" s="184"/>
      <c r="G4277" s="184"/>
      <c r="H4277" s="184"/>
      <c r="I4277" s="184"/>
      <c r="J4277" s="184"/>
      <c r="K4277" s="184"/>
      <c r="L4277" s="184"/>
      <c r="M4277" s="184"/>
      <c r="N4277" s="184"/>
      <c r="O4277" s="184"/>
    </row>
    <row r="4278" customFormat="false" ht="15" hidden="false" customHeight="true" outlineLevel="0" collapsed="false">
      <c r="A4278" s="184"/>
      <c r="B4278" s="184"/>
      <c r="C4278" s="184"/>
      <c r="D4278" s="184"/>
      <c r="E4278" s="184"/>
      <c r="F4278" s="184"/>
      <c r="G4278" s="184"/>
      <c r="H4278" s="184"/>
      <c r="I4278" s="184"/>
      <c r="J4278" s="184"/>
      <c r="K4278" s="184"/>
      <c r="L4278" s="184"/>
      <c r="M4278" s="184"/>
      <c r="N4278" s="184"/>
      <c r="O4278" s="184"/>
    </row>
    <row r="4279" customFormat="false" ht="15" hidden="false" customHeight="true" outlineLevel="0" collapsed="false">
      <c r="A4279" s="184"/>
      <c r="B4279" s="184"/>
      <c r="C4279" s="184"/>
      <c r="D4279" s="184"/>
      <c r="E4279" s="184"/>
      <c r="F4279" s="184"/>
      <c r="G4279" s="184"/>
      <c r="H4279" s="184"/>
      <c r="I4279" s="184"/>
      <c r="J4279" s="184"/>
      <c r="K4279" s="184"/>
      <c r="L4279" s="184"/>
      <c r="M4279" s="184"/>
      <c r="N4279" s="184"/>
      <c r="O4279" s="184"/>
    </row>
    <row r="4280" customFormat="false" ht="15" hidden="false" customHeight="true" outlineLevel="0" collapsed="false">
      <c r="A4280" s="184"/>
      <c r="B4280" s="184"/>
      <c r="C4280" s="184"/>
      <c r="D4280" s="184"/>
      <c r="E4280" s="184"/>
      <c r="F4280" s="184"/>
      <c r="G4280" s="184"/>
      <c r="H4280" s="184"/>
      <c r="I4280" s="184"/>
      <c r="J4280" s="184"/>
      <c r="K4280" s="184"/>
      <c r="L4280" s="184"/>
      <c r="M4280" s="184"/>
      <c r="N4280" s="184"/>
      <c r="O4280" s="184"/>
    </row>
    <row r="4281" customFormat="false" ht="15" hidden="false" customHeight="true" outlineLevel="0" collapsed="false">
      <c r="A4281" s="184"/>
      <c r="B4281" s="184"/>
      <c r="C4281" s="184"/>
      <c r="D4281" s="184"/>
      <c r="E4281" s="184"/>
      <c r="F4281" s="184"/>
      <c r="G4281" s="184"/>
      <c r="H4281" s="184"/>
      <c r="I4281" s="184"/>
      <c r="J4281" s="184"/>
      <c r="K4281" s="184"/>
      <c r="L4281" s="184"/>
      <c r="M4281" s="184"/>
      <c r="N4281" s="184"/>
      <c r="O4281" s="184"/>
    </row>
    <row r="4282" customFormat="false" ht="15" hidden="false" customHeight="true" outlineLevel="0" collapsed="false">
      <c r="A4282" s="184"/>
      <c r="B4282" s="184"/>
      <c r="C4282" s="184"/>
      <c r="D4282" s="184"/>
      <c r="E4282" s="184"/>
      <c r="F4282" s="184"/>
      <c r="G4282" s="184"/>
      <c r="H4282" s="184"/>
      <c r="I4282" s="184"/>
      <c r="J4282" s="184"/>
      <c r="K4282" s="184"/>
      <c r="L4282" s="184"/>
      <c r="M4282" s="184"/>
      <c r="N4282" s="184"/>
      <c r="O4282" s="184"/>
    </row>
    <row r="4283" customFormat="false" ht="15" hidden="false" customHeight="true" outlineLevel="0" collapsed="false">
      <c r="A4283" s="184"/>
      <c r="B4283" s="184"/>
      <c r="C4283" s="184"/>
      <c r="D4283" s="184"/>
      <c r="E4283" s="184"/>
      <c r="F4283" s="184"/>
      <c r="G4283" s="184"/>
      <c r="H4283" s="184"/>
      <c r="I4283" s="184"/>
      <c r="J4283" s="184"/>
      <c r="K4283" s="184"/>
      <c r="L4283" s="184"/>
      <c r="M4283" s="184"/>
      <c r="N4283" s="184"/>
      <c r="O4283" s="184"/>
    </row>
    <row r="4284" customFormat="false" ht="15" hidden="false" customHeight="true" outlineLevel="0" collapsed="false">
      <c r="A4284" s="184"/>
      <c r="B4284" s="184"/>
      <c r="C4284" s="184"/>
      <c r="D4284" s="184"/>
      <c r="E4284" s="184"/>
      <c r="F4284" s="184"/>
      <c r="G4284" s="184"/>
      <c r="H4284" s="184"/>
      <c r="I4284" s="184"/>
      <c r="J4284" s="184"/>
      <c r="K4284" s="184"/>
      <c r="L4284" s="184"/>
      <c r="M4284" s="184"/>
      <c r="N4284" s="184"/>
      <c r="O4284" s="184"/>
    </row>
    <row r="4285" customFormat="false" ht="15" hidden="false" customHeight="true" outlineLevel="0" collapsed="false">
      <c r="A4285" s="184"/>
      <c r="B4285" s="184"/>
      <c r="C4285" s="184"/>
      <c r="D4285" s="184"/>
      <c r="E4285" s="184"/>
      <c r="F4285" s="184"/>
      <c r="G4285" s="184"/>
      <c r="H4285" s="184"/>
      <c r="I4285" s="184"/>
      <c r="J4285" s="184"/>
      <c r="K4285" s="184"/>
      <c r="L4285" s="184"/>
      <c r="M4285" s="184"/>
      <c r="N4285" s="184"/>
      <c r="O4285" s="184"/>
    </row>
    <row r="4286" customFormat="false" ht="15" hidden="false" customHeight="true" outlineLevel="0" collapsed="false">
      <c r="A4286" s="184"/>
      <c r="B4286" s="184"/>
      <c r="C4286" s="184"/>
      <c r="D4286" s="184"/>
      <c r="E4286" s="184"/>
      <c r="F4286" s="184"/>
      <c r="G4286" s="184"/>
      <c r="H4286" s="184"/>
      <c r="I4286" s="184"/>
      <c r="J4286" s="184"/>
      <c r="K4286" s="184"/>
      <c r="L4286" s="184"/>
      <c r="M4286" s="184"/>
      <c r="N4286" s="184"/>
      <c r="O4286" s="184"/>
    </row>
    <row r="4287" customFormat="false" ht="15" hidden="false" customHeight="true" outlineLevel="0" collapsed="false">
      <c r="A4287" s="184"/>
      <c r="B4287" s="184"/>
      <c r="C4287" s="184"/>
      <c r="D4287" s="184"/>
      <c r="E4287" s="184"/>
      <c r="F4287" s="184"/>
      <c r="G4287" s="184"/>
      <c r="H4287" s="184"/>
      <c r="I4287" s="184"/>
      <c r="J4287" s="184"/>
      <c r="K4287" s="184"/>
      <c r="L4287" s="184"/>
      <c r="M4287" s="184"/>
      <c r="N4287" s="184"/>
      <c r="O4287" s="184"/>
    </row>
    <row r="4288" customFormat="false" ht="15" hidden="false" customHeight="true" outlineLevel="0" collapsed="false">
      <c r="A4288" s="184"/>
      <c r="B4288" s="184"/>
      <c r="C4288" s="184"/>
      <c r="D4288" s="184"/>
      <c r="E4288" s="184"/>
      <c r="F4288" s="184"/>
      <c r="G4288" s="184"/>
      <c r="H4288" s="184"/>
      <c r="I4288" s="184"/>
      <c r="J4288" s="184"/>
      <c r="K4288" s="184"/>
      <c r="L4288" s="184"/>
      <c r="M4288" s="184"/>
      <c r="N4288" s="184"/>
      <c r="O4288" s="184"/>
    </row>
    <row r="4289" customFormat="false" ht="15" hidden="false" customHeight="true" outlineLevel="0" collapsed="false">
      <c r="A4289" s="184"/>
      <c r="B4289" s="184"/>
      <c r="C4289" s="184"/>
      <c r="D4289" s="184"/>
      <c r="E4289" s="184"/>
      <c r="F4289" s="184"/>
      <c r="G4289" s="184"/>
      <c r="H4289" s="184"/>
      <c r="I4289" s="184"/>
      <c r="J4289" s="184"/>
      <c r="K4289" s="184"/>
      <c r="L4289" s="184"/>
      <c r="M4289" s="184"/>
      <c r="N4289" s="184"/>
      <c r="O4289" s="184"/>
    </row>
    <row r="4290" customFormat="false" ht="15" hidden="false" customHeight="true" outlineLevel="0" collapsed="false">
      <c r="A4290" s="184"/>
      <c r="B4290" s="184"/>
      <c r="C4290" s="184"/>
      <c r="D4290" s="184"/>
      <c r="E4290" s="184"/>
      <c r="F4290" s="184"/>
      <c r="G4290" s="184"/>
      <c r="H4290" s="184"/>
      <c r="I4290" s="184"/>
      <c r="J4290" s="184"/>
      <c r="K4290" s="184"/>
      <c r="L4290" s="184"/>
      <c r="M4290" s="184"/>
      <c r="N4290" s="184"/>
      <c r="O4290" s="184"/>
    </row>
    <row r="4291" customFormat="false" ht="15" hidden="false" customHeight="true" outlineLevel="0" collapsed="false">
      <c r="A4291" s="184"/>
      <c r="B4291" s="184"/>
      <c r="C4291" s="184"/>
      <c r="D4291" s="184"/>
      <c r="E4291" s="184"/>
      <c r="F4291" s="184"/>
      <c r="G4291" s="184"/>
      <c r="H4291" s="184"/>
      <c r="I4291" s="184"/>
      <c r="J4291" s="184"/>
      <c r="K4291" s="184"/>
      <c r="L4291" s="184"/>
      <c r="M4291" s="184"/>
      <c r="N4291" s="184"/>
      <c r="O4291" s="184"/>
    </row>
    <row r="4292" customFormat="false" ht="15" hidden="false" customHeight="true" outlineLevel="0" collapsed="false">
      <c r="A4292" s="184"/>
      <c r="B4292" s="184"/>
      <c r="C4292" s="184"/>
      <c r="D4292" s="184"/>
      <c r="E4292" s="184"/>
      <c r="F4292" s="184"/>
      <c r="G4292" s="184"/>
      <c r="H4292" s="184"/>
      <c r="I4292" s="184"/>
      <c r="J4292" s="184"/>
      <c r="K4292" s="184"/>
      <c r="L4292" s="184"/>
      <c r="M4292" s="184"/>
      <c r="N4292" s="184"/>
      <c r="O4292" s="184"/>
    </row>
    <row r="4293" customFormat="false" ht="15" hidden="false" customHeight="true" outlineLevel="0" collapsed="false">
      <c r="A4293" s="184"/>
      <c r="B4293" s="184"/>
      <c r="C4293" s="184"/>
      <c r="D4293" s="184"/>
      <c r="E4293" s="184"/>
      <c r="F4293" s="184"/>
      <c r="G4293" s="184"/>
      <c r="H4293" s="184"/>
      <c r="I4293" s="184"/>
      <c r="J4293" s="184"/>
      <c r="K4293" s="184"/>
      <c r="L4293" s="184"/>
      <c r="M4293" s="184"/>
      <c r="N4293" s="184"/>
      <c r="O4293" s="184"/>
    </row>
    <row r="4294" customFormat="false" ht="15" hidden="false" customHeight="true" outlineLevel="0" collapsed="false">
      <c r="A4294" s="184"/>
      <c r="B4294" s="184"/>
      <c r="C4294" s="184"/>
      <c r="D4294" s="184"/>
      <c r="E4294" s="184"/>
      <c r="F4294" s="184"/>
      <c r="G4294" s="184"/>
      <c r="H4294" s="184"/>
      <c r="I4294" s="184"/>
      <c r="J4294" s="184"/>
      <c r="K4294" s="184"/>
      <c r="L4294" s="184"/>
      <c r="M4294" s="184"/>
      <c r="N4294" s="184"/>
      <c r="O4294" s="184"/>
    </row>
    <row r="4295" customFormat="false" ht="15" hidden="false" customHeight="true" outlineLevel="0" collapsed="false">
      <c r="A4295" s="184"/>
      <c r="B4295" s="184"/>
      <c r="C4295" s="184"/>
      <c r="D4295" s="184"/>
      <c r="E4295" s="184"/>
      <c r="F4295" s="184"/>
      <c r="G4295" s="184"/>
      <c r="H4295" s="184"/>
      <c r="I4295" s="184"/>
      <c r="J4295" s="184"/>
      <c r="K4295" s="184"/>
      <c r="L4295" s="184"/>
      <c r="M4295" s="184"/>
      <c r="N4295" s="184"/>
      <c r="O4295" s="184"/>
    </row>
    <row r="4296" customFormat="false" ht="15" hidden="false" customHeight="true" outlineLevel="0" collapsed="false">
      <c r="A4296" s="184"/>
      <c r="B4296" s="184"/>
      <c r="C4296" s="184"/>
      <c r="D4296" s="184"/>
      <c r="E4296" s="184"/>
      <c r="F4296" s="184"/>
      <c r="G4296" s="184"/>
      <c r="H4296" s="184"/>
      <c r="I4296" s="184"/>
      <c r="J4296" s="184"/>
      <c r="K4296" s="184"/>
      <c r="L4296" s="184"/>
      <c r="M4296" s="184"/>
      <c r="N4296" s="184"/>
      <c r="O4296" s="184"/>
    </row>
    <row r="4297" customFormat="false" ht="15" hidden="false" customHeight="true" outlineLevel="0" collapsed="false">
      <c r="A4297" s="184"/>
      <c r="B4297" s="184"/>
      <c r="C4297" s="184"/>
      <c r="D4297" s="184"/>
      <c r="E4297" s="184"/>
      <c r="F4297" s="184"/>
      <c r="G4297" s="184"/>
      <c r="H4297" s="184"/>
      <c r="I4297" s="184"/>
      <c r="J4297" s="184"/>
      <c r="K4297" s="184"/>
      <c r="L4297" s="184"/>
      <c r="M4297" s="184"/>
      <c r="N4297" s="184"/>
      <c r="O4297" s="184"/>
    </row>
    <row r="4298" customFormat="false" ht="15" hidden="false" customHeight="true" outlineLevel="0" collapsed="false">
      <c r="A4298" s="184"/>
      <c r="B4298" s="184"/>
      <c r="C4298" s="184"/>
      <c r="D4298" s="184"/>
      <c r="E4298" s="184"/>
      <c r="F4298" s="184"/>
      <c r="G4298" s="184"/>
      <c r="H4298" s="184"/>
      <c r="I4298" s="184"/>
      <c r="J4298" s="184"/>
      <c r="K4298" s="184"/>
      <c r="L4298" s="184"/>
      <c r="M4298" s="184"/>
      <c r="N4298" s="184"/>
      <c r="O4298" s="184"/>
    </row>
    <row r="4299" customFormat="false" ht="15" hidden="false" customHeight="true" outlineLevel="0" collapsed="false">
      <c r="A4299" s="184"/>
      <c r="B4299" s="184"/>
      <c r="C4299" s="184"/>
      <c r="D4299" s="184"/>
      <c r="E4299" s="184"/>
      <c r="F4299" s="184"/>
      <c r="G4299" s="184"/>
      <c r="H4299" s="184"/>
      <c r="I4299" s="184"/>
      <c r="J4299" s="184"/>
      <c r="K4299" s="184"/>
      <c r="L4299" s="184"/>
      <c r="M4299" s="184"/>
      <c r="N4299" s="184"/>
      <c r="O4299" s="184"/>
    </row>
    <row r="4300" customFormat="false" ht="15" hidden="false" customHeight="true" outlineLevel="0" collapsed="false">
      <c r="A4300" s="184"/>
      <c r="B4300" s="184"/>
      <c r="C4300" s="184"/>
      <c r="D4300" s="184"/>
      <c r="E4300" s="184"/>
      <c r="F4300" s="184"/>
      <c r="G4300" s="184"/>
      <c r="H4300" s="184"/>
      <c r="I4300" s="184"/>
      <c r="J4300" s="184"/>
      <c r="K4300" s="184"/>
      <c r="L4300" s="184"/>
      <c r="M4300" s="184"/>
      <c r="N4300" s="184"/>
      <c r="O4300" s="184"/>
    </row>
    <row r="4301" customFormat="false" ht="15" hidden="false" customHeight="true" outlineLevel="0" collapsed="false">
      <c r="A4301" s="184"/>
      <c r="B4301" s="184"/>
      <c r="C4301" s="184"/>
      <c r="D4301" s="184"/>
      <c r="E4301" s="184"/>
      <c r="F4301" s="184"/>
      <c r="G4301" s="184"/>
      <c r="H4301" s="184"/>
      <c r="I4301" s="184"/>
      <c r="J4301" s="184"/>
      <c r="K4301" s="184"/>
      <c r="L4301" s="184"/>
      <c r="M4301" s="184"/>
      <c r="N4301" s="184"/>
      <c r="O4301" s="184"/>
    </row>
    <row r="4302" customFormat="false" ht="15" hidden="false" customHeight="true" outlineLevel="0" collapsed="false">
      <c r="A4302" s="184"/>
      <c r="B4302" s="184"/>
      <c r="C4302" s="184"/>
      <c r="D4302" s="184"/>
      <c r="E4302" s="184"/>
      <c r="F4302" s="184"/>
      <c r="G4302" s="184"/>
      <c r="H4302" s="184"/>
      <c r="I4302" s="184"/>
      <c r="J4302" s="184"/>
      <c r="K4302" s="184"/>
      <c r="L4302" s="184"/>
      <c r="M4302" s="184"/>
      <c r="N4302" s="184"/>
      <c r="O4302" s="184"/>
    </row>
    <row r="4303" customFormat="false" ht="15" hidden="false" customHeight="true" outlineLevel="0" collapsed="false">
      <c r="A4303" s="184"/>
      <c r="B4303" s="184"/>
      <c r="C4303" s="184"/>
      <c r="D4303" s="184"/>
      <c r="E4303" s="184"/>
      <c r="F4303" s="184"/>
      <c r="G4303" s="184"/>
      <c r="H4303" s="184"/>
      <c r="I4303" s="184"/>
      <c r="J4303" s="184"/>
      <c r="K4303" s="184"/>
      <c r="L4303" s="184"/>
      <c r="M4303" s="184"/>
      <c r="N4303" s="184"/>
      <c r="O4303" s="184"/>
    </row>
    <row r="4304" customFormat="false" ht="15" hidden="false" customHeight="true" outlineLevel="0" collapsed="false">
      <c r="A4304" s="184"/>
      <c r="B4304" s="184"/>
      <c r="C4304" s="184"/>
      <c r="D4304" s="184"/>
      <c r="E4304" s="184"/>
      <c r="F4304" s="184"/>
      <c r="G4304" s="184"/>
      <c r="H4304" s="184"/>
      <c r="I4304" s="184"/>
      <c r="J4304" s="184"/>
      <c r="K4304" s="184"/>
      <c r="L4304" s="184"/>
      <c r="M4304" s="184"/>
      <c r="N4304" s="184"/>
      <c r="O4304" s="184"/>
    </row>
    <row r="4305" customFormat="false" ht="15" hidden="false" customHeight="true" outlineLevel="0" collapsed="false">
      <c r="A4305" s="184"/>
      <c r="B4305" s="184"/>
      <c r="C4305" s="184"/>
      <c r="D4305" s="184"/>
      <c r="E4305" s="184"/>
      <c r="F4305" s="184"/>
      <c r="G4305" s="184"/>
      <c r="H4305" s="184"/>
      <c r="I4305" s="184"/>
      <c r="J4305" s="184"/>
      <c r="K4305" s="184"/>
      <c r="L4305" s="184"/>
      <c r="M4305" s="184"/>
      <c r="N4305" s="184"/>
      <c r="O4305" s="184"/>
    </row>
    <row r="4306" customFormat="false" ht="15" hidden="false" customHeight="true" outlineLevel="0" collapsed="false">
      <c r="A4306" s="184"/>
      <c r="B4306" s="184"/>
      <c r="C4306" s="184"/>
      <c r="D4306" s="184"/>
      <c r="E4306" s="184"/>
      <c r="F4306" s="184"/>
      <c r="G4306" s="184"/>
      <c r="H4306" s="184"/>
      <c r="I4306" s="184"/>
      <c r="J4306" s="184"/>
      <c r="K4306" s="184"/>
      <c r="L4306" s="184"/>
      <c r="M4306" s="184"/>
      <c r="N4306" s="184"/>
      <c r="O4306" s="184"/>
    </row>
    <row r="4307" customFormat="false" ht="15" hidden="false" customHeight="true" outlineLevel="0" collapsed="false">
      <c r="A4307" s="184"/>
      <c r="B4307" s="184"/>
      <c r="C4307" s="184"/>
      <c r="D4307" s="184"/>
      <c r="E4307" s="184"/>
      <c r="F4307" s="184"/>
      <c r="G4307" s="184"/>
      <c r="H4307" s="184"/>
      <c r="I4307" s="184"/>
      <c r="J4307" s="184"/>
      <c r="K4307" s="184"/>
      <c r="L4307" s="184"/>
      <c r="M4307" s="184"/>
      <c r="N4307" s="184"/>
      <c r="O4307" s="184"/>
    </row>
    <row r="4308" customFormat="false" ht="15" hidden="false" customHeight="true" outlineLevel="0" collapsed="false">
      <c r="A4308" s="184"/>
      <c r="B4308" s="184"/>
      <c r="C4308" s="184"/>
      <c r="D4308" s="184"/>
      <c r="E4308" s="184"/>
      <c r="F4308" s="184"/>
      <c r="G4308" s="184"/>
      <c r="H4308" s="184"/>
      <c r="I4308" s="184"/>
      <c r="J4308" s="184"/>
      <c r="K4308" s="184"/>
      <c r="L4308" s="184"/>
      <c r="M4308" s="184"/>
      <c r="N4308" s="184"/>
      <c r="O4308" s="184"/>
    </row>
    <row r="4309" customFormat="false" ht="15" hidden="false" customHeight="true" outlineLevel="0" collapsed="false">
      <c r="A4309" s="184"/>
      <c r="B4309" s="184"/>
      <c r="C4309" s="184"/>
      <c r="D4309" s="184"/>
      <c r="E4309" s="184"/>
      <c r="F4309" s="184"/>
      <c r="G4309" s="184"/>
      <c r="H4309" s="184"/>
      <c r="I4309" s="184"/>
      <c r="J4309" s="184"/>
      <c r="K4309" s="184"/>
      <c r="L4309" s="184"/>
      <c r="M4309" s="184"/>
      <c r="N4309" s="184"/>
      <c r="O4309" s="184"/>
    </row>
    <row r="4310" customFormat="false" ht="15" hidden="false" customHeight="true" outlineLevel="0" collapsed="false">
      <c r="A4310" s="184"/>
      <c r="B4310" s="184"/>
      <c r="C4310" s="184"/>
      <c r="D4310" s="184"/>
      <c r="E4310" s="184"/>
      <c r="F4310" s="184"/>
      <c r="G4310" s="184"/>
      <c r="H4310" s="184"/>
      <c r="I4310" s="184"/>
      <c r="J4310" s="184"/>
      <c r="K4310" s="184"/>
      <c r="L4310" s="184"/>
      <c r="M4310" s="184"/>
      <c r="N4310" s="184"/>
      <c r="O4310" s="184"/>
    </row>
    <row r="4311" customFormat="false" ht="15" hidden="false" customHeight="true" outlineLevel="0" collapsed="false">
      <c r="A4311" s="184"/>
      <c r="B4311" s="184"/>
      <c r="C4311" s="184"/>
      <c r="D4311" s="184"/>
      <c r="E4311" s="184"/>
      <c r="F4311" s="184"/>
      <c r="G4311" s="184"/>
      <c r="H4311" s="184"/>
      <c r="I4311" s="184"/>
      <c r="J4311" s="184"/>
      <c r="K4311" s="184"/>
      <c r="L4311" s="184"/>
      <c r="M4311" s="184"/>
      <c r="N4311" s="184"/>
      <c r="O4311" s="184"/>
    </row>
    <row r="4312" customFormat="false" ht="15" hidden="false" customHeight="true" outlineLevel="0" collapsed="false">
      <c r="A4312" s="184"/>
      <c r="B4312" s="184"/>
      <c r="C4312" s="184"/>
      <c r="D4312" s="184"/>
      <c r="E4312" s="184"/>
      <c r="F4312" s="184"/>
      <c r="G4312" s="184"/>
      <c r="H4312" s="184"/>
      <c r="I4312" s="184"/>
      <c r="J4312" s="184"/>
      <c r="K4312" s="184"/>
      <c r="L4312" s="184"/>
      <c r="M4312" s="184"/>
      <c r="N4312" s="184"/>
      <c r="O4312" s="184"/>
    </row>
    <row r="4313" customFormat="false" ht="15" hidden="false" customHeight="true" outlineLevel="0" collapsed="false">
      <c r="A4313" s="184"/>
      <c r="B4313" s="184"/>
      <c r="C4313" s="184"/>
      <c r="D4313" s="184"/>
      <c r="E4313" s="184"/>
      <c r="F4313" s="184"/>
      <c r="G4313" s="184"/>
      <c r="H4313" s="184"/>
      <c r="I4313" s="184"/>
      <c r="J4313" s="184"/>
      <c r="K4313" s="184"/>
      <c r="L4313" s="184"/>
      <c r="M4313" s="184"/>
      <c r="N4313" s="184"/>
      <c r="O4313" s="184"/>
    </row>
    <row r="4314" customFormat="false" ht="15" hidden="false" customHeight="true" outlineLevel="0" collapsed="false">
      <c r="A4314" s="184"/>
      <c r="B4314" s="184"/>
      <c r="C4314" s="184"/>
      <c r="D4314" s="184"/>
      <c r="E4314" s="184"/>
      <c r="F4314" s="184"/>
      <c r="G4314" s="184"/>
      <c r="H4314" s="184"/>
      <c r="I4314" s="184"/>
      <c r="J4314" s="184"/>
      <c r="K4314" s="184"/>
      <c r="L4314" s="184"/>
      <c r="M4314" s="184"/>
      <c r="N4314" s="184"/>
      <c r="O4314" s="184"/>
    </row>
    <row r="4315" customFormat="false" ht="15" hidden="false" customHeight="true" outlineLevel="0" collapsed="false">
      <c r="A4315" s="184"/>
      <c r="B4315" s="184"/>
      <c r="C4315" s="184"/>
      <c r="D4315" s="184"/>
      <c r="E4315" s="184"/>
      <c r="F4315" s="184"/>
      <c r="G4315" s="184"/>
      <c r="H4315" s="184"/>
      <c r="I4315" s="184"/>
      <c r="J4315" s="184"/>
      <c r="K4315" s="184"/>
      <c r="L4315" s="184"/>
      <c r="M4315" s="184"/>
      <c r="N4315" s="184"/>
      <c r="O4315" s="184"/>
    </row>
    <row r="4316" customFormat="false" ht="15" hidden="false" customHeight="true" outlineLevel="0" collapsed="false">
      <c r="A4316" s="184"/>
      <c r="B4316" s="184"/>
      <c r="C4316" s="184"/>
      <c r="D4316" s="184"/>
      <c r="E4316" s="184"/>
      <c r="F4316" s="184"/>
      <c r="G4316" s="184"/>
      <c r="H4316" s="184"/>
      <c r="I4316" s="184"/>
      <c r="J4316" s="184"/>
      <c r="K4316" s="184"/>
      <c r="L4316" s="184"/>
      <c r="M4316" s="184"/>
      <c r="N4316" s="184"/>
      <c r="O4316" s="184"/>
    </row>
    <row r="4317" customFormat="false" ht="15" hidden="false" customHeight="true" outlineLevel="0" collapsed="false">
      <c r="A4317" s="184"/>
      <c r="B4317" s="184"/>
      <c r="C4317" s="184"/>
      <c r="D4317" s="184"/>
      <c r="E4317" s="184"/>
      <c r="F4317" s="184"/>
      <c r="G4317" s="184"/>
      <c r="H4317" s="184"/>
      <c r="I4317" s="184"/>
      <c r="J4317" s="184"/>
      <c r="K4317" s="184"/>
      <c r="L4317" s="184"/>
      <c r="M4317" s="184"/>
      <c r="N4317" s="184"/>
      <c r="O4317" s="184"/>
    </row>
    <row r="4318" customFormat="false" ht="15" hidden="false" customHeight="true" outlineLevel="0" collapsed="false">
      <c r="A4318" s="184"/>
      <c r="B4318" s="184"/>
      <c r="C4318" s="184"/>
      <c r="D4318" s="184"/>
      <c r="E4318" s="184"/>
      <c r="F4318" s="184"/>
      <c r="G4318" s="184"/>
      <c r="H4318" s="184"/>
      <c r="I4318" s="184"/>
      <c r="J4318" s="184"/>
      <c r="K4318" s="184"/>
      <c r="L4318" s="184"/>
      <c r="M4318" s="184"/>
      <c r="N4318" s="184"/>
      <c r="O4318" s="184"/>
    </row>
    <row r="4319" customFormat="false" ht="15" hidden="false" customHeight="true" outlineLevel="0" collapsed="false">
      <c r="A4319" s="184"/>
      <c r="B4319" s="184"/>
      <c r="C4319" s="184"/>
      <c r="D4319" s="184"/>
      <c r="E4319" s="184"/>
      <c r="F4319" s="184"/>
      <c r="G4319" s="184"/>
      <c r="H4319" s="184"/>
      <c r="I4319" s="184"/>
      <c r="J4319" s="184"/>
      <c r="K4319" s="184"/>
      <c r="L4319" s="184"/>
      <c r="M4319" s="184"/>
      <c r="N4319" s="184"/>
      <c r="O4319" s="184"/>
    </row>
    <row r="4320" customFormat="false" ht="15" hidden="false" customHeight="true" outlineLevel="0" collapsed="false">
      <c r="A4320" s="184"/>
      <c r="B4320" s="184"/>
      <c r="C4320" s="184"/>
      <c r="D4320" s="184"/>
      <c r="E4320" s="184"/>
      <c r="F4320" s="184"/>
      <c r="G4320" s="184"/>
      <c r="H4320" s="184"/>
      <c r="I4320" s="184"/>
      <c r="J4320" s="184"/>
      <c r="K4320" s="184"/>
      <c r="L4320" s="184"/>
      <c r="M4320" s="184"/>
      <c r="N4320" s="184"/>
      <c r="O4320" s="184"/>
    </row>
    <row r="4321" customFormat="false" ht="15" hidden="false" customHeight="true" outlineLevel="0" collapsed="false">
      <c r="A4321" s="184"/>
      <c r="B4321" s="184"/>
      <c r="C4321" s="184"/>
      <c r="D4321" s="184"/>
      <c r="E4321" s="184"/>
      <c r="F4321" s="184"/>
      <c r="G4321" s="184"/>
      <c r="H4321" s="184"/>
      <c r="I4321" s="184"/>
      <c r="J4321" s="184"/>
      <c r="K4321" s="184"/>
      <c r="L4321" s="184"/>
      <c r="M4321" s="184"/>
      <c r="N4321" s="184"/>
      <c r="O4321" s="184"/>
    </row>
    <row r="4322" customFormat="false" ht="15" hidden="false" customHeight="true" outlineLevel="0" collapsed="false">
      <c r="A4322" s="184"/>
      <c r="B4322" s="184"/>
      <c r="C4322" s="184"/>
      <c r="D4322" s="184"/>
      <c r="E4322" s="184"/>
      <c r="F4322" s="184"/>
      <c r="G4322" s="184"/>
      <c r="H4322" s="184"/>
      <c r="I4322" s="184"/>
      <c r="J4322" s="184"/>
      <c r="K4322" s="184"/>
      <c r="L4322" s="184"/>
      <c r="M4322" s="184"/>
      <c r="N4322" s="184"/>
      <c r="O4322" s="184"/>
    </row>
    <row r="4323" customFormat="false" ht="15" hidden="false" customHeight="true" outlineLevel="0" collapsed="false">
      <c r="A4323" s="184"/>
      <c r="B4323" s="184"/>
      <c r="C4323" s="184"/>
      <c r="D4323" s="184"/>
      <c r="E4323" s="184"/>
      <c r="F4323" s="184"/>
      <c r="G4323" s="184"/>
      <c r="H4323" s="184"/>
      <c r="I4323" s="184"/>
      <c r="J4323" s="184"/>
      <c r="K4323" s="184"/>
      <c r="L4323" s="184"/>
      <c r="M4323" s="184"/>
      <c r="N4323" s="184"/>
      <c r="O4323" s="184"/>
    </row>
    <row r="4324" customFormat="false" ht="15" hidden="false" customHeight="true" outlineLevel="0" collapsed="false">
      <c r="A4324" s="184"/>
      <c r="B4324" s="184"/>
      <c r="C4324" s="184"/>
      <c r="D4324" s="184"/>
      <c r="E4324" s="184"/>
      <c r="F4324" s="184"/>
      <c r="G4324" s="184"/>
      <c r="H4324" s="184"/>
      <c r="I4324" s="184"/>
      <c r="J4324" s="184"/>
      <c r="K4324" s="184"/>
      <c r="L4324" s="184"/>
      <c r="M4324" s="184"/>
      <c r="N4324" s="184"/>
      <c r="O4324" s="184"/>
    </row>
    <row r="4325" customFormat="false" ht="15" hidden="false" customHeight="true" outlineLevel="0" collapsed="false">
      <c r="A4325" s="184"/>
      <c r="B4325" s="184"/>
      <c r="C4325" s="184"/>
      <c r="D4325" s="184"/>
      <c r="E4325" s="184"/>
      <c r="F4325" s="184"/>
      <c r="G4325" s="184"/>
      <c r="H4325" s="184"/>
      <c r="I4325" s="184"/>
      <c r="J4325" s="184"/>
      <c r="K4325" s="184"/>
      <c r="L4325" s="184"/>
      <c r="M4325" s="184"/>
      <c r="N4325" s="184"/>
      <c r="O4325" s="184"/>
    </row>
    <row r="4326" customFormat="false" ht="15" hidden="false" customHeight="true" outlineLevel="0" collapsed="false">
      <c r="A4326" s="184"/>
      <c r="B4326" s="184"/>
      <c r="C4326" s="184"/>
      <c r="D4326" s="184"/>
      <c r="E4326" s="184"/>
      <c r="F4326" s="184"/>
      <c r="G4326" s="184"/>
      <c r="H4326" s="184"/>
      <c r="I4326" s="184"/>
      <c r="J4326" s="184"/>
      <c r="K4326" s="184"/>
      <c r="L4326" s="184"/>
      <c r="M4326" s="184"/>
      <c r="N4326" s="184"/>
      <c r="O4326" s="184"/>
    </row>
    <row r="4327" customFormat="false" ht="15" hidden="false" customHeight="true" outlineLevel="0" collapsed="false">
      <c r="A4327" s="184"/>
      <c r="B4327" s="184"/>
      <c r="C4327" s="184"/>
      <c r="D4327" s="184"/>
      <c r="E4327" s="184"/>
      <c r="F4327" s="184"/>
      <c r="G4327" s="184"/>
      <c r="H4327" s="184"/>
      <c r="I4327" s="184"/>
      <c r="J4327" s="184"/>
      <c r="K4327" s="184"/>
      <c r="L4327" s="184"/>
      <c r="M4327" s="184"/>
      <c r="N4327" s="184"/>
      <c r="O4327" s="184"/>
    </row>
    <row r="4328" customFormat="false" ht="15" hidden="false" customHeight="true" outlineLevel="0" collapsed="false">
      <c r="A4328" s="184"/>
      <c r="B4328" s="184"/>
      <c r="C4328" s="184"/>
      <c r="D4328" s="184"/>
      <c r="E4328" s="184"/>
      <c r="F4328" s="184"/>
      <c r="G4328" s="184"/>
      <c r="H4328" s="184"/>
      <c r="I4328" s="184"/>
      <c r="J4328" s="184"/>
      <c r="K4328" s="184"/>
      <c r="L4328" s="184"/>
      <c r="M4328" s="184"/>
      <c r="N4328" s="184"/>
      <c r="O4328" s="184"/>
    </row>
    <row r="4329" customFormat="false" ht="15" hidden="false" customHeight="true" outlineLevel="0" collapsed="false">
      <c r="A4329" s="184"/>
      <c r="B4329" s="184"/>
      <c r="C4329" s="184"/>
      <c r="D4329" s="184"/>
      <c r="E4329" s="184"/>
      <c r="F4329" s="184"/>
      <c r="G4329" s="184"/>
      <c r="H4329" s="184"/>
      <c r="I4329" s="184"/>
      <c r="J4329" s="184"/>
      <c r="K4329" s="184"/>
      <c r="L4329" s="184"/>
      <c r="M4329" s="184"/>
      <c r="N4329" s="184"/>
      <c r="O4329" s="184"/>
    </row>
    <row r="4330" customFormat="false" ht="15" hidden="false" customHeight="true" outlineLevel="0" collapsed="false">
      <c r="A4330" s="184"/>
      <c r="B4330" s="184"/>
      <c r="C4330" s="184"/>
      <c r="D4330" s="184"/>
      <c r="E4330" s="184"/>
      <c r="F4330" s="184"/>
      <c r="G4330" s="184"/>
      <c r="H4330" s="184"/>
      <c r="I4330" s="184"/>
      <c r="J4330" s="184"/>
      <c r="K4330" s="184"/>
      <c r="L4330" s="184"/>
      <c r="M4330" s="184"/>
      <c r="N4330" s="184"/>
      <c r="O4330" s="184"/>
    </row>
    <row r="4331" customFormat="false" ht="15" hidden="false" customHeight="true" outlineLevel="0" collapsed="false">
      <c r="A4331" s="184"/>
      <c r="B4331" s="184"/>
      <c r="C4331" s="184"/>
      <c r="D4331" s="184"/>
      <c r="E4331" s="184"/>
      <c r="F4331" s="184"/>
      <c r="G4331" s="184"/>
      <c r="H4331" s="184"/>
      <c r="I4331" s="184"/>
      <c r="J4331" s="184"/>
      <c r="K4331" s="184"/>
      <c r="L4331" s="184"/>
      <c r="M4331" s="184"/>
      <c r="N4331" s="184"/>
      <c r="O4331" s="184"/>
    </row>
    <row r="4332" customFormat="false" ht="15" hidden="false" customHeight="true" outlineLevel="0" collapsed="false">
      <c r="A4332" s="184"/>
      <c r="B4332" s="184"/>
      <c r="C4332" s="184"/>
      <c r="D4332" s="184"/>
      <c r="E4332" s="184"/>
      <c r="F4332" s="184"/>
      <c r="G4332" s="184"/>
      <c r="H4332" s="184"/>
      <c r="I4332" s="184"/>
      <c r="J4332" s="184"/>
      <c r="K4332" s="184"/>
      <c r="L4332" s="184"/>
      <c r="M4332" s="184"/>
      <c r="N4332" s="184"/>
      <c r="O4332" s="184"/>
    </row>
    <row r="4333" customFormat="false" ht="15" hidden="false" customHeight="true" outlineLevel="0" collapsed="false">
      <c r="A4333" s="184"/>
      <c r="B4333" s="184"/>
      <c r="C4333" s="184"/>
      <c r="D4333" s="184"/>
      <c r="E4333" s="184"/>
      <c r="F4333" s="184"/>
      <c r="G4333" s="184"/>
      <c r="H4333" s="184"/>
      <c r="I4333" s="184"/>
      <c r="J4333" s="184"/>
      <c r="K4333" s="184"/>
      <c r="L4333" s="184"/>
      <c r="M4333" s="184"/>
      <c r="N4333" s="184"/>
      <c r="O4333" s="184"/>
    </row>
    <row r="4334" customFormat="false" ht="15" hidden="false" customHeight="true" outlineLevel="0" collapsed="false">
      <c r="A4334" s="184"/>
      <c r="B4334" s="184"/>
      <c r="C4334" s="184"/>
      <c r="D4334" s="184"/>
      <c r="E4334" s="184"/>
      <c r="F4334" s="184"/>
      <c r="G4334" s="184"/>
      <c r="H4334" s="184"/>
      <c r="I4334" s="184"/>
      <c r="J4334" s="184"/>
      <c r="K4334" s="184"/>
      <c r="L4334" s="184"/>
      <c r="M4334" s="184"/>
      <c r="N4334" s="184"/>
      <c r="O4334" s="184"/>
    </row>
    <row r="4335" customFormat="false" ht="15" hidden="false" customHeight="true" outlineLevel="0" collapsed="false">
      <c r="A4335" s="184"/>
      <c r="B4335" s="184"/>
      <c r="C4335" s="184"/>
      <c r="D4335" s="184"/>
      <c r="E4335" s="184"/>
      <c r="F4335" s="184"/>
      <c r="G4335" s="184"/>
      <c r="H4335" s="184"/>
      <c r="I4335" s="184"/>
      <c r="J4335" s="184"/>
      <c r="K4335" s="184"/>
      <c r="L4335" s="184"/>
      <c r="M4335" s="184"/>
      <c r="N4335" s="184"/>
      <c r="O4335" s="184"/>
    </row>
    <row r="4336" customFormat="false" ht="15" hidden="false" customHeight="true" outlineLevel="0" collapsed="false">
      <c r="A4336" s="184"/>
      <c r="B4336" s="184"/>
      <c r="C4336" s="184"/>
      <c r="D4336" s="184"/>
      <c r="E4336" s="184"/>
      <c r="F4336" s="184"/>
      <c r="G4336" s="184"/>
      <c r="H4336" s="184"/>
      <c r="I4336" s="184"/>
      <c r="J4336" s="184"/>
      <c r="K4336" s="184"/>
      <c r="L4336" s="184"/>
      <c r="M4336" s="184"/>
      <c r="N4336" s="184"/>
      <c r="O4336" s="184"/>
    </row>
    <row r="4337" customFormat="false" ht="15" hidden="false" customHeight="true" outlineLevel="0" collapsed="false">
      <c r="A4337" s="184"/>
      <c r="B4337" s="184"/>
      <c r="C4337" s="184"/>
      <c r="D4337" s="184"/>
      <c r="E4337" s="184"/>
      <c r="F4337" s="184"/>
      <c r="G4337" s="184"/>
      <c r="H4337" s="184"/>
      <c r="I4337" s="184"/>
      <c r="J4337" s="184"/>
      <c r="K4337" s="184"/>
      <c r="L4337" s="184"/>
      <c r="M4337" s="184"/>
      <c r="N4337" s="184"/>
      <c r="O4337" s="184"/>
    </row>
    <row r="4338" customFormat="false" ht="15" hidden="false" customHeight="true" outlineLevel="0" collapsed="false">
      <c r="A4338" s="184"/>
      <c r="B4338" s="184"/>
      <c r="C4338" s="184"/>
      <c r="D4338" s="184"/>
      <c r="E4338" s="184"/>
      <c r="F4338" s="184"/>
      <c r="G4338" s="184"/>
      <c r="H4338" s="184"/>
      <c r="I4338" s="184"/>
      <c r="J4338" s="184"/>
      <c r="K4338" s="184"/>
      <c r="L4338" s="184"/>
      <c r="M4338" s="184"/>
      <c r="N4338" s="184"/>
      <c r="O4338" s="184"/>
    </row>
    <row r="4339" customFormat="false" ht="15" hidden="false" customHeight="true" outlineLevel="0" collapsed="false">
      <c r="A4339" s="184"/>
      <c r="B4339" s="184"/>
      <c r="C4339" s="184"/>
      <c r="D4339" s="184"/>
      <c r="E4339" s="184"/>
      <c r="F4339" s="184"/>
      <c r="G4339" s="184"/>
      <c r="H4339" s="184"/>
      <c r="I4339" s="184"/>
      <c r="J4339" s="184"/>
      <c r="K4339" s="184"/>
      <c r="L4339" s="184"/>
      <c r="M4339" s="184"/>
      <c r="N4339" s="184"/>
      <c r="O4339" s="184"/>
    </row>
    <row r="4340" customFormat="false" ht="15" hidden="false" customHeight="true" outlineLevel="0" collapsed="false">
      <c r="A4340" s="184"/>
      <c r="B4340" s="184"/>
      <c r="C4340" s="184"/>
      <c r="D4340" s="184"/>
      <c r="E4340" s="184"/>
      <c r="F4340" s="184"/>
      <c r="G4340" s="184"/>
      <c r="H4340" s="184"/>
      <c r="I4340" s="184"/>
      <c r="J4340" s="184"/>
      <c r="K4340" s="184"/>
      <c r="L4340" s="184"/>
      <c r="M4340" s="184"/>
      <c r="N4340" s="184"/>
      <c r="O4340" s="184"/>
    </row>
    <row r="4341" customFormat="false" ht="15" hidden="false" customHeight="true" outlineLevel="0" collapsed="false">
      <c r="A4341" s="184"/>
      <c r="B4341" s="184"/>
      <c r="C4341" s="184"/>
      <c r="D4341" s="184"/>
      <c r="E4341" s="184"/>
      <c r="F4341" s="184"/>
      <c r="G4341" s="184"/>
      <c r="H4341" s="184"/>
      <c r="I4341" s="184"/>
      <c r="J4341" s="184"/>
      <c r="K4341" s="184"/>
      <c r="L4341" s="184"/>
      <c r="M4341" s="184"/>
      <c r="N4341" s="184"/>
      <c r="O4341" s="184"/>
    </row>
    <row r="4342" customFormat="false" ht="15" hidden="false" customHeight="true" outlineLevel="0" collapsed="false">
      <c r="A4342" s="184"/>
      <c r="B4342" s="184"/>
      <c r="C4342" s="184"/>
      <c r="D4342" s="184"/>
      <c r="E4342" s="184"/>
      <c r="F4342" s="184"/>
      <c r="G4342" s="184"/>
      <c r="H4342" s="184"/>
      <c r="I4342" s="184"/>
      <c r="J4342" s="184"/>
      <c r="K4342" s="184"/>
      <c r="L4342" s="184"/>
      <c r="M4342" s="184"/>
      <c r="N4342" s="184"/>
      <c r="O4342" s="184"/>
    </row>
    <row r="4343" customFormat="false" ht="15" hidden="false" customHeight="true" outlineLevel="0" collapsed="false">
      <c r="A4343" s="184"/>
      <c r="B4343" s="184"/>
      <c r="C4343" s="184"/>
      <c r="D4343" s="184"/>
      <c r="E4343" s="184"/>
      <c r="F4343" s="184"/>
      <c r="G4343" s="184"/>
      <c r="H4343" s="184"/>
      <c r="I4343" s="184"/>
      <c r="J4343" s="184"/>
      <c r="K4343" s="184"/>
      <c r="L4343" s="184"/>
      <c r="M4343" s="184"/>
      <c r="N4343" s="184"/>
      <c r="O4343" s="184"/>
    </row>
    <row r="4344" customFormat="false" ht="15" hidden="false" customHeight="true" outlineLevel="0" collapsed="false">
      <c r="A4344" s="184"/>
      <c r="B4344" s="184"/>
      <c r="C4344" s="184"/>
      <c r="D4344" s="184"/>
      <c r="E4344" s="184"/>
      <c r="F4344" s="184"/>
      <c r="G4344" s="184"/>
      <c r="H4344" s="184"/>
      <c r="I4344" s="184"/>
      <c r="J4344" s="184"/>
      <c r="K4344" s="184"/>
      <c r="L4344" s="184"/>
      <c r="M4344" s="184"/>
      <c r="N4344" s="184"/>
      <c r="O4344" s="184"/>
    </row>
    <row r="4345" customFormat="false" ht="15" hidden="false" customHeight="true" outlineLevel="0" collapsed="false">
      <c r="A4345" s="184"/>
      <c r="B4345" s="184"/>
      <c r="C4345" s="184"/>
      <c r="D4345" s="184"/>
      <c r="E4345" s="184"/>
      <c r="F4345" s="184"/>
      <c r="G4345" s="184"/>
      <c r="H4345" s="184"/>
      <c r="I4345" s="184"/>
      <c r="J4345" s="184"/>
      <c r="K4345" s="184"/>
      <c r="L4345" s="184"/>
      <c r="M4345" s="184"/>
      <c r="N4345" s="184"/>
      <c r="O4345" s="184"/>
    </row>
    <row r="4346" customFormat="false" ht="15" hidden="false" customHeight="true" outlineLevel="0" collapsed="false">
      <c r="A4346" s="184"/>
      <c r="B4346" s="184"/>
      <c r="C4346" s="184"/>
      <c r="D4346" s="184"/>
      <c r="E4346" s="184"/>
      <c r="F4346" s="184"/>
      <c r="G4346" s="184"/>
      <c r="H4346" s="184"/>
      <c r="I4346" s="184"/>
      <c r="J4346" s="184"/>
      <c r="K4346" s="184"/>
      <c r="L4346" s="184"/>
      <c r="M4346" s="184"/>
      <c r="N4346" s="184"/>
      <c r="O4346" s="184"/>
    </row>
    <row r="4347" customFormat="false" ht="15" hidden="false" customHeight="true" outlineLevel="0" collapsed="false">
      <c r="A4347" s="184"/>
      <c r="B4347" s="184"/>
      <c r="C4347" s="184"/>
      <c r="D4347" s="184"/>
      <c r="E4347" s="184"/>
      <c r="F4347" s="184"/>
      <c r="G4347" s="184"/>
      <c r="H4347" s="184"/>
      <c r="I4347" s="184"/>
      <c r="J4347" s="184"/>
      <c r="K4347" s="184"/>
      <c r="L4347" s="184"/>
      <c r="M4347" s="184"/>
      <c r="N4347" s="184"/>
      <c r="O4347" s="184"/>
    </row>
    <row r="4348" customFormat="false" ht="15" hidden="false" customHeight="true" outlineLevel="0" collapsed="false">
      <c r="A4348" s="184"/>
      <c r="B4348" s="184"/>
      <c r="C4348" s="184"/>
      <c r="D4348" s="184"/>
      <c r="E4348" s="184"/>
      <c r="F4348" s="184"/>
      <c r="G4348" s="184"/>
      <c r="H4348" s="184"/>
      <c r="I4348" s="184"/>
      <c r="J4348" s="184"/>
      <c r="K4348" s="184"/>
      <c r="L4348" s="184"/>
      <c r="M4348" s="184"/>
      <c r="N4348" s="184"/>
      <c r="O4348" s="184"/>
    </row>
    <row r="4349" customFormat="false" ht="15" hidden="false" customHeight="true" outlineLevel="0" collapsed="false">
      <c r="A4349" s="184"/>
      <c r="B4349" s="184"/>
      <c r="C4349" s="184"/>
      <c r="D4349" s="184"/>
      <c r="E4349" s="184"/>
      <c r="F4349" s="184"/>
      <c r="G4349" s="184"/>
      <c r="H4349" s="184"/>
      <c r="I4349" s="184"/>
      <c r="J4349" s="184"/>
      <c r="K4349" s="184"/>
      <c r="L4349" s="184"/>
      <c r="M4349" s="184"/>
      <c r="N4349" s="184"/>
      <c r="O4349" s="184"/>
    </row>
    <row r="4350" customFormat="false" ht="15" hidden="false" customHeight="true" outlineLevel="0" collapsed="false">
      <c r="A4350" s="184"/>
      <c r="B4350" s="184"/>
      <c r="C4350" s="184"/>
      <c r="D4350" s="184"/>
      <c r="E4350" s="184"/>
      <c r="F4350" s="184"/>
      <c r="G4350" s="184"/>
      <c r="H4350" s="184"/>
      <c r="I4350" s="184"/>
      <c r="J4350" s="184"/>
      <c r="K4350" s="184"/>
      <c r="L4350" s="184"/>
      <c r="M4350" s="184"/>
      <c r="N4350" s="184"/>
      <c r="O4350" s="184"/>
    </row>
    <row r="4351" customFormat="false" ht="15" hidden="false" customHeight="true" outlineLevel="0" collapsed="false">
      <c r="A4351" s="184"/>
      <c r="B4351" s="184"/>
      <c r="C4351" s="184"/>
      <c r="D4351" s="184"/>
      <c r="E4351" s="184"/>
      <c r="F4351" s="184"/>
      <c r="G4351" s="184"/>
      <c r="H4351" s="184"/>
      <c r="I4351" s="184"/>
      <c r="J4351" s="184"/>
      <c r="K4351" s="184"/>
      <c r="L4351" s="184"/>
      <c r="M4351" s="184"/>
      <c r="N4351" s="184"/>
      <c r="O4351" s="184"/>
    </row>
    <row r="4352" customFormat="false" ht="15" hidden="false" customHeight="true" outlineLevel="0" collapsed="false">
      <c r="A4352" s="184"/>
      <c r="B4352" s="184"/>
      <c r="C4352" s="184"/>
      <c r="D4352" s="184"/>
      <c r="E4352" s="184"/>
      <c r="F4352" s="184"/>
      <c r="G4352" s="184"/>
      <c r="H4352" s="184"/>
      <c r="I4352" s="184"/>
      <c r="J4352" s="184"/>
      <c r="K4352" s="184"/>
      <c r="L4352" s="184"/>
      <c r="M4352" s="184"/>
      <c r="N4352" s="184"/>
      <c r="O4352" s="184"/>
    </row>
    <row r="4353" customFormat="false" ht="15" hidden="false" customHeight="true" outlineLevel="0" collapsed="false">
      <c r="A4353" s="184"/>
      <c r="B4353" s="184"/>
      <c r="C4353" s="184"/>
      <c r="D4353" s="184"/>
      <c r="E4353" s="184"/>
      <c r="F4353" s="184"/>
      <c r="G4353" s="184"/>
      <c r="H4353" s="184"/>
      <c r="I4353" s="184"/>
      <c r="J4353" s="184"/>
      <c r="K4353" s="184"/>
      <c r="L4353" s="184"/>
      <c r="M4353" s="184"/>
      <c r="N4353" s="184"/>
      <c r="O4353" s="184"/>
    </row>
    <row r="4354" customFormat="false" ht="15" hidden="false" customHeight="true" outlineLevel="0" collapsed="false">
      <c r="A4354" s="184"/>
      <c r="B4354" s="184"/>
      <c r="C4354" s="184"/>
      <c r="D4354" s="184"/>
      <c r="E4354" s="184"/>
      <c r="F4354" s="184"/>
      <c r="G4354" s="184"/>
      <c r="H4354" s="184"/>
      <c r="I4354" s="184"/>
      <c r="J4354" s="184"/>
      <c r="K4354" s="184"/>
      <c r="L4354" s="184"/>
      <c r="M4354" s="184"/>
      <c r="N4354" s="184"/>
      <c r="O4354" s="184"/>
    </row>
    <row r="4355" customFormat="false" ht="15" hidden="false" customHeight="true" outlineLevel="0" collapsed="false">
      <c r="A4355" s="184"/>
      <c r="B4355" s="184"/>
      <c r="C4355" s="184"/>
      <c r="D4355" s="184"/>
      <c r="E4355" s="184"/>
      <c r="F4355" s="184"/>
      <c r="G4355" s="184"/>
      <c r="H4355" s="184"/>
      <c r="I4355" s="184"/>
      <c r="J4355" s="184"/>
      <c r="K4355" s="184"/>
      <c r="L4355" s="184"/>
      <c r="M4355" s="184"/>
      <c r="N4355" s="184"/>
      <c r="O4355" s="184"/>
    </row>
    <row r="4356" customFormat="false" ht="15" hidden="false" customHeight="true" outlineLevel="0" collapsed="false">
      <c r="A4356" s="184"/>
      <c r="B4356" s="184"/>
      <c r="C4356" s="184"/>
      <c r="D4356" s="184"/>
      <c r="E4356" s="184"/>
      <c r="F4356" s="184"/>
      <c r="G4356" s="184"/>
      <c r="H4356" s="184"/>
      <c r="I4356" s="184"/>
      <c r="J4356" s="184"/>
      <c r="K4356" s="184"/>
      <c r="L4356" s="184"/>
      <c r="M4356" s="184"/>
      <c r="N4356" s="184"/>
      <c r="O4356" s="184"/>
    </row>
    <row r="4357" customFormat="false" ht="15" hidden="false" customHeight="true" outlineLevel="0" collapsed="false">
      <c r="A4357" s="184"/>
      <c r="B4357" s="184"/>
      <c r="C4357" s="184"/>
      <c r="D4357" s="184"/>
      <c r="E4357" s="184"/>
      <c r="F4357" s="184"/>
      <c r="G4357" s="184"/>
      <c r="H4357" s="184"/>
      <c r="I4357" s="184"/>
      <c r="J4357" s="184"/>
      <c r="K4357" s="184"/>
      <c r="L4357" s="184"/>
      <c r="M4357" s="184"/>
      <c r="N4357" s="184"/>
      <c r="O4357" s="184"/>
    </row>
    <row r="4358" customFormat="false" ht="15" hidden="false" customHeight="true" outlineLevel="0" collapsed="false">
      <c r="A4358" s="184"/>
      <c r="B4358" s="184"/>
      <c r="C4358" s="184"/>
      <c r="D4358" s="184"/>
      <c r="E4358" s="184"/>
      <c r="F4358" s="184"/>
      <c r="G4358" s="184"/>
      <c r="H4358" s="184"/>
      <c r="I4358" s="184"/>
      <c r="J4358" s="184"/>
      <c r="K4358" s="184"/>
      <c r="L4358" s="184"/>
      <c r="M4358" s="184"/>
      <c r="N4358" s="184"/>
      <c r="O4358" s="184"/>
    </row>
    <row r="4359" customFormat="false" ht="15" hidden="false" customHeight="true" outlineLevel="0" collapsed="false">
      <c r="A4359" s="184"/>
      <c r="B4359" s="184"/>
      <c r="C4359" s="184"/>
      <c r="D4359" s="184"/>
      <c r="E4359" s="184"/>
      <c r="F4359" s="184"/>
      <c r="G4359" s="184"/>
      <c r="H4359" s="184"/>
      <c r="I4359" s="184"/>
      <c r="J4359" s="184"/>
      <c r="K4359" s="184"/>
      <c r="L4359" s="184"/>
      <c r="M4359" s="184"/>
      <c r="N4359" s="184"/>
      <c r="O4359" s="184"/>
    </row>
    <row r="4360" customFormat="false" ht="15" hidden="false" customHeight="true" outlineLevel="0" collapsed="false">
      <c r="A4360" s="184"/>
      <c r="B4360" s="184"/>
      <c r="C4360" s="184"/>
      <c r="D4360" s="184"/>
      <c r="E4360" s="184"/>
      <c r="F4360" s="184"/>
      <c r="G4360" s="184"/>
      <c r="H4360" s="184"/>
      <c r="I4360" s="184"/>
      <c r="J4360" s="184"/>
      <c r="K4360" s="184"/>
      <c r="L4360" s="184"/>
      <c r="M4360" s="184"/>
      <c r="N4360" s="184"/>
      <c r="O4360" s="184"/>
    </row>
    <row r="4361" customFormat="false" ht="15" hidden="false" customHeight="true" outlineLevel="0" collapsed="false">
      <c r="A4361" s="184"/>
      <c r="B4361" s="184"/>
      <c r="C4361" s="184"/>
      <c r="D4361" s="184"/>
      <c r="E4361" s="184"/>
      <c r="F4361" s="184"/>
      <c r="G4361" s="184"/>
      <c r="H4361" s="184"/>
      <c r="I4361" s="184"/>
      <c r="J4361" s="184"/>
      <c r="K4361" s="184"/>
      <c r="L4361" s="184"/>
      <c r="M4361" s="184"/>
      <c r="N4361" s="184"/>
      <c r="O4361" s="184"/>
    </row>
    <row r="4362" customFormat="false" ht="15" hidden="false" customHeight="true" outlineLevel="0" collapsed="false">
      <c r="A4362" s="184"/>
      <c r="B4362" s="184"/>
      <c r="C4362" s="184"/>
      <c r="D4362" s="184"/>
      <c r="E4362" s="184"/>
      <c r="F4362" s="184"/>
      <c r="G4362" s="184"/>
      <c r="H4362" s="184"/>
      <c r="I4362" s="184"/>
      <c r="J4362" s="184"/>
      <c r="K4362" s="184"/>
      <c r="L4362" s="184"/>
      <c r="M4362" s="184"/>
      <c r="N4362" s="184"/>
      <c r="O4362" s="184"/>
    </row>
    <row r="4363" customFormat="false" ht="15" hidden="false" customHeight="true" outlineLevel="0" collapsed="false">
      <c r="A4363" s="184"/>
      <c r="B4363" s="184"/>
      <c r="C4363" s="184"/>
      <c r="D4363" s="184"/>
      <c r="E4363" s="184"/>
      <c r="F4363" s="184"/>
      <c r="G4363" s="184"/>
      <c r="H4363" s="184"/>
      <c r="I4363" s="184"/>
      <c r="J4363" s="184"/>
      <c r="K4363" s="184"/>
      <c r="L4363" s="184"/>
      <c r="M4363" s="184"/>
      <c r="N4363" s="184"/>
      <c r="O4363" s="184"/>
    </row>
    <row r="4364" customFormat="false" ht="15" hidden="false" customHeight="true" outlineLevel="0" collapsed="false">
      <c r="A4364" s="184"/>
      <c r="B4364" s="184"/>
      <c r="C4364" s="184"/>
      <c r="D4364" s="184"/>
      <c r="E4364" s="184"/>
      <c r="F4364" s="184"/>
      <c r="G4364" s="184"/>
      <c r="H4364" s="184"/>
      <c r="I4364" s="184"/>
      <c r="J4364" s="184"/>
      <c r="K4364" s="184"/>
      <c r="L4364" s="184"/>
      <c r="M4364" s="184"/>
      <c r="N4364" s="184"/>
      <c r="O4364" s="184"/>
    </row>
    <row r="4365" customFormat="false" ht="15" hidden="false" customHeight="true" outlineLevel="0" collapsed="false">
      <c r="A4365" s="184"/>
      <c r="B4365" s="184"/>
      <c r="C4365" s="184"/>
      <c r="D4365" s="184"/>
      <c r="E4365" s="184"/>
      <c r="F4365" s="184"/>
      <c r="G4365" s="184"/>
      <c r="H4365" s="184"/>
      <c r="I4365" s="184"/>
      <c r="J4365" s="184"/>
      <c r="K4365" s="184"/>
      <c r="L4365" s="184"/>
      <c r="M4365" s="184"/>
      <c r="N4365" s="184"/>
      <c r="O4365" s="184"/>
    </row>
    <row r="4366" customFormat="false" ht="15" hidden="false" customHeight="true" outlineLevel="0" collapsed="false">
      <c r="A4366" s="184"/>
      <c r="B4366" s="184"/>
      <c r="C4366" s="184"/>
      <c r="D4366" s="184"/>
      <c r="E4366" s="184"/>
      <c r="F4366" s="184"/>
      <c r="G4366" s="184"/>
      <c r="H4366" s="184"/>
      <c r="I4366" s="184"/>
      <c r="J4366" s="184"/>
      <c r="K4366" s="184"/>
      <c r="L4366" s="184"/>
      <c r="M4366" s="184"/>
      <c r="N4366" s="184"/>
      <c r="O4366" s="184"/>
    </row>
    <row r="4367" customFormat="false" ht="15" hidden="false" customHeight="true" outlineLevel="0" collapsed="false">
      <c r="A4367" s="184"/>
      <c r="B4367" s="184"/>
      <c r="C4367" s="184"/>
      <c r="D4367" s="184"/>
      <c r="E4367" s="184"/>
      <c r="F4367" s="184"/>
      <c r="G4367" s="184"/>
      <c r="H4367" s="184"/>
      <c r="I4367" s="184"/>
      <c r="J4367" s="184"/>
      <c r="K4367" s="184"/>
      <c r="L4367" s="184"/>
      <c r="M4367" s="184"/>
      <c r="N4367" s="184"/>
      <c r="O4367" s="184"/>
    </row>
    <row r="4368" customFormat="false" ht="15" hidden="false" customHeight="true" outlineLevel="0" collapsed="false">
      <c r="A4368" s="184"/>
      <c r="B4368" s="184"/>
      <c r="C4368" s="184"/>
      <c r="D4368" s="184"/>
      <c r="E4368" s="184"/>
      <c r="F4368" s="184"/>
      <c r="G4368" s="184"/>
      <c r="H4368" s="184"/>
      <c r="I4368" s="184"/>
      <c r="J4368" s="184"/>
      <c r="K4368" s="184"/>
      <c r="L4368" s="184"/>
      <c r="M4368" s="184"/>
      <c r="N4368" s="184"/>
      <c r="O4368" s="184"/>
    </row>
    <row r="4369" customFormat="false" ht="15" hidden="false" customHeight="true" outlineLevel="0" collapsed="false">
      <c r="A4369" s="184"/>
      <c r="B4369" s="184"/>
      <c r="C4369" s="184"/>
      <c r="D4369" s="184"/>
      <c r="E4369" s="184"/>
      <c r="F4369" s="184"/>
      <c r="G4369" s="184"/>
      <c r="H4369" s="184"/>
      <c r="I4369" s="184"/>
      <c r="J4369" s="184"/>
      <c r="K4369" s="184"/>
      <c r="L4369" s="184"/>
      <c r="M4369" s="184"/>
      <c r="N4369" s="184"/>
      <c r="O4369" s="184"/>
    </row>
    <row r="4370" customFormat="false" ht="15" hidden="false" customHeight="true" outlineLevel="0" collapsed="false">
      <c r="A4370" s="184"/>
      <c r="B4370" s="184"/>
      <c r="C4370" s="184"/>
      <c r="D4370" s="184"/>
      <c r="E4370" s="184"/>
      <c r="F4370" s="184"/>
      <c r="G4370" s="184"/>
      <c r="H4370" s="184"/>
      <c r="I4370" s="184"/>
      <c r="J4370" s="184"/>
      <c r="K4370" s="184"/>
      <c r="L4370" s="184"/>
      <c r="M4370" s="184"/>
      <c r="N4370" s="184"/>
      <c r="O4370" s="184"/>
    </row>
    <row r="4371" customFormat="false" ht="15" hidden="false" customHeight="true" outlineLevel="0" collapsed="false">
      <c r="A4371" s="184"/>
      <c r="B4371" s="184"/>
      <c r="C4371" s="184"/>
      <c r="D4371" s="184"/>
      <c r="E4371" s="184"/>
      <c r="F4371" s="184"/>
      <c r="G4371" s="184"/>
      <c r="H4371" s="184"/>
      <c r="I4371" s="184"/>
      <c r="J4371" s="184"/>
      <c r="K4371" s="184"/>
      <c r="L4371" s="184"/>
      <c r="M4371" s="184"/>
      <c r="N4371" s="184"/>
      <c r="O4371" s="184"/>
    </row>
    <row r="4372" customFormat="false" ht="15" hidden="false" customHeight="true" outlineLevel="0" collapsed="false">
      <c r="A4372" s="184"/>
      <c r="B4372" s="184"/>
      <c r="C4372" s="184"/>
      <c r="D4372" s="184"/>
      <c r="E4372" s="184"/>
      <c r="F4372" s="184"/>
      <c r="G4372" s="184"/>
      <c r="H4372" s="184"/>
      <c r="I4372" s="184"/>
      <c r="J4372" s="184"/>
      <c r="K4372" s="184"/>
      <c r="L4372" s="184"/>
      <c r="M4372" s="184"/>
      <c r="N4372" s="184"/>
      <c r="O4372" s="184"/>
    </row>
    <row r="4373" customFormat="false" ht="15" hidden="false" customHeight="true" outlineLevel="0" collapsed="false">
      <c r="A4373" s="184"/>
      <c r="B4373" s="184"/>
      <c r="C4373" s="184"/>
      <c r="D4373" s="184"/>
      <c r="E4373" s="184"/>
      <c r="F4373" s="184"/>
      <c r="G4373" s="184"/>
      <c r="H4373" s="184"/>
      <c r="I4373" s="184"/>
      <c r="J4373" s="184"/>
      <c r="K4373" s="184"/>
      <c r="L4373" s="184"/>
      <c r="M4373" s="184"/>
      <c r="N4373" s="184"/>
      <c r="O4373" s="184"/>
    </row>
    <row r="4374" customFormat="false" ht="15" hidden="false" customHeight="true" outlineLevel="0" collapsed="false">
      <c r="A4374" s="184"/>
      <c r="B4374" s="184"/>
      <c r="C4374" s="184"/>
      <c r="D4374" s="184"/>
      <c r="E4374" s="184"/>
      <c r="F4374" s="184"/>
      <c r="G4374" s="184"/>
      <c r="H4374" s="184"/>
      <c r="I4374" s="184"/>
      <c r="J4374" s="184"/>
      <c r="K4374" s="184"/>
      <c r="L4374" s="184"/>
      <c r="M4374" s="184"/>
      <c r="N4374" s="184"/>
      <c r="O4374" s="184"/>
    </row>
    <row r="4375" customFormat="false" ht="15" hidden="false" customHeight="true" outlineLevel="0" collapsed="false">
      <c r="A4375" s="184"/>
      <c r="B4375" s="184"/>
      <c r="C4375" s="184"/>
      <c r="D4375" s="184"/>
      <c r="E4375" s="184"/>
      <c r="F4375" s="184"/>
      <c r="G4375" s="184"/>
      <c r="H4375" s="184"/>
      <c r="I4375" s="184"/>
      <c r="J4375" s="184"/>
      <c r="K4375" s="184"/>
      <c r="L4375" s="184"/>
      <c r="M4375" s="184"/>
      <c r="N4375" s="184"/>
      <c r="O4375" s="184"/>
    </row>
    <row r="4376" customFormat="false" ht="15" hidden="false" customHeight="true" outlineLevel="0" collapsed="false">
      <c r="A4376" s="184"/>
      <c r="B4376" s="184"/>
      <c r="C4376" s="184"/>
      <c r="D4376" s="184"/>
      <c r="E4376" s="184"/>
      <c r="F4376" s="184"/>
      <c r="G4376" s="184"/>
      <c r="H4376" s="184"/>
      <c r="I4376" s="184"/>
      <c r="J4376" s="184"/>
      <c r="K4376" s="184"/>
      <c r="L4376" s="184"/>
      <c r="M4376" s="184"/>
      <c r="N4376" s="184"/>
      <c r="O4376" s="184"/>
    </row>
    <row r="4377" customFormat="false" ht="15" hidden="false" customHeight="true" outlineLevel="0" collapsed="false">
      <c r="A4377" s="184"/>
      <c r="B4377" s="184"/>
      <c r="C4377" s="184"/>
      <c r="D4377" s="184"/>
      <c r="E4377" s="184"/>
      <c r="F4377" s="184"/>
      <c r="G4377" s="184"/>
      <c r="H4377" s="184"/>
      <c r="I4377" s="184"/>
      <c r="J4377" s="184"/>
      <c r="K4377" s="184"/>
      <c r="L4377" s="184"/>
      <c r="M4377" s="184"/>
      <c r="N4377" s="184"/>
      <c r="O4377" s="184"/>
    </row>
    <row r="4378" customFormat="false" ht="15" hidden="false" customHeight="true" outlineLevel="0" collapsed="false">
      <c r="A4378" s="184"/>
      <c r="B4378" s="184"/>
      <c r="C4378" s="184"/>
      <c r="D4378" s="184"/>
      <c r="E4378" s="184"/>
      <c r="F4378" s="184"/>
      <c r="G4378" s="184"/>
      <c r="H4378" s="184"/>
      <c r="I4378" s="184"/>
      <c r="J4378" s="184"/>
      <c r="K4378" s="184"/>
      <c r="L4378" s="184"/>
      <c r="M4378" s="184"/>
      <c r="N4378" s="184"/>
      <c r="O4378" s="184"/>
    </row>
    <row r="4379" customFormat="false" ht="15" hidden="false" customHeight="true" outlineLevel="0" collapsed="false">
      <c r="A4379" s="184"/>
      <c r="B4379" s="184"/>
      <c r="C4379" s="184"/>
      <c r="D4379" s="184"/>
      <c r="E4379" s="184"/>
      <c r="F4379" s="184"/>
      <c r="G4379" s="184"/>
      <c r="H4379" s="184"/>
      <c r="I4379" s="184"/>
      <c r="J4379" s="184"/>
      <c r="K4379" s="184"/>
      <c r="L4379" s="184"/>
      <c r="M4379" s="184"/>
      <c r="N4379" s="184"/>
      <c r="O4379" s="184"/>
    </row>
    <row r="4380" customFormat="false" ht="15" hidden="false" customHeight="true" outlineLevel="0" collapsed="false">
      <c r="A4380" s="184"/>
      <c r="B4380" s="184"/>
      <c r="C4380" s="184"/>
      <c r="D4380" s="184"/>
      <c r="E4380" s="184"/>
      <c r="F4380" s="184"/>
      <c r="G4380" s="184"/>
      <c r="H4380" s="184"/>
      <c r="I4380" s="184"/>
      <c r="J4380" s="184"/>
      <c r="K4380" s="184"/>
      <c r="L4380" s="184"/>
      <c r="M4380" s="184"/>
      <c r="N4380" s="184"/>
      <c r="O4380" s="184"/>
    </row>
    <row r="4381" customFormat="false" ht="15" hidden="false" customHeight="true" outlineLevel="0" collapsed="false">
      <c r="A4381" s="184"/>
      <c r="B4381" s="184"/>
      <c r="C4381" s="184"/>
      <c r="D4381" s="184"/>
      <c r="E4381" s="184"/>
      <c r="F4381" s="184"/>
      <c r="G4381" s="184"/>
      <c r="H4381" s="184"/>
      <c r="I4381" s="184"/>
      <c r="J4381" s="184"/>
      <c r="K4381" s="184"/>
      <c r="L4381" s="184"/>
      <c r="M4381" s="184"/>
      <c r="N4381" s="184"/>
      <c r="O4381" s="184"/>
    </row>
    <row r="4382" customFormat="false" ht="15" hidden="false" customHeight="true" outlineLevel="0" collapsed="false">
      <c r="A4382" s="184"/>
      <c r="B4382" s="184"/>
      <c r="C4382" s="184"/>
      <c r="D4382" s="184"/>
      <c r="E4382" s="184"/>
      <c r="F4382" s="184"/>
      <c r="G4382" s="184"/>
      <c r="H4382" s="184"/>
      <c r="I4382" s="184"/>
      <c r="J4382" s="184"/>
      <c r="K4382" s="184"/>
      <c r="L4382" s="184"/>
      <c r="M4382" s="184"/>
      <c r="N4382" s="184"/>
      <c r="O4382" s="184"/>
    </row>
    <row r="4383" customFormat="false" ht="15" hidden="false" customHeight="true" outlineLevel="0" collapsed="false">
      <c r="A4383" s="184"/>
      <c r="B4383" s="184"/>
      <c r="C4383" s="184"/>
      <c r="D4383" s="184"/>
      <c r="E4383" s="184"/>
      <c r="F4383" s="184"/>
      <c r="G4383" s="184"/>
      <c r="H4383" s="184"/>
      <c r="I4383" s="184"/>
      <c r="J4383" s="184"/>
      <c r="K4383" s="184"/>
      <c r="L4383" s="184"/>
      <c r="M4383" s="184"/>
      <c r="N4383" s="184"/>
      <c r="O4383" s="184"/>
    </row>
    <row r="4384" customFormat="false" ht="15" hidden="false" customHeight="true" outlineLevel="0" collapsed="false">
      <c r="A4384" s="184"/>
      <c r="B4384" s="184"/>
      <c r="C4384" s="184"/>
      <c r="D4384" s="184"/>
      <c r="E4384" s="184"/>
      <c r="F4384" s="184"/>
      <c r="G4384" s="184"/>
      <c r="H4384" s="184"/>
      <c r="I4384" s="184"/>
      <c r="J4384" s="184"/>
      <c r="K4384" s="184"/>
      <c r="L4384" s="184"/>
      <c r="M4384" s="184"/>
      <c r="N4384" s="184"/>
      <c r="O4384" s="184"/>
    </row>
    <row r="4385" customFormat="false" ht="15" hidden="false" customHeight="true" outlineLevel="0" collapsed="false">
      <c r="A4385" s="184"/>
      <c r="B4385" s="184"/>
      <c r="C4385" s="184"/>
      <c r="D4385" s="184"/>
      <c r="E4385" s="184"/>
      <c r="F4385" s="184"/>
      <c r="G4385" s="184"/>
      <c r="H4385" s="184"/>
      <c r="I4385" s="184"/>
      <c r="J4385" s="184"/>
      <c r="K4385" s="184"/>
      <c r="L4385" s="184"/>
      <c r="M4385" s="184"/>
      <c r="N4385" s="184"/>
      <c r="O4385" s="184"/>
    </row>
    <row r="4386" customFormat="false" ht="15" hidden="false" customHeight="true" outlineLevel="0" collapsed="false">
      <c r="A4386" s="184"/>
      <c r="B4386" s="184"/>
      <c r="C4386" s="184"/>
      <c r="D4386" s="184"/>
      <c r="E4386" s="184"/>
      <c r="F4386" s="184"/>
      <c r="G4386" s="184"/>
      <c r="H4386" s="184"/>
      <c r="I4386" s="184"/>
      <c r="J4386" s="184"/>
      <c r="K4386" s="184"/>
      <c r="L4386" s="184"/>
      <c r="M4386" s="184"/>
      <c r="N4386" s="184"/>
      <c r="O4386" s="184"/>
    </row>
    <row r="4387" customFormat="false" ht="15" hidden="false" customHeight="true" outlineLevel="0" collapsed="false">
      <c r="A4387" s="184"/>
      <c r="B4387" s="184"/>
      <c r="C4387" s="184"/>
      <c r="D4387" s="184"/>
      <c r="E4387" s="184"/>
      <c r="F4387" s="184"/>
      <c r="G4387" s="184"/>
      <c r="H4387" s="184"/>
      <c r="I4387" s="184"/>
      <c r="J4387" s="184"/>
      <c r="K4387" s="184"/>
      <c r="L4387" s="184"/>
      <c r="M4387" s="184"/>
      <c r="N4387" s="184"/>
      <c r="O4387" s="184"/>
    </row>
    <row r="4388" customFormat="false" ht="15" hidden="false" customHeight="true" outlineLevel="0" collapsed="false">
      <c r="A4388" s="184"/>
      <c r="B4388" s="184"/>
      <c r="C4388" s="184"/>
      <c r="D4388" s="184"/>
      <c r="E4388" s="184"/>
      <c r="F4388" s="184"/>
      <c r="G4388" s="184"/>
      <c r="H4388" s="184"/>
      <c r="I4388" s="184"/>
      <c r="J4388" s="184"/>
      <c r="K4388" s="184"/>
      <c r="L4388" s="184"/>
      <c r="M4388" s="184"/>
      <c r="N4388" s="184"/>
      <c r="O4388" s="184"/>
    </row>
    <row r="4389" customFormat="false" ht="15" hidden="false" customHeight="true" outlineLevel="0" collapsed="false">
      <c r="A4389" s="184"/>
      <c r="B4389" s="184"/>
      <c r="C4389" s="184"/>
      <c r="D4389" s="184"/>
      <c r="E4389" s="184"/>
      <c r="F4389" s="184"/>
      <c r="G4389" s="184"/>
      <c r="H4389" s="184"/>
      <c r="I4389" s="184"/>
      <c r="J4389" s="184"/>
      <c r="K4389" s="184"/>
      <c r="L4389" s="184"/>
      <c r="M4389" s="184"/>
      <c r="N4389" s="184"/>
      <c r="O4389" s="184"/>
    </row>
    <row r="4390" customFormat="false" ht="15" hidden="false" customHeight="true" outlineLevel="0" collapsed="false">
      <c r="A4390" s="184"/>
      <c r="B4390" s="184"/>
      <c r="C4390" s="184"/>
      <c r="D4390" s="184"/>
      <c r="E4390" s="184"/>
      <c r="F4390" s="184"/>
      <c r="G4390" s="184"/>
      <c r="H4390" s="184"/>
      <c r="I4390" s="184"/>
      <c r="J4390" s="184"/>
      <c r="K4390" s="184"/>
      <c r="L4390" s="184"/>
      <c r="M4390" s="184"/>
      <c r="N4390" s="184"/>
      <c r="O4390" s="184"/>
    </row>
    <row r="4391" customFormat="false" ht="15" hidden="false" customHeight="true" outlineLevel="0" collapsed="false">
      <c r="A4391" s="184"/>
      <c r="B4391" s="184"/>
      <c r="C4391" s="184"/>
      <c r="D4391" s="184"/>
      <c r="E4391" s="184"/>
      <c r="F4391" s="184"/>
      <c r="G4391" s="184"/>
      <c r="H4391" s="184"/>
      <c r="I4391" s="184"/>
      <c r="J4391" s="184"/>
      <c r="K4391" s="184"/>
      <c r="L4391" s="184"/>
      <c r="M4391" s="184"/>
      <c r="N4391" s="184"/>
      <c r="O4391" s="184"/>
    </row>
    <row r="4392" customFormat="false" ht="15" hidden="false" customHeight="true" outlineLevel="0" collapsed="false">
      <c r="A4392" s="184"/>
      <c r="B4392" s="184"/>
      <c r="C4392" s="184"/>
      <c r="D4392" s="184"/>
      <c r="E4392" s="184"/>
      <c r="F4392" s="184"/>
      <c r="G4392" s="184"/>
      <c r="H4392" s="184"/>
      <c r="I4392" s="184"/>
      <c r="J4392" s="184"/>
      <c r="K4392" s="184"/>
      <c r="L4392" s="184"/>
      <c r="M4392" s="184"/>
      <c r="N4392" s="184"/>
      <c r="O4392" s="184"/>
    </row>
    <row r="4393" customFormat="false" ht="15" hidden="false" customHeight="true" outlineLevel="0" collapsed="false">
      <c r="A4393" s="184"/>
      <c r="B4393" s="184"/>
      <c r="C4393" s="184"/>
      <c r="D4393" s="184"/>
      <c r="E4393" s="184"/>
      <c r="F4393" s="184"/>
      <c r="G4393" s="184"/>
      <c r="H4393" s="184"/>
      <c r="I4393" s="184"/>
      <c r="J4393" s="184"/>
      <c r="K4393" s="184"/>
      <c r="L4393" s="184"/>
      <c r="M4393" s="184"/>
      <c r="N4393" s="184"/>
      <c r="O4393" s="184"/>
    </row>
    <row r="4394" customFormat="false" ht="15" hidden="false" customHeight="true" outlineLevel="0" collapsed="false">
      <c r="A4394" s="184"/>
      <c r="B4394" s="184"/>
      <c r="C4394" s="184"/>
      <c r="D4394" s="184"/>
      <c r="E4394" s="184"/>
      <c r="F4394" s="184"/>
      <c r="G4394" s="184"/>
      <c r="H4394" s="184"/>
      <c r="I4394" s="184"/>
      <c r="J4394" s="184"/>
      <c r="K4394" s="184"/>
      <c r="L4394" s="184"/>
      <c r="M4394" s="184"/>
      <c r="N4394" s="184"/>
      <c r="O4394" s="184"/>
    </row>
    <row r="4395" customFormat="false" ht="15" hidden="false" customHeight="true" outlineLevel="0" collapsed="false">
      <c r="A4395" s="184"/>
      <c r="B4395" s="184"/>
      <c r="C4395" s="184"/>
      <c r="D4395" s="184"/>
      <c r="E4395" s="184"/>
      <c r="F4395" s="184"/>
      <c r="G4395" s="184"/>
      <c r="H4395" s="184"/>
      <c r="I4395" s="184"/>
      <c r="J4395" s="184"/>
      <c r="K4395" s="184"/>
      <c r="L4395" s="184"/>
      <c r="M4395" s="184"/>
      <c r="N4395" s="184"/>
      <c r="O4395" s="184"/>
    </row>
    <row r="4396" customFormat="false" ht="15" hidden="false" customHeight="true" outlineLevel="0" collapsed="false">
      <c r="A4396" s="184"/>
      <c r="B4396" s="184"/>
      <c r="C4396" s="184"/>
      <c r="D4396" s="184"/>
      <c r="E4396" s="184"/>
      <c r="F4396" s="184"/>
      <c r="G4396" s="184"/>
      <c r="H4396" s="184"/>
      <c r="I4396" s="184"/>
      <c r="J4396" s="184"/>
      <c r="K4396" s="184"/>
      <c r="L4396" s="184"/>
      <c r="M4396" s="184"/>
      <c r="N4396" s="184"/>
      <c r="O4396" s="184"/>
    </row>
    <row r="4397" customFormat="false" ht="15" hidden="false" customHeight="true" outlineLevel="0" collapsed="false">
      <c r="A4397" s="184"/>
      <c r="B4397" s="184"/>
      <c r="C4397" s="184"/>
      <c r="D4397" s="184"/>
      <c r="E4397" s="184"/>
      <c r="F4397" s="184"/>
      <c r="G4397" s="184"/>
      <c r="H4397" s="184"/>
      <c r="I4397" s="184"/>
      <c r="J4397" s="184"/>
      <c r="K4397" s="184"/>
      <c r="L4397" s="184"/>
      <c r="M4397" s="184"/>
      <c r="N4397" s="184"/>
      <c r="O4397" s="184"/>
    </row>
    <row r="4398" customFormat="false" ht="15" hidden="false" customHeight="true" outlineLevel="0" collapsed="false">
      <c r="A4398" s="184"/>
      <c r="B4398" s="184"/>
      <c r="C4398" s="184"/>
      <c r="D4398" s="184"/>
      <c r="E4398" s="184"/>
      <c r="F4398" s="184"/>
      <c r="G4398" s="184"/>
      <c r="H4398" s="184"/>
      <c r="I4398" s="184"/>
      <c r="J4398" s="184"/>
      <c r="K4398" s="184"/>
      <c r="L4398" s="184"/>
      <c r="M4398" s="184"/>
      <c r="N4398" s="184"/>
      <c r="O4398" s="184"/>
    </row>
    <row r="4399" customFormat="false" ht="15" hidden="false" customHeight="true" outlineLevel="0" collapsed="false">
      <c r="A4399" s="184"/>
      <c r="B4399" s="184"/>
      <c r="C4399" s="184"/>
      <c r="D4399" s="184"/>
      <c r="E4399" s="184"/>
      <c r="F4399" s="184"/>
      <c r="G4399" s="184"/>
      <c r="H4399" s="184"/>
      <c r="I4399" s="184"/>
      <c r="J4399" s="184"/>
      <c r="K4399" s="184"/>
      <c r="L4399" s="184"/>
      <c r="M4399" s="184"/>
      <c r="N4399" s="184"/>
      <c r="O4399" s="184"/>
    </row>
    <row r="4400" customFormat="false" ht="15" hidden="false" customHeight="true" outlineLevel="0" collapsed="false">
      <c r="A4400" s="184"/>
      <c r="B4400" s="184"/>
      <c r="C4400" s="184"/>
      <c r="D4400" s="184"/>
      <c r="E4400" s="184"/>
      <c r="F4400" s="184"/>
      <c r="G4400" s="184"/>
      <c r="H4400" s="184"/>
      <c r="I4400" s="184"/>
      <c r="J4400" s="184"/>
      <c r="K4400" s="184"/>
      <c r="L4400" s="184"/>
      <c r="M4400" s="184"/>
      <c r="N4400" s="184"/>
      <c r="O4400" s="184"/>
    </row>
    <row r="4401" customFormat="false" ht="15" hidden="false" customHeight="true" outlineLevel="0" collapsed="false">
      <c r="A4401" s="184"/>
      <c r="B4401" s="184"/>
      <c r="C4401" s="184"/>
      <c r="D4401" s="184"/>
      <c r="E4401" s="184"/>
      <c r="F4401" s="184"/>
      <c r="G4401" s="184"/>
      <c r="H4401" s="184"/>
      <c r="I4401" s="184"/>
      <c r="J4401" s="184"/>
      <c r="K4401" s="184"/>
      <c r="L4401" s="184"/>
      <c r="M4401" s="184"/>
      <c r="N4401" s="184"/>
      <c r="O4401" s="184"/>
    </row>
    <row r="4402" customFormat="false" ht="15" hidden="false" customHeight="true" outlineLevel="0" collapsed="false">
      <c r="A4402" s="184"/>
      <c r="B4402" s="184"/>
      <c r="C4402" s="184"/>
      <c r="D4402" s="184"/>
      <c r="E4402" s="184"/>
      <c r="F4402" s="184"/>
      <c r="G4402" s="184"/>
      <c r="H4402" s="184"/>
      <c r="I4402" s="184"/>
      <c r="J4402" s="184"/>
      <c r="K4402" s="184"/>
      <c r="L4402" s="184"/>
      <c r="M4402" s="184"/>
      <c r="N4402" s="184"/>
      <c r="O4402" s="184"/>
    </row>
    <row r="4403" customFormat="false" ht="15" hidden="false" customHeight="true" outlineLevel="0" collapsed="false">
      <c r="A4403" s="184"/>
      <c r="B4403" s="184"/>
      <c r="C4403" s="184"/>
      <c r="D4403" s="184"/>
      <c r="E4403" s="184"/>
      <c r="F4403" s="184"/>
      <c r="G4403" s="184"/>
      <c r="H4403" s="184"/>
      <c r="I4403" s="184"/>
      <c r="J4403" s="184"/>
      <c r="K4403" s="184"/>
      <c r="L4403" s="184"/>
      <c r="M4403" s="184"/>
      <c r="N4403" s="184"/>
      <c r="O4403" s="184"/>
    </row>
    <row r="4404" customFormat="false" ht="15" hidden="false" customHeight="true" outlineLevel="0" collapsed="false">
      <c r="A4404" s="184"/>
      <c r="B4404" s="184"/>
      <c r="C4404" s="184"/>
      <c r="D4404" s="184"/>
      <c r="E4404" s="184"/>
      <c r="F4404" s="184"/>
      <c r="G4404" s="184"/>
      <c r="H4404" s="184"/>
      <c r="I4404" s="184"/>
      <c r="J4404" s="184"/>
      <c r="K4404" s="184"/>
      <c r="L4404" s="184"/>
      <c r="M4404" s="184"/>
      <c r="N4404" s="184"/>
      <c r="O4404" s="184"/>
    </row>
    <row r="4405" customFormat="false" ht="15" hidden="false" customHeight="true" outlineLevel="0" collapsed="false">
      <c r="A4405" s="184"/>
      <c r="B4405" s="184"/>
      <c r="C4405" s="184"/>
      <c r="D4405" s="184"/>
      <c r="E4405" s="184"/>
      <c r="F4405" s="184"/>
      <c r="G4405" s="184"/>
      <c r="H4405" s="184"/>
      <c r="I4405" s="184"/>
      <c r="J4405" s="184"/>
      <c r="K4405" s="184"/>
      <c r="L4405" s="184"/>
      <c r="M4405" s="184"/>
      <c r="N4405" s="184"/>
      <c r="O4405" s="184"/>
    </row>
    <row r="4406" customFormat="false" ht="15" hidden="false" customHeight="true" outlineLevel="0" collapsed="false">
      <c r="A4406" s="184"/>
      <c r="B4406" s="184"/>
      <c r="C4406" s="184"/>
      <c r="D4406" s="184"/>
      <c r="E4406" s="184"/>
      <c r="F4406" s="184"/>
      <c r="G4406" s="184"/>
      <c r="H4406" s="184"/>
      <c r="I4406" s="184"/>
      <c r="J4406" s="184"/>
      <c r="K4406" s="184"/>
      <c r="L4406" s="184"/>
      <c r="M4406" s="184"/>
      <c r="N4406" s="184"/>
      <c r="O4406" s="184"/>
    </row>
    <row r="4407" customFormat="false" ht="15" hidden="false" customHeight="true" outlineLevel="0" collapsed="false">
      <c r="A4407" s="184"/>
      <c r="B4407" s="184"/>
      <c r="C4407" s="184"/>
      <c r="D4407" s="184"/>
      <c r="E4407" s="184"/>
      <c r="F4407" s="184"/>
      <c r="G4407" s="184"/>
      <c r="H4407" s="184"/>
      <c r="I4407" s="184"/>
      <c r="J4407" s="184"/>
      <c r="K4407" s="184"/>
      <c r="L4407" s="184"/>
      <c r="M4407" s="184"/>
      <c r="N4407" s="184"/>
      <c r="O4407" s="184"/>
    </row>
    <row r="4408" customFormat="false" ht="15" hidden="false" customHeight="true" outlineLevel="0" collapsed="false">
      <c r="A4408" s="184"/>
      <c r="B4408" s="184"/>
      <c r="C4408" s="184"/>
      <c r="D4408" s="184"/>
      <c r="E4408" s="184"/>
      <c r="F4408" s="184"/>
      <c r="G4408" s="184"/>
      <c r="H4408" s="184"/>
      <c r="I4408" s="184"/>
      <c r="J4408" s="184"/>
      <c r="K4408" s="184"/>
      <c r="L4408" s="184"/>
      <c r="M4408" s="184"/>
      <c r="N4408" s="184"/>
      <c r="O4408" s="184"/>
    </row>
    <row r="4409" customFormat="false" ht="15" hidden="false" customHeight="true" outlineLevel="0" collapsed="false">
      <c r="A4409" s="184"/>
      <c r="B4409" s="184"/>
      <c r="C4409" s="184"/>
      <c r="D4409" s="184"/>
      <c r="E4409" s="184"/>
      <c r="F4409" s="184"/>
      <c r="G4409" s="184"/>
      <c r="H4409" s="184"/>
      <c r="I4409" s="184"/>
      <c r="J4409" s="184"/>
      <c r="K4409" s="184"/>
      <c r="L4409" s="184"/>
      <c r="M4409" s="184"/>
      <c r="N4409" s="184"/>
      <c r="O4409" s="184"/>
    </row>
    <row r="4410" customFormat="false" ht="15" hidden="false" customHeight="true" outlineLevel="0" collapsed="false">
      <c r="A4410" s="184"/>
      <c r="B4410" s="184"/>
      <c r="C4410" s="184"/>
      <c r="D4410" s="184"/>
      <c r="E4410" s="184"/>
      <c r="F4410" s="184"/>
      <c r="G4410" s="184"/>
      <c r="H4410" s="184"/>
      <c r="I4410" s="184"/>
      <c r="J4410" s="184"/>
      <c r="K4410" s="184"/>
      <c r="L4410" s="184"/>
      <c r="M4410" s="184"/>
      <c r="N4410" s="184"/>
      <c r="O4410" s="184"/>
    </row>
    <row r="4411" customFormat="false" ht="15" hidden="false" customHeight="true" outlineLevel="0" collapsed="false">
      <c r="A4411" s="184"/>
      <c r="B4411" s="184"/>
      <c r="C4411" s="184"/>
      <c r="D4411" s="184"/>
      <c r="E4411" s="184"/>
      <c r="F4411" s="184"/>
      <c r="G4411" s="184"/>
      <c r="H4411" s="184"/>
      <c r="I4411" s="184"/>
      <c r="J4411" s="184"/>
      <c r="K4411" s="184"/>
      <c r="L4411" s="184"/>
      <c r="M4411" s="184"/>
      <c r="N4411" s="184"/>
      <c r="O4411" s="184"/>
    </row>
    <row r="4412" customFormat="false" ht="15" hidden="false" customHeight="true" outlineLevel="0" collapsed="false">
      <c r="A4412" s="184"/>
      <c r="B4412" s="184"/>
      <c r="C4412" s="184"/>
      <c r="D4412" s="184"/>
      <c r="E4412" s="184"/>
      <c r="F4412" s="184"/>
      <c r="G4412" s="184"/>
      <c r="H4412" s="184"/>
      <c r="I4412" s="184"/>
      <c r="J4412" s="184"/>
      <c r="K4412" s="184"/>
      <c r="L4412" s="184"/>
      <c r="M4412" s="184"/>
      <c r="N4412" s="184"/>
      <c r="O4412" s="184"/>
    </row>
    <row r="4413" customFormat="false" ht="15" hidden="false" customHeight="true" outlineLevel="0" collapsed="false">
      <c r="A4413" s="184"/>
      <c r="B4413" s="184"/>
      <c r="C4413" s="184"/>
      <c r="D4413" s="184"/>
      <c r="E4413" s="184"/>
      <c r="F4413" s="184"/>
      <c r="G4413" s="184"/>
      <c r="H4413" s="184"/>
      <c r="I4413" s="184"/>
      <c r="J4413" s="184"/>
      <c r="K4413" s="184"/>
      <c r="L4413" s="184"/>
      <c r="M4413" s="184"/>
      <c r="N4413" s="184"/>
      <c r="O4413" s="184"/>
    </row>
    <row r="4414" customFormat="false" ht="15" hidden="false" customHeight="true" outlineLevel="0" collapsed="false">
      <c r="A4414" s="184"/>
      <c r="B4414" s="184"/>
      <c r="C4414" s="184"/>
      <c r="D4414" s="184"/>
      <c r="E4414" s="184"/>
      <c r="F4414" s="184"/>
      <c r="G4414" s="184"/>
      <c r="H4414" s="184"/>
      <c r="I4414" s="184"/>
      <c r="J4414" s="184"/>
      <c r="K4414" s="184"/>
      <c r="L4414" s="184"/>
      <c r="M4414" s="184"/>
      <c r="N4414" s="184"/>
      <c r="O4414" s="184"/>
    </row>
    <row r="4415" customFormat="false" ht="15" hidden="false" customHeight="true" outlineLevel="0" collapsed="false">
      <c r="A4415" s="184"/>
      <c r="B4415" s="184"/>
      <c r="C4415" s="184"/>
      <c r="D4415" s="184"/>
      <c r="E4415" s="184"/>
      <c r="F4415" s="184"/>
      <c r="G4415" s="184"/>
      <c r="H4415" s="184"/>
      <c r="I4415" s="184"/>
      <c r="J4415" s="184"/>
      <c r="K4415" s="184"/>
      <c r="L4415" s="184"/>
      <c r="M4415" s="184"/>
      <c r="N4415" s="184"/>
      <c r="O4415" s="184"/>
    </row>
    <row r="4416" customFormat="false" ht="15" hidden="false" customHeight="true" outlineLevel="0" collapsed="false">
      <c r="A4416" s="184"/>
      <c r="B4416" s="184"/>
      <c r="C4416" s="184"/>
      <c r="D4416" s="184"/>
      <c r="E4416" s="184"/>
      <c r="F4416" s="184"/>
      <c r="G4416" s="184"/>
      <c r="H4416" s="184"/>
      <c r="I4416" s="184"/>
      <c r="J4416" s="184"/>
      <c r="K4416" s="184"/>
      <c r="L4416" s="184"/>
      <c r="M4416" s="184"/>
      <c r="N4416" s="184"/>
      <c r="O4416" s="184"/>
    </row>
    <row r="4417" customFormat="false" ht="15" hidden="false" customHeight="true" outlineLevel="0" collapsed="false">
      <c r="A4417" s="184"/>
      <c r="B4417" s="184"/>
      <c r="C4417" s="184"/>
      <c r="D4417" s="184"/>
      <c r="E4417" s="184"/>
      <c r="F4417" s="184"/>
      <c r="G4417" s="184"/>
      <c r="H4417" s="184"/>
      <c r="I4417" s="184"/>
      <c r="J4417" s="184"/>
      <c r="K4417" s="184"/>
      <c r="L4417" s="184"/>
      <c r="M4417" s="184"/>
      <c r="N4417" s="184"/>
      <c r="O4417" s="184"/>
    </row>
    <row r="4418" customFormat="false" ht="15" hidden="false" customHeight="true" outlineLevel="0" collapsed="false">
      <c r="A4418" s="184"/>
      <c r="B4418" s="184"/>
      <c r="C4418" s="184"/>
      <c r="D4418" s="184"/>
      <c r="E4418" s="184"/>
      <c r="F4418" s="184"/>
      <c r="G4418" s="184"/>
      <c r="H4418" s="184"/>
      <c r="I4418" s="184"/>
      <c r="J4418" s="184"/>
      <c r="K4418" s="184"/>
      <c r="L4418" s="184"/>
      <c r="M4418" s="184"/>
      <c r="N4418" s="184"/>
      <c r="O4418" s="184"/>
    </row>
    <row r="4419" customFormat="false" ht="15" hidden="false" customHeight="true" outlineLevel="0" collapsed="false">
      <c r="A4419" s="184"/>
      <c r="B4419" s="184"/>
      <c r="C4419" s="184"/>
      <c r="D4419" s="184"/>
      <c r="E4419" s="184"/>
      <c r="F4419" s="184"/>
      <c r="G4419" s="184"/>
      <c r="H4419" s="184"/>
      <c r="I4419" s="184"/>
      <c r="J4419" s="184"/>
      <c r="K4419" s="184"/>
      <c r="L4419" s="184"/>
      <c r="M4419" s="184"/>
      <c r="N4419" s="184"/>
      <c r="O4419" s="184"/>
    </row>
    <row r="4420" customFormat="false" ht="15" hidden="false" customHeight="true" outlineLevel="0" collapsed="false">
      <c r="A4420" s="184"/>
      <c r="B4420" s="184"/>
      <c r="C4420" s="184"/>
      <c r="D4420" s="184"/>
      <c r="E4420" s="184"/>
      <c r="F4420" s="184"/>
      <c r="G4420" s="184"/>
      <c r="H4420" s="184"/>
      <c r="I4420" s="184"/>
      <c r="J4420" s="184"/>
      <c r="K4420" s="184"/>
      <c r="L4420" s="184"/>
      <c r="M4420" s="184"/>
      <c r="N4420" s="184"/>
      <c r="O4420" s="184"/>
    </row>
    <row r="4421" customFormat="false" ht="15" hidden="false" customHeight="true" outlineLevel="0" collapsed="false">
      <c r="A4421" s="184"/>
      <c r="B4421" s="184"/>
      <c r="C4421" s="184"/>
      <c r="D4421" s="184"/>
      <c r="E4421" s="184"/>
      <c r="F4421" s="184"/>
      <c r="G4421" s="184"/>
      <c r="H4421" s="184"/>
      <c r="I4421" s="184"/>
      <c r="J4421" s="184"/>
      <c r="K4421" s="184"/>
      <c r="L4421" s="184"/>
      <c r="M4421" s="184"/>
      <c r="N4421" s="184"/>
      <c r="O4421" s="184"/>
    </row>
    <row r="4422" customFormat="false" ht="15" hidden="false" customHeight="true" outlineLevel="0" collapsed="false">
      <c r="A4422" s="184"/>
      <c r="B4422" s="184"/>
      <c r="C4422" s="184"/>
      <c r="D4422" s="184"/>
      <c r="E4422" s="184"/>
      <c r="F4422" s="184"/>
      <c r="G4422" s="184"/>
      <c r="H4422" s="184"/>
      <c r="I4422" s="184"/>
      <c r="J4422" s="184"/>
      <c r="K4422" s="184"/>
      <c r="L4422" s="184"/>
      <c r="M4422" s="184"/>
      <c r="N4422" s="184"/>
      <c r="O4422" s="184"/>
    </row>
    <row r="4423" customFormat="false" ht="15" hidden="false" customHeight="true" outlineLevel="0" collapsed="false">
      <c r="A4423" s="184"/>
      <c r="B4423" s="184"/>
      <c r="C4423" s="184"/>
      <c r="D4423" s="184"/>
      <c r="E4423" s="184"/>
      <c r="F4423" s="184"/>
      <c r="G4423" s="184"/>
      <c r="H4423" s="184"/>
      <c r="I4423" s="184"/>
      <c r="J4423" s="184"/>
      <c r="K4423" s="184"/>
      <c r="L4423" s="184"/>
      <c r="M4423" s="184"/>
      <c r="N4423" s="184"/>
      <c r="O4423" s="184"/>
    </row>
    <row r="4424" customFormat="false" ht="15" hidden="false" customHeight="true" outlineLevel="0" collapsed="false">
      <c r="A4424" s="184"/>
      <c r="B4424" s="184"/>
      <c r="C4424" s="184"/>
      <c r="D4424" s="184"/>
      <c r="E4424" s="184"/>
      <c r="F4424" s="184"/>
      <c r="G4424" s="184"/>
      <c r="H4424" s="184"/>
      <c r="I4424" s="184"/>
      <c r="J4424" s="184"/>
      <c r="K4424" s="184"/>
      <c r="L4424" s="184"/>
      <c r="M4424" s="184"/>
      <c r="N4424" s="184"/>
      <c r="O4424" s="184"/>
    </row>
    <row r="4425" customFormat="false" ht="15" hidden="false" customHeight="true" outlineLevel="0" collapsed="false">
      <c r="A4425" s="184"/>
      <c r="B4425" s="184"/>
      <c r="C4425" s="184"/>
      <c r="D4425" s="184"/>
      <c r="E4425" s="184"/>
      <c r="F4425" s="184"/>
      <c r="G4425" s="184"/>
      <c r="H4425" s="184"/>
      <c r="I4425" s="184"/>
      <c r="J4425" s="184"/>
      <c r="K4425" s="184"/>
      <c r="L4425" s="184"/>
      <c r="M4425" s="184"/>
      <c r="N4425" s="184"/>
      <c r="O4425" s="184"/>
    </row>
    <row r="4426" customFormat="false" ht="15" hidden="false" customHeight="true" outlineLevel="0" collapsed="false">
      <c r="A4426" s="184"/>
      <c r="B4426" s="184"/>
      <c r="C4426" s="184"/>
      <c r="D4426" s="184"/>
      <c r="E4426" s="184"/>
      <c r="F4426" s="184"/>
      <c r="G4426" s="184"/>
      <c r="H4426" s="184"/>
      <c r="I4426" s="184"/>
      <c r="J4426" s="184"/>
      <c r="K4426" s="184"/>
      <c r="L4426" s="184"/>
      <c r="M4426" s="184"/>
      <c r="N4426" s="184"/>
      <c r="O4426" s="184"/>
    </row>
    <row r="4427" customFormat="false" ht="15" hidden="false" customHeight="true" outlineLevel="0" collapsed="false">
      <c r="A4427" s="184"/>
      <c r="B4427" s="184"/>
      <c r="C4427" s="184"/>
      <c r="D4427" s="184"/>
      <c r="E4427" s="184"/>
      <c r="F4427" s="184"/>
      <c r="G4427" s="184"/>
      <c r="H4427" s="184"/>
      <c r="I4427" s="184"/>
      <c r="J4427" s="184"/>
      <c r="K4427" s="184"/>
      <c r="L4427" s="184"/>
      <c r="M4427" s="184"/>
      <c r="N4427" s="184"/>
      <c r="O4427" s="184"/>
    </row>
    <row r="4428" customFormat="false" ht="15" hidden="false" customHeight="true" outlineLevel="0" collapsed="false">
      <c r="A4428" s="184"/>
      <c r="B4428" s="184"/>
      <c r="C4428" s="184"/>
      <c r="D4428" s="184"/>
      <c r="E4428" s="184"/>
      <c r="F4428" s="184"/>
      <c r="G4428" s="184"/>
      <c r="H4428" s="184"/>
      <c r="I4428" s="184"/>
      <c r="J4428" s="184"/>
      <c r="K4428" s="184"/>
      <c r="L4428" s="184"/>
      <c r="M4428" s="184"/>
      <c r="N4428" s="184"/>
      <c r="O4428" s="184"/>
    </row>
    <row r="4429" customFormat="false" ht="15" hidden="false" customHeight="true" outlineLevel="0" collapsed="false">
      <c r="A4429" s="184"/>
      <c r="B4429" s="184"/>
      <c r="C4429" s="184"/>
      <c r="D4429" s="184"/>
      <c r="E4429" s="184"/>
      <c r="F4429" s="184"/>
      <c r="G4429" s="184"/>
      <c r="H4429" s="184"/>
      <c r="I4429" s="184"/>
      <c r="J4429" s="184"/>
      <c r="K4429" s="184"/>
      <c r="L4429" s="184"/>
      <c r="M4429" s="184"/>
      <c r="N4429" s="184"/>
      <c r="O4429" s="184"/>
    </row>
    <row r="4430" customFormat="false" ht="15" hidden="false" customHeight="true" outlineLevel="0" collapsed="false">
      <c r="A4430" s="184"/>
      <c r="B4430" s="184"/>
      <c r="C4430" s="184"/>
      <c r="D4430" s="184"/>
      <c r="E4430" s="184"/>
      <c r="F4430" s="184"/>
      <c r="G4430" s="184"/>
      <c r="H4430" s="184"/>
      <c r="I4430" s="184"/>
      <c r="J4430" s="184"/>
      <c r="K4430" s="184"/>
      <c r="L4430" s="184"/>
      <c r="M4430" s="184"/>
      <c r="N4430" s="184"/>
      <c r="O4430" s="184"/>
    </row>
    <row r="4431" customFormat="false" ht="15" hidden="false" customHeight="true" outlineLevel="0" collapsed="false">
      <c r="A4431" s="184"/>
      <c r="B4431" s="184"/>
      <c r="C4431" s="184"/>
      <c r="D4431" s="184"/>
      <c r="E4431" s="184"/>
      <c r="F4431" s="184"/>
      <c r="G4431" s="184"/>
      <c r="H4431" s="184"/>
      <c r="I4431" s="184"/>
      <c r="J4431" s="184"/>
      <c r="K4431" s="184"/>
      <c r="L4431" s="184"/>
      <c r="M4431" s="184"/>
      <c r="N4431" s="184"/>
      <c r="O4431" s="184"/>
    </row>
    <row r="4432" customFormat="false" ht="15" hidden="false" customHeight="true" outlineLevel="0" collapsed="false">
      <c r="A4432" s="184"/>
      <c r="B4432" s="184"/>
      <c r="C4432" s="184"/>
      <c r="D4432" s="184"/>
      <c r="E4432" s="184"/>
      <c r="F4432" s="184"/>
      <c r="G4432" s="184"/>
      <c r="H4432" s="184"/>
      <c r="I4432" s="184"/>
      <c r="J4432" s="184"/>
      <c r="K4432" s="184"/>
      <c r="L4432" s="184"/>
      <c r="M4432" s="184"/>
      <c r="N4432" s="184"/>
      <c r="O4432" s="184"/>
    </row>
    <row r="4433" customFormat="false" ht="15" hidden="false" customHeight="true" outlineLevel="0" collapsed="false">
      <c r="A4433" s="184"/>
      <c r="B4433" s="184"/>
      <c r="C4433" s="184"/>
      <c r="D4433" s="184"/>
      <c r="E4433" s="184"/>
      <c r="F4433" s="184"/>
      <c r="G4433" s="184"/>
      <c r="H4433" s="184"/>
      <c r="I4433" s="184"/>
      <c r="J4433" s="184"/>
      <c r="K4433" s="184"/>
      <c r="L4433" s="184"/>
      <c r="M4433" s="184"/>
      <c r="N4433" s="184"/>
      <c r="O4433" s="184"/>
    </row>
    <row r="4434" customFormat="false" ht="15" hidden="false" customHeight="true" outlineLevel="0" collapsed="false">
      <c r="A4434" s="184"/>
      <c r="B4434" s="184"/>
      <c r="C4434" s="184"/>
      <c r="D4434" s="184"/>
      <c r="E4434" s="184"/>
      <c r="F4434" s="184"/>
      <c r="G4434" s="184"/>
      <c r="H4434" s="184"/>
      <c r="I4434" s="184"/>
      <c r="J4434" s="184"/>
      <c r="K4434" s="184"/>
      <c r="L4434" s="184"/>
      <c r="M4434" s="184"/>
      <c r="N4434" s="184"/>
      <c r="O4434" s="184"/>
    </row>
    <row r="4435" customFormat="false" ht="15" hidden="false" customHeight="true" outlineLevel="0" collapsed="false">
      <c r="A4435" s="184"/>
      <c r="B4435" s="184"/>
      <c r="C4435" s="184"/>
      <c r="D4435" s="184"/>
      <c r="E4435" s="184"/>
      <c r="F4435" s="184"/>
      <c r="G4435" s="184"/>
      <c r="H4435" s="184"/>
      <c r="I4435" s="184"/>
      <c r="J4435" s="184"/>
      <c r="K4435" s="184"/>
      <c r="L4435" s="184"/>
      <c r="M4435" s="184"/>
      <c r="N4435" s="184"/>
      <c r="O4435" s="184"/>
    </row>
    <row r="4436" customFormat="false" ht="15" hidden="false" customHeight="true" outlineLevel="0" collapsed="false">
      <c r="A4436" s="184"/>
      <c r="B4436" s="184"/>
      <c r="C4436" s="184"/>
      <c r="D4436" s="184"/>
      <c r="E4436" s="184"/>
      <c r="F4436" s="184"/>
      <c r="G4436" s="184"/>
      <c r="H4436" s="184"/>
      <c r="I4436" s="184"/>
      <c r="J4436" s="184"/>
      <c r="K4436" s="184"/>
      <c r="L4436" s="184"/>
      <c r="M4436" s="184"/>
      <c r="N4436" s="184"/>
      <c r="O4436" s="184"/>
    </row>
    <row r="4437" customFormat="false" ht="15" hidden="false" customHeight="true" outlineLevel="0" collapsed="false">
      <c r="A4437" s="184"/>
      <c r="B4437" s="184"/>
      <c r="C4437" s="184"/>
      <c r="D4437" s="184"/>
      <c r="E4437" s="184"/>
      <c r="F4437" s="184"/>
      <c r="G4437" s="184"/>
      <c r="H4437" s="184"/>
      <c r="I4437" s="184"/>
      <c r="J4437" s="184"/>
      <c r="K4437" s="184"/>
      <c r="L4437" s="184"/>
      <c r="M4437" s="184"/>
      <c r="N4437" s="184"/>
      <c r="O4437" s="184"/>
    </row>
    <row r="4438" customFormat="false" ht="15" hidden="false" customHeight="true" outlineLevel="0" collapsed="false">
      <c r="A4438" s="184"/>
      <c r="B4438" s="184"/>
      <c r="C4438" s="184"/>
      <c r="D4438" s="184"/>
      <c r="E4438" s="184"/>
      <c r="F4438" s="184"/>
      <c r="G4438" s="184"/>
      <c r="H4438" s="184"/>
      <c r="I4438" s="184"/>
      <c r="J4438" s="184"/>
      <c r="K4438" s="184"/>
      <c r="L4438" s="184"/>
      <c r="M4438" s="184"/>
      <c r="N4438" s="184"/>
      <c r="O4438" s="184"/>
    </row>
    <row r="4439" customFormat="false" ht="15" hidden="false" customHeight="true" outlineLevel="0" collapsed="false">
      <c r="A4439" s="184"/>
      <c r="B4439" s="184"/>
      <c r="C4439" s="184"/>
      <c r="D4439" s="184"/>
      <c r="E4439" s="184"/>
      <c r="F4439" s="184"/>
      <c r="G4439" s="184"/>
      <c r="H4439" s="184"/>
      <c r="I4439" s="184"/>
      <c r="J4439" s="184"/>
      <c r="K4439" s="184"/>
      <c r="L4439" s="184"/>
      <c r="M4439" s="184"/>
      <c r="N4439" s="184"/>
      <c r="O4439" s="184"/>
    </row>
    <row r="4440" customFormat="false" ht="15" hidden="false" customHeight="true" outlineLevel="0" collapsed="false">
      <c r="A4440" s="184"/>
      <c r="B4440" s="184"/>
      <c r="C4440" s="184"/>
      <c r="D4440" s="184"/>
      <c r="E4440" s="184"/>
      <c r="F4440" s="184"/>
      <c r="G4440" s="184"/>
      <c r="H4440" s="184"/>
      <c r="I4440" s="184"/>
      <c r="J4440" s="184"/>
      <c r="K4440" s="184"/>
      <c r="L4440" s="184"/>
      <c r="M4440" s="184"/>
      <c r="N4440" s="184"/>
      <c r="O4440" s="184"/>
    </row>
    <row r="4441" customFormat="false" ht="15" hidden="false" customHeight="true" outlineLevel="0" collapsed="false">
      <c r="A4441" s="184"/>
      <c r="B4441" s="184"/>
      <c r="C4441" s="184"/>
      <c r="D4441" s="184"/>
      <c r="E4441" s="184"/>
      <c r="F4441" s="184"/>
      <c r="G4441" s="184"/>
      <c r="H4441" s="184"/>
      <c r="I4441" s="184"/>
      <c r="J4441" s="184"/>
      <c r="K4441" s="184"/>
      <c r="L4441" s="184"/>
      <c r="M4441" s="184"/>
      <c r="N4441" s="184"/>
      <c r="O4441" s="184"/>
    </row>
    <row r="4442" customFormat="false" ht="15" hidden="false" customHeight="true" outlineLevel="0" collapsed="false">
      <c r="A4442" s="184"/>
      <c r="B4442" s="184"/>
      <c r="C4442" s="184"/>
      <c r="D4442" s="184"/>
      <c r="E4442" s="184"/>
      <c r="F4442" s="184"/>
      <c r="G4442" s="184"/>
      <c r="H4442" s="184"/>
      <c r="I4442" s="184"/>
      <c r="J4442" s="184"/>
      <c r="K4442" s="184"/>
      <c r="L4442" s="184"/>
      <c r="M4442" s="184"/>
      <c r="N4442" s="184"/>
      <c r="O4442" s="184"/>
    </row>
    <row r="4443" customFormat="false" ht="15" hidden="false" customHeight="true" outlineLevel="0" collapsed="false">
      <c r="A4443" s="184"/>
      <c r="B4443" s="184"/>
      <c r="C4443" s="184"/>
      <c r="D4443" s="184"/>
      <c r="E4443" s="184"/>
      <c r="F4443" s="184"/>
      <c r="G4443" s="184"/>
      <c r="H4443" s="184"/>
      <c r="I4443" s="184"/>
      <c r="J4443" s="184"/>
      <c r="K4443" s="184"/>
      <c r="L4443" s="184"/>
      <c r="M4443" s="184"/>
      <c r="N4443" s="184"/>
      <c r="O4443" s="184"/>
    </row>
    <row r="4444" customFormat="false" ht="15" hidden="false" customHeight="true" outlineLevel="0" collapsed="false">
      <c r="A4444" s="184"/>
      <c r="B4444" s="184"/>
      <c r="C4444" s="184"/>
      <c r="D4444" s="184"/>
      <c r="E4444" s="184"/>
      <c r="F4444" s="184"/>
      <c r="G4444" s="184"/>
      <c r="H4444" s="184"/>
      <c r="I4444" s="184"/>
      <c r="J4444" s="184"/>
      <c r="K4444" s="184"/>
      <c r="L4444" s="184"/>
      <c r="M4444" s="184"/>
      <c r="N4444" s="184"/>
      <c r="O4444" s="184"/>
    </row>
    <row r="4445" customFormat="false" ht="15" hidden="false" customHeight="true" outlineLevel="0" collapsed="false">
      <c r="A4445" s="184"/>
      <c r="B4445" s="184"/>
      <c r="C4445" s="184"/>
      <c r="D4445" s="184"/>
      <c r="E4445" s="184"/>
      <c r="F4445" s="184"/>
      <c r="G4445" s="184"/>
      <c r="H4445" s="184"/>
      <c r="I4445" s="184"/>
      <c r="J4445" s="184"/>
      <c r="K4445" s="184"/>
      <c r="L4445" s="184"/>
      <c r="M4445" s="184"/>
      <c r="N4445" s="184"/>
      <c r="O4445" s="184"/>
    </row>
    <row r="4446" customFormat="false" ht="15" hidden="false" customHeight="true" outlineLevel="0" collapsed="false">
      <c r="A4446" s="184"/>
      <c r="B4446" s="184"/>
      <c r="C4446" s="184"/>
      <c r="D4446" s="184"/>
      <c r="E4446" s="184"/>
      <c r="F4446" s="184"/>
      <c r="G4446" s="184"/>
      <c r="H4446" s="184"/>
      <c r="I4446" s="184"/>
      <c r="J4446" s="184"/>
      <c r="K4446" s="184"/>
      <c r="L4446" s="184"/>
      <c r="M4446" s="184"/>
      <c r="N4446" s="184"/>
      <c r="O4446" s="184"/>
    </row>
    <row r="4447" customFormat="false" ht="15" hidden="false" customHeight="true" outlineLevel="0" collapsed="false">
      <c r="A4447" s="184"/>
      <c r="B4447" s="184"/>
      <c r="C4447" s="184"/>
      <c r="D4447" s="184"/>
      <c r="E4447" s="184"/>
      <c r="F4447" s="184"/>
      <c r="G4447" s="184"/>
      <c r="H4447" s="184"/>
      <c r="I4447" s="184"/>
      <c r="J4447" s="184"/>
      <c r="K4447" s="184"/>
      <c r="L4447" s="184"/>
      <c r="M4447" s="184"/>
      <c r="N4447" s="184"/>
      <c r="O4447" s="184"/>
    </row>
    <row r="4448" customFormat="false" ht="15" hidden="false" customHeight="true" outlineLevel="0" collapsed="false">
      <c r="A4448" s="184"/>
      <c r="B4448" s="184"/>
      <c r="C4448" s="184"/>
      <c r="D4448" s="184"/>
      <c r="E4448" s="184"/>
      <c r="F4448" s="184"/>
      <c r="G4448" s="184"/>
      <c r="H4448" s="184"/>
      <c r="I4448" s="184"/>
      <c r="J4448" s="184"/>
      <c r="K4448" s="184"/>
      <c r="L4448" s="184"/>
      <c r="M4448" s="184"/>
      <c r="N4448" s="184"/>
      <c r="O4448" s="184"/>
    </row>
    <row r="4449" customFormat="false" ht="15" hidden="false" customHeight="true" outlineLevel="0" collapsed="false">
      <c r="A4449" s="184"/>
      <c r="B4449" s="184"/>
      <c r="C4449" s="184"/>
      <c r="D4449" s="184"/>
      <c r="E4449" s="184"/>
      <c r="F4449" s="184"/>
      <c r="G4449" s="184"/>
      <c r="H4449" s="184"/>
      <c r="I4449" s="184"/>
      <c r="J4449" s="184"/>
      <c r="K4449" s="184"/>
      <c r="L4449" s="184"/>
      <c r="M4449" s="184"/>
      <c r="N4449" s="184"/>
      <c r="O4449" s="184"/>
    </row>
    <row r="4450" customFormat="false" ht="15" hidden="false" customHeight="true" outlineLevel="0" collapsed="false">
      <c r="A4450" s="184"/>
      <c r="B4450" s="184"/>
      <c r="C4450" s="184"/>
      <c r="D4450" s="184"/>
      <c r="E4450" s="184"/>
      <c r="F4450" s="184"/>
      <c r="G4450" s="184"/>
      <c r="H4450" s="184"/>
      <c r="I4450" s="184"/>
      <c r="J4450" s="184"/>
      <c r="K4450" s="184"/>
      <c r="L4450" s="184"/>
      <c r="M4450" s="184"/>
      <c r="N4450" s="184"/>
      <c r="O4450" s="184"/>
    </row>
    <row r="4451" customFormat="false" ht="15" hidden="false" customHeight="true" outlineLevel="0" collapsed="false">
      <c r="A4451" s="184"/>
      <c r="B4451" s="184"/>
      <c r="C4451" s="184"/>
      <c r="D4451" s="184"/>
      <c r="E4451" s="184"/>
      <c r="F4451" s="184"/>
      <c r="G4451" s="184"/>
      <c r="H4451" s="184"/>
      <c r="I4451" s="184"/>
      <c r="J4451" s="184"/>
      <c r="K4451" s="184"/>
      <c r="L4451" s="184"/>
      <c r="M4451" s="184"/>
      <c r="N4451" s="184"/>
      <c r="O4451" s="184"/>
    </row>
    <row r="4452" customFormat="false" ht="15" hidden="false" customHeight="true" outlineLevel="0" collapsed="false">
      <c r="A4452" s="184"/>
      <c r="B4452" s="184"/>
      <c r="C4452" s="184"/>
      <c r="D4452" s="184"/>
      <c r="E4452" s="184"/>
      <c r="F4452" s="184"/>
      <c r="G4452" s="184"/>
      <c r="H4452" s="184"/>
      <c r="I4452" s="184"/>
      <c r="J4452" s="184"/>
      <c r="K4452" s="184"/>
      <c r="L4452" s="184"/>
      <c r="M4452" s="184"/>
      <c r="N4452" s="184"/>
      <c r="O4452" s="184"/>
    </row>
    <row r="4453" customFormat="false" ht="15" hidden="false" customHeight="true" outlineLevel="0" collapsed="false">
      <c r="A4453" s="184"/>
      <c r="B4453" s="184"/>
      <c r="C4453" s="184"/>
      <c r="D4453" s="184"/>
      <c r="E4453" s="184"/>
      <c r="F4453" s="184"/>
      <c r="G4453" s="184"/>
      <c r="H4453" s="184"/>
      <c r="I4453" s="184"/>
      <c r="J4453" s="184"/>
      <c r="K4453" s="184"/>
      <c r="L4453" s="184"/>
      <c r="M4453" s="184"/>
      <c r="N4453" s="184"/>
      <c r="O4453" s="184"/>
    </row>
    <row r="4454" customFormat="false" ht="15" hidden="false" customHeight="true" outlineLevel="0" collapsed="false">
      <c r="A4454" s="184"/>
      <c r="B4454" s="184"/>
      <c r="C4454" s="184"/>
      <c r="D4454" s="184"/>
      <c r="E4454" s="184"/>
      <c r="F4454" s="184"/>
      <c r="G4454" s="184"/>
      <c r="H4454" s="184"/>
      <c r="I4454" s="184"/>
      <c r="J4454" s="184"/>
      <c r="K4454" s="184"/>
      <c r="L4454" s="184"/>
      <c r="M4454" s="184"/>
      <c r="N4454" s="184"/>
      <c r="O4454" s="184"/>
    </row>
    <row r="4455" customFormat="false" ht="15" hidden="false" customHeight="true" outlineLevel="0" collapsed="false">
      <c r="A4455" s="184"/>
      <c r="B4455" s="184"/>
      <c r="C4455" s="184"/>
      <c r="D4455" s="184"/>
      <c r="E4455" s="184"/>
      <c r="F4455" s="184"/>
      <c r="G4455" s="184"/>
      <c r="H4455" s="184"/>
      <c r="I4455" s="184"/>
      <c r="J4455" s="184"/>
      <c r="K4455" s="184"/>
      <c r="L4455" s="184"/>
      <c r="M4455" s="184"/>
      <c r="N4455" s="184"/>
      <c r="O4455" s="184"/>
    </row>
    <row r="4456" customFormat="false" ht="15" hidden="false" customHeight="true" outlineLevel="0" collapsed="false">
      <c r="A4456" s="184"/>
      <c r="B4456" s="184"/>
      <c r="C4456" s="184"/>
      <c r="D4456" s="184"/>
      <c r="E4456" s="184"/>
      <c r="F4456" s="184"/>
      <c r="G4456" s="184"/>
      <c r="H4456" s="184"/>
      <c r="I4456" s="184"/>
      <c r="J4456" s="184"/>
      <c r="K4456" s="184"/>
      <c r="L4456" s="184"/>
      <c r="M4456" s="184"/>
      <c r="N4456" s="184"/>
      <c r="O4456" s="184"/>
    </row>
    <row r="4457" customFormat="false" ht="15" hidden="false" customHeight="true" outlineLevel="0" collapsed="false">
      <c r="A4457" s="184"/>
      <c r="B4457" s="184"/>
      <c r="C4457" s="184"/>
      <c r="D4457" s="184"/>
      <c r="E4457" s="184"/>
      <c r="F4457" s="184"/>
      <c r="G4457" s="184"/>
      <c r="H4457" s="184"/>
      <c r="I4457" s="184"/>
      <c r="J4457" s="184"/>
      <c r="K4457" s="184"/>
      <c r="L4457" s="184"/>
      <c r="M4457" s="184"/>
      <c r="N4457" s="184"/>
      <c r="O4457" s="184"/>
    </row>
    <row r="4458" customFormat="false" ht="15" hidden="false" customHeight="true" outlineLevel="0" collapsed="false">
      <c r="A4458" s="184"/>
      <c r="B4458" s="184"/>
      <c r="C4458" s="184"/>
      <c r="D4458" s="184"/>
      <c r="E4458" s="184"/>
      <c r="F4458" s="184"/>
      <c r="G4458" s="184"/>
      <c r="H4458" s="184"/>
      <c r="I4458" s="184"/>
      <c r="J4458" s="184"/>
      <c r="K4458" s="184"/>
      <c r="L4458" s="184"/>
      <c r="M4458" s="184"/>
      <c r="N4458" s="184"/>
      <c r="O4458" s="184"/>
    </row>
    <row r="4459" customFormat="false" ht="15" hidden="false" customHeight="true" outlineLevel="0" collapsed="false">
      <c r="A4459" s="184"/>
      <c r="B4459" s="184"/>
      <c r="C4459" s="184"/>
      <c r="D4459" s="184"/>
      <c r="E4459" s="184"/>
      <c r="F4459" s="184"/>
      <c r="G4459" s="184"/>
      <c r="H4459" s="184"/>
      <c r="I4459" s="184"/>
      <c r="J4459" s="184"/>
      <c r="K4459" s="184"/>
      <c r="L4459" s="184"/>
      <c r="M4459" s="184"/>
      <c r="N4459" s="184"/>
      <c r="O4459" s="184"/>
    </row>
    <row r="4460" customFormat="false" ht="15" hidden="false" customHeight="true" outlineLevel="0" collapsed="false">
      <c r="A4460" s="184"/>
      <c r="B4460" s="184"/>
      <c r="C4460" s="184"/>
      <c r="D4460" s="184"/>
      <c r="E4460" s="184"/>
      <c r="F4460" s="184"/>
      <c r="G4460" s="184"/>
      <c r="H4460" s="184"/>
      <c r="I4460" s="184"/>
      <c r="J4460" s="184"/>
      <c r="K4460" s="184"/>
      <c r="L4460" s="184"/>
      <c r="M4460" s="184"/>
      <c r="N4460" s="184"/>
      <c r="O4460" s="184"/>
    </row>
    <row r="4461" customFormat="false" ht="15" hidden="false" customHeight="true" outlineLevel="0" collapsed="false">
      <c r="A4461" s="184"/>
      <c r="B4461" s="184"/>
      <c r="C4461" s="184"/>
      <c r="D4461" s="184"/>
      <c r="E4461" s="184"/>
      <c r="F4461" s="184"/>
      <c r="G4461" s="184"/>
      <c r="H4461" s="184"/>
      <c r="I4461" s="184"/>
      <c r="J4461" s="184"/>
      <c r="K4461" s="184"/>
      <c r="L4461" s="184"/>
      <c r="M4461" s="184"/>
      <c r="N4461" s="184"/>
      <c r="O4461" s="184"/>
    </row>
    <row r="4462" customFormat="false" ht="15" hidden="false" customHeight="true" outlineLevel="0" collapsed="false">
      <c r="A4462" s="184"/>
      <c r="B4462" s="184"/>
      <c r="C4462" s="184"/>
      <c r="D4462" s="184"/>
      <c r="E4462" s="184"/>
      <c r="F4462" s="184"/>
      <c r="G4462" s="184"/>
      <c r="H4462" s="184"/>
      <c r="I4462" s="184"/>
      <c r="J4462" s="184"/>
      <c r="K4462" s="184"/>
      <c r="L4462" s="184"/>
      <c r="M4462" s="184"/>
      <c r="N4462" s="184"/>
      <c r="O4462" s="184"/>
    </row>
    <row r="4463" customFormat="false" ht="15" hidden="false" customHeight="true" outlineLevel="0" collapsed="false">
      <c r="A4463" s="184"/>
      <c r="B4463" s="184"/>
      <c r="C4463" s="184"/>
      <c r="D4463" s="184"/>
      <c r="E4463" s="184"/>
      <c r="F4463" s="184"/>
      <c r="G4463" s="184"/>
      <c r="H4463" s="184"/>
      <c r="I4463" s="184"/>
      <c r="J4463" s="184"/>
      <c r="K4463" s="184"/>
      <c r="L4463" s="184"/>
      <c r="M4463" s="184"/>
      <c r="N4463" s="184"/>
      <c r="O4463" s="184"/>
    </row>
    <row r="4464" customFormat="false" ht="15" hidden="false" customHeight="true" outlineLevel="0" collapsed="false">
      <c r="A4464" s="184"/>
      <c r="B4464" s="184"/>
      <c r="C4464" s="184"/>
      <c r="D4464" s="184"/>
      <c r="E4464" s="184"/>
      <c r="F4464" s="184"/>
      <c r="G4464" s="184"/>
      <c r="H4464" s="184"/>
      <c r="I4464" s="184"/>
      <c r="J4464" s="184"/>
      <c r="K4464" s="184"/>
      <c r="L4464" s="184"/>
      <c r="M4464" s="184"/>
      <c r="N4464" s="184"/>
      <c r="O4464" s="184"/>
    </row>
    <row r="4465" customFormat="false" ht="15" hidden="false" customHeight="true" outlineLevel="0" collapsed="false">
      <c r="A4465" s="184"/>
      <c r="B4465" s="184"/>
      <c r="C4465" s="184"/>
      <c r="D4465" s="184"/>
      <c r="E4465" s="184"/>
      <c r="F4465" s="184"/>
      <c r="G4465" s="184"/>
      <c r="H4465" s="184"/>
      <c r="I4465" s="184"/>
      <c r="J4465" s="184"/>
      <c r="K4465" s="184"/>
      <c r="L4465" s="184"/>
      <c r="M4465" s="184"/>
      <c r="N4465" s="184"/>
      <c r="O4465" s="184"/>
    </row>
    <row r="4466" customFormat="false" ht="15" hidden="false" customHeight="true" outlineLevel="0" collapsed="false">
      <c r="A4466" s="184"/>
      <c r="B4466" s="184"/>
      <c r="C4466" s="184"/>
      <c r="D4466" s="184"/>
      <c r="E4466" s="184"/>
      <c r="F4466" s="184"/>
      <c r="G4466" s="184"/>
      <c r="H4466" s="184"/>
      <c r="I4466" s="184"/>
      <c r="J4466" s="184"/>
      <c r="K4466" s="184"/>
      <c r="L4466" s="184"/>
      <c r="M4466" s="184"/>
      <c r="N4466" s="184"/>
      <c r="O4466" s="184"/>
    </row>
    <row r="4467" customFormat="false" ht="15" hidden="false" customHeight="true" outlineLevel="0" collapsed="false">
      <c r="A4467" s="184"/>
      <c r="B4467" s="184"/>
      <c r="C4467" s="184"/>
      <c r="D4467" s="184"/>
      <c r="E4467" s="184"/>
      <c r="F4467" s="184"/>
      <c r="G4467" s="184"/>
      <c r="H4467" s="184"/>
      <c r="I4467" s="184"/>
      <c r="J4467" s="184"/>
      <c r="K4467" s="184"/>
      <c r="L4467" s="184"/>
      <c r="M4467" s="184"/>
      <c r="N4467" s="184"/>
      <c r="O4467" s="184"/>
    </row>
    <row r="4468" customFormat="false" ht="15" hidden="false" customHeight="true" outlineLevel="0" collapsed="false">
      <c r="A4468" s="184"/>
      <c r="B4468" s="184"/>
      <c r="C4468" s="184"/>
      <c r="D4468" s="184"/>
      <c r="E4468" s="184"/>
      <c r="F4468" s="184"/>
      <c r="G4468" s="184"/>
      <c r="H4468" s="184"/>
      <c r="I4468" s="184"/>
      <c r="J4468" s="184"/>
      <c r="K4468" s="184"/>
      <c r="L4468" s="184"/>
      <c r="M4468" s="184"/>
      <c r="N4468" s="184"/>
      <c r="O4468" s="184"/>
    </row>
    <row r="4469" customFormat="false" ht="15" hidden="false" customHeight="true" outlineLevel="0" collapsed="false">
      <c r="A4469" s="184"/>
      <c r="B4469" s="184"/>
      <c r="C4469" s="184"/>
      <c r="D4469" s="184"/>
      <c r="E4469" s="184"/>
      <c r="F4469" s="184"/>
      <c r="G4469" s="184"/>
      <c r="H4469" s="184"/>
      <c r="I4469" s="184"/>
      <c r="J4469" s="184"/>
      <c r="K4469" s="184"/>
      <c r="L4469" s="184"/>
      <c r="M4469" s="184"/>
      <c r="N4469" s="184"/>
      <c r="O4469" s="184"/>
    </row>
    <row r="4470" customFormat="false" ht="15" hidden="false" customHeight="true" outlineLevel="0" collapsed="false">
      <c r="A4470" s="184"/>
      <c r="B4470" s="184"/>
      <c r="C4470" s="184"/>
      <c r="D4470" s="184"/>
      <c r="E4470" s="184"/>
      <c r="F4470" s="184"/>
      <c r="G4470" s="184"/>
      <c r="H4470" s="184"/>
      <c r="I4470" s="184"/>
      <c r="J4470" s="184"/>
      <c r="K4470" s="184"/>
      <c r="L4470" s="184"/>
      <c r="M4470" s="184"/>
      <c r="N4470" s="184"/>
      <c r="O4470" s="184"/>
    </row>
    <row r="4471" customFormat="false" ht="15" hidden="false" customHeight="true" outlineLevel="0" collapsed="false">
      <c r="A4471" s="184"/>
      <c r="B4471" s="184"/>
      <c r="C4471" s="184"/>
      <c r="D4471" s="184"/>
      <c r="E4471" s="184"/>
      <c r="F4471" s="184"/>
      <c r="G4471" s="184"/>
      <c r="H4471" s="184"/>
      <c r="I4471" s="184"/>
      <c r="J4471" s="184"/>
      <c r="K4471" s="184"/>
      <c r="L4471" s="184"/>
      <c r="M4471" s="184"/>
      <c r="N4471" s="184"/>
      <c r="O4471" s="184"/>
    </row>
    <row r="4472" customFormat="false" ht="15" hidden="false" customHeight="true" outlineLevel="0" collapsed="false">
      <c r="A4472" s="184"/>
      <c r="B4472" s="184"/>
      <c r="C4472" s="184"/>
      <c r="D4472" s="184"/>
      <c r="E4472" s="184"/>
      <c r="F4472" s="184"/>
      <c r="G4472" s="184"/>
      <c r="H4472" s="184"/>
      <c r="I4472" s="184"/>
      <c r="J4472" s="184"/>
      <c r="K4472" s="184"/>
      <c r="L4472" s="184"/>
      <c r="M4472" s="184"/>
      <c r="N4472" s="184"/>
      <c r="O4472" s="184"/>
    </row>
    <row r="4473" customFormat="false" ht="15" hidden="false" customHeight="true" outlineLevel="0" collapsed="false">
      <c r="A4473" s="184"/>
      <c r="B4473" s="184"/>
      <c r="C4473" s="184"/>
      <c r="D4473" s="184"/>
      <c r="E4473" s="184"/>
      <c r="F4473" s="184"/>
      <c r="G4473" s="184"/>
      <c r="H4473" s="184"/>
      <c r="I4473" s="184"/>
      <c r="J4473" s="184"/>
      <c r="K4473" s="184"/>
      <c r="L4473" s="184"/>
      <c r="M4473" s="184"/>
      <c r="N4473" s="184"/>
      <c r="O4473" s="184"/>
    </row>
    <row r="4474" customFormat="false" ht="15" hidden="false" customHeight="true" outlineLevel="0" collapsed="false">
      <c r="A4474" s="184"/>
      <c r="B4474" s="184"/>
      <c r="C4474" s="184"/>
      <c r="D4474" s="184"/>
      <c r="E4474" s="184"/>
      <c r="F4474" s="184"/>
      <c r="G4474" s="184"/>
      <c r="H4474" s="184"/>
      <c r="I4474" s="184"/>
      <c r="J4474" s="184"/>
      <c r="K4474" s="184"/>
      <c r="L4474" s="184"/>
      <c r="M4474" s="184"/>
      <c r="N4474" s="184"/>
      <c r="O4474" s="184"/>
    </row>
    <row r="4475" customFormat="false" ht="27.75" hidden="false" customHeight="true" outlineLevel="0" collapsed="false">
      <c r="A4475" s="184" t="s">
        <v>4996</v>
      </c>
      <c r="B4475" s="184" t="s">
        <v>4997</v>
      </c>
      <c r="C4475" s="184"/>
      <c r="D4475" s="179" t="s">
        <v>4858</v>
      </c>
      <c r="E4475" s="184" t="s">
        <v>7219</v>
      </c>
      <c r="F4475" s="184"/>
      <c r="G4475" s="184"/>
      <c r="H4475" s="184"/>
      <c r="I4475" s="184"/>
      <c r="J4475" s="184"/>
      <c r="K4475" s="184"/>
      <c r="L4475" s="184"/>
      <c r="M4475" s="184" t="s">
        <v>7220</v>
      </c>
      <c r="N4475" s="184"/>
      <c r="O4475" s="184"/>
    </row>
    <row r="4476" customFormat="false" ht="27.75" hidden="false" customHeight="true" outlineLevel="0" collapsed="false">
      <c r="A4476" s="184" t="s">
        <v>4996</v>
      </c>
      <c r="B4476" s="184" t="s">
        <v>4997</v>
      </c>
      <c r="C4476" s="184" t="n">
        <v>1</v>
      </c>
      <c r="D4476" s="178" t="s">
        <v>5269</v>
      </c>
      <c r="E4476" s="184" t="s">
        <v>6289</v>
      </c>
      <c r="F4476" s="184"/>
      <c r="G4476" s="184"/>
      <c r="H4476" s="184"/>
      <c r="I4476" s="184"/>
      <c r="J4476" s="184"/>
      <c r="K4476" s="184"/>
      <c r="L4476" s="184"/>
      <c r="M4476" s="184" t="s">
        <v>6859</v>
      </c>
      <c r="N4476" s="184"/>
      <c r="O4476" s="184"/>
    </row>
    <row r="4477" customFormat="false" ht="27.75" hidden="false" customHeight="true" outlineLevel="0" collapsed="false">
      <c r="A4477" s="184" t="s">
        <v>4996</v>
      </c>
      <c r="B4477" s="184" t="s">
        <v>4997</v>
      </c>
      <c r="C4477" s="184" t="n">
        <v>2</v>
      </c>
      <c r="D4477" s="177" t="s">
        <v>6429</v>
      </c>
      <c r="E4477" s="184" t="s">
        <v>6860</v>
      </c>
      <c r="F4477" s="184"/>
      <c r="G4477" s="184"/>
      <c r="H4477" s="184"/>
      <c r="I4477" s="184"/>
      <c r="J4477" s="184"/>
      <c r="K4477" s="184"/>
      <c r="L4477" s="184"/>
      <c r="M4477" s="184"/>
      <c r="N4477" s="184"/>
      <c r="O4477" s="184"/>
    </row>
    <row r="4478" customFormat="false" ht="27.75" hidden="false" customHeight="true" outlineLevel="0" collapsed="false">
      <c r="A4478" s="184" t="s">
        <v>4996</v>
      </c>
      <c r="B4478" s="184" t="s">
        <v>4997</v>
      </c>
      <c r="C4478" s="184" t="n">
        <v>3</v>
      </c>
      <c r="D4478" s="179" t="s">
        <v>6292</v>
      </c>
      <c r="E4478" s="184" t="s">
        <v>3448</v>
      </c>
      <c r="F4478" s="184"/>
      <c r="G4478" s="184"/>
      <c r="H4478" s="184"/>
      <c r="I4478" s="184"/>
      <c r="J4478" s="184"/>
      <c r="K4478" s="184"/>
      <c r="L4478" s="184"/>
      <c r="M4478" s="184"/>
      <c r="N4478" s="184"/>
      <c r="O4478" s="184"/>
    </row>
    <row r="4479" customFormat="false" ht="27.75" hidden="false" customHeight="true" outlineLevel="0" collapsed="false">
      <c r="A4479" s="184" t="s">
        <v>4996</v>
      </c>
      <c r="B4479" s="184" t="s">
        <v>4997</v>
      </c>
      <c r="C4479" s="184" t="n">
        <v>4</v>
      </c>
      <c r="D4479" s="184" t="s">
        <v>6294</v>
      </c>
      <c r="E4479" s="184" t="s">
        <v>6861</v>
      </c>
      <c r="F4479" s="184"/>
      <c r="G4479" s="184"/>
      <c r="H4479" s="184"/>
      <c r="I4479" s="184"/>
      <c r="J4479" s="184"/>
      <c r="K4479" s="184"/>
      <c r="L4479" s="184"/>
      <c r="M4479" s="184"/>
      <c r="N4479" s="184"/>
      <c r="O4479" s="184"/>
    </row>
    <row r="4480" customFormat="false" ht="27.75" hidden="false" customHeight="true" outlineLevel="0" collapsed="false">
      <c r="A4480" s="184" t="s">
        <v>4996</v>
      </c>
      <c r="B4480" s="184" t="s">
        <v>4997</v>
      </c>
      <c r="C4480" s="184" t="n">
        <v>5</v>
      </c>
      <c r="D4480" s="179" t="s">
        <v>6292</v>
      </c>
      <c r="E4480" s="184" t="s">
        <v>7221</v>
      </c>
      <c r="F4480" s="184"/>
      <c r="G4480" s="184"/>
      <c r="H4480" s="184"/>
      <c r="I4480" s="184"/>
      <c r="J4480" s="184"/>
      <c r="K4480" s="184"/>
      <c r="L4480" s="184"/>
      <c r="M4480" s="184"/>
      <c r="N4480" s="184"/>
      <c r="O4480" s="184"/>
    </row>
    <row r="4481" customFormat="false" ht="27.75" hidden="false" customHeight="true" outlineLevel="0" collapsed="false">
      <c r="A4481" s="184" t="s">
        <v>4996</v>
      </c>
      <c r="B4481" s="184" t="s">
        <v>4997</v>
      </c>
      <c r="C4481" s="184" t="n">
        <v>6</v>
      </c>
      <c r="D4481" s="177" t="s">
        <v>6298</v>
      </c>
      <c r="E4481" s="184" t="s">
        <v>6863</v>
      </c>
      <c r="F4481" s="184"/>
      <c r="G4481" s="184"/>
      <c r="H4481" s="184"/>
      <c r="I4481" s="184"/>
      <c r="J4481" s="184"/>
      <c r="K4481" s="184"/>
      <c r="L4481" s="184"/>
      <c r="M4481" s="184"/>
      <c r="N4481" s="184"/>
      <c r="O4481" s="184"/>
    </row>
    <row r="4482" customFormat="false" ht="27.75" hidden="false" customHeight="true" outlineLevel="0" collapsed="false">
      <c r="A4482" s="184" t="s">
        <v>4996</v>
      </c>
      <c r="B4482" s="184" t="s">
        <v>4997</v>
      </c>
      <c r="C4482" s="184" t="n">
        <v>7</v>
      </c>
      <c r="D4482" s="177" t="s">
        <v>6298</v>
      </c>
      <c r="E4482" s="184" t="s">
        <v>7222</v>
      </c>
      <c r="F4482" s="184"/>
      <c r="G4482" s="184"/>
      <c r="H4482" s="184"/>
      <c r="I4482" s="184"/>
      <c r="J4482" s="184"/>
      <c r="K4482" s="184"/>
      <c r="L4482" s="184"/>
      <c r="M4482" s="184"/>
      <c r="N4482" s="184"/>
      <c r="O4482" s="184"/>
    </row>
    <row r="4483" customFormat="false" ht="54.75" hidden="false" customHeight="true" outlineLevel="0" collapsed="false">
      <c r="A4483" s="184" t="s">
        <v>4996</v>
      </c>
      <c r="B4483" s="184" t="s">
        <v>4997</v>
      </c>
      <c r="C4483" s="184" t="n">
        <v>8</v>
      </c>
      <c r="D4483" s="174" t="s">
        <v>4846</v>
      </c>
      <c r="E4483" s="184" t="s">
        <v>784</v>
      </c>
      <c r="F4483" s="184" t="s">
        <v>715</v>
      </c>
      <c r="G4483" s="184"/>
      <c r="H4483" s="184"/>
      <c r="I4483" s="184"/>
      <c r="J4483" s="184" t="s">
        <v>5720</v>
      </c>
      <c r="K4483" s="184" t="s">
        <v>6333</v>
      </c>
      <c r="L4483" s="184"/>
      <c r="M4483" s="184" t="s">
        <v>6392</v>
      </c>
      <c r="N4483" s="184"/>
      <c r="O4483" s="184"/>
    </row>
    <row r="4484" customFormat="false" ht="54.75" hidden="false" customHeight="true" outlineLevel="0" collapsed="false">
      <c r="A4484" s="184" t="s">
        <v>4996</v>
      </c>
      <c r="B4484" s="184" t="s">
        <v>4997</v>
      </c>
      <c r="C4484" s="184" t="n">
        <v>9</v>
      </c>
      <c r="D4484" s="174" t="s">
        <v>4846</v>
      </c>
      <c r="E4484" s="184" t="s">
        <v>5837</v>
      </c>
      <c r="F4484" s="184" t="s">
        <v>715</v>
      </c>
      <c r="G4484" s="184"/>
      <c r="H4484" s="184"/>
      <c r="I4484" s="184"/>
      <c r="J4484" s="184" t="s">
        <v>6396</v>
      </c>
      <c r="K4484" s="184" t="s">
        <v>6333</v>
      </c>
      <c r="L4484" s="184"/>
      <c r="M4484" s="184" t="s">
        <v>5839</v>
      </c>
      <c r="N4484" s="184"/>
      <c r="O4484" s="184"/>
    </row>
    <row r="4485" customFormat="false" ht="54.75" hidden="false" customHeight="true" outlineLevel="0" collapsed="false">
      <c r="A4485" s="184" t="s">
        <v>4996</v>
      </c>
      <c r="B4485" s="184" t="s">
        <v>4997</v>
      </c>
      <c r="C4485" s="184" t="n">
        <v>10</v>
      </c>
      <c r="D4485" s="174" t="s">
        <v>4848</v>
      </c>
      <c r="E4485" s="184"/>
      <c r="F4485" s="184"/>
      <c r="G4485" s="184"/>
      <c r="H4485" s="184"/>
      <c r="I4485" s="184"/>
      <c r="J4485" s="184" t="s">
        <v>6301</v>
      </c>
      <c r="K4485" s="184"/>
      <c r="L4485" s="184" t="s">
        <v>6302</v>
      </c>
      <c r="M4485" s="184" t="s">
        <v>6303</v>
      </c>
      <c r="N4485" s="184"/>
      <c r="O4485" s="184"/>
    </row>
    <row r="4486" customFormat="false" ht="27.75" hidden="false" customHeight="true" outlineLevel="0" collapsed="false">
      <c r="A4486" s="184" t="s">
        <v>4996</v>
      </c>
      <c r="B4486" s="184" t="s">
        <v>4997</v>
      </c>
      <c r="C4486" s="184" t="n">
        <v>11</v>
      </c>
      <c r="D4486" s="179" t="s">
        <v>6300</v>
      </c>
      <c r="E4486" s="184" t="s">
        <v>6865</v>
      </c>
      <c r="F4486" s="184"/>
      <c r="G4486" s="184"/>
      <c r="H4486" s="184"/>
      <c r="I4486" s="184"/>
      <c r="J4486" s="184"/>
      <c r="K4486" s="184"/>
      <c r="L4486" s="184"/>
      <c r="M4486" s="184"/>
      <c r="N4486" s="184"/>
      <c r="O4486" s="184"/>
    </row>
    <row r="4487" customFormat="false" ht="68.25" hidden="false" customHeight="true" outlineLevel="0" collapsed="false">
      <c r="A4487" s="184" t="s">
        <v>4996</v>
      </c>
      <c r="B4487" s="184" t="s">
        <v>4997</v>
      </c>
      <c r="C4487" s="184" t="n">
        <v>12</v>
      </c>
      <c r="D4487" s="177" t="s">
        <v>6298</v>
      </c>
      <c r="E4487" s="184" t="s">
        <v>6866</v>
      </c>
      <c r="F4487" s="184"/>
      <c r="G4487" s="184"/>
      <c r="H4487" s="184"/>
      <c r="I4487" s="184"/>
      <c r="J4487" s="184"/>
      <c r="K4487" s="184"/>
      <c r="L4487" s="184"/>
      <c r="M4487" s="184"/>
      <c r="N4487" s="184"/>
      <c r="O4487" s="184"/>
    </row>
    <row r="4488" customFormat="false" ht="175.5" hidden="false" customHeight="true" outlineLevel="0" collapsed="false">
      <c r="A4488" s="184" t="s">
        <v>4996</v>
      </c>
      <c r="B4488" s="184" t="s">
        <v>4997</v>
      </c>
      <c r="C4488" s="184" t="n">
        <v>13</v>
      </c>
      <c r="D4488" s="174" t="s">
        <v>4846</v>
      </c>
      <c r="E4488" s="184" t="s">
        <v>6307</v>
      </c>
      <c r="F4488" s="184" t="s">
        <v>238</v>
      </c>
      <c r="G4488" s="184"/>
      <c r="H4488" s="184"/>
      <c r="I4488" s="184"/>
      <c r="J4488" s="184" t="s">
        <v>6308</v>
      </c>
      <c r="K4488" s="184" t="s">
        <v>5568</v>
      </c>
      <c r="L4488" s="184"/>
      <c r="M4488" s="184" t="s">
        <v>6309</v>
      </c>
      <c r="N4488" s="184"/>
      <c r="O4488" s="184"/>
    </row>
    <row r="4489" customFormat="false" ht="122.25" hidden="false" customHeight="true" outlineLevel="0" collapsed="false">
      <c r="A4489" s="184" t="s">
        <v>4996</v>
      </c>
      <c r="B4489" s="184" t="s">
        <v>4997</v>
      </c>
      <c r="C4489" s="184" t="n">
        <v>14</v>
      </c>
      <c r="D4489" s="174" t="s">
        <v>4846</v>
      </c>
      <c r="E4489" s="184" t="s">
        <v>6310</v>
      </c>
      <c r="F4489" s="184" t="s">
        <v>238</v>
      </c>
      <c r="G4489" s="184"/>
      <c r="H4489" s="184"/>
      <c r="I4489" s="184"/>
      <c r="J4489" s="184" t="s">
        <v>6311</v>
      </c>
      <c r="K4489" s="184" t="s">
        <v>5568</v>
      </c>
      <c r="L4489" s="184"/>
      <c r="M4489" s="184" t="s">
        <v>6312</v>
      </c>
      <c r="N4489" s="184"/>
      <c r="O4489" s="184"/>
    </row>
    <row r="4490" customFormat="false" ht="81.75" hidden="false" customHeight="true" outlineLevel="0" collapsed="false">
      <c r="A4490" s="184" t="s">
        <v>4996</v>
      </c>
      <c r="B4490" s="184" t="s">
        <v>4997</v>
      </c>
      <c r="C4490" s="184" t="n">
        <v>15</v>
      </c>
      <c r="D4490" s="174" t="s">
        <v>4846</v>
      </c>
      <c r="E4490" s="184" t="s">
        <v>6313</v>
      </c>
      <c r="F4490" s="184" t="s">
        <v>238</v>
      </c>
      <c r="G4490" s="184"/>
      <c r="H4490" s="184"/>
      <c r="I4490" s="184"/>
      <c r="J4490" s="184" t="s">
        <v>6314</v>
      </c>
      <c r="K4490" s="184" t="s">
        <v>5568</v>
      </c>
      <c r="L4490" s="184"/>
      <c r="M4490" s="184" t="s">
        <v>6315</v>
      </c>
      <c r="N4490" s="184"/>
      <c r="O4490" s="184"/>
    </row>
    <row r="4491" customFormat="false" ht="108.75" hidden="false" customHeight="true" outlineLevel="0" collapsed="false">
      <c r="A4491" s="184" t="s">
        <v>4996</v>
      </c>
      <c r="B4491" s="184" t="s">
        <v>4997</v>
      </c>
      <c r="C4491" s="184" t="n">
        <v>16</v>
      </c>
      <c r="D4491" s="174" t="s">
        <v>4846</v>
      </c>
      <c r="E4491" s="184" t="s">
        <v>6316</v>
      </c>
      <c r="F4491" s="184" t="s">
        <v>238</v>
      </c>
      <c r="G4491" s="184"/>
      <c r="H4491" s="184"/>
      <c r="I4491" s="184"/>
      <c r="J4491" s="184" t="s">
        <v>6317</v>
      </c>
      <c r="K4491" s="184" t="s">
        <v>5568</v>
      </c>
      <c r="L4491" s="184"/>
      <c r="M4491" s="184" t="s">
        <v>6318</v>
      </c>
      <c r="N4491" s="184"/>
      <c r="O4491" s="184"/>
    </row>
    <row r="4492" customFormat="false" ht="108.75" hidden="false" customHeight="true" outlineLevel="0" collapsed="false">
      <c r="A4492" s="184" t="s">
        <v>4996</v>
      </c>
      <c r="B4492" s="184" t="s">
        <v>4997</v>
      </c>
      <c r="C4492" s="184" t="n">
        <v>17</v>
      </c>
      <c r="D4492" s="174" t="s">
        <v>4846</v>
      </c>
      <c r="E4492" s="184" t="s">
        <v>6319</v>
      </c>
      <c r="F4492" s="184" t="s">
        <v>238</v>
      </c>
      <c r="G4492" s="184"/>
      <c r="H4492" s="184"/>
      <c r="I4492" s="184"/>
      <c r="J4492" s="184" t="s">
        <v>6320</v>
      </c>
      <c r="K4492" s="184" t="s">
        <v>5568</v>
      </c>
      <c r="L4492" s="184"/>
      <c r="M4492" s="184" t="s">
        <v>6321</v>
      </c>
      <c r="N4492" s="184"/>
      <c r="O4492" s="184"/>
    </row>
    <row r="4493" customFormat="false" ht="68.25" hidden="false" customHeight="true" outlineLevel="0" collapsed="false">
      <c r="A4493" s="184" t="s">
        <v>4996</v>
      </c>
      <c r="B4493" s="184" t="s">
        <v>4997</v>
      </c>
      <c r="C4493" s="184" t="n">
        <v>18</v>
      </c>
      <c r="D4493" s="174" t="s">
        <v>4846</v>
      </c>
      <c r="E4493" s="184" t="s">
        <v>6322</v>
      </c>
      <c r="F4493" s="184" t="s">
        <v>238</v>
      </c>
      <c r="G4493" s="184"/>
      <c r="H4493" s="184"/>
      <c r="I4493" s="184"/>
      <c r="J4493" s="184" t="s">
        <v>6314</v>
      </c>
      <c r="K4493" s="184" t="s">
        <v>6323</v>
      </c>
      <c r="L4493" s="184"/>
      <c r="M4493" s="184" t="s">
        <v>6324</v>
      </c>
      <c r="N4493" s="184"/>
      <c r="O4493" s="184"/>
    </row>
    <row r="4494" customFormat="false" ht="81.75" hidden="false" customHeight="true" outlineLevel="0" collapsed="false">
      <c r="A4494" s="184" t="s">
        <v>4996</v>
      </c>
      <c r="B4494" s="184" t="s">
        <v>4997</v>
      </c>
      <c r="C4494" s="184" t="n">
        <v>19</v>
      </c>
      <c r="D4494" s="174" t="s">
        <v>4846</v>
      </c>
      <c r="E4494" s="184" t="s">
        <v>1434</v>
      </c>
      <c r="F4494" s="184" t="s">
        <v>238</v>
      </c>
      <c r="G4494" s="184"/>
      <c r="H4494" s="184"/>
      <c r="I4494" s="184"/>
      <c r="J4494" s="184" t="s">
        <v>6325</v>
      </c>
      <c r="K4494" s="184" t="s">
        <v>5568</v>
      </c>
      <c r="L4494" s="184"/>
      <c r="M4494" s="184" t="s">
        <v>5673</v>
      </c>
      <c r="N4494" s="184"/>
      <c r="O4494" s="184"/>
    </row>
    <row r="4495" customFormat="false" ht="108.75" hidden="false" customHeight="true" outlineLevel="0" collapsed="false">
      <c r="A4495" s="184" t="s">
        <v>4996</v>
      </c>
      <c r="B4495" s="184" t="s">
        <v>4997</v>
      </c>
      <c r="C4495" s="184" t="n">
        <v>20</v>
      </c>
      <c r="D4495" s="174" t="s">
        <v>4848</v>
      </c>
      <c r="E4495" s="184" t="s">
        <v>1789</v>
      </c>
      <c r="F4495" s="184"/>
      <c r="G4495" s="184"/>
      <c r="H4495" s="184"/>
      <c r="I4495" s="184"/>
      <c r="J4495" s="184" t="s">
        <v>6326</v>
      </c>
      <c r="K4495" s="184" t="s">
        <v>5568</v>
      </c>
      <c r="L4495" s="184" t="s">
        <v>6327</v>
      </c>
      <c r="M4495" s="184" t="s">
        <v>6328</v>
      </c>
      <c r="N4495" s="184"/>
      <c r="O4495" s="184"/>
    </row>
    <row r="4496" customFormat="false" ht="108.75" hidden="false" customHeight="true" outlineLevel="0" collapsed="false">
      <c r="A4496" s="184" t="s">
        <v>4996</v>
      </c>
      <c r="B4496" s="184" t="s">
        <v>4997</v>
      </c>
      <c r="C4496" s="184" t="n">
        <v>21</v>
      </c>
      <c r="D4496" s="174" t="s">
        <v>4846</v>
      </c>
      <c r="E4496" s="184" t="s">
        <v>5459</v>
      </c>
      <c r="F4496" s="184" t="s">
        <v>238</v>
      </c>
      <c r="G4496" s="184"/>
      <c r="H4496" s="184"/>
      <c r="I4496" s="184"/>
      <c r="J4496" s="184" t="s">
        <v>6325</v>
      </c>
      <c r="K4496" s="184" t="s">
        <v>5568</v>
      </c>
      <c r="L4496" s="184"/>
      <c r="M4496" s="184" t="s">
        <v>5462</v>
      </c>
      <c r="N4496" s="184"/>
      <c r="O4496" s="184"/>
    </row>
    <row r="4497" customFormat="false" ht="81.75" hidden="false" customHeight="true" outlineLevel="0" collapsed="false">
      <c r="A4497" s="184" t="s">
        <v>4996</v>
      </c>
      <c r="B4497" s="184" t="s">
        <v>4997</v>
      </c>
      <c r="C4497" s="184" t="n">
        <v>22</v>
      </c>
      <c r="D4497" s="174" t="s">
        <v>4846</v>
      </c>
      <c r="E4497" s="184" t="s">
        <v>6329</v>
      </c>
      <c r="F4497" s="184" t="s">
        <v>238</v>
      </c>
      <c r="G4497" s="184"/>
      <c r="H4497" s="184"/>
      <c r="I4497" s="184"/>
      <c r="J4497" s="184" t="s">
        <v>6330</v>
      </c>
      <c r="K4497" s="184" t="s">
        <v>5568</v>
      </c>
      <c r="L4497" s="184"/>
      <c r="M4497" s="184" t="s">
        <v>6331</v>
      </c>
      <c r="N4497" s="184"/>
      <c r="O4497" s="184"/>
    </row>
    <row r="4498" customFormat="false" ht="68.25" hidden="false" customHeight="true" outlineLevel="0" collapsed="false">
      <c r="A4498" s="184" t="s">
        <v>4996</v>
      </c>
      <c r="B4498" s="184" t="s">
        <v>4997</v>
      </c>
      <c r="C4498" s="184" t="n">
        <v>23</v>
      </c>
      <c r="D4498" s="174" t="s">
        <v>4846</v>
      </c>
      <c r="E4498" s="184" t="s">
        <v>5463</v>
      </c>
      <c r="F4498" s="184" t="s">
        <v>238</v>
      </c>
      <c r="G4498" s="184"/>
      <c r="H4498" s="184"/>
      <c r="I4498" s="184"/>
      <c r="J4498" s="184" t="s">
        <v>6314</v>
      </c>
      <c r="K4498" s="184" t="s">
        <v>5568</v>
      </c>
      <c r="L4498" s="184"/>
      <c r="M4498" s="184" t="s">
        <v>5466</v>
      </c>
      <c r="N4498" s="184"/>
      <c r="O4498" s="184"/>
    </row>
    <row r="4499" customFormat="false" ht="41.25" hidden="false" customHeight="true" outlineLevel="0" collapsed="false">
      <c r="A4499" s="184" t="s">
        <v>4996</v>
      </c>
      <c r="B4499" s="184" t="s">
        <v>4997</v>
      </c>
      <c r="C4499" s="184" t="n">
        <v>24</v>
      </c>
      <c r="D4499" s="174" t="s">
        <v>4846</v>
      </c>
      <c r="E4499" s="184" t="s">
        <v>5228</v>
      </c>
      <c r="F4499" s="184" t="s">
        <v>227</v>
      </c>
      <c r="G4499" s="184"/>
      <c r="H4499" s="184"/>
      <c r="I4499" s="184"/>
      <c r="J4499" s="184" t="s">
        <v>6332</v>
      </c>
      <c r="K4499" s="184" t="s">
        <v>6333</v>
      </c>
      <c r="L4499" s="184"/>
      <c r="M4499" s="184" t="s">
        <v>5230</v>
      </c>
      <c r="N4499" s="184"/>
      <c r="O4499" s="184"/>
    </row>
    <row r="4500" customFormat="false" ht="41.25" hidden="false" customHeight="true" outlineLevel="0" collapsed="false">
      <c r="A4500" s="184" t="s">
        <v>4996</v>
      </c>
      <c r="B4500" s="184" t="s">
        <v>4997</v>
      </c>
      <c r="C4500" s="184" t="n">
        <v>25</v>
      </c>
      <c r="D4500" s="174" t="s">
        <v>4846</v>
      </c>
      <c r="E4500" s="184" t="s">
        <v>5467</v>
      </c>
      <c r="F4500" s="184" t="s">
        <v>238</v>
      </c>
      <c r="G4500" s="184"/>
      <c r="H4500" s="184"/>
      <c r="I4500" s="184"/>
      <c r="J4500" s="184" t="s">
        <v>6314</v>
      </c>
      <c r="K4500" s="184" t="s">
        <v>6333</v>
      </c>
      <c r="L4500" s="184" t="s">
        <v>5469</v>
      </c>
      <c r="M4500" s="184" t="s">
        <v>6334</v>
      </c>
      <c r="N4500" s="184"/>
      <c r="O4500" s="184"/>
    </row>
    <row r="4501" customFormat="false" ht="68.25" hidden="false" customHeight="true" outlineLevel="0" collapsed="false">
      <c r="A4501" s="184" t="s">
        <v>4996</v>
      </c>
      <c r="B4501" s="184" t="s">
        <v>4997</v>
      </c>
      <c r="C4501" s="184" t="n">
        <v>26</v>
      </c>
      <c r="D4501" s="174" t="s">
        <v>4846</v>
      </c>
      <c r="E4501" s="184" t="s">
        <v>5864</v>
      </c>
      <c r="F4501" s="184" t="s">
        <v>238</v>
      </c>
      <c r="G4501" s="184"/>
      <c r="H4501" s="184"/>
      <c r="I4501" s="184"/>
      <c r="J4501" s="184" t="s">
        <v>6330</v>
      </c>
      <c r="K4501" s="184" t="s">
        <v>5568</v>
      </c>
      <c r="L4501" s="184"/>
      <c r="M4501" s="184" t="s">
        <v>5867</v>
      </c>
      <c r="N4501" s="184"/>
      <c r="O4501" s="184"/>
    </row>
    <row r="4502" customFormat="false" ht="68.25" hidden="false" customHeight="true" outlineLevel="0" collapsed="false">
      <c r="A4502" s="184" t="s">
        <v>4996</v>
      </c>
      <c r="B4502" s="184" t="s">
        <v>4997</v>
      </c>
      <c r="C4502" s="184" t="n">
        <v>27</v>
      </c>
      <c r="D4502" s="174" t="s">
        <v>4846</v>
      </c>
      <c r="E4502" s="184" t="s">
        <v>5868</v>
      </c>
      <c r="F4502" s="184" t="s">
        <v>238</v>
      </c>
      <c r="G4502" s="184"/>
      <c r="H4502" s="184"/>
      <c r="I4502" s="184"/>
      <c r="J4502" s="184" t="s">
        <v>6335</v>
      </c>
      <c r="K4502" s="184" t="s">
        <v>5568</v>
      </c>
      <c r="L4502" s="184"/>
      <c r="M4502" s="184" t="s">
        <v>5871</v>
      </c>
      <c r="N4502" s="184"/>
      <c r="O4502" s="184"/>
    </row>
    <row r="4503" customFormat="false" ht="68.25" hidden="false" customHeight="true" outlineLevel="0" collapsed="false">
      <c r="A4503" s="184" t="s">
        <v>4996</v>
      </c>
      <c r="B4503" s="184" t="s">
        <v>4997</v>
      </c>
      <c r="C4503" s="184" t="n">
        <v>28</v>
      </c>
      <c r="D4503" s="174" t="s">
        <v>4846</v>
      </c>
      <c r="E4503" s="184" t="s">
        <v>5872</v>
      </c>
      <c r="F4503" s="184" t="s">
        <v>238</v>
      </c>
      <c r="G4503" s="184"/>
      <c r="H4503" s="184"/>
      <c r="I4503" s="184"/>
      <c r="J4503" s="184" t="s">
        <v>6336</v>
      </c>
      <c r="K4503" s="184" t="s">
        <v>5568</v>
      </c>
      <c r="L4503" s="184"/>
      <c r="M4503" s="184" t="s">
        <v>5875</v>
      </c>
      <c r="N4503" s="184"/>
      <c r="O4503" s="184"/>
    </row>
    <row r="4504" customFormat="false" ht="54.75" hidden="false" customHeight="true" outlineLevel="0" collapsed="false">
      <c r="A4504" s="184" t="s">
        <v>4996</v>
      </c>
      <c r="B4504" s="184" t="s">
        <v>4997</v>
      </c>
      <c r="C4504" s="184" t="n">
        <v>29</v>
      </c>
      <c r="D4504" s="174" t="s">
        <v>4846</v>
      </c>
      <c r="E4504" s="184" t="s">
        <v>5963</v>
      </c>
      <c r="F4504" s="184" t="s">
        <v>238</v>
      </c>
      <c r="G4504" s="184"/>
      <c r="H4504" s="184"/>
      <c r="I4504" s="184"/>
      <c r="J4504" s="184" t="s">
        <v>6311</v>
      </c>
      <c r="K4504" s="184" t="s">
        <v>5568</v>
      </c>
      <c r="L4504" s="184"/>
      <c r="M4504" s="184" t="s">
        <v>5966</v>
      </c>
      <c r="N4504" s="184"/>
      <c r="O4504" s="184"/>
    </row>
    <row r="4505" customFormat="false" ht="54.75" hidden="false" customHeight="true" outlineLevel="0" collapsed="false">
      <c r="A4505" s="184" t="s">
        <v>4996</v>
      </c>
      <c r="B4505" s="184" t="s">
        <v>4997</v>
      </c>
      <c r="C4505" s="184" t="n">
        <v>30</v>
      </c>
      <c r="D4505" s="174" t="s">
        <v>4846</v>
      </c>
      <c r="E4505" s="184" t="s">
        <v>5967</v>
      </c>
      <c r="F4505" s="184" t="s">
        <v>238</v>
      </c>
      <c r="G4505" s="184"/>
      <c r="H4505" s="184"/>
      <c r="I4505" s="184"/>
      <c r="J4505" s="184" t="s">
        <v>6337</v>
      </c>
      <c r="K4505" s="184" t="s">
        <v>5568</v>
      </c>
      <c r="L4505" s="184"/>
      <c r="M4505" s="184" t="s">
        <v>5970</v>
      </c>
      <c r="N4505" s="184"/>
      <c r="O4505" s="184"/>
    </row>
    <row r="4506" customFormat="false" ht="54.75" hidden="false" customHeight="true" outlineLevel="0" collapsed="false">
      <c r="A4506" s="184" t="s">
        <v>4996</v>
      </c>
      <c r="B4506" s="184" t="s">
        <v>4997</v>
      </c>
      <c r="C4506" s="184" t="n">
        <v>31</v>
      </c>
      <c r="D4506" s="174" t="s">
        <v>4846</v>
      </c>
      <c r="E4506" s="184" t="s">
        <v>5971</v>
      </c>
      <c r="F4506" s="184" t="s">
        <v>238</v>
      </c>
      <c r="G4506" s="184"/>
      <c r="H4506" s="184"/>
      <c r="I4506" s="184"/>
      <c r="J4506" s="184" t="s">
        <v>6338</v>
      </c>
      <c r="K4506" s="184" t="s">
        <v>5568</v>
      </c>
      <c r="L4506" s="184"/>
      <c r="M4506" s="184" t="s">
        <v>5974</v>
      </c>
      <c r="N4506" s="184"/>
      <c r="O4506" s="184"/>
    </row>
    <row r="4507" customFormat="false" ht="81.75" hidden="false" customHeight="true" outlineLevel="0" collapsed="false">
      <c r="A4507" s="184" t="s">
        <v>4996</v>
      </c>
      <c r="B4507" s="184" t="s">
        <v>4997</v>
      </c>
      <c r="C4507" s="184" t="n">
        <v>32</v>
      </c>
      <c r="D4507" s="174" t="s">
        <v>4848</v>
      </c>
      <c r="E4507" s="184" t="s">
        <v>1790</v>
      </c>
      <c r="F4507" s="184"/>
      <c r="G4507" s="184"/>
      <c r="H4507" s="184"/>
      <c r="I4507" s="184"/>
      <c r="J4507" s="184" t="s">
        <v>6339</v>
      </c>
      <c r="K4507" s="184" t="s">
        <v>5568</v>
      </c>
      <c r="L4507" s="184" t="s">
        <v>6340</v>
      </c>
      <c r="M4507" s="184" t="s">
        <v>6341</v>
      </c>
      <c r="N4507" s="184"/>
      <c r="O4507" s="184"/>
    </row>
    <row r="4508" customFormat="false" ht="54.75" hidden="false" customHeight="true" outlineLevel="0" collapsed="false">
      <c r="A4508" s="184" t="s">
        <v>4996</v>
      </c>
      <c r="B4508" s="184" t="s">
        <v>4997</v>
      </c>
      <c r="C4508" s="184" t="n">
        <v>33</v>
      </c>
      <c r="D4508" s="174" t="s">
        <v>4846</v>
      </c>
      <c r="E4508" s="184" t="s">
        <v>6342</v>
      </c>
      <c r="F4508" s="184" t="s">
        <v>5221</v>
      </c>
      <c r="G4508" s="184"/>
      <c r="H4508" s="184"/>
      <c r="I4508" s="184"/>
      <c r="J4508" s="184"/>
      <c r="K4508" s="184" t="s">
        <v>6343</v>
      </c>
      <c r="L4508" s="184"/>
      <c r="M4508" s="184" t="s">
        <v>6344</v>
      </c>
      <c r="N4508" s="184"/>
      <c r="O4508" s="184"/>
    </row>
    <row r="4509" customFormat="false" ht="81.75" hidden="false" customHeight="true" outlineLevel="0" collapsed="false">
      <c r="A4509" s="184" t="s">
        <v>4996</v>
      </c>
      <c r="B4509" s="184" t="s">
        <v>4997</v>
      </c>
      <c r="C4509" s="184" t="n">
        <v>34</v>
      </c>
      <c r="D4509" s="174" t="s">
        <v>4846</v>
      </c>
      <c r="E4509" s="184" t="s">
        <v>6345</v>
      </c>
      <c r="F4509" s="184" t="s">
        <v>227</v>
      </c>
      <c r="G4509" s="184"/>
      <c r="H4509" s="184"/>
      <c r="I4509" s="184"/>
      <c r="J4509" s="184" t="s">
        <v>6346</v>
      </c>
      <c r="K4509" s="184" t="s">
        <v>6323</v>
      </c>
      <c r="L4509" s="184"/>
      <c r="M4509" s="184" t="s">
        <v>6347</v>
      </c>
      <c r="N4509" s="184"/>
      <c r="O4509" s="184"/>
    </row>
    <row r="4510" customFormat="false" ht="27.75" hidden="false" customHeight="true" outlineLevel="0" collapsed="false">
      <c r="A4510" s="184" t="s">
        <v>4996</v>
      </c>
      <c r="B4510" s="184" t="s">
        <v>4997</v>
      </c>
      <c r="C4510" s="184" t="n">
        <v>35</v>
      </c>
      <c r="D4510" s="174" t="s">
        <v>4846</v>
      </c>
      <c r="E4510" s="184" t="s">
        <v>6348</v>
      </c>
      <c r="F4510" s="184" t="s">
        <v>227</v>
      </c>
      <c r="G4510" s="184"/>
      <c r="H4510" s="184"/>
      <c r="I4510" s="184"/>
      <c r="J4510" s="184" t="s">
        <v>6346</v>
      </c>
      <c r="K4510" s="184" t="s">
        <v>6333</v>
      </c>
      <c r="L4510" s="184"/>
      <c r="M4510" s="184" t="s">
        <v>6349</v>
      </c>
      <c r="N4510" s="184"/>
      <c r="O4510" s="184"/>
    </row>
    <row r="4511" customFormat="false" ht="122.25" hidden="false" customHeight="true" outlineLevel="0" collapsed="false">
      <c r="A4511" s="184" t="s">
        <v>4996</v>
      </c>
      <c r="B4511" s="184" t="s">
        <v>4997</v>
      </c>
      <c r="C4511" s="184" t="n">
        <v>36</v>
      </c>
      <c r="D4511" s="174" t="s">
        <v>4846</v>
      </c>
      <c r="E4511" s="184" t="s">
        <v>6350</v>
      </c>
      <c r="F4511" s="184" t="s">
        <v>238</v>
      </c>
      <c r="G4511" s="184"/>
      <c r="H4511" s="184"/>
      <c r="I4511" s="184"/>
      <c r="J4511" s="184" t="s">
        <v>5736</v>
      </c>
      <c r="K4511" s="184" t="s">
        <v>5568</v>
      </c>
      <c r="L4511" s="184"/>
      <c r="M4511" s="184" t="s">
        <v>6351</v>
      </c>
      <c r="N4511" s="184"/>
      <c r="O4511" s="184"/>
    </row>
    <row r="4512" customFormat="false" ht="95.25" hidden="false" customHeight="true" outlineLevel="0" collapsed="false">
      <c r="A4512" s="184" t="s">
        <v>4996</v>
      </c>
      <c r="B4512" s="184" t="s">
        <v>4997</v>
      </c>
      <c r="C4512" s="184" t="n">
        <v>37</v>
      </c>
      <c r="D4512" s="174" t="s">
        <v>4846</v>
      </c>
      <c r="E4512" s="184" t="s">
        <v>5674</v>
      </c>
      <c r="F4512" s="184"/>
      <c r="G4512" s="184"/>
      <c r="H4512" s="184"/>
      <c r="I4512" s="184"/>
      <c r="J4512" s="184" t="s">
        <v>5675</v>
      </c>
      <c r="K4512" s="184" t="s">
        <v>5568</v>
      </c>
      <c r="L4512" s="184"/>
      <c r="M4512" s="184" t="s">
        <v>5677</v>
      </c>
      <c r="N4512" s="184"/>
      <c r="O4512" s="184"/>
    </row>
    <row r="4513" customFormat="false" ht="95.25" hidden="false" customHeight="true" outlineLevel="0" collapsed="false">
      <c r="A4513" s="184" t="s">
        <v>4996</v>
      </c>
      <c r="B4513" s="184" t="s">
        <v>4997</v>
      </c>
      <c r="C4513" s="184" t="n">
        <v>38</v>
      </c>
      <c r="D4513" s="174" t="s">
        <v>4846</v>
      </c>
      <c r="E4513" s="184" t="s">
        <v>6352</v>
      </c>
      <c r="F4513" s="184" t="s">
        <v>238</v>
      </c>
      <c r="G4513" s="184"/>
      <c r="H4513" s="184"/>
      <c r="I4513" s="184"/>
      <c r="J4513" s="184" t="s">
        <v>6353</v>
      </c>
      <c r="K4513" s="184" t="s">
        <v>5568</v>
      </c>
      <c r="L4513" s="184"/>
      <c r="M4513" s="184" t="s">
        <v>6354</v>
      </c>
      <c r="N4513" s="184"/>
      <c r="O4513" s="184"/>
    </row>
    <row r="4514" customFormat="false" ht="135.75" hidden="false" customHeight="true" outlineLevel="0" collapsed="false">
      <c r="A4514" s="184" t="s">
        <v>4996</v>
      </c>
      <c r="B4514" s="184" t="s">
        <v>4997</v>
      </c>
      <c r="C4514" s="184" t="n">
        <v>39</v>
      </c>
      <c r="D4514" s="174" t="s">
        <v>4846</v>
      </c>
      <c r="E4514" s="184" t="s">
        <v>5678</v>
      </c>
      <c r="F4514" s="184" t="s">
        <v>238</v>
      </c>
      <c r="G4514" s="184"/>
      <c r="H4514" s="184"/>
      <c r="I4514" s="184"/>
      <c r="J4514" s="184" t="s">
        <v>5675</v>
      </c>
      <c r="K4514" s="184" t="s">
        <v>5568</v>
      </c>
      <c r="L4514" s="184"/>
      <c r="M4514" s="184" t="s">
        <v>5681</v>
      </c>
      <c r="N4514" s="184"/>
      <c r="O4514" s="184"/>
    </row>
    <row r="4515" customFormat="false" ht="162" hidden="false" customHeight="true" outlineLevel="0" collapsed="false">
      <c r="A4515" s="184" t="s">
        <v>4996</v>
      </c>
      <c r="B4515" s="184" t="s">
        <v>4997</v>
      </c>
      <c r="C4515" s="184" t="n">
        <v>40</v>
      </c>
      <c r="D4515" s="174" t="s">
        <v>4848</v>
      </c>
      <c r="E4515" s="184" t="s">
        <v>5682</v>
      </c>
      <c r="F4515" s="184"/>
      <c r="G4515" s="184"/>
      <c r="H4515" s="184"/>
      <c r="I4515" s="184"/>
      <c r="J4515" s="184" t="s">
        <v>5683</v>
      </c>
      <c r="K4515" s="184" t="s">
        <v>5568</v>
      </c>
      <c r="L4515" s="184" t="s">
        <v>6355</v>
      </c>
      <c r="M4515" s="184" t="s">
        <v>5685</v>
      </c>
      <c r="N4515" s="184"/>
      <c r="O4515" s="184"/>
    </row>
    <row r="4516" customFormat="false" ht="108.75" hidden="false" customHeight="true" outlineLevel="0" collapsed="false">
      <c r="A4516" s="184" t="s">
        <v>4996</v>
      </c>
      <c r="B4516" s="184" t="s">
        <v>4997</v>
      </c>
      <c r="C4516" s="184" t="n">
        <v>41</v>
      </c>
      <c r="D4516" s="174" t="s">
        <v>4848</v>
      </c>
      <c r="E4516" s="184" t="s">
        <v>6356</v>
      </c>
      <c r="F4516" s="184"/>
      <c r="G4516" s="184"/>
      <c r="H4516" s="184"/>
      <c r="I4516" s="184"/>
      <c r="J4516" s="184" t="s">
        <v>6357</v>
      </c>
      <c r="K4516" s="184" t="s">
        <v>5568</v>
      </c>
      <c r="L4516" s="184" t="s">
        <v>6358</v>
      </c>
      <c r="M4516" s="184" t="s">
        <v>6359</v>
      </c>
      <c r="N4516" s="184"/>
      <c r="O4516" s="184"/>
    </row>
    <row r="4517" customFormat="false" ht="81.75" hidden="false" customHeight="true" outlineLevel="0" collapsed="false">
      <c r="A4517" s="184" t="s">
        <v>4996</v>
      </c>
      <c r="B4517" s="184" t="s">
        <v>4997</v>
      </c>
      <c r="C4517" s="184" t="n">
        <v>42</v>
      </c>
      <c r="D4517" s="174" t="s">
        <v>4848</v>
      </c>
      <c r="E4517" s="184" t="s">
        <v>5833</v>
      </c>
      <c r="F4517" s="184"/>
      <c r="G4517" s="184"/>
      <c r="H4517" s="184"/>
      <c r="I4517" s="184"/>
      <c r="J4517" s="184" t="s">
        <v>5834</v>
      </c>
      <c r="K4517" s="184" t="s">
        <v>5568</v>
      </c>
      <c r="L4517" s="184" t="s">
        <v>6360</v>
      </c>
      <c r="M4517" s="184" t="s">
        <v>5836</v>
      </c>
      <c r="N4517" s="184"/>
      <c r="O4517" s="184"/>
    </row>
    <row r="4518" customFormat="false" ht="41.25" hidden="false" customHeight="true" outlineLevel="0" collapsed="false">
      <c r="A4518" s="184" t="s">
        <v>4996</v>
      </c>
      <c r="B4518" s="184" t="s">
        <v>4997</v>
      </c>
      <c r="C4518" s="184" t="n">
        <v>43</v>
      </c>
      <c r="D4518" s="174" t="s">
        <v>4846</v>
      </c>
      <c r="E4518" s="184" t="s">
        <v>6361</v>
      </c>
      <c r="F4518" s="184" t="s">
        <v>227</v>
      </c>
      <c r="G4518" s="184"/>
      <c r="H4518" s="184"/>
      <c r="I4518" s="184"/>
      <c r="J4518" s="184" t="s">
        <v>6362</v>
      </c>
      <c r="K4518" s="184" t="s">
        <v>6323</v>
      </c>
      <c r="L4518" s="184"/>
      <c r="M4518" s="184" t="s">
        <v>6363</v>
      </c>
      <c r="N4518" s="184"/>
      <c r="O4518" s="184"/>
    </row>
    <row r="4519" customFormat="false" ht="149.25" hidden="false" customHeight="true" outlineLevel="0" collapsed="false">
      <c r="A4519" s="184" t="s">
        <v>4996</v>
      </c>
      <c r="B4519" s="184" t="s">
        <v>4997</v>
      </c>
      <c r="C4519" s="184" t="n">
        <v>44</v>
      </c>
      <c r="D4519" s="174" t="s">
        <v>4846</v>
      </c>
      <c r="E4519" s="184" t="s">
        <v>681</v>
      </c>
      <c r="F4519" s="184"/>
      <c r="G4519" s="184"/>
      <c r="H4519" s="184"/>
      <c r="I4519" s="184"/>
      <c r="J4519" s="184" t="s">
        <v>6336</v>
      </c>
      <c r="K4519" s="184" t="s">
        <v>5568</v>
      </c>
      <c r="L4519" s="184"/>
      <c r="M4519" s="184" t="s">
        <v>7218</v>
      </c>
      <c r="N4519" s="184"/>
      <c r="O4519" s="184"/>
    </row>
    <row r="4520" customFormat="false" ht="27.75" hidden="false" customHeight="true" outlineLevel="0" collapsed="false">
      <c r="A4520" s="184" t="s">
        <v>4996</v>
      </c>
      <c r="B4520" s="184" t="s">
        <v>4997</v>
      </c>
      <c r="C4520" s="184" t="n">
        <v>45</v>
      </c>
      <c r="D4520" s="174" t="s">
        <v>4846</v>
      </c>
      <c r="E4520" s="184" t="s">
        <v>6366</v>
      </c>
      <c r="F4520" s="184" t="s">
        <v>238</v>
      </c>
      <c r="G4520" s="184"/>
      <c r="H4520" s="184"/>
      <c r="I4520" s="184"/>
      <c r="J4520" s="184" t="s">
        <v>6367</v>
      </c>
      <c r="K4520" s="184" t="s">
        <v>6333</v>
      </c>
      <c r="L4520" s="184" t="s">
        <v>6368</v>
      </c>
      <c r="M4520" s="184" t="s">
        <v>4371</v>
      </c>
      <c r="N4520" s="184"/>
      <c r="O4520" s="184"/>
    </row>
    <row r="4521" customFormat="false" ht="41.25" hidden="false" customHeight="true" outlineLevel="0" collapsed="false">
      <c r="A4521" s="184" t="s">
        <v>4996</v>
      </c>
      <c r="B4521" s="184" t="s">
        <v>4997</v>
      </c>
      <c r="C4521" s="184" t="n">
        <v>46</v>
      </c>
      <c r="D4521" s="174" t="s">
        <v>4846</v>
      </c>
      <c r="E4521" s="184" t="s">
        <v>6369</v>
      </c>
      <c r="F4521" s="184" t="s">
        <v>238</v>
      </c>
      <c r="G4521" s="184"/>
      <c r="H4521" s="184"/>
      <c r="I4521" s="184"/>
      <c r="J4521" s="184" t="s">
        <v>6370</v>
      </c>
      <c r="K4521" s="184" t="s">
        <v>6333</v>
      </c>
      <c r="L4521" s="184"/>
      <c r="M4521" s="184" t="s">
        <v>6170</v>
      </c>
      <c r="N4521" s="184"/>
      <c r="O4521" s="184"/>
    </row>
    <row r="4522" customFormat="false" ht="27.75" hidden="false" customHeight="true" outlineLevel="0" collapsed="false">
      <c r="A4522" s="184" t="s">
        <v>4996</v>
      </c>
      <c r="B4522" s="184" t="s">
        <v>4997</v>
      </c>
      <c r="C4522" s="184" t="n">
        <v>47</v>
      </c>
      <c r="D4522" s="174" t="s">
        <v>4846</v>
      </c>
      <c r="E4522" s="184" t="s">
        <v>6371</v>
      </c>
      <c r="F4522" s="184" t="s">
        <v>238</v>
      </c>
      <c r="G4522" s="184"/>
      <c r="H4522" s="184"/>
      <c r="I4522" s="184"/>
      <c r="J4522" s="184" t="s">
        <v>6372</v>
      </c>
      <c r="K4522" s="184" t="s">
        <v>6333</v>
      </c>
      <c r="L4522" s="184" t="s">
        <v>6373</v>
      </c>
      <c r="M4522" s="184" t="s">
        <v>4375</v>
      </c>
      <c r="N4522" s="184"/>
      <c r="O4522" s="184"/>
    </row>
    <row r="4523" customFormat="false" ht="108.75" hidden="false" customHeight="true" outlineLevel="0" collapsed="false">
      <c r="A4523" s="184" t="s">
        <v>4996</v>
      </c>
      <c r="B4523" s="184" t="s">
        <v>4997</v>
      </c>
      <c r="C4523" s="184" t="n">
        <v>48</v>
      </c>
      <c r="D4523" s="174" t="s">
        <v>4846</v>
      </c>
      <c r="E4523" s="184" t="s">
        <v>1454</v>
      </c>
      <c r="F4523" s="184" t="s">
        <v>5221</v>
      </c>
      <c r="G4523" s="184"/>
      <c r="H4523" s="184"/>
      <c r="I4523" s="184"/>
      <c r="J4523" s="184" t="s">
        <v>6311</v>
      </c>
      <c r="K4523" s="184" t="s">
        <v>5568</v>
      </c>
      <c r="L4523" s="184"/>
      <c r="M4523" s="184" t="s">
        <v>6374</v>
      </c>
      <c r="N4523" s="184"/>
      <c r="O4523" s="184"/>
    </row>
    <row r="4524" customFormat="false" ht="68.25" hidden="false" customHeight="true" outlineLevel="0" collapsed="false">
      <c r="A4524" s="184" t="s">
        <v>4996</v>
      </c>
      <c r="B4524" s="184" t="s">
        <v>4997</v>
      </c>
      <c r="C4524" s="184" t="n">
        <v>49</v>
      </c>
      <c r="D4524" s="174" t="s">
        <v>4846</v>
      </c>
      <c r="E4524" s="184" t="s">
        <v>6375</v>
      </c>
      <c r="F4524" s="184" t="s">
        <v>238</v>
      </c>
      <c r="G4524" s="184"/>
      <c r="H4524" s="184"/>
      <c r="I4524" s="184"/>
      <c r="J4524" s="184" t="s">
        <v>6376</v>
      </c>
      <c r="K4524" s="184" t="s">
        <v>5568</v>
      </c>
      <c r="L4524" s="184"/>
      <c r="M4524" s="184" t="s">
        <v>6377</v>
      </c>
      <c r="N4524" s="184"/>
      <c r="O4524" s="184"/>
    </row>
    <row r="4525" customFormat="false" ht="81.75" hidden="false" customHeight="true" outlineLevel="0" collapsed="false">
      <c r="A4525" s="184" t="s">
        <v>4996</v>
      </c>
      <c r="B4525" s="184" t="s">
        <v>4997</v>
      </c>
      <c r="C4525" s="184" t="n">
        <v>50</v>
      </c>
      <c r="D4525" s="174" t="s">
        <v>4846</v>
      </c>
      <c r="E4525" s="184" t="s">
        <v>6378</v>
      </c>
      <c r="F4525" s="184" t="s">
        <v>238</v>
      </c>
      <c r="G4525" s="184"/>
      <c r="H4525" s="184"/>
      <c r="I4525" s="184"/>
      <c r="J4525" s="184" t="s">
        <v>5736</v>
      </c>
      <c r="K4525" s="184" t="s">
        <v>5568</v>
      </c>
      <c r="L4525" s="184"/>
      <c r="M4525" s="184" t="s">
        <v>6379</v>
      </c>
      <c r="N4525" s="184"/>
      <c r="O4525" s="184"/>
    </row>
    <row r="4526" customFormat="false" ht="68.25" hidden="false" customHeight="true" outlineLevel="0" collapsed="false">
      <c r="A4526" s="184" t="s">
        <v>4996</v>
      </c>
      <c r="B4526" s="184" t="s">
        <v>4997</v>
      </c>
      <c r="C4526" s="184" t="n">
        <v>51</v>
      </c>
      <c r="D4526" s="174" t="s">
        <v>4846</v>
      </c>
      <c r="E4526" s="184" t="s">
        <v>6380</v>
      </c>
      <c r="F4526" s="184" t="s">
        <v>227</v>
      </c>
      <c r="G4526" s="184"/>
      <c r="H4526" s="184"/>
      <c r="I4526" s="184"/>
      <c r="J4526" s="184" t="s">
        <v>6381</v>
      </c>
      <c r="K4526" s="184" t="s">
        <v>5568</v>
      </c>
      <c r="L4526" s="184"/>
      <c r="M4526" s="184" t="s">
        <v>6382</v>
      </c>
      <c r="N4526" s="184"/>
      <c r="O4526" s="184"/>
    </row>
    <row r="4527" customFormat="false" ht="68.25" hidden="false" customHeight="true" outlineLevel="0" collapsed="false">
      <c r="A4527" s="184" t="s">
        <v>4996</v>
      </c>
      <c r="B4527" s="184" t="s">
        <v>4997</v>
      </c>
      <c r="C4527" s="184" t="n">
        <v>52</v>
      </c>
      <c r="D4527" s="174" t="s">
        <v>4846</v>
      </c>
      <c r="E4527" s="184" t="s">
        <v>6016</v>
      </c>
      <c r="F4527" s="184" t="s">
        <v>238</v>
      </c>
      <c r="G4527" s="184"/>
      <c r="H4527" s="184"/>
      <c r="I4527" s="184"/>
      <c r="J4527" s="184" t="s">
        <v>6383</v>
      </c>
      <c r="K4527" s="184" t="s">
        <v>5568</v>
      </c>
      <c r="L4527" s="184"/>
      <c r="M4527" s="184" t="s">
        <v>6019</v>
      </c>
      <c r="N4527" s="184"/>
      <c r="O4527" s="184"/>
    </row>
    <row r="4528" customFormat="false" ht="68.25" hidden="false" customHeight="true" outlineLevel="0" collapsed="false">
      <c r="A4528" s="184" t="s">
        <v>4996</v>
      </c>
      <c r="B4528" s="184" t="s">
        <v>4997</v>
      </c>
      <c r="C4528" s="184" t="n">
        <v>53</v>
      </c>
      <c r="D4528" s="174" t="s">
        <v>4846</v>
      </c>
      <c r="E4528" s="184" t="s">
        <v>6384</v>
      </c>
      <c r="F4528" s="184" t="s">
        <v>5221</v>
      </c>
      <c r="G4528" s="184"/>
      <c r="H4528" s="184"/>
      <c r="I4528" s="184"/>
      <c r="J4528" s="184" t="s">
        <v>6385</v>
      </c>
      <c r="K4528" s="184" t="s">
        <v>5568</v>
      </c>
      <c r="L4528" s="184"/>
      <c r="M4528" s="184" t="s">
        <v>6386</v>
      </c>
      <c r="N4528" s="184"/>
      <c r="O4528" s="184"/>
    </row>
    <row r="4529" customFormat="false" ht="54.75" hidden="false" customHeight="true" outlineLevel="0" collapsed="false">
      <c r="A4529" s="184" t="s">
        <v>4996</v>
      </c>
      <c r="B4529" s="184" t="s">
        <v>4997</v>
      </c>
      <c r="C4529" s="184" t="n">
        <v>54</v>
      </c>
      <c r="D4529" s="174" t="s">
        <v>4846</v>
      </c>
      <c r="E4529" s="184" t="s">
        <v>6387</v>
      </c>
      <c r="F4529" s="184" t="s">
        <v>227</v>
      </c>
      <c r="G4529" s="184"/>
      <c r="H4529" s="184"/>
      <c r="I4529" s="184"/>
      <c r="J4529" s="184" t="s">
        <v>6388</v>
      </c>
      <c r="K4529" s="184" t="s">
        <v>6333</v>
      </c>
      <c r="L4529" s="184"/>
      <c r="M4529" s="184" t="s">
        <v>6389</v>
      </c>
      <c r="N4529" s="184"/>
      <c r="O4529" s="184"/>
    </row>
    <row r="4530" customFormat="false" ht="54.75" hidden="false" customHeight="true" outlineLevel="0" collapsed="false">
      <c r="A4530" s="184" t="s">
        <v>4996</v>
      </c>
      <c r="B4530" s="184" t="s">
        <v>4997</v>
      </c>
      <c r="C4530" s="184" t="n">
        <v>55</v>
      </c>
      <c r="D4530" s="174" t="s">
        <v>4846</v>
      </c>
      <c r="E4530" s="184" t="s">
        <v>6138</v>
      </c>
      <c r="F4530" s="184" t="s">
        <v>238</v>
      </c>
      <c r="G4530" s="184"/>
      <c r="H4530" s="184"/>
      <c r="I4530" s="184"/>
      <c r="J4530" s="184" t="s">
        <v>5736</v>
      </c>
      <c r="K4530" s="184" t="s">
        <v>5568</v>
      </c>
      <c r="L4530" s="184"/>
      <c r="M4530" s="184" t="s">
        <v>6141</v>
      </c>
      <c r="N4530" s="184"/>
      <c r="O4530" s="184"/>
    </row>
    <row r="4531" customFormat="false" ht="54.75" hidden="false" customHeight="true" outlineLevel="0" collapsed="false">
      <c r="A4531" s="184" t="s">
        <v>4996</v>
      </c>
      <c r="B4531" s="184" t="s">
        <v>4997</v>
      </c>
      <c r="C4531" s="184" t="n">
        <v>56</v>
      </c>
      <c r="D4531" s="174" t="s">
        <v>4846</v>
      </c>
      <c r="E4531" s="184" t="s">
        <v>6142</v>
      </c>
      <c r="F4531" s="184" t="s">
        <v>238</v>
      </c>
      <c r="G4531" s="184"/>
      <c r="H4531" s="184"/>
      <c r="I4531" s="184"/>
      <c r="J4531" s="184" t="s">
        <v>6390</v>
      </c>
      <c r="K4531" s="184" t="s">
        <v>5568</v>
      </c>
      <c r="L4531" s="184"/>
      <c r="M4531" s="184" t="s">
        <v>6145</v>
      </c>
      <c r="N4531" s="184"/>
      <c r="O4531" s="184"/>
    </row>
    <row r="4532" customFormat="false" ht="54.75" hidden="false" customHeight="true" outlineLevel="0" collapsed="false">
      <c r="A4532" s="184" t="s">
        <v>4996</v>
      </c>
      <c r="B4532" s="184" t="s">
        <v>4997</v>
      </c>
      <c r="C4532" s="184" t="n">
        <v>57</v>
      </c>
      <c r="D4532" s="174" t="s">
        <v>4846</v>
      </c>
      <c r="E4532" s="184" t="s">
        <v>6146</v>
      </c>
      <c r="F4532" s="184" t="s">
        <v>238</v>
      </c>
      <c r="G4532" s="184"/>
      <c r="H4532" s="184"/>
      <c r="I4532" s="184"/>
      <c r="J4532" s="184" t="s">
        <v>6370</v>
      </c>
      <c r="K4532" s="184" t="s">
        <v>5568</v>
      </c>
      <c r="L4532" s="184"/>
      <c r="M4532" s="184" t="s">
        <v>6149</v>
      </c>
      <c r="N4532" s="184"/>
      <c r="O4532" s="184"/>
    </row>
    <row r="4533" customFormat="false" ht="27.75" hidden="false" customHeight="true" outlineLevel="0" collapsed="false">
      <c r="A4533" s="184" t="s">
        <v>4996</v>
      </c>
      <c r="B4533" s="184" t="s">
        <v>4997</v>
      </c>
      <c r="C4533" s="184" t="n">
        <v>58</v>
      </c>
      <c r="D4533" s="174" t="s">
        <v>4848</v>
      </c>
      <c r="E4533" s="184" t="s">
        <v>6397</v>
      </c>
      <c r="F4533" s="184"/>
      <c r="G4533" s="184"/>
      <c r="H4533" s="184"/>
      <c r="I4533" s="184"/>
      <c r="J4533" s="184" t="s">
        <v>1654</v>
      </c>
      <c r="K4533" s="184" t="s">
        <v>5568</v>
      </c>
      <c r="L4533" s="184" t="s">
        <v>6398</v>
      </c>
      <c r="M4533" s="184" t="s">
        <v>6399</v>
      </c>
      <c r="N4533" s="184"/>
      <c r="O4533" s="184"/>
    </row>
    <row r="4534" customFormat="false" ht="27.75" hidden="false" customHeight="true" outlineLevel="0" collapsed="false">
      <c r="A4534" s="184" t="s">
        <v>4996</v>
      </c>
      <c r="B4534" s="184" t="s">
        <v>4997</v>
      </c>
      <c r="C4534" s="184" t="n">
        <v>59</v>
      </c>
      <c r="D4534" s="184" t="s">
        <v>6296</v>
      </c>
      <c r="E4534" s="184" t="s">
        <v>724</v>
      </c>
      <c r="F4534" s="184"/>
      <c r="G4534" s="184"/>
      <c r="H4534" s="184"/>
      <c r="I4534" s="184"/>
      <c r="J4534" s="184"/>
      <c r="K4534" s="184"/>
      <c r="L4534" s="184"/>
      <c r="M4534" s="184"/>
      <c r="N4534" s="184"/>
      <c r="O4534" s="184"/>
    </row>
    <row r="4535" customFormat="false" ht="27.75" hidden="false" customHeight="true" outlineLevel="0" collapsed="false">
      <c r="A4535" s="184" t="s">
        <v>4996</v>
      </c>
      <c r="B4535" s="184" t="s">
        <v>4997</v>
      </c>
      <c r="C4535" s="184" t="n">
        <v>60</v>
      </c>
      <c r="D4535" s="177" t="s">
        <v>6298</v>
      </c>
      <c r="E4535" s="184" t="s">
        <v>6867</v>
      </c>
      <c r="F4535" s="184"/>
      <c r="G4535" s="184"/>
      <c r="H4535" s="184"/>
      <c r="I4535" s="184"/>
      <c r="J4535" s="184"/>
      <c r="K4535" s="184"/>
      <c r="L4535" s="184"/>
      <c r="M4535" s="184"/>
      <c r="N4535" s="184"/>
      <c r="O4535" s="184"/>
    </row>
    <row r="4536" customFormat="false" ht="27.75" hidden="false" customHeight="true" outlineLevel="0" collapsed="false">
      <c r="A4536" s="184" t="s">
        <v>4996</v>
      </c>
      <c r="B4536" s="184" t="s">
        <v>4997</v>
      </c>
      <c r="C4536" s="184" t="n">
        <v>61</v>
      </c>
      <c r="D4536" s="177" t="s">
        <v>6298</v>
      </c>
      <c r="E4536" s="184" t="s">
        <v>6868</v>
      </c>
      <c r="F4536" s="184"/>
      <c r="G4536" s="184"/>
      <c r="H4536" s="184"/>
      <c r="I4536" s="184"/>
      <c r="J4536" s="184"/>
      <c r="K4536" s="184"/>
      <c r="L4536" s="184"/>
      <c r="M4536" s="184"/>
      <c r="N4536" s="184"/>
      <c r="O4536" s="184"/>
    </row>
    <row r="4537" customFormat="false" ht="27.75" hidden="false" customHeight="true" outlineLevel="0" collapsed="false">
      <c r="A4537" s="184" t="s">
        <v>4996</v>
      </c>
      <c r="B4537" s="184" t="s">
        <v>4997</v>
      </c>
      <c r="C4537" s="184" t="n">
        <v>62</v>
      </c>
      <c r="D4537" s="178" t="s">
        <v>6457</v>
      </c>
      <c r="E4537" s="184" t="s">
        <v>6869</v>
      </c>
      <c r="F4537" s="184"/>
      <c r="G4537" s="184"/>
      <c r="H4537" s="184"/>
      <c r="I4537" s="184"/>
      <c r="J4537" s="184"/>
      <c r="K4537" s="184"/>
      <c r="L4537" s="184"/>
      <c r="M4537" s="184" t="s">
        <v>6870</v>
      </c>
      <c r="N4537" s="184"/>
      <c r="O4537" s="184"/>
    </row>
    <row r="4538" customFormat="false" ht="27.75" hidden="false" customHeight="true" outlineLevel="0" collapsed="false">
      <c r="A4538" s="184" t="s">
        <v>4996</v>
      </c>
      <c r="B4538" s="184" t="s">
        <v>4997</v>
      </c>
      <c r="C4538" s="184" t="n">
        <v>63</v>
      </c>
      <c r="D4538" s="178" t="s">
        <v>6457</v>
      </c>
      <c r="E4538" s="184" t="s">
        <v>6871</v>
      </c>
      <c r="F4538" s="184"/>
      <c r="G4538" s="184"/>
      <c r="H4538" s="184"/>
      <c r="I4538" s="184"/>
      <c r="J4538" s="184"/>
      <c r="K4538" s="184"/>
      <c r="L4538" s="184"/>
      <c r="M4538" s="184" t="s">
        <v>6872</v>
      </c>
      <c r="N4538" s="184"/>
      <c r="O4538" s="184"/>
    </row>
    <row r="4539" customFormat="false" ht="27.75" hidden="false" customHeight="true" outlineLevel="0" collapsed="false">
      <c r="A4539" s="184" t="s">
        <v>4996</v>
      </c>
      <c r="B4539" s="184" t="s">
        <v>4997</v>
      </c>
      <c r="C4539" s="184" t="n">
        <v>64</v>
      </c>
      <c r="D4539" s="179" t="s">
        <v>6300</v>
      </c>
      <c r="E4539" s="184" t="s">
        <v>6960</v>
      </c>
      <c r="F4539" s="184"/>
      <c r="G4539" s="184"/>
      <c r="H4539" s="184"/>
      <c r="I4539" s="184"/>
      <c r="J4539" s="184"/>
      <c r="K4539" s="184"/>
      <c r="L4539" s="184"/>
      <c r="M4539" s="184"/>
      <c r="N4539" s="184"/>
      <c r="O4539" s="184"/>
    </row>
    <row r="4540" customFormat="false" ht="27.75" hidden="false" customHeight="true" outlineLevel="0" collapsed="false">
      <c r="A4540" s="184" t="s">
        <v>4996</v>
      </c>
      <c r="B4540" s="184" t="s">
        <v>4997</v>
      </c>
      <c r="C4540" s="184" t="n">
        <v>65</v>
      </c>
      <c r="D4540" s="184" t="s">
        <v>4790</v>
      </c>
      <c r="E4540" s="184" t="s">
        <v>6874</v>
      </c>
      <c r="F4540" s="184"/>
      <c r="G4540" s="184"/>
      <c r="H4540" s="184"/>
      <c r="I4540" s="184"/>
      <c r="J4540" s="184"/>
      <c r="K4540" s="184"/>
      <c r="L4540" s="184"/>
      <c r="M4540" s="184" t="s">
        <v>6875</v>
      </c>
      <c r="N4540" s="184"/>
      <c r="O4540" s="184"/>
    </row>
    <row r="4541" customFormat="false" ht="27.75" hidden="false" customHeight="true" outlineLevel="0" collapsed="false">
      <c r="A4541" s="184" t="s">
        <v>4996</v>
      </c>
      <c r="B4541" s="184" t="s">
        <v>4997</v>
      </c>
      <c r="C4541" s="184" t="n">
        <v>66</v>
      </c>
      <c r="D4541" s="184" t="s">
        <v>4790</v>
      </c>
      <c r="E4541" s="184" t="s">
        <v>6878</v>
      </c>
      <c r="F4541" s="184"/>
      <c r="G4541" s="184"/>
      <c r="H4541" s="184"/>
      <c r="I4541" s="184"/>
      <c r="J4541" s="184"/>
      <c r="K4541" s="184"/>
      <c r="L4541" s="184"/>
      <c r="M4541" s="184" t="s">
        <v>6879</v>
      </c>
      <c r="N4541" s="184"/>
      <c r="O4541" s="184"/>
    </row>
    <row r="4542" customFormat="false" ht="27.75" hidden="false" customHeight="true" outlineLevel="0" collapsed="false">
      <c r="A4542" s="184" t="s">
        <v>4996</v>
      </c>
      <c r="B4542" s="184" t="s">
        <v>4997</v>
      </c>
      <c r="C4542" s="184" t="n">
        <v>67</v>
      </c>
      <c r="D4542" s="184" t="s">
        <v>4790</v>
      </c>
      <c r="E4542" s="184" t="s">
        <v>6880</v>
      </c>
      <c r="F4542" s="184"/>
      <c r="G4542" s="184"/>
      <c r="H4542" s="184"/>
      <c r="I4542" s="184"/>
      <c r="J4542" s="184"/>
      <c r="K4542" s="184"/>
      <c r="L4542" s="184"/>
      <c r="M4542" s="184" t="s">
        <v>6881</v>
      </c>
      <c r="N4542" s="184"/>
      <c r="O4542" s="184"/>
    </row>
    <row r="4543" customFormat="false" ht="27.75" hidden="false" customHeight="true" outlineLevel="0" collapsed="false">
      <c r="A4543" s="184" t="s">
        <v>4996</v>
      </c>
      <c r="B4543" s="184" t="s">
        <v>4997</v>
      </c>
      <c r="C4543" s="184" t="n">
        <v>68</v>
      </c>
      <c r="D4543" s="184" t="s">
        <v>4790</v>
      </c>
      <c r="E4543" s="184" t="s">
        <v>6884</v>
      </c>
      <c r="F4543" s="184"/>
      <c r="G4543" s="184"/>
      <c r="H4543" s="184"/>
      <c r="I4543" s="184"/>
      <c r="J4543" s="184"/>
      <c r="K4543" s="184"/>
      <c r="L4543" s="184"/>
      <c r="M4543" s="184" t="s">
        <v>6885</v>
      </c>
      <c r="N4543" s="184"/>
      <c r="O4543" s="184"/>
    </row>
    <row r="4544" customFormat="false" ht="27.75" hidden="false" customHeight="true" outlineLevel="0" collapsed="false">
      <c r="A4544" s="184" t="s">
        <v>4996</v>
      </c>
      <c r="B4544" s="184" t="s">
        <v>4997</v>
      </c>
      <c r="C4544" s="184" t="n">
        <v>69</v>
      </c>
      <c r="D4544" s="184" t="s">
        <v>4790</v>
      </c>
      <c r="E4544" s="184" t="s">
        <v>6886</v>
      </c>
      <c r="F4544" s="184"/>
      <c r="G4544" s="184"/>
      <c r="H4544" s="184"/>
      <c r="I4544" s="184"/>
      <c r="J4544" s="184"/>
      <c r="K4544" s="184"/>
      <c r="L4544" s="184"/>
      <c r="M4544" s="184" t="s">
        <v>6887</v>
      </c>
      <c r="N4544" s="184"/>
      <c r="O4544" s="184"/>
    </row>
    <row r="4545" customFormat="false" ht="27.75" hidden="false" customHeight="true" outlineLevel="0" collapsed="false">
      <c r="A4545" s="184" t="s">
        <v>4996</v>
      </c>
      <c r="B4545" s="184" t="s">
        <v>4997</v>
      </c>
      <c r="C4545" s="184" t="n">
        <v>70</v>
      </c>
      <c r="D4545" s="184" t="s">
        <v>4790</v>
      </c>
      <c r="E4545" s="184" t="s">
        <v>6888</v>
      </c>
      <c r="F4545" s="184"/>
      <c r="G4545" s="184"/>
      <c r="H4545" s="184"/>
      <c r="I4545" s="184"/>
      <c r="J4545" s="184"/>
      <c r="K4545" s="184"/>
      <c r="L4545" s="184"/>
      <c r="M4545" s="184" t="s">
        <v>6889</v>
      </c>
      <c r="N4545" s="184"/>
      <c r="O4545" s="184"/>
    </row>
    <row r="4546" customFormat="false" ht="27.75" hidden="false" customHeight="true" outlineLevel="0" collapsed="false">
      <c r="A4546" s="184" t="s">
        <v>4996</v>
      </c>
      <c r="B4546" s="184" t="s">
        <v>4997</v>
      </c>
      <c r="C4546" s="184" t="n">
        <v>71</v>
      </c>
      <c r="D4546" s="184" t="s">
        <v>4790</v>
      </c>
      <c r="E4546" s="184" t="s">
        <v>6890</v>
      </c>
      <c r="F4546" s="184"/>
      <c r="G4546" s="184"/>
      <c r="H4546" s="184"/>
      <c r="I4546" s="184"/>
      <c r="J4546" s="184"/>
      <c r="K4546" s="184"/>
      <c r="L4546" s="184"/>
      <c r="M4546" s="184" t="s">
        <v>6891</v>
      </c>
      <c r="N4546" s="184"/>
      <c r="O4546" s="184"/>
    </row>
    <row r="4547" customFormat="false" ht="27.75" hidden="false" customHeight="true" outlineLevel="0" collapsed="false">
      <c r="A4547" s="184" t="s">
        <v>4996</v>
      </c>
      <c r="B4547" s="184" t="s">
        <v>4997</v>
      </c>
      <c r="C4547" s="184" t="n">
        <v>72</v>
      </c>
      <c r="D4547" s="184" t="s">
        <v>4790</v>
      </c>
      <c r="E4547" s="184" t="s">
        <v>6892</v>
      </c>
      <c r="F4547" s="184"/>
      <c r="G4547" s="184"/>
      <c r="H4547" s="184"/>
      <c r="I4547" s="184"/>
      <c r="J4547" s="184"/>
      <c r="K4547" s="184"/>
      <c r="L4547" s="184"/>
      <c r="M4547" s="184" t="s">
        <v>6893</v>
      </c>
      <c r="N4547" s="184"/>
      <c r="O4547" s="184"/>
    </row>
    <row r="4548" customFormat="false" ht="27.75" hidden="false" customHeight="true" outlineLevel="0" collapsed="false">
      <c r="A4548" s="184" t="s">
        <v>4996</v>
      </c>
      <c r="B4548" s="184" t="s">
        <v>4997</v>
      </c>
      <c r="C4548" s="184" t="n">
        <v>73</v>
      </c>
      <c r="D4548" s="184" t="s">
        <v>4790</v>
      </c>
      <c r="E4548" s="184" t="s">
        <v>6894</v>
      </c>
      <c r="F4548" s="184"/>
      <c r="G4548" s="184"/>
      <c r="H4548" s="184"/>
      <c r="I4548" s="184"/>
      <c r="J4548" s="184"/>
      <c r="K4548" s="184"/>
      <c r="L4548" s="184"/>
      <c r="M4548" s="184" t="s">
        <v>6895</v>
      </c>
      <c r="N4548" s="184"/>
      <c r="O4548" s="184"/>
    </row>
    <row r="4549" customFormat="false" ht="27.75" hidden="false" customHeight="true" outlineLevel="0" collapsed="false">
      <c r="A4549" s="184" t="s">
        <v>4996</v>
      </c>
      <c r="B4549" s="184" t="s">
        <v>4997</v>
      </c>
      <c r="C4549" s="184" t="n">
        <v>74</v>
      </c>
      <c r="D4549" s="184" t="s">
        <v>4790</v>
      </c>
      <c r="E4549" s="184" t="s">
        <v>6896</v>
      </c>
      <c r="F4549" s="184"/>
      <c r="G4549" s="184"/>
      <c r="H4549" s="184"/>
      <c r="I4549" s="184"/>
      <c r="J4549" s="184"/>
      <c r="K4549" s="184"/>
      <c r="L4549" s="184"/>
      <c r="M4549" s="184" t="s">
        <v>6897</v>
      </c>
      <c r="N4549" s="184"/>
      <c r="O4549" s="184"/>
    </row>
    <row r="4550" customFormat="false" ht="27.75" hidden="false" customHeight="true" outlineLevel="0" collapsed="false">
      <c r="A4550" s="184" t="s">
        <v>4996</v>
      </c>
      <c r="B4550" s="184" t="s">
        <v>4997</v>
      </c>
      <c r="C4550" s="184" t="n">
        <v>75</v>
      </c>
      <c r="D4550" s="184" t="s">
        <v>4790</v>
      </c>
      <c r="E4550" s="184" t="s">
        <v>6898</v>
      </c>
      <c r="F4550" s="184"/>
      <c r="G4550" s="184"/>
      <c r="H4550" s="184"/>
      <c r="I4550" s="184"/>
      <c r="J4550" s="184"/>
      <c r="K4550" s="184"/>
      <c r="L4550" s="184"/>
      <c r="M4550" s="184" t="s">
        <v>6899</v>
      </c>
      <c r="N4550" s="184"/>
      <c r="O4550" s="184"/>
    </row>
    <row r="4551" customFormat="false" ht="27.75" hidden="false" customHeight="true" outlineLevel="0" collapsed="false">
      <c r="A4551" s="184" t="s">
        <v>4996</v>
      </c>
      <c r="B4551" s="184" t="s">
        <v>4997</v>
      </c>
      <c r="C4551" s="184" t="n">
        <v>76</v>
      </c>
      <c r="D4551" s="184" t="s">
        <v>4790</v>
      </c>
      <c r="E4551" s="184" t="s">
        <v>6900</v>
      </c>
      <c r="F4551" s="184"/>
      <c r="G4551" s="184"/>
      <c r="H4551" s="184"/>
      <c r="I4551" s="184"/>
      <c r="J4551" s="184"/>
      <c r="K4551" s="184"/>
      <c r="L4551" s="184"/>
      <c r="M4551" s="184" t="s">
        <v>6901</v>
      </c>
      <c r="N4551" s="184"/>
      <c r="O4551" s="184"/>
    </row>
    <row r="4552" customFormat="false" ht="27.75" hidden="false" customHeight="true" outlineLevel="0" collapsed="false">
      <c r="A4552" s="184" t="s">
        <v>4996</v>
      </c>
      <c r="B4552" s="184" t="s">
        <v>4997</v>
      </c>
      <c r="C4552" s="184" t="n">
        <v>77</v>
      </c>
      <c r="D4552" s="184" t="s">
        <v>4790</v>
      </c>
      <c r="E4552" s="184" t="s">
        <v>6902</v>
      </c>
      <c r="F4552" s="184"/>
      <c r="G4552" s="184"/>
      <c r="H4552" s="184"/>
      <c r="I4552" s="184"/>
      <c r="J4552" s="184"/>
      <c r="K4552" s="184"/>
      <c r="L4552" s="184"/>
      <c r="M4552" s="184" t="s">
        <v>6903</v>
      </c>
      <c r="N4552" s="184"/>
      <c r="O4552" s="184"/>
    </row>
    <row r="4553" customFormat="false" ht="27.75" hidden="false" customHeight="true" outlineLevel="0" collapsed="false">
      <c r="A4553" s="184" t="s">
        <v>4996</v>
      </c>
      <c r="B4553" s="184" t="s">
        <v>4997</v>
      </c>
      <c r="C4553" s="184" t="n">
        <v>78</v>
      </c>
      <c r="D4553" s="184" t="s">
        <v>4790</v>
      </c>
      <c r="E4553" s="184" t="s">
        <v>6904</v>
      </c>
      <c r="F4553" s="184"/>
      <c r="G4553" s="184"/>
      <c r="H4553" s="184"/>
      <c r="I4553" s="184"/>
      <c r="J4553" s="184"/>
      <c r="K4553" s="184"/>
      <c r="L4553" s="184"/>
      <c r="M4553" s="184" t="s">
        <v>6905</v>
      </c>
      <c r="N4553" s="184"/>
      <c r="O4553" s="184"/>
    </row>
    <row r="4554" customFormat="false" ht="27.75" hidden="false" customHeight="true" outlineLevel="0" collapsed="false">
      <c r="A4554" s="184" t="s">
        <v>4996</v>
      </c>
      <c r="B4554" s="184" t="s">
        <v>4997</v>
      </c>
      <c r="C4554" s="184" t="n">
        <v>79</v>
      </c>
      <c r="D4554" s="184" t="s">
        <v>4790</v>
      </c>
      <c r="E4554" s="184" t="s">
        <v>6906</v>
      </c>
      <c r="F4554" s="184"/>
      <c r="G4554" s="184"/>
      <c r="H4554" s="184"/>
      <c r="I4554" s="184"/>
      <c r="J4554" s="184"/>
      <c r="K4554" s="184"/>
      <c r="L4554" s="184"/>
      <c r="M4554" s="184" t="s">
        <v>6907</v>
      </c>
      <c r="N4554" s="184"/>
      <c r="O4554" s="184"/>
    </row>
    <row r="4555" customFormat="false" ht="27.75" hidden="false" customHeight="true" outlineLevel="0" collapsed="false">
      <c r="A4555" s="184" t="s">
        <v>4996</v>
      </c>
      <c r="B4555" s="184" t="s">
        <v>4997</v>
      </c>
      <c r="C4555" s="184" t="n">
        <v>80</v>
      </c>
      <c r="D4555" s="184" t="s">
        <v>4790</v>
      </c>
      <c r="E4555" s="184" t="s">
        <v>6908</v>
      </c>
      <c r="F4555" s="184"/>
      <c r="G4555" s="184"/>
      <c r="H4555" s="184"/>
      <c r="I4555" s="184"/>
      <c r="J4555" s="184"/>
      <c r="K4555" s="184"/>
      <c r="L4555" s="184"/>
      <c r="M4555" s="184" t="s">
        <v>6909</v>
      </c>
      <c r="N4555" s="184"/>
      <c r="O4555" s="184"/>
    </row>
    <row r="4556" customFormat="false" ht="27.75" hidden="false" customHeight="true" outlineLevel="0" collapsed="false">
      <c r="A4556" s="184" t="s">
        <v>4996</v>
      </c>
      <c r="B4556" s="184" t="s">
        <v>4997</v>
      </c>
      <c r="C4556" s="184" t="n">
        <v>81</v>
      </c>
      <c r="D4556" s="184" t="s">
        <v>4790</v>
      </c>
      <c r="E4556" s="184" t="s">
        <v>6910</v>
      </c>
      <c r="F4556" s="184"/>
      <c r="G4556" s="184"/>
      <c r="H4556" s="184"/>
      <c r="I4556" s="184"/>
      <c r="J4556" s="184"/>
      <c r="K4556" s="184"/>
      <c r="L4556" s="184"/>
      <c r="M4556" s="184" t="s">
        <v>6911</v>
      </c>
      <c r="N4556" s="184"/>
      <c r="O4556" s="184"/>
    </row>
    <row r="4557" customFormat="false" ht="27.75" hidden="false" customHeight="true" outlineLevel="0" collapsed="false">
      <c r="A4557" s="184" t="s">
        <v>4996</v>
      </c>
      <c r="B4557" s="184" t="s">
        <v>4997</v>
      </c>
      <c r="C4557" s="184" t="n">
        <v>82</v>
      </c>
      <c r="D4557" s="184" t="s">
        <v>4790</v>
      </c>
      <c r="E4557" s="184" t="s">
        <v>6912</v>
      </c>
      <c r="F4557" s="184"/>
      <c r="G4557" s="184"/>
      <c r="H4557" s="184"/>
      <c r="I4557" s="184"/>
      <c r="J4557" s="184"/>
      <c r="K4557" s="184"/>
      <c r="L4557" s="184"/>
      <c r="M4557" s="184" t="s">
        <v>6913</v>
      </c>
      <c r="N4557" s="184"/>
      <c r="O4557" s="184"/>
    </row>
    <row r="4558" customFormat="false" ht="27.75" hidden="false" customHeight="true" outlineLevel="0" collapsed="false">
      <c r="A4558" s="184" t="s">
        <v>4996</v>
      </c>
      <c r="B4558" s="184" t="s">
        <v>4997</v>
      </c>
      <c r="C4558" s="184" t="n">
        <v>83</v>
      </c>
      <c r="D4558" s="184" t="s">
        <v>4790</v>
      </c>
      <c r="E4558" s="184" t="s">
        <v>6914</v>
      </c>
      <c r="F4558" s="184"/>
      <c r="G4558" s="184"/>
      <c r="H4558" s="184"/>
      <c r="I4558" s="184"/>
      <c r="J4558" s="184"/>
      <c r="K4558" s="184"/>
      <c r="L4558" s="184"/>
      <c r="M4558" s="184" t="s">
        <v>6915</v>
      </c>
      <c r="N4558" s="184"/>
      <c r="O4558" s="184"/>
    </row>
    <row r="4559" customFormat="false" ht="27.75" hidden="false" customHeight="true" outlineLevel="0" collapsed="false">
      <c r="A4559" s="184" t="s">
        <v>4996</v>
      </c>
      <c r="B4559" s="184" t="s">
        <v>4997</v>
      </c>
      <c r="C4559" s="184" t="n">
        <v>84</v>
      </c>
      <c r="D4559" s="184" t="s">
        <v>4790</v>
      </c>
      <c r="E4559" s="184" t="s">
        <v>6916</v>
      </c>
      <c r="F4559" s="184"/>
      <c r="G4559" s="184"/>
      <c r="H4559" s="184"/>
      <c r="I4559" s="184"/>
      <c r="J4559" s="184"/>
      <c r="K4559" s="184"/>
      <c r="L4559" s="184"/>
      <c r="M4559" s="184" t="s">
        <v>6917</v>
      </c>
      <c r="N4559" s="184"/>
      <c r="O4559" s="184"/>
    </row>
    <row r="4560" customFormat="false" ht="27.75" hidden="false" customHeight="true" outlineLevel="0" collapsed="false">
      <c r="A4560" s="184" t="s">
        <v>4996</v>
      </c>
      <c r="B4560" s="184" t="s">
        <v>4997</v>
      </c>
      <c r="C4560" s="184" t="n">
        <v>85</v>
      </c>
      <c r="D4560" s="184" t="s">
        <v>4790</v>
      </c>
      <c r="E4560" s="184" t="s">
        <v>6918</v>
      </c>
      <c r="F4560" s="184"/>
      <c r="G4560" s="184"/>
      <c r="H4560" s="184"/>
      <c r="I4560" s="184"/>
      <c r="J4560" s="184"/>
      <c r="K4560" s="184"/>
      <c r="L4560" s="184"/>
      <c r="M4560" s="184" t="s">
        <v>6919</v>
      </c>
      <c r="N4560" s="184"/>
      <c r="O4560" s="184"/>
    </row>
    <row r="4561" customFormat="false" ht="27.75" hidden="false" customHeight="true" outlineLevel="0" collapsed="false">
      <c r="A4561" s="184" t="s">
        <v>4996</v>
      </c>
      <c r="B4561" s="184" t="s">
        <v>4997</v>
      </c>
      <c r="C4561" s="184" t="n">
        <v>86</v>
      </c>
      <c r="D4561" s="184" t="s">
        <v>4790</v>
      </c>
      <c r="E4561" s="184" t="s">
        <v>6920</v>
      </c>
      <c r="F4561" s="184"/>
      <c r="G4561" s="184"/>
      <c r="H4561" s="184"/>
      <c r="I4561" s="184"/>
      <c r="J4561" s="184"/>
      <c r="K4561" s="184"/>
      <c r="L4561" s="184"/>
      <c r="M4561" s="184" t="s">
        <v>6921</v>
      </c>
      <c r="N4561" s="184"/>
      <c r="O4561" s="184"/>
    </row>
    <row r="4562" customFormat="false" ht="27.75" hidden="false" customHeight="true" outlineLevel="0" collapsed="false">
      <c r="A4562" s="184" t="s">
        <v>4996</v>
      </c>
      <c r="B4562" s="184" t="s">
        <v>4997</v>
      </c>
      <c r="C4562" s="184" t="n">
        <v>87</v>
      </c>
      <c r="D4562" s="184" t="s">
        <v>4790</v>
      </c>
      <c r="E4562" s="184" t="s">
        <v>6922</v>
      </c>
      <c r="F4562" s="184"/>
      <c r="G4562" s="184"/>
      <c r="H4562" s="184"/>
      <c r="I4562" s="184"/>
      <c r="J4562" s="184"/>
      <c r="K4562" s="184"/>
      <c r="L4562" s="184"/>
      <c r="M4562" s="184" t="s">
        <v>6923</v>
      </c>
      <c r="N4562" s="184"/>
      <c r="O4562" s="184"/>
    </row>
    <row r="4563" customFormat="false" ht="27.75" hidden="false" customHeight="true" outlineLevel="0" collapsed="false">
      <c r="A4563" s="184" t="s">
        <v>4996</v>
      </c>
      <c r="B4563" s="184" t="s">
        <v>4997</v>
      </c>
      <c r="C4563" s="184" t="n">
        <v>88</v>
      </c>
      <c r="D4563" s="184" t="s">
        <v>4790</v>
      </c>
      <c r="E4563" s="184" t="s">
        <v>6924</v>
      </c>
      <c r="F4563" s="184"/>
      <c r="G4563" s="184"/>
      <c r="H4563" s="184"/>
      <c r="I4563" s="184"/>
      <c r="J4563" s="184"/>
      <c r="K4563" s="184"/>
      <c r="L4563" s="184"/>
      <c r="M4563" s="184" t="s">
        <v>6925</v>
      </c>
      <c r="N4563" s="184"/>
      <c r="O4563" s="184"/>
    </row>
    <row r="4564" customFormat="false" ht="27.75" hidden="false" customHeight="true" outlineLevel="0" collapsed="false">
      <c r="A4564" s="184" t="s">
        <v>4996</v>
      </c>
      <c r="B4564" s="184" t="s">
        <v>4997</v>
      </c>
      <c r="C4564" s="184" t="n">
        <v>89</v>
      </c>
      <c r="D4564" s="184" t="s">
        <v>4790</v>
      </c>
      <c r="E4564" s="184" t="s">
        <v>6926</v>
      </c>
      <c r="F4564" s="184"/>
      <c r="G4564" s="184"/>
      <c r="H4564" s="184"/>
      <c r="I4564" s="184"/>
      <c r="J4564" s="184"/>
      <c r="K4564" s="184"/>
      <c r="L4564" s="184"/>
      <c r="M4564" s="184" t="s">
        <v>6927</v>
      </c>
      <c r="N4564" s="184"/>
      <c r="O4564" s="184"/>
    </row>
    <row r="4565" customFormat="false" ht="27.75" hidden="false" customHeight="true" outlineLevel="0" collapsed="false">
      <c r="A4565" s="184" t="s">
        <v>4996</v>
      </c>
      <c r="B4565" s="184" t="s">
        <v>4997</v>
      </c>
      <c r="C4565" s="184" t="n">
        <v>90</v>
      </c>
      <c r="D4565" s="184" t="s">
        <v>4790</v>
      </c>
      <c r="E4565" s="184" t="s">
        <v>6928</v>
      </c>
      <c r="F4565" s="184"/>
      <c r="G4565" s="184"/>
      <c r="H4565" s="184"/>
      <c r="I4565" s="184"/>
      <c r="J4565" s="184"/>
      <c r="K4565" s="184"/>
      <c r="L4565" s="184"/>
      <c r="M4565" s="184" t="s">
        <v>6929</v>
      </c>
      <c r="N4565" s="184"/>
      <c r="O4565" s="184"/>
    </row>
    <row r="4566" customFormat="false" ht="27.75" hidden="false" customHeight="true" outlineLevel="0" collapsed="false">
      <c r="A4566" s="184" t="s">
        <v>4996</v>
      </c>
      <c r="B4566" s="184" t="s">
        <v>4997</v>
      </c>
      <c r="C4566" s="184" t="n">
        <v>91</v>
      </c>
      <c r="D4566" s="184" t="s">
        <v>4790</v>
      </c>
      <c r="E4566" s="184" t="s">
        <v>6930</v>
      </c>
      <c r="F4566" s="184"/>
      <c r="G4566" s="184"/>
      <c r="H4566" s="184"/>
      <c r="I4566" s="184"/>
      <c r="J4566" s="184"/>
      <c r="K4566" s="184"/>
      <c r="L4566" s="184"/>
      <c r="M4566" s="184" t="s">
        <v>6931</v>
      </c>
      <c r="N4566" s="184"/>
      <c r="O4566" s="184"/>
    </row>
    <row r="4567" customFormat="false" ht="27.75" hidden="false" customHeight="true" outlineLevel="0" collapsed="false">
      <c r="A4567" s="184" t="s">
        <v>4996</v>
      </c>
      <c r="B4567" s="184" t="s">
        <v>4997</v>
      </c>
      <c r="C4567" s="184" t="n">
        <v>92</v>
      </c>
      <c r="D4567" s="178" t="s">
        <v>5269</v>
      </c>
      <c r="E4567" s="184" t="s">
        <v>6932</v>
      </c>
      <c r="F4567" s="184"/>
      <c r="G4567" s="184"/>
      <c r="H4567" s="184"/>
      <c r="I4567" s="184"/>
      <c r="J4567" s="184"/>
      <c r="K4567" s="184"/>
      <c r="L4567" s="184"/>
      <c r="M4567" s="184" t="s">
        <v>6933</v>
      </c>
      <c r="N4567" s="184"/>
      <c r="O4567" s="184"/>
    </row>
    <row r="4568" customFormat="false" ht="27.75" hidden="false" customHeight="true" outlineLevel="0" collapsed="false">
      <c r="A4568" s="184" t="s">
        <v>4996</v>
      </c>
      <c r="B4568" s="184" t="s">
        <v>4997</v>
      </c>
      <c r="C4568" s="184" t="n">
        <v>93</v>
      </c>
      <c r="D4568" s="178" t="s">
        <v>5269</v>
      </c>
      <c r="E4568" s="184" t="s">
        <v>6934</v>
      </c>
      <c r="F4568" s="184"/>
      <c r="G4568" s="184"/>
      <c r="H4568" s="184"/>
      <c r="I4568" s="184"/>
      <c r="J4568" s="184"/>
      <c r="K4568" s="184"/>
      <c r="L4568" s="184"/>
      <c r="M4568" s="184" t="s">
        <v>6935</v>
      </c>
      <c r="N4568" s="184"/>
      <c r="O4568" s="184"/>
    </row>
    <row r="4569" customFormat="false" ht="15" hidden="false" customHeight="true" outlineLevel="0" collapsed="false">
      <c r="A4569" s="184"/>
      <c r="B4569" s="184"/>
      <c r="C4569" s="184"/>
      <c r="D4569" s="184"/>
      <c r="E4569" s="184"/>
      <c r="F4569" s="184"/>
      <c r="G4569" s="184"/>
      <c r="H4569" s="184"/>
      <c r="I4569" s="184"/>
      <c r="J4569" s="184"/>
      <c r="K4569" s="184"/>
      <c r="L4569" s="184"/>
      <c r="M4569" s="184"/>
      <c r="N4569" s="184"/>
      <c r="O4569" s="184"/>
    </row>
    <row r="4570" customFormat="false" ht="15" hidden="false" customHeight="true" outlineLevel="0" collapsed="false">
      <c r="A4570" s="184"/>
      <c r="B4570" s="184"/>
      <c r="C4570" s="184"/>
      <c r="D4570" s="184"/>
      <c r="E4570" s="184"/>
      <c r="F4570" s="184"/>
      <c r="G4570" s="184"/>
      <c r="H4570" s="184"/>
      <c r="I4570" s="184"/>
      <c r="J4570" s="184"/>
      <c r="K4570" s="184"/>
      <c r="L4570" s="184"/>
      <c r="M4570" s="184"/>
      <c r="N4570" s="184"/>
      <c r="O4570" s="184"/>
    </row>
    <row r="4571" customFormat="false" ht="15" hidden="false" customHeight="true" outlineLevel="0" collapsed="false">
      <c r="A4571" s="184"/>
      <c r="B4571" s="184"/>
      <c r="C4571" s="184"/>
      <c r="D4571" s="184"/>
      <c r="E4571" s="184"/>
      <c r="F4571" s="184"/>
      <c r="G4571" s="184"/>
      <c r="H4571" s="184"/>
      <c r="I4571" s="184"/>
      <c r="J4571" s="184"/>
      <c r="K4571" s="184"/>
      <c r="L4571" s="184"/>
      <c r="M4571" s="184"/>
      <c r="N4571" s="184"/>
      <c r="O4571" s="184"/>
    </row>
    <row r="4572" customFormat="false" ht="15" hidden="false" customHeight="true" outlineLevel="0" collapsed="false">
      <c r="A4572" s="184"/>
      <c r="B4572" s="184"/>
      <c r="C4572" s="184"/>
      <c r="D4572" s="184"/>
      <c r="E4572" s="184"/>
      <c r="F4572" s="184"/>
      <c r="G4572" s="184"/>
      <c r="H4572" s="184"/>
      <c r="I4572" s="184"/>
      <c r="J4572" s="184"/>
      <c r="K4572" s="184"/>
      <c r="L4572" s="184"/>
      <c r="M4572" s="184"/>
      <c r="N4572" s="184"/>
      <c r="O4572" s="184"/>
    </row>
    <row r="4573" customFormat="false" ht="15" hidden="false" customHeight="true" outlineLevel="0" collapsed="false">
      <c r="A4573" s="184"/>
      <c r="B4573" s="184"/>
      <c r="C4573" s="184"/>
      <c r="D4573" s="184"/>
      <c r="E4573" s="184"/>
      <c r="F4573" s="184"/>
      <c r="G4573" s="184"/>
      <c r="H4573" s="184"/>
      <c r="I4573" s="184"/>
      <c r="J4573" s="184"/>
      <c r="K4573" s="184"/>
      <c r="L4573" s="184"/>
      <c r="M4573" s="184"/>
      <c r="N4573" s="184"/>
      <c r="O4573" s="184"/>
    </row>
    <row r="4574" customFormat="false" ht="15" hidden="false" customHeight="true" outlineLevel="0" collapsed="false">
      <c r="A4574" s="184"/>
      <c r="B4574" s="184"/>
      <c r="C4574" s="184"/>
      <c r="D4574" s="184"/>
      <c r="E4574" s="184"/>
      <c r="F4574" s="184"/>
      <c r="G4574" s="184"/>
      <c r="H4574" s="184"/>
      <c r="I4574" s="184"/>
      <c r="J4574" s="184"/>
      <c r="K4574" s="184"/>
      <c r="L4574" s="184"/>
      <c r="M4574" s="184"/>
      <c r="N4574" s="184"/>
      <c r="O4574" s="184"/>
    </row>
    <row r="4575" customFormat="false" ht="15" hidden="false" customHeight="true" outlineLevel="0" collapsed="false">
      <c r="A4575" s="184"/>
      <c r="B4575" s="184"/>
      <c r="C4575" s="184"/>
      <c r="D4575" s="184"/>
      <c r="E4575" s="184"/>
      <c r="F4575" s="184"/>
      <c r="G4575" s="184"/>
      <c r="H4575" s="184"/>
      <c r="I4575" s="184"/>
      <c r="J4575" s="184"/>
      <c r="K4575" s="184"/>
      <c r="L4575" s="184"/>
      <c r="M4575" s="184"/>
      <c r="N4575" s="184"/>
      <c r="O4575" s="184"/>
    </row>
    <row r="4576" customFormat="false" ht="15" hidden="false" customHeight="true" outlineLevel="0" collapsed="false">
      <c r="A4576" s="184"/>
      <c r="B4576" s="184"/>
      <c r="C4576" s="184"/>
      <c r="D4576" s="184"/>
      <c r="E4576" s="184"/>
      <c r="F4576" s="184"/>
      <c r="G4576" s="184"/>
      <c r="H4576" s="184"/>
      <c r="I4576" s="184"/>
      <c r="J4576" s="184"/>
      <c r="K4576" s="184"/>
      <c r="L4576" s="184"/>
      <c r="M4576" s="184"/>
      <c r="N4576" s="184"/>
      <c r="O4576" s="184"/>
    </row>
    <row r="4577" customFormat="false" ht="15" hidden="false" customHeight="true" outlineLevel="0" collapsed="false">
      <c r="A4577" s="184"/>
      <c r="B4577" s="184"/>
      <c r="C4577" s="184"/>
      <c r="D4577" s="184"/>
      <c r="E4577" s="184"/>
      <c r="F4577" s="184"/>
      <c r="G4577" s="184"/>
      <c r="H4577" s="184"/>
      <c r="I4577" s="184"/>
      <c r="J4577" s="184"/>
      <c r="K4577" s="184"/>
      <c r="L4577" s="184"/>
      <c r="M4577" s="184"/>
      <c r="N4577" s="184"/>
      <c r="O4577" s="184"/>
    </row>
    <row r="4578" customFormat="false" ht="15" hidden="false" customHeight="true" outlineLevel="0" collapsed="false">
      <c r="A4578" s="184"/>
      <c r="B4578" s="184"/>
      <c r="C4578" s="184"/>
      <c r="D4578" s="184"/>
      <c r="E4578" s="184"/>
      <c r="F4578" s="184"/>
      <c r="G4578" s="184"/>
      <c r="H4578" s="184"/>
      <c r="I4578" s="184"/>
      <c r="J4578" s="184"/>
      <c r="K4578" s="184"/>
      <c r="L4578" s="184"/>
      <c r="M4578" s="184"/>
      <c r="N4578" s="184"/>
      <c r="O4578" s="184"/>
    </row>
    <row r="4579" customFormat="false" ht="15" hidden="false" customHeight="true" outlineLevel="0" collapsed="false">
      <c r="A4579" s="184"/>
      <c r="B4579" s="184"/>
      <c r="C4579" s="184"/>
      <c r="D4579" s="184"/>
      <c r="E4579" s="184"/>
      <c r="F4579" s="184"/>
      <c r="G4579" s="184"/>
      <c r="H4579" s="184"/>
      <c r="I4579" s="184"/>
      <c r="J4579" s="184"/>
      <c r="K4579" s="184"/>
      <c r="L4579" s="184"/>
      <c r="M4579" s="184"/>
      <c r="N4579" s="184"/>
      <c r="O4579" s="184"/>
    </row>
    <row r="4580" customFormat="false" ht="15" hidden="false" customHeight="true" outlineLevel="0" collapsed="false">
      <c r="A4580" s="184"/>
      <c r="B4580" s="184"/>
      <c r="C4580" s="184"/>
      <c r="D4580" s="184"/>
      <c r="E4580" s="184"/>
      <c r="F4580" s="184"/>
      <c r="G4580" s="184"/>
      <c r="H4580" s="184"/>
      <c r="I4580" s="184"/>
      <c r="J4580" s="184"/>
      <c r="K4580" s="184"/>
      <c r="L4580" s="184"/>
      <c r="M4580" s="184"/>
      <c r="N4580" s="184"/>
      <c r="O4580" s="184"/>
    </row>
    <row r="4581" customFormat="false" ht="15" hidden="false" customHeight="true" outlineLevel="0" collapsed="false">
      <c r="A4581" s="184"/>
      <c r="B4581" s="184"/>
      <c r="C4581" s="184"/>
      <c r="D4581" s="184"/>
      <c r="E4581" s="184"/>
      <c r="F4581" s="184"/>
      <c r="G4581" s="184"/>
      <c r="H4581" s="184"/>
      <c r="I4581" s="184"/>
      <c r="J4581" s="184"/>
      <c r="K4581" s="184"/>
      <c r="L4581" s="184"/>
      <c r="M4581" s="184"/>
      <c r="N4581" s="184"/>
      <c r="O4581" s="184"/>
    </row>
    <row r="4582" customFormat="false" ht="15" hidden="false" customHeight="true" outlineLevel="0" collapsed="false">
      <c r="A4582" s="184"/>
      <c r="B4582" s="184"/>
      <c r="C4582" s="184"/>
      <c r="D4582" s="184"/>
      <c r="E4582" s="184"/>
      <c r="F4582" s="184"/>
      <c r="G4582" s="184"/>
      <c r="H4582" s="184"/>
      <c r="I4582" s="184"/>
      <c r="J4582" s="184"/>
      <c r="K4582" s="184"/>
      <c r="L4582" s="184"/>
      <c r="M4582" s="184"/>
      <c r="N4582" s="184"/>
      <c r="O4582" s="184"/>
    </row>
    <row r="4583" customFormat="false" ht="15" hidden="false" customHeight="true" outlineLevel="0" collapsed="false">
      <c r="A4583" s="184"/>
      <c r="B4583" s="184"/>
      <c r="C4583" s="184"/>
      <c r="D4583" s="184"/>
      <c r="E4583" s="184"/>
      <c r="F4583" s="184"/>
      <c r="G4583" s="184"/>
      <c r="H4583" s="184"/>
      <c r="I4583" s="184"/>
      <c r="J4583" s="184"/>
      <c r="K4583" s="184"/>
      <c r="L4583" s="184"/>
      <c r="M4583" s="184"/>
      <c r="N4583" s="184"/>
      <c r="O4583" s="184"/>
    </row>
    <row r="4584" customFormat="false" ht="15" hidden="false" customHeight="true" outlineLevel="0" collapsed="false">
      <c r="A4584" s="184"/>
      <c r="B4584" s="184"/>
      <c r="C4584" s="184"/>
      <c r="D4584" s="184"/>
      <c r="E4584" s="184"/>
      <c r="F4584" s="184"/>
      <c r="G4584" s="184"/>
      <c r="H4584" s="184"/>
      <c r="I4584" s="184"/>
      <c r="J4584" s="184"/>
      <c r="K4584" s="184"/>
      <c r="L4584" s="184"/>
      <c r="M4584" s="184"/>
      <c r="N4584" s="184"/>
      <c r="O4584" s="184"/>
    </row>
    <row r="4585" customFormat="false" ht="15" hidden="false" customHeight="true" outlineLevel="0" collapsed="false">
      <c r="A4585" s="184"/>
      <c r="B4585" s="184"/>
      <c r="C4585" s="184"/>
      <c r="D4585" s="184"/>
      <c r="E4585" s="184"/>
      <c r="F4585" s="184"/>
      <c r="G4585" s="184"/>
      <c r="H4585" s="184"/>
      <c r="I4585" s="184"/>
      <c r="J4585" s="184"/>
      <c r="K4585" s="184"/>
      <c r="L4585" s="184"/>
      <c r="M4585" s="184"/>
      <c r="N4585" s="184"/>
      <c r="O4585" s="184"/>
    </row>
    <row r="4586" customFormat="false" ht="15" hidden="false" customHeight="true" outlineLevel="0" collapsed="false">
      <c r="A4586" s="184"/>
      <c r="B4586" s="184"/>
      <c r="C4586" s="184"/>
      <c r="D4586" s="184"/>
      <c r="E4586" s="184"/>
      <c r="F4586" s="184"/>
      <c r="G4586" s="184"/>
      <c r="H4586" s="184"/>
      <c r="I4586" s="184"/>
      <c r="J4586" s="184"/>
      <c r="K4586" s="184"/>
      <c r="L4586" s="184"/>
      <c r="M4586" s="184"/>
      <c r="N4586" s="184"/>
      <c r="O4586" s="184"/>
    </row>
    <row r="4587" customFormat="false" ht="15" hidden="false" customHeight="true" outlineLevel="0" collapsed="false">
      <c r="A4587" s="184"/>
      <c r="B4587" s="184"/>
      <c r="C4587" s="184"/>
      <c r="D4587" s="184"/>
      <c r="E4587" s="184"/>
      <c r="F4587" s="184"/>
      <c r="G4587" s="184"/>
      <c r="H4587" s="184"/>
      <c r="I4587" s="184"/>
      <c r="J4587" s="184"/>
      <c r="K4587" s="184"/>
      <c r="L4587" s="184"/>
      <c r="M4587" s="184"/>
      <c r="N4587" s="184"/>
      <c r="O4587" s="184"/>
    </row>
    <row r="4588" customFormat="false" ht="15" hidden="false" customHeight="true" outlineLevel="0" collapsed="false">
      <c r="A4588" s="184"/>
      <c r="B4588" s="184"/>
      <c r="C4588" s="184"/>
      <c r="D4588" s="184"/>
      <c r="E4588" s="184"/>
      <c r="F4588" s="184"/>
      <c r="G4588" s="184"/>
      <c r="H4588" s="184"/>
      <c r="I4588" s="184"/>
      <c r="J4588" s="184"/>
      <c r="K4588" s="184"/>
      <c r="L4588" s="184"/>
      <c r="M4588" s="184"/>
      <c r="N4588" s="184"/>
      <c r="O4588" s="184"/>
    </row>
    <row r="4589" customFormat="false" ht="15" hidden="false" customHeight="true" outlineLevel="0" collapsed="false">
      <c r="A4589" s="184"/>
      <c r="B4589" s="184"/>
      <c r="C4589" s="184"/>
      <c r="D4589" s="184"/>
      <c r="E4589" s="184"/>
      <c r="F4589" s="184"/>
      <c r="G4589" s="184"/>
      <c r="H4589" s="184"/>
      <c r="I4589" s="184"/>
      <c r="J4589" s="184"/>
      <c r="K4589" s="184"/>
      <c r="L4589" s="184"/>
      <c r="M4589" s="184"/>
      <c r="N4589" s="184"/>
      <c r="O4589" s="184"/>
    </row>
    <row r="4590" customFormat="false" ht="15" hidden="false" customHeight="true" outlineLevel="0" collapsed="false">
      <c r="A4590" s="184"/>
      <c r="B4590" s="184"/>
      <c r="C4590" s="184"/>
      <c r="D4590" s="184"/>
      <c r="E4590" s="184"/>
      <c r="F4590" s="184"/>
      <c r="G4590" s="184"/>
      <c r="H4590" s="184"/>
      <c r="I4590" s="184"/>
      <c r="J4590" s="184"/>
      <c r="K4590" s="184"/>
      <c r="L4590" s="184"/>
      <c r="M4590" s="184"/>
      <c r="N4590" s="184"/>
      <c r="O4590" s="184"/>
    </row>
    <row r="4591" customFormat="false" ht="15" hidden="false" customHeight="true" outlineLevel="0" collapsed="false">
      <c r="A4591" s="184"/>
      <c r="B4591" s="184"/>
      <c r="C4591" s="184"/>
      <c r="D4591" s="184"/>
      <c r="E4591" s="184"/>
      <c r="F4591" s="184"/>
      <c r="G4591" s="184"/>
      <c r="H4591" s="184"/>
      <c r="I4591" s="184"/>
      <c r="J4591" s="184"/>
      <c r="K4591" s="184"/>
      <c r="L4591" s="184"/>
      <c r="M4591" s="184"/>
      <c r="N4591" s="184"/>
      <c r="O4591" s="184"/>
    </row>
    <row r="4592" customFormat="false" ht="15" hidden="false" customHeight="true" outlineLevel="0" collapsed="false">
      <c r="A4592" s="184"/>
      <c r="B4592" s="184"/>
      <c r="C4592" s="184"/>
      <c r="D4592" s="184"/>
      <c r="E4592" s="184"/>
      <c r="F4592" s="184"/>
      <c r="G4592" s="184"/>
      <c r="H4592" s="184"/>
      <c r="I4592" s="184"/>
      <c r="J4592" s="184"/>
      <c r="K4592" s="184"/>
      <c r="L4592" s="184"/>
      <c r="M4592" s="184"/>
      <c r="N4592" s="184"/>
      <c r="O4592" s="184"/>
    </row>
    <row r="4593" customFormat="false" ht="15" hidden="false" customHeight="true" outlineLevel="0" collapsed="false">
      <c r="A4593" s="184"/>
      <c r="B4593" s="184"/>
      <c r="C4593" s="184"/>
      <c r="D4593" s="184"/>
      <c r="E4593" s="184"/>
      <c r="F4593" s="184"/>
      <c r="G4593" s="184"/>
      <c r="H4593" s="184"/>
      <c r="I4593" s="184"/>
      <c r="J4593" s="184"/>
      <c r="K4593" s="184"/>
      <c r="L4593" s="184"/>
      <c r="M4593" s="184"/>
      <c r="N4593" s="184"/>
      <c r="O4593" s="184"/>
    </row>
    <row r="4594" customFormat="false" ht="15" hidden="false" customHeight="true" outlineLevel="0" collapsed="false">
      <c r="A4594" s="184"/>
      <c r="B4594" s="184"/>
      <c r="C4594" s="184"/>
      <c r="D4594" s="184"/>
      <c r="E4594" s="184"/>
      <c r="F4594" s="184"/>
      <c r="G4594" s="184"/>
      <c r="H4594" s="184"/>
      <c r="I4594" s="184"/>
      <c r="J4594" s="184"/>
      <c r="K4594" s="184"/>
      <c r="L4594" s="184"/>
      <c r="M4594" s="184"/>
      <c r="N4594" s="184"/>
      <c r="O4594" s="184"/>
    </row>
    <row r="4595" customFormat="false" ht="15" hidden="false" customHeight="true" outlineLevel="0" collapsed="false">
      <c r="A4595" s="184"/>
      <c r="B4595" s="184"/>
      <c r="C4595" s="184"/>
      <c r="D4595" s="184"/>
      <c r="E4595" s="184"/>
      <c r="F4595" s="184"/>
      <c r="G4595" s="184"/>
      <c r="H4595" s="184"/>
      <c r="I4595" s="184"/>
      <c r="J4595" s="184"/>
      <c r="K4595" s="184"/>
      <c r="L4595" s="184"/>
      <c r="M4595" s="184"/>
      <c r="N4595" s="184"/>
      <c r="O4595" s="184"/>
    </row>
    <row r="4596" customFormat="false" ht="15" hidden="false" customHeight="true" outlineLevel="0" collapsed="false">
      <c r="A4596" s="184"/>
      <c r="B4596" s="184"/>
      <c r="C4596" s="184"/>
      <c r="D4596" s="184"/>
      <c r="E4596" s="184"/>
      <c r="F4596" s="184"/>
      <c r="G4596" s="184"/>
      <c r="H4596" s="184"/>
      <c r="I4596" s="184"/>
      <c r="J4596" s="184"/>
      <c r="K4596" s="184"/>
      <c r="L4596" s="184"/>
      <c r="M4596" s="184"/>
      <c r="N4596" s="184"/>
      <c r="O4596" s="184"/>
    </row>
    <row r="4597" customFormat="false" ht="15" hidden="false" customHeight="true" outlineLevel="0" collapsed="false">
      <c r="A4597" s="184"/>
      <c r="B4597" s="184"/>
      <c r="C4597" s="184"/>
      <c r="D4597" s="184"/>
      <c r="E4597" s="184"/>
      <c r="F4597" s="184"/>
      <c r="G4597" s="184"/>
      <c r="H4597" s="184"/>
      <c r="I4597" s="184"/>
      <c r="J4597" s="184"/>
      <c r="K4597" s="184"/>
      <c r="L4597" s="184"/>
      <c r="M4597" s="184"/>
      <c r="N4597" s="184"/>
      <c r="O4597" s="184"/>
    </row>
    <row r="4598" customFormat="false" ht="15" hidden="false" customHeight="true" outlineLevel="0" collapsed="false">
      <c r="A4598" s="184"/>
      <c r="B4598" s="184"/>
      <c r="C4598" s="184"/>
      <c r="D4598" s="184"/>
      <c r="E4598" s="184"/>
      <c r="F4598" s="184"/>
      <c r="G4598" s="184"/>
      <c r="H4598" s="184"/>
      <c r="I4598" s="184"/>
      <c r="J4598" s="184"/>
      <c r="K4598" s="184"/>
      <c r="L4598" s="184"/>
      <c r="M4598" s="184"/>
      <c r="N4598" s="184"/>
      <c r="O4598" s="184"/>
    </row>
    <row r="4599" customFormat="false" ht="15" hidden="false" customHeight="true" outlineLevel="0" collapsed="false">
      <c r="A4599" s="184"/>
      <c r="B4599" s="184"/>
      <c r="C4599" s="184"/>
      <c r="D4599" s="184"/>
      <c r="E4599" s="184"/>
      <c r="F4599" s="184"/>
      <c r="G4599" s="184"/>
      <c r="H4599" s="184"/>
      <c r="I4599" s="184"/>
      <c r="J4599" s="184"/>
      <c r="K4599" s="184"/>
      <c r="L4599" s="184"/>
      <c r="M4599" s="184"/>
      <c r="N4599" s="184"/>
      <c r="O4599" s="184"/>
    </row>
    <row r="4600" customFormat="false" ht="15" hidden="false" customHeight="true" outlineLevel="0" collapsed="false">
      <c r="A4600" s="184"/>
      <c r="B4600" s="184"/>
      <c r="C4600" s="184"/>
      <c r="D4600" s="184"/>
      <c r="E4600" s="184"/>
      <c r="F4600" s="184"/>
      <c r="G4600" s="184"/>
      <c r="H4600" s="184"/>
      <c r="I4600" s="184"/>
      <c r="J4600" s="184"/>
      <c r="K4600" s="184"/>
      <c r="L4600" s="184"/>
      <c r="M4600" s="184"/>
      <c r="N4600" s="184"/>
      <c r="O4600" s="184"/>
    </row>
    <row r="4601" customFormat="false" ht="15" hidden="false" customHeight="true" outlineLevel="0" collapsed="false">
      <c r="A4601" s="184"/>
      <c r="B4601" s="184"/>
      <c r="C4601" s="184"/>
      <c r="D4601" s="184"/>
      <c r="E4601" s="184"/>
      <c r="F4601" s="184"/>
      <c r="G4601" s="184"/>
      <c r="H4601" s="184"/>
      <c r="I4601" s="184"/>
      <c r="J4601" s="184"/>
      <c r="K4601" s="184"/>
      <c r="L4601" s="184"/>
      <c r="M4601" s="184"/>
      <c r="N4601" s="184"/>
      <c r="O4601" s="184"/>
    </row>
    <row r="4602" customFormat="false" ht="15" hidden="false" customHeight="true" outlineLevel="0" collapsed="false">
      <c r="A4602" s="184"/>
      <c r="B4602" s="184"/>
      <c r="C4602" s="184"/>
      <c r="D4602" s="184"/>
      <c r="E4602" s="184"/>
      <c r="F4602" s="184"/>
      <c r="G4602" s="184"/>
      <c r="H4602" s="184"/>
      <c r="I4602" s="184"/>
      <c r="J4602" s="184"/>
      <c r="K4602" s="184"/>
      <c r="L4602" s="184"/>
      <c r="M4602" s="184"/>
      <c r="N4602" s="184"/>
      <c r="O4602" s="184"/>
    </row>
    <row r="4603" customFormat="false" ht="15" hidden="false" customHeight="true" outlineLevel="0" collapsed="false">
      <c r="A4603" s="184"/>
      <c r="B4603" s="184"/>
      <c r="C4603" s="184"/>
      <c r="D4603" s="184"/>
      <c r="E4603" s="184"/>
      <c r="F4603" s="184"/>
      <c r="G4603" s="184"/>
      <c r="H4603" s="184"/>
      <c r="I4603" s="184"/>
      <c r="J4603" s="184"/>
      <c r="K4603" s="184"/>
      <c r="L4603" s="184"/>
      <c r="M4603" s="184"/>
      <c r="N4603" s="184"/>
      <c r="O4603" s="184"/>
    </row>
    <row r="4604" customFormat="false" ht="15" hidden="false" customHeight="true" outlineLevel="0" collapsed="false">
      <c r="A4604" s="184"/>
      <c r="B4604" s="184"/>
      <c r="C4604" s="184"/>
      <c r="D4604" s="184"/>
      <c r="E4604" s="184"/>
      <c r="F4604" s="184"/>
      <c r="G4604" s="184"/>
      <c r="H4604" s="184"/>
      <c r="I4604" s="184"/>
      <c r="J4604" s="184"/>
      <c r="K4604" s="184"/>
      <c r="L4604" s="184"/>
      <c r="M4604" s="184"/>
      <c r="N4604" s="184"/>
      <c r="O4604" s="184"/>
    </row>
    <row r="4605" customFormat="false" ht="15" hidden="false" customHeight="true" outlineLevel="0" collapsed="false">
      <c r="A4605" s="184"/>
      <c r="B4605" s="184"/>
      <c r="C4605" s="184"/>
      <c r="D4605" s="184"/>
      <c r="E4605" s="184"/>
      <c r="F4605" s="184"/>
      <c r="G4605" s="184"/>
      <c r="H4605" s="184"/>
      <c r="I4605" s="184"/>
      <c r="J4605" s="184"/>
      <c r="K4605" s="184"/>
      <c r="L4605" s="184"/>
      <c r="M4605" s="184"/>
      <c r="N4605" s="184"/>
      <c r="O4605" s="184"/>
    </row>
    <row r="4606" customFormat="false" ht="15" hidden="false" customHeight="true" outlineLevel="0" collapsed="false">
      <c r="A4606" s="184"/>
      <c r="B4606" s="184"/>
      <c r="C4606" s="184"/>
      <c r="D4606" s="184"/>
      <c r="E4606" s="184"/>
      <c r="F4606" s="184"/>
      <c r="G4606" s="184"/>
      <c r="H4606" s="184"/>
      <c r="I4606" s="184"/>
      <c r="J4606" s="184"/>
      <c r="K4606" s="184"/>
      <c r="L4606" s="184"/>
      <c r="M4606" s="184"/>
      <c r="N4606" s="184"/>
      <c r="O4606" s="184"/>
    </row>
    <row r="4607" customFormat="false" ht="15" hidden="false" customHeight="true" outlineLevel="0" collapsed="false">
      <c r="A4607" s="184"/>
      <c r="B4607" s="184"/>
      <c r="C4607" s="184"/>
      <c r="D4607" s="184"/>
      <c r="E4607" s="184"/>
      <c r="F4607" s="184"/>
      <c r="G4607" s="184"/>
      <c r="H4607" s="184"/>
      <c r="I4607" s="184"/>
      <c r="J4607" s="184"/>
      <c r="K4607" s="184"/>
      <c r="L4607" s="184"/>
      <c r="M4607" s="184"/>
      <c r="N4607" s="184"/>
      <c r="O4607" s="184"/>
    </row>
    <row r="4608" customFormat="false" ht="15" hidden="false" customHeight="true" outlineLevel="0" collapsed="false">
      <c r="A4608" s="184"/>
      <c r="B4608" s="184"/>
      <c r="C4608" s="184"/>
      <c r="D4608" s="184"/>
      <c r="E4608" s="184"/>
      <c r="F4608" s="184"/>
      <c r="G4608" s="184"/>
      <c r="H4608" s="184"/>
      <c r="I4608" s="184"/>
      <c r="J4608" s="184"/>
      <c r="K4608" s="184"/>
      <c r="L4608" s="184"/>
      <c r="M4608" s="184"/>
      <c r="N4608" s="184"/>
      <c r="O4608" s="184"/>
    </row>
    <row r="4609" customFormat="false" ht="15" hidden="false" customHeight="true" outlineLevel="0" collapsed="false">
      <c r="A4609" s="184"/>
      <c r="B4609" s="184"/>
      <c r="C4609" s="184"/>
      <c r="D4609" s="184"/>
      <c r="E4609" s="184"/>
      <c r="F4609" s="184"/>
      <c r="G4609" s="184"/>
      <c r="H4609" s="184"/>
      <c r="I4609" s="184"/>
      <c r="J4609" s="184"/>
      <c r="K4609" s="184"/>
      <c r="L4609" s="184"/>
      <c r="M4609" s="184"/>
      <c r="N4609" s="184"/>
      <c r="O4609" s="184"/>
    </row>
    <row r="4610" customFormat="false" ht="15" hidden="false" customHeight="true" outlineLevel="0" collapsed="false">
      <c r="A4610" s="184"/>
      <c r="B4610" s="184"/>
      <c r="C4610" s="184"/>
      <c r="D4610" s="184"/>
      <c r="E4610" s="184"/>
      <c r="F4610" s="184"/>
      <c r="G4610" s="184"/>
      <c r="H4610" s="184"/>
      <c r="I4610" s="184"/>
      <c r="J4610" s="184"/>
      <c r="K4610" s="184"/>
      <c r="L4610" s="184"/>
      <c r="M4610" s="184"/>
      <c r="N4610" s="184"/>
      <c r="O4610" s="184"/>
    </row>
    <row r="4611" customFormat="false" ht="15" hidden="false" customHeight="true" outlineLevel="0" collapsed="false">
      <c r="A4611" s="184"/>
      <c r="B4611" s="184"/>
      <c r="C4611" s="184"/>
      <c r="D4611" s="184"/>
      <c r="E4611" s="184"/>
      <c r="F4611" s="184"/>
      <c r="G4611" s="184"/>
      <c r="H4611" s="184"/>
      <c r="I4611" s="184"/>
      <c r="J4611" s="184"/>
      <c r="K4611" s="184"/>
      <c r="L4611" s="184"/>
      <c r="M4611" s="184"/>
      <c r="N4611" s="184"/>
      <c r="O4611" s="184"/>
    </row>
    <row r="4612" customFormat="false" ht="15" hidden="false" customHeight="true" outlineLevel="0" collapsed="false">
      <c r="A4612" s="184"/>
      <c r="B4612" s="184"/>
      <c r="C4612" s="184"/>
      <c r="D4612" s="184"/>
      <c r="E4612" s="184"/>
      <c r="F4612" s="184"/>
      <c r="G4612" s="184"/>
      <c r="H4612" s="184"/>
      <c r="I4612" s="184"/>
      <c r="J4612" s="184"/>
      <c r="K4612" s="184"/>
      <c r="L4612" s="184"/>
      <c r="M4612" s="184"/>
      <c r="N4612" s="184"/>
      <c r="O4612" s="184"/>
    </row>
    <row r="4613" customFormat="false" ht="15" hidden="false" customHeight="true" outlineLevel="0" collapsed="false">
      <c r="A4613" s="184"/>
      <c r="B4613" s="184"/>
      <c r="C4613" s="184"/>
      <c r="D4613" s="184"/>
      <c r="E4613" s="184"/>
      <c r="F4613" s="184"/>
      <c r="G4613" s="184"/>
      <c r="H4613" s="184"/>
      <c r="I4613" s="184"/>
      <c r="J4613" s="184"/>
      <c r="K4613" s="184"/>
      <c r="L4613" s="184"/>
      <c r="M4613" s="184"/>
      <c r="N4613" s="184"/>
      <c r="O4613" s="184"/>
    </row>
    <row r="4614" customFormat="false" ht="15" hidden="false" customHeight="true" outlineLevel="0" collapsed="false">
      <c r="A4614" s="184"/>
      <c r="B4614" s="184"/>
      <c r="C4614" s="184"/>
      <c r="D4614" s="184"/>
      <c r="E4614" s="184"/>
      <c r="F4614" s="184"/>
      <c r="G4614" s="184"/>
      <c r="H4614" s="184"/>
      <c r="I4614" s="184"/>
      <c r="J4614" s="184"/>
      <c r="K4614" s="184"/>
      <c r="L4614" s="184"/>
      <c r="M4614" s="184"/>
      <c r="N4614" s="184"/>
      <c r="O4614" s="184"/>
    </row>
    <row r="4615" customFormat="false" ht="15" hidden="false" customHeight="true" outlineLevel="0" collapsed="false">
      <c r="A4615" s="184"/>
      <c r="B4615" s="184"/>
      <c r="C4615" s="184"/>
      <c r="D4615" s="184"/>
      <c r="E4615" s="184"/>
      <c r="F4615" s="184"/>
      <c r="G4615" s="184"/>
      <c r="H4615" s="184"/>
      <c r="I4615" s="184"/>
      <c r="J4615" s="184"/>
      <c r="K4615" s="184"/>
      <c r="L4615" s="184"/>
      <c r="M4615" s="184"/>
      <c r="N4615" s="184"/>
      <c r="O4615" s="184"/>
    </row>
    <row r="4616" customFormat="false" ht="15" hidden="false" customHeight="true" outlineLevel="0" collapsed="false">
      <c r="A4616" s="184"/>
      <c r="B4616" s="184"/>
      <c r="C4616" s="184"/>
      <c r="D4616" s="184"/>
      <c r="E4616" s="184"/>
      <c r="F4616" s="184"/>
      <c r="G4616" s="184"/>
      <c r="H4616" s="184"/>
      <c r="I4616" s="184"/>
      <c r="J4616" s="184"/>
      <c r="K4616" s="184"/>
      <c r="L4616" s="184"/>
      <c r="M4616" s="184"/>
      <c r="N4616" s="184"/>
      <c r="O4616" s="184"/>
    </row>
    <row r="4617" customFormat="false" ht="15" hidden="false" customHeight="true" outlineLevel="0" collapsed="false">
      <c r="A4617" s="184"/>
      <c r="B4617" s="184"/>
      <c r="C4617" s="184"/>
      <c r="D4617" s="184"/>
      <c r="E4617" s="184"/>
      <c r="F4617" s="184"/>
      <c r="G4617" s="184"/>
      <c r="H4617" s="184"/>
      <c r="I4617" s="184"/>
      <c r="J4617" s="184"/>
      <c r="K4617" s="184"/>
      <c r="L4617" s="184"/>
      <c r="M4617" s="184"/>
      <c r="N4617" s="184"/>
      <c r="O4617" s="184"/>
    </row>
    <row r="4618" customFormat="false" ht="15" hidden="false" customHeight="true" outlineLevel="0" collapsed="false">
      <c r="A4618" s="184"/>
      <c r="B4618" s="184"/>
      <c r="C4618" s="184"/>
      <c r="D4618" s="184"/>
      <c r="E4618" s="184"/>
      <c r="F4618" s="184"/>
      <c r="G4618" s="184"/>
      <c r="H4618" s="184"/>
      <c r="I4618" s="184"/>
      <c r="J4618" s="184"/>
      <c r="K4618" s="184"/>
      <c r="L4618" s="184"/>
      <c r="M4618" s="184"/>
      <c r="N4618" s="184"/>
      <c r="O4618" s="184"/>
    </row>
    <row r="4619" customFormat="false" ht="15" hidden="false" customHeight="true" outlineLevel="0" collapsed="false">
      <c r="A4619" s="184"/>
      <c r="B4619" s="184"/>
      <c r="C4619" s="184"/>
      <c r="D4619" s="184"/>
      <c r="E4619" s="184"/>
      <c r="F4619" s="184"/>
      <c r="G4619" s="184"/>
      <c r="H4619" s="184"/>
      <c r="I4619" s="184"/>
      <c r="J4619" s="184"/>
      <c r="K4619" s="184"/>
      <c r="L4619" s="184"/>
      <c r="M4619" s="184"/>
      <c r="N4619" s="184"/>
      <c r="O4619" s="184"/>
    </row>
    <row r="4620" customFormat="false" ht="15" hidden="false" customHeight="true" outlineLevel="0" collapsed="false">
      <c r="A4620" s="184"/>
      <c r="B4620" s="184"/>
      <c r="C4620" s="184"/>
      <c r="D4620" s="184"/>
      <c r="E4620" s="184"/>
      <c r="F4620" s="184"/>
      <c r="G4620" s="184"/>
      <c r="H4620" s="184"/>
      <c r="I4620" s="184"/>
      <c r="J4620" s="184"/>
      <c r="K4620" s="184"/>
      <c r="L4620" s="184"/>
      <c r="M4620" s="184"/>
      <c r="N4620" s="184"/>
      <c r="O4620" s="184"/>
    </row>
    <row r="4621" customFormat="false" ht="15" hidden="false" customHeight="true" outlineLevel="0" collapsed="false">
      <c r="A4621" s="184"/>
      <c r="B4621" s="184"/>
      <c r="C4621" s="184"/>
      <c r="D4621" s="184"/>
      <c r="E4621" s="184"/>
      <c r="F4621" s="184"/>
      <c r="G4621" s="184"/>
      <c r="H4621" s="184"/>
      <c r="I4621" s="184"/>
      <c r="J4621" s="184"/>
      <c r="K4621" s="184"/>
      <c r="L4621" s="184"/>
      <c r="M4621" s="184"/>
      <c r="N4621" s="184"/>
      <c r="O4621" s="184"/>
    </row>
    <row r="4622" customFormat="false" ht="15" hidden="false" customHeight="true" outlineLevel="0" collapsed="false">
      <c r="A4622" s="184"/>
      <c r="B4622" s="184"/>
      <c r="C4622" s="184"/>
      <c r="D4622" s="184"/>
      <c r="E4622" s="184"/>
      <c r="F4622" s="184"/>
      <c r="G4622" s="184"/>
      <c r="H4622" s="184"/>
      <c r="I4622" s="184"/>
      <c r="J4622" s="184"/>
      <c r="K4622" s="184"/>
      <c r="L4622" s="184"/>
      <c r="M4622" s="184"/>
      <c r="N4622" s="184"/>
      <c r="O4622" s="184"/>
    </row>
    <row r="4623" customFormat="false" ht="15" hidden="false" customHeight="true" outlineLevel="0" collapsed="false">
      <c r="A4623" s="184"/>
      <c r="B4623" s="184"/>
      <c r="C4623" s="184"/>
      <c r="D4623" s="184"/>
      <c r="E4623" s="184"/>
      <c r="F4623" s="184"/>
      <c r="G4623" s="184"/>
      <c r="H4623" s="184"/>
      <c r="I4623" s="184"/>
      <c r="J4623" s="184"/>
      <c r="K4623" s="184"/>
      <c r="L4623" s="184"/>
      <c r="M4623" s="184"/>
      <c r="N4623" s="184"/>
      <c r="O4623" s="184"/>
    </row>
    <row r="4624" customFormat="false" ht="15" hidden="false" customHeight="true" outlineLevel="0" collapsed="false">
      <c r="A4624" s="184"/>
      <c r="B4624" s="184"/>
      <c r="C4624" s="184"/>
      <c r="D4624" s="184"/>
      <c r="E4624" s="184"/>
      <c r="F4624" s="184"/>
      <c r="G4624" s="184"/>
      <c r="H4624" s="184"/>
      <c r="I4624" s="184"/>
      <c r="J4624" s="184"/>
      <c r="K4624" s="184"/>
      <c r="L4624" s="184"/>
      <c r="M4624" s="184"/>
      <c r="N4624" s="184"/>
      <c r="O4624" s="184"/>
    </row>
    <row r="4625" customFormat="false" ht="15" hidden="false" customHeight="true" outlineLevel="0" collapsed="false">
      <c r="A4625" s="184"/>
      <c r="B4625" s="184"/>
      <c r="C4625" s="184"/>
      <c r="D4625" s="184"/>
      <c r="E4625" s="184"/>
      <c r="F4625" s="184"/>
      <c r="G4625" s="184"/>
      <c r="H4625" s="184"/>
      <c r="I4625" s="184"/>
      <c r="J4625" s="184"/>
      <c r="K4625" s="184"/>
      <c r="L4625" s="184"/>
      <c r="M4625" s="184"/>
      <c r="N4625" s="184"/>
      <c r="O4625" s="184"/>
    </row>
    <row r="4626" customFormat="false" ht="15" hidden="false" customHeight="true" outlineLevel="0" collapsed="false">
      <c r="A4626" s="184"/>
      <c r="B4626" s="184"/>
      <c r="C4626" s="184"/>
      <c r="D4626" s="184"/>
      <c r="E4626" s="184"/>
      <c r="F4626" s="184"/>
      <c r="G4626" s="184"/>
      <c r="H4626" s="184"/>
      <c r="I4626" s="184"/>
      <c r="J4626" s="184"/>
      <c r="K4626" s="184"/>
      <c r="L4626" s="184"/>
      <c r="M4626" s="184"/>
      <c r="N4626" s="184"/>
      <c r="O4626" s="184"/>
    </row>
    <row r="4627" customFormat="false" ht="15" hidden="false" customHeight="true" outlineLevel="0" collapsed="false">
      <c r="A4627" s="184"/>
      <c r="B4627" s="184"/>
      <c r="C4627" s="184"/>
      <c r="D4627" s="184"/>
      <c r="E4627" s="184"/>
      <c r="F4627" s="184"/>
      <c r="G4627" s="184"/>
      <c r="H4627" s="184"/>
      <c r="I4627" s="184"/>
      <c r="J4627" s="184"/>
      <c r="K4627" s="184"/>
      <c r="L4627" s="184"/>
      <c r="M4627" s="184"/>
      <c r="N4627" s="184"/>
      <c r="O4627" s="184"/>
    </row>
    <row r="4628" customFormat="false" ht="15" hidden="false" customHeight="true" outlineLevel="0" collapsed="false">
      <c r="A4628" s="184"/>
      <c r="B4628" s="184"/>
      <c r="C4628" s="184"/>
      <c r="D4628" s="184"/>
      <c r="E4628" s="184"/>
      <c r="F4628" s="184"/>
      <c r="G4628" s="184"/>
      <c r="H4628" s="184"/>
      <c r="I4628" s="184"/>
      <c r="J4628" s="184"/>
      <c r="K4628" s="184"/>
      <c r="L4628" s="184"/>
      <c r="M4628" s="184"/>
      <c r="N4628" s="184"/>
      <c r="O4628" s="184"/>
    </row>
    <row r="4629" customFormat="false" ht="15" hidden="false" customHeight="true" outlineLevel="0" collapsed="false">
      <c r="A4629" s="184"/>
      <c r="B4629" s="184"/>
      <c r="C4629" s="184"/>
      <c r="D4629" s="184"/>
      <c r="E4629" s="184"/>
      <c r="F4629" s="184"/>
      <c r="G4629" s="184"/>
      <c r="H4629" s="184"/>
      <c r="I4629" s="184"/>
      <c r="J4629" s="184"/>
      <c r="K4629" s="184"/>
      <c r="L4629" s="184"/>
      <c r="M4629" s="184"/>
      <c r="N4629" s="184"/>
      <c r="O4629" s="184"/>
    </row>
    <row r="4630" customFormat="false" ht="15" hidden="false" customHeight="true" outlineLevel="0" collapsed="false">
      <c r="A4630" s="184"/>
      <c r="B4630" s="184"/>
      <c r="C4630" s="184"/>
      <c r="D4630" s="184"/>
      <c r="E4630" s="184"/>
      <c r="F4630" s="184"/>
      <c r="G4630" s="184"/>
      <c r="H4630" s="184"/>
      <c r="I4630" s="184"/>
      <c r="J4630" s="184"/>
      <c r="K4630" s="184"/>
      <c r="L4630" s="184"/>
      <c r="M4630" s="184"/>
      <c r="N4630" s="184"/>
      <c r="O4630" s="184"/>
    </row>
    <row r="4631" customFormat="false" ht="15" hidden="false" customHeight="true" outlineLevel="0" collapsed="false">
      <c r="A4631" s="184"/>
      <c r="B4631" s="184"/>
      <c r="C4631" s="184"/>
      <c r="D4631" s="184"/>
      <c r="E4631" s="184"/>
      <c r="F4631" s="184"/>
      <c r="G4631" s="184"/>
      <c r="H4631" s="184"/>
      <c r="I4631" s="184"/>
      <c r="J4631" s="184"/>
      <c r="K4631" s="184"/>
      <c r="L4631" s="184"/>
      <c r="M4631" s="184"/>
      <c r="N4631" s="184"/>
      <c r="O4631" s="184"/>
    </row>
    <row r="4632" customFormat="false" ht="15" hidden="false" customHeight="true" outlineLevel="0" collapsed="false">
      <c r="A4632" s="184"/>
      <c r="B4632" s="184"/>
      <c r="C4632" s="184"/>
      <c r="D4632" s="184"/>
      <c r="E4632" s="184"/>
      <c r="F4632" s="184"/>
      <c r="G4632" s="184"/>
      <c r="H4632" s="184"/>
      <c r="I4632" s="184"/>
      <c r="J4632" s="184"/>
      <c r="K4632" s="184"/>
      <c r="L4632" s="184"/>
      <c r="M4632" s="184"/>
      <c r="N4632" s="184"/>
      <c r="O4632" s="184"/>
    </row>
    <row r="4633" customFormat="false" ht="15" hidden="false" customHeight="true" outlineLevel="0" collapsed="false">
      <c r="A4633" s="184"/>
      <c r="B4633" s="184"/>
      <c r="C4633" s="184"/>
      <c r="D4633" s="184"/>
      <c r="E4633" s="184"/>
      <c r="F4633" s="184"/>
      <c r="G4633" s="184"/>
      <c r="H4633" s="184"/>
      <c r="I4633" s="184"/>
      <c r="J4633" s="184"/>
      <c r="K4633" s="184"/>
      <c r="L4633" s="184"/>
      <c r="M4633" s="184"/>
      <c r="N4633" s="184"/>
      <c r="O4633" s="184"/>
    </row>
    <row r="4634" customFormat="false" ht="15" hidden="false" customHeight="true" outlineLevel="0" collapsed="false">
      <c r="A4634" s="184"/>
      <c r="B4634" s="184"/>
      <c r="C4634" s="184"/>
      <c r="D4634" s="184"/>
      <c r="E4634" s="184"/>
      <c r="F4634" s="184"/>
      <c r="G4634" s="184"/>
      <c r="H4634" s="184"/>
      <c r="I4634" s="184"/>
      <c r="J4634" s="184"/>
      <c r="K4634" s="184"/>
      <c r="L4634" s="184"/>
      <c r="M4634" s="184"/>
      <c r="N4634" s="184"/>
      <c r="O4634" s="184"/>
    </row>
    <row r="4635" customFormat="false" ht="15" hidden="false" customHeight="true" outlineLevel="0" collapsed="false">
      <c r="A4635" s="184"/>
      <c r="B4635" s="184"/>
      <c r="C4635" s="184"/>
      <c r="D4635" s="184"/>
      <c r="E4635" s="184"/>
      <c r="F4635" s="184"/>
      <c r="G4635" s="184"/>
      <c r="H4635" s="184"/>
      <c r="I4635" s="184"/>
      <c r="J4635" s="184"/>
      <c r="K4635" s="184"/>
      <c r="L4635" s="184"/>
      <c r="M4635" s="184"/>
      <c r="N4635" s="184"/>
      <c r="O4635" s="184"/>
    </row>
    <row r="4636" customFormat="false" ht="15" hidden="false" customHeight="true" outlineLevel="0" collapsed="false">
      <c r="A4636" s="184"/>
      <c r="B4636" s="184"/>
      <c r="C4636" s="184"/>
      <c r="D4636" s="184"/>
      <c r="E4636" s="184"/>
      <c r="F4636" s="184"/>
      <c r="G4636" s="184"/>
      <c r="H4636" s="184"/>
      <c r="I4636" s="184"/>
      <c r="J4636" s="184"/>
      <c r="K4636" s="184"/>
      <c r="L4636" s="184"/>
      <c r="M4636" s="184"/>
      <c r="N4636" s="184"/>
      <c r="O4636" s="184"/>
    </row>
    <row r="4637" customFormat="false" ht="15" hidden="false" customHeight="true" outlineLevel="0" collapsed="false">
      <c r="A4637" s="184"/>
      <c r="B4637" s="184"/>
      <c r="C4637" s="184"/>
      <c r="D4637" s="184"/>
      <c r="E4637" s="184"/>
      <c r="F4637" s="184"/>
      <c r="G4637" s="184"/>
      <c r="H4637" s="184"/>
      <c r="I4637" s="184"/>
      <c r="J4637" s="184"/>
      <c r="K4637" s="184"/>
      <c r="L4637" s="184"/>
      <c r="M4637" s="184"/>
      <c r="N4637" s="184"/>
      <c r="O4637" s="184"/>
    </row>
    <row r="4638" customFormat="false" ht="15" hidden="false" customHeight="true" outlineLevel="0" collapsed="false">
      <c r="A4638" s="184"/>
      <c r="B4638" s="184"/>
      <c r="C4638" s="184"/>
      <c r="D4638" s="184"/>
      <c r="E4638" s="184"/>
      <c r="F4638" s="184"/>
      <c r="G4638" s="184"/>
      <c r="H4638" s="184"/>
      <c r="I4638" s="184"/>
      <c r="J4638" s="184"/>
      <c r="K4638" s="184"/>
      <c r="L4638" s="184"/>
      <c r="M4638" s="184"/>
      <c r="N4638" s="184"/>
      <c r="O4638" s="184"/>
    </row>
    <row r="4639" customFormat="false" ht="15" hidden="false" customHeight="true" outlineLevel="0" collapsed="false">
      <c r="A4639" s="184"/>
      <c r="B4639" s="184"/>
      <c r="C4639" s="184"/>
      <c r="D4639" s="184"/>
      <c r="E4639" s="184"/>
      <c r="F4639" s="184"/>
      <c r="G4639" s="184"/>
      <c r="H4639" s="184"/>
      <c r="I4639" s="184"/>
      <c r="J4639" s="184"/>
      <c r="K4639" s="184"/>
      <c r="L4639" s="184"/>
      <c r="M4639" s="184"/>
      <c r="N4639" s="184"/>
      <c r="O4639" s="184"/>
    </row>
    <row r="4640" customFormat="false" ht="15" hidden="false" customHeight="true" outlineLevel="0" collapsed="false">
      <c r="A4640" s="184"/>
      <c r="B4640" s="184"/>
      <c r="C4640" s="184"/>
      <c r="D4640" s="184"/>
      <c r="E4640" s="184"/>
      <c r="F4640" s="184"/>
      <c r="G4640" s="184"/>
      <c r="H4640" s="184"/>
      <c r="I4640" s="184"/>
      <c r="J4640" s="184"/>
      <c r="K4640" s="184"/>
      <c r="L4640" s="184"/>
      <c r="M4640" s="184"/>
      <c r="N4640" s="184"/>
      <c r="O4640" s="184"/>
    </row>
    <row r="4641" customFormat="false" ht="15" hidden="false" customHeight="true" outlineLevel="0" collapsed="false">
      <c r="A4641" s="184"/>
      <c r="B4641" s="184"/>
      <c r="C4641" s="184"/>
      <c r="D4641" s="184"/>
      <c r="E4641" s="184"/>
      <c r="F4641" s="184"/>
      <c r="G4641" s="184"/>
      <c r="H4641" s="184"/>
      <c r="I4641" s="184"/>
      <c r="J4641" s="184"/>
      <c r="K4641" s="184"/>
      <c r="L4641" s="184"/>
      <c r="M4641" s="184"/>
      <c r="N4641" s="184"/>
      <c r="O4641" s="184"/>
    </row>
    <row r="4642" customFormat="false" ht="15" hidden="false" customHeight="true" outlineLevel="0" collapsed="false">
      <c r="A4642" s="184"/>
      <c r="B4642" s="184"/>
      <c r="C4642" s="184"/>
      <c r="D4642" s="184"/>
      <c r="E4642" s="184"/>
      <c r="F4642" s="184"/>
      <c r="G4642" s="184"/>
      <c r="H4642" s="184"/>
      <c r="I4642" s="184"/>
      <c r="J4642" s="184"/>
      <c r="K4642" s="184"/>
      <c r="L4642" s="184"/>
      <c r="M4642" s="184"/>
      <c r="N4642" s="184"/>
      <c r="O4642" s="184"/>
    </row>
    <row r="4643" customFormat="false" ht="15" hidden="false" customHeight="true" outlineLevel="0" collapsed="false">
      <c r="A4643" s="184"/>
      <c r="B4643" s="184"/>
      <c r="C4643" s="184"/>
      <c r="D4643" s="184"/>
      <c r="E4643" s="184"/>
      <c r="F4643" s="184"/>
      <c r="G4643" s="184"/>
      <c r="H4643" s="184"/>
      <c r="I4643" s="184"/>
      <c r="J4643" s="184"/>
      <c r="K4643" s="184"/>
      <c r="L4643" s="184"/>
      <c r="M4643" s="184"/>
      <c r="N4643" s="184"/>
      <c r="O4643" s="184"/>
    </row>
    <row r="4644" customFormat="false" ht="15" hidden="false" customHeight="true" outlineLevel="0" collapsed="false">
      <c r="A4644" s="184"/>
      <c r="B4644" s="184"/>
      <c r="C4644" s="184"/>
      <c r="D4644" s="184"/>
      <c r="E4644" s="184"/>
      <c r="F4644" s="184"/>
      <c r="G4644" s="184"/>
      <c r="H4644" s="184"/>
      <c r="I4644" s="184"/>
      <c r="J4644" s="184"/>
      <c r="K4644" s="184"/>
      <c r="L4644" s="184"/>
      <c r="M4644" s="184"/>
      <c r="N4644" s="184"/>
      <c r="O4644" s="184"/>
    </row>
    <row r="4645" customFormat="false" ht="15" hidden="false" customHeight="true" outlineLevel="0" collapsed="false">
      <c r="A4645" s="184"/>
      <c r="B4645" s="184"/>
      <c r="C4645" s="184"/>
      <c r="D4645" s="184"/>
      <c r="E4645" s="184"/>
      <c r="F4645" s="184"/>
      <c r="G4645" s="184"/>
      <c r="H4645" s="184"/>
      <c r="I4645" s="184"/>
      <c r="J4645" s="184"/>
      <c r="K4645" s="184"/>
      <c r="L4645" s="184"/>
      <c r="M4645" s="184"/>
      <c r="N4645" s="184"/>
      <c r="O4645" s="184"/>
    </row>
    <row r="4646" customFormat="false" ht="15" hidden="false" customHeight="true" outlineLevel="0" collapsed="false">
      <c r="A4646" s="184"/>
      <c r="B4646" s="184"/>
      <c r="C4646" s="184"/>
      <c r="D4646" s="184"/>
      <c r="E4646" s="184"/>
      <c r="F4646" s="184"/>
      <c r="G4646" s="184"/>
      <c r="H4646" s="184"/>
      <c r="I4646" s="184"/>
      <c r="J4646" s="184"/>
      <c r="K4646" s="184"/>
      <c r="L4646" s="184"/>
      <c r="M4646" s="184"/>
      <c r="N4646" s="184"/>
      <c r="O4646" s="184"/>
    </row>
    <row r="4647" customFormat="false" ht="15" hidden="false" customHeight="true" outlineLevel="0" collapsed="false">
      <c r="A4647" s="184"/>
      <c r="B4647" s="184"/>
      <c r="C4647" s="184"/>
      <c r="D4647" s="184"/>
      <c r="E4647" s="184"/>
      <c r="F4647" s="184"/>
      <c r="G4647" s="184"/>
      <c r="H4647" s="184"/>
      <c r="I4647" s="184"/>
      <c r="J4647" s="184"/>
      <c r="K4647" s="184"/>
      <c r="L4647" s="184"/>
      <c r="M4647" s="184"/>
      <c r="N4647" s="184"/>
      <c r="O4647" s="184"/>
    </row>
    <row r="4648" customFormat="false" ht="15" hidden="false" customHeight="true" outlineLevel="0" collapsed="false">
      <c r="A4648" s="184"/>
      <c r="B4648" s="184"/>
      <c r="C4648" s="184"/>
      <c r="D4648" s="184"/>
      <c r="E4648" s="184"/>
      <c r="F4648" s="184"/>
      <c r="G4648" s="184"/>
      <c r="H4648" s="184"/>
      <c r="I4648" s="184"/>
      <c r="J4648" s="184"/>
      <c r="K4648" s="184"/>
      <c r="L4648" s="184"/>
      <c r="M4648" s="184"/>
      <c r="N4648" s="184"/>
      <c r="O4648" s="184"/>
    </row>
    <row r="4649" customFormat="false" ht="15" hidden="false" customHeight="true" outlineLevel="0" collapsed="false">
      <c r="A4649" s="184"/>
      <c r="B4649" s="184"/>
      <c r="C4649" s="184"/>
      <c r="D4649" s="184"/>
      <c r="E4649" s="184"/>
      <c r="F4649" s="184"/>
      <c r="G4649" s="184"/>
      <c r="H4649" s="184"/>
      <c r="I4649" s="184"/>
      <c r="J4649" s="184"/>
      <c r="K4649" s="184"/>
      <c r="L4649" s="184"/>
      <c r="M4649" s="184"/>
      <c r="N4649" s="184"/>
      <c r="O4649" s="184"/>
    </row>
    <row r="4650" customFormat="false" ht="15" hidden="false" customHeight="true" outlineLevel="0" collapsed="false">
      <c r="A4650" s="184"/>
      <c r="B4650" s="184"/>
      <c r="C4650" s="184"/>
      <c r="D4650" s="184"/>
      <c r="E4650" s="184"/>
      <c r="F4650" s="184"/>
      <c r="G4650" s="184"/>
      <c r="H4650" s="184"/>
      <c r="I4650" s="184"/>
      <c r="J4650" s="184"/>
      <c r="K4650" s="184"/>
      <c r="L4650" s="184"/>
      <c r="M4650" s="184"/>
      <c r="N4650" s="184"/>
      <c r="O4650" s="184"/>
    </row>
    <row r="4651" customFormat="false" ht="15" hidden="false" customHeight="true" outlineLevel="0" collapsed="false">
      <c r="A4651" s="184"/>
      <c r="B4651" s="184"/>
      <c r="C4651" s="184"/>
      <c r="D4651" s="184"/>
      <c r="E4651" s="184"/>
      <c r="F4651" s="184"/>
      <c r="G4651" s="184"/>
      <c r="H4651" s="184"/>
      <c r="I4651" s="184"/>
      <c r="J4651" s="184"/>
      <c r="K4651" s="184"/>
      <c r="L4651" s="184"/>
      <c r="M4651" s="184"/>
      <c r="N4651" s="184"/>
      <c r="O4651" s="184"/>
    </row>
    <row r="4652" customFormat="false" ht="15" hidden="false" customHeight="true" outlineLevel="0" collapsed="false">
      <c r="A4652" s="184"/>
      <c r="B4652" s="184"/>
      <c r="C4652" s="184"/>
      <c r="D4652" s="184"/>
      <c r="E4652" s="184"/>
      <c r="F4652" s="184"/>
      <c r="G4652" s="184"/>
      <c r="H4652" s="184"/>
      <c r="I4652" s="184"/>
      <c r="J4652" s="184"/>
      <c r="K4652" s="184"/>
      <c r="L4652" s="184"/>
      <c r="M4652" s="184"/>
      <c r="N4652" s="184"/>
      <c r="O4652" s="184"/>
    </row>
    <row r="4653" customFormat="false" ht="15" hidden="false" customHeight="true" outlineLevel="0" collapsed="false">
      <c r="A4653" s="184"/>
      <c r="B4653" s="184"/>
      <c r="C4653" s="184"/>
      <c r="D4653" s="184"/>
      <c r="E4653" s="184"/>
      <c r="F4653" s="184"/>
      <c r="G4653" s="184"/>
      <c r="H4653" s="184"/>
      <c r="I4653" s="184"/>
      <c r="J4653" s="184"/>
      <c r="K4653" s="184"/>
      <c r="L4653" s="184"/>
      <c r="M4653" s="184"/>
      <c r="N4653" s="184"/>
      <c r="O4653" s="184"/>
    </row>
    <row r="4654" customFormat="false" ht="15" hidden="false" customHeight="true" outlineLevel="0" collapsed="false">
      <c r="A4654" s="184"/>
      <c r="B4654" s="184"/>
      <c r="C4654" s="184"/>
      <c r="D4654" s="184"/>
      <c r="E4654" s="184"/>
      <c r="F4654" s="184"/>
      <c r="G4654" s="184"/>
      <c r="H4654" s="184"/>
      <c r="I4654" s="184"/>
      <c r="J4654" s="184"/>
      <c r="K4654" s="184"/>
      <c r="L4654" s="184"/>
      <c r="M4654" s="184"/>
      <c r="N4654" s="184"/>
      <c r="O4654" s="184"/>
    </row>
    <row r="4655" customFormat="false" ht="15" hidden="false" customHeight="true" outlineLevel="0" collapsed="false">
      <c r="A4655" s="184"/>
      <c r="B4655" s="184"/>
      <c r="C4655" s="184"/>
      <c r="D4655" s="184"/>
      <c r="E4655" s="184"/>
      <c r="F4655" s="184"/>
      <c r="G4655" s="184"/>
      <c r="H4655" s="184"/>
      <c r="I4655" s="184"/>
      <c r="J4655" s="184"/>
      <c r="K4655" s="184"/>
      <c r="L4655" s="184"/>
      <c r="M4655" s="184"/>
      <c r="N4655" s="184"/>
      <c r="O4655" s="184"/>
    </row>
    <row r="4656" customFormat="false" ht="15" hidden="false" customHeight="true" outlineLevel="0" collapsed="false">
      <c r="A4656" s="184"/>
      <c r="B4656" s="184"/>
      <c r="C4656" s="184"/>
      <c r="D4656" s="184"/>
      <c r="E4656" s="184"/>
      <c r="F4656" s="184"/>
      <c r="G4656" s="184"/>
      <c r="H4656" s="184"/>
      <c r="I4656" s="184"/>
      <c r="J4656" s="184"/>
      <c r="K4656" s="184"/>
      <c r="L4656" s="184"/>
      <c r="M4656" s="184"/>
      <c r="N4656" s="184"/>
      <c r="O4656" s="184"/>
    </row>
    <row r="4657" customFormat="false" ht="15" hidden="false" customHeight="true" outlineLevel="0" collapsed="false">
      <c r="A4657" s="184"/>
      <c r="B4657" s="184"/>
      <c r="C4657" s="184"/>
      <c r="D4657" s="184"/>
      <c r="E4657" s="184"/>
      <c r="F4657" s="184"/>
      <c r="G4657" s="184"/>
      <c r="H4657" s="184"/>
      <c r="I4657" s="184"/>
      <c r="J4657" s="184"/>
      <c r="K4657" s="184"/>
      <c r="L4657" s="184"/>
      <c r="M4657" s="184"/>
      <c r="N4657" s="184"/>
      <c r="O4657" s="184"/>
    </row>
    <row r="4658" customFormat="false" ht="15" hidden="false" customHeight="true" outlineLevel="0" collapsed="false">
      <c r="A4658" s="184"/>
      <c r="B4658" s="184"/>
      <c r="C4658" s="184"/>
      <c r="D4658" s="184"/>
      <c r="E4658" s="184"/>
      <c r="F4658" s="184"/>
      <c r="G4658" s="184"/>
      <c r="H4658" s="184"/>
      <c r="I4658" s="184"/>
      <c r="J4658" s="184"/>
      <c r="K4658" s="184"/>
      <c r="L4658" s="184"/>
      <c r="M4658" s="184"/>
      <c r="N4658" s="184"/>
      <c r="O4658" s="184"/>
    </row>
    <row r="4659" customFormat="false" ht="15" hidden="false" customHeight="true" outlineLevel="0" collapsed="false">
      <c r="A4659" s="184"/>
      <c r="B4659" s="184"/>
      <c r="C4659" s="184"/>
      <c r="D4659" s="184"/>
      <c r="E4659" s="184"/>
      <c r="F4659" s="184"/>
      <c r="G4659" s="184"/>
      <c r="H4659" s="184"/>
      <c r="I4659" s="184"/>
      <c r="J4659" s="184"/>
      <c r="K4659" s="184"/>
      <c r="L4659" s="184"/>
      <c r="M4659" s="184"/>
      <c r="N4659" s="184"/>
      <c r="O4659" s="184"/>
    </row>
    <row r="4660" customFormat="false" ht="15" hidden="false" customHeight="true" outlineLevel="0" collapsed="false">
      <c r="A4660" s="184"/>
      <c r="B4660" s="184"/>
      <c r="C4660" s="184"/>
      <c r="D4660" s="184"/>
      <c r="E4660" s="184"/>
      <c r="F4660" s="184"/>
      <c r="G4660" s="184"/>
      <c r="H4660" s="184"/>
      <c r="I4660" s="184"/>
      <c r="J4660" s="184"/>
      <c r="K4660" s="184"/>
      <c r="L4660" s="184"/>
      <c r="M4660" s="184"/>
      <c r="N4660" s="184"/>
      <c r="O4660" s="184"/>
    </row>
    <row r="4661" customFormat="false" ht="15" hidden="false" customHeight="true" outlineLevel="0" collapsed="false">
      <c r="A4661" s="184"/>
      <c r="B4661" s="184"/>
      <c r="C4661" s="184"/>
      <c r="D4661" s="184"/>
      <c r="E4661" s="184"/>
      <c r="F4661" s="184"/>
      <c r="G4661" s="184"/>
      <c r="H4661" s="184"/>
      <c r="I4661" s="184"/>
      <c r="J4661" s="184"/>
      <c r="K4661" s="184"/>
      <c r="L4661" s="184"/>
      <c r="M4661" s="184"/>
      <c r="N4661" s="184"/>
      <c r="O4661" s="184"/>
    </row>
    <row r="4662" customFormat="false" ht="15" hidden="false" customHeight="true" outlineLevel="0" collapsed="false">
      <c r="A4662" s="184"/>
      <c r="B4662" s="184"/>
      <c r="C4662" s="184"/>
      <c r="D4662" s="184"/>
      <c r="E4662" s="184"/>
      <c r="F4662" s="184"/>
      <c r="G4662" s="184"/>
      <c r="H4662" s="184"/>
      <c r="I4662" s="184"/>
      <c r="J4662" s="184"/>
      <c r="K4662" s="184"/>
      <c r="L4662" s="184"/>
      <c r="M4662" s="184"/>
      <c r="N4662" s="184"/>
      <c r="O4662" s="184"/>
    </row>
    <row r="4663" customFormat="false" ht="15" hidden="false" customHeight="true" outlineLevel="0" collapsed="false">
      <c r="A4663" s="184"/>
      <c r="B4663" s="184"/>
      <c r="C4663" s="184"/>
      <c r="D4663" s="184"/>
      <c r="E4663" s="184"/>
      <c r="F4663" s="184"/>
      <c r="G4663" s="184"/>
      <c r="H4663" s="184"/>
      <c r="I4663" s="184"/>
      <c r="J4663" s="184"/>
      <c r="K4663" s="184"/>
      <c r="L4663" s="184"/>
      <c r="M4663" s="184"/>
      <c r="N4663" s="184"/>
      <c r="O4663" s="184"/>
    </row>
    <row r="4664" customFormat="false" ht="15" hidden="false" customHeight="true" outlineLevel="0" collapsed="false">
      <c r="A4664" s="184"/>
      <c r="B4664" s="184"/>
      <c r="C4664" s="184"/>
      <c r="D4664" s="184"/>
      <c r="E4664" s="184"/>
      <c r="F4664" s="184"/>
      <c r="G4664" s="184"/>
      <c r="H4664" s="184"/>
      <c r="I4664" s="184"/>
      <c r="J4664" s="184"/>
      <c r="K4664" s="184"/>
      <c r="L4664" s="184"/>
      <c r="M4664" s="184"/>
      <c r="N4664" s="184"/>
      <c r="O4664" s="184"/>
    </row>
    <row r="4665" customFormat="false" ht="15" hidden="false" customHeight="true" outlineLevel="0" collapsed="false">
      <c r="A4665" s="184"/>
      <c r="B4665" s="184"/>
      <c r="C4665" s="184"/>
      <c r="D4665" s="184"/>
      <c r="E4665" s="184"/>
      <c r="F4665" s="184"/>
      <c r="G4665" s="184"/>
      <c r="H4665" s="184"/>
      <c r="I4665" s="184"/>
      <c r="J4665" s="184"/>
      <c r="K4665" s="184"/>
      <c r="L4665" s="184"/>
      <c r="M4665" s="184"/>
      <c r="N4665" s="184"/>
      <c r="O4665" s="184"/>
    </row>
    <row r="4666" customFormat="false" ht="15" hidden="false" customHeight="true" outlineLevel="0" collapsed="false">
      <c r="A4666" s="184"/>
      <c r="B4666" s="184"/>
      <c r="C4666" s="184"/>
      <c r="D4666" s="184"/>
      <c r="E4666" s="184"/>
      <c r="F4666" s="184"/>
      <c r="G4666" s="184"/>
      <c r="H4666" s="184"/>
      <c r="I4666" s="184"/>
      <c r="J4666" s="184"/>
      <c r="K4666" s="184"/>
      <c r="L4666" s="184"/>
      <c r="M4666" s="184"/>
      <c r="N4666" s="184"/>
      <c r="O4666" s="184"/>
    </row>
    <row r="4667" customFormat="false" ht="15" hidden="false" customHeight="true" outlineLevel="0" collapsed="false">
      <c r="A4667" s="184"/>
      <c r="B4667" s="184"/>
      <c r="C4667" s="184"/>
      <c r="D4667" s="184"/>
      <c r="E4667" s="184"/>
      <c r="F4667" s="184"/>
      <c r="G4667" s="184"/>
      <c r="H4667" s="184"/>
      <c r="I4667" s="184"/>
      <c r="J4667" s="184"/>
      <c r="K4667" s="184"/>
      <c r="L4667" s="184"/>
      <c r="M4667" s="184"/>
      <c r="N4667" s="184"/>
      <c r="O4667" s="184"/>
    </row>
    <row r="4668" customFormat="false" ht="15" hidden="false" customHeight="true" outlineLevel="0" collapsed="false">
      <c r="A4668" s="184"/>
      <c r="B4668" s="184"/>
      <c r="C4668" s="184"/>
      <c r="D4668" s="184"/>
      <c r="E4668" s="184"/>
      <c r="F4668" s="184"/>
      <c r="G4668" s="184"/>
      <c r="H4668" s="184"/>
      <c r="I4668" s="184"/>
      <c r="J4668" s="184"/>
      <c r="K4668" s="184"/>
      <c r="L4668" s="184"/>
      <c r="M4668" s="184"/>
      <c r="N4668" s="184"/>
      <c r="O4668" s="184"/>
    </row>
    <row r="4669" customFormat="false" ht="15" hidden="false" customHeight="true" outlineLevel="0" collapsed="false">
      <c r="A4669" s="184"/>
      <c r="B4669" s="184"/>
      <c r="C4669" s="184"/>
      <c r="D4669" s="184"/>
      <c r="E4669" s="184"/>
      <c r="F4669" s="184"/>
      <c r="G4669" s="184"/>
      <c r="H4669" s="184"/>
      <c r="I4669" s="184"/>
      <c r="J4669" s="184"/>
      <c r="K4669" s="184"/>
      <c r="L4669" s="184"/>
      <c r="M4669" s="184"/>
      <c r="N4669" s="184"/>
      <c r="O4669" s="184"/>
    </row>
    <row r="4670" customFormat="false" ht="15" hidden="false" customHeight="true" outlineLevel="0" collapsed="false">
      <c r="A4670" s="184"/>
      <c r="B4670" s="184"/>
      <c r="C4670" s="184"/>
      <c r="D4670" s="184"/>
      <c r="E4670" s="184"/>
      <c r="F4670" s="184"/>
      <c r="G4670" s="184"/>
      <c r="H4670" s="184"/>
      <c r="I4670" s="184"/>
      <c r="J4670" s="184"/>
      <c r="K4670" s="184"/>
      <c r="L4670" s="184"/>
      <c r="M4670" s="184"/>
      <c r="N4670" s="184"/>
      <c r="O4670" s="184"/>
    </row>
    <row r="4671" customFormat="false" ht="15" hidden="false" customHeight="true" outlineLevel="0" collapsed="false">
      <c r="A4671" s="184"/>
      <c r="B4671" s="184"/>
      <c r="C4671" s="184"/>
      <c r="D4671" s="184"/>
      <c r="E4671" s="184"/>
      <c r="F4671" s="184"/>
      <c r="G4671" s="184"/>
      <c r="H4671" s="184"/>
      <c r="I4671" s="184"/>
      <c r="J4671" s="184"/>
      <c r="K4671" s="184"/>
      <c r="L4671" s="184"/>
      <c r="M4671" s="184"/>
      <c r="N4671" s="184"/>
      <c r="O4671" s="184"/>
    </row>
    <row r="4672" customFormat="false" ht="15" hidden="false" customHeight="true" outlineLevel="0" collapsed="false">
      <c r="A4672" s="184"/>
      <c r="B4672" s="184"/>
      <c r="C4672" s="184"/>
      <c r="D4672" s="184"/>
      <c r="E4672" s="184"/>
      <c r="F4672" s="184"/>
      <c r="G4672" s="184"/>
      <c r="H4672" s="184"/>
      <c r="I4672" s="184"/>
      <c r="J4672" s="184"/>
      <c r="K4672" s="184"/>
      <c r="L4672" s="184"/>
      <c r="M4672" s="184"/>
      <c r="N4672" s="184"/>
      <c r="O4672" s="184"/>
    </row>
    <row r="4673" customFormat="false" ht="15" hidden="false" customHeight="true" outlineLevel="0" collapsed="false">
      <c r="A4673" s="184"/>
      <c r="B4673" s="184"/>
      <c r="C4673" s="184"/>
      <c r="D4673" s="184"/>
      <c r="E4673" s="184"/>
      <c r="F4673" s="184"/>
      <c r="G4673" s="184"/>
      <c r="H4673" s="184"/>
      <c r="I4673" s="184"/>
      <c r="J4673" s="184"/>
      <c r="K4673" s="184"/>
      <c r="L4673" s="184"/>
      <c r="M4673" s="184"/>
      <c r="N4673" s="184"/>
      <c r="O4673" s="184"/>
    </row>
    <row r="4674" customFormat="false" ht="15" hidden="false" customHeight="true" outlineLevel="0" collapsed="false">
      <c r="A4674" s="184"/>
      <c r="B4674" s="184"/>
      <c r="C4674" s="184"/>
      <c r="D4674" s="184"/>
      <c r="E4674" s="184"/>
      <c r="F4674" s="184"/>
      <c r="G4674" s="184"/>
      <c r="H4674" s="184"/>
      <c r="I4674" s="184"/>
      <c r="J4674" s="184"/>
      <c r="K4674" s="184"/>
      <c r="L4674" s="184"/>
      <c r="M4674" s="184"/>
      <c r="N4674" s="184"/>
      <c r="O4674" s="184"/>
    </row>
    <row r="4675" customFormat="false" ht="15" hidden="false" customHeight="true" outlineLevel="0" collapsed="false">
      <c r="A4675" s="184"/>
      <c r="B4675" s="184"/>
      <c r="C4675" s="184"/>
      <c r="D4675" s="184"/>
      <c r="E4675" s="184"/>
      <c r="F4675" s="184"/>
      <c r="G4675" s="184"/>
      <c r="H4675" s="184"/>
      <c r="I4675" s="184"/>
      <c r="J4675" s="184"/>
      <c r="K4675" s="184"/>
      <c r="L4675" s="184"/>
      <c r="M4675" s="184"/>
      <c r="N4675" s="184"/>
      <c r="O4675" s="184"/>
    </row>
    <row r="4676" customFormat="false" ht="15" hidden="false" customHeight="true" outlineLevel="0" collapsed="false">
      <c r="A4676" s="184"/>
      <c r="B4676" s="184"/>
      <c r="C4676" s="184"/>
      <c r="D4676" s="184"/>
      <c r="E4676" s="184"/>
      <c r="F4676" s="184"/>
      <c r="G4676" s="184"/>
      <c r="H4676" s="184"/>
      <c r="I4676" s="184"/>
      <c r="J4676" s="184"/>
      <c r="K4676" s="184"/>
      <c r="L4676" s="184"/>
      <c r="M4676" s="184"/>
      <c r="N4676" s="184"/>
      <c r="O4676" s="184"/>
    </row>
    <row r="4677" customFormat="false" ht="15" hidden="false" customHeight="true" outlineLevel="0" collapsed="false">
      <c r="A4677" s="184"/>
      <c r="B4677" s="184"/>
      <c r="C4677" s="184"/>
      <c r="D4677" s="184"/>
      <c r="E4677" s="184"/>
      <c r="F4677" s="184"/>
      <c r="G4677" s="184"/>
      <c r="H4677" s="184"/>
      <c r="I4677" s="184"/>
      <c r="J4677" s="184"/>
      <c r="K4677" s="184"/>
      <c r="L4677" s="184"/>
      <c r="M4677" s="184"/>
      <c r="N4677" s="184"/>
      <c r="O4677" s="184"/>
    </row>
    <row r="4678" customFormat="false" ht="15" hidden="false" customHeight="true" outlineLevel="0" collapsed="false">
      <c r="A4678" s="184"/>
      <c r="B4678" s="184"/>
      <c r="C4678" s="184"/>
      <c r="D4678" s="184"/>
      <c r="E4678" s="184"/>
      <c r="F4678" s="184"/>
      <c r="G4678" s="184"/>
      <c r="H4678" s="184"/>
      <c r="I4678" s="184"/>
      <c r="J4678" s="184"/>
      <c r="K4678" s="184"/>
      <c r="L4678" s="184"/>
      <c r="M4678" s="184"/>
      <c r="N4678" s="184"/>
      <c r="O4678" s="184"/>
    </row>
    <row r="4679" customFormat="false" ht="15" hidden="false" customHeight="true" outlineLevel="0" collapsed="false">
      <c r="A4679" s="184"/>
      <c r="B4679" s="184"/>
      <c r="C4679" s="184"/>
      <c r="D4679" s="184"/>
      <c r="E4679" s="184"/>
      <c r="F4679" s="184"/>
      <c r="G4679" s="184"/>
      <c r="H4679" s="184"/>
      <c r="I4679" s="184"/>
      <c r="J4679" s="184"/>
      <c r="K4679" s="184"/>
      <c r="L4679" s="184"/>
      <c r="M4679" s="184"/>
      <c r="N4679" s="184"/>
      <c r="O4679" s="184"/>
    </row>
    <row r="4680" customFormat="false" ht="15" hidden="false" customHeight="true" outlineLevel="0" collapsed="false">
      <c r="A4680" s="184"/>
      <c r="B4680" s="184"/>
      <c r="C4680" s="184"/>
      <c r="D4680" s="184"/>
      <c r="E4680" s="184"/>
      <c r="F4680" s="184"/>
      <c r="G4680" s="184"/>
      <c r="H4680" s="184"/>
      <c r="I4680" s="184"/>
      <c r="J4680" s="184"/>
      <c r="K4680" s="184"/>
      <c r="L4680" s="184"/>
      <c r="M4680" s="184"/>
      <c r="N4680" s="184"/>
      <c r="O4680" s="184"/>
    </row>
    <row r="4681" customFormat="false" ht="15" hidden="false" customHeight="true" outlineLevel="0" collapsed="false">
      <c r="A4681" s="184"/>
      <c r="B4681" s="184"/>
      <c r="C4681" s="184"/>
      <c r="D4681" s="184"/>
      <c r="E4681" s="184"/>
      <c r="F4681" s="184"/>
      <c r="G4681" s="184"/>
      <c r="H4681" s="184"/>
      <c r="I4681" s="184"/>
      <c r="J4681" s="184"/>
      <c r="K4681" s="184"/>
      <c r="L4681" s="184"/>
      <c r="M4681" s="184"/>
      <c r="N4681" s="184"/>
      <c r="O4681" s="184"/>
    </row>
    <row r="4682" customFormat="false" ht="15" hidden="false" customHeight="true" outlineLevel="0" collapsed="false">
      <c r="A4682" s="184"/>
      <c r="B4682" s="184"/>
      <c r="C4682" s="184"/>
      <c r="D4682" s="184"/>
      <c r="E4682" s="184"/>
      <c r="F4682" s="184"/>
      <c r="G4682" s="184"/>
      <c r="H4682" s="184"/>
      <c r="I4682" s="184"/>
      <c r="J4682" s="184"/>
      <c r="K4682" s="184"/>
      <c r="L4682" s="184"/>
      <c r="M4682" s="184"/>
      <c r="N4682" s="184"/>
      <c r="O4682" s="184"/>
    </row>
    <row r="4683" customFormat="false" ht="15" hidden="false" customHeight="true" outlineLevel="0" collapsed="false">
      <c r="A4683" s="184"/>
      <c r="B4683" s="184"/>
      <c r="C4683" s="184"/>
      <c r="D4683" s="184"/>
      <c r="E4683" s="184"/>
      <c r="F4683" s="184"/>
      <c r="G4683" s="184"/>
      <c r="H4683" s="184"/>
      <c r="I4683" s="184"/>
      <c r="J4683" s="184"/>
      <c r="K4683" s="184"/>
      <c r="L4683" s="184"/>
      <c r="M4683" s="184"/>
      <c r="N4683" s="184"/>
      <c r="O4683" s="184"/>
    </row>
    <row r="4684" customFormat="false" ht="15" hidden="false" customHeight="true" outlineLevel="0" collapsed="false">
      <c r="A4684" s="184"/>
      <c r="B4684" s="184"/>
      <c r="C4684" s="184"/>
      <c r="D4684" s="184"/>
      <c r="E4684" s="184"/>
      <c r="F4684" s="184"/>
      <c r="G4684" s="184"/>
      <c r="H4684" s="184"/>
      <c r="I4684" s="184"/>
      <c r="J4684" s="184"/>
      <c r="K4684" s="184"/>
      <c r="L4684" s="184"/>
      <c r="M4684" s="184"/>
      <c r="N4684" s="184"/>
      <c r="O4684" s="184"/>
    </row>
    <row r="4685" customFormat="false" ht="15" hidden="false" customHeight="true" outlineLevel="0" collapsed="false">
      <c r="A4685" s="184"/>
      <c r="B4685" s="184"/>
      <c r="C4685" s="184"/>
      <c r="D4685" s="184"/>
      <c r="E4685" s="184"/>
      <c r="F4685" s="184"/>
      <c r="G4685" s="184"/>
      <c r="H4685" s="184"/>
      <c r="I4685" s="184"/>
      <c r="J4685" s="184"/>
      <c r="K4685" s="184"/>
      <c r="L4685" s="184"/>
      <c r="M4685" s="184"/>
      <c r="N4685" s="184"/>
      <c r="O4685" s="184"/>
    </row>
    <row r="4686" customFormat="false" ht="15" hidden="false" customHeight="true" outlineLevel="0" collapsed="false">
      <c r="A4686" s="184"/>
      <c r="B4686" s="184"/>
      <c r="C4686" s="184"/>
      <c r="D4686" s="184"/>
      <c r="E4686" s="184"/>
      <c r="F4686" s="184"/>
      <c r="G4686" s="184"/>
      <c r="H4686" s="184"/>
      <c r="I4686" s="184"/>
      <c r="J4686" s="184"/>
      <c r="K4686" s="184"/>
      <c r="L4686" s="184"/>
      <c r="M4686" s="184"/>
      <c r="N4686" s="184"/>
      <c r="O4686" s="184"/>
    </row>
    <row r="4687" customFormat="false" ht="15" hidden="false" customHeight="true" outlineLevel="0" collapsed="false">
      <c r="A4687" s="184"/>
      <c r="B4687" s="184"/>
      <c r="C4687" s="184"/>
      <c r="D4687" s="184"/>
      <c r="E4687" s="184"/>
      <c r="F4687" s="184"/>
      <c r="G4687" s="184"/>
      <c r="H4687" s="184"/>
      <c r="I4687" s="184"/>
      <c r="J4687" s="184"/>
      <c r="K4687" s="184"/>
      <c r="L4687" s="184"/>
      <c r="M4687" s="184"/>
      <c r="N4687" s="184"/>
      <c r="O4687" s="184"/>
    </row>
    <row r="4688" customFormat="false" ht="15" hidden="false" customHeight="true" outlineLevel="0" collapsed="false">
      <c r="A4688" s="184"/>
      <c r="B4688" s="184"/>
      <c r="C4688" s="184"/>
      <c r="D4688" s="184"/>
      <c r="E4688" s="184"/>
      <c r="F4688" s="184"/>
      <c r="G4688" s="184"/>
      <c r="H4688" s="184"/>
      <c r="I4688" s="184"/>
      <c r="J4688" s="184"/>
      <c r="K4688" s="184"/>
      <c r="L4688" s="184"/>
      <c r="M4688" s="184"/>
      <c r="N4688" s="184"/>
      <c r="O4688" s="184"/>
    </row>
    <row r="4689" customFormat="false" ht="15" hidden="false" customHeight="true" outlineLevel="0" collapsed="false">
      <c r="A4689" s="184"/>
      <c r="B4689" s="184"/>
      <c r="C4689" s="184"/>
      <c r="D4689" s="184"/>
      <c r="E4689" s="184"/>
      <c r="F4689" s="184"/>
      <c r="G4689" s="184"/>
      <c r="H4689" s="184"/>
      <c r="I4689" s="184"/>
      <c r="J4689" s="184"/>
      <c r="K4689" s="184"/>
      <c r="L4689" s="184"/>
      <c r="M4689" s="184"/>
      <c r="N4689" s="184"/>
      <c r="O4689" s="184"/>
    </row>
    <row r="4690" customFormat="false" ht="15" hidden="false" customHeight="true" outlineLevel="0" collapsed="false">
      <c r="A4690" s="184"/>
      <c r="B4690" s="184"/>
      <c r="C4690" s="184"/>
      <c r="D4690" s="184"/>
      <c r="E4690" s="184"/>
      <c r="F4690" s="184"/>
      <c r="G4690" s="184"/>
      <c r="H4690" s="184"/>
      <c r="I4690" s="184"/>
      <c r="J4690" s="184"/>
      <c r="K4690" s="184"/>
      <c r="L4690" s="184"/>
      <c r="M4690" s="184"/>
      <c r="N4690" s="184"/>
      <c r="O4690" s="184"/>
    </row>
    <row r="4691" customFormat="false" ht="15" hidden="false" customHeight="true" outlineLevel="0" collapsed="false">
      <c r="A4691" s="184"/>
      <c r="B4691" s="184"/>
      <c r="C4691" s="184"/>
      <c r="D4691" s="184"/>
      <c r="E4691" s="184"/>
      <c r="F4691" s="184"/>
      <c r="G4691" s="184"/>
      <c r="H4691" s="184"/>
      <c r="I4691" s="184"/>
      <c r="J4691" s="184"/>
      <c r="K4691" s="184"/>
      <c r="L4691" s="184"/>
      <c r="M4691" s="184"/>
      <c r="N4691" s="184"/>
      <c r="O4691" s="184"/>
    </row>
    <row r="4692" customFormat="false" ht="15" hidden="false" customHeight="true" outlineLevel="0" collapsed="false">
      <c r="A4692" s="184"/>
      <c r="B4692" s="184"/>
      <c r="C4692" s="184"/>
      <c r="D4692" s="184"/>
      <c r="E4692" s="184"/>
      <c r="F4692" s="184"/>
      <c r="G4692" s="184"/>
      <c r="H4692" s="184"/>
      <c r="I4692" s="184"/>
      <c r="J4692" s="184"/>
      <c r="K4692" s="184"/>
      <c r="L4692" s="184"/>
      <c r="M4692" s="184"/>
      <c r="N4692" s="184"/>
      <c r="O4692" s="184"/>
    </row>
    <row r="4693" customFormat="false" ht="15" hidden="false" customHeight="true" outlineLevel="0" collapsed="false">
      <c r="A4693" s="184"/>
      <c r="B4693" s="184"/>
      <c r="C4693" s="184"/>
      <c r="D4693" s="184"/>
      <c r="E4693" s="184"/>
      <c r="F4693" s="184"/>
      <c r="G4693" s="184"/>
      <c r="H4693" s="184"/>
      <c r="I4693" s="184"/>
      <c r="J4693" s="184"/>
      <c r="K4693" s="184"/>
      <c r="L4693" s="184"/>
      <c r="M4693" s="184"/>
      <c r="N4693" s="184"/>
      <c r="O4693" s="184"/>
    </row>
    <row r="4694" customFormat="false" ht="15" hidden="false" customHeight="true" outlineLevel="0" collapsed="false">
      <c r="A4694" s="184"/>
      <c r="B4694" s="184"/>
      <c r="C4694" s="184"/>
      <c r="D4694" s="184"/>
      <c r="E4694" s="184"/>
      <c r="F4694" s="184"/>
      <c r="G4694" s="184"/>
      <c r="H4694" s="184"/>
      <c r="I4694" s="184"/>
      <c r="J4694" s="184"/>
      <c r="K4694" s="184"/>
      <c r="L4694" s="184"/>
      <c r="M4694" s="184"/>
      <c r="N4694" s="184"/>
      <c r="O4694" s="184"/>
    </row>
    <row r="4695" customFormat="false" ht="15" hidden="false" customHeight="true" outlineLevel="0" collapsed="false">
      <c r="A4695" s="184"/>
      <c r="B4695" s="184"/>
      <c r="C4695" s="184"/>
      <c r="D4695" s="184"/>
      <c r="E4695" s="184"/>
      <c r="F4695" s="184"/>
      <c r="G4695" s="184"/>
      <c r="H4695" s="184"/>
      <c r="I4695" s="184"/>
      <c r="J4695" s="184"/>
      <c r="K4695" s="184"/>
      <c r="L4695" s="184"/>
      <c r="M4695" s="184"/>
      <c r="N4695" s="184"/>
      <c r="O4695" s="184"/>
    </row>
    <row r="4696" customFormat="false" ht="15" hidden="false" customHeight="true" outlineLevel="0" collapsed="false">
      <c r="A4696" s="184"/>
      <c r="B4696" s="184"/>
      <c r="C4696" s="184"/>
      <c r="D4696" s="184"/>
      <c r="E4696" s="184"/>
      <c r="F4696" s="184"/>
      <c r="G4696" s="184"/>
      <c r="H4696" s="184"/>
      <c r="I4696" s="184"/>
      <c r="J4696" s="184"/>
      <c r="K4696" s="184"/>
      <c r="L4696" s="184"/>
      <c r="M4696" s="184"/>
      <c r="N4696" s="184"/>
      <c r="O4696" s="184"/>
    </row>
    <row r="4697" customFormat="false" ht="15" hidden="false" customHeight="true" outlineLevel="0" collapsed="false">
      <c r="A4697" s="184"/>
      <c r="B4697" s="184"/>
      <c r="C4697" s="184"/>
      <c r="D4697" s="184"/>
      <c r="E4697" s="184"/>
      <c r="F4697" s="184"/>
      <c r="G4697" s="184"/>
      <c r="H4697" s="184"/>
      <c r="I4697" s="184"/>
      <c r="J4697" s="184"/>
      <c r="K4697" s="184"/>
      <c r="L4697" s="184"/>
      <c r="M4697" s="184"/>
      <c r="N4697" s="184"/>
      <c r="O4697" s="184"/>
    </row>
    <row r="4698" customFormat="false" ht="15" hidden="false" customHeight="true" outlineLevel="0" collapsed="false">
      <c r="A4698" s="184"/>
      <c r="B4698" s="184"/>
      <c r="C4698" s="184"/>
      <c r="D4698" s="184"/>
      <c r="E4698" s="184"/>
      <c r="F4698" s="184"/>
      <c r="G4698" s="184"/>
      <c r="H4698" s="184"/>
      <c r="I4698" s="184"/>
      <c r="J4698" s="184"/>
      <c r="K4698" s="184"/>
      <c r="L4698" s="184"/>
      <c r="M4698" s="184"/>
      <c r="N4698" s="184"/>
      <c r="O4698" s="184"/>
    </row>
    <row r="4699" customFormat="false" ht="15" hidden="false" customHeight="true" outlineLevel="0" collapsed="false">
      <c r="A4699" s="184"/>
      <c r="B4699" s="184"/>
      <c r="C4699" s="184"/>
      <c r="D4699" s="184"/>
      <c r="E4699" s="184"/>
      <c r="F4699" s="184"/>
      <c r="G4699" s="184"/>
      <c r="H4699" s="184"/>
      <c r="I4699" s="184"/>
      <c r="J4699" s="184"/>
      <c r="K4699" s="184"/>
      <c r="L4699" s="184"/>
      <c r="M4699" s="184"/>
      <c r="N4699" s="184"/>
      <c r="O4699" s="184"/>
    </row>
    <row r="4700" customFormat="false" ht="15" hidden="false" customHeight="true" outlineLevel="0" collapsed="false">
      <c r="A4700" s="184"/>
      <c r="B4700" s="184"/>
      <c r="C4700" s="184"/>
      <c r="D4700" s="184"/>
      <c r="E4700" s="184"/>
      <c r="F4700" s="184"/>
      <c r="G4700" s="184"/>
      <c r="H4700" s="184"/>
      <c r="I4700" s="184"/>
      <c r="J4700" s="184"/>
      <c r="K4700" s="184"/>
      <c r="L4700" s="184"/>
      <c r="M4700" s="184"/>
      <c r="N4700" s="184"/>
      <c r="O4700" s="184"/>
    </row>
    <row r="4701" customFormat="false" ht="15" hidden="false" customHeight="true" outlineLevel="0" collapsed="false">
      <c r="A4701" s="184"/>
      <c r="B4701" s="184"/>
      <c r="C4701" s="184"/>
      <c r="D4701" s="184"/>
      <c r="E4701" s="184"/>
      <c r="F4701" s="184"/>
      <c r="G4701" s="184"/>
      <c r="H4701" s="184"/>
      <c r="I4701" s="184"/>
      <c r="J4701" s="184"/>
      <c r="K4701" s="184"/>
      <c r="L4701" s="184"/>
      <c r="M4701" s="184"/>
      <c r="N4701" s="184"/>
      <c r="O4701" s="184"/>
    </row>
    <row r="4702" customFormat="false" ht="15" hidden="false" customHeight="true" outlineLevel="0" collapsed="false">
      <c r="A4702" s="184"/>
      <c r="B4702" s="184"/>
      <c r="C4702" s="184"/>
      <c r="D4702" s="184"/>
      <c r="E4702" s="184"/>
      <c r="F4702" s="184"/>
      <c r="G4702" s="184"/>
      <c r="H4702" s="184"/>
      <c r="I4702" s="184"/>
      <c r="J4702" s="184"/>
      <c r="K4702" s="184"/>
      <c r="L4702" s="184"/>
      <c r="M4702" s="184"/>
      <c r="N4702" s="184"/>
      <c r="O4702" s="184"/>
    </row>
    <row r="4703" customFormat="false" ht="15" hidden="false" customHeight="true" outlineLevel="0" collapsed="false">
      <c r="A4703" s="184"/>
      <c r="B4703" s="184"/>
      <c r="C4703" s="184"/>
      <c r="D4703" s="184"/>
      <c r="E4703" s="184"/>
      <c r="F4703" s="184"/>
      <c r="G4703" s="184"/>
      <c r="H4703" s="184"/>
      <c r="I4703" s="184"/>
      <c r="J4703" s="184"/>
      <c r="K4703" s="184"/>
      <c r="L4703" s="184"/>
      <c r="M4703" s="184"/>
      <c r="N4703" s="184"/>
      <c r="O4703" s="184"/>
    </row>
    <row r="4704" customFormat="false" ht="15" hidden="false" customHeight="true" outlineLevel="0" collapsed="false">
      <c r="A4704" s="184"/>
      <c r="B4704" s="184"/>
      <c r="C4704" s="184"/>
      <c r="D4704" s="184"/>
      <c r="E4704" s="184"/>
      <c r="F4704" s="184"/>
      <c r="G4704" s="184"/>
      <c r="H4704" s="184"/>
      <c r="I4704" s="184"/>
      <c r="J4704" s="184"/>
      <c r="K4704" s="184"/>
      <c r="L4704" s="184"/>
      <c r="M4704" s="184"/>
      <c r="N4704" s="184"/>
      <c r="O4704" s="184"/>
    </row>
    <row r="4705" customFormat="false" ht="15" hidden="false" customHeight="true" outlineLevel="0" collapsed="false">
      <c r="A4705" s="184"/>
      <c r="B4705" s="184"/>
      <c r="C4705" s="184"/>
      <c r="D4705" s="184"/>
      <c r="E4705" s="184"/>
      <c r="F4705" s="184"/>
      <c r="G4705" s="184"/>
      <c r="H4705" s="184"/>
      <c r="I4705" s="184"/>
      <c r="J4705" s="184"/>
      <c r="K4705" s="184"/>
      <c r="L4705" s="184"/>
      <c r="M4705" s="184"/>
      <c r="N4705" s="184"/>
      <c r="O4705" s="184"/>
    </row>
    <row r="4706" customFormat="false" ht="15" hidden="false" customHeight="true" outlineLevel="0" collapsed="false">
      <c r="A4706" s="184"/>
      <c r="B4706" s="184"/>
      <c r="C4706" s="184"/>
      <c r="D4706" s="184"/>
      <c r="E4706" s="184"/>
      <c r="F4706" s="184"/>
      <c r="G4706" s="184"/>
      <c r="H4706" s="184"/>
      <c r="I4706" s="184"/>
      <c r="J4706" s="184"/>
      <c r="K4706" s="184"/>
      <c r="L4706" s="184"/>
      <c r="M4706" s="184"/>
      <c r="N4706" s="184"/>
      <c r="O4706" s="184"/>
    </row>
    <row r="4707" customFormat="false" ht="15" hidden="false" customHeight="true" outlineLevel="0" collapsed="false">
      <c r="A4707" s="184"/>
      <c r="B4707" s="184"/>
      <c r="C4707" s="184"/>
      <c r="D4707" s="184"/>
      <c r="E4707" s="184"/>
      <c r="F4707" s="184"/>
      <c r="G4707" s="184"/>
      <c r="H4707" s="184"/>
      <c r="I4707" s="184"/>
      <c r="J4707" s="184"/>
      <c r="K4707" s="184"/>
      <c r="L4707" s="184"/>
      <c r="M4707" s="184"/>
      <c r="N4707" s="184"/>
      <c r="O4707" s="184"/>
    </row>
    <row r="4708" customFormat="false" ht="15" hidden="false" customHeight="true" outlineLevel="0" collapsed="false">
      <c r="A4708" s="184"/>
      <c r="B4708" s="184"/>
      <c r="C4708" s="184"/>
      <c r="D4708" s="184"/>
      <c r="E4708" s="184"/>
      <c r="F4708" s="184"/>
      <c r="G4708" s="184"/>
      <c r="H4708" s="184"/>
      <c r="I4708" s="184"/>
      <c r="J4708" s="184"/>
      <c r="K4708" s="184"/>
      <c r="L4708" s="184"/>
      <c r="M4708" s="184"/>
      <c r="N4708" s="184"/>
      <c r="O4708" s="184"/>
    </row>
    <row r="4709" customFormat="false" ht="15" hidden="false" customHeight="true" outlineLevel="0" collapsed="false">
      <c r="A4709" s="184"/>
      <c r="B4709" s="184"/>
      <c r="C4709" s="184"/>
      <c r="D4709" s="184"/>
      <c r="E4709" s="184"/>
      <c r="F4709" s="184"/>
      <c r="G4709" s="184"/>
      <c r="H4709" s="184"/>
      <c r="I4709" s="184"/>
      <c r="J4709" s="184"/>
      <c r="K4709" s="184"/>
      <c r="L4709" s="184"/>
      <c r="M4709" s="184"/>
      <c r="N4709" s="184"/>
      <c r="O4709" s="184"/>
    </row>
    <row r="4710" customFormat="false" ht="15" hidden="false" customHeight="true" outlineLevel="0" collapsed="false">
      <c r="A4710" s="184"/>
      <c r="B4710" s="184"/>
      <c r="C4710" s="184"/>
      <c r="D4710" s="184"/>
      <c r="E4710" s="184"/>
      <c r="F4710" s="184"/>
      <c r="G4710" s="184"/>
      <c r="H4710" s="184"/>
      <c r="I4710" s="184"/>
      <c r="J4710" s="184"/>
      <c r="K4710" s="184"/>
      <c r="L4710" s="184"/>
      <c r="M4710" s="184"/>
      <c r="N4710" s="184"/>
      <c r="O4710" s="184"/>
    </row>
    <row r="4711" customFormat="false" ht="15" hidden="false" customHeight="true" outlineLevel="0" collapsed="false">
      <c r="A4711" s="184"/>
      <c r="B4711" s="184"/>
      <c r="C4711" s="184"/>
      <c r="D4711" s="184"/>
      <c r="E4711" s="184"/>
      <c r="F4711" s="184"/>
      <c r="G4711" s="184"/>
      <c r="H4711" s="184"/>
      <c r="I4711" s="184"/>
      <c r="J4711" s="184"/>
      <c r="K4711" s="184"/>
      <c r="L4711" s="184"/>
      <c r="M4711" s="184"/>
      <c r="N4711" s="184"/>
      <c r="O4711" s="184"/>
    </row>
    <row r="4712" customFormat="false" ht="15" hidden="false" customHeight="true" outlineLevel="0" collapsed="false">
      <c r="A4712" s="184"/>
      <c r="B4712" s="184"/>
      <c r="C4712" s="184"/>
      <c r="D4712" s="184"/>
      <c r="E4712" s="184"/>
      <c r="F4712" s="184"/>
      <c r="G4712" s="184"/>
      <c r="H4712" s="184"/>
      <c r="I4712" s="184"/>
      <c r="J4712" s="184"/>
      <c r="K4712" s="184"/>
      <c r="L4712" s="184"/>
      <c r="M4712" s="184"/>
      <c r="N4712" s="184"/>
      <c r="O4712" s="184"/>
    </row>
    <row r="4713" customFormat="false" ht="15" hidden="false" customHeight="true" outlineLevel="0" collapsed="false">
      <c r="A4713" s="184"/>
      <c r="B4713" s="184"/>
      <c r="C4713" s="184"/>
      <c r="D4713" s="184"/>
      <c r="E4713" s="184"/>
      <c r="F4713" s="184"/>
      <c r="G4713" s="184"/>
      <c r="H4713" s="184"/>
      <c r="I4713" s="184"/>
      <c r="J4713" s="184"/>
      <c r="K4713" s="184"/>
      <c r="L4713" s="184"/>
      <c r="M4713" s="184"/>
      <c r="N4713" s="184"/>
      <c r="O4713" s="184"/>
    </row>
    <row r="4714" customFormat="false" ht="15" hidden="false" customHeight="true" outlineLevel="0" collapsed="false">
      <c r="A4714" s="184"/>
      <c r="B4714" s="184"/>
      <c r="C4714" s="184"/>
      <c r="D4714" s="184"/>
      <c r="E4714" s="184"/>
      <c r="F4714" s="184"/>
      <c r="G4714" s="184"/>
      <c r="H4714" s="184"/>
      <c r="I4714" s="184"/>
      <c r="J4714" s="184"/>
      <c r="K4714" s="184"/>
      <c r="L4714" s="184"/>
      <c r="M4714" s="184"/>
      <c r="N4714" s="184"/>
      <c r="O4714" s="184"/>
    </row>
    <row r="4715" customFormat="false" ht="15" hidden="false" customHeight="true" outlineLevel="0" collapsed="false">
      <c r="A4715" s="184"/>
      <c r="B4715" s="184"/>
      <c r="C4715" s="184"/>
      <c r="D4715" s="184"/>
      <c r="E4715" s="184"/>
      <c r="F4715" s="184"/>
      <c r="G4715" s="184"/>
      <c r="H4715" s="184"/>
      <c r="I4715" s="184"/>
      <c r="J4715" s="184"/>
      <c r="K4715" s="184"/>
      <c r="L4715" s="184"/>
      <c r="M4715" s="184"/>
      <c r="N4715" s="184"/>
      <c r="O4715" s="184"/>
    </row>
    <row r="4716" customFormat="false" ht="15" hidden="false" customHeight="true" outlineLevel="0" collapsed="false">
      <c r="A4716" s="184"/>
      <c r="B4716" s="184"/>
      <c r="C4716" s="184"/>
      <c r="D4716" s="184"/>
      <c r="E4716" s="184"/>
      <c r="F4716" s="184"/>
      <c r="G4716" s="184"/>
      <c r="H4716" s="184"/>
      <c r="I4716" s="184"/>
      <c r="J4716" s="184"/>
      <c r="K4716" s="184"/>
      <c r="L4716" s="184"/>
      <c r="M4716" s="184"/>
      <c r="N4716" s="184"/>
      <c r="O4716" s="184"/>
    </row>
    <row r="4717" customFormat="false" ht="15" hidden="false" customHeight="true" outlineLevel="0" collapsed="false">
      <c r="A4717" s="184"/>
      <c r="B4717" s="184"/>
      <c r="C4717" s="184"/>
      <c r="D4717" s="184"/>
      <c r="E4717" s="184"/>
      <c r="F4717" s="184"/>
      <c r="G4717" s="184"/>
      <c r="H4717" s="184"/>
      <c r="I4717" s="184"/>
      <c r="J4717" s="184"/>
      <c r="K4717" s="184"/>
      <c r="L4717" s="184"/>
      <c r="M4717" s="184"/>
      <c r="N4717" s="184"/>
      <c r="O4717" s="184"/>
    </row>
    <row r="4718" customFormat="false" ht="15" hidden="false" customHeight="true" outlineLevel="0" collapsed="false">
      <c r="A4718" s="184"/>
      <c r="B4718" s="184"/>
      <c r="C4718" s="184"/>
      <c r="D4718" s="184"/>
      <c r="E4718" s="184"/>
      <c r="F4718" s="184"/>
      <c r="G4718" s="184"/>
      <c r="H4718" s="184"/>
      <c r="I4718" s="184"/>
      <c r="J4718" s="184"/>
      <c r="K4718" s="184"/>
      <c r="L4718" s="184"/>
      <c r="M4718" s="184"/>
      <c r="N4718" s="184"/>
      <c r="O4718" s="184"/>
    </row>
    <row r="4719" customFormat="false" ht="15" hidden="false" customHeight="true" outlineLevel="0" collapsed="false">
      <c r="A4719" s="184"/>
      <c r="B4719" s="184"/>
      <c r="C4719" s="184"/>
      <c r="D4719" s="184"/>
      <c r="E4719" s="184"/>
      <c r="F4719" s="184"/>
      <c r="G4719" s="184"/>
      <c r="H4719" s="184"/>
      <c r="I4719" s="184"/>
      <c r="J4719" s="184"/>
      <c r="K4719" s="184"/>
      <c r="L4719" s="184"/>
      <c r="M4719" s="184"/>
      <c r="N4719" s="184"/>
      <c r="O4719" s="184"/>
    </row>
    <row r="4720" customFormat="false" ht="15" hidden="false" customHeight="true" outlineLevel="0" collapsed="false">
      <c r="A4720" s="184"/>
      <c r="B4720" s="184"/>
      <c r="C4720" s="184"/>
      <c r="D4720" s="184"/>
      <c r="E4720" s="184"/>
      <c r="F4720" s="184"/>
      <c r="G4720" s="184"/>
      <c r="H4720" s="184"/>
      <c r="I4720" s="184"/>
      <c r="J4720" s="184"/>
      <c r="K4720" s="184"/>
      <c r="L4720" s="184"/>
      <c r="M4720" s="184"/>
      <c r="N4720" s="184"/>
      <c r="O4720" s="184"/>
    </row>
    <row r="4721" customFormat="false" ht="15" hidden="false" customHeight="true" outlineLevel="0" collapsed="false">
      <c r="A4721" s="184"/>
      <c r="B4721" s="184"/>
      <c r="C4721" s="184"/>
      <c r="D4721" s="184"/>
      <c r="E4721" s="184"/>
      <c r="F4721" s="184"/>
      <c r="G4721" s="184"/>
      <c r="H4721" s="184"/>
      <c r="I4721" s="184"/>
      <c r="J4721" s="184"/>
      <c r="K4721" s="184"/>
      <c r="L4721" s="184"/>
      <c r="M4721" s="184"/>
      <c r="N4721" s="184"/>
      <c r="O4721" s="184"/>
    </row>
    <row r="4722" customFormat="false" ht="15" hidden="false" customHeight="true" outlineLevel="0" collapsed="false">
      <c r="A4722" s="184"/>
      <c r="B4722" s="184"/>
      <c r="C4722" s="184"/>
      <c r="D4722" s="184"/>
      <c r="E4722" s="184"/>
      <c r="F4722" s="184"/>
      <c r="G4722" s="184"/>
      <c r="H4722" s="184"/>
      <c r="I4722" s="184"/>
      <c r="J4722" s="184"/>
      <c r="K4722" s="184"/>
      <c r="L4722" s="184"/>
      <c r="M4722" s="184"/>
      <c r="N4722" s="184"/>
      <c r="O4722" s="184"/>
    </row>
    <row r="4723" customFormat="false" ht="15" hidden="false" customHeight="true" outlineLevel="0" collapsed="false">
      <c r="A4723" s="184"/>
      <c r="B4723" s="184"/>
      <c r="C4723" s="184"/>
      <c r="D4723" s="184"/>
      <c r="E4723" s="184"/>
      <c r="F4723" s="184"/>
      <c r="G4723" s="184"/>
      <c r="H4723" s="184"/>
      <c r="I4723" s="184"/>
      <c r="J4723" s="184"/>
      <c r="K4723" s="184"/>
      <c r="L4723" s="184"/>
      <c r="M4723" s="184"/>
      <c r="N4723" s="184"/>
      <c r="O4723" s="184"/>
    </row>
    <row r="4724" customFormat="false" ht="15" hidden="false" customHeight="true" outlineLevel="0" collapsed="false">
      <c r="A4724" s="184"/>
      <c r="B4724" s="184"/>
      <c r="C4724" s="184"/>
      <c r="D4724" s="184"/>
      <c r="E4724" s="184"/>
      <c r="F4724" s="184"/>
      <c r="G4724" s="184"/>
      <c r="H4724" s="184"/>
      <c r="I4724" s="184"/>
      <c r="J4724" s="184"/>
      <c r="K4724" s="184"/>
      <c r="L4724" s="184"/>
      <c r="M4724" s="184"/>
      <c r="N4724" s="184"/>
      <c r="O4724" s="184"/>
    </row>
    <row r="4725" customFormat="false" ht="15" hidden="false" customHeight="true" outlineLevel="0" collapsed="false">
      <c r="A4725" s="184"/>
      <c r="B4725" s="184"/>
      <c r="C4725" s="184"/>
      <c r="D4725" s="184"/>
      <c r="E4725" s="184"/>
      <c r="F4725" s="184"/>
      <c r="G4725" s="184"/>
      <c r="H4725" s="184"/>
      <c r="I4725" s="184"/>
      <c r="J4725" s="184"/>
      <c r="K4725" s="184"/>
      <c r="L4725" s="184"/>
      <c r="M4725" s="184"/>
      <c r="N4725" s="184"/>
      <c r="O4725" s="184"/>
    </row>
    <row r="4726" customFormat="false" ht="15" hidden="false" customHeight="true" outlineLevel="0" collapsed="false">
      <c r="A4726" s="184"/>
      <c r="B4726" s="184"/>
      <c r="C4726" s="184"/>
      <c r="D4726" s="184"/>
      <c r="E4726" s="184"/>
      <c r="F4726" s="184"/>
      <c r="G4726" s="184"/>
      <c r="H4726" s="184"/>
      <c r="I4726" s="184"/>
      <c r="J4726" s="184"/>
      <c r="K4726" s="184"/>
      <c r="L4726" s="184"/>
      <c r="M4726" s="184"/>
      <c r="N4726" s="184"/>
      <c r="O4726" s="184"/>
    </row>
    <row r="4727" customFormat="false" ht="15" hidden="false" customHeight="true" outlineLevel="0" collapsed="false">
      <c r="A4727" s="184"/>
      <c r="B4727" s="184"/>
      <c r="C4727" s="184"/>
      <c r="D4727" s="184"/>
      <c r="E4727" s="184"/>
      <c r="F4727" s="184"/>
      <c r="G4727" s="184"/>
      <c r="H4727" s="184"/>
      <c r="I4727" s="184"/>
      <c r="J4727" s="184"/>
      <c r="K4727" s="184"/>
      <c r="L4727" s="184"/>
      <c r="M4727" s="184"/>
      <c r="N4727" s="184"/>
      <c r="O4727" s="184"/>
    </row>
    <row r="4728" customFormat="false" ht="15" hidden="false" customHeight="true" outlineLevel="0" collapsed="false">
      <c r="A4728" s="184"/>
      <c r="B4728" s="184"/>
      <c r="C4728" s="184"/>
      <c r="D4728" s="184"/>
      <c r="E4728" s="184"/>
      <c r="F4728" s="184"/>
      <c r="G4728" s="184"/>
      <c r="H4728" s="184"/>
      <c r="I4728" s="184"/>
      <c r="J4728" s="184"/>
      <c r="K4728" s="184"/>
      <c r="L4728" s="184"/>
      <c r="M4728" s="184"/>
      <c r="N4728" s="184"/>
      <c r="O4728" s="184"/>
    </row>
    <row r="4729" customFormat="false" ht="15" hidden="false" customHeight="true" outlineLevel="0" collapsed="false">
      <c r="A4729" s="184"/>
      <c r="B4729" s="184"/>
      <c r="C4729" s="184"/>
      <c r="D4729" s="184"/>
      <c r="E4729" s="184"/>
      <c r="F4729" s="184"/>
      <c r="G4729" s="184"/>
      <c r="H4729" s="184"/>
      <c r="I4729" s="184"/>
      <c r="J4729" s="184"/>
      <c r="K4729" s="184"/>
      <c r="L4729" s="184"/>
      <c r="M4729" s="184"/>
      <c r="N4729" s="184"/>
      <c r="O4729" s="184"/>
    </row>
    <row r="4730" customFormat="false" ht="15" hidden="false" customHeight="true" outlineLevel="0" collapsed="false">
      <c r="A4730" s="184"/>
      <c r="B4730" s="184"/>
      <c r="C4730" s="184"/>
      <c r="D4730" s="184"/>
      <c r="E4730" s="184"/>
      <c r="F4730" s="184"/>
      <c r="G4730" s="184"/>
      <c r="H4730" s="184"/>
      <c r="I4730" s="184"/>
      <c r="J4730" s="184"/>
      <c r="K4730" s="184"/>
      <c r="L4730" s="184"/>
      <c r="M4730" s="184"/>
      <c r="N4730" s="184"/>
      <c r="O4730" s="184"/>
    </row>
    <row r="4731" customFormat="false" ht="15" hidden="false" customHeight="true" outlineLevel="0" collapsed="false">
      <c r="A4731" s="184"/>
      <c r="B4731" s="184"/>
      <c r="C4731" s="184"/>
      <c r="D4731" s="184"/>
      <c r="E4731" s="184"/>
      <c r="F4731" s="184"/>
      <c r="G4731" s="184"/>
      <c r="H4731" s="184"/>
      <c r="I4731" s="184"/>
      <c r="J4731" s="184"/>
      <c r="K4731" s="184"/>
      <c r="L4731" s="184"/>
      <c r="M4731" s="184"/>
      <c r="N4731" s="184"/>
      <c r="O4731" s="184"/>
    </row>
    <row r="4732" customFormat="false" ht="15" hidden="false" customHeight="true" outlineLevel="0" collapsed="false">
      <c r="A4732" s="184"/>
      <c r="B4732" s="184"/>
      <c r="C4732" s="184"/>
      <c r="D4732" s="184"/>
      <c r="E4732" s="184"/>
      <c r="F4732" s="184"/>
      <c r="G4732" s="184"/>
      <c r="H4732" s="184"/>
      <c r="I4732" s="184"/>
      <c r="J4732" s="184"/>
      <c r="K4732" s="184"/>
      <c r="L4732" s="184"/>
      <c r="M4732" s="184"/>
      <c r="N4732" s="184"/>
      <c r="O4732" s="184"/>
    </row>
    <row r="4733" customFormat="false" ht="15" hidden="false" customHeight="true" outlineLevel="0" collapsed="false">
      <c r="A4733" s="184"/>
      <c r="B4733" s="184"/>
      <c r="C4733" s="184"/>
      <c r="D4733" s="184"/>
      <c r="E4733" s="184"/>
      <c r="F4733" s="184"/>
      <c r="G4733" s="184"/>
      <c r="H4733" s="184"/>
      <c r="I4733" s="184"/>
      <c r="J4733" s="184"/>
      <c r="K4733" s="184"/>
      <c r="L4733" s="184"/>
      <c r="M4733" s="184"/>
      <c r="N4733" s="184"/>
      <c r="O4733" s="184"/>
    </row>
    <row r="4734" customFormat="false" ht="15" hidden="false" customHeight="true" outlineLevel="0" collapsed="false">
      <c r="A4734" s="184"/>
      <c r="B4734" s="184"/>
      <c r="C4734" s="184"/>
      <c r="D4734" s="184"/>
      <c r="E4734" s="184"/>
      <c r="F4734" s="184"/>
      <c r="G4734" s="184"/>
      <c r="H4734" s="184"/>
      <c r="I4734" s="184"/>
      <c r="J4734" s="184"/>
      <c r="K4734" s="184"/>
      <c r="L4734" s="184"/>
      <c r="M4734" s="184"/>
      <c r="N4734" s="184"/>
      <c r="O4734" s="184"/>
    </row>
    <row r="4735" customFormat="false" ht="15" hidden="false" customHeight="true" outlineLevel="0" collapsed="false">
      <c r="A4735" s="184"/>
      <c r="B4735" s="184"/>
      <c r="C4735" s="184"/>
      <c r="D4735" s="184"/>
      <c r="E4735" s="184"/>
      <c r="F4735" s="184"/>
      <c r="G4735" s="184"/>
      <c r="H4735" s="184"/>
      <c r="I4735" s="184"/>
      <c r="J4735" s="184"/>
      <c r="K4735" s="184"/>
      <c r="L4735" s="184"/>
      <c r="M4735" s="184"/>
      <c r="N4735" s="184"/>
      <c r="O4735" s="184"/>
    </row>
    <row r="4736" customFormat="false" ht="15" hidden="false" customHeight="true" outlineLevel="0" collapsed="false">
      <c r="A4736" s="184"/>
      <c r="B4736" s="184"/>
      <c r="C4736" s="184"/>
      <c r="D4736" s="184"/>
      <c r="E4736" s="184"/>
      <c r="F4736" s="184"/>
      <c r="G4736" s="184"/>
      <c r="H4736" s="184"/>
      <c r="I4736" s="184"/>
      <c r="J4736" s="184"/>
      <c r="K4736" s="184"/>
      <c r="L4736" s="184"/>
      <c r="M4736" s="184"/>
      <c r="N4736" s="184"/>
      <c r="O4736" s="184"/>
    </row>
    <row r="4737" customFormat="false" ht="15" hidden="false" customHeight="true" outlineLevel="0" collapsed="false">
      <c r="A4737" s="184"/>
      <c r="B4737" s="184"/>
      <c r="C4737" s="184"/>
      <c r="D4737" s="184"/>
      <c r="E4737" s="184"/>
      <c r="F4737" s="184"/>
      <c r="G4737" s="184"/>
      <c r="H4737" s="184"/>
      <c r="I4737" s="184"/>
      <c r="J4737" s="184"/>
      <c r="K4737" s="184"/>
      <c r="L4737" s="184"/>
      <c r="M4737" s="184"/>
      <c r="N4737" s="184"/>
      <c r="O4737" s="184"/>
    </row>
    <row r="4738" customFormat="false" ht="15" hidden="false" customHeight="true" outlineLevel="0" collapsed="false">
      <c r="A4738" s="184"/>
      <c r="B4738" s="184"/>
      <c r="C4738" s="184"/>
      <c r="D4738" s="184"/>
      <c r="E4738" s="184"/>
      <c r="F4738" s="184"/>
      <c r="G4738" s="184"/>
      <c r="H4738" s="184"/>
      <c r="I4738" s="184"/>
      <c r="J4738" s="184"/>
      <c r="K4738" s="184"/>
      <c r="L4738" s="184"/>
      <c r="M4738" s="184"/>
      <c r="N4738" s="184"/>
      <c r="O4738" s="184"/>
    </row>
    <row r="4739" customFormat="false" ht="15" hidden="false" customHeight="true" outlineLevel="0" collapsed="false">
      <c r="A4739" s="184"/>
      <c r="B4739" s="184"/>
      <c r="C4739" s="184"/>
      <c r="D4739" s="184"/>
      <c r="E4739" s="184"/>
      <c r="F4739" s="184"/>
      <c r="G4739" s="184"/>
      <c r="H4739" s="184"/>
      <c r="I4739" s="184"/>
      <c r="J4739" s="184"/>
      <c r="K4739" s="184"/>
      <c r="L4739" s="184"/>
      <c r="M4739" s="184"/>
      <c r="N4739" s="184"/>
      <c r="O4739" s="184"/>
    </row>
    <row r="4740" customFormat="false" ht="15" hidden="false" customHeight="true" outlineLevel="0" collapsed="false">
      <c r="A4740" s="184"/>
      <c r="B4740" s="184"/>
      <c r="C4740" s="184"/>
      <c r="D4740" s="184"/>
      <c r="E4740" s="184"/>
      <c r="F4740" s="184"/>
      <c r="G4740" s="184"/>
      <c r="H4740" s="184"/>
      <c r="I4740" s="184"/>
      <c r="J4740" s="184"/>
      <c r="K4740" s="184"/>
      <c r="L4740" s="184"/>
      <c r="M4740" s="184"/>
      <c r="N4740" s="184"/>
      <c r="O4740" s="184"/>
    </row>
    <row r="4741" customFormat="false" ht="15" hidden="false" customHeight="true" outlineLevel="0" collapsed="false">
      <c r="A4741" s="184"/>
      <c r="B4741" s="184"/>
      <c r="C4741" s="184"/>
      <c r="D4741" s="184"/>
      <c r="E4741" s="184"/>
      <c r="F4741" s="184"/>
      <c r="G4741" s="184"/>
      <c r="H4741" s="184"/>
      <c r="I4741" s="184"/>
      <c r="J4741" s="184"/>
      <c r="K4741" s="184"/>
      <c r="L4741" s="184"/>
      <c r="M4741" s="184"/>
      <c r="N4741" s="184"/>
      <c r="O4741" s="184"/>
    </row>
    <row r="4742" customFormat="false" ht="15" hidden="false" customHeight="true" outlineLevel="0" collapsed="false">
      <c r="A4742" s="184"/>
      <c r="B4742" s="184"/>
      <c r="C4742" s="184"/>
      <c r="D4742" s="184"/>
      <c r="E4742" s="184"/>
      <c r="F4742" s="184"/>
      <c r="G4742" s="184"/>
      <c r="H4742" s="184"/>
      <c r="I4742" s="184"/>
      <c r="J4742" s="184"/>
      <c r="K4742" s="184"/>
      <c r="L4742" s="184"/>
      <c r="M4742" s="184"/>
      <c r="N4742" s="184"/>
      <c r="O4742" s="184"/>
    </row>
    <row r="4743" customFormat="false" ht="15" hidden="false" customHeight="true" outlineLevel="0" collapsed="false">
      <c r="A4743" s="184"/>
      <c r="B4743" s="184"/>
      <c r="C4743" s="184"/>
      <c r="D4743" s="184"/>
      <c r="E4743" s="184"/>
      <c r="F4743" s="184"/>
      <c r="G4743" s="184"/>
      <c r="H4743" s="184"/>
      <c r="I4743" s="184"/>
      <c r="J4743" s="184"/>
      <c r="K4743" s="184"/>
      <c r="L4743" s="184"/>
      <c r="M4743" s="184"/>
      <c r="N4743" s="184"/>
      <c r="O4743" s="184"/>
    </row>
    <row r="4744" customFormat="false" ht="15" hidden="false" customHeight="true" outlineLevel="0" collapsed="false">
      <c r="A4744" s="184"/>
      <c r="B4744" s="184"/>
      <c r="C4744" s="184"/>
      <c r="D4744" s="184"/>
      <c r="E4744" s="184"/>
      <c r="F4744" s="184"/>
      <c r="G4744" s="184"/>
      <c r="H4744" s="184"/>
      <c r="I4744" s="184"/>
      <c r="J4744" s="184"/>
      <c r="K4744" s="184"/>
      <c r="L4744" s="184"/>
      <c r="M4744" s="184"/>
      <c r="N4744" s="184"/>
      <c r="O4744" s="184"/>
    </row>
    <row r="4745" customFormat="false" ht="15" hidden="false" customHeight="true" outlineLevel="0" collapsed="false">
      <c r="A4745" s="184"/>
      <c r="B4745" s="184"/>
      <c r="C4745" s="184"/>
      <c r="D4745" s="184"/>
      <c r="E4745" s="184"/>
      <c r="F4745" s="184"/>
      <c r="G4745" s="184"/>
      <c r="H4745" s="184"/>
      <c r="I4745" s="184"/>
      <c r="J4745" s="184"/>
      <c r="K4745" s="184"/>
      <c r="L4745" s="184"/>
      <c r="M4745" s="184"/>
      <c r="N4745" s="184"/>
      <c r="O4745" s="184"/>
    </row>
    <row r="4746" customFormat="false" ht="15" hidden="false" customHeight="true" outlineLevel="0" collapsed="false">
      <c r="A4746" s="184"/>
      <c r="B4746" s="184"/>
      <c r="C4746" s="184"/>
      <c r="D4746" s="184"/>
      <c r="E4746" s="184"/>
      <c r="F4746" s="184"/>
      <c r="G4746" s="184"/>
      <c r="H4746" s="184"/>
      <c r="I4746" s="184"/>
      <c r="J4746" s="184"/>
      <c r="K4746" s="184"/>
      <c r="L4746" s="184"/>
      <c r="M4746" s="184"/>
      <c r="N4746" s="184"/>
      <c r="O4746" s="184"/>
    </row>
    <row r="4747" customFormat="false" ht="15" hidden="false" customHeight="true" outlineLevel="0" collapsed="false">
      <c r="A4747" s="184"/>
      <c r="B4747" s="184"/>
      <c r="C4747" s="184"/>
      <c r="D4747" s="184"/>
      <c r="E4747" s="184"/>
      <c r="F4747" s="184"/>
      <c r="G4747" s="184"/>
      <c r="H4747" s="184"/>
      <c r="I4747" s="184"/>
      <c r="J4747" s="184"/>
      <c r="K4747" s="184"/>
      <c r="L4747" s="184"/>
      <c r="M4747" s="184"/>
      <c r="N4747" s="184"/>
      <c r="O4747" s="184"/>
    </row>
    <row r="4748" customFormat="false" ht="15" hidden="false" customHeight="true" outlineLevel="0" collapsed="false">
      <c r="A4748" s="184"/>
      <c r="B4748" s="184"/>
      <c r="C4748" s="184"/>
      <c r="D4748" s="184"/>
      <c r="E4748" s="184"/>
      <c r="F4748" s="184"/>
      <c r="G4748" s="184"/>
      <c r="H4748" s="184"/>
      <c r="I4748" s="184"/>
      <c r="J4748" s="184"/>
      <c r="K4748" s="184"/>
      <c r="L4748" s="184"/>
      <c r="M4748" s="184"/>
      <c r="N4748" s="184"/>
      <c r="O4748" s="184"/>
    </row>
    <row r="4749" customFormat="false" ht="15" hidden="false" customHeight="true" outlineLevel="0" collapsed="false">
      <c r="A4749" s="184"/>
      <c r="B4749" s="184"/>
      <c r="C4749" s="184"/>
      <c r="D4749" s="184"/>
      <c r="E4749" s="184"/>
      <c r="F4749" s="184"/>
      <c r="G4749" s="184"/>
      <c r="H4749" s="184"/>
      <c r="I4749" s="184"/>
      <c r="J4749" s="184"/>
      <c r="K4749" s="184"/>
      <c r="L4749" s="184"/>
      <c r="M4749" s="184"/>
      <c r="N4749" s="184"/>
      <c r="O4749" s="184"/>
    </row>
    <row r="4750" customFormat="false" ht="15" hidden="false" customHeight="true" outlineLevel="0" collapsed="false">
      <c r="A4750" s="184"/>
      <c r="B4750" s="184"/>
      <c r="C4750" s="184"/>
      <c r="D4750" s="184"/>
      <c r="E4750" s="184"/>
      <c r="F4750" s="184"/>
      <c r="G4750" s="184"/>
      <c r="H4750" s="184"/>
      <c r="I4750" s="184"/>
      <c r="J4750" s="184"/>
      <c r="K4750" s="184"/>
      <c r="L4750" s="184"/>
      <c r="M4750" s="184"/>
      <c r="N4750" s="184"/>
      <c r="O4750" s="184"/>
    </row>
    <row r="4751" customFormat="false" ht="15" hidden="false" customHeight="true" outlineLevel="0" collapsed="false">
      <c r="A4751" s="184"/>
      <c r="B4751" s="184"/>
      <c r="C4751" s="184"/>
      <c r="D4751" s="184"/>
      <c r="E4751" s="184"/>
      <c r="F4751" s="184"/>
      <c r="G4751" s="184"/>
      <c r="H4751" s="184"/>
      <c r="I4751" s="184"/>
      <c r="J4751" s="184"/>
      <c r="K4751" s="184"/>
      <c r="L4751" s="184"/>
      <c r="M4751" s="184"/>
      <c r="N4751" s="184"/>
      <c r="O4751" s="184"/>
    </row>
    <row r="4752" customFormat="false" ht="15" hidden="false" customHeight="true" outlineLevel="0" collapsed="false">
      <c r="A4752" s="184"/>
      <c r="B4752" s="184"/>
      <c r="C4752" s="184"/>
      <c r="D4752" s="184"/>
      <c r="E4752" s="184"/>
      <c r="F4752" s="184"/>
      <c r="G4752" s="184"/>
      <c r="H4752" s="184"/>
      <c r="I4752" s="184"/>
      <c r="J4752" s="184"/>
      <c r="K4752" s="184"/>
      <c r="L4752" s="184"/>
      <c r="M4752" s="184"/>
      <c r="N4752" s="184"/>
      <c r="O4752" s="184"/>
    </row>
    <row r="4753" customFormat="false" ht="15" hidden="false" customHeight="true" outlineLevel="0" collapsed="false">
      <c r="A4753" s="184"/>
      <c r="B4753" s="184"/>
      <c r="C4753" s="184"/>
      <c r="D4753" s="184"/>
      <c r="E4753" s="184"/>
      <c r="F4753" s="184"/>
      <c r="G4753" s="184"/>
      <c r="H4753" s="184"/>
      <c r="I4753" s="184"/>
      <c r="J4753" s="184"/>
      <c r="K4753" s="184"/>
      <c r="L4753" s="184"/>
      <c r="M4753" s="184"/>
      <c r="N4753" s="184"/>
      <c r="O4753" s="184"/>
    </row>
    <row r="4754" customFormat="false" ht="15" hidden="false" customHeight="true" outlineLevel="0" collapsed="false">
      <c r="A4754" s="184"/>
      <c r="B4754" s="184"/>
      <c r="C4754" s="184"/>
      <c r="D4754" s="184"/>
      <c r="E4754" s="184"/>
      <c r="F4754" s="184"/>
      <c r="G4754" s="184"/>
      <c r="H4754" s="184"/>
      <c r="I4754" s="184"/>
      <c r="J4754" s="184"/>
      <c r="K4754" s="184"/>
      <c r="L4754" s="184"/>
      <c r="M4754" s="184"/>
      <c r="N4754" s="184"/>
      <c r="O4754" s="184"/>
    </row>
    <row r="4755" customFormat="false" ht="15" hidden="false" customHeight="true" outlineLevel="0" collapsed="false">
      <c r="A4755" s="184"/>
      <c r="B4755" s="184"/>
      <c r="C4755" s="184"/>
      <c r="D4755" s="184"/>
      <c r="E4755" s="184"/>
      <c r="F4755" s="184"/>
      <c r="G4755" s="184"/>
      <c r="H4755" s="184"/>
      <c r="I4755" s="184"/>
      <c r="J4755" s="184"/>
      <c r="K4755" s="184"/>
      <c r="L4755" s="184"/>
      <c r="M4755" s="184"/>
      <c r="N4755" s="184"/>
      <c r="O4755" s="184"/>
    </row>
    <row r="4756" customFormat="false" ht="15" hidden="false" customHeight="true" outlineLevel="0" collapsed="false">
      <c r="A4756" s="184"/>
      <c r="B4756" s="184"/>
      <c r="C4756" s="184"/>
      <c r="D4756" s="184"/>
      <c r="E4756" s="184"/>
      <c r="F4756" s="184"/>
      <c r="G4756" s="184"/>
      <c r="H4756" s="184"/>
      <c r="I4756" s="184"/>
      <c r="J4756" s="184"/>
      <c r="K4756" s="184"/>
      <c r="L4756" s="184"/>
      <c r="M4756" s="184"/>
      <c r="N4756" s="184"/>
      <c r="O4756" s="184"/>
    </row>
    <row r="4757" customFormat="false" ht="15" hidden="false" customHeight="true" outlineLevel="0" collapsed="false">
      <c r="A4757" s="184"/>
      <c r="B4757" s="184"/>
      <c r="C4757" s="184"/>
      <c r="D4757" s="184"/>
      <c r="E4757" s="184"/>
      <c r="F4757" s="184"/>
      <c r="G4757" s="184"/>
      <c r="H4757" s="184"/>
      <c r="I4757" s="184"/>
      <c r="J4757" s="184"/>
      <c r="K4757" s="184"/>
      <c r="L4757" s="184"/>
      <c r="M4757" s="184"/>
      <c r="N4757" s="184"/>
      <c r="O4757" s="184"/>
    </row>
    <row r="4758" customFormat="false" ht="15" hidden="false" customHeight="true" outlineLevel="0" collapsed="false">
      <c r="A4758" s="184"/>
      <c r="B4758" s="184"/>
      <c r="C4758" s="184"/>
      <c r="D4758" s="184"/>
      <c r="E4758" s="184"/>
      <c r="F4758" s="184"/>
      <c r="G4758" s="184"/>
      <c r="H4758" s="184"/>
      <c r="I4758" s="184"/>
      <c r="J4758" s="184"/>
      <c r="K4758" s="184"/>
      <c r="L4758" s="184"/>
      <c r="M4758" s="184"/>
      <c r="N4758" s="184"/>
      <c r="O4758" s="184"/>
    </row>
    <row r="4759" customFormat="false" ht="15" hidden="false" customHeight="true" outlineLevel="0" collapsed="false">
      <c r="A4759" s="184"/>
      <c r="B4759" s="184"/>
      <c r="C4759" s="184"/>
      <c r="D4759" s="184"/>
      <c r="E4759" s="184"/>
      <c r="F4759" s="184"/>
      <c r="G4759" s="184"/>
      <c r="H4759" s="184"/>
      <c r="I4759" s="184"/>
      <c r="J4759" s="184"/>
      <c r="K4759" s="184"/>
      <c r="L4759" s="184"/>
      <c r="M4759" s="184"/>
      <c r="N4759" s="184"/>
      <c r="O4759" s="184"/>
    </row>
    <row r="4760" customFormat="false" ht="15" hidden="false" customHeight="true" outlineLevel="0" collapsed="false">
      <c r="A4760" s="184"/>
      <c r="B4760" s="184"/>
      <c r="C4760" s="184"/>
      <c r="D4760" s="184"/>
      <c r="E4760" s="184"/>
      <c r="F4760" s="184"/>
      <c r="G4760" s="184"/>
      <c r="H4760" s="184"/>
      <c r="I4760" s="184"/>
      <c r="J4760" s="184"/>
      <c r="K4760" s="184"/>
      <c r="L4760" s="184"/>
      <c r="M4760" s="184"/>
      <c r="N4760" s="184"/>
      <c r="O4760" s="184"/>
    </row>
    <row r="4761" customFormat="false" ht="15" hidden="false" customHeight="true" outlineLevel="0" collapsed="false">
      <c r="A4761" s="184"/>
      <c r="B4761" s="184"/>
      <c r="C4761" s="184"/>
      <c r="D4761" s="184"/>
      <c r="E4761" s="184"/>
      <c r="F4761" s="184"/>
      <c r="G4761" s="184"/>
      <c r="H4761" s="184"/>
      <c r="I4761" s="184"/>
      <c r="J4761" s="184"/>
      <c r="K4761" s="184"/>
      <c r="L4761" s="184"/>
      <c r="M4761" s="184"/>
      <c r="N4761" s="184"/>
      <c r="O4761" s="184"/>
    </row>
    <row r="4762" customFormat="false" ht="15" hidden="false" customHeight="true" outlineLevel="0" collapsed="false">
      <c r="A4762" s="184"/>
      <c r="B4762" s="184"/>
      <c r="C4762" s="184"/>
      <c r="D4762" s="184"/>
      <c r="E4762" s="184"/>
      <c r="F4762" s="184"/>
      <c r="G4762" s="184"/>
      <c r="H4762" s="184"/>
      <c r="I4762" s="184"/>
      <c r="J4762" s="184"/>
      <c r="K4762" s="184"/>
      <c r="L4762" s="184"/>
      <c r="M4762" s="184"/>
      <c r="N4762" s="184"/>
      <c r="O4762" s="184"/>
    </row>
    <row r="4763" customFormat="false" ht="15" hidden="false" customHeight="true" outlineLevel="0" collapsed="false">
      <c r="A4763" s="184"/>
      <c r="B4763" s="184"/>
      <c r="C4763" s="184"/>
      <c r="D4763" s="184"/>
      <c r="E4763" s="184"/>
      <c r="F4763" s="184"/>
      <c r="G4763" s="184"/>
      <c r="H4763" s="184"/>
      <c r="I4763" s="184"/>
      <c r="J4763" s="184"/>
      <c r="K4763" s="184"/>
      <c r="L4763" s="184"/>
      <c r="M4763" s="184"/>
      <c r="N4763" s="184"/>
      <c r="O4763" s="184"/>
    </row>
    <row r="4764" customFormat="false" ht="15" hidden="false" customHeight="true" outlineLevel="0" collapsed="false">
      <c r="A4764" s="184"/>
      <c r="B4764" s="184"/>
      <c r="C4764" s="184"/>
      <c r="D4764" s="184"/>
      <c r="E4764" s="184"/>
      <c r="F4764" s="184"/>
      <c r="G4764" s="184"/>
      <c r="H4764" s="184"/>
      <c r="I4764" s="184"/>
      <c r="J4764" s="184"/>
      <c r="K4764" s="184"/>
      <c r="L4764" s="184"/>
      <c r="M4764" s="184"/>
      <c r="N4764" s="184"/>
      <c r="O4764" s="184"/>
    </row>
    <row r="4765" customFormat="false" ht="15" hidden="false" customHeight="true" outlineLevel="0" collapsed="false">
      <c r="A4765" s="184"/>
      <c r="B4765" s="184"/>
      <c r="C4765" s="184"/>
      <c r="D4765" s="184"/>
      <c r="E4765" s="184"/>
      <c r="F4765" s="184"/>
      <c r="G4765" s="184"/>
      <c r="H4765" s="184"/>
      <c r="I4765" s="184"/>
      <c r="J4765" s="184"/>
      <c r="K4765" s="184"/>
      <c r="L4765" s="184"/>
      <c r="M4765" s="184"/>
      <c r="N4765" s="184"/>
      <c r="O4765" s="184"/>
    </row>
    <row r="4766" customFormat="false" ht="15" hidden="false" customHeight="true" outlineLevel="0" collapsed="false">
      <c r="A4766" s="184"/>
      <c r="B4766" s="184"/>
      <c r="C4766" s="184"/>
      <c r="D4766" s="184"/>
      <c r="E4766" s="184"/>
      <c r="F4766" s="184"/>
      <c r="G4766" s="184"/>
      <c r="H4766" s="184"/>
      <c r="I4766" s="184"/>
      <c r="J4766" s="184"/>
      <c r="K4766" s="184"/>
      <c r="L4766" s="184"/>
      <c r="M4766" s="184"/>
      <c r="N4766" s="184"/>
      <c r="O4766" s="184"/>
    </row>
    <row r="4767" customFormat="false" ht="15" hidden="false" customHeight="true" outlineLevel="0" collapsed="false">
      <c r="A4767" s="184"/>
      <c r="B4767" s="184"/>
      <c r="C4767" s="184"/>
      <c r="D4767" s="184"/>
      <c r="E4767" s="184"/>
      <c r="F4767" s="184"/>
      <c r="G4767" s="184"/>
      <c r="H4767" s="184"/>
      <c r="I4767" s="184"/>
      <c r="J4767" s="184"/>
      <c r="K4767" s="184"/>
      <c r="L4767" s="184"/>
      <c r="M4767" s="184"/>
      <c r="N4767" s="184"/>
      <c r="O4767" s="184"/>
    </row>
    <row r="4768" customFormat="false" ht="15" hidden="false" customHeight="true" outlineLevel="0" collapsed="false">
      <c r="A4768" s="184"/>
      <c r="B4768" s="184"/>
      <c r="C4768" s="184"/>
      <c r="D4768" s="184"/>
      <c r="E4768" s="184"/>
      <c r="F4768" s="184"/>
      <c r="G4768" s="184"/>
      <c r="H4768" s="184"/>
      <c r="I4768" s="184"/>
      <c r="J4768" s="184"/>
      <c r="K4768" s="184"/>
      <c r="L4768" s="184"/>
      <c r="M4768" s="184"/>
      <c r="N4768" s="184"/>
      <c r="O4768" s="184"/>
    </row>
    <row r="4769" customFormat="false" ht="15" hidden="false" customHeight="true" outlineLevel="0" collapsed="false">
      <c r="A4769" s="184"/>
      <c r="B4769" s="184"/>
      <c r="C4769" s="184"/>
      <c r="D4769" s="184"/>
      <c r="E4769" s="184"/>
      <c r="F4769" s="184"/>
      <c r="G4769" s="184"/>
      <c r="H4769" s="184"/>
      <c r="I4769" s="184"/>
      <c r="J4769" s="184"/>
      <c r="K4769" s="184"/>
      <c r="L4769" s="184"/>
      <c r="M4769" s="184"/>
      <c r="N4769" s="184"/>
      <c r="O4769" s="184"/>
    </row>
    <row r="4770" customFormat="false" ht="15" hidden="false" customHeight="true" outlineLevel="0" collapsed="false">
      <c r="A4770" s="184"/>
      <c r="B4770" s="184"/>
      <c r="C4770" s="184"/>
      <c r="D4770" s="184"/>
      <c r="E4770" s="184"/>
      <c r="F4770" s="184"/>
      <c r="G4770" s="184"/>
      <c r="H4770" s="184"/>
      <c r="I4770" s="184"/>
      <c r="J4770" s="184"/>
      <c r="K4770" s="184"/>
      <c r="L4770" s="184"/>
      <c r="M4770" s="184"/>
      <c r="N4770" s="184"/>
      <c r="O4770" s="184"/>
    </row>
    <row r="4771" customFormat="false" ht="15" hidden="false" customHeight="true" outlineLevel="0" collapsed="false">
      <c r="A4771" s="184"/>
      <c r="B4771" s="184"/>
      <c r="C4771" s="184"/>
      <c r="D4771" s="184"/>
      <c r="E4771" s="184"/>
      <c r="F4771" s="184"/>
      <c r="G4771" s="184"/>
      <c r="H4771" s="184"/>
      <c r="I4771" s="184"/>
      <c r="J4771" s="184"/>
      <c r="K4771" s="184"/>
      <c r="L4771" s="184"/>
      <c r="M4771" s="184"/>
      <c r="N4771" s="184"/>
      <c r="O4771" s="184"/>
    </row>
    <row r="4772" customFormat="false" ht="15" hidden="false" customHeight="true" outlineLevel="0" collapsed="false">
      <c r="A4772" s="184"/>
      <c r="B4772" s="184"/>
      <c r="C4772" s="184"/>
      <c r="D4772" s="184"/>
      <c r="E4772" s="184"/>
      <c r="F4772" s="184"/>
      <c r="G4772" s="184"/>
      <c r="H4772" s="184"/>
      <c r="I4772" s="184"/>
      <c r="J4772" s="184"/>
      <c r="K4772" s="184"/>
      <c r="L4772" s="184"/>
      <c r="M4772" s="184"/>
      <c r="N4772" s="184"/>
      <c r="O4772" s="184"/>
    </row>
    <row r="4773" customFormat="false" ht="15" hidden="false" customHeight="true" outlineLevel="0" collapsed="false">
      <c r="A4773" s="184"/>
      <c r="B4773" s="184"/>
      <c r="C4773" s="184"/>
      <c r="D4773" s="184"/>
      <c r="E4773" s="184"/>
      <c r="F4773" s="184"/>
      <c r="G4773" s="184"/>
      <c r="H4773" s="184"/>
      <c r="I4773" s="184"/>
      <c r="J4773" s="184"/>
      <c r="K4773" s="184"/>
      <c r="L4773" s="184"/>
      <c r="M4773" s="184"/>
      <c r="N4773" s="184"/>
      <c r="O4773" s="184"/>
    </row>
    <row r="4774" customFormat="false" ht="15" hidden="false" customHeight="true" outlineLevel="0" collapsed="false">
      <c r="A4774" s="184"/>
      <c r="B4774" s="184"/>
      <c r="C4774" s="184"/>
      <c r="D4774" s="184"/>
      <c r="E4774" s="184"/>
      <c r="F4774" s="184"/>
      <c r="G4774" s="184"/>
      <c r="H4774" s="184"/>
      <c r="I4774" s="184"/>
      <c r="J4774" s="184"/>
      <c r="K4774" s="184"/>
      <c r="L4774" s="184"/>
      <c r="M4774" s="184"/>
      <c r="N4774" s="184"/>
      <c r="O4774" s="184"/>
    </row>
    <row r="4775" customFormat="false" ht="15" hidden="false" customHeight="true" outlineLevel="0" collapsed="false">
      <c r="A4775" s="184"/>
      <c r="B4775" s="184"/>
      <c r="C4775" s="184"/>
      <c r="D4775" s="184"/>
      <c r="E4775" s="184"/>
      <c r="F4775" s="184"/>
      <c r="G4775" s="184"/>
      <c r="H4775" s="184"/>
      <c r="I4775" s="184"/>
      <c r="J4775" s="184"/>
      <c r="K4775" s="184"/>
      <c r="L4775" s="184"/>
      <c r="M4775" s="184"/>
      <c r="N4775" s="184"/>
      <c r="O4775" s="184"/>
    </row>
    <row r="4776" customFormat="false" ht="27.75" hidden="false" customHeight="true" outlineLevel="0" collapsed="false">
      <c r="A4776" s="184" t="s">
        <v>4999</v>
      </c>
      <c r="B4776" s="184" t="s">
        <v>5000</v>
      </c>
      <c r="C4776" s="184"/>
      <c r="D4776" s="179" t="s">
        <v>4858</v>
      </c>
      <c r="E4776" s="184" t="s">
        <v>7223</v>
      </c>
      <c r="F4776" s="184"/>
      <c r="G4776" s="184"/>
      <c r="H4776" s="184"/>
      <c r="I4776" s="184"/>
      <c r="J4776" s="184"/>
      <c r="K4776" s="184"/>
      <c r="L4776" s="184"/>
      <c r="M4776" s="184" t="s">
        <v>7224</v>
      </c>
      <c r="N4776" s="184"/>
      <c r="O4776" s="184"/>
    </row>
    <row r="4777" customFormat="false" ht="27.75" hidden="false" customHeight="true" outlineLevel="0" collapsed="false">
      <c r="A4777" s="184" t="s">
        <v>4999</v>
      </c>
      <c r="B4777" s="184" t="s">
        <v>5000</v>
      </c>
      <c r="C4777" s="184" t="n">
        <v>1</v>
      </c>
      <c r="D4777" s="178" t="s">
        <v>5269</v>
      </c>
      <c r="E4777" s="184" t="s">
        <v>6289</v>
      </c>
      <c r="F4777" s="184"/>
      <c r="G4777" s="184"/>
      <c r="H4777" s="184"/>
      <c r="I4777" s="184"/>
      <c r="J4777" s="184"/>
      <c r="K4777" s="184"/>
      <c r="L4777" s="184"/>
      <c r="M4777" s="184" t="s">
        <v>6859</v>
      </c>
      <c r="N4777" s="184"/>
      <c r="O4777" s="184"/>
    </row>
    <row r="4778" customFormat="false" ht="27.75" hidden="false" customHeight="true" outlineLevel="0" collapsed="false">
      <c r="A4778" s="184" t="s">
        <v>4999</v>
      </c>
      <c r="B4778" s="184" t="s">
        <v>5000</v>
      </c>
      <c r="C4778" s="184" t="n">
        <v>2</v>
      </c>
      <c r="D4778" s="177" t="s">
        <v>6429</v>
      </c>
      <c r="E4778" s="184" t="s">
        <v>6860</v>
      </c>
      <c r="F4778" s="184"/>
      <c r="G4778" s="184"/>
      <c r="H4778" s="184"/>
      <c r="I4778" s="184"/>
      <c r="J4778" s="184"/>
      <c r="K4778" s="184"/>
      <c r="L4778" s="184"/>
      <c r="M4778" s="184"/>
      <c r="N4778" s="184"/>
      <c r="O4778" s="184"/>
    </row>
    <row r="4779" customFormat="false" ht="27.75" hidden="false" customHeight="true" outlineLevel="0" collapsed="false">
      <c r="A4779" s="184" t="s">
        <v>4999</v>
      </c>
      <c r="B4779" s="184" t="s">
        <v>5000</v>
      </c>
      <c r="C4779" s="184" t="n">
        <v>3</v>
      </c>
      <c r="D4779" s="179" t="s">
        <v>6292</v>
      </c>
      <c r="E4779" s="184" t="s">
        <v>3448</v>
      </c>
      <c r="F4779" s="184"/>
      <c r="G4779" s="184"/>
      <c r="H4779" s="184"/>
      <c r="I4779" s="184"/>
      <c r="J4779" s="184"/>
      <c r="K4779" s="184"/>
      <c r="L4779" s="184"/>
      <c r="M4779" s="184"/>
      <c r="N4779" s="184"/>
      <c r="O4779" s="184"/>
    </row>
    <row r="4780" customFormat="false" ht="27.75" hidden="false" customHeight="true" outlineLevel="0" collapsed="false">
      <c r="A4780" s="184" t="s">
        <v>4999</v>
      </c>
      <c r="B4780" s="184" t="s">
        <v>5000</v>
      </c>
      <c r="C4780" s="184" t="n">
        <v>4</v>
      </c>
      <c r="D4780" s="184" t="s">
        <v>6294</v>
      </c>
      <c r="E4780" s="184" t="s">
        <v>6861</v>
      </c>
      <c r="F4780" s="184"/>
      <c r="G4780" s="184"/>
      <c r="H4780" s="184"/>
      <c r="I4780" s="184"/>
      <c r="J4780" s="184"/>
      <c r="K4780" s="184"/>
      <c r="L4780" s="184"/>
      <c r="M4780" s="184"/>
      <c r="N4780" s="184"/>
      <c r="O4780" s="184"/>
    </row>
    <row r="4781" customFormat="false" ht="27.75" hidden="false" customHeight="true" outlineLevel="0" collapsed="false">
      <c r="A4781" s="184" t="s">
        <v>4999</v>
      </c>
      <c r="B4781" s="184" t="s">
        <v>5000</v>
      </c>
      <c r="C4781" s="184" t="n">
        <v>5</v>
      </c>
      <c r="D4781" s="179" t="s">
        <v>6292</v>
      </c>
      <c r="E4781" s="184" t="s">
        <v>6937</v>
      </c>
      <c r="F4781" s="184"/>
      <c r="G4781" s="184"/>
      <c r="H4781" s="184"/>
      <c r="I4781" s="184"/>
      <c r="J4781" s="184"/>
      <c r="K4781" s="184"/>
      <c r="L4781" s="184"/>
      <c r="M4781" s="184"/>
      <c r="N4781" s="184"/>
      <c r="O4781" s="184"/>
    </row>
    <row r="4782" customFormat="false" ht="27.75" hidden="false" customHeight="true" outlineLevel="0" collapsed="false">
      <c r="A4782" s="184" t="s">
        <v>4999</v>
      </c>
      <c r="B4782" s="184" t="s">
        <v>5000</v>
      </c>
      <c r="C4782" s="184" t="n">
        <v>6</v>
      </c>
      <c r="D4782" s="177" t="s">
        <v>6298</v>
      </c>
      <c r="E4782" s="184" t="s">
        <v>6938</v>
      </c>
      <c r="F4782" s="184"/>
      <c r="G4782" s="184"/>
      <c r="H4782" s="184"/>
      <c r="I4782" s="184"/>
      <c r="J4782" s="184"/>
      <c r="K4782" s="184"/>
      <c r="L4782" s="184"/>
      <c r="M4782" s="184"/>
      <c r="N4782" s="184"/>
      <c r="O4782" s="184"/>
    </row>
    <row r="4783" customFormat="false" ht="27.75" hidden="false" customHeight="true" outlineLevel="0" collapsed="false">
      <c r="A4783" s="184" t="s">
        <v>4999</v>
      </c>
      <c r="B4783" s="184" t="s">
        <v>5000</v>
      </c>
      <c r="C4783" s="184" t="n">
        <v>7</v>
      </c>
      <c r="D4783" s="177" t="s">
        <v>6298</v>
      </c>
      <c r="E4783" s="184" t="s">
        <v>7225</v>
      </c>
      <c r="F4783" s="184"/>
      <c r="G4783" s="184"/>
      <c r="H4783" s="184"/>
      <c r="I4783" s="184"/>
      <c r="J4783" s="184"/>
      <c r="K4783" s="184"/>
      <c r="L4783" s="184"/>
      <c r="M4783" s="184"/>
      <c r="N4783" s="184"/>
      <c r="O4783" s="184"/>
    </row>
    <row r="4784" customFormat="false" ht="54.75" hidden="false" customHeight="true" outlineLevel="0" collapsed="false">
      <c r="A4784" s="184" t="s">
        <v>4999</v>
      </c>
      <c r="B4784" s="184" t="s">
        <v>5000</v>
      </c>
      <c r="C4784" s="184" t="n">
        <v>8</v>
      </c>
      <c r="D4784" s="174" t="s">
        <v>4846</v>
      </c>
      <c r="E4784" s="184" t="s">
        <v>784</v>
      </c>
      <c r="F4784" s="184" t="s">
        <v>715</v>
      </c>
      <c r="G4784" s="184"/>
      <c r="H4784" s="184"/>
      <c r="I4784" s="184"/>
      <c r="J4784" s="184" t="s">
        <v>5720</v>
      </c>
      <c r="K4784" s="184" t="s">
        <v>6333</v>
      </c>
      <c r="L4784" s="184"/>
      <c r="M4784" s="184" t="s">
        <v>6392</v>
      </c>
      <c r="N4784" s="184"/>
      <c r="O4784" s="184"/>
    </row>
    <row r="4785" customFormat="false" ht="54.75" hidden="false" customHeight="true" outlineLevel="0" collapsed="false">
      <c r="A4785" s="184" t="s">
        <v>4999</v>
      </c>
      <c r="B4785" s="184" t="s">
        <v>5000</v>
      </c>
      <c r="C4785" s="184" t="n">
        <v>9</v>
      </c>
      <c r="D4785" s="174" t="s">
        <v>4846</v>
      </c>
      <c r="E4785" s="184" t="s">
        <v>5837</v>
      </c>
      <c r="F4785" s="184" t="s">
        <v>715</v>
      </c>
      <c r="G4785" s="184"/>
      <c r="H4785" s="184"/>
      <c r="I4785" s="184"/>
      <c r="J4785" s="184" t="s">
        <v>6396</v>
      </c>
      <c r="K4785" s="184" t="s">
        <v>6333</v>
      </c>
      <c r="L4785" s="184"/>
      <c r="M4785" s="184" t="s">
        <v>5839</v>
      </c>
      <c r="N4785" s="184"/>
      <c r="O4785" s="184"/>
    </row>
    <row r="4786" customFormat="false" ht="54.75" hidden="false" customHeight="true" outlineLevel="0" collapsed="false">
      <c r="A4786" s="184" t="s">
        <v>4999</v>
      </c>
      <c r="B4786" s="184" t="s">
        <v>5000</v>
      </c>
      <c r="C4786" s="184" t="n">
        <v>10</v>
      </c>
      <c r="D4786" s="174" t="s">
        <v>4848</v>
      </c>
      <c r="E4786" s="184"/>
      <c r="F4786" s="184"/>
      <c r="G4786" s="184"/>
      <c r="H4786" s="184"/>
      <c r="I4786" s="184"/>
      <c r="J4786" s="184"/>
      <c r="K4786" s="184"/>
      <c r="L4786" s="184" t="s">
        <v>6302</v>
      </c>
      <c r="M4786" s="184" t="s">
        <v>6303</v>
      </c>
      <c r="N4786" s="184"/>
      <c r="O4786" s="184"/>
    </row>
    <row r="4787" customFormat="false" ht="41.25" hidden="false" customHeight="true" outlineLevel="0" collapsed="false">
      <c r="A4787" s="184" t="s">
        <v>4999</v>
      </c>
      <c r="B4787" s="184" t="s">
        <v>5000</v>
      </c>
      <c r="C4787" s="184" t="n">
        <v>11</v>
      </c>
      <c r="D4787" s="174" t="s">
        <v>4846</v>
      </c>
      <c r="E4787" s="184" t="s">
        <v>6393</v>
      </c>
      <c r="F4787" s="184" t="s">
        <v>715</v>
      </c>
      <c r="G4787" s="184"/>
      <c r="H4787" s="184"/>
      <c r="I4787" s="184"/>
      <c r="J4787" s="184"/>
      <c r="K4787" s="184" t="s">
        <v>5215</v>
      </c>
      <c r="L4787" s="184"/>
      <c r="M4787" s="184" t="s">
        <v>6395</v>
      </c>
      <c r="N4787" s="184"/>
      <c r="O4787" s="184"/>
    </row>
    <row r="4788" customFormat="false" ht="27.75" hidden="false" customHeight="true" outlineLevel="0" collapsed="false">
      <c r="A4788" s="184" t="s">
        <v>4999</v>
      </c>
      <c r="B4788" s="184" t="s">
        <v>5000</v>
      </c>
      <c r="C4788" s="184" t="n">
        <v>12</v>
      </c>
      <c r="D4788" s="179" t="s">
        <v>6300</v>
      </c>
      <c r="E4788" s="184" t="s">
        <v>6865</v>
      </c>
      <c r="F4788" s="184"/>
      <c r="G4788" s="184"/>
      <c r="H4788" s="184"/>
      <c r="I4788" s="184"/>
      <c r="J4788" s="184"/>
      <c r="K4788" s="184"/>
      <c r="L4788" s="184"/>
      <c r="M4788" s="184"/>
      <c r="N4788" s="184"/>
      <c r="O4788" s="184"/>
    </row>
    <row r="4789" customFormat="false" ht="68.25" hidden="false" customHeight="true" outlineLevel="0" collapsed="false">
      <c r="A4789" s="184" t="s">
        <v>4999</v>
      </c>
      <c r="B4789" s="184" t="s">
        <v>5000</v>
      </c>
      <c r="C4789" s="184" t="n">
        <v>13</v>
      </c>
      <c r="D4789" s="177" t="s">
        <v>6298</v>
      </c>
      <c r="E4789" s="184" t="s">
        <v>6866</v>
      </c>
      <c r="F4789" s="184"/>
      <c r="G4789" s="184"/>
      <c r="H4789" s="184"/>
      <c r="I4789" s="184"/>
      <c r="J4789" s="184"/>
      <c r="K4789" s="184"/>
      <c r="L4789" s="184"/>
      <c r="M4789" s="184"/>
      <c r="N4789" s="184"/>
      <c r="O4789" s="184"/>
    </row>
    <row r="4790" customFormat="false" ht="175.5" hidden="false" customHeight="true" outlineLevel="0" collapsed="false">
      <c r="A4790" s="184" t="s">
        <v>4999</v>
      </c>
      <c r="B4790" s="184" t="s">
        <v>5000</v>
      </c>
      <c r="C4790" s="184" t="n">
        <v>14</v>
      </c>
      <c r="D4790" s="174" t="s">
        <v>4846</v>
      </c>
      <c r="E4790" s="184" t="s">
        <v>6307</v>
      </c>
      <c r="F4790" s="184" t="s">
        <v>238</v>
      </c>
      <c r="G4790" s="184"/>
      <c r="H4790" s="184"/>
      <c r="I4790" s="184"/>
      <c r="J4790" s="184" t="s">
        <v>6308</v>
      </c>
      <c r="K4790" s="184" t="s">
        <v>5568</v>
      </c>
      <c r="L4790" s="184"/>
      <c r="M4790" s="184" t="s">
        <v>6309</v>
      </c>
      <c r="N4790" s="184"/>
      <c r="O4790" s="184"/>
    </row>
    <row r="4791" customFormat="false" ht="122.25" hidden="false" customHeight="true" outlineLevel="0" collapsed="false">
      <c r="A4791" s="184" t="s">
        <v>4999</v>
      </c>
      <c r="B4791" s="184" t="s">
        <v>5000</v>
      </c>
      <c r="C4791" s="184" t="n">
        <v>15</v>
      </c>
      <c r="D4791" s="174" t="s">
        <v>4846</v>
      </c>
      <c r="E4791" s="184" t="s">
        <v>6310</v>
      </c>
      <c r="F4791" s="184" t="s">
        <v>238</v>
      </c>
      <c r="G4791" s="184"/>
      <c r="H4791" s="184"/>
      <c r="I4791" s="184"/>
      <c r="J4791" s="184" t="s">
        <v>6311</v>
      </c>
      <c r="K4791" s="184" t="s">
        <v>5568</v>
      </c>
      <c r="L4791" s="184"/>
      <c r="M4791" s="184" t="s">
        <v>6312</v>
      </c>
      <c r="N4791" s="184"/>
      <c r="O4791" s="184"/>
    </row>
    <row r="4792" customFormat="false" ht="81.75" hidden="false" customHeight="true" outlineLevel="0" collapsed="false">
      <c r="A4792" s="184" t="s">
        <v>4999</v>
      </c>
      <c r="B4792" s="184" t="s">
        <v>5000</v>
      </c>
      <c r="C4792" s="184" t="n">
        <v>16</v>
      </c>
      <c r="D4792" s="174" t="s">
        <v>4846</v>
      </c>
      <c r="E4792" s="184" t="s">
        <v>6313</v>
      </c>
      <c r="F4792" s="184" t="s">
        <v>238</v>
      </c>
      <c r="G4792" s="184"/>
      <c r="H4792" s="184"/>
      <c r="I4792" s="184"/>
      <c r="J4792" s="184" t="s">
        <v>6314</v>
      </c>
      <c r="K4792" s="184" t="s">
        <v>5568</v>
      </c>
      <c r="L4792" s="184"/>
      <c r="M4792" s="184" t="s">
        <v>6315</v>
      </c>
      <c r="N4792" s="184"/>
      <c r="O4792" s="184"/>
    </row>
    <row r="4793" customFormat="false" ht="108.75" hidden="false" customHeight="true" outlineLevel="0" collapsed="false">
      <c r="A4793" s="184" t="s">
        <v>4999</v>
      </c>
      <c r="B4793" s="184" t="s">
        <v>5000</v>
      </c>
      <c r="C4793" s="184" t="n">
        <v>17</v>
      </c>
      <c r="D4793" s="174" t="s">
        <v>4846</v>
      </c>
      <c r="E4793" s="184" t="s">
        <v>6316</v>
      </c>
      <c r="F4793" s="184" t="s">
        <v>238</v>
      </c>
      <c r="G4793" s="184"/>
      <c r="H4793" s="184"/>
      <c r="I4793" s="184"/>
      <c r="J4793" s="184" t="s">
        <v>6317</v>
      </c>
      <c r="K4793" s="184" t="s">
        <v>5568</v>
      </c>
      <c r="L4793" s="184"/>
      <c r="M4793" s="184" t="s">
        <v>6318</v>
      </c>
      <c r="N4793" s="184"/>
      <c r="O4793" s="184"/>
    </row>
    <row r="4794" customFormat="false" ht="108.75" hidden="false" customHeight="true" outlineLevel="0" collapsed="false">
      <c r="A4794" s="184" t="s">
        <v>4999</v>
      </c>
      <c r="B4794" s="184" t="s">
        <v>5000</v>
      </c>
      <c r="C4794" s="184" t="n">
        <v>18</v>
      </c>
      <c r="D4794" s="174" t="s">
        <v>4846</v>
      </c>
      <c r="E4794" s="184" t="s">
        <v>6319</v>
      </c>
      <c r="F4794" s="184" t="s">
        <v>238</v>
      </c>
      <c r="G4794" s="184"/>
      <c r="H4794" s="184"/>
      <c r="I4794" s="184"/>
      <c r="J4794" s="184" t="s">
        <v>6320</v>
      </c>
      <c r="K4794" s="184" t="s">
        <v>5568</v>
      </c>
      <c r="L4794" s="184"/>
      <c r="M4794" s="184" t="s">
        <v>6321</v>
      </c>
      <c r="N4794" s="184"/>
      <c r="O4794" s="184"/>
    </row>
    <row r="4795" customFormat="false" ht="68.25" hidden="false" customHeight="true" outlineLevel="0" collapsed="false">
      <c r="A4795" s="184" t="s">
        <v>4999</v>
      </c>
      <c r="B4795" s="184" t="s">
        <v>5000</v>
      </c>
      <c r="C4795" s="184" t="n">
        <v>19</v>
      </c>
      <c r="D4795" s="174" t="s">
        <v>4846</v>
      </c>
      <c r="E4795" s="184" t="s">
        <v>6322</v>
      </c>
      <c r="F4795" s="184" t="s">
        <v>238</v>
      </c>
      <c r="G4795" s="184"/>
      <c r="H4795" s="184"/>
      <c r="I4795" s="184"/>
      <c r="J4795" s="184" t="s">
        <v>6314</v>
      </c>
      <c r="K4795" s="184" t="s">
        <v>6323</v>
      </c>
      <c r="L4795" s="184"/>
      <c r="M4795" s="184" t="s">
        <v>6324</v>
      </c>
      <c r="N4795" s="184"/>
      <c r="O4795" s="184"/>
    </row>
    <row r="4796" customFormat="false" ht="81.75" hidden="false" customHeight="true" outlineLevel="0" collapsed="false">
      <c r="A4796" s="184" t="s">
        <v>4999</v>
      </c>
      <c r="B4796" s="184" t="s">
        <v>5000</v>
      </c>
      <c r="C4796" s="184" t="n">
        <v>20</v>
      </c>
      <c r="D4796" s="174" t="s">
        <v>4846</v>
      </c>
      <c r="E4796" s="184" t="s">
        <v>1434</v>
      </c>
      <c r="F4796" s="184" t="s">
        <v>238</v>
      </c>
      <c r="G4796" s="184"/>
      <c r="H4796" s="184"/>
      <c r="I4796" s="184"/>
      <c r="J4796" s="184" t="s">
        <v>6325</v>
      </c>
      <c r="K4796" s="184" t="s">
        <v>5568</v>
      </c>
      <c r="L4796" s="184"/>
      <c r="M4796" s="184" t="s">
        <v>5673</v>
      </c>
      <c r="N4796" s="184"/>
      <c r="O4796" s="184"/>
    </row>
    <row r="4797" customFormat="false" ht="108.75" hidden="false" customHeight="true" outlineLevel="0" collapsed="false">
      <c r="A4797" s="184" t="s">
        <v>4999</v>
      </c>
      <c r="B4797" s="184" t="s">
        <v>5000</v>
      </c>
      <c r="C4797" s="184" t="n">
        <v>21</v>
      </c>
      <c r="D4797" s="174" t="s">
        <v>4848</v>
      </c>
      <c r="E4797" s="184" t="s">
        <v>1789</v>
      </c>
      <c r="F4797" s="184"/>
      <c r="G4797" s="184"/>
      <c r="H4797" s="184"/>
      <c r="I4797" s="184"/>
      <c r="J4797" s="184" t="s">
        <v>6326</v>
      </c>
      <c r="K4797" s="184" t="s">
        <v>5568</v>
      </c>
      <c r="L4797" s="184" t="s">
        <v>6327</v>
      </c>
      <c r="M4797" s="184" t="s">
        <v>6328</v>
      </c>
      <c r="N4797" s="184"/>
      <c r="O4797" s="184"/>
    </row>
    <row r="4798" customFormat="false" ht="108.75" hidden="false" customHeight="true" outlineLevel="0" collapsed="false">
      <c r="A4798" s="184" t="s">
        <v>4999</v>
      </c>
      <c r="B4798" s="184" t="s">
        <v>5000</v>
      </c>
      <c r="C4798" s="184" t="n">
        <v>22</v>
      </c>
      <c r="D4798" s="174" t="s">
        <v>4846</v>
      </c>
      <c r="E4798" s="184" t="s">
        <v>5459</v>
      </c>
      <c r="F4798" s="184" t="s">
        <v>238</v>
      </c>
      <c r="G4798" s="184"/>
      <c r="H4798" s="184"/>
      <c r="I4798" s="184"/>
      <c r="J4798" s="184" t="s">
        <v>6325</v>
      </c>
      <c r="K4798" s="184" t="s">
        <v>5568</v>
      </c>
      <c r="L4798" s="184"/>
      <c r="M4798" s="184" t="s">
        <v>5462</v>
      </c>
      <c r="N4798" s="184"/>
      <c r="O4798" s="184"/>
    </row>
    <row r="4799" customFormat="false" ht="81.75" hidden="false" customHeight="true" outlineLevel="0" collapsed="false">
      <c r="A4799" s="184" t="s">
        <v>4999</v>
      </c>
      <c r="B4799" s="184" t="s">
        <v>5000</v>
      </c>
      <c r="C4799" s="184" t="n">
        <v>23</v>
      </c>
      <c r="D4799" s="174" t="s">
        <v>4846</v>
      </c>
      <c r="E4799" s="184" t="s">
        <v>6329</v>
      </c>
      <c r="F4799" s="184" t="s">
        <v>238</v>
      </c>
      <c r="G4799" s="184"/>
      <c r="H4799" s="184"/>
      <c r="I4799" s="184"/>
      <c r="J4799" s="184" t="s">
        <v>6330</v>
      </c>
      <c r="K4799" s="184" t="s">
        <v>5568</v>
      </c>
      <c r="L4799" s="184"/>
      <c r="M4799" s="184" t="s">
        <v>6331</v>
      </c>
      <c r="N4799" s="184"/>
      <c r="O4799" s="184"/>
    </row>
    <row r="4800" customFormat="false" ht="68.25" hidden="false" customHeight="true" outlineLevel="0" collapsed="false">
      <c r="A4800" s="184" t="s">
        <v>4999</v>
      </c>
      <c r="B4800" s="184" t="s">
        <v>5000</v>
      </c>
      <c r="C4800" s="184" t="n">
        <v>24</v>
      </c>
      <c r="D4800" s="174" t="s">
        <v>4846</v>
      </c>
      <c r="E4800" s="184" t="s">
        <v>5463</v>
      </c>
      <c r="F4800" s="184" t="s">
        <v>238</v>
      </c>
      <c r="G4800" s="184"/>
      <c r="H4800" s="184"/>
      <c r="I4800" s="184"/>
      <c r="J4800" s="184" t="s">
        <v>6314</v>
      </c>
      <c r="K4800" s="184" t="s">
        <v>5568</v>
      </c>
      <c r="L4800" s="184"/>
      <c r="M4800" s="184" t="s">
        <v>5466</v>
      </c>
      <c r="N4800" s="184"/>
      <c r="O4800" s="184"/>
    </row>
    <row r="4801" customFormat="false" ht="41.25" hidden="false" customHeight="true" outlineLevel="0" collapsed="false">
      <c r="A4801" s="184" t="s">
        <v>4999</v>
      </c>
      <c r="B4801" s="184" t="s">
        <v>5000</v>
      </c>
      <c r="C4801" s="184" t="n">
        <v>25</v>
      </c>
      <c r="D4801" s="174" t="s">
        <v>4846</v>
      </c>
      <c r="E4801" s="184" t="s">
        <v>5228</v>
      </c>
      <c r="F4801" s="184" t="s">
        <v>227</v>
      </c>
      <c r="G4801" s="184"/>
      <c r="H4801" s="184"/>
      <c r="I4801" s="184"/>
      <c r="J4801" s="184" t="s">
        <v>6332</v>
      </c>
      <c r="K4801" s="184" t="s">
        <v>6333</v>
      </c>
      <c r="L4801" s="184"/>
      <c r="M4801" s="184" t="s">
        <v>5230</v>
      </c>
      <c r="N4801" s="184"/>
      <c r="O4801" s="184"/>
    </row>
    <row r="4802" customFormat="false" ht="41.25" hidden="false" customHeight="true" outlineLevel="0" collapsed="false">
      <c r="A4802" s="184" t="s">
        <v>4999</v>
      </c>
      <c r="B4802" s="184" t="s">
        <v>5000</v>
      </c>
      <c r="C4802" s="184" t="n">
        <v>26</v>
      </c>
      <c r="D4802" s="174" t="s">
        <v>4846</v>
      </c>
      <c r="E4802" s="184" t="s">
        <v>5467</v>
      </c>
      <c r="F4802" s="184" t="s">
        <v>238</v>
      </c>
      <c r="G4802" s="184"/>
      <c r="H4802" s="184"/>
      <c r="I4802" s="184"/>
      <c r="J4802" s="184" t="s">
        <v>6314</v>
      </c>
      <c r="K4802" s="184" t="s">
        <v>6333</v>
      </c>
      <c r="L4802" s="184" t="s">
        <v>5469</v>
      </c>
      <c r="M4802" s="184" t="s">
        <v>6334</v>
      </c>
      <c r="N4802" s="184"/>
      <c r="O4802" s="184"/>
    </row>
    <row r="4803" customFormat="false" ht="68.25" hidden="false" customHeight="true" outlineLevel="0" collapsed="false">
      <c r="A4803" s="184" t="s">
        <v>4999</v>
      </c>
      <c r="B4803" s="184" t="s">
        <v>5000</v>
      </c>
      <c r="C4803" s="184" t="n">
        <v>27</v>
      </c>
      <c r="D4803" s="174" t="s">
        <v>4846</v>
      </c>
      <c r="E4803" s="184" t="s">
        <v>5864</v>
      </c>
      <c r="F4803" s="184" t="s">
        <v>238</v>
      </c>
      <c r="G4803" s="184"/>
      <c r="H4803" s="184"/>
      <c r="I4803" s="184"/>
      <c r="J4803" s="184" t="s">
        <v>6330</v>
      </c>
      <c r="K4803" s="184" t="s">
        <v>5568</v>
      </c>
      <c r="L4803" s="184"/>
      <c r="M4803" s="184" t="s">
        <v>5867</v>
      </c>
      <c r="N4803" s="184"/>
      <c r="O4803" s="184"/>
    </row>
    <row r="4804" customFormat="false" ht="68.25" hidden="false" customHeight="true" outlineLevel="0" collapsed="false">
      <c r="A4804" s="184" t="s">
        <v>4999</v>
      </c>
      <c r="B4804" s="184" t="s">
        <v>5000</v>
      </c>
      <c r="C4804" s="184" t="n">
        <v>28</v>
      </c>
      <c r="D4804" s="174" t="s">
        <v>4846</v>
      </c>
      <c r="E4804" s="184" t="s">
        <v>5868</v>
      </c>
      <c r="F4804" s="184" t="s">
        <v>238</v>
      </c>
      <c r="G4804" s="184"/>
      <c r="H4804" s="184"/>
      <c r="I4804" s="184"/>
      <c r="J4804" s="184" t="s">
        <v>6335</v>
      </c>
      <c r="K4804" s="184" t="s">
        <v>5568</v>
      </c>
      <c r="L4804" s="184"/>
      <c r="M4804" s="184" t="s">
        <v>5871</v>
      </c>
      <c r="N4804" s="184"/>
      <c r="O4804" s="184"/>
    </row>
    <row r="4805" customFormat="false" ht="68.25" hidden="false" customHeight="true" outlineLevel="0" collapsed="false">
      <c r="A4805" s="184" t="s">
        <v>4999</v>
      </c>
      <c r="B4805" s="184" t="s">
        <v>5000</v>
      </c>
      <c r="C4805" s="184" t="n">
        <v>29</v>
      </c>
      <c r="D4805" s="174" t="s">
        <v>4846</v>
      </c>
      <c r="E4805" s="184" t="s">
        <v>5872</v>
      </c>
      <c r="F4805" s="184" t="s">
        <v>238</v>
      </c>
      <c r="G4805" s="184"/>
      <c r="H4805" s="184"/>
      <c r="I4805" s="184"/>
      <c r="J4805" s="184" t="s">
        <v>6336</v>
      </c>
      <c r="K4805" s="184" t="s">
        <v>5568</v>
      </c>
      <c r="L4805" s="184"/>
      <c r="M4805" s="184" t="s">
        <v>5875</v>
      </c>
      <c r="N4805" s="184"/>
      <c r="O4805" s="184"/>
    </row>
    <row r="4806" customFormat="false" ht="54.75" hidden="false" customHeight="true" outlineLevel="0" collapsed="false">
      <c r="A4806" s="184" t="s">
        <v>4999</v>
      </c>
      <c r="B4806" s="184" t="s">
        <v>5000</v>
      </c>
      <c r="C4806" s="184" t="n">
        <v>30</v>
      </c>
      <c r="D4806" s="174" t="s">
        <v>4846</v>
      </c>
      <c r="E4806" s="184" t="s">
        <v>5963</v>
      </c>
      <c r="F4806" s="184" t="s">
        <v>238</v>
      </c>
      <c r="G4806" s="184"/>
      <c r="H4806" s="184"/>
      <c r="I4806" s="184"/>
      <c r="J4806" s="184" t="s">
        <v>6311</v>
      </c>
      <c r="K4806" s="184" t="s">
        <v>5568</v>
      </c>
      <c r="L4806" s="184"/>
      <c r="M4806" s="184" t="s">
        <v>5966</v>
      </c>
      <c r="N4806" s="184"/>
      <c r="O4806" s="184"/>
    </row>
    <row r="4807" customFormat="false" ht="54.75" hidden="false" customHeight="true" outlineLevel="0" collapsed="false">
      <c r="A4807" s="184" t="s">
        <v>4999</v>
      </c>
      <c r="B4807" s="184" t="s">
        <v>5000</v>
      </c>
      <c r="C4807" s="184" t="n">
        <v>31</v>
      </c>
      <c r="D4807" s="174" t="s">
        <v>4846</v>
      </c>
      <c r="E4807" s="184" t="s">
        <v>5967</v>
      </c>
      <c r="F4807" s="184" t="s">
        <v>238</v>
      </c>
      <c r="G4807" s="184"/>
      <c r="H4807" s="184"/>
      <c r="I4807" s="184"/>
      <c r="J4807" s="184" t="s">
        <v>6337</v>
      </c>
      <c r="K4807" s="184" t="s">
        <v>5568</v>
      </c>
      <c r="L4807" s="184"/>
      <c r="M4807" s="184" t="s">
        <v>5970</v>
      </c>
      <c r="N4807" s="184"/>
      <c r="O4807" s="184"/>
    </row>
    <row r="4808" customFormat="false" ht="54.75" hidden="false" customHeight="true" outlineLevel="0" collapsed="false">
      <c r="A4808" s="184" t="s">
        <v>4999</v>
      </c>
      <c r="B4808" s="184" t="s">
        <v>5000</v>
      </c>
      <c r="C4808" s="184" t="n">
        <v>32</v>
      </c>
      <c r="D4808" s="174" t="s">
        <v>4846</v>
      </c>
      <c r="E4808" s="184" t="s">
        <v>5971</v>
      </c>
      <c r="F4808" s="184" t="s">
        <v>238</v>
      </c>
      <c r="G4808" s="184"/>
      <c r="H4808" s="184"/>
      <c r="I4808" s="184"/>
      <c r="J4808" s="184" t="s">
        <v>6338</v>
      </c>
      <c r="K4808" s="184" t="s">
        <v>5568</v>
      </c>
      <c r="L4808" s="184"/>
      <c r="M4808" s="184" t="s">
        <v>5974</v>
      </c>
      <c r="N4808" s="184"/>
      <c r="O4808" s="184"/>
    </row>
    <row r="4809" customFormat="false" ht="81.75" hidden="false" customHeight="true" outlineLevel="0" collapsed="false">
      <c r="A4809" s="184" t="s">
        <v>4999</v>
      </c>
      <c r="B4809" s="184" t="s">
        <v>5000</v>
      </c>
      <c r="C4809" s="184" t="n">
        <v>33</v>
      </c>
      <c r="D4809" s="174" t="s">
        <v>4848</v>
      </c>
      <c r="E4809" s="184" t="s">
        <v>1790</v>
      </c>
      <c r="F4809" s="184"/>
      <c r="G4809" s="184"/>
      <c r="H4809" s="184"/>
      <c r="I4809" s="184"/>
      <c r="J4809" s="184" t="s">
        <v>6339</v>
      </c>
      <c r="K4809" s="184" t="s">
        <v>5568</v>
      </c>
      <c r="L4809" s="184" t="s">
        <v>6340</v>
      </c>
      <c r="M4809" s="184" t="s">
        <v>6341</v>
      </c>
      <c r="N4809" s="184"/>
      <c r="O4809" s="184"/>
    </row>
    <row r="4810" customFormat="false" ht="54.75" hidden="false" customHeight="true" outlineLevel="0" collapsed="false">
      <c r="A4810" s="184" t="s">
        <v>4999</v>
      </c>
      <c r="B4810" s="184" t="s">
        <v>5000</v>
      </c>
      <c r="C4810" s="184" t="n">
        <v>34</v>
      </c>
      <c r="D4810" s="174" t="s">
        <v>4846</v>
      </c>
      <c r="E4810" s="184" t="s">
        <v>6342</v>
      </c>
      <c r="F4810" s="184" t="s">
        <v>5221</v>
      </c>
      <c r="G4810" s="184"/>
      <c r="H4810" s="184"/>
      <c r="I4810" s="184"/>
      <c r="J4810" s="184"/>
      <c r="K4810" s="184" t="s">
        <v>6343</v>
      </c>
      <c r="L4810" s="184"/>
      <c r="M4810" s="184" t="s">
        <v>6344</v>
      </c>
      <c r="N4810" s="184"/>
      <c r="O4810" s="184"/>
    </row>
    <row r="4811" customFormat="false" ht="81.75" hidden="false" customHeight="true" outlineLevel="0" collapsed="false">
      <c r="A4811" s="184" t="s">
        <v>4999</v>
      </c>
      <c r="B4811" s="184" t="s">
        <v>5000</v>
      </c>
      <c r="C4811" s="184" t="n">
        <v>35</v>
      </c>
      <c r="D4811" s="174" t="s">
        <v>4846</v>
      </c>
      <c r="E4811" s="184" t="s">
        <v>6345</v>
      </c>
      <c r="F4811" s="184" t="s">
        <v>227</v>
      </c>
      <c r="G4811" s="184"/>
      <c r="H4811" s="184"/>
      <c r="I4811" s="184"/>
      <c r="J4811" s="184" t="s">
        <v>6346</v>
      </c>
      <c r="K4811" s="184" t="s">
        <v>6323</v>
      </c>
      <c r="L4811" s="184"/>
      <c r="M4811" s="184" t="s">
        <v>6347</v>
      </c>
      <c r="N4811" s="184"/>
      <c r="O4811" s="184"/>
    </row>
    <row r="4812" customFormat="false" ht="27.75" hidden="false" customHeight="true" outlineLevel="0" collapsed="false">
      <c r="A4812" s="184" t="s">
        <v>4999</v>
      </c>
      <c r="B4812" s="184" t="s">
        <v>5000</v>
      </c>
      <c r="C4812" s="184" t="n">
        <v>36</v>
      </c>
      <c r="D4812" s="174" t="s">
        <v>4846</v>
      </c>
      <c r="E4812" s="184" t="s">
        <v>6348</v>
      </c>
      <c r="F4812" s="184" t="s">
        <v>227</v>
      </c>
      <c r="G4812" s="184"/>
      <c r="H4812" s="184"/>
      <c r="I4812" s="184"/>
      <c r="J4812" s="184" t="s">
        <v>6346</v>
      </c>
      <c r="K4812" s="184" t="s">
        <v>6333</v>
      </c>
      <c r="L4812" s="184"/>
      <c r="M4812" s="184" t="s">
        <v>6349</v>
      </c>
      <c r="N4812" s="184"/>
      <c r="O4812" s="184"/>
    </row>
    <row r="4813" customFormat="false" ht="122.25" hidden="false" customHeight="true" outlineLevel="0" collapsed="false">
      <c r="A4813" s="184" t="s">
        <v>4999</v>
      </c>
      <c r="B4813" s="184" t="s">
        <v>5000</v>
      </c>
      <c r="C4813" s="184" t="n">
        <v>37</v>
      </c>
      <c r="D4813" s="174" t="s">
        <v>4846</v>
      </c>
      <c r="E4813" s="184" t="s">
        <v>6350</v>
      </c>
      <c r="F4813" s="184" t="s">
        <v>238</v>
      </c>
      <c r="G4813" s="184"/>
      <c r="H4813" s="184"/>
      <c r="I4813" s="184"/>
      <c r="J4813" s="184" t="s">
        <v>5736</v>
      </c>
      <c r="K4813" s="184" t="s">
        <v>5568</v>
      </c>
      <c r="L4813" s="184"/>
      <c r="M4813" s="184" t="s">
        <v>6351</v>
      </c>
      <c r="N4813" s="184"/>
      <c r="O4813" s="184"/>
    </row>
    <row r="4814" customFormat="false" ht="95.25" hidden="false" customHeight="true" outlineLevel="0" collapsed="false">
      <c r="A4814" s="184" t="s">
        <v>4999</v>
      </c>
      <c r="B4814" s="184" t="s">
        <v>5000</v>
      </c>
      <c r="C4814" s="184" t="n">
        <v>38</v>
      </c>
      <c r="D4814" s="174" t="s">
        <v>4846</v>
      </c>
      <c r="E4814" s="184" t="s">
        <v>5674</v>
      </c>
      <c r="F4814" s="184"/>
      <c r="G4814" s="184"/>
      <c r="H4814" s="184"/>
      <c r="I4814" s="184"/>
      <c r="J4814" s="184" t="s">
        <v>5675</v>
      </c>
      <c r="K4814" s="184" t="s">
        <v>5568</v>
      </c>
      <c r="L4814" s="184"/>
      <c r="M4814" s="184" t="s">
        <v>5677</v>
      </c>
      <c r="N4814" s="184"/>
      <c r="O4814" s="184"/>
    </row>
    <row r="4815" customFormat="false" ht="95.25" hidden="false" customHeight="true" outlineLevel="0" collapsed="false">
      <c r="A4815" s="184" t="s">
        <v>4999</v>
      </c>
      <c r="B4815" s="184" t="s">
        <v>5000</v>
      </c>
      <c r="C4815" s="184" t="n">
        <v>39</v>
      </c>
      <c r="D4815" s="174" t="s">
        <v>4846</v>
      </c>
      <c r="E4815" s="184" t="s">
        <v>6352</v>
      </c>
      <c r="F4815" s="184" t="s">
        <v>238</v>
      </c>
      <c r="G4815" s="184"/>
      <c r="H4815" s="184"/>
      <c r="I4815" s="184"/>
      <c r="J4815" s="184" t="s">
        <v>6353</v>
      </c>
      <c r="K4815" s="184" t="s">
        <v>5568</v>
      </c>
      <c r="L4815" s="184"/>
      <c r="M4815" s="184" t="s">
        <v>6354</v>
      </c>
      <c r="N4815" s="184"/>
      <c r="O4815" s="184"/>
    </row>
    <row r="4816" customFormat="false" ht="135.75" hidden="false" customHeight="true" outlineLevel="0" collapsed="false">
      <c r="A4816" s="184" t="s">
        <v>4999</v>
      </c>
      <c r="B4816" s="184" t="s">
        <v>5000</v>
      </c>
      <c r="C4816" s="184" t="n">
        <v>40</v>
      </c>
      <c r="D4816" s="174" t="s">
        <v>4846</v>
      </c>
      <c r="E4816" s="184" t="s">
        <v>5678</v>
      </c>
      <c r="F4816" s="184" t="s">
        <v>238</v>
      </c>
      <c r="G4816" s="184"/>
      <c r="H4816" s="184"/>
      <c r="I4816" s="184"/>
      <c r="J4816" s="184" t="s">
        <v>5675</v>
      </c>
      <c r="K4816" s="184" t="s">
        <v>5568</v>
      </c>
      <c r="L4816" s="184"/>
      <c r="M4816" s="184" t="s">
        <v>5681</v>
      </c>
      <c r="N4816" s="184"/>
      <c r="O4816" s="184"/>
    </row>
    <row r="4817" customFormat="false" ht="162" hidden="false" customHeight="true" outlineLevel="0" collapsed="false">
      <c r="A4817" s="184" t="s">
        <v>4999</v>
      </c>
      <c r="B4817" s="184" t="s">
        <v>5000</v>
      </c>
      <c r="C4817" s="184" t="n">
        <v>41</v>
      </c>
      <c r="D4817" s="174" t="s">
        <v>4848</v>
      </c>
      <c r="E4817" s="184" t="s">
        <v>5682</v>
      </c>
      <c r="F4817" s="184"/>
      <c r="G4817" s="184"/>
      <c r="H4817" s="184"/>
      <c r="I4817" s="184"/>
      <c r="J4817" s="184" t="s">
        <v>5683</v>
      </c>
      <c r="K4817" s="184" t="s">
        <v>5568</v>
      </c>
      <c r="L4817" s="184" t="s">
        <v>6355</v>
      </c>
      <c r="M4817" s="184" t="s">
        <v>5685</v>
      </c>
      <c r="N4817" s="184"/>
      <c r="O4817" s="184"/>
    </row>
    <row r="4818" customFormat="false" ht="108.75" hidden="false" customHeight="true" outlineLevel="0" collapsed="false">
      <c r="A4818" s="184" t="s">
        <v>4999</v>
      </c>
      <c r="B4818" s="184" t="s">
        <v>5000</v>
      </c>
      <c r="C4818" s="184" t="n">
        <v>42</v>
      </c>
      <c r="D4818" s="174" t="s">
        <v>4848</v>
      </c>
      <c r="E4818" s="184" t="s">
        <v>6356</v>
      </c>
      <c r="F4818" s="184"/>
      <c r="G4818" s="184"/>
      <c r="H4818" s="184"/>
      <c r="I4818" s="184"/>
      <c r="J4818" s="184" t="s">
        <v>6357</v>
      </c>
      <c r="K4818" s="184" t="s">
        <v>5568</v>
      </c>
      <c r="L4818" s="184" t="s">
        <v>6358</v>
      </c>
      <c r="M4818" s="184" t="s">
        <v>6359</v>
      </c>
      <c r="N4818" s="184"/>
      <c r="O4818" s="184"/>
    </row>
    <row r="4819" customFormat="false" ht="81.75" hidden="false" customHeight="true" outlineLevel="0" collapsed="false">
      <c r="A4819" s="184" t="s">
        <v>4999</v>
      </c>
      <c r="B4819" s="184" t="s">
        <v>5000</v>
      </c>
      <c r="C4819" s="184" t="n">
        <v>43</v>
      </c>
      <c r="D4819" s="174" t="s">
        <v>4848</v>
      </c>
      <c r="E4819" s="184" t="s">
        <v>5833</v>
      </c>
      <c r="F4819" s="184"/>
      <c r="G4819" s="184"/>
      <c r="H4819" s="184"/>
      <c r="I4819" s="184"/>
      <c r="J4819" s="184" t="s">
        <v>5834</v>
      </c>
      <c r="K4819" s="184" t="s">
        <v>5568</v>
      </c>
      <c r="L4819" s="184" t="s">
        <v>6360</v>
      </c>
      <c r="M4819" s="184" t="s">
        <v>5836</v>
      </c>
      <c r="N4819" s="184"/>
      <c r="O4819" s="184"/>
    </row>
    <row r="4820" customFormat="false" ht="41.25" hidden="false" customHeight="true" outlineLevel="0" collapsed="false">
      <c r="A4820" s="184" t="s">
        <v>4999</v>
      </c>
      <c r="B4820" s="184" t="s">
        <v>5000</v>
      </c>
      <c r="C4820" s="184" t="n">
        <v>44</v>
      </c>
      <c r="D4820" s="174" t="s">
        <v>4846</v>
      </c>
      <c r="E4820" s="184" t="s">
        <v>6361</v>
      </c>
      <c r="F4820" s="184" t="s">
        <v>227</v>
      </c>
      <c r="G4820" s="184"/>
      <c r="H4820" s="184"/>
      <c r="I4820" s="184"/>
      <c r="J4820" s="184" t="s">
        <v>6362</v>
      </c>
      <c r="K4820" s="184" t="s">
        <v>6323</v>
      </c>
      <c r="L4820" s="184"/>
      <c r="M4820" s="184" t="s">
        <v>6363</v>
      </c>
      <c r="N4820" s="184"/>
      <c r="O4820" s="184"/>
    </row>
    <row r="4821" customFormat="false" ht="149.25" hidden="false" customHeight="true" outlineLevel="0" collapsed="false">
      <c r="A4821" s="184" t="s">
        <v>4999</v>
      </c>
      <c r="B4821" s="184" t="s">
        <v>5000</v>
      </c>
      <c r="C4821" s="184" t="n">
        <v>45</v>
      </c>
      <c r="D4821" s="174" t="s">
        <v>4846</v>
      </c>
      <c r="E4821" s="184" t="s">
        <v>681</v>
      </c>
      <c r="F4821" s="184"/>
      <c r="G4821" s="184"/>
      <c r="H4821" s="184"/>
      <c r="I4821" s="184"/>
      <c r="J4821" s="184" t="s">
        <v>6325</v>
      </c>
      <c r="K4821" s="184" t="s">
        <v>5568</v>
      </c>
      <c r="L4821" s="184"/>
      <c r="M4821" s="184" t="s">
        <v>6365</v>
      </c>
      <c r="N4821" s="184"/>
      <c r="O4821" s="184"/>
    </row>
    <row r="4822" customFormat="false" ht="27.75" hidden="false" customHeight="true" outlineLevel="0" collapsed="false">
      <c r="A4822" s="184" t="s">
        <v>4999</v>
      </c>
      <c r="B4822" s="184" t="s">
        <v>5000</v>
      </c>
      <c r="C4822" s="184" t="n">
        <v>46</v>
      </c>
      <c r="D4822" s="174" t="s">
        <v>4846</v>
      </c>
      <c r="E4822" s="184" t="s">
        <v>6366</v>
      </c>
      <c r="F4822" s="184" t="s">
        <v>238</v>
      </c>
      <c r="G4822" s="184"/>
      <c r="H4822" s="184"/>
      <c r="I4822" s="184"/>
      <c r="J4822" s="184" t="s">
        <v>6367</v>
      </c>
      <c r="K4822" s="184" t="s">
        <v>6333</v>
      </c>
      <c r="L4822" s="184" t="s">
        <v>6368</v>
      </c>
      <c r="M4822" s="184" t="s">
        <v>4371</v>
      </c>
      <c r="N4822" s="184"/>
      <c r="O4822" s="184"/>
    </row>
    <row r="4823" customFormat="false" ht="41.25" hidden="false" customHeight="true" outlineLevel="0" collapsed="false">
      <c r="A4823" s="184" t="s">
        <v>4999</v>
      </c>
      <c r="B4823" s="184" t="s">
        <v>5000</v>
      </c>
      <c r="C4823" s="184" t="n">
        <v>47</v>
      </c>
      <c r="D4823" s="174" t="s">
        <v>4846</v>
      </c>
      <c r="E4823" s="184" t="s">
        <v>6369</v>
      </c>
      <c r="F4823" s="184" t="s">
        <v>238</v>
      </c>
      <c r="G4823" s="184"/>
      <c r="H4823" s="184"/>
      <c r="I4823" s="184"/>
      <c r="J4823" s="184" t="s">
        <v>6370</v>
      </c>
      <c r="K4823" s="184" t="s">
        <v>6333</v>
      </c>
      <c r="L4823" s="184"/>
      <c r="M4823" s="184" t="s">
        <v>6170</v>
      </c>
      <c r="N4823" s="184"/>
      <c r="O4823" s="184"/>
    </row>
    <row r="4824" customFormat="false" ht="27.75" hidden="false" customHeight="true" outlineLevel="0" collapsed="false">
      <c r="A4824" s="184" t="s">
        <v>4999</v>
      </c>
      <c r="B4824" s="184" t="s">
        <v>5000</v>
      </c>
      <c r="C4824" s="184" t="n">
        <v>48</v>
      </c>
      <c r="D4824" s="174" t="s">
        <v>4846</v>
      </c>
      <c r="E4824" s="184" t="s">
        <v>6371</v>
      </c>
      <c r="F4824" s="184" t="s">
        <v>238</v>
      </c>
      <c r="G4824" s="184"/>
      <c r="H4824" s="184"/>
      <c r="I4824" s="184"/>
      <c r="J4824" s="184" t="s">
        <v>6372</v>
      </c>
      <c r="K4824" s="184" t="s">
        <v>6333</v>
      </c>
      <c r="L4824" s="184" t="s">
        <v>6373</v>
      </c>
      <c r="M4824" s="184" t="s">
        <v>4375</v>
      </c>
      <c r="N4824" s="184"/>
      <c r="O4824" s="184"/>
    </row>
    <row r="4825" customFormat="false" ht="108.75" hidden="false" customHeight="true" outlineLevel="0" collapsed="false">
      <c r="A4825" s="184" t="s">
        <v>4999</v>
      </c>
      <c r="B4825" s="184" t="s">
        <v>5000</v>
      </c>
      <c r="C4825" s="184" t="n">
        <v>49</v>
      </c>
      <c r="D4825" s="174" t="s">
        <v>4846</v>
      </c>
      <c r="E4825" s="184" t="s">
        <v>1454</v>
      </c>
      <c r="F4825" s="184" t="s">
        <v>5221</v>
      </c>
      <c r="G4825" s="184"/>
      <c r="H4825" s="184"/>
      <c r="I4825" s="184"/>
      <c r="J4825" s="184" t="s">
        <v>6311</v>
      </c>
      <c r="K4825" s="184" t="s">
        <v>5568</v>
      </c>
      <c r="L4825" s="184"/>
      <c r="M4825" s="184" t="s">
        <v>6374</v>
      </c>
      <c r="N4825" s="184"/>
      <c r="O4825" s="184"/>
    </row>
    <row r="4826" customFormat="false" ht="68.25" hidden="false" customHeight="true" outlineLevel="0" collapsed="false">
      <c r="A4826" s="184" t="s">
        <v>4999</v>
      </c>
      <c r="B4826" s="184" t="s">
        <v>5000</v>
      </c>
      <c r="C4826" s="184" t="n">
        <v>50</v>
      </c>
      <c r="D4826" s="174" t="s">
        <v>4846</v>
      </c>
      <c r="E4826" s="184" t="s">
        <v>6375</v>
      </c>
      <c r="F4826" s="184" t="s">
        <v>238</v>
      </c>
      <c r="G4826" s="184"/>
      <c r="H4826" s="184"/>
      <c r="I4826" s="184"/>
      <c r="J4826" s="184" t="s">
        <v>6376</v>
      </c>
      <c r="K4826" s="184" t="s">
        <v>5568</v>
      </c>
      <c r="L4826" s="184"/>
      <c r="M4826" s="184" t="s">
        <v>6377</v>
      </c>
      <c r="N4826" s="184"/>
      <c r="O4826" s="184"/>
    </row>
    <row r="4827" customFormat="false" ht="81.75" hidden="false" customHeight="true" outlineLevel="0" collapsed="false">
      <c r="A4827" s="184" t="s">
        <v>4999</v>
      </c>
      <c r="B4827" s="184" t="s">
        <v>5000</v>
      </c>
      <c r="C4827" s="184" t="n">
        <v>51</v>
      </c>
      <c r="D4827" s="174" t="s">
        <v>4846</v>
      </c>
      <c r="E4827" s="184" t="s">
        <v>6378</v>
      </c>
      <c r="F4827" s="184" t="s">
        <v>238</v>
      </c>
      <c r="G4827" s="184"/>
      <c r="H4827" s="184"/>
      <c r="I4827" s="184"/>
      <c r="J4827" s="184" t="s">
        <v>5736</v>
      </c>
      <c r="K4827" s="184" t="s">
        <v>5568</v>
      </c>
      <c r="L4827" s="184"/>
      <c r="M4827" s="184" t="s">
        <v>6379</v>
      </c>
      <c r="N4827" s="184"/>
      <c r="O4827" s="184"/>
    </row>
    <row r="4828" customFormat="false" ht="68.25" hidden="false" customHeight="true" outlineLevel="0" collapsed="false">
      <c r="A4828" s="184" t="s">
        <v>4999</v>
      </c>
      <c r="B4828" s="184" t="s">
        <v>5000</v>
      </c>
      <c r="C4828" s="184" t="n">
        <v>52</v>
      </c>
      <c r="D4828" s="174" t="s">
        <v>4846</v>
      </c>
      <c r="E4828" s="184" t="s">
        <v>6380</v>
      </c>
      <c r="F4828" s="184" t="s">
        <v>227</v>
      </c>
      <c r="G4828" s="184"/>
      <c r="H4828" s="184"/>
      <c r="I4828" s="184"/>
      <c r="J4828" s="184" t="s">
        <v>6381</v>
      </c>
      <c r="K4828" s="184" t="s">
        <v>5568</v>
      </c>
      <c r="L4828" s="184"/>
      <c r="M4828" s="184" t="s">
        <v>6382</v>
      </c>
      <c r="N4828" s="184"/>
      <c r="O4828" s="184"/>
    </row>
    <row r="4829" customFormat="false" ht="68.25" hidden="false" customHeight="true" outlineLevel="0" collapsed="false">
      <c r="A4829" s="184" t="s">
        <v>4999</v>
      </c>
      <c r="B4829" s="184" t="s">
        <v>5000</v>
      </c>
      <c r="C4829" s="184" t="n">
        <v>53</v>
      </c>
      <c r="D4829" s="174" t="s">
        <v>4846</v>
      </c>
      <c r="E4829" s="184" t="s">
        <v>6016</v>
      </c>
      <c r="F4829" s="184" t="s">
        <v>238</v>
      </c>
      <c r="G4829" s="184"/>
      <c r="H4829" s="184"/>
      <c r="I4829" s="184"/>
      <c r="J4829" s="184" t="s">
        <v>6383</v>
      </c>
      <c r="K4829" s="184" t="s">
        <v>5568</v>
      </c>
      <c r="L4829" s="184"/>
      <c r="M4829" s="184" t="s">
        <v>6019</v>
      </c>
      <c r="N4829" s="184"/>
      <c r="O4829" s="184"/>
    </row>
    <row r="4830" customFormat="false" ht="68.25" hidden="false" customHeight="true" outlineLevel="0" collapsed="false">
      <c r="A4830" s="184" t="s">
        <v>4999</v>
      </c>
      <c r="B4830" s="184" t="s">
        <v>5000</v>
      </c>
      <c r="C4830" s="184" t="n">
        <v>54</v>
      </c>
      <c r="D4830" s="174" t="s">
        <v>4846</v>
      </c>
      <c r="E4830" s="184" t="s">
        <v>6384</v>
      </c>
      <c r="F4830" s="184" t="s">
        <v>5221</v>
      </c>
      <c r="G4830" s="184"/>
      <c r="H4830" s="184"/>
      <c r="I4830" s="184"/>
      <c r="J4830" s="184" t="s">
        <v>6385</v>
      </c>
      <c r="K4830" s="184" t="s">
        <v>5568</v>
      </c>
      <c r="L4830" s="184"/>
      <c r="M4830" s="184" t="s">
        <v>6386</v>
      </c>
      <c r="N4830" s="184"/>
      <c r="O4830" s="184"/>
    </row>
    <row r="4831" customFormat="false" ht="54.75" hidden="false" customHeight="true" outlineLevel="0" collapsed="false">
      <c r="A4831" s="184" t="s">
        <v>4999</v>
      </c>
      <c r="B4831" s="184" t="s">
        <v>5000</v>
      </c>
      <c r="C4831" s="184" t="n">
        <v>55</v>
      </c>
      <c r="D4831" s="174" t="s">
        <v>4846</v>
      </c>
      <c r="E4831" s="184" t="s">
        <v>6387</v>
      </c>
      <c r="F4831" s="184" t="s">
        <v>227</v>
      </c>
      <c r="G4831" s="184"/>
      <c r="H4831" s="184"/>
      <c r="I4831" s="184"/>
      <c r="J4831" s="184" t="s">
        <v>6388</v>
      </c>
      <c r="K4831" s="184" t="s">
        <v>6333</v>
      </c>
      <c r="L4831" s="184"/>
      <c r="M4831" s="184" t="s">
        <v>6389</v>
      </c>
      <c r="N4831" s="184"/>
      <c r="O4831" s="184"/>
    </row>
    <row r="4832" customFormat="false" ht="54.75" hidden="false" customHeight="true" outlineLevel="0" collapsed="false">
      <c r="A4832" s="184" t="s">
        <v>4999</v>
      </c>
      <c r="B4832" s="184" t="s">
        <v>5000</v>
      </c>
      <c r="C4832" s="184" t="n">
        <v>56</v>
      </c>
      <c r="D4832" s="174" t="s">
        <v>4846</v>
      </c>
      <c r="E4832" s="184" t="s">
        <v>6138</v>
      </c>
      <c r="F4832" s="184" t="s">
        <v>238</v>
      </c>
      <c r="G4832" s="184"/>
      <c r="H4832" s="184"/>
      <c r="I4832" s="184"/>
      <c r="J4832" s="184" t="s">
        <v>5736</v>
      </c>
      <c r="K4832" s="184" t="s">
        <v>5568</v>
      </c>
      <c r="L4832" s="184"/>
      <c r="M4832" s="184" t="s">
        <v>6141</v>
      </c>
      <c r="N4832" s="184"/>
      <c r="O4832" s="184"/>
    </row>
    <row r="4833" customFormat="false" ht="54.75" hidden="false" customHeight="true" outlineLevel="0" collapsed="false">
      <c r="A4833" s="184" t="s">
        <v>4999</v>
      </c>
      <c r="B4833" s="184" t="s">
        <v>5000</v>
      </c>
      <c r="C4833" s="184" t="n">
        <v>57</v>
      </c>
      <c r="D4833" s="174" t="s">
        <v>4846</v>
      </c>
      <c r="E4833" s="184" t="s">
        <v>6142</v>
      </c>
      <c r="F4833" s="184" t="s">
        <v>238</v>
      </c>
      <c r="G4833" s="184"/>
      <c r="H4833" s="184"/>
      <c r="I4833" s="184"/>
      <c r="J4833" s="184" t="s">
        <v>6390</v>
      </c>
      <c r="K4833" s="184" t="s">
        <v>5568</v>
      </c>
      <c r="L4833" s="184"/>
      <c r="M4833" s="184" t="s">
        <v>6145</v>
      </c>
      <c r="N4833" s="184"/>
      <c r="O4833" s="184"/>
    </row>
    <row r="4834" customFormat="false" ht="54.75" hidden="false" customHeight="true" outlineLevel="0" collapsed="false">
      <c r="A4834" s="184" t="s">
        <v>4999</v>
      </c>
      <c r="B4834" s="184" t="s">
        <v>5000</v>
      </c>
      <c r="C4834" s="184" t="n">
        <v>58</v>
      </c>
      <c r="D4834" s="174" t="s">
        <v>4846</v>
      </c>
      <c r="E4834" s="184" t="s">
        <v>6146</v>
      </c>
      <c r="F4834" s="184" t="s">
        <v>238</v>
      </c>
      <c r="G4834" s="184"/>
      <c r="H4834" s="184"/>
      <c r="I4834" s="184"/>
      <c r="J4834" s="184" t="s">
        <v>6370</v>
      </c>
      <c r="K4834" s="184" t="s">
        <v>5568</v>
      </c>
      <c r="L4834" s="184"/>
      <c r="M4834" s="184" t="s">
        <v>6149</v>
      </c>
      <c r="N4834" s="184"/>
      <c r="O4834" s="184"/>
    </row>
    <row r="4835" customFormat="false" ht="27.75" hidden="false" customHeight="true" outlineLevel="0" collapsed="false">
      <c r="A4835" s="184" t="s">
        <v>4999</v>
      </c>
      <c r="B4835" s="184" t="s">
        <v>5000</v>
      </c>
      <c r="C4835" s="184" t="n">
        <v>59</v>
      </c>
      <c r="D4835" s="174" t="s">
        <v>4848</v>
      </c>
      <c r="E4835" s="184" t="s">
        <v>6397</v>
      </c>
      <c r="F4835" s="184"/>
      <c r="G4835" s="184"/>
      <c r="H4835" s="184"/>
      <c r="I4835" s="184"/>
      <c r="J4835" s="184" t="s">
        <v>1654</v>
      </c>
      <c r="K4835" s="184" t="s">
        <v>5568</v>
      </c>
      <c r="L4835" s="184" t="s">
        <v>6398</v>
      </c>
      <c r="M4835" s="184" t="s">
        <v>6399</v>
      </c>
      <c r="N4835" s="184"/>
      <c r="O4835" s="184"/>
    </row>
    <row r="4836" customFormat="false" ht="27.75" hidden="false" customHeight="true" outlineLevel="0" collapsed="false">
      <c r="A4836" s="184" t="s">
        <v>4999</v>
      </c>
      <c r="B4836" s="184" t="s">
        <v>5000</v>
      </c>
      <c r="C4836" s="184" t="n">
        <v>60</v>
      </c>
      <c r="D4836" s="184" t="s">
        <v>6296</v>
      </c>
      <c r="E4836" s="184" t="s">
        <v>724</v>
      </c>
      <c r="F4836" s="184"/>
      <c r="G4836" s="184"/>
      <c r="H4836" s="184"/>
      <c r="I4836" s="184"/>
      <c r="J4836" s="184"/>
      <c r="K4836" s="184"/>
      <c r="L4836" s="184"/>
      <c r="M4836" s="184"/>
      <c r="N4836" s="184"/>
      <c r="O4836" s="184"/>
    </row>
    <row r="4837" customFormat="false" ht="27.75" hidden="false" customHeight="true" outlineLevel="0" collapsed="false">
      <c r="A4837" s="184" t="s">
        <v>4999</v>
      </c>
      <c r="B4837" s="184" t="s">
        <v>5000</v>
      </c>
      <c r="C4837" s="184" t="n">
        <v>61</v>
      </c>
      <c r="D4837" s="177" t="s">
        <v>6298</v>
      </c>
      <c r="E4837" s="184" t="s">
        <v>6867</v>
      </c>
      <c r="F4837" s="184"/>
      <c r="G4837" s="184"/>
      <c r="H4837" s="184"/>
      <c r="I4837" s="184"/>
      <c r="J4837" s="184"/>
      <c r="K4837" s="184"/>
      <c r="L4837" s="184"/>
      <c r="M4837" s="184"/>
      <c r="N4837" s="184"/>
      <c r="O4837" s="184"/>
    </row>
    <row r="4838" customFormat="false" ht="27.75" hidden="false" customHeight="true" outlineLevel="0" collapsed="false">
      <c r="A4838" s="184" t="s">
        <v>4999</v>
      </c>
      <c r="B4838" s="184" t="s">
        <v>5000</v>
      </c>
      <c r="C4838" s="184" t="n">
        <v>62</v>
      </c>
      <c r="D4838" s="177" t="s">
        <v>6298</v>
      </c>
      <c r="E4838" s="184" t="s">
        <v>6868</v>
      </c>
      <c r="F4838" s="184"/>
      <c r="G4838" s="184"/>
      <c r="H4838" s="184"/>
      <c r="I4838" s="184"/>
      <c r="J4838" s="184"/>
      <c r="K4838" s="184"/>
      <c r="L4838" s="184"/>
      <c r="M4838" s="184"/>
      <c r="N4838" s="184"/>
      <c r="O4838" s="184"/>
    </row>
    <row r="4839" customFormat="false" ht="27.75" hidden="false" customHeight="true" outlineLevel="0" collapsed="false">
      <c r="A4839" s="184" t="s">
        <v>4999</v>
      </c>
      <c r="B4839" s="184" t="s">
        <v>5000</v>
      </c>
      <c r="C4839" s="184" t="n">
        <v>63</v>
      </c>
      <c r="D4839" s="178" t="s">
        <v>6457</v>
      </c>
      <c r="E4839" s="184" t="s">
        <v>6869</v>
      </c>
      <c r="F4839" s="184"/>
      <c r="G4839" s="184"/>
      <c r="H4839" s="184"/>
      <c r="I4839" s="184"/>
      <c r="J4839" s="184"/>
      <c r="K4839" s="184"/>
      <c r="L4839" s="184"/>
      <c r="M4839" s="184" t="s">
        <v>6870</v>
      </c>
      <c r="N4839" s="184"/>
      <c r="O4839" s="184"/>
    </row>
    <row r="4840" customFormat="false" ht="27.75" hidden="false" customHeight="true" outlineLevel="0" collapsed="false">
      <c r="A4840" s="184" t="s">
        <v>4999</v>
      </c>
      <c r="B4840" s="184" t="s">
        <v>5000</v>
      </c>
      <c r="C4840" s="184" t="n">
        <v>64</v>
      </c>
      <c r="D4840" s="178" t="s">
        <v>6457</v>
      </c>
      <c r="E4840" s="184" t="s">
        <v>6871</v>
      </c>
      <c r="F4840" s="184"/>
      <c r="G4840" s="184"/>
      <c r="H4840" s="184"/>
      <c r="I4840" s="184"/>
      <c r="J4840" s="184"/>
      <c r="K4840" s="184"/>
      <c r="L4840" s="184"/>
      <c r="M4840" s="184" t="s">
        <v>6872</v>
      </c>
      <c r="N4840" s="184"/>
      <c r="O4840" s="184"/>
    </row>
    <row r="4841" customFormat="false" ht="27.75" hidden="false" customHeight="true" outlineLevel="0" collapsed="false">
      <c r="A4841" s="184" t="s">
        <v>4999</v>
      </c>
      <c r="B4841" s="184" t="s">
        <v>5000</v>
      </c>
      <c r="C4841" s="184" t="n">
        <v>65</v>
      </c>
      <c r="D4841" s="179" t="s">
        <v>6300</v>
      </c>
      <c r="E4841" s="184" t="s">
        <v>6873</v>
      </c>
      <c r="F4841" s="184"/>
      <c r="G4841" s="184"/>
      <c r="H4841" s="184"/>
      <c r="I4841" s="184"/>
      <c r="J4841" s="184"/>
      <c r="K4841" s="184"/>
      <c r="L4841" s="184"/>
      <c r="M4841" s="184"/>
      <c r="N4841" s="184"/>
      <c r="O4841" s="184"/>
    </row>
    <row r="4842" customFormat="false" ht="27.75" hidden="false" customHeight="true" outlineLevel="0" collapsed="false">
      <c r="A4842" s="184" t="s">
        <v>4999</v>
      </c>
      <c r="B4842" s="184" t="s">
        <v>5000</v>
      </c>
      <c r="C4842" s="184" t="n">
        <v>66</v>
      </c>
      <c r="D4842" s="184" t="s">
        <v>4790</v>
      </c>
      <c r="E4842" s="184" t="s">
        <v>6874</v>
      </c>
      <c r="F4842" s="184"/>
      <c r="G4842" s="184"/>
      <c r="H4842" s="184"/>
      <c r="I4842" s="184"/>
      <c r="J4842" s="184"/>
      <c r="K4842" s="184"/>
      <c r="L4842" s="184"/>
      <c r="M4842" s="184" t="s">
        <v>6875</v>
      </c>
      <c r="N4842" s="184"/>
      <c r="O4842" s="184"/>
    </row>
    <row r="4843" customFormat="false" ht="27.75" hidden="false" customHeight="true" outlineLevel="0" collapsed="false">
      <c r="A4843" s="184" t="s">
        <v>4999</v>
      </c>
      <c r="B4843" s="184" t="s">
        <v>5000</v>
      </c>
      <c r="C4843" s="184" t="n">
        <v>67</v>
      </c>
      <c r="D4843" s="184" t="s">
        <v>4790</v>
      </c>
      <c r="E4843" s="184" t="s">
        <v>6876</v>
      </c>
      <c r="F4843" s="184"/>
      <c r="G4843" s="184"/>
      <c r="H4843" s="184"/>
      <c r="I4843" s="184"/>
      <c r="J4843" s="184"/>
      <c r="K4843" s="184"/>
      <c r="L4843" s="184"/>
      <c r="M4843" s="184" t="s">
        <v>6877</v>
      </c>
      <c r="N4843" s="184"/>
      <c r="O4843" s="184"/>
    </row>
    <row r="4844" customFormat="false" ht="27.75" hidden="false" customHeight="true" outlineLevel="0" collapsed="false">
      <c r="A4844" s="184" t="s">
        <v>4999</v>
      </c>
      <c r="B4844" s="184" t="s">
        <v>5000</v>
      </c>
      <c r="C4844" s="184" t="n">
        <v>68</v>
      </c>
      <c r="D4844" s="184" t="s">
        <v>4790</v>
      </c>
      <c r="E4844" s="184" t="s">
        <v>6878</v>
      </c>
      <c r="F4844" s="184"/>
      <c r="G4844" s="184"/>
      <c r="H4844" s="184"/>
      <c r="I4844" s="184"/>
      <c r="J4844" s="184"/>
      <c r="K4844" s="184"/>
      <c r="L4844" s="184"/>
      <c r="M4844" s="184" t="s">
        <v>6879</v>
      </c>
      <c r="N4844" s="184"/>
      <c r="O4844" s="184"/>
    </row>
    <row r="4845" customFormat="false" ht="27.75" hidden="false" customHeight="true" outlineLevel="0" collapsed="false">
      <c r="A4845" s="184" t="s">
        <v>4999</v>
      </c>
      <c r="B4845" s="184" t="s">
        <v>5000</v>
      </c>
      <c r="C4845" s="184" t="n">
        <v>69</v>
      </c>
      <c r="D4845" s="184" t="s">
        <v>4790</v>
      </c>
      <c r="E4845" s="184" t="s">
        <v>6880</v>
      </c>
      <c r="F4845" s="184"/>
      <c r="G4845" s="184"/>
      <c r="H4845" s="184"/>
      <c r="I4845" s="184"/>
      <c r="J4845" s="184"/>
      <c r="K4845" s="184"/>
      <c r="L4845" s="184"/>
      <c r="M4845" s="184" t="s">
        <v>6881</v>
      </c>
      <c r="N4845" s="184"/>
      <c r="O4845" s="184"/>
    </row>
    <row r="4846" customFormat="false" ht="27.75" hidden="false" customHeight="true" outlineLevel="0" collapsed="false">
      <c r="A4846" s="184" t="s">
        <v>4999</v>
      </c>
      <c r="B4846" s="184" t="s">
        <v>5000</v>
      </c>
      <c r="C4846" s="184" t="n">
        <v>70</v>
      </c>
      <c r="D4846" s="184" t="s">
        <v>4790</v>
      </c>
      <c r="E4846" s="184" t="s">
        <v>6882</v>
      </c>
      <c r="F4846" s="184"/>
      <c r="G4846" s="184"/>
      <c r="H4846" s="184"/>
      <c r="I4846" s="184"/>
      <c r="J4846" s="184"/>
      <c r="K4846" s="184"/>
      <c r="L4846" s="184"/>
      <c r="M4846" s="184" t="s">
        <v>6883</v>
      </c>
      <c r="N4846" s="184"/>
      <c r="O4846" s="184"/>
    </row>
    <row r="4847" customFormat="false" ht="27.75" hidden="false" customHeight="true" outlineLevel="0" collapsed="false">
      <c r="A4847" s="184" t="s">
        <v>4999</v>
      </c>
      <c r="B4847" s="184" t="s">
        <v>5000</v>
      </c>
      <c r="C4847" s="184" t="n">
        <v>71</v>
      </c>
      <c r="D4847" s="184" t="s">
        <v>4790</v>
      </c>
      <c r="E4847" s="184" t="s">
        <v>6884</v>
      </c>
      <c r="F4847" s="184"/>
      <c r="G4847" s="184"/>
      <c r="H4847" s="184"/>
      <c r="I4847" s="184"/>
      <c r="J4847" s="184"/>
      <c r="K4847" s="184"/>
      <c r="L4847" s="184"/>
      <c r="M4847" s="184" t="s">
        <v>6885</v>
      </c>
      <c r="N4847" s="184"/>
      <c r="O4847" s="184"/>
    </row>
    <row r="4848" customFormat="false" ht="27.75" hidden="false" customHeight="true" outlineLevel="0" collapsed="false">
      <c r="A4848" s="184" t="s">
        <v>4999</v>
      </c>
      <c r="B4848" s="184" t="s">
        <v>5000</v>
      </c>
      <c r="C4848" s="184" t="n">
        <v>72</v>
      </c>
      <c r="D4848" s="184" t="s">
        <v>4790</v>
      </c>
      <c r="E4848" s="184" t="s">
        <v>6886</v>
      </c>
      <c r="F4848" s="184"/>
      <c r="G4848" s="184"/>
      <c r="H4848" s="184"/>
      <c r="I4848" s="184"/>
      <c r="J4848" s="184"/>
      <c r="K4848" s="184"/>
      <c r="L4848" s="184"/>
      <c r="M4848" s="184" t="s">
        <v>6887</v>
      </c>
      <c r="N4848" s="184"/>
      <c r="O4848" s="184"/>
    </row>
    <row r="4849" customFormat="false" ht="27.75" hidden="false" customHeight="true" outlineLevel="0" collapsed="false">
      <c r="A4849" s="184" t="s">
        <v>4999</v>
      </c>
      <c r="B4849" s="184" t="s">
        <v>5000</v>
      </c>
      <c r="C4849" s="184" t="n">
        <v>73</v>
      </c>
      <c r="D4849" s="184" t="s">
        <v>4790</v>
      </c>
      <c r="E4849" s="184" t="s">
        <v>6888</v>
      </c>
      <c r="F4849" s="184"/>
      <c r="G4849" s="184"/>
      <c r="H4849" s="184"/>
      <c r="I4849" s="184"/>
      <c r="J4849" s="184"/>
      <c r="K4849" s="184"/>
      <c r="L4849" s="184"/>
      <c r="M4849" s="184" t="s">
        <v>6889</v>
      </c>
      <c r="N4849" s="184"/>
      <c r="O4849" s="184"/>
    </row>
    <row r="4850" customFormat="false" ht="27.75" hidden="false" customHeight="true" outlineLevel="0" collapsed="false">
      <c r="A4850" s="184" t="s">
        <v>4999</v>
      </c>
      <c r="B4850" s="184" t="s">
        <v>5000</v>
      </c>
      <c r="C4850" s="184" t="n">
        <v>74</v>
      </c>
      <c r="D4850" s="184" t="s">
        <v>4790</v>
      </c>
      <c r="E4850" s="184" t="s">
        <v>6890</v>
      </c>
      <c r="F4850" s="184"/>
      <c r="G4850" s="184"/>
      <c r="H4850" s="184"/>
      <c r="I4850" s="184"/>
      <c r="J4850" s="184"/>
      <c r="K4850" s="184"/>
      <c r="L4850" s="184"/>
      <c r="M4850" s="184" t="s">
        <v>6891</v>
      </c>
      <c r="N4850" s="184"/>
      <c r="O4850" s="184"/>
    </row>
    <row r="4851" customFormat="false" ht="27.75" hidden="false" customHeight="true" outlineLevel="0" collapsed="false">
      <c r="A4851" s="184" t="s">
        <v>4999</v>
      </c>
      <c r="B4851" s="184" t="s">
        <v>5000</v>
      </c>
      <c r="C4851" s="184" t="n">
        <v>75</v>
      </c>
      <c r="D4851" s="184" t="s">
        <v>4790</v>
      </c>
      <c r="E4851" s="184" t="s">
        <v>6892</v>
      </c>
      <c r="F4851" s="184"/>
      <c r="G4851" s="184"/>
      <c r="H4851" s="184"/>
      <c r="I4851" s="184"/>
      <c r="J4851" s="184"/>
      <c r="K4851" s="184"/>
      <c r="L4851" s="184"/>
      <c r="M4851" s="184" t="s">
        <v>6893</v>
      </c>
      <c r="N4851" s="184"/>
      <c r="O4851" s="184"/>
    </row>
    <row r="4852" customFormat="false" ht="27.75" hidden="false" customHeight="true" outlineLevel="0" collapsed="false">
      <c r="A4852" s="184" t="s">
        <v>4999</v>
      </c>
      <c r="B4852" s="184" t="s">
        <v>5000</v>
      </c>
      <c r="C4852" s="184" t="n">
        <v>76</v>
      </c>
      <c r="D4852" s="184" t="s">
        <v>4790</v>
      </c>
      <c r="E4852" s="184" t="s">
        <v>6894</v>
      </c>
      <c r="F4852" s="184"/>
      <c r="G4852" s="184"/>
      <c r="H4852" s="184"/>
      <c r="I4852" s="184"/>
      <c r="J4852" s="184"/>
      <c r="K4852" s="184"/>
      <c r="L4852" s="184"/>
      <c r="M4852" s="184" t="s">
        <v>6895</v>
      </c>
      <c r="N4852" s="184"/>
      <c r="O4852" s="184"/>
    </row>
    <row r="4853" customFormat="false" ht="27.75" hidden="false" customHeight="true" outlineLevel="0" collapsed="false">
      <c r="A4853" s="184" t="s">
        <v>4999</v>
      </c>
      <c r="B4853" s="184" t="s">
        <v>5000</v>
      </c>
      <c r="C4853" s="184" t="n">
        <v>77</v>
      </c>
      <c r="D4853" s="184" t="s">
        <v>4790</v>
      </c>
      <c r="E4853" s="184" t="s">
        <v>6896</v>
      </c>
      <c r="F4853" s="184"/>
      <c r="G4853" s="184"/>
      <c r="H4853" s="184"/>
      <c r="I4853" s="184"/>
      <c r="J4853" s="184"/>
      <c r="K4853" s="184"/>
      <c r="L4853" s="184"/>
      <c r="M4853" s="184" t="s">
        <v>6897</v>
      </c>
      <c r="N4853" s="184"/>
      <c r="O4853" s="184"/>
    </row>
    <row r="4854" customFormat="false" ht="27.75" hidden="false" customHeight="true" outlineLevel="0" collapsed="false">
      <c r="A4854" s="184" t="s">
        <v>4999</v>
      </c>
      <c r="B4854" s="184" t="s">
        <v>5000</v>
      </c>
      <c r="C4854" s="184" t="n">
        <v>78</v>
      </c>
      <c r="D4854" s="184" t="s">
        <v>4790</v>
      </c>
      <c r="E4854" s="184" t="s">
        <v>6898</v>
      </c>
      <c r="F4854" s="184"/>
      <c r="G4854" s="184"/>
      <c r="H4854" s="184"/>
      <c r="I4854" s="184"/>
      <c r="J4854" s="184"/>
      <c r="K4854" s="184"/>
      <c r="L4854" s="184"/>
      <c r="M4854" s="184" t="s">
        <v>6899</v>
      </c>
      <c r="N4854" s="184"/>
      <c r="O4854" s="184"/>
    </row>
    <row r="4855" customFormat="false" ht="27.75" hidden="false" customHeight="true" outlineLevel="0" collapsed="false">
      <c r="A4855" s="184" t="s">
        <v>4999</v>
      </c>
      <c r="B4855" s="184" t="s">
        <v>5000</v>
      </c>
      <c r="C4855" s="184" t="n">
        <v>79</v>
      </c>
      <c r="D4855" s="184" t="s">
        <v>4790</v>
      </c>
      <c r="E4855" s="184" t="s">
        <v>6900</v>
      </c>
      <c r="F4855" s="184"/>
      <c r="G4855" s="184"/>
      <c r="H4855" s="184"/>
      <c r="I4855" s="184"/>
      <c r="J4855" s="184"/>
      <c r="K4855" s="184"/>
      <c r="L4855" s="184"/>
      <c r="M4855" s="184" t="s">
        <v>6901</v>
      </c>
      <c r="N4855" s="184"/>
      <c r="O4855" s="184"/>
    </row>
    <row r="4856" customFormat="false" ht="27.75" hidden="false" customHeight="true" outlineLevel="0" collapsed="false">
      <c r="A4856" s="184" t="s">
        <v>4999</v>
      </c>
      <c r="B4856" s="184" t="s">
        <v>5000</v>
      </c>
      <c r="C4856" s="184" t="n">
        <v>80</v>
      </c>
      <c r="D4856" s="184" t="s">
        <v>4790</v>
      </c>
      <c r="E4856" s="184" t="s">
        <v>6902</v>
      </c>
      <c r="F4856" s="184"/>
      <c r="G4856" s="184"/>
      <c r="H4856" s="184"/>
      <c r="I4856" s="184"/>
      <c r="J4856" s="184"/>
      <c r="K4856" s="184"/>
      <c r="L4856" s="184"/>
      <c r="M4856" s="184" t="s">
        <v>6903</v>
      </c>
      <c r="N4856" s="184"/>
      <c r="O4856" s="184"/>
    </row>
    <row r="4857" customFormat="false" ht="27.75" hidden="false" customHeight="true" outlineLevel="0" collapsed="false">
      <c r="A4857" s="184" t="s">
        <v>4999</v>
      </c>
      <c r="B4857" s="184" t="s">
        <v>5000</v>
      </c>
      <c r="C4857" s="184" t="n">
        <v>81</v>
      </c>
      <c r="D4857" s="184" t="s">
        <v>4790</v>
      </c>
      <c r="E4857" s="184" t="s">
        <v>6904</v>
      </c>
      <c r="F4857" s="184"/>
      <c r="G4857" s="184"/>
      <c r="H4857" s="184"/>
      <c r="I4857" s="184"/>
      <c r="J4857" s="184"/>
      <c r="K4857" s="184"/>
      <c r="L4857" s="184"/>
      <c r="M4857" s="184" t="s">
        <v>6905</v>
      </c>
      <c r="N4857" s="184"/>
      <c r="O4857" s="184"/>
    </row>
    <row r="4858" customFormat="false" ht="27.75" hidden="false" customHeight="true" outlineLevel="0" collapsed="false">
      <c r="A4858" s="184" t="s">
        <v>4999</v>
      </c>
      <c r="B4858" s="184" t="s">
        <v>5000</v>
      </c>
      <c r="C4858" s="184" t="n">
        <v>82</v>
      </c>
      <c r="D4858" s="184" t="s">
        <v>4790</v>
      </c>
      <c r="E4858" s="184" t="s">
        <v>6906</v>
      </c>
      <c r="F4858" s="184"/>
      <c r="G4858" s="184"/>
      <c r="H4858" s="184"/>
      <c r="I4858" s="184"/>
      <c r="J4858" s="184"/>
      <c r="K4858" s="184"/>
      <c r="L4858" s="184"/>
      <c r="M4858" s="184" t="s">
        <v>6907</v>
      </c>
      <c r="N4858" s="184"/>
      <c r="O4858" s="184"/>
    </row>
    <row r="4859" customFormat="false" ht="27.75" hidden="false" customHeight="true" outlineLevel="0" collapsed="false">
      <c r="A4859" s="184" t="s">
        <v>4999</v>
      </c>
      <c r="B4859" s="184" t="s">
        <v>5000</v>
      </c>
      <c r="C4859" s="184" t="n">
        <v>83</v>
      </c>
      <c r="D4859" s="184" t="s">
        <v>4790</v>
      </c>
      <c r="E4859" s="184" t="s">
        <v>6908</v>
      </c>
      <c r="F4859" s="184"/>
      <c r="G4859" s="184"/>
      <c r="H4859" s="184"/>
      <c r="I4859" s="184"/>
      <c r="J4859" s="184"/>
      <c r="K4859" s="184"/>
      <c r="L4859" s="184"/>
      <c r="M4859" s="184" t="s">
        <v>6909</v>
      </c>
      <c r="N4859" s="184"/>
      <c r="O4859" s="184"/>
    </row>
    <row r="4860" customFormat="false" ht="27.75" hidden="false" customHeight="true" outlineLevel="0" collapsed="false">
      <c r="A4860" s="184" t="s">
        <v>4999</v>
      </c>
      <c r="B4860" s="184" t="s">
        <v>5000</v>
      </c>
      <c r="C4860" s="184" t="n">
        <v>84</v>
      </c>
      <c r="D4860" s="184" t="s">
        <v>4790</v>
      </c>
      <c r="E4860" s="184" t="s">
        <v>6910</v>
      </c>
      <c r="F4860" s="184"/>
      <c r="G4860" s="184"/>
      <c r="H4860" s="184"/>
      <c r="I4860" s="184"/>
      <c r="J4860" s="184"/>
      <c r="K4860" s="184"/>
      <c r="L4860" s="184"/>
      <c r="M4860" s="184" t="s">
        <v>6911</v>
      </c>
      <c r="N4860" s="184"/>
      <c r="O4860" s="184"/>
    </row>
    <row r="4861" customFormat="false" ht="27.75" hidden="false" customHeight="true" outlineLevel="0" collapsed="false">
      <c r="A4861" s="184" t="s">
        <v>4999</v>
      </c>
      <c r="B4861" s="184" t="s">
        <v>5000</v>
      </c>
      <c r="C4861" s="184" t="n">
        <v>85</v>
      </c>
      <c r="D4861" s="184" t="s">
        <v>4790</v>
      </c>
      <c r="E4861" s="184" t="s">
        <v>6912</v>
      </c>
      <c r="F4861" s="184"/>
      <c r="G4861" s="184"/>
      <c r="H4861" s="184"/>
      <c r="I4861" s="184"/>
      <c r="J4861" s="184"/>
      <c r="K4861" s="184"/>
      <c r="L4861" s="184"/>
      <c r="M4861" s="184" t="s">
        <v>6913</v>
      </c>
      <c r="N4861" s="184"/>
      <c r="O4861" s="184"/>
    </row>
    <row r="4862" customFormat="false" ht="27.75" hidden="false" customHeight="true" outlineLevel="0" collapsed="false">
      <c r="A4862" s="184" t="s">
        <v>4999</v>
      </c>
      <c r="B4862" s="184" t="s">
        <v>5000</v>
      </c>
      <c r="C4862" s="184" t="n">
        <v>86</v>
      </c>
      <c r="D4862" s="184" t="s">
        <v>4790</v>
      </c>
      <c r="E4862" s="184" t="s">
        <v>6914</v>
      </c>
      <c r="F4862" s="184"/>
      <c r="G4862" s="184"/>
      <c r="H4862" s="184"/>
      <c r="I4862" s="184"/>
      <c r="J4862" s="184"/>
      <c r="K4862" s="184"/>
      <c r="L4862" s="184"/>
      <c r="M4862" s="184" t="s">
        <v>6915</v>
      </c>
      <c r="N4862" s="184"/>
      <c r="O4862" s="184"/>
    </row>
    <row r="4863" customFormat="false" ht="27.75" hidden="false" customHeight="true" outlineLevel="0" collapsed="false">
      <c r="A4863" s="184" t="s">
        <v>4999</v>
      </c>
      <c r="B4863" s="184" t="s">
        <v>5000</v>
      </c>
      <c r="C4863" s="184" t="n">
        <v>87</v>
      </c>
      <c r="D4863" s="184" t="s">
        <v>4790</v>
      </c>
      <c r="E4863" s="184" t="s">
        <v>6916</v>
      </c>
      <c r="F4863" s="184"/>
      <c r="G4863" s="184"/>
      <c r="H4863" s="184"/>
      <c r="I4863" s="184"/>
      <c r="J4863" s="184"/>
      <c r="K4863" s="184"/>
      <c r="L4863" s="184"/>
      <c r="M4863" s="184" t="s">
        <v>6917</v>
      </c>
      <c r="N4863" s="184"/>
      <c r="O4863" s="184"/>
    </row>
    <row r="4864" customFormat="false" ht="27.75" hidden="false" customHeight="true" outlineLevel="0" collapsed="false">
      <c r="A4864" s="184" t="s">
        <v>4999</v>
      </c>
      <c r="B4864" s="184" t="s">
        <v>5000</v>
      </c>
      <c r="C4864" s="184" t="n">
        <v>88</v>
      </c>
      <c r="D4864" s="184" t="s">
        <v>4790</v>
      </c>
      <c r="E4864" s="184" t="s">
        <v>6918</v>
      </c>
      <c r="F4864" s="184"/>
      <c r="G4864" s="184"/>
      <c r="H4864" s="184"/>
      <c r="I4864" s="184"/>
      <c r="J4864" s="184"/>
      <c r="K4864" s="184"/>
      <c r="L4864" s="184"/>
      <c r="M4864" s="184" t="s">
        <v>6919</v>
      </c>
      <c r="N4864" s="184"/>
      <c r="O4864" s="184"/>
    </row>
    <row r="4865" customFormat="false" ht="27.75" hidden="false" customHeight="true" outlineLevel="0" collapsed="false">
      <c r="A4865" s="184" t="s">
        <v>4999</v>
      </c>
      <c r="B4865" s="184" t="s">
        <v>5000</v>
      </c>
      <c r="C4865" s="184" t="n">
        <v>89</v>
      </c>
      <c r="D4865" s="184" t="s">
        <v>4790</v>
      </c>
      <c r="E4865" s="184" t="s">
        <v>6920</v>
      </c>
      <c r="F4865" s="184"/>
      <c r="G4865" s="184"/>
      <c r="H4865" s="184"/>
      <c r="I4865" s="184"/>
      <c r="J4865" s="184"/>
      <c r="K4865" s="184"/>
      <c r="L4865" s="184"/>
      <c r="M4865" s="184" t="s">
        <v>6921</v>
      </c>
      <c r="N4865" s="184"/>
      <c r="O4865" s="184"/>
    </row>
    <row r="4866" customFormat="false" ht="27.75" hidden="false" customHeight="true" outlineLevel="0" collapsed="false">
      <c r="A4866" s="184" t="s">
        <v>4999</v>
      </c>
      <c r="B4866" s="184" t="s">
        <v>5000</v>
      </c>
      <c r="C4866" s="184" t="n">
        <v>90</v>
      </c>
      <c r="D4866" s="184" t="s">
        <v>4790</v>
      </c>
      <c r="E4866" s="184" t="s">
        <v>6922</v>
      </c>
      <c r="F4866" s="184"/>
      <c r="G4866" s="184"/>
      <c r="H4866" s="184"/>
      <c r="I4866" s="184"/>
      <c r="J4866" s="184"/>
      <c r="K4866" s="184"/>
      <c r="L4866" s="184"/>
      <c r="M4866" s="184" t="s">
        <v>6923</v>
      </c>
      <c r="N4866" s="184"/>
      <c r="O4866" s="184"/>
    </row>
    <row r="4867" customFormat="false" ht="27.75" hidden="false" customHeight="true" outlineLevel="0" collapsed="false">
      <c r="A4867" s="184" t="s">
        <v>4999</v>
      </c>
      <c r="B4867" s="184" t="s">
        <v>5000</v>
      </c>
      <c r="C4867" s="184" t="n">
        <v>91</v>
      </c>
      <c r="D4867" s="184" t="s">
        <v>4790</v>
      </c>
      <c r="E4867" s="184" t="s">
        <v>6924</v>
      </c>
      <c r="F4867" s="184"/>
      <c r="G4867" s="184"/>
      <c r="H4867" s="184"/>
      <c r="I4867" s="184"/>
      <c r="J4867" s="184"/>
      <c r="K4867" s="184"/>
      <c r="L4867" s="184"/>
      <c r="M4867" s="184" t="s">
        <v>6925</v>
      </c>
      <c r="N4867" s="184"/>
      <c r="O4867" s="184"/>
    </row>
    <row r="4868" customFormat="false" ht="27.75" hidden="false" customHeight="true" outlineLevel="0" collapsed="false">
      <c r="A4868" s="184" t="s">
        <v>4999</v>
      </c>
      <c r="B4868" s="184" t="s">
        <v>5000</v>
      </c>
      <c r="C4868" s="184" t="n">
        <v>92</v>
      </c>
      <c r="D4868" s="184" t="s">
        <v>4790</v>
      </c>
      <c r="E4868" s="184" t="s">
        <v>6926</v>
      </c>
      <c r="F4868" s="184"/>
      <c r="G4868" s="184"/>
      <c r="H4868" s="184"/>
      <c r="I4868" s="184"/>
      <c r="J4868" s="184"/>
      <c r="K4868" s="184"/>
      <c r="L4868" s="184"/>
      <c r="M4868" s="184" t="s">
        <v>6927</v>
      </c>
      <c r="N4868" s="184"/>
      <c r="O4868" s="184"/>
    </row>
    <row r="4869" customFormat="false" ht="27.75" hidden="false" customHeight="true" outlineLevel="0" collapsed="false">
      <c r="A4869" s="184" t="s">
        <v>4999</v>
      </c>
      <c r="B4869" s="184" t="s">
        <v>5000</v>
      </c>
      <c r="C4869" s="184" t="n">
        <v>93</v>
      </c>
      <c r="D4869" s="184" t="s">
        <v>4790</v>
      </c>
      <c r="E4869" s="184" t="s">
        <v>6928</v>
      </c>
      <c r="F4869" s="184"/>
      <c r="G4869" s="184"/>
      <c r="H4869" s="184"/>
      <c r="I4869" s="184"/>
      <c r="J4869" s="184"/>
      <c r="K4869" s="184"/>
      <c r="L4869" s="184"/>
      <c r="M4869" s="184" t="s">
        <v>6929</v>
      </c>
      <c r="N4869" s="184"/>
      <c r="O4869" s="184"/>
    </row>
    <row r="4870" customFormat="false" ht="27.75" hidden="false" customHeight="true" outlineLevel="0" collapsed="false">
      <c r="A4870" s="184" t="s">
        <v>4999</v>
      </c>
      <c r="B4870" s="184" t="s">
        <v>5000</v>
      </c>
      <c r="C4870" s="184" t="n">
        <v>94</v>
      </c>
      <c r="D4870" s="184" t="s">
        <v>4790</v>
      </c>
      <c r="E4870" s="184" t="s">
        <v>6930</v>
      </c>
      <c r="F4870" s="184"/>
      <c r="G4870" s="184"/>
      <c r="H4870" s="184"/>
      <c r="I4870" s="184"/>
      <c r="J4870" s="184"/>
      <c r="K4870" s="184"/>
      <c r="L4870" s="184"/>
      <c r="M4870" s="184" t="s">
        <v>6931</v>
      </c>
      <c r="N4870" s="184"/>
      <c r="O4870" s="184"/>
    </row>
    <row r="4871" customFormat="false" ht="27.75" hidden="false" customHeight="true" outlineLevel="0" collapsed="false">
      <c r="A4871" s="184" t="s">
        <v>4999</v>
      </c>
      <c r="B4871" s="184" t="s">
        <v>5000</v>
      </c>
      <c r="C4871" s="184" t="n">
        <v>95</v>
      </c>
      <c r="D4871" s="177" t="s">
        <v>6298</v>
      </c>
      <c r="E4871" s="184" t="s">
        <v>7226</v>
      </c>
      <c r="F4871" s="184"/>
      <c r="G4871" s="184"/>
      <c r="H4871" s="184"/>
      <c r="I4871" s="184"/>
      <c r="J4871" s="184"/>
      <c r="K4871" s="184"/>
      <c r="L4871" s="184"/>
      <c r="M4871" s="184"/>
      <c r="N4871" s="184"/>
      <c r="O4871" s="184"/>
    </row>
    <row r="4872" customFormat="false" ht="27.75" hidden="false" customHeight="true" outlineLevel="0" collapsed="false">
      <c r="A4872" s="184" t="s">
        <v>4999</v>
      </c>
      <c r="B4872" s="184" t="s">
        <v>5000</v>
      </c>
      <c r="C4872" s="184" t="n">
        <v>96</v>
      </c>
      <c r="D4872" s="178" t="s">
        <v>5269</v>
      </c>
      <c r="E4872" s="184" t="s">
        <v>6932</v>
      </c>
      <c r="F4872" s="184"/>
      <c r="G4872" s="184"/>
      <c r="H4872" s="184"/>
      <c r="I4872" s="184"/>
      <c r="J4872" s="184"/>
      <c r="K4872" s="184"/>
      <c r="L4872" s="184"/>
      <c r="M4872" s="184" t="s">
        <v>6962</v>
      </c>
      <c r="N4872" s="184"/>
      <c r="O4872" s="184"/>
    </row>
    <row r="4873" customFormat="false" ht="27.75" hidden="false" customHeight="true" outlineLevel="0" collapsed="false">
      <c r="A4873" s="184" t="s">
        <v>4999</v>
      </c>
      <c r="B4873" s="184" t="s">
        <v>5000</v>
      </c>
      <c r="C4873" s="184" t="n">
        <v>97</v>
      </c>
      <c r="D4873" s="178" t="s">
        <v>5269</v>
      </c>
      <c r="E4873" s="184" t="s">
        <v>6934</v>
      </c>
      <c r="F4873" s="184"/>
      <c r="G4873" s="184"/>
      <c r="H4873" s="184"/>
      <c r="I4873" s="184"/>
      <c r="J4873" s="184"/>
      <c r="K4873" s="184"/>
      <c r="L4873" s="184"/>
      <c r="M4873" s="184" t="s">
        <v>6963</v>
      </c>
      <c r="N4873" s="184"/>
      <c r="O4873" s="184"/>
    </row>
    <row r="4874" customFormat="false" ht="15" hidden="false" customHeight="true" outlineLevel="0" collapsed="false">
      <c r="A4874" s="184"/>
      <c r="B4874" s="184"/>
      <c r="C4874" s="184"/>
      <c r="D4874" s="184"/>
      <c r="E4874" s="184"/>
      <c r="F4874" s="184"/>
      <c r="G4874" s="184"/>
      <c r="H4874" s="184"/>
      <c r="I4874" s="184"/>
      <c r="J4874" s="184"/>
      <c r="K4874" s="184"/>
      <c r="L4874" s="184"/>
      <c r="M4874" s="184"/>
      <c r="N4874" s="184"/>
      <c r="O4874" s="184"/>
    </row>
    <row r="4875" customFormat="false" ht="15" hidden="false" customHeight="true" outlineLevel="0" collapsed="false">
      <c r="A4875" s="184"/>
      <c r="B4875" s="184"/>
      <c r="C4875" s="184"/>
      <c r="D4875" s="184"/>
      <c r="E4875" s="184"/>
      <c r="F4875" s="184"/>
      <c r="G4875" s="184"/>
      <c r="H4875" s="184"/>
      <c r="I4875" s="184"/>
      <c r="J4875" s="184"/>
      <c r="K4875" s="184"/>
      <c r="L4875" s="184"/>
      <c r="M4875" s="184"/>
      <c r="N4875" s="184"/>
      <c r="O4875" s="184"/>
    </row>
    <row r="4876" customFormat="false" ht="15" hidden="false" customHeight="true" outlineLevel="0" collapsed="false">
      <c r="A4876" s="184"/>
      <c r="B4876" s="184"/>
      <c r="C4876" s="184"/>
      <c r="D4876" s="184"/>
      <c r="E4876" s="184"/>
      <c r="F4876" s="184"/>
      <c r="G4876" s="184"/>
      <c r="H4876" s="184"/>
      <c r="I4876" s="184"/>
      <c r="J4876" s="184"/>
      <c r="K4876" s="184"/>
      <c r="L4876" s="184"/>
      <c r="M4876" s="184"/>
      <c r="N4876" s="184"/>
      <c r="O4876" s="184"/>
    </row>
    <row r="4877" customFormat="false" ht="15" hidden="false" customHeight="true" outlineLevel="0" collapsed="false">
      <c r="A4877" s="184"/>
      <c r="B4877" s="184"/>
      <c r="C4877" s="184"/>
      <c r="D4877" s="184"/>
      <c r="E4877" s="184"/>
      <c r="F4877" s="184"/>
      <c r="G4877" s="184"/>
      <c r="H4877" s="184"/>
      <c r="I4877" s="184"/>
      <c r="J4877" s="184"/>
      <c r="K4877" s="184"/>
      <c r="L4877" s="184"/>
      <c r="M4877" s="184"/>
      <c r="N4877" s="184"/>
      <c r="O4877" s="184"/>
    </row>
    <row r="4878" customFormat="false" ht="15" hidden="false" customHeight="true" outlineLevel="0" collapsed="false">
      <c r="A4878" s="184"/>
      <c r="B4878" s="184"/>
      <c r="C4878" s="184"/>
      <c r="D4878" s="184"/>
      <c r="E4878" s="184"/>
      <c r="F4878" s="184"/>
      <c r="G4878" s="184"/>
      <c r="H4878" s="184"/>
      <c r="I4878" s="184"/>
      <c r="J4878" s="184"/>
      <c r="K4878" s="184"/>
      <c r="L4878" s="184"/>
      <c r="M4878" s="184"/>
      <c r="N4878" s="184"/>
      <c r="O4878" s="184"/>
    </row>
    <row r="4879" customFormat="false" ht="15" hidden="false" customHeight="true" outlineLevel="0" collapsed="false">
      <c r="A4879" s="184"/>
      <c r="B4879" s="184"/>
      <c r="C4879" s="184"/>
      <c r="D4879" s="184"/>
      <c r="E4879" s="184"/>
      <c r="F4879" s="184"/>
      <c r="G4879" s="184"/>
      <c r="H4879" s="184"/>
      <c r="I4879" s="184"/>
      <c r="J4879" s="184"/>
      <c r="K4879" s="184"/>
      <c r="L4879" s="184"/>
      <c r="M4879" s="184"/>
      <c r="N4879" s="184"/>
      <c r="O4879" s="184"/>
    </row>
    <row r="4880" customFormat="false" ht="15" hidden="false" customHeight="true" outlineLevel="0" collapsed="false">
      <c r="A4880" s="184"/>
      <c r="B4880" s="184"/>
      <c r="C4880" s="184"/>
      <c r="D4880" s="184"/>
      <c r="E4880" s="184"/>
      <c r="F4880" s="184"/>
      <c r="G4880" s="184"/>
      <c r="H4880" s="184"/>
      <c r="I4880" s="184"/>
      <c r="J4880" s="184"/>
      <c r="K4880" s="184"/>
      <c r="L4880" s="184"/>
      <c r="M4880" s="184"/>
      <c r="N4880" s="184"/>
      <c r="O4880" s="184"/>
    </row>
    <row r="4881" customFormat="false" ht="15" hidden="false" customHeight="true" outlineLevel="0" collapsed="false">
      <c r="A4881" s="184"/>
      <c r="B4881" s="184"/>
      <c r="C4881" s="184"/>
      <c r="D4881" s="184"/>
      <c r="E4881" s="184"/>
      <c r="F4881" s="184"/>
      <c r="G4881" s="184"/>
      <c r="H4881" s="184"/>
      <c r="I4881" s="184"/>
      <c r="J4881" s="184"/>
      <c r="K4881" s="184"/>
      <c r="L4881" s="184"/>
      <c r="M4881" s="184"/>
      <c r="N4881" s="184"/>
      <c r="O4881" s="184"/>
    </row>
    <row r="4882" customFormat="false" ht="15" hidden="false" customHeight="true" outlineLevel="0" collapsed="false">
      <c r="A4882" s="184"/>
      <c r="B4882" s="184"/>
      <c r="C4882" s="184"/>
      <c r="D4882" s="184"/>
      <c r="E4882" s="184"/>
      <c r="F4882" s="184"/>
      <c r="G4882" s="184"/>
      <c r="H4882" s="184"/>
      <c r="I4882" s="184"/>
      <c r="J4882" s="184"/>
      <c r="K4882" s="184"/>
      <c r="L4882" s="184"/>
      <c r="M4882" s="184"/>
      <c r="N4882" s="184"/>
      <c r="O4882" s="184"/>
    </row>
    <row r="4883" customFormat="false" ht="15" hidden="false" customHeight="true" outlineLevel="0" collapsed="false">
      <c r="A4883" s="184"/>
      <c r="B4883" s="184"/>
      <c r="C4883" s="184"/>
      <c r="D4883" s="184"/>
      <c r="E4883" s="184"/>
      <c r="F4883" s="184"/>
      <c r="G4883" s="184"/>
      <c r="H4883" s="184"/>
      <c r="I4883" s="184"/>
      <c r="J4883" s="184"/>
      <c r="K4883" s="184"/>
      <c r="L4883" s="184"/>
      <c r="M4883" s="184"/>
      <c r="N4883" s="184"/>
      <c r="O4883" s="184"/>
    </row>
    <row r="4884" customFormat="false" ht="15" hidden="false" customHeight="true" outlineLevel="0" collapsed="false">
      <c r="A4884" s="184"/>
      <c r="B4884" s="184"/>
      <c r="C4884" s="184"/>
      <c r="D4884" s="184"/>
      <c r="E4884" s="184"/>
      <c r="F4884" s="184"/>
      <c r="G4884" s="184"/>
      <c r="H4884" s="184"/>
      <c r="I4884" s="184"/>
      <c r="J4884" s="184"/>
      <c r="K4884" s="184"/>
      <c r="L4884" s="184"/>
      <c r="M4884" s="184"/>
      <c r="N4884" s="184"/>
      <c r="O4884" s="184"/>
    </row>
    <row r="4885" customFormat="false" ht="15" hidden="false" customHeight="true" outlineLevel="0" collapsed="false">
      <c r="A4885" s="184"/>
      <c r="B4885" s="184"/>
      <c r="C4885" s="184"/>
      <c r="D4885" s="184"/>
      <c r="E4885" s="184"/>
      <c r="F4885" s="184"/>
      <c r="G4885" s="184"/>
      <c r="H4885" s="184"/>
      <c r="I4885" s="184"/>
      <c r="J4885" s="184"/>
      <c r="K4885" s="184"/>
      <c r="L4885" s="184"/>
      <c r="M4885" s="184"/>
      <c r="N4885" s="184"/>
      <c r="O4885" s="184"/>
    </row>
    <row r="4886" customFormat="false" ht="15" hidden="false" customHeight="true" outlineLevel="0" collapsed="false">
      <c r="A4886" s="184"/>
      <c r="B4886" s="184"/>
      <c r="C4886" s="184"/>
      <c r="D4886" s="184"/>
      <c r="E4886" s="184"/>
      <c r="F4886" s="184"/>
      <c r="G4886" s="184"/>
      <c r="H4886" s="184"/>
      <c r="I4886" s="184"/>
      <c r="J4886" s="184"/>
      <c r="K4886" s="184"/>
      <c r="L4886" s="184"/>
      <c r="M4886" s="184"/>
      <c r="N4886" s="184"/>
      <c r="O4886" s="184"/>
    </row>
    <row r="4887" customFormat="false" ht="15" hidden="false" customHeight="true" outlineLevel="0" collapsed="false">
      <c r="A4887" s="184"/>
      <c r="B4887" s="184"/>
      <c r="C4887" s="184"/>
      <c r="D4887" s="184"/>
      <c r="E4887" s="184"/>
      <c r="F4887" s="184"/>
      <c r="G4887" s="184"/>
      <c r="H4887" s="184"/>
      <c r="I4887" s="184"/>
      <c r="J4887" s="184"/>
      <c r="K4887" s="184"/>
      <c r="L4887" s="184"/>
      <c r="M4887" s="184"/>
      <c r="N4887" s="184"/>
      <c r="O4887" s="184"/>
    </row>
    <row r="4888" customFormat="false" ht="15" hidden="false" customHeight="true" outlineLevel="0" collapsed="false">
      <c r="A4888" s="184"/>
      <c r="B4888" s="184"/>
      <c r="C4888" s="184"/>
      <c r="D4888" s="184"/>
      <c r="E4888" s="184"/>
      <c r="F4888" s="184"/>
      <c r="G4888" s="184"/>
      <c r="H4888" s="184"/>
      <c r="I4888" s="184"/>
      <c r="J4888" s="184"/>
      <c r="K4888" s="184"/>
      <c r="L4888" s="184"/>
      <c r="M4888" s="184"/>
      <c r="N4888" s="184"/>
      <c r="O4888" s="184"/>
    </row>
    <row r="4889" customFormat="false" ht="15" hidden="false" customHeight="true" outlineLevel="0" collapsed="false">
      <c r="A4889" s="184"/>
      <c r="B4889" s="184"/>
      <c r="C4889" s="184"/>
      <c r="D4889" s="184"/>
      <c r="E4889" s="184"/>
      <c r="F4889" s="184"/>
      <c r="G4889" s="184"/>
      <c r="H4889" s="184"/>
      <c r="I4889" s="184"/>
      <c r="J4889" s="184"/>
      <c r="K4889" s="184"/>
      <c r="L4889" s="184"/>
      <c r="M4889" s="184"/>
      <c r="N4889" s="184"/>
      <c r="O4889" s="184"/>
    </row>
    <row r="4890" customFormat="false" ht="15" hidden="false" customHeight="true" outlineLevel="0" collapsed="false">
      <c r="A4890" s="184"/>
      <c r="B4890" s="184"/>
      <c r="C4890" s="184"/>
      <c r="D4890" s="184"/>
      <c r="E4890" s="184"/>
      <c r="F4890" s="184"/>
      <c r="G4890" s="184"/>
      <c r="H4890" s="184"/>
      <c r="I4890" s="184"/>
      <c r="J4890" s="184"/>
      <c r="K4890" s="184"/>
      <c r="L4890" s="184"/>
      <c r="M4890" s="184"/>
      <c r="N4890" s="184"/>
      <c r="O4890" s="184"/>
    </row>
    <row r="4891" customFormat="false" ht="15" hidden="false" customHeight="true" outlineLevel="0" collapsed="false">
      <c r="A4891" s="184"/>
      <c r="B4891" s="184"/>
      <c r="C4891" s="184"/>
      <c r="D4891" s="184"/>
      <c r="E4891" s="184"/>
      <c r="F4891" s="184"/>
      <c r="G4891" s="184"/>
      <c r="H4891" s="184"/>
      <c r="I4891" s="184"/>
      <c r="J4891" s="184"/>
      <c r="K4891" s="184"/>
      <c r="L4891" s="184"/>
      <c r="M4891" s="184"/>
      <c r="N4891" s="184"/>
      <c r="O4891" s="184"/>
    </row>
    <row r="4892" customFormat="false" ht="15" hidden="false" customHeight="true" outlineLevel="0" collapsed="false">
      <c r="A4892" s="184"/>
      <c r="B4892" s="184"/>
      <c r="C4892" s="184"/>
      <c r="D4892" s="184"/>
      <c r="E4892" s="184"/>
      <c r="F4892" s="184"/>
      <c r="G4892" s="184"/>
      <c r="H4892" s="184"/>
      <c r="I4892" s="184"/>
      <c r="J4892" s="184"/>
      <c r="K4892" s="184"/>
      <c r="L4892" s="184"/>
      <c r="M4892" s="184"/>
      <c r="N4892" s="184"/>
      <c r="O4892" s="184"/>
    </row>
    <row r="4893" customFormat="false" ht="15" hidden="false" customHeight="true" outlineLevel="0" collapsed="false">
      <c r="A4893" s="184"/>
      <c r="B4893" s="184"/>
      <c r="C4893" s="184"/>
      <c r="D4893" s="184"/>
      <c r="E4893" s="184"/>
      <c r="F4893" s="184"/>
      <c r="G4893" s="184"/>
      <c r="H4893" s="184"/>
      <c r="I4893" s="184"/>
      <c r="J4893" s="184"/>
      <c r="K4893" s="184"/>
      <c r="L4893" s="184"/>
      <c r="M4893" s="184"/>
      <c r="N4893" s="184"/>
      <c r="O4893" s="184"/>
    </row>
    <row r="4894" customFormat="false" ht="15" hidden="false" customHeight="true" outlineLevel="0" collapsed="false">
      <c r="A4894" s="184"/>
      <c r="B4894" s="184"/>
      <c r="C4894" s="184"/>
      <c r="D4894" s="184"/>
      <c r="E4894" s="184"/>
      <c r="F4894" s="184"/>
      <c r="G4894" s="184"/>
      <c r="H4894" s="184"/>
      <c r="I4894" s="184"/>
      <c r="J4894" s="184"/>
      <c r="K4894" s="184"/>
      <c r="L4894" s="184"/>
      <c r="M4894" s="184"/>
      <c r="N4894" s="184"/>
      <c r="O4894" s="184"/>
    </row>
    <row r="4895" customFormat="false" ht="15" hidden="false" customHeight="true" outlineLevel="0" collapsed="false">
      <c r="A4895" s="184"/>
      <c r="B4895" s="184"/>
      <c r="C4895" s="184"/>
      <c r="D4895" s="184"/>
      <c r="E4895" s="184"/>
      <c r="F4895" s="184"/>
      <c r="G4895" s="184"/>
      <c r="H4895" s="184"/>
      <c r="I4895" s="184"/>
      <c r="J4895" s="184"/>
      <c r="K4895" s="184"/>
      <c r="L4895" s="184"/>
      <c r="M4895" s="184"/>
      <c r="N4895" s="184"/>
      <c r="O4895" s="184"/>
    </row>
    <row r="4896" customFormat="false" ht="15" hidden="false" customHeight="true" outlineLevel="0" collapsed="false">
      <c r="A4896" s="184"/>
      <c r="B4896" s="184"/>
      <c r="C4896" s="184"/>
      <c r="D4896" s="184"/>
      <c r="E4896" s="184"/>
      <c r="F4896" s="184"/>
      <c r="G4896" s="184"/>
      <c r="H4896" s="184"/>
      <c r="I4896" s="184"/>
      <c r="J4896" s="184"/>
      <c r="K4896" s="184"/>
      <c r="L4896" s="184"/>
      <c r="M4896" s="184"/>
      <c r="N4896" s="184"/>
      <c r="O4896" s="184"/>
    </row>
    <row r="4897" customFormat="false" ht="15" hidden="false" customHeight="true" outlineLevel="0" collapsed="false">
      <c r="A4897" s="184"/>
      <c r="B4897" s="184"/>
      <c r="C4897" s="184"/>
      <c r="D4897" s="184"/>
      <c r="E4897" s="184"/>
      <c r="F4897" s="184"/>
      <c r="G4897" s="184"/>
      <c r="H4897" s="184"/>
      <c r="I4897" s="184"/>
      <c r="J4897" s="184"/>
      <c r="K4897" s="184"/>
      <c r="L4897" s="184"/>
      <c r="M4897" s="184"/>
      <c r="N4897" s="184"/>
      <c r="O4897" s="184"/>
    </row>
    <row r="4898" customFormat="false" ht="15" hidden="false" customHeight="true" outlineLevel="0" collapsed="false">
      <c r="A4898" s="184"/>
      <c r="B4898" s="184"/>
      <c r="C4898" s="184"/>
      <c r="D4898" s="184"/>
      <c r="E4898" s="184"/>
      <c r="F4898" s="184"/>
      <c r="G4898" s="184"/>
      <c r="H4898" s="184"/>
      <c r="I4898" s="184"/>
      <c r="J4898" s="184"/>
      <c r="K4898" s="184"/>
      <c r="L4898" s="184"/>
      <c r="M4898" s="184"/>
      <c r="N4898" s="184"/>
      <c r="O4898" s="184"/>
    </row>
    <row r="4899" customFormat="false" ht="15" hidden="false" customHeight="true" outlineLevel="0" collapsed="false">
      <c r="A4899" s="184"/>
      <c r="B4899" s="184"/>
      <c r="C4899" s="184"/>
      <c r="D4899" s="184"/>
      <c r="E4899" s="184"/>
      <c r="F4899" s="184"/>
      <c r="G4899" s="184"/>
      <c r="H4899" s="184"/>
      <c r="I4899" s="184"/>
      <c r="J4899" s="184"/>
      <c r="K4899" s="184"/>
      <c r="L4899" s="184"/>
      <c r="M4899" s="184"/>
      <c r="N4899" s="184"/>
      <c r="O4899" s="184"/>
    </row>
    <row r="4900" customFormat="false" ht="15" hidden="false" customHeight="true" outlineLevel="0" collapsed="false">
      <c r="A4900" s="184"/>
      <c r="B4900" s="184"/>
      <c r="C4900" s="184"/>
      <c r="D4900" s="184"/>
      <c r="E4900" s="184"/>
      <c r="F4900" s="184"/>
      <c r="G4900" s="184"/>
      <c r="H4900" s="184"/>
      <c r="I4900" s="184"/>
      <c r="J4900" s="184"/>
      <c r="K4900" s="184"/>
      <c r="L4900" s="184"/>
      <c r="M4900" s="184"/>
      <c r="N4900" s="184"/>
      <c r="O4900" s="184"/>
    </row>
    <row r="4901" customFormat="false" ht="15" hidden="false" customHeight="true" outlineLevel="0" collapsed="false">
      <c r="A4901" s="184"/>
      <c r="B4901" s="184"/>
      <c r="C4901" s="184"/>
      <c r="D4901" s="184"/>
      <c r="E4901" s="184"/>
      <c r="F4901" s="184"/>
      <c r="G4901" s="184"/>
      <c r="H4901" s="184"/>
      <c r="I4901" s="184"/>
      <c r="J4901" s="184"/>
      <c r="K4901" s="184"/>
      <c r="L4901" s="184"/>
      <c r="M4901" s="184"/>
      <c r="N4901" s="184"/>
      <c r="O4901" s="184"/>
    </row>
    <row r="4902" customFormat="false" ht="15" hidden="false" customHeight="true" outlineLevel="0" collapsed="false">
      <c r="A4902" s="184"/>
      <c r="B4902" s="184"/>
      <c r="C4902" s="184"/>
      <c r="D4902" s="184"/>
      <c r="E4902" s="184"/>
      <c r="F4902" s="184"/>
      <c r="G4902" s="184"/>
      <c r="H4902" s="184"/>
      <c r="I4902" s="184"/>
      <c r="J4902" s="184"/>
      <c r="K4902" s="184"/>
      <c r="L4902" s="184"/>
      <c r="M4902" s="184"/>
      <c r="N4902" s="184"/>
      <c r="O4902" s="184"/>
    </row>
    <row r="4903" customFormat="false" ht="15" hidden="false" customHeight="true" outlineLevel="0" collapsed="false">
      <c r="A4903" s="184"/>
      <c r="B4903" s="184"/>
      <c r="C4903" s="184"/>
      <c r="D4903" s="184"/>
      <c r="E4903" s="184"/>
      <c r="F4903" s="184"/>
      <c r="G4903" s="184"/>
      <c r="H4903" s="184"/>
      <c r="I4903" s="184"/>
      <c r="J4903" s="184"/>
      <c r="K4903" s="184"/>
      <c r="L4903" s="184"/>
      <c r="M4903" s="184"/>
      <c r="N4903" s="184"/>
      <c r="O4903" s="184"/>
    </row>
    <row r="4904" customFormat="false" ht="15" hidden="false" customHeight="true" outlineLevel="0" collapsed="false">
      <c r="A4904" s="184"/>
      <c r="B4904" s="184"/>
      <c r="C4904" s="184"/>
      <c r="D4904" s="184"/>
      <c r="E4904" s="184"/>
      <c r="F4904" s="184"/>
      <c r="G4904" s="184"/>
      <c r="H4904" s="184"/>
      <c r="I4904" s="184"/>
      <c r="J4904" s="184"/>
      <c r="K4904" s="184"/>
      <c r="L4904" s="184"/>
      <c r="M4904" s="184"/>
      <c r="N4904" s="184"/>
      <c r="O4904" s="184"/>
    </row>
    <row r="4905" customFormat="false" ht="15" hidden="false" customHeight="true" outlineLevel="0" collapsed="false">
      <c r="A4905" s="184"/>
      <c r="B4905" s="184"/>
      <c r="C4905" s="184"/>
      <c r="D4905" s="184"/>
      <c r="E4905" s="184"/>
      <c r="F4905" s="184"/>
      <c r="G4905" s="184"/>
      <c r="H4905" s="184"/>
      <c r="I4905" s="184"/>
      <c r="J4905" s="184"/>
      <c r="K4905" s="184"/>
      <c r="L4905" s="184"/>
      <c r="M4905" s="184"/>
      <c r="N4905" s="184"/>
      <c r="O4905" s="184"/>
    </row>
    <row r="4906" customFormat="false" ht="15" hidden="false" customHeight="true" outlineLevel="0" collapsed="false">
      <c r="A4906" s="184"/>
      <c r="B4906" s="184"/>
      <c r="C4906" s="184"/>
      <c r="D4906" s="184"/>
      <c r="E4906" s="184"/>
      <c r="F4906" s="184"/>
      <c r="G4906" s="184"/>
      <c r="H4906" s="184"/>
      <c r="I4906" s="184"/>
      <c r="J4906" s="184"/>
      <c r="K4906" s="184"/>
      <c r="L4906" s="184"/>
      <c r="M4906" s="184"/>
      <c r="N4906" s="184"/>
      <c r="O4906" s="184"/>
    </row>
    <row r="4907" customFormat="false" ht="15" hidden="false" customHeight="true" outlineLevel="0" collapsed="false">
      <c r="A4907" s="184"/>
      <c r="B4907" s="184"/>
      <c r="C4907" s="184"/>
      <c r="D4907" s="184"/>
      <c r="E4907" s="184"/>
      <c r="F4907" s="184"/>
      <c r="G4907" s="184"/>
      <c r="H4907" s="184"/>
      <c r="I4907" s="184"/>
      <c r="J4907" s="184"/>
      <c r="K4907" s="184"/>
      <c r="L4907" s="184"/>
      <c r="M4907" s="184"/>
      <c r="N4907" s="184"/>
      <c r="O4907" s="184"/>
    </row>
    <row r="4908" customFormat="false" ht="15" hidden="false" customHeight="true" outlineLevel="0" collapsed="false">
      <c r="A4908" s="184"/>
      <c r="B4908" s="184"/>
      <c r="C4908" s="184"/>
      <c r="D4908" s="184"/>
      <c r="E4908" s="184"/>
      <c r="F4908" s="184"/>
      <c r="G4908" s="184"/>
      <c r="H4908" s="184"/>
      <c r="I4908" s="184"/>
      <c r="J4908" s="184"/>
      <c r="K4908" s="184"/>
      <c r="L4908" s="184"/>
      <c r="M4908" s="184"/>
      <c r="N4908" s="184"/>
      <c r="O4908" s="184"/>
    </row>
    <row r="4909" customFormat="false" ht="15" hidden="false" customHeight="true" outlineLevel="0" collapsed="false">
      <c r="A4909" s="184"/>
      <c r="B4909" s="184"/>
      <c r="C4909" s="184"/>
      <c r="D4909" s="184"/>
      <c r="E4909" s="184"/>
      <c r="F4909" s="184"/>
      <c r="G4909" s="184"/>
      <c r="H4909" s="184"/>
      <c r="I4909" s="184"/>
      <c r="J4909" s="184"/>
      <c r="K4909" s="184"/>
      <c r="L4909" s="184"/>
      <c r="M4909" s="184"/>
      <c r="N4909" s="184"/>
      <c r="O4909" s="184"/>
    </row>
    <row r="4910" customFormat="false" ht="15" hidden="false" customHeight="true" outlineLevel="0" collapsed="false">
      <c r="A4910" s="184"/>
      <c r="B4910" s="184"/>
      <c r="C4910" s="184"/>
      <c r="D4910" s="184"/>
      <c r="E4910" s="184"/>
      <c r="F4910" s="184"/>
      <c r="G4910" s="184"/>
      <c r="H4910" s="184"/>
      <c r="I4910" s="184"/>
      <c r="J4910" s="184"/>
      <c r="K4910" s="184"/>
      <c r="L4910" s="184"/>
      <c r="M4910" s="184"/>
      <c r="N4910" s="184"/>
      <c r="O4910" s="184"/>
    </row>
    <row r="4911" customFormat="false" ht="15" hidden="false" customHeight="true" outlineLevel="0" collapsed="false">
      <c r="A4911" s="184"/>
      <c r="B4911" s="184"/>
      <c r="C4911" s="184"/>
      <c r="D4911" s="184"/>
      <c r="E4911" s="184"/>
      <c r="F4911" s="184"/>
      <c r="G4911" s="184"/>
      <c r="H4911" s="184"/>
      <c r="I4911" s="184"/>
      <c r="J4911" s="184"/>
      <c r="K4911" s="184"/>
      <c r="L4911" s="184"/>
      <c r="M4911" s="184"/>
      <c r="N4911" s="184"/>
      <c r="O4911" s="184"/>
    </row>
    <row r="4912" customFormat="false" ht="15" hidden="false" customHeight="true" outlineLevel="0" collapsed="false">
      <c r="A4912" s="184"/>
      <c r="B4912" s="184"/>
      <c r="C4912" s="184"/>
      <c r="D4912" s="184"/>
      <c r="E4912" s="184"/>
      <c r="F4912" s="184"/>
      <c r="G4912" s="184"/>
      <c r="H4912" s="184"/>
      <c r="I4912" s="184"/>
      <c r="J4912" s="184"/>
      <c r="K4912" s="184"/>
      <c r="L4912" s="184"/>
      <c r="M4912" s="184"/>
      <c r="N4912" s="184"/>
      <c r="O4912" s="184"/>
    </row>
    <row r="4913" customFormat="false" ht="15" hidden="false" customHeight="true" outlineLevel="0" collapsed="false">
      <c r="A4913" s="184"/>
      <c r="B4913" s="184"/>
      <c r="C4913" s="184"/>
      <c r="D4913" s="184"/>
      <c r="E4913" s="184"/>
      <c r="F4913" s="184"/>
      <c r="G4913" s="184"/>
      <c r="H4913" s="184"/>
      <c r="I4913" s="184"/>
      <c r="J4913" s="184"/>
      <c r="K4913" s="184"/>
      <c r="L4913" s="184"/>
      <c r="M4913" s="184"/>
      <c r="N4913" s="184"/>
      <c r="O4913" s="184"/>
    </row>
    <row r="4914" customFormat="false" ht="15" hidden="false" customHeight="true" outlineLevel="0" collapsed="false">
      <c r="A4914" s="184"/>
      <c r="B4914" s="184"/>
      <c r="C4914" s="184"/>
      <c r="D4914" s="184"/>
      <c r="E4914" s="184"/>
      <c r="F4914" s="184"/>
      <c r="G4914" s="184"/>
      <c r="H4914" s="184"/>
      <c r="I4914" s="184"/>
      <c r="J4914" s="184"/>
      <c r="K4914" s="184"/>
      <c r="L4914" s="184"/>
      <c r="M4914" s="184"/>
      <c r="N4914" s="184"/>
      <c r="O4914" s="184"/>
    </row>
    <row r="4915" customFormat="false" ht="15" hidden="false" customHeight="true" outlineLevel="0" collapsed="false">
      <c r="A4915" s="184"/>
      <c r="B4915" s="184"/>
      <c r="C4915" s="184"/>
      <c r="D4915" s="184"/>
      <c r="E4915" s="184"/>
      <c r="F4915" s="184"/>
      <c r="G4915" s="184"/>
      <c r="H4915" s="184"/>
      <c r="I4915" s="184"/>
      <c r="J4915" s="184"/>
      <c r="K4915" s="184"/>
      <c r="L4915" s="184"/>
      <c r="M4915" s="184"/>
      <c r="N4915" s="184"/>
      <c r="O4915" s="184"/>
    </row>
    <row r="4916" customFormat="false" ht="15" hidden="false" customHeight="true" outlineLevel="0" collapsed="false">
      <c r="A4916" s="184"/>
      <c r="B4916" s="184"/>
      <c r="C4916" s="184"/>
      <c r="D4916" s="184"/>
      <c r="E4916" s="184"/>
      <c r="F4916" s="184"/>
      <c r="G4916" s="184"/>
      <c r="H4916" s="184"/>
      <c r="I4916" s="184"/>
      <c r="J4916" s="184"/>
      <c r="K4916" s="184"/>
      <c r="L4916" s="184"/>
      <c r="M4916" s="184"/>
      <c r="N4916" s="184"/>
      <c r="O4916" s="184"/>
    </row>
    <row r="4917" customFormat="false" ht="15" hidden="false" customHeight="true" outlineLevel="0" collapsed="false">
      <c r="A4917" s="184"/>
      <c r="B4917" s="184"/>
      <c r="C4917" s="184"/>
      <c r="D4917" s="184"/>
      <c r="E4917" s="184"/>
      <c r="F4917" s="184"/>
      <c r="G4917" s="184"/>
      <c r="H4917" s="184"/>
      <c r="I4917" s="184"/>
      <c r="J4917" s="184"/>
      <c r="K4917" s="184"/>
      <c r="L4917" s="184"/>
      <c r="M4917" s="184"/>
      <c r="N4917" s="184"/>
      <c r="O4917" s="184"/>
    </row>
    <row r="4918" customFormat="false" ht="15" hidden="false" customHeight="true" outlineLevel="0" collapsed="false">
      <c r="A4918" s="184"/>
      <c r="B4918" s="184"/>
      <c r="C4918" s="184"/>
      <c r="D4918" s="184"/>
      <c r="E4918" s="184"/>
      <c r="F4918" s="184"/>
      <c r="G4918" s="184"/>
      <c r="H4918" s="184"/>
      <c r="I4918" s="184"/>
      <c r="J4918" s="184"/>
      <c r="K4918" s="184"/>
      <c r="L4918" s="184"/>
      <c r="M4918" s="184"/>
      <c r="N4918" s="184"/>
      <c r="O4918" s="184"/>
    </row>
    <row r="4919" customFormat="false" ht="15" hidden="false" customHeight="true" outlineLevel="0" collapsed="false">
      <c r="A4919" s="184"/>
      <c r="B4919" s="184"/>
      <c r="C4919" s="184"/>
      <c r="D4919" s="184"/>
      <c r="E4919" s="184"/>
      <c r="F4919" s="184"/>
      <c r="G4919" s="184"/>
      <c r="H4919" s="184"/>
      <c r="I4919" s="184"/>
      <c r="J4919" s="184"/>
      <c r="K4919" s="184"/>
      <c r="L4919" s="184"/>
      <c r="M4919" s="184"/>
      <c r="N4919" s="184"/>
      <c r="O4919" s="184"/>
    </row>
    <row r="4920" customFormat="false" ht="15" hidden="false" customHeight="true" outlineLevel="0" collapsed="false">
      <c r="A4920" s="184"/>
      <c r="B4920" s="184"/>
      <c r="C4920" s="184"/>
      <c r="D4920" s="184"/>
      <c r="E4920" s="184"/>
      <c r="F4920" s="184"/>
      <c r="G4920" s="184"/>
      <c r="H4920" s="184"/>
      <c r="I4920" s="184"/>
      <c r="J4920" s="184"/>
      <c r="K4920" s="184"/>
      <c r="L4920" s="184"/>
      <c r="M4920" s="184"/>
      <c r="N4920" s="184"/>
      <c r="O4920" s="184"/>
    </row>
    <row r="4921" customFormat="false" ht="15" hidden="false" customHeight="true" outlineLevel="0" collapsed="false">
      <c r="A4921" s="184"/>
      <c r="B4921" s="184"/>
      <c r="C4921" s="184"/>
      <c r="D4921" s="184"/>
      <c r="E4921" s="184"/>
      <c r="F4921" s="184"/>
      <c r="G4921" s="184"/>
      <c r="H4921" s="184"/>
      <c r="I4921" s="184"/>
      <c r="J4921" s="184"/>
      <c r="K4921" s="184"/>
      <c r="L4921" s="184"/>
      <c r="M4921" s="184"/>
      <c r="N4921" s="184"/>
      <c r="O4921" s="184"/>
    </row>
    <row r="4922" customFormat="false" ht="15" hidden="false" customHeight="true" outlineLevel="0" collapsed="false">
      <c r="A4922" s="184"/>
      <c r="B4922" s="184"/>
      <c r="C4922" s="184"/>
      <c r="D4922" s="184"/>
      <c r="E4922" s="184"/>
      <c r="F4922" s="184"/>
      <c r="G4922" s="184"/>
      <c r="H4922" s="184"/>
      <c r="I4922" s="184"/>
      <c r="J4922" s="184"/>
      <c r="K4922" s="184"/>
      <c r="L4922" s="184"/>
      <c r="M4922" s="184"/>
      <c r="N4922" s="184"/>
      <c r="O4922" s="184"/>
    </row>
    <row r="4923" customFormat="false" ht="15" hidden="false" customHeight="true" outlineLevel="0" collapsed="false">
      <c r="A4923" s="184"/>
      <c r="B4923" s="184"/>
      <c r="C4923" s="184"/>
      <c r="D4923" s="184"/>
      <c r="E4923" s="184"/>
      <c r="F4923" s="184"/>
      <c r="G4923" s="184"/>
      <c r="H4923" s="184"/>
      <c r="I4923" s="184"/>
      <c r="J4923" s="184"/>
      <c r="K4923" s="184"/>
      <c r="L4923" s="184"/>
      <c r="M4923" s="184"/>
      <c r="N4923" s="184"/>
      <c r="O4923" s="184"/>
    </row>
    <row r="4924" customFormat="false" ht="15" hidden="false" customHeight="true" outlineLevel="0" collapsed="false">
      <c r="A4924" s="184"/>
      <c r="B4924" s="184"/>
      <c r="C4924" s="184"/>
      <c r="D4924" s="184"/>
      <c r="E4924" s="184"/>
      <c r="F4924" s="184"/>
      <c r="G4924" s="184"/>
      <c r="H4924" s="184"/>
      <c r="I4924" s="184"/>
      <c r="J4924" s="184"/>
      <c r="K4924" s="184"/>
      <c r="L4924" s="184"/>
      <c r="M4924" s="184"/>
      <c r="N4924" s="184"/>
      <c r="O4924" s="184"/>
    </row>
    <row r="4925" customFormat="false" ht="15" hidden="false" customHeight="true" outlineLevel="0" collapsed="false">
      <c r="A4925" s="184"/>
      <c r="B4925" s="184"/>
      <c r="C4925" s="184"/>
      <c r="D4925" s="184"/>
      <c r="E4925" s="184"/>
      <c r="F4925" s="184"/>
      <c r="G4925" s="184"/>
      <c r="H4925" s="184"/>
      <c r="I4925" s="184"/>
      <c r="J4925" s="184"/>
      <c r="K4925" s="184"/>
      <c r="L4925" s="184"/>
      <c r="M4925" s="184"/>
      <c r="N4925" s="184"/>
      <c r="O4925" s="184"/>
    </row>
    <row r="4926" customFormat="false" ht="15" hidden="false" customHeight="true" outlineLevel="0" collapsed="false">
      <c r="A4926" s="184"/>
      <c r="B4926" s="184"/>
      <c r="C4926" s="184"/>
      <c r="D4926" s="184"/>
      <c r="E4926" s="184"/>
      <c r="F4926" s="184"/>
      <c r="G4926" s="184"/>
      <c r="H4926" s="184"/>
      <c r="I4926" s="184"/>
      <c r="J4926" s="184"/>
      <c r="K4926" s="184"/>
      <c r="L4926" s="184"/>
      <c r="M4926" s="184"/>
      <c r="N4926" s="184"/>
      <c r="O4926" s="184"/>
    </row>
    <row r="4927" customFormat="false" ht="15" hidden="false" customHeight="true" outlineLevel="0" collapsed="false">
      <c r="A4927" s="184"/>
      <c r="B4927" s="184"/>
      <c r="C4927" s="184"/>
      <c r="D4927" s="184"/>
      <c r="E4927" s="184"/>
      <c r="F4927" s="184"/>
      <c r="G4927" s="184"/>
      <c r="H4927" s="184"/>
      <c r="I4927" s="184"/>
      <c r="J4927" s="184"/>
      <c r="K4927" s="184"/>
      <c r="L4927" s="184"/>
      <c r="M4927" s="184"/>
      <c r="N4927" s="184"/>
      <c r="O4927" s="184"/>
    </row>
    <row r="4928" customFormat="false" ht="15" hidden="false" customHeight="true" outlineLevel="0" collapsed="false">
      <c r="A4928" s="184"/>
      <c r="B4928" s="184"/>
      <c r="C4928" s="184"/>
      <c r="D4928" s="184"/>
      <c r="E4928" s="184"/>
      <c r="F4928" s="184"/>
      <c r="G4928" s="184"/>
      <c r="H4928" s="184"/>
      <c r="I4928" s="184"/>
      <c r="J4928" s="184"/>
      <c r="K4928" s="184"/>
      <c r="L4928" s="184"/>
      <c r="M4928" s="184"/>
      <c r="N4928" s="184"/>
      <c r="O4928" s="184"/>
    </row>
    <row r="4929" customFormat="false" ht="15" hidden="false" customHeight="true" outlineLevel="0" collapsed="false">
      <c r="A4929" s="184"/>
      <c r="B4929" s="184"/>
      <c r="C4929" s="184"/>
      <c r="D4929" s="184"/>
      <c r="E4929" s="184"/>
      <c r="F4929" s="184"/>
      <c r="G4929" s="184"/>
      <c r="H4929" s="184"/>
      <c r="I4929" s="184"/>
      <c r="J4929" s="184"/>
      <c r="K4929" s="184"/>
      <c r="L4929" s="184"/>
      <c r="M4929" s="184"/>
      <c r="N4929" s="184"/>
      <c r="O4929" s="184"/>
    </row>
    <row r="4930" customFormat="false" ht="15" hidden="false" customHeight="true" outlineLevel="0" collapsed="false">
      <c r="A4930" s="184"/>
      <c r="B4930" s="184"/>
      <c r="C4930" s="184"/>
      <c r="D4930" s="184"/>
      <c r="E4930" s="184"/>
      <c r="F4930" s="184"/>
      <c r="G4930" s="184"/>
      <c r="H4930" s="184"/>
      <c r="I4930" s="184"/>
      <c r="J4930" s="184"/>
      <c r="K4930" s="184"/>
      <c r="L4930" s="184"/>
      <c r="M4930" s="184"/>
      <c r="N4930" s="184"/>
      <c r="O4930" s="184"/>
    </row>
    <row r="4931" customFormat="false" ht="15" hidden="false" customHeight="true" outlineLevel="0" collapsed="false">
      <c r="A4931" s="184"/>
      <c r="B4931" s="184"/>
      <c r="C4931" s="184"/>
      <c r="D4931" s="184"/>
      <c r="E4931" s="184"/>
      <c r="F4931" s="184"/>
      <c r="G4931" s="184"/>
      <c r="H4931" s="184"/>
      <c r="I4931" s="184"/>
      <c r="J4931" s="184"/>
      <c r="K4931" s="184"/>
      <c r="L4931" s="184"/>
      <c r="M4931" s="184"/>
      <c r="N4931" s="184"/>
      <c r="O4931" s="184"/>
    </row>
    <row r="4932" customFormat="false" ht="15" hidden="false" customHeight="true" outlineLevel="0" collapsed="false">
      <c r="A4932" s="184"/>
      <c r="B4932" s="184"/>
      <c r="C4932" s="184"/>
      <c r="D4932" s="184"/>
      <c r="E4932" s="184"/>
      <c r="F4932" s="184"/>
      <c r="G4932" s="184"/>
      <c r="H4932" s="184"/>
      <c r="I4932" s="184"/>
      <c r="J4932" s="184"/>
      <c r="K4932" s="184"/>
      <c r="L4932" s="184"/>
      <c r="M4932" s="184"/>
      <c r="N4932" s="184"/>
      <c r="O4932" s="184"/>
    </row>
    <row r="4933" customFormat="false" ht="15" hidden="false" customHeight="true" outlineLevel="0" collapsed="false">
      <c r="A4933" s="184"/>
      <c r="B4933" s="184"/>
      <c r="C4933" s="184"/>
      <c r="D4933" s="184"/>
      <c r="E4933" s="184"/>
      <c r="F4933" s="184"/>
      <c r="G4933" s="184"/>
      <c r="H4933" s="184"/>
      <c r="I4933" s="184"/>
      <c r="J4933" s="184"/>
      <c r="K4933" s="184"/>
      <c r="L4933" s="184"/>
      <c r="M4933" s="184"/>
      <c r="N4933" s="184"/>
      <c r="O4933" s="184"/>
    </row>
    <row r="4934" customFormat="false" ht="15" hidden="false" customHeight="true" outlineLevel="0" collapsed="false">
      <c r="A4934" s="184"/>
      <c r="B4934" s="184"/>
      <c r="C4934" s="184"/>
      <c r="D4934" s="184"/>
      <c r="E4934" s="184"/>
      <c r="F4934" s="184"/>
      <c r="G4934" s="184"/>
      <c r="H4934" s="184"/>
      <c r="I4934" s="184"/>
      <c r="J4934" s="184"/>
      <c r="K4934" s="184"/>
      <c r="L4934" s="184"/>
      <c r="M4934" s="184"/>
      <c r="N4934" s="184"/>
      <c r="O4934" s="184"/>
    </row>
    <row r="4935" customFormat="false" ht="15" hidden="false" customHeight="true" outlineLevel="0" collapsed="false">
      <c r="A4935" s="184"/>
      <c r="B4935" s="184"/>
      <c r="C4935" s="184"/>
      <c r="D4935" s="184"/>
      <c r="E4935" s="184"/>
      <c r="F4935" s="184"/>
      <c r="G4935" s="184"/>
      <c r="H4935" s="184"/>
      <c r="I4935" s="184"/>
      <c r="J4935" s="184"/>
      <c r="K4935" s="184"/>
      <c r="L4935" s="184"/>
      <c r="M4935" s="184"/>
      <c r="N4935" s="184"/>
      <c r="O4935" s="184"/>
    </row>
    <row r="4936" customFormat="false" ht="15" hidden="false" customHeight="true" outlineLevel="0" collapsed="false">
      <c r="A4936" s="184"/>
      <c r="B4936" s="184"/>
      <c r="C4936" s="184"/>
      <c r="D4936" s="184"/>
      <c r="E4936" s="184"/>
      <c r="F4936" s="184"/>
      <c r="G4936" s="184"/>
      <c r="H4936" s="184"/>
      <c r="I4936" s="184"/>
      <c r="J4936" s="184"/>
      <c r="K4936" s="184"/>
      <c r="L4936" s="184"/>
      <c r="M4936" s="184"/>
      <c r="N4936" s="184"/>
      <c r="O4936" s="184"/>
    </row>
    <row r="4937" customFormat="false" ht="15" hidden="false" customHeight="true" outlineLevel="0" collapsed="false">
      <c r="A4937" s="184"/>
      <c r="B4937" s="184"/>
      <c r="C4937" s="184"/>
      <c r="D4937" s="184"/>
      <c r="E4937" s="184"/>
      <c r="F4937" s="184"/>
      <c r="G4937" s="184"/>
      <c r="H4937" s="184"/>
      <c r="I4937" s="184"/>
      <c r="J4937" s="184"/>
      <c r="K4937" s="184"/>
      <c r="L4937" s="184"/>
      <c r="M4937" s="184"/>
      <c r="N4937" s="184"/>
      <c r="O4937" s="184"/>
    </row>
    <row r="4938" customFormat="false" ht="15" hidden="false" customHeight="true" outlineLevel="0" collapsed="false">
      <c r="A4938" s="184"/>
      <c r="B4938" s="184"/>
      <c r="C4938" s="184"/>
      <c r="D4938" s="184"/>
      <c r="E4938" s="184"/>
      <c r="F4938" s="184"/>
      <c r="G4938" s="184"/>
      <c r="H4938" s="184"/>
      <c r="I4938" s="184"/>
      <c r="J4938" s="184"/>
      <c r="K4938" s="184"/>
      <c r="L4938" s="184"/>
      <c r="M4938" s="184"/>
      <c r="N4938" s="184"/>
      <c r="O4938" s="184"/>
    </row>
    <row r="4939" customFormat="false" ht="15" hidden="false" customHeight="true" outlineLevel="0" collapsed="false">
      <c r="A4939" s="184"/>
      <c r="B4939" s="184"/>
      <c r="C4939" s="184"/>
      <c r="D4939" s="184"/>
      <c r="E4939" s="184"/>
      <c r="F4939" s="184"/>
      <c r="G4939" s="184"/>
      <c r="H4939" s="184"/>
      <c r="I4939" s="184"/>
      <c r="J4939" s="184"/>
      <c r="K4939" s="184"/>
      <c r="L4939" s="184"/>
      <c r="M4939" s="184"/>
      <c r="N4939" s="184"/>
      <c r="O4939" s="184"/>
    </row>
    <row r="4940" customFormat="false" ht="15" hidden="false" customHeight="true" outlineLevel="0" collapsed="false">
      <c r="A4940" s="184"/>
      <c r="B4940" s="184"/>
      <c r="C4940" s="184"/>
      <c r="D4940" s="184"/>
      <c r="E4940" s="184"/>
      <c r="F4940" s="184"/>
      <c r="G4940" s="184"/>
      <c r="H4940" s="184"/>
      <c r="I4940" s="184"/>
      <c r="J4940" s="184"/>
      <c r="K4940" s="184"/>
      <c r="L4940" s="184"/>
      <c r="M4940" s="184"/>
      <c r="N4940" s="184"/>
      <c r="O4940" s="184"/>
    </row>
    <row r="4941" customFormat="false" ht="15" hidden="false" customHeight="true" outlineLevel="0" collapsed="false">
      <c r="A4941" s="184"/>
      <c r="B4941" s="184"/>
      <c r="C4941" s="184"/>
      <c r="D4941" s="184"/>
      <c r="E4941" s="184"/>
      <c r="F4941" s="184"/>
      <c r="G4941" s="184"/>
      <c r="H4941" s="184"/>
      <c r="I4941" s="184"/>
      <c r="J4941" s="184"/>
      <c r="K4941" s="184"/>
      <c r="L4941" s="184"/>
      <c r="M4941" s="184"/>
      <c r="N4941" s="184"/>
      <c r="O4941" s="184"/>
    </row>
    <row r="4942" customFormat="false" ht="15" hidden="false" customHeight="true" outlineLevel="0" collapsed="false">
      <c r="A4942" s="184"/>
      <c r="B4942" s="184"/>
      <c r="C4942" s="184"/>
      <c r="D4942" s="184"/>
      <c r="E4942" s="184"/>
      <c r="F4942" s="184"/>
      <c r="G4942" s="184"/>
      <c r="H4942" s="184"/>
      <c r="I4942" s="184"/>
      <c r="J4942" s="184"/>
      <c r="K4942" s="184"/>
      <c r="L4942" s="184"/>
      <c r="M4942" s="184"/>
      <c r="N4942" s="184"/>
      <c r="O4942" s="184"/>
    </row>
    <row r="4943" customFormat="false" ht="15" hidden="false" customHeight="true" outlineLevel="0" collapsed="false">
      <c r="A4943" s="184"/>
      <c r="B4943" s="184"/>
      <c r="C4943" s="184"/>
      <c r="D4943" s="184"/>
      <c r="E4943" s="184"/>
      <c r="F4943" s="184"/>
      <c r="G4943" s="184"/>
      <c r="H4943" s="184"/>
      <c r="I4943" s="184"/>
      <c r="J4943" s="184"/>
      <c r="K4943" s="184"/>
      <c r="L4943" s="184"/>
      <c r="M4943" s="184"/>
      <c r="N4943" s="184"/>
      <c r="O4943" s="184"/>
    </row>
    <row r="4944" customFormat="false" ht="15" hidden="false" customHeight="true" outlineLevel="0" collapsed="false">
      <c r="A4944" s="184"/>
      <c r="B4944" s="184"/>
      <c r="C4944" s="184"/>
      <c r="D4944" s="184"/>
      <c r="E4944" s="184"/>
      <c r="F4944" s="184"/>
      <c r="G4944" s="184"/>
      <c r="H4944" s="184"/>
      <c r="I4944" s="184"/>
      <c r="J4944" s="184"/>
      <c r="K4944" s="184"/>
      <c r="L4944" s="184"/>
      <c r="M4944" s="184"/>
      <c r="N4944" s="184"/>
      <c r="O4944" s="184"/>
    </row>
    <row r="4945" customFormat="false" ht="15" hidden="false" customHeight="true" outlineLevel="0" collapsed="false">
      <c r="A4945" s="184"/>
      <c r="B4945" s="184"/>
      <c r="C4945" s="184"/>
      <c r="D4945" s="184"/>
      <c r="E4945" s="184"/>
      <c r="F4945" s="184"/>
      <c r="G4945" s="184"/>
      <c r="H4945" s="184"/>
      <c r="I4945" s="184"/>
      <c r="J4945" s="184"/>
      <c r="K4945" s="184"/>
      <c r="L4945" s="184"/>
      <c r="M4945" s="184"/>
      <c r="N4945" s="184"/>
      <c r="O4945" s="184"/>
    </row>
    <row r="4946" customFormat="false" ht="15" hidden="false" customHeight="true" outlineLevel="0" collapsed="false">
      <c r="A4946" s="184"/>
      <c r="B4946" s="184"/>
      <c r="C4946" s="184"/>
      <c r="D4946" s="184"/>
      <c r="E4946" s="184"/>
      <c r="F4946" s="184"/>
      <c r="G4946" s="184"/>
      <c r="H4946" s="184"/>
      <c r="I4946" s="184"/>
      <c r="J4946" s="184"/>
      <c r="K4946" s="184"/>
      <c r="L4946" s="184"/>
      <c r="M4946" s="184"/>
      <c r="N4946" s="184"/>
      <c r="O4946" s="184"/>
    </row>
    <row r="4947" customFormat="false" ht="15" hidden="false" customHeight="true" outlineLevel="0" collapsed="false">
      <c r="A4947" s="184"/>
      <c r="B4947" s="184"/>
      <c r="C4947" s="184"/>
      <c r="D4947" s="184"/>
      <c r="E4947" s="184"/>
      <c r="F4947" s="184"/>
      <c r="G4947" s="184"/>
      <c r="H4947" s="184"/>
      <c r="I4947" s="184"/>
      <c r="J4947" s="184"/>
      <c r="K4947" s="184"/>
      <c r="L4947" s="184"/>
      <c r="M4947" s="184"/>
      <c r="N4947" s="184"/>
      <c r="O4947" s="184"/>
    </row>
    <row r="4948" customFormat="false" ht="15" hidden="false" customHeight="true" outlineLevel="0" collapsed="false">
      <c r="A4948" s="184"/>
      <c r="B4948" s="184"/>
      <c r="C4948" s="184"/>
      <c r="D4948" s="184"/>
      <c r="E4948" s="184"/>
      <c r="F4948" s="184"/>
      <c r="G4948" s="184"/>
      <c r="H4948" s="184"/>
      <c r="I4948" s="184"/>
      <c r="J4948" s="184"/>
      <c r="K4948" s="184"/>
      <c r="L4948" s="184"/>
      <c r="M4948" s="184"/>
      <c r="N4948" s="184"/>
      <c r="O4948" s="184"/>
    </row>
    <row r="4949" customFormat="false" ht="15" hidden="false" customHeight="true" outlineLevel="0" collapsed="false">
      <c r="A4949" s="184"/>
      <c r="B4949" s="184"/>
      <c r="C4949" s="184"/>
      <c r="D4949" s="184"/>
      <c r="E4949" s="184"/>
      <c r="F4949" s="184"/>
      <c r="G4949" s="184"/>
      <c r="H4949" s="184"/>
      <c r="I4949" s="184"/>
      <c r="J4949" s="184"/>
      <c r="K4949" s="184"/>
      <c r="L4949" s="184"/>
      <c r="M4949" s="184"/>
      <c r="N4949" s="184"/>
      <c r="O4949" s="184"/>
    </row>
    <row r="4950" customFormat="false" ht="15" hidden="false" customHeight="true" outlineLevel="0" collapsed="false">
      <c r="A4950" s="184"/>
      <c r="B4950" s="184"/>
      <c r="C4950" s="184"/>
      <c r="D4950" s="184"/>
      <c r="E4950" s="184"/>
      <c r="F4950" s="184"/>
      <c r="G4950" s="184"/>
      <c r="H4950" s="184"/>
      <c r="I4950" s="184"/>
      <c r="J4950" s="184"/>
      <c r="K4950" s="184"/>
      <c r="L4950" s="184"/>
      <c r="M4950" s="184"/>
      <c r="N4950" s="184"/>
      <c r="O4950" s="184"/>
    </row>
    <row r="4951" customFormat="false" ht="15" hidden="false" customHeight="true" outlineLevel="0" collapsed="false">
      <c r="A4951" s="184"/>
      <c r="B4951" s="184"/>
      <c r="C4951" s="184"/>
      <c r="D4951" s="184"/>
      <c r="E4951" s="184"/>
      <c r="F4951" s="184"/>
      <c r="G4951" s="184"/>
      <c r="H4951" s="184"/>
      <c r="I4951" s="184"/>
      <c r="J4951" s="184"/>
      <c r="K4951" s="184"/>
      <c r="L4951" s="184"/>
      <c r="M4951" s="184"/>
      <c r="N4951" s="184"/>
      <c r="O4951" s="184"/>
    </row>
    <row r="4952" customFormat="false" ht="15" hidden="false" customHeight="true" outlineLevel="0" collapsed="false">
      <c r="A4952" s="184"/>
      <c r="B4952" s="184"/>
      <c r="C4952" s="184"/>
      <c r="D4952" s="184"/>
      <c r="E4952" s="184"/>
      <c r="F4952" s="184"/>
      <c r="G4952" s="184"/>
      <c r="H4952" s="184"/>
      <c r="I4952" s="184"/>
      <c r="J4952" s="184"/>
      <c r="K4952" s="184"/>
      <c r="L4952" s="184"/>
      <c r="M4952" s="184"/>
      <c r="N4952" s="184"/>
      <c r="O4952" s="184"/>
    </row>
    <row r="4953" customFormat="false" ht="15" hidden="false" customHeight="true" outlineLevel="0" collapsed="false">
      <c r="A4953" s="184"/>
      <c r="B4953" s="184"/>
      <c r="C4953" s="184"/>
      <c r="D4953" s="184"/>
      <c r="E4953" s="184"/>
      <c r="F4953" s="184"/>
      <c r="G4953" s="184"/>
      <c r="H4953" s="184"/>
      <c r="I4953" s="184"/>
      <c r="J4953" s="184"/>
      <c r="K4953" s="184"/>
      <c r="L4953" s="184"/>
      <c r="M4953" s="184"/>
      <c r="N4953" s="184"/>
      <c r="O4953" s="184"/>
    </row>
    <row r="4954" customFormat="false" ht="15" hidden="false" customHeight="true" outlineLevel="0" collapsed="false">
      <c r="A4954" s="184"/>
      <c r="B4954" s="184"/>
      <c r="C4954" s="184"/>
      <c r="D4954" s="184"/>
      <c r="E4954" s="184"/>
      <c r="F4954" s="184"/>
      <c r="G4954" s="184"/>
      <c r="H4954" s="184"/>
      <c r="I4954" s="184"/>
      <c r="J4954" s="184"/>
      <c r="K4954" s="184"/>
      <c r="L4954" s="184"/>
      <c r="M4954" s="184"/>
      <c r="N4954" s="184"/>
      <c r="O4954" s="184"/>
    </row>
    <row r="4955" customFormat="false" ht="15" hidden="false" customHeight="true" outlineLevel="0" collapsed="false">
      <c r="A4955" s="184"/>
      <c r="B4955" s="184"/>
      <c r="C4955" s="184"/>
      <c r="D4955" s="184"/>
      <c r="E4955" s="184"/>
      <c r="F4955" s="184"/>
      <c r="G4955" s="184"/>
      <c r="H4955" s="184"/>
      <c r="I4955" s="184"/>
      <c r="J4955" s="184"/>
      <c r="K4955" s="184"/>
      <c r="L4955" s="184"/>
      <c r="M4955" s="184"/>
      <c r="N4955" s="184"/>
      <c r="O4955" s="184"/>
    </row>
    <row r="4956" customFormat="false" ht="15" hidden="false" customHeight="true" outlineLevel="0" collapsed="false">
      <c r="A4956" s="184"/>
      <c r="B4956" s="184"/>
      <c r="C4956" s="184"/>
      <c r="D4956" s="184"/>
      <c r="E4956" s="184"/>
      <c r="F4956" s="184"/>
      <c r="G4956" s="184"/>
      <c r="H4956" s="184"/>
      <c r="I4956" s="184"/>
      <c r="J4956" s="184"/>
      <c r="K4956" s="184"/>
      <c r="L4956" s="184"/>
      <c r="M4956" s="184"/>
      <c r="N4956" s="184"/>
      <c r="O4956" s="184"/>
    </row>
    <row r="4957" customFormat="false" ht="15" hidden="false" customHeight="true" outlineLevel="0" collapsed="false">
      <c r="A4957" s="184"/>
      <c r="B4957" s="184"/>
      <c r="C4957" s="184"/>
      <c r="D4957" s="184"/>
      <c r="E4957" s="184"/>
      <c r="F4957" s="184"/>
      <c r="G4957" s="184"/>
      <c r="H4957" s="184"/>
      <c r="I4957" s="184"/>
      <c r="J4957" s="184"/>
      <c r="K4957" s="184"/>
      <c r="L4957" s="184"/>
      <c r="M4957" s="184"/>
      <c r="N4957" s="184"/>
      <c r="O4957" s="184"/>
    </row>
    <row r="4958" customFormat="false" ht="15" hidden="false" customHeight="true" outlineLevel="0" collapsed="false">
      <c r="A4958" s="184"/>
      <c r="B4958" s="184"/>
      <c r="C4958" s="184"/>
      <c r="D4958" s="184"/>
      <c r="E4958" s="184"/>
      <c r="F4958" s="184"/>
      <c r="G4958" s="184"/>
      <c r="H4958" s="184"/>
      <c r="I4958" s="184"/>
      <c r="J4958" s="184"/>
      <c r="K4958" s="184"/>
      <c r="L4958" s="184"/>
      <c r="M4958" s="184"/>
      <c r="N4958" s="184"/>
      <c r="O4958" s="184"/>
    </row>
    <row r="4959" customFormat="false" ht="15" hidden="false" customHeight="true" outlineLevel="0" collapsed="false">
      <c r="A4959" s="184"/>
      <c r="B4959" s="184"/>
      <c r="C4959" s="184"/>
      <c r="D4959" s="184"/>
      <c r="E4959" s="184"/>
      <c r="F4959" s="184"/>
      <c r="G4959" s="184"/>
      <c r="H4959" s="184"/>
      <c r="I4959" s="184"/>
      <c r="J4959" s="184"/>
      <c r="K4959" s="184"/>
      <c r="L4959" s="184"/>
      <c r="M4959" s="184"/>
      <c r="N4959" s="184"/>
      <c r="O4959" s="184"/>
    </row>
    <row r="4960" customFormat="false" ht="15" hidden="false" customHeight="true" outlineLevel="0" collapsed="false">
      <c r="A4960" s="184"/>
      <c r="B4960" s="184"/>
      <c r="C4960" s="184"/>
      <c r="D4960" s="184"/>
      <c r="E4960" s="184"/>
      <c r="F4960" s="184"/>
      <c r="G4960" s="184"/>
      <c r="H4960" s="184"/>
      <c r="I4960" s="184"/>
      <c r="J4960" s="184"/>
      <c r="K4960" s="184"/>
      <c r="L4960" s="184"/>
      <c r="M4960" s="184"/>
      <c r="N4960" s="184"/>
      <c r="O4960" s="184"/>
    </row>
    <row r="4961" customFormat="false" ht="15" hidden="false" customHeight="true" outlineLevel="0" collapsed="false">
      <c r="A4961" s="184"/>
      <c r="B4961" s="184"/>
      <c r="C4961" s="184"/>
      <c r="D4961" s="184"/>
      <c r="E4961" s="184"/>
      <c r="F4961" s="184"/>
      <c r="G4961" s="184"/>
      <c r="H4961" s="184"/>
      <c r="I4961" s="184"/>
      <c r="J4961" s="184"/>
      <c r="K4961" s="184"/>
      <c r="L4961" s="184"/>
      <c r="M4961" s="184"/>
      <c r="N4961" s="184"/>
      <c r="O4961" s="184"/>
    </row>
    <row r="4962" customFormat="false" ht="15" hidden="false" customHeight="true" outlineLevel="0" collapsed="false">
      <c r="A4962" s="184"/>
      <c r="B4962" s="184"/>
      <c r="C4962" s="184"/>
      <c r="D4962" s="184"/>
      <c r="E4962" s="184"/>
      <c r="F4962" s="184"/>
      <c r="G4962" s="184"/>
      <c r="H4962" s="184"/>
      <c r="I4962" s="184"/>
      <c r="J4962" s="184"/>
      <c r="K4962" s="184"/>
      <c r="L4962" s="184"/>
      <c r="M4962" s="184"/>
      <c r="N4962" s="184"/>
      <c r="O4962" s="184"/>
    </row>
    <row r="4963" customFormat="false" ht="15" hidden="false" customHeight="true" outlineLevel="0" collapsed="false">
      <c r="A4963" s="184"/>
      <c r="B4963" s="184"/>
      <c r="C4963" s="184"/>
      <c r="D4963" s="184"/>
      <c r="E4963" s="184"/>
      <c r="F4963" s="184"/>
      <c r="G4963" s="184"/>
      <c r="H4963" s="184"/>
      <c r="I4963" s="184"/>
      <c r="J4963" s="184"/>
      <c r="K4963" s="184"/>
      <c r="L4963" s="184"/>
      <c r="M4963" s="184"/>
      <c r="N4963" s="184"/>
      <c r="O4963" s="184"/>
    </row>
    <row r="4964" customFormat="false" ht="15" hidden="false" customHeight="true" outlineLevel="0" collapsed="false">
      <c r="A4964" s="184"/>
      <c r="B4964" s="184"/>
      <c r="C4964" s="184"/>
      <c r="D4964" s="184"/>
      <c r="E4964" s="184"/>
      <c r="F4964" s="184"/>
      <c r="G4964" s="184"/>
      <c r="H4964" s="184"/>
      <c r="I4964" s="184"/>
      <c r="J4964" s="184"/>
      <c r="K4964" s="184"/>
      <c r="L4964" s="184"/>
      <c r="M4964" s="184"/>
      <c r="N4964" s="184"/>
      <c r="O4964" s="184"/>
    </row>
    <row r="4965" customFormat="false" ht="15" hidden="false" customHeight="true" outlineLevel="0" collapsed="false">
      <c r="A4965" s="184"/>
      <c r="B4965" s="184"/>
      <c r="C4965" s="184"/>
      <c r="D4965" s="184"/>
      <c r="E4965" s="184"/>
      <c r="F4965" s="184"/>
      <c r="G4965" s="184"/>
      <c r="H4965" s="184"/>
      <c r="I4965" s="184"/>
      <c r="J4965" s="184"/>
      <c r="K4965" s="184"/>
      <c r="L4965" s="184"/>
      <c r="M4965" s="184"/>
      <c r="N4965" s="184"/>
      <c r="O4965" s="184"/>
    </row>
    <row r="4966" customFormat="false" ht="15" hidden="false" customHeight="true" outlineLevel="0" collapsed="false">
      <c r="A4966" s="184"/>
      <c r="B4966" s="184"/>
      <c r="C4966" s="184"/>
      <c r="D4966" s="184"/>
      <c r="E4966" s="184"/>
      <c r="F4966" s="184"/>
      <c r="G4966" s="184"/>
      <c r="H4966" s="184"/>
      <c r="I4966" s="184"/>
      <c r="J4966" s="184"/>
      <c r="K4966" s="184"/>
      <c r="L4966" s="184"/>
      <c r="M4966" s="184"/>
      <c r="N4966" s="184"/>
      <c r="O4966" s="184"/>
    </row>
    <row r="4967" customFormat="false" ht="15" hidden="false" customHeight="true" outlineLevel="0" collapsed="false">
      <c r="A4967" s="184"/>
      <c r="B4967" s="184"/>
      <c r="C4967" s="184"/>
      <c r="D4967" s="184"/>
      <c r="E4967" s="184"/>
      <c r="F4967" s="184"/>
      <c r="G4967" s="184"/>
      <c r="H4967" s="184"/>
      <c r="I4967" s="184"/>
      <c r="J4967" s="184"/>
      <c r="K4967" s="184"/>
      <c r="L4967" s="184"/>
      <c r="M4967" s="184"/>
      <c r="N4967" s="184"/>
      <c r="O4967" s="184"/>
    </row>
    <row r="4968" customFormat="false" ht="15" hidden="false" customHeight="true" outlineLevel="0" collapsed="false">
      <c r="A4968" s="184"/>
      <c r="B4968" s="184"/>
      <c r="C4968" s="184"/>
      <c r="D4968" s="184"/>
      <c r="E4968" s="184"/>
      <c r="F4968" s="184"/>
      <c r="G4968" s="184"/>
      <c r="H4968" s="184"/>
      <c r="I4968" s="184"/>
      <c r="J4968" s="184"/>
      <c r="K4968" s="184"/>
      <c r="L4968" s="184"/>
      <c r="M4968" s="184"/>
      <c r="N4968" s="184"/>
      <c r="O4968" s="184"/>
    </row>
    <row r="4969" customFormat="false" ht="15" hidden="false" customHeight="true" outlineLevel="0" collapsed="false">
      <c r="A4969" s="184"/>
      <c r="B4969" s="184"/>
      <c r="C4969" s="184"/>
      <c r="D4969" s="184"/>
      <c r="E4969" s="184"/>
      <c r="F4969" s="184"/>
      <c r="G4969" s="184"/>
      <c r="H4969" s="184"/>
      <c r="I4969" s="184"/>
      <c r="J4969" s="184"/>
      <c r="K4969" s="184"/>
      <c r="L4969" s="184"/>
      <c r="M4969" s="184"/>
      <c r="N4969" s="184"/>
      <c r="O4969" s="184"/>
    </row>
    <row r="4970" customFormat="false" ht="15" hidden="false" customHeight="true" outlineLevel="0" collapsed="false">
      <c r="A4970" s="184"/>
      <c r="B4970" s="184"/>
      <c r="C4970" s="184"/>
      <c r="D4970" s="184"/>
      <c r="E4970" s="184"/>
      <c r="F4970" s="184"/>
      <c r="G4970" s="184"/>
      <c r="H4970" s="184"/>
      <c r="I4970" s="184"/>
      <c r="J4970" s="184"/>
      <c r="K4970" s="184"/>
      <c r="L4970" s="184"/>
      <c r="M4970" s="184"/>
      <c r="N4970" s="184"/>
      <c r="O4970" s="184"/>
    </row>
    <row r="4971" customFormat="false" ht="15" hidden="false" customHeight="true" outlineLevel="0" collapsed="false">
      <c r="A4971" s="184"/>
      <c r="B4971" s="184"/>
      <c r="C4971" s="184"/>
      <c r="D4971" s="184"/>
      <c r="E4971" s="184"/>
      <c r="F4971" s="184"/>
      <c r="G4971" s="184"/>
      <c r="H4971" s="184"/>
      <c r="I4971" s="184"/>
      <c r="J4971" s="184"/>
      <c r="K4971" s="184"/>
      <c r="L4971" s="184"/>
      <c r="M4971" s="184"/>
      <c r="N4971" s="184"/>
      <c r="O4971" s="184"/>
    </row>
    <row r="4972" customFormat="false" ht="15" hidden="false" customHeight="true" outlineLevel="0" collapsed="false">
      <c r="A4972" s="184"/>
      <c r="B4972" s="184"/>
      <c r="C4972" s="184"/>
      <c r="D4972" s="184"/>
      <c r="E4972" s="184"/>
      <c r="F4972" s="184"/>
      <c r="G4972" s="184"/>
      <c r="H4972" s="184"/>
      <c r="I4972" s="184"/>
      <c r="J4972" s="184"/>
      <c r="K4972" s="184"/>
      <c r="L4972" s="184"/>
      <c r="M4972" s="184"/>
      <c r="N4972" s="184"/>
      <c r="O4972" s="184"/>
    </row>
    <row r="4973" customFormat="false" ht="15" hidden="false" customHeight="true" outlineLevel="0" collapsed="false">
      <c r="A4973" s="184"/>
      <c r="B4973" s="184"/>
      <c r="C4973" s="184"/>
      <c r="D4973" s="184"/>
      <c r="E4973" s="184"/>
      <c r="F4973" s="184"/>
      <c r="G4973" s="184"/>
      <c r="H4973" s="184"/>
      <c r="I4973" s="184"/>
      <c r="J4973" s="184"/>
      <c r="K4973" s="184"/>
      <c r="L4973" s="184"/>
      <c r="M4973" s="184"/>
      <c r="N4973" s="184"/>
      <c r="O4973" s="184"/>
    </row>
    <row r="4974" customFormat="false" ht="15" hidden="false" customHeight="true" outlineLevel="0" collapsed="false">
      <c r="A4974" s="184"/>
      <c r="B4974" s="184"/>
      <c r="C4974" s="184"/>
      <c r="D4974" s="184"/>
      <c r="E4974" s="184"/>
      <c r="F4974" s="184"/>
      <c r="G4974" s="184"/>
      <c r="H4974" s="184"/>
      <c r="I4974" s="184"/>
      <c r="J4974" s="184"/>
      <c r="K4974" s="184"/>
      <c r="L4974" s="184"/>
      <c r="M4974" s="184"/>
      <c r="N4974" s="184"/>
      <c r="O4974" s="184"/>
    </row>
    <row r="4975" customFormat="false" ht="15" hidden="false" customHeight="true" outlineLevel="0" collapsed="false">
      <c r="A4975" s="184"/>
      <c r="B4975" s="184"/>
      <c r="C4975" s="184"/>
      <c r="D4975" s="184"/>
      <c r="E4975" s="184"/>
      <c r="F4975" s="184"/>
      <c r="G4975" s="184"/>
      <c r="H4975" s="184"/>
      <c r="I4975" s="184"/>
      <c r="J4975" s="184"/>
      <c r="K4975" s="184"/>
      <c r="L4975" s="184"/>
      <c r="M4975" s="184"/>
      <c r="N4975" s="184"/>
      <c r="O4975" s="184"/>
    </row>
    <row r="4976" customFormat="false" ht="15" hidden="false" customHeight="true" outlineLevel="0" collapsed="false">
      <c r="A4976" s="184"/>
      <c r="B4976" s="184"/>
      <c r="C4976" s="184"/>
      <c r="D4976" s="184"/>
      <c r="E4976" s="184"/>
      <c r="F4976" s="184"/>
      <c r="G4976" s="184"/>
      <c r="H4976" s="184"/>
      <c r="I4976" s="184"/>
      <c r="J4976" s="184"/>
      <c r="K4976" s="184"/>
      <c r="L4976" s="184"/>
      <c r="M4976" s="184"/>
      <c r="N4976" s="184"/>
      <c r="O4976" s="184"/>
    </row>
    <row r="4977" customFormat="false" ht="15" hidden="false" customHeight="true" outlineLevel="0" collapsed="false">
      <c r="A4977" s="184"/>
      <c r="B4977" s="184"/>
      <c r="C4977" s="184"/>
      <c r="D4977" s="184"/>
      <c r="E4977" s="184"/>
      <c r="F4977" s="184"/>
      <c r="G4977" s="184"/>
      <c r="H4977" s="184"/>
      <c r="I4977" s="184"/>
      <c r="J4977" s="184"/>
      <c r="K4977" s="184"/>
      <c r="L4977" s="184"/>
      <c r="M4977" s="184"/>
      <c r="N4977" s="184"/>
      <c r="O4977" s="184"/>
    </row>
    <row r="4978" customFormat="false" ht="15" hidden="false" customHeight="true" outlineLevel="0" collapsed="false">
      <c r="A4978" s="184"/>
      <c r="B4978" s="184"/>
      <c r="C4978" s="184"/>
      <c r="D4978" s="184"/>
      <c r="E4978" s="184"/>
      <c r="F4978" s="184"/>
      <c r="G4978" s="184"/>
      <c r="H4978" s="184"/>
      <c r="I4978" s="184"/>
      <c r="J4978" s="184"/>
      <c r="K4978" s="184"/>
      <c r="L4978" s="184"/>
      <c r="M4978" s="184"/>
      <c r="N4978" s="184"/>
      <c r="O4978" s="184"/>
    </row>
    <row r="4979" customFormat="false" ht="15" hidden="false" customHeight="true" outlineLevel="0" collapsed="false">
      <c r="A4979" s="184"/>
      <c r="B4979" s="184"/>
      <c r="C4979" s="184"/>
      <c r="D4979" s="184"/>
      <c r="E4979" s="184"/>
      <c r="F4979" s="184"/>
      <c r="G4979" s="184"/>
      <c r="H4979" s="184"/>
      <c r="I4979" s="184"/>
      <c r="J4979" s="184"/>
      <c r="K4979" s="184"/>
      <c r="L4979" s="184"/>
      <c r="M4979" s="184"/>
      <c r="N4979" s="184"/>
      <c r="O4979" s="184"/>
    </row>
    <row r="4980" customFormat="false" ht="15" hidden="false" customHeight="true" outlineLevel="0" collapsed="false">
      <c r="A4980" s="184"/>
      <c r="B4980" s="184"/>
      <c r="C4980" s="184"/>
      <c r="D4980" s="184"/>
      <c r="E4980" s="184"/>
      <c r="F4980" s="184"/>
      <c r="G4980" s="184"/>
      <c r="H4980" s="184"/>
      <c r="I4980" s="184"/>
      <c r="J4980" s="184"/>
      <c r="K4980" s="184"/>
      <c r="L4980" s="184"/>
      <c r="M4980" s="184"/>
      <c r="N4980" s="184"/>
      <c r="O4980" s="184"/>
    </row>
    <row r="4981" customFormat="false" ht="15" hidden="false" customHeight="true" outlineLevel="0" collapsed="false">
      <c r="A4981" s="184"/>
      <c r="B4981" s="184"/>
      <c r="C4981" s="184"/>
      <c r="D4981" s="184"/>
      <c r="E4981" s="184"/>
      <c r="F4981" s="184"/>
      <c r="G4981" s="184"/>
      <c r="H4981" s="184"/>
      <c r="I4981" s="184"/>
      <c r="J4981" s="184"/>
      <c r="K4981" s="184"/>
      <c r="L4981" s="184"/>
      <c r="M4981" s="184"/>
      <c r="N4981" s="184"/>
      <c r="O4981" s="184"/>
    </row>
    <row r="4982" customFormat="false" ht="15" hidden="false" customHeight="true" outlineLevel="0" collapsed="false">
      <c r="A4982" s="184"/>
      <c r="B4982" s="184"/>
      <c r="C4982" s="184"/>
      <c r="D4982" s="184"/>
      <c r="E4982" s="184"/>
      <c r="F4982" s="184"/>
      <c r="G4982" s="184"/>
      <c r="H4982" s="184"/>
      <c r="I4982" s="184"/>
      <c r="J4982" s="184"/>
      <c r="K4982" s="184"/>
      <c r="L4982" s="184"/>
      <c r="M4982" s="184"/>
      <c r="N4982" s="184"/>
      <c r="O4982" s="184"/>
    </row>
    <row r="4983" customFormat="false" ht="15" hidden="false" customHeight="true" outlineLevel="0" collapsed="false">
      <c r="A4983" s="184"/>
      <c r="B4983" s="184"/>
      <c r="C4983" s="184"/>
      <c r="D4983" s="184"/>
      <c r="E4983" s="184"/>
      <c r="F4983" s="184"/>
      <c r="G4983" s="184"/>
      <c r="H4983" s="184"/>
      <c r="I4983" s="184"/>
      <c r="J4983" s="184"/>
      <c r="K4983" s="184"/>
      <c r="L4983" s="184"/>
      <c r="M4983" s="184"/>
      <c r="N4983" s="184"/>
      <c r="O4983" s="184"/>
    </row>
    <row r="4984" customFormat="false" ht="15" hidden="false" customHeight="true" outlineLevel="0" collapsed="false">
      <c r="A4984" s="184"/>
      <c r="B4984" s="184"/>
      <c r="C4984" s="184"/>
      <c r="D4984" s="184"/>
      <c r="E4984" s="184"/>
      <c r="F4984" s="184"/>
      <c r="G4984" s="184"/>
      <c r="H4984" s="184"/>
      <c r="I4984" s="184"/>
      <c r="J4984" s="184"/>
      <c r="K4984" s="184"/>
      <c r="L4984" s="184"/>
      <c r="M4984" s="184"/>
      <c r="N4984" s="184"/>
      <c r="O4984" s="184"/>
    </row>
    <row r="4985" customFormat="false" ht="15" hidden="false" customHeight="true" outlineLevel="0" collapsed="false">
      <c r="A4985" s="184"/>
      <c r="B4985" s="184"/>
      <c r="C4985" s="184"/>
      <c r="D4985" s="184"/>
      <c r="E4985" s="184"/>
      <c r="F4985" s="184"/>
      <c r="G4985" s="184"/>
      <c r="H4985" s="184"/>
      <c r="I4985" s="184"/>
      <c r="J4985" s="184"/>
      <c r="K4985" s="184"/>
      <c r="L4985" s="184"/>
      <c r="M4985" s="184"/>
      <c r="N4985" s="184"/>
      <c r="O4985" s="184"/>
    </row>
    <row r="4986" customFormat="false" ht="15" hidden="false" customHeight="true" outlineLevel="0" collapsed="false">
      <c r="A4986" s="184"/>
      <c r="B4986" s="184"/>
      <c r="C4986" s="184"/>
      <c r="D4986" s="184"/>
      <c r="E4986" s="184"/>
      <c r="F4986" s="184"/>
      <c r="G4986" s="184"/>
      <c r="H4986" s="184"/>
      <c r="I4986" s="184"/>
      <c r="J4986" s="184"/>
      <c r="K4986" s="184"/>
      <c r="L4986" s="184"/>
      <c r="M4986" s="184"/>
      <c r="N4986" s="184"/>
      <c r="O4986" s="184"/>
    </row>
    <row r="4987" customFormat="false" ht="15" hidden="false" customHeight="true" outlineLevel="0" collapsed="false">
      <c r="A4987" s="184"/>
      <c r="B4987" s="184"/>
      <c r="C4987" s="184"/>
      <c r="D4987" s="184"/>
      <c r="E4987" s="184"/>
      <c r="F4987" s="184"/>
      <c r="G4987" s="184"/>
      <c r="H4987" s="184"/>
      <c r="I4987" s="184"/>
      <c r="J4987" s="184"/>
      <c r="K4987" s="184"/>
      <c r="L4987" s="184"/>
      <c r="M4987" s="184"/>
      <c r="N4987" s="184"/>
      <c r="O4987" s="184"/>
    </row>
    <row r="4988" customFormat="false" ht="15" hidden="false" customHeight="true" outlineLevel="0" collapsed="false">
      <c r="A4988" s="184"/>
      <c r="B4988" s="184"/>
      <c r="C4988" s="184"/>
      <c r="D4988" s="184"/>
      <c r="E4988" s="184"/>
      <c r="F4988" s="184"/>
      <c r="G4988" s="184"/>
      <c r="H4988" s="184"/>
      <c r="I4988" s="184"/>
      <c r="J4988" s="184"/>
      <c r="K4988" s="184"/>
      <c r="L4988" s="184"/>
      <c r="M4988" s="184"/>
      <c r="N4988" s="184"/>
      <c r="O4988" s="184"/>
    </row>
    <row r="4989" customFormat="false" ht="15" hidden="false" customHeight="true" outlineLevel="0" collapsed="false">
      <c r="A4989" s="184"/>
      <c r="B4989" s="184"/>
      <c r="C4989" s="184"/>
      <c r="D4989" s="184"/>
      <c r="E4989" s="184"/>
      <c r="F4989" s="184"/>
      <c r="G4989" s="184"/>
      <c r="H4989" s="184"/>
      <c r="I4989" s="184"/>
      <c r="J4989" s="184"/>
      <c r="K4989" s="184"/>
      <c r="L4989" s="184"/>
      <c r="M4989" s="184"/>
      <c r="N4989" s="184"/>
      <c r="O4989" s="184"/>
    </row>
    <row r="4990" customFormat="false" ht="15" hidden="false" customHeight="true" outlineLevel="0" collapsed="false">
      <c r="A4990" s="184"/>
      <c r="B4990" s="184"/>
      <c r="C4990" s="184"/>
      <c r="D4990" s="184"/>
      <c r="E4990" s="184"/>
      <c r="F4990" s="184"/>
      <c r="G4990" s="184"/>
      <c r="H4990" s="184"/>
      <c r="I4990" s="184"/>
      <c r="J4990" s="184"/>
      <c r="K4990" s="184"/>
      <c r="L4990" s="184"/>
      <c r="M4990" s="184"/>
      <c r="N4990" s="184"/>
      <c r="O4990" s="184"/>
    </row>
    <row r="4991" customFormat="false" ht="15" hidden="false" customHeight="true" outlineLevel="0" collapsed="false">
      <c r="A4991" s="184"/>
      <c r="B4991" s="184"/>
      <c r="C4991" s="184"/>
      <c r="D4991" s="184"/>
      <c r="E4991" s="184"/>
      <c r="F4991" s="184"/>
      <c r="G4991" s="184"/>
      <c r="H4991" s="184"/>
      <c r="I4991" s="184"/>
      <c r="J4991" s="184"/>
      <c r="K4991" s="184"/>
      <c r="L4991" s="184"/>
      <c r="M4991" s="184"/>
      <c r="N4991" s="184"/>
      <c r="O4991" s="184"/>
    </row>
    <row r="4992" customFormat="false" ht="15" hidden="false" customHeight="true" outlineLevel="0" collapsed="false">
      <c r="A4992" s="184"/>
      <c r="B4992" s="184"/>
      <c r="C4992" s="184"/>
      <c r="D4992" s="184"/>
      <c r="E4992" s="184"/>
      <c r="F4992" s="184"/>
      <c r="G4992" s="184"/>
      <c r="H4992" s="184"/>
      <c r="I4992" s="184"/>
      <c r="J4992" s="184"/>
      <c r="K4992" s="184"/>
      <c r="L4992" s="184"/>
      <c r="M4992" s="184"/>
      <c r="N4992" s="184"/>
      <c r="O4992" s="184"/>
    </row>
    <row r="4993" customFormat="false" ht="15" hidden="false" customHeight="true" outlineLevel="0" collapsed="false">
      <c r="A4993" s="184"/>
      <c r="B4993" s="184"/>
      <c r="C4993" s="184"/>
      <c r="D4993" s="184"/>
      <c r="E4993" s="184"/>
      <c r="F4993" s="184"/>
      <c r="G4993" s="184"/>
      <c r="H4993" s="184"/>
      <c r="I4993" s="184"/>
      <c r="J4993" s="184"/>
      <c r="K4993" s="184"/>
      <c r="L4993" s="184"/>
      <c r="M4993" s="184"/>
      <c r="N4993" s="184"/>
      <c r="O4993" s="184"/>
    </row>
    <row r="4994" customFormat="false" ht="15" hidden="false" customHeight="true" outlineLevel="0" collapsed="false">
      <c r="A4994" s="184"/>
      <c r="B4994" s="184"/>
      <c r="C4994" s="184"/>
      <c r="D4994" s="184"/>
      <c r="E4994" s="184"/>
      <c r="F4994" s="184"/>
      <c r="G4994" s="184"/>
      <c r="H4994" s="184"/>
      <c r="I4994" s="184"/>
      <c r="J4994" s="184"/>
      <c r="K4994" s="184"/>
      <c r="L4994" s="184"/>
      <c r="M4994" s="184"/>
      <c r="N4994" s="184"/>
      <c r="O4994" s="184"/>
    </row>
    <row r="4995" customFormat="false" ht="15" hidden="false" customHeight="true" outlineLevel="0" collapsed="false">
      <c r="A4995" s="184"/>
      <c r="B4995" s="184"/>
      <c r="C4995" s="184"/>
      <c r="D4995" s="184"/>
      <c r="E4995" s="184"/>
      <c r="F4995" s="184"/>
      <c r="G4995" s="184"/>
      <c r="H4995" s="184"/>
      <c r="I4995" s="184"/>
      <c r="J4995" s="184"/>
      <c r="K4995" s="184"/>
      <c r="L4995" s="184"/>
      <c r="M4995" s="184"/>
      <c r="N4995" s="184"/>
      <c r="O4995" s="184"/>
    </row>
    <row r="4996" customFormat="false" ht="15" hidden="false" customHeight="true" outlineLevel="0" collapsed="false">
      <c r="A4996" s="184"/>
      <c r="B4996" s="184"/>
      <c r="C4996" s="184"/>
      <c r="D4996" s="184"/>
      <c r="E4996" s="184"/>
      <c r="F4996" s="184"/>
      <c r="G4996" s="184"/>
      <c r="H4996" s="184"/>
      <c r="I4996" s="184"/>
      <c r="J4996" s="184"/>
      <c r="K4996" s="184"/>
      <c r="L4996" s="184"/>
      <c r="M4996" s="184"/>
      <c r="N4996" s="184"/>
      <c r="O4996" s="184"/>
    </row>
    <row r="4997" customFormat="false" ht="15" hidden="false" customHeight="true" outlineLevel="0" collapsed="false">
      <c r="A4997" s="184"/>
      <c r="B4997" s="184"/>
      <c r="C4997" s="184"/>
      <c r="D4997" s="184"/>
      <c r="E4997" s="184"/>
      <c r="F4997" s="184"/>
      <c r="G4997" s="184"/>
      <c r="H4997" s="184"/>
      <c r="I4997" s="184"/>
      <c r="J4997" s="184"/>
      <c r="K4997" s="184"/>
      <c r="L4997" s="184"/>
      <c r="M4997" s="184"/>
      <c r="N4997" s="184"/>
      <c r="O4997" s="184"/>
    </row>
    <row r="4998" customFormat="false" ht="15" hidden="false" customHeight="true" outlineLevel="0" collapsed="false">
      <c r="A4998" s="184"/>
      <c r="B4998" s="184"/>
      <c r="C4998" s="184"/>
      <c r="D4998" s="184"/>
      <c r="E4998" s="184"/>
      <c r="F4998" s="184"/>
      <c r="G4998" s="184"/>
      <c r="H4998" s="184"/>
      <c r="I4998" s="184"/>
      <c r="J4998" s="184"/>
      <c r="K4998" s="184"/>
      <c r="L4998" s="184"/>
      <c r="M4998" s="184"/>
      <c r="N4998" s="184"/>
      <c r="O4998" s="184"/>
    </row>
    <row r="4999" customFormat="false" ht="15" hidden="false" customHeight="true" outlineLevel="0" collapsed="false">
      <c r="A4999" s="184"/>
      <c r="B4999" s="184"/>
      <c r="C4999" s="184"/>
      <c r="D4999" s="184"/>
      <c r="E4999" s="184"/>
      <c r="F4999" s="184"/>
      <c r="G4999" s="184"/>
      <c r="H4999" s="184"/>
      <c r="I4999" s="184"/>
      <c r="J4999" s="184"/>
      <c r="K4999" s="184"/>
      <c r="L4999" s="184"/>
      <c r="M4999" s="184"/>
      <c r="N4999" s="184"/>
      <c r="O4999" s="184"/>
    </row>
    <row r="5000" customFormat="false" ht="15" hidden="false" customHeight="true" outlineLevel="0" collapsed="false">
      <c r="A5000" s="184"/>
      <c r="B5000" s="184"/>
      <c r="C5000" s="184"/>
      <c r="D5000" s="184"/>
      <c r="E5000" s="184"/>
      <c r="F5000" s="184"/>
      <c r="G5000" s="184"/>
      <c r="H5000" s="184"/>
      <c r="I5000" s="184"/>
      <c r="J5000" s="184"/>
      <c r="K5000" s="184"/>
      <c r="L5000" s="184"/>
      <c r="M5000" s="184"/>
      <c r="N5000" s="184"/>
      <c r="O5000" s="184"/>
    </row>
    <row r="5001" customFormat="false" ht="15" hidden="false" customHeight="true" outlineLevel="0" collapsed="false">
      <c r="A5001" s="184"/>
      <c r="B5001" s="184"/>
      <c r="C5001" s="184"/>
      <c r="D5001" s="184"/>
      <c r="E5001" s="184"/>
      <c r="F5001" s="184"/>
      <c r="G5001" s="184"/>
      <c r="H5001" s="184"/>
      <c r="I5001" s="184"/>
      <c r="J5001" s="184"/>
      <c r="K5001" s="184"/>
      <c r="L5001" s="184"/>
      <c r="M5001" s="184"/>
      <c r="N5001" s="184"/>
      <c r="O5001" s="184"/>
    </row>
    <row r="5002" customFormat="false" ht="15" hidden="false" customHeight="true" outlineLevel="0" collapsed="false">
      <c r="A5002" s="184"/>
      <c r="B5002" s="184"/>
      <c r="C5002" s="184"/>
      <c r="D5002" s="184"/>
      <c r="E5002" s="184"/>
      <c r="F5002" s="184"/>
      <c r="G5002" s="184"/>
      <c r="H5002" s="184"/>
      <c r="I5002" s="184"/>
      <c r="J5002" s="184"/>
      <c r="K5002" s="184"/>
      <c r="L5002" s="184"/>
      <c r="M5002" s="184"/>
      <c r="N5002" s="184"/>
      <c r="O5002" s="184"/>
    </row>
    <row r="5003" customFormat="false" ht="15" hidden="false" customHeight="true" outlineLevel="0" collapsed="false">
      <c r="A5003" s="184"/>
      <c r="B5003" s="184"/>
      <c r="C5003" s="184"/>
      <c r="D5003" s="184"/>
      <c r="E5003" s="184"/>
      <c r="F5003" s="184"/>
      <c r="G5003" s="184"/>
      <c r="H5003" s="184"/>
      <c r="I5003" s="184"/>
      <c r="J5003" s="184"/>
      <c r="K5003" s="184"/>
      <c r="L5003" s="184"/>
      <c r="M5003" s="184"/>
      <c r="N5003" s="184"/>
      <c r="O5003" s="184"/>
    </row>
    <row r="5004" customFormat="false" ht="15" hidden="false" customHeight="true" outlineLevel="0" collapsed="false">
      <c r="A5004" s="184"/>
      <c r="B5004" s="184"/>
      <c r="C5004" s="184"/>
      <c r="D5004" s="184"/>
      <c r="E5004" s="184"/>
      <c r="F5004" s="184"/>
      <c r="G5004" s="184"/>
      <c r="H5004" s="184"/>
      <c r="I5004" s="184"/>
      <c r="J5004" s="184"/>
      <c r="K5004" s="184"/>
      <c r="L5004" s="184"/>
      <c r="M5004" s="184"/>
      <c r="N5004" s="184"/>
      <c r="O5004" s="184"/>
    </row>
    <row r="5005" customFormat="false" ht="15" hidden="false" customHeight="true" outlineLevel="0" collapsed="false">
      <c r="A5005" s="184"/>
      <c r="B5005" s="184"/>
      <c r="C5005" s="184"/>
      <c r="D5005" s="184"/>
      <c r="E5005" s="184"/>
      <c r="F5005" s="184"/>
      <c r="G5005" s="184"/>
      <c r="H5005" s="184"/>
      <c r="I5005" s="184"/>
      <c r="J5005" s="184"/>
      <c r="K5005" s="184"/>
      <c r="L5005" s="184"/>
      <c r="M5005" s="184"/>
      <c r="N5005" s="184"/>
      <c r="O5005" s="184"/>
    </row>
    <row r="5006" customFormat="false" ht="15" hidden="false" customHeight="true" outlineLevel="0" collapsed="false">
      <c r="A5006" s="184"/>
      <c r="B5006" s="184"/>
      <c r="C5006" s="184"/>
      <c r="D5006" s="184"/>
      <c r="E5006" s="184"/>
      <c r="F5006" s="184"/>
      <c r="G5006" s="184"/>
      <c r="H5006" s="184"/>
      <c r="I5006" s="184"/>
      <c r="J5006" s="184"/>
      <c r="K5006" s="184"/>
      <c r="L5006" s="184"/>
      <c r="M5006" s="184"/>
      <c r="N5006" s="184"/>
      <c r="O5006" s="184"/>
    </row>
    <row r="5007" customFormat="false" ht="15" hidden="false" customHeight="true" outlineLevel="0" collapsed="false">
      <c r="A5007" s="184"/>
      <c r="B5007" s="184"/>
      <c r="C5007" s="184"/>
      <c r="D5007" s="184"/>
      <c r="E5007" s="184"/>
      <c r="F5007" s="184"/>
      <c r="G5007" s="184"/>
      <c r="H5007" s="184"/>
      <c r="I5007" s="184"/>
      <c r="J5007" s="184"/>
      <c r="K5007" s="184"/>
      <c r="L5007" s="184"/>
      <c r="M5007" s="184"/>
      <c r="N5007" s="184"/>
      <c r="O5007" s="184"/>
    </row>
    <row r="5008" customFormat="false" ht="15" hidden="false" customHeight="true" outlineLevel="0" collapsed="false">
      <c r="A5008" s="184"/>
      <c r="B5008" s="184"/>
      <c r="C5008" s="184"/>
      <c r="D5008" s="184"/>
      <c r="E5008" s="184"/>
      <c r="F5008" s="184"/>
      <c r="G5008" s="184"/>
      <c r="H5008" s="184"/>
      <c r="I5008" s="184"/>
      <c r="J5008" s="184"/>
      <c r="K5008" s="184"/>
      <c r="L5008" s="184"/>
      <c r="M5008" s="184"/>
      <c r="N5008" s="184"/>
      <c r="O5008" s="184"/>
    </row>
    <row r="5009" customFormat="false" ht="15" hidden="false" customHeight="true" outlineLevel="0" collapsed="false">
      <c r="A5009" s="184"/>
      <c r="B5009" s="184"/>
      <c r="C5009" s="184"/>
      <c r="D5009" s="184"/>
      <c r="E5009" s="184"/>
      <c r="F5009" s="184"/>
      <c r="G5009" s="184"/>
      <c r="H5009" s="184"/>
      <c r="I5009" s="184"/>
      <c r="J5009" s="184"/>
      <c r="K5009" s="184"/>
      <c r="L5009" s="184"/>
      <c r="M5009" s="184"/>
      <c r="N5009" s="184"/>
      <c r="O5009" s="184"/>
    </row>
    <row r="5010" customFormat="false" ht="15" hidden="false" customHeight="true" outlineLevel="0" collapsed="false">
      <c r="A5010" s="184"/>
      <c r="B5010" s="184"/>
      <c r="C5010" s="184"/>
      <c r="D5010" s="184"/>
      <c r="E5010" s="184"/>
      <c r="F5010" s="184"/>
      <c r="G5010" s="184"/>
      <c r="H5010" s="184"/>
      <c r="I5010" s="184"/>
      <c r="J5010" s="184"/>
      <c r="K5010" s="184"/>
      <c r="L5010" s="184"/>
      <c r="M5010" s="184"/>
      <c r="N5010" s="184"/>
      <c r="O5010" s="184"/>
    </row>
    <row r="5011" customFormat="false" ht="15" hidden="false" customHeight="true" outlineLevel="0" collapsed="false">
      <c r="A5011" s="184"/>
      <c r="B5011" s="184"/>
      <c r="C5011" s="184"/>
      <c r="D5011" s="184"/>
      <c r="E5011" s="184"/>
      <c r="F5011" s="184"/>
      <c r="G5011" s="184"/>
      <c r="H5011" s="184"/>
      <c r="I5011" s="184"/>
      <c r="J5011" s="184"/>
      <c r="K5011" s="184"/>
      <c r="L5011" s="184"/>
      <c r="M5011" s="184"/>
      <c r="N5011" s="184"/>
      <c r="O5011" s="184"/>
    </row>
    <row r="5012" customFormat="false" ht="15" hidden="false" customHeight="true" outlineLevel="0" collapsed="false">
      <c r="A5012" s="184"/>
      <c r="B5012" s="184"/>
      <c r="C5012" s="184"/>
      <c r="D5012" s="184"/>
      <c r="E5012" s="184"/>
      <c r="F5012" s="184"/>
      <c r="G5012" s="184"/>
      <c r="H5012" s="184"/>
      <c r="I5012" s="184"/>
      <c r="J5012" s="184"/>
      <c r="K5012" s="184"/>
      <c r="L5012" s="184"/>
      <c r="M5012" s="184"/>
      <c r="N5012" s="184"/>
      <c r="O5012" s="184"/>
    </row>
    <row r="5013" customFormat="false" ht="15" hidden="false" customHeight="true" outlineLevel="0" collapsed="false">
      <c r="A5013" s="184"/>
      <c r="B5013" s="184"/>
      <c r="C5013" s="184"/>
      <c r="D5013" s="184"/>
      <c r="E5013" s="184"/>
      <c r="F5013" s="184"/>
      <c r="G5013" s="184"/>
      <c r="H5013" s="184"/>
      <c r="I5013" s="184"/>
      <c r="J5013" s="184"/>
      <c r="K5013" s="184"/>
      <c r="L5013" s="184"/>
      <c r="M5013" s="184"/>
      <c r="N5013" s="184"/>
      <c r="O5013" s="184"/>
    </row>
    <row r="5014" customFormat="false" ht="15" hidden="false" customHeight="true" outlineLevel="0" collapsed="false">
      <c r="A5014" s="184"/>
      <c r="B5014" s="184"/>
      <c r="C5014" s="184"/>
      <c r="D5014" s="184"/>
      <c r="E5014" s="184"/>
      <c r="F5014" s="184"/>
      <c r="G5014" s="184"/>
      <c r="H5014" s="184"/>
      <c r="I5014" s="184"/>
      <c r="J5014" s="184"/>
      <c r="K5014" s="184"/>
      <c r="L5014" s="184"/>
      <c r="M5014" s="184"/>
      <c r="N5014" s="184"/>
      <c r="O5014" s="184"/>
    </row>
    <row r="5015" customFormat="false" ht="15" hidden="false" customHeight="true" outlineLevel="0" collapsed="false">
      <c r="A5015" s="184"/>
      <c r="B5015" s="184"/>
      <c r="C5015" s="184"/>
      <c r="D5015" s="184"/>
      <c r="E5015" s="184"/>
      <c r="F5015" s="184"/>
      <c r="G5015" s="184"/>
      <c r="H5015" s="184"/>
      <c r="I5015" s="184"/>
      <c r="J5015" s="184"/>
      <c r="K5015" s="184"/>
      <c r="L5015" s="184"/>
      <c r="M5015" s="184"/>
      <c r="N5015" s="184"/>
      <c r="O5015" s="184"/>
    </row>
    <row r="5016" customFormat="false" ht="15" hidden="false" customHeight="true" outlineLevel="0" collapsed="false">
      <c r="A5016" s="184"/>
      <c r="B5016" s="184"/>
      <c r="C5016" s="184"/>
      <c r="D5016" s="184"/>
      <c r="E5016" s="184"/>
      <c r="F5016" s="184"/>
      <c r="G5016" s="184"/>
      <c r="H5016" s="184"/>
      <c r="I5016" s="184"/>
      <c r="J5016" s="184"/>
      <c r="K5016" s="184"/>
      <c r="L5016" s="184"/>
      <c r="M5016" s="184"/>
      <c r="N5016" s="184"/>
      <c r="O5016" s="184"/>
    </row>
    <row r="5017" customFormat="false" ht="15" hidden="false" customHeight="true" outlineLevel="0" collapsed="false">
      <c r="A5017" s="184"/>
      <c r="B5017" s="184"/>
      <c r="C5017" s="184"/>
      <c r="D5017" s="184"/>
      <c r="E5017" s="184"/>
      <c r="F5017" s="184"/>
      <c r="G5017" s="184"/>
      <c r="H5017" s="184"/>
      <c r="I5017" s="184"/>
      <c r="J5017" s="184"/>
      <c r="K5017" s="184"/>
      <c r="L5017" s="184"/>
      <c r="M5017" s="184"/>
      <c r="N5017" s="184"/>
      <c r="O5017" s="184"/>
    </row>
    <row r="5018" customFormat="false" ht="15" hidden="false" customHeight="true" outlineLevel="0" collapsed="false">
      <c r="A5018" s="184"/>
      <c r="B5018" s="184"/>
      <c r="C5018" s="184"/>
      <c r="D5018" s="184"/>
      <c r="E5018" s="184"/>
      <c r="F5018" s="184"/>
      <c r="G5018" s="184"/>
      <c r="H5018" s="184"/>
      <c r="I5018" s="184"/>
      <c r="J5018" s="184"/>
      <c r="K5018" s="184"/>
      <c r="L5018" s="184"/>
      <c r="M5018" s="184"/>
      <c r="N5018" s="184"/>
      <c r="O5018" s="184"/>
    </row>
    <row r="5019" customFormat="false" ht="15" hidden="false" customHeight="true" outlineLevel="0" collapsed="false">
      <c r="A5019" s="184"/>
      <c r="B5019" s="184"/>
      <c r="C5019" s="184"/>
      <c r="D5019" s="184"/>
      <c r="E5019" s="184"/>
      <c r="F5019" s="184"/>
      <c r="G5019" s="184"/>
      <c r="H5019" s="184"/>
      <c r="I5019" s="184"/>
      <c r="J5019" s="184"/>
      <c r="K5019" s="184"/>
      <c r="L5019" s="184"/>
      <c r="M5019" s="184"/>
      <c r="N5019" s="184"/>
      <c r="O5019" s="184"/>
    </row>
    <row r="5020" customFormat="false" ht="15" hidden="false" customHeight="true" outlineLevel="0" collapsed="false">
      <c r="A5020" s="184"/>
      <c r="B5020" s="184"/>
      <c r="C5020" s="184"/>
      <c r="D5020" s="184"/>
      <c r="E5020" s="184"/>
      <c r="F5020" s="184"/>
      <c r="G5020" s="184"/>
      <c r="H5020" s="184"/>
      <c r="I5020" s="184"/>
      <c r="J5020" s="184"/>
      <c r="K5020" s="184"/>
      <c r="L5020" s="184"/>
      <c r="M5020" s="184"/>
      <c r="N5020" s="184"/>
      <c r="O5020" s="184"/>
    </row>
    <row r="5021" customFormat="false" ht="15" hidden="false" customHeight="true" outlineLevel="0" collapsed="false">
      <c r="A5021" s="184"/>
      <c r="B5021" s="184"/>
      <c r="C5021" s="184"/>
      <c r="D5021" s="184"/>
      <c r="E5021" s="184"/>
      <c r="F5021" s="184"/>
      <c r="G5021" s="184"/>
      <c r="H5021" s="184"/>
      <c r="I5021" s="184"/>
      <c r="J5021" s="184"/>
      <c r="K5021" s="184"/>
      <c r="L5021" s="184"/>
      <c r="M5021" s="184"/>
      <c r="N5021" s="184"/>
      <c r="O5021" s="184"/>
    </row>
    <row r="5022" customFormat="false" ht="15" hidden="false" customHeight="true" outlineLevel="0" collapsed="false">
      <c r="A5022" s="184"/>
      <c r="B5022" s="184"/>
      <c r="C5022" s="184"/>
      <c r="D5022" s="184"/>
      <c r="E5022" s="184"/>
      <c r="F5022" s="184"/>
      <c r="G5022" s="184"/>
      <c r="H5022" s="184"/>
      <c r="I5022" s="184"/>
      <c r="J5022" s="184"/>
      <c r="K5022" s="184"/>
      <c r="L5022" s="184"/>
      <c r="M5022" s="184"/>
      <c r="N5022" s="184"/>
      <c r="O5022" s="184"/>
    </row>
    <row r="5023" customFormat="false" ht="15" hidden="false" customHeight="true" outlineLevel="0" collapsed="false">
      <c r="A5023" s="184"/>
      <c r="B5023" s="184"/>
      <c r="C5023" s="184"/>
      <c r="D5023" s="184"/>
      <c r="E5023" s="184"/>
      <c r="F5023" s="184"/>
      <c r="G5023" s="184"/>
      <c r="H5023" s="184"/>
      <c r="I5023" s="184"/>
      <c r="J5023" s="184"/>
      <c r="K5023" s="184"/>
      <c r="L5023" s="184"/>
      <c r="M5023" s="184"/>
      <c r="N5023" s="184"/>
      <c r="O5023" s="184"/>
    </row>
    <row r="5024" customFormat="false" ht="15" hidden="false" customHeight="true" outlineLevel="0" collapsed="false">
      <c r="A5024" s="184"/>
      <c r="B5024" s="184"/>
      <c r="C5024" s="184"/>
      <c r="D5024" s="184"/>
      <c r="E5024" s="184"/>
      <c r="F5024" s="184"/>
      <c r="G5024" s="184"/>
      <c r="H5024" s="184"/>
      <c r="I5024" s="184"/>
      <c r="J5024" s="184"/>
      <c r="K5024" s="184"/>
      <c r="L5024" s="184"/>
      <c r="M5024" s="184"/>
      <c r="N5024" s="184"/>
      <c r="O5024" s="184"/>
    </row>
    <row r="5025" customFormat="false" ht="15" hidden="false" customHeight="true" outlineLevel="0" collapsed="false">
      <c r="A5025" s="184"/>
      <c r="B5025" s="184"/>
      <c r="C5025" s="184"/>
      <c r="D5025" s="184"/>
      <c r="E5025" s="184"/>
      <c r="F5025" s="184"/>
      <c r="G5025" s="184"/>
      <c r="H5025" s="184"/>
      <c r="I5025" s="184"/>
      <c r="J5025" s="184"/>
      <c r="K5025" s="184"/>
      <c r="L5025" s="184"/>
      <c r="M5025" s="184"/>
      <c r="N5025" s="184"/>
      <c r="O5025" s="184"/>
    </row>
    <row r="5026" customFormat="false" ht="15" hidden="false" customHeight="true" outlineLevel="0" collapsed="false">
      <c r="A5026" s="184"/>
      <c r="B5026" s="184"/>
      <c r="C5026" s="184"/>
      <c r="D5026" s="184"/>
      <c r="E5026" s="184"/>
      <c r="F5026" s="184"/>
      <c r="G5026" s="184"/>
      <c r="H5026" s="184"/>
      <c r="I5026" s="184"/>
      <c r="J5026" s="184"/>
      <c r="K5026" s="184"/>
      <c r="L5026" s="184"/>
      <c r="M5026" s="184"/>
      <c r="N5026" s="184"/>
      <c r="O5026" s="184"/>
    </row>
    <row r="5027" customFormat="false" ht="15" hidden="false" customHeight="true" outlineLevel="0" collapsed="false">
      <c r="A5027" s="184"/>
      <c r="B5027" s="184"/>
      <c r="C5027" s="184"/>
      <c r="D5027" s="184"/>
      <c r="E5027" s="184"/>
      <c r="F5027" s="184"/>
      <c r="G5027" s="184"/>
      <c r="H5027" s="184"/>
      <c r="I5027" s="184"/>
      <c r="J5027" s="184"/>
      <c r="K5027" s="184"/>
      <c r="L5027" s="184"/>
      <c r="M5027" s="184"/>
      <c r="N5027" s="184"/>
      <c r="O5027" s="184"/>
    </row>
    <row r="5028" customFormat="false" ht="15" hidden="false" customHeight="true" outlineLevel="0" collapsed="false">
      <c r="A5028" s="184"/>
      <c r="B5028" s="184"/>
      <c r="C5028" s="184"/>
      <c r="D5028" s="184"/>
      <c r="E5028" s="184"/>
      <c r="F5028" s="184"/>
      <c r="G5028" s="184"/>
      <c r="H5028" s="184"/>
      <c r="I5028" s="184"/>
      <c r="J5028" s="184"/>
      <c r="K5028" s="184"/>
      <c r="L5028" s="184"/>
      <c r="M5028" s="184"/>
      <c r="N5028" s="184"/>
      <c r="O5028" s="184"/>
    </row>
    <row r="5029" customFormat="false" ht="15" hidden="false" customHeight="true" outlineLevel="0" collapsed="false">
      <c r="A5029" s="184"/>
      <c r="B5029" s="184"/>
      <c r="C5029" s="184"/>
      <c r="D5029" s="184"/>
      <c r="E5029" s="184"/>
      <c r="F5029" s="184"/>
      <c r="G5029" s="184"/>
      <c r="H5029" s="184"/>
      <c r="I5029" s="184"/>
      <c r="J5029" s="184"/>
      <c r="K5029" s="184"/>
      <c r="L5029" s="184"/>
      <c r="M5029" s="184"/>
      <c r="N5029" s="184"/>
      <c r="O5029" s="184"/>
    </row>
    <row r="5030" customFormat="false" ht="15" hidden="false" customHeight="true" outlineLevel="0" collapsed="false">
      <c r="A5030" s="184"/>
      <c r="B5030" s="184"/>
      <c r="C5030" s="184"/>
      <c r="D5030" s="184"/>
      <c r="E5030" s="184"/>
      <c r="F5030" s="184"/>
      <c r="G5030" s="184"/>
      <c r="H5030" s="184"/>
      <c r="I5030" s="184"/>
      <c r="J5030" s="184"/>
      <c r="K5030" s="184"/>
      <c r="L5030" s="184"/>
      <c r="M5030" s="184"/>
      <c r="N5030" s="184"/>
      <c r="O5030" s="184"/>
    </row>
    <row r="5031" customFormat="false" ht="15" hidden="false" customHeight="true" outlineLevel="0" collapsed="false">
      <c r="A5031" s="184"/>
      <c r="B5031" s="184"/>
      <c r="C5031" s="184"/>
      <c r="D5031" s="184"/>
      <c r="E5031" s="184"/>
      <c r="F5031" s="184"/>
      <c r="G5031" s="184"/>
      <c r="H5031" s="184"/>
      <c r="I5031" s="184"/>
      <c r="J5031" s="184"/>
      <c r="K5031" s="184"/>
      <c r="L5031" s="184"/>
      <c r="M5031" s="184"/>
      <c r="N5031" s="184"/>
      <c r="O5031" s="184"/>
    </row>
    <row r="5032" customFormat="false" ht="15" hidden="false" customHeight="true" outlineLevel="0" collapsed="false">
      <c r="A5032" s="184"/>
      <c r="B5032" s="184"/>
      <c r="C5032" s="184"/>
      <c r="D5032" s="184"/>
      <c r="E5032" s="184"/>
      <c r="F5032" s="184"/>
      <c r="G5032" s="184"/>
      <c r="H5032" s="184"/>
      <c r="I5032" s="184"/>
      <c r="J5032" s="184"/>
      <c r="K5032" s="184"/>
      <c r="L5032" s="184"/>
      <c r="M5032" s="184"/>
      <c r="N5032" s="184"/>
      <c r="O5032" s="184"/>
    </row>
    <row r="5033" customFormat="false" ht="15" hidden="false" customHeight="true" outlineLevel="0" collapsed="false">
      <c r="A5033" s="184"/>
      <c r="B5033" s="184"/>
      <c r="C5033" s="184"/>
      <c r="D5033" s="184"/>
      <c r="E5033" s="184"/>
      <c r="F5033" s="184"/>
      <c r="G5033" s="184"/>
      <c r="H5033" s="184"/>
      <c r="I5033" s="184"/>
      <c r="J5033" s="184"/>
      <c r="K5033" s="184"/>
      <c r="L5033" s="184"/>
      <c r="M5033" s="184"/>
      <c r="N5033" s="184"/>
      <c r="O5033" s="184"/>
    </row>
    <row r="5034" customFormat="false" ht="15" hidden="false" customHeight="true" outlineLevel="0" collapsed="false">
      <c r="A5034" s="184"/>
      <c r="B5034" s="184"/>
      <c r="C5034" s="184"/>
      <c r="D5034" s="184"/>
      <c r="E5034" s="184"/>
      <c r="F5034" s="184"/>
      <c r="G5034" s="184"/>
      <c r="H5034" s="184"/>
      <c r="I5034" s="184"/>
      <c r="J5034" s="184"/>
      <c r="K5034" s="184"/>
      <c r="L5034" s="184"/>
      <c r="M5034" s="184"/>
      <c r="N5034" s="184"/>
      <c r="O5034" s="184"/>
    </row>
    <row r="5035" customFormat="false" ht="15" hidden="false" customHeight="true" outlineLevel="0" collapsed="false">
      <c r="A5035" s="184"/>
      <c r="B5035" s="184"/>
      <c r="C5035" s="184"/>
      <c r="D5035" s="184"/>
      <c r="E5035" s="184"/>
      <c r="F5035" s="184"/>
      <c r="G5035" s="184"/>
      <c r="H5035" s="184"/>
      <c r="I5035" s="184"/>
      <c r="J5035" s="184"/>
      <c r="K5035" s="184"/>
      <c r="L5035" s="184"/>
      <c r="M5035" s="184"/>
      <c r="N5035" s="184"/>
      <c r="O5035" s="184"/>
    </row>
    <row r="5036" customFormat="false" ht="15" hidden="false" customHeight="true" outlineLevel="0" collapsed="false">
      <c r="A5036" s="184"/>
      <c r="B5036" s="184"/>
      <c r="C5036" s="184"/>
      <c r="D5036" s="184"/>
      <c r="E5036" s="184"/>
      <c r="F5036" s="184"/>
      <c r="G5036" s="184"/>
      <c r="H5036" s="184"/>
      <c r="I5036" s="184"/>
      <c r="J5036" s="184"/>
      <c r="K5036" s="184"/>
      <c r="L5036" s="184"/>
      <c r="M5036" s="184"/>
      <c r="N5036" s="184"/>
      <c r="O5036" s="184"/>
    </row>
    <row r="5037" customFormat="false" ht="15" hidden="false" customHeight="true" outlineLevel="0" collapsed="false">
      <c r="A5037" s="184"/>
      <c r="B5037" s="184"/>
      <c r="C5037" s="184"/>
      <c r="D5037" s="184"/>
      <c r="E5037" s="184"/>
      <c r="F5037" s="184"/>
      <c r="G5037" s="184"/>
      <c r="H5037" s="184"/>
      <c r="I5037" s="184"/>
      <c r="J5037" s="184"/>
      <c r="K5037" s="184"/>
      <c r="L5037" s="184"/>
      <c r="M5037" s="184"/>
      <c r="N5037" s="184"/>
      <c r="O5037" s="184"/>
    </row>
    <row r="5038" customFormat="false" ht="15" hidden="false" customHeight="true" outlineLevel="0" collapsed="false">
      <c r="A5038" s="184"/>
      <c r="B5038" s="184"/>
      <c r="C5038" s="184"/>
      <c r="D5038" s="184"/>
      <c r="E5038" s="184"/>
      <c r="F5038" s="184"/>
      <c r="G5038" s="184"/>
      <c r="H5038" s="184"/>
      <c r="I5038" s="184"/>
      <c r="J5038" s="184"/>
      <c r="K5038" s="184"/>
      <c r="L5038" s="184"/>
      <c r="M5038" s="184"/>
      <c r="N5038" s="184"/>
      <c r="O5038" s="184"/>
    </row>
    <row r="5039" customFormat="false" ht="15" hidden="false" customHeight="true" outlineLevel="0" collapsed="false">
      <c r="A5039" s="184"/>
      <c r="B5039" s="184"/>
      <c r="C5039" s="184"/>
      <c r="D5039" s="184"/>
      <c r="E5039" s="184"/>
      <c r="F5039" s="184"/>
      <c r="G5039" s="184"/>
      <c r="H5039" s="184"/>
      <c r="I5039" s="184"/>
      <c r="J5039" s="184"/>
      <c r="K5039" s="184"/>
      <c r="L5039" s="184"/>
      <c r="M5039" s="184"/>
      <c r="N5039" s="184"/>
      <c r="O5039" s="184"/>
    </row>
    <row r="5040" customFormat="false" ht="15" hidden="false" customHeight="true" outlineLevel="0" collapsed="false">
      <c r="A5040" s="184"/>
      <c r="B5040" s="184"/>
      <c r="C5040" s="184"/>
      <c r="D5040" s="184"/>
      <c r="E5040" s="184"/>
      <c r="F5040" s="184"/>
      <c r="G5040" s="184"/>
      <c r="H5040" s="184"/>
      <c r="I5040" s="184"/>
      <c r="J5040" s="184"/>
      <c r="K5040" s="184"/>
      <c r="L5040" s="184"/>
      <c r="M5040" s="184"/>
      <c r="N5040" s="184"/>
      <c r="O5040" s="184"/>
    </row>
    <row r="5041" customFormat="false" ht="15" hidden="false" customHeight="true" outlineLevel="0" collapsed="false">
      <c r="A5041" s="184"/>
      <c r="B5041" s="184"/>
      <c r="C5041" s="184"/>
      <c r="D5041" s="184"/>
      <c r="E5041" s="184"/>
      <c r="F5041" s="184"/>
      <c r="G5041" s="184"/>
      <c r="H5041" s="184"/>
      <c r="I5041" s="184"/>
      <c r="J5041" s="184"/>
      <c r="K5041" s="184"/>
      <c r="L5041" s="184"/>
      <c r="M5041" s="184"/>
      <c r="N5041" s="184"/>
      <c r="O5041" s="184"/>
    </row>
    <row r="5042" customFormat="false" ht="15" hidden="false" customHeight="true" outlineLevel="0" collapsed="false">
      <c r="A5042" s="184"/>
      <c r="B5042" s="184"/>
      <c r="C5042" s="184"/>
      <c r="D5042" s="184"/>
      <c r="E5042" s="184"/>
      <c r="F5042" s="184"/>
      <c r="G5042" s="184"/>
      <c r="H5042" s="184"/>
      <c r="I5042" s="184"/>
      <c r="J5042" s="184"/>
      <c r="K5042" s="184"/>
      <c r="L5042" s="184"/>
      <c r="M5042" s="184"/>
      <c r="N5042" s="184"/>
      <c r="O5042" s="184"/>
    </row>
    <row r="5043" customFormat="false" ht="15" hidden="false" customHeight="true" outlineLevel="0" collapsed="false">
      <c r="A5043" s="184"/>
      <c r="B5043" s="184"/>
      <c r="C5043" s="184"/>
      <c r="D5043" s="184"/>
      <c r="E5043" s="184"/>
      <c r="F5043" s="184"/>
      <c r="G5043" s="184"/>
      <c r="H5043" s="184"/>
      <c r="I5043" s="184"/>
      <c r="J5043" s="184"/>
      <c r="K5043" s="184"/>
      <c r="L5043" s="184"/>
      <c r="M5043" s="184"/>
      <c r="N5043" s="184"/>
      <c r="O5043" s="184"/>
    </row>
    <row r="5044" customFormat="false" ht="15" hidden="false" customHeight="true" outlineLevel="0" collapsed="false">
      <c r="A5044" s="184"/>
      <c r="B5044" s="184"/>
      <c r="C5044" s="184"/>
      <c r="D5044" s="184"/>
      <c r="E5044" s="184"/>
      <c r="F5044" s="184"/>
      <c r="G5044" s="184"/>
      <c r="H5044" s="184"/>
      <c r="I5044" s="184"/>
      <c r="J5044" s="184"/>
      <c r="K5044" s="184"/>
      <c r="L5044" s="184"/>
      <c r="M5044" s="184"/>
      <c r="N5044" s="184"/>
      <c r="O5044" s="184"/>
    </row>
    <row r="5045" customFormat="false" ht="15" hidden="false" customHeight="true" outlineLevel="0" collapsed="false">
      <c r="A5045" s="184"/>
      <c r="B5045" s="184"/>
      <c r="C5045" s="184"/>
      <c r="D5045" s="184"/>
      <c r="E5045" s="184"/>
      <c r="F5045" s="184"/>
      <c r="G5045" s="184"/>
      <c r="H5045" s="184"/>
      <c r="I5045" s="184"/>
      <c r="J5045" s="184"/>
      <c r="K5045" s="184"/>
      <c r="L5045" s="184"/>
      <c r="M5045" s="184"/>
      <c r="N5045" s="184"/>
      <c r="O5045" s="184"/>
    </row>
    <row r="5046" customFormat="false" ht="15" hidden="false" customHeight="true" outlineLevel="0" collapsed="false">
      <c r="A5046" s="184"/>
      <c r="B5046" s="184"/>
      <c r="C5046" s="184"/>
      <c r="D5046" s="184"/>
      <c r="E5046" s="184"/>
      <c r="F5046" s="184"/>
      <c r="G5046" s="184"/>
      <c r="H5046" s="184"/>
      <c r="I5046" s="184"/>
      <c r="J5046" s="184"/>
      <c r="K5046" s="184"/>
      <c r="L5046" s="184"/>
      <c r="M5046" s="184"/>
      <c r="N5046" s="184"/>
      <c r="O5046" s="184"/>
    </row>
    <row r="5047" customFormat="false" ht="15" hidden="false" customHeight="true" outlineLevel="0" collapsed="false">
      <c r="A5047" s="184"/>
      <c r="B5047" s="184"/>
      <c r="C5047" s="184"/>
      <c r="D5047" s="184"/>
      <c r="E5047" s="184"/>
      <c r="F5047" s="184"/>
      <c r="G5047" s="184"/>
      <c r="H5047" s="184"/>
      <c r="I5047" s="184"/>
      <c r="J5047" s="184"/>
      <c r="K5047" s="184"/>
      <c r="L5047" s="184"/>
      <c r="M5047" s="184"/>
      <c r="N5047" s="184"/>
      <c r="O5047" s="184"/>
    </row>
    <row r="5048" customFormat="false" ht="15" hidden="false" customHeight="true" outlineLevel="0" collapsed="false">
      <c r="A5048" s="184"/>
      <c r="B5048" s="184"/>
      <c r="C5048" s="184"/>
      <c r="D5048" s="184"/>
      <c r="E5048" s="184"/>
      <c r="F5048" s="184"/>
      <c r="G5048" s="184"/>
      <c r="H5048" s="184"/>
      <c r="I5048" s="184"/>
      <c r="J5048" s="184"/>
      <c r="K5048" s="184"/>
      <c r="L5048" s="184"/>
      <c r="M5048" s="184"/>
      <c r="N5048" s="184"/>
      <c r="O5048" s="184"/>
    </row>
    <row r="5049" customFormat="false" ht="15" hidden="false" customHeight="true" outlineLevel="0" collapsed="false">
      <c r="A5049" s="184"/>
      <c r="B5049" s="184"/>
      <c r="C5049" s="184"/>
      <c r="D5049" s="184"/>
      <c r="E5049" s="184"/>
      <c r="F5049" s="184"/>
      <c r="G5049" s="184"/>
      <c r="H5049" s="184"/>
      <c r="I5049" s="184"/>
      <c r="J5049" s="184"/>
      <c r="K5049" s="184"/>
      <c r="L5049" s="184"/>
      <c r="M5049" s="184"/>
      <c r="N5049" s="184"/>
      <c r="O5049" s="184"/>
    </row>
    <row r="5050" customFormat="false" ht="15" hidden="false" customHeight="true" outlineLevel="0" collapsed="false">
      <c r="A5050" s="184"/>
      <c r="B5050" s="184"/>
      <c r="C5050" s="184"/>
      <c r="D5050" s="184"/>
      <c r="E5050" s="184"/>
      <c r="F5050" s="184"/>
      <c r="G5050" s="184"/>
      <c r="H5050" s="184"/>
      <c r="I5050" s="184"/>
      <c r="J5050" s="184"/>
      <c r="K5050" s="184"/>
      <c r="L5050" s="184"/>
      <c r="M5050" s="184"/>
      <c r="N5050" s="184"/>
      <c r="O5050" s="184"/>
    </row>
    <row r="5051" customFormat="false" ht="15" hidden="false" customHeight="true" outlineLevel="0" collapsed="false">
      <c r="A5051" s="184"/>
      <c r="B5051" s="184"/>
      <c r="C5051" s="184"/>
      <c r="D5051" s="184"/>
      <c r="E5051" s="184"/>
      <c r="F5051" s="184"/>
      <c r="G5051" s="184"/>
      <c r="H5051" s="184"/>
      <c r="I5051" s="184"/>
      <c r="J5051" s="184"/>
      <c r="K5051" s="184"/>
      <c r="L5051" s="184"/>
      <c r="M5051" s="184"/>
      <c r="N5051" s="184"/>
      <c r="O5051" s="184"/>
    </row>
    <row r="5052" customFormat="false" ht="15" hidden="false" customHeight="true" outlineLevel="0" collapsed="false">
      <c r="A5052" s="184"/>
      <c r="B5052" s="184"/>
      <c r="C5052" s="184"/>
      <c r="D5052" s="184"/>
      <c r="E5052" s="184"/>
      <c r="F5052" s="184"/>
      <c r="G5052" s="184"/>
      <c r="H5052" s="184"/>
      <c r="I5052" s="184"/>
      <c r="J5052" s="184"/>
      <c r="K5052" s="184"/>
      <c r="L5052" s="184"/>
      <c r="M5052" s="184"/>
      <c r="N5052" s="184"/>
      <c r="O5052" s="184"/>
    </row>
    <row r="5053" customFormat="false" ht="15" hidden="false" customHeight="true" outlineLevel="0" collapsed="false">
      <c r="A5053" s="184"/>
      <c r="B5053" s="184"/>
      <c r="C5053" s="184"/>
      <c r="D5053" s="184"/>
      <c r="E5053" s="184"/>
      <c r="F5053" s="184"/>
      <c r="G5053" s="184"/>
      <c r="H5053" s="184"/>
      <c r="I5053" s="184"/>
      <c r="J5053" s="184"/>
      <c r="K5053" s="184"/>
      <c r="L5053" s="184"/>
      <c r="M5053" s="184"/>
      <c r="N5053" s="184"/>
      <c r="O5053" s="184"/>
    </row>
    <row r="5054" customFormat="false" ht="15" hidden="false" customHeight="true" outlineLevel="0" collapsed="false">
      <c r="A5054" s="184"/>
      <c r="B5054" s="184"/>
      <c r="C5054" s="184"/>
      <c r="D5054" s="184"/>
      <c r="E5054" s="184"/>
      <c r="F5054" s="184"/>
      <c r="G5054" s="184"/>
      <c r="H5054" s="184"/>
      <c r="I5054" s="184"/>
      <c r="J5054" s="184"/>
      <c r="K5054" s="184"/>
      <c r="L5054" s="184"/>
      <c r="M5054" s="184"/>
      <c r="N5054" s="184"/>
      <c r="O5054" s="184"/>
    </row>
    <row r="5055" customFormat="false" ht="15" hidden="false" customHeight="true" outlineLevel="0" collapsed="false">
      <c r="A5055" s="184"/>
      <c r="B5055" s="184"/>
      <c r="C5055" s="184"/>
      <c r="D5055" s="184"/>
      <c r="E5055" s="184"/>
      <c r="F5055" s="184"/>
      <c r="G5055" s="184"/>
      <c r="H5055" s="184"/>
      <c r="I5055" s="184"/>
      <c r="J5055" s="184"/>
      <c r="K5055" s="184"/>
      <c r="L5055" s="184"/>
      <c r="M5055" s="184"/>
      <c r="N5055" s="184"/>
      <c r="O5055" s="184"/>
    </row>
    <row r="5056" customFormat="false" ht="15" hidden="false" customHeight="true" outlineLevel="0" collapsed="false">
      <c r="A5056" s="184"/>
      <c r="B5056" s="184"/>
      <c r="C5056" s="184"/>
      <c r="D5056" s="184"/>
      <c r="E5056" s="184"/>
      <c r="F5056" s="184"/>
      <c r="G5056" s="184"/>
      <c r="H5056" s="184"/>
      <c r="I5056" s="184"/>
      <c r="J5056" s="184"/>
      <c r="K5056" s="184"/>
      <c r="L5056" s="184"/>
      <c r="M5056" s="184"/>
      <c r="N5056" s="184"/>
      <c r="O5056" s="184"/>
    </row>
    <row r="5057" customFormat="false" ht="15" hidden="false" customHeight="true" outlineLevel="0" collapsed="false">
      <c r="A5057" s="184"/>
      <c r="B5057" s="184"/>
      <c r="C5057" s="184"/>
      <c r="D5057" s="184"/>
      <c r="E5057" s="184"/>
      <c r="F5057" s="184"/>
      <c r="G5057" s="184"/>
      <c r="H5057" s="184"/>
      <c r="I5057" s="184"/>
      <c r="J5057" s="184"/>
      <c r="K5057" s="184"/>
      <c r="L5057" s="184"/>
      <c r="M5057" s="184"/>
      <c r="N5057" s="184"/>
      <c r="O5057" s="184"/>
    </row>
    <row r="5058" customFormat="false" ht="15" hidden="false" customHeight="true" outlineLevel="0" collapsed="false">
      <c r="A5058" s="184"/>
      <c r="B5058" s="184"/>
      <c r="C5058" s="184"/>
      <c r="D5058" s="184"/>
      <c r="E5058" s="184"/>
      <c r="F5058" s="184"/>
      <c r="G5058" s="184"/>
      <c r="H5058" s="184"/>
      <c r="I5058" s="184"/>
      <c r="J5058" s="184"/>
      <c r="K5058" s="184"/>
      <c r="L5058" s="184"/>
      <c r="M5058" s="184"/>
      <c r="N5058" s="184"/>
      <c r="O5058" s="184"/>
    </row>
    <row r="5059" customFormat="false" ht="15" hidden="false" customHeight="true" outlineLevel="0" collapsed="false">
      <c r="A5059" s="184"/>
      <c r="B5059" s="184"/>
      <c r="C5059" s="184"/>
      <c r="D5059" s="184"/>
      <c r="E5059" s="184"/>
      <c r="F5059" s="184"/>
      <c r="G5059" s="184"/>
      <c r="H5059" s="184"/>
      <c r="I5059" s="184"/>
      <c r="J5059" s="184"/>
      <c r="K5059" s="184"/>
      <c r="L5059" s="184"/>
      <c r="M5059" s="184"/>
      <c r="N5059" s="184"/>
      <c r="O5059" s="184"/>
    </row>
    <row r="5060" customFormat="false" ht="15" hidden="false" customHeight="true" outlineLevel="0" collapsed="false">
      <c r="A5060" s="184"/>
      <c r="B5060" s="184"/>
      <c r="C5060" s="184"/>
      <c r="D5060" s="184"/>
      <c r="E5060" s="184"/>
      <c r="F5060" s="184"/>
      <c r="G5060" s="184"/>
      <c r="H5060" s="184"/>
      <c r="I5060" s="184"/>
      <c r="J5060" s="184"/>
      <c r="K5060" s="184"/>
      <c r="L5060" s="184"/>
      <c r="M5060" s="184"/>
      <c r="N5060" s="184"/>
      <c r="O5060" s="184"/>
    </row>
    <row r="5061" customFormat="false" ht="15" hidden="false" customHeight="true" outlineLevel="0" collapsed="false">
      <c r="A5061" s="184"/>
      <c r="B5061" s="184"/>
      <c r="C5061" s="184"/>
      <c r="D5061" s="184"/>
      <c r="E5061" s="184"/>
      <c r="F5061" s="184"/>
      <c r="G5061" s="184"/>
      <c r="H5061" s="184"/>
      <c r="I5061" s="184"/>
      <c r="J5061" s="184"/>
      <c r="K5061" s="184"/>
      <c r="L5061" s="184"/>
      <c r="M5061" s="184"/>
      <c r="N5061" s="184"/>
      <c r="O5061" s="184"/>
    </row>
    <row r="5062" customFormat="false" ht="15" hidden="false" customHeight="true" outlineLevel="0" collapsed="false">
      <c r="A5062" s="184"/>
      <c r="B5062" s="184"/>
      <c r="C5062" s="184"/>
      <c r="D5062" s="184"/>
      <c r="E5062" s="184"/>
      <c r="F5062" s="184"/>
      <c r="G5062" s="184"/>
      <c r="H5062" s="184"/>
      <c r="I5062" s="184"/>
      <c r="J5062" s="184"/>
      <c r="K5062" s="184"/>
      <c r="L5062" s="184"/>
      <c r="M5062" s="184"/>
      <c r="N5062" s="184"/>
      <c r="O5062" s="184"/>
    </row>
    <row r="5063" customFormat="false" ht="15" hidden="false" customHeight="true" outlineLevel="0" collapsed="false">
      <c r="A5063" s="184"/>
      <c r="B5063" s="184"/>
      <c r="C5063" s="184"/>
      <c r="D5063" s="184"/>
      <c r="E5063" s="184"/>
      <c r="F5063" s="184"/>
      <c r="G5063" s="184"/>
      <c r="H5063" s="184"/>
      <c r="I5063" s="184"/>
      <c r="J5063" s="184"/>
      <c r="K5063" s="184"/>
      <c r="L5063" s="184"/>
      <c r="M5063" s="184"/>
      <c r="N5063" s="184"/>
      <c r="O5063" s="184"/>
    </row>
    <row r="5064" customFormat="false" ht="15" hidden="false" customHeight="true" outlineLevel="0" collapsed="false">
      <c r="A5064" s="184"/>
      <c r="B5064" s="184"/>
      <c r="C5064" s="184"/>
      <c r="D5064" s="184"/>
      <c r="E5064" s="184"/>
      <c r="F5064" s="184"/>
      <c r="G5064" s="184"/>
      <c r="H5064" s="184"/>
      <c r="I5064" s="184"/>
      <c r="J5064" s="184"/>
      <c r="K5064" s="184"/>
      <c r="L5064" s="184"/>
      <c r="M5064" s="184"/>
      <c r="N5064" s="184"/>
      <c r="O5064" s="184"/>
    </row>
    <row r="5065" customFormat="false" ht="15" hidden="false" customHeight="true" outlineLevel="0" collapsed="false">
      <c r="A5065" s="184"/>
      <c r="B5065" s="184"/>
      <c r="C5065" s="184"/>
      <c r="D5065" s="184"/>
      <c r="E5065" s="184"/>
      <c r="F5065" s="184"/>
      <c r="G5065" s="184"/>
      <c r="H5065" s="184"/>
      <c r="I5065" s="184"/>
      <c r="J5065" s="184"/>
      <c r="K5065" s="184"/>
      <c r="L5065" s="184"/>
      <c r="M5065" s="184"/>
      <c r="N5065" s="184"/>
      <c r="O5065" s="184"/>
    </row>
    <row r="5066" customFormat="false" ht="15" hidden="false" customHeight="true" outlineLevel="0" collapsed="false">
      <c r="A5066" s="184"/>
      <c r="B5066" s="184"/>
      <c r="C5066" s="184"/>
      <c r="D5066" s="184"/>
      <c r="E5066" s="184"/>
      <c r="F5066" s="184"/>
      <c r="G5066" s="184"/>
      <c r="H5066" s="184"/>
      <c r="I5066" s="184"/>
      <c r="J5066" s="184"/>
      <c r="K5066" s="184"/>
      <c r="L5066" s="184"/>
      <c r="M5066" s="184"/>
      <c r="N5066" s="184"/>
      <c r="O5066" s="184"/>
    </row>
    <row r="5067" customFormat="false" ht="15" hidden="false" customHeight="true" outlineLevel="0" collapsed="false">
      <c r="A5067" s="184"/>
      <c r="B5067" s="184"/>
      <c r="C5067" s="184"/>
      <c r="D5067" s="184"/>
      <c r="E5067" s="184"/>
      <c r="F5067" s="184"/>
      <c r="G5067" s="184"/>
      <c r="H5067" s="184"/>
      <c r="I5067" s="184"/>
      <c r="J5067" s="184"/>
      <c r="K5067" s="184"/>
      <c r="L5067" s="184"/>
      <c r="M5067" s="184"/>
      <c r="N5067" s="184"/>
      <c r="O5067" s="184"/>
    </row>
    <row r="5068" customFormat="false" ht="15" hidden="false" customHeight="true" outlineLevel="0" collapsed="false">
      <c r="A5068" s="184"/>
      <c r="B5068" s="184"/>
      <c r="C5068" s="184"/>
      <c r="D5068" s="184"/>
      <c r="E5068" s="184"/>
      <c r="F5068" s="184"/>
      <c r="G5068" s="184"/>
      <c r="H5068" s="184"/>
      <c r="I5068" s="184"/>
      <c r="J5068" s="184"/>
      <c r="K5068" s="184"/>
      <c r="L5068" s="184"/>
      <c r="M5068" s="184"/>
      <c r="N5068" s="184"/>
      <c r="O5068" s="184"/>
    </row>
    <row r="5069" customFormat="false" ht="15" hidden="false" customHeight="true" outlineLevel="0" collapsed="false">
      <c r="A5069" s="184"/>
      <c r="B5069" s="184"/>
      <c r="C5069" s="184"/>
      <c r="D5069" s="184"/>
      <c r="E5069" s="184"/>
      <c r="F5069" s="184"/>
      <c r="G5069" s="184"/>
      <c r="H5069" s="184"/>
      <c r="I5069" s="184"/>
      <c r="J5069" s="184"/>
      <c r="K5069" s="184"/>
      <c r="L5069" s="184"/>
      <c r="M5069" s="184"/>
      <c r="N5069" s="184"/>
      <c r="O5069" s="184"/>
    </row>
    <row r="5070" customFormat="false" ht="15" hidden="false" customHeight="true" outlineLevel="0" collapsed="false">
      <c r="A5070" s="184"/>
      <c r="B5070" s="184"/>
      <c r="C5070" s="184"/>
      <c r="D5070" s="184"/>
      <c r="E5070" s="184"/>
      <c r="F5070" s="184"/>
      <c r="G5070" s="184"/>
      <c r="H5070" s="184"/>
      <c r="I5070" s="184"/>
      <c r="J5070" s="184"/>
      <c r="K5070" s="184"/>
      <c r="L5070" s="184"/>
      <c r="M5070" s="184"/>
      <c r="N5070" s="184"/>
      <c r="O5070" s="184"/>
    </row>
    <row r="5071" customFormat="false" ht="15" hidden="false" customHeight="true" outlineLevel="0" collapsed="false">
      <c r="A5071" s="184"/>
      <c r="B5071" s="184"/>
      <c r="C5071" s="184"/>
      <c r="D5071" s="184"/>
      <c r="E5071" s="184"/>
      <c r="F5071" s="184"/>
      <c r="G5071" s="184"/>
      <c r="H5071" s="184"/>
      <c r="I5071" s="184"/>
      <c r="J5071" s="184"/>
      <c r="K5071" s="184"/>
      <c r="L5071" s="184"/>
      <c r="M5071" s="184"/>
      <c r="N5071" s="184"/>
      <c r="O5071" s="184"/>
    </row>
    <row r="5072" customFormat="false" ht="15" hidden="false" customHeight="true" outlineLevel="0" collapsed="false">
      <c r="A5072" s="184"/>
      <c r="B5072" s="184"/>
      <c r="C5072" s="184"/>
      <c r="D5072" s="184"/>
      <c r="E5072" s="184"/>
      <c r="F5072" s="184"/>
      <c r="G5072" s="184"/>
      <c r="H5072" s="184"/>
      <c r="I5072" s="184"/>
      <c r="J5072" s="184"/>
      <c r="K5072" s="184"/>
      <c r="L5072" s="184"/>
      <c r="M5072" s="184"/>
      <c r="N5072" s="184"/>
      <c r="O5072" s="184"/>
    </row>
    <row r="5073" customFormat="false" ht="15" hidden="false" customHeight="true" outlineLevel="0" collapsed="false">
      <c r="A5073" s="184"/>
      <c r="B5073" s="184"/>
      <c r="C5073" s="184"/>
      <c r="D5073" s="184"/>
      <c r="E5073" s="184"/>
      <c r="F5073" s="184"/>
      <c r="G5073" s="184"/>
      <c r="H5073" s="184"/>
      <c r="I5073" s="184"/>
      <c r="J5073" s="184"/>
      <c r="K5073" s="184"/>
      <c r="L5073" s="184"/>
      <c r="M5073" s="184"/>
      <c r="N5073" s="184"/>
      <c r="O5073" s="184"/>
    </row>
    <row r="5074" customFormat="false" ht="15" hidden="false" customHeight="true" outlineLevel="0" collapsed="false">
      <c r="A5074" s="184"/>
      <c r="B5074" s="184"/>
      <c r="C5074" s="184"/>
      <c r="D5074" s="184"/>
      <c r="E5074" s="184"/>
      <c r="F5074" s="184"/>
      <c r="G5074" s="184"/>
      <c r="H5074" s="184"/>
      <c r="I5074" s="184"/>
      <c r="J5074" s="184"/>
      <c r="K5074" s="184"/>
      <c r="L5074" s="184"/>
      <c r="M5074" s="184"/>
      <c r="N5074" s="184"/>
      <c r="O5074" s="184"/>
    </row>
    <row r="5075" customFormat="false" ht="15" hidden="false" customHeight="true" outlineLevel="0" collapsed="false">
      <c r="A5075" s="184"/>
      <c r="B5075" s="184"/>
      <c r="C5075" s="184"/>
      <c r="D5075" s="184"/>
      <c r="E5075" s="184"/>
      <c r="F5075" s="184"/>
      <c r="G5075" s="184"/>
      <c r="H5075" s="184"/>
      <c r="I5075" s="184"/>
      <c r="J5075" s="184"/>
      <c r="K5075" s="184"/>
      <c r="L5075" s="184"/>
      <c r="M5075" s="184"/>
      <c r="N5075" s="184"/>
      <c r="O5075" s="184"/>
    </row>
    <row r="5076" customFormat="false" ht="15" hidden="false" customHeight="true" outlineLevel="0" collapsed="false">
      <c r="A5076" s="184"/>
      <c r="B5076" s="184"/>
      <c r="C5076" s="184"/>
      <c r="D5076" s="184"/>
      <c r="E5076" s="184"/>
      <c r="F5076" s="184"/>
      <c r="G5076" s="184"/>
      <c r="H5076" s="184"/>
      <c r="I5076" s="184"/>
      <c r="J5076" s="184"/>
      <c r="K5076" s="184"/>
      <c r="L5076" s="184"/>
      <c r="M5076" s="184"/>
      <c r="N5076" s="184"/>
      <c r="O5076" s="184"/>
    </row>
    <row r="5077" customFormat="false" ht="81.75" hidden="false" customHeight="true" outlineLevel="0" collapsed="false">
      <c r="A5077" s="184" t="s">
        <v>5002</v>
      </c>
      <c r="B5077" s="184" t="s">
        <v>5003</v>
      </c>
      <c r="C5077" s="184"/>
      <c r="D5077" s="179" t="s">
        <v>4858</v>
      </c>
      <c r="E5077" s="184" t="s">
        <v>7227</v>
      </c>
      <c r="F5077" s="184"/>
      <c r="G5077" s="184"/>
      <c r="H5077" s="184"/>
      <c r="I5077" s="184"/>
      <c r="J5077" s="184"/>
      <c r="K5077" s="184"/>
      <c r="L5077" s="184"/>
      <c r="M5077" s="184" t="s">
        <v>7228</v>
      </c>
      <c r="N5077" s="184"/>
      <c r="O5077" s="184"/>
    </row>
    <row r="5078" customFormat="false" ht="54.75" hidden="false" customHeight="true" outlineLevel="0" collapsed="false">
      <c r="A5078" s="184" t="s">
        <v>5002</v>
      </c>
      <c r="B5078" s="184" t="s">
        <v>5003</v>
      </c>
      <c r="C5078" s="184" t="n">
        <v>1</v>
      </c>
      <c r="D5078" s="179" t="s">
        <v>6292</v>
      </c>
      <c r="E5078" s="184" t="s">
        <v>6937</v>
      </c>
      <c r="F5078" s="184"/>
      <c r="G5078" s="184"/>
      <c r="H5078" s="184"/>
      <c r="I5078" s="184"/>
      <c r="J5078" s="184"/>
      <c r="K5078" s="184"/>
      <c r="L5078" s="184"/>
      <c r="M5078" s="184"/>
      <c r="N5078" s="184"/>
      <c r="O5078" s="184"/>
    </row>
    <row r="5079" customFormat="false" ht="54.75" hidden="false" customHeight="true" outlineLevel="0" collapsed="false">
      <c r="A5079" s="184" t="s">
        <v>5002</v>
      </c>
      <c r="B5079" s="184" t="s">
        <v>5003</v>
      </c>
      <c r="C5079" s="184" t="n">
        <v>2</v>
      </c>
      <c r="D5079" s="177" t="s">
        <v>6298</v>
      </c>
      <c r="E5079" s="184" t="s">
        <v>6938</v>
      </c>
      <c r="F5079" s="184"/>
      <c r="G5079" s="184"/>
      <c r="H5079" s="184"/>
      <c r="I5079" s="184"/>
      <c r="J5079" s="184"/>
      <c r="K5079" s="184"/>
      <c r="L5079" s="184"/>
      <c r="M5079" s="184"/>
      <c r="N5079" s="184"/>
      <c r="O5079" s="184"/>
    </row>
    <row r="5080" customFormat="false" ht="54.75" hidden="false" customHeight="true" outlineLevel="0" collapsed="false">
      <c r="A5080" s="184" t="s">
        <v>5002</v>
      </c>
      <c r="B5080" s="184" t="s">
        <v>5003</v>
      </c>
      <c r="C5080" s="184" t="n">
        <v>3</v>
      </c>
      <c r="D5080" s="177" t="s">
        <v>6298</v>
      </c>
      <c r="E5080" s="184" t="s">
        <v>6939</v>
      </c>
      <c r="F5080" s="184"/>
      <c r="G5080" s="184"/>
      <c r="H5080" s="184"/>
      <c r="I5080" s="184"/>
      <c r="J5080" s="184"/>
      <c r="K5080" s="184"/>
      <c r="L5080" s="184"/>
      <c r="M5080" s="184"/>
      <c r="N5080" s="184"/>
      <c r="O5080" s="184"/>
    </row>
    <row r="5081" customFormat="false" ht="54.75" hidden="false" customHeight="true" outlineLevel="0" collapsed="false">
      <c r="A5081" s="184" t="s">
        <v>5002</v>
      </c>
      <c r="B5081" s="184" t="s">
        <v>5003</v>
      </c>
      <c r="C5081" s="184" t="n">
        <v>4</v>
      </c>
      <c r="D5081" s="174" t="s">
        <v>4846</v>
      </c>
      <c r="E5081" s="184" t="s">
        <v>784</v>
      </c>
      <c r="F5081" s="184" t="s">
        <v>715</v>
      </c>
      <c r="G5081" s="184"/>
      <c r="H5081" s="184"/>
      <c r="I5081" s="184"/>
      <c r="J5081" s="184"/>
      <c r="K5081" s="184" t="s">
        <v>5215</v>
      </c>
      <c r="L5081" s="184"/>
      <c r="M5081" s="184" t="s">
        <v>6392</v>
      </c>
      <c r="N5081" s="184"/>
      <c r="O5081" s="184"/>
    </row>
    <row r="5082" customFormat="false" ht="54.75" hidden="false" customHeight="true" outlineLevel="0" collapsed="false">
      <c r="A5082" s="184" t="s">
        <v>5002</v>
      </c>
      <c r="B5082" s="184" t="s">
        <v>5003</v>
      </c>
      <c r="C5082" s="184" t="n">
        <v>5</v>
      </c>
      <c r="D5082" s="174" t="s">
        <v>4846</v>
      </c>
      <c r="E5082" s="184" t="s">
        <v>5837</v>
      </c>
      <c r="F5082" s="184" t="s">
        <v>715</v>
      </c>
      <c r="G5082" s="184"/>
      <c r="H5082" s="184"/>
      <c r="I5082" s="184"/>
      <c r="J5082" s="184"/>
      <c r="K5082" s="184" t="s">
        <v>5215</v>
      </c>
      <c r="L5082" s="184"/>
      <c r="M5082" s="184" t="s">
        <v>5839</v>
      </c>
      <c r="N5082" s="184"/>
      <c r="O5082" s="184"/>
    </row>
    <row r="5083" customFormat="false" ht="54.75" hidden="false" customHeight="true" outlineLevel="0" collapsed="false">
      <c r="A5083" s="184" t="s">
        <v>5002</v>
      </c>
      <c r="B5083" s="184" t="s">
        <v>5003</v>
      </c>
      <c r="C5083" s="184" t="n">
        <v>6</v>
      </c>
      <c r="D5083" s="174" t="s">
        <v>4848</v>
      </c>
      <c r="E5083" s="184"/>
      <c r="F5083" s="184"/>
      <c r="G5083" s="184"/>
      <c r="H5083" s="184"/>
      <c r="I5083" s="184"/>
      <c r="J5083" s="184"/>
      <c r="K5083" s="184"/>
      <c r="L5083" s="184" t="s">
        <v>6302</v>
      </c>
      <c r="M5083" s="184" t="s">
        <v>6303</v>
      </c>
      <c r="N5083" s="184"/>
      <c r="O5083" s="184"/>
    </row>
    <row r="5084" customFormat="false" ht="54.75" hidden="false" customHeight="true" outlineLevel="0" collapsed="false">
      <c r="A5084" s="184" t="s">
        <v>5002</v>
      </c>
      <c r="B5084" s="184" t="s">
        <v>5003</v>
      </c>
      <c r="C5084" s="184" t="n">
        <v>7</v>
      </c>
      <c r="D5084" s="174" t="s">
        <v>4846</v>
      </c>
      <c r="E5084" s="184" t="s">
        <v>6393</v>
      </c>
      <c r="F5084" s="184" t="s">
        <v>715</v>
      </c>
      <c r="G5084" s="184"/>
      <c r="H5084" s="184"/>
      <c r="I5084" s="184"/>
      <c r="J5084" s="184"/>
      <c r="K5084" s="184" t="s">
        <v>5215</v>
      </c>
      <c r="L5084" s="184"/>
      <c r="M5084" s="184" t="s">
        <v>6395</v>
      </c>
      <c r="N5084" s="184"/>
      <c r="O5084" s="184"/>
    </row>
    <row r="5085" customFormat="false" ht="54.75" hidden="false" customHeight="true" outlineLevel="0" collapsed="false">
      <c r="A5085" s="184" t="s">
        <v>5002</v>
      </c>
      <c r="B5085" s="184" t="s">
        <v>5003</v>
      </c>
      <c r="C5085" s="184" t="n">
        <v>8</v>
      </c>
      <c r="D5085" s="179" t="s">
        <v>6300</v>
      </c>
      <c r="E5085" s="184" t="s">
        <v>6865</v>
      </c>
      <c r="F5085" s="184"/>
      <c r="G5085" s="184"/>
      <c r="H5085" s="184"/>
      <c r="I5085" s="184"/>
      <c r="J5085" s="184"/>
      <c r="K5085" s="184"/>
      <c r="L5085" s="184"/>
      <c r="M5085" s="184"/>
      <c r="N5085" s="184"/>
      <c r="O5085" s="184"/>
    </row>
    <row r="5086" customFormat="false" ht="68.25" hidden="false" customHeight="true" outlineLevel="0" collapsed="false">
      <c r="A5086" s="184" t="s">
        <v>5002</v>
      </c>
      <c r="B5086" s="184" t="s">
        <v>5003</v>
      </c>
      <c r="C5086" s="184" t="n">
        <v>9</v>
      </c>
      <c r="D5086" s="177" t="s">
        <v>6298</v>
      </c>
      <c r="E5086" s="184" t="s">
        <v>7229</v>
      </c>
      <c r="F5086" s="184"/>
      <c r="G5086" s="184"/>
      <c r="H5086" s="184"/>
      <c r="I5086" s="184"/>
      <c r="J5086" s="184"/>
      <c r="K5086" s="184"/>
      <c r="L5086" s="184"/>
      <c r="M5086" s="184"/>
      <c r="N5086" s="184"/>
      <c r="O5086" s="184"/>
    </row>
    <row r="5087" customFormat="false" ht="175.5" hidden="false" customHeight="true" outlineLevel="0" collapsed="false">
      <c r="A5087" s="184" t="s">
        <v>5002</v>
      </c>
      <c r="B5087" s="184" t="s">
        <v>5003</v>
      </c>
      <c r="C5087" s="184" t="n">
        <v>10</v>
      </c>
      <c r="D5087" s="174" t="s">
        <v>4846</v>
      </c>
      <c r="E5087" s="184" t="s">
        <v>6307</v>
      </c>
      <c r="F5087" s="184" t="s">
        <v>238</v>
      </c>
      <c r="G5087" s="184"/>
      <c r="H5087" s="184"/>
      <c r="I5087" s="184"/>
      <c r="J5087" s="184" t="s">
        <v>6308</v>
      </c>
      <c r="K5087" s="184" t="s">
        <v>5568</v>
      </c>
      <c r="L5087" s="184"/>
      <c r="M5087" s="184" t="s">
        <v>6309</v>
      </c>
      <c r="N5087" s="184"/>
      <c r="O5087" s="184"/>
    </row>
    <row r="5088" customFormat="false" ht="122.25" hidden="false" customHeight="true" outlineLevel="0" collapsed="false">
      <c r="A5088" s="184" t="s">
        <v>5002</v>
      </c>
      <c r="B5088" s="184" t="s">
        <v>5003</v>
      </c>
      <c r="C5088" s="184" t="n">
        <v>11</v>
      </c>
      <c r="D5088" s="174" t="s">
        <v>4846</v>
      </c>
      <c r="E5088" s="184" t="s">
        <v>6310</v>
      </c>
      <c r="F5088" s="184" t="s">
        <v>238</v>
      </c>
      <c r="G5088" s="184"/>
      <c r="H5088" s="184"/>
      <c r="I5088" s="184"/>
      <c r="J5088" s="184" t="s">
        <v>6311</v>
      </c>
      <c r="K5088" s="184" t="s">
        <v>5568</v>
      </c>
      <c r="L5088" s="184"/>
      <c r="M5088" s="184" t="s">
        <v>6312</v>
      </c>
      <c r="N5088" s="184"/>
      <c r="O5088" s="184"/>
    </row>
    <row r="5089" customFormat="false" ht="81.75" hidden="false" customHeight="true" outlineLevel="0" collapsed="false">
      <c r="A5089" s="184" t="s">
        <v>5002</v>
      </c>
      <c r="B5089" s="184" t="s">
        <v>5003</v>
      </c>
      <c r="C5089" s="184" t="n">
        <v>12</v>
      </c>
      <c r="D5089" s="174" t="s">
        <v>4846</v>
      </c>
      <c r="E5089" s="184" t="s">
        <v>6313</v>
      </c>
      <c r="F5089" s="184" t="s">
        <v>238</v>
      </c>
      <c r="G5089" s="184"/>
      <c r="H5089" s="184"/>
      <c r="I5089" s="184"/>
      <c r="J5089" s="184" t="s">
        <v>6314</v>
      </c>
      <c r="K5089" s="184" t="s">
        <v>6333</v>
      </c>
      <c r="L5089" s="184" t="s">
        <v>5465</v>
      </c>
      <c r="M5089" s="184" t="s">
        <v>6315</v>
      </c>
      <c r="N5089" s="184"/>
      <c r="O5089" s="184"/>
    </row>
    <row r="5090" customFormat="false" ht="108.75" hidden="false" customHeight="true" outlineLevel="0" collapsed="false">
      <c r="A5090" s="184" t="s">
        <v>5002</v>
      </c>
      <c r="B5090" s="184" t="s">
        <v>5003</v>
      </c>
      <c r="C5090" s="184" t="n">
        <v>13</v>
      </c>
      <c r="D5090" s="174" t="s">
        <v>4846</v>
      </c>
      <c r="E5090" s="184" t="s">
        <v>6316</v>
      </c>
      <c r="F5090" s="184" t="s">
        <v>238</v>
      </c>
      <c r="G5090" s="184"/>
      <c r="H5090" s="184"/>
      <c r="I5090" s="184"/>
      <c r="J5090" s="184" t="s">
        <v>6317</v>
      </c>
      <c r="K5090" s="184" t="s">
        <v>5568</v>
      </c>
      <c r="L5090" s="184"/>
      <c r="M5090" s="184" t="s">
        <v>6318</v>
      </c>
      <c r="N5090" s="184"/>
      <c r="O5090" s="184"/>
    </row>
    <row r="5091" customFormat="false" ht="108.75" hidden="false" customHeight="true" outlineLevel="0" collapsed="false">
      <c r="A5091" s="184" t="s">
        <v>5002</v>
      </c>
      <c r="B5091" s="184" t="s">
        <v>5003</v>
      </c>
      <c r="C5091" s="184" t="n">
        <v>14</v>
      </c>
      <c r="D5091" s="174" t="s">
        <v>4846</v>
      </c>
      <c r="E5091" s="184" t="s">
        <v>6319</v>
      </c>
      <c r="F5091" s="184" t="s">
        <v>238</v>
      </c>
      <c r="G5091" s="184"/>
      <c r="H5091" s="184"/>
      <c r="I5091" s="184"/>
      <c r="J5091" s="184" t="s">
        <v>6320</v>
      </c>
      <c r="K5091" s="184" t="s">
        <v>5568</v>
      </c>
      <c r="L5091" s="184"/>
      <c r="M5091" s="184" t="s">
        <v>6321</v>
      </c>
      <c r="N5091" s="184"/>
      <c r="O5091" s="184"/>
    </row>
    <row r="5092" customFormat="false" ht="68.25" hidden="false" customHeight="true" outlineLevel="0" collapsed="false">
      <c r="A5092" s="184" t="s">
        <v>5002</v>
      </c>
      <c r="B5092" s="184" t="s">
        <v>5003</v>
      </c>
      <c r="C5092" s="184" t="n">
        <v>15</v>
      </c>
      <c r="D5092" s="174" t="s">
        <v>4846</v>
      </c>
      <c r="E5092" s="184" t="s">
        <v>6322</v>
      </c>
      <c r="F5092" s="184" t="s">
        <v>238</v>
      </c>
      <c r="G5092" s="184"/>
      <c r="H5092" s="184"/>
      <c r="I5092" s="184"/>
      <c r="J5092" s="184" t="s">
        <v>6314</v>
      </c>
      <c r="K5092" s="184" t="s">
        <v>6323</v>
      </c>
      <c r="L5092" s="184"/>
      <c r="M5092" s="184" t="s">
        <v>6324</v>
      </c>
      <c r="N5092" s="184"/>
      <c r="O5092" s="184"/>
    </row>
    <row r="5093" customFormat="false" ht="81.75" hidden="false" customHeight="true" outlineLevel="0" collapsed="false">
      <c r="A5093" s="184" t="s">
        <v>5002</v>
      </c>
      <c r="B5093" s="184" t="s">
        <v>5003</v>
      </c>
      <c r="C5093" s="184" t="n">
        <v>16</v>
      </c>
      <c r="D5093" s="174" t="s">
        <v>4846</v>
      </c>
      <c r="E5093" s="184" t="s">
        <v>1434</v>
      </c>
      <c r="F5093" s="184" t="s">
        <v>238</v>
      </c>
      <c r="G5093" s="184"/>
      <c r="H5093" s="184"/>
      <c r="I5093" s="184"/>
      <c r="J5093" s="184" t="s">
        <v>6325</v>
      </c>
      <c r="K5093" s="184" t="s">
        <v>6333</v>
      </c>
      <c r="L5093" s="184" t="s">
        <v>5461</v>
      </c>
      <c r="M5093" s="184" t="s">
        <v>5673</v>
      </c>
      <c r="N5093" s="184"/>
      <c r="O5093" s="184"/>
    </row>
    <row r="5094" customFormat="false" ht="108.75" hidden="false" customHeight="true" outlineLevel="0" collapsed="false">
      <c r="A5094" s="184" t="s">
        <v>5002</v>
      </c>
      <c r="B5094" s="184" t="s">
        <v>5003</v>
      </c>
      <c r="C5094" s="184" t="n">
        <v>17</v>
      </c>
      <c r="D5094" s="174" t="s">
        <v>4848</v>
      </c>
      <c r="E5094" s="184" t="s">
        <v>1789</v>
      </c>
      <c r="F5094" s="184"/>
      <c r="G5094" s="184"/>
      <c r="H5094" s="184"/>
      <c r="I5094" s="184"/>
      <c r="J5094" s="184" t="s">
        <v>6326</v>
      </c>
      <c r="K5094" s="184" t="s">
        <v>5568</v>
      </c>
      <c r="L5094" s="184" t="s">
        <v>6327</v>
      </c>
      <c r="M5094" s="184" t="s">
        <v>6328</v>
      </c>
      <c r="N5094" s="184"/>
      <c r="O5094" s="184"/>
    </row>
    <row r="5095" customFormat="false" ht="108.75" hidden="false" customHeight="true" outlineLevel="0" collapsed="false">
      <c r="A5095" s="184" t="s">
        <v>5002</v>
      </c>
      <c r="B5095" s="184" t="s">
        <v>5003</v>
      </c>
      <c r="C5095" s="184" t="n">
        <v>18</v>
      </c>
      <c r="D5095" s="174" t="s">
        <v>4846</v>
      </c>
      <c r="E5095" s="184" t="s">
        <v>5459</v>
      </c>
      <c r="F5095" s="184" t="s">
        <v>238</v>
      </c>
      <c r="G5095" s="184"/>
      <c r="H5095" s="184"/>
      <c r="I5095" s="184"/>
      <c r="J5095" s="184" t="s">
        <v>6325</v>
      </c>
      <c r="K5095" s="184" t="s">
        <v>5568</v>
      </c>
      <c r="L5095" s="184"/>
      <c r="M5095" s="184" t="s">
        <v>5462</v>
      </c>
      <c r="N5095" s="184"/>
      <c r="O5095" s="184"/>
    </row>
    <row r="5096" customFormat="false" ht="81.75" hidden="false" customHeight="true" outlineLevel="0" collapsed="false">
      <c r="A5096" s="184" t="s">
        <v>5002</v>
      </c>
      <c r="B5096" s="184" t="s">
        <v>5003</v>
      </c>
      <c r="C5096" s="184" t="n">
        <v>19</v>
      </c>
      <c r="D5096" s="174" t="s">
        <v>4846</v>
      </c>
      <c r="E5096" s="184" t="s">
        <v>6329</v>
      </c>
      <c r="F5096" s="184" t="s">
        <v>238</v>
      </c>
      <c r="G5096" s="184"/>
      <c r="H5096" s="184"/>
      <c r="I5096" s="184"/>
      <c r="J5096" s="184" t="s">
        <v>6330</v>
      </c>
      <c r="K5096" s="184" t="s">
        <v>5568</v>
      </c>
      <c r="L5096" s="184"/>
      <c r="M5096" s="184" t="s">
        <v>6331</v>
      </c>
      <c r="N5096" s="184"/>
      <c r="O5096" s="184"/>
    </row>
    <row r="5097" customFormat="false" ht="68.25" hidden="false" customHeight="true" outlineLevel="0" collapsed="false">
      <c r="A5097" s="184" t="s">
        <v>5002</v>
      </c>
      <c r="B5097" s="184" t="s">
        <v>5003</v>
      </c>
      <c r="C5097" s="184" t="n">
        <v>20</v>
      </c>
      <c r="D5097" s="174" t="s">
        <v>4846</v>
      </c>
      <c r="E5097" s="184" t="s">
        <v>5463</v>
      </c>
      <c r="F5097" s="184" t="s">
        <v>238</v>
      </c>
      <c r="G5097" s="184"/>
      <c r="H5097" s="184"/>
      <c r="I5097" s="184"/>
      <c r="J5097" s="184" t="s">
        <v>6314</v>
      </c>
      <c r="K5097" s="184" t="s">
        <v>5568</v>
      </c>
      <c r="L5097" s="184"/>
      <c r="M5097" s="184" t="s">
        <v>5466</v>
      </c>
      <c r="N5097" s="184"/>
      <c r="O5097" s="184"/>
    </row>
    <row r="5098" customFormat="false" ht="54.75" hidden="false" customHeight="true" outlineLevel="0" collapsed="false">
      <c r="A5098" s="184" t="s">
        <v>5002</v>
      </c>
      <c r="B5098" s="184" t="s">
        <v>5003</v>
      </c>
      <c r="C5098" s="184" t="n">
        <v>21</v>
      </c>
      <c r="D5098" s="174" t="s">
        <v>4846</v>
      </c>
      <c r="E5098" s="184" t="s">
        <v>5228</v>
      </c>
      <c r="F5098" s="184" t="s">
        <v>227</v>
      </c>
      <c r="G5098" s="184"/>
      <c r="H5098" s="184"/>
      <c r="I5098" s="184"/>
      <c r="J5098" s="184" t="s">
        <v>6332</v>
      </c>
      <c r="K5098" s="184" t="s">
        <v>6333</v>
      </c>
      <c r="L5098" s="184"/>
      <c r="M5098" s="184" t="s">
        <v>5230</v>
      </c>
      <c r="N5098" s="184"/>
      <c r="O5098" s="184"/>
    </row>
    <row r="5099" customFormat="false" ht="54.75" hidden="false" customHeight="true" outlineLevel="0" collapsed="false">
      <c r="A5099" s="184" t="s">
        <v>5002</v>
      </c>
      <c r="B5099" s="184" t="s">
        <v>5003</v>
      </c>
      <c r="C5099" s="184" t="n">
        <v>22</v>
      </c>
      <c r="D5099" s="174" t="s">
        <v>4846</v>
      </c>
      <c r="E5099" s="184" t="s">
        <v>5467</v>
      </c>
      <c r="F5099" s="184" t="s">
        <v>238</v>
      </c>
      <c r="G5099" s="184"/>
      <c r="H5099" s="184"/>
      <c r="I5099" s="184"/>
      <c r="J5099" s="184" t="s">
        <v>6314</v>
      </c>
      <c r="K5099" s="184" t="s">
        <v>6333</v>
      </c>
      <c r="L5099" s="184" t="s">
        <v>5469</v>
      </c>
      <c r="M5099" s="184" t="s">
        <v>6334</v>
      </c>
      <c r="N5099" s="184"/>
      <c r="O5099" s="184"/>
    </row>
    <row r="5100" customFormat="false" ht="68.25" hidden="false" customHeight="true" outlineLevel="0" collapsed="false">
      <c r="A5100" s="184" t="s">
        <v>5002</v>
      </c>
      <c r="B5100" s="184" t="s">
        <v>5003</v>
      </c>
      <c r="C5100" s="184" t="n">
        <v>23</v>
      </c>
      <c r="D5100" s="174" t="s">
        <v>4846</v>
      </c>
      <c r="E5100" s="184" t="s">
        <v>5864</v>
      </c>
      <c r="F5100" s="184" t="s">
        <v>238</v>
      </c>
      <c r="G5100" s="184"/>
      <c r="H5100" s="184"/>
      <c r="I5100" s="184"/>
      <c r="J5100" s="184" t="s">
        <v>6330</v>
      </c>
      <c r="K5100" s="184" t="s">
        <v>5568</v>
      </c>
      <c r="L5100" s="184"/>
      <c r="M5100" s="184" t="s">
        <v>5867</v>
      </c>
      <c r="N5100" s="184"/>
      <c r="O5100" s="184"/>
    </row>
    <row r="5101" customFormat="false" ht="68.25" hidden="false" customHeight="true" outlineLevel="0" collapsed="false">
      <c r="A5101" s="184" t="s">
        <v>5002</v>
      </c>
      <c r="B5101" s="184" t="s">
        <v>5003</v>
      </c>
      <c r="C5101" s="184" t="n">
        <v>24</v>
      </c>
      <c r="D5101" s="174" t="s">
        <v>4846</v>
      </c>
      <c r="E5101" s="184" t="s">
        <v>5868</v>
      </c>
      <c r="F5101" s="184" t="s">
        <v>238</v>
      </c>
      <c r="G5101" s="184"/>
      <c r="H5101" s="184"/>
      <c r="I5101" s="184"/>
      <c r="J5101" s="184" t="s">
        <v>6335</v>
      </c>
      <c r="K5101" s="184" t="s">
        <v>5568</v>
      </c>
      <c r="L5101" s="184"/>
      <c r="M5101" s="184" t="s">
        <v>5871</v>
      </c>
      <c r="N5101" s="184"/>
      <c r="O5101" s="184"/>
    </row>
    <row r="5102" customFormat="false" ht="68.25" hidden="false" customHeight="true" outlineLevel="0" collapsed="false">
      <c r="A5102" s="184" t="s">
        <v>5002</v>
      </c>
      <c r="B5102" s="184" t="s">
        <v>5003</v>
      </c>
      <c r="C5102" s="184" t="n">
        <v>25</v>
      </c>
      <c r="D5102" s="174" t="s">
        <v>4846</v>
      </c>
      <c r="E5102" s="184" t="s">
        <v>5872</v>
      </c>
      <c r="F5102" s="184" t="s">
        <v>238</v>
      </c>
      <c r="G5102" s="184"/>
      <c r="H5102" s="184"/>
      <c r="I5102" s="184"/>
      <c r="J5102" s="184" t="s">
        <v>6336</v>
      </c>
      <c r="K5102" s="184" t="s">
        <v>5568</v>
      </c>
      <c r="L5102" s="184"/>
      <c r="M5102" s="184" t="s">
        <v>5875</v>
      </c>
      <c r="N5102" s="184"/>
      <c r="O5102" s="184"/>
    </row>
    <row r="5103" customFormat="false" ht="54.75" hidden="false" customHeight="true" outlineLevel="0" collapsed="false">
      <c r="A5103" s="184" t="s">
        <v>5002</v>
      </c>
      <c r="B5103" s="184" t="s">
        <v>5003</v>
      </c>
      <c r="C5103" s="184" t="n">
        <v>26</v>
      </c>
      <c r="D5103" s="174" t="s">
        <v>4846</v>
      </c>
      <c r="E5103" s="184" t="s">
        <v>5963</v>
      </c>
      <c r="F5103" s="184" t="s">
        <v>238</v>
      </c>
      <c r="G5103" s="184"/>
      <c r="H5103" s="184"/>
      <c r="I5103" s="184"/>
      <c r="J5103" s="184" t="s">
        <v>6311</v>
      </c>
      <c r="K5103" s="184" t="s">
        <v>5568</v>
      </c>
      <c r="L5103" s="184"/>
      <c r="M5103" s="184" t="s">
        <v>5966</v>
      </c>
      <c r="N5103" s="184"/>
      <c r="O5103" s="184"/>
    </row>
    <row r="5104" customFormat="false" ht="54.75" hidden="false" customHeight="true" outlineLevel="0" collapsed="false">
      <c r="A5104" s="184" t="s">
        <v>5002</v>
      </c>
      <c r="B5104" s="184" t="s">
        <v>5003</v>
      </c>
      <c r="C5104" s="184" t="n">
        <v>27</v>
      </c>
      <c r="D5104" s="174" t="s">
        <v>4846</v>
      </c>
      <c r="E5104" s="184" t="s">
        <v>5967</v>
      </c>
      <c r="F5104" s="184" t="s">
        <v>238</v>
      </c>
      <c r="G5104" s="184"/>
      <c r="H5104" s="184"/>
      <c r="I5104" s="184"/>
      <c r="J5104" s="184" t="s">
        <v>6337</v>
      </c>
      <c r="K5104" s="184" t="s">
        <v>5568</v>
      </c>
      <c r="L5104" s="184"/>
      <c r="M5104" s="184" t="s">
        <v>5970</v>
      </c>
      <c r="N5104" s="184"/>
      <c r="O5104" s="184"/>
    </row>
    <row r="5105" customFormat="false" ht="54.75" hidden="false" customHeight="true" outlineLevel="0" collapsed="false">
      <c r="A5105" s="184" t="s">
        <v>5002</v>
      </c>
      <c r="B5105" s="184" t="s">
        <v>5003</v>
      </c>
      <c r="C5105" s="184" t="n">
        <v>28</v>
      </c>
      <c r="D5105" s="174" t="s">
        <v>4846</v>
      </c>
      <c r="E5105" s="184" t="s">
        <v>5971</v>
      </c>
      <c r="F5105" s="184" t="s">
        <v>238</v>
      </c>
      <c r="G5105" s="184"/>
      <c r="H5105" s="184"/>
      <c r="I5105" s="184"/>
      <c r="J5105" s="184" t="s">
        <v>6338</v>
      </c>
      <c r="K5105" s="184" t="s">
        <v>5568</v>
      </c>
      <c r="L5105" s="184"/>
      <c r="M5105" s="184" t="s">
        <v>5974</v>
      </c>
      <c r="N5105" s="184"/>
      <c r="O5105" s="184"/>
    </row>
    <row r="5106" customFormat="false" ht="81.75" hidden="false" customHeight="true" outlineLevel="0" collapsed="false">
      <c r="A5106" s="184" t="s">
        <v>5002</v>
      </c>
      <c r="B5106" s="184" t="s">
        <v>5003</v>
      </c>
      <c r="C5106" s="184" t="n">
        <v>29</v>
      </c>
      <c r="D5106" s="174" t="s">
        <v>4848</v>
      </c>
      <c r="E5106" s="184" t="s">
        <v>1790</v>
      </c>
      <c r="F5106" s="184"/>
      <c r="G5106" s="184"/>
      <c r="H5106" s="184"/>
      <c r="I5106" s="184"/>
      <c r="J5106" s="184" t="s">
        <v>6339</v>
      </c>
      <c r="K5106" s="184" t="s">
        <v>5568</v>
      </c>
      <c r="L5106" s="184" t="s">
        <v>6340</v>
      </c>
      <c r="M5106" s="184" t="s">
        <v>6341</v>
      </c>
      <c r="N5106" s="184"/>
      <c r="O5106" s="184"/>
    </row>
    <row r="5107" customFormat="false" ht="54.75" hidden="false" customHeight="true" outlineLevel="0" collapsed="false">
      <c r="A5107" s="184" t="s">
        <v>5002</v>
      </c>
      <c r="B5107" s="184" t="s">
        <v>5003</v>
      </c>
      <c r="C5107" s="184" t="n">
        <v>30</v>
      </c>
      <c r="D5107" s="174" t="s">
        <v>4846</v>
      </c>
      <c r="E5107" s="184" t="s">
        <v>6342</v>
      </c>
      <c r="F5107" s="184" t="s">
        <v>5221</v>
      </c>
      <c r="G5107" s="184"/>
      <c r="H5107" s="184"/>
      <c r="I5107" s="184"/>
      <c r="J5107" s="184"/>
      <c r="K5107" s="184" t="s">
        <v>6343</v>
      </c>
      <c r="L5107" s="184"/>
      <c r="M5107" s="184" t="s">
        <v>6344</v>
      </c>
      <c r="N5107" s="184"/>
      <c r="O5107" s="184"/>
    </row>
    <row r="5108" customFormat="false" ht="81.75" hidden="false" customHeight="true" outlineLevel="0" collapsed="false">
      <c r="A5108" s="184" t="s">
        <v>5002</v>
      </c>
      <c r="B5108" s="184" t="s">
        <v>5003</v>
      </c>
      <c r="C5108" s="184" t="n">
        <v>31</v>
      </c>
      <c r="D5108" s="174" t="s">
        <v>4846</v>
      </c>
      <c r="E5108" s="184" t="s">
        <v>6345</v>
      </c>
      <c r="F5108" s="184" t="s">
        <v>227</v>
      </c>
      <c r="G5108" s="184"/>
      <c r="H5108" s="184"/>
      <c r="I5108" s="184"/>
      <c r="J5108" s="184" t="s">
        <v>6346</v>
      </c>
      <c r="K5108" s="184" t="s">
        <v>6323</v>
      </c>
      <c r="L5108" s="184"/>
      <c r="M5108" s="184" t="s">
        <v>6347</v>
      </c>
      <c r="N5108" s="184"/>
      <c r="O5108" s="184"/>
    </row>
    <row r="5109" customFormat="false" ht="54.75" hidden="false" customHeight="true" outlineLevel="0" collapsed="false">
      <c r="A5109" s="184" t="s">
        <v>5002</v>
      </c>
      <c r="B5109" s="184" t="s">
        <v>5003</v>
      </c>
      <c r="C5109" s="184" t="n">
        <v>32</v>
      </c>
      <c r="D5109" s="174" t="s">
        <v>4846</v>
      </c>
      <c r="E5109" s="184" t="s">
        <v>6348</v>
      </c>
      <c r="F5109" s="184" t="s">
        <v>227</v>
      </c>
      <c r="G5109" s="184"/>
      <c r="H5109" s="184"/>
      <c r="I5109" s="184"/>
      <c r="J5109" s="184" t="s">
        <v>6346</v>
      </c>
      <c r="K5109" s="184" t="s">
        <v>6333</v>
      </c>
      <c r="L5109" s="184"/>
      <c r="M5109" s="184" t="s">
        <v>6349</v>
      </c>
      <c r="N5109" s="184"/>
      <c r="O5109" s="184"/>
    </row>
    <row r="5110" customFormat="false" ht="122.25" hidden="false" customHeight="true" outlineLevel="0" collapsed="false">
      <c r="A5110" s="184" t="s">
        <v>5002</v>
      </c>
      <c r="B5110" s="184" t="s">
        <v>5003</v>
      </c>
      <c r="C5110" s="184" t="n">
        <v>33</v>
      </c>
      <c r="D5110" s="174" t="s">
        <v>4846</v>
      </c>
      <c r="E5110" s="184" t="s">
        <v>6350</v>
      </c>
      <c r="F5110" s="184" t="s">
        <v>238</v>
      </c>
      <c r="G5110" s="184"/>
      <c r="H5110" s="184"/>
      <c r="I5110" s="184"/>
      <c r="J5110" s="184" t="s">
        <v>5736</v>
      </c>
      <c r="K5110" s="184" t="s">
        <v>5568</v>
      </c>
      <c r="L5110" s="184"/>
      <c r="M5110" s="184" t="s">
        <v>6351</v>
      </c>
      <c r="N5110" s="184"/>
      <c r="O5110" s="184"/>
    </row>
    <row r="5111" customFormat="false" ht="95.25" hidden="false" customHeight="true" outlineLevel="0" collapsed="false">
      <c r="A5111" s="184" t="s">
        <v>5002</v>
      </c>
      <c r="B5111" s="184" t="s">
        <v>5003</v>
      </c>
      <c r="C5111" s="184" t="n">
        <v>34</v>
      </c>
      <c r="D5111" s="174" t="s">
        <v>4846</v>
      </c>
      <c r="E5111" s="184" t="s">
        <v>5674</v>
      </c>
      <c r="F5111" s="184"/>
      <c r="G5111" s="184"/>
      <c r="H5111" s="184"/>
      <c r="I5111" s="184"/>
      <c r="J5111" s="184" t="s">
        <v>5675</v>
      </c>
      <c r="K5111" s="184" t="s">
        <v>5568</v>
      </c>
      <c r="L5111" s="184"/>
      <c r="M5111" s="184" t="s">
        <v>5677</v>
      </c>
      <c r="N5111" s="184"/>
      <c r="O5111" s="184"/>
    </row>
    <row r="5112" customFormat="false" ht="95.25" hidden="false" customHeight="true" outlineLevel="0" collapsed="false">
      <c r="A5112" s="184" t="s">
        <v>5002</v>
      </c>
      <c r="B5112" s="184" t="s">
        <v>5003</v>
      </c>
      <c r="C5112" s="184" t="n">
        <v>35</v>
      </c>
      <c r="D5112" s="174" t="s">
        <v>4846</v>
      </c>
      <c r="E5112" s="184" t="s">
        <v>6352</v>
      </c>
      <c r="F5112" s="184" t="s">
        <v>238</v>
      </c>
      <c r="G5112" s="184"/>
      <c r="H5112" s="184"/>
      <c r="I5112" s="184"/>
      <c r="J5112" s="184" t="s">
        <v>6353</v>
      </c>
      <c r="K5112" s="184" t="s">
        <v>5568</v>
      </c>
      <c r="L5112" s="184"/>
      <c r="M5112" s="184" t="s">
        <v>6354</v>
      </c>
      <c r="N5112" s="184"/>
      <c r="O5112" s="184"/>
    </row>
    <row r="5113" customFormat="false" ht="135.75" hidden="false" customHeight="true" outlineLevel="0" collapsed="false">
      <c r="A5113" s="184" t="s">
        <v>5002</v>
      </c>
      <c r="B5113" s="184" t="s">
        <v>5003</v>
      </c>
      <c r="C5113" s="184" t="n">
        <v>36</v>
      </c>
      <c r="D5113" s="174" t="s">
        <v>4846</v>
      </c>
      <c r="E5113" s="184" t="s">
        <v>5678</v>
      </c>
      <c r="F5113" s="184" t="s">
        <v>238</v>
      </c>
      <c r="G5113" s="184"/>
      <c r="H5113" s="184"/>
      <c r="I5113" s="184"/>
      <c r="J5113" s="184" t="s">
        <v>5675</v>
      </c>
      <c r="K5113" s="184" t="s">
        <v>5568</v>
      </c>
      <c r="L5113" s="184"/>
      <c r="M5113" s="184" t="s">
        <v>5681</v>
      </c>
      <c r="N5113" s="184"/>
      <c r="O5113" s="184"/>
    </row>
    <row r="5114" customFormat="false" ht="162" hidden="false" customHeight="true" outlineLevel="0" collapsed="false">
      <c r="A5114" s="184" t="s">
        <v>5002</v>
      </c>
      <c r="B5114" s="184" t="s">
        <v>5003</v>
      </c>
      <c r="C5114" s="184" t="n">
        <v>37</v>
      </c>
      <c r="D5114" s="174" t="s">
        <v>4848</v>
      </c>
      <c r="E5114" s="184" t="s">
        <v>5682</v>
      </c>
      <c r="F5114" s="184"/>
      <c r="G5114" s="184"/>
      <c r="H5114" s="184"/>
      <c r="I5114" s="184"/>
      <c r="J5114" s="184" t="s">
        <v>5683</v>
      </c>
      <c r="K5114" s="184" t="s">
        <v>5568</v>
      </c>
      <c r="L5114" s="184" t="s">
        <v>6355</v>
      </c>
      <c r="M5114" s="184" t="s">
        <v>5685</v>
      </c>
      <c r="N5114" s="184"/>
      <c r="O5114" s="184"/>
    </row>
    <row r="5115" customFormat="false" ht="108.75" hidden="false" customHeight="true" outlineLevel="0" collapsed="false">
      <c r="A5115" s="184" t="s">
        <v>5002</v>
      </c>
      <c r="B5115" s="184" t="s">
        <v>5003</v>
      </c>
      <c r="C5115" s="184" t="n">
        <v>38</v>
      </c>
      <c r="D5115" s="174" t="s">
        <v>4848</v>
      </c>
      <c r="E5115" s="184" t="s">
        <v>6356</v>
      </c>
      <c r="F5115" s="184"/>
      <c r="G5115" s="184"/>
      <c r="H5115" s="184"/>
      <c r="I5115" s="184"/>
      <c r="J5115" s="184" t="s">
        <v>6357</v>
      </c>
      <c r="K5115" s="184" t="s">
        <v>5568</v>
      </c>
      <c r="L5115" s="184" t="s">
        <v>6358</v>
      </c>
      <c r="M5115" s="184" t="s">
        <v>6359</v>
      </c>
      <c r="N5115" s="184"/>
      <c r="O5115" s="184"/>
    </row>
    <row r="5116" customFormat="false" ht="81.75" hidden="false" customHeight="true" outlineLevel="0" collapsed="false">
      <c r="A5116" s="184" t="s">
        <v>5002</v>
      </c>
      <c r="B5116" s="184" t="s">
        <v>5003</v>
      </c>
      <c r="C5116" s="184" t="n">
        <v>39</v>
      </c>
      <c r="D5116" s="174" t="s">
        <v>4848</v>
      </c>
      <c r="E5116" s="184" t="s">
        <v>5833</v>
      </c>
      <c r="F5116" s="184"/>
      <c r="G5116" s="184"/>
      <c r="H5116" s="184"/>
      <c r="I5116" s="184"/>
      <c r="J5116" s="184" t="s">
        <v>5834</v>
      </c>
      <c r="K5116" s="184" t="s">
        <v>5568</v>
      </c>
      <c r="L5116" s="184" t="s">
        <v>6360</v>
      </c>
      <c r="M5116" s="184" t="s">
        <v>5836</v>
      </c>
      <c r="N5116" s="184"/>
      <c r="O5116" s="184"/>
    </row>
    <row r="5117" customFormat="false" ht="54.75" hidden="false" customHeight="true" outlineLevel="0" collapsed="false">
      <c r="A5117" s="184" t="s">
        <v>5002</v>
      </c>
      <c r="B5117" s="184" t="s">
        <v>5003</v>
      </c>
      <c r="C5117" s="184" t="n">
        <v>40</v>
      </c>
      <c r="D5117" s="174" t="s">
        <v>4846</v>
      </c>
      <c r="E5117" s="184" t="s">
        <v>6361</v>
      </c>
      <c r="F5117" s="184" t="s">
        <v>227</v>
      </c>
      <c r="G5117" s="184"/>
      <c r="H5117" s="184"/>
      <c r="I5117" s="184"/>
      <c r="J5117" s="184" t="s">
        <v>6362</v>
      </c>
      <c r="K5117" s="184" t="s">
        <v>6323</v>
      </c>
      <c r="L5117" s="184"/>
      <c r="M5117" s="184" t="s">
        <v>6363</v>
      </c>
      <c r="N5117" s="184"/>
      <c r="O5117" s="184"/>
    </row>
    <row r="5118" customFormat="false" ht="149.25" hidden="false" customHeight="true" outlineLevel="0" collapsed="false">
      <c r="A5118" s="184" t="s">
        <v>5002</v>
      </c>
      <c r="B5118" s="184" t="s">
        <v>5003</v>
      </c>
      <c r="C5118" s="184" t="n">
        <v>41</v>
      </c>
      <c r="D5118" s="174" t="s">
        <v>4846</v>
      </c>
      <c r="E5118" s="184" t="s">
        <v>681</v>
      </c>
      <c r="F5118" s="184"/>
      <c r="G5118" s="184"/>
      <c r="H5118" s="184"/>
      <c r="I5118" s="184"/>
      <c r="J5118" s="184" t="s">
        <v>6325</v>
      </c>
      <c r="K5118" s="184" t="s">
        <v>5568</v>
      </c>
      <c r="L5118" s="184"/>
      <c r="M5118" s="184" t="s">
        <v>6365</v>
      </c>
      <c r="N5118" s="184"/>
      <c r="O5118" s="184"/>
    </row>
    <row r="5119" customFormat="false" ht="54.75" hidden="false" customHeight="true" outlineLevel="0" collapsed="false">
      <c r="A5119" s="184" t="s">
        <v>5002</v>
      </c>
      <c r="B5119" s="184" t="s">
        <v>5003</v>
      </c>
      <c r="C5119" s="184" t="n">
        <v>42</v>
      </c>
      <c r="D5119" s="174" t="s">
        <v>4846</v>
      </c>
      <c r="E5119" s="184" t="s">
        <v>6366</v>
      </c>
      <c r="F5119" s="184" t="s">
        <v>238</v>
      </c>
      <c r="G5119" s="184"/>
      <c r="H5119" s="184"/>
      <c r="I5119" s="184"/>
      <c r="J5119" s="184" t="s">
        <v>6944</v>
      </c>
      <c r="K5119" s="184" t="s">
        <v>6323</v>
      </c>
      <c r="L5119" s="184"/>
      <c r="M5119" s="184" t="s">
        <v>6945</v>
      </c>
      <c r="N5119" s="184"/>
      <c r="O5119" s="184"/>
    </row>
    <row r="5120" customFormat="false" ht="68.25" hidden="false" customHeight="true" outlineLevel="0" collapsed="false">
      <c r="A5120" s="184" t="s">
        <v>5002</v>
      </c>
      <c r="B5120" s="184" t="s">
        <v>5003</v>
      </c>
      <c r="C5120" s="184" t="n">
        <v>43</v>
      </c>
      <c r="D5120" s="174" t="s">
        <v>4846</v>
      </c>
      <c r="E5120" s="184" t="s">
        <v>6369</v>
      </c>
      <c r="F5120" s="184" t="s">
        <v>238</v>
      </c>
      <c r="G5120" s="184"/>
      <c r="H5120" s="184"/>
      <c r="I5120" s="184"/>
      <c r="J5120" s="184" t="s">
        <v>6370</v>
      </c>
      <c r="K5120" s="184" t="s">
        <v>6323</v>
      </c>
      <c r="L5120" s="184"/>
      <c r="M5120" s="184" t="s">
        <v>6946</v>
      </c>
      <c r="N5120" s="184"/>
      <c r="O5120" s="184"/>
    </row>
    <row r="5121" customFormat="false" ht="54.75" hidden="false" customHeight="true" outlineLevel="0" collapsed="false">
      <c r="A5121" s="184" t="s">
        <v>5002</v>
      </c>
      <c r="B5121" s="184" t="s">
        <v>5003</v>
      </c>
      <c r="C5121" s="184" t="n">
        <v>44</v>
      </c>
      <c r="D5121" s="174" t="s">
        <v>4848</v>
      </c>
      <c r="E5121" s="184" t="s">
        <v>6369</v>
      </c>
      <c r="F5121" s="184"/>
      <c r="G5121" s="184"/>
      <c r="H5121" s="184"/>
      <c r="I5121" s="184"/>
      <c r="J5121" s="184"/>
      <c r="K5121" s="184"/>
      <c r="L5121" s="184" t="s">
        <v>6947</v>
      </c>
      <c r="M5121" s="184"/>
      <c r="N5121" s="184"/>
      <c r="O5121" s="184"/>
    </row>
    <row r="5122" customFormat="false" ht="54.75" hidden="false" customHeight="true" outlineLevel="0" collapsed="false">
      <c r="A5122" s="184" t="s">
        <v>5002</v>
      </c>
      <c r="B5122" s="184" t="s">
        <v>5003</v>
      </c>
      <c r="C5122" s="184" t="n">
        <v>45</v>
      </c>
      <c r="D5122" s="174" t="s">
        <v>4846</v>
      </c>
      <c r="E5122" s="184" t="s">
        <v>6371</v>
      </c>
      <c r="F5122" s="184" t="s">
        <v>238</v>
      </c>
      <c r="G5122" s="184"/>
      <c r="H5122" s="184"/>
      <c r="I5122" s="184"/>
      <c r="J5122" s="184" t="s">
        <v>6948</v>
      </c>
      <c r="K5122" s="184" t="s">
        <v>6323</v>
      </c>
      <c r="L5122" s="184"/>
      <c r="M5122" s="184" t="s">
        <v>6949</v>
      </c>
      <c r="N5122" s="184"/>
      <c r="O5122" s="184"/>
    </row>
    <row r="5123" customFormat="false" ht="54.75" hidden="false" customHeight="true" outlineLevel="0" collapsed="false">
      <c r="A5123" s="184" t="s">
        <v>5002</v>
      </c>
      <c r="B5123" s="184" t="s">
        <v>5003</v>
      </c>
      <c r="C5123" s="184" t="n">
        <v>46</v>
      </c>
      <c r="D5123" s="174" t="s">
        <v>4848</v>
      </c>
      <c r="E5123" s="184" t="s">
        <v>6371</v>
      </c>
      <c r="F5123" s="184"/>
      <c r="G5123" s="184"/>
      <c r="H5123" s="184"/>
      <c r="I5123" s="184"/>
      <c r="J5123" s="184"/>
      <c r="K5123" s="184"/>
      <c r="L5123" s="184" t="s">
        <v>6950</v>
      </c>
      <c r="M5123" s="184"/>
      <c r="N5123" s="184"/>
      <c r="O5123" s="184"/>
    </row>
    <row r="5124" customFormat="false" ht="108.75" hidden="false" customHeight="true" outlineLevel="0" collapsed="false">
      <c r="A5124" s="184" t="s">
        <v>5002</v>
      </c>
      <c r="B5124" s="184" t="s">
        <v>5003</v>
      </c>
      <c r="C5124" s="184" t="n">
        <v>47</v>
      </c>
      <c r="D5124" s="174" t="s">
        <v>4846</v>
      </c>
      <c r="E5124" s="184" t="s">
        <v>1454</v>
      </c>
      <c r="F5124" s="184" t="s">
        <v>5221</v>
      </c>
      <c r="G5124" s="184"/>
      <c r="H5124" s="184"/>
      <c r="I5124" s="184"/>
      <c r="J5124" s="184" t="s">
        <v>6311</v>
      </c>
      <c r="K5124" s="184" t="s">
        <v>5568</v>
      </c>
      <c r="L5124" s="184"/>
      <c r="M5124" s="184" t="s">
        <v>6374</v>
      </c>
      <c r="N5124" s="184"/>
      <c r="O5124" s="184"/>
    </row>
    <row r="5125" customFormat="false" ht="68.25" hidden="false" customHeight="true" outlineLevel="0" collapsed="false">
      <c r="A5125" s="184" t="s">
        <v>5002</v>
      </c>
      <c r="B5125" s="184" t="s">
        <v>5003</v>
      </c>
      <c r="C5125" s="184" t="n">
        <v>48</v>
      </c>
      <c r="D5125" s="174" t="s">
        <v>4846</v>
      </c>
      <c r="E5125" s="184" t="s">
        <v>6375</v>
      </c>
      <c r="F5125" s="184" t="s">
        <v>238</v>
      </c>
      <c r="G5125" s="184"/>
      <c r="H5125" s="184"/>
      <c r="I5125" s="184"/>
      <c r="J5125" s="184" t="s">
        <v>6376</v>
      </c>
      <c r="K5125" s="184" t="s">
        <v>5568</v>
      </c>
      <c r="L5125" s="184"/>
      <c r="M5125" s="184" t="s">
        <v>6377</v>
      </c>
      <c r="N5125" s="184"/>
      <c r="O5125" s="184"/>
    </row>
    <row r="5126" customFormat="false" ht="81.75" hidden="false" customHeight="true" outlineLevel="0" collapsed="false">
      <c r="A5126" s="184" t="s">
        <v>5002</v>
      </c>
      <c r="B5126" s="184" t="s">
        <v>5003</v>
      </c>
      <c r="C5126" s="184" t="n">
        <v>49</v>
      </c>
      <c r="D5126" s="174" t="s">
        <v>4846</v>
      </c>
      <c r="E5126" s="184" t="s">
        <v>6378</v>
      </c>
      <c r="F5126" s="184" t="s">
        <v>238</v>
      </c>
      <c r="G5126" s="184"/>
      <c r="H5126" s="184"/>
      <c r="I5126" s="184"/>
      <c r="J5126" s="184" t="s">
        <v>5736</v>
      </c>
      <c r="K5126" s="184" t="s">
        <v>5568</v>
      </c>
      <c r="L5126" s="184"/>
      <c r="M5126" s="184" t="s">
        <v>6379</v>
      </c>
      <c r="N5126" s="184"/>
      <c r="O5126" s="184"/>
    </row>
    <row r="5127" customFormat="false" ht="68.25" hidden="false" customHeight="true" outlineLevel="0" collapsed="false">
      <c r="A5127" s="184" t="s">
        <v>5002</v>
      </c>
      <c r="B5127" s="184" t="s">
        <v>5003</v>
      </c>
      <c r="C5127" s="184" t="n">
        <v>50</v>
      </c>
      <c r="D5127" s="174" t="s">
        <v>4846</v>
      </c>
      <c r="E5127" s="184" t="s">
        <v>6380</v>
      </c>
      <c r="F5127" s="184" t="s">
        <v>227</v>
      </c>
      <c r="G5127" s="184"/>
      <c r="H5127" s="184"/>
      <c r="I5127" s="184"/>
      <c r="J5127" s="184" t="s">
        <v>6381</v>
      </c>
      <c r="K5127" s="184" t="s">
        <v>5568</v>
      </c>
      <c r="L5127" s="184"/>
      <c r="M5127" s="184" t="s">
        <v>6382</v>
      </c>
      <c r="N5127" s="184"/>
      <c r="O5127" s="184"/>
    </row>
    <row r="5128" customFormat="false" ht="68.25" hidden="false" customHeight="true" outlineLevel="0" collapsed="false">
      <c r="A5128" s="184" t="s">
        <v>5002</v>
      </c>
      <c r="B5128" s="184" t="s">
        <v>5003</v>
      </c>
      <c r="C5128" s="184" t="n">
        <v>51</v>
      </c>
      <c r="D5128" s="174" t="s">
        <v>4846</v>
      </c>
      <c r="E5128" s="184" t="s">
        <v>6016</v>
      </c>
      <c r="F5128" s="184" t="s">
        <v>238</v>
      </c>
      <c r="G5128" s="184"/>
      <c r="H5128" s="184"/>
      <c r="I5128" s="184"/>
      <c r="J5128" s="184" t="s">
        <v>6383</v>
      </c>
      <c r="K5128" s="184" t="s">
        <v>5568</v>
      </c>
      <c r="L5128" s="184"/>
      <c r="M5128" s="184" t="s">
        <v>6019</v>
      </c>
      <c r="N5128" s="184"/>
      <c r="O5128" s="184"/>
    </row>
    <row r="5129" customFormat="false" ht="68.25" hidden="false" customHeight="true" outlineLevel="0" collapsed="false">
      <c r="A5129" s="184" t="s">
        <v>5002</v>
      </c>
      <c r="B5129" s="184" t="s">
        <v>5003</v>
      </c>
      <c r="C5129" s="184" t="n">
        <v>52</v>
      </c>
      <c r="D5129" s="174" t="s">
        <v>4846</v>
      </c>
      <c r="E5129" s="184" t="s">
        <v>6384</v>
      </c>
      <c r="F5129" s="184" t="s">
        <v>5221</v>
      </c>
      <c r="G5129" s="184"/>
      <c r="H5129" s="184"/>
      <c r="I5129" s="184"/>
      <c r="J5129" s="184" t="s">
        <v>6385</v>
      </c>
      <c r="K5129" s="184" t="s">
        <v>5568</v>
      </c>
      <c r="L5129" s="184"/>
      <c r="M5129" s="184" t="s">
        <v>6386</v>
      </c>
      <c r="N5129" s="184"/>
      <c r="O5129" s="184"/>
    </row>
    <row r="5130" customFormat="false" ht="54.75" hidden="false" customHeight="true" outlineLevel="0" collapsed="false">
      <c r="A5130" s="184" t="s">
        <v>5002</v>
      </c>
      <c r="B5130" s="184" t="s">
        <v>5003</v>
      </c>
      <c r="C5130" s="184" t="n">
        <v>53</v>
      </c>
      <c r="D5130" s="174" t="s">
        <v>4846</v>
      </c>
      <c r="E5130" s="184" t="s">
        <v>6387</v>
      </c>
      <c r="F5130" s="184" t="s">
        <v>227</v>
      </c>
      <c r="G5130" s="184"/>
      <c r="H5130" s="184"/>
      <c r="I5130" s="184"/>
      <c r="J5130" s="184" t="s">
        <v>6388</v>
      </c>
      <c r="K5130" s="184" t="s">
        <v>6333</v>
      </c>
      <c r="L5130" s="184"/>
      <c r="M5130" s="184" t="s">
        <v>6389</v>
      </c>
      <c r="N5130" s="184"/>
      <c r="O5130" s="184"/>
    </row>
    <row r="5131" customFormat="false" ht="54.75" hidden="false" customHeight="true" outlineLevel="0" collapsed="false">
      <c r="A5131" s="184" t="s">
        <v>5002</v>
      </c>
      <c r="B5131" s="184" t="s">
        <v>5003</v>
      </c>
      <c r="C5131" s="184" t="n">
        <v>54</v>
      </c>
      <c r="D5131" s="174" t="s">
        <v>4846</v>
      </c>
      <c r="E5131" s="184" t="s">
        <v>6138</v>
      </c>
      <c r="F5131" s="184" t="s">
        <v>238</v>
      </c>
      <c r="G5131" s="184"/>
      <c r="H5131" s="184"/>
      <c r="I5131" s="184"/>
      <c r="J5131" s="184" t="s">
        <v>5736</v>
      </c>
      <c r="K5131" s="184" t="s">
        <v>5568</v>
      </c>
      <c r="L5131" s="184"/>
      <c r="M5131" s="184" t="s">
        <v>6141</v>
      </c>
      <c r="N5131" s="184"/>
      <c r="O5131" s="184"/>
    </row>
    <row r="5132" customFormat="false" ht="54.75" hidden="false" customHeight="true" outlineLevel="0" collapsed="false">
      <c r="A5132" s="184" t="s">
        <v>5002</v>
      </c>
      <c r="B5132" s="184" t="s">
        <v>5003</v>
      </c>
      <c r="C5132" s="184" t="n">
        <v>55</v>
      </c>
      <c r="D5132" s="174" t="s">
        <v>4846</v>
      </c>
      <c r="E5132" s="184" t="s">
        <v>6142</v>
      </c>
      <c r="F5132" s="184" t="s">
        <v>238</v>
      </c>
      <c r="G5132" s="184"/>
      <c r="H5132" s="184"/>
      <c r="I5132" s="184"/>
      <c r="J5132" s="184" t="s">
        <v>6390</v>
      </c>
      <c r="K5132" s="184" t="s">
        <v>5568</v>
      </c>
      <c r="L5132" s="184"/>
      <c r="M5132" s="184" t="s">
        <v>6145</v>
      </c>
      <c r="N5132" s="184"/>
      <c r="O5132" s="184"/>
    </row>
    <row r="5133" customFormat="false" ht="54.75" hidden="false" customHeight="true" outlineLevel="0" collapsed="false">
      <c r="A5133" s="184" t="s">
        <v>5002</v>
      </c>
      <c r="B5133" s="184" t="s">
        <v>5003</v>
      </c>
      <c r="C5133" s="184" t="n">
        <v>56</v>
      </c>
      <c r="D5133" s="174" t="s">
        <v>4846</v>
      </c>
      <c r="E5133" s="184" t="s">
        <v>6146</v>
      </c>
      <c r="F5133" s="184" t="s">
        <v>238</v>
      </c>
      <c r="G5133" s="184"/>
      <c r="H5133" s="184"/>
      <c r="I5133" s="184"/>
      <c r="J5133" s="184" t="s">
        <v>6370</v>
      </c>
      <c r="K5133" s="184" t="s">
        <v>5568</v>
      </c>
      <c r="L5133" s="184"/>
      <c r="M5133" s="184" t="s">
        <v>6149</v>
      </c>
      <c r="N5133" s="184"/>
      <c r="O5133" s="184"/>
    </row>
    <row r="5134" customFormat="false" ht="54.75" hidden="false" customHeight="true" outlineLevel="0" collapsed="false">
      <c r="A5134" s="184" t="s">
        <v>5002</v>
      </c>
      <c r="B5134" s="184" t="s">
        <v>5003</v>
      </c>
      <c r="C5134" s="184" t="n">
        <v>57</v>
      </c>
      <c r="D5134" s="174" t="s">
        <v>4848</v>
      </c>
      <c r="E5134" s="184" t="s">
        <v>6397</v>
      </c>
      <c r="F5134" s="184"/>
      <c r="G5134" s="184"/>
      <c r="H5134" s="184"/>
      <c r="I5134" s="184"/>
      <c r="J5134" s="184" t="s">
        <v>1654</v>
      </c>
      <c r="K5134" s="184" t="s">
        <v>5568</v>
      </c>
      <c r="L5134" s="184" t="s">
        <v>6398</v>
      </c>
      <c r="M5134" s="184" t="s">
        <v>6399</v>
      </c>
      <c r="N5134" s="184"/>
      <c r="O5134" s="184"/>
    </row>
    <row r="5135" customFormat="false" ht="15" hidden="false" customHeight="true" outlineLevel="0" collapsed="false">
      <c r="A5135" s="184"/>
      <c r="B5135" s="184"/>
      <c r="C5135" s="184"/>
      <c r="D5135" s="184"/>
      <c r="E5135" s="184"/>
      <c r="F5135" s="184"/>
      <c r="G5135" s="184"/>
      <c r="H5135" s="184"/>
      <c r="I5135" s="184"/>
      <c r="J5135" s="184"/>
      <c r="K5135" s="184"/>
      <c r="L5135" s="184"/>
      <c r="M5135" s="184"/>
      <c r="N5135" s="184"/>
      <c r="O5135" s="184"/>
    </row>
    <row r="5136" customFormat="false" ht="15" hidden="false" customHeight="true" outlineLevel="0" collapsed="false">
      <c r="A5136" s="184"/>
      <c r="B5136" s="184"/>
      <c r="C5136" s="184"/>
      <c r="D5136" s="184"/>
      <c r="E5136" s="184"/>
      <c r="F5136" s="184"/>
      <c r="G5136" s="184"/>
      <c r="H5136" s="184"/>
      <c r="I5136" s="184"/>
      <c r="J5136" s="184"/>
      <c r="K5136" s="184"/>
      <c r="L5136" s="184"/>
      <c r="M5136" s="184"/>
      <c r="N5136" s="184"/>
      <c r="O5136" s="184"/>
    </row>
    <row r="5137" customFormat="false" ht="15" hidden="false" customHeight="true" outlineLevel="0" collapsed="false">
      <c r="A5137" s="184"/>
      <c r="B5137" s="184"/>
      <c r="C5137" s="184"/>
      <c r="D5137" s="184"/>
      <c r="E5137" s="184"/>
      <c r="F5137" s="184"/>
      <c r="G5137" s="184"/>
      <c r="H5137" s="184"/>
      <c r="I5137" s="184"/>
      <c r="J5137" s="184"/>
      <c r="K5137" s="184"/>
      <c r="L5137" s="184"/>
      <c r="M5137" s="184"/>
      <c r="N5137" s="184"/>
      <c r="O5137" s="184"/>
    </row>
    <row r="5138" customFormat="false" ht="15" hidden="false" customHeight="true" outlineLevel="0" collapsed="false">
      <c r="A5138" s="184"/>
      <c r="B5138" s="184"/>
      <c r="C5138" s="184"/>
      <c r="D5138" s="184"/>
      <c r="E5138" s="184"/>
      <c r="F5138" s="184"/>
      <c r="G5138" s="184"/>
      <c r="H5138" s="184"/>
      <c r="I5138" s="184"/>
      <c r="J5138" s="184"/>
      <c r="K5138" s="184"/>
      <c r="L5138" s="184"/>
      <c r="M5138" s="184"/>
      <c r="N5138" s="184"/>
      <c r="O5138" s="184"/>
    </row>
    <row r="5139" customFormat="false" ht="15" hidden="false" customHeight="true" outlineLevel="0" collapsed="false">
      <c r="A5139" s="184"/>
      <c r="B5139" s="184"/>
      <c r="C5139" s="184"/>
      <c r="D5139" s="184"/>
      <c r="E5139" s="184"/>
      <c r="F5139" s="184"/>
      <c r="G5139" s="184"/>
      <c r="H5139" s="184"/>
      <c r="I5139" s="184"/>
      <c r="J5139" s="184"/>
      <c r="K5139" s="184"/>
      <c r="L5139" s="184"/>
      <c r="M5139" s="184"/>
      <c r="N5139" s="184"/>
      <c r="O5139" s="184"/>
    </row>
    <row r="5140" customFormat="false" ht="15" hidden="false" customHeight="true" outlineLevel="0" collapsed="false">
      <c r="A5140" s="184"/>
      <c r="B5140" s="184"/>
      <c r="C5140" s="184"/>
      <c r="D5140" s="184"/>
      <c r="E5140" s="184"/>
      <c r="F5140" s="184"/>
      <c r="G5140" s="184"/>
      <c r="H5140" s="184"/>
      <c r="I5140" s="184"/>
      <c r="J5140" s="184"/>
      <c r="K5140" s="184"/>
      <c r="L5140" s="184"/>
      <c r="M5140" s="184"/>
      <c r="N5140" s="184"/>
      <c r="O5140" s="184"/>
    </row>
    <row r="5141" customFormat="false" ht="15" hidden="false" customHeight="true" outlineLevel="0" collapsed="false">
      <c r="A5141" s="184"/>
      <c r="B5141" s="184"/>
      <c r="C5141" s="184"/>
      <c r="D5141" s="184"/>
      <c r="E5141" s="184"/>
      <c r="F5141" s="184"/>
      <c r="G5141" s="184"/>
      <c r="H5141" s="184"/>
      <c r="I5141" s="184"/>
      <c r="J5141" s="184"/>
      <c r="K5141" s="184"/>
      <c r="L5141" s="184"/>
      <c r="M5141" s="184"/>
      <c r="N5141" s="184"/>
      <c r="O5141" s="184"/>
    </row>
    <row r="5142" customFormat="false" ht="15" hidden="false" customHeight="true" outlineLevel="0" collapsed="false">
      <c r="A5142" s="184"/>
      <c r="B5142" s="184"/>
      <c r="C5142" s="184"/>
      <c r="D5142" s="184"/>
      <c r="E5142" s="184"/>
      <c r="F5142" s="184"/>
      <c r="G5142" s="184"/>
      <c r="H5142" s="184"/>
      <c r="I5142" s="184"/>
      <c r="J5142" s="184"/>
      <c r="K5142" s="184"/>
      <c r="L5142" s="184"/>
      <c r="M5142" s="184"/>
      <c r="N5142" s="184"/>
      <c r="O5142" s="184"/>
    </row>
    <row r="5143" customFormat="false" ht="15" hidden="false" customHeight="true" outlineLevel="0" collapsed="false">
      <c r="A5143" s="184"/>
      <c r="B5143" s="184"/>
      <c r="C5143" s="184"/>
      <c r="D5143" s="184"/>
      <c r="E5143" s="184"/>
      <c r="F5143" s="184"/>
      <c r="G5143" s="184"/>
      <c r="H5143" s="184"/>
      <c r="I5143" s="184"/>
      <c r="J5143" s="184"/>
      <c r="K5143" s="184"/>
      <c r="L5143" s="184"/>
      <c r="M5143" s="184"/>
      <c r="N5143" s="184"/>
      <c r="O5143" s="184"/>
    </row>
    <row r="5144" customFormat="false" ht="15" hidden="false" customHeight="true" outlineLevel="0" collapsed="false">
      <c r="A5144" s="184"/>
      <c r="B5144" s="184"/>
      <c r="C5144" s="184"/>
      <c r="D5144" s="184"/>
      <c r="E5144" s="184"/>
      <c r="F5144" s="184"/>
      <c r="G5144" s="184"/>
      <c r="H5144" s="184"/>
      <c r="I5144" s="184"/>
      <c r="J5144" s="184"/>
      <c r="K5144" s="184"/>
      <c r="L5144" s="184"/>
      <c r="M5144" s="184"/>
      <c r="N5144" s="184"/>
      <c r="O5144" s="184"/>
    </row>
    <row r="5145" customFormat="false" ht="15" hidden="false" customHeight="true" outlineLevel="0" collapsed="false">
      <c r="A5145" s="184"/>
      <c r="B5145" s="184"/>
      <c r="C5145" s="184"/>
      <c r="D5145" s="184"/>
      <c r="E5145" s="184"/>
      <c r="F5145" s="184"/>
      <c r="G5145" s="184"/>
      <c r="H5145" s="184"/>
      <c r="I5145" s="184"/>
      <c r="J5145" s="184"/>
      <c r="K5145" s="184"/>
      <c r="L5145" s="184"/>
      <c r="M5145" s="184"/>
      <c r="N5145" s="184"/>
      <c r="O5145" s="184"/>
    </row>
    <row r="5146" customFormat="false" ht="15" hidden="false" customHeight="true" outlineLevel="0" collapsed="false">
      <c r="A5146" s="184"/>
      <c r="B5146" s="184"/>
      <c r="C5146" s="184"/>
      <c r="D5146" s="184"/>
      <c r="E5146" s="184"/>
      <c r="F5146" s="184"/>
      <c r="G5146" s="184"/>
      <c r="H5146" s="184"/>
      <c r="I5146" s="184"/>
      <c r="J5146" s="184"/>
      <c r="K5146" s="184"/>
      <c r="L5146" s="184"/>
      <c r="M5146" s="184"/>
      <c r="N5146" s="184"/>
      <c r="O5146" s="184"/>
    </row>
    <row r="5147" customFormat="false" ht="15" hidden="false" customHeight="true" outlineLevel="0" collapsed="false">
      <c r="A5147" s="184"/>
      <c r="B5147" s="184"/>
      <c r="C5147" s="184"/>
      <c r="D5147" s="184"/>
      <c r="E5147" s="184"/>
      <c r="F5147" s="184"/>
      <c r="G5147" s="184"/>
      <c r="H5147" s="184"/>
      <c r="I5147" s="184"/>
      <c r="J5147" s="184"/>
      <c r="K5147" s="184"/>
      <c r="L5147" s="184"/>
      <c r="M5147" s="184"/>
      <c r="N5147" s="184"/>
      <c r="O5147" s="184"/>
    </row>
    <row r="5148" customFormat="false" ht="15" hidden="false" customHeight="true" outlineLevel="0" collapsed="false">
      <c r="A5148" s="184"/>
      <c r="B5148" s="184"/>
      <c r="C5148" s="184"/>
      <c r="D5148" s="184"/>
      <c r="E5148" s="184"/>
      <c r="F5148" s="184"/>
      <c r="G5148" s="184"/>
      <c r="H5148" s="184"/>
      <c r="I5148" s="184"/>
      <c r="J5148" s="184"/>
      <c r="K5148" s="184"/>
      <c r="L5148" s="184"/>
      <c r="M5148" s="184"/>
      <c r="N5148" s="184"/>
      <c r="O5148" s="184"/>
    </row>
    <row r="5149" customFormat="false" ht="15" hidden="false" customHeight="true" outlineLevel="0" collapsed="false">
      <c r="A5149" s="184"/>
      <c r="B5149" s="184"/>
      <c r="C5149" s="184"/>
      <c r="D5149" s="184"/>
      <c r="E5149" s="184"/>
      <c r="F5149" s="184"/>
      <c r="G5149" s="184"/>
      <c r="H5149" s="184"/>
      <c r="I5149" s="184"/>
      <c r="J5149" s="184"/>
      <c r="K5149" s="184"/>
      <c r="L5149" s="184"/>
      <c r="M5149" s="184"/>
      <c r="N5149" s="184"/>
      <c r="O5149" s="184"/>
    </row>
    <row r="5150" customFormat="false" ht="15" hidden="false" customHeight="true" outlineLevel="0" collapsed="false">
      <c r="A5150" s="184"/>
      <c r="B5150" s="184"/>
      <c r="C5150" s="184"/>
      <c r="D5150" s="184"/>
      <c r="E5150" s="184"/>
      <c r="F5150" s="184"/>
      <c r="G5150" s="184"/>
      <c r="H5150" s="184"/>
      <c r="I5150" s="184"/>
      <c r="J5150" s="184"/>
      <c r="K5150" s="184"/>
      <c r="L5150" s="184"/>
      <c r="M5150" s="184"/>
      <c r="N5150" s="184"/>
      <c r="O5150" s="184"/>
    </row>
    <row r="5151" customFormat="false" ht="15" hidden="false" customHeight="true" outlineLevel="0" collapsed="false">
      <c r="A5151" s="184"/>
      <c r="B5151" s="184"/>
      <c r="C5151" s="184"/>
      <c r="D5151" s="184"/>
      <c r="E5151" s="184"/>
      <c r="F5151" s="184"/>
      <c r="G5151" s="184"/>
      <c r="H5151" s="184"/>
      <c r="I5151" s="184"/>
      <c r="J5151" s="184"/>
      <c r="K5151" s="184"/>
      <c r="L5151" s="184"/>
      <c r="M5151" s="184"/>
      <c r="N5151" s="184"/>
      <c r="O5151" s="184"/>
    </row>
    <row r="5152" customFormat="false" ht="15" hidden="false" customHeight="true" outlineLevel="0" collapsed="false">
      <c r="A5152" s="184"/>
      <c r="B5152" s="184"/>
      <c r="C5152" s="184"/>
      <c r="D5152" s="184"/>
      <c r="E5152" s="184"/>
      <c r="F5152" s="184"/>
      <c r="G5152" s="184"/>
      <c r="H5152" s="184"/>
      <c r="I5152" s="184"/>
      <c r="J5152" s="184"/>
      <c r="K5152" s="184"/>
      <c r="L5152" s="184"/>
      <c r="M5152" s="184"/>
      <c r="N5152" s="184"/>
      <c r="O5152" s="184"/>
    </row>
    <row r="5153" customFormat="false" ht="15" hidden="false" customHeight="true" outlineLevel="0" collapsed="false">
      <c r="A5153" s="184"/>
      <c r="B5153" s="184"/>
      <c r="C5153" s="184"/>
      <c r="D5153" s="184"/>
      <c r="E5153" s="184"/>
      <c r="F5153" s="184"/>
      <c r="G5153" s="184"/>
      <c r="H5153" s="184"/>
      <c r="I5153" s="184"/>
      <c r="J5153" s="184"/>
      <c r="K5153" s="184"/>
      <c r="L5153" s="184"/>
      <c r="M5153" s="184"/>
      <c r="N5153" s="184"/>
      <c r="O5153" s="184"/>
    </row>
    <row r="5154" customFormat="false" ht="15" hidden="false" customHeight="true" outlineLevel="0" collapsed="false">
      <c r="A5154" s="184"/>
      <c r="B5154" s="184"/>
      <c r="C5154" s="184"/>
      <c r="D5154" s="184"/>
      <c r="E5154" s="184"/>
      <c r="F5154" s="184"/>
      <c r="G5154" s="184"/>
      <c r="H5154" s="184"/>
      <c r="I5154" s="184"/>
      <c r="J5154" s="184"/>
      <c r="K5154" s="184"/>
      <c r="L5154" s="184"/>
      <c r="M5154" s="184"/>
      <c r="N5154" s="184"/>
      <c r="O5154" s="184"/>
    </row>
    <row r="5155" customFormat="false" ht="15" hidden="false" customHeight="true" outlineLevel="0" collapsed="false">
      <c r="A5155" s="184"/>
      <c r="B5155" s="184"/>
      <c r="C5155" s="184"/>
      <c r="D5155" s="184"/>
      <c r="E5155" s="184"/>
      <c r="F5155" s="184"/>
      <c r="G5155" s="184"/>
      <c r="H5155" s="184"/>
      <c r="I5155" s="184"/>
      <c r="J5155" s="184"/>
      <c r="K5155" s="184"/>
      <c r="L5155" s="184"/>
      <c r="M5155" s="184"/>
      <c r="N5155" s="184"/>
      <c r="O5155" s="184"/>
    </row>
    <row r="5156" customFormat="false" ht="15" hidden="false" customHeight="true" outlineLevel="0" collapsed="false">
      <c r="A5156" s="184"/>
      <c r="B5156" s="184"/>
      <c r="C5156" s="184"/>
      <c r="D5156" s="184"/>
      <c r="E5156" s="184"/>
      <c r="F5156" s="184"/>
      <c r="G5156" s="184"/>
      <c r="H5156" s="184"/>
      <c r="I5156" s="184"/>
      <c r="J5156" s="184"/>
      <c r="K5156" s="184"/>
      <c r="L5156" s="184"/>
      <c r="M5156" s="184"/>
      <c r="N5156" s="184"/>
      <c r="O5156" s="184"/>
    </row>
    <row r="5157" customFormat="false" ht="15" hidden="false" customHeight="true" outlineLevel="0" collapsed="false">
      <c r="A5157" s="184"/>
      <c r="B5157" s="184"/>
      <c r="C5157" s="184"/>
      <c r="D5157" s="184"/>
      <c r="E5157" s="184"/>
      <c r="F5157" s="184"/>
      <c r="G5157" s="184"/>
      <c r="H5157" s="184"/>
      <c r="I5157" s="184"/>
      <c r="J5157" s="184"/>
      <c r="K5157" s="184"/>
      <c r="L5157" s="184"/>
      <c r="M5157" s="184"/>
      <c r="N5157" s="184"/>
      <c r="O5157" s="184"/>
    </row>
    <row r="5158" customFormat="false" ht="15" hidden="false" customHeight="true" outlineLevel="0" collapsed="false">
      <c r="A5158" s="184"/>
      <c r="B5158" s="184"/>
      <c r="C5158" s="184"/>
      <c r="D5158" s="184"/>
      <c r="E5158" s="184"/>
      <c r="F5158" s="184"/>
      <c r="G5158" s="184"/>
      <c r="H5158" s="184"/>
      <c r="I5158" s="184"/>
      <c r="J5158" s="184"/>
      <c r="K5158" s="184"/>
      <c r="L5158" s="184"/>
      <c r="M5158" s="184"/>
      <c r="N5158" s="184"/>
      <c r="O5158" s="184"/>
    </row>
    <row r="5159" customFormat="false" ht="15" hidden="false" customHeight="true" outlineLevel="0" collapsed="false">
      <c r="A5159" s="184"/>
      <c r="B5159" s="184"/>
      <c r="C5159" s="184"/>
      <c r="D5159" s="184"/>
      <c r="E5159" s="184"/>
      <c r="F5159" s="184"/>
      <c r="G5159" s="184"/>
      <c r="H5159" s="184"/>
      <c r="I5159" s="184"/>
      <c r="J5159" s="184"/>
      <c r="K5159" s="184"/>
      <c r="L5159" s="184"/>
      <c r="M5159" s="184"/>
      <c r="N5159" s="184"/>
      <c r="O5159" s="184"/>
    </row>
    <row r="5160" customFormat="false" ht="15" hidden="false" customHeight="true" outlineLevel="0" collapsed="false">
      <c r="A5160" s="184"/>
      <c r="B5160" s="184"/>
      <c r="C5160" s="184"/>
      <c r="D5160" s="184"/>
      <c r="E5160" s="184"/>
      <c r="F5160" s="184"/>
      <c r="G5160" s="184"/>
      <c r="H5160" s="184"/>
      <c r="I5160" s="184"/>
      <c r="J5160" s="184"/>
      <c r="K5160" s="184"/>
      <c r="L5160" s="184"/>
      <c r="M5160" s="184"/>
      <c r="N5160" s="184"/>
      <c r="O5160" s="184"/>
    </row>
    <row r="5161" customFormat="false" ht="15" hidden="false" customHeight="true" outlineLevel="0" collapsed="false">
      <c r="A5161" s="184"/>
      <c r="B5161" s="184"/>
      <c r="C5161" s="184"/>
      <c r="D5161" s="184"/>
      <c r="E5161" s="184"/>
      <c r="F5161" s="184"/>
      <c r="G5161" s="184"/>
      <c r="H5161" s="184"/>
      <c r="I5161" s="184"/>
      <c r="J5161" s="184"/>
      <c r="K5161" s="184"/>
      <c r="L5161" s="184"/>
      <c r="M5161" s="184"/>
      <c r="N5161" s="184"/>
      <c r="O5161" s="184"/>
    </row>
    <row r="5162" customFormat="false" ht="15" hidden="false" customHeight="true" outlineLevel="0" collapsed="false">
      <c r="A5162" s="184"/>
      <c r="B5162" s="184"/>
      <c r="C5162" s="184"/>
      <c r="D5162" s="184"/>
      <c r="E5162" s="184"/>
      <c r="F5162" s="184"/>
      <c r="G5162" s="184"/>
      <c r="H5162" s="184"/>
      <c r="I5162" s="184"/>
      <c r="J5162" s="184"/>
      <c r="K5162" s="184"/>
      <c r="L5162" s="184"/>
      <c r="M5162" s="184"/>
      <c r="N5162" s="184"/>
      <c r="O5162" s="184"/>
    </row>
    <row r="5163" customFormat="false" ht="15" hidden="false" customHeight="true" outlineLevel="0" collapsed="false">
      <c r="A5163" s="184"/>
      <c r="B5163" s="184"/>
      <c r="C5163" s="184"/>
      <c r="D5163" s="184"/>
      <c r="E5163" s="184"/>
      <c r="F5163" s="184"/>
      <c r="G5163" s="184"/>
      <c r="H5163" s="184"/>
      <c r="I5163" s="184"/>
      <c r="J5163" s="184"/>
      <c r="K5163" s="184"/>
      <c r="L5163" s="184"/>
      <c r="M5163" s="184"/>
      <c r="N5163" s="184"/>
      <c r="O5163" s="184"/>
    </row>
    <row r="5164" customFormat="false" ht="15" hidden="false" customHeight="true" outlineLevel="0" collapsed="false">
      <c r="A5164" s="184"/>
      <c r="B5164" s="184"/>
      <c r="C5164" s="184"/>
      <c r="D5164" s="184"/>
      <c r="E5164" s="184"/>
      <c r="F5164" s="184"/>
      <c r="G5164" s="184"/>
      <c r="H5164" s="184"/>
      <c r="I5164" s="184"/>
      <c r="J5164" s="184"/>
      <c r="K5164" s="184"/>
      <c r="L5164" s="184"/>
      <c r="M5164" s="184"/>
      <c r="N5164" s="184"/>
      <c r="O5164" s="184"/>
    </row>
    <row r="5165" customFormat="false" ht="15" hidden="false" customHeight="true" outlineLevel="0" collapsed="false">
      <c r="A5165" s="184"/>
      <c r="B5165" s="184"/>
      <c r="C5165" s="184"/>
      <c r="D5165" s="184"/>
      <c r="E5165" s="184"/>
      <c r="F5165" s="184"/>
      <c r="G5165" s="184"/>
      <c r="H5165" s="184"/>
      <c r="I5165" s="184"/>
      <c r="J5165" s="184"/>
      <c r="K5165" s="184"/>
      <c r="L5165" s="184"/>
      <c r="M5165" s="184"/>
      <c r="N5165" s="184"/>
      <c r="O5165" s="184"/>
    </row>
    <row r="5166" customFormat="false" ht="15" hidden="false" customHeight="true" outlineLevel="0" collapsed="false">
      <c r="A5166" s="184"/>
      <c r="B5166" s="184"/>
      <c r="C5166" s="184"/>
      <c r="D5166" s="184"/>
      <c r="E5166" s="184"/>
      <c r="F5166" s="184"/>
      <c r="G5166" s="184"/>
      <c r="H5166" s="184"/>
      <c r="I5166" s="184"/>
      <c r="J5166" s="184"/>
      <c r="K5166" s="184"/>
      <c r="L5166" s="184"/>
      <c r="M5166" s="184"/>
      <c r="N5166" s="184"/>
      <c r="O5166" s="184"/>
    </row>
    <row r="5167" customFormat="false" ht="15" hidden="false" customHeight="true" outlineLevel="0" collapsed="false">
      <c r="A5167" s="184"/>
      <c r="B5167" s="184"/>
      <c r="C5167" s="184"/>
      <c r="D5167" s="184"/>
      <c r="E5167" s="184"/>
      <c r="F5167" s="184"/>
      <c r="G5167" s="184"/>
      <c r="H5167" s="184"/>
      <c r="I5167" s="184"/>
      <c r="J5167" s="184"/>
      <c r="K5167" s="184"/>
      <c r="L5167" s="184"/>
      <c r="M5167" s="184"/>
      <c r="N5167" s="184"/>
      <c r="O5167" s="184"/>
    </row>
    <row r="5168" customFormat="false" ht="15" hidden="false" customHeight="true" outlineLevel="0" collapsed="false">
      <c r="A5168" s="184"/>
      <c r="B5168" s="184"/>
      <c r="C5168" s="184"/>
      <c r="D5168" s="184"/>
      <c r="E5168" s="184"/>
      <c r="F5168" s="184"/>
      <c r="G5168" s="184"/>
      <c r="H5168" s="184"/>
      <c r="I5168" s="184"/>
      <c r="J5168" s="184"/>
      <c r="K5168" s="184"/>
      <c r="L5168" s="184"/>
      <c r="M5168" s="184"/>
      <c r="N5168" s="184"/>
      <c r="O5168" s="184"/>
    </row>
    <row r="5169" customFormat="false" ht="15" hidden="false" customHeight="true" outlineLevel="0" collapsed="false">
      <c r="A5169" s="184"/>
      <c r="B5169" s="184"/>
      <c r="C5169" s="184"/>
      <c r="D5169" s="184"/>
      <c r="E5169" s="184"/>
      <c r="F5169" s="184"/>
      <c r="G5169" s="184"/>
      <c r="H5169" s="184"/>
      <c r="I5169" s="184"/>
      <c r="J5169" s="184"/>
      <c r="K5169" s="184"/>
      <c r="L5169" s="184"/>
      <c r="M5169" s="184"/>
      <c r="N5169" s="184"/>
      <c r="O5169" s="184"/>
    </row>
    <row r="5170" customFormat="false" ht="15" hidden="false" customHeight="true" outlineLevel="0" collapsed="false">
      <c r="A5170" s="184"/>
      <c r="B5170" s="184"/>
      <c r="C5170" s="184"/>
      <c r="D5170" s="184"/>
      <c r="E5170" s="184"/>
      <c r="F5170" s="184"/>
      <c r="G5170" s="184"/>
      <c r="H5170" s="184"/>
      <c r="I5170" s="184"/>
      <c r="J5170" s="184"/>
      <c r="K5170" s="184"/>
      <c r="L5170" s="184"/>
      <c r="M5170" s="184"/>
      <c r="N5170" s="184"/>
      <c r="O5170" s="184"/>
    </row>
    <row r="5171" customFormat="false" ht="15" hidden="false" customHeight="true" outlineLevel="0" collapsed="false">
      <c r="A5171" s="184"/>
      <c r="B5171" s="184"/>
      <c r="C5171" s="184"/>
      <c r="D5171" s="184"/>
      <c r="E5171" s="184"/>
      <c r="F5171" s="184"/>
      <c r="G5171" s="184"/>
      <c r="H5171" s="184"/>
      <c r="I5171" s="184"/>
      <c r="J5171" s="184"/>
      <c r="K5171" s="184"/>
      <c r="L5171" s="184"/>
      <c r="M5171" s="184"/>
      <c r="N5171" s="184"/>
      <c r="O5171" s="184"/>
    </row>
    <row r="5172" customFormat="false" ht="15" hidden="false" customHeight="true" outlineLevel="0" collapsed="false">
      <c r="A5172" s="184"/>
      <c r="B5172" s="184"/>
      <c r="C5172" s="184"/>
      <c r="D5172" s="184"/>
      <c r="E5172" s="184"/>
      <c r="F5172" s="184"/>
      <c r="G5172" s="184"/>
      <c r="H5172" s="184"/>
      <c r="I5172" s="184"/>
      <c r="J5172" s="184"/>
      <c r="K5172" s="184"/>
      <c r="L5172" s="184"/>
      <c r="M5172" s="184"/>
      <c r="N5172" s="184"/>
      <c r="O5172" s="184"/>
    </row>
    <row r="5173" customFormat="false" ht="15" hidden="false" customHeight="true" outlineLevel="0" collapsed="false">
      <c r="A5173" s="184"/>
      <c r="B5173" s="184"/>
      <c r="C5173" s="184"/>
      <c r="D5173" s="184"/>
      <c r="E5173" s="184"/>
      <c r="F5173" s="184"/>
      <c r="G5173" s="184"/>
      <c r="H5173" s="184"/>
      <c r="I5173" s="184"/>
      <c r="J5173" s="184"/>
      <c r="K5173" s="184"/>
      <c r="L5173" s="184"/>
      <c r="M5173" s="184"/>
      <c r="N5173" s="184"/>
      <c r="O5173" s="184"/>
    </row>
    <row r="5174" customFormat="false" ht="15" hidden="false" customHeight="true" outlineLevel="0" collapsed="false">
      <c r="A5174" s="184"/>
      <c r="B5174" s="184"/>
      <c r="C5174" s="184"/>
      <c r="D5174" s="184"/>
      <c r="E5174" s="184"/>
      <c r="F5174" s="184"/>
      <c r="G5174" s="184"/>
      <c r="H5174" s="184"/>
      <c r="I5174" s="184"/>
      <c r="J5174" s="184"/>
      <c r="K5174" s="184"/>
      <c r="L5174" s="184"/>
      <c r="M5174" s="184"/>
      <c r="N5174" s="184"/>
      <c r="O5174" s="184"/>
    </row>
    <row r="5175" customFormat="false" ht="15" hidden="false" customHeight="true" outlineLevel="0" collapsed="false">
      <c r="A5175" s="184"/>
      <c r="B5175" s="184"/>
      <c r="C5175" s="184"/>
      <c r="D5175" s="184"/>
      <c r="E5175" s="184"/>
      <c r="F5175" s="184"/>
      <c r="G5175" s="184"/>
      <c r="H5175" s="184"/>
      <c r="I5175" s="184"/>
      <c r="J5175" s="184"/>
      <c r="K5175" s="184"/>
      <c r="L5175" s="184"/>
      <c r="M5175" s="184"/>
      <c r="N5175" s="184"/>
      <c r="O5175" s="184"/>
    </row>
    <row r="5176" customFormat="false" ht="15" hidden="false" customHeight="true" outlineLevel="0" collapsed="false">
      <c r="A5176" s="184"/>
      <c r="B5176" s="184"/>
      <c r="C5176" s="184"/>
      <c r="D5176" s="184"/>
      <c r="E5176" s="184"/>
      <c r="F5176" s="184"/>
      <c r="G5176" s="184"/>
      <c r="H5176" s="184"/>
      <c r="I5176" s="184"/>
      <c r="J5176" s="184"/>
      <c r="K5176" s="184"/>
      <c r="L5176" s="184"/>
      <c r="M5176" s="184"/>
      <c r="N5176" s="184"/>
      <c r="O5176" s="184"/>
    </row>
    <row r="5177" customFormat="false" ht="15" hidden="false" customHeight="true" outlineLevel="0" collapsed="false">
      <c r="A5177" s="184"/>
      <c r="B5177" s="184"/>
      <c r="C5177" s="184"/>
      <c r="D5177" s="184"/>
      <c r="E5177" s="184"/>
      <c r="F5177" s="184"/>
      <c r="G5177" s="184"/>
      <c r="H5177" s="184"/>
      <c r="I5177" s="184"/>
      <c r="J5177" s="184"/>
      <c r="K5177" s="184"/>
      <c r="L5177" s="184"/>
      <c r="M5177" s="184"/>
      <c r="N5177" s="184"/>
      <c r="O5177" s="184"/>
    </row>
    <row r="5178" customFormat="false" ht="15" hidden="false" customHeight="true" outlineLevel="0" collapsed="false">
      <c r="A5178" s="184"/>
      <c r="B5178" s="184"/>
      <c r="C5178" s="184"/>
      <c r="D5178" s="184"/>
      <c r="E5178" s="184"/>
      <c r="F5178" s="184"/>
      <c r="G5178" s="184"/>
      <c r="H5178" s="184"/>
      <c r="I5178" s="184"/>
      <c r="J5178" s="184"/>
      <c r="K5178" s="184"/>
      <c r="L5178" s="184"/>
      <c r="M5178" s="184"/>
      <c r="N5178" s="184"/>
      <c r="O5178" s="184"/>
    </row>
    <row r="5179" customFormat="false" ht="15" hidden="false" customHeight="true" outlineLevel="0" collapsed="false">
      <c r="A5179" s="184"/>
      <c r="B5179" s="184"/>
      <c r="C5179" s="184"/>
      <c r="D5179" s="184"/>
      <c r="E5179" s="184"/>
      <c r="F5179" s="184"/>
      <c r="G5179" s="184"/>
      <c r="H5179" s="184"/>
      <c r="I5179" s="184"/>
      <c r="J5179" s="184"/>
      <c r="K5179" s="184"/>
      <c r="L5179" s="184"/>
      <c r="M5179" s="184"/>
      <c r="N5179" s="184"/>
      <c r="O5179" s="184"/>
    </row>
    <row r="5180" customFormat="false" ht="15" hidden="false" customHeight="true" outlineLevel="0" collapsed="false">
      <c r="A5180" s="184"/>
      <c r="B5180" s="184"/>
      <c r="C5180" s="184"/>
      <c r="D5180" s="184"/>
      <c r="E5180" s="184"/>
      <c r="F5180" s="184"/>
      <c r="G5180" s="184"/>
      <c r="H5180" s="184"/>
      <c r="I5180" s="184"/>
      <c r="J5180" s="184"/>
      <c r="K5180" s="184"/>
      <c r="L5180" s="184"/>
      <c r="M5180" s="184"/>
      <c r="N5180" s="184"/>
      <c r="O5180" s="184"/>
    </row>
    <row r="5181" customFormat="false" ht="15" hidden="false" customHeight="true" outlineLevel="0" collapsed="false">
      <c r="A5181" s="184"/>
      <c r="B5181" s="184"/>
      <c r="C5181" s="184"/>
      <c r="D5181" s="184"/>
      <c r="E5181" s="184"/>
      <c r="F5181" s="184"/>
      <c r="G5181" s="184"/>
      <c r="H5181" s="184"/>
      <c r="I5181" s="184"/>
      <c r="J5181" s="184"/>
      <c r="K5181" s="184"/>
      <c r="L5181" s="184"/>
      <c r="M5181" s="184"/>
      <c r="N5181" s="184"/>
      <c r="O5181" s="184"/>
    </row>
    <row r="5182" customFormat="false" ht="15" hidden="false" customHeight="true" outlineLevel="0" collapsed="false">
      <c r="A5182" s="184"/>
      <c r="B5182" s="184"/>
      <c r="C5182" s="184"/>
      <c r="D5182" s="184"/>
      <c r="E5182" s="184"/>
      <c r="F5182" s="184"/>
      <c r="G5182" s="184"/>
      <c r="H5182" s="184"/>
      <c r="I5182" s="184"/>
      <c r="J5182" s="184"/>
      <c r="K5182" s="184"/>
      <c r="L5182" s="184"/>
      <c r="M5182" s="184"/>
      <c r="N5182" s="184"/>
      <c r="O5182" s="184"/>
    </row>
    <row r="5183" customFormat="false" ht="15" hidden="false" customHeight="true" outlineLevel="0" collapsed="false">
      <c r="A5183" s="184"/>
      <c r="B5183" s="184"/>
      <c r="C5183" s="184"/>
      <c r="D5183" s="184"/>
      <c r="E5183" s="184"/>
      <c r="F5183" s="184"/>
      <c r="G5183" s="184"/>
      <c r="H5183" s="184"/>
      <c r="I5183" s="184"/>
      <c r="J5183" s="184"/>
      <c r="K5183" s="184"/>
      <c r="L5183" s="184"/>
      <c r="M5183" s="184"/>
      <c r="N5183" s="184"/>
      <c r="O5183" s="184"/>
    </row>
    <row r="5184" customFormat="false" ht="15" hidden="false" customHeight="true" outlineLevel="0" collapsed="false">
      <c r="A5184" s="184"/>
      <c r="B5184" s="184"/>
      <c r="C5184" s="184"/>
      <c r="D5184" s="184"/>
      <c r="E5184" s="184"/>
      <c r="F5184" s="184"/>
      <c r="G5184" s="184"/>
      <c r="H5184" s="184"/>
      <c r="I5184" s="184"/>
      <c r="J5184" s="184"/>
      <c r="K5184" s="184"/>
      <c r="L5184" s="184"/>
      <c r="M5184" s="184"/>
      <c r="N5184" s="184"/>
      <c r="O5184" s="184"/>
    </row>
    <row r="5185" customFormat="false" ht="15" hidden="false" customHeight="true" outlineLevel="0" collapsed="false">
      <c r="A5185" s="184"/>
      <c r="B5185" s="184"/>
      <c r="C5185" s="184"/>
      <c r="D5185" s="184"/>
      <c r="E5185" s="184"/>
      <c r="F5185" s="184"/>
      <c r="G5185" s="184"/>
      <c r="H5185" s="184"/>
      <c r="I5185" s="184"/>
      <c r="J5185" s="184"/>
      <c r="K5185" s="184"/>
      <c r="L5185" s="184"/>
      <c r="M5185" s="184"/>
      <c r="N5185" s="184"/>
      <c r="O5185" s="184"/>
    </row>
    <row r="5186" customFormat="false" ht="15" hidden="false" customHeight="true" outlineLevel="0" collapsed="false">
      <c r="A5186" s="184"/>
      <c r="B5186" s="184"/>
      <c r="C5186" s="184"/>
      <c r="D5186" s="184"/>
      <c r="E5186" s="184"/>
      <c r="F5186" s="184"/>
      <c r="G5186" s="184"/>
      <c r="H5186" s="184"/>
      <c r="I5186" s="184"/>
      <c r="J5186" s="184"/>
      <c r="K5186" s="184"/>
      <c r="L5186" s="184"/>
      <c r="M5186" s="184"/>
      <c r="N5186" s="184"/>
      <c r="O5186" s="184"/>
    </row>
    <row r="5187" customFormat="false" ht="15" hidden="false" customHeight="true" outlineLevel="0" collapsed="false">
      <c r="A5187" s="184"/>
      <c r="B5187" s="184"/>
      <c r="C5187" s="184"/>
      <c r="D5187" s="184"/>
      <c r="E5187" s="184"/>
      <c r="F5187" s="184"/>
      <c r="G5187" s="184"/>
      <c r="H5187" s="184"/>
      <c r="I5187" s="184"/>
      <c r="J5187" s="184"/>
      <c r="K5187" s="184"/>
      <c r="L5187" s="184"/>
      <c r="M5187" s="184"/>
      <c r="N5187" s="184"/>
      <c r="O5187" s="184"/>
    </row>
    <row r="5188" customFormat="false" ht="15" hidden="false" customHeight="true" outlineLevel="0" collapsed="false">
      <c r="A5188" s="184"/>
      <c r="B5188" s="184"/>
      <c r="C5188" s="184"/>
      <c r="D5188" s="184"/>
      <c r="E5188" s="184"/>
      <c r="F5188" s="184"/>
      <c r="G5188" s="184"/>
      <c r="H5188" s="184"/>
      <c r="I5188" s="184"/>
      <c r="J5188" s="184"/>
      <c r="K5188" s="184"/>
      <c r="L5188" s="184"/>
      <c r="M5188" s="184"/>
      <c r="N5188" s="184"/>
      <c r="O5188" s="184"/>
    </row>
    <row r="5189" customFormat="false" ht="15" hidden="false" customHeight="true" outlineLevel="0" collapsed="false">
      <c r="A5189" s="184"/>
      <c r="B5189" s="184"/>
      <c r="C5189" s="184"/>
      <c r="D5189" s="184"/>
      <c r="E5189" s="184"/>
      <c r="F5189" s="184"/>
      <c r="G5189" s="184"/>
      <c r="H5189" s="184"/>
      <c r="I5189" s="184"/>
      <c r="J5189" s="184"/>
      <c r="K5189" s="184"/>
      <c r="L5189" s="184"/>
      <c r="M5189" s="184"/>
      <c r="N5189" s="184"/>
      <c r="O5189" s="184"/>
    </row>
    <row r="5190" customFormat="false" ht="15" hidden="false" customHeight="true" outlineLevel="0" collapsed="false">
      <c r="A5190" s="184"/>
      <c r="B5190" s="184"/>
      <c r="C5190" s="184"/>
      <c r="D5190" s="184"/>
      <c r="E5190" s="184"/>
      <c r="F5190" s="184"/>
      <c r="G5190" s="184"/>
      <c r="H5190" s="184"/>
      <c r="I5190" s="184"/>
      <c r="J5190" s="184"/>
      <c r="K5190" s="184"/>
      <c r="L5190" s="184"/>
      <c r="M5190" s="184"/>
      <c r="N5190" s="184"/>
      <c r="O5190" s="184"/>
    </row>
    <row r="5191" customFormat="false" ht="15" hidden="false" customHeight="true" outlineLevel="0" collapsed="false">
      <c r="A5191" s="184"/>
      <c r="B5191" s="184"/>
      <c r="C5191" s="184"/>
      <c r="D5191" s="184"/>
      <c r="E5191" s="184"/>
      <c r="F5191" s="184"/>
      <c r="G5191" s="184"/>
      <c r="H5191" s="184"/>
      <c r="I5191" s="184"/>
      <c r="J5191" s="184"/>
      <c r="K5191" s="184"/>
      <c r="L5191" s="184"/>
      <c r="M5191" s="184"/>
      <c r="N5191" s="184"/>
      <c r="O5191" s="184"/>
    </row>
    <row r="5192" customFormat="false" ht="15" hidden="false" customHeight="true" outlineLevel="0" collapsed="false">
      <c r="A5192" s="184"/>
      <c r="B5192" s="184"/>
      <c r="C5192" s="184"/>
      <c r="D5192" s="184"/>
      <c r="E5192" s="184"/>
      <c r="F5192" s="184"/>
      <c r="G5192" s="184"/>
      <c r="H5192" s="184"/>
      <c r="I5192" s="184"/>
      <c r="J5192" s="184"/>
      <c r="K5192" s="184"/>
      <c r="L5192" s="184"/>
      <c r="M5192" s="184"/>
      <c r="N5192" s="184"/>
      <c r="O5192" s="184"/>
    </row>
    <row r="5193" customFormat="false" ht="15" hidden="false" customHeight="true" outlineLevel="0" collapsed="false">
      <c r="A5193" s="184"/>
      <c r="B5193" s="184"/>
      <c r="C5193" s="184"/>
      <c r="D5193" s="184"/>
      <c r="E5193" s="184"/>
      <c r="F5193" s="184"/>
      <c r="G5193" s="184"/>
      <c r="H5193" s="184"/>
      <c r="I5193" s="184"/>
      <c r="J5193" s="184"/>
      <c r="K5193" s="184"/>
      <c r="L5193" s="184"/>
      <c r="M5193" s="184"/>
      <c r="N5193" s="184"/>
      <c r="O5193" s="184"/>
    </row>
    <row r="5194" customFormat="false" ht="15" hidden="false" customHeight="true" outlineLevel="0" collapsed="false">
      <c r="A5194" s="184"/>
      <c r="B5194" s="184"/>
      <c r="C5194" s="184"/>
      <c r="D5194" s="184"/>
      <c r="E5194" s="184"/>
      <c r="F5194" s="184"/>
      <c r="G5194" s="184"/>
      <c r="H5194" s="184"/>
      <c r="I5194" s="184"/>
      <c r="J5194" s="184"/>
      <c r="K5194" s="184"/>
      <c r="L5194" s="184"/>
      <c r="M5194" s="184"/>
      <c r="N5194" s="184"/>
      <c r="O5194" s="184"/>
    </row>
    <row r="5195" customFormat="false" ht="15" hidden="false" customHeight="true" outlineLevel="0" collapsed="false">
      <c r="A5195" s="184"/>
      <c r="B5195" s="184"/>
      <c r="C5195" s="184"/>
      <c r="D5195" s="184"/>
      <c r="E5195" s="184"/>
      <c r="F5195" s="184"/>
      <c r="G5195" s="184"/>
      <c r="H5195" s="184"/>
      <c r="I5195" s="184"/>
      <c r="J5195" s="184"/>
      <c r="K5195" s="184"/>
      <c r="L5195" s="184"/>
      <c r="M5195" s="184"/>
      <c r="N5195" s="184"/>
      <c r="O5195" s="184"/>
    </row>
    <row r="5196" customFormat="false" ht="15" hidden="false" customHeight="true" outlineLevel="0" collapsed="false">
      <c r="A5196" s="184"/>
      <c r="B5196" s="184"/>
      <c r="C5196" s="184"/>
      <c r="D5196" s="184"/>
      <c r="E5196" s="184"/>
      <c r="F5196" s="184"/>
      <c r="G5196" s="184"/>
      <c r="H5196" s="184"/>
      <c r="I5196" s="184"/>
      <c r="J5196" s="184"/>
      <c r="K5196" s="184"/>
      <c r="L5196" s="184"/>
      <c r="M5196" s="184"/>
      <c r="N5196" s="184"/>
      <c r="O5196" s="184"/>
    </row>
    <row r="5197" customFormat="false" ht="15" hidden="false" customHeight="true" outlineLevel="0" collapsed="false">
      <c r="A5197" s="184"/>
      <c r="B5197" s="184"/>
      <c r="C5197" s="184"/>
      <c r="D5197" s="184"/>
      <c r="E5197" s="184"/>
      <c r="F5197" s="184"/>
      <c r="G5197" s="184"/>
      <c r="H5197" s="184"/>
      <c r="I5197" s="184"/>
      <c r="J5197" s="184"/>
      <c r="K5197" s="184"/>
      <c r="L5197" s="184"/>
      <c r="M5197" s="184"/>
      <c r="N5197" s="184"/>
      <c r="O5197" s="184"/>
    </row>
    <row r="5198" customFormat="false" ht="15" hidden="false" customHeight="true" outlineLevel="0" collapsed="false">
      <c r="A5198" s="184"/>
      <c r="B5198" s="184"/>
      <c r="C5198" s="184"/>
      <c r="D5198" s="184"/>
      <c r="E5198" s="184"/>
      <c r="F5198" s="184"/>
      <c r="G5198" s="184"/>
      <c r="H5198" s="184"/>
      <c r="I5198" s="184"/>
      <c r="J5198" s="184"/>
      <c r="K5198" s="184"/>
      <c r="L5198" s="184"/>
      <c r="M5198" s="184"/>
      <c r="N5198" s="184"/>
      <c r="O5198" s="184"/>
    </row>
    <row r="5199" customFormat="false" ht="15" hidden="false" customHeight="true" outlineLevel="0" collapsed="false">
      <c r="A5199" s="184"/>
      <c r="B5199" s="184"/>
      <c r="C5199" s="184"/>
      <c r="D5199" s="184"/>
      <c r="E5199" s="184"/>
      <c r="F5199" s="184"/>
      <c r="G5199" s="184"/>
      <c r="H5199" s="184"/>
      <c r="I5199" s="184"/>
      <c r="J5199" s="184"/>
      <c r="K5199" s="184"/>
      <c r="L5199" s="184"/>
      <c r="M5199" s="184"/>
      <c r="N5199" s="184"/>
      <c r="O5199" s="184"/>
    </row>
    <row r="5200" customFormat="false" ht="15" hidden="false" customHeight="true" outlineLevel="0" collapsed="false">
      <c r="A5200" s="184"/>
      <c r="B5200" s="184"/>
      <c r="C5200" s="184"/>
      <c r="D5200" s="184"/>
      <c r="E5200" s="184"/>
      <c r="F5200" s="184"/>
      <c r="G5200" s="184"/>
      <c r="H5200" s="184"/>
      <c r="I5200" s="184"/>
      <c r="J5200" s="184"/>
      <c r="K5200" s="184"/>
      <c r="L5200" s="184"/>
      <c r="M5200" s="184"/>
      <c r="N5200" s="184"/>
      <c r="O5200" s="184"/>
    </row>
    <row r="5201" customFormat="false" ht="15" hidden="false" customHeight="true" outlineLevel="0" collapsed="false">
      <c r="A5201" s="184"/>
      <c r="B5201" s="184"/>
      <c r="C5201" s="184"/>
      <c r="D5201" s="184"/>
      <c r="E5201" s="184"/>
      <c r="F5201" s="184"/>
      <c r="G5201" s="184"/>
      <c r="H5201" s="184"/>
      <c r="I5201" s="184"/>
      <c r="J5201" s="184"/>
      <c r="K5201" s="184"/>
      <c r="L5201" s="184"/>
      <c r="M5201" s="184"/>
      <c r="N5201" s="184"/>
      <c r="O5201" s="184"/>
    </row>
    <row r="5202" customFormat="false" ht="15" hidden="false" customHeight="true" outlineLevel="0" collapsed="false">
      <c r="A5202" s="184"/>
      <c r="B5202" s="184"/>
      <c r="C5202" s="184"/>
      <c r="D5202" s="184"/>
      <c r="E5202" s="184"/>
      <c r="F5202" s="184"/>
      <c r="G5202" s="184"/>
      <c r="H5202" s="184"/>
      <c r="I5202" s="184"/>
      <c r="J5202" s="184"/>
      <c r="K5202" s="184"/>
      <c r="L5202" s="184"/>
      <c r="M5202" s="184"/>
      <c r="N5202" s="184"/>
      <c r="O5202" s="184"/>
    </row>
    <row r="5203" customFormat="false" ht="15" hidden="false" customHeight="true" outlineLevel="0" collapsed="false">
      <c r="A5203" s="184"/>
      <c r="B5203" s="184"/>
      <c r="C5203" s="184"/>
      <c r="D5203" s="184"/>
      <c r="E5203" s="184"/>
      <c r="F5203" s="184"/>
      <c r="G5203" s="184"/>
      <c r="H5203" s="184"/>
      <c r="I5203" s="184"/>
      <c r="J5203" s="184"/>
      <c r="K5203" s="184"/>
      <c r="L5203" s="184"/>
      <c r="M5203" s="184"/>
      <c r="N5203" s="184"/>
      <c r="O5203" s="184"/>
    </row>
    <row r="5204" customFormat="false" ht="15" hidden="false" customHeight="true" outlineLevel="0" collapsed="false">
      <c r="A5204" s="184"/>
      <c r="B5204" s="184"/>
      <c r="C5204" s="184"/>
      <c r="D5204" s="184"/>
      <c r="E5204" s="184"/>
      <c r="F5204" s="184"/>
      <c r="G5204" s="184"/>
      <c r="H5204" s="184"/>
      <c r="I5204" s="184"/>
      <c r="J5204" s="184"/>
      <c r="K5204" s="184"/>
      <c r="L5204" s="184"/>
      <c r="M5204" s="184"/>
      <c r="N5204" s="184"/>
      <c r="O5204" s="184"/>
    </row>
    <row r="5205" customFormat="false" ht="15" hidden="false" customHeight="true" outlineLevel="0" collapsed="false">
      <c r="A5205" s="184"/>
      <c r="B5205" s="184"/>
      <c r="C5205" s="184"/>
      <c r="D5205" s="184"/>
      <c r="E5205" s="184"/>
      <c r="F5205" s="184"/>
      <c r="G5205" s="184"/>
      <c r="H5205" s="184"/>
      <c r="I5205" s="184"/>
      <c r="J5205" s="184"/>
      <c r="K5205" s="184"/>
      <c r="L5205" s="184"/>
      <c r="M5205" s="184"/>
      <c r="N5205" s="184"/>
      <c r="O5205" s="184"/>
    </row>
    <row r="5206" customFormat="false" ht="15" hidden="false" customHeight="true" outlineLevel="0" collapsed="false">
      <c r="A5206" s="184"/>
      <c r="B5206" s="184"/>
      <c r="C5206" s="184"/>
      <c r="D5206" s="184"/>
      <c r="E5206" s="184"/>
      <c r="F5206" s="184"/>
      <c r="G5206" s="184"/>
      <c r="H5206" s="184"/>
      <c r="I5206" s="184"/>
      <c r="J5206" s="184"/>
      <c r="K5206" s="184"/>
      <c r="L5206" s="184"/>
      <c r="M5206" s="184"/>
      <c r="N5206" s="184"/>
      <c r="O5206" s="184"/>
    </row>
    <row r="5207" customFormat="false" ht="15" hidden="false" customHeight="true" outlineLevel="0" collapsed="false">
      <c r="A5207" s="184"/>
      <c r="B5207" s="184"/>
      <c r="C5207" s="184"/>
      <c r="D5207" s="184"/>
      <c r="E5207" s="184"/>
      <c r="F5207" s="184"/>
      <c r="G5207" s="184"/>
      <c r="H5207" s="184"/>
      <c r="I5207" s="184"/>
      <c r="J5207" s="184"/>
      <c r="K5207" s="184"/>
      <c r="L5207" s="184"/>
      <c r="M5207" s="184"/>
      <c r="N5207" s="184"/>
      <c r="O5207" s="184"/>
    </row>
    <row r="5208" customFormat="false" ht="15" hidden="false" customHeight="true" outlineLevel="0" collapsed="false">
      <c r="A5208" s="184"/>
      <c r="B5208" s="184"/>
      <c r="C5208" s="184"/>
      <c r="D5208" s="184"/>
      <c r="E5208" s="184"/>
      <c r="F5208" s="184"/>
      <c r="G5208" s="184"/>
      <c r="H5208" s="184"/>
      <c r="I5208" s="184"/>
      <c r="J5208" s="184"/>
      <c r="K5208" s="184"/>
      <c r="L5208" s="184"/>
      <c r="M5208" s="184"/>
      <c r="N5208" s="184"/>
      <c r="O5208" s="184"/>
    </row>
    <row r="5209" customFormat="false" ht="15" hidden="false" customHeight="true" outlineLevel="0" collapsed="false">
      <c r="A5209" s="184"/>
      <c r="B5209" s="184"/>
      <c r="C5209" s="184"/>
      <c r="D5209" s="184"/>
      <c r="E5209" s="184"/>
      <c r="F5209" s="184"/>
      <c r="G5209" s="184"/>
      <c r="H5209" s="184"/>
      <c r="I5209" s="184"/>
      <c r="J5209" s="184"/>
      <c r="K5209" s="184"/>
      <c r="L5209" s="184"/>
      <c r="M5209" s="184"/>
      <c r="N5209" s="184"/>
      <c r="O5209" s="184"/>
    </row>
    <row r="5210" customFormat="false" ht="15" hidden="false" customHeight="true" outlineLevel="0" collapsed="false">
      <c r="A5210" s="184"/>
      <c r="B5210" s="184"/>
      <c r="C5210" s="184"/>
      <c r="D5210" s="184"/>
      <c r="E5210" s="184"/>
      <c r="F5210" s="184"/>
      <c r="G5210" s="184"/>
      <c r="H5210" s="184"/>
      <c r="I5210" s="184"/>
      <c r="J5210" s="184"/>
      <c r="K5210" s="184"/>
      <c r="L5210" s="184"/>
      <c r="M5210" s="184"/>
      <c r="N5210" s="184"/>
      <c r="O5210" s="184"/>
    </row>
    <row r="5211" customFormat="false" ht="15" hidden="false" customHeight="true" outlineLevel="0" collapsed="false">
      <c r="A5211" s="184"/>
      <c r="B5211" s="184"/>
      <c r="C5211" s="184"/>
      <c r="D5211" s="184"/>
      <c r="E5211" s="184"/>
      <c r="F5211" s="184"/>
      <c r="G5211" s="184"/>
      <c r="H5211" s="184"/>
      <c r="I5211" s="184"/>
      <c r="J5211" s="184"/>
      <c r="K5211" s="184"/>
      <c r="L5211" s="184"/>
      <c r="M5211" s="184"/>
      <c r="N5211" s="184"/>
      <c r="O5211" s="184"/>
    </row>
    <row r="5212" customFormat="false" ht="15" hidden="false" customHeight="true" outlineLevel="0" collapsed="false">
      <c r="A5212" s="184"/>
      <c r="B5212" s="184"/>
      <c r="C5212" s="184"/>
      <c r="D5212" s="184"/>
      <c r="E5212" s="184"/>
      <c r="F5212" s="184"/>
      <c r="G5212" s="184"/>
      <c r="H5212" s="184"/>
      <c r="I5212" s="184"/>
      <c r="J5212" s="184"/>
      <c r="K5212" s="184"/>
      <c r="L5212" s="184"/>
      <c r="M5212" s="184"/>
      <c r="N5212" s="184"/>
      <c r="O5212" s="184"/>
    </row>
    <row r="5213" customFormat="false" ht="15" hidden="false" customHeight="true" outlineLevel="0" collapsed="false">
      <c r="A5213" s="184"/>
      <c r="B5213" s="184"/>
      <c r="C5213" s="184"/>
      <c r="D5213" s="184"/>
      <c r="E5213" s="184"/>
      <c r="F5213" s="184"/>
      <c r="G5213" s="184"/>
      <c r="H5213" s="184"/>
      <c r="I5213" s="184"/>
      <c r="J5213" s="184"/>
      <c r="K5213" s="184"/>
      <c r="L5213" s="184"/>
      <c r="M5213" s="184"/>
      <c r="N5213" s="184"/>
      <c r="O5213" s="184"/>
    </row>
    <row r="5214" customFormat="false" ht="15" hidden="false" customHeight="true" outlineLevel="0" collapsed="false">
      <c r="A5214" s="184"/>
      <c r="B5214" s="184"/>
      <c r="C5214" s="184"/>
      <c r="D5214" s="184"/>
      <c r="E5214" s="184"/>
      <c r="F5214" s="184"/>
      <c r="G5214" s="184"/>
      <c r="H5214" s="184"/>
      <c r="I5214" s="184"/>
      <c r="J5214" s="184"/>
      <c r="K5214" s="184"/>
      <c r="L5214" s="184"/>
      <c r="M5214" s="184"/>
      <c r="N5214" s="184"/>
      <c r="O5214" s="184"/>
    </row>
    <row r="5215" customFormat="false" ht="15" hidden="false" customHeight="true" outlineLevel="0" collapsed="false">
      <c r="A5215" s="184"/>
      <c r="B5215" s="184"/>
      <c r="C5215" s="184"/>
      <c r="D5215" s="184"/>
      <c r="E5215" s="184"/>
      <c r="F5215" s="184"/>
      <c r="G5215" s="184"/>
      <c r="H5215" s="184"/>
      <c r="I5215" s="184"/>
      <c r="J5215" s="184"/>
      <c r="K5215" s="184"/>
      <c r="L5215" s="184"/>
      <c r="M5215" s="184"/>
      <c r="N5215" s="184"/>
      <c r="O5215" s="184"/>
    </row>
    <row r="5216" customFormat="false" ht="15" hidden="false" customHeight="true" outlineLevel="0" collapsed="false">
      <c r="A5216" s="184"/>
      <c r="B5216" s="184"/>
      <c r="C5216" s="184"/>
      <c r="D5216" s="184"/>
      <c r="E5216" s="184"/>
      <c r="F5216" s="184"/>
      <c r="G5216" s="184"/>
      <c r="H5216" s="184"/>
      <c r="I5216" s="184"/>
      <c r="J5216" s="184"/>
      <c r="K5216" s="184"/>
      <c r="L5216" s="184"/>
      <c r="M5216" s="184"/>
      <c r="N5216" s="184"/>
      <c r="O5216" s="184"/>
    </row>
    <row r="5217" customFormat="false" ht="15" hidden="false" customHeight="true" outlineLevel="0" collapsed="false">
      <c r="A5217" s="184"/>
      <c r="B5217" s="184"/>
      <c r="C5217" s="184"/>
      <c r="D5217" s="184"/>
      <c r="E5217" s="184"/>
      <c r="F5217" s="184"/>
      <c r="G5217" s="184"/>
      <c r="H5217" s="184"/>
      <c r="I5217" s="184"/>
      <c r="J5217" s="184"/>
      <c r="K5217" s="184"/>
      <c r="L5217" s="184"/>
      <c r="M5217" s="184"/>
      <c r="N5217" s="184"/>
      <c r="O5217" s="184"/>
    </row>
    <row r="5218" customFormat="false" ht="15" hidden="false" customHeight="true" outlineLevel="0" collapsed="false">
      <c r="A5218" s="184"/>
      <c r="B5218" s="184"/>
      <c r="C5218" s="184"/>
      <c r="D5218" s="184"/>
      <c r="E5218" s="184"/>
      <c r="F5218" s="184"/>
      <c r="G5218" s="184"/>
      <c r="H5218" s="184"/>
      <c r="I5218" s="184"/>
      <c r="J5218" s="184"/>
      <c r="K5218" s="184"/>
      <c r="L5218" s="184"/>
      <c r="M5218" s="184"/>
      <c r="N5218" s="184"/>
      <c r="O5218" s="184"/>
    </row>
    <row r="5219" customFormat="false" ht="15" hidden="false" customHeight="true" outlineLevel="0" collapsed="false">
      <c r="A5219" s="184"/>
      <c r="B5219" s="184"/>
      <c r="C5219" s="184"/>
      <c r="D5219" s="184"/>
      <c r="E5219" s="184"/>
      <c r="F5219" s="184"/>
      <c r="G5219" s="184"/>
      <c r="H5219" s="184"/>
      <c r="I5219" s="184"/>
      <c r="J5219" s="184"/>
      <c r="K5219" s="184"/>
      <c r="L5219" s="184"/>
      <c r="M5219" s="184"/>
      <c r="N5219" s="184"/>
      <c r="O5219" s="184"/>
    </row>
    <row r="5220" customFormat="false" ht="15" hidden="false" customHeight="true" outlineLevel="0" collapsed="false">
      <c r="A5220" s="184"/>
      <c r="B5220" s="184"/>
      <c r="C5220" s="184"/>
      <c r="D5220" s="184"/>
      <c r="E5220" s="184"/>
      <c r="F5220" s="184"/>
      <c r="G5220" s="184"/>
      <c r="H5220" s="184"/>
      <c r="I5220" s="184"/>
      <c r="J5220" s="184"/>
      <c r="K5220" s="184"/>
      <c r="L5220" s="184"/>
      <c r="M5220" s="184"/>
      <c r="N5220" s="184"/>
      <c r="O5220" s="184"/>
    </row>
    <row r="5221" customFormat="false" ht="15" hidden="false" customHeight="true" outlineLevel="0" collapsed="false">
      <c r="A5221" s="184"/>
      <c r="B5221" s="184"/>
      <c r="C5221" s="184"/>
      <c r="D5221" s="184"/>
      <c r="E5221" s="184"/>
      <c r="F5221" s="184"/>
      <c r="G5221" s="184"/>
      <c r="H5221" s="184"/>
      <c r="I5221" s="184"/>
      <c r="J5221" s="184"/>
      <c r="K5221" s="184"/>
      <c r="L5221" s="184"/>
      <c r="M5221" s="184"/>
      <c r="N5221" s="184"/>
      <c r="O5221" s="184"/>
    </row>
    <row r="5222" customFormat="false" ht="15" hidden="false" customHeight="true" outlineLevel="0" collapsed="false">
      <c r="A5222" s="184"/>
      <c r="B5222" s="184"/>
      <c r="C5222" s="184"/>
      <c r="D5222" s="184"/>
      <c r="E5222" s="184"/>
      <c r="F5222" s="184"/>
      <c r="G5222" s="184"/>
      <c r="H5222" s="184"/>
      <c r="I5222" s="184"/>
      <c r="J5222" s="184"/>
      <c r="K5222" s="184"/>
      <c r="L5222" s="184"/>
      <c r="M5222" s="184"/>
      <c r="N5222" s="184"/>
      <c r="O5222" s="184"/>
    </row>
    <row r="5223" customFormat="false" ht="15" hidden="false" customHeight="true" outlineLevel="0" collapsed="false">
      <c r="A5223" s="184"/>
      <c r="B5223" s="184"/>
      <c r="C5223" s="184"/>
      <c r="D5223" s="184"/>
      <c r="E5223" s="184"/>
      <c r="F5223" s="184"/>
      <c r="G5223" s="184"/>
      <c r="H5223" s="184"/>
      <c r="I5223" s="184"/>
      <c r="J5223" s="184"/>
      <c r="K5223" s="184"/>
      <c r="L5223" s="184"/>
      <c r="M5223" s="184"/>
      <c r="N5223" s="184"/>
      <c r="O5223" s="184"/>
    </row>
    <row r="5224" customFormat="false" ht="15" hidden="false" customHeight="true" outlineLevel="0" collapsed="false">
      <c r="A5224" s="184"/>
      <c r="B5224" s="184"/>
      <c r="C5224" s="184"/>
      <c r="D5224" s="184"/>
      <c r="E5224" s="184"/>
      <c r="F5224" s="184"/>
      <c r="G5224" s="184"/>
      <c r="H5224" s="184"/>
      <c r="I5224" s="184"/>
      <c r="J5224" s="184"/>
      <c r="K5224" s="184"/>
      <c r="L5224" s="184"/>
      <c r="M5224" s="184"/>
      <c r="N5224" s="184"/>
      <c r="O5224" s="184"/>
    </row>
    <row r="5225" customFormat="false" ht="15" hidden="false" customHeight="true" outlineLevel="0" collapsed="false">
      <c r="A5225" s="184"/>
      <c r="B5225" s="184"/>
      <c r="C5225" s="184"/>
      <c r="D5225" s="184"/>
      <c r="E5225" s="184"/>
      <c r="F5225" s="184"/>
      <c r="G5225" s="184"/>
      <c r="H5225" s="184"/>
      <c r="I5225" s="184"/>
      <c r="J5225" s="184"/>
      <c r="K5225" s="184"/>
      <c r="L5225" s="184"/>
      <c r="M5225" s="184"/>
      <c r="N5225" s="184"/>
      <c r="O5225" s="184"/>
    </row>
    <row r="5226" customFormat="false" ht="15" hidden="false" customHeight="true" outlineLevel="0" collapsed="false">
      <c r="A5226" s="184"/>
      <c r="B5226" s="184"/>
      <c r="C5226" s="184"/>
      <c r="D5226" s="184"/>
      <c r="E5226" s="184"/>
      <c r="F5226" s="184"/>
      <c r="G5226" s="184"/>
      <c r="H5226" s="184"/>
      <c r="I5226" s="184"/>
      <c r="J5226" s="184"/>
      <c r="K5226" s="184"/>
      <c r="L5226" s="184"/>
      <c r="M5226" s="184"/>
      <c r="N5226" s="184"/>
      <c r="O5226" s="184"/>
    </row>
    <row r="5227" customFormat="false" ht="15" hidden="false" customHeight="true" outlineLevel="0" collapsed="false">
      <c r="A5227" s="184"/>
      <c r="B5227" s="184"/>
      <c r="C5227" s="184"/>
      <c r="D5227" s="184"/>
      <c r="E5227" s="184"/>
      <c r="F5227" s="184"/>
      <c r="G5227" s="184"/>
      <c r="H5227" s="184"/>
      <c r="I5227" s="184"/>
      <c r="J5227" s="184"/>
      <c r="K5227" s="184"/>
      <c r="L5227" s="184"/>
      <c r="M5227" s="184"/>
      <c r="N5227" s="184"/>
      <c r="O5227" s="184"/>
    </row>
    <row r="5228" customFormat="false" ht="15" hidden="false" customHeight="true" outlineLevel="0" collapsed="false">
      <c r="A5228" s="184"/>
      <c r="B5228" s="184"/>
      <c r="C5228" s="184"/>
      <c r="D5228" s="184"/>
      <c r="E5228" s="184"/>
      <c r="F5228" s="184"/>
      <c r="G5228" s="184"/>
      <c r="H5228" s="184"/>
      <c r="I5228" s="184"/>
      <c r="J5228" s="184"/>
      <c r="K5228" s="184"/>
      <c r="L5228" s="184"/>
      <c r="M5228" s="184"/>
      <c r="N5228" s="184"/>
      <c r="O5228" s="184"/>
    </row>
    <row r="5229" customFormat="false" ht="15" hidden="false" customHeight="true" outlineLevel="0" collapsed="false">
      <c r="A5229" s="184"/>
      <c r="B5229" s="184"/>
      <c r="C5229" s="184"/>
      <c r="D5229" s="184"/>
      <c r="E5229" s="184"/>
      <c r="F5229" s="184"/>
      <c r="G5229" s="184"/>
      <c r="H5229" s="184"/>
      <c r="I5229" s="184"/>
      <c r="J5229" s="184"/>
      <c r="K5229" s="184"/>
      <c r="L5229" s="184"/>
      <c r="M5229" s="184"/>
      <c r="N5229" s="184"/>
      <c r="O5229" s="184"/>
    </row>
    <row r="5230" customFormat="false" ht="15" hidden="false" customHeight="true" outlineLevel="0" collapsed="false">
      <c r="A5230" s="184"/>
      <c r="B5230" s="184"/>
      <c r="C5230" s="184"/>
      <c r="D5230" s="184"/>
      <c r="E5230" s="184"/>
      <c r="F5230" s="184"/>
      <c r="G5230" s="184"/>
      <c r="H5230" s="184"/>
      <c r="I5230" s="184"/>
      <c r="J5230" s="184"/>
      <c r="K5230" s="184"/>
      <c r="L5230" s="184"/>
      <c r="M5230" s="184"/>
      <c r="N5230" s="184"/>
      <c r="O5230" s="184"/>
    </row>
    <row r="5231" customFormat="false" ht="15" hidden="false" customHeight="true" outlineLevel="0" collapsed="false">
      <c r="A5231" s="184"/>
      <c r="B5231" s="184"/>
      <c r="C5231" s="184"/>
      <c r="D5231" s="184"/>
      <c r="E5231" s="184"/>
      <c r="F5231" s="184"/>
      <c r="G5231" s="184"/>
      <c r="H5231" s="184"/>
      <c r="I5231" s="184"/>
      <c r="J5231" s="184"/>
      <c r="K5231" s="184"/>
      <c r="L5231" s="184"/>
      <c r="M5231" s="184"/>
      <c r="N5231" s="184"/>
      <c r="O5231" s="184"/>
    </row>
    <row r="5232" customFormat="false" ht="15" hidden="false" customHeight="true" outlineLevel="0" collapsed="false">
      <c r="A5232" s="184"/>
      <c r="B5232" s="184"/>
      <c r="C5232" s="184"/>
      <c r="D5232" s="184"/>
      <c r="E5232" s="184"/>
      <c r="F5232" s="184"/>
      <c r="G5232" s="184"/>
      <c r="H5232" s="184"/>
      <c r="I5232" s="184"/>
      <c r="J5232" s="184"/>
      <c r="K5232" s="184"/>
      <c r="L5232" s="184"/>
      <c r="M5232" s="184"/>
      <c r="N5232" s="184"/>
      <c r="O5232" s="184"/>
    </row>
    <row r="5233" customFormat="false" ht="15" hidden="false" customHeight="true" outlineLevel="0" collapsed="false">
      <c r="A5233" s="184"/>
      <c r="B5233" s="184"/>
      <c r="C5233" s="184"/>
      <c r="D5233" s="184"/>
      <c r="E5233" s="184"/>
      <c r="F5233" s="184"/>
      <c r="G5233" s="184"/>
      <c r="H5233" s="184"/>
      <c r="I5233" s="184"/>
      <c r="J5233" s="184"/>
      <c r="K5233" s="184"/>
      <c r="L5233" s="184"/>
      <c r="M5233" s="184"/>
      <c r="N5233" s="184"/>
      <c r="O5233" s="184"/>
    </row>
    <row r="5234" customFormat="false" ht="15" hidden="false" customHeight="true" outlineLevel="0" collapsed="false">
      <c r="A5234" s="184"/>
      <c r="B5234" s="184"/>
      <c r="C5234" s="184"/>
      <c r="D5234" s="184"/>
      <c r="E5234" s="184"/>
      <c r="F5234" s="184"/>
      <c r="G5234" s="184"/>
      <c r="H5234" s="184"/>
      <c r="I5234" s="184"/>
      <c r="J5234" s="184"/>
      <c r="K5234" s="184"/>
      <c r="L5234" s="184"/>
      <c r="M5234" s="184"/>
      <c r="N5234" s="184"/>
      <c r="O5234" s="184"/>
    </row>
    <row r="5235" customFormat="false" ht="15" hidden="false" customHeight="true" outlineLevel="0" collapsed="false">
      <c r="A5235" s="184"/>
      <c r="B5235" s="184"/>
      <c r="C5235" s="184"/>
      <c r="D5235" s="184"/>
      <c r="E5235" s="184"/>
      <c r="F5235" s="184"/>
      <c r="G5235" s="184"/>
      <c r="H5235" s="184"/>
      <c r="I5235" s="184"/>
      <c r="J5235" s="184"/>
      <c r="K5235" s="184"/>
      <c r="L5235" s="184"/>
      <c r="M5235" s="184"/>
      <c r="N5235" s="184"/>
      <c r="O5235" s="184"/>
    </row>
    <row r="5236" customFormat="false" ht="15" hidden="false" customHeight="true" outlineLevel="0" collapsed="false">
      <c r="A5236" s="184"/>
      <c r="B5236" s="184"/>
      <c r="C5236" s="184"/>
      <c r="D5236" s="184"/>
      <c r="E5236" s="184"/>
      <c r="F5236" s="184"/>
      <c r="G5236" s="184"/>
      <c r="H5236" s="184"/>
      <c r="I5236" s="184"/>
      <c r="J5236" s="184"/>
      <c r="K5236" s="184"/>
      <c r="L5236" s="184"/>
      <c r="M5236" s="184"/>
      <c r="N5236" s="184"/>
      <c r="O5236" s="184"/>
    </row>
    <row r="5237" customFormat="false" ht="15" hidden="false" customHeight="true" outlineLevel="0" collapsed="false">
      <c r="A5237" s="184"/>
      <c r="B5237" s="184"/>
      <c r="C5237" s="184"/>
      <c r="D5237" s="184"/>
      <c r="E5237" s="184"/>
      <c r="F5237" s="184"/>
      <c r="G5237" s="184"/>
      <c r="H5237" s="184"/>
      <c r="I5237" s="184"/>
      <c r="J5237" s="184"/>
      <c r="K5237" s="184"/>
      <c r="L5237" s="184"/>
      <c r="M5237" s="184"/>
      <c r="N5237" s="184"/>
      <c r="O5237" s="184"/>
    </row>
    <row r="5238" customFormat="false" ht="15" hidden="false" customHeight="true" outlineLevel="0" collapsed="false">
      <c r="A5238" s="184"/>
      <c r="B5238" s="184"/>
      <c r="C5238" s="184"/>
      <c r="D5238" s="184"/>
      <c r="E5238" s="184"/>
      <c r="F5238" s="184"/>
      <c r="G5238" s="184"/>
      <c r="H5238" s="184"/>
      <c r="I5238" s="184"/>
      <c r="J5238" s="184"/>
      <c r="K5238" s="184"/>
      <c r="L5238" s="184"/>
      <c r="M5238" s="184"/>
      <c r="N5238" s="184"/>
      <c r="O5238" s="184"/>
    </row>
    <row r="5239" customFormat="false" ht="15" hidden="false" customHeight="true" outlineLevel="0" collapsed="false">
      <c r="A5239" s="184"/>
      <c r="B5239" s="184"/>
      <c r="C5239" s="184"/>
      <c r="D5239" s="184"/>
      <c r="E5239" s="184"/>
      <c r="F5239" s="184"/>
      <c r="G5239" s="184"/>
      <c r="H5239" s="184"/>
      <c r="I5239" s="184"/>
      <c r="J5239" s="184"/>
      <c r="K5239" s="184"/>
      <c r="L5239" s="184"/>
      <c r="M5239" s="184"/>
      <c r="N5239" s="184"/>
      <c r="O5239" s="184"/>
    </row>
    <row r="5240" customFormat="false" ht="15" hidden="false" customHeight="true" outlineLevel="0" collapsed="false">
      <c r="A5240" s="184"/>
      <c r="B5240" s="184"/>
      <c r="C5240" s="184"/>
      <c r="D5240" s="184"/>
      <c r="E5240" s="184"/>
      <c r="F5240" s="184"/>
      <c r="G5240" s="184"/>
      <c r="H5240" s="184"/>
      <c r="I5240" s="184"/>
      <c r="J5240" s="184"/>
      <c r="K5240" s="184"/>
      <c r="L5240" s="184"/>
      <c r="M5240" s="184"/>
      <c r="N5240" s="184"/>
      <c r="O5240" s="184"/>
    </row>
    <row r="5241" customFormat="false" ht="15" hidden="false" customHeight="true" outlineLevel="0" collapsed="false">
      <c r="A5241" s="184"/>
      <c r="B5241" s="184"/>
      <c r="C5241" s="184"/>
      <c r="D5241" s="184"/>
      <c r="E5241" s="184"/>
      <c r="F5241" s="184"/>
      <c r="G5241" s="184"/>
      <c r="H5241" s="184"/>
      <c r="I5241" s="184"/>
      <c r="J5241" s="184"/>
      <c r="K5241" s="184"/>
      <c r="L5241" s="184"/>
      <c r="M5241" s="184"/>
      <c r="N5241" s="184"/>
      <c r="O5241" s="184"/>
    </row>
    <row r="5242" customFormat="false" ht="15" hidden="false" customHeight="true" outlineLevel="0" collapsed="false">
      <c r="A5242" s="184"/>
      <c r="B5242" s="184"/>
      <c r="C5242" s="184"/>
      <c r="D5242" s="184"/>
      <c r="E5242" s="184"/>
      <c r="F5242" s="184"/>
      <c r="G5242" s="184"/>
      <c r="H5242" s="184"/>
      <c r="I5242" s="184"/>
      <c r="J5242" s="184"/>
      <c r="K5242" s="184"/>
      <c r="L5242" s="184"/>
      <c r="M5242" s="184"/>
      <c r="N5242" s="184"/>
      <c r="O5242" s="184"/>
    </row>
    <row r="5243" customFormat="false" ht="15" hidden="false" customHeight="true" outlineLevel="0" collapsed="false">
      <c r="A5243" s="184"/>
      <c r="B5243" s="184"/>
      <c r="C5243" s="184"/>
      <c r="D5243" s="184"/>
      <c r="E5243" s="184"/>
      <c r="F5243" s="184"/>
      <c r="G5243" s="184"/>
      <c r="H5243" s="184"/>
      <c r="I5243" s="184"/>
      <c r="J5243" s="184"/>
      <c r="K5243" s="184"/>
      <c r="L5243" s="184"/>
      <c r="M5243" s="184"/>
      <c r="N5243" s="184"/>
      <c r="O5243" s="184"/>
    </row>
    <row r="5244" customFormat="false" ht="15" hidden="false" customHeight="true" outlineLevel="0" collapsed="false">
      <c r="A5244" s="184"/>
      <c r="B5244" s="184"/>
      <c r="C5244" s="184"/>
      <c r="D5244" s="184"/>
      <c r="E5244" s="184"/>
      <c r="F5244" s="184"/>
      <c r="G5244" s="184"/>
      <c r="H5244" s="184"/>
      <c r="I5244" s="184"/>
      <c r="J5244" s="184"/>
      <c r="K5244" s="184"/>
      <c r="L5244" s="184"/>
      <c r="M5244" s="184"/>
      <c r="N5244" s="184"/>
      <c r="O5244" s="184"/>
    </row>
    <row r="5245" customFormat="false" ht="15" hidden="false" customHeight="true" outlineLevel="0" collapsed="false">
      <c r="A5245" s="184"/>
      <c r="B5245" s="184"/>
      <c r="C5245" s="184"/>
      <c r="D5245" s="184"/>
      <c r="E5245" s="184"/>
      <c r="F5245" s="184"/>
      <c r="G5245" s="184"/>
      <c r="H5245" s="184"/>
      <c r="I5245" s="184"/>
      <c r="J5245" s="184"/>
      <c r="K5245" s="184"/>
      <c r="L5245" s="184"/>
      <c r="M5245" s="184"/>
      <c r="N5245" s="184"/>
      <c r="O5245" s="184"/>
    </row>
    <row r="5246" customFormat="false" ht="15" hidden="false" customHeight="true" outlineLevel="0" collapsed="false">
      <c r="A5246" s="184"/>
      <c r="B5246" s="184"/>
      <c r="C5246" s="184"/>
      <c r="D5246" s="184"/>
      <c r="E5246" s="184"/>
      <c r="F5246" s="184"/>
      <c r="G5246" s="184"/>
      <c r="H5246" s="184"/>
      <c r="I5246" s="184"/>
      <c r="J5246" s="184"/>
      <c r="K5246" s="184"/>
      <c r="L5246" s="184"/>
      <c r="M5246" s="184"/>
      <c r="N5246" s="184"/>
      <c r="O5246" s="184"/>
    </row>
    <row r="5247" customFormat="false" ht="15" hidden="false" customHeight="true" outlineLevel="0" collapsed="false">
      <c r="A5247" s="184"/>
      <c r="B5247" s="184"/>
      <c r="C5247" s="184"/>
      <c r="D5247" s="184"/>
      <c r="E5247" s="184"/>
      <c r="F5247" s="184"/>
      <c r="G5247" s="184"/>
      <c r="H5247" s="184"/>
      <c r="I5247" s="184"/>
      <c r="J5247" s="184"/>
      <c r="K5247" s="184"/>
      <c r="L5247" s="184"/>
      <c r="M5247" s="184"/>
      <c r="N5247" s="184"/>
      <c r="O5247" s="184"/>
    </row>
    <row r="5248" customFormat="false" ht="15" hidden="false" customHeight="true" outlineLevel="0" collapsed="false">
      <c r="A5248" s="184"/>
      <c r="B5248" s="184"/>
      <c r="C5248" s="184"/>
      <c r="D5248" s="184"/>
      <c r="E5248" s="184"/>
      <c r="F5248" s="184"/>
      <c r="G5248" s="184"/>
      <c r="H5248" s="184"/>
      <c r="I5248" s="184"/>
      <c r="J5248" s="184"/>
      <c r="K5248" s="184"/>
      <c r="L5248" s="184"/>
      <c r="M5248" s="184"/>
      <c r="N5248" s="184"/>
      <c r="O5248" s="184"/>
    </row>
    <row r="5249" customFormat="false" ht="15" hidden="false" customHeight="true" outlineLevel="0" collapsed="false">
      <c r="A5249" s="184"/>
      <c r="B5249" s="184"/>
      <c r="C5249" s="184"/>
      <c r="D5249" s="184"/>
      <c r="E5249" s="184"/>
      <c r="F5249" s="184"/>
      <c r="G5249" s="184"/>
      <c r="H5249" s="184"/>
      <c r="I5249" s="184"/>
      <c r="J5249" s="184"/>
      <c r="K5249" s="184"/>
      <c r="L5249" s="184"/>
      <c r="M5249" s="184"/>
      <c r="N5249" s="184"/>
      <c r="O5249" s="184"/>
    </row>
    <row r="5250" customFormat="false" ht="15" hidden="false" customHeight="true" outlineLevel="0" collapsed="false">
      <c r="A5250" s="184"/>
      <c r="B5250" s="184"/>
      <c r="C5250" s="184"/>
      <c r="D5250" s="184"/>
      <c r="E5250" s="184"/>
      <c r="F5250" s="184"/>
      <c r="G5250" s="184"/>
      <c r="H5250" s="184"/>
      <c r="I5250" s="184"/>
      <c r="J5250" s="184"/>
      <c r="K5250" s="184"/>
      <c r="L5250" s="184"/>
      <c r="M5250" s="184"/>
      <c r="N5250" s="184"/>
      <c r="O5250" s="184"/>
    </row>
    <row r="5251" customFormat="false" ht="15" hidden="false" customHeight="true" outlineLevel="0" collapsed="false">
      <c r="A5251" s="184"/>
      <c r="B5251" s="184"/>
      <c r="C5251" s="184"/>
      <c r="D5251" s="184"/>
      <c r="E5251" s="184"/>
      <c r="F5251" s="184"/>
      <c r="G5251" s="184"/>
      <c r="H5251" s="184"/>
      <c r="I5251" s="184"/>
      <c r="J5251" s="184"/>
      <c r="K5251" s="184"/>
      <c r="L5251" s="184"/>
      <c r="M5251" s="184"/>
      <c r="N5251" s="184"/>
      <c r="O5251" s="184"/>
    </row>
    <row r="5252" customFormat="false" ht="15" hidden="false" customHeight="true" outlineLevel="0" collapsed="false">
      <c r="A5252" s="184"/>
      <c r="B5252" s="184"/>
      <c r="C5252" s="184"/>
      <c r="D5252" s="184"/>
      <c r="E5252" s="184"/>
      <c r="F5252" s="184"/>
      <c r="G5252" s="184"/>
      <c r="H5252" s="184"/>
      <c r="I5252" s="184"/>
      <c r="J5252" s="184"/>
      <c r="K5252" s="184"/>
      <c r="L5252" s="184"/>
      <c r="M5252" s="184"/>
      <c r="N5252" s="184"/>
      <c r="O5252" s="184"/>
    </row>
    <row r="5253" customFormat="false" ht="15" hidden="false" customHeight="true" outlineLevel="0" collapsed="false">
      <c r="A5253" s="184"/>
      <c r="B5253" s="184"/>
      <c r="C5253" s="184"/>
      <c r="D5253" s="184"/>
      <c r="E5253" s="184"/>
      <c r="F5253" s="184"/>
      <c r="G5253" s="184"/>
      <c r="H5253" s="184"/>
      <c r="I5253" s="184"/>
      <c r="J5253" s="184"/>
      <c r="K5253" s="184"/>
      <c r="L5253" s="184"/>
      <c r="M5253" s="184"/>
      <c r="N5253" s="184"/>
      <c r="O5253" s="184"/>
    </row>
    <row r="5254" customFormat="false" ht="15" hidden="false" customHeight="true" outlineLevel="0" collapsed="false">
      <c r="A5254" s="184"/>
      <c r="B5254" s="184"/>
      <c r="C5254" s="184"/>
      <c r="D5254" s="184"/>
      <c r="E5254" s="184"/>
      <c r="F5254" s="184"/>
      <c r="G5254" s="184"/>
      <c r="H5254" s="184"/>
      <c r="I5254" s="184"/>
      <c r="J5254" s="184"/>
      <c r="K5254" s="184"/>
      <c r="L5254" s="184"/>
      <c r="M5254" s="184"/>
      <c r="N5254" s="184"/>
      <c r="O5254" s="184"/>
    </row>
    <row r="5255" customFormat="false" ht="15" hidden="false" customHeight="true" outlineLevel="0" collapsed="false">
      <c r="A5255" s="184"/>
      <c r="B5255" s="184"/>
      <c r="C5255" s="184"/>
      <c r="D5255" s="184"/>
      <c r="E5255" s="184"/>
      <c r="F5255" s="184"/>
      <c r="G5255" s="184"/>
      <c r="H5255" s="184"/>
      <c r="I5255" s="184"/>
      <c r="J5255" s="184"/>
      <c r="K5255" s="184"/>
      <c r="L5255" s="184"/>
      <c r="M5255" s="184"/>
      <c r="N5255" s="184"/>
      <c r="O5255" s="184"/>
    </row>
    <row r="5256" customFormat="false" ht="15" hidden="false" customHeight="true" outlineLevel="0" collapsed="false">
      <c r="A5256" s="184"/>
      <c r="B5256" s="184"/>
      <c r="C5256" s="184"/>
      <c r="D5256" s="184"/>
      <c r="E5256" s="184"/>
      <c r="F5256" s="184"/>
      <c r="G5256" s="184"/>
      <c r="H5256" s="184"/>
      <c r="I5256" s="184"/>
      <c r="J5256" s="184"/>
      <c r="K5256" s="184"/>
      <c r="L5256" s="184"/>
      <c r="M5256" s="184"/>
      <c r="N5256" s="184"/>
      <c r="O5256" s="184"/>
    </row>
    <row r="5257" customFormat="false" ht="15" hidden="false" customHeight="true" outlineLevel="0" collapsed="false">
      <c r="A5257" s="184"/>
      <c r="B5257" s="184"/>
      <c r="C5257" s="184"/>
      <c r="D5257" s="184"/>
      <c r="E5257" s="184"/>
      <c r="F5257" s="184"/>
      <c r="G5257" s="184"/>
      <c r="H5257" s="184"/>
      <c r="I5257" s="184"/>
      <c r="J5257" s="184"/>
      <c r="K5257" s="184"/>
      <c r="L5257" s="184"/>
      <c r="M5257" s="184"/>
      <c r="N5257" s="184"/>
      <c r="O5257" s="184"/>
    </row>
    <row r="5258" customFormat="false" ht="15" hidden="false" customHeight="true" outlineLevel="0" collapsed="false">
      <c r="A5258" s="184"/>
      <c r="B5258" s="184"/>
      <c r="C5258" s="184"/>
      <c r="D5258" s="184"/>
      <c r="E5258" s="184"/>
      <c r="F5258" s="184"/>
      <c r="G5258" s="184"/>
      <c r="H5258" s="184"/>
      <c r="I5258" s="184"/>
      <c r="J5258" s="184"/>
      <c r="K5258" s="184"/>
      <c r="L5258" s="184"/>
      <c r="M5258" s="184"/>
      <c r="N5258" s="184"/>
      <c r="O5258" s="184"/>
    </row>
    <row r="5259" customFormat="false" ht="15" hidden="false" customHeight="true" outlineLevel="0" collapsed="false">
      <c r="A5259" s="184"/>
      <c r="B5259" s="184"/>
      <c r="C5259" s="184"/>
      <c r="D5259" s="184"/>
      <c r="E5259" s="184"/>
      <c r="F5259" s="184"/>
      <c r="G5259" s="184"/>
      <c r="H5259" s="184"/>
      <c r="I5259" s="184"/>
      <c r="J5259" s="184"/>
      <c r="K5259" s="184"/>
      <c r="L5259" s="184"/>
      <c r="M5259" s="184"/>
      <c r="N5259" s="184"/>
      <c r="O5259" s="184"/>
    </row>
    <row r="5260" customFormat="false" ht="15" hidden="false" customHeight="true" outlineLevel="0" collapsed="false">
      <c r="A5260" s="184"/>
      <c r="B5260" s="184"/>
      <c r="C5260" s="184"/>
      <c r="D5260" s="184"/>
      <c r="E5260" s="184"/>
      <c r="F5260" s="184"/>
      <c r="G5260" s="184"/>
      <c r="H5260" s="184"/>
      <c r="I5260" s="184"/>
      <c r="J5260" s="184"/>
      <c r="K5260" s="184"/>
      <c r="L5260" s="184"/>
      <c r="M5260" s="184"/>
      <c r="N5260" s="184"/>
      <c r="O5260" s="184"/>
    </row>
    <row r="5261" customFormat="false" ht="15" hidden="false" customHeight="true" outlineLevel="0" collapsed="false">
      <c r="A5261" s="184"/>
      <c r="B5261" s="184"/>
      <c r="C5261" s="184"/>
      <c r="D5261" s="184"/>
      <c r="E5261" s="184"/>
      <c r="F5261" s="184"/>
      <c r="G5261" s="184"/>
      <c r="H5261" s="184"/>
      <c r="I5261" s="184"/>
      <c r="J5261" s="184"/>
      <c r="K5261" s="184"/>
      <c r="L5261" s="184"/>
      <c r="M5261" s="184"/>
      <c r="N5261" s="184"/>
      <c r="O5261" s="184"/>
    </row>
    <row r="5262" customFormat="false" ht="15" hidden="false" customHeight="true" outlineLevel="0" collapsed="false">
      <c r="A5262" s="184"/>
      <c r="B5262" s="184"/>
      <c r="C5262" s="184"/>
      <c r="D5262" s="184"/>
      <c r="E5262" s="184"/>
      <c r="F5262" s="184"/>
      <c r="G5262" s="184"/>
      <c r="H5262" s="184"/>
      <c r="I5262" s="184"/>
      <c r="J5262" s="184"/>
      <c r="K5262" s="184"/>
      <c r="L5262" s="184"/>
      <c r="M5262" s="184"/>
      <c r="N5262" s="184"/>
      <c r="O5262" s="184"/>
    </row>
    <row r="5263" customFormat="false" ht="15" hidden="false" customHeight="true" outlineLevel="0" collapsed="false">
      <c r="A5263" s="184"/>
      <c r="B5263" s="184"/>
      <c r="C5263" s="184"/>
      <c r="D5263" s="184"/>
      <c r="E5263" s="184"/>
      <c r="F5263" s="184"/>
      <c r="G5263" s="184"/>
      <c r="H5263" s="184"/>
      <c r="I5263" s="184"/>
      <c r="J5263" s="184"/>
      <c r="K5263" s="184"/>
      <c r="L5263" s="184"/>
      <c r="M5263" s="184"/>
      <c r="N5263" s="184"/>
      <c r="O5263" s="184"/>
    </row>
    <row r="5264" customFormat="false" ht="15" hidden="false" customHeight="true" outlineLevel="0" collapsed="false">
      <c r="A5264" s="184"/>
      <c r="B5264" s="184"/>
      <c r="C5264" s="184"/>
      <c r="D5264" s="184"/>
      <c r="E5264" s="184"/>
      <c r="F5264" s="184"/>
      <c r="G5264" s="184"/>
      <c r="H5264" s="184"/>
      <c r="I5264" s="184"/>
      <c r="J5264" s="184"/>
      <c r="K5264" s="184"/>
      <c r="L5264" s="184"/>
      <c r="M5264" s="184"/>
      <c r="N5264" s="184"/>
      <c r="O5264" s="184"/>
    </row>
    <row r="5265" customFormat="false" ht="15" hidden="false" customHeight="true" outlineLevel="0" collapsed="false">
      <c r="A5265" s="184"/>
      <c r="B5265" s="184"/>
      <c r="C5265" s="184"/>
      <c r="D5265" s="184"/>
      <c r="E5265" s="184"/>
      <c r="F5265" s="184"/>
      <c r="G5265" s="184"/>
      <c r="H5265" s="184"/>
      <c r="I5265" s="184"/>
      <c r="J5265" s="184"/>
      <c r="K5265" s="184"/>
      <c r="L5265" s="184"/>
      <c r="M5265" s="184"/>
      <c r="N5265" s="184"/>
      <c r="O5265" s="184"/>
    </row>
    <row r="5266" customFormat="false" ht="15" hidden="false" customHeight="true" outlineLevel="0" collapsed="false">
      <c r="A5266" s="184"/>
      <c r="B5266" s="184"/>
      <c r="C5266" s="184"/>
      <c r="D5266" s="184"/>
      <c r="E5266" s="184"/>
      <c r="F5266" s="184"/>
      <c r="G5266" s="184"/>
      <c r="H5266" s="184"/>
      <c r="I5266" s="184"/>
      <c r="J5266" s="184"/>
      <c r="K5266" s="184"/>
      <c r="L5266" s="184"/>
      <c r="M5266" s="184"/>
      <c r="N5266" s="184"/>
      <c r="O5266" s="184"/>
    </row>
    <row r="5267" customFormat="false" ht="15" hidden="false" customHeight="true" outlineLevel="0" collapsed="false">
      <c r="A5267" s="184"/>
      <c r="B5267" s="184"/>
      <c r="C5267" s="184"/>
      <c r="D5267" s="184"/>
      <c r="E5267" s="184"/>
      <c r="F5267" s="184"/>
      <c r="G5267" s="184"/>
      <c r="H5267" s="184"/>
      <c r="I5267" s="184"/>
      <c r="J5267" s="184"/>
      <c r="K5267" s="184"/>
      <c r="L5267" s="184"/>
      <c r="M5267" s="184"/>
      <c r="N5267" s="184"/>
      <c r="O5267" s="184"/>
    </row>
    <row r="5268" customFormat="false" ht="15" hidden="false" customHeight="true" outlineLevel="0" collapsed="false">
      <c r="A5268" s="184"/>
      <c r="B5268" s="184"/>
      <c r="C5268" s="184"/>
      <c r="D5268" s="184"/>
      <c r="E5268" s="184"/>
      <c r="F5268" s="184"/>
      <c r="G5268" s="184"/>
      <c r="H5268" s="184"/>
      <c r="I5268" s="184"/>
      <c r="J5268" s="184"/>
      <c r="K5268" s="184"/>
      <c r="L5268" s="184"/>
      <c r="M5268" s="184"/>
      <c r="N5268" s="184"/>
      <c r="O5268" s="184"/>
    </row>
    <row r="5269" customFormat="false" ht="15" hidden="false" customHeight="true" outlineLevel="0" collapsed="false">
      <c r="A5269" s="184"/>
      <c r="B5269" s="184"/>
      <c r="C5269" s="184"/>
      <c r="D5269" s="184"/>
      <c r="E5269" s="184"/>
      <c r="F5269" s="184"/>
      <c r="G5269" s="184"/>
      <c r="H5269" s="184"/>
      <c r="I5269" s="184"/>
      <c r="J5269" s="184"/>
      <c r="K5269" s="184"/>
      <c r="L5269" s="184"/>
      <c r="M5269" s="184"/>
      <c r="N5269" s="184"/>
      <c r="O5269" s="184"/>
    </row>
    <row r="5270" customFormat="false" ht="15" hidden="false" customHeight="true" outlineLevel="0" collapsed="false">
      <c r="A5270" s="184"/>
      <c r="B5270" s="184"/>
      <c r="C5270" s="184"/>
      <c r="D5270" s="184"/>
      <c r="E5270" s="184"/>
      <c r="F5270" s="184"/>
      <c r="G5270" s="184"/>
      <c r="H5270" s="184"/>
      <c r="I5270" s="184"/>
      <c r="J5270" s="184"/>
      <c r="K5270" s="184"/>
      <c r="L5270" s="184"/>
      <c r="M5270" s="184"/>
      <c r="N5270" s="184"/>
      <c r="O5270" s="184"/>
    </row>
    <row r="5271" customFormat="false" ht="15" hidden="false" customHeight="true" outlineLevel="0" collapsed="false">
      <c r="A5271" s="184"/>
      <c r="B5271" s="184"/>
      <c r="C5271" s="184"/>
      <c r="D5271" s="184"/>
      <c r="E5271" s="184"/>
      <c r="F5271" s="184"/>
      <c r="G5271" s="184"/>
      <c r="H5271" s="184"/>
      <c r="I5271" s="184"/>
      <c r="J5271" s="184"/>
      <c r="K5271" s="184"/>
      <c r="L5271" s="184"/>
      <c r="M5271" s="184"/>
      <c r="N5271" s="184"/>
      <c r="O5271" s="184"/>
    </row>
    <row r="5272" customFormat="false" ht="15" hidden="false" customHeight="true" outlineLevel="0" collapsed="false">
      <c r="A5272" s="184"/>
      <c r="B5272" s="184"/>
      <c r="C5272" s="184"/>
      <c r="D5272" s="184"/>
      <c r="E5272" s="184"/>
      <c r="F5272" s="184"/>
      <c r="G5272" s="184"/>
      <c r="H5272" s="184"/>
      <c r="I5272" s="184"/>
      <c r="J5272" s="184"/>
      <c r="K5272" s="184"/>
      <c r="L5272" s="184"/>
      <c r="M5272" s="184"/>
      <c r="N5272" s="184"/>
      <c r="O5272" s="184"/>
    </row>
    <row r="5273" customFormat="false" ht="15" hidden="false" customHeight="true" outlineLevel="0" collapsed="false">
      <c r="A5273" s="184"/>
      <c r="B5273" s="184"/>
      <c r="C5273" s="184"/>
      <c r="D5273" s="184"/>
      <c r="E5273" s="184"/>
      <c r="F5273" s="184"/>
      <c r="G5273" s="184"/>
      <c r="H5273" s="184"/>
      <c r="I5273" s="184"/>
      <c r="J5273" s="184"/>
      <c r="K5273" s="184"/>
      <c r="L5273" s="184"/>
      <c r="M5273" s="184"/>
      <c r="N5273" s="184"/>
      <c r="O5273" s="184"/>
    </row>
    <row r="5274" customFormat="false" ht="15" hidden="false" customHeight="true" outlineLevel="0" collapsed="false">
      <c r="A5274" s="184"/>
      <c r="B5274" s="184"/>
      <c r="C5274" s="184"/>
      <c r="D5274" s="184"/>
      <c r="E5274" s="184"/>
      <c r="F5274" s="184"/>
      <c r="G5274" s="184"/>
      <c r="H5274" s="184"/>
      <c r="I5274" s="184"/>
      <c r="J5274" s="184"/>
      <c r="K5274" s="184"/>
      <c r="L5274" s="184"/>
      <c r="M5274" s="184"/>
      <c r="N5274" s="184"/>
      <c r="O5274" s="184"/>
    </row>
    <row r="5275" customFormat="false" ht="15" hidden="false" customHeight="true" outlineLevel="0" collapsed="false">
      <c r="A5275" s="184"/>
      <c r="B5275" s="184"/>
      <c r="C5275" s="184"/>
      <c r="D5275" s="184"/>
      <c r="E5275" s="184"/>
      <c r="F5275" s="184"/>
      <c r="G5275" s="184"/>
      <c r="H5275" s="184"/>
      <c r="I5275" s="184"/>
      <c r="J5275" s="184"/>
      <c r="K5275" s="184"/>
      <c r="L5275" s="184"/>
      <c r="M5275" s="184"/>
      <c r="N5275" s="184"/>
      <c r="O5275" s="184"/>
    </row>
    <row r="5276" customFormat="false" ht="15" hidden="false" customHeight="true" outlineLevel="0" collapsed="false">
      <c r="A5276" s="184"/>
      <c r="B5276" s="184"/>
      <c r="C5276" s="184"/>
      <c r="D5276" s="184"/>
      <c r="E5276" s="184"/>
      <c r="F5276" s="184"/>
      <c r="G5276" s="184"/>
      <c r="H5276" s="184"/>
      <c r="I5276" s="184"/>
      <c r="J5276" s="184"/>
      <c r="K5276" s="184"/>
      <c r="L5276" s="184"/>
      <c r="M5276" s="184"/>
      <c r="N5276" s="184"/>
      <c r="O5276" s="184"/>
    </row>
    <row r="5277" customFormat="false" ht="15" hidden="false" customHeight="true" outlineLevel="0" collapsed="false">
      <c r="A5277" s="184"/>
      <c r="B5277" s="184"/>
      <c r="C5277" s="184"/>
      <c r="D5277" s="184"/>
      <c r="E5277" s="184"/>
      <c r="F5277" s="184"/>
      <c r="G5277" s="184"/>
      <c r="H5277" s="184"/>
      <c r="I5277" s="184"/>
      <c r="J5277" s="184"/>
      <c r="K5277" s="184"/>
      <c r="L5277" s="184"/>
      <c r="M5277" s="184"/>
      <c r="N5277" s="184"/>
      <c r="O5277" s="184"/>
    </row>
    <row r="5278" customFormat="false" ht="15" hidden="false" customHeight="true" outlineLevel="0" collapsed="false">
      <c r="A5278" s="184"/>
      <c r="B5278" s="184"/>
      <c r="C5278" s="184"/>
      <c r="D5278" s="184"/>
      <c r="E5278" s="184"/>
      <c r="F5278" s="184"/>
      <c r="G5278" s="184"/>
      <c r="H5278" s="184"/>
      <c r="I5278" s="184"/>
      <c r="J5278" s="184"/>
      <c r="K5278" s="184"/>
      <c r="L5278" s="184"/>
      <c r="M5278" s="184"/>
      <c r="N5278" s="184"/>
      <c r="O5278" s="184"/>
    </row>
    <row r="5279" customFormat="false" ht="15" hidden="false" customHeight="true" outlineLevel="0" collapsed="false">
      <c r="A5279" s="184"/>
      <c r="B5279" s="184"/>
      <c r="C5279" s="184"/>
      <c r="D5279" s="184"/>
      <c r="E5279" s="184"/>
      <c r="F5279" s="184"/>
      <c r="G5279" s="184"/>
      <c r="H5279" s="184"/>
      <c r="I5279" s="184"/>
      <c r="J5279" s="184"/>
      <c r="K5279" s="184"/>
      <c r="L5279" s="184"/>
      <c r="M5279" s="184"/>
      <c r="N5279" s="184"/>
      <c r="O5279" s="184"/>
    </row>
    <row r="5280" customFormat="false" ht="15" hidden="false" customHeight="true" outlineLevel="0" collapsed="false">
      <c r="A5280" s="184"/>
      <c r="B5280" s="184"/>
      <c r="C5280" s="184"/>
      <c r="D5280" s="184"/>
      <c r="E5280" s="184"/>
      <c r="F5280" s="184"/>
      <c r="G5280" s="184"/>
      <c r="H5280" s="184"/>
      <c r="I5280" s="184"/>
      <c r="J5280" s="184"/>
      <c r="K5280" s="184"/>
      <c r="L5280" s="184"/>
      <c r="M5280" s="184"/>
      <c r="N5280" s="184"/>
      <c r="O5280" s="184"/>
    </row>
    <row r="5281" customFormat="false" ht="15" hidden="false" customHeight="true" outlineLevel="0" collapsed="false">
      <c r="A5281" s="184"/>
      <c r="B5281" s="184"/>
      <c r="C5281" s="184"/>
      <c r="D5281" s="184"/>
      <c r="E5281" s="184"/>
      <c r="F5281" s="184"/>
      <c r="G5281" s="184"/>
      <c r="H5281" s="184"/>
      <c r="I5281" s="184"/>
      <c r="J5281" s="184"/>
      <c r="K5281" s="184"/>
      <c r="L5281" s="184"/>
      <c r="M5281" s="184"/>
      <c r="N5281" s="184"/>
      <c r="O5281" s="184"/>
    </row>
    <row r="5282" customFormat="false" ht="15" hidden="false" customHeight="true" outlineLevel="0" collapsed="false">
      <c r="A5282" s="184"/>
      <c r="B5282" s="184"/>
      <c r="C5282" s="184"/>
      <c r="D5282" s="184"/>
      <c r="E5282" s="184"/>
      <c r="F5282" s="184"/>
      <c r="G5282" s="184"/>
      <c r="H5282" s="184"/>
      <c r="I5282" s="184"/>
      <c r="J5282" s="184"/>
      <c r="K5282" s="184"/>
      <c r="L5282" s="184"/>
      <c r="M5282" s="184"/>
      <c r="N5282" s="184"/>
      <c r="O5282" s="184"/>
    </row>
    <row r="5283" customFormat="false" ht="15" hidden="false" customHeight="true" outlineLevel="0" collapsed="false">
      <c r="A5283" s="184"/>
      <c r="B5283" s="184"/>
      <c r="C5283" s="184"/>
      <c r="D5283" s="184"/>
      <c r="E5283" s="184"/>
      <c r="F5283" s="184"/>
      <c r="G5283" s="184"/>
      <c r="H5283" s="184"/>
      <c r="I5283" s="184"/>
      <c r="J5283" s="184"/>
      <c r="K5283" s="184"/>
      <c r="L5283" s="184"/>
      <c r="M5283" s="184"/>
      <c r="N5283" s="184"/>
      <c r="O5283" s="184"/>
    </row>
    <row r="5284" customFormat="false" ht="15" hidden="false" customHeight="true" outlineLevel="0" collapsed="false">
      <c r="A5284" s="184"/>
      <c r="B5284" s="184"/>
      <c r="C5284" s="184"/>
      <c r="D5284" s="184"/>
      <c r="E5284" s="184"/>
      <c r="F5284" s="184"/>
      <c r="G5284" s="184"/>
      <c r="H5284" s="184"/>
      <c r="I5284" s="184"/>
      <c r="J5284" s="184"/>
      <c r="K5284" s="184"/>
      <c r="L5284" s="184"/>
      <c r="M5284" s="184"/>
      <c r="N5284" s="184"/>
      <c r="O5284" s="184"/>
    </row>
    <row r="5285" customFormat="false" ht="15" hidden="false" customHeight="true" outlineLevel="0" collapsed="false">
      <c r="A5285" s="184"/>
      <c r="B5285" s="184"/>
      <c r="C5285" s="184"/>
      <c r="D5285" s="184"/>
      <c r="E5285" s="184"/>
      <c r="F5285" s="184"/>
      <c r="G5285" s="184"/>
      <c r="H5285" s="184"/>
      <c r="I5285" s="184"/>
      <c r="J5285" s="184"/>
      <c r="K5285" s="184"/>
      <c r="L5285" s="184"/>
      <c r="M5285" s="184"/>
      <c r="N5285" s="184"/>
      <c r="O5285" s="184"/>
    </row>
    <row r="5286" customFormat="false" ht="15" hidden="false" customHeight="true" outlineLevel="0" collapsed="false">
      <c r="A5286" s="184"/>
      <c r="B5286" s="184"/>
      <c r="C5286" s="184"/>
      <c r="D5286" s="184"/>
      <c r="E5286" s="184"/>
      <c r="F5286" s="184"/>
      <c r="G5286" s="184"/>
      <c r="H5286" s="184"/>
      <c r="I5286" s="184"/>
      <c r="J5286" s="184"/>
      <c r="K5286" s="184"/>
      <c r="L5286" s="184"/>
      <c r="M5286" s="184"/>
      <c r="N5286" s="184"/>
      <c r="O5286" s="184"/>
    </row>
    <row r="5287" customFormat="false" ht="15" hidden="false" customHeight="true" outlineLevel="0" collapsed="false">
      <c r="A5287" s="184"/>
      <c r="B5287" s="184"/>
      <c r="C5287" s="184"/>
      <c r="D5287" s="184"/>
      <c r="E5287" s="184"/>
      <c r="F5287" s="184"/>
      <c r="G5287" s="184"/>
      <c r="H5287" s="184"/>
      <c r="I5287" s="184"/>
      <c r="J5287" s="184"/>
      <c r="K5287" s="184"/>
      <c r="L5287" s="184"/>
      <c r="M5287" s="184"/>
      <c r="N5287" s="184"/>
      <c r="O5287" s="184"/>
    </row>
    <row r="5288" customFormat="false" ht="15" hidden="false" customHeight="true" outlineLevel="0" collapsed="false">
      <c r="A5288" s="184"/>
      <c r="B5288" s="184"/>
      <c r="C5288" s="184"/>
      <c r="D5288" s="184"/>
      <c r="E5288" s="184"/>
      <c r="F5288" s="184"/>
      <c r="G5288" s="184"/>
      <c r="H5288" s="184"/>
      <c r="I5288" s="184"/>
      <c r="J5288" s="184"/>
      <c r="K5288" s="184"/>
      <c r="L5288" s="184"/>
      <c r="M5288" s="184"/>
      <c r="N5288" s="184"/>
      <c r="O5288" s="184"/>
    </row>
    <row r="5289" customFormat="false" ht="15" hidden="false" customHeight="true" outlineLevel="0" collapsed="false">
      <c r="A5289" s="184"/>
      <c r="B5289" s="184"/>
      <c r="C5289" s="184"/>
      <c r="D5289" s="184"/>
      <c r="E5289" s="184"/>
      <c r="F5289" s="184"/>
      <c r="G5289" s="184"/>
      <c r="H5289" s="184"/>
      <c r="I5289" s="184"/>
      <c r="J5289" s="184"/>
      <c r="K5289" s="184"/>
      <c r="L5289" s="184"/>
      <c r="M5289" s="184"/>
      <c r="N5289" s="184"/>
      <c r="O5289" s="184"/>
    </row>
    <row r="5290" customFormat="false" ht="15" hidden="false" customHeight="true" outlineLevel="0" collapsed="false">
      <c r="A5290" s="184"/>
      <c r="B5290" s="184"/>
      <c r="C5290" s="184"/>
      <c r="D5290" s="184"/>
      <c r="E5290" s="184"/>
      <c r="F5290" s="184"/>
      <c r="G5290" s="184"/>
      <c r="H5290" s="184"/>
      <c r="I5290" s="184"/>
      <c r="J5290" s="184"/>
      <c r="K5290" s="184"/>
      <c r="L5290" s="184"/>
      <c r="M5290" s="184"/>
      <c r="N5290" s="184"/>
      <c r="O5290" s="184"/>
    </row>
    <row r="5291" customFormat="false" ht="15" hidden="false" customHeight="true" outlineLevel="0" collapsed="false">
      <c r="A5291" s="184"/>
      <c r="B5291" s="184"/>
      <c r="C5291" s="184"/>
      <c r="D5291" s="184"/>
      <c r="E5291" s="184"/>
      <c r="F5291" s="184"/>
      <c r="G5291" s="184"/>
      <c r="H5291" s="184"/>
      <c r="I5291" s="184"/>
      <c r="J5291" s="184"/>
      <c r="K5291" s="184"/>
      <c r="L5291" s="184"/>
      <c r="M5291" s="184"/>
      <c r="N5291" s="184"/>
      <c r="O5291" s="184"/>
    </row>
    <row r="5292" customFormat="false" ht="15" hidden="false" customHeight="true" outlineLevel="0" collapsed="false">
      <c r="A5292" s="184"/>
      <c r="B5292" s="184"/>
      <c r="C5292" s="184"/>
      <c r="D5292" s="184"/>
      <c r="E5292" s="184"/>
      <c r="F5292" s="184"/>
      <c r="G5292" s="184"/>
      <c r="H5292" s="184"/>
      <c r="I5292" s="184"/>
      <c r="J5292" s="184"/>
      <c r="K5292" s="184"/>
      <c r="L5292" s="184"/>
      <c r="M5292" s="184"/>
      <c r="N5292" s="184"/>
      <c r="O5292" s="184"/>
    </row>
    <row r="5293" customFormat="false" ht="15" hidden="false" customHeight="true" outlineLevel="0" collapsed="false">
      <c r="A5293" s="184"/>
      <c r="B5293" s="184"/>
      <c r="C5293" s="184"/>
      <c r="D5293" s="184"/>
      <c r="E5293" s="184"/>
      <c r="F5293" s="184"/>
      <c r="G5293" s="184"/>
      <c r="H5293" s="184"/>
      <c r="I5293" s="184"/>
      <c r="J5293" s="184"/>
      <c r="K5293" s="184"/>
      <c r="L5293" s="184"/>
      <c r="M5293" s="184"/>
      <c r="N5293" s="184"/>
      <c r="O5293" s="184"/>
    </row>
    <row r="5294" customFormat="false" ht="15" hidden="false" customHeight="true" outlineLevel="0" collapsed="false">
      <c r="A5294" s="184"/>
      <c r="B5294" s="184"/>
      <c r="C5294" s="184"/>
      <c r="D5294" s="184"/>
      <c r="E5294" s="184"/>
      <c r="F5294" s="184"/>
      <c r="G5294" s="184"/>
      <c r="H5294" s="184"/>
      <c r="I5294" s="184"/>
      <c r="J5294" s="184"/>
      <c r="K5294" s="184"/>
      <c r="L5294" s="184"/>
      <c r="M5294" s="184"/>
      <c r="N5294" s="184"/>
      <c r="O5294" s="184"/>
    </row>
    <row r="5295" customFormat="false" ht="15" hidden="false" customHeight="true" outlineLevel="0" collapsed="false">
      <c r="A5295" s="184"/>
      <c r="B5295" s="184"/>
      <c r="C5295" s="184"/>
      <c r="D5295" s="184"/>
      <c r="E5295" s="184"/>
      <c r="F5295" s="184"/>
      <c r="G5295" s="184"/>
      <c r="H5295" s="184"/>
      <c r="I5295" s="184"/>
      <c r="J5295" s="184"/>
      <c r="K5295" s="184"/>
      <c r="L5295" s="184"/>
      <c r="M5295" s="184"/>
      <c r="N5295" s="184"/>
      <c r="O5295" s="184"/>
    </row>
    <row r="5296" customFormat="false" ht="15" hidden="false" customHeight="true" outlineLevel="0" collapsed="false">
      <c r="A5296" s="184"/>
      <c r="B5296" s="184"/>
      <c r="C5296" s="184"/>
      <c r="D5296" s="184"/>
      <c r="E5296" s="184"/>
      <c r="F5296" s="184"/>
      <c r="G5296" s="184"/>
      <c r="H5296" s="184"/>
      <c r="I5296" s="184"/>
      <c r="J5296" s="184"/>
      <c r="K5296" s="184"/>
      <c r="L5296" s="184"/>
      <c r="M5296" s="184"/>
      <c r="N5296" s="184"/>
      <c r="O5296" s="184"/>
    </row>
    <row r="5297" customFormat="false" ht="15" hidden="false" customHeight="true" outlineLevel="0" collapsed="false">
      <c r="A5297" s="184"/>
      <c r="B5297" s="184"/>
      <c r="C5297" s="184"/>
      <c r="D5297" s="184"/>
      <c r="E5297" s="184"/>
      <c r="F5297" s="184"/>
      <c r="G5297" s="184"/>
      <c r="H5297" s="184"/>
      <c r="I5297" s="184"/>
      <c r="J5297" s="184"/>
      <c r="K5297" s="184"/>
      <c r="L5297" s="184"/>
      <c r="M5297" s="184"/>
      <c r="N5297" s="184"/>
      <c r="O5297" s="184"/>
    </row>
    <row r="5298" customFormat="false" ht="15" hidden="false" customHeight="true" outlineLevel="0" collapsed="false">
      <c r="A5298" s="184"/>
      <c r="B5298" s="184"/>
      <c r="C5298" s="184"/>
      <c r="D5298" s="184"/>
      <c r="E5298" s="184"/>
      <c r="F5298" s="184"/>
      <c r="G5298" s="184"/>
      <c r="H5298" s="184"/>
      <c r="I5298" s="184"/>
      <c r="J5298" s="184"/>
      <c r="K5298" s="184"/>
      <c r="L5298" s="184"/>
      <c r="M5298" s="184"/>
      <c r="N5298" s="184"/>
      <c r="O5298" s="184"/>
    </row>
    <row r="5299" customFormat="false" ht="15" hidden="false" customHeight="true" outlineLevel="0" collapsed="false">
      <c r="A5299" s="184"/>
      <c r="B5299" s="184"/>
      <c r="C5299" s="184"/>
      <c r="D5299" s="184"/>
      <c r="E5299" s="184"/>
      <c r="F5299" s="184"/>
      <c r="G5299" s="184"/>
      <c r="H5299" s="184"/>
      <c r="I5299" s="184"/>
      <c r="J5299" s="184"/>
      <c r="K5299" s="184"/>
      <c r="L5299" s="184"/>
      <c r="M5299" s="184"/>
      <c r="N5299" s="184"/>
      <c r="O5299" s="184"/>
    </row>
    <row r="5300" customFormat="false" ht="15" hidden="false" customHeight="true" outlineLevel="0" collapsed="false">
      <c r="A5300" s="184"/>
      <c r="B5300" s="184"/>
      <c r="C5300" s="184"/>
      <c r="D5300" s="184"/>
      <c r="E5300" s="184"/>
      <c r="F5300" s="184"/>
      <c r="G5300" s="184"/>
      <c r="H5300" s="184"/>
      <c r="I5300" s="184"/>
      <c r="J5300" s="184"/>
      <c r="K5300" s="184"/>
      <c r="L5300" s="184"/>
      <c r="M5300" s="184"/>
      <c r="N5300" s="184"/>
      <c r="O5300" s="184"/>
    </row>
    <row r="5301" customFormat="false" ht="15" hidden="false" customHeight="true" outlineLevel="0" collapsed="false">
      <c r="A5301" s="184"/>
      <c r="B5301" s="184"/>
      <c r="C5301" s="184"/>
      <c r="D5301" s="184"/>
      <c r="E5301" s="184"/>
      <c r="F5301" s="184"/>
      <c r="G5301" s="184"/>
      <c r="H5301" s="184"/>
      <c r="I5301" s="184"/>
      <c r="J5301" s="184"/>
      <c r="K5301" s="184"/>
      <c r="L5301" s="184"/>
      <c r="M5301" s="184"/>
      <c r="N5301" s="184"/>
      <c r="O5301" s="184"/>
    </row>
    <row r="5302" customFormat="false" ht="15" hidden="false" customHeight="true" outlineLevel="0" collapsed="false">
      <c r="A5302" s="184"/>
      <c r="B5302" s="184"/>
      <c r="C5302" s="184"/>
      <c r="D5302" s="184"/>
      <c r="E5302" s="184"/>
      <c r="F5302" s="184"/>
      <c r="G5302" s="184"/>
      <c r="H5302" s="184"/>
      <c r="I5302" s="184"/>
      <c r="J5302" s="184"/>
      <c r="K5302" s="184"/>
      <c r="L5302" s="184"/>
      <c r="M5302" s="184"/>
      <c r="N5302" s="184"/>
      <c r="O5302" s="184"/>
    </row>
    <row r="5303" customFormat="false" ht="15" hidden="false" customHeight="true" outlineLevel="0" collapsed="false">
      <c r="A5303" s="184"/>
      <c r="B5303" s="184"/>
      <c r="C5303" s="184"/>
      <c r="D5303" s="184"/>
      <c r="E5303" s="184"/>
      <c r="F5303" s="184"/>
      <c r="G5303" s="184"/>
      <c r="H5303" s="184"/>
      <c r="I5303" s="184"/>
      <c r="J5303" s="184"/>
      <c r="K5303" s="184"/>
      <c r="L5303" s="184"/>
      <c r="M5303" s="184"/>
      <c r="N5303" s="184"/>
      <c r="O5303" s="184"/>
    </row>
    <row r="5304" customFormat="false" ht="15" hidden="false" customHeight="true" outlineLevel="0" collapsed="false">
      <c r="A5304" s="184"/>
      <c r="B5304" s="184"/>
      <c r="C5304" s="184"/>
      <c r="D5304" s="184"/>
      <c r="E5304" s="184"/>
      <c r="F5304" s="184"/>
      <c r="G5304" s="184"/>
      <c r="H5304" s="184"/>
      <c r="I5304" s="184"/>
      <c r="J5304" s="184"/>
      <c r="K5304" s="184"/>
      <c r="L5304" s="184"/>
      <c r="M5304" s="184"/>
      <c r="N5304" s="184"/>
      <c r="O5304" s="184"/>
    </row>
    <row r="5305" customFormat="false" ht="15" hidden="false" customHeight="true" outlineLevel="0" collapsed="false">
      <c r="A5305" s="184"/>
      <c r="B5305" s="184"/>
      <c r="C5305" s="184"/>
      <c r="D5305" s="184"/>
      <c r="E5305" s="184"/>
      <c r="F5305" s="184"/>
      <c r="G5305" s="184"/>
      <c r="H5305" s="184"/>
      <c r="I5305" s="184"/>
      <c r="J5305" s="184"/>
      <c r="K5305" s="184"/>
      <c r="L5305" s="184"/>
      <c r="M5305" s="184"/>
      <c r="N5305" s="184"/>
      <c r="O5305" s="184"/>
    </row>
    <row r="5306" customFormat="false" ht="15" hidden="false" customHeight="true" outlineLevel="0" collapsed="false">
      <c r="A5306" s="184"/>
      <c r="B5306" s="184"/>
      <c r="C5306" s="184"/>
      <c r="D5306" s="184"/>
      <c r="E5306" s="184"/>
      <c r="F5306" s="184"/>
      <c r="G5306" s="184"/>
      <c r="H5306" s="184"/>
      <c r="I5306" s="184"/>
      <c r="J5306" s="184"/>
      <c r="K5306" s="184"/>
      <c r="L5306" s="184"/>
      <c r="M5306" s="184"/>
      <c r="N5306" s="184"/>
      <c r="O5306" s="184"/>
    </row>
    <row r="5307" customFormat="false" ht="15" hidden="false" customHeight="true" outlineLevel="0" collapsed="false">
      <c r="A5307" s="184"/>
      <c r="B5307" s="184"/>
      <c r="C5307" s="184"/>
      <c r="D5307" s="184"/>
      <c r="E5307" s="184"/>
      <c r="F5307" s="184"/>
      <c r="G5307" s="184"/>
      <c r="H5307" s="184"/>
      <c r="I5307" s="184"/>
      <c r="J5307" s="184"/>
      <c r="K5307" s="184"/>
      <c r="L5307" s="184"/>
      <c r="M5307" s="184"/>
      <c r="N5307" s="184"/>
      <c r="O5307" s="184"/>
    </row>
    <row r="5308" customFormat="false" ht="15" hidden="false" customHeight="true" outlineLevel="0" collapsed="false">
      <c r="A5308" s="184"/>
      <c r="B5308" s="184"/>
      <c r="C5308" s="184"/>
      <c r="D5308" s="184"/>
      <c r="E5308" s="184"/>
      <c r="F5308" s="184"/>
      <c r="G5308" s="184"/>
      <c r="H5308" s="184"/>
      <c r="I5308" s="184"/>
      <c r="J5308" s="184"/>
      <c r="K5308" s="184"/>
      <c r="L5308" s="184"/>
      <c r="M5308" s="184"/>
      <c r="N5308" s="184"/>
      <c r="O5308" s="184"/>
    </row>
    <row r="5309" customFormat="false" ht="15" hidden="false" customHeight="true" outlineLevel="0" collapsed="false">
      <c r="A5309" s="184"/>
      <c r="B5309" s="184"/>
      <c r="C5309" s="184"/>
      <c r="D5309" s="184"/>
      <c r="E5309" s="184"/>
      <c r="F5309" s="184"/>
      <c r="G5309" s="184"/>
      <c r="H5309" s="184"/>
      <c r="I5309" s="184"/>
      <c r="J5309" s="184"/>
      <c r="K5309" s="184"/>
      <c r="L5309" s="184"/>
      <c r="M5309" s="184"/>
      <c r="N5309" s="184"/>
      <c r="O5309" s="184"/>
    </row>
    <row r="5310" customFormat="false" ht="15" hidden="false" customHeight="true" outlineLevel="0" collapsed="false">
      <c r="A5310" s="184"/>
      <c r="B5310" s="184"/>
      <c r="C5310" s="184"/>
      <c r="D5310" s="184"/>
      <c r="E5310" s="184"/>
      <c r="F5310" s="184"/>
      <c r="G5310" s="184"/>
      <c r="H5310" s="184"/>
      <c r="I5310" s="184"/>
      <c r="J5310" s="184"/>
      <c r="K5310" s="184"/>
      <c r="L5310" s="184"/>
      <c r="M5310" s="184"/>
      <c r="N5310" s="184"/>
      <c r="O5310" s="184"/>
    </row>
    <row r="5311" customFormat="false" ht="15" hidden="false" customHeight="true" outlineLevel="0" collapsed="false">
      <c r="A5311" s="184"/>
      <c r="B5311" s="184"/>
      <c r="C5311" s="184"/>
      <c r="D5311" s="184"/>
      <c r="E5311" s="184"/>
      <c r="F5311" s="184"/>
      <c r="G5311" s="184"/>
      <c r="H5311" s="184"/>
      <c r="I5311" s="184"/>
      <c r="J5311" s="184"/>
      <c r="K5311" s="184"/>
      <c r="L5311" s="184"/>
      <c r="M5311" s="184"/>
      <c r="N5311" s="184"/>
      <c r="O5311" s="184"/>
    </row>
    <row r="5312" customFormat="false" ht="15" hidden="false" customHeight="true" outlineLevel="0" collapsed="false">
      <c r="A5312" s="184"/>
      <c r="B5312" s="184"/>
      <c r="C5312" s="184"/>
      <c r="D5312" s="184"/>
      <c r="E5312" s="184"/>
      <c r="F5312" s="184"/>
      <c r="G5312" s="184"/>
      <c r="H5312" s="184"/>
      <c r="I5312" s="184"/>
      <c r="J5312" s="184"/>
      <c r="K5312" s="184"/>
      <c r="L5312" s="184"/>
      <c r="M5312" s="184"/>
      <c r="N5312" s="184"/>
      <c r="O5312" s="184"/>
    </row>
    <row r="5313" customFormat="false" ht="15" hidden="false" customHeight="true" outlineLevel="0" collapsed="false">
      <c r="A5313" s="184"/>
      <c r="B5313" s="184"/>
      <c r="C5313" s="184"/>
      <c r="D5313" s="184"/>
      <c r="E5313" s="184"/>
      <c r="F5313" s="184"/>
      <c r="G5313" s="184"/>
      <c r="H5313" s="184"/>
      <c r="I5313" s="184"/>
      <c r="J5313" s="184"/>
      <c r="K5313" s="184"/>
      <c r="L5313" s="184"/>
      <c r="M5313" s="184"/>
      <c r="N5313" s="184"/>
      <c r="O5313" s="184"/>
    </row>
    <row r="5314" customFormat="false" ht="15" hidden="false" customHeight="true" outlineLevel="0" collapsed="false">
      <c r="A5314" s="184"/>
      <c r="B5314" s="184"/>
      <c r="C5314" s="184"/>
      <c r="D5314" s="184"/>
      <c r="E5314" s="184"/>
      <c r="F5314" s="184"/>
      <c r="G5314" s="184"/>
      <c r="H5314" s="184"/>
      <c r="I5314" s="184"/>
      <c r="J5314" s="184"/>
      <c r="K5314" s="184"/>
      <c r="L5314" s="184"/>
      <c r="M5314" s="184"/>
      <c r="N5314" s="184"/>
      <c r="O5314" s="184"/>
    </row>
    <row r="5315" customFormat="false" ht="15" hidden="false" customHeight="true" outlineLevel="0" collapsed="false">
      <c r="A5315" s="184"/>
      <c r="B5315" s="184"/>
      <c r="C5315" s="184"/>
      <c r="D5315" s="184"/>
      <c r="E5315" s="184"/>
      <c r="F5315" s="184"/>
      <c r="G5315" s="184"/>
      <c r="H5315" s="184"/>
      <c r="I5315" s="184"/>
      <c r="J5315" s="184"/>
      <c r="K5315" s="184"/>
      <c r="L5315" s="184"/>
      <c r="M5315" s="184"/>
      <c r="N5315" s="184"/>
      <c r="O5315" s="184"/>
    </row>
    <row r="5316" customFormat="false" ht="15" hidden="false" customHeight="true" outlineLevel="0" collapsed="false">
      <c r="A5316" s="184"/>
      <c r="B5316" s="184"/>
      <c r="C5316" s="184"/>
      <c r="D5316" s="184"/>
      <c r="E5316" s="184"/>
      <c r="F5316" s="184"/>
      <c r="G5316" s="184"/>
      <c r="H5316" s="184"/>
      <c r="I5316" s="184"/>
      <c r="J5316" s="184"/>
      <c r="K5316" s="184"/>
      <c r="L5316" s="184"/>
      <c r="M5316" s="184"/>
      <c r="N5316" s="184"/>
      <c r="O5316" s="184"/>
    </row>
    <row r="5317" customFormat="false" ht="15" hidden="false" customHeight="true" outlineLevel="0" collapsed="false">
      <c r="A5317" s="184"/>
      <c r="B5317" s="184"/>
      <c r="C5317" s="184"/>
      <c r="D5317" s="184"/>
      <c r="E5317" s="184"/>
      <c r="F5317" s="184"/>
      <c r="G5317" s="184"/>
      <c r="H5317" s="184"/>
      <c r="I5317" s="184"/>
      <c r="J5317" s="184"/>
      <c r="K5317" s="184"/>
      <c r="L5317" s="184"/>
      <c r="M5317" s="184"/>
      <c r="N5317" s="184"/>
      <c r="O5317" s="184"/>
    </row>
    <row r="5318" customFormat="false" ht="15" hidden="false" customHeight="true" outlineLevel="0" collapsed="false">
      <c r="A5318" s="184"/>
      <c r="B5318" s="184"/>
      <c r="C5318" s="184"/>
      <c r="D5318" s="184"/>
      <c r="E5318" s="184"/>
      <c r="F5318" s="184"/>
      <c r="G5318" s="184"/>
      <c r="H5318" s="184"/>
      <c r="I5318" s="184"/>
      <c r="J5318" s="184"/>
      <c r="K5318" s="184"/>
      <c r="L5318" s="184"/>
      <c r="M5318" s="184"/>
      <c r="N5318" s="184"/>
      <c r="O5318" s="184"/>
    </row>
    <row r="5319" customFormat="false" ht="15" hidden="false" customHeight="true" outlineLevel="0" collapsed="false">
      <c r="A5319" s="184"/>
      <c r="B5319" s="184"/>
      <c r="C5319" s="184"/>
      <c r="D5319" s="184"/>
      <c r="E5319" s="184"/>
      <c r="F5319" s="184"/>
      <c r="G5319" s="184"/>
      <c r="H5319" s="184"/>
      <c r="I5319" s="184"/>
      <c r="J5319" s="184"/>
      <c r="K5319" s="184"/>
      <c r="L5319" s="184"/>
      <c r="M5319" s="184"/>
      <c r="N5319" s="184"/>
      <c r="O5319" s="184"/>
    </row>
    <row r="5320" customFormat="false" ht="15" hidden="false" customHeight="true" outlineLevel="0" collapsed="false">
      <c r="A5320" s="184"/>
      <c r="B5320" s="184"/>
      <c r="C5320" s="184"/>
      <c r="D5320" s="184"/>
      <c r="E5320" s="184"/>
      <c r="F5320" s="184"/>
      <c r="G5320" s="184"/>
      <c r="H5320" s="184"/>
      <c r="I5320" s="184"/>
      <c r="J5320" s="184"/>
      <c r="K5320" s="184"/>
      <c r="L5320" s="184"/>
      <c r="M5320" s="184"/>
      <c r="N5320" s="184"/>
      <c r="O5320" s="184"/>
    </row>
    <row r="5321" customFormat="false" ht="15" hidden="false" customHeight="true" outlineLevel="0" collapsed="false">
      <c r="A5321" s="184"/>
      <c r="B5321" s="184"/>
      <c r="C5321" s="184"/>
      <c r="D5321" s="184"/>
      <c r="E5321" s="184"/>
      <c r="F5321" s="184"/>
      <c r="G5321" s="184"/>
      <c r="H5321" s="184"/>
      <c r="I5321" s="184"/>
      <c r="J5321" s="184"/>
      <c r="K5321" s="184"/>
      <c r="L5321" s="184"/>
      <c r="M5321" s="184"/>
      <c r="N5321" s="184"/>
      <c r="O5321" s="184"/>
    </row>
    <row r="5322" customFormat="false" ht="15" hidden="false" customHeight="true" outlineLevel="0" collapsed="false">
      <c r="A5322" s="184"/>
      <c r="B5322" s="184"/>
      <c r="C5322" s="184"/>
      <c r="D5322" s="184"/>
      <c r="E5322" s="184"/>
      <c r="F5322" s="184"/>
      <c r="G5322" s="184"/>
      <c r="H5322" s="184"/>
      <c r="I5322" s="184"/>
      <c r="J5322" s="184"/>
      <c r="K5322" s="184"/>
      <c r="L5322" s="184"/>
      <c r="M5322" s="184"/>
      <c r="N5322" s="184"/>
      <c r="O5322" s="184"/>
    </row>
    <row r="5323" customFormat="false" ht="15" hidden="false" customHeight="true" outlineLevel="0" collapsed="false">
      <c r="A5323" s="184"/>
      <c r="B5323" s="184"/>
      <c r="C5323" s="184"/>
      <c r="D5323" s="184"/>
      <c r="E5323" s="184"/>
      <c r="F5323" s="184"/>
      <c r="G5323" s="184"/>
      <c r="H5323" s="184"/>
      <c r="I5323" s="184"/>
      <c r="J5323" s="184"/>
      <c r="K5323" s="184"/>
      <c r="L5323" s="184"/>
      <c r="M5323" s="184"/>
      <c r="N5323" s="184"/>
      <c r="O5323" s="184"/>
    </row>
    <row r="5324" customFormat="false" ht="15" hidden="false" customHeight="true" outlineLevel="0" collapsed="false">
      <c r="A5324" s="184"/>
      <c r="B5324" s="184"/>
      <c r="C5324" s="184"/>
      <c r="D5324" s="184"/>
      <c r="E5324" s="184"/>
      <c r="F5324" s="184"/>
      <c r="G5324" s="184"/>
      <c r="H5324" s="184"/>
      <c r="I5324" s="184"/>
      <c r="J5324" s="184"/>
      <c r="K5324" s="184"/>
      <c r="L5324" s="184"/>
      <c r="M5324" s="184"/>
      <c r="N5324" s="184"/>
      <c r="O5324" s="184"/>
    </row>
    <row r="5325" customFormat="false" ht="15" hidden="false" customHeight="true" outlineLevel="0" collapsed="false">
      <c r="A5325" s="184"/>
      <c r="B5325" s="184"/>
      <c r="C5325" s="184"/>
      <c r="D5325" s="184"/>
      <c r="E5325" s="184"/>
      <c r="F5325" s="184"/>
      <c r="G5325" s="184"/>
      <c r="H5325" s="184"/>
      <c r="I5325" s="184"/>
      <c r="J5325" s="184"/>
      <c r="K5325" s="184"/>
      <c r="L5325" s="184"/>
      <c r="M5325" s="184"/>
      <c r="N5325" s="184"/>
      <c r="O5325" s="184"/>
    </row>
    <row r="5326" customFormat="false" ht="15" hidden="false" customHeight="true" outlineLevel="0" collapsed="false">
      <c r="A5326" s="184"/>
      <c r="B5326" s="184"/>
      <c r="C5326" s="184"/>
      <c r="D5326" s="184"/>
      <c r="E5326" s="184"/>
      <c r="F5326" s="184"/>
      <c r="G5326" s="184"/>
      <c r="H5326" s="184"/>
      <c r="I5326" s="184"/>
      <c r="J5326" s="184"/>
      <c r="K5326" s="184"/>
      <c r="L5326" s="184"/>
      <c r="M5326" s="184"/>
      <c r="N5326" s="184"/>
      <c r="O5326" s="184"/>
    </row>
    <row r="5327" customFormat="false" ht="15" hidden="false" customHeight="true" outlineLevel="0" collapsed="false">
      <c r="A5327" s="184"/>
      <c r="B5327" s="184"/>
      <c r="C5327" s="184"/>
      <c r="D5327" s="184"/>
      <c r="E5327" s="184"/>
      <c r="F5327" s="184"/>
      <c r="G5327" s="184"/>
      <c r="H5327" s="184"/>
      <c r="I5327" s="184"/>
      <c r="J5327" s="184"/>
      <c r="K5327" s="184"/>
      <c r="L5327" s="184"/>
      <c r="M5327" s="184"/>
      <c r="N5327" s="184"/>
      <c r="O5327" s="184"/>
    </row>
    <row r="5328" customFormat="false" ht="15" hidden="false" customHeight="true" outlineLevel="0" collapsed="false">
      <c r="A5328" s="184"/>
      <c r="B5328" s="184"/>
      <c r="C5328" s="184"/>
      <c r="D5328" s="184"/>
      <c r="E5328" s="184"/>
      <c r="F5328" s="184"/>
      <c r="G5328" s="184"/>
      <c r="H5328" s="184"/>
      <c r="I5328" s="184"/>
      <c r="J5328" s="184"/>
      <c r="K5328" s="184"/>
      <c r="L5328" s="184"/>
      <c r="M5328" s="184"/>
      <c r="N5328" s="184"/>
      <c r="O5328" s="184"/>
    </row>
    <row r="5329" customFormat="false" ht="15" hidden="false" customHeight="true" outlineLevel="0" collapsed="false">
      <c r="A5329" s="184"/>
      <c r="B5329" s="184"/>
      <c r="C5329" s="184"/>
      <c r="D5329" s="184"/>
      <c r="E5329" s="184"/>
      <c r="F5329" s="184"/>
      <c r="G5329" s="184"/>
      <c r="H5329" s="184"/>
      <c r="I5329" s="184"/>
      <c r="J5329" s="184"/>
      <c r="K5329" s="184"/>
      <c r="L5329" s="184"/>
      <c r="M5329" s="184"/>
      <c r="N5329" s="184"/>
      <c r="O5329" s="184"/>
    </row>
    <row r="5330" customFormat="false" ht="15" hidden="false" customHeight="true" outlineLevel="0" collapsed="false">
      <c r="A5330" s="184"/>
      <c r="B5330" s="184"/>
      <c r="C5330" s="184"/>
      <c r="D5330" s="184"/>
      <c r="E5330" s="184"/>
      <c r="F5330" s="184"/>
      <c r="G5330" s="184"/>
      <c r="H5330" s="184"/>
      <c r="I5330" s="184"/>
      <c r="J5330" s="184"/>
      <c r="K5330" s="184"/>
      <c r="L5330" s="184"/>
      <c r="M5330" s="184"/>
      <c r="N5330" s="184"/>
      <c r="O5330" s="184"/>
    </row>
    <row r="5331" customFormat="false" ht="15" hidden="false" customHeight="true" outlineLevel="0" collapsed="false">
      <c r="A5331" s="184"/>
      <c r="B5331" s="184"/>
      <c r="C5331" s="184"/>
      <c r="D5331" s="184"/>
      <c r="E5331" s="184"/>
      <c r="F5331" s="184"/>
      <c r="G5331" s="184"/>
      <c r="H5331" s="184"/>
      <c r="I5331" s="184"/>
      <c r="J5331" s="184"/>
      <c r="K5331" s="184"/>
      <c r="L5331" s="184"/>
      <c r="M5331" s="184"/>
      <c r="N5331" s="184"/>
      <c r="O5331" s="184"/>
    </row>
    <row r="5332" customFormat="false" ht="15" hidden="false" customHeight="true" outlineLevel="0" collapsed="false">
      <c r="A5332" s="184"/>
      <c r="B5332" s="184"/>
      <c r="C5332" s="184"/>
      <c r="D5332" s="184"/>
      <c r="E5332" s="184"/>
      <c r="F5332" s="184"/>
      <c r="G5332" s="184"/>
      <c r="H5332" s="184"/>
      <c r="I5332" s="184"/>
      <c r="J5332" s="184"/>
      <c r="K5332" s="184"/>
      <c r="L5332" s="184"/>
      <c r="M5332" s="184"/>
      <c r="N5332" s="184"/>
      <c r="O5332" s="184"/>
    </row>
    <row r="5333" customFormat="false" ht="15" hidden="false" customHeight="true" outlineLevel="0" collapsed="false">
      <c r="A5333" s="184"/>
      <c r="B5333" s="184"/>
      <c r="C5333" s="184"/>
      <c r="D5333" s="184"/>
      <c r="E5333" s="184"/>
      <c r="F5333" s="184"/>
      <c r="G5333" s="184"/>
      <c r="H5333" s="184"/>
      <c r="I5333" s="184"/>
      <c r="J5333" s="184"/>
      <c r="K5333" s="184"/>
      <c r="L5333" s="184"/>
      <c r="M5333" s="184"/>
      <c r="N5333" s="184"/>
      <c r="O5333" s="184"/>
    </row>
    <row r="5334" customFormat="false" ht="15" hidden="false" customHeight="true" outlineLevel="0" collapsed="false">
      <c r="A5334" s="184"/>
      <c r="B5334" s="184"/>
      <c r="C5334" s="184"/>
      <c r="D5334" s="184"/>
      <c r="E5334" s="184"/>
      <c r="F5334" s="184"/>
      <c r="G5334" s="184"/>
      <c r="H5334" s="184"/>
      <c r="I5334" s="184"/>
      <c r="J5334" s="184"/>
      <c r="K5334" s="184"/>
      <c r="L5334" s="184"/>
      <c r="M5334" s="184"/>
      <c r="N5334" s="184"/>
      <c r="O5334" s="184"/>
    </row>
    <row r="5335" customFormat="false" ht="15" hidden="false" customHeight="true" outlineLevel="0" collapsed="false">
      <c r="A5335" s="184"/>
      <c r="B5335" s="184"/>
      <c r="C5335" s="184"/>
      <c r="D5335" s="184"/>
      <c r="E5335" s="184"/>
      <c r="F5335" s="184"/>
      <c r="G5335" s="184"/>
      <c r="H5335" s="184"/>
      <c r="I5335" s="184"/>
      <c r="J5335" s="184"/>
      <c r="K5335" s="184"/>
      <c r="L5335" s="184"/>
      <c r="M5335" s="184"/>
      <c r="N5335" s="184"/>
      <c r="O5335" s="184"/>
    </row>
    <row r="5336" customFormat="false" ht="15" hidden="false" customHeight="true" outlineLevel="0" collapsed="false">
      <c r="A5336" s="184"/>
      <c r="B5336" s="184"/>
      <c r="C5336" s="184"/>
      <c r="D5336" s="184"/>
      <c r="E5336" s="184"/>
      <c r="F5336" s="184"/>
      <c r="G5336" s="184"/>
      <c r="H5336" s="184"/>
      <c r="I5336" s="184"/>
      <c r="J5336" s="184"/>
      <c r="K5336" s="184"/>
      <c r="L5336" s="184"/>
      <c r="M5336" s="184"/>
      <c r="N5336" s="184"/>
      <c r="O5336" s="184"/>
    </row>
    <row r="5337" customFormat="false" ht="15" hidden="false" customHeight="true" outlineLevel="0" collapsed="false">
      <c r="A5337" s="184"/>
      <c r="B5337" s="184"/>
      <c r="C5337" s="184"/>
      <c r="D5337" s="184"/>
      <c r="E5337" s="184"/>
      <c r="F5337" s="184"/>
      <c r="G5337" s="184"/>
      <c r="H5337" s="184"/>
      <c r="I5337" s="184"/>
      <c r="J5337" s="184"/>
      <c r="K5337" s="184"/>
      <c r="L5337" s="184"/>
      <c r="M5337" s="184"/>
      <c r="N5337" s="184"/>
      <c r="O5337" s="184"/>
    </row>
    <row r="5338" customFormat="false" ht="15" hidden="false" customHeight="true" outlineLevel="0" collapsed="false">
      <c r="A5338" s="184"/>
      <c r="B5338" s="184"/>
      <c r="C5338" s="184"/>
      <c r="D5338" s="184"/>
      <c r="E5338" s="184"/>
      <c r="F5338" s="184"/>
      <c r="G5338" s="184"/>
      <c r="H5338" s="184"/>
      <c r="I5338" s="184"/>
      <c r="J5338" s="184"/>
      <c r="K5338" s="184"/>
      <c r="L5338" s="184"/>
      <c r="M5338" s="184"/>
      <c r="N5338" s="184"/>
      <c r="O5338" s="184"/>
    </row>
    <row r="5339" customFormat="false" ht="15" hidden="false" customHeight="true" outlineLevel="0" collapsed="false">
      <c r="A5339" s="184"/>
      <c r="B5339" s="184"/>
      <c r="C5339" s="184"/>
      <c r="D5339" s="184"/>
      <c r="E5339" s="184"/>
      <c r="F5339" s="184"/>
      <c r="G5339" s="184"/>
      <c r="H5339" s="184"/>
      <c r="I5339" s="184"/>
      <c r="J5339" s="184"/>
      <c r="K5339" s="184"/>
      <c r="L5339" s="184"/>
      <c r="M5339" s="184"/>
      <c r="N5339" s="184"/>
      <c r="O5339" s="184"/>
    </row>
    <row r="5340" customFormat="false" ht="15" hidden="false" customHeight="true" outlineLevel="0" collapsed="false">
      <c r="A5340" s="184"/>
      <c r="B5340" s="184"/>
      <c r="C5340" s="184"/>
      <c r="D5340" s="184"/>
      <c r="E5340" s="184"/>
      <c r="F5340" s="184"/>
      <c r="G5340" s="184"/>
      <c r="H5340" s="184"/>
      <c r="I5340" s="184"/>
      <c r="J5340" s="184"/>
      <c r="K5340" s="184"/>
      <c r="L5340" s="184"/>
      <c r="M5340" s="184"/>
      <c r="N5340" s="184"/>
      <c r="O5340" s="184"/>
    </row>
    <row r="5341" customFormat="false" ht="15" hidden="false" customHeight="true" outlineLevel="0" collapsed="false">
      <c r="A5341" s="184"/>
      <c r="B5341" s="184"/>
      <c r="C5341" s="184"/>
      <c r="D5341" s="184"/>
      <c r="E5341" s="184"/>
      <c r="F5341" s="184"/>
      <c r="G5341" s="184"/>
      <c r="H5341" s="184"/>
      <c r="I5341" s="184"/>
      <c r="J5341" s="184"/>
      <c r="K5341" s="184"/>
      <c r="L5341" s="184"/>
      <c r="M5341" s="184"/>
      <c r="N5341" s="184"/>
      <c r="O5341" s="184"/>
    </row>
    <row r="5342" customFormat="false" ht="15" hidden="false" customHeight="true" outlineLevel="0" collapsed="false">
      <c r="A5342" s="184"/>
      <c r="B5342" s="184"/>
      <c r="C5342" s="184"/>
      <c r="D5342" s="184"/>
      <c r="E5342" s="184"/>
      <c r="F5342" s="184"/>
      <c r="G5342" s="184"/>
      <c r="H5342" s="184"/>
      <c r="I5342" s="184"/>
      <c r="J5342" s="184"/>
      <c r="K5342" s="184"/>
      <c r="L5342" s="184"/>
      <c r="M5342" s="184"/>
      <c r="N5342" s="184"/>
      <c r="O5342" s="184"/>
    </row>
    <row r="5343" customFormat="false" ht="15" hidden="false" customHeight="true" outlineLevel="0" collapsed="false">
      <c r="A5343" s="184"/>
      <c r="B5343" s="184"/>
      <c r="C5343" s="184"/>
      <c r="D5343" s="184"/>
      <c r="E5343" s="184"/>
      <c r="F5343" s="184"/>
      <c r="G5343" s="184"/>
      <c r="H5343" s="184"/>
      <c r="I5343" s="184"/>
      <c r="J5343" s="184"/>
      <c r="K5343" s="184"/>
      <c r="L5343" s="184"/>
      <c r="M5343" s="184"/>
      <c r="N5343" s="184"/>
      <c r="O5343" s="184"/>
    </row>
    <row r="5344" customFormat="false" ht="15" hidden="false" customHeight="true" outlineLevel="0" collapsed="false">
      <c r="A5344" s="184"/>
      <c r="B5344" s="184"/>
      <c r="C5344" s="184"/>
      <c r="D5344" s="184"/>
      <c r="E5344" s="184"/>
      <c r="F5344" s="184"/>
      <c r="G5344" s="184"/>
      <c r="H5344" s="184"/>
      <c r="I5344" s="184"/>
      <c r="J5344" s="184"/>
      <c r="K5344" s="184"/>
      <c r="L5344" s="184"/>
      <c r="M5344" s="184"/>
      <c r="N5344" s="184"/>
      <c r="O5344" s="184"/>
    </row>
    <row r="5345" customFormat="false" ht="15" hidden="false" customHeight="true" outlineLevel="0" collapsed="false">
      <c r="A5345" s="184"/>
      <c r="B5345" s="184"/>
      <c r="C5345" s="184"/>
      <c r="D5345" s="184"/>
      <c r="E5345" s="184"/>
      <c r="F5345" s="184"/>
      <c r="G5345" s="184"/>
      <c r="H5345" s="184"/>
      <c r="I5345" s="184"/>
      <c r="J5345" s="184"/>
      <c r="K5345" s="184"/>
      <c r="L5345" s="184"/>
      <c r="M5345" s="184"/>
      <c r="N5345" s="184"/>
      <c r="O5345" s="184"/>
    </row>
    <row r="5346" customFormat="false" ht="15" hidden="false" customHeight="true" outlineLevel="0" collapsed="false">
      <c r="A5346" s="184"/>
      <c r="B5346" s="184"/>
      <c r="C5346" s="184"/>
      <c r="D5346" s="184"/>
      <c r="E5346" s="184"/>
      <c r="F5346" s="184"/>
      <c r="G5346" s="184"/>
      <c r="H5346" s="184"/>
      <c r="I5346" s="184"/>
      <c r="J5346" s="184"/>
      <c r="K5346" s="184"/>
      <c r="L5346" s="184"/>
      <c r="M5346" s="184"/>
      <c r="N5346" s="184"/>
      <c r="O5346" s="184"/>
    </row>
    <row r="5347" customFormat="false" ht="15" hidden="false" customHeight="true" outlineLevel="0" collapsed="false">
      <c r="A5347" s="184"/>
      <c r="B5347" s="184"/>
      <c r="C5347" s="184"/>
      <c r="D5347" s="184"/>
      <c r="E5347" s="184"/>
      <c r="F5347" s="184"/>
      <c r="G5347" s="184"/>
      <c r="H5347" s="184"/>
      <c r="I5347" s="184"/>
      <c r="J5347" s="184"/>
      <c r="K5347" s="184"/>
      <c r="L5347" s="184"/>
      <c r="M5347" s="184"/>
      <c r="N5347" s="184"/>
      <c r="O5347" s="184"/>
    </row>
    <row r="5348" customFormat="false" ht="15" hidden="false" customHeight="true" outlineLevel="0" collapsed="false">
      <c r="A5348" s="184"/>
      <c r="B5348" s="184"/>
      <c r="C5348" s="184"/>
      <c r="D5348" s="184"/>
      <c r="E5348" s="184"/>
      <c r="F5348" s="184"/>
      <c r="G5348" s="184"/>
      <c r="H5348" s="184"/>
      <c r="I5348" s="184"/>
      <c r="J5348" s="184"/>
      <c r="K5348" s="184"/>
      <c r="L5348" s="184"/>
      <c r="M5348" s="184"/>
      <c r="N5348" s="184"/>
      <c r="O5348" s="184"/>
    </row>
    <row r="5349" customFormat="false" ht="15" hidden="false" customHeight="true" outlineLevel="0" collapsed="false">
      <c r="A5349" s="184"/>
      <c r="B5349" s="184"/>
      <c r="C5349" s="184"/>
      <c r="D5349" s="184"/>
      <c r="E5349" s="184"/>
      <c r="F5349" s="184"/>
      <c r="G5349" s="184"/>
      <c r="H5349" s="184"/>
      <c r="I5349" s="184"/>
      <c r="J5349" s="184"/>
      <c r="K5349" s="184"/>
      <c r="L5349" s="184"/>
      <c r="M5349" s="184"/>
      <c r="N5349" s="184"/>
      <c r="O5349" s="184"/>
    </row>
    <row r="5350" customFormat="false" ht="15" hidden="false" customHeight="true" outlineLevel="0" collapsed="false">
      <c r="A5350" s="184"/>
      <c r="B5350" s="184"/>
      <c r="C5350" s="184"/>
      <c r="D5350" s="184"/>
      <c r="E5350" s="184"/>
      <c r="F5350" s="184"/>
      <c r="G5350" s="184"/>
      <c r="H5350" s="184"/>
      <c r="I5350" s="184"/>
      <c r="J5350" s="184"/>
      <c r="K5350" s="184"/>
      <c r="L5350" s="184"/>
      <c r="M5350" s="184"/>
      <c r="N5350" s="184"/>
      <c r="O5350" s="184"/>
    </row>
    <row r="5351" customFormat="false" ht="15" hidden="false" customHeight="true" outlineLevel="0" collapsed="false">
      <c r="A5351" s="184"/>
      <c r="B5351" s="184"/>
      <c r="C5351" s="184"/>
      <c r="D5351" s="184"/>
      <c r="E5351" s="184"/>
      <c r="F5351" s="184"/>
      <c r="G5351" s="184"/>
      <c r="H5351" s="184"/>
      <c r="I5351" s="184"/>
      <c r="J5351" s="184"/>
      <c r="K5351" s="184"/>
      <c r="L5351" s="184"/>
      <c r="M5351" s="184"/>
      <c r="N5351" s="184"/>
      <c r="O5351" s="184"/>
    </row>
    <row r="5352" customFormat="false" ht="15" hidden="false" customHeight="true" outlineLevel="0" collapsed="false">
      <c r="A5352" s="184"/>
      <c r="B5352" s="184"/>
      <c r="C5352" s="184"/>
      <c r="D5352" s="184"/>
      <c r="E5352" s="184"/>
      <c r="F5352" s="184"/>
      <c r="G5352" s="184"/>
      <c r="H5352" s="184"/>
      <c r="I5352" s="184"/>
      <c r="J5352" s="184"/>
      <c r="K5352" s="184"/>
      <c r="L5352" s="184"/>
      <c r="M5352" s="184"/>
      <c r="N5352" s="184"/>
      <c r="O5352" s="184"/>
    </row>
    <row r="5353" customFormat="false" ht="15" hidden="false" customHeight="true" outlineLevel="0" collapsed="false">
      <c r="A5353" s="184"/>
      <c r="B5353" s="184"/>
      <c r="C5353" s="184"/>
      <c r="D5353" s="184"/>
      <c r="E5353" s="184"/>
      <c r="F5353" s="184"/>
      <c r="G5353" s="184"/>
      <c r="H5353" s="184"/>
      <c r="I5353" s="184"/>
      <c r="J5353" s="184"/>
      <c r="K5353" s="184"/>
      <c r="L5353" s="184"/>
      <c r="M5353" s="184"/>
      <c r="N5353" s="184"/>
      <c r="O5353" s="184"/>
    </row>
    <row r="5354" customFormat="false" ht="15" hidden="false" customHeight="true" outlineLevel="0" collapsed="false">
      <c r="A5354" s="184"/>
      <c r="B5354" s="184"/>
      <c r="C5354" s="184"/>
      <c r="D5354" s="184"/>
      <c r="E5354" s="184"/>
      <c r="F5354" s="184"/>
      <c r="G5354" s="184"/>
      <c r="H5354" s="184"/>
      <c r="I5354" s="184"/>
      <c r="J5354" s="184"/>
      <c r="K5354" s="184"/>
      <c r="L5354" s="184"/>
      <c r="M5354" s="184"/>
      <c r="N5354" s="184"/>
      <c r="O5354" s="184"/>
    </row>
    <row r="5355" customFormat="false" ht="15" hidden="false" customHeight="true" outlineLevel="0" collapsed="false">
      <c r="A5355" s="184"/>
      <c r="B5355" s="184"/>
      <c r="C5355" s="184"/>
      <c r="D5355" s="184"/>
      <c r="E5355" s="184"/>
      <c r="F5355" s="184"/>
      <c r="G5355" s="184"/>
      <c r="H5355" s="184"/>
      <c r="I5355" s="184"/>
      <c r="J5355" s="184"/>
      <c r="K5355" s="184"/>
      <c r="L5355" s="184"/>
      <c r="M5355" s="184"/>
      <c r="N5355" s="184"/>
      <c r="O5355" s="184"/>
    </row>
    <row r="5356" customFormat="false" ht="15" hidden="false" customHeight="true" outlineLevel="0" collapsed="false">
      <c r="A5356" s="184"/>
      <c r="B5356" s="184"/>
      <c r="C5356" s="184"/>
      <c r="D5356" s="184"/>
      <c r="E5356" s="184"/>
      <c r="F5356" s="184"/>
      <c r="G5356" s="184"/>
      <c r="H5356" s="184"/>
      <c r="I5356" s="184"/>
      <c r="J5356" s="184"/>
      <c r="K5356" s="184"/>
      <c r="L5356" s="184"/>
      <c r="M5356" s="184"/>
      <c r="N5356" s="184"/>
      <c r="O5356" s="184"/>
    </row>
    <row r="5357" customFormat="false" ht="15" hidden="false" customHeight="true" outlineLevel="0" collapsed="false">
      <c r="A5357" s="184"/>
      <c r="B5357" s="184"/>
      <c r="C5357" s="184"/>
      <c r="D5357" s="184"/>
      <c r="E5357" s="184"/>
      <c r="F5357" s="184"/>
      <c r="G5357" s="184"/>
      <c r="H5357" s="184"/>
      <c r="I5357" s="184"/>
      <c r="J5357" s="184"/>
      <c r="K5357" s="184"/>
      <c r="L5357" s="184"/>
      <c r="M5357" s="184"/>
      <c r="N5357" s="184"/>
      <c r="O5357" s="184"/>
    </row>
    <row r="5358" customFormat="false" ht="15" hidden="false" customHeight="true" outlineLevel="0" collapsed="false">
      <c r="A5358" s="184"/>
      <c r="B5358" s="184"/>
      <c r="C5358" s="184"/>
      <c r="D5358" s="184"/>
      <c r="E5358" s="184"/>
      <c r="F5358" s="184"/>
      <c r="G5358" s="184"/>
      <c r="H5358" s="184"/>
      <c r="I5358" s="184"/>
      <c r="J5358" s="184"/>
      <c r="K5358" s="184"/>
      <c r="L5358" s="184"/>
      <c r="M5358" s="184"/>
      <c r="N5358" s="184"/>
      <c r="O5358" s="184"/>
    </row>
    <row r="5359" customFormat="false" ht="15" hidden="false" customHeight="true" outlineLevel="0" collapsed="false">
      <c r="A5359" s="184"/>
      <c r="B5359" s="184"/>
      <c r="C5359" s="184"/>
      <c r="D5359" s="184"/>
      <c r="E5359" s="184"/>
      <c r="F5359" s="184"/>
      <c r="G5359" s="184"/>
      <c r="H5359" s="184"/>
      <c r="I5359" s="184"/>
      <c r="J5359" s="184"/>
      <c r="K5359" s="184"/>
      <c r="L5359" s="184"/>
      <c r="M5359" s="184"/>
      <c r="N5359" s="184"/>
      <c r="O5359" s="184"/>
    </row>
    <row r="5360" customFormat="false" ht="15" hidden="false" customHeight="true" outlineLevel="0" collapsed="false">
      <c r="A5360" s="184"/>
      <c r="B5360" s="184"/>
      <c r="C5360" s="184"/>
      <c r="D5360" s="184"/>
      <c r="E5360" s="184"/>
      <c r="F5360" s="184"/>
      <c r="G5360" s="184"/>
      <c r="H5360" s="184"/>
      <c r="I5360" s="184"/>
      <c r="J5360" s="184"/>
      <c r="K5360" s="184"/>
      <c r="L5360" s="184"/>
      <c r="M5360" s="184"/>
      <c r="N5360" s="184"/>
      <c r="O5360" s="184"/>
    </row>
    <row r="5361" customFormat="false" ht="15" hidden="false" customHeight="true" outlineLevel="0" collapsed="false">
      <c r="A5361" s="184"/>
      <c r="B5361" s="184"/>
      <c r="C5361" s="184"/>
      <c r="D5361" s="184"/>
      <c r="E5361" s="184"/>
      <c r="F5361" s="184"/>
      <c r="G5361" s="184"/>
      <c r="H5361" s="184"/>
      <c r="I5361" s="184"/>
      <c r="J5361" s="184"/>
      <c r="K5361" s="184"/>
      <c r="L5361" s="184"/>
      <c r="M5361" s="184"/>
      <c r="N5361" s="184"/>
      <c r="O5361" s="184"/>
    </row>
    <row r="5362" customFormat="false" ht="15" hidden="false" customHeight="true" outlineLevel="0" collapsed="false">
      <c r="A5362" s="184"/>
      <c r="B5362" s="184"/>
      <c r="C5362" s="184"/>
      <c r="D5362" s="184"/>
      <c r="E5362" s="184"/>
      <c r="F5362" s="184"/>
      <c r="G5362" s="184"/>
      <c r="H5362" s="184"/>
      <c r="I5362" s="184"/>
      <c r="J5362" s="184"/>
      <c r="K5362" s="184"/>
      <c r="L5362" s="184"/>
      <c r="M5362" s="184"/>
      <c r="N5362" s="184"/>
      <c r="O5362" s="184"/>
    </row>
    <row r="5363" customFormat="false" ht="15" hidden="false" customHeight="true" outlineLevel="0" collapsed="false">
      <c r="A5363" s="184"/>
      <c r="B5363" s="184"/>
      <c r="C5363" s="184"/>
      <c r="D5363" s="184"/>
      <c r="E5363" s="184"/>
      <c r="F5363" s="184"/>
      <c r="G5363" s="184"/>
      <c r="H5363" s="184"/>
      <c r="I5363" s="184"/>
      <c r="J5363" s="184"/>
      <c r="K5363" s="184"/>
      <c r="L5363" s="184"/>
      <c r="M5363" s="184"/>
      <c r="N5363" s="184"/>
      <c r="O5363" s="184"/>
    </row>
    <row r="5364" customFormat="false" ht="15" hidden="false" customHeight="true" outlineLevel="0" collapsed="false">
      <c r="A5364" s="184"/>
      <c r="B5364" s="184"/>
      <c r="C5364" s="184"/>
      <c r="D5364" s="184"/>
      <c r="E5364" s="184"/>
      <c r="F5364" s="184"/>
      <c r="G5364" s="184"/>
      <c r="H5364" s="184"/>
      <c r="I5364" s="184"/>
      <c r="J5364" s="184"/>
      <c r="K5364" s="184"/>
      <c r="L5364" s="184"/>
      <c r="M5364" s="184"/>
      <c r="N5364" s="184"/>
      <c r="O5364" s="184"/>
    </row>
    <row r="5365" customFormat="false" ht="15" hidden="false" customHeight="true" outlineLevel="0" collapsed="false">
      <c r="A5365" s="184"/>
      <c r="B5365" s="184"/>
      <c r="C5365" s="184"/>
      <c r="D5365" s="184"/>
      <c r="E5365" s="184"/>
      <c r="F5365" s="184"/>
      <c r="G5365" s="184"/>
      <c r="H5365" s="184"/>
      <c r="I5365" s="184"/>
      <c r="J5365" s="184"/>
      <c r="K5365" s="184"/>
      <c r="L5365" s="184"/>
      <c r="M5365" s="184"/>
      <c r="N5365" s="184"/>
      <c r="O5365" s="184"/>
    </row>
    <row r="5366" customFormat="false" ht="15" hidden="false" customHeight="true" outlineLevel="0" collapsed="false">
      <c r="A5366" s="184"/>
      <c r="B5366" s="184"/>
      <c r="C5366" s="184"/>
      <c r="D5366" s="184"/>
      <c r="E5366" s="184"/>
      <c r="F5366" s="184"/>
      <c r="G5366" s="184"/>
      <c r="H5366" s="184"/>
      <c r="I5366" s="184"/>
      <c r="J5366" s="184"/>
      <c r="K5366" s="184"/>
      <c r="L5366" s="184"/>
      <c r="M5366" s="184"/>
      <c r="N5366" s="184"/>
      <c r="O5366" s="184"/>
    </row>
    <row r="5367" customFormat="false" ht="15" hidden="false" customHeight="true" outlineLevel="0" collapsed="false">
      <c r="A5367" s="184"/>
      <c r="B5367" s="184"/>
      <c r="C5367" s="184"/>
      <c r="D5367" s="184"/>
      <c r="E5367" s="184"/>
      <c r="F5367" s="184"/>
      <c r="G5367" s="184"/>
      <c r="H5367" s="184"/>
      <c r="I5367" s="184"/>
      <c r="J5367" s="184"/>
      <c r="K5367" s="184"/>
      <c r="L5367" s="184"/>
      <c r="M5367" s="184"/>
      <c r="N5367" s="184"/>
      <c r="O5367" s="184"/>
    </row>
    <row r="5368" customFormat="false" ht="15" hidden="false" customHeight="true" outlineLevel="0" collapsed="false">
      <c r="A5368" s="184"/>
      <c r="B5368" s="184"/>
      <c r="C5368" s="184"/>
      <c r="D5368" s="184"/>
      <c r="E5368" s="184"/>
      <c r="F5368" s="184"/>
      <c r="G5368" s="184"/>
      <c r="H5368" s="184"/>
      <c r="I5368" s="184"/>
      <c r="J5368" s="184"/>
      <c r="K5368" s="184"/>
      <c r="L5368" s="184"/>
      <c r="M5368" s="184"/>
      <c r="N5368" s="184"/>
      <c r="O5368" s="184"/>
    </row>
    <row r="5369" customFormat="false" ht="15" hidden="false" customHeight="true" outlineLevel="0" collapsed="false">
      <c r="A5369" s="184"/>
      <c r="B5369" s="184"/>
      <c r="C5369" s="184"/>
      <c r="D5369" s="184"/>
      <c r="E5369" s="184"/>
      <c r="F5369" s="184"/>
      <c r="G5369" s="184"/>
      <c r="H5369" s="184"/>
      <c r="I5369" s="184"/>
      <c r="J5369" s="184"/>
      <c r="K5369" s="184"/>
      <c r="L5369" s="184"/>
      <c r="M5369" s="184"/>
      <c r="N5369" s="184"/>
      <c r="O5369" s="184"/>
    </row>
    <row r="5370" customFormat="false" ht="15" hidden="false" customHeight="true" outlineLevel="0" collapsed="false">
      <c r="A5370" s="184"/>
      <c r="B5370" s="184"/>
      <c r="C5370" s="184"/>
      <c r="D5370" s="184"/>
      <c r="E5370" s="184"/>
      <c r="F5370" s="184"/>
      <c r="G5370" s="184"/>
      <c r="H5370" s="184"/>
      <c r="I5370" s="184"/>
      <c r="J5370" s="184"/>
      <c r="K5370" s="184"/>
      <c r="L5370" s="184"/>
      <c r="M5370" s="184"/>
      <c r="N5370" s="184"/>
      <c r="O5370" s="184"/>
    </row>
    <row r="5371" customFormat="false" ht="15" hidden="false" customHeight="true" outlineLevel="0" collapsed="false">
      <c r="A5371" s="184"/>
      <c r="B5371" s="184"/>
      <c r="C5371" s="184"/>
      <c r="D5371" s="184"/>
      <c r="E5371" s="184"/>
      <c r="F5371" s="184"/>
      <c r="G5371" s="184"/>
      <c r="H5371" s="184"/>
      <c r="I5371" s="184"/>
      <c r="J5371" s="184"/>
      <c r="K5371" s="184"/>
      <c r="L5371" s="184"/>
      <c r="M5371" s="184"/>
      <c r="N5371" s="184"/>
      <c r="O5371" s="184"/>
    </row>
    <row r="5372" customFormat="false" ht="15" hidden="false" customHeight="true" outlineLevel="0" collapsed="false">
      <c r="A5372" s="184"/>
      <c r="B5372" s="184"/>
      <c r="C5372" s="184"/>
      <c r="D5372" s="184"/>
      <c r="E5372" s="184"/>
      <c r="F5372" s="184"/>
      <c r="G5372" s="184"/>
      <c r="H5372" s="184"/>
      <c r="I5372" s="184"/>
      <c r="J5372" s="184"/>
      <c r="K5372" s="184"/>
      <c r="L5372" s="184"/>
      <c r="M5372" s="184"/>
      <c r="N5372" s="184"/>
      <c r="O5372" s="184"/>
    </row>
    <row r="5373" customFormat="false" ht="15" hidden="false" customHeight="true" outlineLevel="0" collapsed="false">
      <c r="A5373" s="184"/>
      <c r="B5373" s="184"/>
      <c r="C5373" s="184"/>
      <c r="D5373" s="184"/>
      <c r="E5373" s="184"/>
      <c r="F5373" s="184"/>
      <c r="G5373" s="184"/>
      <c r="H5373" s="184"/>
      <c r="I5373" s="184"/>
      <c r="J5373" s="184"/>
      <c r="K5373" s="184"/>
      <c r="L5373" s="184"/>
      <c r="M5373" s="184"/>
      <c r="N5373" s="184"/>
      <c r="O5373" s="184"/>
    </row>
    <row r="5374" customFormat="false" ht="15" hidden="false" customHeight="true" outlineLevel="0" collapsed="false">
      <c r="A5374" s="184"/>
      <c r="B5374" s="184"/>
      <c r="C5374" s="184"/>
      <c r="D5374" s="184"/>
      <c r="E5374" s="184"/>
      <c r="F5374" s="184"/>
      <c r="G5374" s="184"/>
      <c r="H5374" s="184"/>
      <c r="I5374" s="184"/>
      <c r="J5374" s="184"/>
      <c r="K5374" s="184"/>
      <c r="L5374" s="184"/>
      <c r="M5374" s="184"/>
      <c r="N5374" s="184"/>
      <c r="O5374" s="184"/>
    </row>
    <row r="5375" customFormat="false" ht="15" hidden="false" customHeight="true" outlineLevel="0" collapsed="false">
      <c r="A5375" s="184"/>
      <c r="B5375" s="184"/>
      <c r="C5375" s="184"/>
      <c r="D5375" s="184"/>
      <c r="E5375" s="184"/>
      <c r="F5375" s="184"/>
      <c r="G5375" s="184"/>
      <c r="H5375" s="184"/>
      <c r="I5375" s="184"/>
      <c r="J5375" s="184"/>
      <c r="K5375" s="184"/>
      <c r="L5375" s="184"/>
      <c r="M5375" s="184"/>
      <c r="N5375" s="184"/>
      <c r="O5375" s="184"/>
    </row>
    <row r="5376" customFormat="false" ht="15" hidden="false" customHeight="true" outlineLevel="0" collapsed="false">
      <c r="A5376" s="184"/>
      <c r="B5376" s="184"/>
      <c r="C5376" s="184"/>
      <c r="D5376" s="184"/>
      <c r="E5376" s="184"/>
      <c r="F5376" s="184"/>
      <c r="G5376" s="184"/>
      <c r="H5376" s="184"/>
      <c r="I5376" s="184"/>
      <c r="J5376" s="184"/>
      <c r="K5376" s="184"/>
      <c r="L5376" s="184"/>
      <c r="M5376" s="184"/>
      <c r="N5376" s="184"/>
      <c r="O5376" s="184"/>
    </row>
    <row r="5377" customFormat="false" ht="15" hidden="false" customHeight="true" outlineLevel="0" collapsed="false">
      <c r="A5377" s="184"/>
      <c r="B5377" s="184"/>
      <c r="C5377" s="184"/>
      <c r="D5377" s="184"/>
      <c r="E5377" s="184"/>
      <c r="F5377" s="184"/>
      <c r="G5377" s="184"/>
      <c r="H5377" s="184"/>
      <c r="I5377" s="184"/>
      <c r="J5377" s="184"/>
      <c r="K5377" s="184"/>
      <c r="L5377" s="184"/>
      <c r="M5377" s="184"/>
      <c r="N5377" s="184"/>
      <c r="O5377" s="184"/>
    </row>
    <row r="5378" customFormat="false" ht="54.75" hidden="false" customHeight="true" outlineLevel="0" collapsed="false">
      <c r="A5378" s="184" t="s">
        <v>5005</v>
      </c>
      <c r="B5378" s="184" t="s">
        <v>5006</v>
      </c>
      <c r="C5378" s="184"/>
      <c r="D5378" s="179" t="s">
        <v>4858</v>
      </c>
      <c r="E5378" s="184" t="s">
        <v>7230</v>
      </c>
      <c r="F5378" s="184"/>
      <c r="G5378" s="184"/>
      <c r="H5378" s="184"/>
      <c r="I5378" s="184"/>
      <c r="J5378" s="184"/>
      <c r="K5378" s="184"/>
      <c r="L5378" s="184"/>
      <c r="M5378" s="184" t="s">
        <v>7231</v>
      </c>
      <c r="N5378" s="184"/>
      <c r="O5378" s="184"/>
    </row>
    <row r="5379" customFormat="false" ht="54.75" hidden="false" customHeight="true" outlineLevel="0" collapsed="false">
      <c r="A5379" s="184" t="s">
        <v>5005</v>
      </c>
      <c r="B5379" s="184" t="s">
        <v>5006</v>
      </c>
      <c r="C5379" s="184" t="n">
        <v>1</v>
      </c>
      <c r="D5379" s="178" t="s">
        <v>5269</v>
      </c>
      <c r="E5379" s="184" t="s">
        <v>6289</v>
      </c>
      <c r="F5379" s="184"/>
      <c r="G5379" s="184"/>
      <c r="H5379" s="184"/>
      <c r="I5379" s="184"/>
      <c r="J5379" s="184"/>
      <c r="K5379" s="184"/>
      <c r="L5379" s="184"/>
      <c r="M5379" s="184" t="s">
        <v>6859</v>
      </c>
      <c r="N5379" s="184"/>
      <c r="O5379" s="184"/>
    </row>
    <row r="5380" customFormat="false" ht="54.75" hidden="false" customHeight="true" outlineLevel="0" collapsed="false">
      <c r="A5380" s="184" t="s">
        <v>5005</v>
      </c>
      <c r="B5380" s="184" t="s">
        <v>5006</v>
      </c>
      <c r="C5380" s="184" t="n">
        <v>2</v>
      </c>
      <c r="D5380" s="177" t="s">
        <v>6429</v>
      </c>
      <c r="E5380" s="184" t="s">
        <v>6860</v>
      </c>
      <c r="F5380" s="184"/>
      <c r="G5380" s="184"/>
      <c r="H5380" s="184"/>
      <c r="I5380" s="184"/>
      <c r="J5380" s="184"/>
      <c r="K5380" s="184"/>
      <c r="L5380" s="184"/>
      <c r="M5380" s="184"/>
      <c r="N5380" s="184"/>
      <c r="O5380" s="184"/>
    </row>
    <row r="5381" customFormat="false" ht="54.75" hidden="false" customHeight="true" outlineLevel="0" collapsed="false">
      <c r="A5381" s="184" t="s">
        <v>5005</v>
      </c>
      <c r="B5381" s="184" t="s">
        <v>5006</v>
      </c>
      <c r="C5381" s="184" t="n">
        <v>3</v>
      </c>
      <c r="D5381" s="179" t="s">
        <v>6292</v>
      </c>
      <c r="E5381" s="184" t="s">
        <v>3448</v>
      </c>
      <c r="F5381" s="184"/>
      <c r="G5381" s="184"/>
      <c r="H5381" s="184"/>
      <c r="I5381" s="184"/>
      <c r="J5381" s="184"/>
      <c r="K5381" s="184"/>
      <c r="L5381" s="184"/>
      <c r="M5381" s="184"/>
      <c r="N5381" s="184"/>
      <c r="O5381" s="184"/>
    </row>
    <row r="5382" customFormat="false" ht="54.75" hidden="false" customHeight="true" outlineLevel="0" collapsed="false">
      <c r="A5382" s="184" t="s">
        <v>5005</v>
      </c>
      <c r="B5382" s="184" t="s">
        <v>5006</v>
      </c>
      <c r="C5382" s="184" t="n">
        <v>4</v>
      </c>
      <c r="D5382" s="184" t="s">
        <v>6294</v>
      </c>
      <c r="E5382" s="184" t="s">
        <v>6861</v>
      </c>
      <c r="F5382" s="184"/>
      <c r="G5382" s="184"/>
      <c r="H5382" s="184"/>
      <c r="I5382" s="184"/>
      <c r="J5382" s="184"/>
      <c r="K5382" s="184"/>
      <c r="L5382" s="184"/>
      <c r="M5382" s="184"/>
      <c r="N5382" s="184"/>
      <c r="O5382" s="184"/>
    </row>
    <row r="5383" customFormat="false" ht="54.75" hidden="false" customHeight="true" outlineLevel="0" collapsed="false">
      <c r="A5383" s="184" t="s">
        <v>5005</v>
      </c>
      <c r="B5383" s="184" t="s">
        <v>5006</v>
      </c>
      <c r="C5383" s="184" t="n">
        <v>5</v>
      </c>
      <c r="D5383" s="179" t="s">
        <v>6292</v>
      </c>
      <c r="E5383" s="184" t="s">
        <v>6862</v>
      </c>
      <c r="F5383" s="184"/>
      <c r="G5383" s="184"/>
      <c r="H5383" s="184"/>
      <c r="I5383" s="184"/>
      <c r="J5383" s="184"/>
      <c r="K5383" s="184"/>
      <c r="L5383" s="184"/>
      <c r="M5383" s="184"/>
      <c r="N5383" s="184"/>
      <c r="O5383" s="184"/>
    </row>
    <row r="5384" customFormat="false" ht="54.75" hidden="false" customHeight="true" outlineLevel="0" collapsed="false">
      <c r="A5384" s="184" t="s">
        <v>5005</v>
      </c>
      <c r="B5384" s="184" t="s">
        <v>5006</v>
      </c>
      <c r="C5384" s="184" t="n">
        <v>6</v>
      </c>
      <c r="D5384" s="177" t="s">
        <v>6298</v>
      </c>
      <c r="E5384" s="184" t="s">
        <v>6863</v>
      </c>
      <c r="F5384" s="184"/>
      <c r="G5384" s="184"/>
      <c r="H5384" s="184"/>
      <c r="I5384" s="184"/>
      <c r="J5384" s="184"/>
      <c r="K5384" s="184"/>
      <c r="L5384" s="184"/>
      <c r="M5384" s="184"/>
      <c r="N5384" s="184"/>
      <c r="O5384" s="184"/>
    </row>
    <row r="5385" customFormat="false" ht="54.75" hidden="false" customHeight="true" outlineLevel="0" collapsed="false">
      <c r="A5385" s="184" t="s">
        <v>5005</v>
      </c>
      <c r="B5385" s="184" t="s">
        <v>5006</v>
      </c>
      <c r="C5385" s="184" t="n">
        <v>7</v>
      </c>
      <c r="D5385" s="177" t="s">
        <v>6298</v>
      </c>
      <c r="E5385" s="184" t="s">
        <v>6864</v>
      </c>
      <c r="F5385" s="184"/>
      <c r="G5385" s="184"/>
      <c r="H5385" s="184"/>
      <c r="I5385" s="184"/>
      <c r="J5385" s="184"/>
      <c r="K5385" s="184"/>
      <c r="L5385" s="184"/>
      <c r="M5385" s="184"/>
      <c r="N5385" s="184"/>
      <c r="O5385" s="184"/>
    </row>
    <row r="5386" customFormat="false" ht="54.75" hidden="false" customHeight="true" outlineLevel="0" collapsed="false">
      <c r="A5386" s="184" t="s">
        <v>5005</v>
      </c>
      <c r="B5386" s="184" t="s">
        <v>5006</v>
      </c>
      <c r="C5386" s="184" t="n">
        <v>8</v>
      </c>
      <c r="D5386" s="174" t="s">
        <v>4846</v>
      </c>
      <c r="E5386" s="184" t="s">
        <v>784</v>
      </c>
      <c r="F5386" s="184" t="s">
        <v>715</v>
      </c>
      <c r="G5386" s="184"/>
      <c r="H5386" s="184"/>
      <c r="I5386" s="184"/>
      <c r="J5386" s="184" t="s">
        <v>5720</v>
      </c>
      <c r="K5386" s="184" t="s">
        <v>6333</v>
      </c>
      <c r="L5386" s="184"/>
      <c r="M5386" s="184" t="s">
        <v>6392</v>
      </c>
      <c r="N5386" s="184"/>
      <c r="O5386" s="184"/>
    </row>
    <row r="5387" customFormat="false" ht="54.75" hidden="false" customHeight="true" outlineLevel="0" collapsed="false">
      <c r="A5387" s="184" t="s">
        <v>5005</v>
      </c>
      <c r="B5387" s="184" t="s">
        <v>5006</v>
      </c>
      <c r="C5387" s="184" t="n">
        <v>9</v>
      </c>
      <c r="D5387" s="174" t="s">
        <v>4846</v>
      </c>
      <c r="E5387" s="184" t="s">
        <v>5837</v>
      </c>
      <c r="F5387" s="184" t="s">
        <v>715</v>
      </c>
      <c r="G5387" s="184"/>
      <c r="H5387" s="184"/>
      <c r="I5387" s="184"/>
      <c r="J5387" s="184" t="s">
        <v>6396</v>
      </c>
      <c r="K5387" s="184" t="s">
        <v>6333</v>
      </c>
      <c r="L5387" s="184"/>
      <c r="M5387" s="184" t="s">
        <v>5839</v>
      </c>
      <c r="N5387" s="184"/>
      <c r="O5387" s="184"/>
    </row>
    <row r="5388" customFormat="false" ht="54.75" hidden="false" customHeight="true" outlineLevel="0" collapsed="false">
      <c r="A5388" s="184" t="s">
        <v>5005</v>
      </c>
      <c r="B5388" s="184" t="s">
        <v>5006</v>
      </c>
      <c r="C5388" s="184" t="n">
        <v>10</v>
      </c>
      <c r="D5388" s="174" t="s">
        <v>4848</v>
      </c>
      <c r="E5388" s="184"/>
      <c r="F5388" s="184"/>
      <c r="G5388" s="184"/>
      <c r="H5388" s="184"/>
      <c r="I5388" s="184"/>
      <c r="J5388" s="184" t="s">
        <v>6301</v>
      </c>
      <c r="K5388" s="184"/>
      <c r="L5388" s="184" t="s">
        <v>6302</v>
      </c>
      <c r="M5388" s="184" t="s">
        <v>6303</v>
      </c>
      <c r="N5388" s="184"/>
      <c r="O5388" s="184"/>
    </row>
    <row r="5389" customFormat="false" ht="54.75" hidden="false" customHeight="true" outlineLevel="0" collapsed="false">
      <c r="A5389" s="184" t="s">
        <v>5005</v>
      </c>
      <c r="B5389" s="184" t="s">
        <v>5006</v>
      </c>
      <c r="C5389" s="184" t="n">
        <v>11</v>
      </c>
      <c r="D5389" s="174" t="s">
        <v>4846</v>
      </c>
      <c r="E5389" s="184" t="s">
        <v>6393</v>
      </c>
      <c r="F5389" s="184" t="s">
        <v>715</v>
      </c>
      <c r="G5389" s="184"/>
      <c r="H5389" s="184"/>
      <c r="I5389" s="184"/>
      <c r="J5389" s="184" t="s">
        <v>6394</v>
      </c>
      <c r="K5389" s="184" t="s">
        <v>6333</v>
      </c>
      <c r="L5389" s="184"/>
      <c r="M5389" s="184" t="s">
        <v>6395</v>
      </c>
      <c r="N5389" s="184"/>
      <c r="O5389" s="184"/>
    </row>
    <row r="5390" customFormat="false" ht="54.75" hidden="false" customHeight="true" outlineLevel="0" collapsed="false">
      <c r="A5390" s="184" t="s">
        <v>5005</v>
      </c>
      <c r="B5390" s="184" t="s">
        <v>5006</v>
      </c>
      <c r="C5390" s="184" t="n">
        <v>12</v>
      </c>
      <c r="D5390" s="179" t="s">
        <v>6300</v>
      </c>
      <c r="E5390" s="184" t="s">
        <v>6865</v>
      </c>
      <c r="F5390" s="184"/>
      <c r="G5390" s="184"/>
      <c r="H5390" s="184"/>
      <c r="I5390" s="184"/>
      <c r="J5390" s="184"/>
      <c r="K5390" s="184"/>
      <c r="L5390" s="184"/>
      <c r="M5390" s="184"/>
      <c r="N5390" s="184"/>
      <c r="O5390" s="184"/>
    </row>
    <row r="5391" customFormat="false" ht="68.25" hidden="false" customHeight="true" outlineLevel="0" collapsed="false">
      <c r="A5391" s="184" t="s">
        <v>5005</v>
      </c>
      <c r="B5391" s="184" t="s">
        <v>5006</v>
      </c>
      <c r="C5391" s="184" t="n">
        <v>13</v>
      </c>
      <c r="D5391" s="177" t="s">
        <v>6298</v>
      </c>
      <c r="E5391" s="184" t="s">
        <v>7232</v>
      </c>
      <c r="F5391" s="184"/>
      <c r="G5391" s="184"/>
      <c r="H5391" s="184"/>
      <c r="I5391" s="184"/>
      <c r="J5391" s="184"/>
      <c r="K5391" s="184"/>
      <c r="L5391" s="184"/>
      <c r="M5391" s="184"/>
      <c r="N5391" s="184"/>
      <c r="O5391" s="184"/>
    </row>
    <row r="5392" customFormat="false" ht="175.5" hidden="false" customHeight="true" outlineLevel="0" collapsed="false">
      <c r="A5392" s="184" t="s">
        <v>5005</v>
      </c>
      <c r="B5392" s="184" t="s">
        <v>5006</v>
      </c>
      <c r="C5392" s="184" t="n">
        <v>14</v>
      </c>
      <c r="D5392" s="174" t="s">
        <v>4846</v>
      </c>
      <c r="E5392" s="184" t="s">
        <v>6307</v>
      </c>
      <c r="F5392" s="184" t="s">
        <v>238</v>
      </c>
      <c r="G5392" s="184"/>
      <c r="H5392" s="184"/>
      <c r="I5392" s="184"/>
      <c r="J5392" s="184" t="s">
        <v>6308</v>
      </c>
      <c r="K5392" s="184" t="s">
        <v>5568</v>
      </c>
      <c r="L5392" s="184"/>
      <c r="M5392" s="184" t="s">
        <v>6309</v>
      </c>
      <c r="N5392" s="184"/>
      <c r="O5392" s="184"/>
    </row>
    <row r="5393" customFormat="false" ht="122.25" hidden="false" customHeight="true" outlineLevel="0" collapsed="false">
      <c r="A5393" s="184" t="s">
        <v>5005</v>
      </c>
      <c r="B5393" s="184" t="s">
        <v>5006</v>
      </c>
      <c r="C5393" s="184" t="n">
        <v>15</v>
      </c>
      <c r="D5393" s="174" t="s">
        <v>4846</v>
      </c>
      <c r="E5393" s="184" t="s">
        <v>6310</v>
      </c>
      <c r="F5393" s="184" t="s">
        <v>238</v>
      </c>
      <c r="G5393" s="184"/>
      <c r="H5393" s="184"/>
      <c r="I5393" s="184"/>
      <c r="J5393" s="184" t="s">
        <v>6311</v>
      </c>
      <c r="K5393" s="184" t="s">
        <v>5568</v>
      </c>
      <c r="L5393" s="184"/>
      <c r="M5393" s="184" t="s">
        <v>6312</v>
      </c>
      <c r="N5393" s="184"/>
      <c r="O5393" s="184"/>
    </row>
    <row r="5394" customFormat="false" ht="81.75" hidden="false" customHeight="true" outlineLevel="0" collapsed="false">
      <c r="A5394" s="184" t="s">
        <v>5005</v>
      </c>
      <c r="B5394" s="184" t="s">
        <v>5006</v>
      </c>
      <c r="C5394" s="184" t="n">
        <v>16</v>
      </c>
      <c r="D5394" s="174" t="s">
        <v>4846</v>
      </c>
      <c r="E5394" s="184" t="s">
        <v>6313</v>
      </c>
      <c r="F5394" s="184" t="s">
        <v>238</v>
      </c>
      <c r="G5394" s="184"/>
      <c r="H5394" s="184"/>
      <c r="I5394" s="184"/>
      <c r="J5394" s="184" t="s">
        <v>6314</v>
      </c>
      <c r="K5394" s="184" t="s">
        <v>5568</v>
      </c>
      <c r="L5394" s="184"/>
      <c r="M5394" s="184" t="s">
        <v>6315</v>
      </c>
      <c r="N5394" s="184"/>
      <c r="O5394" s="184"/>
    </row>
    <row r="5395" customFormat="false" ht="108.75" hidden="false" customHeight="true" outlineLevel="0" collapsed="false">
      <c r="A5395" s="184" t="s">
        <v>5005</v>
      </c>
      <c r="B5395" s="184" t="s">
        <v>5006</v>
      </c>
      <c r="C5395" s="184" t="n">
        <v>17</v>
      </c>
      <c r="D5395" s="174" t="s">
        <v>4846</v>
      </c>
      <c r="E5395" s="184" t="s">
        <v>6316</v>
      </c>
      <c r="F5395" s="184" t="s">
        <v>238</v>
      </c>
      <c r="G5395" s="184"/>
      <c r="H5395" s="184"/>
      <c r="I5395" s="184"/>
      <c r="J5395" s="184" t="s">
        <v>6317</v>
      </c>
      <c r="K5395" s="184" t="s">
        <v>5568</v>
      </c>
      <c r="L5395" s="184"/>
      <c r="M5395" s="184" t="s">
        <v>6318</v>
      </c>
      <c r="N5395" s="184"/>
      <c r="O5395" s="184"/>
    </row>
    <row r="5396" customFormat="false" ht="108.75" hidden="false" customHeight="true" outlineLevel="0" collapsed="false">
      <c r="A5396" s="184" t="s">
        <v>5005</v>
      </c>
      <c r="B5396" s="184" t="s">
        <v>5006</v>
      </c>
      <c r="C5396" s="184" t="n">
        <v>18</v>
      </c>
      <c r="D5396" s="174" t="s">
        <v>4846</v>
      </c>
      <c r="E5396" s="184" t="s">
        <v>6319</v>
      </c>
      <c r="F5396" s="184" t="s">
        <v>238</v>
      </c>
      <c r="G5396" s="184"/>
      <c r="H5396" s="184"/>
      <c r="I5396" s="184"/>
      <c r="J5396" s="184" t="s">
        <v>6320</v>
      </c>
      <c r="K5396" s="184" t="s">
        <v>5568</v>
      </c>
      <c r="L5396" s="184"/>
      <c r="M5396" s="184" t="s">
        <v>6321</v>
      </c>
      <c r="N5396" s="184"/>
      <c r="O5396" s="184"/>
    </row>
    <row r="5397" customFormat="false" ht="68.25" hidden="false" customHeight="true" outlineLevel="0" collapsed="false">
      <c r="A5397" s="184" t="s">
        <v>5005</v>
      </c>
      <c r="B5397" s="184" t="s">
        <v>5006</v>
      </c>
      <c r="C5397" s="184" t="n">
        <v>19</v>
      </c>
      <c r="D5397" s="174" t="s">
        <v>4846</v>
      </c>
      <c r="E5397" s="184" t="s">
        <v>6322</v>
      </c>
      <c r="F5397" s="184" t="s">
        <v>238</v>
      </c>
      <c r="G5397" s="184"/>
      <c r="H5397" s="184"/>
      <c r="I5397" s="184"/>
      <c r="J5397" s="184" t="s">
        <v>6314</v>
      </c>
      <c r="K5397" s="184" t="s">
        <v>6323</v>
      </c>
      <c r="L5397" s="184"/>
      <c r="M5397" s="184" t="s">
        <v>6324</v>
      </c>
      <c r="N5397" s="184"/>
      <c r="O5397" s="184"/>
    </row>
    <row r="5398" customFormat="false" ht="81.75" hidden="false" customHeight="true" outlineLevel="0" collapsed="false">
      <c r="A5398" s="184" t="s">
        <v>5005</v>
      </c>
      <c r="B5398" s="184" t="s">
        <v>5006</v>
      </c>
      <c r="C5398" s="184" t="n">
        <v>20</v>
      </c>
      <c r="D5398" s="174" t="s">
        <v>4846</v>
      </c>
      <c r="E5398" s="184" t="s">
        <v>1434</v>
      </c>
      <c r="F5398" s="184" t="s">
        <v>238</v>
      </c>
      <c r="G5398" s="184"/>
      <c r="H5398" s="184"/>
      <c r="I5398" s="184"/>
      <c r="J5398" s="184" t="s">
        <v>6325</v>
      </c>
      <c r="K5398" s="184" t="s">
        <v>5568</v>
      </c>
      <c r="L5398" s="184"/>
      <c r="M5398" s="184" t="s">
        <v>5673</v>
      </c>
      <c r="N5398" s="184"/>
      <c r="O5398" s="184"/>
    </row>
    <row r="5399" customFormat="false" ht="108.75" hidden="false" customHeight="true" outlineLevel="0" collapsed="false">
      <c r="A5399" s="184" t="s">
        <v>5005</v>
      </c>
      <c r="B5399" s="184" t="s">
        <v>5006</v>
      </c>
      <c r="C5399" s="184" t="n">
        <v>21</v>
      </c>
      <c r="D5399" s="174" t="s">
        <v>4848</v>
      </c>
      <c r="E5399" s="184" t="s">
        <v>1789</v>
      </c>
      <c r="F5399" s="184"/>
      <c r="G5399" s="184"/>
      <c r="H5399" s="184"/>
      <c r="I5399" s="184"/>
      <c r="J5399" s="184" t="s">
        <v>6326</v>
      </c>
      <c r="K5399" s="184" t="s">
        <v>5568</v>
      </c>
      <c r="L5399" s="184" t="s">
        <v>6327</v>
      </c>
      <c r="M5399" s="184" t="s">
        <v>6328</v>
      </c>
      <c r="N5399" s="184"/>
      <c r="O5399" s="184"/>
    </row>
    <row r="5400" customFormat="false" ht="108.75" hidden="false" customHeight="true" outlineLevel="0" collapsed="false">
      <c r="A5400" s="184" t="s">
        <v>5005</v>
      </c>
      <c r="B5400" s="184" t="s">
        <v>5006</v>
      </c>
      <c r="C5400" s="184" t="n">
        <v>22</v>
      </c>
      <c r="D5400" s="174" t="s">
        <v>4846</v>
      </c>
      <c r="E5400" s="184" t="s">
        <v>5459</v>
      </c>
      <c r="F5400" s="184" t="s">
        <v>238</v>
      </c>
      <c r="G5400" s="184"/>
      <c r="H5400" s="184"/>
      <c r="I5400" s="184"/>
      <c r="J5400" s="184" t="s">
        <v>6325</v>
      </c>
      <c r="K5400" s="184" t="s">
        <v>5568</v>
      </c>
      <c r="L5400" s="184"/>
      <c r="M5400" s="184" t="s">
        <v>5462</v>
      </c>
      <c r="N5400" s="184"/>
      <c r="O5400" s="184"/>
    </row>
    <row r="5401" customFormat="false" ht="81.75" hidden="false" customHeight="true" outlineLevel="0" collapsed="false">
      <c r="A5401" s="184" t="s">
        <v>5005</v>
      </c>
      <c r="B5401" s="184" t="s">
        <v>5006</v>
      </c>
      <c r="C5401" s="184" t="n">
        <v>23</v>
      </c>
      <c r="D5401" s="174" t="s">
        <v>4846</v>
      </c>
      <c r="E5401" s="184" t="s">
        <v>6329</v>
      </c>
      <c r="F5401" s="184" t="s">
        <v>238</v>
      </c>
      <c r="G5401" s="184"/>
      <c r="H5401" s="184"/>
      <c r="I5401" s="184"/>
      <c r="J5401" s="184" t="s">
        <v>6330</v>
      </c>
      <c r="K5401" s="184" t="s">
        <v>5568</v>
      </c>
      <c r="L5401" s="184"/>
      <c r="M5401" s="184" t="s">
        <v>6331</v>
      </c>
      <c r="N5401" s="184"/>
      <c r="O5401" s="184"/>
    </row>
    <row r="5402" customFormat="false" ht="68.25" hidden="false" customHeight="true" outlineLevel="0" collapsed="false">
      <c r="A5402" s="184" t="s">
        <v>5005</v>
      </c>
      <c r="B5402" s="184" t="s">
        <v>5006</v>
      </c>
      <c r="C5402" s="184" t="n">
        <v>24</v>
      </c>
      <c r="D5402" s="174" t="s">
        <v>4846</v>
      </c>
      <c r="E5402" s="184" t="s">
        <v>5463</v>
      </c>
      <c r="F5402" s="184" t="s">
        <v>238</v>
      </c>
      <c r="G5402" s="184"/>
      <c r="H5402" s="184"/>
      <c r="I5402" s="184"/>
      <c r="J5402" s="184" t="s">
        <v>6314</v>
      </c>
      <c r="K5402" s="184" t="s">
        <v>5568</v>
      </c>
      <c r="L5402" s="184"/>
      <c r="M5402" s="184" t="s">
        <v>5466</v>
      </c>
      <c r="N5402" s="184"/>
      <c r="O5402" s="184"/>
    </row>
    <row r="5403" customFormat="false" ht="54.75" hidden="false" customHeight="true" outlineLevel="0" collapsed="false">
      <c r="A5403" s="184" t="s">
        <v>5005</v>
      </c>
      <c r="B5403" s="184" t="s">
        <v>5006</v>
      </c>
      <c r="C5403" s="184" t="n">
        <v>25</v>
      </c>
      <c r="D5403" s="174" t="s">
        <v>4846</v>
      </c>
      <c r="E5403" s="184" t="s">
        <v>5228</v>
      </c>
      <c r="F5403" s="184" t="s">
        <v>227</v>
      </c>
      <c r="G5403" s="184"/>
      <c r="H5403" s="184"/>
      <c r="I5403" s="184"/>
      <c r="J5403" s="184" t="s">
        <v>6332</v>
      </c>
      <c r="K5403" s="184" t="s">
        <v>6333</v>
      </c>
      <c r="L5403" s="184"/>
      <c r="M5403" s="184" t="s">
        <v>5230</v>
      </c>
      <c r="N5403" s="184"/>
      <c r="O5403" s="184"/>
    </row>
    <row r="5404" customFormat="false" ht="54.75" hidden="false" customHeight="true" outlineLevel="0" collapsed="false">
      <c r="A5404" s="184" t="s">
        <v>5005</v>
      </c>
      <c r="B5404" s="184" t="s">
        <v>5006</v>
      </c>
      <c r="C5404" s="184" t="n">
        <v>26</v>
      </c>
      <c r="D5404" s="174" t="s">
        <v>4846</v>
      </c>
      <c r="E5404" s="184" t="s">
        <v>5467</v>
      </c>
      <c r="F5404" s="184" t="s">
        <v>238</v>
      </c>
      <c r="G5404" s="184"/>
      <c r="H5404" s="184"/>
      <c r="I5404" s="184"/>
      <c r="J5404" s="184" t="s">
        <v>6314</v>
      </c>
      <c r="K5404" s="184" t="s">
        <v>6333</v>
      </c>
      <c r="L5404" s="184" t="s">
        <v>5469</v>
      </c>
      <c r="M5404" s="184" t="s">
        <v>6334</v>
      </c>
      <c r="N5404" s="184"/>
      <c r="O5404" s="184"/>
    </row>
    <row r="5405" customFormat="false" ht="68.25" hidden="false" customHeight="true" outlineLevel="0" collapsed="false">
      <c r="A5405" s="184" t="s">
        <v>5005</v>
      </c>
      <c r="B5405" s="184" t="s">
        <v>5006</v>
      </c>
      <c r="C5405" s="184" t="n">
        <v>27</v>
      </c>
      <c r="D5405" s="174" t="s">
        <v>4846</v>
      </c>
      <c r="E5405" s="184" t="s">
        <v>5864</v>
      </c>
      <c r="F5405" s="184" t="s">
        <v>238</v>
      </c>
      <c r="G5405" s="184"/>
      <c r="H5405" s="184"/>
      <c r="I5405" s="184"/>
      <c r="J5405" s="184" t="s">
        <v>6330</v>
      </c>
      <c r="K5405" s="184" t="s">
        <v>5568</v>
      </c>
      <c r="L5405" s="184"/>
      <c r="M5405" s="184" t="s">
        <v>5867</v>
      </c>
      <c r="N5405" s="184"/>
      <c r="O5405" s="184"/>
    </row>
    <row r="5406" customFormat="false" ht="68.25" hidden="false" customHeight="true" outlineLevel="0" collapsed="false">
      <c r="A5406" s="184" t="s">
        <v>5005</v>
      </c>
      <c r="B5406" s="184" t="s">
        <v>5006</v>
      </c>
      <c r="C5406" s="184" t="n">
        <v>28</v>
      </c>
      <c r="D5406" s="174" t="s">
        <v>4846</v>
      </c>
      <c r="E5406" s="184" t="s">
        <v>5868</v>
      </c>
      <c r="F5406" s="184" t="s">
        <v>238</v>
      </c>
      <c r="G5406" s="184"/>
      <c r="H5406" s="184"/>
      <c r="I5406" s="184"/>
      <c r="J5406" s="184" t="s">
        <v>6335</v>
      </c>
      <c r="K5406" s="184" t="s">
        <v>5568</v>
      </c>
      <c r="L5406" s="184"/>
      <c r="M5406" s="184" t="s">
        <v>5871</v>
      </c>
      <c r="N5406" s="184"/>
      <c r="O5406" s="184"/>
    </row>
    <row r="5407" customFormat="false" ht="68.25" hidden="false" customHeight="true" outlineLevel="0" collapsed="false">
      <c r="A5407" s="184" t="s">
        <v>5005</v>
      </c>
      <c r="B5407" s="184" t="s">
        <v>5006</v>
      </c>
      <c r="C5407" s="184" t="n">
        <v>29</v>
      </c>
      <c r="D5407" s="174" t="s">
        <v>4846</v>
      </c>
      <c r="E5407" s="184" t="s">
        <v>5872</v>
      </c>
      <c r="F5407" s="184" t="s">
        <v>238</v>
      </c>
      <c r="G5407" s="184"/>
      <c r="H5407" s="184"/>
      <c r="I5407" s="184"/>
      <c r="J5407" s="184" t="s">
        <v>6336</v>
      </c>
      <c r="K5407" s="184" t="s">
        <v>5568</v>
      </c>
      <c r="L5407" s="184"/>
      <c r="M5407" s="184" t="s">
        <v>5875</v>
      </c>
      <c r="N5407" s="184"/>
      <c r="O5407" s="184"/>
    </row>
    <row r="5408" customFormat="false" ht="54.75" hidden="false" customHeight="true" outlineLevel="0" collapsed="false">
      <c r="A5408" s="184" t="s">
        <v>5005</v>
      </c>
      <c r="B5408" s="184" t="s">
        <v>5006</v>
      </c>
      <c r="C5408" s="184" t="n">
        <v>30</v>
      </c>
      <c r="D5408" s="174" t="s">
        <v>4846</v>
      </c>
      <c r="E5408" s="184" t="s">
        <v>5963</v>
      </c>
      <c r="F5408" s="184" t="s">
        <v>238</v>
      </c>
      <c r="G5408" s="184"/>
      <c r="H5408" s="184"/>
      <c r="I5408" s="184"/>
      <c r="J5408" s="184" t="s">
        <v>6311</v>
      </c>
      <c r="K5408" s="184" t="s">
        <v>5568</v>
      </c>
      <c r="L5408" s="184"/>
      <c r="M5408" s="184" t="s">
        <v>5966</v>
      </c>
      <c r="N5408" s="184"/>
      <c r="O5408" s="184"/>
    </row>
    <row r="5409" customFormat="false" ht="54.75" hidden="false" customHeight="true" outlineLevel="0" collapsed="false">
      <c r="A5409" s="184" t="s">
        <v>5005</v>
      </c>
      <c r="B5409" s="184" t="s">
        <v>5006</v>
      </c>
      <c r="C5409" s="184" t="n">
        <v>31</v>
      </c>
      <c r="D5409" s="174" t="s">
        <v>4846</v>
      </c>
      <c r="E5409" s="184" t="s">
        <v>5967</v>
      </c>
      <c r="F5409" s="184" t="s">
        <v>238</v>
      </c>
      <c r="G5409" s="184"/>
      <c r="H5409" s="184"/>
      <c r="I5409" s="184"/>
      <c r="J5409" s="184" t="s">
        <v>6337</v>
      </c>
      <c r="K5409" s="184" t="s">
        <v>5568</v>
      </c>
      <c r="L5409" s="184"/>
      <c r="M5409" s="184" t="s">
        <v>5970</v>
      </c>
      <c r="N5409" s="184"/>
      <c r="O5409" s="184"/>
    </row>
    <row r="5410" customFormat="false" ht="54.75" hidden="false" customHeight="true" outlineLevel="0" collapsed="false">
      <c r="A5410" s="184" t="s">
        <v>5005</v>
      </c>
      <c r="B5410" s="184" t="s">
        <v>5006</v>
      </c>
      <c r="C5410" s="184" t="n">
        <v>32</v>
      </c>
      <c r="D5410" s="174" t="s">
        <v>4846</v>
      </c>
      <c r="E5410" s="184" t="s">
        <v>5971</v>
      </c>
      <c r="F5410" s="184" t="s">
        <v>238</v>
      </c>
      <c r="G5410" s="184"/>
      <c r="H5410" s="184"/>
      <c r="I5410" s="184"/>
      <c r="J5410" s="184" t="s">
        <v>6338</v>
      </c>
      <c r="K5410" s="184" t="s">
        <v>5568</v>
      </c>
      <c r="L5410" s="184"/>
      <c r="M5410" s="184" t="s">
        <v>5974</v>
      </c>
      <c r="N5410" s="184"/>
      <c r="O5410" s="184"/>
    </row>
    <row r="5411" customFormat="false" ht="81.75" hidden="false" customHeight="true" outlineLevel="0" collapsed="false">
      <c r="A5411" s="184" t="s">
        <v>5005</v>
      </c>
      <c r="B5411" s="184" t="s">
        <v>5006</v>
      </c>
      <c r="C5411" s="184" t="n">
        <v>33</v>
      </c>
      <c r="D5411" s="174" t="s">
        <v>4848</v>
      </c>
      <c r="E5411" s="184" t="s">
        <v>1790</v>
      </c>
      <c r="F5411" s="184"/>
      <c r="G5411" s="184"/>
      <c r="H5411" s="184"/>
      <c r="I5411" s="184"/>
      <c r="J5411" s="184" t="s">
        <v>6339</v>
      </c>
      <c r="K5411" s="184" t="s">
        <v>5568</v>
      </c>
      <c r="L5411" s="184" t="s">
        <v>6340</v>
      </c>
      <c r="M5411" s="184" t="s">
        <v>6341</v>
      </c>
      <c r="N5411" s="184"/>
      <c r="O5411" s="184"/>
    </row>
    <row r="5412" customFormat="false" ht="54.75" hidden="false" customHeight="true" outlineLevel="0" collapsed="false">
      <c r="A5412" s="184" t="s">
        <v>5005</v>
      </c>
      <c r="B5412" s="184" t="s">
        <v>5006</v>
      </c>
      <c r="C5412" s="184" t="n">
        <v>34</v>
      </c>
      <c r="D5412" s="174" t="s">
        <v>4846</v>
      </c>
      <c r="E5412" s="184" t="s">
        <v>6342</v>
      </c>
      <c r="F5412" s="184" t="s">
        <v>5221</v>
      </c>
      <c r="G5412" s="184"/>
      <c r="H5412" s="184"/>
      <c r="I5412" s="184"/>
      <c r="J5412" s="184"/>
      <c r="K5412" s="184" t="s">
        <v>6343</v>
      </c>
      <c r="L5412" s="184"/>
      <c r="M5412" s="184" t="s">
        <v>6344</v>
      </c>
      <c r="N5412" s="184"/>
      <c r="O5412" s="184"/>
    </row>
    <row r="5413" customFormat="false" ht="81.75" hidden="false" customHeight="true" outlineLevel="0" collapsed="false">
      <c r="A5413" s="184" t="s">
        <v>5005</v>
      </c>
      <c r="B5413" s="184" t="s">
        <v>5006</v>
      </c>
      <c r="C5413" s="184" t="n">
        <v>35</v>
      </c>
      <c r="D5413" s="174" t="s">
        <v>4846</v>
      </c>
      <c r="E5413" s="184" t="s">
        <v>6345</v>
      </c>
      <c r="F5413" s="184" t="s">
        <v>227</v>
      </c>
      <c r="G5413" s="184"/>
      <c r="H5413" s="184"/>
      <c r="I5413" s="184"/>
      <c r="J5413" s="184" t="s">
        <v>6346</v>
      </c>
      <c r="K5413" s="184" t="s">
        <v>6323</v>
      </c>
      <c r="L5413" s="184"/>
      <c r="M5413" s="184" t="s">
        <v>6347</v>
      </c>
      <c r="N5413" s="184"/>
      <c r="O5413" s="184"/>
    </row>
    <row r="5414" customFormat="false" ht="54.75" hidden="false" customHeight="true" outlineLevel="0" collapsed="false">
      <c r="A5414" s="184" t="s">
        <v>5005</v>
      </c>
      <c r="B5414" s="184" t="s">
        <v>5006</v>
      </c>
      <c r="C5414" s="184" t="n">
        <v>36</v>
      </c>
      <c r="D5414" s="174" t="s">
        <v>4846</v>
      </c>
      <c r="E5414" s="184" t="s">
        <v>6348</v>
      </c>
      <c r="F5414" s="184" t="s">
        <v>227</v>
      </c>
      <c r="G5414" s="184"/>
      <c r="H5414" s="184"/>
      <c r="I5414" s="184"/>
      <c r="J5414" s="184" t="s">
        <v>6346</v>
      </c>
      <c r="K5414" s="184" t="s">
        <v>6333</v>
      </c>
      <c r="L5414" s="184"/>
      <c r="M5414" s="184" t="s">
        <v>6349</v>
      </c>
      <c r="N5414" s="184"/>
      <c r="O5414" s="184"/>
    </row>
    <row r="5415" customFormat="false" ht="122.25" hidden="false" customHeight="true" outlineLevel="0" collapsed="false">
      <c r="A5415" s="184" t="s">
        <v>5005</v>
      </c>
      <c r="B5415" s="184" t="s">
        <v>5006</v>
      </c>
      <c r="C5415" s="184" t="n">
        <v>37</v>
      </c>
      <c r="D5415" s="174" t="s">
        <v>4846</v>
      </c>
      <c r="E5415" s="184" t="s">
        <v>6350</v>
      </c>
      <c r="F5415" s="184" t="s">
        <v>238</v>
      </c>
      <c r="G5415" s="184"/>
      <c r="H5415" s="184"/>
      <c r="I5415" s="184"/>
      <c r="J5415" s="184" t="s">
        <v>5736</v>
      </c>
      <c r="K5415" s="184" t="s">
        <v>5568</v>
      </c>
      <c r="L5415" s="184"/>
      <c r="M5415" s="184" t="s">
        <v>6351</v>
      </c>
      <c r="N5415" s="184"/>
      <c r="O5415" s="184"/>
    </row>
    <row r="5416" customFormat="false" ht="95.25" hidden="false" customHeight="true" outlineLevel="0" collapsed="false">
      <c r="A5416" s="184" t="s">
        <v>5005</v>
      </c>
      <c r="B5416" s="184" t="s">
        <v>5006</v>
      </c>
      <c r="C5416" s="184" t="n">
        <v>38</v>
      </c>
      <c r="D5416" s="174" t="s">
        <v>4846</v>
      </c>
      <c r="E5416" s="184" t="s">
        <v>5674</v>
      </c>
      <c r="F5416" s="184"/>
      <c r="G5416" s="184"/>
      <c r="H5416" s="184"/>
      <c r="I5416" s="184"/>
      <c r="J5416" s="184" t="s">
        <v>5675</v>
      </c>
      <c r="K5416" s="184" t="s">
        <v>5568</v>
      </c>
      <c r="L5416" s="184"/>
      <c r="M5416" s="184" t="s">
        <v>5677</v>
      </c>
      <c r="N5416" s="184"/>
      <c r="O5416" s="184"/>
    </row>
    <row r="5417" customFormat="false" ht="95.25" hidden="false" customHeight="true" outlineLevel="0" collapsed="false">
      <c r="A5417" s="184" t="s">
        <v>5005</v>
      </c>
      <c r="B5417" s="184" t="s">
        <v>5006</v>
      </c>
      <c r="C5417" s="184" t="n">
        <v>39</v>
      </c>
      <c r="D5417" s="174" t="s">
        <v>4846</v>
      </c>
      <c r="E5417" s="184" t="s">
        <v>6352</v>
      </c>
      <c r="F5417" s="184" t="s">
        <v>238</v>
      </c>
      <c r="G5417" s="184"/>
      <c r="H5417" s="184"/>
      <c r="I5417" s="184"/>
      <c r="J5417" s="184" t="s">
        <v>6353</v>
      </c>
      <c r="K5417" s="184" t="s">
        <v>5568</v>
      </c>
      <c r="L5417" s="184"/>
      <c r="M5417" s="184" t="s">
        <v>6354</v>
      </c>
      <c r="N5417" s="184"/>
      <c r="O5417" s="184"/>
    </row>
    <row r="5418" customFormat="false" ht="135.75" hidden="false" customHeight="true" outlineLevel="0" collapsed="false">
      <c r="A5418" s="184" t="s">
        <v>5005</v>
      </c>
      <c r="B5418" s="184" t="s">
        <v>5006</v>
      </c>
      <c r="C5418" s="184" t="n">
        <v>40</v>
      </c>
      <c r="D5418" s="174" t="s">
        <v>4846</v>
      </c>
      <c r="E5418" s="184" t="s">
        <v>5678</v>
      </c>
      <c r="F5418" s="184" t="s">
        <v>238</v>
      </c>
      <c r="G5418" s="184"/>
      <c r="H5418" s="184"/>
      <c r="I5418" s="184"/>
      <c r="J5418" s="184" t="s">
        <v>5675</v>
      </c>
      <c r="K5418" s="184" t="s">
        <v>5568</v>
      </c>
      <c r="L5418" s="184"/>
      <c r="M5418" s="184" t="s">
        <v>5681</v>
      </c>
      <c r="N5418" s="184"/>
      <c r="O5418" s="184"/>
    </row>
    <row r="5419" customFormat="false" ht="162" hidden="false" customHeight="true" outlineLevel="0" collapsed="false">
      <c r="A5419" s="184" t="s">
        <v>5005</v>
      </c>
      <c r="B5419" s="184" t="s">
        <v>5006</v>
      </c>
      <c r="C5419" s="184" t="n">
        <v>41</v>
      </c>
      <c r="D5419" s="174" t="s">
        <v>4848</v>
      </c>
      <c r="E5419" s="184" t="s">
        <v>5682</v>
      </c>
      <c r="F5419" s="184"/>
      <c r="G5419" s="184"/>
      <c r="H5419" s="184"/>
      <c r="I5419" s="184"/>
      <c r="J5419" s="184" t="s">
        <v>5683</v>
      </c>
      <c r="K5419" s="184" t="s">
        <v>5568</v>
      </c>
      <c r="L5419" s="184" t="s">
        <v>6355</v>
      </c>
      <c r="M5419" s="184" t="s">
        <v>5685</v>
      </c>
      <c r="N5419" s="184"/>
      <c r="O5419" s="184"/>
    </row>
    <row r="5420" customFormat="false" ht="108.75" hidden="false" customHeight="true" outlineLevel="0" collapsed="false">
      <c r="A5420" s="184" t="s">
        <v>5005</v>
      </c>
      <c r="B5420" s="184" t="s">
        <v>5006</v>
      </c>
      <c r="C5420" s="184" t="n">
        <v>42</v>
      </c>
      <c r="D5420" s="174" t="s">
        <v>4848</v>
      </c>
      <c r="E5420" s="184" t="s">
        <v>6356</v>
      </c>
      <c r="F5420" s="184"/>
      <c r="G5420" s="184"/>
      <c r="H5420" s="184"/>
      <c r="I5420" s="184"/>
      <c r="J5420" s="184" t="s">
        <v>6357</v>
      </c>
      <c r="K5420" s="184" t="s">
        <v>5568</v>
      </c>
      <c r="L5420" s="184" t="s">
        <v>6358</v>
      </c>
      <c r="M5420" s="184" t="s">
        <v>6359</v>
      </c>
      <c r="N5420" s="184"/>
      <c r="O5420" s="184"/>
    </row>
    <row r="5421" customFormat="false" ht="81.75" hidden="false" customHeight="true" outlineLevel="0" collapsed="false">
      <c r="A5421" s="184" t="s">
        <v>5005</v>
      </c>
      <c r="B5421" s="184" t="s">
        <v>5006</v>
      </c>
      <c r="C5421" s="184" t="n">
        <v>43</v>
      </c>
      <c r="D5421" s="174" t="s">
        <v>4848</v>
      </c>
      <c r="E5421" s="184" t="s">
        <v>5833</v>
      </c>
      <c r="F5421" s="184"/>
      <c r="G5421" s="184"/>
      <c r="H5421" s="184"/>
      <c r="I5421" s="184"/>
      <c r="J5421" s="184" t="s">
        <v>5834</v>
      </c>
      <c r="K5421" s="184" t="s">
        <v>5568</v>
      </c>
      <c r="L5421" s="184" t="s">
        <v>6360</v>
      </c>
      <c r="M5421" s="184" t="s">
        <v>5836</v>
      </c>
      <c r="N5421" s="184"/>
      <c r="O5421" s="184"/>
    </row>
    <row r="5422" customFormat="false" ht="54.75" hidden="false" customHeight="true" outlineLevel="0" collapsed="false">
      <c r="A5422" s="184" t="s">
        <v>5005</v>
      </c>
      <c r="B5422" s="184" t="s">
        <v>5006</v>
      </c>
      <c r="C5422" s="184" t="n">
        <v>44</v>
      </c>
      <c r="D5422" s="174" t="s">
        <v>4846</v>
      </c>
      <c r="E5422" s="184" t="s">
        <v>6361</v>
      </c>
      <c r="F5422" s="184" t="s">
        <v>227</v>
      </c>
      <c r="G5422" s="184"/>
      <c r="H5422" s="184"/>
      <c r="I5422" s="184"/>
      <c r="J5422" s="184" t="s">
        <v>6362</v>
      </c>
      <c r="K5422" s="184" t="s">
        <v>6323</v>
      </c>
      <c r="L5422" s="184"/>
      <c r="M5422" s="184" t="s">
        <v>6363</v>
      </c>
      <c r="N5422" s="184"/>
      <c r="O5422" s="184"/>
    </row>
    <row r="5423" customFormat="false" ht="149.25" hidden="false" customHeight="true" outlineLevel="0" collapsed="false">
      <c r="A5423" s="184" t="s">
        <v>5005</v>
      </c>
      <c r="B5423" s="184" t="s">
        <v>5006</v>
      </c>
      <c r="C5423" s="184" t="n">
        <v>45</v>
      </c>
      <c r="D5423" s="174" t="s">
        <v>4846</v>
      </c>
      <c r="E5423" s="184" t="s">
        <v>681</v>
      </c>
      <c r="F5423" s="184"/>
      <c r="G5423" s="184"/>
      <c r="H5423" s="184"/>
      <c r="I5423" s="184"/>
      <c r="J5423" s="184" t="s">
        <v>6325</v>
      </c>
      <c r="K5423" s="184" t="s">
        <v>5568</v>
      </c>
      <c r="L5423" s="184"/>
      <c r="M5423" s="184" t="s">
        <v>6365</v>
      </c>
      <c r="N5423" s="184"/>
      <c r="O5423" s="184"/>
    </row>
    <row r="5424" customFormat="false" ht="54.75" hidden="false" customHeight="true" outlineLevel="0" collapsed="false">
      <c r="A5424" s="184" t="s">
        <v>5005</v>
      </c>
      <c r="B5424" s="184" t="s">
        <v>5006</v>
      </c>
      <c r="C5424" s="184" t="n">
        <v>46</v>
      </c>
      <c r="D5424" s="174" t="s">
        <v>4846</v>
      </c>
      <c r="E5424" s="184" t="s">
        <v>6366</v>
      </c>
      <c r="F5424" s="184" t="s">
        <v>238</v>
      </c>
      <c r="G5424" s="184"/>
      <c r="H5424" s="184"/>
      <c r="I5424" s="184"/>
      <c r="J5424" s="184" t="s">
        <v>6944</v>
      </c>
      <c r="K5424" s="184" t="s">
        <v>6323</v>
      </c>
      <c r="L5424" s="184"/>
      <c r="M5424" s="184" t="s">
        <v>6945</v>
      </c>
      <c r="N5424" s="184"/>
      <c r="O5424" s="184"/>
    </row>
    <row r="5425" customFormat="false" ht="68.25" hidden="false" customHeight="true" outlineLevel="0" collapsed="false">
      <c r="A5425" s="184" t="s">
        <v>5005</v>
      </c>
      <c r="B5425" s="184" t="s">
        <v>5006</v>
      </c>
      <c r="C5425" s="184" t="n">
        <v>47</v>
      </c>
      <c r="D5425" s="174" t="s">
        <v>4846</v>
      </c>
      <c r="E5425" s="184" t="s">
        <v>6369</v>
      </c>
      <c r="F5425" s="184" t="s">
        <v>238</v>
      </c>
      <c r="G5425" s="184"/>
      <c r="H5425" s="184"/>
      <c r="I5425" s="184"/>
      <c r="J5425" s="184" t="s">
        <v>6370</v>
      </c>
      <c r="K5425" s="184" t="s">
        <v>6323</v>
      </c>
      <c r="L5425" s="184"/>
      <c r="M5425" s="184" t="s">
        <v>6946</v>
      </c>
      <c r="N5425" s="184"/>
      <c r="O5425" s="184"/>
    </row>
    <row r="5426" customFormat="false" ht="54.75" hidden="false" customHeight="true" outlineLevel="0" collapsed="false">
      <c r="A5426" s="184" t="s">
        <v>5005</v>
      </c>
      <c r="B5426" s="184" t="s">
        <v>5006</v>
      </c>
      <c r="C5426" s="184" t="n">
        <v>48</v>
      </c>
      <c r="D5426" s="174" t="s">
        <v>4848</v>
      </c>
      <c r="E5426" s="184" t="s">
        <v>6369</v>
      </c>
      <c r="F5426" s="184"/>
      <c r="G5426" s="184"/>
      <c r="H5426" s="184"/>
      <c r="I5426" s="184"/>
      <c r="J5426" s="184"/>
      <c r="K5426" s="184"/>
      <c r="L5426" s="184" t="s">
        <v>6947</v>
      </c>
      <c r="M5426" s="184"/>
      <c r="N5426" s="184"/>
      <c r="O5426" s="184"/>
    </row>
    <row r="5427" customFormat="false" ht="54.75" hidden="false" customHeight="true" outlineLevel="0" collapsed="false">
      <c r="A5427" s="184" t="s">
        <v>5005</v>
      </c>
      <c r="B5427" s="184" t="s">
        <v>5006</v>
      </c>
      <c r="C5427" s="184" t="n">
        <v>49</v>
      </c>
      <c r="D5427" s="174" t="s">
        <v>4846</v>
      </c>
      <c r="E5427" s="184" t="s">
        <v>6371</v>
      </c>
      <c r="F5427" s="184" t="s">
        <v>238</v>
      </c>
      <c r="G5427" s="184"/>
      <c r="H5427" s="184"/>
      <c r="I5427" s="184"/>
      <c r="J5427" s="184" t="s">
        <v>6948</v>
      </c>
      <c r="K5427" s="184" t="s">
        <v>6323</v>
      </c>
      <c r="L5427" s="184"/>
      <c r="M5427" s="184" t="s">
        <v>6949</v>
      </c>
      <c r="N5427" s="184"/>
      <c r="O5427" s="184"/>
    </row>
    <row r="5428" customFormat="false" ht="54.75" hidden="false" customHeight="true" outlineLevel="0" collapsed="false">
      <c r="A5428" s="184" t="s">
        <v>5005</v>
      </c>
      <c r="B5428" s="184" t="s">
        <v>5006</v>
      </c>
      <c r="C5428" s="184" t="n">
        <v>50</v>
      </c>
      <c r="D5428" s="174" t="s">
        <v>4848</v>
      </c>
      <c r="E5428" s="184" t="s">
        <v>6371</v>
      </c>
      <c r="F5428" s="184"/>
      <c r="G5428" s="184"/>
      <c r="H5428" s="184"/>
      <c r="I5428" s="184"/>
      <c r="J5428" s="184"/>
      <c r="K5428" s="184"/>
      <c r="L5428" s="184" t="s">
        <v>6950</v>
      </c>
      <c r="M5428" s="184"/>
      <c r="N5428" s="184"/>
      <c r="O5428" s="184"/>
    </row>
    <row r="5429" customFormat="false" ht="108.75" hidden="false" customHeight="true" outlineLevel="0" collapsed="false">
      <c r="A5429" s="184" t="s">
        <v>5005</v>
      </c>
      <c r="B5429" s="184" t="s">
        <v>5006</v>
      </c>
      <c r="C5429" s="184" t="n">
        <v>51</v>
      </c>
      <c r="D5429" s="174" t="s">
        <v>4846</v>
      </c>
      <c r="E5429" s="184" t="s">
        <v>1454</v>
      </c>
      <c r="F5429" s="184" t="s">
        <v>5221</v>
      </c>
      <c r="G5429" s="184"/>
      <c r="H5429" s="184"/>
      <c r="I5429" s="184"/>
      <c r="J5429" s="184" t="s">
        <v>6311</v>
      </c>
      <c r="K5429" s="184" t="s">
        <v>5568</v>
      </c>
      <c r="L5429" s="184"/>
      <c r="M5429" s="184" t="s">
        <v>6374</v>
      </c>
      <c r="N5429" s="184"/>
      <c r="O5429" s="184"/>
    </row>
    <row r="5430" customFormat="false" ht="68.25" hidden="false" customHeight="true" outlineLevel="0" collapsed="false">
      <c r="A5430" s="184" t="s">
        <v>5005</v>
      </c>
      <c r="B5430" s="184" t="s">
        <v>5006</v>
      </c>
      <c r="C5430" s="184" t="n">
        <v>52</v>
      </c>
      <c r="D5430" s="174" t="s">
        <v>4846</v>
      </c>
      <c r="E5430" s="184" t="s">
        <v>6375</v>
      </c>
      <c r="F5430" s="184" t="s">
        <v>238</v>
      </c>
      <c r="G5430" s="184"/>
      <c r="H5430" s="184"/>
      <c r="I5430" s="184"/>
      <c r="J5430" s="184" t="s">
        <v>6376</v>
      </c>
      <c r="K5430" s="184" t="s">
        <v>5568</v>
      </c>
      <c r="L5430" s="184"/>
      <c r="M5430" s="184" t="s">
        <v>6377</v>
      </c>
      <c r="N5430" s="184"/>
      <c r="O5430" s="184"/>
    </row>
    <row r="5431" customFormat="false" ht="81.75" hidden="false" customHeight="true" outlineLevel="0" collapsed="false">
      <c r="A5431" s="184" t="s">
        <v>5005</v>
      </c>
      <c r="B5431" s="184" t="s">
        <v>5006</v>
      </c>
      <c r="C5431" s="184" t="n">
        <v>53</v>
      </c>
      <c r="D5431" s="174" t="s">
        <v>4846</v>
      </c>
      <c r="E5431" s="184" t="s">
        <v>6378</v>
      </c>
      <c r="F5431" s="184" t="s">
        <v>238</v>
      </c>
      <c r="G5431" s="184"/>
      <c r="H5431" s="184"/>
      <c r="I5431" s="184"/>
      <c r="J5431" s="184" t="s">
        <v>5736</v>
      </c>
      <c r="K5431" s="184" t="s">
        <v>5568</v>
      </c>
      <c r="L5431" s="184"/>
      <c r="M5431" s="184" t="s">
        <v>6379</v>
      </c>
      <c r="N5431" s="184"/>
      <c r="O5431" s="184"/>
    </row>
    <row r="5432" customFormat="false" ht="68.25" hidden="false" customHeight="true" outlineLevel="0" collapsed="false">
      <c r="A5432" s="184" t="s">
        <v>5005</v>
      </c>
      <c r="B5432" s="184" t="s">
        <v>5006</v>
      </c>
      <c r="C5432" s="184" t="n">
        <v>54</v>
      </c>
      <c r="D5432" s="174" t="s">
        <v>4846</v>
      </c>
      <c r="E5432" s="184" t="s">
        <v>6380</v>
      </c>
      <c r="F5432" s="184" t="s">
        <v>227</v>
      </c>
      <c r="G5432" s="184"/>
      <c r="H5432" s="184"/>
      <c r="I5432" s="184"/>
      <c r="J5432" s="184" t="s">
        <v>6381</v>
      </c>
      <c r="K5432" s="184" t="s">
        <v>5568</v>
      </c>
      <c r="L5432" s="184"/>
      <c r="M5432" s="184" t="s">
        <v>6382</v>
      </c>
      <c r="N5432" s="184"/>
      <c r="O5432" s="184"/>
    </row>
    <row r="5433" customFormat="false" ht="68.25" hidden="false" customHeight="true" outlineLevel="0" collapsed="false">
      <c r="A5433" s="184" t="s">
        <v>5005</v>
      </c>
      <c r="B5433" s="184" t="s">
        <v>5006</v>
      </c>
      <c r="C5433" s="184" t="n">
        <v>55</v>
      </c>
      <c r="D5433" s="174" t="s">
        <v>4846</v>
      </c>
      <c r="E5433" s="184" t="s">
        <v>6016</v>
      </c>
      <c r="F5433" s="184" t="s">
        <v>238</v>
      </c>
      <c r="G5433" s="184"/>
      <c r="H5433" s="184"/>
      <c r="I5433" s="184"/>
      <c r="J5433" s="184" t="s">
        <v>6383</v>
      </c>
      <c r="K5433" s="184" t="s">
        <v>5568</v>
      </c>
      <c r="L5433" s="184"/>
      <c r="M5433" s="184" t="s">
        <v>6019</v>
      </c>
      <c r="N5433" s="184"/>
      <c r="O5433" s="184"/>
    </row>
    <row r="5434" customFormat="false" ht="68.25" hidden="false" customHeight="true" outlineLevel="0" collapsed="false">
      <c r="A5434" s="184" t="s">
        <v>5005</v>
      </c>
      <c r="B5434" s="184" t="s">
        <v>5006</v>
      </c>
      <c r="C5434" s="184" t="n">
        <v>56</v>
      </c>
      <c r="D5434" s="174" t="s">
        <v>4846</v>
      </c>
      <c r="E5434" s="184" t="s">
        <v>6384</v>
      </c>
      <c r="F5434" s="184" t="s">
        <v>5221</v>
      </c>
      <c r="G5434" s="184"/>
      <c r="H5434" s="184"/>
      <c r="I5434" s="184"/>
      <c r="J5434" s="184" t="s">
        <v>6385</v>
      </c>
      <c r="K5434" s="184" t="s">
        <v>5568</v>
      </c>
      <c r="L5434" s="184"/>
      <c r="M5434" s="184" t="s">
        <v>6386</v>
      </c>
      <c r="N5434" s="184"/>
      <c r="O5434" s="184"/>
    </row>
    <row r="5435" customFormat="false" ht="54.75" hidden="false" customHeight="true" outlineLevel="0" collapsed="false">
      <c r="A5435" s="184" t="s">
        <v>5005</v>
      </c>
      <c r="B5435" s="184" t="s">
        <v>5006</v>
      </c>
      <c r="C5435" s="184" t="n">
        <v>57</v>
      </c>
      <c r="D5435" s="174" t="s">
        <v>4846</v>
      </c>
      <c r="E5435" s="184" t="s">
        <v>6387</v>
      </c>
      <c r="F5435" s="184" t="s">
        <v>227</v>
      </c>
      <c r="G5435" s="184"/>
      <c r="H5435" s="184"/>
      <c r="I5435" s="184"/>
      <c r="J5435" s="184" t="s">
        <v>6388</v>
      </c>
      <c r="K5435" s="184" t="s">
        <v>6333</v>
      </c>
      <c r="L5435" s="184"/>
      <c r="M5435" s="184" t="s">
        <v>6389</v>
      </c>
      <c r="N5435" s="184"/>
      <c r="O5435" s="184"/>
    </row>
    <row r="5436" customFormat="false" ht="54.75" hidden="false" customHeight="true" outlineLevel="0" collapsed="false">
      <c r="A5436" s="184" t="s">
        <v>5005</v>
      </c>
      <c r="B5436" s="184" t="s">
        <v>5006</v>
      </c>
      <c r="C5436" s="184" t="n">
        <v>58</v>
      </c>
      <c r="D5436" s="174" t="s">
        <v>4846</v>
      </c>
      <c r="E5436" s="184" t="s">
        <v>6138</v>
      </c>
      <c r="F5436" s="184" t="s">
        <v>238</v>
      </c>
      <c r="G5436" s="184"/>
      <c r="H5436" s="184"/>
      <c r="I5436" s="184"/>
      <c r="J5436" s="184" t="s">
        <v>5736</v>
      </c>
      <c r="K5436" s="184" t="s">
        <v>5568</v>
      </c>
      <c r="L5436" s="184"/>
      <c r="M5436" s="184" t="s">
        <v>6141</v>
      </c>
      <c r="N5436" s="184"/>
      <c r="O5436" s="184"/>
    </row>
    <row r="5437" customFormat="false" ht="54.75" hidden="false" customHeight="true" outlineLevel="0" collapsed="false">
      <c r="A5437" s="184" t="s">
        <v>5005</v>
      </c>
      <c r="B5437" s="184" t="s">
        <v>5006</v>
      </c>
      <c r="C5437" s="184" t="n">
        <v>59</v>
      </c>
      <c r="D5437" s="174" t="s">
        <v>4846</v>
      </c>
      <c r="E5437" s="184" t="s">
        <v>6142</v>
      </c>
      <c r="F5437" s="184" t="s">
        <v>238</v>
      </c>
      <c r="G5437" s="184"/>
      <c r="H5437" s="184"/>
      <c r="I5437" s="184"/>
      <c r="J5437" s="184" t="s">
        <v>6390</v>
      </c>
      <c r="K5437" s="184" t="s">
        <v>5568</v>
      </c>
      <c r="L5437" s="184"/>
      <c r="M5437" s="184" t="s">
        <v>6145</v>
      </c>
      <c r="N5437" s="184"/>
      <c r="O5437" s="184"/>
    </row>
    <row r="5438" customFormat="false" ht="54.75" hidden="false" customHeight="true" outlineLevel="0" collapsed="false">
      <c r="A5438" s="184" t="s">
        <v>5005</v>
      </c>
      <c r="B5438" s="184" t="s">
        <v>5006</v>
      </c>
      <c r="C5438" s="184" t="n">
        <v>60</v>
      </c>
      <c r="D5438" s="174" t="s">
        <v>4846</v>
      </c>
      <c r="E5438" s="184" t="s">
        <v>6146</v>
      </c>
      <c r="F5438" s="184" t="s">
        <v>238</v>
      </c>
      <c r="G5438" s="184"/>
      <c r="H5438" s="184"/>
      <c r="I5438" s="184"/>
      <c r="J5438" s="184" t="s">
        <v>6370</v>
      </c>
      <c r="K5438" s="184" t="s">
        <v>5568</v>
      </c>
      <c r="L5438" s="184"/>
      <c r="M5438" s="184" t="s">
        <v>6149</v>
      </c>
      <c r="N5438" s="184"/>
      <c r="O5438" s="184"/>
    </row>
    <row r="5439" customFormat="false" ht="54.75" hidden="false" customHeight="true" outlineLevel="0" collapsed="false">
      <c r="A5439" s="184" t="s">
        <v>5005</v>
      </c>
      <c r="B5439" s="184" t="s">
        <v>5006</v>
      </c>
      <c r="C5439" s="184" t="n">
        <v>61</v>
      </c>
      <c r="D5439" s="174" t="s">
        <v>4848</v>
      </c>
      <c r="E5439" s="184" t="s">
        <v>6397</v>
      </c>
      <c r="F5439" s="184"/>
      <c r="G5439" s="184"/>
      <c r="H5439" s="184"/>
      <c r="I5439" s="184"/>
      <c r="J5439" s="184" t="s">
        <v>1654</v>
      </c>
      <c r="K5439" s="184" t="s">
        <v>5568</v>
      </c>
      <c r="L5439" s="184" t="s">
        <v>6398</v>
      </c>
      <c r="M5439" s="184" t="s">
        <v>6399</v>
      </c>
      <c r="N5439" s="184"/>
      <c r="O5439" s="184"/>
    </row>
    <row r="5440" customFormat="false" ht="54.75" hidden="false" customHeight="true" outlineLevel="0" collapsed="false">
      <c r="A5440" s="184" t="s">
        <v>5005</v>
      </c>
      <c r="B5440" s="184" t="s">
        <v>5006</v>
      </c>
      <c r="C5440" s="184" t="n">
        <v>62</v>
      </c>
      <c r="D5440" s="184" t="s">
        <v>6296</v>
      </c>
      <c r="E5440" s="184" t="s">
        <v>2623</v>
      </c>
      <c r="F5440" s="184"/>
      <c r="G5440" s="184"/>
      <c r="H5440" s="184"/>
      <c r="I5440" s="184"/>
      <c r="J5440" s="184"/>
      <c r="K5440" s="184"/>
      <c r="L5440" s="184"/>
      <c r="M5440" s="184"/>
      <c r="N5440" s="184"/>
      <c r="O5440" s="184"/>
    </row>
    <row r="5441" customFormat="false" ht="54.75" hidden="false" customHeight="true" outlineLevel="0" collapsed="false">
      <c r="A5441" s="184" t="s">
        <v>5005</v>
      </c>
      <c r="B5441" s="184" t="s">
        <v>5006</v>
      </c>
      <c r="C5441" s="184" t="n">
        <v>63</v>
      </c>
      <c r="D5441" s="177" t="s">
        <v>6298</v>
      </c>
      <c r="E5441" s="184" t="s">
        <v>7233</v>
      </c>
      <c r="F5441" s="184"/>
      <c r="G5441" s="184"/>
      <c r="H5441" s="184"/>
      <c r="I5441" s="184"/>
      <c r="J5441" s="184"/>
      <c r="K5441" s="184"/>
      <c r="L5441" s="184"/>
      <c r="M5441" s="184"/>
      <c r="N5441" s="184"/>
      <c r="O5441" s="184"/>
    </row>
    <row r="5442" customFormat="false" ht="54.75" hidden="false" customHeight="true" outlineLevel="0" collapsed="false">
      <c r="A5442" s="184" t="s">
        <v>5005</v>
      </c>
      <c r="B5442" s="184" t="s">
        <v>5006</v>
      </c>
      <c r="C5442" s="184" t="n">
        <v>64</v>
      </c>
      <c r="D5442" s="177" t="s">
        <v>6298</v>
      </c>
      <c r="E5442" s="184" t="s">
        <v>7234</v>
      </c>
      <c r="F5442" s="184"/>
      <c r="G5442" s="184"/>
      <c r="H5442" s="184"/>
      <c r="I5442" s="184"/>
      <c r="J5442" s="184"/>
      <c r="K5442" s="184"/>
      <c r="L5442" s="184"/>
      <c r="M5442" s="184"/>
      <c r="N5442" s="184"/>
      <c r="O5442" s="184"/>
    </row>
    <row r="5443" customFormat="false" ht="54.75" hidden="false" customHeight="true" outlineLevel="0" collapsed="false">
      <c r="A5443" s="184" t="s">
        <v>5005</v>
      </c>
      <c r="B5443" s="184" t="s">
        <v>5006</v>
      </c>
      <c r="C5443" s="184" t="n">
        <v>65</v>
      </c>
      <c r="D5443" s="178" t="s">
        <v>6457</v>
      </c>
      <c r="E5443" s="184" t="s">
        <v>6869</v>
      </c>
      <c r="F5443" s="184"/>
      <c r="G5443" s="184"/>
      <c r="H5443" s="184"/>
      <c r="I5443" s="184"/>
      <c r="J5443" s="184"/>
      <c r="K5443" s="184"/>
      <c r="L5443" s="184"/>
      <c r="M5443" s="184" t="s">
        <v>7235</v>
      </c>
      <c r="N5443" s="184"/>
      <c r="O5443" s="184"/>
    </row>
    <row r="5444" customFormat="false" ht="54.75" hidden="false" customHeight="true" outlineLevel="0" collapsed="false">
      <c r="A5444" s="184" t="s">
        <v>5005</v>
      </c>
      <c r="B5444" s="184" t="s">
        <v>5006</v>
      </c>
      <c r="C5444" s="184" t="n">
        <v>66</v>
      </c>
      <c r="D5444" s="178" t="s">
        <v>6457</v>
      </c>
      <c r="E5444" s="184" t="s">
        <v>6871</v>
      </c>
      <c r="F5444" s="184"/>
      <c r="G5444" s="184"/>
      <c r="H5444" s="184"/>
      <c r="I5444" s="184"/>
      <c r="J5444" s="184"/>
      <c r="K5444" s="184"/>
      <c r="L5444" s="184"/>
      <c r="M5444" s="184" t="s">
        <v>7236</v>
      </c>
      <c r="N5444" s="184"/>
      <c r="O5444" s="184"/>
    </row>
    <row r="5445" customFormat="false" ht="54.75" hidden="false" customHeight="true" outlineLevel="0" collapsed="false">
      <c r="A5445" s="184" t="s">
        <v>5005</v>
      </c>
      <c r="B5445" s="184" t="s">
        <v>5006</v>
      </c>
      <c r="C5445" s="184" t="n">
        <v>67</v>
      </c>
      <c r="D5445" s="184" t="s">
        <v>6296</v>
      </c>
      <c r="E5445" s="184" t="s">
        <v>2727</v>
      </c>
      <c r="F5445" s="184"/>
      <c r="G5445" s="184"/>
      <c r="H5445" s="184"/>
      <c r="I5445" s="184"/>
      <c r="J5445" s="184"/>
      <c r="K5445" s="184"/>
      <c r="L5445" s="184"/>
      <c r="M5445" s="184"/>
      <c r="N5445" s="184"/>
      <c r="O5445" s="184"/>
    </row>
    <row r="5446" customFormat="false" ht="54.75" hidden="false" customHeight="true" outlineLevel="0" collapsed="false">
      <c r="A5446" s="184" t="s">
        <v>5005</v>
      </c>
      <c r="B5446" s="184" t="s">
        <v>5006</v>
      </c>
      <c r="C5446" s="184" t="n">
        <v>68</v>
      </c>
      <c r="D5446" s="177" t="s">
        <v>6298</v>
      </c>
      <c r="E5446" s="184" t="s">
        <v>7237</v>
      </c>
      <c r="F5446" s="184"/>
      <c r="G5446" s="184"/>
      <c r="H5446" s="184"/>
      <c r="I5446" s="184"/>
      <c r="J5446" s="184"/>
      <c r="K5446" s="184"/>
      <c r="L5446" s="184"/>
      <c r="M5446" s="184"/>
      <c r="N5446" s="184"/>
      <c r="O5446" s="184"/>
    </row>
    <row r="5447" customFormat="false" ht="54.75" hidden="false" customHeight="true" outlineLevel="0" collapsed="false">
      <c r="A5447" s="184" t="s">
        <v>5005</v>
      </c>
      <c r="B5447" s="184" t="s">
        <v>5006</v>
      </c>
      <c r="C5447" s="184" t="n">
        <v>69</v>
      </c>
      <c r="D5447" s="177" t="s">
        <v>6298</v>
      </c>
      <c r="E5447" s="184" t="s">
        <v>7238</v>
      </c>
      <c r="F5447" s="184"/>
      <c r="G5447" s="184"/>
      <c r="H5447" s="184"/>
      <c r="I5447" s="184"/>
      <c r="J5447" s="184"/>
      <c r="K5447" s="184"/>
      <c r="L5447" s="184"/>
      <c r="M5447" s="184"/>
      <c r="N5447" s="184"/>
      <c r="O5447" s="184"/>
    </row>
    <row r="5448" customFormat="false" ht="54.75" hidden="false" customHeight="true" outlineLevel="0" collapsed="false">
      <c r="A5448" s="184" t="s">
        <v>5005</v>
      </c>
      <c r="B5448" s="184" t="s">
        <v>5006</v>
      </c>
      <c r="C5448" s="184" t="n">
        <v>70</v>
      </c>
      <c r="D5448" s="178" t="s">
        <v>6457</v>
      </c>
      <c r="E5448" s="184" t="s">
        <v>6869</v>
      </c>
      <c r="F5448" s="184"/>
      <c r="G5448" s="184"/>
      <c r="H5448" s="184"/>
      <c r="I5448" s="184"/>
      <c r="J5448" s="184"/>
      <c r="K5448" s="184"/>
      <c r="L5448" s="184"/>
      <c r="M5448" s="184" t="s">
        <v>7239</v>
      </c>
      <c r="N5448" s="184"/>
      <c r="O5448" s="184"/>
    </row>
    <row r="5449" customFormat="false" ht="54.75" hidden="false" customHeight="true" outlineLevel="0" collapsed="false">
      <c r="A5449" s="184" t="s">
        <v>5005</v>
      </c>
      <c r="B5449" s="184" t="s">
        <v>5006</v>
      </c>
      <c r="C5449" s="184" t="n">
        <v>71</v>
      </c>
      <c r="D5449" s="178" t="s">
        <v>6457</v>
      </c>
      <c r="E5449" s="184" t="s">
        <v>6871</v>
      </c>
      <c r="F5449" s="184"/>
      <c r="G5449" s="184"/>
      <c r="H5449" s="184"/>
      <c r="I5449" s="184"/>
      <c r="J5449" s="184"/>
      <c r="K5449" s="184"/>
      <c r="L5449" s="184"/>
      <c r="M5449" s="184" t="s">
        <v>7240</v>
      </c>
      <c r="N5449" s="184"/>
      <c r="O5449" s="184"/>
    </row>
    <row r="5450" customFormat="false" ht="54.75" hidden="false" customHeight="true" outlineLevel="0" collapsed="false">
      <c r="A5450" s="184" t="s">
        <v>5005</v>
      </c>
      <c r="B5450" s="184" t="s">
        <v>5006</v>
      </c>
      <c r="C5450" s="184" t="n">
        <v>72</v>
      </c>
      <c r="D5450" s="184" t="s">
        <v>6296</v>
      </c>
      <c r="E5450" s="184" t="s">
        <v>416</v>
      </c>
      <c r="F5450" s="184"/>
      <c r="G5450" s="184"/>
      <c r="H5450" s="184"/>
      <c r="I5450" s="184"/>
      <c r="J5450" s="184"/>
      <c r="K5450" s="184"/>
      <c r="L5450" s="184"/>
      <c r="M5450" s="184"/>
      <c r="N5450" s="184"/>
      <c r="O5450" s="184"/>
    </row>
    <row r="5451" customFormat="false" ht="54.75" hidden="false" customHeight="true" outlineLevel="0" collapsed="false">
      <c r="A5451" s="184" t="s">
        <v>5005</v>
      </c>
      <c r="B5451" s="184" t="s">
        <v>5006</v>
      </c>
      <c r="C5451" s="184" t="n">
        <v>73</v>
      </c>
      <c r="D5451" s="177" t="s">
        <v>6298</v>
      </c>
      <c r="E5451" s="184" t="s">
        <v>6953</v>
      </c>
      <c r="F5451" s="184"/>
      <c r="G5451" s="184"/>
      <c r="H5451" s="184"/>
      <c r="I5451" s="184"/>
      <c r="J5451" s="184"/>
      <c r="K5451" s="184"/>
      <c r="L5451" s="184"/>
      <c r="M5451" s="184"/>
      <c r="N5451" s="184"/>
      <c r="O5451" s="184"/>
    </row>
    <row r="5452" customFormat="false" ht="54.75" hidden="false" customHeight="true" outlineLevel="0" collapsed="false">
      <c r="A5452" s="184" t="s">
        <v>5005</v>
      </c>
      <c r="B5452" s="184" t="s">
        <v>5006</v>
      </c>
      <c r="C5452" s="184" t="n">
        <v>74</v>
      </c>
      <c r="D5452" s="177" t="s">
        <v>6298</v>
      </c>
      <c r="E5452" s="184" t="s">
        <v>7241</v>
      </c>
      <c r="F5452" s="184"/>
      <c r="G5452" s="184"/>
      <c r="H5452" s="184"/>
      <c r="I5452" s="184"/>
      <c r="J5452" s="184"/>
      <c r="K5452" s="184"/>
      <c r="L5452" s="184"/>
      <c r="M5452" s="184"/>
      <c r="N5452" s="184"/>
      <c r="O5452" s="184"/>
    </row>
    <row r="5453" customFormat="false" ht="54.75" hidden="false" customHeight="true" outlineLevel="0" collapsed="false">
      <c r="A5453" s="184" t="s">
        <v>5005</v>
      </c>
      <c r="B5453" s="184" t="s">
        <v>5006</v>
      </c>
      <c r="C5453" s="184" t="n">
        <v>75</v>
      </c>
      <c r="D5453" s="178" t="s">
        <v>6457</v>
      </c>
      <c r="E5453" s="184" t="s">
        <v>6869</v>
      </c>
      <c r="F5453" s="184"/>
      <c r="G5453" s="184"/>
      <c r="H5453" s="184"/>
      <c r="I5453" s="184"/>
      <c r="J5453" s="184"/>
      <c r="K5453" s="184"/>
      <c r="L5453" s="184"/>
      <c r="M5453" s="184" t="s">
        <v>6955</v>
      </c>
      <c r="N5453" s="184"/>
      <c r="O5453" s="184"/>
    </row>
    <row r="5454" customFormat="false" ht="54.75" hidden="false" customHeight="true" outlineLevel="0" collapsed="false">
      <c r="A5454" s="184" t="s">
        <v>5005</v>
      </c>
      <c r="B5454" s="184" t="s">
        <v>5006</v>
      </c>
      <c r="C5454" s="184" t="n">
        <v>76</v>
      </c>
      <c r="D5454" s="178" t="s">
        <v>6457</v>
      </c>
      <c r="E5454" s="184" t="s">
        <v>6871</v>
      </c>
      <c r="F5454" s="184"/>
      <c r="G5454" s="184"/>
      <c r="H5454" s="184"/>
      <c r="I5454" s="184"/>
      <c r="J5454" s="184"/>
      <c r="K5454" s="184"/>
      <c r="L5454" s="184"/>
      <c r="M5454" s="184" t="s">
        <v>7242</v>
      </c>
      <c r="N5454" s="184"/>
      <c r="O5454" s="184"/>
    </row>
    <row r="5455" customFormat="false" ht="54.75" hidden="false" customHeight="true" outlineLevel="0" collapsed="false">
      <c r="A5455" s="184" t="s">
        <v>5005</v>
      </c>
      <c r="B5455" s="184" t="s">
        <v>5006</v>
      </c>
      <c r="C5455" s="184" t="n">
        <v>77</v>
      </c>
      <c r="D5455" s="184" t="s">
        <v>6296</v>
      </c>
      <c r="E5455" s="184" t="s">
        <v>6952</v>
      </c>
      <c r="F5455" s="184"/>
      <c r="G5455" s="184"/>
      <c r="H5455" s="184"/>
      <c r="I5455" s="184"/>
      <c r="J5455" s="184"/>
      <c r="K5455" s="184"/>
      <c r="L5455" s="184"/>
      <c r="M5455" s="184"/>
      <c r="N5455" s="184"/>
      <c r="O5455" s="184"/>
    </row>
    <row r="5456" customFormat="false" ht="54.75" hidden="false" customHeight="true" outlineLevel="0" collapsed="false">
      <c r="A5456" s="184" t="s">
        <v>5005</v>
      </c>
      <c r="B5456" s="184" t="s">
        <v>5006</v>
      </c>
      <c r="C5456" s="184" t="n">
        <v>78</v>
      </c>
      <c r="D5456" s="177" t="s">
        <v>6298</v>
      </c>
      <c r="E5456" s="184" t="s">
        <v>6953</v>
      </c>
      <c r="F5456" s="184"/>
      <c r="G5456" s="184"/>
      <c r="H5456" s="184"/>
      <c r="I5456" s="184"/>
      <c r="J5456" s="184"/>
      <c r="K5456" s="184"/>
      <c r="L5456" s="184"/>
      <c r="M5456" s="184"/>
      <c r="N5456" s="184"/>
      <c r="O5456" s="184"/>
    </row>
    <row r="5457" customFormat="false" ht="54.75" hidden="false" customHeight="true" outlineLevel="0" collapsed="false">
      <c r="A5457" s="184" t="s">
        <v>5005</v>
      </c>
      <c r="B5457" s="184" t="s">
        <v>5006</v>
      </c>
      <c r="C5457" s="184" t="n">
        <v>79</v>
      </c>
      <c r="D5457" s="177" t="s">
        <v>6298</v>
      </c>
      <c r="E5457" s="184" t="s">
        <v>6954</v>
      </c>
      <c r="F5457" s="184"/>
      <c r="G5457" s="184"/>
      <c r="H5457" s="184"/>
      <c r="I5457" s="184"/>
      <c r="J5457" s="184"/>
      <c r="K5457" s="184"/>
      <c r="L5457" s="184"/>
      <c r="M5457" s="184"/>
      <c r="N5457" s="184"/>
      <c r="O5457" s="184"/>
    </row>
    <row r="5458" customFormat="false" ht="54.75" hidden="false" customHeight="true" outlineLevel="0" collapsed="false">
      <c r="A5458" s="184" t="s">
        <v>5005</v>
      </c>
      <c r="B5458" s="184" t="s">
        <v>5006</v>
      </c>
      <c r="C5458" s="184" t="n">
        <v>80</v>
      </c>
      <c r="D5458" s="178" t="s">
        <v>6457</v>
      </c>
      <c r="E5458" s="184" t="s">
        <v>6869</v>
      </c>
      <c r="F5458" s="184"/>
      <c r="G5458" s="184"/>
      <c r="H5458" s="184"/>
      <c r="I5458" s="184"/>
      <c r="J5458" s="184"/>
      <c r="K5458" s="184"/>
      <c r="L5458" s="184"/>
      <c r="M5458" s="184" t="s">
        <v>6955</v>
      </c>
      <c r="N5458" s="184"/>
      <c r="O5458" s="184"/>
    </row>
    <row r="5459" customFormat="false" ht="54.75" hidden="false" customHeight="true" outlineLevel="0" collapsed="false">
      <c r="A5459" s="184" t="s">
        <v>5005</v>
      </c>
      <c r="B5459" s="184" t="s">
        <v>5006</v>
      </c>
      <c r="C5459" s="184" t="n">
        <v>81</v>
      </c>
      <c r="D5459" s="178" t="s">
        <v>6457</v>
      </c>
      <c r="E5459" s="184" t="s">
        <v>6871</v>
      </c>
      <c r="F5459" s="184"/>
      <c r="G5459" s="184"/>
      <c r="H5459" s="184"/>
      <c r="I5459" s="184"/>
      <c r="J5459" s="184"/>
      <c r="K5459" s="184"/>
      <c r="L5459" s="184"/>
      <c r="M5459" s="184" t="s">
        <v>6956</v>
      </c>
      <c r="N5459" s="184"/>
      <c r="O5459" s="184"/>
    </row>
    <row r="5460" customFormat="false" ht="54.75" hidden="false" customHeight="true" outlineLevel="0" collapsed="false">
      <c r="A5460" s="184" t="s">
        <v>5005</v>
      </c>
      <c r="B5460" s="184" t="s">
        <v>5006</v>
      </c>
      <c r="C5460" s="184" t="n">
        <v>82</v>
      </c>
      <c r="D5460" s="184" t="s">
        <v>6296</v>
      </c>
      <c r="E5460" s="184" t="s">
        <v>6957</v>
      </c>
      <c r="F5460" s="184"/>
      <c r="G5460" s="184"/>
      <c r="H5460" s="184"/>
      <c r="I5460" s="184"/>
      <c r="J5460" s="184"/>
      <c r="K5460" s="184"/>
      <c r="L5460" s="184"/>
      <c r="M5460" s="184"/>
      <c r="N5460" s="184"/>
      <c r="O5460" s="184"/>
    </row>
    <row r="5461" customFormat="false" ht="54.75" hidden="false" customHeight="true" outlineLevel="0" collapsed="false">
      <c r="A5461" s="184" t="s">
        <v>5005</v>
      </c>
      <c r="B5461" s="184" t="s">
        <v>5006</v>
      </c>
      <c r="C5461" s="184" t="n">
        <v>83</v>
      </c>
      <c r="D5461" s="177" t="s">
        <v>6298</v>
      </c>
      <c r="E5461" s="184" t="s">
        <v>6953</v>
      </c>
      <c r="F5461" s="184"/>
      <c r="G5461" s="184"/>
      <c r="H5461" s="184"/>
      <c r="I5461" s="184"/>
      <c r="J5461" s="184"/>
      <c r="K5461" s="184"/>
      <c r="L5461" s="184"/>
      <c r="M5461" s="184"/>
      <c r="N5461" s="184"/>
      <c r="O5461" s="184"/>
    </row>
    <row r="5462" customFormat="false" ht="54.75" hidden="false" customHeight="true" outlineLevel="0" collapsed="false">
      <c r="A5462" s="184" t="s">
        <v>5005</v>
      </c>
      <c r="B5462" s="184" t="s">
        <v>5006</v>
      </c>
      <c r="C5462" s="184" t="n">
        <v>84</v>
      </c>
      <c r="D5462" s="177" t="s">
        <v>6298</v>
      </c>
      <c r="E5462" s="184" t="s">
        <v>6958</v>
      </c>
      <c r="F5462" s="184"/>
      <c r="G5462" s="184"/>
      <c r="H5462" s="184"/>
      <c r="I5462" s="184"/>
      <c r="J5462" s="184"/>
      <c r="K5462" s="184"/>
      <c r="L5462" s="184"/>
      <c r="M5462" s="184"/>
      <c r="N5462" s="184"/>
      <c r="O5462" s="184"/>
    </row>
    <row r="5463" customFormat="false" ht="54.75" hidden="false" customHeight="true" outlineLevel="0" collapsed="false">
      <c r="A5463" s="184" t="s">
        <v>5005</v>
      </c>
      <c r="B5463" s="184" t="s">
        <v>5006</v>
      </c>
      <c r="C5463" s="184" t="n">
        <v>85</v>
      </c>
      <c r="D5463" s="178" t="s">
        <v>6457</v>
      </c>
      <c r="E5463" s="184" t="s">
        <v>6869</v>
      </c>
      <c r="F5463" s="184"/>
      <c r="G5463" s="184"/>
      <c r="H5463" s="184"/>
      <c r="I5463" s="184"/>
      <c r="J5463" s="184"/>
      <c r="K5463" s="184"/>
      <c r="L5463" s="184"/>
      <c r="M5463" s="184" t="s">
        <v>6955</v>
      </c>
      <c r="N5463" s="184"/>
      <c r="O5463" s="184"/>
    </row>
    <row r="5464" customFormat="false" ht="54.75" hidden="false" customHeight="true" outlineLevel="0" collapsed="false">
      <c r="A5464" s="184" t="s">
        <v>5005</v>
      </c>
      <c r="B5464" s="184" t="s">
        <v>5006</v>
      </c>
      <c r="C5464" s="184" t="n">
        <v>86</v>
      </c>
      <c r="D5464" s="178" t="s">
        <v>6457</v>
      </c>
      <c r="E5464" s="184" t="s">
        <v>6871</v>
      </c>
      <c r="F5464" s="184"/>
      <c r="G5464" s="184"/>
      <c r="H5464" s="184"/>
      <c r="I5464" s="184"/>
      <c r="J5464" s="184"/>
      <c r="K5464" s="184"/>
      <c r="L5464" s="184"/>
      <c r="M5464" s="184" t="s">
        <v>6959</v>
      </c>
      <c r="N5464" s="184"/>
      <c r="O5464" s="184"/>
    </row>
    <row r="5465" customFormat="false" ht="54.75" hidden="false" customHeight="true" outlineLevel="0" collapsed="false">
      <c r="A5465" s="184" t="s">
        <v>5005</v>
      </c>
      <c r="B5465" s="184" t="s">
        <v>5006</v>
      </c>
      <c r="C5465" s="184" t="n">
        <v>87</v>
      </c>
      <c r="D5465" s="184" t="s">
        <v>6296</v>
      </c>
      <c r="E5465" s="184" t="s">
        <v>724</v>
      </c>
      <c r="F5465" s="184"/>
      <c r="G5465" s="184"/>
      <c r="H5465" s="184"/>
      <c r="I5465" s="184"/>
      <c r="J5465" s="184"/>
      <c r="K5465" s="184"/>
      <c r="L5465" s="184"/>
      <c r="M5465" s="184"/>
      <c r="N5465" s="184"/>
      <c r="O5465" s="184"/>
    </row>
    <row r="5466" customFormat="false" ht="54.75" hidden="false" customHeight="true" outlineLevel="0" collapsed="false">
      <c r="A5466" s="184" t="s">
        <v>5005</v>
      </c>
      <c r="B5466" s="184" t="s">
        <v>5006</v>
      </c>
      <c r="C5466" s="184" t="n">
        <v>88</v>
      </c>
      <c r="D5466" s="177" t="s">
        <v>6298</v>
      </c>
      <c r="E5466" s="184" t="s">
        <v>6867</v>
      </c>
      <c r="F5466" s="184"/>
      <c r="G5466" s="184"/>
      <c r="H5466" s="184"/>
      <c r="I5466" s="184"/>
      <c r="J5466" s="184"/>
      <c r="K5466" s="184"/>
      <c r="L5466" s="184"/>
      <c r="M5466" s="184"/>
      <c r="N5466" s="184"/>
      <c r="O5466" s="184"/>
    </row>
    <row r="5467" customFormat="false" ht="54.75" hidden="false" customHeight="true" outlineLevel="0" collapsed="false">
      <c r="A5467" s="184" t="s">
        <v>5005</v>
      </c>
      <c r="B5467" s="184" t="s">
        <v>5006</v>
      </c>
      <c r="C5467" s="184" t="n">
        <v>89</v>
      </c>
      <c r="D5467" s="177" t="s">
        <v>6298</v>
      </c>
      <c r="E5467" s="184" t="s">
        <v>6868</v>
      </c>
      <c r="F5467" s="184"/>
      <c r="G5467" s="184"/>
      <c r="H5467" s="184"/>
      <c r="I5467" s="184"/>
      <c r="J5467" s="184"/>
      <c r="K5467" s="184"/>
      <c r="L5467" s="184"/>
      <c r="M5467" s="184"/>
      <c r="N5467" s="184"/>
      <c r="O5467" s="184"/>
    </row>
    <row r="5468" customFormat="false" ht="54.75" hidden="false" customHeight="true" outlineLevel="0" collapsed="false">
      <c r="A5468" s="184" t="s">
        <v>5005</v>
      </c>
      <c r="B5468" s="184" t="s">
        <v>5006</v>
      </c>
      <c r="C5468" s="184" t="n">
        <v>90</v>
      </c>
      <c r="D5468" s="178" t="s">
        <v>6457</v>
      </c>
      <c r="E5468" s="184" t="s">
        <v>6869</v>
      </c>
      <c r="F5468" s="184"/>
      <c r="G5468" s="184"/>
      <c r="H5468" s="184"/>
      <c r="I5468" s="184"/>
      <c r="J5468" s="184"/>
      <c r="K5468" s="184"/>
      <c r="L5468" s="184"/>
      <c r="M5468" s="184" t="s">
        <v>6870</v>
      </c>
      <c r="N5468" s="184"/>
      <c r="O5468" s="184"/>
    </row>
    <row r="5469" customFormat="false" ht="54.75" hidden="false" customHeight="true" outlineLevel="0" collapsed="false">
      <c r="A5469" s="184" t="s">
        <v>5005</v>
      </c>
      <c r="B5469" s="184" t="s">
        <v>5006</v>
      </c>
      <c r="C5469" s="184" t="n">
        <v>91</v>
      </c>
      <c r="D5469" s="178" t="s">
        <v>6457</v>
      </c>
      <c r="E5469" s="184" t="s">
        <v>6871</v>
      </c>
      <c r="F5469" s="184"/>
      <c r="G5469" s="184"/>
      <c r="H5469" s="184"/>
      <c r="I5469" s="184"/>
      <c r="J5469" s="184"/>
      <c r="K5469" s="184"/>
      <c r="L5469" s="184"/>
      <c r="M5469" s="184" t="s">
        <v>6872</v>
      </c>
      <c r="N5469" s="184"/>
      <c r="O5469" s="184"/>
    </row>
    <row r="5470" customFormat="false" ht="54.75" hidden="false" customHeight="true" outlineLevel="0" collapsed="false">
      <c r="A5470" s="184" t="s">
        <v>5005</v>
      </c>
      <c r="B5470" s="184" t="s">
        <v>5006</v>
      </c>
      <c r="C5470" s="184" t="n">
        <v>92</v>
      </c>
      <c r="D5470" s="179" t="s">
        <v>6300</v>
      </c>
      <c r="E5470" s="184" t="s">
        <v>7243</v>
      </c>
      <c r="F5470" s="184"/>
      <c r="G5470" s="184"/>
      <c r="H5470" s="184"/>
      <c r="I5470" s="184"/>
      <c r="J5470" s="184"/>
      <c r="K5470" s="184"/>
      <c r="L5470" s="184"/>
      <c r="M5470" s="184"/>
      <c r="N5470" s="184"/>
      <c r="O5470" s="184"/>
    </row>
    <row r="5471" customFormat="false" ht="54.75" hidden="false" customHeight="true" outlineLevel="0" collapsed="false">
      <c r="A5471" s="184" t="s">
        <v>5005</v>
      </c>
      <c r="B5471" s="184" t="s">
        <v>5006</v>
      </c>
      <c r="C5471" s="184" t="n">
        <v>93</v>
      </c>
      <c r="D5471" s="184" t="s">
        <v>4790</v>
      </c>
      <c r="E5471" s="184" t="s">
        <v>6874</v>
      </c>
      <c r="F5471" s="184"/>
      <c r="G5471" s="184"/>
      <c r="H5471" s="184"/>
      <c r="I5471" s="184"/>
      <c r="J5471" s="184"/>
      <c r="K5471" s="184"/>
      <c r="L5471" s="184"/>
      <c r="M5471" s="184" t="s">
        <v>6875</v>
      </c>
      <c r="N5471" s="184"/>
      <c r="O5471" s="184"/>
    </row>
    <row r="5472" customFormat="false" ht="54.75" hidden="false" customHeight="true" outlineLevel="0" collapsed="false">
      <c r="A5472" s="184" t="s">
        <v>5005</v>
      </c>
      <c r="B5472" s="184" t="s">
        <v>5006</v>
      </c>
      <c r="C5472" s="184" t="n">
        <v>94</v>
      </c>
      <c r="D5472" s="184" t="s">
        <v>4790</v>
      </c>
      <c r="E5472" s="184" t="s">
        <v>6880</v>
      </c>
      <c r="F5472" s="184"/>
      <c r="G5472" s="184"/>
      <c r="H5472" s="184"/>
      <c r="I5472" s="184"/>
      <c r="J5472" s="184"/>
      <c r="K5472" s="184"/>
      <c r="L5472" s="184"/>
      <c r="M5472" s="184" t="s">
        <v>6881</v>
      </c>
      <c r="N5472" s="184"/>
      <c r="O5472" s="184"/>
    </row>
    <row r="5473" customFormat="false" ht="54.75" hidden="false" customHeight="true" outlineLevel="0" collapsed="false">
      <c r="A5473" s="184" t="s">
        <v>5005</v>
      </c>
      <c r="B5473" s="184" t="s">
        <v>5006</v>
      </c>
      <c r="C5473" s="184" t="n">
        <v>95</v>
      </c>
      <c r="D5473" s="184" t="s">
        <v>4790</v>
      </c>
      <c r="E5473" s="184" t="s">
        <v>6882</v>
      </c>
      <c r="F5473" s="184"/>
      <c r="G5473" s="184"/>
      <c r="H5473" s="184"/>
      <c r="I5473" s="184"/>
      <c r="J5473" s="184"/>
      <c r="K5473" s="184"/>
      <c r="L5473" s="184"/>
      <c r="M5473" s="184" t="s">
        <v>6883</v>
      </c>
      <c r="N5473" s="184"/>
      <c r="O5473" s="184"/>
    </row>
    <row r="5474" customFormat="false" ht="54.75" hidden="false" customHeight="true" outlineLevel="0" collapsed="false">
      <c r="A5474" s="184" t="s">
        <v>5005</v>
      </c>
      <c r="B5474" s="184" t="s">
        <v>5006</v>
      </c>
      <c r="C5474" s="184" t="n">
        <v>96</v>
      </c>
      <c r="D5474" s="184" t="s">
        <v>4790</v>
      </c>
      <c r="E5474" s="184" t="s">
        <v>6884</v>
      </c>
      <c r="F5474" s="184"/>
      <c r="G5474" s="184"/>
      <c r="H5474" s="184"/>
      <c r="I5474" s="184"/>
      <c r="J5474" s="184"/>
      <c r="K5474" s="184"/>
      <c r="L5474" s="184"/>
      <c r="M5474" s="184" t="s">
        <v>6885</v>
      </c>
      <c r="N5474" s="184"/>
      <c r="O5474" s="184"/>
    </row>
    <row r="5475" customFormat="false" ht="54.75" hidden="false" customHeight="true" outlineLevel="0" collapsed="false">
      <c r="A5475" s="184" t="s">
        <v>5005</v>
      </c>
      <c r="B5475" s="184" t="s">
        <v>5006</v>
      </c>
      <c r="C5475" s="184" t="n">
        <v>97</v>
      </c>
      <c r="D5475" s="184" t="s">
        <v>4790</v>
      </c>
      <c r="E5475" s="184" t="s">
        <v>6886</v>
      </c>
      <c r="F5475" s="184"/>
      <c r="G5475" s="184"/>
      <c r="H5475" s="184"/>
      <c r="I5475" s="184"/>
      <c r="J5475" s="184"/>
      <c r="K5475" s="184"/>
      <c r="L5475" s="184"/>
      <c r="M5475" s="184" t="s">
        <v>6887</v>
      </c>
      <c r="N5475" s="184"/>
      <c r="O5475" s="184"/>
    </row>
    <row r="5476" customFormat="false" ht="54.75" hidden="false" customHeight="true" outlineLevel="0" collapsed="false">
      <c r="A5476" s="184" t="s">
        <v>5005</v>
      </c>
      <c r="B5476" s="184" t="s">
        <v>5006</v>
      </c>
      <c r="C5476" s="184" t="n">
        <v>98</v>
      </c>
      <c r="D5476" s="184" t="s">
        <v>4790</v>
      </c>
      <c r="E5476" s="184" t="s">
        <v>6888</v>
      </c>
      <c r="F5476" s="184"/>
      <c r="G5476" s="184"/>
      <c r="H5476" s="184"/>
      <c r="I5476" s="184"/>
      <c r="J5476" s="184"/>
      <c r="K5476" s="184"/>
      <c r="L5476" s="184"/>
      <c r="M5476" s="184" t="s">
        <v>6889</v>
      </c>
      <c r="N5476" s="184"/>
      <c r="O5476" s="184"/>
    </row>
    <row r="5477" customFormat="false" ht="54.75" hidden="false" customHeight="true" outlineLevel="0" collapsed="false">
      <c r="A5477" s="184" t="s">
        <v>5005</v>
      </c>
      <c r="B5477" s="184" t="s">
        <v>5006</v>
      </c>
      <c r="C5477" s="184" t="n">
        <v>99</v>
      </c>
      <c r="D5477" s="184" t="s">
        <v>4790</v>
      </c>
      <c r="E5477" s="184" t="s">
        <v>6890</v>
      </c>
      <c r="F5477" s="184"/>
      <c r="G5477" s="184"/>
      <c r="H5477" s="184"/>
      <c r="I5477" s="184"/>
      <c r="J5477" s="184"/>
      <c r="K5477" s="184"/>
      <c r="L5477" s="184"/>
      <c r="M5477" s="184" t="s">
        <v>6891</v>
      </c>
      <c r="N5477" s="184"/>
      <c r="O5477" s="184"/>
    </row>
    <row r="5478" customFormat="false" ht="54.75" hidden="false" customHeight="true" outlineLevel="0" collapsed="false">
      <c r="A5478" s="184" t="s">
        <v>5005</v>
      </c>
      <c r="B5478" s="184" t="s">
        <v>5006</v>
      </c>
      <c r="C5478" s="184" t="n">
        <v>100</v>
      </c>
      <c r="D5478" s="184" t="s">
        <v>4790</v>
      </c>
      <c r="E5478" s="184" t="s">
        <v>6892</v>
      </c>
      <c r="F5478" s="184"/>
      <c r="G5478" s="184"/>
      <c r="H5478" s="184"/>
      <c r="I5478" s="184"/>
      <c r="J5478" s="184"/>
      <c r="K5478" s="184"/>
      <c r="L5478" s="184"/>
      <c r="M5478" s="184" t="s">
        <v>6893</v>
      </c>
      <c r="N5478" s="184"/>
      <c r="O5478" s="184"/>
    </row>
    <row r="5479" customFormat="false" ht="54.75" hidden="false" customHeight="true" outlineLevel="0" collapsed="false">
      <c r="A5479" s="184" t="s">
        <v>5005</v>
      </c>
      <c r="B5479" s="184" t="s">
        <v>5006</v>
      </c>
      <c r="C5479" s="184" t="n">
        <v>101</v>
      </c>
      <c r="D5479" s="184" t="s">
        <v>4790</v>
      </c>
      <c r="E5479" s="184" t="s">
        <v>6894</v>
      </c>
      <c r="F5479" s="184"/>
      <c r="G5479" s="184"/>
      <c r="H5479" s="184"/>
      <c r="I5479" s="184"/>
      <c r="J5479" s="184"/>
      <c r="K5479" s="184"/>
      <c r="L5479" s="184"/>
      <c r="M5479" s="184" t="s">
        <v>6895</v>
      </c>
      <c r="N5479" s="184"/>
      <c r="O5479" s="184"/>
    </row>
    <row r="5480" customFormat="false" ht="54.75" hidden="false" customHeight="true" outlineLevel="0" collapsed="false">
      <c r="A5480" s="184" t="s">
        <v>5005</v>
      </c>
      <c r="B5480" s="184" t="s">
        <v>5006</v>
      </c>
      <c r="C5480" s="184" t="n">
        <v>102</v>
      </c>
      <c r="D5480" s="184" t="s">
        <v>4790</v>
      </c>
      <c r="E5480" s="184" t="s">
        <v>6896</v>
      </c>
      <c r="F5480" s="184"/>
      <c r="G5480" s="184"/>
      <c r="H5480" s="184"/>
      <c r="I5480" s="184"/>
      <c r="J5480" s="184"/>
      <c r="K5480" s="184"/>
      <c r="L5480" s="184"/>
      <c r="M5480" s="184" t="s">
        <v>6897</v>
      </c>
      <c r="N5480" s="184"/>
      <c r="O5480" s="184"/>
    </row>
    <row r="5481" customFormat="false" ht="54.75" hidden="false" customHeight="true" outlineLevel="0" collapsed="false">
      <c r="A5481" s="184" t="s">
        <v>5005</v>
      </c>
      <c r="B5481" s="184" t="s">
        <v>5006</v>
      </c>
      <c r="C5481" s="184" t="n">
        <v>103</v>
      </c>
      <c r="D5481" s="184" t="s">
        <v>4790</v>
      </c>
      <c r="E5481" s="184" t="s">
        <v>6898</v>
      </c>
      <c r="F5481" s="184"/>
      <c r="G5481" s="184"/>
      <c r="H5481" s="184"/>
      <c r="I5481" s="184"/>
      <c r="J5481" s="184"/>
      <c r="K5481" s="184"/>
      <c r="L5481" s="184"/>
      <c r="M5481" s="184" t="s">
        <v>6899</v>
      </c>
      <c r="N5481" s="184"/>
      <c r="O5481" s="184"/>
    </row>
    <row r="5482" customFormat="false" ht="54.75" hidden="false" customHeight="true" outlineLevel="0" collapsed="false">
      <c r="A5482" s="184" t="s">
        <v>5005</v>
      </c>
      <c r="B5482" s="184" t="s">
        <v>5006</v>
      </c>
      <c r="C5482" s="184" t="n">
        <v>104</v>
      </c>
      <c r="D5482" s="184" t="s">
        <v>4790</v>
      </c>
      <c r="E5482" s="184" t="s">
        <v>6900</v>
      </c>
      <c r="F5482" s="184"/>
      <c r="G5482" s="184"/>
      <c r="H5482" s="184"/>
      <c r="I5482" s="184"/>
      <c r="J5482" s="184"/>
      <c r="K5482" s="184"/>
      <c r="L5482" s="184"/>
      <c r="M5482" s="184" t="s">
        <v>6901</v>
      </c>
      <c r="N5482" s="184"/>
      <c r="O5482" s="184"/>
    </row>
    <row r="5483" customFormat="false" ht="54.75" hidden="false" customHeight="true" outlineLevel="0" collapsed="false">
      <c r="A5483" s="184" t="s">
        <v>5005</v>
      </c>
      <c r="B5483" s="184" t="s">
        <v>5006</v>
      </c>
      <c r="C5483" s="184" t="n">
        <v>105</v>
      </c>
      <c r="D5483" s="184" t="s">
        <v>4790</v>
      </c>
      <c r="E5483" s="184" t="s">
        <v>6904</v>
      </c>
      <c r="F5483" s="184"/>
      <c r="G5483" s="184"/>
      <c r="H5483" s="184"/>
      <c r="I5483" s="184"/>
      <c r="J5483" s="184"/>
      <c r="K5483" s="184"/>
      <c r="L5483" s="184"/>
      <c r="M5483" s="184" t="s">
        <v>6905</v>
      </c>
      <c r="N5483" s="184"/>
      <c r="O5483" s="184"/>
    </row>
    <row r="5484" customFormat="false" ht="54.75" hidden="false" customHeight="true" outlineLevel="0" collapsed="false">
      <c r="A5484" s="184" t="s">
        <v>5005</v>
      </c>
      <c r="B5484" s="184" t="s">
        <v>5006</v>
      </c>
      <c r="C5484" s="184" t="n">
        <v>106</v>
      </c>
      <c r="D5484" s="184" t="s">
        <v>4790</v>
      </c>
      <c r="E5484" s="184" t="s">
        <v>6906</v>
      </c>
      <c r="F5484" s="184"/>
      <c r="G5484" s="184"/>
      <c r="H5484" s="184"/>
      <c r="I5484" s="184"/>
      <c r="J5484" s="184"/>
      <c r="K5484" s="184"/>
      <c r="L5484" s="184"/>
      <c r="M5484" s="184" t="s">
        <v>6907</v>
      </c>
      <c r="N5484" s="184"/>
      <c r="O5484" s="184"/>
    </row>
    <row r="5485" customFormat="false" ht="54.75" hidden="false" customHeight="true" outlineLevel="0" collapsed="false">
      <c r="A5485" s="184" t="s">
        <v>5005</v>
      </c>
      <c r="B5485" s="184" t="s">
        <v>5006</v>
      </c>
      <c r="C5485" s="184" t="n">
        <v>107</v>
      </c>
      <c r="D5485" s="184" t="s">
        <v>4790</v>
      </c>
      <c r="E5485" s="184" t="s">
        <v>6908</v>
      </c>
      <c r="F5485" s="184"/>
      <c r="G5485" s="184"/>
      <c r="H5485" s="184"/>
      <c r="I5485" s="184"/>
      <c r="J5485" s="184"/>
      <c r="K5485" s="184"/>
      <c r="L5485" s="184"/>
      <c r="M5485" s="184" t="s">
        <v>6909</v>
      </c>
      <c r="N5485" s="184"/>
      <c r="O5485" s="184"/>
    </row>
    <row r="5486" customFormat="false" ht="54.75" hidden="false" customHeight="true" outlineLevel="0" collapsed="false">
      <c r="A5486" s="184" t="s">
        <v>5005</v>
      </c>
      <c r="B5486" s="184" t="s">
        <v>5006</v>
      </c>
      <c r="C5486" s="184" t="n">
        <v>108</v>
      </c>
      <c r="D5486" s="184" t="s">
        <v>4790</v>
      </c>
      <c r="E5486" s="184" t="s">
        <v>6912</v>
      </c>
      <c r="F5486" s="184"/>
      <c r="G5486" s="184"/>
      <c r="H5486" s="184"/>
      <c r="I5486" s="184"/>
      <c r="J5486" s="184"/>
      <c r="K5486" s="184"/>
      <c r="L5486" s="184"/>
      <c r="M5486" s="184" t="s">
        <v>6913</v>
      </c>
      <c r="N5486" s="184"/>
      <c r="O5486" s="184"/>
    </row>
    <row r="5487" customFormat="false" ht="54.75" hidden="false" customHeight="true" outlineLevel="0" collapsed="false">
      <c r="A5487" s="184" t="s">
        <v>5005</v>
      </c>
      <c r="B5487" s="184" t="s">
        <v>5006</v>
      </c>
      <c r="C5487" s="184" t="n">
        <v>109</v>
      </c>
      <c r="D5487" s="184" t="s">
        <v>4790</v>
      </c>
      <c r="E5487" s="184" t="s">
        <v>6914</v>
      </c>
      <c r="F5487" s="184"/>
      <c r="G5487" s="184"/>
      <c r="H5487" s="184"/>
      <c r="I5487" s="184"/>
      <c r="J5487" s="184"/>
      <c r="K5487" s="184"/>
      <c r="L5487" s="184"/>
      <c r="M5487" s="184" t="s">
        <v>6915</v>
      </c>
      <c r="N5487" s="184"/>
      <c r="O5487" s="184"/>
    </row>
    <row r="5488" customFormat="false" ht="54.75" hidden="false" customHeight="true" outlineLevel="0" collapsed="false">
      <c r="A5488" s="184" t="s">
        <v>5005</v>
      </c>
      <c r="B5488" s="184" t="s">
        <v>5006</v>
      </c>
      <c r="C5488" s="184" t="n">
        <v>110</v>
      </c>
      <c r="D5488" s="184" t="s">
        <v>4790</v>
      </c>
      <c r="E5488" s="184" t="s">
        <v>6918</v>
      </c>
      <c r="F5488" s="184"/>
      <c r="G5488" s="184"/>
      <c r="H5488" s="184"/>
      <c r="I5488" s="184"/>
      <c r="J5488" s="184"/>
      <c r="K5488" s="184"/>
      <c r="L5488" s="184"/>
      <c r="M5488" s="184" t="s">
        <v>6919</v>
      </c>
      <c r="N5488" s="184"/>
      <c r="O5488" s="184"/>
    </row>
    <row r="5489" customFormat="false" ht="54.75" hidden="false" customHeight="true" outlineLevel="0" collapsed="false">
      <c r="A5489" s="184" t="s">
        <v>5005</v>
      </c>
      <c r="B5489" s="184" t="s">
        <v>5006</v>
      </c>
      <c r="C5489" s="184" t="n">
        <v>111</v>
      </c>
      <c r="D5489" s="184" t="s">
        <v>4790</v>
      </c>
      <c r="E5489" s="184" t="s">
        <v>6920</v>
      </c>
      <c r="F5489" s="184"/>
      <c r="G5489" s="184"/>
      <c r="H5489" s="184"/>
      <c r="I5489" s="184"/>
      <c r="J5489" s="184"/>
      <c r="K5489" s="184"/>
      <c r="L5489" s="184"/>
      <c r="M5489" s="184" t="s">
        <v>6921</v>
      </c>
      <c r="N5489" s="184"/>
      <c r="O5489" s="184"/>
    </row>
    <row r="5490" customFormat="false" ht="54.75" hidden="false" customHeight="true" outlineLevel="0" collapsed="false">
      <c r="A5490" s="184" t="s">
        <v>5005</v>
      </c>
      <c r="B5490" s="184" t="s">
        <v>5006</v>
      </c>
      <c r="C5490" s="184" t="n">
        <v>112</v>
      </c>
      <c r="D5490" s="184" t="s">
        <v>4790</v>
      </c>
      <c r="E5490" s="184" t="s">
        <v>6922</v>
      </c>
      <c r="F5490" s="184"/>
      <c r="G5490" s="184"/>
      <c r="H5490" s="184"/>
      <c r="I5490" s="184"/>
      <c r="J5490" s="184"/>
      <c r="K5490" s="184"/>
      <c r="L5490" s="184"/>
      <c r="M5490" s="184" t="s">
        <v>6923</v>
      </c>
      <c r="N5490" s="184"/>
      <c r="O5490" s="184"/>
    </row>
    <row r="5491" customFormat="false" ht="54.75" hidden="false" customHeight="true" outlineLevel="0" collapsed="false">
      <c r="A5491" s="184" t="s">
        <v>5005</v>
      </c>
      <c r="B5491" s="184" t="s">
        <v>5006</v>
      </c>
      <c r="C5491" s="184" t="n">
        <v>113</v>
      </c>
      <c r="D5491" s="184" t="s">
        <v>4790</v>
      </c>
      <c r="E5491" s="184" t="s">
        <v>6924</v>
      </c>
      <c r="F5491" s="184"/>
      <c r="G5491" s="184"/>
      <c r="H5491" s="184"/>
      <c r="I5491" s="184"/>
      <c r="J5491" s="184"/>
      <c r="K5491" s="184"/>
      <c r="L5491" s="184"/>
      <c r="M5491" s="184" t="s">
        <v>6925</v>
      </c>
      <c r="N5491" s="184"/>
      <c r="O5491" s="184"/>
    </row>
    <row r="5492" customFormat="false" ht="54.75" hidden="false" customHeight="true" outlineLevel="0" collapsed="false">
      <c r="A5492" s="184" t="s">
        <v>5005</v>
      </c>
      <c r="B5492" s="184" t="s">
        <v>5006</v>
      </c>
      <c r="C5492" s="184" t="n">
        <v>114</v>
      </c>
      <c r="D5492" s="184" t="s">
        <v>4790</v>
      </c>
      <c r="E5492" s="184" t="s">
        <v>6926</v>
      </c>
      <c r="F5492" s="184"/>
      <c r="G5492" s="184"/>
      <c r="H5492" s="184"/>
      <c r="I5492" s="184"/>
      <c r="J5492" s="184"/>
      <c r="K5492" s="184"/>
      <c r="L5492" s="184"/>
      <c r="M5492" s="184" t="s">
        <v>6927</v>
      </c>
      <c r="N5492" s="184"/>
      <c r="O5492" s="184"/>
    </row>
    <row r="5493" customFormat="false" ht="54.75" hidden="false" customHeight="true" outlineLevel="0" collapsed="false">
      <c r="A5493" s="184" t="s">
        <v>5005</v>
      </c>
      <c r="B5493" s="184" t="s">
        <v>5006</v>
      </c>
      <c r="C5493" s="184" t="n">
        <v>115</v>
      </c>
      <c r="D5493" s="184" t="s">
        <v>4790</v>
      </c>
      <c r="E5493" s="184" t="s">
        <v>6928</v>
      </c>
      <c r="F5493" s="184"/>
      <c r="G5493" s="184"/>
      <c r="H5493" s="184"/>
      <c r="I5493" s="184"/>
      <c r="J5493" s="184"/>
      <c r="K5493" s="184"/>
      <c r="L5493" s="184"/>
      <c r="M5493" s="184" t="s">
        <v>6929</v>
      </c>
      <c r="N5493" s="184"/>
      <c r="O5493" s="184"/>
    </row>
    <row r="5494" customFormat="false" ht="54.75" hidden="false" customHeight="true" outlineLevel="0" collapsed="false">
      <c r="A5494" s="184" t="s">
        <v>5005</v>
      </c>
      <c r="B5494" s="184" t="s">
        <v>5006</v>
      </c>
      <c r="C5494" s="184" t="n">
        <v>116</v>
      </c>
      <c r="D5494" s="184" t="s">
        <v>4790</v>
      </c>
      <c r="E5494" s="184" t="s">
        <v>6930</v>
      </c>
      <c r="F5494" s="184"/>
      <c r="G5494" s="184"/>
      <c r="H5494" s="184"/>
      <c r="I5494" s="184"/>
      <c r="J5494" s="184"/>
      <c r="K5494" s="184"/>
      <c r="L5494" s="184"/>
      <c r="M5494" s="184" t="s">
        <v>6931</v>
      </c>
      <c r="N5494" s="184"/>
      <c r="O5494" s="184"/>
    </row>
    <row r="5495" customFormat="false" ht="54.75" hidden="false" customHeight="true" outlineLevel="0" collapsed="false">
      <c r="A5495" s="184" t="s">
        <v>5005</v>
      </c>
      <c r="B5495" s="184" t="s">
        <v>5006</v>
      </c>
      <c r="C5495" s="184" t="n">
        <v>117</v>
      </c>
      <c r="D5495" s="178" t="s">
        <v>5269</v>
      </c>
      <c r="E5495" s="184" t="s">
        <v>6932</v>
      </c>
      <c r="F5495" s="184"/>
      <c r="G5495" s="184"/>
      <c r="H5495" s="184"/>
      <c r="I5495" s="184"/>
      <c r="J5495" s="184"/>
      <c r="K5495" s="184"/>
      <c r="L5495" s="184"/>
      <c r="M5495" s="184" t="s">
        <v>6933</v>
      </c>
      <c r="N5495" s="184"/>
      <c r="O5495" s="184"/>
    </row>
    <row r="5496" customFormat="false" ht="54.75" hidden="false" customHeight="true" outlineLevel="0" collapsed="false">
      <c r="A5496" s="184" t="s">
        <v>5005</v>
      </c>
      <c r="B5496" s="184" t="s">
        <v>5006</v>
      </c>
      <c r="C5496" s="184" t="n">
        <v>118</v>
      </c>
      <c r="D5496" s="178" t="s">
        <v>5269</v>
      </c>
      <c r="E5496" s="184" t="s">
        <v>6934</v>
      </c>
      <c r="F5496" s="184"/>
      <c r="G5496" s="184"/>
      <c r="H5496" s="184"/>
      <c r="I5496" s="184"/>
      <c r="J5496" s="184"/>
      <c r="K5496" s="184"/>
      <c r="L5496" s="184"/>
      <c r="M5496" s="184" t="s">
        <v>6935</v>
      </c>
      <c r="N5496" s="184"/>
      <c r="O5496" s="184"/>
    </row>
    <row r="5497" customFormat="false" ht="15" hidden="false" customHeight="true" outlineLevel="0" collapsed="false">
      <c r="A5497" s="184"/>
      <c r="B5497" s="184"/>
      <c r="C5497" s="184"/>
      <c r="D5497" s="184"/>
      <c r="E5497" s="184"/>
      <c r="F5497" s="184"/>
      <c r="G5497" s="184"/>
      <c r="H5497" s="184"/>
      <c r="I5497" s="184"/>
      <c r="J5497" s="184"/>
      <c r="K5497" s="184"/>
      <c r="L5497" s="184"/>
      <c r="M5497" s="184"/>
      <c r="N5497" s="184"/>
      <c r="O5497" s="184"/>
    </row>
    <row r="5498" customFormat="false" ht="15" hidden="false" customHeight="true" outlineLevel="0" collapsed="false">
      <c r="A5498" s="184"/>
      <c r="B5498" s="184"/>
      <c r="C5498" s="184"/>
      <c r="D5498" s="184"/>
      <c r="E5498" s="184"/>
      <c r="F5498" s="184"/>
      <c r="G5498" s="184"/>
      <c r="H5498" s="184"/>
      <c r="I5498" s="184"/>
      <c r="J5498" s="184"/>
      <c r="K5498" s="184"/>
      <c r="L5498" s="184"/>
      <c r="M5498" s="184"/>
      <c r="N5498" s="184"/>
      <c r="O5498" s="184"/>
    </row>
    <row r="5499" customFormat="false" ht="15" hidden="false" customHeight="true" outlineLevel="0" collapsed="false">
      <c r="A5499" s="184"/>
      <c r="B5499" s="184"/>
      <c r="C5499" s="184"/>
      <c r="D5499" s="184"/>
      <c r="E5499" s="184"/>
      <c r="F5499" s="184"/>
      <c r="G5499" s="184"/>
      <c r="H5499" s="184"/>
      <c r="I5499" s="184"/>
      <c r="J5499" s="184"/>
      <c r="K5499" s="184"/>
      <c r="L5499" s="184"/>
      <c r="M5499" s="184"/>
      <c r="N5499" s="184"/>
      <c r="O5499" s="184"/>
    </row>
    <row r="5500" customFormat="false" ht="15" hidden="false" customHeight="true" outlineLevel="0" collapsed="false">
      <c r="A5500" s="184"/>
      <c r="B5500" s="184"/>
      <c r="C5500" s="184"/>
      <c r="D5500" s="184"/>
      <c r="E5500" s="184"/>
      <c r="F5500" s="184"/>
      <c r="G5500" s="184"/>
      <c r="H5500" s="184"/>
      <c r="I5500" s="184"/>
      <c r="J5500" s="184"/>
      <c r="K5500" s="184"/>
      <c r="L5500" s="184"/>
      <c r="M5500" s="184"/>
      <c r="N5500" s="184"/>
      <c r="O5500" s="184"/>
    </row>
    <row r="5501" customFormat="false" ht="15" hidden="false" customHeight="true" outlineLevel="0" collapsed="false">
      <c r="A5501" s="184"/>
      <c r="B5501" s="184"/>
      <c r="C5501" s="184"/>
      <c r="D5501" s="184"/>
      <c r="E5501" s="184"/>
      <c r="F5501" s="184"/>
      <c r="G5501" s="184"/>
      <c r="H5501" s="184"/>
      <c r="I5501" s="184"/>
      <c r="J5501" s="184"/>
      <c r="K5501" s="184"/>
      <c r="L5501" s="184"/>
      <c r="M5501" s="184"/>
      <c r="N5501" s="184"/>
      <c r="O5501" s="184"/>
    </row>
    <row r="5502" customFormat="false" ht="15" hidden="false" customHeight="true" outlineLevel="0" collapsed="false">
      <c r="A5502" s="184"/>
      <c r="B5502" s="184"/>
      <c r="C5502" s="184"/>
      <c r="D5502" s="184"/>
      <c r="E5502" s="184"/>
      <c r="F5502" s="184"/>
      <c r="G5502" s="184"/>
      <c r="H5502" s="184"/>
      <c r="I5502" s="184"/>
      <c r="J5502" s="184"/>
      <c r="K5502" s="184"/>
      <c r="L5502" s="184"/>
      <c r="M5502" s="184"/>
      <c r="N5502" s="184"/>
      <c r="O5502" s="184"/>
    </row>
    <row r="5503" customFormat="false" ht="15" hidden="false" customHeight="true" outlineLevel="0" collapsed="false">
      <c r="A5503" s="184"/>
      <c r="B5503" s="184"/>
      <c r="C5503" s="184"/>
      <c r="D5503" s="184"/>
      <c r="E5503" s="184"/>
      <c r="F5503" s="184"/>
      <c r="G5503" s="184"/>
      <c r="H5503" s="184"/>
      <c r="I5503" s="184"/>
      <c r="J5503" s="184"/>
      <c r="K5503" s="184"/>
      <c r="L5503" s="184"/>
      <c r="M5503" s="184"/>
      <c r="N5503" s="184"/>
      <c r="O5503" s="184"/>
    </row>
    <row r="5504" customFormat="false" ht="15" hidden="false" customHeight="true" outlineLevel="0" collapsed="false">
      <c r="A5504" s="184"/>
      <c r="B5504" s="184"/>
      <c r="C5504" s="184"/>
      <c r="D5504" s="184"/>
      <c r="E5504" s="184"/>
      <c r="F5504" s="184"/>
      <c r="G5504" s="184"/>
      <c r="H5504" s="184"/>
      <c r="I5504" s="184"/>
      <c r="J5504" s="184"/>
      <c r="K5504" s="184"/>
      <c r="L5504" s="184"/>
      <c r="M5504" s="184"/>
      <c r="N5504" s="184"/>
      <c r="O5504" s="184"/>
    </row>
    <row r="5505" customFormat="false" ht="15" hidden="false" customHeight="true" outlineLevel="0" collapsed="false">
      <c r="A5505" s="184"/>
      <c r="B5505" s="184"/>
      <c r="C5505" s="184"/>
      <c r="D5505" s="184"/>
      <c r="E5505" s="184"/>
      <c r="F5505" s="184"/>
      <c r="G5505" s="184"/>
      <c r="H5505" s="184"/>
      <c r="I5505" s="184"/>
      <c r="J5505" s="184"/>
      <c r="K5505" s="184"/>
      <c r="L5505" s="184"/>
      <c r="M5505" s="184"/>
      <c r="N5505" s="184"/>
      <c r="O5505" s="184"/>
    </row>
    <row r="5506" customFormat="false" ht="15" hidden="false" customHeight="true" outlineLevel="0" collapsed="false">
      <c r="A5506" s="184"/>
      <c r="B5506" s="184"/>
      <c r="C5506" s="184"/>
      <c r="D5506" s="184"/>
      <c r="E5506" s="184"/>
      <c r="F5506" s="184"/>
      <c r="G5506" s="184"/>
      <c r="H5506" s="184"/>
      <c r="I5506" s="184"/>
      <c r="J5506" s="184"/>
      <c r="K5506" s="184"/>
      <c r="L5506" s="184"/>
      <c r="M5506" s="184"/>
      <c r="N5506" s="184"/>
      <c r="O5506" s="184"/>
    </row>
    <row r="5507" customFormat="false" ht="15" hidden="false" customHeight="true" outlineLevel="0" collapsed="false">
      <c r="A5507" s="184"/>
      <c r="B5507" s="184"/>
      <c r="C5507" s="184"/>
      <c r="D5507" s="184"/>
      <c r="E5507" s="184"/>
      <c r="F5507" s="184"/>
      <c r="G5507" s="184"/>
      <c r="H5507" s="184"/>
      <c r="I5507" s="184"/>
      <c r="J5507" s="184"/>
      <c r="K5507" s="184"/>
      <c r="L5507" s="184"/>
      <c r="M5507" s="184"/>
      <c r="N5507" s="184"/>
      <c r="O5507" s="184"/>
    </row>
    <row r="5508" customFormat="false" ht="15" hidden="false" customHeight="true" outlineLevel="0" collapsed="false">
      <c r="A5508" s="184"/>
      <c r="B5508" s="184"/>
      <c r="C5508" s="184"/>
      <c r="D5508" s="184"/>
      <c r="E5508" s="184"/>
      <c r="F5508" s="184"/>
      <c r="G5508" s="184"/>
      <c r="H5508" s="184"/>
      <c r="I5508" s="184"/>
      <c r="J5508" s="184"/>
      <c r="K5508" s="184"/>
      <c r="L5508" s="184"/>
      <c r="M5508" s="184"/>
      <c r="N5508" s="184"/>
      <c r="O5508" s="184"/>
    </row>
    <row r="5509" customFormat="false" ht="15" hidden="false" customHeight="true" outlineLevel="0" collapsed="false">
      <c r="A5509" s="184"/>
      <c r="B5509" s="184"/>
      <c r="C5509" s="184"/>
      <c r="D5509" s="184"/>
      <c r="E5509" s="184"/>
      <c r="F5509" s="184"/>
      <c r="G5509" s="184"/>
      <c r="H5509" s="184"/>
      <c r="I5509" s="184"/>
      <c r="J5509" s="184"/>
      <c r="K5509" s="184"/>
      <c r="L5509" s="184"/>
      <c r="M5509" s="184"/>
      <c r="N5509" s="184"/>
      <c r="O5509" s="184"/>
    </row>
    <row r="5510" customFormat="false" ht="15" hidden="false" customHeight="true" outlineLevel="0" collapsed="false">
      <c r="A5510" s="184"/>
      <c r="B5510" s="184"/>
      <c r="C5510" s="184"/>
      <c r="D5510" s="184"/>
      <c r="E5510" s="184"/>
      <c r="F5510" s="184"/>
      <c r="G5510" s="184"/>
      <c r="H5510" s="184"/>
      <c r="I5510" s="184"/>
      <c r="J5510" s="184"/>
      <c r="K5510" s="184"/>
      <c r="L5510" s="184"/>
      <c r="M5510" s="184"/>
      <c r="N5510" s="184"/>
      <c r="O5510" s="184"/>
    </row>
    <row r="5511" customFormat="false" ht="15" hidden="false" customHeight="true" outlineLevel="0" collapsed="false">
      <c r="A5511" s="184"/>
      <c r="B5511" s="184"/>
      <c r="C5511" s="184"/>
      <c r="D5511" s="184"/>
      <c r="E5511" s="184"/>
      <c r="F5511" s="184"/>
      <c r="G5511" s="184"/>
      <c r="H5511" s="184"/>
      <c r="I5511" s="184"/>
      <c r="J5511" s="184"/>
      <c r="K5511" s="184"/>
      <c r="L5511" s="184"/>
      <c r="M5511" s="184"/>
      <c r="N5511" s="184"/>
      <c r="O5511" s="184"/>
    </row>
    <row r="5512" customFormat="false" ht="15" hidden="false" customHeight="true" outlineLevel="0" collapsed="false">
      <c r="A5512" s="184"/>
      <c r="B5512" s="184"/>
      <c r="C5512" s="184"/>
      <c r="D5512" s="184"/>
      <c r="E5512" s="184"/>
      <c r="F5512" s="184"/>
      <c r="G5512" s="184"/>
      <c r="H5512" s="184"/>
      <c r="I5512" s="184"/>
      <c r="J5512" s="184"/>
      <c r="K5512" s="184"/>
      <c r="L5512" s="184"/>
      <c r="M5512" s="184"/>
      <c r="N5512" s="184"/>
      <c r="O5512" s="184"/>
    </row>
    <row r="5513" customFormat="false" ht="15" hidden="false" customHeight="true" outlineLevel="0" collapsed="false">
      <c r="A5513" s="184"/>
      <c r="B5513" s="184"/>
      <c r="C5513" s="184"/>
      <c r="D5513" s="184"/>
      <c r="E5513" s="184"/>
      <c r="F5513" s="184"/>
      <c r="G5513" s="184"/>
      <c r="H5513" s="184"/>
      <c r="I5513" s="184"/>
      <c r="J5513" s="184"/>
      <c r="K5513" s="184"/>
      <c r="L5513" s="184"/>
      <c r="M5513" s="184"/>
      <c r="N5513" s="184"/>
      <c r="O5513" s="184"/>
    </row>
    <row r="5514" customFormat="false" ht="15" hidden="false" customHeight="true" outlineLevel="0" collapsed="false">
      <c r="A5514" s="184"/>
      <c r="B5514" s="184"/>
      <c r="C5514" s="184"/>
      <c r="D5514" s="184"/>
      <c r="E5514" s="184"/>
      <c r="F5514" s="184"/>
      <c r="G5514" s="184"/>
      <c r="H5514" s="184"/>
      <c r="I5514" s="184"/>
      <c r="J5514" s="184"/>
      <c r="K5514" s="184"/>
      <c r="L5514" s="184"/>
      <c r="M5514" s="184"/>
      <c r="N5514" s="184"/>
      <c r="O5514" s="184"/>
    </row>
    <row r="5515" customFormat="false" ht="15" hidden="false" customHeight="true" outlineLevel="0" collapsed="false">
      <c r="A5515" s="184"/>
      <c r="B5515" s="184"/>
      <c r="C5515" s="184"/>
      <c r="D5515" s="184"/>
      <c r="E5515" s="184"/>
      <c r="F5515" s="184"/>
      <c r="G5515" s="184"/>
      <c r="H5515" s="184"/>
      <c r="I5515" s="184"/>
      <c r="J5515" s="184"/>
      <c r="K5515" s="184"/>
      <c r="L5515" s="184"/>
      <c r="M5515" s="184"/>
      <c r="N5515" s="184"/>
      <c r="O5515" s="184"/>
    </row>
    <row r="5516" customFormat="false" ht="15" hidden="false" customHeight="true" outlineLevel="0" collapsed="false">
      <c r="A5516" s="184"/>
      <c r="B5516" s="184"/>
      <c r="C5516" s="184"/>
      <c r="D5516" s="184"/>
      <c r="E5516" s="184"/>
      <c r="F5516" s="184"/>
      <c r="G5516" s="184"/>
      <c r="H5516" s="184"/>
      <c r="I5516" s="184"/>
      <c r="J5516" s="184"/>
      <c r="K5516" s="184"/>
      <c r="L5516" s="184"/>
      <c r="M5516" s="184"/>
      <c r="N5516" s="184"/>
      <c r="O5516" s="184"/>
    </row>
    <row r="5517" customFormat="false" ht="15" hidden="false" customHeight="true" outlineLevel="0" collapsed="false">
      <c r="A5517" s="184"/>
      <c r="B5517" s="184"/>
      <c r="C5517" s="184"/>
      <c r="D5517" s="184"/>
      <c r="E5517" s="184"/>
      <c r="F5517" s="184"/>
      <c r="G5517" s="184"/>
      <c r="H5517" s="184"/>
      <c r="I5517" s="184"/>
      <c r="J5517" s="184"/>
      <c r="K5517" s="184"/>
      <c r="L5517" s="184"/>
      <c r="M5517" s="184"/>
      <c r="N5517" s="184"/>
      <c r="O5517" s="184"/>
    </row>
    <row r="5518" customFormat="false" ht="15" hidden="false" customHeight="true" outlineLevel="0" collapsed="false">
      <c r="A5518" s="184"/>
      <c r="B5518" s="184"/>
      <c r="C5518" s="184"/>
      <c r="D5518" s="184"/>
      <c r="E5518" s="184"/>
      <c r="F5518" s="184"/>
      <c r="G5518" s="184"/>
      <c r="H5518" s="184"/>
      <c r="I5518" s="184"/>
      <c r="J5518" s="184"/>
      <c r="K5518" s="184"/>
      <c r="L5518" s="184"/>
      <c r="M5518" s="184"/>
      <c r="N5518" s="184"/>
      <c r="O5518" s="184"/>
    </row>
    <row r="5519" customFormat="false" ht="15" hidden="false" customHeight="true" outlineLevel="0" collapsed="false">
      <c r="A5519" s="184"/>
      <c r="B5519" s="184"/>
      <c r="C5519" s="184"/>
      <c r="D5519" s="184"/>
      <c r="E5519" s="184"/>
      <c r="F5519" s="184"/>
      <c r="G5519" s="184"/>
      <c r="H5519" s="184"/>
      <c r="I5519" s="184"/>
      <c r="J5519" s="184"/>
      <c r="K5519" s="184"/>
      <c r="L5519" s="184"/>
      <c r="M5519" s="184"/>
      <c r="N5519" s="184"/>
      <c r="O5519" s="184"/>
    </row>
    <row r="5520" customFormat="false" ht="15" hidden="false" customHeight="true" outlineLevel="0" collapsed="false">
      <c r="A5520" s="184"/>
      <c r="B5520" s="184"/>
      <c r="C5520" s="184"/>
      <c r="D5520" s="184"/>
      <c r="E5520" s="184"/>
      <c r="F5520" s="184"/>
      <c r="G5520" s="184"/>
      <c r="H5520" s="184"/>
      <c r="I5520" s="184"/>
      <c r="J5520" s="184"/>
      <c r="K5520" s="184"/>
      <c r="L5520" s="184"/>
      <c r="M5520" s="184"/>
      <c r="N5520" s="184"/>
      <c r="O5520" s="184"/>
    </row>
    <row r="5521" customFormat="false" ht="15" hidden="false" customHeight="true" outlineLevel="0" collapsed="false">
      <c r="A5521" s="184"/>
      <c r="B5521" s="184"/>
      <c r="C5521" s="184"/>
      <c r="D5521" s="184"/>
      <c r="E5521" s="184"/>
      <c r="F5521" s="184"/>
      <c r="G5521" s="184"/>
      <c r="H5521" s="184"/>
      <c r="I5521" s="184"/>
      <c r="J5521" s="184"/>
      <c r="K5521" s="184"/>
      <c r="L5521" s="184"/>
      <c r="M5521" s="184"/>
      <c r="N5521" s="184"/>
      <c r="O5521" s="184"/>
    </row>
    <row r="5522" customFormat="false" ht="15" hidden="false" customHeight="true" outlineLevel="0" collapsed="false">
      <c r="A5522" s="184"/>
      <c r="B5522" s="184"/>
      <c r="C5522" s="184"/>
      <c r="D5522" s="184"/>
      <c r="E5522" s="184"/>
      <c r="F5522" s="184"/>
      <c r="G5522" s="184"/>
      <c r="H5522" s="184"/>
      <c r="I5522" s="184"/>
      <c r="J5522" s="184"/>
      <c r="K5522" s="184"/>
      <c r="L5522" s="184"/>
      <c r="M5522" s="184"/>
      <c r="N5522" s="184"/>
      <c r="O5522" s="184"/>
    </row>
    <row r="5523" customFormat="false" ht="15" hidden="false" customHeight="true" outlineLevel="0" collapsed="false">
      <c r="A5523" s="184"/>
      <c r="B5523" s="184"/>
      <c r="C5523" s="184"/>
      <c r="D5523" s="184"/>
      <c r="E5523" s="184"/>
      <c r="F5523" s="184"/>
      <c r="G5523" s="184"/>
      <c r="H5523" s="184"/>
      <c r="I5523" s="184"/>
      <c r="J5523" s="184"/>
      <c r="K5523" s="184"/>
      <c r="L5523" s="184"/>
      <c r="M5523" s="184"/>
      <c r="N5523" s="184"/>
      <c r="O5523" s="184"/>
    </row>
    <row r="5524" customFormat="false" ht="15" hidden="false" customHeight="true" outlineLevel="0" collapsed="false">
      <c r="A5524" s="184"/>
      <c r="B5524" s="184"/>
      <c r="C5524" s="184"/>
      <c r="D5524" s="184"/>
      <c r="E5524" s="184"/>
      <c r="F5524" s="184"/>
      <c r="G5524" s="184"/>
      <c r="H5524" s="184"/>
      <c r="I5524" s="184"/>
      <c r="J5524" s="184"/>
      <c r="K5524" s="184"/>
      <c r="L5524" s="184"/>
      <c r="M5524" s="184"/>
      <c r="N5524" s="184"/>
      <c r="O5524" s="184"/>
    </row>
    <row r="5525" customFormat="false" ht="15" hidden="false" customHeight="true" outlineLevel="0" collapsed="false">
      <c r="A5525" s="184"/>
      <c r="B5525" s="184"/>
      <c r="C5525" s="184"/>
      <c r="D5525" s="184"/>
      <c r="E5525" s="184"/>
      <c r="F5525" s="184"/>
      <c r="G5525" s="184"/>
      <c r="H5525" s="184"/>
      <c r="I5525" s="184"/>
      <c r="J5525" s="184"/>
      <c r="K5525" s="184"/>
      <c r="L5525" s="184"/>
      <c r="M5525" s="184"/>
      <c r="N5525" s="184"/>
      <c r="O5525" s="184"/>
    </row>
    <row r="5526" customFormat="false" ht="15" hidden="false" customHeight="true" outlineLevel="0" collapsed="false">
      <c r="A5526" s="184"/>
      <c r="B5526" s="184"/>
      <c r="C5526" s="184"/>
      <c r="D5526" s="184"/>
      <c r="E5526" s="184"/>
      <c r="F5526" s="184"/>
      <c r="G5526" s="184"/>
      <c r="H5526" s="184"/>
      <c r="I5526" s="184"/>
      <c r="J5526" s="184"/>
      <c r="K5526" s="184"/>
      <c r="L5526" s="184"/>
      <c r="M5526" s="184"/>
      <c r="N5526" s="184"/>
      <c r="O5526" s="184"/>
    </row>
    <row r="5527" customFormat="false" ht="15" hidden="false" customHeight="true" outlineLevel="0" collapsed="false">
      <c r="A5527" s="184"/>
      <c r="B5527" s="184"/>
      <c r="C5527" s="184"/>
      <c r="D5527" s="184"/>
      <c r="E5527" s="184"/>
      <c r="F5527" s="184"/>
      <c r="G5527" s="184"/>
      <c r="H5527" s="184"/>
      <c r="I5527" s="184"/>
      <c r="J5527" s="184"/>
      <c r="K5527" s="184"/>
      <c r="L5527" s="184"/>
      <c r="M5527" s="184"/>
      <c r="N5527" s="184"/>
      <c r="O5527" s="184"/>
    </row>
    <row r="5528" customFormat="false" ht="15" hidden="false" customHeight="true" outlineLevel="0" collapsed="false">
      <c r="A5528" s="184"/>
      <c r="B5528" s="184"/>
      <c r="C5528" s="184"/>
      <c r="D5528" s="184"/>
      <c r="E5528" s="184"/>
      <c r="F5528" s="184"/>
      <c r="G5528" s="184"/>
      <c r="H5528" s="184"/>
      <c r="I5528" s="184"/>
      <c r="J5528" s="184"/>
      <c r="K5528" s="184"/>
      <c r="L5528" s="184"/>
      <c r="M5528" s="184"/>
      <c r="N5528" s="184"/>
      <c r="O5528" s="184"/>
    </row>
    <row r="5529" customFormat="false" ht="15" hidden="false" customHeight="true" outlineLevel="0" collapsed="false">
      <c r="A5529" s="184"/>
      <c r="B5529" s="184"/>
      <c r="C5529" s="184"/>
      <c r="D5529" s="184"/>
      <c r="E5529" s="184"/>
      <c r="F5529" s="184"/>
      <c r="G5529" s="184"/>
      <c r="H5529" s="184"/>
      <c r="I5529" s="184"/>
      <c r="J5529" s="184"/>
      <c r="K5529" s="184"/>
      <c r="L5529" s="184"/>
      <c r="M5529" s="184"/>
      <c r="N5529" s="184"/>
      <c r="O5529" s="184"/>
    </row>
    <row r="5530" customFormat="false" ht="15" hidden="false" customHeight="true" outlineLevel="0" collapsed="false">
      <c r="A5530" s="184"/>
      <c r="B5530" s="184"/>
      <c r="C5530" s="184"/>
      <c r="D5530" s="184"/>
      <c r="E5530" s="184"/>
      <c r="F5530" s="184"/>
      <c r="G5530" s="184"/>
      <c r="H5530" s="184"/>
      <c r="I5530" s="184"/>
      <c r="J5530" s="184"/>
      <c r="K5530" s="184"/>
      <c r="L5530" s="184"/>
      <c r="M5530" s="184"/>
      <c r="N5530" s="184"/>
      <c r="O5530" s="184"/>
    </row>
    <row r="5531" customFormat="false" ht="15" hidden="false" customHeight="true" outlineLevel="0" collapsed="false">
      <c r="A5531" s="184"/>
      <c r="B5531" s="184"/>
      <c r="C5531" s="184"/>
      <c r="D5531" s="184"/>
      <c r="E5531" s="184"/>
      <c r="F5531" s="184"/>
      <c r="G5531" s="184"/>
      <c r="H5531" s="184"/>
      <c r="I5531" s="184"/>
      <c r="J5531" s="184"/>
      <c r="K5531" s="184"/>
      <c r="L5531" s="184"/>
      <c r="M5531" s="184"/>
      <c r="N5531" s="184"/>
      <c r="O5531" s="184"/>
    </row>
    <row r="5532" customFormat="false" ht="15" hidden="false" customHeight="true" outlineLevel="0" collapsed="false">
      <c r="A5532" s="184"/>
      <c r="B5532" s="184"/>
      <c r="C5532" s="184"/>
      <c r="D5532" s="184"/>
      <c r="E5532" s="184"/>
      <c r="F5532" s="184"/>
      <c r="G5532" s="184"/>
      <c r="H5532" s="184"/>
      <c r="I5532" s="184"/>
      <c r="J5532" s="184"/>
      <c r="K5532" s="184"/>
      <c r="L5532" s="184"/>
      <c r="M5532" s="184"/>
      <c r="N5532" s="184"/>
      <c r="O5532" s="184"/>
    </row>
    <row r="5533" customFormat="false" ht="15" hidden="false" customHeight="true" outlineLevel="0" collapsed="false">
      <c r="A5533" s="184"/>
      <c r="B5533" s="184"/>
      <c r="C5533" s="184"/>
      <c r="D5533" s="184"/>
      <c r="E5533" s="184"/>
      <c r="F5533" s="184"/>
      <c r="G5533" s="184"/>
      <c r="H5533" s="184"/>
      <c r="I5533" s="184"/>
      <c r="J5533" s="184"/>
      <c r="K5533" s="184"/>
      <c r="L5533" s="184"/>
      <c r="M5533" s="184"/>
      <c r="N5533" s="184"/>
      <c r="O5533" s="184"/>
    </row>
    <row r="5534" customFormat="false" ht="15" hidden="false" customHeight="true" outlineLevel="0" collapsed="false">
      <c r="A5534" s="184"/>
      <c r="B5534" s="184"/>
      <c r="C5534" s="184"/>
      <c r="D5534" s="184"/>
      <c r="E5534" s="184"/>
      <c r="F5534" s="184"/>
      <c r="G5534" s="184"/>
      <c r="H5534" s="184"/>
      <c r="I5534" s="184"/>
      <c r="J5534" s="184"/>
      <c r="K5534" s="184"/>
      <c r="L5534" s="184"/>
      <c r="M5534" s="184"/>
      <c r="N5534" s="184"/>
      <c r="O5534" s="184"/>
    </row>
    <row r="5535" customFormat="false" ht="15" hidden="false" customHeight="true" outlineLevel="0" collapsed="false">
      <c r="A5535" s="184"/>
      <c r="B5535" s="184"/>
      <c r="C5535" s="184"/>
      <c r="D5535" s="184"/>
      <c r="E5535" s="184"/>
      <c r="F5535" s="184"/>
      <c r="G5535" s="184"/>
      <c r="H5535" s="184"/>
      <c r="I5535" s="184"/>
      <c r="J5535" s="184"/>
      <c r="K5535" s="184"/>
      <c r="L5535" s="184"/>
      <c r="M5535" s="184"/>
      <c r="N5535" s="184"/>
      <c r="O5535" s="184"/>
    </row>
    <row r="5536" customFormat="false" ht="15" hidden="false" customHeight="true" outlineLevel="0" collapsed="false">
      <c r="A5536" s="184"/>
      <c r="B5536" s="184"/>
      <c r="C5536" s="184"/>
      <c r="D5536" s="184"/>
      <c r="E5536" s="184"/>
      <c r="F5536" s="184"/>
      <c r="G5536" s="184"/>
      <c r="H5536" s="184"/>
      <c r="I5536" s="184"/>
      <c r="J5536" s="184"/>
      <c r="K5536" s="184"/>
      <c r="L5536" s="184"/>
      <c r="M5536" s="184"/>
      <c r="N5536" s="184"/>
      <c r="O5536" s="184"/>
    </row>
    <row r="5537" customFormat="false" ht="15" hidden="false" customHeight="true" outlineLevel="0" collapsed="false">
      <c r="A5537" s="184"/>
      <c r="B5537" s="184"/>
      <c r="C5537" s="184"/>
      <c r="D5537" s="184"/>
      <c r="E5537" s="184"/>
      <c r="F5537" s="184"/>
      <c r="G5537" s="184"/>
      <c r="H5537" s="184"/>
      <c r="I5537" s="184"/>
      <c r="J5537" s="184"/>
      <c r="K5537" s="184"/>
      <c r="L5537" s="184"/>
      <c r="M5537" s="184"/>
      <c r="N5537" s="184"/>
      <c r="O5537" s="184"/>
    </row>
    <row r="5538" customFormat="false" ht="15" hidden="false" customHeight="true" outlineLevel="0" collapsed="false">
      <c r="A5538" s="184"/>
      <c r="B5538" s="184"/>
      <c r="C5538" s="184"/>
      <c r="D5538" s="184"/>
      <c r="E5538" s="184"/>
      <c r="F5538" s="184"/>
      <c r="G5538" s="184"/>
      <c r="H5538" s="184"/>
      <c r="I5538" s="184"/>
      <c r="J5538" s="184"/>
      <c r="K5538" s="184"/>
      <c r="L5538" s="184"/>
      <c r="M5538" s="184"/>
      <c r="N5538" s="184"/>
      <c r="O5538" s="184"/>
    </row>
    <row r="5539" customFormat="false" ht="15" hidden="false" customHeight="true" outlineLevel="0" collapsed="false">
      <c r="A5539" s="184"/>
      <c r="B5539" s="184"/>
      <c r="C5539" s="184"/>
      <c r="D5539" s="184"/>
      <c r="E5539" s="184"/>
      <c r="F5539" s="184"/>
      <c r="G5539" s="184"/>
      <c r="H5539" s="184"/>
      <c r="I5539" s="184"/>
      <c r="J5539" s="184"/>
      <c r="K5539" s="184"/>
      <c r="L5539" s="184"/>
      <c r="M5539" s="184"/>
      <c r="N5539" s="184"/>
      <c r="O5539" s="184"/>
    </row>
    <row r="5540" customFormat="false" ht="15" hidden="false" customHeight="true" outlineLevel="0" collapsed="false">
      <c r="A5540" s="184"/>
      <c r="B5540" s="184"/>
      <c r="C5540" s="184"/>
      <c r="D5540" s="184"/>
      <c r="E5540" s="184"/>
      <c r="F5540" s="184"/>
      <c r="G5540" s="184"/>
      <c r="H5540" s="184"/>
      <c r="I5540" s="184"/>
      <c r="J5540" s="184"/>
      <c r="K5540" s="184"/>
      <c r="L5540" s="184"/>
      <c r="M5540" s="184"/>
      <c r="N5540" s="184"/>
      <c r="O5540" s="184"/>
    </row>
    <row r="5541" customFormat="false" ht="15" hidden="false" customHeight="true" outlineLevel="0" collapsed="false">
      <c r="A5541" s="184"/>
      <c r="B5541" s="184"/>
      <c r="C5541" s="184"/>
      <c r="D5541" s="184"/>
      <c r="E5541" s="184"/>
      <c r="F5541" s="184"/>
      <c r="G5541" s="184"/>
      <c r="H5541" s="184"/>
      <c r="I5541" s="184"/>
      <c r="J5541" s="184"/>
      <c r="K5541" s="184"/>
      <c r="L5541" s="184"/>
      <c r="M5541" s="184"/>
      <c r="N5541" s="184"/>
      <c r="O5541" s="184"/>
    </row>
    <row r="5542" customFormat="false" ht="15" hidden="false" customHeight="true" outlineLevel="0" collapsed="false">
      <c r="A5542" s="184"/>
      <c r="B5542" s="184"/>
      <c r="C5542" s="184"/>
      <c r="D5542" s="184"/>
      <c r="E5542" s="184"/>
      <c r="F5542" s="184"/>
      <c r="G5542" s="184"/>
      <c r="H5542" s="184"/>
      <c r="I5542" s="184"/>
      <c r="J5542" s="184"/>
      <c r="K5542" s="184"/>
      <c r="L5542" s="184"/>
      <c r="M5542" s="184"/>
      <c r="N5542" s="184"/>
      <c r="O5542" s="184"/>
    </row>
    <row r="5543" customFormat="false" ht="15" hidden="false" customHeight="true" outlineLevel="0" collapsed="false">
      <c r="A5543" s="184"/>
      <c r="B5543" s="184"/>
      <c r="C5543" s="184"/>
      <c r="D5543" s="184"/>
      <c r="E5543" s="184"/>
      <c r="F5543" s="184"/>
      <c r="G5543" s="184"/>
      <c r="H5543" s="184"/>
      <c r="I5543" s="184"/>
      <c r="J5543" s="184"/>
      <c r="K5543" s="184"/>
      <c r="L5543" s="184"/>
      <c r="M5543" s="184"/>
      <c r="N5543" s="184"/>
      <c r="O5543" s="184"/>
    </row>
    <row r="5544" customFormat="false" ht="15" hidden="false" customHeight="true" outlineLevel="0" collapsed="false">
      <c r="A5544" s="184"/>
      <c r="B5544" s="184"/>
      <c r="C5544" s="184"/>
      <c r="D5544" s="184"/>
      <c r="E5544" s="184"/>
      <c r="F5544" s="184"/>
      <c r="G5544" s="184"/>
      <c r="H5544" s="184"/>
      <c r="I5544" s="184"/>
      <c r="J5544" s="184"/>
      <c r="K5544" s="184"/>
      <c r="L5544" s="184"/>
      <c r="M5544" s="184"/>
      <c r="N5544" s="184"/>
      <c r="O5544" s="184"/>
    </row>
    <row r="5545" customFormat="false" ht="15" hidden="false" customHeight="true" outlineLevel="0" collapsed="false">
      <c r="A5545" s="184"/>
      <c r="B5545" s="184"/>
      <c r="C5545" s="184"/>
      <c r="D5545" s="184"/>
      <c r="E5545" s="184"/>
      <c r="F5545" s="184"/>
      <c r="G5545" s="184"/>
      <c r="H5545" s="184"/>
      <c r="I5545" s="184"/>
      <c r="J5545" s="184"/>
      <c r="K5545" s="184"/>
      <c r="L5545" s="184"/>
      <c r="M5545" s="184"/>
      <c r="N5545" s="184"/>
      <c r="O5545" s="184"/>
    </row>
    <row r="5546" customFormat="false" ht="15" hidden="false" customHeight="true" outlineLevel="0" collapsed="false">
      <c r="A5546" s="184"/>
      <c r="B5546" s="184"/>
      <c r="C5546" s="184"/>
      <c r="D5546" s="184"/>
      <c r="E5546" s="184"/>
      <c r="F5546" s="184"/>
      <c r="G5546" s="184"/>
      <c r="H5546" s="184"/>
      <c r="I5546" s="184"/>
      <c r="J5546" s="184"/>
      <c r="K5546" s="184"/>
      <c r="L5546" s="184"/>
      <c r="M5546" s="184"/>
      <c r="N5546" s="184"/>
      <c r="O5546" s="184"/>
    </row>
    <row r="5547" customFormat="false" ht="15" hidden="false" customHeight="true" outlineLevel="0" collapsed="false">
      <c r="A5547" s="184"/>
      <c r="B5547" s="184"/>
      <c r="C5547" s="184"/>
      <c r="D5547" s="184"/>
      <c r="E5547" s="184"/>
      <c r="F5547" s="184"/>
      <c r="G5547" s="184"/>
      <c r="H5547" s="184"/>
      <c r="I5547" s="184"/>
      <c r="J5547" s="184"/>
      <c r="K5547" s="184"/>
      <c r="L5547" s="184"/>
      <c r="M5547" s="184"/>
      <c r="N5547" s="184"/>
      <c r="O5547" s="184"/>
    </row>
    <row r="5548" customFormat="false" ht="15" hidden="false" customHeight="true" outlineLevel="0" collapsed="false">
      <c r="A5548" s="184"/>
      <c r="B5548" s="184"/>
      <c r="C5548" s="184"/>
      <c r="D5548" s="184"/>
      <c r="E5548" s="184"/>
      <c r="F5548" s="184"/>
      <c r="G5548" s="184"/>
      <c r="H5548" s="184"/>
      <c r="I5548" s="184"/>
      <c r="J5548" s="184"/>
      <c r="K5548" s="184"/>
      <c r="L5548" s="184"/>
      <c r="M5548" s="184"/>
      <c r="N5548" s="184"/>
      <c r="O5548" s="184"/>
    </row>
    <row r="5549" customFormat="false" ht="15" hidden="false" customHeight="true" outlineLevel="0" collapsed="false">
      <c r="A5549" s="184"/>
      <c r="B5549" s="184"/>
      <c r="C5549" s="184"/>
      <c r="D5549" s="184"/>
      <c r="E5549" s="184"/>
      <c r="F5549" s="184"/>
      <c r="G5549" s="184"/>
      <c r="H5549" s="184"/>
      <c r="I5549" s="184"/>
      <c r="J5549" s="184"/>
      <c r="K5549" s="184"/>
      <c r="L5549" s="184"/>
      <c r="M5549" s="184"/>
      <c r="N5549" s="184"/>
      <c r="O5549" s="184"/>
    </row>
    <row r="5550" customFormat="false" ht="15" hidden="false" customHeight="true" outlineLevel="0" collapsed="false">
      <c r="A5550" s="184"/>
      <c r="B5550" s="184"/>
      <c r="C5550" s="184"/>
      <c r="D5550" s="184"/>
      <c r="E5550" s="184"/>
      <c r="F5550" s="184"/>
      <c r="G5550" s="184"/>
      <c r="H5550" s="184"/>
      <c r="I5550" s="184"/>
      <c r="J5550" s="184"/>
      <c r="K5550" s="184"/>
      <c r="L5550" s="184"/>
      <c r="M5550" s="184"/>
      <c r="N5550" s="184"/>
      <c r="O5550" s="184"/>
    </row>
    <row r="5551" customFormat="false" ht="15" hidden="false" customHeight="true" outlineLevel="0" collapsed="false">
      <c r="A5551" s="184"/>
      <c r="B5551" s="184"/>
      <c r="C5551" s="184"/>
      <c r="D5551" s="184"/>
      <c r="E5551" s="184"/>
      <c r="F5551" s="184"/>
      <c r="G5551" s="184"/>
      <c r="H5551" s="184"/>
      <c r="I5551" s="184"/>
      <c r="J5551" s="184"/>
      <c r="K5551" s="184"/>
      <c r="L5551" s="184"/>
      <c r="M5551" s="184"/>
      <c r="N5551" s="184"/>
      <c r="O5551" s="184"/>
    </row>
    <row r="5552" customFormat="false" ht="15" hidden="false" customHeight="true" outlineLevel="0" collapsed="false">
      <c r="A5552" s="184"/>
      <c r="B5552" s="184"/>
      <c r="C5552" s="184"/>
      <c r="D5552" s="184"/>
      <c r="E5552" s="184"/>
      <c r="F5552" s="184"/>
      <c r="G5552" s="184"/>
      <c r="H5552" s="184"/>
      <c r="I5552" s="184"/>
      <c r="J5552" s="184"/>
      <c r="K5552" s="184"/>
      <c r="L5552" s="184"/>
      <c r="M5552" s="184"/>
      <c r="N5552" s="184"/>
      <c r="O5552" s="184"/>
    </row>
    <row r="5553" customFormat="false" ht="15" hidden="false" customHeight="true" outlineLevel="0" collapsed="false">
      <c r="A5553" s="184"/>
      <c r="B5553" s="184"/>
      <c r="C5553" s="184"/>
      <c r="D5553" s="184"/>
      <c r="E5553" s="184"/>
      <c r="F5553" s="184"/>
      <c r="G5553" s="184"/>
      <c r="H5553" s="184"/>
      <c r="I5553" s="184"/>
      <c r="J5553" s="184"/>
      <c r="K5553" s="184"/>
      <c r="L5553" s="184"/>
      <c r="M5553" s="184"/>
      <c r="N5553" s="184"/>
      <c r="O5553" s="184"/>
    </row>
    <row r="5554" customFormat="false" ht="15" hidden="false" customHeight="true" outlineLevel="0" collapsed="false">
      <c r="A5554" s="184"/>
      <c r="B5554" s="184"/>
      <c r="C5554" s="184"/>
      <c r="D5554" s="184"/>
      <c r="E5554" s="184"/>
      <c r="F5554" s="184"/>
      <c r="G5554" s="184"/>
      <c r="H5554" s="184"/>
      <c r="I5554" s="184"/>
      <c r="J5554" s="184"/>
      <c r="K5554" s="184"/>
      <c r="L5554" s="184"/>
      <c r="M5554" s="184"/>
      <c r="N5554" s="184"/>
      <c r="O5554" s="184"/>
    </row>
    <row r="5555" customFormat="false" ht="15" hidden="false" customHeight="true" outlineLevel="0" collapsed="false">
      <c r="A5555" s="184"/>
      <c r="B5555" s="184"/>
      <c r="C5555" s="184"/>
      <c r="D5555" s="184"/>
      <c r="E5555" s="184"/>
      <c r="F5555" s="184"/>
      <c r="G5555" s="184"/>
      <c r="H5555" s="184"/>
      <c r="I5555" s="184"/>
      <c r="J5555" s="184"/>
      <c r="K5555" s="184"/>
      <c r="L5555" s="184"/>
      <c r="M5555" s="184"/>
      <c r="N5555" s="184"/>
      <c r="O5555" s="184"/>
    </row>
    <row r="5556" customFormat="false" ht="15" hidden="false" customHeight="true" outlineLevel="0" collapsed="false">
      <c r="A5556" s="184"/>
      <c r="B5556" s="184"/>
      <c r="C5556" s="184"/>
      <c r="D5556" s="184"/>
      <c r="E5556" s="184"/>
      <c r="F5556" s="184"/>
      <c r="G5556" s="184"/>
      <c r="H5556" s="184"/>
      <c r="I5556" s="184"/>
      <c r="J5556" s="184"/>
      <c r="K5556" s="184"/>
      <c r="L5556" s="184"/>
      <c r="M5556" s="184"/>
      <c r="N5556" s="184"/>
      <c r="O5556" s="184"/>
    </row>
    <row r="5557" customFormat="false" ht="15" hidden="false" customHeight="true" outlineLevel="0" collapsed="false">
      <c r="A5557" s="184"/>
      <c r="B5557" s="184"/>
      <c r="C5557" s="184"/>
      <c r="D5557" s="184"/>
      <c r="E5557" s="184"/>
      <c r="F5557" s="184"/>
      <c r="G5557" s="184"/>
      <c r="H5557" s="184"/>
      <c r="I5557" s="184"/>
      <c r="J5557" s="184"/>
      <c r="K5557" s="184"/>
      <c r="L5557" s="184"/>
      <c r="M5557" s="184"/>
      <c r="N5557" s="184"/>
      <c r="O5557" s="184"/>
    </row>
    <row r="5558" customFormat="false" ht="15" hidden="false" customHeight="true" outlineLevel="0" collapsed="false">
      <c r="A5558" s="184"/>
      <c r="B5558" s="184"/>
      <c r="C5558" s="184"/>
      <c r="D5558" s="184"/>
      <c r="E5558" s="184"/>
      <c r="F5558" s="184"/>
      <c r="G5558" s="184"/>
      <c r="H5558" s="184"/>
      <c r="I5558" s="184"/>
      <c r="J5558" s="184"/>
      <c r="K5558" s="184"/>
      <c r="L5558" s="184"/>
      <c r="M5558" s="184"/>
      <c r="N5558" s="184"/>
      <c r="O5558" s="184"/>
    </row>
    <row r="5559" customFormat="false" ht="15" hidden="false" customHeight="true" outlineLevel="0" collapsed="false">
      <c r="A5559" s="184"/>
      <c r="B5559" s="184"/>
      <c r="C5559" s="184"/>
      <c r="D5559" s="184"/>
      <c r="E5559" s="184"/>
      <c r="F5559" s="184"/>
      <c r="G5559" s="184"/>
      <c r="H5559" s="184"/>
      <c r="I5559" s="184"/>
      <c r="J5559" s="184"/>
      <c r="K5559" s="184"/>
      <c r="L5559" s="184"/>
      <c r="M5559" s="184"/>
      <c r="N5559" s="184"/>
      <c r="O5559" s="184"/>
    </row>
    <row r="5560" customFormat="false" ht="15" hidden="false" customHeight="true" outlineLevel="0" collapsed="false">
      <c r="A5560" s="184"/>
      <c r="B5560" s="184"/>
      <c r="C5560" s="184"/>
      <c r="D5560" s="184"/>
      <c r="E5560" s="184"/>
      <c r="F5560" s="184"/>
      <c r="G5560" s="184"/>
      <c r="H5560" s="184"/>
      <c r="I5560" s="184"/>
      <c r="J5560" s="184"/>
      <c r="K5560" s="184"/>
      <c r="L5560" s="184"/>
      <c r="M5560" s="184"/>
      <c r="N5560" s="184"/>
      <c r="O5560" s="184"/>
    </row>
    <row r="5561" customFormat="false" ht="15" hidden="false" customHeight="true" outlineLevel="0" collapsed="false">
      <c r="A5561" s="184"/>
      <c r="B5561" s="184"/>
      <c r="C5561" s="184"/>
      <c r="D5561" s="184"/>
      <c r="E5561" s="184"/>
      <c r="F5561" s="184"/>
      <c r="G5561" s="184"/>
      <c r="H5561" s="184"/>
      <c r="I5561" s="184"/>
      <c r="J5561" s="184"/>
      <c r="K5561" s="184"/>
      <c r="L5561" s="184"/>
      <c r="M5561" s="184"/>
      <c r="N5561" s="184"/>
      <c r="O5561" s="184"/>
    </row>
    <row r="5562" customFormat="false" ht="15" hidden="false" customHeight="true" outlineLevel="0" collapsed="false">
      <c r="A5562" s="184"/>
      <c r="B5562" s="184"/>
      <c r="C5562" s="184"/>
      <c r="D5562" s="184"/>
      <c r="E5562" s="184"/>
      <c r="F5562" s="184"/>
      <c r="G5562" s="184"/>
      <c r="H5562" s="184"/>
      <c r="I5562" s="184"/>
      <c r="J5562" s="184"/>
      <c r="K5562" s="184"/>
      <c r="L5562" s="184"/>
      <c r="M5562" s="184"/>
      <c r="N5562" s="184"/>
      <c r="O5562" s="184"/>
    </row>
    <row r="5563" customFormat="false" ht="15" hidden="false" customHeight="true" outlineLevel="0" collapsed="false">
      <c r="A5563" s="184"/>
      <c r="B5563" s="184"/>
      <c r="C5563" s="184"/>
      <c r="D5563" s="184"/>
      <c r="E5563" s="184"/>
      <c r="F5563" s="184"/>
      <c r="G5563" s="184"/>
      <c r="H5563" s="184"/>
      <c r="I5563" s="184"/>
      <c r="J5563" s="184"/>
      <c r="K5563" s="184"/>
      <c r="L5563" s="184"/>
      <c r="M5563" s="184"/>
      <c r="N5563" s="184"/>
      <c r="O5563" s="184"/>
    </row>
    <row r="5564" customFormat="false" ht="15" hidden="false" customHeight="true" outlineLevel="0" collapsed="false">
      <c r="A5564" s="184"/>
      <c r="B5564" s="184"/>
      <c r="C5564" s="184"/>
      <c r="D5564" s="184"/>
      <c r="E5564" s="184"/>
      <c r="F5564" s="184"/>
      <c r="G5564" s="184"/>
      <c r="H5564" s="184"/>
      <c r="I5564" s="184"/>
      <c r="J5564" s="184"/>
      <c r="K5564" s="184"/>
      <c r="L5564" s="184"/>
      <c r="M5564" s="184"/>
      <c r="N5564" s="184"/>
      <c r="O5564" s="184"/>
    </row>
    <row r="5565" customFormat="false" ht="15" hidden="false" customHeight="true" outlineLevel="0" collapsed="false">
      <c r="A5565" s="184"/>
      <c r="B5565" s="184"/>
      <c r="C5565" s="184"/>
      <c r="D5565" s="184"/>
      <c r="E5565" s="184"/>
      <c r="F5565" s="184"/>
      <c r="G5565" s="184"/>
      <c r="H5565" s="184"/>
      <c r="I5565" s="184"/>
      <c r="J5565" s="184"/>
      <c r="K5565" s="184"/>
      <c r="L5565" s="184"/>
      <c r="M5565" s="184"/>
      <c r="N5565" s="184"/>
      <c r="O5565" s="184"/>
    </row>
    <row r="5566" customFormat="false" ht="15" hidden="false" customHeight="true" outlineLevel="0" collapsed="false">
      <c r="A5566" s="184"/>
      <c r="B5566" s="184"/>
      <c r="C5566" s="184"/>
      <c r="D5566" s="184"/>
      <c r="E5566" s="184"/>
      <c r="F5566" s="184"/>
      <c r="G5566" s="184"/>
      <c r="H5566" s="184"/>
      <c r="I5566" s="184"/>
      <c r="J5566" s="184"/>
      <c r="K5566" s="184"/>
      <c r="L5566" s="184"/>
      <c r="M5566" s="184"/>
      <c r="N5566" s="184"/>
      <c r="O5566" s="184"/>
    </row>
    <row r="5567" customFormat="false" ht="15" hidden="false" customHeight="true" outlineLevel="0" collapsed="false">
      <c r="A5567" s="184"/>
      <c r="B5567" s="184"/>
      <c r="C5567" s="184"/>
      <c r="D5567" s="184"/>
      <c r="E5567" s="184"/>
      <c r="F5567" s="184"/>
      <c r="G5567" s="184"/>
      <c r="H5567" s="184"/>
      <c r="I5567" s="184"/>
      <c r="J5567" s="184"/>
      <c r="K5567" s="184"/>
      <c r="L5567" s="184"/>
      <c r="M5567" s="184"/>
      <c r="N5567" s="184"/>
      <c r="O5567" s="184"/>
    </row>
    <row r="5568" customFormat="false" ht="15" hidden="false" customHeight="true" outlineLevel="0" collapsed="false">
      <c r="A5568" s="184"/>
      <c r="B5568" s="184"/>
      <c r="C5568" s="184"/>
      <c r="D5568" s="184"/>
      <c r="E5568" s="184"/>
      <c r="F5568" s="184"/>
      <c r="G5568" s="184"/>
      <c r="H5568" s="184"/>
      <c r="I5568" s="184"/>
      <c r="J5568" s="184"/>
      <c r="K5568" s="184"/>
      <c r="L5568" s="184"/>
      <c r="M5568" s="184"/>
      <c r="N5568" s="184"/>
      <c r="O5568" s="184"/>
    </row>
    <row r="5569" customFormat="false" ht="15" hidden="false" customHeight="true" outlineLevel="0" collapsed="false">
      <c r="A5569" s="184"/>
      <c r="B5569" s="184"/>
      <c r="C5569" s="184"/>
      <c r="D5569" s="184"/>
      <c r="E5569" s="184"/>
      <c r="F5569" s="184"/>
      <c r="G5569" s="184"/>
      <c r="H5569" s="184"/>
      <c r="I5569" s="184"/>
      <c r="J5569" s="184"/>
      <c r="K5569" s="184"/>
      <c r="L5569" s="184"/>
      <c r="M5569" s="184"/>
      <c r="N5569" s="184"/>
      <c r="O5569" s="184"/>
    </row>
    <row r="5570" customFormat="false" ht="15" hidden="false" customHeight="true" outlineLevel="0" collapsed="false">
      <c r="A5570" s="184"/>
      <c r="B5570" s="184"/>
      <c r="C5570" s="184"/>
      <c r="D5570" s="184"/>
      <c r="E5570" s="184"/>
      <c r="F5570" s="184"/>
      <c r="G5570" s="184"/>
      <c r="H5570" s="184"/>
      <c r="I5570" s="184"/>
      <c r="J5570" s="184"/>
      <c r="K5570" s="184"/>
      <c r="L5570" s="184"/>
      <c r="M5570" s="184"/>
      <c r="N5570" s="184"/>
      <c r="O5570" s="184"/>
    </row>
    <row r="5571" customFormat="false" ht="15" hidden="false" customHeight="true" outlineLevel="0" collapsed="false">
      <c r="A5571" s="184"/>
      <c r="B5571" s="184"/>
      <c r="C5571" s="184"/>
      <c r="D5571" s="184"/>
      <c r="E5571" s="184"/>
      <c r="F5571" s="184"/>
      <c r="G5571" s="184"/>
      <c r="H5571" s="184"/>
      <c r="I5571" s="184"/>
      <c r="J5571" s="184"/>
      <c r="K5571" s="184"/>
      <c r="L5571" s="184"/>
      <c r="M5571" s="184"/>
      <c r="N5571" s="184"/>
      <c r="O5571" s="184"/>
    </row>
    <row r="5572" customFormat="false" ht="15" hidden="false" customHeight="true" outlineLevel="0" collapsed="false">
      <c r="A5572" s="184"/>
      <c r="B5572" s="184"/>
      <c r="C5572" s="184"/>
      <c r="D5572" s="184"/>
      <c r="E5572" s="184"/>
      <c r="F5572" s="184"/>
      <c r="G5572" s="184"/>
      <c r="H5572" s="184"/>
      <c r="I5572" s="184"/>
      <c r="J5572" s="184"/>
      <c r="K5572" s="184"/>
      <c r="L5572" s="184"/>
      <c r="M5572" s="184"/>
      <c r="N5572" s="184"/>
      <c r="O5572" s="184"/>
    </row>
    <row r="5573" customFormat="false" ht="15" hidden="false" customHeight="true" outlineLevel="0" collapsed="false">
      <c r="A5573" s="184"/>
      <c r="B5573" s="184"/>
      <c r="C5573" s="184"/>
      <c r="D5573" s="184"/>
      <c r="E5573" s="184"/>
      <c r="F5573" s="184"/>
      <c r="G5573" s="184"/>
      <c r="H5573" s="184"/>
      <c r="I5573" s="184"/>
      <c r="J5573" s="184"/>
      <c r="K5573" s="184"/>
      <c r="L5573" s="184"/>
      <c r="M5573" s="184"/>
      <c r="N5573" s="184"/>
      <c r="O5573" s="184"/>
    </row>
    <row r="5574" customFormat="false" ht="15" hidden="false" customHeight="true" outlineLevel="0" collapsed="false">
      <c r="A5574" s="184"/>
      <c r="B5574" s="184"/>
      <c r="C5574" s="184"/>
      <c r="D5574" s="184"/>
      <c r="E5574" s="184"/>
      <c r="F5574" s="184"/>
      <c r="G5574" s="184"/>
      <c r="H5574" s="184"/>
      <c r="I5574" s="184"/>
      <c r="J5574" s="184"/>
      <c r="K5574" s="184"/>
      <c r="L5574" s="184"/>
      <c r="M5574" s="184"/>
      <c r="N5574" s="184"/>
      <c r="O5574" s="184"/>
    </row>
    <row r="5575" customFormat="false" ht="15" hidden="false" customHeight="true" outlineLevel="0" collapsed="false">
      <c r="A5575" s="184"/>
      <c r="B5575" s="184"/>
      <c r="C5575" s="184"/>
      <c r="D5575" s="184"/>
      <c r="E5575" s="184"/>
      <c r="F5575" s="184"/>
      <c r="G5575" s="184"/>
      <c r="H5575" s="184"/>
      <c r="I5575" s="184"/>
      <c r="J5575" s="184"/>
      <c r="K5575" s="184"/>
      <c r="L5575" s="184"/>
      <c r="M5575" s="184"/>
      <c r="N5575" s="184"/>
      <c r="O5575" s="184"/>
    </row>
    <row r="5576" customFormat="false" ht="15" hidden="false" customHeight="true" outlineLevel="0" collapsed="false">
      <c r="A5576" s="184"/>
      <c r="B5576" s="184"/>
      <c r="C5576" s="184"/>
      <c r="D5576" s="184"/>
      <c r="E5576" s="184"/>
      <c r="F5576" s="184"/>
      <c r="G5576" s="184"/>
      <c r="H5576" s="184"/>
      <c r="I5576" s="184"/>
      <c r="J5576" s="184"/>
      <c r="K5576" s="184"/>
      <c r="L5576" s="184"/>
      <c r="M5576" s="184"/>
      <c r="N5576" s="184"/>
      <c r="O5576" s="184"/>
    </row>
    <row r="5577" customFormat="false" ht="15" hidden="false" customHeight="true" outlineLevel="0" collapsed="false">
      <c r="A5577" s="184"/>
      <c r="B5577" s="184"/>
      <c r="C5577" s="184"/>
      <c r="D5577" s="184"/>
      <c r="E5577" s="184"/>
      <c r="F5577" s="184"/>
      <c r="G5577" s="184"/>
      <c r="H5577" s="184"/>
      <c r="I5577" s="184"/>
      <c r="J5577" s="184"/>
      <c r="K5577" s="184"/>
      <c r="L5577" s="184"/>
      <c r="M5577" s="184"/>
      <c r="N5577" s="184"/>
      <c r="O5577" s="184"/>
    </row>
    <row r="5578" customFormat="false" ht="15" hidden="false" customHeight="true" outlineLevel="0" collapsed="false">
      <c r="A5578" s="184"/>
      <c r="B5578" s="184"/>
      <c r="C5578" s="184"/>
      <c r="D5578" s="184"/>
      <c r="E5578" s="184"/>
      <c r="F5578" s="184"/>
      <c r="G5578" s="184"/>
      <c r="H5578" s="184"/>
      <c r="I5578" s="184"/>
      <c r="J5578" s="184"/>
      <c r="K5578" s="184"/>
      <c r="L5578" s="184"/>
      <c r="M5578" s="184"/>
      <c r="N5578" s="184"/>
      <c r="O5578" s="184"/>
    </row>
    <row r="5579" customFormat="false" ht="15" hidden="false" customHeight="true" outlineLevel="0" collapsed="false">
      <c r="A5579" s="184"/>
      <c r="B5579" s="184"/>
      <c r="C5579" s="184"/>
      <c r="D5579" s="184"/>
      <c r="E5579" s="184"/>
      <c r="F5579" s="184"/>
      <c r="G5579" s="184"/>
      <c r="H5579" s="184"/>
      <c r="I5579" s="184"/>
      <c r="J5579" s="184"/>
      <c r="K5579" s="184"/>
      <c r="L5579" s="184"/>
      <c r="M5579" s="184"/>
      <c r="N5579" s="184"/>
      <c r="O5579" s="184"/>
    </row>
    <row r="5580" customFormat="false" ht="15" hidden="false" customHeight="true" outlineLevel="0" collapsed="false">
      <c r="A5580" s="184"/>
      <c r="B5580" s="184"/>
      <c r="C5580" s="184"/>
      <c r="D5580" s="184"/>
      <c r="E5580" s="184"/>
      <c r="F5580" s="184"/>
      <c r="G5580" s="184"/>
      <c r="H5580" s="184"/>
      <c r="I5580" s="184"/>
      <c r="J5580" s="184"/>
      <c r="K5580" s="184"/>
      <c r="L5580" s="184"/>
      <c r="M5580" s="184"/>
      <c r="N5580" s="184"/>
      <c r="O5580" s="184"/>
    </row>
    <row r="5581" customFormat="false" ht="15" hidden="false" customHeight="true" outlineLevel="0" collapsed="false">
      <c r="A5581" s="184"/>
      <c r="B5581" s="184"/>
      <c r="C5581" s="184"/>
      <c r="D5581" s="184"/>
      <c r="E5581" s="184"/>
      <c r="F5581" s="184"/>
      <c r="G5581" s="184"/>
      <c r="H5581" s="184"/>
      <c r="I5581" s="184"/>
      <c r="J5581" s="184"/>
      <c r="K5581" s="184"/>
      <c r="L5581" s="184"/>
      <c r="M5581" s="184"/>
      <c r="N5581" s="184"/>
      <c r="O5581" s="184"/>
    </row>
    <row r="5582" customFormat="false" ht="15" hidden="false" customHeight="true" outlineLevel="0" collapsed="false">
      <c r="A5582" s="184"/>
      <c r="B5582" s="184"/>
      <c r="C5582" s="184"/>
      <c r="D5582" s="184"/>
      <c r="E5582" s="184"/>
      <c r="F5582" s="184"/>
      <c r="G5582" s="184"/>
      <c r="H5582" s="184"/>
      <c r="I5582" s="184"/>
      <c r="J5582" s="184"/>
      <c r="K5582" s="184"/>
      <c r="L5582" s="184"/>
      <c r="M5582" s="184"/>
      <c r="N5582" s="184"/>
      <c r="O5582" s="184"/>
    </row>
    <row r="5583" customFormat="false" ht="15" hidden="false" customHeight="true" outlineLevel="0" collapsed="false">
      <c r="A5583" s="184"/>
      <c r="B5583" s="184"/>
      <c r="C5583" s="184"/>
      <c r="D5583" s="184"/>
      <c r="E5583" s="184"/>
      <c r="F5583" s="184"/>
      <c r="G5583" s="184"/>
      <c r="H5583" s="184"/>
      <c r="I5583" s="184"/>
      <c r="J5583" s="184"/>
      <c r="K5583" s="184"/>
      <c r="L5583" s="184"/>
      <c r="M5583" s="184"/>
      <c r="N5583" s="184"/>
      <c r="O5583" s="184"/>
    </row>
    <row r="5584" customFormat="false" ht="15" hidden="false" customHeight="true" outlineLevel="0" collapsed="false">
      <c r="A5584" s="184"/>
      <c r="B5584" s="184"/>
      <c r="C5584" s="184"/>
      <c r="D5584" s="184"/>
      <c r="E5584" s="184"/>
      <c r="F5584" s="184"/>
      <c r="G5584" s="184"/>
      <c r="H5584" s="184"/>
      <c r="I5584" s="184"/>
      <c r="J5584" s="184"/>
      <c r="K5584" s="184"/>
      <c r="L5584" s="184"/>
      <c r="M5584" s="184"/>
      <c r="N5584" s="184"/>
      <c r="O5584" s="184"/>
    </row>
    <row r="5585" customFormat="false" ht="15" hidden="false" customHeight="true" outlineLevel="0" collapsed="false">
      <c r="A5585" s="184"/>
      <c r="B5585" s="184"/>
      <c r="C5585" s="184"/>
      <c r="D5585" s="184"/>
      <c r="E5585" s="184"/>
      <c r="F5585" s="184"/>
      <c r="G5585" s="184"/>
      <c r="H5585" s="184"/>
      <c r="I5585" s="184"/>
      <c r="J5585" s="184"/>
      <c r="K5585" s="184"/>
      <c r="L5585" s="184"/>
      <c r="M5585" s="184"/>
      <c r="N5585" s="184"/>
      <c r="O5585" s="184"/>
    </row>
    <row r="5586" customFormat="false" ht="15" hidden="false" customHeight="true" outlineLevel="0" collapsed="false">
      <c r="A5586" s="184"/>
      <c r="B5586" s="184"/>
      <c r="C5586" s="184"/>
      <c r="D5586" s="184"/>
      <c r="E5586" s="184"/>
      <c r="F5586" s="184"/>
      <c r="G5586" s="184"/>
      <c r="H5586" s="184"/>
      <c r="I5586" s="184"/>
      <c r="J5586" s="184"/>
      <c r="K5586" s="184"/>
      <c r="L5586" s="184"/>
      <c r="M5586" s="184"/>
      <c r="N5586" s="184"/>
      <c r="O5586" s="184"/>
    </row>
    <row r="5587" customFormat="false" ht="15" hidden="false" customHeight="true" outlineLevel="0" collapsed="false">
      <c r="A5587" s="184"/>
      <c r="B5587" s="184"/>
      <c r="C5587" s="184"/>
      <c r="D5587" s="184"/>
      <c r="E5587" s="184"/>
      <c r="F5587" s="184"/>
      <c r="G5587" s="184"/>
      <c r="H5587" s="184"/>
      <c r="I5587" s="184"/>
      <c r="J5587" s="184"/>
      <c r="K5587" s="184"/>
      <c r="L5587" s="184"/>
      <c r="M5587" s="184"/>
      <c r="N5587" s="184"/>
      <c r="O5587" s="184"/>
    </row>
    <row r="5588" customFormat="false" ht="15" hidden="false" customHeight="true" outlineLevel="0" collapsed="false">
      <c r="A5588" s="184"/>
      <c r="B5588" s="184"/>
      <c r="C5588" s="184"/>
      <c r="D5588" s="184"/>
      <c r="E5588" s="184"/>
      <c r="F5588" s="184"/>
      <c r="G5588" s="184"/>
      <c r="H5588" s="184"/>
      <c r="I5588" s="184"/>
      <c r="J5588" s="184"/>
      <c r="K5588" s="184"/>
      <c r="L5588" s="184"/>
      <c r="M5588" s="184"/>
      <c r="N5588" s="184"/>
      <c r="O5588" s="184"/>
    </row>
    <row r="5589" customFormat="false" ht="15" hidden="false" customHeight="true" outlineLevel="0" collapsed="false">
      <c r="A5589" s="184"/>
      <c r="B5589" s="184"/>
      <c r="C5589" s="184"/>
      <c r="D5589" s="184"/>
      <c r="E5589" s="184"/>
      <c r="F5589" s="184"/>
      <c r="G5589" s="184"/>
      <c r="H5589" s="184"/>
      <c r="I5589" s="184"/>
      <c r="J5589" s="184"/>
      <c r="K5589" s="184"/>
      <c r="L5589" s="184"/>
      <c r="M5589" s="184"/>
      <c r="N5589" s="184"/>
      <c r="O5589" s="184"/>
    </row>
    <row r="5590" customFormat="false" ht="15" hidden="false" customHeight="true" outlineLevel="0" collapsed="false">
      <c r="A5590" s="184"/>
      <c r="B5590" s="184"/>
      <c r="C5590" s="184"/>
      <c r="D5590" s="184"/>
      <c r="E5590" s="184"/>
      <c r="F5590" s="184"/>
      <c r="G5590" s="184"/>
      <c r="H5590" s="184"/>
      <c r="I5590" s="184"/>
      <c r="J5590" s="184"/>
      <c r="K5590" s="184"/>
      <c r="L5590" s="184"/>
      <c r="M5590" s="184"/>
      <c r="N5590" s="184"/>
      <c r="O5590" s="184"/>
    </row>
    <row r="5591" customFormat="false" ht="15" hidden="false" customHeight="true" outlineLevel="0" collapsed="false">
      <c r="A5591" s="184"/>
      <c r="B5591" s="184"/>
      <c r="C5591" s="184"/>
      <c r="D5591" s="184"/>
      <c r="E5591" s="184"/>
      <c r="F5591" s="184"/>
      <c r="G5591" s="184"/>
      <c r="H5591" s="184"/>
      <c r="I5591" s="184"/>
      <c r="J5591" s="184"/>
      <c r="K5591" s="184"/>
      <c r="L5591" s="184"/>
      <c r="M5591" s="184"/>
      <c r="N5591" s="184"/>
      <c r="O5591" s="184"/>
    </row>
    <row r="5592" customFormat="false" ht="15" hidden="false" customHeight="true" outlineLevel="0" collapsed="false">
      <c r="A5592" s="184"/>
      <c r="B5592" s="184"/>
      <c r="C5592" s="184"/>
      <c r="D5592" s="184"/>
      <c r="E5592" s="184"/>
      <c r="F5592" s="184"/>
      <c r="G5592" s="184"/>
      <c r="H5592" s="184"/>
      <c r="I5592" s="184"/>
      <c r="J5592" s="184"/>
      <c r="K5592" s="184"/>
      <c r="L5592" s="184"/>
      <c r="M5592" s="184"/>
      <c r="N5592" s="184"/>
      <c r="O5592" s="184"/>
    </row>
    <row r="5593" customFormat="false" ht="15" hidden="false" customHeight="true" outlineLevel="0" collapsed="false">
      <c r="A5593" s="184"/>
      <c r="B5593" s="184"/>
      <c r="C5593" s="184"/>
      <c r="D5593" s="184"/>
      <c r="E5593" s="184"/>
      <c r="F5593" s="184"/>
      <c r="G5593" s="184"/>
      <c r="H5593" s="184"/>
      <c r="I5593" s="184"/>
      <c r="J5593" s="184"/>
      <c r="K5593" s="184"/>
      <c r="L5593" s="184"/>
      <c r="M5593" s="184"/>
      <c r="N5593" s="184"/>
      <c r="O5593" s="184"/>
    </row>
    <row r="5594" customFormat="false" ht="15" hidden="false" customHeight="true" outlineLevel="0" collapsed="false">
      <c r="A5594" s="184"/>
      <c r="B5594" s="184"/>
      <c r="C5594" s="184"/>
      <c r="D5594" s="184"/>
      <c r="E5594" s="184"/>
      <c r="F5594" s="184"/>
      <c r="G5594" s="184"/>
      <c r="H5594" s="184"/>
      <c r="I5594" s="184"/>
      <c r="J5594" s="184"/>
      <c r="K5594" s="184"/>
      <c r="L5594" s="184"/>
      <c r="M5594" s="184"/>
      <c r="N5594" s="184"/>
      <c r="O5594" s="184"/>
    </row>
    <row r="5595" customFormat="false" ht="15" hidden="false" customHeight="true" outlineLevel="0" collapsed="false">
      <c r="A5595" s="184"/>
      <c r="B5595" s="184"/>
      <c r="C5595" s="184"/>
      <c r="D5595" s="184"/>
      <c r="E5595" s="184"/>
      <c r="F5595" s="184"/>
      <c r="G5595" s="184"/>
      <c r="H5595" s="184"/>
      <c r="I5595" s="184"/>
      <c r="J5595" s="184"/>
      <c r="K5595" s="184"/>
      <c r="L5595" s="184"/>
      <c r="M5595" s="184"/>
      <c r="N5595" s="184"/>
      <c r="O5595" s="184"/>
    </row>
    <row r="5596" customFormat="false" ht="15" hidden="false" customHeight="true" outlineLevel="0" collapsed="false">
      <c r="A5596" s="184"/>
      <c r="B5596" s="184"/>
      <c r="C5596" s="184"/>
      <c r="D5596" s="184"/>
      <c r="E5596" s="184"/>
      <c r="F5596" s="184"/>
      <c r="G5596" s="184"/>
      <c r="H5596" s="184"/>
      <c r="I5596" s="184"/>
      <c r="J5596" s="184"/>
      <c r="K5596" s="184"/>
      <c r="L5596" s="184"/>
      <c r="M5596" s="184"/>
      <c r="N5596" s="184"/>
      <c r="O5596" s="184"/>
    </row>
    <row r="5597" customFormat="false" ht="15" hidden="false" customHeight="true" outlineLevel="0" collapsed="false">
      <c r="A5597" s="184"/>
      <c r="B5597" s="184"/>
      <c r="C5597" s="184"/>
      <c r="D5597" s="184"/>
      <c r="E5597" s="184"/>
      <c r="F5597" s="184"/>
      <c r="G5597" s="184"/>
      <c r="H5597" s="184"/>
      <c r="I5597" s="184"/>
      <c r="J5597" s="184"/>
      <c r="K5597" s="184"/>
      <c r="L5597" s="184"/>
      <c r="M5597" s="184"/>
      <c r="N5597" s="184"/>
      <c r="O5597" s="184"/>
    </row>
    <row r="5598" customFormat="false" ht="15" hidden="false" customHeight="true" outlineLevel="0" collapsed="false">
      <c r="A5598" s="184"/>
      <c r="B5598" s="184"/>
      <c r="C5598" s="184"/>
      <c r="D5598" s="184"/>
      <c r="E5598" s="184"/>
      <c r="F5598" s="184"/>
      <c r="G5598" s="184"/>
      <c r="H5598" s="184"/>
      <c r="I5598" s="184"/>
      <c r="J5598" s="184"/>
      <c r="K5598" s="184"/>
      <c r="L5598" s="184"/>
      <c r="M5598" s="184"/>
      <c r="N5598" s="184"/>
      <c r="O5598" s="184"/>
    </row>
    <row r="5599" customFormat="false" ht="15" hidden="false" customHeight="true" outlineLevel="0" collapsed="false">
      <c r="A5599" s="184"/>
      <c r="B5599" s="184"/>
      <c r="C5599" s="184"/>
      <c r="D5599" s="184"/>
      <c r="E5599" s="184"/>
      <c r="F5599" s="184"/>
      <c r="G5599" s="184"/>
      <c r="H5599" s="184"/>
      <c r="I5599" s="184"/>
      <c r="J5599" s="184"/>
      <c r="K5599" s="184"/>
      <c r="L5599" s="184"/>
      <c r="M5599" s="184"/>
      <c r="N5599" s="184"/>
      <c r="O5599" s="184"/>
    </row>
    <row r="5600" customFormat="false" ht="15" hidden="false" customHeight="true" outlineLevel="0" collapsed="false">
      <c r="A5600" s="184"/>
      <c r="B5600" s="184"/>
      <c r="C5600" s="184"/>
      <c r="D5600" s="184"/>
      <c r="E5600" s="184"/>
      <c r="F5600" s="184"/>
      <c r="G5600" s="184"/>
      <c r="H5600" s="184"/>
      <c r="I5600" s="184"/>
      <c r="J5600" s="184"/>
      <c r="K5600" s="184"/>
      <c r="L5600" s="184"/>
      <c r="M5600" s="184"/>
      <c r="N5600" s="184"/>
      <c r="O5600" s="184"/>
    </row>
    <row r="5601" customFormat="false" ht="15" hidden="false" customHeight="true" outlineLevel="0" collapsed="false">
      <c r="A5601" s="184"/>
      <c r="B5601" s="184"/>
      <c r="C5601" s="184"/>
      <c r="D5601" s="184"/>
      <c r="E5601" s="184"/>
      <c r="F5601" s="184"/>
      <c r="G5601" s="184"/>
      <c r="H5601" s="184"/>
      <c r="I5601" s="184"/>
      <c r="J5601" s="184"/>
      <c r="K5601" s="184"/>
      <c r="L5601" s="184"/>
      <c r="M5601" s="184"/>
      <c r="N5601" s="184"/>
      <c r="O5601" s="184"/>
    </row>
    <row r="5602" customFormat="false" ht="15" hidden="false" customHeight="true" outlineLevel="0" collapsed="false">
      <c r="A5602" s="184"/>
      <c r="B5602" s="184"/>
      <c r="C5602" s="184"/>
      <c r="D5602" s="184"/>
      <c r="E5602" s="184"/>
      <c r="F5602" s="184"/>
      <c r="G5602" s="184"/>
      <c r="H5602" s="184"/>
      <c r="I5602" s="184"/>
      <c r="J5602" s="184"/>
      <c r="K5602" s="184"/>
      <c r="L5602" s="184"/>
      <c r="M5602" s="184"/>
      <c r="N5602" s="184"/>
      <c r="O5602" s="184"/>
    </row>
    <row r="5603" customFormat="false" ht="15" hidden="false" customHeight="true" outlineLevel="0" collapsed="false">
      <c r="A5603" s="184"/>
      <c r="B5603" s="184"/>
      <c r="C5603" s="184"/>
      <c r="D5603" s="184"/>
      <c r="E5603" s="184"/>
      <c r="F5603" s="184"/>
      <c r="G5603" s="184"/>
      <c r="H5603" s="184"/>
      <c r="I5603" s="184"/>
      <c r="J5603" s="184"/>
      <c r="K5603" s="184"/>
      <c r="L5603" s="184"/>
      <c r="M5603" s="184"/>
      <c r="N5603" s="184"/>
      <c r="O5603" s="184"/>
    </row>
    <row r="5604" customFormat="false" ht="15" hidden="false" customHeight="true" outlineLevel="0" collapsed="false">
      <c r="A5604" s="184"/>
      <c r="B5604" s="184"/>
      <c r="C5604" s="184"/>
      <c r="D5604" s="184"/>
      <c r="E5604" s="184"/>
      <c r="F5604" s="184"/>
      <c r="G5604" s="184"/>
      <c r="H5604" s="184"/>
      <c r="I5604" s="184"/>
      <c r="J5604" s="184"/>
      <c r="K5604" s="184"/>
      <c r="L5604" s="184"/>
      <c r="M5604" s="184"/>
      <c r="N5604" s="184"/>
      <c r="O5604" s="184"/>
    </row>
    <row r="5605" customFormat="false" ht="15" hidden="false" customHeight="true" outlineLevel="0" collapsed="false">
      <c r="A5605" s="184"/>
      <c r="B5605" s="184"/>
      <c r="C5605" s="184"/>
      <c r="D5605" s="184"/>
      <c r="E5605" s="184"/>
      <c r="F5605" s="184"/>
      <c r="G5605" s="184"/>
      <c r="H5605" s="184"/>
      <c r="I5605" s="184"/>
      <c r="J5605" s="184"/>
      <c r="K5605" s="184"/>
      <c r="L5605" s="184"/>
      <c r="M5605" s="184"/>
      <c r="N5605" s="184"/>
      <c r="O5605" s="184"/>
    </row>
    <row r="5606" customFormat="false" ht="15" hidden="false" customHeight="true" outlineLevel="0" collapsed="false">
      <c r="A5606" s="184"/>
      <c r="B5606" s="184"/>
      <c r="C5606" s="184"/>
      <c r="D5606" s="184"/>
      <c r="E5606" s="184"/>
      <c r="F5606" s="184"/>
      <c r="G5606" s="184"/>
      <c r="H5606" s="184"/>
      <c r="I5606" s="184"/>
      <c r="J5606" s="184"/>
      <c r="K5606" s="184"/>
      <c r="L5606" s="184"/>
      <c r="M5606" s="184"/>
      <c r="N5606" s="184"/>
      <c r="O5606" s="184"/>
    </row>
    <row r="5607" customFormat="false" ht="15" hidden="false" customHeight="true" outlineLevel="0" collapsed="false">
      <c r="A5607" s="184"/>
      <c r="B5607" s="184"/>
      <c r="C5607" s="184"/>
      <c r="D5607" s="184"/>
      <c r="E5607" s="184"/>
      <c r="F5607" s="184"/>
      <c r="G5607" s="184"/>
      <c r="H5607" s="184"/>
      <c r="I5607" s="184"/>
      <c r="J5607" s="184"/>
      <c r="K5607" s="184"/>
      <c r="L5607" s="184"/>
      <c r="M5607" s="184"/>
      <c r="N5607" s="184"/>
      <c r="O5607" s="184"/>
    </row>
    <row r="5608" customFormat="false" ht="15" hidden="false" customHeight="true" outlineLevel="0" collapsed="false">
      <c r="A5608" s="184"/>
      <c r="B5608" s="184"/>
      <c r="C5608" s="184"/>
      <c r="D5608" s="184"/>
      <c r="E5608" s="184"/>
      <c r="F5608" s="184"/>
      <c r="G5608" s="184"/>
      <c r="H5608" s="184"/>
      <c r="I5608" s="184"/>
      <c r="J5608" s="184"/>
      <c r="K5608" s="184"/>
      <c r="L5608" s="184"/>
      <c r="M5608" s="184"/>
      <c r="N5608" s="184"/>
      <c r="O5608" s="184"/>
    </row>
    <row r="5609" customFormat="false" ht="15" hidden="false" customHeight="true" outlineLevel="0" collapsed="false">
      <c r="A5609" s="184"/>
      <c r="B5609" s="184"/>
      <c r="C5609" s="184"/>
      <c r="D5609" s="184"/>
      <c r="E5609" s="184"/>
      <c r="F5609" s="184"/>
      <c r="G5609" s="184"/>
      <c r="H5609" s="184"/>
      <c r="I5609" s="184"/>
      <c r="J5609" s="184"/>
      <c r="K5609" s="184"/>
      <c r="L5609" s="184"/>
      <c r="M5609" s="184"/>
      <c r="N5609" s="184"/>
      <c r="O5609" s="184"/>
    </row>
    <row r="5610" customFormat="false" ht="15" hidden="false" customHeight="true" outlineLevel="0" collapsed="false">
      <c r="A5610" s="184"/>
      <c r="B5610" s="184"/>
      <c r="C5610" s="184"/>
      <c r="D5610" s="184"/>
      <c r="E5610" s="184"/>
      <c r="F5610" s="184"/>
      <c r="G5610" s="184"/>
      <c r="H5610" s="184"/>
      <c r="I5610" s="184"/>
      <c r="J5610" s="184"/>
      <c r="K5610" s="184"/>
      <c r="L5610" s="184"/>
      <c r="M5610" s="184"/>
      <c r="N5610" s="184"/>
      <c r="O5610" s="184"/>
    </row>
    <row r="5611" customFormat="false" ht="15" hidden="false" customHeight="true" outlineLevel="0" collapsed="false">
      <c r="A5611" s="184"/>
      <c r="B5611" s="184"/>
      <c r="C5611" s="184"/>
      <c r="D5611" s="184"/>
      <c r="E5611" s="184"/>
      <c r="F5611" s="184"/>
      <c r="G5611" s="184"/>
      <c r="H5611" s="184"/>
      <c r="I5611" s="184"/>
      <c r="J5611" s="184"/>
      <c r="K5611" s="184"/>
      <c r="L5611" s="184"/>
      <c r="M5611" s="184"/>
      <c r="N5611" s="184"/>
      <c r="O5611" s="184"/>
    </row>
    <row r="5612" customFormat="false" ht="15" hidden="false" customHeight="true" outlineLevel="0" collapsed="false">
      <c r="A5612" s="184"/>
      <c r="B5612" s="184"/>
      <c r="C5612" s="184"/>
      <c r="D5612" s="184"/>
      <c r="E5612" s="184"/>
      <c r="F5612" s="184"/>
      <c r="G5612" s="184"/>
      <c r="H5612" s="184"/>
      <c r="I5612" s="184"/>
      <c r="J5612" s="184"/>
      <c r="K5612" s="184"/>
      <c r="L5612" s="184"/>
      <c r="M5612" s="184"/>
      <c r="N5612" s="184"/>
      <c r="O5612" s="184"/>
    </row>
    <row r="5613" customFormat="false" ht="15" hidden="false" customHeight="true" outlineLevel="0" collapsed="false">
      <c r="A5613" s="184"/>
      <c r="B5613" s="184"/>
      <c r="C5613" s="184"/>
      <c r="D5613" s="184"/>
      <c r="E5613" s="184"/>
      <c r="F5613" s="184"/>
      <c r="G5613" s="184"/>
      <c r="H5613" s="184"/>
      <c r="I5613" s="184"/>
      <c r="J5613" s="184"/>
      <c r="K5613" s="184"/>
      <c r="L5613" s="184"/>
      <c r="M5613" s="184"/>
      <c r="N5613" s="184"/>
      <c r="O5613" s="184"/>
    </row>
    <row r="5614" customFormat="false" ht="15" hidden="false" customHeight="true" outlineLevel="0" collapsed="false">
      <c r="A5614" s="184"/>
      <c r="B5614" s="184"/>
      <c r="C5614" s="184"/>
      <c r="D5614" s="184"/>
      <c r="E5614" s="184"/>
      <c r="F5614" s="184"/>
      <c r="G5614" s="184"/>
      <c r="H5614" s="184"/>
      <c r="I5614" s="184"/>
      <c r="J5614" s="184"/>
      <c r="K5614" s="184"/>
      <c r="L5614" s="184"/>
      <c r="M5614" s="184"/>
      <c r="N5614" s="184"/>
      <c r="O5614" s="184"/>
    </row>
    <row r="5615" customFormat="false" ht="15" hidden="false" customHeight="true" outlineLevel="0" collapsed="false">
      <c r="A5615" s="184"/>
      <c r="B5615" s="184"/>
      <c r="C5615" s="184"/>
      <c r="D5615" s="184"/>
      <c r="E5615" s="184"/>
      <c r="F5615" s="184"/>
      <c r="G5615" s="184"/>
      <c r="H5615" s="184"/>
      <c r="I5615" s="184"/>
      <c r="J5615" s="184"/>
      <c r="K5615" s="184"/>
      <c r="L5615" s="184"/>
      <c r="M5615" s="184"/>
      <c r="N5615" s="184"/>
      <c r="O5615" s="184"/>
    </row>
    <row r="5616" customFormat="false" ht="15" hidden="false" customHeight="true" outlineLevel="0" collapsed="false">
      <c r="A5616" s="184"/>
      <c r="B5616" s="184"/>
      <c r="C5616" s="184"/>
      <c r="D5616" s="184"/>
      <c r="E5616" s="184"/>
      <c r="F5616" s="184"/>
      <c r="G5616" s="184"/>
      <c r="H5616" s="184"/>
      <c r="I5616" s="184"/>
      <c r="J5616" s="184"/>
      <c r="K5616" s="184"/>
      <c r="L5616" s="184"/>
      <c r="M5616" s="184"/>
      <c r="N5616" s="184"/>
      <c r="O5616" s="184"/>
    </row>
    <row r="5617" customFormat="false" ht="15" hidden="false" customHeight="true" outlineLevel="0" collapsed="false">
      <c r="A5617" s="184"/>
      <c r="B5617" s="184"/>
      <c r="C5617" s="184"/>
      <c r="D5617" s="184"/>
      <c r="E5617" s="184"/>
      <c r="F5617" s="184"/>
      <c r="G5617" s="184"/>
      <c r="H5617" s="184"/>
      <c r="I5617" s="184"/>
      <c r="J5617" s="184"/>
      <c r="K5617" s="184"/>
      <c r="L5617" s="184"/>
      <c r="M5617" s="184"/>
      <c r="N5617" s="184"/>
      <c r="O5617" s="184"/>
    </row>
    <row r="5618" customFormat="false" ht="15" hidden="false" customHeight="true" outlineLevel="0" collapsed="false">
      <c r="A5618" s="184"/>
      <c r="B5618" s="184"/>
      <c r="C5618" s="184"/>
      <c r="D5618" s="184"/>
      <c r="E5618" s="184"/>
      <c r="F5618" s="184"/>
      <c r="G5618" s="184"/>
      <c r="H5618" s="184"/>
      <c r="I5618" s="184"/>
      <c r="J5618" s="184"/>
      <c r="K5618" s="184"/>
      <c r="L5618" s="184"/>
      <c r="M5618" s="184"/>
      <c r="N5618" s="184"/>
      <c r="O5618" s="184"/>
    </row>
    <row r="5619" customFormat="false" ht="15" hidden="false" customHeight="true" outlineLevel="0" collapsed="false">
      <c r="A5619" s="184"/>
      <c r="B5619" s="184"/>
      <c r="C5619" s="184"/>
      <c r="D5619" s="184"/>
      <c r="E5619" s="184"/>
      <c r="F5619" s="184"/>
      <c r="G5619" s="184"/>
      <c r="H5619" s="184"/>
      <c r="I5619" s="184"/>
      <c r="J5619" s="184"/>
      <c r="K5619" s="184"/>
      <c r="L5619" s="184"/>
      <c r="M5619" s="184"/>
      <c r="N5619" s="184"/>
      <c r="O5619" s="184"/>
    </row>
    <row r="5620" customFormat="false" ht="15" hidden="false" customHeight="true" outlineLevel="0" collapsed="false">
      <c r="A5620" s="184"/>
      <c r="B5620" s="184"/>
      <c r="C5620" s="184"/>
      <c r="D5620" s="184"/>
      <c r="E5620" s="184"/>
      <c r="F5620" s="184"/>
      <c r="G5620" s="184"/>
      <c r="H5620" s="184"/>
      <c r="I5620" s="184"/>
      <c r="J5620" s="184"/>
      <c r="K5620" s="184"/>
      <c r="L5620" s="184"/>
      <c r="M5620" s="184"/>
      <c r="N5620" s="184"/>
      <c r="O5620" s="184"/>
    </row>
    <row r="5621" customFormat="false" ht="15" hidden="false" customHeight="true" outlineLevel="0" collapsed="false">
      <c r="A5621" s="184"/>
      <c r="B5621" s="184"/>
      <c r="C5621" s="184"/>
      <c r="D5621" s="184"/>
      <c r="E5621" s="184"/>
      <c r="F5621" s="184"/>
      <c r="G5621" s="184"/>
      <c r="H5621" s="184"/>
      <c r="I5621" s="184"/>
      <c r="J5621" s="184"/>
      <c r="K5621" s="184"/>
      <c r="L5621" s="184"/>
      <c r="M5621" s="184"/>
      <c r="N5621" s="184"/>
      <c r="O5621" s="184"/>
    </row>
    <row r="5622" customFormat="false" ht="15" hidden="false" customHeight="true" outlineLevel="0" collapsed="false">
      <c r="A5622" s="184"/>
      <c r="B5622" s="184"/>
      <c r="C5622" s="184"/>
      <c r="D5622" s="184"/>
      <c r="E5622" s="184"/>
      <c r="F5622" s="184"/>
      <c r="G5622" s="184"/>
      <c r="H5622" s="184"/>
      <c r="I5622" s="184"/>
      <c r="J5622" s="184"/>
      <c r="K5622" s="184"/>
      <c r="L5622" s="184"/>
      <c r="M5622" s="184"/>
      <c r="N5622" s="184"/>
      <c r="O5622" s="184"/>
    </row>
    <row r="5623" customFormat="false" ht="15" hidden="false" customHeight="true" outlineLevel="0" collapsed="false">
      <c r="A5623" s="184"/>
      <c r="B5623" s="184"/>
      <c r="C5623" s="184"/>
      <c r="D5623" s="184"/>
      <c r="E5623" s="184"/>
      <c r="F5623" s="184"/>
      <c r="G5623" s="184"/>
      <c r="H5623" s="184"/>
      <c r="I5623" s="184"/>
      <c r="J5623" s="184"/>
      <c r="K5623" s="184"/>
      <c r="L5623" s="184"/>
      <c r="M5623" s="184"/>
      <c r="N5623" s="184"/>
      <c r="O5623" s="184"/>
    </row>
    <row r="5624" customFormat="false" ht="15" hidden="false" customHeight="true" outlineLevel="0" collapsed="false">
      <c r="A5624" s="184"/>
      <c r="B5624" s="184"/>
      <c r="C5624" s="184"/>
      <c r="D5624" s="184"/>
      <c r="E5624" s="184"/>
      <c r="F5624" s="184"/>
      <c r="G5624" s="184"/>
      <c r="H5624" s="184"/>
      <c r="I5624" s="184"/>
      <c r="J5624" s="184"/>
      <c r="K5624" s="184"/>
      <c r="L5624" s="184"/>
      <c r="M5624" s="184"/>
      <c r="N5624" s="184"/>
      <c r="O5624" s="184"/>
    </row>
    <row r="5625" customFormat="false" ht="15" hidden="false" customHeight="true" outlineLevel="0" collapsed="false">
      <c r="A5625" s="184"/>
      <c r="B5625" s="184"/>
      <c r="C5625" s="184"/>
      <c r="D5625" s="184"/>
      <c r="E5625" s="184"/>
      <c r="F5625" s="184"/>
      <c r="G5625" s="184"/>
      <c r="H5625" s="184"/>
      <c r="I5625" s="184"/>
      <c r="J5625" s="184"/>
      <c r="K5625" s="184"/>
      <c r="L5625" s="184"/>
      <c r="M5625" s="184"/>
      <c r="N5625" s="184"/>
      <c r="O5625" s="184"/>
    </row>
    <row r="5626" customFormat="false" ht="15" hidden="false" customHeight="true" outlineLevel="0" collapsed="false">
      <c r="A5626" s="184"/>
      <c r="B5626" s="184"/>
      <c r="C5626" s="184"/>
      <c r="D5626" s="184"/>
      <c r="E5626" s="184"/>
      <c r="F5626" s="184"/>
      <c r="G5626" s="184"/>
      <c r="H5626" s="184"/>
      <c r="I5626" s="184"/>
      <c r="J5626" s="184"/>
      <c r="K5626" s="184"/>
      <c r="L5626" s="184"/>
      <c r="M5626" s="184"/>
      <c r="N5626" s="184"/>
      <c r="O5626" s="184"/>
    </row>
    <row r="5627" customFormat="false" ht="15" hidden="false" customHeight="true" outlineLevel="0" collapsed="false">
      <c r="A5627" s="184"/>
      <c r="B5627" s="184"/>
      <c r="C5627" s="184"/>
      <c r="D5627" s="184"/>
      <c r="E5627" s="184"/>
      <c r="F5627" s="184"/>
      <c r="G5627" s="184"/>
      <c r="H5627" s="184"/>
      <c r="I5627" s="184"/>
      <c r="J5627" s="184"/>
      <c r="K5627" s="184"/>
      <c r="L5627" s="184"/>
      <c r="M5627" s="184"/>
      <c r="N5627" s="184"/>
      <c r="O5627" s="184"/>
    </row>
    <row r="5628" customFormat="false" ht="15" hidden="false" customHeight="true" outlineLevel="0" collapsed="false">
      <c r="A5628" s="184"/>
      <c r="B5628" s="184"/>
      <c r="C5628" s="184"/>
      <c r="D5628" s="184"/>
      <c r="E5628" s="184"/>
      <c r="F5628" s="184"/>
      <c r="G5628" s="184"/>
      <c r="H5628" s="184"/>
      <c r="I5628" s="184"/>
      <c r="J5628" s="184"/>
      <c r="K5628" s="184"/>
      <c r="L5628" s="184"/>
      <c r="M5628" s="184"/>
      <c r="N5628" s="184"/>
      <c r="O5628" s="184"/>
    </row>
    <row r="5629" customFormat="false" ht="15" hidden="false" customHeight="true" outlineLevel="0" collapsed="false">
      <c r="A5629" s="184"/>
      <c r="B5629" s="184"/>
      <c r="C5629" s="184"/>
      <c r="D5629" s="184"/>
      <c r="E5629" s="184"/>
      <c r="F5629" s="184"/>
      <c r="G5629" s="184"/>
      <c r="H5629" s="184"/>
      <c r="I5629" s="184"/>
      <c r="J5629" s="184"/>
      <c r="K5629" s="184"/>
      <c r="L5629" s="184"/>
      <c r="M5629" s="184"/>
      <c r="N5629" s="184"/>
      <c r="O5629" s="184"/>
    </row>
    <row r="5630" customFormat="false" ht="15" hidden="false" customHeight="true" outlineLevel="0" collapsed="false">
      <c r="A5630" s="184"/>
      <c r="B5630" s="184"/>
      <c r="C5630" s="184"/>
      <c r="D5630" s="184"/>
      <c r="E5630" s="184"/>
      <c r="F5630" s="184"/>
      <c r="G5630" s="184"/>
      <c r="H5630" s="184"/>
      <c r="I5630" s="184"/>
      <c r="J5630" s="184"/>
      <c r="K5630" s="184"/>
      <c r="L5630" s="184"/>
      <c r="M5630" s="184"/>
      <c r="N5630" s="184"/>
      <c r="O5630" s="184"/>
    </row>
    <row r="5631" customFormat="false" ht="15" hidden="false" customHeight="true" outlineLevel="0" collapsed="false">
      <c r="A5631" s="184"/>
      <c r="B5631" s="184"/>
      <c r="C5631" s="184"/>
      <c r="D5631" s="184"/>
      <c r="E5631" s="184"/>
      <c r="F5631" s="184"/>
      <c r="G5631" s="184"/>
      <c r="H5631" s="184"/>
      <c r="I5631" s="184"/>
      <c r="J5631" s="184"/>
      <c r="K5631" s="184"/>
      <c r="L5631" s="184"/>
      <c r="M5631" s="184"/>
      <c r="N5631" s="184"/>
      <c r="O5631" s="184"/>
    </row>
    <row r="5632" customFormat="false" ht="15" hidden="false" customHeight="true" outlineLevel="0" collapsed="false">
      <c r="A5632" s="184"/>
      <c r="B5632" s="184"/>
      <c r="C5632" s="184"/>
      <c r="D5632" s="184"/>
      <c r="E5632" s="184"/>
      <c r="F5632" s="184"/>
      <c r="G5632" s="184"/>
      <c r="H5632" s="184"/>
      <c r="I5632" s="184"/>
      <c r="J5632" s="184"/>
      <c r="K5632" s="184"/>
      <c r="L5632" s="184"/>
      <c r="M5632" s="184"/>
      <c r="N5632" s="184"/>
      <c r="O5632" s="184"/>
    </row>
    <row r="5633" customFormat="false" ht="15" hidden="false" customHeight="true" outlineLevel="0" collapsed="false">
      <c r="A5633" s="184"/>
      <c r="B5633" s="184"/>
      <c r="C5633" s="184"/>
      <c r="D5633" s="184"/>
      <c r="E5633" s="184"/>
      <c r="F5633" s="184"/>
      <c r="G5633" s="184"/>
      <c r="H5633" s="184"/>
      <c r="I5633" s="184"/>
      <c r="J5633" s="184"/>
      <c r="K5633" s="184"/>
      <c r="L5633" s="184"/>
      <c r="M5633" s="184"/>
      <c r="N5633" s="184"/>
      <c r="O5633" s="184"/>
    </row>
    <row r="5634" customFormat="false" ht="15" hidden="false" customHeight="true" outlineLevel="0" collapsed="false">
      <c r="A5634" s="184"/>
      <c r="B5634" s="184"/>
      <c r="C5634" s="184"/>
      <c r="D5634" s="184"/>
      <c r="E5634" s="184"/>
      <c r="F5634" s="184"/>
      <c r="G5634" s="184"/>
      <c r="H5634" s="184"/>
      <c r="I5634" s="184"/>
      <c r="J5634" s="184"/>
      <c r="K5634" s="184"/>
      <c r="L5634" s="184"/>
      <c r="M5634" s="184"/>
      <c r="N5634" s="184"/>
      <c r="O5634" s="184"/>
    </row>
    <row r="5635" customFormat="false" ht="15" hidden="false" customHeight="true" outlineLevel="0" collapsed="false">
      <c r="A5635" s="184"/>
      <c r="B5635" s="184"/>
      <c r="C5635" s="184"/>
      <c r="D5635" s="184"/>
      <c r="E5635" s="184"/>
      <c r="F5635" s="184"/>
      <c r="G5635" s="184"/>
      <c r="H5635" s="184"/>
      <c r="I5635" s="184"/>
      <c r="J5635" s="184"/>
      <c r="K5635" s="184"/>
      <c r="L5635" s="184"/>
      <c r="M5635" s="184"/>
      <c r="N5635" s="184"/>
      <c r="O5635" s="184"/>
    </row>
    <row r="5636" customFormat="false" ht="15" hidden="false" customHeight="true" outlineLevel="0" collapsed="false">
      <c r="A5636" s="184"/>
      <c r="B5636" s="184"/>
      <c r="C5636" s="184"/>
      <c r="D5636" s="184"/>
      <c r="E5636" s="184"/>
      <c r="F5636" s="184"/>
      <c r="G5636" s="184"/>
      <c r="H5636" s="184"/>
      <c r="I5636" s="184"/>
      <c r="J5636" s="184"/>
      <c r="K5636" s="184"/>
      <c r="L5636" s="184"/>
      <c r="M5636" s="184"/>
      <c r="N5636" s="184"/>
      <c r="O5636" s="184"/>
    </row>
    <row r="5637" customFormat="false" ht="15" hidden="false" customHeight="true" outlineLevel="0" collapsed="false">
      <c r="A5637" s="184"/>
      <c r="B5637" s="184"/>
      <c r="C5637" s="184"/>
      <c r="D5637" s="184"/>
      <c r="E5637" s="184"/>
      <c r="F5637" s="184"/>
      <c r="G5637" s="184"/>
      <c r="H5637" s="184"/>
      <c r="I5637" s="184"/>
      <c r="J5637" s="184"/>
      <c r="K5637" s="184"/>
      <c r="L5637" s="184"/>
      <c r="M5637" s="184"/>
      <c r="N5637" s="184"/>
      <c r="O5637" s="184"/>
    </row>
    <row r="5638" customFormat="false" ht="15" hidden="false" customHeight="true" outlineLevel="0" collapsed="false">
      <c r="A5638" s="184"/>
      <c r="B5638" s="184"/>
      <c r="C5638" s="184"/>
      <c r="D5638" s="184"/>
      <c r="E5638" s="184"/>
      <c r="F5638" s="184"/>
      <c r="G5638" s="184"/>
      <c r="H5638" s="184"/>
      <c r="I5638" s="184"/>
      <c r="J5638" s="184"/>
      <c r="K5638" s="184"/>
      <c r="L5638" s="184"/>
      <c r="M5638" s="184"/>
      <c r="N5638" s="184"/>
      <c r="O5638" s="184"/>
    </row>
    <row r="5639" customFormat="false" ht="15" hidden="false" customHeight="true" outlineLevel="0" collapsed="false">
      <c r="A5639" s="184"/>
      <c r="B5639" s="184"/>
      <c r="C5639" s="184"/>
      <c r="D5639" s="184"/>
      <c r="E5639" s="184"/>
      <c r="F5639" s="184"/>
      <c r="G5639" s="184"/>
      <c r="H5639" s="184"/>
      <c r="I5639" s="184"/>
      <c r="J5639" s="184"/>
      <c r="K5639" s="184"/>
      <c r="L5639" s="184"/>
      <c r="M5639" s="184"/>
      <c r="N5639" s="184"/>
      <c r="O5639" s="184"/>
    </row>
    <row r="5640" customFormat="false" ht="15" hidden="false" customHeight="true" outlineLevel="0" collapsed="false">
      <c r="A5640" s="184"/>
      <c r="B5640" s="184"/>
      <c r="C5640" s="184"/>
      <c r="D5640" s="184"/>
      <c r="E5640" s="184"/>
      <c r="F5640" s="184"/>
      <c r="G5640" s="184"/>
      <c r="H5640" s="184"/>
      <c r="I5640" s="184"/>
      <c r="J5640" s="184"/>
      <c r="K5640" s="184"/>
      <c r="L5640" s="184"/>
      <c r="M5640" s="184"/>
      <c r="N5640" s="184"/>
      <c r="O5640" s="184"/>
    </row>
    <row r="5641" customFormat="false" ht="15" hidden="false" customHeight="true" outlineLevel="0" collapsed="false">
      <c r="A5641" s="184"/>
      <c r="B5641" s="184"/>
      <c r="C5641" s="184"/>
      <c r="D5641" s="184"/>
      <c r="E5641" s="184"/>
      <c r="F5641" s="184"/>
      <c r="G5641" s="184"/>
      <c r="H5641" s="184"/>
      <c r="I5641" s="184"/>
      <c r="J5641" s="184"/>
      <c r="K5641" s="184"/>
      <c r="L5641" s="184"/>
      <c r="M5641" s="184"/>
      <c r="N5641" s="184"/>
      <c r="O5641" s="184"/>
    </row>
    <row r="5642" customFormat="false" ht="15" hidden="false" customHeight="true" outlineLevel="0" collapsed="false">
      <c r="A5642" s="184"/>
      <c r="B5642" s="184"/>
      <c r="C5642" s="184"/>
      <c r="D5642" s="184"/>
      <c r="E5642" s="184"/>
      <c r="F5642" s="184"/>
      <c r="G5642" s="184"/>
      <c r="H5642" s="184"/>
      <c r="I5642" s="184"/>
      <c r="J5642" s="184"/>
      <c r="K5642" s="184"/>
      <c r="L5642" s="184"/>
      <c r="M5642" s="184"/>
      <c r="N5642" s="184"/>
      <c r="O5642" s="184"/>
    </row>
    <row r="5643" customFormat="false" ht="15" hidden="false" customHeight="true" outlineLevel="0" collapsed="false">
      <c r="A5643" s="184"/>
      <c r="B5643" s="184"/>
      <c r="C5643" s="184"/>
      <c r="D5643" s="184"/>
      <c r="E5643" s="184"/>
      <c r="F5643" s="184"/>
      <c r="G5643" s="184"/>
      <c r="H5643" s="184"/>
      <c r="I5643" s="184"/>
      <c r="J5643" s="184"/>
      <c r="K5643" s="184"/>
      <c r="L5643" s="184"/>
      <c r="M5643" s="184"/>
      <c r="N5643" s="184"/>
      <c r="O5643" s="184"/>
    </row>
    <row r="5644" customFormat="false" ht="15" hidden="false" customHeight="true" outlineLevel="0" collapsed="false">
      <c r="A5644" s="184"/>
      <c r="B5644" s="184"/>
      <c r="C5644" s="184"/>
      <c r="D5644" s="184"/>
      <c r="E5644" s="184"/>
      <c r="F5644" s="184"/>
      <c r="G5644" s="184"/>
      <c r="H5644" s="184"/>
      <c r="I5644" s="184"/>
      <c r="J5644" s="184"/>
      <c r="K5644" s="184"/>
      <c r="L5644" s="184"/>
      <c r="M5644" s="184"/>
      <c r="N5644" s="184"/>
      <c r="O5644" s="184"/>
    </row>
    <row r="5645" customFormat="false" ht="15" hidden="false" customHeight="true" outlineLevel="0" collapsed="false">
      <c r="A5645" s="184"/>
      <c r="B5645" s="184"/>
      <c r="C5645" s="184"/>
      <c r="D5645" s="184"/>
      <c r="E5645" s="184"/>
      <c r="F5645" s="184"/>
      <c r="G5645" s="184"/>
      <c r="H5645" s="184"/>
      <c r="I5645" s="184"/>
      <c r="J5645" s="184"/>
      <c r="K5645" s="184"/>
      <c r="L5645" s="184"/>
      <c r="M5645" s="184"/>
      <c r="N5645" s="184"/>
      <c r="O5645" s="184"/>
    </row>
    <row r="5646" customFormat="false" ht="15" hidden="false" customHeight="true" outlineLevel="0" collapsed="false">
      <c r="A5646" s="184"/>
      <c r="B5646" s="184"/>
      <c r="C5646" s="184"/>
      <c r="D5646" s="184"/>
      <c r="E5646" s="184"/>
      <c r="F5646" s="184"/>
      <c r="G5646" s="184"/>
      <c r="H5646" s="184"/>
      <c r="I5646" s="184"/>
      <c r="J5646" s="184"/>
      <c r="K5646" s="184"/>
      <c r="L5646" s="184"/>
      <c r="M5646" s="184"/>
      <c r="N5646" s="184"/>
      <c r="O5646" s="184"/>
    </row>
    <row r="5647" customFormat="false" ht="15" hidden="false" customHeight="true" outlineLevel="0" collapsed="false">
      <c r="A5647" s="184"/>
      <c r="B5647" s="184"/>
      <c r="C5647" s="184"/>
      <c r="D5647" s="184"/>
      <c r="E5647" s="184"/>
      <c r="F5647" s="184"/>
      <c r="G5647" s="184"/>
      <c r="H5647" s="184"/>
      <c r="I5647" s="184"/>
      <c r="J5647" s="184"/>
      <c r="K5647" s="184"/>
      <c r="L5647" s="184"/>
      <c r="M5647" s="184"/>
      <c r="N5647" s="184"/>
      <c r="O5647" s="184"/>
    </row>
    <row r="5648" customFormat="false" ht="15" hidden="false" customHeight="true" outlineLevel="0" collapsed="false">
      <c r="A5648" s="184"/>
      <c r="B5648" s="184"/>
      <c r="C5648" s="184"/>
      <c r="D5648" s="184"/>
      <c r="E5648" s="184"/>
      <c r="F5648" s="184"/>
      <c r="G5648" s="184"/>
      <c r="H5648" s="184"/>
      <c r="I5648" s="184"/>
      <c r="J5648" s="184"/>
      <c r="K5648" s="184"/>
      <c r="L5648" s="184"/>
      <c r="M5648" s="184"/>
      <c r="N5648" s="184"/>
      <c r="O5648" s="184"/>
    </row>
    <row r="5649" customFormat="false" ht="15" hidden="false" customHeight="true" outlineLevel="0" collapsed="false">
      <c r="A5649" s="184"/>
      <c r="B5649" s="184"/>
      <c r="C5649" s="184"/>
      <c r="D5649" s="184"/>
      <c r="E5649" s="184"/>
      <c r="F5649" s="184"/>
      <c r="G5649" s="184"/>
      <c r="H5649" s="184"/>
      <c r="I5649" s="184"/>
      <c r="J5649" s="184"/>
      <c r="K5649" s="184"/>
      <c r="L5649" s="184"/>
      <c r="M5649" s="184"/>
      <c r="N5649" s="184"/>
      <c r="O5649" s="184"/>
    </row>
    <row r="5650" customFormat="false" ht="15" hidden="false" customHeight="true" outlineLevel="0" collapsed="false">
      <c r="A5650" s="184"/>
      <c r="B5650" s="184"/>
      <c r="C5650" s="184"/>
      <c r="D5650" s="184"/>
      <c r="E5650" s="184"/>
      <c r="F5650" s="184"/>
      <c r="G5650" s="184"/>
      <c r="H5650" s="184"/>
      <c r="I5650" s="184"/>
      <c r="J5650" s="184"/>
      <c r="K5650" s="184"/>
      <c r="L5650" s="184"/>
      <c r="M5650" s="184"/>
      <c r="N5650" s="184"/>
      <c r="O5650" s="184"/>
    </row>
    <row r="5651" customFormat="false" ht="15" hidden="false" customHeight="true" outlineLevel="0" collapsed="false">
      <c r="A5651" s="184"/>
      <c r="B5651" s="184"/>
      <c r="C5651" s="184"/>
      <c r="D5651" s="184"/>
      <c r="E5651" s="184"/>
      <c r="F5651" s="184"/>
      <c r="G5651" s="184"/>
      <c r="H5651" s="184"/>
      <c r="I5651" s="184"/>
      <c r="J5651" s="184"/>
      <c r="K5651" s="184"/>
      <c r="L5651" s="184"/>
      <c r="M5651" s="184"/>
      <c r="N5651" s="184"/>
      <c r="O5651" s="184"/>
    </row>
    <row r="5652" customFormat="false" ht="15" hidden="false" customHeight="true" outlineLevel="0" collapsed="false">
      <c r="A5652" s="184"/>
      <c r="B5652" s="184"/>
      <c r="C5652" s="184"/>
      <c r="D5652" s="184"/>
      <c r="E5652" s="184"/>
      <c r="F5652" s="184"/>
      <c r="G5652" s="184"/>
      <c r="H5652" s="184"/>
      <c r="I5652" s="184"/>
      <c r="J5652" s="184"/>
      <c r="K5652" s="184"/>
      <c r="L5652" s="184"/>
      <c r="M5652" s="184"/>
      <c r="N5652" s="184"/>
      <c r="O5652" s="184"/>
    </row>
    <row r="5653" customFormat="false" ht="15" hidden="false" customHeight="true" outlineLevel="0" collapsed="false">
      <c r="A5653" s="184"/>
      <c r="B5653" s="184"/>
      <c r="C5653" s="184"/>
      <c r="D5653" s="184"/>
      <c r="E5653" s="184"/>
      <c r="F5653" s="184"/>
      <c r="G5653" s="184"/>
      <c r="H5653" s="184"/>
      <c r="I5653" s="184"/>
      <c r="J5653" s="184"/>
      <c r="K5653" s="184"/>
      <c r="L5653" s="184"/>
      <c r="M5653" s="184"/>
      <c r="N5653" s="184"/>
      <c r="O5653" s="184"/>
    </row>
    <row r="5654" customFormat="false" ht="15" hidden="false" customHeight="true" outlineLevel="0" collapsed="false">
      <c r="A5654" s="184"/>
      <c r="B5654" s="184"/>
      <c r="C5654" s="184"/>
      <c r="D5654" s="184"/>
      <c r="E5654" s="184"/>
      <c r="F5654" s="184"/>
      <c r="G5654" s="184"/>
      <c r="H5654" s="184"/>
      <c r="I5654" s="184"/>
      <c r="J5654" s="184"/>
      <c r="K5654" s="184"/>
      <c r="L5654" s="184"/>
      <c r="M5654" s="184"/>
      <c r="N5654" s="184"/>
      <c r="O5654" s="184"/>
    </row>
    <row r="5655" customFormat="false" ht="15" hidden="false" customHeight="true" outlineLevel="0" collapsed="false">
      <c r="A5655" s="184"/>
      <c r="B5655" s="184"/>
      <c r="C5655" s="184"/>
      <c r="D5655" s="184"/>
      <c r="E5655" s="184"/>
      <c r="F5655" s="184"/>
      <c r="G5655" s="184"/>
      <c r="H5655" s="184"/>
      <c r="I5655" s="184"/>
      <c r="J5655" s="184"/>
      <c r="K5655" s="184"/>
      <c r="L5655" s="184"/>
      <c r="M5655" s="184"/>
      <c r="N5655" s="184"/>
      <c r="O5655" s="184"/>
    </row>
    <row r="5656" customFormat="false" ht="15" hidden="false" customHeight="true" outlineLevel="0" collapsed="false">
      <c r="A5656" s="184"/>
      <c r="B5656" s="184"/>
      <c r="C5656" s="184"/>
      <c r="D5656" s="184"/>
      <c r="E5656" s="184"/>
      <c r="F5656" s="184"/>
      <c r="G5656" s="184"/>
      <c r="H5656" s="184"/>
      <c r="I5656" s="184"/>
      <c r="J5656" s="184"/>
      <c r="K5656" s="184"/>
      <c r="L5656" s="184"/>
      <c r="M5656" s="184"/>
      <c r="N5656" s="184"/>
      <c r="O5656" s="184"/>
    </row>
    <row r="5657" customFormat="false" ht="15" hidden="false" customHeight="true" outlineLevel="0" collapsed="false">
      <c r="A5657" s="184"/>
      <c r="B5657" s="184"/>
      <c r="C5657" s="184"/>
      <c r="D5657" s="184"/>
      <c r="E5657" s="184"/>
      <c r="F5657" s="184"/>
      <c r="G5657" s="184"/>
      <c r="H5657" s="184"/>
      <c r="I5657" s="184"/>
      <c r="J5657" s="184"/>
      <c r="K5657" s="184"/>
      <c r="L5657" s="184"/>
      <c r="M5657" s="184"/>
      <c r="N5657" s="184"/>
      <c r="O5657" s="184"/>
    </row>
    <row r="5658" customFormat="false" ht="15" hidden="false" customHeight="true" outlineLevel="0" collapsed="false">
      <c r="A5658" s="184"/>
      <c r="B5658" s="184"/>
      <c r="C5658" s="184"/>
      <c r="D5658" s="184"/>
      <c r="E5658" s="184"/>
      <c r="F5658" s="184"/>
      <c r="G5658" s="184"/>
      <c r="H5658" s="184"/>
      <c r="I5658" s="184"/>
      <c r="J5658" s="184"/>
      <c r="K5658" s="184"/>
      <c r="L5658" s="184"/>
      <c r="M5658" s="184"/>
      <c r="N5658" s="184"/>
      <c r="O5658" s="184"/>
    </row>
    <row r="5659" customFormat="false" ht="15" hidden="false" customHeight="true" outlineLevel="0" collapsed="false">
      <c r="A5659" s="184"/>
      <c r="B5659" s="184"/>
      <c r="C5659" s="184"/>
      <c r="D5659" s="184"/>
      <c r="E5659" s="184"/>
      <c r="F5659" s="184"/>
      <c r="G5659" s="184"/>
      <c r="H5659" s="184"/>
      <c r="I5659" s="184"/>
      <c r="J5659" s="184"/>
      <c r="K5659" s="184"/>
      <c r="L5659" s="184"/>
      <c r="M5659" s="184"/>
      <c r="N5659" s="184"/>
      <c r="O5659" s="184"/>
    </row>
    <row r="5660" customFormat="false" ht="15" hidden="false" customHeight="true" outlineLevel="0" collapsed="false">
      <c r="A5660" s="184"/>
      <c r="B5660" s="184"/>
      <c r="C5660" s="184"/>
      <c r="D5660" s="184"/>
      <c r="E5660" s="184"/>
      <c r="F5660" s="184"/>
      <c r="G5660" s="184"/>
      <c r="H5660" s="184"/>
      <c r="I5660" s="184"/>
      <c r="J5660" s="184"/>
      <c r="K5660" s="184"/>
      <c r="L5660" s="184"/>
      <c r="M5660" s="184"/>
      <c r="N5660" s="184"/>
      <c r="O5660" s="184"/>
    </row>
    <row r="5661" customFormat="false" ht="15" hidden="false" customHeight="true" outlineLevel="0" collapsed="false">
      <c r="A5661" s="184"/>
      <c r="B5661" s="184"/>
      <c r="C5661" s="184"/>
      <c r="D5661" s="184"/>
      <c r="E5661" s="184"/>
      <c r="F5661" s="184"/>
      <c r="G5661" s="184"/>
      <c r="H5661" s="184"/>
      <c r="I5661" s="184"/>
      <c r="J5661" s="184"/>
      <c r="K5661" s="184"/>
      <c r="L5661" s="184"/>
      <c r="M5661" s="184"/>
      <c r="N5661" s="184"/>
      <c r="O5661" s="184"/>
    </row>
    <row r="5662" customFormat="false" ht="15" hidden="false" customHeight="true" outlineLevel="0" collapsed="false">
      <c r="A5662" s="184"/>
      <c r="B5662" s="184"/>
      <c r="C5662" s="184"/>
      <c r="D5662" s="184"/>
      <c r="E5662" s="184"/>
      <c r="F5662" s="184"/>
      <c r="G5662" s="184"/>
      <c r="H5662" s="184"/>
      <c r="I5662" s="184"/>
      <c r="J5662" s="184"/>
      <c r="K5662" s="184"/>
      <c r="L5662" s="184"/>
      <c r="M5662" s="184"/>
      <c r="N5662" s="184"/>
      <c r="O5662" s="184"/>
    </row>
    <row r="5663" customFormat="false" ht="15" hidden="false" customHeight="true" outlineLevel="0" collapsed="false">
      <c r="A5663" s="184"/>
      <c r="B5663" s="184"/>
      <c r="C5663" s="184"/>
      <c r="D5663" s="184"/>
      <c r="E5663" s="184"/>
      <c r="F5663" s="184"/>
      <c r="G5663" s="184"/>
      <c r="H5663" s="184"/>
      <c r="I5663" s="184"/>
      <c r="J5663" s="184"/>
      <c r="K5663" s="184"/>
      <c r="L5663" s="184"/>
      <c r="M5663" s="184"/>
      <c r="N5663" s="184"/>
      <c r="O5663" s="184"/>
    </row>
    <row r="5664" customFormat="false" ht="15" hidden="false" customHeight="true" outlineLevel="0" collapsed="false">
      <c r="A5664" s="184"/>
      <c r="B5664" s="184"/>
      <c r="C5664" s="184"/>
      <c r="D5664" s="184"/>
      <c r="E5664" s="184"/>
      <c r="F5664" s="184"/>
      <c r="G5664" s="184"/>
      <c r="H5664" s="184"/>
      <c r="I5664" s="184"/>
      <c r="J5664" s="184"/>
      <c r="K5664" s="184"/>
      <c r="L5664" s="184"/>
      <c r="M5664" s="184"/>
      <c r="N5664" s="184"/>
      <c r="O5664" s="184"/>
    </row>
    <row r="5665" customFormat="false" ht="15" hidden="false" customHeight="true" outlineLevel="0" collapsed="false">
      <c r="A5665" s="184"/>
      <c r="B5665" s="184"/>
      <c r="C5665" s="184"/>
      <c r="D5665" s="184"/>
      <c r="E5665" s="184"/>
      <c r="F5665" s="184"/>
      <c r="G5665" s="184"/>
      <c r="H5665" s="184"/>
      <c r="I5665" s="184"/>
      <c r="J5665" s="184"/>
      <c r="K5665" s="184"/>
      <c r="L5665" s="184"/>
      <c r="M5665" s="184"/>
      <c r="N5665" s="184"/>
      <c r="O5665" s="184"/>
    </row>
    <row r="5666" customFormat="false" ht="15" hidden="false" customHeight="true" outlineLevel="0" collapsed="false">
      <c r="A5666" s="184"/>
      <c r="B5666" s="184"/>
      <c r="C5666" s="184"/>
      <c r="D5666" s="184"/>
      <c r="E5666" s="184"/>
      <c r="F5666" s="184"/>
      <c r="G5666" s="184"/>
      <c r="H5666" s="184"/>
      <c r="I5666" s="184"/>
      <c r="J5666" s="184"/>
      <c r="K5666" s="184"/>
      <c r="L5666" s="184"/>
      <c r="M5666" s="184"/>
      <c r="N5666" s="184"/>
      <c r="O5666" s="184"/>
    </row>
    <row r="5667" customFormat="false" ht="15" hidden="false" customHeight="true" outlineLevel="0" collapsed="false">
      <c r="A5667" s="184"/>
      <c r="B5667" s="184"/>
      <c r="C5667" s="184"/>
      <c r="D5667" s="184"/>
      <c r="E5667" s="184"/>
      <c r="F5667" s="184"/>
      <c r="G5667" s="184"/>
      <c r="H5667" s="184"/>
      <c r="I5667" s="184"/>
      <c r="J5667" s="184"/>
      <c r="K5667" s="184"/>
      <c r="L5667" s="184"/>
      <c r="M5667" s="184"/>
      <c r="N5667" s="184"/>
      <c r="O5667" s="184"/>
    </row>
    <row r="5668" customFormat="false" ht="15" hidden="false" customHeight="true" outlineLevel="0" collapsed="false">
      <c r="A5668" s="184"/>
      <c r="B5668" s="184"/>
      <c r="C5668" s="184"/>
      <c r="D5668" s="184"/>
      <c r="E5668" s="184"/>
      <c r="F5668" s="184"/>
      <c r="G5668" s="184"/>
      <c r="H5668" s="184"/>
      <c r="I5668" s="184"/>
      <c r="J5668" s="184"/>
      <c r="K5668" s="184"/>
      <c r="L5668" s="184"/>
      <c r="M5668" s="184"/>
      <c r="N5668" s="184"/>
      <c r="O5668" s="184"/>
    </row>
    <row r="5669" customFormat="false" ht="15" hidden="false" customHeight="true" outlineLevel="0" collapsed="false">
      <c r="A5669" s="184"/>
      <c r="B5669" s="184"/>
      <c r="C5669" s="184"/>
      <c r="D5669" s="184"/>
      <c r="E5669" s="184"/>
      <c r="F5669" s="184"/>
      <c r="G5669" s="184"/>
      <c r="H5669" s="184"/>
      <c r="I5669" s="184"/>
      <c r="J5669" s="184"/>
      <c r="K5669" s="184"/>
      <c r="L5669" s="184"/>
      <c r="M5669" s="184"/>
      <c r="N5669" s="184"/>
      <c r="O5669" s="184"/>
    </row>
    <row r="5670" customFormat="false" ht="15" hidden="false" customHeight="true" outlineLevel="0" collapsed="false">
      <c r="A5670" s="184"/>
      <c r="B5670" s="184"/>
      <c r="C5670" s="184"/>
      <c r="D5670" s="184"/>
      <c r="E5670" s="184"/>
      <c r="F5670" s="184"/>
      <c r="G5670" s="184"/>
      <c r="H5670" s="184"/>
      <c r="I5670" s="184"/>
      <c r="J5670" s="184"/>
      <c r="K5670" s="184"/>
      <c r="L5670" s="184"/>
      <c r="M5670" s="184"/>
      <c r="N5670" s="184"/>
      <c r="O5670" s="184"/>
    </row>
    <row r="5671" customFormat="false" ht="15" hidden="false" customHeight="true" outlineLevel="0" collapsed="false">
      <c r="A5671" s="184"/>
      <c r="B5671" s="184"/>
      <c r="C5671" s="184"/>
      <c r="D5671" s="184"/>
      <c r="E5671" s="184"/>
      <c r="F5671" s="184"/>
      <c r="G5671" s="184"/>
      <c r="H5671" s="184"/>
      <c r="I5671" s="184"/>
      <c r="J5671" s="184"/>
      <c r="K5671" s="184"/>
      <c r="L5671" s="184"/>
      <c r="M5671" s="184"/>
      <c r="N5671" s="184"/>
      <c r="O5671" s="184"/>
    </row>
    <row r="5672" customFormat="false" ht="15" hidden="false" customHeight="true" outlineLevel="0" collapsed="false">
      <c r="A5672" s="184"/>
      <c r="B5672" s="184"/>
      <c r="C5672" s="184"/>
      <c r="D5672" s="184"/>
      <c r="E5672" s="184"/>
      <c r="F5672" s="184"/>
      <c r="G5672" s="184"/>
      <c r="H5672" s="184"/>
      <c r="I5672" s="184"/>
      <c r="J5672" s="184"/>
      <c r="K5672" s="184"/>
      <c r="L5672" s="184"/>
      <c r="M5672" s="184"/>
      <c r="N5672" s="184"/>
      <c r="O5672" s="184"/>
    </row>
    <row r="5673" customFormat="false" ht="15" hidden="false" customHeight="true" outlineLevel="0" collapsed="false">
      <c r="A5673" s="184"/>
      <c r="B5673" s="184"/>
      <c r="C5673" s="184"/>
      <c r="D5673" s="184"/>
      <c r="E5673" s="184"/>
      <c r="F5673" s="184"/>
      <c r="G5673" s="184"/>
      <c r="H5673" s="184"/>
      <c r="I5673" s="184"/>
      <c r="J5673" s="184"/>
      <c r="K5673" s="184"/>
      <c r="L5673" s="184"/>
      <c r="M5673" s="184"/>
      <c r="N5673" s="184"/>
      <c r="O5673" s="184"/>
    </row>
    <row r="5674" customFormat="false" ht="15" hidden="false" customHeight="true" outlineLevel="0" collapsed="false">
      <c r="A5674" s="184"/>
      <c r="B5674" s="184"/>
      <c r="C5674" s="184"/>
      <c r="D5674" s="184"/>
      <c r="E5674" s="184"/>
      <c r="F5674" s="184"/>
      <c r="G5674" s="184"/>
      <c r="H5674" s="184"/>
      <c r="I5674" s="184"/>
      <c r="J5674" s="184"/>
      <c r="K5674" s="184"/>
      <c r="L5674" s="184"/>
      <c r="M5674" s="184"/>
      <c r="N5674" s="184"/>
      <c r="O5674" s="184"/>
    </row>
    <row r="5675" customFormat="false" ht="15" hidden="false" customHeight="true" outlineLevel="0" collapsed="false">
      <c r="A5675" s="184"/>
      <c r="B5675" s="184"/>
      <c r="C5675" s="184"/>
      <c r="D5675" s="184"/>
      <c r="E5675" s="184"/>
      <c r="F5675" s="184"/>
      <c r="G5675" s="184"/>
      <c r="H5675" s="184"/>
      <c r="I5675" s="184"/>
      <c r="J5675" s="184"/>
      <c r="K5675" s="184"/>
      <c r="L5675" s="184"/>
      <c r="M5675" s="184"/>
      <c r="N5675" s="184"/>
      <c r="O5675" s="184"/>
    </row>
    <row r="5676" customFormat="false" ht="15" hidden="false" customHeight="true" outlineLevel="0" collapsed="false">
      <c r="A5676" s="184"/>
      <c r="B5676" s="184"/>
      <c r="C5676" s="184"/>
      <c r="D5676" s="184"/>
      <c r="E5676" s="184"/>
      <c r="F5676" s="184"/>
      <c r="G5676" s="184"/>
      <c r="H5676" s="184"/>
      <c r="I5676" s="184"/>
      <c r="J5676" s="184"/>
      <c r="K5676" s="184"/>
      <c r="L5676" s="184"/>
      <c r="M5676" s="184"/>
      <c r="N5676" s="184"/>
      <c r="O5676" s="184"/>
    </row>
    <row r="5677" customFormat="false" ht="15" hidden="false" customHeight="true" outlineLevel="0" collapsed="false">
      <c r="A5677" s="184"/>
      <c r="B5677" s="184"/>
      <c r="C5677" s="184"/>
      <c r="D5677" s="184"/>
      <c r="E5677" s="184"/>
      <c r="F5677" s="184"/>
      <c r="G5677" s="184"/>
      <c r="H5677" s="184"/>
      <c r="I5677" s="184"/>
      <c r="J5677" s="184"/>
      <c r="K5677" s="184"/>
      <c r="L5677" s="184"/>
      <c r="M5677" s="184"/>
      <c r="N5677" s="184"/>
      <c r="O5677" s="184"/>
    </row>
    <row r="5678" customFormat="false" ht="15" hidden="false" customHeight="true" outlineLevel="0" collapsed="false">
      <c r="A5678" s="184"/>
      <c r="B5678" s="184"/>
      <c r="C5678" s="184"/>
      <c r="D5678" s="184"/>
      <c r="E5678" s="184"/>
      <c r="F5678" s="184"/>
      <c r="G5678" s="184"/>
      <c r="H5678" s="184"/>
      <c r="I5678" s="184"/>
      <c r="J5678" s="184"/>
      <c r="K5678" s="184"/>
      <c r="L5678" s="184"/>
      <c r="M5678" s="184"/>
      <c r="N5678" s="184"/>
      <c r="O5678" s="184"/>
    </row>
    <row r="5679" customFormat="false" ht="15" hidden="false" customHeight="true" outlineLevel="0" collapsed="false">
      <c r="B5679" s="181" t="s">
        <v>7244</v>
      </c>
    </row>
    <row r="5680" customFormat="false" ht="54.75" hidden="false" customHeight="true" outlineLevel="0" collapsed="false">
      <c r="A5680" s="184" t="s">
        <v>5008</v>
      </c>
      <c r="B5680" s="184" t="s">
        <v>5009</v>
      </c>
      <c r="C5680" s="184"/>
      <c r="D5680" s="179" t="s">
        <v>4858</v>
      </c>
      <c r="E5680" s="184" t="s">
        <v>7245</v>
      </c>
      <c r="F5680" s="184"/>
      <c r="G5680" s="184"/>
      <c r="H5680" s="184"/>
      <c r="I5680" s="184"/>
      <c r="J5680" s="184"/>
      <c r="K5680" s="184"/>
      <c r="L5680" s="184"/>
      <c r="M5680" s="184" t="s">
        <v>7246</v>
      </c>
      <c r="N5680" s="184"/>
      <c r="O5680" s="184"/>
    </row>
    <row r="5681" customFormat="false" ht="41.25" hidden="false" customHeight="true" outlineLevel="0" collapsed="false">
      <c r="A5681" s="184" t="s">
        <v>5008</v>
      </c>
      <c r="B5681" s="184" t="s">
        <v>5009</v>
      </c>
      <c r="C5681" s="184" t="n">
        <v>1</v>
      </c>
      <c r="D5681" s="179" t="s">
        <v>6292</v>
      </c>
      <c r="E5681" s="184" t="s">
        <v>6862</v>
      </c>
      <c r="F5681" s="184"/>
      <c r="G5681" s="184"/>
      <c r="H5681" s="184"/>
      <c r="I5681" s="184"/>
      <c r="J5681" s="184"/>
      <c r="K5681" s="184"/>
      <c r="L5681" s="184"/>
      <c r="M5681" s="184"/>
      <c r="N5681" s="184"/>
      <c r="O5681" s="184"/>
    </row>
    <row r="5682" customFormat="false" ht="41.25" hidden="false" customHeight="true" outlineLevel="0" collapsed="false">
      <c r="A5682" s="184" t="s">
        <v>5008</v>
      </c>
      <c r="B5682" s="184" t="s">
        <v>5009</v>
      </c>
      <c r="C5682" s="184" t="n">
        <v>2</v>
      </c>
      <c r="D5682" s="177" t="s">
        <v>6298</v>
      </c>
      <c r="E5682" s="184" t="s">
        <v>6863</v>
      </c>
      <c r="F5682" s="184"/>
      <c r="G5682" s="184"/>
      <c r="H5682" s="184"/>
      <c r="I5682" s="184"/>
      <c r="J5682" s="184"/>
      <c r="K5682" s="184"/>
      <c r="L5682" s="184"/>
      <c r="M5682" s="184"/>
      <c r="N5682" s="184"/>
      <c r="O5682" s="184"/>
    </row>
    <row r="5683" customFormat="false" ht="41.25" hidden="false" customHeight="true" outlineLevel="0" collapsed="false">
      <c r="A5683" s="184" t="s">
        <v>5008</v>
      </c>
      <c r="B5683" s="184" t="s">
        <v>5009</v>
      </c>
      <c r="C5683" s="184" t="n">
        <v>3</v>
      </c>
      <c r="D5683" s="177" t="s">
        <v>6298</v>
      </c>
      <c r="E5683" s="184" t="s">
        <v>6864</v>
      </c>
      <c r="F5683" s="184"/>
      <c r="G5683" s="184"/>
      <c r="H5683" s="184"/>
      <c r="I5683" s="184"/>
      <c r="J5683" s="184"/>
      <c r="K5683" s="184"/>
      <c r="L5683" s="184"/>
      <c r="M5683" s="184"/>
      <c r="N5683" s="184"/>
      <c r="O5683" s="184"/>
    </row>
    <row r="5684" customFormat="false" ht="122.25" hidden="false" customHeight="true" outlineLevel="0" collapsed="false">
      <c r="A5684" s="184" t="s">
        <v>5008</v>
      </c>
      <c r="B5684" s="184" t="s">
        <v>5009</v>
      </c>
      <c r="C5684" s="184" t="n">
        <v>4</v>
      </c>
      <c r="D5684" s="174" t="s">
        <v>4846</v>
      </c>
      <c r="E5684" s="184" t="s">
        <v>784</v>
      </c>
      <c r="F5684" s="184" t="s">
        <v>715</v>
      </c>
      <c r="G5684" s="184"/>
      <c r="H5684" s="184"/>
      <c r="I5684" s="184"/>
      <c r="J5684" s="184" t="s">
        <v>7247</v>
      </c>
      <c r="K5684" s="184" t="s">
        <v>6333</v>
      </c>
      <c r="L5684" s="184"/>
      <c r="M5684" s="184" t="s">
        <v>7248</v>
      </c>
      <c r="N5684" s="184"/>
      <c r="O5684" s="184"/>
    </row>
    <row r="5685" customFormat="false" ht="54.75" hidden="false" customHeight="true" outlineLevel="0" collapsed="false">
      <c r="A5685" s="184" t="s">
        <v>5008</v>
      </c>
      <c r="B5685" s="184" t="s">
        <v>5009</v>
      </c>
      <c r="C5685" s="184" t="n">
        <v>5</v>
      </c>
      <c r="D5685" s="174" t="s">
        <v>4846</v>
      </c>
      <c r="E5685" s="184" t="s">
        <v>5837</v>
      </c>
      <c r="F5685" s="184" t="s">
        <v>715</v>
      </c>
      <c r="G5685" s="184"/>
      <c r="H5685" s="184"/>
      <c r="I5685" s="184"/>
      <c r="J5685" s="184" t="s">
        <v>6396</v>
      </c>
      <c r="K5685" s="184" t="s">
        <v>6333</v>
      </c>
      <c r="L5685" s="184"/>
      <c r="M5685" s="184" t="s">
        <v>5839</v>
      </c>
      <c r="N5685" s="184"/>
      <c r="O5685" s="184"/>
    </row>
    <row r="5686" customFormat="false" ht="54.75" hidden="false" customHeight="true" outlineLevel="0" collapsed="false">
      <c r="A5686" s="184" t="s">
        <v>5008</v>
      </c>
      <c r="B5686" s="184" t="s">
        <v>5009</v>
      </c>
      <c r="C5686" s="184" t="n">
        <v>6</v>
      </c>
      <c r="D5686" s="174" t="s">
        <v>4848</v>
      </c>
      <c r="E5686" s="184"/>
      <c r="F5686" s="184"/>
      <c r="G5686" s="184"/>
      <c r="H5686" s="184"/>
      <c r="I5686" s="184"/>
      <c r="J5686" s="184" t="s">
        <v>6301</v>
      </c>
      <c r="K5686" s="184"/>
      <c r="L5686" s="184" t="s">
        <v>6302</v>
      </c>
      <c r="M5686" s="184" t="s">
        <v>6303</v>
      </c>
      <c r="N5686" s="184"/>
      <c r="O5686" s="184"/>
    </row>
    <row r="5687" customFormat="false" ht="41.25" hidden="false" customHeight="true" outlineLevel="0" collapsed="false">
      <c r="A5687" s="184" t="s">
        <v>5008</v>
      </c>
      <c r="B5687" s="184" t="s">
        <v>5009</v>
      </c>
      <c r="C5687" s="184" t="n">
        <v>7</v>
      </c>
      <c r="D5687" s="174" t="s">
        <v>4846</v>
      </c>
      <c r="E5687" s="184" t="s">
        <v>6393</v>
      </c>
      <c r="F5687" s="184" t="s">
        <v>715</v>
      </c>
      <c r="G5687" s="184"/>
      <c r="H5687" s="184"/>
      <c r="I5687" s="184"/>
      <c r="J5687" s="184" t="s">
        <v>6394</v>
      </c>
      <c r="K5687" s="184" t="s">
        <v>6333</v>
      </c>
      <c r="L5687" s="184"/>
      <c r="M5687" s="184" t="s">
        <v>6395</v>
      </c>
      <c r="N5687" s="184"/>
      <c r="O5687" s="184"/>
    </row>
    <row r="5688" customFormat="false" ht="15" hidden="false" customHeight="true" outlineLevel="0" collapsed="false">
      <c r="A5688" s="184"/>
      <c r="B5688" s="184"/>
      <c r="C5688" s="184"/>
      <c r="D5688" s="184"/>
      <c r="E5688" s="184"/>
      <c r="F5688" s="184"/>
      <c r="G5688" s="184"/>
      <c r="H5688" s="184"/>
      <c r="I5688" s="184"/>
      <c r="J5688" s="184"/>
      <c r="K5688" s="184"/>
      <c r="L5688" s="184"/>
      <c r="M5688" s="184"/>
      <c r="N5688" s="184"/>
      <c r="O5688" s="184"/>
    </row>
    <row r="5689" customFormat="false" ht="15" hidden="false" customHeight="true" outlineLevel="0" collapsed="false">
      <c r="A5689" s="184"/>
      <c r="B5689" s="184"/>
      <c r="C5689" s="184"/>
      <c r="D5689" s="184"/>
      <c r="E5689" s="184"/>
      <c r="F5689" s="184"/>
      <c r="G5689" s="184"/>
      <c r="H5689" s="184"/>
      <c r="I5689" s="184"/>
      <c r="J5689" s="184"/>
      <c r="K5689" s="184"/>
      <c r="L5689" s="184"/>
      <c r="M5689" s="184"/>
      <c r="N5689" s="184"/>
      <c r="O5689" s="184"/>
    </row>
    <row r="5690" customFormat="false" ht="15" hidden="false" customHeight="true" outlineLevel="0" collapsed="false">
      <c r="A5690" s="184"/>
      <c r="B5690" s="184"/>
      <c r="C5690" s="184"/>
      <c r="D5690" s="184"/>
      <c r="E5690" s="184"/>
      <c r="F5690" s="184"/>
      <c r="G5690" s="184"/>
      <c r="H5690" s="184"/>
      <c r="I5690" s="184"/>
      <c r="J5690" s="184"/>
      <c r="K5690" s="184"/>
      <c r="L5690" s="184"/>
      <c r="M5690" s="184"/>
      <c r="N5690" s="184"/>
      <c r="O5690" s="184"/>
    </row>
    <row r="5691" customFormat="false" ht="15" hidden="false" customHeight="true" outlineLevel="0" collapsed="false">
      <c r="A5691" s="184"/>
      <c r="B5691" s="184"/>
      <c r="C5691" s="184"/>
      <c r="D5691" s="184"/>
      <c r="E5691" s="184"/>
      <c r="F5691" s="184"/>
      <c r="G5691" s="184"/>
      <c r="H5691" s="184"/>
      <c r="I5691" s="184"/>
      <c r="J5691" s="184"/>
      <c r="K5691" s="184"/>
      <c r="L5691" s="184"/>
      <c r="M5691" s="184"/>
      <c r="N5691" s="184"/>
      <c r="O5691" s="184"/>
    </row>
    <row r="5692" customFormat="false" ht="15" hidden="false" customHeight="true" outlineLevel="0" collapsed="false">
      <c r="A5692" s="184"/>
      <c r="B5692" s="184"/>
      <c r="C5692" s="184"/>
      <c r="D5692" s="184"/>
      <c r="E5692" s="184"/>
      <c r="F5692" s="184"/>
      <c r="G5692" s="184"/>
      <c r="H5692" s="184"/>
      <c r="I5692" s="184"/>
      <c r="J5692" s="184"/>
      <c r="K5692" s="184"/>
      <c r="L5692" s="184"/>
      <c r="M5692" s="184"/>
      <c r="N5692" s="184"/>
      <c r="O5692" s="184"/>
    </row>
    <row r="5693" customFormat="false" ht="15" hidden="false" customHeight="true" outlineLevel="0" collapsed="false">
      <c r="A5693" s="184"/>
      <c r="B5693" s="184"/>
      <c r="C5693" s="184"/>
      <c r="D5693" s="184"/>
      <c r="E5693" s="184"/>
      <c r="F5693" s="184"/>
      <c r="G5693" s="184"/>
      <c r="H5693" s="184"/>
      <c r="I5693" s="184"/>
      <c r="J5693" s="184"/>
      <c r="K5693" s="184"/>
      <c r="L5693" s="184"/>
      <c r="M5693" s="184"/>
      <c r="N5693" s="184"/>
      <c r="O5693" s="184"/>
    </row>
    <row r="5694" customFormat="false" ht="15" hidden="false" customHeight="true" outlineLevel="0" collapsed="false">
      <c r="A5694" s="184"/>
      <c r="B5694" s="184"/>
      <c r="C5694" s="184"/>
      <c r="D5694" s="184"/>
      <c r="E5694" s="184"/>
      <c r="F5694" s="184"/>
      <c r="G5694" s="184"/>
      <c r="H5694" s="184"/>
      <c r="I5694" s="184"/>
      <c r="J5694" s="184"/>
      <c r="K5694" s="184"/>
      <c r="L5694" s="184"/>
      <c r="M5694" s="184"/>
      <c r="N5694" s="184"/>
      <c r="O5694" s="184"/>
    </row>
    <row r="5695" customFormat="false" ht="15" hidden="false" customHeight="true" outlineLevel="0" collapsed="false">
      <c r="A5695" s="184"/>
      <c r="B5695" s="184"/>
      <c r="C5695" s="184"/>
      <c r="D5695" s="184"/>
      <c r="E5695" s="184"/>
      <c r="F5695" s="184"/>
      <c r="G5695" s="184"/>
      <c r="H5695" s="184"/>
      <c r="I5695" s="184"/>
      <c r="J5695" s="184"/>
      <c r="K5695" s="184"/>
      <c r="L5695" s="184"/>
      <c r="M5695" s="184"/>
      <c r="N5695" s="184"/>
      <c r="O5695" s="184"/>
    </row>
    <row r="5696" customFormat="false" ht="15" hidden="false" customHeight="true" outlineLevel="0" collapsed="false">
      <c r="A5696" s="184"/>
      <c r="B5696" s="184"/>
      <c r="C5696" s="184"/>
      <c r="D5696" s="184"/>
      <c r="E5696" s="184"/>
      <c r="F5696" s="184"/>
      <c r="G5696" s="184"/>
      <c r="H5696" s="184"/>
      <c r="I5696" s="184"/>
      <c r="J5696" s="184"/>
      <c r="K5696" s="184"/>
      <c r="L5696" s="184"/>
      <c r="M5696" s="184"/>
      <c r="N5696" s="184"/>
      <c r="O5696" s="184"/>
    </row>
    <row r="5697" customFormat="false" ht="15" hidden="false" customHeight="true" outlineLevel="0" collapsed="false">
      <c r="A5697" s="184"/>
      <c r="B5697" s="184"/>
      <c r="C5697" s="184"/>
      <c r="D5697" s="184"/>
      <c r="E5697" s="184"/>
      <c r="F5697" s="184"/>
      <c r="G5697" s="184"/>
      <c r="H5697" s="184"/>
      <c r="I5697" s="184"/>
      <c r="J5697" s="184"/>
      <c r="K5697" s="184"/>
      <c r="L5697" s="184"/>
      <c r="M5697" s="184"/>
      <c r="N5697" s="184"/>
      <c r="O5697" s="184"/>
    </row>
    <row r="5698" customFormat="false" ht="15" hidden="false" customHeight="true" outlineLevel="0" collapsed="false">
      <c r="A5698" s="184"/>
      <c r="B5698" s="184"/>
      <c r="C5698" s="184"/>
      <c r="D5698" s="184"/>
      <c r="E5698" s="184"/>
      <c r="F5698" s="184"/>
      <c r="G5698" s="184"/>
      <c r="H5698" s="184"/>
      <c r="I5698" s="184"/>
      <c r="J5698" s="184"/>
      <c r="K5698" s="184"/>
      <c r="L5698" s="184"/>
      <c r="M5698" s="184"/>
      <c r="N5698" s="184"/>
      <c r="O5698" s="184"/>
    </row>
    <row r="5699" customFormat="false" ht="15" hidden="false" customHeight="true" outlineLevel="0" collapsed="false">
      <c r="A5699" s="184"/>
      <c r="B5699" s="184"/>
      <c r="C5699" s="184"/>
      <c r="D5699" s="184"/>
      <c r="E5699" s="184"/>
      <c r="F5699" s="184"/>
      <c r="G5699" s="184"/>
      <c r="H5699" s="184"/>
      <c r="I5699" s="184"/>
      <c r="J5699" s="184"/>
      <c r="K5699" s="184"/>
      <c r="L5699" s="184"/>
      <c r="M5699" s="184"/>
      <c r="N5699" s="184"/>
      <c r="O5699" s="184"/>
    </row>
    <row r="5700" customFormat="false" ht="15" hidden="false" customHeight="true" outlineLevel="0" collapsed="false">
      <c r="A5700" s="184"/>
      <c r="B5700" s="184"/>
      <c r="C5700" s="184"/>
      <c r="D5700" s="184"/>
      <c r="E5700" s="184"/>
      <c r="F5700" s="184"/>
      <c r="G5700" s="184"/>
      <c r="H5700" s="184"/>
      <c r="I5700" s="184"/>
      <c r="J5700" s="184"/>
      <c r="K5700" s="184"/>
      <c r="L5700" s="184"/>
      <c r="M5700" s="184"/>
      <c r="N5700" s="184"/>
      <c r="O5700" s="184"/>
    </row>
    <row r="5701" customFormat="false" ht="15" hidden="false" customHeight="true" outlineLevel="0" collapsed="false">
      <c r="A5701" s="184"/>
      <c r="B5701" s="184"/>
      <c r="C5701" s="184"/>
      <c r="D5701" s="184"/>
      <c r="E5701" s="184"/>
      <c r="F5701" s="184"/>
      <c r="G5701" s="184"/>
      <c r="H5701" s="184"/>
      <c r="I5701" s="184"/>
      <c r="J5701" s="184"/>
      <c r="K5701" s="184"/>
      <c r="L5701" s="184"/>
      <c r="M5701" s="184"/>
      <c r="N5701" s="184"/>
      <c r="O5701" s="184"/>
    </row>
    <row r="5702" customFormat="false" ht="15" hidden="false" customHeight="true" outlineLevel="0" collapsed="false">
      <c r="A5702" s="184"/>
      <c r="B5702" s="184"/>
      <c r="C5702" s="184"/>
      <c r="D5702" s="184"/>
      <c r="E5702" s="184"/>
      <c r="F5702" s="184"/>
      <c r="G5702" s="184"/>
      <c r="H5702" s="184"/>
      <c r="I5702" s="184"/>
      <c r="J5702" s="184"/>
      <c r="K5702" s="184"/>
      <c r="L5702" s="184"/>
      <c r="M5702" s="184"/>
      <c r="N5702" s="184"/>
      <c r="O5702" s="184"/>
    </row>
    <row r="5703" customFormat="false" ht="15" hidden="false" customHeight="true" outlineLevel="0" collapsed="false">
      <c r="A5703" s="184"/>
      <c r="B5703" s="184"/>
      <c r="C5703" s="184"/>
      <c r="D5703" s="184"/>
      <c r="E5703" s="184"/>
      <c r="F5703" s="184"/>
      <c r="G5703" s="184"/>
      <c r="H5703" s="184"/>
      <c r="I5703" s="184"/>
      <c r="J5703" s="184"/>
      <c r="K5703" s="184"/>
      <c r="L5703" s="184"/>
      <c r="M5703" s="184"/>
      <c r="N5703" s="184"/>
      <c r="O5703" s="184"/>
    </row>
    <row r="5704" customFormat="false" ht="15" hidden="false" customHeight="true" outlineLevel="0" collapsed="false">
      <c r="A5704" s="184"/>
      <c r="B5704" s="184"/>
      <c r="C5704" s="184"/>
      <c r="D5704" s="184"/>
      <c r="E5704" s="184"/>
      <c r="F5704" s="184"/>
      <c r="G5704" s="184"/>
      <c r="H5704" s="184"/>
      <c r="I5704" s="184"/>
      <c r="J5704" s="184"/>
      <c r="K5704" s="184"/>
      <c r="L5704" s="184"/>
      <c r="M5704" s="184"/>
      <c r="N5704" s="184"/>
      <c r="O5704" s="184"/>
    </row>
    <row r="5705" customFormat="false" ht="15" hidden="false" customHeight="true" outlineLevel="0" collapsed="false">
      <c r="A5705" s="184"/>
      <c r="B5705" s="184"/>
      <c r="C5705" s="184"/>
      <c r="D5705" s="184"/>
      <c r="E5705" s="184"/>
      <c r="F5705" s="184"/>
      <c r="G5705" s="184"/>
      <c r="H5705" s="184"/>
      <c r="I5705" s="184"/>
      <c r="J5705" s="184"/>
      <c r="K5705" s="184"/>
      <c r="L5705" s="184"/>
      <c r="M5705" s="184"/>
      <c r="N5705" s="184"/>
      <c r="O5705" s="184"/>
    </row>
    <row r="5706" customFormat="false" ht="15" hidden="false" customHeight="true" outlineLevel="0" collapsed="false">
      <c r="A5706" s="184"/>
      <c r="B5706" s="184"/>
      <c r="C5706" s="184"/>
      <c r="D5706" s="184"/>
      <c r="E5706" s="184"/>
      <c r="F5706" s="184"/>
      <c r="G5706" s="184"/>
      <c r="H5706" s="184"/>
      <c r="I5706" s="184"/>
      <c r="J5706" s="184"/>
      <c r="K5706" s="184"/>
      <c r="L5706" s="184"/>
      <c r="M5706" s="184"/>
      <c r="N5706" s="184"/>
      <c r="O5706" s="184"/>
    </row>
    <row r="5707" customFormat="false" ht="15" hidden="false" customHeight="true" outlineLevel="0" collapsed="false">
      <c r="A5707" s="184"/>
      <c r="B5707" s="184"/>
      <c r="C5707" s="184"/>
      <c r="D5707" s="184"/>
      <c r="E5707" s="184"/>
      <c r="F5707" s="184"/>
      <c r="G5707" s="184"/>
      <c r="H5707" s="184"/>
      <c r="I5707" s="184"/>
      <c r="J5707" s="184"/>
      <c r="K5707" s="184"/>
      <c r="L5707" s="184"/>
      <c r="M5707" s="184"/>
      <c r="N5707" s="184"/>
      <c r="O5707" s="184"/>
    </row>
    <row r="5708" customFormat="false" ht="15" hidden="false" customHeight="true" outlineLevel="0" collapsed="false">
      <c r="A5708" s="184"/>
      <c r="B5708" s="184"/>
      <c r="C5708" s="184"/>
      <c r="D5708" s="184"/>
      <c r="E5708" s="184"/>
      <c r="F5708" s="184"/>
      <c r="G5708" s="184"/>
      <c r="H5708" s="184"/>
      <c r="I5708" s="184"/>
      <c r="J5708" s="184"/>
      <c r="K5708" s="184"/>
      <c r="L5708" s="184"/>
      <c r="M5708" s="184"/>
      <c r="N5708" s="184"/>
      <c r="O5708" s="184"/>
    </row>
    <row r="5709" customFormat="false" ht="15" hidden="false" customHeight="true" outlineLevel="0" collapsed="false">
      <c r="A5709" s="184"/>
      <c r="B5709" s="184"/>
      <c r="C5709" s="184"/>
      <c r="D5709" s="184"/>
      <c r="E5709" s="184"/>
      <c r="F5709" s="184"/>
      <c r="G5709" s="184"/>
      <c r="H5709" s="184"/>
      <c r="I5709" s="184"/>
      <c r="J5709" s="184"/>
      <c r="K5709" s="184"/>
      <c r="L5709" s="184"/>
      <c r="M5709" s="184"/>
      <c r="N5709" s="184"/>
      <c r="O5709" s="184"/>
    </row>
    <row r="5710" customFormat="false" ht="15" hidden="false" customHeight="true" outlineLevel="0" collapsed="false">
      <c r="A5710" s="184"/>
      <c r="B5710" s="184"/>
      <c r="C5710" s="184"/>
      <c r="D5710" s="184"/>
      <c r="E5710" s="184"/>
      <c r="F5710" s="184"/>
      <c r="G5710" s="184"/>
      <c r="H5710" s="184"/>
      <c r="I5710" s="184"/>
      <c r="J5710" s="184"/>
      <c r="K5710" s="184"/>
      <c r="L5710" s="184"/>
      <c r="M5710" s="184"/>
      <c r="N5710" s="184"/>
      <c r="O5710" s="184"/>
    </row>
    <row r="5711" customFormat="false" ht="15" hidden="false" customHeight="true" outlineLevel="0" collapsed="false">
      <c r="A5711" s="184"/>
      <c r="B5711" s="184"/>
      <c r="C5711" s="184"/>
      <c r="D5711" s="184"/>
      <c r="E5711" s="184"/>
      <c r="F5711" s="184"/>
      <c r="G5711" s="184"/>
      <c r="H5711" s="184"/>
      <c r="I5711" s="184"/>
      <c r="J5711" s="184"/>
      <c r="K5711" s="184"/>
      <c r="L5711" s="184"/>
      <c r="M5711" s="184"/>
      <c r="N5711" s="184"/>
      <c r="O5711" s="184"/>
    </row>
    <row r="5712" customFormat="false" ht="15" hidden="false" customHeight="true" outlineLevel="0" collapsed="false">
      <c r="A5712" s="184"/>
      <c r="B5712" s="184"/>
      <c r="C5712" s="184"/>
      <c r="D5712" s="184"/>
      <c r="E5712" s="184"/>
      <c r="F5712" s="184"/>
      <c r="G5712" s="184"/>
      <c r="H5712" s="184"/>
      <c r="I5712" s="184"/>
      <c r="J5712" s="184"/>
      <c r="K5712" s="184"/>
      <c r="L5712" s="184"/>
      <c r="M5712" s="184"/>
      <c r="N5712" s="184"/>
      <c r="O5712" s="184"/>
    </row>
    <row r="5713" customFormat="false" ht="15" hidden="false" customHeight="true" outlineLevel="0" collapsed="false">
      <c r="A5713" s="184"/>
      <c r="B5713" s="184"/>
      <c r="C5713" s="184"/>
      <c r="D5713" s="184"/>
      <c r="E5713" s="184"/>
      <c r="F5713" s="184"/>
      <c r="G5713" s="184"/>
      <c r="H5713" s="184"/>
      <c r="I5713" s="184"/>
      <c r="J5713" s="184"/>
      <c r="K5713" s="184"/>
      <c r="L5713" s="184"/>
      <c r="M5713" s="184"/>
      <c r="N5713" s="184"/>
      <c r="O5713" s="184"/>
    </row>
    <row r="5714" customFormat="false" ht="15" hidden="false" customHeight="true" outlineLevel="0" collapsed="false">
      <c r="A5714" s="184"/>
      <c r="B5714" s="184"/>
      <c r="C5714" s="184"/>
      <c r="D5714" s="184"/>
      <c r="E5714" s="184"/>
      <c r="F5714" s="184"/>
      <c r="G5714" s="184"/>
      <c r="H5714" s="184"/>
      <c r="I5714" s="184"/>
      <c r="J5714" s="184"/>
      <c r="K5714" s="184"/>
      <c r="L5714" s="184"/>
      <c r="M5714" s="184"/>
      <c r="N5714" s="184"/>
      <c r="O5714" s="184"/>
    </row>
    <row r="5715" customFormat="false" ht="15" hidden="false" customHeight="true" outlineLevel="0" collapsed="false">
      <c r="A5715" s="184"/>
      <c r="B5715" s="184"/>
      <c r="C5715" s="184"/>
      <c r="D5715" s="184"/>
      <c r="E5715" s="184"/>
      <c r="F5715" s="184"/>
      <c r="G5715" s="184"/>
      <c r="H5715" s="184"/>
      <c r="I5715" s="184"/>
      <c r="J5715" s="184"/>
      <c r="K5715" s="184"/>
      <c r="L5715" s="184"/>
      <c r="M5715" s="184"/>
      <c r="N5715" s="184"/>
      <c r="O5715" s="184"/>
    </row>
    <row r="5716" customFormat="false" ht="15" hidden="false" customHeight="true" outlineLevel="0" collapsed="false">
      <c r="A5716" s="184"/>
      <c r="B5716" s="184"/>
      <c r="C5716" s="184"/>
      <c r="D5716" s="184"/>
      <c r="E5716" s="184"/>
      <c r="F5716" s="184"/>
      <c r="G5716" s="184"/>
      <c r="H5716" s="184"/>
      <c r="I5716" s="184"/>
      <c r="J5716" s="184"/>
      <c r="K5716" s="184"/>
      <c r="L5716" s="184"/>
      <c r="M5716" s="184"/>
      <c r="N5716" s="184"/>
      <c r="O5716" s="184"/>
    </row>
    <row r="5717" customFormat="false" ht="15" hidden="false" customHeight="true" outlineLevel="0" collapsed="false">
      <c r="A5717" s="184"/>
      <c r="B5717" s="184"/>
      <c r="C5717" s="184"/>
      <c r="D5717" s="184"/>
      <c r="E5717" s="184"/>
      <c r="F5717" s="184"/>
      <c r="G5717" s="184"/>
      <c r="H5717" s="184"/>
      <c r="I5717" s="184"/>
      <c r="J5717" s="184"/>
      <c r="K5717" s="184"/>
      <c r="L5717" s="184"/>
      <c r="M5717" s="184"/>
      <c r="N5717" s="184"/>
      <c r="O5717" s="184"/>
    </row>
    <row r="5718" customFormat="false" ht="15" hidden="false" customHeight="true" outlineLevel="0" collapsed="false">
      <c r="A5718" s="184"/>
      <c r="B5718" s="184"/>
      <c r="C5718" s="184"/>
      <c r="D5718" s="184"/>
      <c r="E5718" s="184"/>
      <c r="F5718" s="184"/>
      <c r="G5718" s="184"/>
      <c r="H5718" s="184"/>
      <c r="I5718" s="184"/>
      <c r="J5718" s="184"/>
      <c r="K5718" s="184"/>
      <c r="L5718" s="184"/>
      <c r="M5718" s="184"/>
      <c r="N5718" s="184"/>
      <c r="O5718" s="184"/>
    </row>
    <row r="5719" customFormat="false" ht="15" hidden="false" customHeight="true" outlineLevel="0" collapsed="false">
      <c r="A5719" s="184"/>
      <c r="B5719" s="184"/>
      <c r="C5719" s="184"/>
      <c r="D5719" s="184"/>
      <c r="E5719" s="184"/>
      <c r="F5719" s="184"/>
      <c r="G5719" s="184"/>
      <c r="H5719" s="184"/>
      <c r="I5719" s="184"/>
      <c r="J5719" s="184"/>
      <c r="K5719" s="184"/>
      <c r="L5719" s="184"/>
      <c r="M5719" s="184"/>
      <c r="N5719" s="184"/>
      <c r="O5719" s="184"/>
    </row>
    <row r="5720" customFormat="false" ht="15" hidden="false" customHeight="true" outlineLevel="0" collapsed="false">
      <c r="A5720" s="184"/>
      <c r="B5720" s="184"/>
      <c r="C5720" s="184"/>
      <c r="D5720" s="184"/>
      <c r="E5720" s="184"/>
      <c r="F5720" s="184"/>
      <c r="G5720" s="184"/>
      <c r="H5720" s="184"/>
      <c r="I5720" s="184"/>
      <c r="J5720" s="184"/>
      <c r="K5720" s="184"/>
      <c r="L5720" s="184"/>
      <c r="M5720" s="184"/>
      <c r="N5720" s="184"/>
      <c r="O5720" s="184"/>
    </row>
    <row r="5721" customFormat="false" ht="15" hidden="false" customHeight="true" outlineLevel="0" collapsed="false">
      <c r="A5721" s="184"/>
      <c r="B5721" s="184"/>
      <c r="C5721" s="184"/>
      <c r="D5721" s="184"/>
      <c r="E5721" s="184"/>
      <c r="F5721" s="184"/>
      <c r="G5721" s="184"/>
      <c r="H5721" s="184"/>
      <c r="I5721" s="184"/>
      <c r="J5721" s="184"/>
      <c r="K5721" s="184"/>
      <c r="L5721" s="184"/>
      <c r="M5721" s="184"/>
      <c r="N5721" s="184"/>
      <c r="O5721" s="184"/>
    </row>
    <row r="5722" customFormat="false" ht="15" hidden="false" customHeight="true" outlineLevel="0" collapsed="false">
      <c r="A5722" s="184"/>
      <c r="B5722" s="184"/>
      <c r="C5722" s="184"/>
      <c r="D5722" s="184"/>
      <c r="E5722" s="184"/>
      <c r="F5722" s="184"/>
      <c r="G5722" s="184"/>
      <c r="H5722" s="184"/>
      <c r="I5722" s="184"/>
      <c r="J5722" s="184"/>
      <c r="K5722" s="184"/>
      <c r="L5722" s="184"/>
      <c r="M5722" s="184"/>
      <c r="N5722" s="184"/>
      <c r="O5722" s="184"/>
    </row>
    <row r="5723" customFormat="false" ht="15" hidden="false" customHeight="true" outlineLevel="0" collapsed="false">
      <c r="A5723" s="184"/>
      <c r="B5723" s="184"/>
      <c r="C5723" s="184"/>
      <c r="D5723" s="184"/>
      <c r="E5723" s="184"/>
      <c r="F5723" s="184"/>
      <c r="G5723" s="184"/>
      <c r="H5723" s="184"/>
      <c r="I5723" s="184"/>
      <c r="J5723" s="184"/>
      <c r="K5723" s="184"/>
      <c r="L5723" s="184"/>
      <c r="M5723" s="184"/>
      <c r="N5723" s="184"/>
      <c r="O5723" s="184"/>
    </row>
    <row r="5724" customFormat="false" ht="15" hidden="false" customHeight="true" outlineLevel="0" collapsed="false">
      <c r="A5724" s="184"/>
      <c r="B5724" s="184"/>
      <c r="C5724" s="184"/>
      <c r="D5724" s="184"/>
      <c r="E5724" s="184"/>
      <c r="F5724" s="184"/>
      <c r="G5724" s="184"/>
      <c r="H5724" s="184"/>
      <c r="I5724" s="184"/>
      <c r="J5724" s="184"/>
      <c r="K5724" s="184"/>
      <c r="L5724" s="184"/>
      <c r="M5724" s="184"/>
      <c r="N5724" s="184"/>
      <c r="O5724" s="184"/>
    </row>
    <row r="5725" customFormat="false" ht="15" hidden="false" customHeight="true" outlineLevel="0" collapsed="false">
      <c r="A5725" s="184"/>
      <c r="B5725" s="184"/>
      <c r="C5725" s="184"/>
      <c r="D5725" s="184"/>
      <c r="E5725" s="184"/>
      <c r="F5725" s="184"/>
      <c r="G5725" s="184"/>
      <c r="H5725" s="184"/>
      <c r="I5725" s="184"/>
      <c r="J5725" s="184"/>
      <c r="K5725" s="184"/>
      <c r="L5725" s="184"/>
      <c r="M5725" s="184"/>
      <c r="N5725" s="184"/>
      <c r="O5725" s="184"/>
    </row>
    <row r="5726" customFormat="false" ht="15" hidden="false" customHeight="true" outlineLevel="0" collapsed="false">
      <c r="A5726" s="184"/>
      <c r="B5726" s="184"/>
      <c r="C5726" s="184"/>
      <c r="D5726" s="184"/>
      <c r="E5726" s="184"/>
      <c r="F5726" s="184"/>
      <c r="G5726" s="184"/>
      <c r="H5726" s="184"/>
      <c r="I5726" s="184"/>
      <c r="J5726" s="184"/>
      <c r="K5726" s="184"/>
      <c r="L5726" s="184"/>
      <c r="M5726" s="184"/>
      <c r="N5726" s="184"/>
      <c r="O5726" s="184"/>
    </row>
    <row r="5727" customFormat="false" ht="15" hidden="false" customHeight="true" outlineLevel="0" collapsed="false">
      <c r="A5727" s="184"/>
      <c r="B5727" s="184"/>
      <c r="C5727" s="184"/>
      <c r="D5727" s="184"/>
      <c r="E5727" s="184"/>
      <c r="F5727" s="184"/>
      <c r="G5727" s="184"/>
      <c r="H5727" s="184"/>
      <c r="I5727" s="184"/>
      <c r="J5727" s="184"/>
      <c r="K5727" s="184"/>
      <c r="L5727" s="184"/>
      <c r="M5727" s="184"/>
      <c r="N5727" s="184"/>
      <c r="O5727" s="184"/>
    </row>
    <row r="5728" customFormat="false" ht="15" hidden="false" customHeight="true" outlineLevel="0" collapsed="false">
      <c r="A5728" s="184"/>
      <c r="B5728" s="184"/>
      <c r="C5728" s="184"/>
      <c r="D5728" s="184"/>
      <c r="E5728" s="184"/>
      <c r="F5728" s="184"/>
      <c r="G5728" s="184"/>
      <c r="H5728" s="184"/>
      <c r="I5728" s="184"/>
      <c r="J5728" s="184"/>
      <c r="K5728" s="184"/>
      <c r="L5728" s="184"/>
      <c r="M5728" s="184"/>
      <c r="N5728" s="184"/>
      <c r="O5728" s="184"/>
    </row>
    <row r="5729" customFormat="false" ht="15" hidden="false" customHeight="true" outlineLevel="0" collapsed="false">
      <c r="A5729" s="184"/>
      <c r="B5729" s="184"/>
      <c r="C5729" s="184"/>
      <c r="D5729" s="184"/>
      <c r="E5729" s="184"/>
      <c r="F5729" s="184"/>
      <c r="G5729" s="184"/>
      <c r="H5729" s="184"/>
      <c r="I5729" s="184"/>
      <c r="J5729" s="184"/>
      <c r="K5729" s="184"/>
      <c r="L5729" s="184"/>
      <c r="M5729" s="184"/>
      <c r="N5729" s="184"/>
      <c r="O5729" s="184"/>
    </row>
    <row r="5730" customFormat="false" ht="15" hidden="false" customHeight="true" outlineLevel="0" collapsed="false">
      <c r="A5730" s="184"/>
      <c r="B5730" s="184"/>
      <c r="C5730" s="184"/>
      <c r="D5730" s="184"/>
      <c r="E5730" s="184"/>
      <c r="F5730" s="184"/>
      <c r="G5730" s="184"/>
      <c r="H5730" s="184"/>
      <c r="I5730" s="184"/>
      <c r="J5730" s="184"/>
      <c r="K5730" s="184"/>
      <c r="L5730" s="184"/>
      <c r="M5730" s="184"/>
      <c r="N5730" s="184"/>
      <c r="O5730" s="184"/>
    </row>
    <row r="5731" customFormat="false" ht="15" hidden="false" customHeight="true" outlineLevel="0" collapsed="false">
      <c r="A5731" s="184"/>
      <c r="B5731" s="184"/>
      <c r="C5731" s="184"/>
      <c r="D5731" s="184"/>
      <c r="E5731" s="184"/>
      <c r="F5731" s="184"/>
      <c r="G5731" s="184"/>
      <c r="H5731" s="184"/>
      <c r="I5731" s="184"/>
      <c r="J5731" s="184"/>
      <c r="K5731" s="184"/>
      <c r="L5731" s="184"/>
      <c r="M5731" s="184"/>
      <c r="N5731" s="184"/>
      <c r="O5731" s="184"/>
    </row>
    <row r="5732" customFormat="false" ht="15" hidden="false" customHeight="true" outlineLevel="0" collapsed="false">
      <c r="A5732" s="184"/>
      <c r="B5732" s="184"/>
      <c r="C5732" s="184"/>
      <c r="D5732" s="184"/>
      <c r="E5732" s="184"/>
      <c r="F5732" s="184"/>
      <c r="G5732" s="184"/>
      <c r="H5732" s="184"/>
      <c r="I5732" s="184"/>
      <c r="J5732" s="184"/>
      <c r="K5732" s="184"/>
      <c r="L5732" s="184"/>
      <c r="M5732" s="184"/>
      <c r="N5732" s="184"/>
      <c r="O5732" s="184"/>
    </row>
    <row r="5733" customFormat="false" ht="15" hidden="false" customHeight="true" outlineLevel="0" collapsed="false">
      <c r="A5733" s="184"/>
      <c r="B5733" s="184"/>
      <c r="C5733" s="184"/>
      <c r="D5733" s="184"/>
      <c r="E5733" s="184"/>
      <c r="F5733" s="184"/>
      <c r="G5733" s="184"/>
      <c r="H5733" s="184"/>
      <c r="I5733" s="184"/>
      <c r="J5733" s="184"/>
      <c r="K5733" s="184"/>
      <c r="L5733" s="184"/>
      <c r="M5733" s="184"/>
      <c r="N5733" s="184"/>
      <c r="O5733" s="184"/>
    </row>
    <row r="5734" customFormat="false" ht="15" hidden="false" customHeight="true" outlineLevel="0" collapsed="false">
      <c r="A5734" s="184"/>
      <c r="B5734" s="184"/>
      <c r="C5734" s="184"/>
      <c r="D5734" s="184"/>
      <c r="E5734" s="184"/>
      <c r="F5734" s="184"/>
      <c r="G5734" s="184"/>
      <c r="H5734" s="184"/>
      <c r="I5734" s="184"/>
      <c r="J5734" s="184"/>
      <c r="K5734" s="184"/>
      <c r="L5734" s="184"/>
      <c r="M5734" s="184"/>
      <c r="N5734" s="184"/>
      <c r="O5734" s="184"/>
    </row>
    <row r="5735" customFormat="false" ht="15" hidden="false" customHeight="true" outlineLevel="0" collapsed="false">
      <c r="A5735" s="184"/>
      <c r="B5735" s="184"/>
      <c r="C5735" s="184"/>
      <c r="D5735" s="184"/>
      <c r="E5735" s="184"/>
      <c r="F5735" s="184"/>
      <c r="G5735" s="184"/>
      <c r="H5735" s="184"/>
      <c r="I5735" s="184"/>
      <c r="J5735" s="184"/>
      <c r="K5735" s="184"/>
      <c r="L5735" s="184"/>
      <c r="M5735" s="184"/>
      <c r="N5735" s="184"/>
      <c r="O5735" s="184"/>
    </row>
    <row r="5736" customFormat="false" ht="15" hidden="false" customHeight="true" outlineLevel="0" collapsed="false">
      <c r="A5736" s="184"/>
      <c r="B5736" s="184"/>
      <c r="C5736" s="184"/>
      <c r="D5736" s="184"/>
      <c r="E5736" s="184"/>
      <c r="F5736" s="184"/>
      <c r="G5736" s="184"/>
      <c r="H5736" s="184"/>
      <c r="I5736" s="184"/>
      <c r="J5736" s="184"/>
      <c r="K5736" s="184"/>
      <c r="L5736" s="184"/>
      <c r="M5736" s="184"/>
      <c r="N5736" s="184"/>
      <c r="O5736" s="184"/>
    </row>
    <row r="5737" customFormat="false" ht="15" hidden="false" customHeight="true" outlineLevel="0" collapsed="false">
      <c r="A5737" s="184"/>
      <c r="B5737" s="184"/>
      <c r="C5737" s="184"/>
      <c r="D5737" s="184"/>
      <c r="E5737" s="184"/>
      <c r="F5737" s="184"/>
      <c r="G5737" s="184"/>
      <c r="H5737" s="184"/>
      <c r="I5737" s="184"/>
      <c r="J5737" s="184"/>
      <c r="K5737" s="184"/>
      <c r="L5737" s="184"/>
      <c r="M5737" s="184"/>
      <c r="N5737" s="184"/>
      <c r="O5737" s="184"/>
    </row>
    <row r="5738" customFormat="false" ht="15" hidden="false" customHeight="true" outlineLevel="0" collapsed="false">
      <c r="A5738" s="184"/>
      <c r="B5738" s="184"/>
      <c r="C5738" s="184"/>
      <c r="D5738" s="184"/>
      <c r="E5738" s="184"/>
      <c r="F5738" s="184"/>
      <c r="G5738" s="184"/>
      <c r="H5738" s="184"/>
      <c r="I5738" s="184"/>
      <c r="J5738" s="184"/>
      <c r="K5738" s="184"/>
      <c r="L5738" s="184"/>
      <c r="M5738" s="184"/>
      <c r="N5738" s="184"/>
      <c r="O5738" s="184"/>
    </row>
    <row r="5739" customFormat="false" ht="15" hidden="false" customHeight="true" outlineLevel="0" collapsed="false">
      <c r="A5739" s="184"/>
      <c r="B5739" s="184"/>
      <c r="C5739" s="184"/>
      <c r="D5739" s="184"/>
      <c r="E5739" s="184"/>
      <c r="F5739" s="184"/>
      <c r="G5739" s="184"/>
      <c r="H5739" s="184"/>
      <c r="I5739" s="184"/>
      <c r="J5739" s="184"/>
      <c r="K5739" s="184"/>
      <c r="L5739" s="184"/>
      <c r="M5739" s="184"/>
      <c r="N5739" s="184"/>
      <c r="O5739" s="184"/>
    </row>
    <row r="5740" customFormat="false" ht="15" hidden="false" customHeight="true" outlineLevel="0" collapsed="false">
      <c r="A5740" s="184"/>
      <c r="B5740" s="184"/>
      <c r="C5740" s="184"/>
      <c r="D5740" s="184"/>
      <c r="E5740" s="184"/>
      <c r="F5740" s="184"/>
      <c r="G5740" s="184"/>
      <c r="H5740" s="184"/>
      <c r="I5740" s="184"/>
      <c r="J5740" s="184"/>
      <c r="K5740" s="184"/>
      <c r="L5740" s="184"/>
      <c r="M5740" s="184"/>
      <c r="N5740" s="184"/>
      <c r="O5740" s="184"/>
    </row>
    <row r="5741" customFormat="false" ht="15" hidden="false" customHeight="true" outlineLevel="0" collapsed="false">
      <c r="A5741" s="184"/>
      <c r="B5741" s="184"/>
      <c r="C5741" s="184"/>
      <c r="D5741" s="184"/>
      <c r="E5741" s="184"/>
      <c r="F5741" s="184"/>
      <c r="G5741" s="184"/>
      <c r="H5741" s="184"/>
      <c r="I5741" s="184"/>
      <c r="J5741" s="184"/>
      <c r="K5741" s="184"/>
      <c r="L5741" s="184"/>
      <c r="M5741" s="184"/>
      <c r="N5741" s="184"/>
      <c r="O5741" s="184"/>
    </row>
    <row r="5742" customFormat="false" ht="15" hidden="false" customHeight="true" outlineLevel="0" collapsed="false">
      <c r="A5742" s="184"/>
      <c r="B5742" s="184"/>
      <c r="C5742" s="184"/>
      <c r="D5742" s="184"/>
      <c r="E5742" s="184"/>
      <c r="F5742" s="184"/>
      <c r="G5742" s="184"/>
      <c r="H5742" s="184"/>
      <c r="I5742" s="184"/>
      <c r="J5742" s="184"/>
      <c r="K5742" s="184"/>
      <c r="L5742" s="184"/>
      <c r="M5742" s="184"/>
      <c r="N5742" s="184"/>
      <c r="O5742" s="184"/>
    </row>
    <row r="5743" customFormat="false" ht="15" hidden="false" customHeight="true" outlineLevel="0" collapsed="false">
      <c r="A5743" s="184"/>
      <c r="B5743" s="184"/>
      <c r="C5743" s="184"/>
      <c r="D5743" s="184"/>
      <c r="E5743" s="184"/>
      <c r="F5743" s="184"/>
      <c r="G5743" s="184"/>
      <c r="H5743" s="184"/>
      <c r="I5743" s="184"/>
      <c r="J5743" s="184"/>
      <c r="K5743" s="184"/>
      <c r="L5743" s="184"/>
      <c r="M5743" s="184"/>
      <c r="N5743" s="184"/>
      <c r="O5743" s="184"/>
    </row>
    <row r="5744" customFormat="false" ht="15" hidden="false" customHeight="true" outlineLevel="0" collapsed="false">
      <c r="A5744" s="184"/>
      <c r="B5744" s="184"/>
      <c r="C5744" s="184"/>
      <c r="D5744" s="184"/>
      <c r="E5744" s="184"/>
      <c r="F5744" s="184"/>
      <c r="G5744" s="184"/>
      <c r="H5744" s="184"/>
      <c r="I5744" s="184"/>
      <c r="J5744" s="184"/>
      <c r="K5744" s="184"/>
      <c r="L5744" s="184"/>
      <c r="M5744" s="184"/>
      <c r="N5744" s="184"/>
      <c r="O5744" s="184"/>
    </row>
    <row r="5745" customFormat="false" ht="15" hidden="false" customHeight="true" outlineLevel="0" collapsed="false">
      <c r="A5745" s="184"/>
      <c r="B5745" s="184"/>
      <c r="C5745" s="184"/>
      <c r="D5745" s="184"/>
      <c r="E5745" s="184"/>
      <c r="F5745" s="184"/>
      <c r="G5745" s="184"/>
      <c r="H5745" s="184"/>
      <c r="I5745" s="184"/>
      <c r="J5745" s="184"/>
      <c r="K5745" s="184"/>
      <c r="L5745" s="184"/>
      <c r="M5745" s="184"/>
      <c r="N5745" s="184"/>
      <c r="O5745" s="184"/>
    </row>
    <row r="5746" customFormat="false" ht="15" hidden="false" customHeight="true" outlineLevel="0" collapsed="false">
      <c r="A5746" s="184"/>
      <c r="B5746" s="184"/>
      <c r="C5746" s="184"/>
      <c r="D5746" s="184"/>
      <c r="E5746" s="184"/>
      <c r="F5746" s="184"/>
      <c r="G5746" s="184"/>
      <c r="H5746" s="184"/>
      <c r="I5746" s="184"/>
      <c r="J5746" s="184"/>
      <c r="K5746" s="184"/>
      <c r="L5746" s="184"/>
      <c r="M5746" s="184"/>
      <c r="N5746" s="184"/>
      <c r="O5746" s="184"/>
    </row>
    <row r="5747" customFormat="false" ht="15" hidden="false" customHeight="true" outlineLevel="0" collapsed="false">
      <c r="A5747" s="184"/>
      <c r="B5747" s="184"/>
      <c r="C5747" s="184"/>
      <c r="D5747" s="184"/>
      <c r="E5747" s="184"/>
      <c r="F5747" s="184"/>
      <c r="G5747" s="184"/>
      <c r="H5747" s="184"/>
      <c r="I5747" s="184"/>
      <c r="J5747" s="184"/>
      <c r="K5747" s="184"/>
      <c r="L5747" s="184"/>
      <c r="M5747" s="184"/>
      <c r="N5747" s="184"/>
      <c r="O5747" s="184"/>
    </row>
    <row r="5748" customFormat="false" ht="15" hidden="false" customHeight="true" outlineLevel="0" collapsed="false">
      <c r="A5748" s="184"/>
      <c r="B5748" s="184"/>
      <c r="C5748" s="184"/>
      <c r="D5748" s="184"/>
      <c r="E5748" s="184"/>
      <c r="F5748" s="184"/>
      <c r="G5748" s="184"/>
      <c r="H5748" s="184"/>
      <c r="I5748" s="184"/>
      <c r="J5748" s="184"/>
      <c r="K5748" s="184"/>
      <c r="L5748" s="184"/>
      <c r="M5748" s="184"/>
      <c r="N5748" s="184"/>
      <c r="O5748" s="184"/>
    </row>
    <row r="5749" customFormat="false" ht="15" hidden="false" customHeight="true" outlineLevel="0" collapsed="false">
      <c r="A5749" s="184"/>
      <c r="B5749" s="184"/>
      <c r="C5749" s="184"/>
      <c r="D5749" s="184"/>
      <c r="E5749" s="184"/>
      <c r="F5749" s="184"/>
      <c r="G5749" s="184"/>
      <c r="H5749" s="184"/>
      <c r="I5749" s="184"/>
      <c r="J5749" s="184"/>
      <c r="K5749" s="184"/>
      <c r="L5749" s="184"/>
      <c r="M5749" s="184"/>
      <c r="N5749" s="184"/>
      <c r="O5749" s="184"/>
    </row>
    <row r="5750" customFormat="false" ht="15" hidden="false" customHeight="true" outlineLevel="0" collapsed="false">
      <c r="A5750" s="184"/>
      <c r="B5750" s="184"/>
      <c r="C5750" s="184"/>
      <c r="D5750" s="184"/>
      <c r="E5750" s="184"/>
      <c r="F5750" s="184"/>
      <c r="G5750" s="184"/>
      <c r="H5750" s="184"/>
      <c r="I5750" s="184"/>
      <c r="J5750" s="184"/>
      <c r="K5750" s="184"/>
      <c r="L5750" s="184"/>
      <c r="M5750" s="184"/>
      <c r="N5750" s="184"/>
      <c r="O5750" s="184"/>
    </row>
    <row r="5751" customFormat="false" ht="15" hidden="false" customHeight="true" outlineLevel="0" collapsed="false">
      <c r="A5751" s="184"/>
      <c r="B5751" s="184"/>
      <c r="C5751" s="184"/>
      <c r="D5751" s="184"/>
      <c r="E5751" s="184"/>
      <c r="F5751" s="184"/>
      <c r="G5751" s="184"/>
      <c r="H5751" s="184"/>
      <c r="I5751" s="184"/>
      <c r="J5751" s="184"/>
      <c r="K5751" s="184"/>
      <c r="L5751" s="184"/>
      <c r="M5751" s="184"/>
      <c r="N5751" s="184"/>
      <c r="O5751" s="184"/>
    </row>
    <row r="5752" customFormat="false" ht="15" hidden="false" customHeight="true" outlineLevel="0" collapsed="false">
      <c r="A5752" s="184"/>
      <c r="B5752" s="184"/>
      <c r="C5752" s="184"/>
      <c r="D5752" s="184"/>
      <c r="E5752" s="184"/>
      <c r="F5752" s="184"/>
      <c r="G5752" s="184"/>
      <c r="H5752" s="184"/>
      <c r="I5752" s="184"/>
      <c r="J5752" s="184"/>
      <c r="K5752" s="184"/>
      <c r="L5752" s="184"/>
      <c r="M5752" s="184"/>
      <c r="N5752" s="184"/>
      <c r="O5752" s="184"/>
    </row>
    <row r="5753" customFormat="false" ht="15" hidden="false" customHeight="true" outlineLevel="0" collapsed="false">
      <c r="A5753" s="184"/>
      <c r="B5753" s="184"/>
      <c r="C5753" s="184"/>
      <c r="D5753" s="184"/>
      <c r="E5753" s="184"/>
      <c r="F5753" s="184"/>
      <c r="G5753" s="184"/>
      <c r="H5753" s="184"/>
      <c r="I5753" s="184"/>
      <c r="J5753" s="184"/>
      <c r="K5753" s="184"/>
      <c r="L5753" s="184"/>
      <c r="M5753" s="184"/>
      <c r="N5753" s="184"/>
      <c r="O5753" s="184"/>
    </row>
    <row r="5754" customFormat="false" ht="15" hidden="false" customHeight="true" outlineLevel="0" collapsed="false">
      <c r="A5754" s="184"/>
      <c r="B5754" s="184"/>
      <c r="C5754" s="184"/>
      <c r="D5754" s="184"/>
      <c r="E5754" s="184"/>
      <c r="F5754" s="184"/>
      <c r="G5754" s="184"/>
      <c r="H5754" s="184"/>
      <c r="I5754" s="184"/>
      <c r="J5754" s="184"/>
      <c r="K5754" s="184"/>
      <c r="L5754" s="184"/>
      <c r="M5754" s="184"/>
      <c r="N5754" s="184"/>
      <c r="O5754" s="184"/>
    </row>
    <row r="5755" customFormat="false" ht="15" hidden="false" customHeight="true" outlineLevel="0" collapsed="false">
      <c r="A5755" s="184"/>
      <c r="B5755" s="184"/>
      <c r="C5755" s="184"/>
      <c r="D5755" s="184"/>
      <c r="E5755" s="184"/>
      <c r="F5755" s="184"/>
      <c r="G5755" s="184"/>
      <c r="H5755" s="184"/>
      <c r="I5755" s="184"/>
      <c r="J5755" s="184"/>
      <c r="K5755" s="184"/>
      <c r="L5755" s="184"/>
      <c r="M5755" s="184"/>
      <c r="N5755" s="184"/>
      <c r="O5755" s="184"/>
    </row>
    <row r="5756" customFormat="false" ht="15" hidden="false" customHeight="true" outlineLevel="0" collapsed="false">
      <c r="A5756" s="184"/>
      <c r="B5756" s="184"/>
      <c r="C5756" s="184"/>
      <c r="D5756" s="184"/>
      <c r="E5756" s="184"/>
      <c r="F5756" s="184"/>
      <c r="G5756" s="184"/>
      <c r="H5756" s="184"/>
      <c r="I5756" s="184"/>
      <c r="J5756" s="184"/>
      <c r="K5756" s="184"/>
      <c r="L5756" s="184"/>
      <c r="M5756" s="184"/>
      <c r="N5756" s="184"/>
      <c r="O5756" s="184"/>
    </row>
    <row r="5757" customFormat="false" ht="15" hidden="false" customHeight="true" outlineLevel="0" collapsed="false">
      <c r="A5757" s="184"/>
      <c r="B5757" s="184"/>
      <c r="C5757" s="184"/>
      <c r="D5757" s="184"/>
      <c r="E5757" s="184"/>
      <c r="F5757" s="184"/>
      <c r="G5757" s="184"/>
      <c r="H5757" s="184"/>
      <c r="I5757" s="184"/>
      <c r="J5757" s="184"/>
      <c r="K5757" s="184"/>
      <c r="L5757" s="184"/>
      <c r="M5757" s="184"/>
      <c r="N5757" s="184"/>
      <c r="O5757" s="184"/>
    </row>
    <row r="5758" customFormat="false" ht="15" hidden="false" customHeight="true" outlineLevel="0" collapsed="false">
      <c r="A5758" s="184"/>
      <c r="B5758" s="184"/>
      <c r="C5758" s="184"/>
      <c r="D5758" s="184"/>
      <c r="E5758" s="184"/>
      <c r="F5758" s="184"/>
      <c r="G5758" s="184"/>
      <c r="H5758" s="184"/>
      <c r="I5758" s="184"/>
      <c r="J5758" s="184"/>
      <c r="K5758" s="184"/>
      <c r="L5758" s="184"/>
      <c r="M5758" s="184"/>
      <c r="N5758" s="184"/>
      <c r="O5758" s="184"/>
    </row>
    <row r="5759" customFormat="false" ht="15" hidden="false" customHeight="true" outlineLevel="0" collapsed="false">
      <c r="A5759" s="184"/>
      <c r="B5759" s="184"/>
      <c r="C5759" s="184"/>
      <c r="D5759" s="184"/>
      <c r="E5759" s="184"/>
      <c r="F5759" s="184"/>
      <c r="G5759" s="184"/>
      <c r="H5759" s="184"/>
      <c r="I5759" s="184"/>
      <c r="J5759" s="184"/>
      <c r="K5759" s="184"/>
      <c r="L5759" s="184"/>
      <c r="M5759" s="184"/>
      <c r="N5759" s="184"/>
      <c r="O5759" s="184"/>
    </row>
    <row r="5760" customFormat="false" ht="15" hidden="false" customHeight="true" outlineLevel="0" collapsed="false">
      <c r="A5760" s="184"/>
      <c r="B5760" s="184"/>
      <c r="C5760" s="184"/>
      <c r="D5760" s="184"/>
      <c r="E5760" s="184"/>
      <c r="F5760" s="184"/>
      <c r="G5760" s="184"/>
      <c r="H5760" s="184"/>
      <c r="I5760" s="184"/>
      <c r="J5760" s="184"/>
      <c r="K5760" s="184"/>
      <c r="L5760" s="184"/>
      <c r="M5760" s="184"/>
      <c r="N5760" s="184"/>
      <c r="O5760" s="184"/>
    </row>
    <row r="5761" customFormat="false" ht="15" hidden="false" customHeight="true" outlineLevel="0" collapsed="false">
      <c r="A5761" s="184"/>
      <c r="B5761" s="184"/>
      <c r="C5761" s="184"/>
      <c r="D5761" s="184"/>
      <c r="E5761" s="184"/>
      <c r="F5761" s="184"/>
      <c r="G5761" s="184"/>
      <c r="H5761" s="184"/>
      <c r="I5761" s="184"/>
      <c r="J5761" s="184"/>
      <c r="K5761" s="184"/>
      <c r="L5761" s="184"/>
      <c r="M5761" s="184"/>
      <c r="N5761" s="184"/>
      <c r="O5761" s="184"/>
    </row>
    <row r="5762" customFormat="false" ht="15" hidden="false" customHeight="true" outlineLevel="0" collapsed="false">
      <c r="A5762" s="184"/>
      <c r="B5762" s="184"/>
      <c r="C5762" s="184"/>
      <c r="D5762" s="184"/>
      <c r="E5762" s="184"/>
      <c r="F5762" s="184"/>
      <c r="G5762" s="184"/>
      <c r="H5762" s="184"/>
      <c r="I5762" s="184"/>
      <c r="J5762" s="184"/>
      <c r="K5762" s="184"/>
      <c r="L5762" s="184"/>
      <c r="M5762" s="184"/>
      <c r="N5762" s="184"/>
      <c r="O5762" s="184"/>
    </row>
    <row r="5763" customFormat="false" ht="15" hidden="false" customHeight="true" outlineLevel="0" collapsed="false">
      <c r="A5763" s="184"/>
      <c r="B5763" s="184"/>
      <c r="C5763" s="184"/>
      <c r="D5763" s="184"/>
      <c r="E5763" s="184"/>
      <c r="F5763" s="184"/>
      <c r="G5763" s="184"/>
      <c r="H5763" s="184"/>
      <c r="I5763" s="184"/>
      <c r="J5763" s="184"/>
      <c r="K5763" s="184"/>
      <c r="L5763" s="184"/>
      <c r="M5763" s="184"/>
      <c r="N5763" s="184"/>
      <c r="O5763" s="184"/>
    </row>
    <row r="5764" customFormat="false" ht="15" hidden="false" customHeight="true" outlineLevel="0" collapsed="false">
      <c r="A5764" s="184"/>
      <c r="B5764" s="184"/>
      <c r="C5764" s="184"/>
      <c r="D5764" s="184"/>
      <c r="E5764" s="184"/>
      <c r="F5764" s="184"/>
      <c r="G5764" s="184"/>
      <c r="H5764" s="184"/>
      <c r="I5764" s="184"/>
      <c r="J5764" s="184"/>
      <c r="K5764" s="184"/>
      <c r="L5764" s="184"/>
      <c r="M5764" s="184"/>
      <c r="N5764" s="184"/>
      <c r="O5764" s="184"/>
    </row>
    <row r="5765" customFormat="false" ht="15" hidden="false" customHeight="true" outlineLevel="0" collapsed="false">
      <c r="A5765" s="184"/>
      <c r="B5765" s="184"/>
      <c r="C5765" s="184"/>
      <c r="D5765" s="184"/>
      <c r="E5765" s="184"/>
      <c r="F5765" s="184"/>
      <c r="G5765" s="184"/>
      <c r="H5765" s="184"/>
      <c r="I5765" s="184"/>
      <c r="J5765" s="184"/>
      <c r="K5765" s="184"/>
      <c r="L5765" s="184"/>
      <c r="M5765" s="184"/>
      <c r="N5765" s="184"/>
      <c r="O5765" s="184"/>
    </row>
    <row r="5766" customFormat="false" ht="15" hidden="false" customHeight="true" outlineLevel="0" collapsed="false">
      <c r="A5766" s="184"/>
      <c r="B5766" s="184"/>
      <c r="C5766" s="184"/>
      <c r="D5766" s="184"/>
      <c r="E5766" s="184"/>
      <c r="F5766" s="184"/>
      <c r="G5766" s="184"/>
      <c r="H5766" s="184"/>
      <c r="I5766" s="184"/>
      <c r="J5766" s="184"/>
      <c r="K5766" s="184"/>
      <c r="L5766" s="184"/>
      <c r="M5766" s="184"/>
      <c r="N5766" s="184"/>
      <c r="O5766" s="184"/>
    </row>
    <row r="5767" customFormat="false" ht="15" hidden="false" customHeight="true" outlineLevel="0" collapsed="false">
      <c r="A5767" s="184"/>
      <c r="B5767" s="184"/>
      <c r="C5767" s="184"/>
      <c r="D5767" s="184"/>
      <c r="E5767" s="184"/>
      <c r="F5767" s="184"/>
      <c r="G5767" s="184"/>
      <c r="H5767" s="184"/>
      <c r="I5767" s="184"/>
      <c r="J5767" s="184"/>
      <c r="K5767" s="184"/>
      <c r="L5767" s="184"/>
      <c r="M5767" s="184"/>
      <c r="N5767" s="184"/>
      <c r="O5767" s="184"/>
    </row>
    <row r="5768" customFormat="false" ht="15" hidden="false" customHeight="true" outlineLevel="0" collapsed="false">
      <c r="A5768" s="184"/>
      <c r="B5768" s="184"/>
      <c r="C5768" s="184"/>
      <c r="D5768" s="184"/>
      <c r="E5768" s="184"/>
      <c r="F5768" s="184"/>
      <c r="G5768" s="184"/>
      <c r="H5768" s="184"/>
      <c r="I5768" s="184"/>
      <c r="J5768" s="184"/>
      <c r="K5768" s="184"/>
      <c r="L5768" s="184"/>
      <c r="M5768" s="184"/>
      <c r="N5768" s="184"/>
      <c r="O5768" s="184"/>
    </row>
    <row r="5769" customFormat="false" ht="15" hidden="false" customHeight="true" outlineLevel="0" collapsed="false">
      <c r="A5769" s="184"/>
      <c r="B5769" s="184"/>
      <c r="C5769" s="184"/>
      <c r="D5769" s="184"/>
      <c r="E5769" s="184"/>
      <c r="F5769" s="184"/>
      <c r="G5769" s="184"/>
      <c r="H5769" s="184"/>
      <c r="I5769" s="184"/>
      <c r="J5769" s="184"/>
      <c r="K5769" s="184"/>
      <c r="L5769" s="184"/>
      <c r="M5769" s="184"/>
      <c r="N5769" s="184"/>
      <c r="O5769" s="184"/>
    </row>
    <row r="5770" customFormat="false" ht="15" hidden="false" customHeight="true" outlineLevel="0" collapsed="false">
      <c r="A5770" s="184"/>
      <c r="B5770" s="184"/>
      <c r="C5770" s="184"/>
      <c r="D5770" s="184"/>
      <c r="E5770" s="184"/>
      <c r="F5770" s="184"/>
      <c r="G5770" s="184"/>
      <c r="H5770" s="184"/>
      <c r="I5770" s="184"/>
      <c r="J5770" s="184"/>
      <c r="K5770" s="184"/>
      <c r="L5770" s="184"/>
      <c r="M5770" s="184"/>
      <c r="N5770" s="184"/>
      <c r="O5770" s="184"/>
    </row>
    <row r="5771" customFormat="false" ht="15" hidden="false" customHeight="true" outlineLevel="0" collapsed="false">
      <c r="A5771" s="184"/>
      <c r="B5771" s="184"/>
      <c r="C5771" s="184"/>
      <c r="D5771" s="184"/>
      <c r="E5771" s="184"/>
      <c r="F5771" s="184"/>
      <c r="G5771" s="184"/>
      <c r="H5771" s="184"/>
      <c r="I5771" s="184"/>
      <c r="J5771" s="184"/>
      <c r="K5771" s="184"/>
      <c r="L5771" s="184"/>
      <c r="M5771" s="184"/>
      <c r="N5771" s="184"/>
      <c r="O5771" s="184"/>
    </row>
    <row r="5772" customFormat="false" ht="15" hidden="false" customHeight="true" outlineLevel="0" collapsed="false">
      <c r="A5772" s="184"/>
      <c r="B5772" s="184"/>
      <c r="C5772" s="184"/>
      <c r="D5772" s="184"/>
      <c r="E5772" s="184"/>
      <c r="F5772" s="184"/>
      <c r="G5772" s="184"/>
      <c r="H5772" s="184"/>
      <c r="I5772" s="184"/>
      <c r="J5772" s="184"/>
      <c r="K5772" s="184"/>
      <c r="L5772" s="184"/>
      <c r="M5772" s="184"/>
      <c r="N5772" s="184"/>
      <c r="O5772" s="184"/>
    </row>
    <row r="5773" customFormat="false" ht="15" hidden="false" customHeight="true" outlineLevel="0" collapsed="false">
      <c r="A5773" s="184"/>
      <c r="B5773" s="184"/>
      <c r="C5773" s="184"/>
      <c r="D5773" s="184"/>
      <c r="E5773" s="184"/>
      <c r="F5773" s="184"/>
      <c r="G5773" s="184"/>
      <c r="H5773" s="184"/>
      <c r="I5773" s="184"/>
      <c r="J5773" s="184"/>
      <c r="K5773" s="184"/>
      <c r="L5773" s="184"/>
      <c r="M5773" s="184"/>
      <c r="N5773" s="184"/>
      <c r="O5773" s="184"/>
    </row>
    <row r="5774" customFormat="false" ht="15" hidden="false" customHeight="true" outlineLevel="0" collapsed="false">
      <c r="A5774" s="184"/>
      <c r="B5774" s="184"/>
      <c r="C5774" s="184"/>
      <c r="D5774" s="184"/>
      <c r="E5774" s="184"/>
      <c r="F5774" s="184"/>
      <c r="G5774" s="184"/>
      <c r="H5774" s="184"/>
      <c r="I5774" s="184"/>
      <c r="J5774" s="184"/>
      <c r="K5774" s="184"/>
      <c r="L5774" s="184"/>
      <c r="M5774" s="184"/>
      <c r="N5774" s="184"/>
      <c r="O5774" s="184"/>
    </row>
    <row r="5775" customFormat="false" ht="15" hidden="false" customHeight="true" outlineLevel="0" collapsed="false">
      <c r="A5775" s="184"/>
      <c r="B5775" s="184"/>
      <c r="C5775" s="184"/>
      <c r="D5775" s="184"/>
      <c r="E5775" s="184"/>
      <c r="F5775" s="184"/>
      <c r="G5775" s="184"/>
      <c r="H5775" s="184"/>
      <c r="I5775" s="184"/>
      <c r="J5775" s="184"/>
      <c r="K5775" s="184"/>
      <c r="L5775" s="184"/>
      <c r="M5775" s="184"/>
      <c r="N5775" s="184"/>
      <c r="O5775" s="184"/>
    </row>
    <row r="5776" customFormat="false" ht="15" hidden="false" customHeight="true" outlineLevel="0" collapsed="false">
      <c r="A5776" s="184"/>
      <c r="B5776" s="184"/>
      <c r="C5776" s="184"/>
      <c r="D5776" s="184"/>
      <c r="E5776" s="184"/>
      <c r="F5776" s="184"/>
      <c r="G5776" s="184"/>
      <c r="H5776" s="184"/>
      <c r="I5776" s="184"/>
      <c r="J5776" s="184"/>
      <c r="K5776" s="184"/>
      <c r="L5776" s="184"/>
      <c r="M5776" s="184"/>
      <c r="N5776" s="184"/>
      <c r="O5776" s="184"/>
    </row>
    <row r="5777" customFormat="false" ht="15" hidden="false" customHeight="true" outlineLevel="0" collapsed="false">
      <c r="A5777" s="184"/>
      <c r="B5777" s="184"/>
      <c r="C5777" s="184"/>
      <c r="D5777" s="184"/>
      <c r="E5777" s="184"/>
      <c r="F5777" s="184"/>
      <c r="G5777" s="184"/>
      <c r="H5777" s="184"/>
      <c r="I5777" s="184"/>
      <c r="J5777" s="184"/>
      <c r="K5777" s="184"/>
      <c r="L5777" s="184"/>
      <c r="M5777" s="184"/>
      <c r="N5777" s="184"/>
      <c r="O5777" s="184"/>
    </row>
    <row r="5778" customFormat="false" ht="15" hidden="false" customHeight="true" outlineLevel="0" collapsed="false">
      <c r="A5778" s="184"/>
      <c r="B5778" s="184"/>
      <c r="C5778" s="184"/>
      <c r="D5778" s="184"/>
      <c r="E5778" s="184"/>
      <c r="F5778" s="184"/>
      <c r="G5778" s="184"/>
      <c r="H5778" s="184"/>
      <c r="I5778" s="184"/>
      <c r="J5778" s="184"/>
      <c r="K5778" s="184"/>
      <c r="L5778" s="184"/>
      <c r="M5778" s="184"/>
      <c r="N5778" s="184"/>
      <c r="O5778" s="184"/>
    </row>
    <row r="5779" customFormat="false" ht="15" hidden="false" customHeight="true" outlineLevel="0" collapsed="false">
      <c r="A5779" s="184"/>
      <c r="B5779" s="184"/>
      <c r="C5779" s="184"/>
      <c r="D5779" s="184"/>
      <c r="E5779" s="184"/>
      <c r="F5779" s="184"/>
      <c r="G5779" s="184"/>
      <c r="H5779" s="184"/>
      <c r="I5779" s="184"/>
      <c r="J5779" s="184"/>
      <c r="K5779" s="184"/>
      <c r="L5779" s="184"/>
      <c r="M5779" s="184"/>
      <c r="N5779" s="184"/>
      <c r="O5779" s="184"/>
    </row>
    <row r="5780" customFormat="false" ht="15" hidden="false" customHeight="true" outlineLevel="0" collapsed="false">
      <c r="A5780" s="184"/>
      <c r="B5780" s="184"/>
      <c r="C5780" s="184"/>
      <c r="D5780" s="184"/>
      <c r="E5780" s="184"/>
      <c r="F5780" s="184"/>
      <c r="G5780" s="184"/>
      <c r="H5780" s="184"/>
      <c r="I5780" s="184"/>
      <c r="J5780" s="184"/>
      <c r="K5780" s="184"/>
      <c r="L5780" s="184"/>
      <c r="M5780" s="184"/>
      <c r="N5780" s="184"/>
      <c r="O5780" s="184"/>
    </row>
    <row r="5781" customFormat="false" ht="15" hidden="false" customHeight="true" outlineLevel="0" collapsed="false">
      <c r="A5781" s="184"/>
      <c r="B5781" s="184"/>
      <c r="C5781" s="184"/>
      <c r="D5781" s="184"/>
      <c r="E5781" s="184"/>
      <c r="F5781" s="184"/>
      <c r="G5781" s="184"/>
      <c r="H5781" s="184"/>
      <c r="I5781" s="184"/>
      <c r="J5781" s="184"/>
      <c r="K5781" s="184"/>
      <c r="L5781" s="184"/>
      <c r="M5781" s="184"/>
      <c r="N5781" s="184"/>
      <c r="O5781" s="184"/>
    </row>
    <row r="5782" customFormat="false" ht="15" hidden="false" customHeight="true" outlineLevel="0" collapsed="false">
      <c r="A5782" s="184"/>
      <c r="B5782" s="184"/>
      <c r="C5782" s="184"/>
      <c r="D5782" s="184"/>
      <c r="E5782" s="184"/>
      <c r="F5782" s="184"/>
      <c r="G5782" s="184"/>
      <c r="H5782" s="184"/>
      <c r="I5782" s="184"/>
      <c r="J5782" s="184"/>
      <c r="K5782" s="184"/>
      <c r="L5782" s="184"/>
      <c r="M5782" s="184"/>
      <c r="N5782" s="184"/>
      <c r="O5782" s="184"/>
    </row>
    <row r="5783" customFormat="false" ht="15" hidden="false" customHeight="true" outlineLevel="0" collapsed="false">
      <c r="A5783" s="184"/>
      <c r="B5783" s="184"/>
      <c r="C5783" s="184"/>
      <c r="D5783" s="184"/>
      <c r="E5783" s="184"/>
      <c r="F5783" s="184"/>
      <c r="G5783" s="184"/>
      <c r="H5783" s="184"/>
      <c r="I5783" s="184"/>
      <c r="J5783" s="184"/>
      <c r="K5783" s="184"/>
      <c r="L5783" s="184"/>
      <c r="M5783" s="184"/>
      <c r="N5783" s="184"/>
      <c r="O5783" s="184"/>
    </row>
    <row r="5784" customFormat="false" ht="15" hidden="false" customHeight="true" outlineLevel="0" collapsed="false">
      <c r="A5784" s="184"/>
      <c r="B5784" s="184"/>
      <c r="C5784" s="184"/>
      <c r="D5784" s="184"/>
      <c r="E5784" s="184"/>
      <c r="F5784" s="184"/>
      <c r="G5784" s="184"/>
      <c r="H5784" s="184"/>
      <c r="I5784" s="184"/>
      <c r="J5784" s="184"/>
      <c r="K5784" s="184"/>
      <c r="L5784" s="184"/>
      <c r="M5784" s="184"/>
      <c r="N5784" s="184"/>
      <c r="O5784" s="184"/>
    </row>
    <row r="5785" customFormat="false" ht="15" hidden="false" customHeight="true" outlineLevel="0" collapsed="false">
      <c r="A5785" s="184"/>
      <c r="B5785" s="184"/>
      <c r="C5785" s="184"/>
      <c r="D5785" s="184"/>
      <c r="E5785" s="184"/>
      <c r="F5785" s="184"/>
      <c r="G5785" s="184"/>
      <c r="H5785" s="184"/>
      <c r="I5785" s="184"/>
      <c r="J5785" s="184"/>
      <c r="K5785" s="184"/>
      <c r="L5785" s="184"/>
      <c r="M5785" s="184"/>
      <c r="N5785" s="184"/>
      <c r="O5785" s="184"/>
    </row>
    <row r="5786" customFormat="false" ht="15" hidden="false" customHeight="true" outlineLevel="0" collapsed="false">
      <c r="A5786" s="184"/>
      <c r="B5786" s="184"/>
      <c r="C5786" s="184"/>
      <c r="D5786" s="184"/>
      <c r="E5786" s="184"/>
      <c r="F5786" s="184"/>
      <c r="G5786" s="184"/>
      <c r="H5786" s="184"/>
      <c r="I5786" s="184"/>
      <c r="J5786" s="184"/>
      <c r="K5786" s="184"/>
      <c r="L5786" s="184"/>
      <c r="M5786" s="184"/>
      <c r="N5786" s="184"/>
      <c r="O5786" s="184"/>
    </row>
    <row r="5787" customFormat="false" ht="15" hidden="false" customHeight="true" outlineLevel="0" collapsed="false">
      <c r="A5787" s="184"/>
      <c r="B5787" s="184"/>
      <c r="C5787" s="184"/>
      <c r="D5787" s="184"/>
      <c r="E5787" s="184"/>
      <c r="F5787" s="184"/>
      <c r="G5787" s="184"/>
      <c r="H5787" s="184"/>
      <c r="I5787" s="184"/>
      <c r="J5787" s="184"/>
      <c r="K5787" s="184"/>
      <c r="L5787" s="184"/>
      <c r="M5787" s="184"/>
      <c r="N5787" s="184"/>
      <c r="O5787" s="184"/>
    </row>
    <row r="5788" customFormat="false" ht="15" hidden="false" customHeight="true" outlineLevel="0" collapsed="false">
      <c r="A5788" s="184"/>
      <c r="B5788" s="184"/>
      <c r="C5788" s="184"/>
      <c r="D5788" s="184"/>
      <c r="E5788" s="184"/>
      <c r="F5788" s="184"/>
      <c r="G5788" s="184"/>
      <c r="H5788" s="184"/>
      <c r="I5788" s="184"/>
      <c r="J5788" s="184"/>
      <c r="K5788" s="184"/>
      <c r="L5788" s="184"/>
      <c r="M5788" s="184"/>
      <c r="N5788" s="184"/>
      <c r="O5788" s="184"/>
    </row>
    <row r="5789" customFormat="false" ht="15" hidden="false" customHeight="true" outlineLevel="0" collapsed="false">
      <c r="A5789" s="184"/>
      <c r="B5789" s="184"/>
      <c r="C5789" s="184"/>
      <c r="D5789" s="184"/>
      <c r="E5789" s="184"/>
      <c r="F5789" s="184"/>
      <c r="G5789" s="184"/>
      <c r="H5789" s="184"/>
      <c r="I5789" s="184"/>
      <c r="J5789" s="184"/>
      <c r="K5789" s="184"/>
      <c r="L5789" s="184"/>
      <c r="M5789" s="184"/>
      <c r="N5789" s="184"/>
      <c r="O5789" s="184"/>
    </row>
    <row r="5790" customFormat="false" ht="15" hidden="false" customHeight="true" outlineLevel="0" collapsed="false">
      <c r="A5790" s="184"/>
      <c r="B5790" s="184"/>
      <c r="C5790" s="184"/>
      <c r="D5790" s="184"/>
      <c r="E5790" s="184"/>
      <c r="F5790" s="184"/>
      <c r="G5790" s="184"/>
      <c r="H5790" s="184"/>
      <c r="I5790" s="184"/>
      <c r="J5790" s="184"/>
      <c r="K5790" s="184"/>
      <c r="L5790" s="184"/>
      <c r="M5790" s="184"/>
      <c r="N5790" s="184"/>
      <c r="O5790" s="184"/>
    </row>
    <row r="5791" customFormat="false" ht="15" hidden="false" customHeight="true" outlineLevel="0" collapsed="false">
      <c r="A5791" s="184"/>
      <c r="B5791" s="184"/>
      <c r="C5791" s="184"/>
      <c r="D5791" s="184"/>
      <c r="E5791" s="184"/>
      <c r="F5791" s="184"/>
      <c r="G5791" s="184"/>
      <c r="H5791" s="184"/>
      <c r="I5791" s="184"/>
      <c r="J5791" s="184"/>
      <c r="K5791" s="184"/>
      <c r="L5791" s="184"/>
      <c r="M5791" s="184"/>
      <c r="N5791" s="184"/>
      <c r="O5791" s="184"/>
    </row>
    <row r="5792" customFormat="false" ht="15" hidden="false" customHeight="true" outlineLevel="0" collapsed="false">
      <c r="A5792" s="184"/>
      <c r="B5792" s="184"/>
      <c r="C5792" s="184"/>
      <c r="D5792" s="184"/>
      <c r="E5792" s="184"/>
      <c r="F5792" s="184"/>
      <c r="G5792" s="184"/>
      <c r="H5792" s="184"/>
      <c r="I5792" s="184"/>
      <c r="J5792" s="184"/>
      <c r="K5792" s="184"/>
      <c r="L5792" s="184"/>
      <c r="M5792" s="184"/>
      <c r="N5792" s="184"/>
      <c r="O5792" s="184"/>
    </row>
    <row r="5793" customFormat="false" ht="15" hidden="false" customHeight="true" outlineLevel="0" collapsed="false">
      <c r="A5793" s="184"/>
      <c r="B5793" s="184"/>
      <c r="C5793" s="184"/>
      <c r="D5793" s="184"/>
      <c r="E5793" s="184"/>
      <c r="F5793" s="184"/>
      <c r="G5793" s="184"/>
      <c r="H5793" s="184"/>
      <c r="I5793" s="184"/>
      <c r="J5793" s="184"/>
      <c r="K5793" s="184"/>
      <c r="L5793" s="184"/>
      <c r="M5793" s="184"/>
      <c r="N5793" s="184"/>
      <c r="O5793" s="184"/>
    </row>
    <row r="5794" customFormat="false" ht="15" hidden="false" customHeight="true" outlineLevel="0" collapsed="false">
      <c r="A5794" s="184"/>
      <c r="B5794" s="184"/>
      <c r="C5794" s="184"/>
      <c r="D5794" s="184"/>
      <c r="E5794" s="184"/>
      <c r="F5794" s="184"/>
      <c r="G5794" s="184"/>
      <c r="H5794" s="184"/>
      <c r="I5794" s="184"/>
      <c r="J5794" s="184"/>
      <c r="K5794" s="184"/>
      <c r="L5794" s="184"/>
      <c r="M5794" s="184"/>
      <c r="N5794" s="184"/>
      <c r="O5794" s="184"/>
    </row>
    <row r="5795" customFormat="false" ht="15" hidden="false" customHeight="true" outlineLevel="0" collapsed="false">
      <c r="A5795" s="184"/>
      <c r="B5795" s="184"/>
      <c r="C5795" s="184"/>
      <c r="D5795" s="184"/>
      <c r="E5795" s="184"/>
      <c r="F5795" s="184"/>
      <c r="G5795" s="184"/>
      <c r="H5795" s="184"/>
      <c r="I5795" s="184"/>
      <c r="J5795" s="184"/>
      <c r="K5795" s="184"/>
      <c r="L5795" s="184"/>
      <c r="M5795" s="184"/>
      <c r="N5795" s="184"/>
      <c r="O5795" s="184"/>
    </row>
    <row r="5796" customFormat="false" ht="15" hidden="false" customHeight="true" outlineLevel="0" collapsed="false">
      <c r="A5796" s="184"/>
      <c r="B5796" s="184"/>
      <c r="C5796" s="184"/>
      <c r="D5796" s="184"/>
      <c r="E5796" s="184"/>
      <c r="F5796" s="184"/>
      <c r="G5796" s="184"/>
      <c r="H5796" s="184"/>
      <c r="I5796" s="184"/>
      <c r="J5796" s="184"/>
      <c r="K5796" s="184"/>
      <c r="L5796" s="184"/>
      <c r="M5796" s="184"/>
      <c r="N5796" s="184"/>
      <c r="O5796" s="184"/>
    </row>
    <row r="5797" customFormat="false" ht="15" hidden="false" customHeight="true" outlineLevel="0" collapsed="false">
      <c r="A5797" s="184"/>
      <c r="B5797" s="184"/>
      <c r="C5797" s="184"/>
      <c r="D5797" s="184"/>
      <c r="E5797" s="184"/>
      <c r="F5797" s="184"/>
      <c r="G5797" s="184"/>
      <c r="H5797" s="184"/>
      <c r="I5797" s="184"/>
      <c r="J5797" s="184"/>
      <c r="K5797" s="184"/>
      <c r="L5797" s="184"/>
      <c r="M5797" s="184"/>
      <c r="N5797" s="184"/>
      <c r="O5797" s="184"/>
    </row>
    <row r="5798" customFormat="false" ht="15" hidden="false" customHeight="true" outlineLevel="0" collapsed="false">
      <c r="A5798" s="184"/>
      <c r="B5798" s="184"/>
      <c r="C5798" s="184"/>
      <c r="D5798" s="184"/>
      <c r="E5798" s="184"/>
      <c r="F5798" s="184"/>
      <c r="G5798" s="184"/>
      <c r="H5798" s="184"/>
      <c r="I5798" s="184"/>
      <c r="J5798" s="184"/>
      <c r="K5798" s="184"/>
      <c r="L5798" s="184"/>
      <c r="M5798" s="184"/>
      <c r="N5798" s="184"/>
      <c r="O5798" s="184"/>
    </row>
    <row r="5799" customFormat="false" ht="15" hidden="false" customHeight="true" outlineLevel="0" collapsed="false">
      <c r="A5799" s="184"/>
      <c r="B5799" s="184"/>
      <c r="C5799" s="184"/>
      <c r="D5799" s="184"/>
      <c r="E5799" s="184"/>
      <c r="F5799" s="184"/>
      <c r="G5799" s="184"/>
      <c r="H5799" s="184"/>
      <c r="I5799" s="184"/>
      <c r="J5799" s="184"/>
      <c r="K5799" s="184"/>
      <c r="L5799" s="184"/>
      <c r="M5799" s="184"/>
      <c r="N5799" s="184"/>
      <c r="O5799" s="184"/>
    </row>
    <row r="5800" customFormat="false" ht="15" hidden="false" customHeight="true" outlineLevel="0" collapsed="false">
      <c r="A5800" s="184"/>
      <c r="B5800" s="184"/>
      <c r="C5800" s="184"/>
      <c r="D5800" s="184"/>
      <c r="E5800" s="184"/>
      <c r="F5800" s="184"/>
      <c r="G5800" s="184"/>
      <c r="H5800" s="184"/>
      <c r="I5800" s="184"/>
      <c r="J5800" s="184"/>
      <c r="K5800" s="184"/>
      <c r="L5800" s="184"/>
      <c r="M5800" s="184"/>
      <c r="N5800" s="184"/>
      <c r="O5800" s="184"/>
    </row>
    <row r="5801" customFormat="false" ht="15" hidden="false" customHeight="true" outlineLevel="0" collapsed="false">
      <c r="A5801" s="184"/>
      <c r="B5801" s="184"/>
      <c r="C5801" s="184"/>
      <c r="D5801" s="184"/>
      <c r="E5801" s="184"/>
      <c r="F5801" s="184"/>
      <c r="G5801" s="184"/>
      <c r="H5801" s="184"/>
      <c r="I5801" s="184"/>
      <c r="J5801" s="184"/>
      <c r="K5801" s="184"/>
      <c r="L5801" s="184"/>
      <c r="M5801" s="184"/>
      <c r="N5801" s="184"/>
      <c r="O5801" s="184"/>
    </row>
    <row r="5802" customFormat="false" ht="15" hidden="false" customHeight="true" outlineLevel="0" collapsed="false">
      <c r="A5802" s="184"/>
      <c r="B5802" s="184"/>
      <c r="C5802" s="184"/>
      <c r="D5802" s="184"/>
      <c r="E5802" s="184"/>
      <c r="F5802" s="184"/>
      <c r="G5802" s="184"/>
      <c r="H5802" s="184"/>
      <c r="I5802" s="184"/>
      <c r="J5802" s="184"/>
      <c r="K5802" s="184"/>
      <c r="L5802" s="184"/>
      <c r="M5802" s="184"/>
      <c r="N5802" s="184"/>
      <c r="O5802" s="184"/>
    </row>
    <row r="5803" customFormat="false" ht="15" hidden="false" customHeight="true" outlineLevel="0" collapsed="false">
      <c r="A5803" s="184"/>
      <c r="B5803" s="184"/>
      <c r="C5803" s="184"/>
      <c r="D5803" s="184"/>
      <c r="E5803" s="184"/>
      <c r="F5803" s="184"/>
      <c r="G5803" s="184"/>
      <c r="H5803" s="184"/>
      <c r="I5803" s="184"/>
      <c r="J5803" s="184"/>
      <c r="K5803" s="184"/>
      <c r="L5803" s="184"/>
      <c r="M5803" s="184"/>
      <c r="N5803" s="184"/>
      <c r="O5803" s="184"/>
    </row>
    <row r="5804" customFormat="false" ht="15" hidden="false" customHeight="true" outlineLevel="0" collapsed="false">
      <c r="A5804" s="184"/>
      <c r="B5804" s="184"/>
      <c r="C5804" s="184"/>
      <c r="D5804" s="184"/>
      <c r="E5804" s="184"/>
      <c r="F5804" s="184"/>
      <c r="G5804" s="184"/>
      <c r="H5804" s="184"/>
      <c r="I5804" s="184"/>
      <c r="J5804" s="184"/>
      <c r="K5804" s="184"/>
      <c r="L5804" s="184"/>
      <c r="M5804" s="184"/>
      <c r="N5804" s="184"/>
      <c r="O5804" s="184"/>
    </row>
    <row r="5805" customFormat="false" ht="15" hidden="false" customHeight="true" outlineLevel="0" collapsed="false">
      <c r="A5805" s="184"/>
      <c r="B5805" s="184"/>
      <c r="C5805" s="184"/>
      <c r="D5805" s="184"/>
      <c r="E5805" s="184"/>
      <c r="F5805" s="184"/>
      <c r="G5805" s="184"/>
      <c r="H5805" s="184"/>
      <c r="I5805" s="184"/>
      <c r="J5805" s="184"/>
      <c r="K5805" s="184"/>
      <c r="L5805" s="184"/>
      <c r="M5805" s="184"/>
      <c r="N5805" s="184"/>
      <c r="O5805" s="184"/>
    </row>
    <row r="5806" customFormat="false" ht="15" hidden="false" customHeight="true" outlineLevel="0" collapsed="false">
      <c r="A5806" s="184"/>
      <c r="B5806" s="184"/>
      <c r="C5806" s="184"/>
      <c r="D5806" s="184"/>
      <c r="E5806" s="184"/>
      <c r="F5806" s="184"/>
      <c r="G5806" s="184"/>
      <c r="H5806" s="184"/>
      <c r="I5806" s="184"/>
      <c r="J5806" s="184"/>
      <c r="K5806" s="184"/>
      <c r="L5806" s="184"/>
      <c r="M5806" s="184"/>
      <c r="N5806" s="184"/>
      <c r="O5806" s="184"/>
    </row>
    <row r="5807" customFormat="false" ht="15" hidden="false" customHeight="true" outlineLevel="0" collapsed="false">
      <c r="A5807" s="184"/>
      <c r="B5807" s="184"/>
      <c r="C5807" s="184"/>
      <c r="D5807" s="184"/>
      <c r="E5807" s="184"/>
      <c r="F5807" s="184"/>
      <c r="G5807" s="184"/>
      <c r="H5807" s="184"/>
      <c r="I5807" s="184"/>
      <c r="J5807" s="184"/>
      <c r="K5807" s="184"/>
      <c r="L5807" s="184"/>
      <c r="M5807" s="184"/>
      <c r="N5807" s="184"/>
      <c r="O5807" s="184"/>
    </row>
    <row r="5808" customFormat="false" ht="15" hidden="false" customHeight="true" outlineLevel="0" collapsed="false">
      <c r="A5808" s="184"/>
      <c r="B5808" s="184"/>
      <c r="C5808" s="184"/>
      <c r="D5808" s="184"/>
      <c r="E5808" s="184"/>
      <c r="F5808" s="184"/>
      <c r="G5808" s="184"/>
      <c r="H5808" s="184"/>
      <c r="I5808" s="184"/>
      <c r="J5808" s="184"/>
      <c r="K5808" s="184"/>
      <c r="L5808" s="184"/>
      <c r="M5808" s="184"/>
      <c r="N5808" s="184"/>
      <c r="O5808" s="184"/>
    </row>
    <row r="5809" customFormat="false" ht="15" hidden="false" customHeight="true" outlineLevel="0" collapsed="false">
      <c r="A5809" s="184"/>
      <c r="B5809" s="184"/>
      <c r="C5809" s="184"/>
      <c r="D5809" s="184"/>
      <c r="E5809" s="184"/>
      <c r="F5809" s="184"/>
      <c r="G5809" s="184"/>
      <c r="H5809" s="184"/>
      <c r="I5809" s="184"/>
      <c r="J5809" s="184"/>
      <c r="K5809" s="184"/>
      <c r="L5809" s="184"/>
      <c r="M5809" s="184"/>
      <c r="N5809" s="184"/>
      <c r="O5809" s="184"/>
    </row>
    <row r="5810" customFormat="false" ht="15" hidden="false" customHeight="true" outlineLevel="0" collapsed="false">
      <c r="A5810" s="184"/>
      <c r="B5810" s="184"/>
      <c r="C5810" s="184"/>
      <c r="D5810" s="184"/>
      <c r="E5810" s="184"/>
      <c r="F5810" s="184"/>
      <c r="G5810" s="184"/>
      <c r="H5810" s="184"/>
      <c r="I5810" s="184"/>
      <c r="J5810" s="184"/>
      <c r="K5810" s="184"/>
      <c r="L5810" s="184"/>
      <c r="M5810" s="184"/>
      <c r="N5810" s="184"/>
      <c r="O5810" s="184"/>
    </row>
    <row r="5811" customFormat="false" ht="15" hidden="false" customHeight="true" outlineLevel="0" collapsed="false">
      <c r="A5811" s="184"/>
      <c r="B5811" s="184"/>
      <c r="C5811" s="184"/>
      <c r="D5811" s="184"/>
      <c r="E5811" s="184"/>
      <c r="F5811" s="184"/>
      <c r="G5811" s="184"/>
      <c r="H5811" s="184"/>
      <c r="I5811" s="184"/>
      <c r="J5811" s="184"/>
      <c r="K5811" s="184"/>
      <c r="L5811" s="184"/>
      <c r="M5811" s="184"/>
      <c r="N5811" s="184"/>
      <c r="O5811" s="184"/>
    </row>
    <row r="5812" customFormat="false" ht="15" hidden="false" customHeight="true" outlineLevel="0" collapsed="false">
      <c r="A5812" s="184"/>
      <c r="B5812" s="184"/>
      <c r="C5812" s="184"/>
      <c r="D5812" s="184"/>
      <c r="E5812" s="184"/>
      <c r="F5812" s="184"/>
      <c r="G5812" s="184"/>
      <c r="H5812" s="184"/>
      <c r="I5812" s="184"/>
      <c r="J5812" s="184"/>
      <c r="K5812" s="184"/>
      <c r="L5812" s="184"/>
      <c r="M5812" s="184"/>
      <c r="N5812" s="184"/>
      <c r="O5812" s="184"/>
    </row>
    <row r="5813" customFormat="false" ht="15" hidden="false" customHeight="true" outlineLevel="0" collapsed="false">
      <c r="A5813" s="184"/>
      <c r="B5813" s="184"/>
      <c r="C5813" s="184"/>
      <c r="D5813" s="184"/>
      <c r="E5813" s="184"/>
      <c r="F5813" s="184"/>
      <c r="G5813" s="184"/>
      <c r="H5813" s="184"/>
      <c r="I5813" s="184"/>
      <c r="J5813" s="184"/>
      <c r="K5813" s="184"/>
      <c r="L5813" s="184"/>
      <c r="M5813" s="184"/>
      <c r="N5813" s="184"/>
      <c r="O5813" s="184"/>
    </row>
    <row r="5814" customFormat="false" ht="15" hidden="false" customHeight="true" outlineLevel="0" collapsed="false">
      <c r="A5814" s="184"/>
      <c r="B5814" s="184"/>
      <c r="C5814" s="184"/>
      <c r="D5814" s="184"/>
      <c r="E5814" s="184"/>
      <c r="F5814" s="184"/>
      <c r="G5814" s="184"/>
      <c r="H5814" s="184"/>
      <c r="I5814" s="184"/>
      <c r="J5814" s="184"/>
      <c r="K5814" s="184"/>
      <c r="L5814" s="184"/>
      <c r="M5814" s="184"/>
      <c r="N5814" s="184"/>
      <c r="O5814" s="184"/>
    </row>
    <row r="5815" customFormat="false" ht="15" hidden="false" customHeight="true" outlineLevel="0" collapsed="false">
      <c r="A5815" s="184"/>
      <c r="B5815" s="184"/>
      <c r="C5815" s="184"/>
      <c r="D5815" s="184"/>
      <c r="E5815" s="184"/>
      <c r="F5815" s="184"/>
      <c r="G5815" s="184"/>
      <c r="H5815" s="184"/>
      <c r="I5815" s="184"/>
      <c r="J5815" s="184"/>
      <c r="K5815" s="184"/>
      <c r="L5815" s="184"/>
      <c r="M5815" s="184"/>
      <c r="N5815" s="184"/>
      <c r="O5815" s="184"/>
    </row>
    <row r="5816" customFormat="false" ht="15" hidden="false" customHeight="true" outlineLevel="0" collapsed="false">
      <c r="A5816" s="184"/>
      <c r="B5816" s="184"/>
      <c r="C5816" s="184"/>
      <c r="D5816" s="184"/>
      <c r="E5816" s="184"/>
      <c r="F5816" s="184"/>
      <c r="G5816" s="184"/>
      <c r="H5816" s="184"/>
      <c r="I5816" s="184"/>
      <c r="J5816" s="184"/>
      <c r="K5816" s="184"/>
      <c r="L5816" s="184"/>
      <c r="M5816" s="184"/>
      <c r="N5816" s="184"/>
      <c r="O5816" s="184"/>
    </row>
    <row r="5817" customFormat="false" ht="15" hidden="false" customHeight="true" outlineLevel="0" collapsed="false">
      <c r="A5817" s="184"/>
      <c r="B5817" s="184"/>
      <c r="C5817" s="184"/>
      <c r="D5817" s="184"/>
      <c r="E5817" s="184"/>
      <c r="F5817" s="184"/>
      <c r="G5817" s="184"/>
      <c r="H5817" s="184"/>
      <c r="I5817" s="184"/>
      <c r="J5817" s="184"/>
      <c r="K5817" s="184"/>
      <c r="L5817" s="184"/>
      <c r="M5817" s="184"/>
      <c r="N5817" s="184"/>
      <c r="O5817" s="184"/>
    </row>
    <row r="5818" customFormat="false" ht="15" hidden="false" customHeight="true" outlineLevel="0" collapsed="false">
      <c r="A5818" s="184"/>
      <c r="B5818" s="184"/>
      <c r="C5818" s="184"/>
      <c r="D5818" s="184"/>
      <c r="E5818" s="184"/>
      <c r="F5818" s="184"/>
      <c r="G5818" s="184"/>
      <c r="H5818" s="184"/>
      <c r="I5818" s="184"/>
      <c r="J5818" s="184"/>
      <c r="K5818" s="184"/>
      <c r="L5818" s="184"/>
      <c r="M5818" s="184"/>
      <c r="N5818" s="184"/>
      <c r="O5818" s="184"/>
    </row>
    <row r="5819" customFormat="false" ht="15" hidden="false" customHeight="true" outlineLevel="0" collapsed="false">
      <c r="A5819" s="184"/>
      <c r="B5819" s="184"/>
      <c r="C5819" s="184"/>
      <c r="D5819" s="184"/>
      <c r="E5819" s="184"/>
      <c r="F5819" s="184"/>
      <c r="G5819" s="184"/>
      <c r="H5819" s="184"/>
      <c r="I5819" s="184"/>
      <c r="J5819" s="184"/>
      <c r="K5819" s="184"/>
      <c r="L5819" s="184"/>
      <c r="M5819" s="184"/>
      <c r="N5819" s="184"/>
      <c r="O5819" s="184"/>
    </row>
    <row r="5820" customFormat="false" ht="15" hidden="false" customHeight="true" outlineLevel="0" collapsed="false">
      <c r="A5820" s="184"/>
      <c r="B5820" s="184"/>
      <c r="C5820" s="184"/>
      <c r="D5820" s="184"/>
      <c r="E5820" s="184"/>
      <c r="F5820" s="184"/>
      <c r="G5820" s="184"/>
      <c r="H5820" s="184"/>
      <c r="I5820" s="184"/>
      <c r="J5820" s="184"/>
      <c r="K5820" s="184"/>
      <c r="L5820" s="184"/>
      <c r="M5820" s="184"/>
      <c r="N5820" s="184"/>
      <c r="O5820" s="184"/>
    </row>
    <row r="5821" customFormat="false" ht="15" hidden="false" customHeight="true" outlineLevel="0" collapsed="false">
      <c r="A5821" s="184"/>
      <c r="B5821" s="184"/>
      <c r="C5821" s="184"/>
      <c r="D5821" s="184"/>
      <c r="E5821" s="184"/>
      <c r="F5821" s="184"/>
      <c r="G5821" s="184"/>
      <c r="H5821" s="184"/>
      <c r="I5821" s="184"/>
      <c r="J5821" s="184"/>
      <c r="K5821" s="184"/>
      <c r="L5821" s="184"/>
      <c r="M5821" s="184"/>
      <c r="N5821" s="184"/>
      <c r="O5821" s="184"/>
    </row>
    <row r="5822" customFormat="false" ht="15" hidden="false" customHeight="true" outlineLevel="0" collapsed="false">
      <c r="A5822" s="184"/>
      <c r="B5822" s="184"/>
      <c r="C5822" s="184"/>
      <c r="D5822" s="184"/>
      <c r="E5822" s="184"/>
      <c r="F5822" s="184"/>
      <c r="G5822" s="184"/>
      <c r="H5822" s="184"/>
      <c r="I5822" s="184"/>
      <c r="J5822" s="184"/>
      <c r="K5822" s="184"/>
      <c r="L5822" s="184"/>
      <c r="M5822" s="184"/>
      <c r="N5822" s="184"/>
      <c r="O5822" s="184"/>
    </row>
    <row r="5823" customFormat="false" ht="15" hidden="false" customHeight="true" outlineLevel="0" collapsed="false">
      <c r="A5823" s="184"/>
      <c r="B5823" s="184"/>
      <c r="C5823" s="184"/>
      <c r="D5823" s="184"/>
      <c r="E5823" s="184"/>
      <c r="F5823" s="184"/>
      <c r="G5823" s="184"/>
      <c r="H5823" s="184"/>
      <c r="I5823" s="184"/>
      <c r="J5823" s="184"/>
      <c r="K5823" s="184"/>
      <c r="L5823" s="184"/>
      <c r="M5823" s="184"/>
      <c r="N5823" s="184"/>
      <c r="O5823" s="184"/>
    </row>
    <row r="5824" customFormat="false" ht="15" hidden="false" customHeight="true" outlineLevel="0" collapsed="false">
      <c r="A5824" s="184"/>
      <c r="B5824" s="184"/>
      <c r="C5824" s="184"/>
      <c r="D5824" s="184"/>
      <c r="E5824" s="184"/>
      <c r="F5824" s="184"/>
      <c r="G5824" s="184"/>
      <c r="H5824" s="184"/>
      <c r="I5824" s="184"/>
      <c r="J5824" s="184"/>
      <c r="K5824" s="184"/>
      <c r="L5824" s="184"/>
      <c r="M5824" s="184"/>
      <c r="N5824" s="184"/>
      <c r="O5824" s="184"/>
    </row>
    <row r="5825" customFormat="false" ht="15" hidden="false" customHeight="true" outlineLevel="0" collapsed="false">
      <c r="A5825" s="184"/>
      <c r="B5825" s="184"/>
      <c r="C5825" s="184"/>
      <c r="D5825" s="184"/>
      <c r="E5825" s="184"/>
      <c r="F5825" s="184"/>
      <c r="G5825" s="184"/>
      <c r="H5825" s="184"/>
      <c r="I5825" s="184"/>
      <c r="J5825" s="184"/>
      <c r="K5825" s="184"/>
      <c r="L5825" s="184"/>
      <c r="M5825" s="184"/>
      <c r="N5825" s="184"/>
      <c r="O5825" s="184"/>
    </row>
    <row r="5826" customFormat="false" ht="15" hidden="false" customHeight="true" outlineLevel="0" collapsed="false">
      <c r="A5826" s="184"/>
      <c r="B5826" s="184"/>
      <c r="C5826" s="184"/>
      <c r="D5826" s="184"/>
      <c r="E5826" s="184"/>
      <c r="F5826" s="184"/>
      <c r="G5826" s="184"/>
      <c r="H5826" s="184"/>
      <c r="I5826" s="184"/>
      <c r="J5826" s="184"/>
      <c r="K5826" s="184"/>
      <c r="L5826" s="184"/>
      <c r="M5826" s="184"/>
      <c r="N5826" s="184"/>
      <c r="O5826" s="184"/>
    </row>
    <row r="5827" customFormat="false" ht="15" hidden="false" customHeight="true" outlineLevel="0" collapsed="false">
      <c r="A5827" s="184"/>
      <c r="B5827" s="184"/>
      <c r="C5827" s="184"/>
      <c r="D5827" s="184"/>
      <c r="E5827" s="184"/>
      <c r="F5827" s="184"/>
      <c r="G5827" s="184"/>
      <c r="H5827" s="184"/>
      <c r="I5827" s="184"/>
      <c r="J5827" s="184"/>
      <c r="K5827" s="184"/>
      <c r="L5827" s="184"/>
      <c r="M5827" s="184"/>
      <c r="N5827" s="184"/>
      <c r="O5827" s="184"/>
    </row>
    <row r="5828" customFormat="false" ht="15" hidden="false" customHeight="true" outlineLevel="0" collapsed="false">
      <c r="A5828" s="184"/>
      <c r="B5828" s="184"/>
      <c r="C5828" s="184"/>
      <c r="D5828" s="184"/>
      <c r="E5828" s="184"/>
      <c r="F5828" s="184"/>
      <c r="G5828" s="184"/>
      <c r="H5828" s="184"/>
      <c r="I5828" s="184"/>
      <c r="J5828" s="184"/>
      <c r="K5828" s="184"/>
      <c r="L5828" s="184"/>
      <c r="M5828" s="184"/>
      <c r="N5828" s="184"/>
      <c r="O5828" s="184"/>
    </row>
    <row r="5829" customFormat="false" ht="15" hidden="false" customHeight="true" outlineLevel="0" collapsed="false">
      <c r="A5829" s="184"/>
      <c r="B5829" s="184"/>
      <c r="C5829" s="184"/>
      <c r="D5829" s="184"/>
      <c r="E5829" s="184"/>
      <c r="F5829" s="184"/>
      <c r="G5829" s="184"/>
      <c r="H5829" s="184"/>
      <c r="I5829" s="184"/>
      <c r="J5829" s="184"/>
      <c r="K5829" s="184"/>
      <c r="L5829" s="184"/>
      <c r="M5829" s="184"/>
      <c r="N5829" s="184"/>
      <c r="O5829" s="184"/>
    </row>
    <row r="5830" customFormat="false" ht="15" hidden="false" customHeight="true" outlineLevel="0" collapsed="false">
      <c r="A5830" s="184"/>
      <c r="B5830" s="184"/>
      <c r="C5830" s="184"/>
      <c r="D5830" s="184"/>
      <c r="E5830" s="184"/>
      <c r="F5830" s="184"/>
      <c r="G5830" s="184"/>
      <c r="H5830" s="184"/>
      <c r="I5830" s="184"/>
      <c r="J5830" s="184"/>
      <c r="K5830" s="184"/>
      <c r="L5830" s="184"/>
      <c r="M5830" s="184"/>
      <c r="N5830" s="184"/>
      <c r="O5830" s="184"/>
    </row>
    <row r="5831" customFormat="false" ht="15" hidden="false" customHeight="true" outlineLevel="0" collapsed="false">
      <c r="A5831" s="184"/>
      <c r="B5831" s="184"/>
      <c r="C5831" s="184"/>
      <c r="D5831" s="184"/>
      <c r="E5831" s="184"/>
      <c r="F5831" s="184"/>
      <c r="G5831" s="184"/>
      <c r="H5831" s="184"/>
      <c r="I5831" s="184"/>
      <c r="J5831" s="184"/>
      <c r="K5831" s="184"/>
      <c r="L5831" s="184"/>
      <c r="M5831" s="184"/>
      <c r="N5831" s="184"/>
      <c r="O5831" s="184"/>
    </row>
    <row r="5832" customFormat="false" ht="15" hidden="false" customHeight="true" outlineLevel="0" collapsed="false">
      <c r="A5832" s="184"/>
      <c r="B5832" s="184"/>
      <c r="C5832" s="184"/>
      <c r="D5832" s="184"/>
      <c r="E5832" s="184"/>
      <c r="F5832" s="184"/>
      <c r="G5832" s="184"/>
      <c r="H5832" s="184"/>
      <c r="I5832" s="184"/>
      <c r="J5832" s="184"/>
      <c r="K5832" s="184"/>
      <c r="L5832" s="184"/>
      <c r="M5832" s="184"/>
      <c r="N5832" s="184"/>
      <c r="O5832" s="184"/>
    </row>
    <row r="5833" customFormat="false" ht="15" hidden="false" customHeight="true" outlineLevel="0" collapsed="false">
      <c r="A5833" s="184"/>
      <c r="B5833" s="184"/>
      <c r="C5833" s="184"/>
      <c r="D5833" s="184"/>
      <c r="E5833" s="184"/>
      <c r="F5833" s="184"/>
      <c r="G5833" s="184"/>
      <c r="H5833" s="184"/>
      <c r="I5833" s="184"/>
      <c r="J5833" s="184"/>
      <c r="K5833" s="184"/>
      <c r="L5833" s="184"/>
      <c r="M5833" s="184"/>
      <c r="N5833" s="184"/>
      <c r="O5833" s="184"/>
    </row>
    <row r="5834" customFormat="false" ht="15" hidden="false" customHeight="true" outlineLevel="0" collapsed="false">
      <c r="A5834" s="184"/>
      <c r="B5834" s="184"/>
      <c r="C5834" s="184"/>
      <c r="D5834" s="184"/>
      <c r="E5834" s="184"/>
      <c r="F5834" s="184"/>
      <c r="G5834" s="184"/>
      <c r="H5834" s="184"/>
      <c r="I5834" s="184"/>
      <c r="J5834" s="184"/>
      <c r="K5834" s="184"/>
      <c r="L5834" s="184"/>
      <c r="M5834" s="184"/>
      <c r="N5834" s="184"/>
      <c r="O5834" s="184"/>
    </row>
    <row r="5835" customFormat="false" ht="15" hidden="false" customHeight="true" outlineLevel="0" collapsed="false">
      <c r="A5835" s="184"/>
      <c r="B5835" s="184"/>
      <c r="C5835" s="184"/>
      <c r="D5835" s="184"/>
      <c r="E5835" s="184"/>
      <c r="F5835" s="184"/>
      <c r="G5835" s="184"/>
      <c r="H5835" s="184"/>
      <c r="I5835" s="184"/>
      <c r="J5835" s="184"/>
      <c r="K5835" s="184"/>
      <c r="L5835" s="184"/>
      <c r="M5835" s="184"/>
      <c r="N5835" s="184"/>
      <c r="O5835" s="184"/>
    </row>
    <row r="5836" customFormat="false" ht="15" hidden="false" customHeight="true" outlineLevel="0" collapsed="false">
      <c r="A5836" s="184"/>
      <c r="B5836" s="184"/>
      <c r="C5836" s="184"/>
      <c r="D5836" s="184"/>
      <c r="E5836" s="184"/>
      <c r="F5836" s="184"/>
      <c r="G5836" s="184"/>
      <c r="H5836" s="184"/>
      <c r="I5836" s="184"/>
      <c r="J5836" s="184"/>
      <c r="K5836" s="184"/>
      <c r="L5836" s="184"/>
      <c r="M5836" s="184"/>
      <c r="N5836" s="184"/>
      <c r="O5836" s="184"/>
    </row>
    <row r="5837" customFormat="false" ht="15" hidden="false" customHeight="true" outlineLevel="0" collapsed="false">
      <c r="A5837" s="184"/>
      <c r="B5837" s="184"/>
      <c r="C5837" s="184"/>
      <c r="D5837" s="184"/>
      <c r="E5837" s="184"/>
      <c r="F5837" s="184"/>
      <c r="G5837" s="184"/>
      <c r="H5837" s="184"/>
      <c r="I5837" s="184"/>
      <c r="J5837" s="184"/>
      <c r="K5837" s="184"/>
      <c r="L5837" s="184"/>
      <c r="M5837" s="184"/>
      <c r="N5837" s="184"/>
      <c r="O5837" s="184"/>
    </row>
    <row r="5838" customFormat="false" ht="15" hidden="false" customHeight="true" outlineLevel="0" collapsed="false">
      <c r="A5838" s="184"/>
      <c r="B5838" s="184"/>
      <c r="C5838" s="184"/>
      <c r="D5838" s="184"/>
      <c r="E5838" s="184"/>
      <c r="F5838" s="184"/>
      <c r="G5838" s="184"/>
      <c r="H5838" s="184"/>
      <c r="I5838" s="184"/>
      <c r="J5838" s="184"/>
      <c r="K5838" s="184"/>
      <c r="L5838" s="184"/>
      <c r="M5838" s="184"/>
      <c r="N5838" s="184"/>
      <c r="O5838" s="184"/>
    </row>
    <row r="5839" customFormat="false" ht="15" hidden="false" customHeight="true" outlineLevel="0" collapsed="false">
      <c r="A5839" s="184"/>
      <c r="B5839" s="184"/>
      <c r="C5839" s="184"/>
      <c r="D5839" s="184"/>
      <c r="E5839" s="184"/>
      <c r="F5839" s="184"/>
      <c r="G5839" s="184"/>
      <c r="H5839" s="184"/>
      <c r="I5839" s="184"/>
      <c r="J5839" s="184"/>
      <c r="K5839" s="184"/>
      <c r="L5839" s="184"/>
      <c r="M5839" s="184"/>
      <c r="N5839" s="184"/>
      <c r="O5839" s="184"/>
    </row>
    <row r="5840" customFormat="false" ht="15" hidden="false" customHeight="true" outlineLevel="0" collapsed="false">
      <c r="A5840" s="184"/>
      <c r="B5840" s="184"/>
      <c r="C5840" s="184"/>
      <c r="D5840" s="184"/>
      <c r="E5840" s="184"/>
      <c r="F5840" s="184"/>
      <c r="G5840" s="184"/>
      <c r="H5840" s="184"/>
      <c r="I5840" s="184"/>
      <c r="J5840" s="184"/>
      <c r="K5840" s="184"/>
      <c r="L5840" s="184"/>
      <c r="M5840" s="184"/>
      <c r="N5840" s="184"/>
      <c r="O5840" s="184"/>
    </row>
    <row r="5841" customFormat="false" ht="15" hidden="false" customHeight="true" outlineLevel="0" collapsed="false">
      <c r="A5841" s="184"/>
      <c r="B5841" s="184"/>
      <c r="C5841" s="184"/>
      <c r="D5841" s="184"/>
      <c r="E5841" s="184"/>
      <c r="F5841" s="184"/>
      <c r="G5841" s="184"/>
      <c r="H5841" s="184"/>
      <c r="I5841" s="184"/>
      <c r="J5841" s="184"/>
      <c r="K5841" s="184"/>
      <c r="L5841" s="184"/>
      <c r="M5841" s="184"/>
      <c r="N5841" s="184"/>
      <c r="O5841" s="184"/>
    </row>
    <row r="5842" customFormat="false" ht="15" hidden="false" customHeight="true" outlineLevel="0" collapsed="false">
      <c r="A5842" s="184"/>
      <c r="B5842" s="184"/>
      <c r="C5842" s="184"/>
      <c r="D5842" s="184"/>
      <c r="E5842" s="184"/>
      <c r="F5842" s="184"/>
      <c r="G5842" s="184"/>
      <c r="H5842" s="184"/>
      <c r="I5842" s="184"/>
      <c r="J5842" s="184"/>
      <c r="K5842" s="184"/>
      <c r="L5842" s="184"/>
      <c r="M5842" s="184"/>
      <c r="N5842" s="184"/>
      <c r="O5842" s="184"/>
    </row>
    <row r="5843" customFormat="false" ht="15" hidden="false" customHeight="true" outlineLevel="0" collapsed="false">
      <c r="A5843" s="184"/>
      <c r="B5843" s="184"/>
      <c r="C5843" s="184"/>
      <c r="D5843" s="184"/>
      <c r="E5843" s="184"/>
      <c r="F5843" s="184"/>
      <c r="G5843" s="184"/>
      <c r="H5843" s="184"/>
      <c r="I5843" s="184"/>
      <c r="J5843" s="184"/>
      <c r="K5843" s="184"/>
      <c r="L5843" s="184"/>
      <c r="M5843" s="184"/>
      <c r="N5843" s="184"/>
      <c r="O5843" s="184"/>
    </row>
    <row r="5844" customFormat="false" ht="15" hidden="false" customHeight="true" outlineLevel="0" collapsed="false">
      <c r="A5844" s="184"/>
      <c r="B5844" s="184"/>
      <c r="C5844" s="184"/>
      <c r="D5844" s="184"/>
      <c r="E5844" s="184"/>
      <c r="F5844" s="184"/>
      <c r="G5844" s="184"/>
      <c r="H5844" s="184"/>
      <c r="I5844" s="184"/>
      <c r="J5844" s="184"/>
      <c r="K5844" s="184"/>
      <c r="L5844" s="184"/>
      <c r="M5844" s="184"/>
      <c r="N5844" s="184"/>
      <c r="O5844" s="184"/>
    </row>
    <row r="5845" customFormat="false" ht="15" hidden="false" customHeight="true" outlineLevel="0" collapsed="false">
      <c r="A5845" s="184"/>
      <c r="B5845" s="184"/>
      <c r="C5845" s="184"/>
      <c r="D5845" s="184"/>
      <c r="E5845" s="184"/>
      <c r="F5845" s="184"/>
      <c r="G5845" s="184"/>
      <c r="H5845" s="184"/>
      <c r="I5845" s="184"/>
      <c r="J5845" s="184"/>
      <c r="K5845" s="184"/>
      <c r="L5845" s="184"/>
      <c r="M5845" s="184"/>
      <c r="N5845" s="184"/>
      <c r="O5845" s="184"/>
    </row>
    <row r="5846" customFormat="false" ht="15" hidden="false" customHeight="true" outlineLevel="0" collapsed="false">
      <c r="A5846" s="184"/>
      <c r="B5846" s="184"/>
      <c r="C5846" s="184"/>
      <c r="D5846" s="184"/>
      <c r="E5846" s="184"/>
      <c r="F5846" s="184"/>
      <c r="G5846" s="184"/>
      <c r="H5846" s="184"/>
      <c r="I5846" s="184"/>
      <c r="J5846" s="184"/>
      <c r="K5846" s="184"/>
      <c r="L5846" s="184"/>
      <c r="M5846" s="184"/>
      <c r="N5846" s="184"/>
      <c r="O5846" s="184"/>
    </row>
    <row r="5847" customFormat="false" ht="15" hidden="false" customHeight="true" outlineLevel="0" collapsed="false">
      <c r="A5847" s="184"/>
      <c r="B5847" s="184"/>
      <c r="C5847" s="184"/>
      <c r="D5847" s="184"/>
      <c r="E5847" s="184"/>
      <c r="F5847" s="184"/>
      <c r="G5847" s="184"/>
      <c r="H5847" s="184"/>
      <c r="I5847" s="184"/>
      <c r="J5847" s="184"/>
      <c r="K5847" s="184"/>
      <c r="L5847" s="184"/>
      <c r="M5847" s="184"/>
      <c r="N5847" s="184"/>
      <c r="O5847" s="184"/>
    </row>
    <row r="5848" customFormat="false" ht="15" hidden="false" customHeight="true" outlineLevel="0" collapsed="false">
      <c r="A5848" s="184"/>
      <c r="B5848" s="184"/>
      <c r="C5848" s="184"/>
      <c r="D5848" s="184"/>
      <c r="E5848" s="184"/>
      <c r="F5848" s="184"/>
      <c r="G5848" s="184"/>
      <c r="H5848" s="184"/>
      <c r="I5848" s="184"/>
      <c r="J5848" s="184"/>
      <c r="K5848" s="184"/>
      <c r="L5848" s="184"/>
      <c r="M5848" s="184"/>
      <c r="N5848" s="184"/>
      <c r="O5848" s="184"/>
    </row>
    <row r="5849" customFormat="false" ht="15" hidden="false" customHeight="true" outlineLevel="0" collapsed="false">
      <c r="A5849" s="184"/>
      <c r="B5849" s="184"/>
      <c r="C5849" s="184"/>
      <c r="D5849" s="184"/>
      <c r="E5849" s="184"/>
      <c r="F5849" s="184"/>
      <c r="G5849" s="184"/>
      <c r="H5849" s="184"/>
      <c r="I5849" s="184"/>
      <c r="J5849" s="184"/>
      <c r="K5849" s="184"/>
      <c r="L5849" s="184"/>
      <c r="M5849" s="184"/>
      <c r="N5849" s="184"/>
      <c r="O5849" s="184"/>
    </row>
    <row r="5850" customFormat="false" ht="15" hidden="false" customHeight="true" outlineLevel="0" collapsed="false">
      <c r="A5850" s="184"/>
      <c r="B5850" s="184"/>
      <c r="C5850" s="184"/>
      <c r="D5850" s="184"/>
      <c r="E5850" s="184"/>
      <c r="F5850" s="184"/>
      <c r="G5850" s="184"/>
      <c r="H5850" s="184"/>
      <c r="I5850" s="184"/>
      <c r="J5850" s="184"/>
      <c r="K5850" s="184"/>
      <c r="L5850" s="184"/>
      <c r="M5850" s="184"/>
      <c r="N5850" s="184"/>
      <c r="O5850" s="184"/>
    </row>
    <row r="5851" customFormat="false" ht="15" hidden="false" customHeight="true" outlineLevel="0" collapsed="false">
      <c r="A5851" s="184"/>
      <c r="B5851" s="184"/>
      <c r="C5851" s="184"/>
      <c r="D5851" s="184"/>
      <c r="E5851" s="184"/>
      <c r="F5851" s="184"/>
      <c r="G5851" s="184"/>
      <c r="H5851" s="184"/>
      <c r="I5851" s="184"/>
      <c r="J5851" s="184"/>
      <c r="K5851" s="184"/>
      <c r="L5851" s="184"/>
      <c r="M5851" s="184"/>
      <c r="N5851" s="184"/>
      <c r="O5851" s="184"/>
    </row>
    <row r="5852" customFormat="false" ht="15" hidden="false" customHeight="true" outlineLevel="0" collapsed="false">
      <c r="A5852" s="184"/>
      <c r="B5852" s="184"/>
      <c r="C5852" s="184"/>
      <c r="D5852" s="184"/>
      <c r="E5852" s="184"/>
      <c r="F5852" s="184"/>
      <c r="G5852" s="184"/>
      <c r="H5852" s="184"/>
      <c r="I5852" s="184"/>
      <c r="J5852" s="184"/>
      <c r="K5852" s="184"/>
      <c r="L5852" s="184"/>
      <c r="M5852" s="184"/>
      <c r="N5852" s="184"/>
      <c r="O5852" s="184"/>
    </row>
    <row r="5853" customFormat="false" ht="15" hidden="false" customHeight="true" outlineLevel="0" collapsed="false">
      <c r="A5853" s="184"/>
      <c r="B5853" s="184"/>
      <c r="C5853" s="184"/>
      <c r="D5853" s="184"/>
      <c r="E5853" s="184"/>
      <c r="F5853" s="184"/>
      <c r="G5853" s="184"/>
      <c r="H5853" s="184"/>
      <c r="I5853" s="184"/>
      <c r="J5853" s="184"/>
      <c r="K5853" s="184"/>
      <c r="L5853" s="184"/>
      <c r="M5853" s="184"/>
      <c r="N5853" s="184"/>
      <c r="O5853" s="184"/>
    </row>
    <row r="5854" customFormat="false" ht="15" hidden="false" customHeight="true" outlineLevel="0" collapsed="false">
      <c r="A5854" s="184"/>
      <c r="B5854" s="184"/>
      <c r="C5854" s="184"/>
      <c r="D5854" s="184"/>
      <c r="E5854" s="184"/>
      <c r="F5854" s="184"/>
      <c r="G5854" s="184"/>
      <c r="H5854" s="184"/>
      <c r="I5854" s="184"/>
      <c r="J5854" s="184"/>
      <c r="K5854" s="184"/>
      <c r="L5854" s="184"/>
      <c r="M5854" s="184"/>
      <c r="N5854" s="184"/>
      <c r="O5854" s="184"/>
    </row>
    <row r="5855" customFormat="false" ht="15" hidden="false" customHeight="true" outlineLevel="0" collapsed="false">
      <c r="A5855" s="184"/>
      <c r="B5855" s="184"/>
      <c r="C5855" s="184"/>
      <c r="D5855" s="184"/>
      <c r="E5855" s="184"/>
      <c r="F5855" s="184"/>
      <c r="G5855" s="184"/>
      <c r="H5855" s="184"/>
      <c r="I5855" s="184"/>
      <c r="J5855" s="184"/>
      <c r="K5855" s="184"/>
      <c r="L5855" s="184"/>
      <c r="M5855" s="184"/>
      <c r="N5855" s="184"/>
      <c r="O5855" s="184"/>
    </row>
    <row r="5856" customFormat="false" ht="15" hidden="false" customHeight="true" outlineLevel="0" collapsed="false">
      <c r="A5856" s="184"/>
      <c r="B5856" s="184"/>
      <c r="C5856" s="184"/>
      <c r="D5856" s="184"/>
      <c r="E5856" s="184"/>
      <c r="F5856" s="184"/>
      <c r="G5856" s="184"/>
      <c r="H5856" s="184"/>
      <c r="I5856" s="184"/>
      <c r="J5856" s="184"/>
      <c r="K5856" s="184"/>
      <c r="L5856" s="184"/>
      <c r="M5856" s="184"/>
      <c r="N5856" s="184"/>
      <c r="O5856" s="184"/>
    </row>
    <row r="5857" customFormat="false" ht="15" hidden="false" customHeight="true" outlineLevel="0" collapsed="false">
      <c r="A5857" s="184"/>
      <c r="B5857" s="184"/>
      <c r="C5857" s="184"/>
      <c r="D5857" s="184"/>
      <c r="E5857" s="184"/>
      <c r="F5857" s="184"/>
      <c r="G5857" s="184"/>
      <c r="H5857" s="184"/>
      <c r="I5857" s="184"/>
      <c r="J5857" s="184"/>
      <c r="K5857" s="184"/>
      <c r="L5857" s="184"/>
      <c r="M5857" s="184"/>
      <c r="N5857" s="184"/>
      <c r="O5857" s="184"/>
    </row>
    <row r="5858" customFormat="false" ht="15" hidden="false" customHeight="true" outlineLevel="0" collapsed="false">
      <c r="A5858" s="184"/>
      <c r="B5858" s="184"/>
      <c r="C5858" s="184"/>
      <c r="D5858" s="184"/>
      <c r="E5858" s="184"/>
      <c r="F5858" s="184"/>
      <c r="G5858" s="184"/>
      <c r="H5858" s="184"/>
      <c r="I5858" s="184"/>
      <c r="J5858" s="184"/>
      <c r="K5858" s="184"/>
      <c r="L5858" s="184"/>
      <c r="M5858" s="184"/>
      <c r="N5858" s="184"/>
      <c r="O5858" s="184"/>
    </row>
    <row r="5859" customFormat="false" ht="15" hidden="false" customHeight="true" outlineLevel="0" collapsed="false">
      <c r="A5859" s="184"/>
      <c r="B5859" s="184"/>
      <c r="C5859" s="184"/>
      <c r="D5859" s="184"/>
      <c r="E5859" s="184"/>
      <c r="F5859" s="184"/>
      <c r="G5859" s="184"/>
      <c r="H5859" s="184"/>
      <c r="I5859" s="184"/>
      <c r="J5859" s="184"/>
      <c r="K5859" s="184"/>
      <c r="L5859" s="184"/>
      <c r="M5859" s="184"/>
      <c r="N5859" s="184"/>
      <c r="O5859" s="184"/>
    </row>
    <row r="5860" customFormat="false" ht="15" hidden="false" customHeight="true" outlineLevel="0" collapsed="false">
      <c r="A5860" s="184"/>
      <c r="B5860" s="184"/>
      <c r="C5860" s="184"/>
      <c r="D5860" s="184"/>
      <c r="E5860" s="184"/>
      <c r="F5860" s="184"/>
      <c r="G5860" s="184"/>
      <c r="H5860" s="184"/>
      <c r="I5860" s="184"/>
      <c r="J5860" s="184"/>
      <c r="K5860" s="184"/>
      <c r="L5860" s="184"/>
      <c r="M5860" s="184"/>
      <c r="N5860" s="184"/>
      <c r="O5860" s="184"/>
    </row>
    <row r="5861" customFormat="false" ht="15" hidden="false" customHeight="true" outlineLevel="0" collapsed="false">
      <c r="A5861" s="184"/>
      <c r="B5861" s="184"/>
      <c r="C5861" s="184"/>
      <c r="D5861" s="184"/>
      <c r="E5861" s="184"/>
      <c r="F5861" s="184"/>
      <c r="G5861" s="184"/>
      <c r="H5861" s="184"/>
      <c r="I5861" s="184"/>
      <c r="J5861" s="184"/>
      <c r="K5861" s="184"/>
      <c r="L5861" s="184"/>
      <c r="M5861" s="184"/>
      <c r="N5861" s="184"/>
      <c r="O5861" s="184"/>
    </row>
    <row r="5862" customFormat="false" ht="15" hidden="false" customHeight="true" outlineLevel="0" collapsed="false">
      <c r="A5862" s="184"/>
      <c r="B5862" s="184"/>
      <c r="C5862" s="184"/>
      <c r="D5862" s="184"/>
      <c r="E5862" s="184"/>
      <c r="F5862" s="184"/>
      <c r="G5862" s="184"/>
      <c r="H5862" s="184"/>
      <c r="I5862" s="184"/>
      <c r="J5862" s="184"/>
      <c r="K5862" s="184"/>
      <c r="L5862" s="184"/>
      <c r="M5862" s="184"/>
      <c r="N5862" s="184"/>
      <c r="O5862" s="184"/>
    </row>
    <row r="5863" customFormat="false" ht="15" hidden="false" customHeight="true" outlineLevel="0" collapsed="false">
      <c r="A5863" s="184"/>
      <c r="B5863" s="184"/>
      <c r="C5863" s="184"/>
      <c r="D5863" s="184"/>
      <c r="E5863" s="184"/>
      <c r="F5863" s="184"/>
      <c r="G5863" s="184"/>
      <c r="H5863" s="184"/>
      <c r="I5863" s="184"/>
      <c r="J5863" s="184"/>
      <c r="K5863" s="184"/>
      <c r="L5863" s="184"/>
      <c r="M5863" s="184"/>
      <c r="N5863" s="184"/>
      <c r="O5863" s="184"/>
    </row>
    <row r="5864" customFormat="false" ht="15" hidden="false" customHeight="true" outlineLevel="0" collapsed="false">
      <c r="A5864" s="184"/>
      <c r="B5864" s="184"/>
      <c r="C5864" s="184"/>
      <c r="D5864" s="184"/>
      <c r="E5864" s="184"/>
      <c r="F5864" s="184"/>
      <c r="G5864" s="184"/>
      <c r="H5864" s="184"/>
      <c r="I5864" s="184"/>
      <c r="J5864" s="184"/>
      <c r="K5864" s="184"/>
      <c r="L5864" s="184"/>
      <c r="M5864" s="184"/>
      <c r="N5864" s="184"/>
      <c r="O5864" s="184"/>
    </row>
    <row r="5865" customFormat="false" ht="15" hidden="false" customHeight="true" outlineLevel="0" collapsed="false">
      <c r="A5865" s="184"/>
      <c r="B5865" s="184"/>
      <c r="C5865" s="184"/>
      <c r="D5865" s="184"/>
      <c r="E5865" s="184"/>
      <c r="F5865" s="184"/>
      <c r="G5865" s="184"/>
      <c r="H5865" s="184"/>
      <c r="I5865" s="184"/>
      <c r="J5865" s="184"/>
      <c r="K5865" s="184"/>
      <c r="L5865" s="184"/>
      <c r="M5865" s="184"/>
      <c r="N5865" s="184"/>
      <c r="O5865" s="184"/>
    </row>
    <row r="5866" customFormat="false" ht="15" hidden="false" customHeight="true" outlineLevel="0" collapsed="false">
      <c r="A5866" s="184"/>
      <c r="B5866" s="184"/>
      <c r="C5866" s="184"/>
      <c r="D5866" s="184"/>
      <c r="E5866" s="184"/>
      <c r="F5866" s="184"/>
      <c r="G5866" s="184"/>
      <c r="H5866" s="184"/>
      <c r="I5866" s="184"/>
      <c r="J5866" s="184"/>
      <c r="K5866" s="184"/>
      <c r="L5866" s="184"/>
      <c r="M5866" s="184"/>
      <c r="N5866" s="184"/>
      <c r="O5866" s="184"/>
    </row>
    <row r="5867" customFormat="false" ht="15" hidden="false" customHeight="true" outlineLevel="0" collapsed="false">
      <c r="A5867" s="184"/>
      <c r="B5867" s="184"/>
      <c r="C5867" s="184"/>
      <c r="D5867" s="184"/>
      <c r="E5867" s="184"/>
      <c r="F5867" s="184"/>
      <c r="G5867" s="184"/>
      <c r="H5867" s="184"/>
      <c r="I5867" s="184"/>
      <c r="J5867" s="184"/>
      <c r="K5867" s="184"/>
      <c r="L5867" s="184"/>
      <c r="M5867" s="184"/>
      <c r="N5867" s="184"/>
      <c r="O5867" s="184"/>
    </row>
    <row r="5868" customFormat="false" ht="15" hidden="false" customHeight="true" outlineLevel="0" collapsed="false">
      <c r="A5868" s="184"/>
      <c r="B5868" s="184"/>
      <c r="C5868" s="184"/>
      <c r="D5868" s="184"/>
      <c r="E5868" s="184"/>
      <c r="F5868" s="184"/>
      <c r="G5868" s="184"/>
      <c r="H5868" s="184"/>
      <c r="I5868" s="184"/>
      <c r="J5868" s="184"/>
      <c r="K5868" s="184"/>
      <c r="L5868" s="184"/>
      <c r="M5868" s="184"/>
      <c r="N5868" s="184"/>
      <c r="O5868" s="184"/>
    </row>
    <row r="5869" customFormat="false" ht="15" hidden="false" customHeight="true" outlineLevel="0" collapsed="false">
      <c r="A5869" s="184"/>
      <c r="B5869" s="184"/>
      <c r="C5869" s="184"/>
      <c r="D5869" s="184"/>
      <c r="E5869" s="184"/>
      <c r="F5869" s="184"/>
      <c r="G5869" s="184"/>
      <c r="H5869" s="184"/>
      <c r="I5869" s="184"/>
      <c r="J5869" s="184"/>
      <c r="K5869" s="184"/>
      <c r="L5869" s="184"/>
      <c r="M5869" s="184"/>
      <c r="N5869" s="184"/>
      <c r="O5869" s="184"/>
    </row>
    <row r="5870" customFormat="false" ht="15" hidden="false" customHeight="true" outlineLevel="0" collapsed="false">
      <c r="A5870" s="184"/>
      <c r="B5870" s="184"/>
      <c r="C5870" s="184"/>
      <c r="D5870" s="184"/>
      <c r="E5870" s="184"/>
      <c r="F5870" s="184"/>
      <c r="G5870" s="184"/>
      <c r="H5870" s="184"/>
      <c r="I5870" s="184"/>
      <c r="J5870" s="184"/>
      <c r="K5870" s="184"/>
      <c r="L5870" s="184"/>
      <c r="M5870" s="184"/>
      <c r="N5870" s="184"/>
      <c r="O5870" s="184"/>
    </row>
    <row r="5871" customFormat="false" ht="15" hidden="false" customHeight="true" outlineLevel="0" collapsed="false">
      <c r="A5871" s="184"/>
      <c r="B5871" s="184"/>
      <c r="C5871" s="184"/>
      <c r="D5871" s="184"/>
      <c r="E5871" s="184"/>
      <c r="F5871" s="184"/>
      <c r="G5871" s="184"/>
      <c r="H5871" s="184"/>
      <c r="I5871" s="184"/>
      <c r="J5871" s="184"/>
      <c r="K5871" s="184"/>
      <c r="L5871" s="184"/>
      <c r="M5871" s="184"/>
      <c r="N5871" s="184"/>
      <c r="O5871" s="184"/>
    </row>
    <row r="5872" customFormat="false" ht="15" hidden="false" customHeight="true" outlineLevel="0" collapsed="false">
      <c r="A5872" s="184"/>
      <c r="B5872" s="184"/>
      <c r="C5872" s="184"/>
      <c r="D5872" s="184"/>
      <c r="E5872" s="184"/>
      <c r="F5872" s="184"/>
      <c r="G5872" s="184"/>
      <c r="H5872" s="184"/>
      <c r="I5872" s="184"/>
      <c r="J5872" s="184"/>
      <c r="K5872" s="184"/>
      <c r="L5872" s="184"/>
      <c r="M5872" s="184"/>
      <c r="N5872" s="184"/>
      <c r="O5872" s="184"/>
    </row>
    <row r="5873" customFormat="false" ht="15" hidden="false" customHeight="true" outlineLevel="0" collapsed="false">
      <c r="A5873" s="184"/>
      <c r="B5873" s="184"/>
      <c r="C5873" s="184"/>
      <c r="D5873" s="184"/>
      <c r="E5873" s="184"/>
      <c r="F5873" s="184"/>
      <c r="G5873" s="184"/>
      <c r="H5873" s="184"/>
      <c r="I5873" s="184"/>
      <c r="J5873" s="184"/>
      <c r="K5873" s="184"/>
      <c r="L5873" s="184"/>
      <c r="M5873" s="184"/>
      <c r="N5873" s="184"/>
      <c r="O5873" s="184"/>
    </row>
    <row r="5874" customFormat="false" ht="15" hidden="false" customHeight="true" outlineLevel="0" collapsed="false">
      <c r="A5874" s="184"/>
      <c r="B5874" s="184"/>
      <c r="C5874" s="184"/>
      <c r="D5874" s="184"/>
      <c r="E5874" s="184"/>
      <c r="F5874" s="184"/>
      <c r="G5874" s="184"/>
      <c r="H5874" s="184"/>
      <c r="I5874" s="184"/>
      <c r="J5874" s="184"/>
      <c r="K5874" s="184"/>
      <c r="L5874" s="184"/>
      <c r="M5874" s="184"/>
      <c r="N5874" s="184"/>
      <c r="O5874" s="184"/>
    </row>
    <row r="5875" customFormat="false" ht="15" hidden="false" customHeight="true" outlineLevel="0" collapsed="false">
      <c r="A5875" s="184"/>
      <c r="B5875" s="184"/>
      <c r="C5875" s="184"/>
      <c r="D5875" s="184"/>
      <c r="E5875" s="184"/>
      <c r="F5875" s="184"/>
      <c r="G5875" s="184"/>
      <c r="H5875" s="184"/>
      <c r="I5875" s="184"/>
      <c r="J5875" s="184"/>
      <c r="K5875" s="184"/>
      <c r="L5875" s="184"/>
      <c r="M5875" s="184"/>
      <c r="N5875" s="184"/>
      <c r="O5875" s="184"/>
    </row>
    <row r="5876" customFormat="false" ht="15" hidden="false" customHeight="true" outlineLevel="0" collapsed="false">
      <c r="A5876" s="184"/>
      <c r="B5876" s="184"/>
      <c r="C5876" s="184"/>
      <c r="D5876" s="184"/>
      <c r="E5876" s="184"/>
      <c r="F5876" s="184"/>
      <c r="G5876" s="184"/>
      <c r="H5876" s="184"/>
      <c r="I5876" s="184"/>
      <c r="J5876" s="184"/>
      <c r="K5876" s="184"/>
      <c r="L5876" s="184"/>
      <c r="M5876" s="184"/>
      <c r="N5876" s="184"/>
      <c r="O5876" s="184"/>
    </row>
    <row r="5877" customFormat="false" ht="15" hidden="false" customHeight="true" outlineLevel="0" collapsed="false">
      <c r="A5877" s="184"/>
      <c r="B5877" s="184"/>
      <c r="C5877" s="184"/>
      <c r="D5877" s="184"/>
      <c r="E5877" s="184"/>
      <c r="F5877" s="184"/>
      <c r="G5877" s="184"/>
      <c r="H5877" s="184"/>
      <c r="I5877" s="184"/>
      <c r="J5877" s="184"/>
      <c r="K5877" s="184"/>
      <c r="L5877" s="184"/>
      <c r="M5877" s="184"/>
      <c r="N5877" s="184"/>
      <c r="O5877" s="184"/>
    </row>
    <row r="5878" customFormat="false" ht="15" hidden="false" customHeight="true" outlineLevel="0" collapsed="false">
      <c r="A5878" s="184"/>
      <c r="B5878" s="184"/>
      <c r="C5878" s="184"/>
      <c r="D5878" s="184"/>
      <c r="E5878" s="184"/>
      <c r="F5878" s="184"/>
      <c r="G5878" s="184"/>
      <c r="H5878" s="184"/>
      <c r="I5878" s="184"/>
      <c r="J5878" s="184"/>
      <c r="K5878" s="184"/>
      <c r="L5878" s="184"/>
      <c r="M5878" s="184"/>
      <c r="N5878" s="184"/>
      <c r="O5878" s="184"/>
    </row>
    <row r="5879" customFormat="false" ht="15" hidden="false" customHeight="true" outlineLevel="0" collapsed="false">
      <c r="A5879" s="184"/>
      <c r="B5879" s="184"/>
      <c r="C5879" s="184"/>
      <c r="D5879" s="184"/>
      <c r="E5879" s="184"/>
      <c r="F5879" s="184"/>
      <c r="G5879" s="184"/>
      <c r="H5879" s="184"/>
      <c r="I5879" s="184"/>
      <c r="J5879" s="184"/>
      <c r="K5879" s="184"/>
      <c r="L5879" s="184"/>
      <c r="M5879" s="184"/>
      <c r="N5879" s="184"/>
      <c r="O5879" s="184"/>
    </row>
    <row r="5880" customFormat="false" ht="15" hidden="false" customHeight="true" outlineLevel="0" collapsed="false">
      <c r="A5880" s="184"/>
      <c r="B5880" s="184"/>
      <c r="C5880" s="184"/>
      <c r="D5880" s="184"/>
      <c r="E5880" s="184"/>
      <c r="F5880" s="184"/>
      <c r="G5880" s="184"/>
      <c r="H5880" s="184"/>
      <c r="I5880" s="184"/>
      <c r="J5880" s="184"/>
      <c r="K5880" s="184"/>
      <c r="L5880" s="184"/>
      <c r="M5880" s="184"/>
      <c r="N5880" s="184"/>
      <c r="O5880" s="184"/>
    </row>
    <row r="5881" customFormat="false" ht="15" hidden="false" customHeight="true" outlineLevel="0" collapsed="false">
      <c r="A5881" s="184"/>
      <c r="B5881" s="184"/>
      <c r="C5881" s="184"/>
      <c r="D5881" s="184"/>
      <c r="E5881" s="184"/>
      <c r="F5881" s="184"/>
      <c r="G5881" s="184"/>
      <c r="H5881" s="184"/>
      <c r="I5881" s="184"/>
      <c r="J5881" s="184"/>
      <c r="K5881" s="184"/>
      <c r="L5881" s="184"/>
      <c r="M5881" s="184"/>
      <c r="N5881" s="184"/>
      <c r="O5881" s="184"/>
    </row>
    <row r="5882" customFormat="false" ht="15" hidden="false" customHeight="true" outlineLevel="0" collapsed="false">
      <c r="A5882" s="184"/>
      <c r="B5882" s="184"/>
      <c r="C5882" s="184"/>
      <c r="D5882" s="184"/>
      <c r="E5882" s="184"/>
      <c r="F5882" s="184"/>
      <c r="G5882" s="184"/>
      <c r="H5882" s="184"/>
      <c r="I5882" s="184"/>
      <c r="J5882" s="184"/>
      <c r="K5882" s="184"/>
      <c r="L5882" s="184"/>
      <c r="M5882" s="184"/>
      <c r="N5882" s="184"/>
      <c r="O5882" s="184"/>
    </row>
    <row r="5883" customFormat="false" ht="15" hidden="false" customHeight="true" outlineLevel="0" collapsed="false">
      <c r="A5883" s="184"/>
      <c r="B5883" s="184"/>
      <c r="C5883" s="184"/>
      <c r="D5883" s="184"/>
      <c r="E5883" s="184"/>
      <c r="F5883" s="184"/>
      <c r="G5883" s="184"/>
      <c r="H5883" s="184"/>
      <c r="I5883" s="184"/>
      <c r="J5883" s="184"/>
      <c r="K5883" s="184"/>
      <c r="L5883" s="184"/>
      <c r="M5883" s="184"/>
      <c r="N5883" s="184"/>
      <c r="O5883" s="184"/>
    </row>
    <row r="5884" customFormat="false" ht="15" hidden="false" customHeight="true" outlineLevel="0" collapsed="false">
      <c r="A5884" s="184"/>
      <c r="B5884" s="184"/>
      <c r="C5884" s="184"/>
      <c r="D5884" s="184"/>
      <c r="E5884" s="184"/>
      <c r="F5884" s="184"/>
      <c r="G5884" s="184"/>
      <c r="H5884" s="184"/>
      <c r="I5884" s="184"/>
      <c r="J5884" s="184"/>
      <c r="K5884" s="184"/>
      <c r="L5884" s="184"/>
      <c r="M5884" s="184"/>
      <c r="N5884" s="184"/>
      <c r="O5884" s="184"/>
    </row>
    <row r="5885" customFormat="false" ht="15" hidden="false" customHeight="true" outlineLevel="0" collapsed="false">
      <c r="A5885" s="184"/>
      <c r="B5885" s="184"/>
      <c r="C5885" s="184"/>
      <c r="D5885" s="184"/>
      <c r="E5885" s="184"/>
      <c r="F5885" s="184"/>
      <c r="G5885" s="184"/>
      <c r="H5885" s="184"/>
      <c r="I5885" s="184"/>
      <c r="J5885" s="184"/>
      <c r="K5885" s="184"/>
      <c r="L5885" s="184"/>
      <c r="M5885" s="184"/>
      <c r="N5885" s="184"/>
      <c r="O5885" s="184"/>
    </row>
    <row r="5886" customFormat="false" ht="15" hidden="false" customHeight="true" outlineLevel="0" collapsed="false">
      <c r="A5886" s="184"/>
      <c r="B5886" s="184"/>
      <c r="C5886" s="184"/>
      <c r="D5886" s="184"/>
      <c r="E5886" s="184"/>
      <c r="F5886" s="184"/>
      <c r="G5886" s="184"/>
      <c r="H5886" s="184"/>
      <c r="I5886" s="184"/>
      <c r="J5886" s="184"/>
      <c r="K5886" s="184"/>
      <c r="L5886" s="184"/>
      <c r="M5886" s="184"/>
      <c r="N5886" s="184"/>
      <c r="O5886" s="184"/>
    </row>
    <row r="5887" customFormat="false" ht="15" hidden="false" customHeight="true" outlineLevel="0" collapsed="false">
      <c r="A5887" s="184"/>
      <c r="B5887" s="184"/>
      <c r="C5887" s="184"/>
      <c r="D5887" s="184"/>
      <c r="E5887" s="184"/>
      <c r="F5887" s="184"/>
      <c r="G5887" s="184"/>
      <c r="H5887" s="184"/>
      <c r="I5887" s="184"/>
      <c r="J5887" s="184"/>
      <c r="K5887" s="184"/>
      <c r="L5887" s="184"/>
      <c r="M5887" s="184"/>
      <c r="N5887" s="184"/>
      <c r="O5887" s="184"/>
    </row>
    <row r="5888" customFormat="false" ht="15" hidden="false" customHeight="true" outlineLevel="0" collapsed="false">
      <c r="A5888" s="184"/>
      <c r="B5888" s="184"/>
      <c r="C5888" s="184"/>
      <c r="D5888" s="184"/>
      <c r="E5888" s="184"/>
      <c r="F5888" s="184"/>
      <c r="G5888" s="184"/>
      <c r="H5888" s="184"/>
      <c r="I5888" s="184"/>
      <c r="J5888" s="184"/>
      <c r="K5888" s="184"/>
      <c r="L5888" s="184"/>
      <c r="M5888" s="184"/>
      <c r="N5888" s="184"/>
      <c r="O5888" s="184"/>
    </row>
    <row r="5889" customFormat="false" ht="15" hidden="false" customHeight="true" outlineLevel="0" collapsed="false">
      <c r="A5889" s="184"/>
      <c r="B5889" s="184"/>
      <c r="C5889" s="184"/>
      <c r="D5889" s="184"/>
      <c r="E5889" s="184"/>
      <c r="F5889" s="184"/>
      <c r="G5889" s="184"/>
      <c r="H5889" s="184"/>
      <c r="I5889" s="184"/>
      <c r="J5889" s="184"/>
      <c r="K5889" s="184"/>
      <c r="L5889" s="184"/>
      <c r="M5889" s="184"/>
      <c r="N5889" s="184"/>
      <c r="O5889" s="184"/>
    </row>
    <row r="5890" customFormat="false" ht="15" hidden="false" customHeight="true" outlineLevel="0" collapsed="false">
      <c r="A5890" s="184"/>
      <c r="B5890" s="184"/>
      <c r="C5890" s="184"/>
      <c r="D5890" s="184"/>
      <c r="E5890" s="184"/>
      <c r="F5890" s="184"/>
      <c r="G5890" s="184"/>
      <c r="H5890" s="184"/>
      <c r="I5890" s="184"/>
      <c r="J5890" s="184"/>
      <c r="K5890" s="184"/>
      <c r="L5890" s="184"/>
      <c r="M5890" s="184"/>
      <c r="N5890" s="184"/>
      <c r="O5890" s="184"/>
    </row>
    <row r="5891" customFormat="false" ht="15" hidden="false" customHeight="true" outlineLevel="0" collapsed="false">
      <c r="A5891" s="184"/>
      <c r="B5891" s="184"/>
      <c r="C5891" s="184"/>
      <c r="D5891" s="184"/>
      <c r="E5891" s="184"/>
      <c r="F5891" s="184"/>
      <c r="G5891" s="184"/>
      <c r="H5891" s="184"/>
      <c r="I5891" s="184"/>
      <c r="J5891" s="184"/>
      <c r="K5891" s="184"/>
      <c r="L5891" s="184"/>
      <c r="M5891" s="184"/>
      <c r="N5891" s="184"/>
      <c r="O5891" s="184"/>
    </row>
    <row r="5892" customFormat="false" ht="15" hidden="false" customHeight="true" outlineLevel="0" collapsed="false">
      <c r="A5892" s="184"/>
      <c r="B5892" s="184"/>
      <c r="C5892" s="184"/>
      <c r="D5892" s="184"/>
      <c r="E5892" s="184"/>
      <c r="F5892" s="184"/>
      <c r="G5892" s="184"/>
      <c r="H5892" s="184"/>
      <c r="I5892" s="184"/>
      <c r="J5892" s="184"/>
      <c r="K5892" s="184"/>
      <c r="L5892" s="184"/>
      <c r="M5892" s="184"/>
      <c r="N5892" s="184"/>
      <c r="O5892" s="184"/>
    </row>
    <row r="5893" customFormat="false" ht="15" hidden="false" customHeight="true" outlineLevel="0" collapsed="false">
      <c r="A5893" s="184"/>
      <c r="B5893" s="184"/>
      <c r="C5893" s="184"/>
      <c r="D5893" s="184"/>
      <c r="E5893" s="184"/>
      <c r="F5893" s="184"/>
      <c r="G5893" s="184"/>
      <c r="H5893" s="184"/>
      <c r="I5893" s="184"/>
      <c r="J5893" s="184"/>
      <c r="K5893" s="184"/>
      <c r="L5893" s="184"/>
      <c r="M5893" s="184"/>
      <c r="N5893" s="184"/>
      <c r="O5893" s="184"/>
    </row>
    <row r="5894" customFormat="false" ht="15" hidden="false" customHeight="true" outlineLevel="0" collapsed="false">
      <c r="A5894" s="184"/>
      <c r="B5894" s="184"/>
      <c r="C5894" s="184"/>
      <c r="D5894" s="184"/>
      <c r="E5894" s="184"/>
      <c r="F5894" s="184"/>
      <c r="G5894" s="184"/>
      <c r="H5894" s="184"/>
      <c r="I5894" s="184"/>
      <c r="J5894" s="184"/>
      <c r="K5894" s="184"/>
      <c r="L5894" s="184"/>
      <c r="M5894" s="184"/>
      <c r="N5894" s="184"/>
      <c r="O5894" s="184"/>
    </row>
    <row r="5895" customFormat="false" ht="15" hidden="false" customHeight="true" outlineLevel="0" collapsed="false">
      <c r="A5895" s="184"/>
      <c r="B5895" s="184"/>
      <c r="C5895" s="184"/>
      <c r="D5895" s="184"/>
      <c r="E5895" s="184"/>
      <c r="F5895" s="184"/>
      <c r="G5895" s="184"/>
      <c r="H5895" s="184"/>
      <c r="I5895" s="184"/>
      <c r="J5895" s="184"/>
      <c r="K5895" s="184"/>
      <c r="L5895" s="184"/>
      <c r="M5895" s="184"/>
      <c r="N5895" s="184"/>
      <c r="O5895" s="184"/>
    </row>
    <row r="5896" customFormat="false" ht="15" hidden="false" customHeight="true" outlineLevel="0" collapsed="false">
      <c r="A5896" s="184"/>
      <c r="B5896" s="184"/>
      <c r="C5896" s="184"/>
      <c r="D5896" s="184"/>
      <c r="E5896" s="184"/>
      <c r="F5896" s="184"/>
      <c r="G5896" s="184"/>
      <c r="H5896" s="184"/>
      <c r="I5896" s="184"/>
      <c r="J5896" s="184"/>
      <c r="K5896" s="184"/>
      <c r="L5896" s="184"/>
      <c r="M5896" s="184"/>
      <c r="N5896" s="184"/>
      <c r="O5896" s="184"/>
    </row>
    <row r="5897" customFormat="false" ht="15" hidden="false" customHeight="true" outlineLevel="0" collapsed="false">
      <c r="A5897" s="184"/>
      <c r="B5897" s="184"/>
      <c r="C5897" s="184"/>
      <c r="D5897" s="184"/>
      <c r="E5897" s="184"/>
      <c r="F5897" s="184"/>
      <c r="G5897" s="184"/>
      <c r="H5897" s="184"/>
      <c r="I5897" s="184"/>
      <c r="J5897" s="184"/>
      <c r="K5897" s="184"/>
      <c r="L5897" s="184"/>
      <c r="M5897" s="184"/>
      <c r="N5897" s="184"/>
      <c r="O5897" s="184"/>
    </row>
    <row r="5898" customFormat="false" ht="15" hidden="false" customHeight="true" outlineLevel="0" collapsed="false">
      <c r="A5898" s="184"/>
      <c r="B5898" s="184"/>
      <c r="C5898" s="184"/>
      <c r="D5898" s="184"/>
      <c r="E5898" s="184"/>
      <c r="F5898" s="184"/>
      <c r="G5898" s="184"/>
      <c r="H5898" s="184"/>
      <c r="I5898" s="184"/>
      <c r="J5898" s="184"/>
      <c r="K5898" s="184"/>
      <c r="L5898" s="184"/>
      <c r="M5898" s="184"/>
      <c r="N5898" s="184"/>
      <c r="O5898" s="184"/>
    </row>
    <row r="5899" customFormat="false" ht="15" hidden="false" customHeight="true" outlineLevel="0" collapsed="false">
      <c r="A5899" s="184"/>
      <c r="B5899" s="184"/>
      <c r="C5899" s="184"/>
      <c r="D5899" s="184"/>
      <c r="E5899" s="184"/>
      <c r="F5899" s="184"/>
      <c r="G5899" s="184"/>
      <c r="H5899" s="184"/>
      <c r="I5899" s="184"/>
      <c r="J5899" s="184"/>
      <c r="K5899" s="184"/>
      <c r="L5899" s="184"/>
      <c r="M5899" s="184"/>
      <c r="N5899" s="184"/>
      <c r="O5899" s="184"/>
    </row>
    <row r="5900" customFormat="false" ht="15" hidden="false" customHeight="true" outlineLevel="0" collapsed="false">
      <c r="A5900" s="184"/>
      <c r="B5900" s="184"/>
      <c r="C5900" s="184"/>
      <c r="D5900" s="184"/>
      <c r="E5900" s="184"/>
      <c r="F5900" s="184"/>
      <c r="G5900" s="184"/>
      <c r="H5900" s="184"/>
      <c r="I5900" s="184"/>
      <c r="J5900" s="184"/>
      <c r="K5900" s="184"/>
      <c r="L5900" s="184"/>
      <c r="M5900" s="184"/>
      <c r="N5900" s="184"/>
      <c r="O5900" s="184"/>
    </row>
    <row r="5901" customFormat="false" ht="15" hidden="false" customHeight="true" outlineLevel="0" collapsed="false">
      <c r="A5901" s="184"/>
      <c r="B5901" s="184"/>
      <c r="C5901" s="184"/>
      <c r="D5901" s="184"/>
      <c r="E5901" s="184"/>
      <c r="F5901" s="184"/>
      <c r="G5901" s="184"/>
      <c r="H5901" s="184"/>
      <c r="I5901" s="184"/>
      <c r="J5901" s="184"/>
      <c r="K5901" s="184"/>
      <c r="L5901" s="184"/>
      <c r="M5901" s="184"/>
      <c r="N5901" s="184"/>
      <c r="O5901" s="184"/>
    </row>
    <row r="5902" customFormat="false" ht="15" hidden="false" customHeight="true" outlineLevel="0" collapsed="false">
      <c r="A5902" s="184"/>
      <c r="B5902" s="184"/>
      <c r="C5902" s="184"/>
      <c r="D5902" s="184"/>
      <c r="E5902" s="184"/>
      <c r="F5902" s="184"/>
      <c r="G5902" s="184"/>
      <c r="H5902" s="184"/>
      <c r="I5902" s="184"/>
      <c r="J5902" s="184"/>
      <c r="K5902" s="184"/>
      <c r="L5902" s="184"/>
      <c r="M5902" s="184"/>
      <c r="N5902" s="184"/>
      <c r="O5902" s="184"/>
    </row>
    <row r="5903" customFormat="false" ht="15" hidden="false" customHeight="true" outlineLevel="0" collapsed="false">
      <c r="A5903" s="184"/>
      <c r="B5903" s="184"/>
      <c r="C5903" s="184"/>
      <c r="D5903" s="184"/>
      <c r="E5903" s="184"/>
      <c r="F5903" s="184"/>
      <c r="G5903" s="184"/>
      <c r="H5903" s="184"/>
      <c r="I5903" s="184"/>
      <c r="J5903" s="184"/>
      <c r="K5903" s="184"/>
      <c r="L5903" s="184"/>
      <c r="M5903" s="184"/>
      <c r="N5903" s="184"/>
      <c r="O5903" s="184"/>
    </row>
    <row r="5904" customFormat="false" ht="15" hidden="false" customHeight="true" outlineLevel="0" collapsed="false">
      <c r="A5904" s="184"/>
      <c r="B5904" s="184"/>
      <c r="C5904" s="184"/>
      <c r="D5904" s="184"/>
      <c r="E5904" s="184"/>
      <c r="F5904" s="184"/>
      <c r="G5904" s="184"/>
      <c r="H5904" s="184"/>
      <c r="I5904" s="184"/>
      <c r="J5904" s="184"/>
      <c r="K5904" s="184"/>
      <c r="L5904" s="184"/>
      <c r="M5904" s="184"/>
      <c r="N5904" s="184"/>
      <c r="O5904" s="184"/>
    </row>
    <row r="5905" customFormat="false" ht="15" hidden="false" customHeight="true" outlineLevel="0" collapsed="false">
      <c r="A5905" s="184"/>
      <c r="B5905" s="184"/>
      <c r="C5905" s="184"/>
      <c r="D5905" s="184"/>
      <c r="E5905" s="184"/>
      <c r="F5905" s="184"/>
      <c r="G5905" s="184"/>
      <c r="H5905" s="184"/>
      <c r="I5905" s="184"/>
      <c r="J5905" s="184"/>
      <c r="K5905" s="184"/>
      <c r="L5905" s="184"/>
      <c r="M5905" s="184"/>
      <c r="N5905" s="184"/>
      <c r="O5905" s="184"/>
    </row>
    <row r="5906" customFormat="false" ht="15" hidden="false" customHeight="true" outlineLevel="0" collapsed="false">
      <c r="A5906" s="184"/>
      <c r="B5906" s="184"/>
      <c r="C5906" s="184"/>
      <c r="D5906" s="184"/>
      <c r="E5906" s="184"/>
      <c r="F5906" s="184"/>
      <c r="G5906" s="184"/>
      <c r="H5906" s="184"/>
      <c r="I5906" s="184"/>
      <c r="J5906" s="184"/>
      <c r="K5906" s="184"/>
      <c r="L5906" s="184"/>
      <c r="M5906" s="184"/>
      <c r="N5906" s="184"/>
      <c r="O5906" s="184"/>
    </row>
    <row r="5907" customFormat="false" ht="15" hidden="false" customHeight="true" outlineLevel="0" collapsed="false">
      <c r="A5907" s="184"/>
      <c r="B5907" s="184"/>
      <c r="C5907" s="184"/>
      <c r="D5907" s="184"/>
      <c r="E5907" s="184"/>
      <c r="F5907" s="184"/>
      <c r="G5907" s="184"/>
      <c r="H5907" s="184"/>
      <c r="I5907" s="184"/>
      <c r="J5907" s="184"/>
      <c r="K5907" s="184"/>
      <c r="L5907" s="184"/>
      <c r="M5907" s="184"/>
      <c r="N5907" s="184"/>
      <c r="O5907" s="184"/>
    </row>
    <row r="5908" customFormat="false" ht="15" hidden="false" customHeight="true" outlineLevel="0" collapsed="false">
      <c r="A5908" s="184"/>
      <c r="B5908" s="184"/>
      <c r="C5908" s="184"/>
      <c r="D5908" s="184"/>
      <c r="E5908" s="184"/>
      <c r="F5908" s="184"/>
      <c r="G5908" s="184"/>
      <c r="H5908" s="184"/>
      <c r="I5908" s="184"/>
      <c r="J5908" s="184"/>
      <c r="K5908" s="184"/>
      <c r="L5908" s="184"/>
      <c r="M5908" s="184"/>
      <c r="N5908" s="184"/>
      <c r="O5908" s="184"/>
    </row>
    <row r="5909" customFormat="false" ht="15" hidden="false" customHeight="true" outlineLevel="0" collapsed="false">
      <c r="A5909" s="184"/>
      <c r="B5909" s="184"/>
      <c r="C5909" s="184"/>
      <c r="D5909" s="184"/>
      <c r="E5909" s="184"/>
      <c r="F5909" s="184"/>
      <c r="G5909" s="184"/>
      <c r="H5909" s="184"/>
      <c r="I5909" s="184"/>
      <c r="J5909" s="184"/>
      <c r="K5909" s="184"/>
      <c r="L5909" s="184"/>
      <c r="M5909" s="184"/>
      <c r="N5909" s="184"/>
      <c r="O5909" s="184"/>
    </row>
    <row r="5910" customFormat="false" ht="15" hidden="false" customHeight="true" outlineLevel="0" collapsed="false">
      <c r="A5910" s="184"/>
      <c r="B5910" s="184"/>
      <c r="C5910" s="184"/>
      <c r="D5910" s="184"/>
      <c r="E5910" s="184"/>
      <c r="F5910" s="184"/>
      <c r="G5910" s="184"/>
      <c r="H5910" s="184"/>
      <c r="I5910" s="184"/>
      <c r="J5910" s="184"/>
      <c r="K5910" s="184"/>
      <c r="L5910" s="184"/>
      <c r="M5910" s="184"/>
      <c r="N5910" s="184"/>
      <c r="O5910" s="184"/>
    </row>
    <row r="5911" customFormat="false" ht="15" hidden="false" customHeight="true" outlineLevel="0" collapsed="false">
      <c r="A5911" s="184"/>
      <c r="B5911" s="184"/>
      <c r="C5911" s="184"/>
      <c r="D5911" s="184"/>
      <c r="E5911" s="184"/>
      <c r="F5911" s="184"/>
      <c r="G5911" s="184"/>
      <c r="H5911" s="184"/>
      <c r="I5911" s="184"/>
      <c r="J5911" s="184"/>
      <c r="K5911" s="184"/>
      <c r="L5911" s="184"/>
      <c r="M5911" s="184"/>
      <c r="N5911" s="184"/>
      <c r="O5911" s="184"/>
    </row>
    <row r="5912" customFormat="false" ht="15" hidden="false" customHeight="true" outlineLevel="0" collapsed="false">
      <c r="A5912" s="184"/>
      <c r="B5912" s="184"/>
      <c r="C5912" s="184"/>
      <c r="D5912" s="184"/>
      <c r="E5912" s="184"/>
      <c r="F5912" s="184"/>
      <c r="G5912" s="184"/>
      <c r="H5912" s="184"/>
      <c r="I5912" s="184"/>
      <c r="J5912" s="184"/>
      <c r="K5912" s="184"/>
      <c r="L5912" s="184"/>
      <c r="M5912" s="184"/>
      <c r="N5912" s="184"/>
      <c r="O5912" s="184"/>
    </row>
    <row r="5913" customFormat="false" ht="15" hidden="false" customHeight="true" outlineLevel="0" collapsed="false">
      <c r="A5913" s="184"/>
      <c r="B5913" s="184"/>
      <c r="C5913" s="184"/>
      <c r="D5913" s="184"/>
      <c r="E5913" s="184"/>
      <c r="F5913" s="184"/>
      <c r="G5913" s="184"/>
      <c r="H5913" s="184"/>
      <c r="I5913" s="184"/>
      <c r="J5913" s="184"/>
      <c r="K5913" s="184"/>
      <c r="L5913" s="184"/>
      <c r="M5913" s="184"/>
      <c r="N5913" s="184"/>
      <c r="O5913" s="184"/>
    </row>
    <row r="5914" customFormat="false" ht="15" hidden="false" customHeight="true" outlineLevel="0" collapsed="false">
      <c r="A5914" s="184"/>
      <c r="B5914" s="184"/>
      <c r="C5914" s="184"/>
      <c r="D5914" s="184"/>
      <c r="E5914" s="184"/>
      <c r="F5914" s="184"/>
      <c r="G5914" s="184"/>
      <c r="H5914" s="184"/>
      <c r="I5914" s="184"/>
      <c r="J5914" s="184"/>
      <c r="K5914" s="184"/>
      <c r="L5914" s="184"/>
      <c r="M5914" s="184"/>
      <c r="N5914" s="184"/>
      <c r="O5914" s="184"/>
    </row>
    <row r="5915" customFormat="false" ht="15" hidden="false" customHeight="true" outlineLevel="0" collapsed="false">
      <c r="A5915" s="184"/>
      <c r="B5915" s="184"/>
      <c r="C5915" s="184"/>
      <c r="D5915" s="184"/>
      <c r="E5915" s="184"/>
      <c r="F5915" s="184"/>
      <c r="G5915" s="184"/>
      <c r="H5915" s="184"/>
      <c r="I5915" s="184"/>
      <c r="J5915" s="184"/>
      <c r="K5915" s="184"/>
      <c r="L5915" s="184"/>
      <c r="M5915" s="184"/>
      <c r="N5915" s="184"/>
      <c r="O5915" s="184"/>
    </row>
    <row r="5916" customFormat="false" ht="15" hidden="false" customHeight="true" outlineLevel="0" collapsed="false">
      <c r="A5916" s="184"/>
      <c r="B5916" s="184"/>
      <c r="C5916" s="184"/>
      <c r="D5916" s="184"/>
      <c r="E5916" s="184"/>
      <c r="F5916" s="184"/>
      <c r="G5916" s="184"/>
      <c r="H5916" s="184"/>
      <c r="I5916" s="184"/>
      <c r="J5916" s="184"/>
      <c r="K5916" s="184"/>
      <c r="L5916" s="184"/>
      <c r="M5916" s="184"/>
      <c r="N5916" s="184"/>
      <c r="O5916" s="184"/>
    </row>
    <row r="5917" customFormat="false" ht="15" hidden="false" customHeight="true" outlineLevel="0" collapsed="false">
      <c r="A5917" s="184"/>
      <c r="B5917" s="184"/>
      <c r="C5917" s="184"/>
      <c r="D5917" s="184"/>
      <c r="E5917" s="184"/>
      <c r="F5917" s="184"/>
      <c r="G5917" s="184"/>
      <c r="H5917" s="184"/>
      <c r="I5917" s="184"/>
      <c r="J5917" s="184"/>
      <c r="K5917" s="184"/>
      <c r="L5917" s="184"/>
      <c r="M5917" s="184"/>
      <c r="N5917" s="184"/>
      <c r="O5917" s="184"/>
    </row>
    <row r="5918" customFormat="false" ht="15" hidden="false" customHeight="true" outlineLevel="0" collapsed="false">
      <c r="A5918" s="184"/>
      <c r="B5918" s="184"/>
      <c r="C5918" s="184"/>
      <c r="D5918" s="184"/>
      <c r="E5918" s="184"/>
      <c r="F5918" s="184"/>
      <c r="G5918" s="184"/>
      <c r="H5918" s="184"/>
      <c r="I5918" s="184"/>
      <c r="J5918" s="184"/>
      <c r="K5918" s="184"/>
      <c r="L5918" s="184"/>
      <c r="M5918" s="184"/>
      <c r="N5918" s="184"/>
      <c r="O5918" s="184"/>
    </row>
    <row r="5919" customFormat="false" ht="15" hidden="false" customHeight="true" outlineLevel="0" collapsed="false">
      <c r="A5919" s="184"/>
      <c r="B5919" s="184"/>
      <c r="C5919" s="184"/>
      <c r="D5919" s="184"/>
      <c r="E5919" s="184"/>
      <c r="F5919" s="184"/>
      <c r="G5919" s="184"/>
      <c r="H5919" s="184"/>
      <c r="I5919" s="184"/>
      <c r="J5919" s="184"/>
      <c r="K5919" s="184"/>
      <c r="L5919" s="184"/>
      <c r="M5919" s="184"/>
      <c r="N5919" s="184"/>
      <c r="O5919" s="184"/>
    </row>
    <row r="5920" customFormat="false" ht="15" hidden="false" customHeight="true" outlineLevel="0" collapsed="false">
      <c r="A5920" s="184"/>
      <c r="B5920" s="184"/>
      <c r="C5920" s="184"/>
      <c r="D5920" s="184"/>
      <c r="E5920" s="184"/>
      <c r="F5920" s="184"/>
      <c r="G5920" s="184"/>
      <c r="H5920" s="184"/>
      <c r="I5920" s="184"/>
      <c r="J5920" s="184"/>
      <c r="K5920" s="184"/>
      <c r="L5920" s="184"/>
      <c r="M5920" s="184"/>
      <c r="N5920" s="184"/>
      <c r="O5920" s="184"/>
    </row>
    <row r="5921" customFormat="false" ht="15" hidden="false" customHeight="true" outlineLevel="0" collapsed="false">
      <c r="A5921" s="184"/>
      <c r="B5921" s="184"/>
      <c r="C5921" s="184"/>
      <c r="D5921" s="184"/>
      <c r="E5921" s="184"/>
      <c r="F5921" s="184"/>
      <c r="G5921" s="184"/>
      <c r="H5921" s="184"/>
      <c r="I5921" s="184"/>
      <c r="J5921" s="184"/>
      <c r="K5921" s="184"/>
      <c r="L5921" s="184"/>
      <c r="M5921" s="184"/>
      <c r="N5921" s="184"/>
      <c r="O5921" s="184"/>
    </row>
    <row r="5922" customFormat="false" ht="15" hidden="false" customHeight="true" outlineLevel="0" collapsed="false">
      <c r="A5922" s="184"/>
      <c r="B5922" s="184"/>
      <c r="C5922" s="184"/>
      <c r="D5922" s="184"/>
      <c r="E5922" s="184"/>
      <c r="F5922" s="184"/>
      <c r="G5922" s="184"/>
      <c r="H5922" s="184"/>
      <c r="I5922" s="184"/>
      <c r="J5922" s="184"/>
      <c r="K5922" s="184"/>
      <c r="L5922" s="184"/>
      <c r="M5922" s="184"/>
      <c r="N5922" s="184"/>
      <c r="O5922" s="184"/>
    </row>
    <row r="5923" customFormat="false" ht="15" hidden="false" customHeight="true" outlineLevel="0" collapsed="false">
      <c r="A5923" s="184"/>
      <c r="B5923" s="184"/>
      <c r="C5923" s="184"/>
      <c r="D5923" s="184"/>
      <c r="E5923" s="184"/>
      <c r="F5923" s="184"/>
      <c r="G5923" s="184"/>
      <c r="H5923" s="184"/>
      <c r="I5923" s="184"/>
      <c r="J5923" s="184"/>
      <c r="K5923" s="184"/>
      <c r="L5923" s="184"/>
      <c r="M5923" s="184"/>
      <c r="N5923" s="184"/>
      <c r="O5923" s="184"/>
    </row>
    <row r="5924" customFormat="false" ht="15" hidden="false" customHeight="true" outlineLevel="0" collapsed="false">
      <c r="A5924" s="184"/>
      <c r="B5924" s="184"/>
      <c r="C5924" s="184"/>
      <c r="D5924" s="184"/>
      <c r="E5924" s="184"/>
      <c r="F5924" s="184"/>
      <c r="G5924" s="184"/>
      <c r="H5924" s="184"/>
      <c r="I5924" s="184"/>
      <c r="J5924" s="184"/>
      <c r="K5924" s="184"/>
      <c r="L5924" s="184"/>
      <c r="M5924" s="184"/>
      <c r="N5924" s="184"/>
      <c r="O5924" s="184"/>
    </row>
    <row r="5925" customFormat="false" ht="15" hidden="false" customHeight="true" outlineLevel="0" collapsed="false">
      <c r="A5925" s="184"/>
      <c r="B5925" s="184"/>
      <c r="C5925" s="184"/>
      <c r="D5925" s="184"/>
      <c r="E5925" s="184"/>
      <c r="F5925" s="184"/>
      <c r="G5925" s="184"/>
      <c r="H5925" s="184"/>
      <c r="I5925" s="184"/>
      <c r="J5925" s="184"/>
      <c r="K5925" s="184"/>
      <c r="L5925" s="184"/>
      <c r="M5925" s="184"/>
      <c r="N5925" s="184"/>
      <c r="O5925" s="184"/>
    </row>
    <row r="5926" customFormat="false" ht="15" hidden="false" customHeight="true" outlineLevel="0" collapsed="false">
      <c r="A5926" s="184"/>
      <c r="B5926" s="184"/>
      <c r="C5926" s="184"/>
      <c r="D5926" s="184"/>
      <c r="E5926" s="184"/>
      <c r="F5926" s="184"/>
      <c r="G5926" s="184"/>
      <c r="H5926" s="184"/>
      <c r="I5926" s="184"/>
      <c r="J5926" s="184"/>
      <c r="K5926" s="184"/>
      <c r="L5926" s="184"/>
      <c r="M5926" s="184"/>
      <c r="N5926" s="184"/>
      <c r="O5926" s="184"/>
    </row>
    <row r="5927" customFormat="false" ht="15" hidden="false" customHeight="true" outlineLevel="0" collapsed="false">
      <c r="A5927" s="184"/>
      <c r="B5927" s="184"/>
      <c r="C5927" s="184"/>
      <c r="D5927" s="184"/>
      <c r="E5927" s="184"/>
      <c r="F5927" s="184"/>
      <c r="G5927" s="184"/>
      <c r="H5927" s="184"/>
      <c r="I5927" s="184"/>
      <c r="J5927" s="184"/>
      <c r="K5927" s="184"/>
      <c r="L5927" s="184"/>
      <c r="M5927" s="184"/>
      <c r="N5927" s="184"/>
      <c r="O5927" s="184"/>
    </row>
    <row r="5928" customFormat="false" ht="15" hidden="false" customHeight="true" outlineLevel="0" collapsed="false">
      <c r="A5928" s="184"/>
      <c r="B5928" s="184"/>
      <c r="C5928" s="184"/>
      <c r="D5928" s="184"/>
      <c r="E5928" s="184"/>
      <c r="F5928" s="184"/>
      <c r="G5928" s="184"/>
      <c r="H5928" s="184"/>
      <c r="I5928" s="184"/>
      <c r="J5928" s="184"/>
      <c r="K5928" s="184"/>
      <c r="L5928" s="184"/>
      <c r="M5928" s="184"/>
      <c r="N5928" s="184"/>
      <c r="O5928" s="184"/>
    </row>
    <row r="5929" customFormat="false" ht="15" hidden="false" customHeight="true" outlineLevel="0" collapsed="false">
      <c r="A5929" s="184"/>
      <c r="B5929" s="184"/>
      <c r="C5929" s="184"/>
      <c r="D5929" s="184"/>
      <c r="E5929" s="184"/>
      <c r="F5929" s="184"/>
      <c r="G5929" s="184"/>
      <c r="H5929" s="184"/>
      <c r="I5929" s="184"/>
      <c r="J5929" s="184"/>
      <c r="K5929" s="184"/>
      <c r="L5929" s="184"/>
      <c r="M5929" s="184"/>
      <c r="N5929" s="184"/>
      <c r="O5929" s="184"/>
    </row>
    <row r="5930" customFormat="false" ht="15" hidden="false" customHeight="true" outlineLevel="0" collapsed="false">
      <c r="A5930" s="184"/>
      <c r="B5930" s="184"/>
      <c r="C5930" s="184"/>
      <c r="D5930" s="184"/>
      <c r="E5930" s="184"/>
      <c r="F5930" s="184"/>
      <c r="G5930" s="184"/>
      <c r="H5930" s="184"/>
      <c r="I5930" s="184"/>
      <c r="J5930" s="184"/>
      <c r="K5930" s="184"/>
      <c r="L5930" s="184"/>
      <c r="M5930" s="184"/>
      <c r="N5930" s="184"/>
      <c r="O5930" s="184"/>
    </row>
    <row r="5931" customFormat="false" ht="15" hidden="false" customHeight="true" outlineLevel="0" collapsed="false">
      <c r="A5931" s="184"/>
      <c r="B5931" s="184"/>
      <c r="C5931" s="184"/>
      <c r="D5931" s="184"/>
      <c r="E5931" s="184"/>
      <c r="F5931" s="184"/>
      <c r="G5931" s="184"/>
      <c r="H5931" s="184"/>
      <c r="I5931" s="184"/>
      <c r="J5931" s="184"/>
      <c r="K5931" s="184"/>
      <c r="L5931" s="184"/>
      <c r="M5931" s="184"/>
      <c r="N5931" s="184"/>
      <c r="O5931" s="184"/>
    </row>
    <row r="5932" customFormat="false" ht="15" hidden="false" customHeight="true" outlineLevel="0" collapsed="false">
      <c r="A5932" s="184"/>
      <c r="B5932" s="184"/>
      <c r="C5932" s="184"/>
      <c r="D5932" s="184"/>
      <c r="E5932" s="184"/>
      <c r="F5932" s="184"/>
      <c r="G5932" s="184"/>
      <c r="H5932" s="184"/>
      <c r="I5932" s="184"/>
      <c r="J5932" s="184"/>
      <c r="K5932" s="184"/>
      <c r="L5932" s="184"/>
      <c r="M5932" s="184"/>
      <c r="N5932" s="184"/>
      <c r="O5932" s="184"/>
    </row>
    <row r="5933" customFormat="false" ht="15" hidden="false" customHeight="true" outlineLevel="0" collapsed="false">
      <c r="A5933" s="184"/>
      <c r="B5933" s="184"/>
      <c r="C5933" s="184"/>
      <c r="D5933" s="184"/>
      <c r="E5933" s="184"/>
      <c r="F5933" s="184"/>
      <c r="G5933" s="184"/>
      <c r="H5933" s="184"/>
      <c r="I5933" s="184"/>
      <c r="J5933" s="184"/>
      <c r="K5933" s="184"/>
      <c r="L5933" s="184"/>
      <c r="M5933" s="184"/>
      <c r="N5933" s="184"/>
      <c r="O5933" s="184"/>
    </row>
    <row r="5934" customFormat="false" ht="15" hidden="false" customHeight="true" outlineLevel="0" collapsed="false">
      <c r="A5934" s="184"/>
      <c r="B5934" s="184"/>
      <c r="C5934" s="184"/>
      <c r="D5934" s="184"/>
      <c r="E5934" s="184"/>
      <c r="F5934" s="184"/>
      <c r="G5934" s="184"/>
      <c r="H5934" s="184"/>
      <c r="I5934" s="184"/>
      <c r="J5934" s="184"/>
      <c r="K5934" s="184"/>
      <c r="L5934" s="184"/>
      <c r="M5934" s="184"/>
      <c r="N5934" s="184"/>
      <c r="O5934" s="184"/>
    </row>
    <row r="5935" customFormat="false" ht="15" hidden="false" customHeight="true" outlineLevel="0" collapsed="false">
      <c r="A5935" s="184"/>
      <c r="B5935" s="184"/>
      <c r="C5935" s="184"/>
      <c r="D5935" s="184"/>
      <c r="E5935" s="184"/>
      <c r="F5935" s="184"/>
      <c r="G5935" s="184"/>
      <c r="H5935" s="184"/>
      <c r="I5935" s="184"/>
      <c r="J5935" s="184"/>
      <c r="K5935" s="184"/>
      <c r="L5935" s="184"/>
      <c r="M5935" s="184"/>
      <c r="N5935" s="184"/>
      <c r="O5935" s="184"/>
    </row>
    <row r="5936" customFormat="false" ht="15" hidden="false" customHeight="true" outlineLevel="0" collapsed="false">
      <c r="A5936" s="184"/>
      <c r="B5936" s="184"/>
      <c r="C5936" s="184"/>
      <c r="D5936" s="184"/>
      <c r="E5936" s="184"/>
      <c r="F5936" s="184"/>
      <c r="G5936" s="184"/>
      <c r="H5936" s="184"/>
      <c r="I5936" s="184"/>
      <c r="J5936" s="184"/>
      <c r="K5936" s="184"/>
      <c r="L5936" s="184"/>
      <c r="M5936" s="184"/>
      <c r="N5936" s="184"/>
      <c r="O5936" s="184"/>
    </row>
    <row r="5937" customFormat="false" ht="15" hidden="false" customHeight="true" outlineLevel="0" collapsed="false">
      <c r="A5937" s="184"/>
      <c r="B5937" s="184"/>
      <c r="C5937" s="184"/>
      <c r="D5937" s="184"/>
      <c r="E5937" s="184"/>
      <c r="F5937" s="184"/>
      <c r="G5937" s="184"/>
      <c r="H5937" s="184"/>
      <c r="I5937" s="184"/>
      <c r="J5937" s="184"/>
      <c r="K5937" s="184"/>
      <c r="L5937" s="184"/>
      <c r="M5937" s="184"/>
      <c r="N5937" s="184"/>
      <c r="O5937" s="184"/>
    </row>
    <row r="5938" customFormat="false" ht="15" hidden="false" customHeight="true" outlineLevel="0" collapsed="false">
      <c r="A5938" s="184"/>
      <c r="B5938" s="184"/>
      <c r="C5938" s="184"/>
      <c r="D5938" s="184"/>
      <c r="E5938" s="184"/>
      <c r="F5938" s="184"/>
      <c r="G5938" s="184"/>
      <c r="H5938" s="184"/>
      <c r="I5938" s="184"/>
      <c r="J5938" s="184"/>
      <c r="K5938" s="184"/>
      <c r="L5938" s="184"/>
      <c r="M5938" s="184"/>
      <c r="N5938" s="184"/>
      <c r="O5938" s="184"/>
    </row>
    <row r="5939" customFormat="false" ht="15" hidden="false" customHeight="true" outlineLevel="0" collapsed="false">
      <c r="A5939" s="184"/>
      <c r="B5939" s="184"/>
      <c r="C5939" s="184"/>
      <c r="D5939" s="184"/>
      <c r="E5939" s="184"/>
      <c r="F5939" s="184"/>
      <c r="G5939" s="184"/>
      <c r="H5939" s="184"/>
      <c r="I5939" s="184"/>
      <c r="J5939" s="184"/>
      <c r="K5939" s="184"/>
      <c r="L5939" s="184"/>
      <c r="M5939" s="184"/>
      <c r="N5939" s="184"/>
      <c r="O5939" s="184"/>
    </row>
    <row r="5940" customFormat="false" ht="15" hidden="false" customHeight="true" outlineLevel="0" collapsed="false">
      <c r="A5940" s="184"/>
      <c r="B5940" s="184"/>
      <c r="C5940" s="184"/>
      <c r="D5940" s="184"/>
      <c r="E5940" s="184"/>
      <c r="F5940" s="184"/>
      <c r="G5940" s="184"/>
      <c r="H5940" s="184"/>
      <c r="I5940" s="184"/>
      <c r="J5940" s="184"/>
      <c r="K5940" s="184"/>
      <c r="L5940" s="184"/>
      <c r="M5940" s="184"/>
      <c r="N5940" s="184"/>
      <c r="O5940" s="184"/>
    </row>
    <row r="5941" customFormat="false" ht="15" hidden="false" customHeight="true" outlineLevel="0" collapsed="false">
      <c r="A5941" s="184"/>
      <c r="B5941" s="184"/>
      <c r="C5941" s="184"/>
      <c r="D5941" s="184"/>
      <c r="E5941" s="184"/>
      <c r="F5941" s="184"/>
      <c r="G5941" s="184"/>
      <c r="H5941" s="184"/>
      <c r="I5941" s="184"/>
      <c r="J5941" s="184"/>
      <c r="K5941" s="184"/>
      <c r="L5941" s="184"/>
      <c r="M5941" s="184"/>
      <c r="N5941" s="184"/>
      <c r="O5941" s="184"/>
    </row>
    <row r="5942" customFormat="false" ht="15" hidden="false" customHeight="true" outlineLevel="0" collapsed="false">
      <c r="A5942" s="184"/>
      <c r="B5942" s="184"/>
      <c r="C5942" s="184"/>
      <c r="D5942" s="184"/>
      <c r="E5942" s="184"/>
      <c r="F5942" s="184"/>
      <c r="G5942" s="184"/>
      <c r="H5942" s="184"/>
      <c r="I5942" s="184"/>
      <c r="J5942" s="184"/>
      <c r="K5942" s="184"/>
      <c r="L5942" s="184"/>
      <c r="M5942" s="184"/>
      <c r="N5942" s="184"/>
      <c r="O5942" s="184"/>
    </row>
    <row r="5943" customFormat="false" ht="15" hidden="false" customHeight="true" outlineLevel="0" collapsed="false">
      <c r="A5943" s="184"/>
      <c r="B5943" s="184"/>
      <c r="C5943" s="184"/>
      <c r="D5943" s="184"/>
      <c r="E5943" s="184"/>
      <c r="F5943" s="184"/>
      <c r="G5943" s="184"/>
      <c r="H5943" s="184"/>
      <c r="I5943" s="184"/>
      <c r="J5943" s="184"/>
      <c r="K5943" s="184"/>
      <c r="L5943" s="184"/>
      <c r="M5943" s="184"/>
      <c r="N5943" s="184"/>
      <c r="O5943" s="184"/>
    </row>
    <row r="5944" customFormat="false" ht="15" hidden="false" customHeight="true" outlineLevel="0" collapsed="false">
      <c r="A5944" s="184"/>
      <c r="B5944" s="184"/>
      <c r="C5944" s="184"/>
      <c r="D5944" s="184"/>
      <c r="E5944" s="184"/>
      <c r="F5944" s="184"/>
      <c r="G5944" s="184"/>
      <c r="H5944" s="184"/>
      <c r="I5944" s="184"/>
      <c r="J5944" s="184"/>
      <c r="K5944" s="184"/>
      <c r="L5944" s="184"/>
      <c r="M5944" s="184"/>
      <c r="N5944" s="184"/>
      <c r="O5944" s="184"/>
    </row>
    <row r="5945" customFormat="false" ht="15" hidden="false" customHeight="true" outlineLevel="0" collapsed="false">
      <c r="A5945" s="184"/>
      <c r="B5945" s="184"/>
      <c r="C5945" s="184"/>
      <c r="D5945" s="184"/>
      <c r="E5945" s="184"/>
      <c r="F5945" s="184"/>
      <c r="G5945" s="184"/>
      <c r="H5945" s="184"/>
      <c r="I5945" s="184"/>
      <c r="J5945" s="184"/>
      <c r="K5945" s="184"/>
      <c r="L5945" s="184"/>
      <c r="M5945" s="184"/>
      <c r="N5945" s="184"/>
      <c r="O5945" s="184"/>
    </row>
    <row r="5946" customFormat="false" ht="15" hidden="false" customHeight="true" outlineLevel="0" collapsed="false">
      <c r="A5946" s="184"/>
      <c r="B5946" s="184"/>
      <c r="C5946" s="184"/>
      <c r="D5946" s="184"/>
      <c r="E5946" s="184"/>
      <c r="F5946" s="184"/>
      <c r="G5946" s="184"/>
      <c r="H5946" s="184"/>
      <c r="I5946" s="184"/>
      <c r="J5946" s="184"/>
      <c r="K5946" s="184"/>
      <c r="L5946" s="184"/>
      <c r="M5946" s="184"/>
      <c r="N5946" s="184"/>
      <c r="O5946" s="184"/>
    </row>
    <row r="5947" customFormat="false" ht="15" hidden="false" customHeight="true" outlineLevel="0" collapsed="false">
      <c r="A5947" s="184"/>
      <c r="B5947" s="184"/>
      <c r="C5947" s="184"/>
      <c r="D5947" s="184"/>
      <c r="E5947" s="184"/>
      <c r="F5947" s="184"/>
      <c r="G5947" s="184"/>
      <c r="H5947" s="184"/>
      <c r="I5947" s="184"/>
      <c r="J5947" s="184"/>
      <c r="K5947" s="184"/>
      <c r="L5947" s="184"/>
      <c r="M5947" s="184"/>
      <c r="N5947" s="184"/>
      <c r="O5947" s="184"/>
    </row>
    <row r="5948" customFormat="false" ht="15" hidden="false" customHeight="true" outlineLevel="0" collapsed="false">
      <c r="A5948" s="184"/>
      <c r="B5948" s="184"/>
      <c r="C5948" s="184"/>
      <c r="D5948" s="184"/>
      <c r="E5948" s="184"/>
      <c r="F5948" s="184"/>
      <c r="G5948" s="184"/>
      <c r="H5948" s="184"/>
      <c r="I5948" s="184"/>
      <c r="J5948" s="184"/>
      <c r="K5948" s="184"/>
      <c r="L5948" s="184"/>
      <c r="M5948" s="184"/>
      <c r="N5948" s="184"/>
      <c r="O5948" s="184"/>
    </row>
    <row r="5949" customFormat="false" ht="15" hidden="false" customHeight="true" outlineLevel="0" collapsed="false">
      <c r="A5949" s="184"/>
      <c r="B5949" s="184"/>
      <c r="C5949" s="184"/>
      <c r="D5949" s="184"/>
      <c r="E5949" s="184"/>
      <c r="F5949" s="184"/>
      <c r="G5949" s="184"/>
      <c r="H5949" s="184"/>
      <c r="I5949" s="184"/>
      <c r="J5949" s="184"/>
      <c r="K5949" s="184"/>
      <c r="L5949" s="184"/>
      <c r="M5949" s="184"/>
      <c r="N5949" s="184"/>
      <c r="O5949" s="184"/>
    </row>
    <row r="5950" customFormat="false" ht="15" hidden="false" customHeight="true" outlineLevel="0" collapsed="false">
      <c r="A5950" s="184"/>
      <c r="B5950" s="184"/>
      <c r="C5950" s="184"/>
      <c r="D5950" s="184"/>
      <c r="E5950" s="184"/>
      <c r="F5950" s="184"/>
      <c r="G5950" s="184"/>
      <c r="H5950" s="184"/>
      <c r="I5950" s="184"/>
      <c r="J5950" s="184"/>
      <c r="K5950" s="184"/>
      <c r="L5950" s="184"/>
      <c r="M5950" s="184"/>
      <c r="N5950" s="184"/>
      <c r="O5950" s="184"/>
    </row>
    <row r="5951" customFormat="false" ht="15" hidden="false" customHeight="true" outlineLevel="0" collapsed="false">
      <c r="A5951" s="184"/>
      <c r="B5951" s="184"/>
      <c r="C5951" s="184"/>
      <c r="D5951" s="184"/>
      <c r="E5951" s="184"/>
      <c r="F5951" s="184"/>
      <c r="G5951" s="184"/>
      <c r="H5951" s="184"/>
      <c r="I5951" s="184"/>
      <c r="J5951" s="184"/>
      <c r="K5951" s="184"/>
      <c r="L5951" s="184"/>
      <c r="M5951" s="184"/>
      <c r="N5951" s="184"/>
      <c r="O5951" s="184"/>
    </row>
    <row r="5952" customFormat="false" ht="15" hidden="false" customHeight="true" outlineLevel="0" collapsed="false">
      <c r="A5952" s="184"/>
      <c r="B5952" s="184"/>
      <c r="C5952" s="184"/>
      <c r="D5952" s="184"/>
      <c r="E5952" s="184"/>
      <c r="F5952" s="184"/>
      <c r="G5952" s="184"/>
      <c r="H5952" s="184"/>
      <c r="I5952" s="184"/>
      <c r="J5952" s="184"/>
      <c r="K5952" s="184"/>
      <c r="L5952" s="184"/>
      <c r="M5952" s="184"/>
      <c r="N5952" s="184"/>
      <c r="O5952" s="184"/>
    </row>
    <row r="5953" customFormat="false" ht="15" hidden="false" customHeight="true" outlineLevel="0" collapsed="false">
      <c r="A5953" s="184"/>
      <c r="B5953" s="184"/>
      <c r="C5953" s="184"/>
      <c r="D5953" s="184"/>
      <c r="E5953" s="184"/>
      <c r="F5953" s="184"/>
      <c r="G5953" s="184"/>
      <c r="H5953" s="184"/>
      <c r="I5953" s="184"/>
      <c r="J5953" s="184"/>
      <c r="K5953" s="184"/>
      <c r="L5953" s="184"/>
      <c r="M5953" s="184"/>
      <c r="N5953" s="184"/>
      <c r="O5953" s="184"/>
    </row>
    <row r="5954" customFormat="false" ht="15" hidden="false" customHeight="true" outlineLevel="0" collapsed="false">
      <c r="A5954" s="184"/>
      <c r="B5954" s="184"/>
      <c r="C5954" s="184"/>
      <c r="D5954" s="184"/>
      <c r="E5954" s="184"/>
      <c r="F5954" s="184"/>
      <c r="G5954" s="184"/>
      <c r="H5954" s="184"/>
      <c r="I5954" s="184"/>
      <c r="J5954" s="184"/>
      <c r="K5954" s="184"/>
      <c r="L5954" s="184"/>
      <c r="M5954" s="184"/>
      <c r="N5954" s="184"/>
      <c r="O5954" s="184"/>
    </row>
    <row r="5955" customFormat="false" ht="15" hidden="false" customHeight="true" outlineLevel="0" collapsed="false">
      <c r="A5955" s="184"/>
      <c r="B5955" s="184"/>
      <c r="C5955" s="184"/>
      <c r="D5955" s="184"/>
      <c r="E5955" s="184"/>
      <c r="F5955" s="184"/>
      <c r="G5955" s="184"/>
      <c r="H5955" s="184"/>
      <c r="I5955" s="184"/>
      <c r="J5955" s="184"/>
      <c r="K5955" s="184"/>
      <c r="L5955" s="184"/>
      <c r="M5955" s="184"/>
      <c r="N5955" s="184"/>
      <c r="O5955" s="184"/>
    </row>
    <row r="5956" customFormat="false" ht="15" hidden="false" customHeight="true" outlineLevel="0" collapsed="false">
      <c r="A5956" s="184"/>
      <c r="B5956" s="184"/>
      <c r="C5956" s="184"/>
      <c r="D5956" s="184"/>
      <c r="E5956" s="184"/>
      <c r="F5956" s="184"/>
      <c r="G5956" s="184"/>
      <c r="H5956" s="184"/>
      <c r="I5956" s="184"/>
      <c r="J5956" s="184"/>
      <c r="K5956" s="184"/>
      <c r="L5956" s="184"/>
      <c r="M5956" s="184"/>
      <c r="N5956" s="184"/>
      <c r="O5956" s="184"/>
    </row>
    <row r="5957" customFormat="false" ht="15" hidden="false" customHeight="true" outlineLevel="0" collapsed="false">
      <c r="A5957" s="184"/>
      <c r="B5957" s="184"/>
      <c r="C5957" s="184"/>
      <c r="D5957" s="184"/>
      <c r="E5957" s="184"/>
      <c r="F5957" s="184"/>
      <c r="G5957" s="184"/>
      <c r="H5957" s="184"/>
      <c r="I5957" s="184"/>
      <c r="J5957" s="184"/>
      <c r="K5957" s="184"/>
      <c r="L5957" s="184"/>
      <c r="M5957" s="184"/>
      <c r="N5957" s="184"/>
      <c r="O5957" s="184"/>
    </row>
    <row r="5958" customFormat="false" ht="15" hidden="false" customHeight="true" outlineLevel="0" collapsed="false">
      <c r="A5958" s="184"/>
      <c r="B5958" s="184"/>
      <c r="C5958" s="184"/>
      <c r="D5958" s="184"/>
      <c r="E5958" s="184"/>
      <c r="F5958" s="184"/>
      <c r="G5958" s="184"/>
      <c r="H5958" s="184"/>
      <c r="I5958" s="184"/>
      <c r="J5958" s="184"/>
      <c r="K5958" s="184"/>
      <c r="L5958" s="184"/>
      <c r="M5958" s="184"/>
      <c r="N5958" s="184"/>
      <c r="O5958" s="184"/>
    </row>
    <row r="5959" customFormat="false" ht="15" hidden="false" customHeight="true" outlineLevel="0" collapsed="false">
      <c r="A5959" s="184"/>
      <c r="B5959" s="184"/>
      <c r="C5959" s="184"/>
      <c r="D5959" s="184"/>
      <c r="E5959" s="184"/>
      <c r="F5959" s="184"/>
      <c r="G5959" s="184"/>
      <c r="H5959" s="184"/>
      <c r="I5959" s="184"/>
      <c r="J5959" s="184"/>
      <c r="K5959" s="184"/>
      <c r="L5959" s="184"/>
      <c r="M5959" s="184"/>
      <c r="N5959" s="184"/>
      <c r="O5959" s="184"/>
    </row>
    <row r="5960" customFormat="false" ht="15" hidden="false" customHeight="true" outlineLevel="0" collapsed="false">
      <c r="A5960" s="184"/>
      <c r="B5960" s="184"/>
      <c r="C5960" s="184"/>
      <c r="D5960" s="184"/>
      <c r="E5960" s="184"/>
      <c r="F5960" s="184"/>
      <c r="G5960" s="184"/>
      <c r="H5960" s="184"/>
      <c r="I5960" s="184"/>
      <c r="J5960" s="184"/>
      <c r="K5960" s="184"/>
      <c r="L5960" s="184"/>
      <c r="M5960" s="184"/>
      <c r="N5960" s="184"/>
      <c r="O5960" s="184"/>
    </row>
    <row r="5961" customFormat="false" ht="15" hidden="false" customHeight="true" outlineLevel="0" collapsed="false">
      <c r="A5961" s="184"/>
      <c r="B5961" s="184"/>
      <c r="C5961" s="184"/>
      <c r="D5961" s="184"/>
      <c r="E5961" s="184"/>
      <c r="F5961" s="184"/>
      <c r="G5961" s="184"/>
      <c r="H5961" s="184"/>
      <c r="I5961" s="184"/>
      <c r="J5961" s="184"/>
      <c r="K5961" s="184"/>
      <c r="L5961" s="184"/>
      <c r="M5961" s="184"/>
      <c r="N5961" s="184"/>
      <c r="O5961" s="184"/>
    </row>
    <row r="5962" customFormat="false" ht="15" hidden="false" customHeight="true" outlineLevel="0" collapsed="false">
      <c r="A5962" s="184"/>
      <c r="B5962" s="184"/>
      <c r="C5962" s="184"/>
      <c r="D5962" s="184"/>
      <c r="E5962" s="184"/>
      <c r="F5962" s="184"/>
      <c r="G5962" s="184"/>
      <c r="H5962" s="184"/>
      <c r="I5962" s="184"/>
      <c r="J5962" s="184"/>
      <c r="K5962" s="184"/>
      <c r="L5962" s="184"/>
      <c r="M5962" s="184"/>
      <c r="N5962" s="184"/>
      <c r="O5962" s="184"/>
    </row>
    <row r="5963" customFormat="false" ht="15" hidden="false" customHeight="true" outlineLevel="0" collapsed="false">
      <c r="A5963" s="184"/>
      <c r="B5963" s="184"/>
      <c r="C5963" s="184"/>
      <c r="D5963" s="184"/>
      <c r="E5963" s="184"/>
      <c r="F5963" s="184"/>
      <c r="G5963" s="184"/>
      <c r="H5963" s="184"/>
      <c r="I5963" s="184"/>
      <c r="J5963" s="184"/>
      <c r="K5963" s="184"/>
      <c r="L5963" s="184"/>
      <c r="M5963" s="184"/>
      <c r="N5963" s="184"/>
      <c r="O5963" s="184"/>
    </row>
    <row r="5964" customFormat="false" ht="15" hidden="false" customHeight="true" outlineLevel="0" collapsed="false">
      <c r="A5964" s="184"/>
      <c r="B5964" s="184"/>
      <c r="C5964" s="184"/>
      <c r="D5964" s="184"/>
      <c r="E5964" s="184"/>
      <c r="F5964" s="184"/>
      <c r="G5964" s="184"/>
      <c r="H5964" s="184"/>
      <c r="I5964" s="184"/>
      <c r="J5964" s="184"/>
      <c r="K5964" s="184"/>
      <c r="L5964" s="184"/>
      <c r="M5964" s="184"/>
      <c r="N5964" s="184"/>
      <c r="O5964" s="184"/>
    </row>
    <row r="5965" customFormat="false" ht="15" hidden="false" customHeight="true" outlineLevel="0" collapsed="false">
      <c r="A5965" s="184"/>
      <c r="B5965" s="184"/>
      <c r="C5965" s="184"/>
      <c r="D5965" s="184"/>
      <c r="E5965" s="184"/>
      <c r="F5965" s="184"/>
      <c r="G5965" s="184"/>
      <c r="H5965" s="184"/>
      <c r="I5965" s="184"/>
      <c r="J5965" s="184"/>
      <c r="K5965" s="184"/>
      <c r="L5965" s="184"/>
      <c r="M5965" s="184"/>
      <c r="N5965" s="184"/>
      <c r="O5965" s="184"/>
    </row>
    <row r="5966" customFormat="false" ht="15" hidden="false" customHeight="true" outlineLevel="0" collapsed="false">
      <c r="A5966" s="184"/>
      <c r="B5966" s="184"/>
      <c r="C5966" s="184"/>
      <c r="D5966" s="184"/>
      <c r="E5966" s="184"/>
      <c r="F5966" s="184"/>
      <c r="G5966" s="184"/>
      <c r="H5966" s="184"/>
      <c r="I5966" s="184"/>
      <c r="J5966" s="184"/>
      <c r="K5966" s="184"/>
      <c r="L5966" s="184"/>
      <c r="M5966" s="184"/>
      <c r="N5966" s="184"/>
      <c r="O5966" s="184"/>
    </row>
    <row r="5967" customFormat="false" ht="15" hidden="false" customHeight="true" outlineLevel="0" collapsed="false">
      <c r="A5967" s="184"/>
      <c r="B5967" s="184"/>
      <c r="C5967" s="184"/>
      <c r="D5967" s="184"/>
      <c r="E5967" s="184"/>
      <c r="F5967" s="184"/>
      <c r="G5967" s="184"/>
      <c r="H5967" s="184"/>
      <c r="I5967" s="184"/>
      <c r="J5967" s="184"/>
      <c r="K5967" s="184"/>
      <c r="L5967" s="184"/>
      <c r="M5967" s="184"/>
      <c r="N5967" s="184"/>
      <c r="O5967" s="184"/>
    </row>
    <row r="5968" customFormat="false" ht="15" hidden="false" customHeight="true" outlineLevel="0" collapsed="false">
      <c r="A5968" s="184"/>
      <c r="B5968" s="184"/>
      <c r="C5968" s="184"/>
      <c r="D5968" s="184"/>
      <c r="E5968" s="184"/>
      <c r="F5968" s="184"/>
      <c r="G5968" s="184"/>
      <c r="H5968" s="184"/>
      <c r="I5968" s="184"/>
      <c r="J5968" s="184"/>
      <c r="K5968" s="184"/>
      <c r="L5968" s="184"/>
      <c r="M5968" s="184"/>
      <c r="N5968" s="184"/>
      <c r="O5968" s="184"/>
    </row>
    <row r="5969" customFormat="false" ht="15" hidden="false" customHeight="true" outlineLevel="0" collapsed="false">
      <c r="A5969" s="184"/>
      <c r="B5969" s="184"/>
      <c r="C5969" s="184"/>
      <c r="D5969" s="184"/>
      <c r="E5969" s="184"/>
      <c r="F5969" s="184"/>
      <c r="G5969" s="184"/>
      <c r="H5969" s="184"/>
      <c r="I5969" s="184"/>
      <c r="J5969" s="184"/>
      <c r="K5969" s="184"/>
      <c r="L5969" s="184"/>
      <c r="M5969" s="184"/>
      <c r="N5969" s="184"/>
      <c r="O5969" s="184"/>
    </row>
    <row r="5970" customFormat="false" ht="15" hidden="false" customHeight="true" outlineLevel="0" collapsed="false">
      <c r="A5970" s="184"/>
      <c r="B5970" s="184"/>
      <c r="C5970" s="184"/>
      <c r="D5970" s="184"/>
      <c r="E5970" s="184"/>
      <c r="F5970" s="184"/>
      <c r="G5970" s="184"/>
      <c r="H5970" s="184"/>
      <c r="I5970" s="184"/>
      <c r="J5970" s="184"/>
      <c r="K5970" s="184"/>
      <c r="L5970" s="184"/>
      <c r="M5970" s="184"/>
      <c r="N5970" s="184"/>
      <c r="O5970" s="184"/>
    </row>
    <row r="5971" customFormat="false" ht="15" hidden="false" customHeight="true" outlineLevel="0" collapsed="false">
      <c r="A5971" s="184"/>
      <c r="B5971" s="184"/>
      <c r="C5971" s="184"/>
      <c r="D5971" s="184"/>
      <c r="E5971" s="184"/>
      <c r="F5971" s="184"/>
      <c r="G5971" s="184"/>
      <c r="H5971" s="184"/>
      <c r="I5971" s="184"/>
      <c r="J5971" s="184"/>
      <c r="K5971" s="184"/>
      <c r="L5971" s="184"/>
      <c r="M5971" s="184"/>
      <c r="N5971" s="184"/>
      <c r="O5971" s="184"/>
    </row>
    <row r="5972" customFormat="false" ht="15" hidden="false" customHeight="true" outlineLevel="0" collapsed="false">
      <c r="A5972" s="184"/>
      <c r="B5972" s="184"/>
      <c r="C5972" s="184"/>
      <c r="D5972" s="184"/>
      <c r="E5972" s="184"/>
      <c r="F5972" s="184"/>
      <c r="G5972" s="184"/>
      <c r="H5972" s="184"/>
      <c r="I5972" s="184"/>
      <c r="J5972" s="184"/>
      <c r="K5972" s="184"/>
      <c r="L5972" s="184"/>
      <c r="M5972" s="184"/>
      <c r="N5972" s="184"/>
      <c r="O5972" s="184"/>
    </row>
    <row r="5973" customFormat="false" ht="15" hidden="false" customHeight="true" outlineLevel="0" collapsed="false">
      <c r="A5973" s="184"/>
      <c r="B5973" s="184"/>
      <c r="C5973" s="184"/>
      <c r="D5973" s="184"/>
      <c r="E5973" s="184"/>
      <c r="F5973" s="184"/>
      <c r="G5973" s="184"/>
      <c r="H5973" s="184"/>
      <c r="I5973" s="184"/>
      <c r="J5973" s="184"/>
      <c r="K5973" s="184"/>
      <c r="L5973" s="184"/>
      <c r="M5973" s="184"/>
      <c r="N5973" s="184"/>
      <c r="O5973" s="184"/>
    </row>
    <row r="5974" customFormat="false" ht="15" hidden="false" customHeight="true" outlineLevel="0" collapsed="false">
      <c r="A5974" s="184"/>
      <c r="B5974" s="184"/>
      <c r="C5974" s="184"/>
      <c r="D5974" s="184"/>
      <c r="E5974" s="184"/>
      <c r="F5974" s="184"/>
      <c r="G5974" s="184"/>
      <c r="H5974" s="184"/>
      <c r="I5974" s="184"/>
      <c r="J5974" s="184"/>
      <c r="K5974" s="184"/>
      <c r="L5974" s="184"/>
      <c r="M5974" s="184"/>
      <c r="N5974" s="184"/>
      <c r="O5974" s="184"/>
    </row>
    <row r="5975" customFormat="false" ht="15" hidden="false" customHeight="true" outlineLevel="0" collapsed="false">
      <c r="A5975" s="184"/>
      <c r="B5975" s="184"/>
      <c r="C5975" s="184"/>
      <c r="D5975" s="184"/>
      <c r="E5975" s="184"/>
      <c r="F5975" s="184"/>
      <c r="G5975" s="184"/>
      <c r="H5975" s="184"/>
      <c r="I5975" s="184"/>
      <c r="J5975" s="184"/>
      <c r="K5975" s="184"/>
      <c r="L5975" s="184"/>
      <c r="M5975" s="184"/>
      <c r="N5975" s="184"/>
      <c r="O5975" s="184"/>
    </row>
    <row r="5976" customFormat="false" ht="15" hidden="false" customHeight="true" outlineLevel="0" collapsed="false">
      <c r="A5976" s="184"/>
      <c r="B5976" s="184"/>
      <c r="C5976" s="184"/>
      <c r="D5976" s="184"/>
      <c r="E5976" s="184"/>
      <c r="F5976" s="184"/>
      <c r="G5976" s="184"/>
      <c r="H5976" s="184"/>
      <c r="I5976" s="184"/>
      <c r="J5976" s="184"/>
      <c r="K5976" s="184"/>
      <c r="L5976" s="184"/>
      <c r="M5976" s="184"/>
      <c r="N5976" s="184"/>
      <c r="O5976" s="184"/>
    </row>
    <row r="5977" customFormat="false" ht="15" hidden="false" customHeight="true" outlineLevel="0" collapsed="false">
      <c r="A5977" s="184"/>
      <c r="B5977" s="184"/>
      <c r="C5977" s="184"/>
      <c r="D5977" s="184"/>
      <c r="E5977" s="184"/>
      <c r="F5977" s="184"/>
      <c r="G5977" s="184"/>
      <c r="H5977" s="184"/>
      <c r="I5977" s="184"/>
      <c r="J5977" s="184"/>
      <c r="K5977" s="184"/>
      <c r="L5977" s="184"/>
      <c r="M5977" s="184"/>
      <c r="N5977" s="184"/>
      <c r="O5977" s="184"/>
    </row>
    <row r="5978" customFormat="false" ht="15" hidden="false" customHeight="true" outlineLevel="0" collapsed="false">
      <c r="A5978" s="184"/>
      <c r="B5978" s="184"/>
      <c r="C5978" s="184"/>
      <c r="D5978" s="184"/>
      <c r="E5978" s="184"/>
      <c r="F5978" s="184"/>
      <c r="G5978" s="184"/>
      <c r="H5978" s="184"/>
      <c r="I5978" s="184"/>
      <c r="J5978" s="184"/>
      <c r="K5978" s="184"/>
      <c r="L5978" s="184"/>
      <c r="M5978" s="184"/>
      <c r="N5978" s="184"/>
      <c r="O5978" s="184"/>
    </row>
    <row r="5979" customFormat="false" ht="15" hidden="false" customHeight="true" outlineLevel="0" collapsed="false">
      <c r="A5979" s="184"/>
      <c r="B5979" s="184"/>
      <c r="C5979" s="184"/>
      <c r="D5979" s="184"/>
      <c r="E5979" s="184"/>
      <c r="F5979" s="184"/>
      <c r="G5979" s="184"/>
      <c r="H5979" s="184"/>
      <c r="I5979" s="184"/>
      <c r="J5979" s="184"/>
      <c r="K5979" s="184"/>
      <c r="L5979" s="184"/>
      <c r="M5979" s="184"/>
      <c r="N5979" s="184"/>
      <c r="O5979" s="184"/>
    </row>
    <row r="5980" customFormat="false" ht="15" hidden="false" customHeight="true" outlineLevel="0" collapsed="false">
      <c r="A5980" s="184"/>
      <c r="B5980" s="184"/>
      <c r="C5980" s="184"/>
      <c r="D5980" s="184"/>
      <c r="E5980" s="184"/>
      <c r="F5980" s="184"/>
      <c r="G5980" s="184"/>
      <c r="H5980" s="184"/>
      <c r="I5980" s="184"/>
      <c r="J5980" s="184"/>
      <c r="K5980" s="184"/>
      <c r="L5980" s="184"/>
      <c r="M5980" s="184"/>
      <c r="N5980" s="184"/>
      <c r="O5980" s="184"/>
    </row>
    <row r="5981" customFormat="false" ht="54.75" hidden="false" customHeight="true" outlineLevel="0" collapsed="false">
      <c r="A5981" s="184" t="s">
        <v>5011</v>
      </c>
      <c r="B5981" s="184" t="s">
        <v>5012</v>
      </c>
      <c r="C5981" s="184"/>
      <c r="D5981" s="179" t="s">
        <v>4858</v>
      </c>
      <c r="E5981" s="184" t="s">
        <v>7249</v>
      </c>
      <c r="F5981" s="184"/>
      <c r="G5981" s="184"/>
      <c r="H5981" s="184"/>
      <c r="I5981" s="184"/>
      <c r="J5981" s="184"/>
      <c r="K5981" s="184"/>
      <c r="L5981" s="184"/>
      <c r="M5981" s="184" t="s">
        <v>7250</v>
      </c>
      <c r="N5981" s="184"/>
      <c r="O5981" s="184"/>
    </row>
    <row r="5982" customFormat="false" ht="41.25" hidden="false" customHeight="true" outlineLevel="0" collapsed="false">
      <c r="A5982" s="184" t="s">
        <v>5011</v>
      </c>
      <c r="B5982" s="184" t="s">
        <v>5012</v>
      </c>
      <c r="C5982" s="184" t="n">
        <v>1</v>
      </c>
      <c r="D5982" s="179" t="s">
        <v>6292</v>
      </c>
      <c r="E5982" s="184" t="s">
        <v>6862</v>
      </c>
      <c r="F5982" s="184"/>
      <c r="G5982" s="184"/>
      <c r="H5982" s="184"/>
      <c r="I5982" s="184"/>
      <c r="J5982" s="184"/>
      <c r="K5982" s="184"/>
      <c r="L5982" s="184"/>
      <c r="M5982" s="184"/>
      <c r="N5982" s="184"/>
      <c r="O5982" s="184"/>
    </row>
    <row r="5983" customFormat="false" ht="41.25" hidden="false" customHeight="true" outlineLevel="0" collapsed="false">
      <c r="A5983" s="184" t="s">
        <v>5011</v>
      </c>
      <c r="B5983" s="184" t="s">
        <v>5012</v>
      </c>
      <c r="C5983" s="184" t="n">
        <v>2</v>
      </c>
      <c r="D5983" s="177" t="s">
        <v>6298</v>
      </c>
      <c r="E5983" s="184" t="s">
        <v>6863</v>
      </c>
      <c r="F5983" s="184"/>
      <c r="G5983" s="184"/>
      <c r="H5983" s="184"/>
      <c r="I5983" s="184"/>
      <c r="J5983" s="184"/>
      <c r="K5983" s="184"/>
      <c r="L5983" s="184"/>
      <c r="M5983" s="184"/>
      <c r="N5983" s="184"/>
      <c r="O5983" s="184"/>
    </row>
    <row r="5984" customFormat="false" ht="41.25" hidden="false" customHeight="true" outlineLevel="0" collapsed="false">
      <c r="A5984" s="184" t="s">
        <v>5011</v>
      </c>
      <c r="B5984" s="184" t="s">
        <v>5012</v>
      </c>
      <c r="C5984" s="184" t="n">
        <v>3</v>
      </c>
      <c r="D5984" s="177" t="s">
        <v>6298</v>
      </c>
      <c r="E5984" s="184" t="s">
        <v>6864</v>
      </c>
      <c r="F5984" s="184"/>
      <c r="G5984" s="184"/>
      <c r="H5984" s="184"/>
      <c r="I5984" s="184"/>
      <c r="J5984" s="184"/>
      <c r="K5984" s="184"/>
      <c r="L5984" s="184"/>
      <c r="M5984" s="184"/>
      <c r="N5984" s="184"/>
      <c r="O5984" s="184"/>
    </row>
    <row r="5985" customFormat="false" ht="108.75" hidden="false" customHeight="true" outlineLevel="0" collapsed="false">
      <c r="A5985" s="184" t="s">
        <v>5011</v>
      </c>
      <c r="B5985" s="184" t="s">
        <v>5012</v>
      </c>
      <c r="C5985" s="184" t="n">
        <v>4</v>
      </c>
      <c r="D5985" s="174" t="s">
        <v>4846</v>
      </c>
      <c r="E5985" s="184" t="s">
        <v>784</v>
      </c>
      <c r="F5985" s="184" t="s">
        <v>715</v>
      </c>
      <c r="G5985" s="184"/>
      <c r="H5985" s="184"/>
      <c r="I5985" s="184"/>
      <c r="J5985" s="184" t="s">
        <v>7251</v>
      </c>
      <c r="K5985" s="184" t="s">
        <v>6333</v>
      </c>
      <c r="L5985" s="184"/>
      <c r="M5985" s="184" t="s">
        <v>7252</v>
      </c>
      <c r="N5985" s="184"/>
      <c r="O5985" s="184"/>
    </row>
    <row r="5986" customFormat="false" ht="54.75" hidden="false" customHeight="true" outlineLevel="0" collapsed="false">
      <c r="A5986" s="184" t="s">
        <v>5011</v>
      </c>
      <c r="B5986" s="184" t="s">
        <v>5012</v>
      </c>
      <c r="C5986" s="184" t="n">
        <v>5</v>
      </c>
      <c r="D5986" s="174" t="s">
        <v>4846</v>
      </c>
      <c r="E5986" s="184" t="s">
        <v>5837</v>
      </c>
      <c r="F5986" s="184" t="s">
        <v>715</v>
      </c>
      <c r="G5986" s="184"/>
      <c r="H5986" s="184"/>
      <c r="I5986" s="184"/>
      <c r="J5986" s="184" t="s">
        <v>6396</v>
      </c>
      <c r="K5986" s="184" t="s">
        <v>6333</v>
      </c>
      <c r="L5986" s="184"/>
      <c r="M5986" s="184" t="s">
        <v>5839</v>
      </c>
      <c r="N5986" s="184"/>
      <c r="O5986" s="184"/>
    </row>
    <row r="5987" customFormat="false" ht="54.75" hidden="false" customHeight="true" outlineLevel="0" collapsed="false">
      <c r="A5987" s="184" t="s">
        <v>5011</v>
      </c>
      <c r="B5987" s="184" t="s">
        <v>5012</v>
      </c>
      <c r="C5987" s="184" t="n">
        <v>6</v>
      </c>
      <c r="D5987" s="174" t="s">
        <v>4848</v>
      </c>
      <c r="E5987" s="184"/>
      <c r="F5987" s="184"/>
      <c r="G5987" s="184"/>
      <c r="H5987" s="184"/>
      <c r="I5987" s="184"/>
      <c r="J5987" s="184" t="s">
        <v>6301</v>
      </c>
      <c r="K5987" s="184"/>
      <c r="L5987" s="184" t="s">
        <v>6302</v>
      </c>
      <c r="M5987" s="184" t="s">
        <v>6303</v>
      </c>
      <c r="N5987" s="184"/>
      <c r="O5987" s="184"/>
    </row>
    <row r="5988" customFormat="false" ht="41.25" hidden="false" customHeight="true" outlineLevel="0" collapsed="false">
      <c r="A5988" s="184" t="s">
        <v>5011</v>
      </c>
      <c r="B5988" s="184" t="s">
        <v>5012</v>
      </c>
      <c r="C5988" s="184" t="n">
        <v>7</v>
      </c>
      <c r="D5988" s="174" t="s">
        <v>4846</v>
      </c>
      <c r="E5988" s="184" t="s">
        <v>6393</v>
      </c>
      <c r="F5988" s="184" t="s">
        <v>715</v>
      </c>
      <c r="G5988" s="184"/>
      <c r="H5988" s="184"/>
      <c r="I5988" s="184"/>
      <c r="J5988" s="184" t="s">
        <v>6394</v>
      </c>
      <c r="K5988" s="184" t="s">
        <v>6333</v>
      </c>
      <c r="L5988" s="184"/>
      <c r="M5988" s="184" t="s">
        <v>6395</v>
      </c>
      <c r="N5988" s="184"/>
      <c r="O5988" s="184"/>
    </row>
    <row r="5989" customFormat="false" ht="15" hidden="false" customHeight="true" outlineLevel="0" collapsed="false">
      <c r="A5989" s="184"/>
      <c r="B5989" s="184"/>
      <c r="C5989" s="184"/>
      <c r="D5989" s="184"/>
      <c r="E5989" s="184"/>
      <c r="F5989" s="184"/>
      <c r="G5989" s="184"/>
      <c r="H5989" s="184"/>
      <c r="I5989" s="184"/>
      <c r="J5989" s="184"/>
      <c r="K5989" s="184"/>
      <c r="L5989" s="184"/>
      <c r="M5989" s="184"/>
      <c r="N5989" s="184"/>
      <c r="O5989" s="184"/>
    </row>
    <row r="5990" customFormat="false" ht="15" hidden="false" customHeight="true" outlineLevel="0" collapsed="false">
      <c r="A5990" s="184"/>
      <c r="B5990" s="184"/>
      <c r="C5990" s="184"/>
      <c r="D5990" s="184"/>
      <c r="E5990" s="184"/>
      <c r="F5990" s="184"/>
      <c r="G5990" s="184"/>
      <c r="H5990" s="184"/>
      <c r="I5990" s="184"/>
      <c r="J5990" s="184"/>
      <c r="K5990" s="184"/>
      <c r="L5990" s="184"/>
      <c r="M5990" s="184"/>
      <c r="N5990" s="184"/>
      <c r="O5990" s="184"/>
    </row>
    <row r="5991" customFormat="false" ht="15" hidden="false" customHeight="true" outlineLevel="0" collapsed="false">
      <c r="A5991" s="184"/>
      <c r="B5991" s="184"/>
      <c r="C5991" s="184"/>
      <c r="D5991" s="184"/>
      <c r="E5991" s="184"/>
      <c r="F5991" s="184"/>
      <c r="G5991" s="184"/>
      <c r="H5991" s="184"/>
      <c r="I5991" s="184"/>
      <c r="J5991" s="184"/>
      <c r="K5991" s="184"/>
      <c r="L5991" s="184"/>
      <c r="M5991" s="184"/>
      <c r="N5991" s="184"/>
      <c r="O5991" s="184"/>
    </row>
    <row r="5992" customFormat="false" ht="15" hidden="false" customHeight="true" outlineLevel="0" collapsed="false">
      <c r="A5992" s="184"/>
      <c r="B5992" s="184"/>
      <c r="C5992" s="184"/>
      <c r="D5992" s="184"/>
      <c r="E5992" s="184"/>
      <c r="F5992" s="184"/>
      <c r="G5992" s="184"/>
      <c r="H5992" s="184"/>
      <c r="I5992" s="184"/>
      <c r="J5992" s="184"/>
      <c r="K5992" s="184"/>
      <c r="L5992" s="184"/>
      <c r="M5992" s="184"/>
      <c r="N5992" s="184"/>
      <c r="O5992" s="184"/>
    </row>
    <row r="5993" customFormat="false" ht="15" hidden="false" customHeight="true" outlineLevel="0" collapsed="false">
      <c r="A5993" s="184"/>
      <c r="B5993" s="184"/>
      <c r="C5993" s="184"/>
      <c r="D5993" s="184"/>
      <c r="E5993" s="184"/>
      <c r="F5993" s="184"/>
      <c r="G5993" s="184"/>
      <c r="H5993" s="184"/>
      <c r="I5993" s="184"/>
      <c r="J5993" s="184"/>
      <c r="K5993" s="184"/>
      <c r="L5993" s="184"/>
      <c r="M5993" s="184"/>
      <c r="N5993" s="184"/>
      <c r="O5993" s="184"/>
    </row>
    <row r="5994" customFormat="false" ht="15" hidden="false" customHeight="true" outlineLevel="0" collapsed="false">
      <c r="A5994" s="184"/>
      <c r="B5994" s="184"/>
      <c r="C5994" s="184"/>
      <c r="D5994" s="184"/>
      <c r="E5994" s="184"/>
      <c r="F5994" s="184"/>
      <c r="G5994" s="184"/>
      <c r="H5994" s="184"/>
      <c r="I5994" s="184"/>
      <c r="J5994" s="184"/>
      <c r="K5994" s="184"/>
      <c r="L5994" s="184"/>
      <c r="M5994" s="184"/>
      <c r="N5994" s="184"/>
      <c r="O5994" s="184"/>
    </row>
    <row r="5995" customFormat="false" ht="15" hidden="false" customHeight="true" outlineLevel="0" collapsed="false">
      <c r="A5995" s="184"/>
      <c r="B5995" s="184"/>
      <c r="C5995" s="184"/>
      <c r="D5995" s="184"/>
      <c r="E5995" s="184"/>
      <c r="F5995" s="184"/>
      <c r="G5995" s="184"/>
      <c r="H5995" s="184"/>
      <c r="I5995" s="184"/>
      <c r="J5995" s="184"/>
      <c r="K5995" s="184"/>
      <c r="L5995" s="184"/>
      <c r="M5995" s="184"/>
      <c r="N5995" s="184"/>
      <c r="O5995" s="184"/>
    </row>
    <row r="5996" customFormat="false" ht="15" hidden="false" customHeight="true" outlineLevel="0" collapsed="false">
      <c r="A5996" s="184"/>
      <c r="B5996" s="184"/>
      <c r="C5996" s="184"/>
      <c r="D5996" s="184"/>
      <c r="E5996" s="184"/>
      <c r="F5996" s="184"/>
      <c r="G5996" s="184"/>
      <c r="H5996" s="184"/>
      <c r="I5996" s="184"/>
      <c r="J5996" s="184"/>
      <c r="K5996" s="184"/>
      <c r="L5996" s="184"/>
      <c r="M5996" s="184"/>
      <c r="N5996" s="184"/>
      <c r="O5996" s="184"/>
    </row>
    <row r="5997" customFormat="false" ht="15" hidden="false" customHeight="true" outlineLevel="0" collapsed="false">
      <c r="A5997" s="184"/>
      <c r="B5997" s="184"/>
      <c r="C5997" s="184"/>
      <c r="D5997" s="184"/>
      <c r="E5997" s="184"/>
      <c r="F5997" s="184"/>
      <c r="G5997" s="184"/>
      <c r="H5997" s="184"/>
      <c r="I5997" s="184"/>
      <c r="J5997" s="184"/>
      <c r="K5997" s="184"/>
      <c r="L5997" s="184"/>
      <c r="M5997" s="184"/>
      <c r="N5997" s="184"/>
      <c r="O5997" s="184"/>
    </row>
    <row r="5998" customFormat="false" ht="15" hidden="false" customHeight="true" outlineLevel="0" collapsed="false">
      <c r="A5998" s="184"/>
      <c r="B5998" s="184"/>
      <c r="C5998" s="184"/>
      <c r="D5998" s="184"/>
      <c r="E5998" s="184"/>
      <c r="F5998" s="184"/>
      <c r="G5998" s="184"/>
      <c r="H5998" s="184"/>
      <c r="I5998" s="184"/>
      <c r="J5998" s="184"/>
      <c r="K5998" s="184"/>
      <c r="L5998" s="184"/>
      <c r="M5998" s="184"/>
      <c r="N5998" s="184"/>
      <c r="O5998" s="184"/>
    </row>
    <row r="5999" customFormat="false" ht="15" hidden="false" customHeight="true" outlineLevel="0" collapsed="false">
      <c r="A5999" s="184"/>
      <c r="B5999" s="184"/>
      <c r="C5999" s="184"/>
      <c r="D5999" s="184"/>
      <c r="E5999" s="184"/>
      <c r="F5999" s="184"/>
      <c r="G5999" s="184"/>
      <c r="H5999" s="184"/>
      <c r="I5999" s="184"/>
      <c r="J5999" s="184"/>
      <c r="K5999" s="184"/>
      <c r="L5999" s="184"/>
      <c r="M5999" s="184"/>
      <c r="N5999" s="184"/>
      <c r="O5999" s="184"/>
    </row>
    <row r="6000" customFormat="false" ht="15" hidden="false" customHeight="true" outlineLevel="0" collapsed="false">
      <c r="A6000" s="184"/>
      <c r="B6000" s="184"/>
      <c r="C6000" s="184"/>
      <c r="D6000" s="184"/>
      <c r="E6000" s="184"/>
      <c r="F6000" s="184"/>
      <c r="G6000" s="184"/>
      <c r="H6000" s="184"/>
      <c r="I6000" s="184"/>
      <c r="J6000" s="184"/>
      <c r="K6000" s="184"/>
      <c r="L6000" s="184"/>
      <c r="M6000" s="184"/>
      <c r="N6000" s="184"/>
      <c r="O6000" s="184"/>
    </row>
    <row r="6001" customFormat="false" ht="15" hidden="false" customHeight="true" outlineLevel="0" collapsed="false">
      <c r="A6001" s="184"/>
      <c r="B6001" s="184"/>
      <c r="C6001" s="184"/>
      <c r="D6001" s="184"/>
      <c r="E6001" s="184"/>
      <c r="F6001" s="184"/>
      <c r="G6001" s="184"/>
      <c r="H6001" s="184"/>
      <c r="I6001" s="184"/>
      <c r="J6001" s="184"/>
      <c r="K6001" s="184"/>
      <c r="L6001" s="184"/>
      <c r="M6001" s="184"/>
      <c r="N6001" s="184"/>
      <c r="O6001" s="184"/>
    </row>
    <row r="6002" customFormat="false" ht="15" hidden="false" customHeight="true" outlineLevel="0" collapsed="false">
      <c r="A6002" s="184"/>
      <c r="B6002" s="184"/>
      <c r="C6002" s="184"/>
      <c r="D6002" s="184"/>
      <c r="E6002" s="184"/>
      <c r="F6002" s="184"/>
      <c r="G6002" s="184"/>
      <c r="H6002" s="184"/>
      <c r="I6002" s="184"/>
      <c r="J6002" s="184"/>
      <c r="K6002" s="184"/>
      <c r="L6002" s="184"/>
      <c r="M6002" s="184"/>
      <c r="N6002" s="184"/>
      <c r="O6002" s="184"/>
    </row>
    <row r="6003" customFormat="false" ht="15" hidden="false" customHeight="true" outlineLevel="0" collapsed="false">
      <c r="A6003" s="184"/>
      <c r="B6003" s="184"/>
      <c r="C6003" s="184"/>
      <c r="D6003" s="184"/>
      <c r="E6003" s="184"/>
      <c r="F6003" s="184"/>
      <c r="G6003" s="184"/>
      <c r="H6003" s="184"/>
      <c r="I6003" s="184"/>
      <c r="J6003" s="184"/>
      <c r="K6003" s="184"/>
      <c r="L6003" s="184"/>
      <c r="M6003" s="184"/>
      <c r="N6003" s="184"/>
      <c r="O6003" s="184"/>
    </row>
    <row r="6004" customFormat="false" ht="15" hidden="false" customHeight="true" outlineLevel="0" collapsed="false">
      <c r="A6004" s="184"/>
      <c r="B6004" s="184"/>
      <c r="C6004" s="184"/>
      <c r="D6004" s="184"/>
      <c r="E6004" s="184"/>
      <c r="F6004" s="184"/>
      <c r="G6004" s="184"/>
      <c r="H6004" s="184"/>
      <c r="I6004" s="184"/>
      <c r="J6004" s="184"/>
      <c r="K6004" s="184"/>
      <c r="L6004" s="184"/>
      <c r="M6004" s="184"/>
      <c r="N6004" s="184"/>
      <c r="O6004" s="184"/>
    </row>
    <row r="6005" customFormat="false" ht="15" hidden="false" customHeight="true" outlineLevel="0" collapsed="false">
      <c r="A6005" s="184"/>
      <c r="B6005" s="184"/>
      <c r="C6005" s="184"/>
      <c r="D6005" s="184"/>
      <c r="E6005" s="184"/>
      <c r="F6005" s="184"/>
      <c r="G6005" s="184"/>
      <c r="H6005" s="184"/>
      <c r="I6005" s="184"/>
      <c r="J6005" s="184"/>
      <c r="K6005" s="184"/>
      <c r="L6005" s="184"/>
      <c r="M6005" s="184"/>
      <c r="N6005" s="184"/>
      <c r="O6005" s="184"/>
    </row>
    <row r="6006" customFormat="false" ht="15" hidden="false" customHeight="true" outlineLevel="0" collapsed="false">
      <c r="A6006" s="184"/>
      <c r="B6006" s="184"/>
      <c r="C6006" s="184"/>
      <c r="D6006" s="184"/>
      <c r="E6006" s="184"/>
      <c r="F6006" s="184"/>
      <c r="G6006" s="184"/>
      <c r="H6006" s="184"/>
      <c r="I6006" s="184"/>
      <c r="J6006" s="184"/>
      <c r="K6006" s="184"/>
      <c r="L6006" s="184"/>
      <c r="M6006" s="184"/>
      <c r="N6006" s="184"/>
      <c r="O6006" s="184"/>
    </row>
    <row r="6007" customFormat="false" ht="15" hidden="false" customHeight="true" outlineLevel="0" collapsed="false">
      <c r="A6007" s="184"/>
      <c r="B6007" s="184"/>
      <c r="C6007" s="184"/>
      <c r="D6007" s="184"/>
      <c r="E6007" s="184"/>
      <c r="F6007" s="184"/>
      <c r="G6007" s="184"/>
      <c r="H6007" s="184"/>
      <c r="I6007" s="184"/>
      <c r="J6007" s="184"/>
      <c r="K6007" s="184"/>
      <c r="L6007" s="184"/>
      <c r="M6007" s="184"/>
      <c r="N6007" s="184"/>
      <c r="O6007" s="184"/>
    </row>
    <row r="6008" customFormat="false" ht="15" hidden="false" customHeight="true" outlineLevel="0" collapsed="false">
      <c r="A6008" s="184"/>
      <c r="B6008" s="184"/>
      <c r="C6008" s="184"/>
      <c r="D6008" s="184"/>
      <c r="E6008" s="184"/>
      <c r="F6008" s="184"/>
      <c r="G6008" s="184"/>
      <c r="H6008" s="184"/>
      <c r="I6008" s="184"/>
      <c r="J6008" s="184"/>
      <c r="K6008" s="184"/>
      <c r="L6008" s="184"/>
      <c r="M6008" s="184"/>
      <c r="N6008" s="184"/>
      <c r="O6008" s="184"/>
    </row>
    <row r="6009" customFormat="false" ht="15" hidden="false" customHeight="true" outlineLevel="0" collapsed="false">
      <c r="A6009" s="184"/>
      <c r="B6009" s="184"/>
      <c r="C6009" s="184"/>
      <c r="D6009" s="184"/>
      <c r="E6009" s="184"/>
      <c r="F6009" s="184"/>
      <c r="G6009" s="184"/>
      <c r="H6009" s="184"/>
      <c r="I6009" s="184"/>
      <c r="J6009" s="184"/>
      <c r="K6009" s="184"/>
      <c r="L6009" s="184"/>
      <c r="M6009" s="184"/>
      <c r="N6009" s="184"/>
      <c r="O6009" s="184"/>
    </row>
    <row r="6010" customFormat="false" ht="15" hidden="false" customHeight="true" outlineLevel="0" collapsed="false">
      <c r="A6010" s="184"/>
      <c r="B6010" s="184"/>
      <c r="C6010" s="184"/>
      <c r="D6010" s="184"/>
      <c r="E6010" s="184"/>
      <c r="F6010" s="184"/>
      <c r="G6010" s="184"/>
      <c r="H6010" s="184"/>
      <c r="I6010" s="184"/>
      <c r="J6010" s="184"/>
      <c r="K6010" s="184"/>
      <c r="L6010" s="184"/>
      <c r="M6010" s="184"/>
      <c r="N6010" s="184"/>
      <c r="O6010" s="184"/>
    </row>
    <row r="6011" customFormat="false" ht="15" hidden="false" customHeight="true" outlineLevel="0" collapsed="false">
      <c r="A6011" s="184"/>
      <c r="B6011" s="184"/>
      <c r="C6011" s="184"/>
      <c r="D6011" s="184"/>
      <c r="E6011" s="184"/>
      <c r="F6011" s="184"/>
      <c r="G6011" s="184"/>
      <c r="H6011" s="184"/>
      <c r="I6011" s="184"/>
      <c r="J6011" s="184"/>
      <c r="K6011" s="184"/>
      <c r="L6011" s="184"/>
      <c r="M6011" s="184"/>
      <c r="N6011" s="184"/>
      <c r="O6011" s="184"/>
    </row>
    <row r="6012" customFormat="false" ht="15" hidden="false" customHeight="true" outlineLevel="0" collapsed="false">
      <c r="A6012" s="184"/>
      <c r="B6012" s="184"/>
      <c r="C6012" s="184"/>
      <c r="D6012" s="184"/>
      <c r="E6012" s="184"/>
      <c r="F6012" s="184"/>
      <c r="G6012" s="184"/>
      <c r="H6012" s="184"/>
      <c r="I6012" s="184"/>
      <c r="J6012" s="184"/>
      <c r="K6012" s="184"/>
      <c r="L6012" s="184"/>
      <c r="M6012" s="184"/>
      <c r="N6012" s="184"/>
      <c r="O6012" s="184"/>
    </row>
    <row r="6013" customFormat="false" ht="15" hidden="false" customHeight="true" outlineLevel="0" collapsed="false">
      <c r="A6013" s="184"/>
      <c r="B6013" s="184"/>
      <c r="C6013" s="184"/>
      <c r="D6013" s="184"/>
      <c r="E6013" s="184"/>
      <c r="F6013" s="184"/>
      <c r="G6013" s="184"/>
      <c r="H6013" s="184"/>
      <c r="I6013" s="184"/>
      <c r="J6013" s="184"/>
      <c r="K6013" s="184"/>
      <c r="L6013" s="184"/>
      <c r="M6013" s="184"/>
      <c r="N6013" s="184"/>
      <c r="O6013" s="184"/>
    </row>
    <row r="6014" customFormat="false" ht="15" hidden="false" customHeight="true" outlineLevel="0" collapsed="false">
      <c r="A6014" s="184"/>
      <c r="B6014" s="184"/>
      <c r="C6014" s="184"/>
      <c r="D6014" s="184"/>
      <c r="E6014" s="184"/>
      <c r="F6014" s="184"/>
      <c r="G6014" s="184"/>
      <c r="H6014" s="184"/>
      <c r="I6014" s="184"/>
      <c r="J6014" s="184"/>
      <c r="K6014" s="184"/>
      <c r="L6014" s="184"/>
      <c r="M6014" s="184"/>
      <c r="N6014" s="184"/>
      <c r="O6014" s="184"/>
    </row>
    <row r="6015" customFormat="false" ht="15" hidden="false" customHeight="true" outlineLevel="0" collapsed="false">
      <c r="A6015" s="184"/>
      <c r="B6015" s="184"/>
      <c r="C6015" s="184"/>
      <c r="D6015" s="184"/>
      <c r="E6015" s="184"/>
      <c r="F6015" s="184"/>
      <c r="G6015" s="184"/>
      <c r="H6015" s="184"/>
      <c r="I6015" s="184"/>
      <c r="J6015" s="184"/>
      <c r="K6015" s="184"/>
      <c r="L6015" s="184"/>
      <c r="M6015" s="184"/>
      <c r="N6015" s="184"/>
      <c r="O6015" s="184"/>
    </row>
    <row r="6016" customFormat="false" ht="15" hidden="false" customHeight="true" outlineLevel="0" collapsed="false">
      <c r="A6016" s="184"/>
      <c r="B6016" s="184"/>
      <c r="C6016" s="184"/>
      <c r="D6016" s="184"/>
      <c r="E6016" s="184"/>
      <c r="F6016" s="184"/>
      <c r="G6016" s="184"/>
      <c r="H6016" s="184"/>
      <c r="I6016" s="184"/>
      <c r="J6016" s="184"/>
      <c r="K6016" s="184"/>
      <c r="L6016" s="184"/>
      <c r="M6016" s="184"/>
      <c r="N6016" s="184"/>
      <c r="O6016" s="184"/>
    </row>
    <row r="6017" customFormat="false" ht="15" hidden="false" customHeight="true" outlineLevel="0" collapsed="false">
      <c r="A6017" s="184"/>
      <c r="B6017" s="184"/>
      <c r="C6017" s="184"/>
      <c r="D6017" s="184"/>
      <c r="E6017" s="184"/>
      <c r="F6017" s="184"/>
      <c r="G6017" s="184"/>
      <c r="H6017" s="184"/>
      <c r="I6017" s="184"/>
      <c r="J6017" s="184"/>
      <c r="K6017" s="184"/>
      <c r="L6017" s="184"/>
      <c r="M6017" s="184"/>
      <c r="N6017" s="184"/>
      <c r="O6017" s="184"/>
    </row>
    <row r="6018" customFormat="false" ht="15" hidden="false" customHeight="true" outlineLevel="0" collapsed="false">
      <c r="A6018" s="184"/>
      <c r="B6018" s="184"/>
      <c r="C6018" s="184"/>
      <c r="D6018" s="184"/>
      <c r="E6018" s="184"/>
      <c r="F6018" s="184"/>
      <c r="G6018" s="184"/>
      <c r="H6018" s="184"/>
      <c r="I6018" s="184"/>
      <c r="J6018" s="184"/>
      <c r="K6018" s="184"/>
      <c r="L6018" s="184"/>
      <c r="M6018" s="184"/>
      <c r="N6018" s="184"/>
      <c r="O6018" s="184"/>
    </row>
    <row r="6019" customFormat="false" ht="15" hidden="false" customHeight="true" outlineLevel="0" collapsed="false">
      <c r="A6019" s="184"/>
      <c r="B6019" s="184"/>
      <c r="C6019" s="184"/>
      <c r="D6019" s="184"/>
      <c r="E6019" s="184"/>
      <c r="F6019" s="184"/>
      <c r="G6019" s="184"/>
      <c r="H6019" s="184"/>
      <c r="I6019" s="184"/>
      <c r="J6019" s="184"/>
      <c r="K6019" s="184"/>
      <c r="L6019" s="184"/>
      <c r="M6019" s="184"/>
      <c r="N6019" s="184"/>
      <c r="O6019" s="184"/>
    </row>
    <row r="6020" customFormat="false" ht="15" hidden="false" customHeight="true" outlineLevel="0" collapsed="false">
      <c r="A6020" s="184"/>
      <c r="B6020" s="184"/>
      <c r="C6020" s="184"/>
      <c r="D6020" s="184"/>
      <c r="E6020" s="184"/>
      <c r="F6020" s="184"/>
      <c r="G6020" s="184"/>
      <c r="H6020" s="184"/>
      <c r="I6020" s="184"/>
      <c r="J6020" s="184"/>
      <c r="K6020" s="184"/>
      <c r="L6020" s="184"/>
      <c r="M6020" s="184"/>
      <c r="N6020" s="184"/>
      <c r="O6020" s="184"/>
    </row>
    <row r="6021" customFormat="false" ht="15" hidden="false" customHeight="true" outlineLevel="0" collapsed="false">
      <c r="A6021" s="184"/>
      <c r="B6021" s="184"/>
      <c r="C6021" s="184"/>
      <c r="D6021" s="184"/>
      <c r="E6021" s="184"/>
      <c r="F6021" s="184"/>
      <c r="G6021" s="184"/>
      <c r="H6021" s="184"/>
      <c r="I6021" s="184"/>
      <c r="J6021" s="184"/>
      <c r="K6021" s="184"/>
      <c r="L6021" s="184"/>
      <c r="M6021" s="184"/>
      <c r="N6021" s="184"/>
      <c r="O6021" s="184"/>
    </row>
    <row r="6022" customFormat="false" ht="15" hidden="false" customHeight="true" outlineLevel="0" collapsed="false">
      <c r="A6022" s="184"/>
      <c r="B6022" s="184"/>
      <c r="C6022" s="184"/>
      <c r="D6022" s="184"/>
      <c r="E6022" s="184"/>
      <c r="F6022" s="184"/>
      <c r="G6022" s="184"/>
      <c r="H6022" s="184"/>
      <c r="I6022" s="184"/>
      <c r="J6022" s="184"/>
      <c r="K6022" s="184"/>
      <c r="L6022" s="184"/>
      <c r="M6022" s="184"/>
      <c r="N6022" s="184"/>
      <c r="O6022" s="184"/>
    </row>
    <row r="6023" customFormat="false" ht="15" hidden="false" customHeight="true" outlineLevel="0" collapsed="false">
      <c r="A6023" s="184"/>
      <c r="B6023" s="184"/>
      <c r="C6023" s="184"/>
      <c r="D6023" s="184"/>
      <c r="E6023" s="184"/>
      <c r="F6023" s="184"/>
      <c r="G6023" s="184"/>
      <c r="H6023" s="184"/>
      <c r="I6023" s="184"/>
      <c r="J6023" s="184"/>
      <c r="K6023" s="184"/>
      <c r="L6023" s="184"/>
      <c r="M6023" s="184"/>
      <c r="N6023" s="184"/>
      <c r="O6023" s="184"/>
    </row>
    <row r="6024" customFormat="false" ht="15" hidden="false" customHeight="true" outlineLevel="0" collapsed="false">
      <c r="A6024" s="184"/>
      <c r="B6024" s="184"/>
      <c r="C6024" s="184"/>
      <c r="D6024" s="184"/>
      <c r="E6024" s="184"/>
      <c r="F6024" s="184"/>
      <c r="G6024" s="184"/>
      <c r="H6024" s="184"/>
      <c r="I6024" s="184"/>
      <c r="J6024" s="184"/>
      <c r="K6024" s="184"/>
      <c r="L6024" s="184"/>
      <c r="M6024" s="184"/>
      <c r="N6024" s="184"/>
      <c r="O6024" s="184"/>
    </row>
    <row r="6025" customFormat="false" ht="15" hidden="false" customHeight="true" outlineLevel="0" collapsed="false">
      <c r="A6025" s="184"/>
      <c r="B6025" s="184"/>
      <c r="C6025" s="184"/>
      <c r="D6025" s="184"/>
      <c r="E6025" s="184"/>
      <c r="F6025" s="184"/>
      <c r="G6025" s="184"/>
      <c r="H6025" s="184"/>
      <c r="I6025" s="184"/>
      <c r="J6025" s="184"/>
      <c r="K6025" s="184"/>
      <c r="L6025" s="184"/>
      <c r="M6025" s="184"/>
      <c r="N6025" s="184"/>
      <c r="O6025" s="184"/>
    </row>
    <row r="6026" customFormat="false" ht="15" hidden="false" customHeight="true" outlineLevel="0" collapsed="false">
      <c r="A6026" s="184"/>
      <c r="B6026" s="184"/>
      <c r="C6026" s="184"/>
      <c r="D6026" s="184"/>
      <c r="E6026" s="184"/>
      <c r="F6026" s="184"/>
      <c r="G6026" s="184"/>
      <c r="H6026" s="184"/>
      <c r="I6026" s="184"/>
      <c r="J6026" s="184"/>
      <c r="K6026" s="184"/>
      <c r="L6026" s="184"/>
      <c r="M6026" s="184"/>
      <c r="N6026" s="184"/>
      <c r="O6026" s="184"/>
    </row>
    <row r="6027" customFormat="false" ht="15" hidden="false" customHeight="true" outlineLevel="0" collapsed="false">
      <c r="A6027" s="184"/>
      <c r="B6027" s="184"/>
      <c r="C6027" s="184"/>
      <c r="D6027" s="184"/>
      <c r="E6027" s="184"/>
      <c r="F6027" s="184"/>
      <c r="G6027" s="184"/>
      <c r="H6027" s="184"/>
      <c r="I6027" s="184"/>
      <c r="J6027" s="184"/>
      <c r="K6027" s="184"/>
      <c r="L6027" s="184"/>
      <c r="M6027" s="184"/>
      <c r="N6027" s="184"/>
      <c r="O6027" s="184"/>
    </row>
    <row r="6028" customFormat="false" ht="15" hidden="false" customHeight="true" outlineLevel="0" collapsed="false">
      <c r="A6028" s="184"/>
      <c r="B6028" s="184"/>
      <c r="C6028" s="184"/>
      <c r="D6028" s="184"/>
      <c r="E6028" s="184"/>
      <c r="F6028" s="184"/>
      <c r="G6028" s="184"/>
      <c r="H6028" s="184"/>
      <c r="I6028" s="184"/>
      <c r="J6028" s="184"/>
      <c r="K6028" s="184"/>
      <c r="L6028" s="184"/>
      <c r="M6028" s="184"/>
      <c r="N6028" s="184"/>
      <c r="O6028" s="184"/>
    </row>
    <row r="6029" customFormat="false" ht="15" hidden="false" customHeight="true" outlineLevel="0" collapsed="false">
      <c r="A6029" s="184"/>
      <c r="B6029" s="184"/>
      <c r="C6029" s="184"/>
      <c r="D6029" s="184"/>
      <c r="E6029" s="184"/>
      <c r="F6029" s="184"/>
      <c r="G6029" s="184"/>
      <c r="H6029" s="184"/>
      <c r="I6029" s="184"/>
      <c r="J6029" s="184"/>
      <c r="K6029" s="184"/>
      <c r="L6029" s="184"/>
      <c r="M6029" s="184"/>
      <c r="N6029" s="184"/>
      <c r="O6029" s="184"/>
    </row>
    <row r="6030" customFormat="false" ht="15" hidden="false" customHeight="true" outlineLevel="0" collapsed="false">
      <c r="A6030" s="184"/>
      <c r="B6030" s="184"/>
      <c r="C6030" s="184"/>
      <c r="D6030" s="184"/>
      <c r="E6030" s="184"/>
      <c r="F6030" s="184"/>
      <c r="G6030" s="184"/>
      <c r="H6030" s="184"/>
      <c r="I6030" s="184"/>
      <c r="J6030" s="184"/>
      <c r="K6030" s="184"/>
      <c r="L6030" s="184"/>
      <c r="M6030" s="184"/>
      <c r="N6030" s="184"/>
      <c r="O6030" s="184"/>
    </row>
    <row r="6031" customFormat="false" ht="15" hidden="false" customHeight="true" outlineLevel="0" collapsed="false">
      <c r="A6031" s="184"/>
      <c r="B6031" s="184"/>
      <c r="C6031" s="184"/>
      <c r="D6031" s="184"/>
      <c r="E6031" s="184"/>
      <c r="F6031" s="184"/>
      <c r="G6031" s="184"/>
      <c r="H6031" s="184"/>
      <c r="I6031" s="184"/>
      <c r="J6031" s="184"/>
      <c r="K6031" s="184"/>
      <c r="L6031" s="184"/>
      <c r="M6031" s="184"/>
      <c r="N6031" s="184"/>
      <c r="O6031" s="184"/>
    </row>
    <row r="6032" customFormat="false" ht="15" hidden="false" customHeight="true" outlineLevel="0" collapsed="false">
      <c r="A6032" s="184"/>
      <c r="B6032" s="184"/>
      <c r="C6032" s="184"/>
      <c r="D6032" s="184"/>
      <c r="E6032" s="184"/>
      <c r="F6032" s="184"/>
      <c r="G6032" s="184"/>
      <c r="H6032" s="184"/>
      <c r="I6032" s="184"/>
      <c r="J6032" s="184"/>
      <c r="K6032" s="184"/>
      <c r="L6032" s="184"/>
      <c r="M6032" s="184"/>
      <c r="N6032" s="184"/>
      <c r="O6032" s="184"/>
    </row>
    <row r="6033" customFormat="false" ht="15" hidden="false" customHeight="true" outlineLevel="0" collapsed="false">
      <c r="A6033" s="184"/>
      <c r="B6033" s="184"/>
      <c r="C6033" s="184"/>
      <c r="D6033" s="184"/>
      <c r="E6033" s="184"/>
      <c r="F6033" s="184"/>
      <c r="G6033" s="184"/>
      <c r="H6033" s="184"/>
      <c r="I6033" s="184"/>
      <c r="J6033" s="184"/>
      <c r="K6033" s="184"/>
      <c r="L6033" s="184"/>
      <c r="M6033" s="184"/>
      <c r="N6033" s="184"/>
      <c r="O6033" s="184"/>
    </row>
    <row r="6034" customFormat="false" ht="15" hidden="false" customHeight="true" outlineLevel="0" collapsed="false">
      <c r="A6034" s="184"/>
      <c r="B6034" s="184"/>
      <c r="C6034" s="184"/>
      <c r="D6034" s="184"/>
      <c r="E6034" s="184"/>
      <c r="F6034" s="184"/>
      <c r="G6034" s="184"/>
      <c r="H6034" s="184"/>
      <c r="I6034" s="184"/>
      <c r="J6034" s="184"/>
      <c r="K6034" s="184"/>
      <c r="L6034" s="184"/>
      <c r="M6034" s="184"/>
      <c r="N6034" s="184"/>
      <c r="O6034" s="184"/>
    </row>
    <row r="6035" customFormat="false" ht="15" hidden="false" customHeight="true" outlineLevel="0" collapsed="false">
      <c r="A6035" s="184"/>
      <c r="B6035" s="184"/>
      <c r="C6035" s="184"/>
      <c r="D6035" s="184"/>
      <c r="E6035" s="184"/>
      <c r="F6035" s="184"/>
      <c r="G6035" s="184"/>
      <c r="H6035" s="184"/>
      <c r="I6035" s="184"/>
      <c r="J6035" s="184"/>
      <c r="K6035" s="184"/>
      <c r="L6035" s="184"/>
      <c r="M6035" s="184"/>
      <c r="N6035" s="184"/>
      <c r="O6035" s="184"/>
    </row>
    <row r="6036" customFormat="false" ht="15" hidden="false" customHeight="true" outlineLevel="0" collapsed="false">
      <c r="A6036" s="184"/>
      <c r="B6036" s="184"/>
      <c r="C6036" s="184"/>
      <c r="D6036" s="184"/>
      <c r="E6036" s="184"/>
      <c r="F6036" s="184"/>
      <c r="G6036" s="184"/>
      <c r="H6036" s="184"/>
      <c r="I6036" s="184"/>
      <c r="J6036" s="184"/>
      <c r="K6036" s="184"/>
      <c r="L6036" s="184"/>
      <c r="M6036" s="184"/>
      <c r="N6036" s="184"/>
      <c r="O6036" s="184"/>
    </row>
    <row r="6037" customFormat="false" ht="15" hidden="false" customHeight="true" outlineLevel="0" collapsed="false">
      <c r="A6037" s="184"/>
      <c r="B6037" s="184"/>
      <c r="C6037" s="184"/>
      <c r="D6037" s="184"/>
      <c r="E6037" s="184"/>
      <c r="F6037" s="184"/>
      <c r="G6037" s="184"/>
      <c r="H6037" s="184"/>
      <c r="I6037" s="184"/>
      <c r="J6037" s="184"/>
      <c r="K6037" s="184"/>
      <c r="L6037" s="184"/>
      <c r="M6037" s="184"/>
      <c r="N6037" s="184"/>
      <c r="O6037" s="184"/>
    </row>
    <row r="6038" customFormat="false" ht="15" hidden="false" customHeight="true" outlineLevel="0" collapsed="false">
      <c r="A6038" s="184"/>
      <c r="B6038" s="184"/>
      <c r="C6038" s="184"/>
      <c r="D6038" s="184"/>
      <c r="E6038" s="184"/>
      <c r="F6038" s="184"/>
      <c r="G6038" s="184"/>
      <c r="H6038" s="184"/>
      <c r="I6038" s="184"/>
      <c r="J6038" s="184"/>
      <c r="K6038" s="184"/>
      <c r="L6038" s="184"/>
      <c r="M6038" s="184"/>
      <c r="N6038" s="184"/>
      <c r="O6038" s="184"/>
    </row>
    <row r="6039" customFormat="false" ht="15" hidden="false" customHeight="true" outlineLevel="0" collapsed="false">
      <c r="A6039" s="184"/>
      <c r="B6039" s="184"/>
      <c r="C6039" s="184"/>
      <c r="D6039" s="184"/>
      <c r="E6039" s="184"/>
      <c r="F6039" s="184"/>
      <c r="G6039" s="184"/>
      <c r="H6039" s="184"/>
      <c r="I6039" s="184"/>
      <c r="J6039" s="184"/>
      <c r="K6039" s="184"/>
      <c r="L6039" s="184"/>
      <c r="M6039" s="184"/>
      <c r="N6039" s="184"/>
      <c r="O6039" s="184"/>
    </row>
    <row r="6040" customFormat="false" ht="15" hidden="false" customHeight="true" outlineLevel="0" collapsed="false">
      <c r="A6040" s="184"/>
      <c r="B6040" s="184"/>
      <c r="C6040" s="184"/>
      <c r="D6040" s="184"/>
      <c r="E6040" s="184"/>
      <c r="F6040" s="184"/>
      <c r="G6040" s="184"/>
      <c r="H6040" s="184"/>
      <c r="I6040" s="184"/>
      <c r="J6040" s="184"/>
      <c r="K6040" s="184"/>
      <c r="L6040" s="184"/>
      <c r="M6040" s="184"/>
      <c r="N6040" s="184"/>
      <c r="O6040" s="184"/>
    </row>
    <row r="6041" customFormat="false" ht="15" hidden="false" customHeight="true" outlineLevel="0" collapsed="false">
      <c r="A6041" s="184"/>
      <c r="B6041" s="184"/>
      <c r="C6041" s="184"/>
      <c r="D6041" s="184"/>
      <c r="E6041" s="184"/>
      <c r="F6041" s="184"/>
      <c r="G6041" s="184"/>
      <c r="H6041" s="184"/>
      <c r="I6041" s="184"/>
      <c r="J6041" s="184"/>
      <c r="K6041" s="184"/>
      <c r="L6041" s="184"/>
      <c r="M6041" s="184"/>
      <c r="N6041" s="184"/>
      <c r="O6041" s="184"/>
    </row>
    <row r="6042" customFormat="false" ht="15" hidden="false" customHeight="true" outlineLevel="0" collapsed="false">
      <c r="A6042" s="184"/>
      <c r="B6042" s="184"/>
      <c r="C6042" s="184"/>
      <c r="D6042" s="184"/>
      <c r="E6042" s="184"/>
      <c r="F6042" s="184"/>
      <c r="G6042" s="184"/>
      <c r="H6042" s="184"/>
      <c r="I6042" s="184"/>
      <c r="J6042" s="184"/>
      <c r="K6042" s="184"/>
      <c r="L6042" s="184"/>
      <c r="M6042" s="184"/>
      <c r="N6042" s="184"/>
      <c r="O6042" s="184"/>
    </row>
    <row r="6043" customFormat="false" ht="15" hidden="false" customHeight="true" outlineLevel="0" collapsed="false">
      <c r="A6043" s="184"/>
      <c r="B6043" s="184"/>
      <c r="C6043" s="184"/>
      <c r="D6043" s="184"/>
      <c r="E6043" s="184"/>
      <c r="F6043" s="184"/>
      <c r="G6043" s="184"/>
      <c r="H6043" s="184"/>
      <c r="I6043" s="184"/>
      <c r="J6043" s="184"/>
      <c r="K6043" s="184"/>
      <c r="L6043" s="184"/>
      <c r="M6043" s="184"/>
      <c r="N6043" s="184"/>
      <c r="O6043" s="184"/>
    </row>
    <row r="6044" customFormat="false" ht="15" hidden="false" customHeight="true" outlineLevel="0" collapsed="false">
      <c r="A6044" s="184"/>
      <c r="B6044" s="184"/>
      <c r="C6044" s="184"/>
      <c r="D6044" s="184"/>
      <c r="E6044" s="184"/>
      <c r="F6044" s="184"/>
      <c r="G6044" s="184"/>
      <c r="H6044" s="184"/>
      <c r="I6044" s="184"/>
      <c r="J6044" s="184"/>
      <c r="K6044" s="184"/>
      <c r="L6044" s="184"/>
      <c r="M6044" s="184"/>
      <c r="N6044" s="184"/>
      <c r="O6044" s="184"/>
    </row>
    <row r="6045" customFormat="false" ht="15" hidden="false" customHeight="true" outlineLevel="0" collapsed="false">
      <c r="A6045" s="184"/>
      <c r="B6045" s="184"/>
      <c r="C6045" s="184"/>
      <c r="D6045" s="184"/>
      <c r="E6045" s="184"/>
      <c r="F6045" s="184"/>
      <c r="G6045" s="184"/>
      <c r="H6045" s="184"/>
      <c r="I6045" s="184"/>
      <c r="J6045" s="184"/>
      <c r="K6045" s="184"/>
      <c r="L6045" s="184"/>
      <c r="M6045" s="184"/>
      <c r="N6045" s="184"/>
      <c r="O6045" s="184"/>
    </row>
    <row r="6046" customFormat="false" ht="15" hidden="false" customHeight="true" outlineLevel="0" collapsed="false">
      <c r="A6046" s="184"/>
      <c r="B6046" s="184"/>
      <c r="C6046" s="184"/>
      <c r="D6046" s="184"/>
      <c r="E6046" s="184"/>
      <c r="F6046" s="184"/>
      <c r="G6046" s="184"/>
      <c r="H6046" s="184"/>
      <c r="I6046" s="184"/>
      <c r="J6046" s="184"/>
      <c r="K6046" s="184"/>
      <c r="L6046" s="184"/>
      <c r="M6046" s="184"/>
      <c r="N6046" s="184"/>
      <c r="O6046" s="184"/>
    </row>
    <row r="6047" customFormat="false" ht="15" hidden="false" customHeight="true" outlineLevel="0" collapsed="false">
      <c r="A6047" s="184"/>
      <c r="B6047" s="184"/>
      <c r="C6047" s="184"/>
      <c r="D6047" s="184"/>
      <c r="E6047" s="184"/>
      <c r="F6047" s="184"/>
      <c r="G6047" s="184"/>
      <c r="H6047" s="184"/>
      <c r="I6047" s="184"/>
      <c r="J6047" s="184"/>
      <c r="K6047" s="184"/>
      <c r="L6047" s="184"/>
      <c r="M6047" s="184"/>
      <c r="N6047" s="184"/>
      <c r="O6047" s="184"/>
    </row>
    <row r="6048" customFormat="false" ht="15" hidden="false" customHeight="true" outlineLevel="0" collapsed="false">
      <c r="A6048" s="184"/>
      <c r="B6048" s="184"/>
      <c r="C6048" s="184"/>
      <c r="D6048" s="184"/>
      <c r="E6048" s="184"/>
      <c r="F6048" s="184"/>
      <c r="G6048" s="184"/>
      <c r="H6048" s="184"/>
      <c r="I6048" s="184"/>
      <c r="J6048" s="184"/>
      <c r="K6048" s="184"/>
      <c r="L6048" s="184"/>
      <c r="M6048" s="184"/>
      <c r="N6048" s="184"/>
      <c r="O6048" s="184"/>
    </row>
    <row r="6049" customFormat="false" ht="15" hidden="false" customHeight="true" outlineLevel="0" collapsed="false">
      <c r="A6049" s="184"/>
      <c r="B6049" s="184"/>
      <c r="C6049" s="184"/>
      <c r="D6049" s="184"/>
      <c r="E6049" s="184"/>
      <c r="F6049" s="184"/>
      <c r="G6049" s="184"/>
      <c r="H6049" s="184"/>
      <c r="I6049" s="184"/>
      <c r="J6049" s="184"/>
      <c r="K6049" s="184"/>
      <c r="L6049" s="184"/>
      <c r="M6049" s="184"/>
      <c r="N6049" s="184"/>
      <c r="O6049" s="184"/>
    </row>
    <row r="6050" customFormat="false" ht="15" hidden="false" customHeight="true" outlineLevel="0" collapsed="false">
      <c r="A6050" s="184"/>
      <c r="B6050" s="184"/>
      <c r="C6050" s="184"/>
      <c r="D6050" s="184"/>
      <c r="E6050" s="184"/>
      <c r="F6050" s="184"/>
      <c r="G6050" s="184"/>
      <c r="H6050" s="184"/>
      <c r="I6050" s="184"/>
      <c r="J6050" s="184"/>
      <c r="K6050" s="184"/>
      <c r="L6050" s="184"/>
      <c r="M6050" s="184"/>
      <c r="N6050" s="184"/>
      <c r="O6050" s="184"/>
    </row>
    <row r="6051" customFormat="false" ht="15" hidden="false" customHeight="true" outlineLevel="0" collapsed="false">
      <c r="A6051" s="184"/>
      <c r="B6051" s="184"/>
      <c r="C6051" s="184"/>
      <c r="D6051" s="184"/>
      <c r="E6051" s="184"/>
      <c r="F6051" s="184"/>
      <c r="G6051" s="184"/>
      <c r="H6051" s="184"/>
      <c r="I6051" s="184"/>
      <c r="J6051" s="184"/>
      <c r="K6051" s="184"/>
      <c r="L6051" s="184"/>
      <c r="M6051" s="184"/>
      <c r="N6051" s="184"/>
      <c r="O6051" s="184"/>
    </row>
    <row r="6052" customFormat="false" ht="15" hidden="false" customHeight="true" outlineLevel="0" collapsed="false">
      <c r="A6052" s="184"/>
      <c r="B6052" s="184"/>
      <c r="C6052" s="184"/>
      <c r="D6052" s="184"/>
      <c r="E6052" s="184"/>
      <c r="F6052" s="184"/>
      <c r="G6052" s="184"/>
      <c r="H6052" s="184"/>
      <c r="I6052" s="184"/>
      <c r="J6052" s="184"/>
      <c r="K6052" s="184"/>
      <c r="L6052" s="184"/>
      <c r="M6052" s="184"/>
      <c r="N6052" s="184"/>
      <c r="O6052" s="184"/>
    </row>
    <row r="6053" customFormat="false" ht="15" hidden="false" customHeight="true" outlineLevel="0" collapsed="false">
      <c r="A6053" s="184"/>
      <c r="B6053" s="184"/>
      <c r="C6053" s="184"/>
      <c r="D6053" s="184"/>
      <c r="E6053" s="184"/>
      <c r="F6053" s="184"/>
      <c r="G6053" s="184"/>
      <c r="H6053" s="184"/>
      <c r="I6053" s="184"/>
      <c r="J6053" s="184"/>
      <c r="K6053" s="184"/>
      <c r="L6053" s="184"/>
      <c r="M6053" s="184"/>
      <c r="N6053" s="184"/>
      <c r="O6053" s="184"/>
    </row>
    <row r="6054" customFormat="false" ht="15" hidden="false" customHeight="true" outlineLevel="0" collapsed="false">
      <c r="A6054" s="184"/>
      <c r="B6054" s="184"/>
      <c r="C6054" s="184"/>
      <c r="D6054" s="184"/>
      <c r="E6054" s="184"/>
      <c r="F6054" s="184"/>
      <c r="G6054" s="184"/>
      <c r="H6054" s="184"/>
      <c r="I6054" s="184"/>
      <c r="J6054" s="184"/>
      <c r="K6054" s="184"/>
      <c r="L6054" s="184"/>
      <c r="M6054" s="184"/>
      <c r="N6054" s="184"/>
      <c r="O6054" s="184"/>
    </row>
    <row r="6055" customFormat="false" ht="15" hidden="false" customHeight="true" outlineLevel="0" collapsed="false">
      <c r="A6055" s="184"/>
      <c r="B6055" s="184"/>
      <c r="C6055" s="184"/>
      <c r="D6055" s="184"/>
      <c r="E6055" s="184"/>
      <c r="F6055" s="184"/>
      <c r="G6055" s="184"/>
      <c r="H6055" s="184"/>
      <c r="I6055" s="184"/>
      <c r="J6055" s="184"/>
      <c r="K6055" s="184"/>
      <c r="L6055" s="184"/>
      <c r="M6055" s="184"/>
      <c r="N6055" s="184"/>
      <c r="O6055" s="184"/>
    </row>
    <row r="6056" customFormat="false" ht="15" hidden="false" customHeight="true" outlineLevel="0" collapsed="false">
      <c r="A6056" s="184"/>
      <c r="B6056" s="184"/>
      <c r="C6056" s="184"/>
      <c r="D6056" s="184"/>
      <c r="E6056" s="184"/>
      <c r="F6056" s="184"/>
      <c r="G6056" s="184"/>
      <c r="H6056" s="184"/>
      <c r="I6056" s="184"/>
      <c r="J6056" s="184"/>
      <c r="K6056" s="184"/>
      <c r="L6056" s="184"/>
      <c r="M6056" s="184"/>
      <c r="N6056" s="184"/>
      <c r="O6056" s="184"/>
    </row>
    <row r="6057" customFormat="false" ht="15" hidden="false" customHeight="true" outlineLevel="0" collapsed="false">
      <c r="A6057" s="184"/>
      <c r="B6057" s="184"/>
      <c r="C6057" s="184"/>
      <c r="D6057" s="184"/>
      <c r="E6057" s="184"/>
      <c r="F6057" s="184"/>
      <c r="G6057" s="184"/>
      <c r="H6057" s="184"/>
      <c r="I6057" s="184"/>
      <c r="J6057" s="184"/>
      <c r="K6057" s="184"/>
      <c r="L6057" s="184"/>
      <c r="M6057" s="184"/>
      <c r="N6057" s="184"/>
      <c r="O6057" s="184"/>
    </row>
    <row r="6058" customFormat="false" ht="15" hidden="false" customHeight="true" outlineLevel="0" collapsed="false">
      <c r="A6058" s="184"/>
      <c r="B6058" s="184"/>
      <c r="C6058" s="184"/>
      <c r="D6058" s="184"/>
      <c r="E6058" s="184"/>
      <c r="F6058" s="184"/>
      <c r="G6058" s="184"/>
      <c r="H6058" s="184"/>
      <c r="I6058" s="184"/>
      <c r="J6058" s="184"/>
      <c r="K6058" s="184"/>
      <c r="L6058" s="184"/>
      <c r="M6058" s="184"/>
      <c r="N6058" s="184"/>
      <c r="O6058" s="184"/>
    </row>
    <row r="6059" customFormat="false" ht="15" hidden="false" customHeight="true" outlineLevel="0" collapsed="false">
      <c r="A6059" s="184"/>
      <c r="B6059" s="184"/>
      <c r="C6059" s="184"/>
      <c r="D6059" s="184"/>
      <c r="E6059" s="184"/>
      <c r="F6059" s="184"/>
      <c r="G6059" s="184"/>
      <c r="H6059" s="184"/>
      <c r="I6059" s="184"/>
      <c r="J6059" s="184"/>
      <c r="K6059" s="184"/>
      <c r="L6059" s="184"/>
      <c r="M6059" s="184"/>
      <c r="N6059" s="184"/>
      <c r="O6059" s="184"/>
    </row>
    <row r="6060" customFormat="false" ht="15" hidden="false" customHeight="true" outlineLevel="0" collapsed="false">
      <c r="A6060" s="184"/>
      <c r="B6060" s="184"/>
      <c r="C6060" s="184"/>
      <c r="D6060" s="184"/>
      <c r="E6060" s="184"/>
      <c r="F6060" s="184"/>
      <c r="G6060" s="184"/>
      <c r="H6060" s="184"/>
      <c r="I6060" s="184"/>
      <c r="J6060" s="184"/>
      <c r="K6060" s="184"/>
      <c r="L6060" s="184"/>
      <c r="M6060" s="184"/>
      <c r="N6060" s="184"/>
      <c r="O6060" s="184"/>
    </row>
    <row r="6061" customFormat="false" ht="15" hidden="false" customHeight="true" outlineLevel="0" collapsed="false">
      <c r="A6061" s="184"/>
      <c r="B6061" s="184"/>
      <c r="C6061" s="184"/>
      <c r="D6061" s="184"/>
      <c r="E6061" s="184"/>
      <c r="F6061" s="184"/>
      <c r="G6061" s="184"/>
      <c r="H6061" s="184"/>
      <c r="I6061" s="184"/>
      <c r="J6061" s="184"/>
      <c r="K6061" s="184"/>
      <c r="L6061" s="184"/>
      <c r="M6061" s="184"/>
      <c r="N6061" s="184"/>
      <c r="O6061" s="184"/>
    </row>
    <row r="6062" customFormat="false" ht="15" hidden="false" customHeight="true" outlineLevel="0" collapsed="false">
      <c r="A6062" s="184"/>
      <c r="B6062" s="184"/>
      <c r="C6062" s="184"/>
      <c r="D6062" s="184"/>
      <c r="E6062" s="184"/>
      <c r="F6062" s="184"/>
      <c r="G6062" s="184"/>
      <c r="H6062" s="184"/>
      <c r="I6062" s="184"/>
      <c r="J6062" s="184"/>
      <c r="K6062" s="184"/>
      <c r="L6062" s="184"/>
      <c r="M6062" s="184"/>
      <c r="N6062" s="184"/>
      <c r="O6062" s="184"/>
    </row>
    <row r="6063" customFormat="false" ht="15" hidden="false" customHeight="true" outlineLevel="0" collapsed="false">
      <c r="A6063" s="184"/>
      <c r="B6063" s="184"/>
      <c r="C6063" s="184"/>
      <c r="D6063" s="184"/>
      <c r="E6063" s="184"/>
      <c r="F6063" s="184"/>
      <c r="G6063" s="184"/>
      <c r="H6063" s="184"/>
      <c r="I6063" s="184"/>
      <c r="J6063" s="184"/>
      <c r="K6063" s="184"/>
      <c r="L6063" s="184"/>
      <c r="M6063" s="184"/>
      <c r="N6063" s="184"/>
      <c r="O6063" s="184"/>
    </row>
    <row r="6064" customFormat="false" ht="15" hidden="false" customHeight="true" outlineLevel="0" collapsed="false">
      <c r="A6064" s="184"/>
      <c r="B6064" s="184"/>
      <c r="C6064" s="184"/>
      <c r="D6064" s="184"/>
      <c r="E6064" s="184"/>
      <c r="F6064" s="184"/>
      <c r="G6064" s="184"/>
      <c r="H6064" s="184"/>
      <c r="I6064" s="184"/>
      <c r="J6064" s="184"/>
      <c r="K6064" s="184"/>
      <c r="L6064" s="184"/>
      <c r="M6064" s="184"/>
      <c r="N6064" s="184"/>
      <c r="O6064" s="184"/>
    </row>
    <row r="6065" customFormat="false" ht="15" hidden="false" customHeight="true" outlineLevel="0" collapsed="false">
      <c r="A6065" s="184"/>
      <c r="B6065" s="184"/>
      <c r="C6065" s="184"/>
      <c r="D6065" s="184"/>
      <c r="E6065" s="184"/>
      <c r="F6065" s="184"/>
      <c r="G6065" s="184"/>
      <c r="H6065" s="184"/>
      <c r="I6065" s="184"/>
      <c r="J6065" s="184"/>
      <c r="K6065" s="184"/>
      <c r="L6065" s="184"/>
      <c r="M6065" s="184"/>
      <c r="N6065" s="184"/>
      <c r="O6065" s="184"/>
    </row>
    <row r="6066" customFormat="false" ht="15" hidden="false" customHeight="true" outlineLevel="0" collapsed="false">
      <c r="A6066" s="184"/>
      <c r="B6066" s="184"/>
      <c r="C6066" s="184"/>
      <c r="D6066" s="184"/>
      <c r="E6066" s="184"/>
      <c r="F6066" s="184"/>
      <c r="G6066" s="184"/>
      <c r="H6066" s="184"/>
      <c r="I6066" s="184"/>
      <c r="J6066" s="184"/>
      <c r="K6066" s="184"/>
      <c r="L6066" s="184"/>
      <c r="M6066" s="184"/>
      <c r="N6066" s="184"/>
      <c r="O6066" s="184"/>
    </row>
    <row r="6067" customFormat="false" ht="15" hidden="false" customHeight="true" outlineLevel="0" collapsed="false">
      <c r="A6067" s="184"/>
      <c r="B6067" s="184"/>
      <c r="C6067" s="184"/>
      <c r="D6067" s="184"/>
      <c r="E6067" s="184"/>
      <c r="F6067" s="184"/>
      <c r="G6067" s="184"/>
      <c r="H6067" s="184"/>
      <c r="I6067" s="184"/>
      <c r="J6067" s="184"/>
      <c r="K6067" s="184"/>
      <c r="L6067" s="184"/>
      <c r="M6067" s="184"/>
      <c r="N6067" s="184"/>
      <c r="O6067" s="184"/>
    </row>
    <row r="6068" customFormat="false" ht="15" hidden="false" customHeight="true" outlineLevel="0" collapsed="false">
      <c r="A6068" s="184"/>
      <c r="B6068" s="184"/>
      <c r="C6068" s="184"/>
      <c r="D6068" s="184"/>
      <c r="E6068" s="184"/>
      <c r="F6068" s="184"/>
      <c r="G6068" s="184"/>
      <c r="H6068" s="184"/>
      <c r="I6068" s="184"/>
      <c r="J6068" s="184"/>
      <c r="K6068" s="184"/>
      <c r="L6068" s="184"/>
      <c r="M6068" s="184"/>
      <c r="N6068" s="184"/>
      <c r="O6068" s="184"/>
    </row>
    <row r="6069" customFormat="false" ht="15" hidden="false" customHeight="true" outlineLevel="0" collapsed="false">
      <c r="A6069" s="184"/>
      <c r="B6069" s="184"/>
      <c r="C6069" s="184"/>
      <c r="D6069" s="184"/>
      <c r="E6069" s="184"/>
      <c r="F6069" s="184"/>
      <c r="G6069" s="184"/>
      <c r="H6069" s="184"/>
      <c r="I6069" s="184"/>
      <c r="J6069" s="184"/>
      <c r="K6069" s="184"/>
      <c r="L6069" s="184"/>
      <c r="M6069" s="184"/>
      <c r="N6069" s="184"/>
      <c r="O6069" s="184"/>
    </row>
    <row r="6070" customFormat="false" ht="15" hidden="false" customHeight="true" outlineLevel="0" collapsed="false">
      <c r="A6070" s="184"/>
      <c r="B6070" s="184"/>
      <c r="C6070" s="184"/>
      <c r="D6070" s="184"/>
      <c r="E6070" s="184"/>
      <c r="F6070" s="184"/>
      <c r="G6070" s="184"/>
      <c r="H6070" s="184"/>
      <c r="I6070" s="184"/>
      <c r="J6070" s="184"/>
      <c r="K6070" s="184"/>
      <c r="L6070" s="184"/>
      <c r="M6070" s="184"/>
      <c r="N6070" s="184"/>
      <c r="O6070" s="184"/>
    </row>
    <row r="6071" customFormat="false" ht="15" hidden="false" customHeight="true" outlineLevel="0" collapsed="false">
      <c r="A6071" s="184"/>
      <c r="B6071" s="184"/>
      <c r="C6071" s="184"/>
      <c r="D6071" s="184"/>
      <c r="E6071" s="184"/>
      <c r="F6071" s="184"/>
      <c r="G6071" s="184"/>
      <c r="H6071" s="184"/>
      <c r="I6071" s="184"/>
      <c r="J6071" s="184"/>
      <c r="K6071" s="184"/>
      <c r="L6071" s="184"/>
      <c r="M6071" s="184"/>
      <c r="N6071" s="184"/>
      <c r="O6071" s="184"/>
    </row>
    <row r="6072" customFormat="false" ht="15" hidden="false" customHeight="true" outlineLevel="0" collapsed="false">
      <c r="A6072" s="184"/>
      <c r="B6072" s="184"/>
      <c r="C6072" s="184"/>
      <c r="D6072" s="184"/>
      <c r="E6072" s="184"/>
      <c r="F6072" s="184"/>
      <c r="G6072" s="184"/>
      <c r="H6072" s="184"/>
      <c r="I6072" s="184"/>
      <c r="J6072" s="184"/>
      <c r="K6072" s="184"/>
      <c r="L6072" s="184"/>
      <c r="M6072" s="184"/>
      <c r="N6072" s="184"/>
      <c r="O6072" s="184"/>
    </row>
    <row r="6073" customFormat="false" ht="15" hidden="false" customHeight="true" outlineLevel="0" collapsed="false">
      <c r="A6073" s="184"/>
      <c r="B6073" s="184"/>
      <c r="C6073" s="184"/>
      <c r="D6073" s="184"/>
      <c r="E6073" s="184"/>
      <c r="F6073" s="184"/>
      <c r="G6073" s="184"/>
      <c r="H6073" s="184"/>
      <c r="I6073" s="184"/>
      <c r="J6073" s="184"/>
      <c r="K6073" s="184"/>
      <c r="L6073" s="184"/>
      <c r="M6073" s="184"/>
      <c r="N6073" s="184"/>
      <c r="O6073" s="184"/>
    </row>
    <row r="6074" customFormat="false" ht="15" hidden="false" customHeight="true" outlineLevel="0" collapsed="false">
      <c r="A6074" s="184"/>
      <c r="B6074" s="184"/>
      <c r="C6074" s="184"/>
      <c r="D6074" s="184"/>
      <c r="E6074" s="184"/>
      <c r="F6074" s="184"/>
      <c r="G6074" s="184"/>
      <c r="H6074" s="184"/>
      <c r="I6074" s="184"/>
      <c r="J6074" s="184"/>
      <c r="K6074" s="184"/>
      <c r="L6074" s="184"/>
      <c r="M6074" s="184"/>
      <c r="N6074" s="184"/>
      <c r="O6074" s="184"/>
    </row>
    <row r="6075" customFormat="false" ht="15" hidden="false" customHeight="true" outlineLevel="0" collapsed="false">
      <c r="A6075" s="184"/>
      <c r="B6075" s="184"/>
      <c r="C6075" s="184"/>
      <c r="D6075" s="184"/>
      <c r="E6075" s="184"/>
      <c r="F6075" s="184"/>
      <c r="G6075" s="184"/>
      <c r="H6075" s="184"/>
      <c r="I6075" s="184"/>
      <c r="J6075" s="184"/>
      <c r="K6075" s="184"/>
      <c r="L6075" s="184"/>
      <c r="M6075" s="184"/>
      <c r="N6075" s="184"/>
      <c r="O6075" s="184"/>
    </row>
    <row r="6076" customFormat="false" ht="15" hidden="false" customHeight="true" outlineLevel="0" collapsed="false">
      <c r="A6076" s="184"/>
      <c r="B6076" s="184"/>
      <c r="C6076" s="184"/>
      <c r="D6076" s="184"/>
      <c r="E6076" s="184"/>
      <c r="F6076" s="184"/>
      <c r="G6076" s="184"/>
      <c r="H6076" s="184"/>
      <c r="I6076" s="184"/>
      <c r="J6076" s="184"/>
      <c r="K6076" s="184"/>
      <c r="L6076" s="184"/>
      <c r="M6076" s="184"/>
      <c r="N6076" s="184"/>
      <c r="O6076" s="184"/>
    </row>
    <row r="6077" customFormat="false" ht="15" hidden="false" customHeight="true" outlineLevel="0" collapsed="false">
      <c r="A6077" s="184"/>
      <c r="B6077" s="184"/>
      <c r="C6077" s="184"/>
      <c r="D6077" s="184"/>
      <c r="E6077" s="184"/>
      <c r="F6077" s="184"/>
      <c r="G6077" s="184"/>
      <c r="H6077" s="184"/>
      <c r="I6077" s="184"/>
      <c r="J6077" s="184"/>
      <c r="K6077" s="184"/>
      <c r="L6077" s="184"/>
      <c r="M6077" s="184"/>
      <c r="N6077" s="184"/>
      <c r="O6077" s="184"/>
    </row>
    <row r="6078" customFormat="false" ht="15" hidden="false" customHeight="true" outlineLevel="0" collapsed="false">
      <c r="A6078" s="184"/>
      <c r="B6078" s="184"/>
      <c r="C6078" s="184"/>
      <c r="D6078" s="184"/>
      <c r="E6078" s="184"/>
      <c r="F6078" s="184"/>
      <c r="G6078" s="184"/>
      <c r="H6078" s="184"/>
      <c r="I6078" s="184"/>
      <c r="J6078" s="184"/>
      <c r="K6078" s="184"/>
      <c r="L6078" s="184"/>
      <c r="M6078" s="184"/>
      <c r="N6078" s="184"/>
      <c r="O6078" s="184"/>
    </row>
    <row r="6079" customFormat="false" ht="15" hidden="false" customHeight="true" outlineLevel="0" collapsed="false">
      <c r="A6079" s="184"/>
      <c r="B6079" s="184"/>
      <c r="C6079" s="184"/>
      <c r="D6079" s="184"/>
      <c r="E6079" s="184"/>
      <c r="F6079" s="184"/>
      <c r="G6079" s="184"/>
      <c r="H6079" s="184"/>
      <c r="I6079" s="184"/>
      <c r="J6079" s="184"/>
      <c r="K6079" s="184"/>
      <c r="L6079" s="184"/>
      <c r="M6079" s="184"/>
      <c r="N6079" s="184"/>
      <c r="O6079" s="184"/>
    </row>
    <row r="6080" customFormat="false" ht="15" hidden="false" customHeight="true" outlineLevel="0" collapsed="false">
      <c r="A6080" s="184"/>
      <c r="B6080" s="184"/>
      <c r="C6080" s="184"/>
      <c r="D6080" s="184"/>
      <c r="E6080" s="184"/>
      <c r="F6080" s="184"/>
      <c r="G6080" s="184"/>
      <c r="H6080" s="184"/>
      <c r="I6080" s="184"/>
      <c r="J6080" s="184"/>
      <c r="K6080" s="184"/>
      <c r="L6080" s="184"/>
      <c r="M6080" s="184"/>
      <c r="N6080" s="184"/>
      <c r="O6080" s="184"/>
    </row>
    <row r="6081" customFormat="false" ht="15" hidden="false" customHeight="true" outlineLevel="0" collapsed="false">
      <c r="A6081" s="184"/>
      <c r="B6081" s="184"/>
      <c r="C6081" s="184"/>
      <c r="D6081" s="184"/>
      <c r="E6081" s="184"/>
      <c r="F6081" s="184"/>
      <c r="G6081" s="184"/>
      <c r="H6081" s="184"/>
      <c r="I6081" s="184"/>
      <c r="J6081" s="184"/>
      <c r="K6081" s="184"/>
      <c r="L6081" s="184"/>
      <c r="M6081" s="184"/>
      <c r="N6081" s="184"/>
      <c r="O6081" s="184"/>
    </row>
    <row r="6082" customFormat="false" ht="15" hidden="false" customHeight="true" outlineLevel="0" collapsed="false">
      <c r="A6082" s="184"/>
      <c r="B6082" s="184"/>
      <c r="C6082" s="184"/>
      <c r="D6082" s="184"/>
      <c r="E6082" s="184"/>
      <c r="F6082" s="184"/>
      <c r="G6082" s="184"/>
      <c r="H6082" s="184"/>
      <c r="I6082" s="184"/>
      <c r="J6082" s="184"/>
      <c r="K6082" s="184"/>
      <c r="L6082" s="184"/>
      <c r="M6082" s="184"/>
      <c r="N6082" s="184"/>
      <c r="O6082" s="184"/>
    </row>
    <row r="6083" customFormat="false" ht="15" hidden="false" customHeight="true" outlineLevel="0" collapsed="false">
      <c r="A6083" s="184"/>
      <c r="B6083" s="184"/>
      <c r="C6083" s="184"/>
      <c r="D6083" s="184"/>
      <c r="E6083" s="184"/>
      <c r="F6083" s="184"/>
      <c r="G6083" s="184"/>
      <c r="H6083" s="184"/>
      <c r="I6083" s="184"/>
      <c r="J6083" s="184"/>
      <c r="K6083" s="184"/>
      <c r="L6083" s="184"/>
      <c r="M6083" s="184"/>
      <c r="N6083" s="184"/>
      <c r="O6083" s="184"/>
    </row>
    <row r="6084" customFormat="false" ht="15" hidden="false" customHeight="true" outlineLevel="0" collapsed="false">
      <c r="A6084" s="184"/>
      <c r="B6084" s="184"/>
      <c r="C6084" s="184"/>
      <c r="D6084" s="184"/>
      <c r="E6084" s="184"/>
      <c r="F6084" s="184"/>
      <c r="G6084" s="184"/>
      <c r="H6084" s="184"/>
      <c r="I6084" s="184"/>
      <c r="J6084" s="184"/>
      <c r="K6084" s="184"/>
      <c r="L6084" s="184"/>
      <c r="M6084" s="184"/>
      <c r="N6084" s="184"/>
      <c r="O6084" s="184"/>
    </row>
    <row r="6085" customFormat="false" ht="15" hidden="false" customHeight="true" outlineLevel="0" collapsed="false">
      <c r="A6085" s="184"/>
      <c r="B6085" s="184"/>
      <c r="C6085" s="184"/>
      <c r="D6085" s="184"/>
      <c r="E6085" s="184"/>
      <c r="F6085" s="184"/>
      <c r="G6085" s="184"/>
      <c r="H6085" s="184"/>
      <c r="I6085" s="184"/>
      <c r="J6085" s="184"/>
      <c r="K6085" s="184"/>
      <c r="L6085" s="184"/>
      <c r="M6085" s="184"/>
      <c r="N6085" s="184"/>
      <c r="O6085" s="184"/>
    </row>
    <row r="6086" customFormat="false" ht="15" hidden="false" customHeight="true" outlineLevel="0" collapsed="false">
      <c r="A6086" s="184"/>
      <c r="B6086" s="184"/>
      <c r="C6086" s="184"/>
      <c r="D6086" s="184"/>
      <c r="E6086" s="184"/>
      <c r="F6086" s="184"/>
      <c r="G6086" s="184"/>
      <c r="H6086" s="184"/>
      <c r="I6086" s="184"/>
      <c r="J6086" s="184"/>
      <c r="K6086" s="184"/>
      <c r="L6086" s="184"/>
      <c r="M6086" s="184"/>
      <c r="N6086" s="184"/>
      <c r="O6086" s="184"/>
    </row>
    <row r="6087" customFormat="false" ht="15" hidden="false" customHeight="true" outlineLevel="0" collapsed="false">
      <c r="A6087" s="184"/>
      <c r="B6087" s="184"/>
      <c r="C6087" s="184"/>
      <c r="D6087" s="184"/>
      <c r="E6087" s="184"/>
      <c r="F6087" s="184"/>
      <c r="G6087" s="184"/>
      <c r="H6087" s="184"/>
      <c r="I6087" s="184"/>
      <c r="J6087" s="184"/>
      <c r="K6087" s="184"/>
      <c r="L6087" s="184"/>
      <c r="M6087" s="184"/>
      <c r="N6087" s="184"/>
      <c r="O6087" s="184"/>
    </row>
    <row r="6088" customFormat="false" ht="15" hidden="false" customHeight="true" outlineLevel="0" collapsed="false">
      <c r="A6088" s="184"/>
      <c r="B6088" s="184"/>
      <c r="C6088" s="184"/>
      <c r="D6088" s="184"/>
      <c r="E6088" s="184"/>
      <c r="F6088" s="184"/>
      <c r="G6088" s="184"/>
      <c r="H6088" s="184"/>
      <c r="I6088" s="184"/>
      <c r="J6088" s="184"/>
      <c r="K6088" s="184"/>
      <c r="L6088" s="184"/>
      <c r="M6088" s="184"/>
      <c r="N6088" s="184"/>
      <c r="O6088" s="184"/>
    </row>
    <row r="6089" customFormat="false" ht="15" hidden="false" customHeight="true" outlineLevel="0" collapsed="false">
      <c r="A6089" s="184"/>
      <c r="B6089" s="184"/>
      <c r="C6089" s="184"/>
      <c r="D6089" s="184"/>
      <c r="E6089" s="184"/>
      <c r="F6089" s="184"/>
      <c r="G6089" s="184"/>
      <c r="H6089" s="184"/>
      <c r="I6089" s="184"/>
      <c r="J6089" s="184"/>
      <c r="K6089" s="184"/>
      <c r="L6089" s="184"/>
      <c r="M6089" s="184"/>
      <c r="N6089" s="184"/>
      <c r="O6089" s="184"/>
    </row>
    <row r="6090" customFormat="false" ht="15" hidden="false" customHeight="true" outlineLevel="0" collapsed="false">
      <c r="A6090" s="184"/>
      <c r="B6090" s="184"/>
      <c r="C6090" s="184"/>
      <c r="D6090" s="184"/>
      <c r="E6090" s="184"/>
      <c r="F6090" s="184"/>
      <c r="G6090" s="184"/>
      <c r="H6090" s="184"/>
      <c r="I6090" s="184"/>
      <c r="J6090" s="184"/>
      <c r="K6090" s="184"/>
      <c r="L6090" s="184"/>
      <c r="M6090" s="184"/>
      <c r="N6090" s="184"/>
      <c r="O6090" s="184"/>
    </row>
    <row r="6091" customFormat="false" ht="15" hidden="false" customHeight="true" outlineLevel="0" collapsed="false">
      <c r="A6091" s="184"/>
      <c r="B6091" s="184"/>
      <c r="C6091" s="184"/>
      <c r="D6091" s="184"/>
      <c r="E6091" s="184"/>
      <c r="F6091" s="184"/>
      <c r="G6091" s="184"/>
      <c r="H6091" s="184"/>
      <c r="I6091" s="184"/>
      <c r="J6091" s="184"/>
      <c r="K6091" s="184"/>
      <c r="L6091" s="184"/>
      <c r="M6091" s="184"/>
      <c r="N6091" s="184"/>
      <c r="O6091" s="184"/>
    </row>
    <row r="6092" customFormat="false" ht="15" hidden="false" customHeight="true" outlineLevel="0" collapsed="false">
      <c r="A6092" s="184"/>
      <c r="B6092" s="184"/>
      <c r="C6092" s="184"/>
      <c r="D6092" s="184"/>
      <c r="E6092" s="184"/>
      <c r="F6092" s="184"/>
      <c r="G6092" s="184"/>
      <c r="H6092" s="184"/>
      <c r="I6092" s="184"/>
      <c r="J6092" s="184"/>
      <c r="K6092" s="184"/>
      <c r="L6092" s="184"/>
      <c r="M6092" s="184"/>
      <c r="N6092" s="184"/>
      <c r="O6092" s="184"/>
    </row>
    <row r="6093" customFormat="false" ht="15" hidden="false" customHeight="true" outlineLevel="0" collapsed="false">
      <c r="A6093" s="184"/>
      <c r="B6093" s="184"/>
      <c r="C6093" s="184"/>
      <c r="D6093" s="184"/>
      <c r="E6093" s="184"/>
      <c r="F6093" s="184"/>
      <c r="G6093" s="184"/>
      <c r="H6093" s="184"/>
      <c r="I6093" s="184"/>
      <c r="J6093" s="184"/>
      <c r="K6093" s="184"/>
      <c r="L6093" s="184"/>
      <c r="M6093" s="184"/>
      <c r="N6093" s="184"/>
      <c r="O6093" s="184"/>
    </row>
    <row r="6094" customFormat="false" ht="15" hidden="false" customHeight="true" outlineLevel="0" collapsed="false">
      <c r="A6094" s="184"/>
      <c r="B6094" s="184"/>
      <c r="C6094" s="184"/>
      <c r="D6094" s="184"/>
      <c r="E6094" s="184"/>
      <c r="F6094" s="184"/>
      <c r="G6094" s="184"/>
      <c r="H6094" s="184"/>
      <c r="I6094" s="184"/>
      <c r="J6094" s="184"/>
      <c r="K6094" s="184"/>
      <c r="L6094" s="184"/>
      <c r="M6094" s="184"/>
      <c r="N6094" s="184"/>
      <c r="O6094" s="184"/>
    </row>
    <row r="6095" customFormat="false" ht="15" hidden="false" customHeight="true" outlineLevel="0" collapsed="false">
      <c r="A6095" s="184"/>
      <c r="B6095" s="184"/>
      <c r="C6095" s="184"/>
      <c r="D6095" s="184"/>
      <c r="E6095" s="184"/>
      <c r="F6095" s="184"/>
      <c r="G6095" s="184"/>
      <c r="H6095" s="184"/>
      <c r="I6095" s="184"/>
      <c r="J6095" s="184"/>
      <c r="K6095" s="184"/>
      <c r="L6095" s="184"/>
      <c r="M6095" s="184"/>
      <c r="N6095" s="184"/>
      <c r="O6095" s="184"/>
    </row>
    <row r="6096" customFormat="false" ht="15" hidden="false" customHeight="true" outlineLevel="0" collapsed="false">
      <c r="A6096" s="184"/>
      <c r="B6096" s="184"/>
      <c r="C6096" s="184"/>
      <c r="D6096" s="184"/>
      <c r="E6096" s="184"/>
      <c r="F6096" s="184"/>
      <c r="G6096" s="184"/>
      <c r="H6096" s="184"/>
      <c r="I6096" s="184"/>
      <c r="J6096" s="184"/>
      <c r="K6096" s="184"/>
      <c r="L6096" s="184"/>
      <c r="M6096" s="184"/>
      <c r="N6096" s="184"/>
      <c r="O6096" s="184"/>
    </row>
    <row r="6097" customFormat="false" ht="15" hidden="false" customHeight="true" outlineLevel="0" collapsed="false">
      <c r="A6097" s="184"/>
      <c r="B6097" s="184"/>
      <c r="C6097" s="184"/>
      <c r="D6097" s="184"/>
      <c r="E6097" s="184"/>
      <c r="F6097" s="184"/>
      <c r="G6097" s="184"/>
      <c r="H6097" s="184"/>
      <c r="I6097" s="184"/>
      <c r="J6097" s="184"/>
      <c r="K6097" s="184"/>
      <c r="L6097" s="184"/>
      <c r="M6097" s="184"/>
      <c r="N6097" s="184"/>
      <c r="O6097" s="184"/>
    </row>
    <row r="6098" customFormat="false" ht="15" hidden="false" customHeight="true" outlineLevel="0" collapsed="false">
      <c r="A6098" s="184"/>
      <c r="B6098" s="184"/>
      <c r="C6098" s="184"/>
      <c r="D6098" s="184"/>
      <c r="E6098" s="184"/>
      <c r="F6098" s="184"/>
      <c r="G6098" s="184"/>
      <c r="H6098" s="184"/>
      <c r="I6098" s="184"/>
      <c r="J6098" s="184"/>
      <c r="K6098" s="184"/>
      <c r="L6098" s="184"/>
      <c r="M6098" s="184"/>
      <c r="N6098" s="184"/>
      <c r="O6098" s="184"/>
    </row>
    <row r="6099" customFormat="false" ht="15" hidden="false" customHeight="true" outlineLevel="0" collapsed="false">
      <c r="A6099" s="184"/>
      <c r="B6099" s="184"/>
      <c r="C6099" s="184"/>
      <c r="D6099" s="184"/>
      <c r="E6099" s="184"/>
      <c r="F6099" s="184"/>
      <c r="G6099" s="184"/>
      <c r="H6099" s="184"/>
      <c r="I6099" s="184"/>
      <c r="J6099" s="184"/>
      <c r="K6099" s="184"/>
      <c r="L6099" s="184"/>
      <c r="M6099" s="184"/>
      <c r="N6099" s="184"/>
      <c r="O6099" s="184"/>
    </row>
    <row r="6100" customFormat="false" ht="15" hidden="false" customHeight="true" outlineLevel="0" collapsed="false">
      <c r="A6100" s="184"/>
      <c r="B6100" s="184"/>
      <c r="C6100" s="184"/>
      <c r="D6100" s="184"/>
      <c r="E6100" s="184"/>
      <c r="F6100" s="184"/>
      <c r="G6100" s="184"/>
      <c r="H6100" s="184"/>
      <c r="I6100" s="184"/>
      <c r="J6100" s="184"/>
      <c r="K6100" s="184"/>
      <c r="L6100" s="184"/>
      <c r="M6100" s="184"/>
      <c r="N6100" s="184"/>
      <c r="O6100" s="184"/>
    </row>
    <row r="6101" customFormat="false" ht="15" hidden="false" customHeight="true" outlineLevel="0" collapsed="false">
      <c r="A6101" s="184"/>
      <c r="B6101" s="184"/>
      <c r="C6101" s="184"/>
      <c r="D6101" s="184"/>
      <c r="E6101" s="184"/>
      <c r="F6101" s="184"/>
      <c r="G6101" s="184"/>
      <c r="H6101" s="184"/>
      <c r="I6101" s="184"/>
      <c r="J6101" s="184"/>
      <c r="K6101" s="184"/>
      <c r="L6101" s="184"/>
      <c r="M6101" s="184"/>
      <c r="N6101" s="184"/>
      <c r="O6101" s="184"/>
    </row>
    <row r="6102" customFormat="false" ht="15" hidden="false" customHeight="true" outlineLevel="0" collapsed="false">
      <c r="A6102" s="184"/>
      <c r="B6102" s="184"/>
      <c r="C6102" s="184"/>
      <c r="D6102" s="184"/>
      <c r="E6102" s="184"/>
      <c r="F6102" s="184"/>
      <c r="G6102" s="184"/>
      <c r="H6102" s="184"/>
      <c r="I6102" s="184"/>
      <c r="J6102" s="184"/>
      <c r="K6102" s="184"/>
      <c r="L6102" s="184"/>
      <c r="M6102" s="184"/>
      <c r="N6102" s="184"/>
      <c r="O6102" s="184"/>
    </row>
    <row r="6103" customFormat="false" ht="15" hidden="false" customHeight="true" outlineLevel="0" collapsed="false">
      <c r="A6103" s="184"/>
      <c r="B6103" s="184"/>
      <c r="C6103" s="184"/>
      <c r="D6103" s="184"/>
      <c r="E6103" s="184"/>
      <c r="F6103" s="184"/>
      <c r="G6103" s="184"/>
      <c r="H6103" s="184"/>
      <c r="I6103" s="184"/>
      <c r="J6103" s="184"/>
      <c r="K6103" s="184"/>
      <c r="L6103" s="184"/>
      <c r="M6103" s="184"/>
      <c r="N6103" s="184"/>
      <c r="O6103" s="184"/>
    </row>
    <row r="6104" customFormat="false" ht="15" hidden="false" customHeight="true" outlineLevel="0" collapsed="false">
      <c r="A6104" s="184"/>
      <c r="B6104" s="184"/>
      <c r="C6104" s="184"/>
      <c r="D6104" s="184"/>
      <c r="E6104" s="184"/>
      <c r="F6104" s="184"/>
      <c r="G6104" s="184"/>
      <c r="H6104" s="184"/>
      <c r="I6104" s="184"/>
      <c r="J6104" s="184"/>
      <c r="K6104" s="184"/>
      <c r="L6104" s="184"/>
      <c r="M6104" s="184"/>
      <c r="N6104" s="184"/>
      <c r="O6104" s="184"/>
    </row>
    <row r="6105" customFormat="false" ht="15" hidden="false" customHeight="true" outlineLevel="0" collapsed="false">
      <c r="A6105" s="184"/>
      <c r="B6105" s="184"/>
      <c r="C6105" s="184"/>
      <c r="D6105" s="184"/>
      <c r="E6105" s="184"/>
      <c r="F6105" s="184"/>
      <c r="G6105" s="184"/>
      <c r="H6105" s="184"/>
      <c r="I6105" s="184"/>
      <c r="J6105" s="184"/>
      <c r="K6105" s="184"/>
      <c r="L6105" s="184"/>
      <c r="M6105" s="184"/>
      <c r="N6105" s="184"/>
      <c r="O6105" s="184"/>
    </row>
    <row r="6106" customFormat="false" ht="15" hidden="false" customHeight="true" outlineLevel="0" collapsed="false">
      <c r="A6106" s="184"/>
      <c r="B6106" s="184"/>
      <c r="C6106" s="184"/>
      <c r="D6106" s="184"/>
      <c r="E6106" s="184"/>
      <c r="F6106" s="184"/>
      <c r="G6106" s="184"/>
      <c r="H6106" s="184"/>
      <c r="I6106" s="184"/>
      <c r="J6106" s="184"/>
      <c r="K6106" s="184"/>
      <c r="L6106" s="184"/>
      <c r="M6106" s="184"/>
      <c r="N6106" s="184"/>
      <c r="O6106" s="184"/>
    </row>
    <row r="6107" customFormat="false" ht="15" hidden="false" customHeight="true" outlineLevel="0" collapsed="false">
      <c r="A6107" s="184"/>
      <c r="B6107" s="184"/>
      <c r="C6107" s="184"/>
      <c r="D6107" s="184"/>
      <c r="E6107" s="184"/>
      <c r="F6107" s="184"/>
      <c r="G6107" s="184"/>
      <c r="H6107" s="184"/>
      <c r="I6107" s="184"/>
      <c r="J6107" s="184"/>
      <c r="K6107" s="184"/>
      <c r="L6107" s="184"/>
      <c r="M6107" s="184"/>
      <c r="N6107" s="184"/>
      <c r="O6107" s="184"/>
    </row>
    <row r="6108" customFormat="false" ht="15" hidden="false" customHeight="true" outlineLevel="0" collapsed="false">
      <c r="A6108" s="184"/>
      <c r="B6108" s="184"/>
      <c r="C6108" s="184"/>
      <c r="D6108" s="184"/>
      <c r="E6108" s="184"/>
      <c r="F6108" s="184"/>
      <c r="G6108" s="184"/>
      <c r="H6108" s="184"/>
      <c r="I6108" s="184"/>
      <c r="J6108" s="184"/>
      <c r="K6108" s="184"/>
      <c r="L6108" s="184"/>
      <c r="M6108" s="184"/>
      <c r="N6108" s="184"/>
      <c r="O6108" s="184"/>
    </row>
    <row r="6109" customFormat="false" ht="15" hidden="false" customHeight="true" outlineLevel="0" collapsed="false">
      <c r="A6109" s="184"/>
      <c r="B6109" s="184"/>
      <c r="C6109" s="184"/>
      <c r="D6109" s="184"/>
      <c r="E6109" s="184"/>
      <c r="F6109" s="184"/>
      <c r="G6109" s="184"/>
      <c r="H6109" s="184"/>
      <c r="I6109" s="184"/>
      <c r="J6109" s="184"/>
      <c r="K6109" s="184"/>
      <c r="L6109" s="184"/>
      <c r="M6109" s="184"/>
      <c r="N6109" s="184"/>
      <c r="O6109" s="184"/>
    </row>
    <row r="6110" customFormat="false" ht="15" hidden="false" customHeight="true" outlineLevel="0" collapsed="false">
      <c r="A6110" s="184"/>
      <c r="B6110" s="184"/>
      <c r="C6110" s="184"/>
      <c r="D6110" s="184"/>
      <c r="E6110" s="184"/>
      <c r="F6110" s="184"/>
      <c r="G6110" s="184"/>
      <c r="H6110" s="184"/>
      <c r="I6110" s="184"/>
      <c r="J6110" s="184"/>
      <c r="K6110" s="184"/>
      <c r="L6110" s="184"/>
      <c r="M6110" s="184"/>
      <c r="N6110" s="184"/>
      <c r="O6110" s="184"/>
    </row>
    <row r="6111" customFormat="false" ht="15" hidden="false" customHeight="true" outlineLevel="0" collapsed="false">
      <c r="A6111" s="184"/>
      <c r="B6111" s="184"/>
      <c r="C6111" s="184"/>
      <c r="D6111" s="184"/>
      <c r="E6111" s="184"/>
      <c r="F6111" s="184"/>
      <c r="G6111" s="184"/>
      <c r="H6111" s="184"/>
      <c r="I6111" s="184"/>
      <c r="J6111" s="184"/>
      <c r="K6111" s="184"/>
      <c r="L6111" s="184"/>
      <c r="M6111" s="184"/>
      <c r="N6111" s="184"/>
      <c r="O6111" s="184"/>
    </row>
    <row r="6112" customFormat="false" ht="15" hidden="false" customHeight="true" outlineLevel="0" collapsed="false">
      <c r="A6112" s="184"/>
      <c r="B6112" s="184"/>
      <c r="C6112" s="184"/>
      <c r="D6112" s="184"/>
      <c r="E6112" s="184"/>
      <c r="F6112" s="184"/>
      <c r="G6112" s="184"/>
      <c r="H6112" s="184"/>
      <c r="I6112" s="184"/>
      <c r="J6112" s="184"/>
      <c r="K6112" s="184"/>
      <c r="L6112" s="184"/>
      <c r="M6112" s="184"/>
      <c r="N6112" s="184"/>
      <c r="O6112" s="184"/>
    </row>
    <row r="6113" customFormat="false" ht="15" hidden="false" customHeight="true" outlineLevel="0" collapsed="false">
      <c r="A6113" s="184"/>
      <c r="B6113" s="184"/>
      <c r="C6113" s="184"/>
      <c r="D6113" s="184"/>
      <c r="E6113" s="184"/>
      <c r="F6113" s="184"/>
      <c r="G6113" s="184"/>
      <c r="H6113" s="184"/>
      <c r="I6113" s="184"/>
      <c r="J6113" s="184"/>
      <c r="K6113" s="184"/>
      <c r="L6113" s="184"/>
      <c r="M6113" s="184"/>
      <c r="N6113" s="184"/>
      <c r="O6113" s="184"/>
    </row>
    <row r="6114" customFormat="false" ht="15" hidden="false" customHeight="true" outlineLevel="0" collapsed="false">
      <c r="A6114" s="184"/>
      <c r="B6114" s="184"/>
      <c r="C6114" s="184"/>
      <c r="D6114" s="184"/>
      <c r="E6114" s="184"/>
      <c r="F6114" s="184"/>
      <c r="G6114" s="184"/>
      <c r="H6114" s="184"/>
      <c r="I6114" s="184"/>
      <c r="J6114" s="184"/>
      <c r="K6114" s="184"/>
      <c r="L6114" s="184"/>
      <c r="M6114" s="184"/>
      <c r="N6114" s="184"/>
      <c r="O6114" s="184"/>
    </row>
    <row r="6115" customFormat="false" ht="15" hidden="false" customHeight="true" outlineLevel="0" collapsed="false">
      <c r="A6115" s="184"/>
      <c r="B6115" s="184"/>
      <c r="C6115" s="184"/>
      <c r="D6115" s="184"/>
      <c r="E6115" s="184"/>
      <c r="F6115" s="184"/>
      <c r="G6115" s="184"/>
      <c r="H6115" s="184"/>
      <c r="I6115" s="184"/>
      <c r="J6115" s="184"/>
      <c r="K6115" s="184"/>
      <c r="L6115" s="184"/>
      <c r="M6115" s="184"/>
      <c r="N6115" s="184"/>
      <c r="O6115" s="184"/>
    </row>
    <row r="6116" customFormat="false" ht="15" hidden="false" customHeight="true" outlineLevel="0" collapsed="false">
      <c r="A6116" s="184"/>
      <c r="B6116" s="184"/>
      <c r="C6116" s="184"/>
      <c r="D6116" s="184"/>
      <c r="E6116" s="184"/>
      <c r="F6116" s="184"/>
      <c r="G6116" s="184"/>
      <c r="H6116" s="184"/>
      <c r="I6116" s="184"/>
      <c r="J6116" s="184"/>
      <c r="K6116" s="184"/>
      <c r="L6116" s="184"/>
      <c r="M6116" s="184"/>
      <c r="N6116" s="184"/>
      <c r="O6116" s="184"/>
    </row>
    <row r="6117" customFormat="false" ht="15" hidden="false" customHeight="true" outlineLevel="0" collapsed="false">
      <c r="A6117" s="184"/>
      <c r="B6117" s="184"/>
      <c r="C6117" s="184"/>
      <c r="D6117" s="184"/>
      <c r="E6117" s="184"/>
      <c r="F6117" s="184"/>
      <c r="G6117" s="184"/>
      <c r="H6117" s="184"/>
      <c r="I6117" s="184"/>
      <c r="J6117" s="184"/>
      <c r="K6117" s="184"/>
      <c r="L6117" s="184"/>
      <c r="M6117" s="184"/>
      <c r="N6117" s="184"/>
      <c r="O6117" s="184"/>
    </row>
    <row r="6118" customFormat="false" ht="15" hidden="false" customHeight="true" outlineLevel="0" collapsed="false">
      <c r="A6118" s="184"/>
      <c r="B6118" s="184"/>
      <c r="C6118" s="184"/>
      <c r="D6118" s="184"/>
      <c r="E6118" s="184"/>
      <c r="F6118" s="184"/>
      <c r="G6118" s="184"/>
      <c r="H6118" s="184"/>
      <c r="I6118" s="184"/>
      <c r="J6118" s="184"/>
      <c r="K6118" s="184"/>
      <c r="L6118" s="184"/>
      <c r="M6118" s="184"/>
      <c r="N6118" s="184"/>
      <c r="O6118" s="184"/>
    </row>
    <row r="6119" customFormat="false" ht="15" hidden="false" customHeight="true" outlineLevel="0" collapsed="false">
      <c r="A6119" s="184"/>
      <c r="B6119" s="184"/>
      <c r="C6119" s="184"/>
      <c r="D6119" s="184"/>
      <c r="E6119" s="184"/>
      <c r="F6119" s="184"/>
      <c r="G6119" s="184"/>
      <c r="H6119" s="184"/>
      <c r="I6119" s="184"/>
      <c r="J6119" s="184"/>
      <c r="K6119" s="184"/>
      <c r="L6119" s="184"/>
      <c r="M6119" s="184"/>
      <c r="N6119" s="184"/>
      <c r="O6119" s="184"/>
    </row>
    <row r="6120" customFormat="false" ht="15" hidden="false" customHeight="true" outlineLevel="0" collapsed="false">
      <c r="A6120" s="184"/>
      <c r="B6120" s="184"/>
      <c r="C6120" s="184"/>
      <c r="D6120" s="184"/>
      <c r="E6120" s="184"/>
      <c r="F6120" s="184"/>
      <c r="G6120" s="184"/>
      <c r="H6120" s="184"/>
      <c r="I6120" s="184"/>
      <c r="J6120" s="184"/>
      <c r="K6120" s="184"/>
      <c r="L6120" s="184"/>
      <c r="M6120" s="184"/>
      <c r="N6120" s="184"/>
      <c r="O6120" s="184"/>
    </row>
    <row r="6121" customFormat="false" ht="15" hidden="false" customHeight="true" outlineLevel="0" collapsed="false">
      <c r="A6121" s="184"/>
      <c r="B6121" s="184"/>
      <c r="C6121" s="184"/>
      <c r="D6121" s="184"/>
      <c r="E6121" s="184"/>
      <c r="F6121" s="184"/>
      <c r="G6121" s="184"/>
      <c r="H6121" s="184"/>
      <c r="I6121" s="184"/>
      <c r="J6121" s="184"/>
      <c r="K6121" s="184"/>
      <c r="L6121" s="184"/>
      <c r="M6121" s="184"/>
      <c r="N6121" s="184"/>
      <c r="O6121" s="184"/>
    </row>
    <row r="6122" customFormat="false" ht="15" hidden="false" customHeight="true" outlineLevel="0" collapsed="false">
      <c r="A6122" s="184"/>
      <c r="B6122" s="184"/>
      <c r="C6122" s="184"/>
      <c r="D6122" s="184"/>
      <c r="E6122" s="184"/>
      <c r="F6122" s="184"/>
      <c r="G6122" s="184"/>
      <c r="H6122" s="184"/>
      <c r="I6122" s="184"/>
      <c r="J6122" s="184"/>
      <c r="K6122" s="184"/>
      <c r="L6122" s="184"/>
      <c r="M6122" s="184"/>
      <c r="N6122" s="184"/>
      <c r="O6122" s="184"/>
    </row>
    <row r="6123" customFormat="false" ht="15" hidden="false" customHeight="true" outlineLevel="0" collapsed="false">
      <c r="A6123" s="184"/>
      <c r="B6123" s="184"/>
      <c r="C6123" s="184"/>
      <c r="D6123" s="184"/>
      <c r="E6123" s="184"/>
      <c r="F6123" s="184"/>
      <c r="G6123" s="184"/>
      <c r="H6123" s="184"/>
      <c r="I6123" s="184"/>
      <c r="J6123" s="184"/>
      <c r="K6123" s="184"/>
      <c r="L6123" s="184"/>
      <c r="M6123" s="184"/>
      <c r="N6123" s="184"/>
      <c r="O6123" s="184"/>
    </row>
    <row r="6124" customFormat="false" ht="15" hidden="false" customHeight="true" outlineLevel="0" collapsed="false">
      <c r="A6124" s="184"/>
      <c r="B6124" s="184"/>
      <c r="C6124" s="184"/>
      <c r="D6124" s="184"/>
      <c r="E6124" s="184"/>
      <c r="F6124" s="184"/>
      <c r="G6124" s="184"/>
      <c r="H6124" s="184"/>
      <c r="I6124" s="184"/>
      <c r="J6124" s="184"/>
      <c r="K6124" s="184"/>
      <c r="L6124" s="184"/>
      <c r="M6124" s="184"/>
      <c r="N6124" s="184"/>
      <c r="O6124" s="184"/>
    </row>
    <row r="6125" customFormat="false" ht="15" hidden="false" customHeight="true" outlineLevel="0" collapsed="false">
      <c r="A6125" s="184"/>
      <c r="B6125" s="184"/>
      <c r="C6125" s="184"/>
      <c r="D6125" s="184"/>
      <c r="E6125" s="184"/>
      <c r="F6125" s="184"/>
      <c r="G6125" s="184"/>
      <c r="H6125" s="184"/>
      <c r="I6125" s="184"/>
      <c r="J6125" s="184"/>
      <c r="K6125" s="184"/>
      <c r="L6125" s="184"/>
      <c r="M6125" s="184"/>
      <c r="N6125" s="184"/>
      <c r="O6125" s="184"/>
    </row>
    <row r="6126" customFormat="false" ht="15" hidden="false" customHeight="true" outlineLevel="0" collapsed="false">
      <c r="A6126" s="184"/>
      <c r="B6126" s="184"/>
      <c r="C6126" s="184"/>
      <c r="D6126" s="184"/>
      <c r="E6126" s="184"/>
      <c r="F6126" s="184"/>
      <c r="G6126" s="184"/>
      <c r="H6126" s="184"/>
      <c r="I6126" s="184"/>
      <c r="J6126" s="184"/>
      <c r="K6126" s="184"/>
      <c r="L6126" s="184"/>
      <c r="M6126" s="184"/>
      <c r="N6126" s="184"/>
      <c r="O6126" s="184"/>
    </row>
    <row r="6127" customFormat="false" ht="15" hidden="false" customHeight="true" outlineLevel="0" collapsed="false">
      <c r="A6127" s="184"/>
      <c r="B6127" s="184"/>
      <c r="C6127" s="184"/>
      <c r="D6127" s="184"/>
      <c r="E6127" s="184"/>
      <c r="F6127" s="184"/>
      <c r="G6127" s="184"/>
      <c r="H6127" s="184"/>
      <c r="I6127" s="184"/>
      <c r="J6127" s="184"/>
      <c r="K6127" s="184"/>
      <c r="L6127" s="184"/>
      <c r="M6127" s="184"/>
      <c r="N6127" s="184"/>
      <c r="O6127" s="184"/>
    </row>
    <row r="6128" customFormat="false" ht="15" hidden="false" customHeight="true" outlineLevel="0" collapsed="false">
      <c r="A6128" s="184"/>
      <c r="B6128" s="184"/>
      <c r="C6128" s="184"/>
      <c r="D6128" s="184"/>
      <c r="E6128" s="184"/>
      <c r="F6128" s="184"/>
      <c r="G6128" s="184"/>
      <c r="H6128" s="184"/>
      <c r="I6128" s="184"/>
      <c r="J6128" s="184"/>
      <c r="K6128" s="184"/>
      <c r="L6128" s="184"/>
      <c r="M6128" s="184"/>
      <c r="N6128" s="184"/>
      <c r="O6128" s="184"/>
    </row>
    <row r="6129" customFormat="false" ht="15" hidden="false" customHeight="true" outlineLevel="0" collapsed="false">
      <c r="A6129" s="184"/>
      <c r="B6129" s="184"/>
      <c r="C6129" s="184"/>
      <c r="D6129" s="184"/>
      <c r="E6129" s="184"/>
      <c r="F6129" s="184"/>
      <c r="G6129" s="184"/>
      <c r="H6129" s="184"/>
      <c r="I6129" s="184"/>
      <c r="J6129" s="184"/>
      <c r="K6129" s="184"/>
      <c r="L6129" s="184"/>
      <c r="M6129" s="184"/>
      <c r="N6129" s="184"/>
      <c r="O6129" s="184"/>
    </row>
    <row r="6130" customFormat="false" ht="15" hidden="false" customHeight="true" outlineLevel="0" collapsed="false">
      <c r="A6130" s="184"/>
      <c r="B6130" s="184"/>
      <c r="C6130" s="184"/>
      <c r="D6130" s="184"/>
      <c r="E6130" s="184"/>
      <c r="F6130" s="184"/>
      <c r="G6130" s="184"/>
      <c r="H6130" s="184"/>
      <c r="I6130" s="184"/>
      <c r="J6130" s="184"/>
      <c r="K6130" s="184"/>
      <c r="L6130" s="184"/>
      <c r="M6130" s="184"/>
      <c r="N6130" s="184"/>
      <c r="O6130" s="184"/>
    </row>
    <row r="6131" customFormat="false" ht="15" hidden="false" customHeight="true" outlineLevel="0" collapsed="false">
      <c r="A6131" s="184"/>
      <c r="B6131" s="184"/>
      <c r="C6131" s="184"/>
      <c r="D6131" s="184"/>
      <c r="E6131" s="184"/>
      <c r="F6131" s="184"/>
      <c r="G6131" s="184"/>
      <c r="H6131" s="184"/>
      <c r="I6131" s="184"/>
      <c r="J6131" s="184"/>
      <c r="K6131" s="184"/>
      <c r="L6131" s="184"/>
      <c r="M6131" s="184"/>
      <c r="N6131" s="184"/>
      <c r="O6131" s="184"/>
    </row>
    <row r="6132" customFormat="false" ht="15" hidden="false" customHeight="true" outlineLevel="0" collapsed="false">
      <c r="A6132" s="184"/>
      <c r="B6132" s="184"/>
      <c r="C6132" s="184"/>
      <c r="D6132" s="184"/>
      <c r="E6132" s="184"/>
      <c r="F6132" s="184"/>
      <c r="G6132" s="184"/>
      <c r="H6132" s="184"/>
      <c r="I6132" s="184"/>
      <c r="J6132" s="184"/>
      <c r="K6132" s="184"/>
      <c r="L6132" s="184"/>
      <c r="M6132" s="184"/>
      <c r="N6132" s="184"/>
      <c r="O6132" s="184"/>
    </row>
    <row r="6133" customFormat="false" ht="15" hidden="false" customHeight="true" outlineLevel="0" collapsed="false">
      <c r="A6133" s="184"/>
      <c r="B6133" s="184"/>
      <c r="C6133" s="184"/>
      <c r="D6133" s="184"/>
      <c r="E6133" s="184"/>
      <c r="F6133" s="184"/>
      <c r="G6133" s="184"/>
      <c r="H6133" s="184"/>
      <c r="I6133" s="184"/>
      <c r="J6133" s="184"/>
      <c r="K6133" s="184"/>
      <c r="L6133" s="184"/>
      <c r="M6133" s="184"/>
      <c r="N6133" s="184"/>
      <c r="O6133" s="184"/>
    </row>
    <row r="6134" customFormat="false" ht="15" hidden="false" customHeight="true" outlineLevel="0" collapsed="false">
      <c r="A6134" s="184"/>
      <c r="B6134" s="184"/>
      <c r="C6134" s="184"/>
      <c r="D6134" s="184"/>
      <c r="E6134" s="184"/>
      <c r="F6134" s="184"/>
      <c r="G6134" s="184"/>
      <c r="H6134" s="184"/>
      <c r="I6134" s="184"/>
      <c r="J6134" s="184"/>
      <c r="K6134" s="184"/>
      <c r="L6134" s="184"/>
      <c r="M6134" s="184"/>
      <c r="N6134" s="184"/>
      <c r="O6134" s="184"/>
    </row>
    <row r="6135" customFormat="false" ht="15" hidden="false" customHeight="true" outlineLevel="0" collapsed="false">
      <c r="A6135" s="184"/>
      <c r="B6135" s="184"/>
      <c r="C6135" s="184"/>
      <c r="D6135" s="184"/>
      <c r="E6135" s="184"/>
      <c r="F6135" s="184"/>
      <c r="G6135" s="184"/>
      <c r="H6135" s="184"/>
      <c r="I6135" s="184"/>
      <c r="J6135" s="184"/>
      <c r="K6135" s="184"/>
      <c r="L6135" s="184"/>
      <c r="M6135" s="184"/>
      <c r="N6135" s="184"/>
      <c r="O6135" s="184"/>
    </row>
    <row r="6136" customFormat="false" ht="15" hidden="false" customHeight="true" outlineLevel="0" collapsed="false">
      <c r="A6136" s="184"/>
      <c r="B6136" s="184"/>
      <c r="C6136" s="184"/>
      <c r="D6136" s="184"/>
      <c r="E6136" s="184"/>
      <c r="F6136" s="184"/>
      <c r="G6136" s="184"/>
      <c r="H6136" s="184"/>
      <c r="I6136" s="184"/>
      <c r="J6136" s="184"/>
      <c r="K6136" s="184"/>
      <c r="L6136" s="184"/>
      <c r="M6136" s="184"/>
      <c r="N6136" s="184"/>
      <c r="O6136" s="184"/>
    </row>
    <row r="6137" customFormat="false" ht="15" hidden="false" customHeight="true" outlineLevel="0" collapsed="false">
      <c r="A6137" s="184"/>
      <c r="B6137" s="184"/>
      <c r="C6137" s="184"/>
      <c r="D6137" s="184"/>
      <c r="E6137" s="184"/>
      <c r="F6137" s="184"/>
      <c r="G6137" s="184"/>
      <c r="H6137" s="184"/>
      <c r="I6137" s="184"/>
      <c r="J6137" s="184"/>
      <c r="K6137" s="184"/>
      <c r="L6137" s="184"/>
      <c r="M6137" s="184"/>
      <c r="N6137" s="184"/>
      <c r="O6137" s="184"/>
    </row>
    <row r="6138" customFormat="false" ht="15" hidden="false" customHeight="true" outlineLevel="0" collapsed="false">
      <c r="A6138" s="184"/>
      <c r="B6138" s="184"/>
      <c r="C6138" s="184"/>
      <c r="D6138" s="184"/>
      <c r="E6138" s="184"/>
      <c r="F6138" s="184"/>
      <c r="G6138" s="184"/>
      <c r="H6138" s="184"/>
      <c r="I6138" s="184"/>
      <c r="J6138" s="184"/>
      <c r="K6138" s="184"/>
      <c r="L6138" s="184"/>
      <c r="M6138" s="184"/>
      <c r="N6138" s="184"/>
      <c r="O6138" s="184"/>
    </row>
    <row r="6139" customFormat="false" ht="15" hidden="false" customHeight="true" outlineLevel="0" collapsed="false">
      <c r="A6139" s="184"/>
      <c r="B6139" s="184"/>
      <c r="C6139" s="184"/>
      <c r="D6139" s="184"/>
      <c r="E6139" s="184"/>
      <c r="F6139" s="184"/>
      <c r="G6139" s="184"/>
      <c r="H6139" s="184"/>
      <c r="I6139" s="184"/>
      <c r="J6139" s="184"/>
      <c r="K6139" s="184"/>
      <c r="L6139" s="184"/>
      <c r="M6139" s="184"/>
      <c r="N6139" s="184"/>
      <c r="O6139" s="184"/>
    </row>
    <row r="6140" customFormat="false" ht="15" hidden="false" customHeight="true" outlineLevel="0" collapsed="false">
      <c r="A6140" s="184"/>
      <c r="B6140" s="184"/>
      <c r="C6140" s="184"/>
      <c r="D6140" s="184"/>
      <c r="E6140" s="184"/>
      <c r="F6140" s="184"/>
      <c r="G6140" s="184"/>
      <c r="H6140" s="184"/>
      <c r="I6140" s="184"/>
      <c r="J6140" s="184"/>
      <c r="K6140" s="184"/>
      <c r="L6140" s="184"/>
      <c r="M6140" s="184"/>
      <c r="N6140" s="184"/>
      <c r="O6140" s="184"/>
    </row>
    <row r="6141" customFormat="false" ht="15" hidden="false" customHeight="true" outlineLevel="0" collapsed="false">
      <c r="A6141" s="184"/>
      <c r="B6141" s="184"/>
      <c r="C6141" s="184"/>
      <c r="D6141" s="184"/>
      <c r="E6141" s="184"/>
      <c r="F6141" s="184"/>
      <c r="G6141" s="184"/>
      <c r="H6141" s="184"/>
      <c r="I6141" s="184"/>
      <c r="J6141" s="184"/>
      <c r="K6141" s="184"/>
      <c r="L6141" s="184"/>
      <c r="M6141" s="184"/>
      <c r="N6141" s="184"/>
      <c r="O6141" s="184"/>
    </row>
    <row r="6142" customFormat="false" ht="15" hidden="false" customHeight="true" outlineLevel="0" collapsed="false">
      <c r="A6142" s="184"/>
      <c r="B6142" s="184"/>
      <c r="C6142" s="184"/>
      <c r="D6142" s="184"/>
      <c r="E6142" s="184"/>
      <c r="F6142" s="184"/>
      <c r="G6142" s="184"/>
      <c r="H6142" s="184"/>
      <c r="I6142" s="184"/>
      <c r="J6142" s="184"/>
      <c r="K6142" s="184"/>
      <c r="L6142" s="184"/>
      <c r="M6142" s="184"/>
      <c r="N6142" s="184"/>
      <c r="O6142" s="184"/>
    </row>
    <row r="6143" customFormat="false" ht="15" hidden="false" customHeight="true" outlineLevel="0" collapsed="false">
      <c r="A6143" s="184"/>
      <c r="B6143" s="184"/>
      <c r="C6143" s="184"/>
      <c r="D6143" s="184"/>
      <c r="E6143" s="184"/>
      <c r="F6143" s="184"/>
      <c r="G6143" s="184"/>
      <c r="H6143" s="184"/>
      <c r="I6143" s="184"/>
      <c r="J6143" s="184"/>
      <c r="K6143" s="184"/>
      <c r="L6143" s="184"/>
      <c r="M6143" s="184"/>
      <c r="N6143" s="184"/>
      <c r="O6143" s="184"/>
    </row>
    <row r="6144" customFormat="false" ht="15" hidden="false" customHeight="true" outlineLevel="0" collapsed="false">
      <c r="A6144" s="184"/>
      <c r="B6144" s="184"/>
      <c r="C6144" s="184"/>
      <c r="D6144" s="184"/>
      <c r="E6144" s="184"/>
      <c r="F6144" s="184"/>
      <c r="G6144" s="184"/>
      <c r="H6144" s="184"/>
      <c r="I6144" s="184"/>
      <c r="J6144" s="184"/>
      <c r="K6144" s="184"/>
      <c r="L6144" s="184"/>
      <c r="M6144" s="184"/>
      <c r="N6144" s="184"/>
      <c r="O6144" s="184"/>
    </row>
    <row r="6145" customFormat="false" ht="15" hidden="false" customHeight="true" outlineLevel="0" collapsed="false">
      <c r="A6145" s="184"/>
      <c r="B6145" s="184"/>
      <c r="C6145" s="184"/>
      <c r="D6145" s="184"/>
      <c r="E6145" s="184"/>
      <c r="F6145" s="184"/>
      <c r="G6145" s="184"/>
      <c r="H6145" s="184"/>
      <c r="I6145" s="184"/>
      <c r="J6145" s="184"/>
      <c r="K6145" s="184"/>
      <c r="L6145" s="184"/>
      <c r="M6145" s="184"/>
      <c r="N6145" s="184"/>
      <c r="O6145" s="184"/>
    </row>
    <row r="6146" customFormat="false" ht="15" hidden="false" customHeight="true" outlineLevel="0" collapsed="false">
      <c r="A6146" s="184"/>
      <c r="B6146" s="184"/>
      <c r="C6146" s="184"/>
      <c r="D6146" s="184"/>
      <c r="E6146" s="184"/>
      <c r="F6146" s="184"/>
      <c r="G6146" s="184"/>
      <c r="H6146" s="184"/>
      <c r="I6146" s="184"/>
      <c r="J6146" s="184"/>
      <c r="K6146" s="184"/>
      <c r="L6146" s="184"/>
      <c r="M6146" s="184"/>
      <c r="N6146" s="184"/>
      <c r="O6146" s="184"/>
    </row>
    <row r="6147" customFormat="false" ht="15" hidden="false" customHeight="true" outlineLevel="0" collapsed="false">
      <c r="A6147" s="184"/>
      <c r="B6147" s="184"/>
      <c r="C6147" s="184"/>
      <c r="D6147" s="184"/>
      <c r="E6147" s="184"/>
      <c r="F6147" s="184"/>
      <c r="G6147" s="184"/>
      <c r="H6147" s="184"/>
      <c r="I6147" s="184"/>
      <c r="J6147" s="184"/>
      <c r="K6147" s="184"/>
      <c r="L6147" s="184"/>
      <c r="M6147" s="184"/>
      <c r="N6147" s="184"/>
      <c r="O6147" s="184"/>
    </row>
    <row r="6148" customFormat="false" ht="15" hidden="false" customHeight="true" outlineLevel="0" collapsed="false">
      <c r="A6148" s="184"/>
      <c r="B6148" s="184"/>
      <c r="C6148" s="184"/>
      <c r="D6148" s="184"/>
      <c r="E6148" s="184"/>
      <c r="F6148" s="184"/>
      <c r="G6148" s="184"/>
      <c r="H6148" s="184"/>
      <c r="I6148" s="184"/>
      <c r="J6148" s="184"/>
      <c r="K6148" s="184"/>
      <c r="L6148" s="184"/>
      <c r="M6148" s="184"/>
      <c r="N6148" s="184"/>
      <c r="O6148" s="184"/>
    </row>
    <row r="6149" customFormat="false" ht="15" hidden="false" customHeight="true" outlineLevel="0" collapsed="false">
      <c r="A6149" s="184"/>
      <c r="B6149" s="184"/>
      <c r="C6149" s="184"/>
      <c r="D6149" s="184"/>
      <c r="E6149" s="184"/>
      <c r="F6149" s="184"/>
      <c r="G6149" s="184"/>
      <c r="H6149" s="184"/>
      <c r="I6149" s="184"/>
      <c r="J6149" s="184"/>
      <c r="K6149" s="184"/>
      <c r="L6149" s="184"/>
      <c r="M6149" s="184"/>
      <c r="N6149" s="184"/>
      <c r="O6149" s="184"/>
    </row>
    <row r="6150" customFormat="false" ht="15" hidden="false" customHeight="true" outlineLevel="0" collapsed="false">
      <c r="A6150" s="184"/>
      <c r="B6150" s="184"/>
      <c r="C6150" s="184"/>
      <c r="D6150" s="184"/>
      <c r="E6150" s="184"/>
      <c r="F6150" s="184"/>
      <c r="G6150" s="184"/>
      <c r="H6150" s="184"/>
      <c r="I6150" s="184"/>
      <c r="J6150" s="184"/>
      <c r="K6150" s="184"/>
      <c r="L6150" s="184"/>
      <c r="M6150" s="184"/>
      <c r="N6150" s="184"/>
      <c r="O6150" s="184"/>
    </row>
    <row r="6151" customFormat="false" ht="15" hidden="false" customHeight="true" outlineLevel="0" collapsed="false">
      <c r="A6151" s="184"/>
      <c r="B6151" s="184"/>
      <c r="C6151" s="184"/>
      <c r="D6151" s="184"/>
      <c r="E6151" s="184"/>
      <c r="F6151" s="184"/>
      <c r="G6151" s="184"/>
      <c r="H6151" s="184"/>
      <c r="I6151" s="184"/>
      <c r="J6151" s="184"/>
      <c r="K6151" s="184"/>
      <c r="L6151" s="184"/>
      <c r="M6151" s="184"/>
      <c r="N6151" s="184"/>
      <c r="O6151" s="184"/>
    </row>
    <row r="6152" customFormat="false" ht="15" hidden="false" customHeight="true" outlineLevel="0" collapsed="false">
      <c r="A6152" s="184"/>
      <c r="B6152" s="184"/>
      <c r="C6152" s="184"/>
      <c r="D6152" s="184"/>
      <c r="E6152" s="184"/>
      <c r="F6152" s="184"/>
      <c r="G6152" s="184"/>
      <c r="H6152" s="184"/>
      <c r="I6152" s="184"/>
      <c r="J6152" s="184"/>
      <c r="K6152" s="184"/>
      <c r="L6152" s="184"/>
      <c r="M6152" s="184"/>
      <c r="N6152" s="184"/>
      <c r="O6152" s="184"/>
    </row>
    <row r="6153" customFormat="false" ht="15" hidden="false" customHeight="true" outlineLevel="0" collapsed="false">
      <c r="A6153" s="184"/>
      <c r="B6153" s="184"/>
      <c r="C6153" s="184"/>
      <c r="D6153" s="184"/>
      <c r="E6153" s="184"/>
      <c r="F6153" s="184"/>
      <c r="G6153" s="184"/>
      <c r="H6153" s="184"/>
      <c r="I6153" s="184"/>
      <c r="J6153" s="184"/>
      <c r="K6153" s="184"/>
      <c r="L6153" s="184"/>
      <c r="M6153" s="184"/>
      <c r="N6153" s="184"/>
      <c r="O6153" s="184"/>
    </row>
    <row r="6154" customFormat="false" ht="15" hidden="false" customHeight="true" outlineLevel="0" collapsed="false">
      <c r="A6154" s="184"/>
      <c r="B6154" s="184"/>
      <c r="C6154" s="184"/>
      <c r="D6154" s="184"/>
      <c r="E6154" s="184"/>
      <c r="F6154" s="184"/>
      <c r="G6154" s="184"/>
      <c r="H6154" s="184"/>
      <c r="I6154" s="184"/>
      <c r="J6154" s="184"/>
      <c r="K6154" s="184"/>
      <c r="L6154" s="184"/>
      <c r="M6154" s="184"/>
      <c r="N6154" s="184"/>
      <c r="O6154" s="184"/>
    </row>
    <row r="6155" customFormat="false" ht="15" hidden="false" customHeight="true" outlineLevel="0" collapsed="false">
      <c r="A6155" s="184"/>
      <c r="B6155" s="184"/>
      <c r="C6155" s="184"/>
      <c r="D6155" s="184"/>
      <c r="E6155" s="184"/>
      <c r="F6155" s="184"/>
      <c r="G6155" s="184"/>
      <c r="H6155" s="184"/>
      <c r="I6155" s="184"/>
      <c r="J6155" s="184"/>
      <c r="K6155" s="184"/>
      <c r="L6155" s="184"/>
      <c r="M6155" s="184"/>
      <c r="N6155" s="184"/>
      <c r="O6155" s="184"/>
    </row>
    <row r="6156" customFormat="false" ht="15" hidden="false" customHeight="true" outlineLevel="0" collapsed="false">
      <c r="A6156" s="184"/>
      <c r="B6156" s="184"/>
      <c r="C6156" s="184"/>
      <c r="D6156" s="184"/>
      <c r="E6156" s="184"/>
      <c r="F6156" s="184"/>
      <c r="G6156" s="184"/>
      <c r="H6156" s="184"/>
      <c r="I6156" s="184"/>
      <c r="J6156" s="184"/>
      <c r="K6156" s="184"/>
      <c r="L6156" s="184"/>
      <c r="M6156" s="184"/>
      <c r="N6156" s="184"/>
      <c r="O6156" s="184"/>
    </row>
    <row r="6157" customFormat="false" ht="15" hidden="false" customHeight="true" outlineLevel="0" collapsed="false">
      <c r="A6157" s="184"/>
      <c r="B6157" s="184"/>
      <c r="C6157" s="184"/>
      <c r="D6157" s="184"/>
      <c r="E6157" s="184"/>
      <c r="F6157" s="184"/>
      <c r="G6157" s="184"/>
      <c r="H6157" s="184"/>
      <c r="I6157" s="184"/>
      <c r="J6157" s="184"/>
      <c r="K6157" s="184"/>
      <c r="L6157" s="184"/>
      <c r="M6157" s="184"/>
      <c r="N6157" s="184"/>
      <c r="O6157" s="184"/>
    </row>
    <row r="6158" customFormat="false" ht="15" hidden="false" customHeight="true" outlineLevel="0" collapsed="false">
      <c r="A6158" s="184"/>
      <c r="B6158" s="184"/>
      <c r="C6158" s="184"/>
      <c r="D6158" s="184"/>
      <c r="E6158" s="184"/>
      <c r="F6158" s="184"/>
      <c r="G6158" s="184"/>
      <c r="H6158" s="184"/>
      <c r="I6158" s="184"/>
      <c r="J6158" s="184"/>
      <c r="K6158" s="184"/>
      <c r="L6158" s="184"/>
      <c r="M6158" s="184"/>
      <c r="N6158" s="184"/>
      <c r="O6158" s="184"/>
    </row>
    <row r="6159" customFormat="false" ht="15" hidden="false" customHeight="true" outlineLevel="0" collapsed="false">
      <c r="A6159" s="184"/>
      <c r="B6159" s="184"/>
      <c r="C6159" s="184"/>
      <c r="D6159" s="184"/>
      <c r="E6159" s="184"/>
      <c r="F6159" s="184"/>
      <c r="G6159" s="184"/>
      <c r="H6159" s="184"/>
      <c r="I6159" s="184"/>
      <c r="J6159" s="184"/>
      <c r="K6159" s="184"/>
      <c r="L6159" s="184"/>
      <c r="M6159" s="184"/>
      <c r="N6159" s="184"/>
      <c r="O6159" s="184"/>
    </row>
    <row r="6160" customFormat="false" ht="15" hidden="false" customHeight="true" outlineLevel="0" collapsed="false">
      <c r="A6160" s="184"/>
      <c r="B6160" s="184"/>
      <c r="C6160" s="184"/>
      <c r="D6160" s="184"/>
      <c r="E6160" s="184"/>
      <c r="F6160" s="184"/>
      <c r="G6160" s="184"/>
      <c r="H6160" s="184"/>
      <c r="I6160" s="184"/>
      <c r="J6160" s="184"/>
      <c r="K6160" s="184"/>
      <c r="L6160" s="184"/>
      <c r="M6160" s="184"/>
      <c r="N6160" s="184"/>
      <c r="O6160" s="184"/>
    </row>
    <row r="6161" customFormat="false" ht="15" hidden="false" customHeight="true" outlineLevel="0" collapsed="false">
      <c r="A6161" s="184"/>
      <c r="B6161" s="184"/>
      <c r="C6161" s="184"/>
      <c r="D6161" s="184"/>
      <c r="E6161" s="184"/>
      <c r="F6161" s="184"/>
      <c r="G6161" s="184"/>
      <c r="H6161" s="184"/>
      <c r="I6161" s="184"/>
      <c r="J6161" s="184"/>
      <c r="K6161" s="184"/>
      <c r="L6161" s="184"/>
      <c r="M6161" s="184"/>
      <c r="N6161" s="184"/>
      <c r="O6161" s="184"/>
    </row>
    <row r="6162" customFormat="false" ht="15" hidden="false" customHeight="true" outlineLevel="0" collapsed="false">
      <c r="A6162" s="184"/>
      <c r="B6162" s="184"/>
      <c r="C6162" s="184"/>
      <c r="D6162" s="184"/>
      <c r="E6162" s="184"/>
      <c r="F6162" s="184"/>
      <c r="G6162" s="184"/>
      <c r="H6162" s="184"/>
      <c r="I6162" s="184"/>
      <c r="J6162" s="184"/>
      <c r="K6162" s="184"/>
      <c r="L6162" s="184"/>
      <c r="M6162" s="184"/>
      <c r="N6162" s="184"/>
      <c r="O6162" s="184"/>
    </row>
    <row r="6163" customFormat="false" ht="15" hidden="false" customHeight="true" outlineLevel="0" collapsed="false">
      <c r="A6163" s="184"/>
      <c r="B6163" s="184"/>
      <c r="C6163" s="184"/>
      <c r="D6163" s="184"/>
      <c r="E6163" s="184"/>
      <c r="F6163" s="184"/>
      <c r="G6163" s="184"/>
      <c r="H6163" s="184"/>
      <c r="I6163" s="184"/>
      <c r="J6163" s="184"/>
      <c r="K6163" s="184"/>
      <c r="L6163" s="184"/>
      <c r="M6163" s="184"/>
      <c r="N6163" s="184"/>
      <c r="O6163" s="184"/>
    </row>
    <row r="6164" customFormat="false" ht="15" hidden="false" customHeight="true" outlineLevel="0" collapsed="false">
      <c r="A6164" s="184"/>
      <c r="B6164" s="184"/>
      <c r="C6164" s="184"/>
      <c r="D6164" s="184"/>
      <c r="E6164" s="184"/>
      <c r="F6164" s="184"/>
      <c r="G6164" s="184"/>
      <c r="H6164" s="184"/>
      <c r="I6164" s="184"/>
      <c r="J6164" s="184"/>
      <c r="K6164" s="184"/>
      <c r="L6164" s="184"/>
      <c r="M6164" s="184"/>
      <c r="N6164" s="184"/>
      <c r="O6164" s="184"/>
    </row>
    <row r="6165" customFormat="false" ht="15" hidden="false" customHeight="true" outlineLevel="0" collapsed="false">
      <c r="A6165" s="184"/>
      <c r="B6165" s="184"/>
      <c r="C6165" s="184"/>
      <c r="D6165" s="184"/>
      <c r="E6165" s="184"/>
      <c r="F6165" s="184"/>
      <c r="G6165" s="184"/>
      <c r="H6165" s="184"/>
      <c r="I6165" s="184"/>
      <c r="J6165" s="184"/>
      <c r="K6165" s="184"/>
      <c r="L6165" s="184"/>
      <c r="M6165" s="184"/>
      <c r="N6165" s="184"/>
      <c r="O6165" s="184"/>
    </row>
    <row r="6166" customFormat="false" ht="15" hidden="false" customHeight="true" outlineLevel="0" collapsed="false">
      <c r="A6166" s="184"/>
      <c r="B6166" s="184"/>
      <c r="C6166" s="184"/>
      <c r="D6166" s="184"/>
      <c r="E6166" s="184"/>
      <c r="F6166" s="184"/>
      <c r="G6166" s="184"/>
      <c r="H6166" s="184"/>
      <c r="I6166" s="184"/>
      <c r="J6166" s="184"/>
      <c r="K6166" s="184"/>
      <c r="L6166" s="184"/>
      <c r="M6166" s="184"/>
      <c r="N6166" s="184"/>
      <c r="O6166" s="184"/>
    </row>
    <row r="6167" customFormat="false" ht="15" hidden="false" customHeight="true" outlineLevel="0" collapsed="false">
      <c r="A6167" s="184"/>
      <c r="B6167" s="184"/>
      <c r="C6167" s="184"/>
      <c r="D6167" s="184"/>
      <c r="E6167" s="184"/>
      <c r="F6167" s="184"/>
      <c r="G6167" s="184"/>
      <c r="H6167" s="184"/>
      <c r="I6167" s="184"/>
      <c r="J6167" s="184"/>
      <c r="K6167" s="184"/>
      <c r="L6167" s="184"/>
      <c r="M6167" s="184"/>
      <c r="N6167" s="184"/>
      <c r="O6167" s="184"/>
    </row>
    <row r="6168" customFormat="false" ht="15" hidden="false" customHeight="true" outlineLevel="0" collapsed="false">
      <c r="A6168" s="184"/>
      <c r="B6168" s="184"/>
      <c r="C6168" s="184"/>
      <c r="D6168" s="184"/>
      <c r="E6168" s="184"/>
      <c r="F6168" s="184"/>
      <c r="G6168" s="184"/>
      <c r="H6168" s="184"/>
      <c r="I6168" s="184"/>
      <c r="J6168" s="184"/>
      <c r="K6168" s="184"/>
      <c r="L6168" s="184"/>
      <c r="M6168" s="184"/>
      <c r="N6168" s="184"/>
      <c r="O6168" s="184"/>
    </row>
    <row r="6169" customFormat="false" ht="15" hidden="false" customHeight="true" outlineLevel="0" collapsed="false">
      <c r="A6169" s="184"/>
      <c r="B6169" s="184"/>
      <c r="C6169" s="184"/>
      <c r="D6169" s="184"/>
      <c r="E6169" s="184"/>
      <c r="F6169" s="184"/>
      <c r="G6169" s="184"/>
      <c r="H6169" s="184"/>
      <c r="I6169" s="184"/>
      <c r="J6169" s="184"/>
      <c r="K6169" s="184"/>
      <c r="L6169" s="184"/>
      <c r="M6169" s="184"/>
      <c r="N6169" s="184"/>
      <c r="O6169" s="184"/>
    </row>
    <row r="6170" customFormat="false" ht="15" hidden="false" customHeight="true" outlineLevel="0" collapsed="false">
      <c r="A6170" s="184"/>
      <c r="B6170" s="184"/>
      <c r="C6170" s="184"/>
      <c r="D6170" s="184"/>
      <c r="E6170" s="184"/>
      <c r="F6170" s="184"/>
      <c r="G6170" s="184"/>
      <c r="H6170" s="184"/>
      <c r="I6170" s="184"/>
      <c r="J6170" s="184"/>
      <c r="K6170" s="184"/>
      <c r="L6170" s="184"/>
      <c r="M6170" s="184"/>
      <c r="N6170" s="184"/>
      <c r="O6170" s="184"/>
    </row>
    <row r="6171" customFormat="false" ht="15" hidden="false" customHeight="true" outlineLevel="0" collapsed="false">
      <c r="A6171" s="184"/>
      <c r="B6171" s="184"/>
      <c r="C6171" s="184"/>
      <c r="D6171" s="184"/>
      <c r="E6171" s="184"/>
      <c r="F6171" s="184"/>
      <c r="G6171" s="184"/>
      <c r="H6171" s="184"/>
      <c r="I6171" s="184"/>
      <c r="J6171" s="184"/>
      <c r="K6171" s="184"/>
      <c r="L6171" s="184"/>
      <c r="M6171" s="184"/>
      <c r="N6171" s="184"/>
      <c r="O6171" s="184"/>
    </row>
    <row r="6172" customFormat="false" ht="15" hidden="false" customHeight="true" outlineLevel="0" collapsed="false">
      <c r="A6172" s="184"/>
      <c r="B6172" s="184"/>
      <c r="C6172" s="184"/>
      <c r="D6172" s="184"/>
      <c r="E6172" s="184"/>
      <c r="F6172" s="184"/>
      <c r="G6172" s="184"/>
      <c r="H6172" s="184"/>
      <c r="I6172" s="184"/>
      <c r="J6172" s="184"/>
      <c r="K6172" s="184"/>
      <c r="L6172" s="184"/>
      <c r="M6172" s="184"/>
      <c r="N6172" s="184"/>
      <c r="O6172" s="184"/>
    </row>
    <row r="6173" customFormat="false" ht="15" hidden="false" customHeight="true" outlineLevel="0" collapsed="false">
      <c r="A6173" s="184"/>
      <c r="B6173" s="184"/>
      <c r="C6173" s="184"/>
      <c r="D6173" s="184"/>
      <c r="E6173" s="184"/>
      <c r="F6173" s="184"/>
      <c r="G6173" s="184"/>
      <c r="H6173" s="184"/>
      <c r="I6173" s="184"/>
      <c r="J6173" s="184"/>
      <c r="K6173" s="184"/>
      <c r="L6173" s="184"/>
      <c r="M6173" s="184"/>
      <c r="N6173" s="184"/>
      <c r="O6173" s="184"/>
    </row>
    <row r="6174" customFormat="false" ht="15" hidden="false" customHeight="true" outlineLevel="0" collapsed="false">
      <c r="A6174" s="184"/>
      <c r="B6174" s="184"/>
      <c r="C6174" s="184"/>
      <c r="D6174" s="184"/>
      <c r="E6174" s="184"/>
      <c r="F6174" s="184"/>
      <c r="G6174" s="184"/>
      <c r="H6174" s="184"/>
      <c r="I6174" s="184"/>
      <c r="J6174" s="184"/>
      <c r="K6174" s="184"/>
      <c r="L6174" s="184"/>
      <c r="M6174" s="184"/>
      <c r="N6174" s="184"/>
      <c r="O6174" s="184"/>
    </row>
    <row r="6175" customFormat="false" ht="15" hidden="false" customHeight="true" outlineLevel="0" collapsed="false">
      <c r="A6175" s="184"/>
      <c r="B6175" s="184"/>
      <c r="C6175" s="184"/>
      <c r="D6175" s="184"/>
      <c r="E6175" s="184"/>
      <c r="F6175" s="184"/>
      <c r="G6175" s="184"/>
      <c r="H6175" s="184"/>
      <c r="I6175" s="184"/>
      <c r="J6175" s="184"/>
      <c r="K6175" s="184"/>
      <c r="L6175" s="184"/>
      <c r="M6175" s="184"/>
      <c r="N6175" s="184"/>
      <c r="O6175" s="184"/>
    </row>
    <row r="6176" customFormat="false" ht="15" hidden="false" customHeight="true" outlineLevel="0" collapsed="false">
      <c r="A6176" s="184"/>
      <c r="B6176" s="184"/>
      <c r="C6176" s="184"/>
      <c r="D6176" s="184"/>
      <c r="E6176" s="184"/>
      <c r="F6176" s="184"/>
      <c r="G6176" s="184"/>
      <c r="H6176" s="184"/>
      <c r="I6176" s="184"/>
      <c r="J6176" s="184"/>
      <c r="K6176" s="184"/>
      <c r="L6176" s="184"/>
      <c r="M6176" s="184"/>
      <c r="N6176" s="184"/>
      <c r="O6176" s="184"/>
    </row>
    <row r="6177" customFormat="false" ht="15" hidden="false" customHeight="true" outlineLevel="0" collapsed="false">
      <c r="A6177" s="184"/>
      <c r="B6177" s="184"/>
      <c r="C6177" s="184"/>
      <c r="D6177" s="184"/>
      <c r="E6177" s="184"/>
      <c r="F6177" s="184"/>
      <c r="G6177" s="184"/>
      <c r="H6177" s="184"/>
      <c r="I6177" s="184"/>
      <c r="J6177" s="184"/>
      <c r="K6177" s="184"/>
      <c r="L6177" s="184"/>
      <c r="M6177" s="184"/>
      <c r="N6177" s="184"/>
      <c r="O6177" s="184"/>
    </row>
    <row r="6178" customFormat="false" ht="15" hidden="false" customHeight="true" outlineLevel="0" collapsed="false">
      <c r="A6178" s="184"/>
      <c r="B6178" s="184"/>
      <c r="C6178" s="184"/>
      <c r="D6178" s="184"/>
      <c r="E6178" s="184"/>
      <c r="F6178" s="184"/>
      <c r="G6178" s="184"/>
      <c r="H6178" s="184"/>
      <c r="I6178" s="184"/>
      <c r="J6178" s="184"/>
      <c r="K6178" s="184"/>
      <c r="L6178" s="184"/>
      <c r="M6178" s="184"/>
      <c r="N6178" s="184"/>
      <c r="O6178" s="184"/>
    </row>
    <row r="6179" customFormat="false" ht="15" hidden="false" customHeight="true" outlineLevel="0" collapsed="false">
      <c r="A6179" s="184"/>
      <c r="B6179" s="184"/>
      <c r="C6179" s="184"/>
      <c r="D6179" s="184"/>
      <c r="E6179" s="184"/>
      <c r="F6179" s="184"/>
      <c r="G6179" s="184"/>
      <c r="H6179" s="184"/>
      <c r="I6179" s="184"/>
      <c r="J6179" s="184"/>
      <c r="K6179" s="184"/>
      <c r="L6179" s="184"/>
      <c r="M6179" s="184"/>
      <c r="N6179" s="184"/>
      <c r="O6179" s="184"/>
    </row>
    <row r="6180" customFormat="false" ht="15" hidden="false" customHeight="true" outlineLevel="0" collapsed="false">
      <c r="A6180" s="184"/>
      <c r="B6180" s="184"/>
      <c r="C6180" s="184"/>
      <c r="D6180" s="184"/>
      <c r="E6180" s="184"/>
      <c r="F6180" s="184"/>
      <c r="G6180" s="184"/>
      <c r="H6180" s="184"/>
      <c r="I6180" s="184"/>
      <c r="J6180" s="184"/>
      <c r="K6180" s="184"/>
      <c r="L6180" s="184"/>
      <c r="M6180" s="184"/>
      <c r="N6180" s="184"/>
      <c r="O6180" s="184"/>
    </row>
    <row r="6181" customFormat="false" ht="15" hidden="false" customHeight="true" outlineLevel="0" collapsed="false">
      <c r="A6181" s="184"/>
      <c r="B6181" s="184"/>
      <c r="C6181" s="184"/>
      <c r="D6181" s="184"/>
      <c r="E6181" s="184"/>
      <c r="F6181" s="184"/>
      <c r="G6181" s="184"/>
      <c r="H6181" s="184"/>
      <c r="I6181" s="184"/>
      <c r="J6181" s="184"/>
      <c r="K6181" s="184"/>
      <c r="L6181" s="184"/>
      <c r="M6181" s="184"/>
      <c r="N6181" s="184"/>
      <c r="O6181" s="184"/>
    </row>
    <row r="6182" customFormat="false" ht="15" hidden="false" customHeight="true" outlineLevel="0" collapsed="false">
      <c r="A6182" s="184"/>
      <c r="B6182" s="184"/>
      <c r="C6182" s="184"/>
      <c r="D6182" s="184"/>
      <c r="E6182" s="184"/>
      <c r="F6182" s="184"/>
      <c r="G6182" s="184"/>
      <c r="H6182" s="184"/>
      <c r="I6182" s="184"/>
      <c r="J6182" s="184"/>
      <c r="K6182" s="184"/>
      <c r="L6182" s="184"/>
      <c r="M6182" s="184"/>
      <c r="N6182" s="184"/>
      <c r="O6182" s="184"/>
    </row>
    <row r="6183" customFormat="false" ht="15" hidden="false" customHeight="true" outlineLevel="0" collapsed="false">
      <c r="A6183" s="184"/>
      <c r="B6183" s="184"/>
      <c r="C6183" s="184"/>
      <c r="D6183" s="184"/>
      <c r="E6183" s="184"/>
      <c r="F6183" s="184"/>
      <c r="G6183" s="184"/>
      <c r="H6183" s="184"/>
      <c r="I6183" s="184"/>
      <c r="J6183" s="184"/>
      <c r="K6183" s="184"/>
      <c r="L6183" s="184"/>
      <c r="M6183" s="184"/>
      <c r="N6183" s="184"/>
      <c r="O6183" s="184"/>
    </row>
    <row r="6184" customFormat="false" ht="15" hidden="false" customHeight="true" outlineLevel="0" collapsed="false">
      <c r="A6184" s="184"/>
      <c r="B6184" s="184"/>
      <c r="C6184" s="184"/>
      <c r="D6184" s="184"/>
      <c r="E6184" s="184"/>
      <c r="F6184" s="184"/>
      <c r="G6184" s="184"/>
      <c r="H6184" s="184"/>
      <c r="I6184" s="184"/>
      <c r="J6184" s="184"/>
      <c r="K6184" s="184"/>
      <c r="L6184" s="184"/>
      <c r="M6184" s="184"/>
      <c r="N6184" s="184"/>
      <c r="O6184" s="184"/>
    </row>
    <row r="6185" customFormat="false" ht="15" hidden="false" customHeight="true" outlineLevel="0" collapsed="false">
      <c r="A6185" s="184"/>
      <c r="B6185" s="184"/>
      <c r="C6185" s="184"/>
      <c r="D6185" s="184"/>
      <c r="E6185" s="184"/>
      <c r="F6185" s="184"/>
      <c r="G6185" s="184"/>
      <c r="H6185" s="184"/>
      <c r="I6185" s="184"/>
      <c r="J6185" s="184"/>
      <c r="K6185" s="184"/>
      <c r="L6185" s="184"/>
      <c r="M6185" s="184"/>
      <c r="N6185" s="184"/>
      <c r="O6185" s="184"/>
    </row>
    <row r="6186" customFormat="false" ht="15" hidden="false" customHeight="true" outlineLevel="0" collapsed="false">
      <c r="A6186" s="184"/>
      <c r="B6186" s="184"/>
      <c r="C6186" s="184"/>
      <c r="D6186" s="184"/>
      <c r="E6186" s="184"/>
      <c r="F6186" s="184"/>
      <c r="G6186" s="184"/>
      <c r="H6186" s="184"/>
      <c r="I6186" s="184"/>
      <c r="J6186" s="184"/>
      <c r="K6186" s="184"/>
      <c r="L6186" s="184"/>
      <c r="M6186" s="184"/>
      <c r="N6186" s="184"/>
      <c r="O6186" s="184"/>
    </row>
    <row r="6187" customFormat="false" ht="15" hidden="false" customHeight="true" outlineLevel="0" collapsed="false">
      <c r="A6187" s="184"/>
      <c r="B6187" s="184"/>
      <c r="C6187" s="184"/>
      <c r="D6187" s="184"/>
      <c r="E6187" s="184"/>
      <c r="F6187" s="184"/>
      <c r="G6187" s="184"/>
      <c r="H6187" s="184"/>
      <c r="I6187" s="184"/>
      <c r="J6187" s="184"/>
      <c r="K6187" s="184"/>
      <c r="L6187" s="184"/>
      <c r="M6187" s="184"/>
      <c r="N6187" s="184"/>
      <c r="O6187" s="184"/>
    </row>
    <row r="6188" customFormat="false" ht="15" hidden="false" customHeight="true" outlineLevel="0" collapsed="false">
      <c r="A6188" s="184"/>
      <c r="B6188" s="184"/>
      <c r="C6188" s="184"/>
      <c r="D6188" s="184"/>
      <c r="E6188" s="184"/>
      <c r="F6188" s="184"/>
      <c r="G6188" s="184"/>
      <c r="H6188" s="184"/>
      <c r="I6188" s="184"/>
      <c r="J6188" s="184"/>
      <c r="K6188" s="184"/>
      <c r="L6188" s="184"/>
      <c r="M6188" s="184"/>
      <c r="N6188" s="184"/>
      <c r="O6188" s="184"/>
    </row>
    <row r="6189" customFormat="false" ht="15" hidden="false" customHeight="true" outlineLevel="0" collapsed="false">
      <c r="A6189" s="184"/>
      <c r="B6189" s="184"/>
      <c r="C6189" s="184"/>
      <c r="D6189" s="184"/>
      <c r="E6189" s="184"/>
      <c r="F6189" s="184"/>
      <c r="G6189" s="184"/>
      <c r="H6189" s="184"/>
      <c r="I6189" s="184"/>
      <c r="J6189" s="184"/>
      <c r="K6189" s="184"/>
      <c r="L6189" s="184"/>
      <c r="M6189" s="184"/>
      <c r="N6189" s="184"/>
      <c r="O6189" s="184"/>
    </row>
    <row r="6190" customFormat="false" ht="15" hidden="false" customHeight="true" outlineLevel="0" collapsed="false">
      <c r="A6190" s="184"/>
      <c r="B6190" s="184"/>
      <c r="C6190" s="184"/>
      <c r="D6190" s="184"/>
      <c r="E6190" s="184"/>
      <c r="F6190" s="184"/>
      <c r="G6190" s="184"/>
      <c r="H6190" s="184"/>
      <c r="I6190" s="184"/>
      <c r="J6190" s="184"/>
      <c r="K6190" s="184"/>
      <c r="L6190" s="184"/>
      <c r="M6190" s="184"/>
      <c r="N6190" s="184"/>
      <c r="O6190" s="184"/>
    </row>
    <row r="6191" customFormat="false" ht="15" hidden="false" customHeight="true" outlineLevel="0" collapsed="false">
      <c r="A6191" s="184"/>
      <c r="B6191" s="184"/>
      <c r="C6191" s="184"/>
      <c r="D6191" s="184"/>
      <c r="E6191" s="184"/>
      <c r="F6191" s="184"/>
      <c r="G6191" s="184"/>
      <c r="H6191" s="184"/>
      <c r="I6191" s="184"/>
      <c r="J6191" s="184"/>
      <c r="K6191" s="184"/>
      <c r="L6191" s="184"/>
      <c r="M6191" s="184"/>
      <c r="N6191" s="184"/>
      <c r="O6191" s="184"/>
    </row>
    <row r="6192" customFormat="false" ht="15" hidden="false" customHeight="true" outlineLevel="0" collapsed="false">
      <c r="A6192" s="184"/>
      <c r="B6192" s="184"/>
      <c r="C6192" s="184"/>
      <c r="D6192" s="184"/>
      <c r="E6192" s="184"/>
      <c r="F6192" s="184"/>
      <c r="G6192" s="184"/>
      <c r="H6192" s="184"/>
      <c r="I6192" s="184"/>
      <c r="J6192" s="184"/>
      <c r="K6192" s="184"/>
      <c r="L6192" s="184"/>
      <c r="M6192" s="184"/>
      <c r="N6192" s="184"/>
      <c r="O6192" s="184"/>
    </row>
    <row r="6193" customFormat="false" ht="15" hidden="false" customHeight="true" outlineLevel="0" collapsed="false">
      <c r="A6193" s="184"/>
      <c r="B6193" s="184"/>
      <c r="C6193" s="184"/>
      <c r="D6193" s="184"/>
      <c r="E6193" s="184"/>
      <c r="F6193" s="184"/>
      <c r="G6193" s="184"/>
      <c r="H6193" s="184"/>
      <c r="I6193" s="184"/>
      <c r="J6193" s="184"/>
      <c r="K6193" s="184"/>
      <c r="L6193" s="184"/>
      <c r="M6193" s="184"/>
      <c r="N6193" s="184"/>
      <c r="O6193" s="184"/>
    </row>
    <row r="6194" customFormat="false" ht="15" hidden="false" customHeight="true" outlineLevel="0" collapsed="false">
      <c r="A6194" s="184"/>
      <c r="B6194" s="184"/>
      <c r="C6194" s="184"/>
      <c r="D6194" s="184"/>
      <c r="E6194" s="184"/>
      <c r="F6194" s="184"/>
      <c r="G6194" s="184"/>
      <c r="H6194" s="184"/>
      <c r="I6194" s="184"/>
      <c r="J6194" s="184"/>
      <c r="K6194" s="184"/>
      <c r="L6194" s="184"/>
      <c r="M6194" s="184"/>
      <c r="N6194" s="184"/>
      <c r="O6194" s="184"/>
    </row>
    <row r="6195" customFormat="false" ht="15" hidden="false" customHeight="true" outlineLevel="0" collapsed="false">
      <c r="A6195" s="184"/>
      <c r="B6195" s="184"/>
      <c r="C6195" s="184"/>
      <c r="D6195" s="184"/>
      <c r="E6195" s="184"/>
      <c r="F6195" s="184"/>
      <c r="G6195" s="184"/>
      <c r="H6195" s="184"/>
      <c r="I6195" s="184"/>
      <c r="J6195" s="184"/>
      <c r="K6195" s="184"/>
      <c r="L6195" s="184"/>
      <c r="M6195" s="184"/>
      <c r="N6195" s="184"/>
      <c r="O6195" s="184"/>
    </row>
    <row r="6196" customFormat="false" ht="15" hidden="false" customHeight="true" outlineLevel="0" collapsed="false">
      <c r="A6196" s="184"/>
      <c r="B6196" s="184"/>
      <c r="C6196" s="184"/>
      <c r="D6196" s="184"/>
      <c r="E6196" s="184"/>
      <c r="F6196" s="184"/>
      <c r="G6196" s="184"/>
      <c r="H6196" s="184"/>
      <c r="I6196" s="184"/>
      <c r="J6196" s="184"/>
      <c r="K6196" s="184"/>
      <c r="L6196" s="184"/>
      <c r="M6196" s="184"/>
      <c r="N6196" s="184"/>
      <c r="O6196" s="184"/>
    </row>
    <row r="6197" customFormat="false" ht="15" hidden="false" customHeight="true" outlineLevel="0" collapsed="false">
      <c r="A6197" s="184"/>
      <c r="B6197" s="184"/>
      <c r="C6197" s="184"/>
      <c r="D6197" s="184"/>
      <c r="E6197" s="184"/>
      <c r="F6197" s="184"/>
      <c r="G6197" s="184"/>
      <c r="H6197" s="184"/>
      <c r="I6197" s="184"/>
      <c r="J6197" s="184"/>
      <c r="K6197" s="184"/>
      <c r="L6197" s="184"/>
      <c r="M6197" s="184"/>
      <c r="N6197" s="184"/>
      <c r="O6197" s="184"/>
    </row>
    <row r="6198" customFormat="false" ht="15" hidden="false" customHeight="true" outlineLevel="0" collapsed="false">
      <c r="A6198" s="184"/>
      <c r="B6198" s="184"/>
      <c r="C6198" s="184"/>
      <c r="D6198" s="184"/>
      <c r="E6198" s="184"/>
      <c r="F6198" s="184"/>
      <c r="G6198" s="184"/>
      <c r="H6198" s="184"/>
      <c r="I6198" s="184"/>
      <c r="J6198" s="184"/>
      <c r="K6198" s="184"/>
      <c r="L6198" s="184"/>
      <c r="M6198" s="184"/>
      <c r="N6198" s="184"/>
      <c r="O6198" s="184"/>
    </row>
    <row r="6199" customFormat="false" ht="15" hidden="false" customHeight="true" outlineLevel="0" collapsed="false">
      <c r="A6199" s="184"/>
      <c r="B6199" s="184"/>
      <c r="C6199" s="184"/>
      <c r="D6199" s="184"/>
      <c r="E6199" s="184"/>
      <c r="F6199" s="184"/>
      <c r="G6199" s="184"/>
      <c r="H6199" s="184"/>
      <c r="I6199" s="184"/>
      <c r="J6199" s="184"/>
      <c r="K6199" s="184"/>
      <c r="L6199" s="184"/>
      <c r="M6199" s="184"/>
      <c r="N6199" s="184"/>
      <c r="O6199" s="184"/>
    </row>
    <row r="6200" customFormat="false" ht="15" hidden="false" customHeight="true" outlineLevel="0" collapsed="false">
      <c r="A6200" s="184"/>
      <c r="B6200" s="184"/>
      <c r="C6200" s="184"/>
      <c r="D6200" s="184"/>
      <c r="E6200" s="184"/>
      <c r="F6200" s="184"/>
      <c r="G6200" s="184"/>
      <c r="H6200" s="184"/>
      <c r="I6200" s="184"/>
      <c r="J6200" s="184"/>
      <c r="K6200" s="184"/>
      <c r="L6200" s="184"/>
      <c r="M6200" s="184"/>
      <c r="N6200" s="184"/>
      <c r="O6200" s="184"/>
    </row>
    <row r="6201" customFormat="false" ht="15" hidden="false" customHeight="true" outlineLevel="0" collapsed="false">
      <c r="A6201" s="184"/>
      <c r="B6201" s="184"/>
      <c r="C6201" s="184"/>
      <c r="D6201" s="184"/>
      <c r="E6201" s="184"/>
      <c r="F6201" s="184"/>
      <c r="G6201" s="184"/>
      <c r="H6201" s="184"/>
      <c r="I6201" s="184"/>
      <c r="J6201" s="184"/>
      <c r="K6201" s="184"/>
      <c r="L6201" s="184"/>
      <c r="M6201" s="184"/>
      <c r="N6201" s="184"/>
      <c r="O6201" s="184"/>
    </row>
    <row r="6202" customFormat="false" ht="15" hidden="false" customHeight="true" outlineLevel="0" collapsed="false">
      <c r="A6202" s="184"/>
      <c r="B6202" s="184"/>
      <c r="C6202" s="184"/>
      <c r="D6202" s="184"/>
      <c r="E6202" s="184"/>
      <c r="F6202" s="184"/>
      <c r="G6202" s="184"/>
      <c r="H6202" s="184"/>
      <c r="I6202" s="184"/>
      <c r="J6202" s="184"/>
      <c r="K6202" s="184"/>
      <c r="L6202" s="184"/>
      <c r="M6202" s="184"/>
      <c r="N6202" s="184"/>
      <c r="O6202" s="184"/>
    </row>
    <row r="6203" customFormat="false" ht="15" hidden="false" customHeight="true" outlineLevel="0" collapsed="false">
      <c r="A6203" s="184"/>
      <c r="B6203" s="184"/>
      <c r="C6203" s="184"/>
      <c r="D6203" s="184"/>
      <c r="E6203" s="184"/>
      <c r="F6203" s="184"/>
      <c r="G6203" s="184"/>
      <c r="H6203" s="184"/>
      <c r="I6203" s="184"/>
      <c r="J6203" s="184"/>
      <c r="K6203" s="184"/>
      <c r="L6203" s="184"/>
      <c r="M6203" s="184"/>
      <c r="N6203" s="184"/>
      <c r="O6203" s="184"/>
    </row>
    <row r="6204" customFormat="false" ht="15" hidden="false" customHeight="true" outlineLevel="0" collapsed="false">
      <c r="A6204" s="184"/>
      <c r="B6204" s="184"/>
      <c r="C6204" s="184"/>
      <c r="D6204" s="184"/>
      <c r="E6204" s="184"/>
      <c r="F6204" s="184"/>
      <c r="G6204" s="184"/>
      <c r="H6204" s="184"/>
      <c r="I6204" s="184"/>
      <c r="J6204" s="184"/>
      <c r="K6204" s="184"/>
      <c r="L6204" s="184"/>
      <c r="M6204" s="184"/>
      <c r="N6204" s="184"/>
      <c r="O6204" s="184"/>
    </row>
    <row r="6205" customFormat="false" ht="15" hidden="false" customHeight="true" outlineLevel="0" collapsed="false">
      <c r="A6205" s="184"/>
      <c r="B6205" s="184"/>
      <c r="C6205" s="184"/>
      <c r="D6205" s="184"/>
      <c r="E6205" s="184"/>
      <c r="F6205" s="184"/>
      <c r="G6205" s="184"/>
      <c r="H6205" s="184"/>
      <c r="I6205" s="184"/>
      <c r="J6205" s="184"/>
      <c r="K6205" s="184"/>
      <c r="L6205" s="184"/>
      <c r="M6205" s="184"/>
      <c r="N6205" s="184"/>
      <c r="O6205" s="184"/>
    </row>
    <row r="6206" customFormat="false" ht="15" hidden="false" customHeight="true" outlineLevel="0" collapsed="false">
      <c r="A6206" s="184"/>
      <c r="B6206" s="184"/>
      <c r="C6206" s="184"/>
      <c r="D6206" s="184"/>
      <c r="E6206" s="184"/>
      <c r="F6206" s="184"/>
      <c r="G6206" s="184"/>
      <c r="H6206" s="184"/>
      <c r="I6206" s="184"/>
      <c r="J6206" s="184"/>
      <c r="K6206" s="184"/>
      <c r="L6206" s="184"/>
      <c r="M6206" s="184"/>
      <c r="N6206" s="184"/>
      <c r="O6206" s="184"/>
    </row>
    <row r="6207" customFormat="false" ht="15" hidden="false" customHeight="true" outlineLevel="0" collapsed="false">
      <c r="A6207" s="184"/>
      <c r="B6207" s="184"/>
      <c r="C6207" s="184"/>
      <c r="D6207" s="184"/>
      <c r="E6207" s="184"/>
      <c r="F6207" s="184"/>
      <c r="G6207" s="184"/>
      <c r="H6207" s="184"/>
      <c r="I6207" s="184"/>
      <c r="J6207" s="184"/>
      <c r="K6207" s="184"/>
      <c r="L6207" s="184"/>
      <c r="M6207" s="184"/>
      <c r="N6207" s="184"/>
      <c r="O6207" s="184"/>
    </row>
    <row r="6208" customFormat="false" ht="15" hidden="false" customHeight="true" outlineLevel="0" collapsed="false">
      <c r="A6208" s="184"/>
      <c r="B6208" s="184"/>
      <c r="C6208" s="184"/>
      <c r="D6208" s="184"/>
      <c r="E6208" s="184"/>
      <c r="F6208" s="184"/>
      <c r="G6208" s="184"/>
      <c r="H6208" s="184"/>
      <c r="I6208" s="184"/>
      <c r="J6208" s="184"/>
      <c r="K6208" s="184"/>
      <c r="L6208" s="184"/>
      <c r="M6208" s="184"/>
      <c r="N6208" s="184"/>
      <c r="O6208" s="184"/>
    </row>
    <row r="6209" customFormat="false" ht="15" hidden="false" customHeight="true" outlineLevel="0" collapsed="false">
      <c r="A6209" s="184"/>
      <c r="B6209" s="184"/>
      <c r="C6209" s="184"/>
      <c r="D6209" s="184"/>
      <c r="E6209" s="184"/>
      <c r="F6209" s="184"/>
      <c r="G6209" s="184"/>
      <c r="H6209" s="184"/>
      <c r="I6209" s="184"/>
      <c r="J6209" s="184"/>
      <c r="K6209" s="184"/>
      <c r="L6209" s="184"/>
      <c r="M6209" s="184"/>
      <c r="N6209" s="184"/>
      <c r="O6209" s="184"/>
    </row>
    <row r="6210" customFormat="false" ht="15" hidden="false" customHeight="true" outlineLevel="0" collapsed="false">
      <c r="A6210" s="184"/>
      <c r="B6210" s="184"/>
      <c r="C6210" s="184"/>
      <c r="D6210" s="184"/>
      <c r="E6210" s="184"/>
      <c r="F6210" s="184"/>
      <c r="G6210" s="184"/>
      <c r="H6210" s="184"/>
      <c r="I6210" s="184"/>
      <c r="J6210" s="184"/>
      <c r="K6210" s="184"/>
      <c r="L6210" s="184"/>
      <c r="M6210" s="184"/>
      <c r="N6210" s="184"/>
      <c r="O6210" s="184"/>
    </row>
    <row r="6211" customFormat="false" ht="15" hidden="false" customHeight="true" outlineLevel="0" collapsed="false">
      <c r="A6211" s="184"/>
      <c r="B6211" s="184"/>
      <c r="C6211" s="184"/>
      <c r="D6211" s="184"/>
      <c r="E6211" s="184"/>
      <c r="F6211" s="184"/>
      <c r="G6211" s="184"/>
      <c r="H6211" s="184"/>
      <c r="I6211" s="184"/>
      <c r="J6211" s="184"/>
      <c r="K6211" s="184"/>
      <c r="L6211" s="184"/>
      <c r="M6211" s="184"/>
      <c r="N6211" s="184"/>
      <c r="O6211" s="184"/>
    </row>
    <row r="6212" customFormat="false" ht="15" hidden="false" customHeight="true" outlineLevel="0" collapsed="false">
      <c r="A6212" s="184"/>
      <c r="B6212" s="184"/>
      <c r="C6212" s="184"/>
      <c r="D6212" s="184"/>
      <c r="E6212" s="184"/>
      <c r="F6212" s="184"/>
      <c r="G6212" s="184"/>
      <c r="H6212" s="184"/>
      <c r="I6212" s="184"/>
      <c r="J6212" s="184"/>
      <c r="K6212" s="184"/>
      <c r="L6212" s="184"/>
      <c r="M6212" s="184"/>
      <c r="N6212" s="184"/>
      <c r="O6212" s="184"/>
    </row>
    <row r="6213" customFormat="false" ht="15" hidden="false" customHeight="true" outlineLevel="0" collapsed="false">
      <c r="A6213" s="184"/>
      <c r="B6213" s="184"/>
      <c r="C6213" s="184"/>
      <c r="D6213" s="184"/>
      <c r="E6213" s="184"/>
      <c r="F6213" s="184"/>
      <c r="G6213" s="184"/>
      <c r="H6213" s="184"/>
      <c r="I6213" s="184"/>
      <c r="J6213" s="184"/>
      <c r="K6213" s="184"/>
      <c r="L6213" s="184"/>
      <c r="M6213" s="184"/>
      <c r="N6213" s="184"/>
      <c r="O6213" s="184"/>
    </row>
    <row r="6214" customFormat="false" ht="15" hidden="false" customHeight="true" outlineLevel="0" collapsed="false">
      <c r="A6214" s="184"/>
      <c r="B6214" s="184"/>
      <c r="C6214" s="184"/>
      <c r="D6214" s="184"/>
      <c r="E6214" s="184"/>
      <c r="F6214" s="184"/>
      <c r="G6214" s="184"/>
      <c r="H6214" s="184"/>
      <c r="I6214" s="184"/>
      <c r="J6214" s="184"/>
      <c r="K6214" s="184"/>
      <c r="L6214" s="184"/>
      <c r="M6214" s="184"/>
      <c r="N6214" s="184"/>
      <c r="O6214" s="184"/>
    </row>
    <row r="6215" customFormat="false" ht="15" hidden="false" customHeight="true" outlineLevel="0" collapsed="false">
      <c r="A6215" s="184"/>
      <c r="B6215" s="184"/>
      <c r="C6215" s="184"/>
      <c r="D6215" s="184"/>
      <c r="E6215" s="184"/>
      <c r="F6215" s="184"/>
      <c r="G6215" s="184"/>
      <c r="H6215" s="184"/>
      <c r="I6215" s="184"/>
      <c r="J6215" s="184"/>
      <c r="K6215" s="184"/>
      <c r="L6215" s="184"/>
      <c r="M6215" s="184"/>
      <c r="N6215" s="184"/>
      <c r="O6215" s="184"/>
    </row>
    <row r="6216" customFormat="false" ht="15" hidden="false" customHeight="true" outlineLevel="0" collapsed="false">
      <c r="A6216" s="184"/>
      <c r="B6216" s="184"/>
      <c r="C6216" s="184"/>
      <c r="D6216" s="184"/>
      <c r="E6216" s="184"/>
      <c r="F6216" s="184"/>
      <c r="G6216" s="184"/>
      <c r="H6216" s="184"/>
      <c r="I6216" s="184"/>
      <c r="J6216" s="184"/>
      <c r="K6216" s="184"/>
      <c r="L6216" s="184"/>
      <c r="M6216" s="184"/>
      <c r="N6216" s="184"/>
      <c r="O6216" s="184"/>
    </row>
    <row r="6217" customFormat="false" ht="15" hidden="false" customHeight="true" outlineLevel="0" collapsed="false">
      <c r="A6217" s="184"/>
      <c r="B6217" s="184"/>
      <c r="C6217" s="184"/>
      <c r="D6217" s="184"/>
      <c r="E6217" s="184"/>
      <c r="F6217" s="184"/>
      <c r="G6217" s="184"/>
      <c r="H6217" s="184"/>
      <c r="I6217" s="184"/>
      <c r="J6217" s="184"/>
      <c r="K6217" s="184"/>
      <c r="L6217" s="184"/>
      <c r="M6217" s="184"/>
      <c r="N6217" s="184"/>
      <c r="O6217" s="184"/>
    </row>
    <row r="6218" customFormat="false" ht="15" hidden="false" customHeight="true" outlineLevel="0" collapsed="false">
      <c r="A6218" s="184"/>
      <c r="B6218" s="184"/>
      <c r="C6218" s="184"/>
      <c r="D6218" s="184"/>
      <c r="E6218" s="184"/>
      <c r="F6218" s="184"/>
      <c r="G6218" s="184"/>
      <c r="H6218" s="184"/>
      <c r="I6218" s="184"/>
      <c r="J6218" s="184"/>
      <c r="K6218" s="184"/>
      <c r="L6218" s="184"/>
      <c r="M6218" s="184"/>
      <c r="N6218" s="184"/>
      <c r="O6218" s="184"/>
    </row>
    <row r="6219" customFormat="false" ht="15" hidden="false" customHeight="true" outlineLevel="0" collapsed="false">
      <c r="A6219" s="184"/>
      <c r="B6219" s="184"/>
      <c r="C6219" s="184"/>
      <c r="D6219" s="184"/>
      <c r="E6219" s="184"/>
      <c r="F6219" s="184"/>
      <c r="G6219" s="184"/>
      <c r="H6219" s="184"/>
      <c r="I6219" s="184"/>
      <c r="J6219" s="184"/>
      <c r="K6219" s="184"/>
      <c r="L6219" s="184"/>
      <c r="M6219" s="184"/>
      <c r="N6219" s="184"/>
      <c r="O6219" s="184"/>
    </row>
    <row r="6220" customFormat="false" ht="15" hidden="false" customHeight="true" outlineLevel="0" collapsed="false">
      <c r="A6220" s="184"/>
      <c r="B6220" s="184"/>
      <c r="C6220" s="184"/>
      <c r="D6220" s="184"/>
      <c r="E6220" s="184"/>
      <c r="F6220" s="184"/>
      <c r="G6220" s="184"/>
      <c r="H6220" s="184"/>
      <c r="I6220" s="184"/>
      <c r="J6220" s="184"/>
      <c r="K6220" s="184"/>
      <c r="L6220" s="184"/>
      <c r="M6220" s="184"/>
      <c r="N6220" s="184"/>
      <c r="O6220" s="184"/>
    </row>
    <row r="6221" customFormat="false" ht="15" hidden="false" customHeight="true" outlineLevel="0" collapsed="false">
      <c r="A6221" s="184"/>
      <c r="B6221" s="184"/>
      <c r="C6221" s="184"/>
      <c r="D6221" s="184"/>
      <c r="E6221" s="184"/>
      <c r="F6221" s="184"/>
      <c r="G6221" s="184"/>
      <c r="H6221" s="184"/>
      <c r="I6221" s="184"/>
      <c r="J6221" s="184"/>
      <c r="K6221" s="184"/>
      <c r="L6221" s="184"/>
      <c r="M6221" s="184"/>
      <c r="N6221" s="184"/>
      <c r="O6221" s="184"/>
    </row>
    <row r="6222" customFormat="false" ht="15" hidden="false" customHeight="true" outlineLevel="0" collapsed="false">
      <c r="A6222" s="184"/>
      <c r="B6222" s="184"/>
      <c r="C6222" s="184"/>
      <c r="D6222" s="184"/>
      <c r="E6222" s="184"/>
      <c r="F6222" s="184"/>
      <c r="G6222" s="184"/>
      <c r="H6222" s="184"/>
      <c r="I6222" s="184"/>
      <c r="J6222" s="184"/>
      <c r="K6222" s="184"/>
      <c r="L6222" s="184"/>
      <c r="M6222" s="184"/>
      <c r="N6222" s="184"/>
      <c r="O6222" s="184"/>
    </row>
    <row r="6223" customFormat="false" ht="15" hidden="false" customHeight="true" outlineLevel="0" collapsed="false">
      <c r="A6223" s="184"/>
      <c r="B6223" s="184"/>
      <c r="C6223" s="184"/>
      <c r="D6223" s="184"/>
      <c r="E6223" s="184"/>
      <c r="F6223" s="184"/>
      <c r="G6223" s="184"/>
      <c r="H6223" s="184"/>
      <c r="I6223" s="184"/>
      <c r="J6223" s="184"/>
      <c r="K6223" s="184"/>
      <c r="L6223" s="184"/>
      <c r="M6223" s="184"/>
      <c r="N6223" s="184"/>
      <c r="O6223" s="184"/>
    </row>
    <row r="6224" customFormat="false" ht="15" hidden="false" customHeight="true" outlineLevel="0" collapsed="false">
      <c r="A6224" s="184"/>
      <c r="B6224" s="184"/>
      <c r="C6224" s="184"/>
      <c r="D6224" s="184"/>
      <c r="E6224" s="184"/>
      <c r="F6224" s="184"/>
      <c r="G6224" s="184"/>
      <c r="H6224" s="184"/>
      <c r="I6224" s="184"/>
      <c r="J6224" s="184"/>
      <c r="K6224" s="184"/>
      <c r="L6224" s="184"/>
      <c r="M6224" s="184"/>
      <c r="N6224" s="184"/>
      <c r="O6224" s="184"/>
    </row>
    <row r="6225" customFormat="false" ht="15" hidden="false" customHeight="true" outlineLevel="0" collapsed="false">
      <c r="A6225" s="184"/>
      <c r="B6225" s="184"/>
      <c r="C6225" s="184"/>
      <c r="D6225" s="184"/>
      <c r="E6225" s="184"/>
      <c r="F6225" s="184"/>
      <c r="G6225" s="184"/>
      <c r="H6225" s="184"/>
      <c r="I6225" s="184"/>
      <c r="J6225" s="184"/>
      <c r="K6225" s="184"/>
      <c r="L6225" s="184"/>
      <c r="M6225" s="184"/>
      <c r="N6225" s="184"/>
      <c r="O6225" s="184"/>
    </row>
    <row r="6226" customFormat="false" ht="15" hidden="false" customHeight="true" outlineLevel="0" collapsed="false">
      <c r="A6226" s="184"/>
      <c r="B6226" s="184"/>
      <c r="C6226" s="184"/>
      <c r="D6226" s="184"/>
      <c r="E6226" s="184"/>
      <c r="F6226" s="184"/>
      <c r="G6226" s="184"/>
      <c r="H6226" s="184"/>
      <c r="I6226" s="184"/>
      <c r="J6226" s="184"/>
      <c r="K6226" s="184"/>
      <c r="L6226" s="184"/>
      <c r="M6226" s="184"/>
      <c r="N6226" s="184"/>
      <c r="O6226" s="184"/>
    </row>
    <row r="6227" customFormat="false" ht="15" hidden="false" customHeight="true" outlineLevel="0" collapsed="false">
      <c r="A6227" s="184"/>
      <c r="B6227" s="184"/>
      <c r="C6227" s="184"/>
      <c r="D6227" s="184"/>
      <c r="E6227" s="184"/>
      <c r="F6227" s="184"/>
      <c r="G6227" s="184"/>
      <c r="H6227" s="184"/>
      <c r="I6227" s="184"/>
      <c r="J6227" s="184"/>
      <c r="K6227" s="184"/>
      <c r="L6227" s="184"/>
      <c r="M6227" s="184"/>
      <c r="N6227" s="184"/>
      <c r="O6227" s="184"/>
    </row>
    <row r="6228" customFormat="false" ht="15" hidden="false" customHeight="true" outlineLevel="0" collapsed="false">
      <c r="A6228" s="184"/>
      <c r="B6228" s="184"/>
      <c r="C6228" s="184"/>
      <c r="D6228" s="184"/>
      <c r="E6228" s="184"/>
      <c r="F6228" s="184"/>
      <c r="G6228" s="184"/>
      <c r="H6228" s="184"/>
      <c r="I6228" s="184"/>
      <c r="J6228" s="184"/>
      <c r="K6228" s="184"/>
      <c r="L6228" s="184"/>
      <c r="M6228" s="184"/>
      <c r="N6228" s="184"/>
      <c r="O6228" s="184"/>
    </row>
    <row r="6229" customFormat="false" ht="15" hidden="false" customHeight="true" outlineLevel="0" collapsed="false">
      <c r="A6229" s="184"/>
      <c r="B6229" s="184"/>
      <c r="C6229" s="184"/>
      <c r="D6229" s="184"/>
      <c r="E6229" s="184"/>
      <c r="F6229" s="184"/>
      <c r="G6229" s="184"/>
      <c r="H6229" s="184"/>
      <c r="I6229" s="184"/>
      <c r="J6229" s="184"/>
      <c r="K6229" s="184"/>
      <c r="L6229" s="184"/>
      <c r="M6229" s="184"/>
      <c r="N6229" s="184"/>
      <c r="O6229" s="184"/>
    </row>
    <row r="6230" customFormat="false" ht="15" hidden="false" customHeight="true" outlineLevel="0" collapsed="false">
      <c r="A6230" s="184"/>
      <c r="B6230" s="184"/>
      <c r="C6230" s="184"/>
      <c r="D6230" s="184"/>
      <c r="E6230" s="184"/>
      <c r="F6230" s="184"/>
      <c r="G6230" s="184"/>
      <c r="H6230" s="184"/>
      <c r="I6230" s="184"/>
      <c r="J6230" s="184"/>
      <c r="K6230" s="184"/>
      <c r="L6230" s="184"/>
      <c r="M6230" s="184"/>
      <c r="N6230" s="184"/>
      <c r="O6230" s="184"/>
    </row>
    <row r="6231" customFormat="false" ht="15" hidden="false" customHeight="true" outlineLevel="0" collapsed="false">
      <c r="A6231" s="184"/>
      <c r="B6231" s="184"/>
      <c r="C6231" s="184"/>
      <c r="D6231" s="184"/>
      <c r="E6231" s="184"/>
      <c r="F6231" s="184"/>
      <c r="G6231" s="184"/>
      <c r="H6231" s="184"/>
      <c r="I6231" s="184"/>
      <c r="J6231" s="184"/>
      <c r="K6231" s="184"/>
      <c r="L6231" s="184"/>
      <c r="M6231" s="184"/>
      <c r="N6231" s="184"/>
      <c r="O6231" s="184"/>
    </row>
    <row r="6232" customFormat="false" ht="15" hidden="false" customHeight="true" outlineLevel="0" collapsed="false">
      <c r="A6232" s="184"/>
      <c r="B6232" s="184"/>
      <c r="C6232" s="184"/>
      <c r="D6232" s="184"/>
      <c r="E6232" s="184"/>
      <c r="F6232" s="184"/>
      <c r="G6232" s="184"/>
      <c r="H6232" s="184"/>
      <c r="I6232" s="184"/>
      <c r="J6232" s="184"/>
      <c r="K6232" s="184"/>
      <c r="L6232" s="184"/>
      <c r="M6232" s="184"/>
      <c r="N6232" s="184"/>
      <c r="O6232" s="184"/>
    </row>
    <row r="6233" customFormat="false" ht="15" hidden="false" customHeight="true" outlineLevel="0" collapsed="false">
      <c r="A6233" s="184"/>
      <c r="B6233" s="184"/>
      <c r="C6233" s="184"/>
      <c r="D6233" s="184"/>
      <c r="E6233" s="184"/>
      <c r="F6233" s="184"/>
      <c r="G6233" s="184"/>
      <c r="H6233" s="184"/>
      <c r="I6233" s="184"/>
      <c r="J6233" s="184"/>
      <c r="K6233" s="184"/>
      <c r="L6233" s="184"/>
      <c r="M6233" s="184"/>
      <c r="N6233" s="184"/>
      <c r="O6233" s="184"/>
    </row>
    <row r="6234" customFormat="false" ht="15" hidden="false" customHeight="true" outlineLevel="0" collapsed="false">
      <c r="A6234" s="184"/>
      <c r="B6234" s="184"/>
      <c r="C6234" s="184"/>
      <c r="D6234" s="184"/>
      <c r="E6234" s="184"/>
      <c r="F6234" s="184"/>
      <c r="G6234" s="184"/>
      <c r="H6234" s="184"/>
      <c r="I6234" s="184"/>
      <c r="J6234" s="184"/>
      <c r="K6234" s="184"/>
      <c r="L6234" s="184"/>
      <c r="M6234" s="184"/>
      <c r="N6234" s="184"/>
      <c r="O6234" s="184"/>
    </row>
    <row r="6235" customFormat="false" ht="15" hidden="false" customHeight="true" outlineLevel="0" collapsed="false">
      <c r="A6235" s="184"/>
      <c r="B6235" s="184"/>
      <c r="C6235" s="184"/>
      <c r="D6235" s="184"/>
      <c r="E6235" s="184"/>
      <c r="F6235" s="184"/>
      <c r="G6235" s="184"/>
      <c r="H6235" s="184"/>
      <c r="I6235" s="184"/>
      <c r="J6235" s="184"/>
      <c r="K6235" s="184"/>
      <c r="L6235" s="184"/>
      <c r="M6235" s="184"/>
      <c r="N6235" s="184"/>
      <c r="O6235" s="184"/>
    </row>
    <row r="6236" customFormat="false" ht="15" hidden="false" customHeight="true" outlineLevel="0" collapsed="false">
      <c r="A6236" s="184"/>
      <c r="B6236" s="184"/>
      <c r="C6236" s="184"/>
      <c r="D6236" s="184"/>
      <c r="E6236" s="184"/>
      <c r="F6236" s="184"/>
      <c r="G6236" s="184"/>
      <c r="H6236" s="184"/>
      <c r="I6236" s="184"/>
      <c r="J6236" s="184"/>
      <c r="K6236" s="184"/>
      <c r="L6236" s="184"/>
      <c r="M6236" s="184"/>
      <c r="N6236" s="184"/>
      <c r="O6236" s="184"/>
    </row>
    <row r="6237" customFormat="false" ht="15" hidden="false" customHeight="true" outlineLevel="0" collapsed="false">
      <c r="A6237" s="184"/>
      <c r="B6237" s="184"/>
      <c r="C6237" s="184"/>
      <c r="D6237" s="184"/>
      <c r="E6237" s="184"/>
      <c r="F6237" s="184"/>
      <c r="G6237" s="184"/>
      <c r="H6237" s="184"/>
      <c r="I6237" s="184"/>
      <c r="J6237" s="184"/>
      <c r="K6237" s="184"/>
      <c r="L6237" s="184"/>
      <c r="M6237" s="184"/>
      <c r="N6237" s="184"/>
      <c r="O6237" s="184"/>
    </row>
    <row r="6238" customFormat="false" ht="15" hidden="false" customHeight="true" outlineLevel="0" collapsed="false">
      <c r="A6238" s="184"/>
      <c r="B6238" s="184"/>
      <c r="C6238" s="184"/>
      <c r="D6238" s="184"/>
      <c r="E6238" s="184"/>
      <c r="F6238" s="184"/>
      <c r="G6238" s="184"/>
      <c r="H6238" s="184"/>
      <c r="I6238" s="184"/>
      <c r="J6238" s="184"/>
      <c r="K6238" s="184"/>
      <c r="L6238" s="184"/>
      <c r="M6238" s="184"/>
      <c r="N6238" s="184"/>
      <c r="O6238" s="184"/>
    </row>
    <row r="6239" customFormat="false" ht="15" hidden="false" customHeight="true" outlineLevel="0" collapsed="false">
      <c r="A6239" s="184"/>
      <c r="B6239" s="184"/>
      <c r="C6239" s="184"/>
      <c r="D6239" s="184"/>
      <c r="E6239" s="184"/>
      <c r="F6239" s="184"/>
      <c r="G6239" s="184"/>
      <c r="H6239" s="184"/>
      <c r="I6239" s="184"/>
      <c r="J6239" s="184"/>
      <c r="K6239" s="184"/>
      <c r="L6239" s="184"/>
      <c r="M6239" s="184"/>
      <c r="N6239" s="184"/>
      <c r="O6239" s="184"/>
    </row>
    <row r="6240" customFormat="false" ht="15" hidden="false" customHeight="true" outlineLevel="0" collapsed="false">
      <c r="A6240" s="184"/>
      <c r="B6240" s="184"/>
      <c r="C6240" s="184"/>
      <c r="D6240" s="184"/>
      <c r="E6240" s="184"/>
      <c r="F6240" s="184"/>
      <c r="G6240" s="184"/>
      <c r="H6240" s="184"/>
      <c r="I6240" s="184"/>
      <c r="J6240" s="184"/>
      <c r="K6240" s="184"/>
      <c r="L6240" s="184"/>
      <c r="M6240" s="184"/>
      <c r="N6240" s="184"/>
      <c r="O6240" s="184"/>
    </row>
    <row r="6241" customFormat="false" ht="15" hidden="false" customHeight="true" outlineLevel="0" collapsed="false">
      <c r="A6241" s="184"/>
      <c r="B6241" s="184"/>
      <c r="C6241" s="184"/>
      <c r="D6241" s="184"/>
      <c r="E6241" s="184"/>
      <c r="F6241" s="184"/>
      <c r="G6241" s="184"/>
      <c r="H6241" s="184"/>
      <c r="I6241" s="184"/>
      <c r="J6241" s="184"/>
      <c r="K6241" s="184"/>
      <c r="L6241" s="184"/>
      <c r="M6241" s="184"/>
      <c r="N6241" s="184"/>
      <c r="O6241" s="184"/>
    </row>
    <row r="6242" customFormat="false" ht="15" hidden="false" customHeight="true" outlineLevel="0" collapsed="false">
      <c r="A6242" s="184"/>
      <c r="B6242" s="184"/>
      <c r="C6242" s="184"/>
      <c r="D6242" s="184"/>
      <c r="E6242" s="184"/>
      <c r="F6242" s="184"/>
      <c r="G6242" s="184"/>
      <c r="H6242" s="184"/>
      <c r="I6242" s="184"/>
      <c r="J6242" s="184"/>
      <c r="K6242" s="184"/>
      <c r="L6242" s="184"/>
      <c r="M6242" s="184"/>
      <c r="N6242" s="184"/>
      <c r="O6242" s="184"/>
    </row>
    <row r="6243" customFormat="false" ht="15" hidden="false" customHeight="true" outlineLevel="0" collapsed="false">
      <c r="A6243" s="184"/>
      <c r="B6243" s="184"/>
      <c r="C6243" s="184"/>
      <c r="D6243" s="184"/>
      <c r="E6243" s="184"/>
      <c r="F6243" s="184"/>
      <c r="G6243" s="184"/>
      <c r="H6243" s="184"/>
      <c r="I6243" s="184"/>
      <c r="J6243" s="184"/>
      <c r="K6243" s="184"/>
      <c r="L6243" s="184"/>
      <c r="M6243" s="184"/>
      <c r="N6243" s="184"/>
      <c r="O6243" s="184"/>
    </row>
    <row r="6244" customFormat="false" ht="15" hidden="false" customHeight="true" outlineLevel="0" collapsed="false">
      <c r="A6244" s="184"/>
      <c r="B6244" s="184"/>
      <c r="C6244" s="184"/>
      <c r="D6244" s="184"/>
      <c r="E6244" s="184"/>
      <c r="F6244" s="184"/>
      <c r="G6244" s="184"/>
      <c r="H6244" s="184"/>
      <c r="I6244" s="184"/>
      <c r="J6244" s="184"/>
      <c r="K6244" s="184"/>
      <c r="L6244" s="184"/>
      <c r="M6244" s="184"/>
      <c r="N6244" s="184"/>
      <c r="O6244" s="184"/>
    </row>
    <row r="6245" customFormat="false" ht="15" hidden="false" customHeight="true" outlineLevel="0" collapsed="false">
      <c r="A6245" s="184"/>
      <c r="B6245" s="184"/>
      <c r="C6245" s="184"/>
      <c r="D6245" s="184"/>
      <c r="E6245" s="184"/>
      <c r="F6245" s="184"/>
      <c r="G6245" s="184"/>
      <c r="H6245" s="184"/>
      <c r="I6245" s="184"/>
      <c r="J6245" s="184"/>
      <c r="K6245" s="184"/>
      <c r="L6245" s="184"/>
      <c r="M6245" s="184"/>
      <c r="N6245" s="184"/>
      <c r="O6245" s="184"/>
    </row>
    <row r="6246" customFormat="false" ht="15" hidden="false" customHeight="true" outlineLevel="0" collapsed="false">
      <c r="A6246" s="184"/>
      <c r="B6246" s="184"/>
      <c r="C6246" s="184"/>
      <c r="D6246" s="184"/>
      <c r="E6246" s="184"/>
      <c r="F6246" s="184"/>
      <c r="G6246" s="184"/>
      <c r="H6246" s="184"/>
      <c r="I6246" s="184"/>
      <c r="J6246" s="184"/>
      <c r="K6246" s="184"/>
      <c r="L6246" s="184"/>
      <c r="M6246" s="184"/>
      <c r="N6246" s="184"/>
      <c r="O6246" s="184"/>
    </row>
    <row r="6247" customFormat="false" ht="15" hidden="false" customHeight="true" outlineLevel="0" collapsed="false">
      <c r="A6247" s="184"/>
      <c r="B6247" s="184"/>
      <c r="C6247" s="184"/>
      <c r="D6247" s="184"/>
      <c r="E6247" s="184"/>
      <c r="F6247" s="184"/>
      <c r="G6247" s="184"/>
      <c r="H6247" s="184"/>
      <c r="I6247" s="184"/>
      <c r="J6247" s="184"/>
      <c r="K6247" s="184"/>
      <c r="L6247" s="184"/>
      <c r="M6247" s="184"/>
      <c r="N6247" s="184"/>
      <c r="O6247" s="184"/>
    </row>
    <row r="6248" customFormat="false" ht="15" hidden="false" customHeight="true" outlineLevel="0" collapsed="false">
      <c r="A6248" s="184"/>
      <c r="B6248" s="184"/>
      <c r="C6248" s="184"/>
      <c r="D6248" s="184"/>
      <c r="E6248" s="184"/>
      <c r="F6248" s="184"/>
      <c r="G6248" s="184"/>
      <c r="H6248" s="184"/>
      <c r="I6248" s="184"/>
      <c r="J6248" s="184"/>
      <c r="K6248" s="184"/>
      <c r="L6248" s="184"/>
      <c r="M6248" s="184"/>
      <c r="N6248" s="184"/>
      <c r="O6248" s="184"/>
    </row>
    <row r="6249" customFormat="false" ht="15" hidden="false" customHeight="true" outlineLevel="0" collapsed="false">
      <c r="A6249" s="184"/>
      <c r="B6249" s="184"/>
      <c r="C6249" s="184"/>
      <c r="D6249" s="184"/>
      <c r="E6249" s="184"/>
      <c r="F6249" s="184"/>
      <c r="G6249" s="184"/>
      <c r="H6249" s="184"/>
      <c r="I6249" s="184"/>
      <c r="J6249" s="184"/>
      <c r="K6249" s="184"/>
      <c r="L6249" s="184"/>
      <c r="M6249" s="184"/>
      <c r="N6249" s="184"/>
      <c r="O6249" s="184"/>
    </row>
    <row r="6250" customFormat="false" ht="15" hidden="false" customHeight="true" outlineLevel="0" collapsed="false">
      <c r="A6250" s="184"/>
      <c r="B6250" s="184"/>
      <c r="C6250" s="184"/>
      <c r="D6250" s="184"/>
      <c r="E6250" s="184"/>
      <c r="F6250" s="184"/>
      <c r="G6250" s="184"/>
      <c r="H6250" s="184"/>
      <c r="I6250" s="184"/>
      <c r="J6250" s="184"/>
      <c r="K6250" s="184"/>
      <c r="L6250" s="184"/>
      <c r="M6250" s="184"/>
      <c r="N6250" s="184"/>
      <c r="O6250" s="184"/>
    </row>
    <row r="6251" customFormat="false" ht="15" hidden="false" customHeight="true" outlineLevel="0" collapsed="false">
      <c r="A6251" s="184"/>
      <c r="B6251" s="184"/>
      <c r="C6251" s="184"/>
      <c r="D6251" s="184"/>
      <c r="E6251" s="184"/>
      <c r="F6251" s="184"/>
      <c r="G6251" s="184"/>
      <c r="H6251" s="184"/>
      <c r="I6251" s="184"/>
      <c r="J6251" s="184"/>
      <c r="K6251" s="184"/>
      <c r="L6251" s="184"/>
      <c r="M6251" s="184"/>
      <c r="N6251" s="184"/>
      <c r="O6251" s="184"/>
    </row>
    <row r="6252" customFormat="false" ht="15" hidden="false" customHeight="true" outlineLevel="0" collapsed="false">
      <c r="A6252" s="184"/>
      <c r="B6252" s="184"/>
      <c r="C6252" s="184"/>
      <c r="D6252" s="184"/>
      <c r="E6252" s="184"/>
      <c r="F6252" s="184"/>
      <c r="G6252" s="184"/>
      <c r="H6252" s="184"/>
      <c r="I6252" s="184"/>
      <c r="J6252" s="184"/>
      <c r="K6252" s="184"/>
      <c r="L6252" s="184"/>
      <c r="M6252" s="184"/>
      <c r="N6252" s="184"/>
      <c r="O6252" s="184"/>
    </row>
    <row r="6253" customFormat="false" ht="15" hidden="false" customHeight="true" outlineLevel="0" collapsed="false">
      <c r="A6253" s="184"/>
      <c r="B6253" s="184"/>
      <c r="C6253" s="184"/>
      <c r="D6253" s="184"/>
      <c r="E6253" s="184"/>
      <c r="F6253" s="184"/>
      <c r="G6253" s="184"/>
      <c r="H6253" s="184"/>
      <c r="I6253" s="184"/>
      <c r="J6253" s="184"/>
      <c r="K6253" s="184"/>
      <c r="L6253" s="184"/>
      <c r="M6253" s="184"/>
      <c r="N6253" s="184"/>
      <c r="O6253" s="184"/>
    </row>
    <row r="6254" customFormat="false" ht="15" hidden="false" customHeight="true" outlineLevel="0" collapsed="false">
      <c r="A6254" s="184"/>
      <c r="B6254" s="184"/>
      <c r="C6254" s="184"/>
      <c r="D6254" s="184"/>
      <c r="E6254" s="184"/>
      <c r="F6254" s="184"/>
      <c r="G6254" s="184"/>
      <c r="H6254" s="184"/>
      <c r="I6254" s="184"/>
      <c r="J6254" s="184"/>
      <c r="K6254" s="184"/>
      <c r="L6254" s="184"/>
      <c r="M6254" s="184"/>
      <c r="N6254" s="184"/>
      <c r="O6254" s="184"/>
    </row>
    <row r="6255" customFormat="false" ht="15" hidden="false" customHeight="true" outlineLevel="0" collapsed="false">
      <c r="A6255" s="184"/>
      <c r="B6255" s="184"/>
      <c r="C6255" s="184"/>
      <c r="D6255" s="184"/>
      <c r="E6255" s="184"/>
      <c r="F6255" s="184"/>
      <c r="G6255" s="184"/>
      <c r="H6255" s="184"/>
      <c r="I6255" s="184"/>
      <c r="J6255" s="184"/>
      <c r="K6255" s="184"/>
      <c r="L6255" s="184"/>
      <c r="M6255" s="184"/>
      <c r="N6255" s="184"/>
      <c r="O6255" s="184"/>
    </row>
    <row r="6256" customFormat="false" ht="15" hidden="false" customHeight="true" outlineLevel="0" collapsed="false">
      <c r="A6256" s="184"/>
      <c r="B6256" s="184"/>
      <c r="C6256" s="184"/>
      <c r="D6256" s="184"/>
      <c r="E6256" s="184"/>
      <c r="F6256" s="184"/>
      <c r="G6256" s="184"/>
      <c r="H6256" s="184"/>
      <c r="I6256" s="184"/>
      <c r="J6256" s="184"/>
      <c r="K6256" s="184"/>
      <c r="L6256" s="184"/>
      <c r="M6256" s="184"/>
      <c r="N6256" s="184"/>
      <c r="O6256" s="184"/>
    </row>
    <row r="6257" customFormat="false" ht="15" hidden="false" customHeight="true" outlineLevel="0" collapsed="false">
      <c r="A6257" s="184"/>
      <c r="B6257" s="184"/>
      <c r="C6257" s="184"/>
      <c r="D6257" s="184"/>
      <c r="E6257" s="184"/>
      <c r="F6257" s="184"/>
      <c r="G6257" s="184"/>
      <c r="H6257" s="184"/>
      <c r="I6257" s="184"/>
      <c r="J6257" s="184"/>
      <c r="K6257" s="184"/>
      <c r="L6257" s="184"/>
      <c r="M6257" s="184"/>
      <c r="N6257" s="184"/>
      <c r="O6257" s="184"/>
    </row>
    <row r="6258" customFormat="false" ht="15" hidden="false" customHeight="true" outlineLevel="0" collapsed="false">
      <c r="A6258" s="184"/>
      <c r="B6258" s="184"/>
      <c r="C6258" s="184"/>
      <c r="D6258" s="184"/>
      <c r="E6258" s="184"/>
      <c r="F6258" s="184"/>
      <c r="G6258" s="184"/>
      <c r="H6258" s="184"/>
      <c r="I6258" s="184"/>
      <c r="J6258" s="184"/>
      <c r="K6258" s="184"/>
      <c r="L6258" s="184"/>
      <c r="M6258" s="184"/>
      <c r="N6258" s="184"/>
      <c r="O6258" s="184"/>
    </row>
    <row r="6259" customFormat="false" ht="15" hidden="false" customHeight="true" outlineLevel="0" collapsed="false">
      <c r="A6259" s="184"/>
      <c r="B6259" s="184"/>
      <c r="C6259" s="184"/>
      <c r="D6259" s="184"/>
      <c r="E6259" s="184"/>
      <c r="F6259" s="184"/>
      <c r="G6259" s="184"/>
      <c r="H6259" s="184"/>
      <c r="I6259" s="184"/>
      <c r="J6259" s="184"/>
      <c r="K6259" s="184"/>
      <c r="L6259" s="184"/>
      <c r="M6259" s="184"/>
      <c r="N6259" s="184"/>
      <c r="O6259" s="184"/>
    </row>
    <row r="6260" customFormat="false" ht="15" hidden="false" customHeight="true" outlineLevel="0" collapsed="false">
      <c r="A6260" s="184"/>
      <c r="B6260" s="184"/>
      <c r="C6260" s="184"/>
      <c r="D6260" s="184"/>
      <c r="E6260" s="184"/>
      <c r="F6260" s="184"/>
      <c r="G6260" s="184"/>
      <c r="H6260" s="184"/>
      <c r="I6260" s="184"/>
      <c r="J6260" s="184"/>
      <c r="K6260" s="184"/>
      <c r="L6260" s="184"/>
      <c r="M6260" s="184"/>
      <c r="N6260" s="184"/>
      <c r="O6260" s="184"/>
    </row>
    <row r="6261" customFormat="false" ht="15" hidden="false" customHeight="true" outlineLevel="0" collapsed="false">
      <c r="A6261" s="184"/>
      <c r="B6261" s="184"/>
      <c r="C6261" s="184"/>
      <c r="D6261" s="184"/>
      <c r="E6261" s="184"/>
      <c r="F6261" s="184"/>
      <c r="G6261" s="184"/>
      <c r="H6261" s="184"/>
      <c r="I6261" s="184"/>
      <c r="J6261" s="184"/>
      <c r="K6261" s="184"/>
      <c r="L6261" s="184"/>
      <c r="M6261" s="184"/>
      <c r="N6261" s="184"/>
      <c r="O6261" s="184"/>
    </row>
    <row r="6262" customFormat="false" ht="15" hidden="false" customHeight="true" outlineLevel="0" collapsed="false">
      <c r="A6262" s="184"/>
      <c r="B6262" s="184"/>
      <c r="C6262" s="184"/>
      <c r="D6262" s="184"/>
      <c r="E6262" s="184"/>
      <c r="F6262" s="184"/>
      <c r="G6262" s="184"/>
      <c r="H6262" s="184"/>
      <c r="I6262" s="184"/>
      <c r="J6262" s="184"/>
      <c r="K6262" s="184"/>
      <c r="L6262" s="184"/>
      <c r="M6262" s="184"/>
      <c r="N6262" s="184"/>
      <c r="O6262" s="184"/>
    </row>
    <row r="6263" customFormat="false" ht="15" hidden="false" customHeight="true" outlineLevel="0" collapsed="false">
      <c r="A6263" s="184"/>
      <c r="B6263" s="184"/>
      <c r="C6263" s="184"/>
      <c r="D6263" s="184"/>
      <c r="E6263" s="184"/>
      <c r="F6263" s="184"/>
      <c r="G6263" s="184"/>
      <c r="H6263" s="184"/>
      <c r="I6263" s="184"/>
      <c r="J6263" s="184"/>
      <c r="K6263" s="184"/>
      <c r="L6263" s="184"/>
      <c r="M6263" s="184"/>
      <c r="N6263" s="184"/>
      <c r="O6263" s="184"/>
    </row>
    <row r="6264" customFormat="false" ht="15" hidden="false" customHeight="true" outlineLevel="0" collapsed="false">
      <c r="A6264" s="184"/>
      <c r="B6264" s="184"/>
      <c r="C6264" s="184"/>
      <c r="D6264" s="184"/>
      <c r="E6264" s="184"/>
      <c r="F6264" s="184"/>
      <c r="G6264" s="184"/>
      <c r="H6264" s="184"/>
      <c r="I6264" s="184"/>
      <c r="J6264" s="184"/>
      <c r="K6264" s="184"/>
      <c r="L6264" s="184"/>
      <c r="M6264" s="184"/>
      <c r="N6264" s="184"/>
      <c r="O6264" s="184"/>
    </row>
    <row r="6265" customFormat="false" ht="15" hidden="false" customHeight="true" outlineLevel="0" collapsed="false">
      <c r="A6265" s="184"/>
      <c r="B6265" s="184"/>
      <c r="C6265" s="184"/>
      <c r="D6265" s="184"/>
      <c r="E6265" s="184"/>
      <c r="F6265" s="184"/>
      <c r="G6265" s="184"/>
      <c r="H6265" s="184"/>
      <c r="I6265" s="184"/>
      <c r="J6265" s="184"/>
      <c r="K6265" s="184"/>
      <c r="L6265" s="184"/>
      <c r="M6265" s="184"/>
      <c r="N6265" s="184"/>
      <c r="O6265" s="184"/>
    </row>
    <row r="6266" customFormat="false" ht="15" hidden="false" customHeight="true" outlineLevel="0" collapsed="false">
      <c r="A6266" s="184"/>
      <c r="B6266" s="184"/>
      <c r="C6266" s="184"/>
      <c r="D6266" s="184"/>
      <c r="E6266" s="184"/>
      <c r="F6266" s="184"/>
      <c r="G6266" s="184"/>
      <c r="H6266" s="184"/>
      <c r="I6266" s="184"/>
      <c r="J6266" s="184"/>
      <c r="K6266" s="184"/>
      <c r="L6266" s="184"/>
      <c r="M6266" s="184"/>
      <c r="N6266" s="184"/>
      <c r="O6266" s="184"/>
    </row>
    <row r="6267" customFormat="false" ht="15" hidden="false" customHeight="true" outlineLevel="0" collapsed="false">
      <c r="A6267" s="184"/>
      <c r="B6267" s="184"/>
      <c r="C6267" s="184"/>
      <c r="D6267" s="184"/>
      <c r="E6267" s="184"/>
      <c r="F6267" s="184"/>
      <c r="G6267" s="184"/>
      <c r="H6267" s="184"/>
      <c r="I6267" s="184"/>
      <c r="J6267" s="184"/>
      <c r="K6267" s="184"/>
      <c r="L6267" s="184"/>
      <c r="M6267" s="184"/>
      <c r="N6267" s="184"/>
      <c r="O6267" s="184"/>
    </row>
    <row r="6268" customFormat="false" ht="15" hidden="false" customHeight="true" outlineLevel="0" collapsed="false">
      <c r="A6268" s="184"/>
      <c r="B6268" s="184"/>
      <c r="C6268" s="184"/>
      <c r="D6268" s="184"/>
      <c r="E6268" s="184"/>
      <c r="F6268" s="184"/>
      <c r="G6268" s="184"/>
      <c r="H6268" s="184"/>
      <c r="I6268" s="184"/>
      <c r="J6268" s="184"/>
      <c r="K6268" s="184"/>
      <c r="L6268" s="184"/>
      <c r="M6268" s="184"/>
      <c r="N6268" s="184"/>
      <c r="O6268" s="184"/>
    </row>
    <row r="6269" customFormat="false" ht="15" hidden="false" customHeight="true" outlineLevel="0" collapsed="false">
      <c r="A6269" s="184"/>
      <c r="B6269" s="184"/>
      <c r="C6269" s="184"/>
      <c r="D6269" s="184"/>
      <c r="E6269" s="184"/>
      <c r="F6269" s="184"/>
      <c r="G6269" s="184"/>
      <c r="H6269" s="184"/>
      <c r="I6269" s="184"/>
      <c r="J6269" s="184"/>
      <c r="K6269" s="184"/>
      <c r="L6269" s="184"/>
      <c r="M6269" s="184"/>
      <c r="N6269" s="184"/>
      <c r="O6269" s="184"/>
    </row>
    <row r="6270" customFormat="false" ht="15" hidden="false" customHeight="true" outlineLevel="0" collapsed="false">
      <c r="A6270" s="184"/>
      <c r="B6270" s="184"/>
      <c r="C6270" s="184"/>
      <c r="D6270" s="184"/>
      <c r="E6270" s="184"/>
      <c r="F6270" s="184"/>
      <c r="G6270" s="184"/>
      <c r="H6270" s="184"/>
      <c r="I6270" s="184"/>
      <c r="J6270" s="184"/>
      <c r="K6270" s="184"/>
      <c r="L6270" s="184"/>
      <c r="M6270" s="184"/>
      <c r="N6270" s="184"/>
      <c r="O6270" s="184"/>
    </row>
    <row r="6271" customFormat="false" ht="15" hidden="false" customHeight="true" outlineLevel="0" collapsed="false">
      <c r="A6271" s="184"/>
      <c r="B6271" s="184"/>
      <c r="C6271" s="184"/>
      <c r="D6271" s="184"/>
      <c r="E6271" s="184"/>
      <c r="F6271" s="184"/>
      <c r="G6271" s="184"/>
      <c r="H6271" s="184"/>
      <c r="I6271" s="184"/>
      <c r="J6271" s="184"/>
      <c r="K6271" s="184"/>
      <c r="L6271" s="184"/>
      <c r="M6271" s="184"/>
      <c r="N6271" s="184"/>
      <c r="O6271" s="184"/>
    </row>
    <row r="6272" customFormat="false" ht="15" hidden="false" customHeight="true" outlineLevel="0" collapsed="false">
      <c r="A6272" s="184"/>
      <c r="B6272" s="184"/>
      <c r="C6272" s="184"/>
      <c r="D6272" s="184"/>
      <c r="E6272" s="184"/>
      <c r="F6272" s="184"/>
      <c r="G6272" s="184"/>
      <c r="H6272" s="184"/>
      <c r="I6272" s="184"/>
      <c r="J6272" s="184"/>
      <c r="K6272" s="184"/>
      <c r="L6272" s="184"/>
      <c r="M6272" s="184"/>
      <c r="N6272" s="184"/>
      <c r="O6272" s="184"/>
    </row>
    <row r="6273" customFormat="false" ht="15" hidden="false" customHeight="true" outlineLevel="0" collapsed="false">
      <c r="A6273" s="184"/>
      <c r="B6273" s="184"/>
      <c r="C6273" s="184"/>
      <c r="D6273" s="184"/>
      <c r="E6273" s="184"/>
      <c r="F6273" s="184"/>
      <c r="G6273" s="184"/>
      <c r="H6273" s="184"/>
      <c r="I6273" s="184"/>
      <c r="J6273" s="184"/>
      <c r="K6273" s="184"/>
      <c r="L6273" s="184"/>
      <c r="M6273" s="184"/>
      <c r="N6273" s="184"/>
      <c r="O6273" s="184"/>
    </row>
    <row r="6274" customFormat="false" ht="15" hidden="false" customHeight="true" outlineLevel="0" collapsed="false">
      <c r="A6274" s="184"/>
      <c r="B6274" s="184"/>
      <c r="C6274" s="184"/>
      <c r="D6274" s="184"/>
      <c r="E6274" s="184"/>
      <c r="F6274" s="184"/>
      <c r="G6274" s="184"/>
      <c r="H6274" s="184"/>
      <c r="I6274" s="184"/>
      <c r="J6274" s="184"/>
      <c r="K6274" s="184"/>
      <c r="L6274" s="184"/>
      <c r="M6274" s="184"/>
      <c r="N6274" s="184"/>
      <c r="O6274" s="184"/>
    </row>
    <row r="6275" customFormat="false" ht="15" hidden="false" customHeight="true" outlineLevel="0" collapsed="false">
      <c r="A6275" s="184"/>
      <c r="B6275" s="184"/>
      <c r="C6275" s="184"/>
      <c r="D6275" s="184"/>
      <c r="E6275" s="184"/>
      <c r="F6275" s="184"/>
      <c r="G6275" s="184"/>
      <c r="H6275" s="184"/>
      <c r="I6275" s="184"/>
      <c r="J6275" s="184"/>
      <c r="K6275" s="184"/>
      <c r="L6275" s="184"/>
      <c r="M6275" s="184"/>
      <c r="N6275" s="184"/>
      <c r="O6275" s="184"/>
    </row>
    <row r="6276" customFormat="false" ht="15" hidden="false" customHeight="true" outlineLevel="0" collapsed="false">
      <c r="A6276" s="184"/>
      <c r="B6276" s="184"/>
      <c r="C6276" s="184"/>
      <c r="D6276" s="184"/>
      <c r="E6276" s="184"/>
      <c r="F6276" s="184"/>
      <c r="G6276" s="184"/>
      <c r="H6276" s="184"/>
      <c r="I6276" s="184"/>
      <c r="J6276" s="184"/>
      <c r="K6276" s="184"/>
      <c r="L6276" s="184"/>
      <c r="M6276" s="184"/>
      <c r="N6276" s="184"/>
      <c r="O6276" s="184"/>
    </row>
    <row r="6277" customFormat="false" ht="15" hidden="false" customHeight="true" outlineLevel="0" collapsed="false">
      <c r="A6277" s="184"/>
      <c r="B6277" s="184"/>
      <c r="C6277" s="184"/>
      <c r="D6277" s="184"/>
      <c r="E6277" s="184"/>
      <c r="F6277" s="184"/>
      <c r="G6277" s="184"/>
      <c r="H6277" s="184"/>
      <c r="I6277" s="184"/>
      <c r="J6277" s="184"/>
      <c r="K6277" s="184"/>
      <c r="L6277" s="184"/>
      <c r="M6277" s="184"/>
      <c r="N6277" s="184"/>
      <c r="O6277" s="184"/>
    </row>
    <row r="6278" customFormat="false" ht="15" hidden="false" customHeight="true" outlineLevel="0" collapsed="false">
      <c r="A6278" s="184"/>
      <c r="B6278" s="184"/>
      <c r="C6278" s="184"/>
      <c r="D6278" s="184"/>
      <c r="E6278" s="184"/>
      <c r="F6278" s="184"/>
      <c r="G6278" s="184"/>
      <c r="H6278" s="184"/>
      <c r="I6278" s="184"/>
      <c r="J6278" s="184"/>
      <c r="K6278" s="184"/>
      <c r="L6278" s="184"/>
      <c r="M6278" s="184"/>
      <c r="N6278" s="184"/>
      <c r="O6278" s="184"/>
    </row>
    <row r="6279" customFormat="false" ht="15" hidden="false" customHeight="true" outlineLevel="0" collapsed="false">
      <c r="A6279" s="184"/>
      <c r="B6279" s="184"/>
      <c r="C6279" s="184"/>
      <c r="D6279" s="184"/>
      <c r="E6279" s="184"/>
      <c r="F6279" s="184"/>
      <c r="G6279" s="184"/>
      <c r="H6279" s="184"/>
      <c r="I6279" s="184"/>
      <c r="J6279" s="184"/>
      <c r="K6279" s="184"/>
      <c r="L6279" s="184"/>
      <c r="M6279" s="184"/>
      <c r="N6279" s="184"/>
      <c r="O6279" s="184"/>
    </row>
    <row r="6280" customFormat="false" ht="15" hidden="false" customHeight="true" outlineLevel="0" collapsed="false">
      <c r="A6280" s="184"/>
      <c r="B6280" s="184"/>
      <c r="C6280" s="184"/>
      <c r="D6280" s="184"/>
      <c r="E6280" s="184"/>
      <c r="F6280" s="184"/>
      <c r="G6280" s="184"/>
      <c r="H6280" s="184"/>
      <c r="I6280" s="184"/>
      <c r="J6280" s="184"/>
      <c r="K6280" s="184"/>
      <c r="L6280" s="184"/>
      <c r="M6280" s="184"/>
      <c r="N6280" s="184"/>
      <c r="O6280" s="184"/>
    </row>
    <row r="6281" customFormat="false" ht="15" hidden="false" customHeight="true" outlineLevel="0" collapsed="false">
      <c r="A6281" s="184"/>
      <c r="B6281" s="184"/>
      <c r="C6281" s="184"/>
      <c r="D6281" s="184"/>
      <c r="E6281" s="184"/>
      <c r="F6281" s="184"/>
      <c r="G6281" s="184"/>
      <c r="H6281" s="184"/>
      <c r="I6281" s="184"/>
      <c r="J6281" s="184"/>
      <c r="K6281" s="184"/>
      <c r="L6281" s="184"/>
      <c r="M6281" s="184"/>
      <c r="N6281" s="184"/>
      <c r="O6281" s="184"/>
    </row>
    <row r="6282" customFormat="false" ht="41.25" hidden="false" customHeight="true" outlineLevel="0" collapsed="false">
      <c r="A6282" s="184" t="s">
        <v>5014</v>
      </c>
      <c r="B6282" s="184" t="s">
        <v>5015</v>
      </c>
      <c r="C6282" s="184"/>
      <c r="D6282" s="179" t="s">
        <v>4858</v>
      </c>
      <c r="E6282" s="184" t="s">
        <v>7253</v>
      </c>
      <c r="F6282" s="184"/>
      <c r="G6282" s="184"/>
      <c r="H6282" s="184"/>
      <c r="I6282" s="184"/>
      <c r="J6282" s="184"/>
      <c r="K6282" s="184"/>
      <c r="L6282" s="184"/>
      <c r="M6282" s="184" t="s">
        <v>7254</v>
      </c>
      <c r="N6282" s="184"/>
      <c r="O6282" s="184"/>
    </row>
    <row r="6283" customFormat="false" ht="41.25" hidden="false" customHeight="true" outlineLevel="0" collapsed="false">
      <c r="A6283" s="184" t="s">
        <v>5014</v>
      </c>
      <c r="B6283" s="184" t="s">
        <v>5015</v>
      </c>
      <c r="C6283" s="184" t="n">
        <v>1</v>
      </c>
      <c r="D6283" s="179" t="s">
        <v>6292</v>
      </c>
      <c r="E6283" s="184" t="s">
        <v>6862</v>
      </c>
      <c r="F6283" s="184"/>
      <c r="G6283" s="184"/>
      <c r="H6283" s="184"/>
      <c r="I6283" s="184"/>
      <c r="J6283" s="184"/>
      <c r="K6283" s="184"/>
      <c r="L6283" s="184"/>
      <c r="M6283" s="184"/>
      <c r="N6283" s="184"/>
      <c r="O6283" s="184"/>
    </row>
    <row r="6284" customFormat="false" ht="41.25" hidden="false" customHeight="true" outlineLevel="0" collapsed="false">
      <c r="A6284" s="184" t="s">
        <v>5014</v>
      </c>
      <c r="B6284" s="184" t="s">
        <v>5015</v>
      </c>
      <c r="C6284" s="184" t="n">
        <v>2</v>
      </c>
      <c r="D6284" s="177" t="s">
        <v>6298</v>
      </c>
      <c r="E6284" s="184" t="s">
        <v>6863</v>
      </c>
      <c r="F6284" s="184"/>
      <c r="G6284" s="184"/>
      <c r="H6284" s="184"/>
      <c r="I6284" s="184"/>
      <c r="J6284" s="184"/>
      <c r="K6284" s="184"/>
      <c r="L6284" s="184"/>
      <c r="M6284" s="184"/>
      <c r="N6284" s="184"/>
      <c r="O6284" s="184"/>
    </row>
    <row r="6285" customFormat="false" ht="41.25" hidden="false" customHeight="true" outlineLevel="0" collapsed="false">
      <c r="A6285" s="184" t="s">
        <v>5014</v>
      </c>
      <c r="B6285" s="184" t="s">
        <v>5015</v>
      </c>
      <c r="C6285" s="184" t="n">
        <v>3</v>
      </c>
      <c r="D6285" s="177" t="s">
        <v>6298</v>
      </c>
      <c r="E6285" s="184" t="s">
        <v>6864</v>
      </c>
      <c r="F6285" s="184"/>
      <c r="G6285" s="184"/>
      <c r="H6285" s="184"/>
      <c r="I6285" s="184"/>
      <c r="J6285" s="184"/>
      <c r="K6285" s="184"/>
      <c r="L6285" s="184"/>
      <c r="M6285" s="184"/>
      <c r="N6285" s="184"/>
      <c r="O6285" s="184"/>
    </row>
    <row r="6286" customFormat="false" ht="54.75" hidden="false" customHeight="true" outlineLevel="0" collapsed="false">
      <c r="A6286" s="184" t="s">
        <v>5014</v>
      </c>
      <c r="B6286" s="184" t="s">
        <v>5015</v>
      </c>
      <c r="C6286" s="184" t="n">
        <v>4</v>
      </c>
      <c r="D6286" s="174" t="s">
        <v>4846</v>
      </c>
      <c r="E6286" s="184" t="s">
        <v>784</v>
      </c>
      <c r="F6286" s="184" t="s">
        <v>715</v>
      </c>
      <c r="G6286" s="184"/>
      <c r="H6286" s="184"/>
      <c r="I6286" s="184"/>
      <c r="J6286" s="184" t="s">
        <v>5720</v>
      </c>
      <c r="K6286" s="184" t="s">
        <v>6333</v>
      </c>
      <c r="L6286" s="184"/>
      <c r="M6286" s="184" t="s">
        <v>6392</v>
      </c>
      <c r="N6286" s="184"/>
      <c r="O6286" s="184"/>
    </row>
    <row r="6287" customFormat="false" ht="54.75" hidden="false" customHeight="true" outlineLevel="0" collapsed="false">
      <c r="A6287" s="184" t="s">
        <v>5014</v>
      </c>
      <c r="B6287" s="184" t="s">
        <v>5015</v>
      </c>
      <c r="C6287" s="184" t="n">
        <v>5</v>
      </c>
      <c r="D6287" s="174" t="s">
        <v>4846</v>
      </c>
      <c r="E6287" s="184" t="s">
        <v>5837</v>
      </c>
      <c r="F6287" s="184" t="s">
        <v>715</v>
      </c>
      <c r="G6287" s="184"/>
      <c r="H6287" s="184"/>
      <c r="I6287" s="184"/>
      <c r="J6287" s="184" t="s">
        <v>6396</v>
      </c>
      <c r="K6287" s="184" t="s">
        <v>6333</v>
      </c>
      <c r="L6287" s="184"/>
      <c r="M6287" s="184" t="s">
        <v>5839</v>
      </c>
      <c r="N6287" s="184"/>
      <c r="O6287" s="184"/>
    </row>
    <row r="6288" customFormat="false" ht="54.75" hidden="false" customHeight="true" outlineLevel="0" collapsed="false">
      <c r="A6288" s="184" t="s">
        <v>5014</v>
      </c>
      <c r="B6288" s="184" t="s">
        <v>5015</v>
      </c>
      <c r="C6288" s="184" t="n">
        <v>6</v>
      </c>
      <c r="D6288" s="174" t="s">
        <v>4848</v>
      </c>
      <c r="E6288" s="184"/>
      <c r="F6288" s="184"/>
      <c r="G6288" s="184"/>
      <c r="H6288" s="184"/>
      <c r="I6288" s="184"/>
      <c r="J6288" s="184" t="s">
        <v>6301</v>
      </c>
      <c r="K6288" s="184"/>
      <c r="L6288" s="184" t="s">
        <v>6302</v>
      </c>
      <c r="M6288" s="184" t="s">
        <v>6303</v>
      </c>
      <c r="N6288" s="184"/>
      <c r="O6288" s="184"/>
    </row>
    <row r="6289" customFormat="false" ht="81.75" hidden="false" customHeight="true" outlineLevel="0" collapsed="false">
      <c r="A6289" s="184" t="s">
        <v>5014</v>
      </c>
      <c r="B6289" s="184" t="s">
        <v>5015</v>
      </c>
      <c r="C6289" s="184" t="n">
        <v>7</v>
      </c>
      <c r="D6289" s="174" t="s">
        <v>4846</v>
      </c>
      <c r="E6289" s="184" t="s">
        <v>6393</v>
      </c>
      <c r="F6289" s="184" t="s">
        <v>715</v>
      </c>
      <c r="G6289" s="184"/>
      <c r="H6289" s="184"/>
      <c r="I6289" s="184"/>
      <c r="J6289" s="184" t="s">
        <v>7247</v>
      </c>
      <c r="K6289" s="184" t="s">
        <v>6333</v>
      </c>
      <c r="L6289" s="184"/>
      <c r="M6289" s="184" t="s">
        <v>7255</v>
      </c>
      <c r="N6289" s="184"/>
      <c r="O6289" s="184"/>
    </row>
    <row r="6290" customFormat="false" ht="15" hidden="false" customHeight="true" outlineLevel="0" collapsed="false">
      <c r="A6290" s="184"/>
      <c r="B6290" s="184"/>
      <c r="C6290" s="184"/>
      <c r="D6290" s="184"/>
      <c r="E6290" s="184"/>
      <c r="F6290" s="184"/>
      <c r="G6290" s="184"/>
      <c r="H6290" s="184"/>
      <c r="I6290" s="184"/>
      <c r="J6290" s="184"/>
      <c r="K6290" s="184"/>
      <c r="L6290" s="184"/>
      <c r="M6290" s="184"/>
      <c r="N6290" s="184"/>
      <c r="O6290" s="184"/>
    </row>
    <row r="6291" customFormat="false" ht="15" hidden="false" customHeight="true" outlineLevel="0" collapsed="false">
      <c r="A6291" s="184"/>
      <c r="B6291" s="184"/>
      <c r="C6291" s="184"/>
      <c r="D6291" s="184"/>
      <c r="E6291" s="184"/>
      <c r="F6291" s="184"/>
      <c r="G6291" s="184"/>
      <c r="H6291" s="184"/>
      <c r="I6291" s="184"/>
      <c r="J6291" s="184"/>
      <c r="K6291" s="184"/>
      <c r="L6291" s="184"/>
      <c r="M6291" s="184"/>
      <c r="N6291" s="184"/>
      <c r="O6291" s="184"/>
    </row>
    <row r="6292" customFormat="false" ht="15" hidden="false" customHeight="true" outlineLevel="0" collapsed="false">
      <c r="A6292" s="184"/>
      <c r="B6292" s="184"/>
      <c r="C6292" s="184"/>
      <c r="D6292" s="184"/>
      <c r="E6292" s="184"/>
      <c r="F6292" s="184"/>
      <c r="G6292" s="184"/>
      <c r="H6292" s="184"/>
      <c r="I6292" s="184"/>
      <c r="J6292" s="184"/>
      <c r="K6292" s="184"/>
      <c r="L6292" s="184"/>
      <c r="M6292" s="184"/>
      <c r="N6292" s="184"/>
      <c r="O6292" s="184"/>
    </row>
    <row r="6293" customFormat="false" ht="15" hidden="false" customHeight="true" outlineLevel="0" collapsed="false">
      <c r="A6293" s="184"/>
      <c r="B6293" s="184"/>
      <c r="C6293" s="184"/>
      <c r="D6293" s="184"/>
      <c r="E6293" s="184"/>
      <c r="F6293" s="184"/>
      <c r="G6293" s="184"/>
      <c r="H6293" s="184"/>
      <c r="I6293" s="184"/>
      <c r="J6293" s="184"/>
      <c r="K6293" s="184"/>
      <c r="L6293" s="184"/>
      <c r="M6293" s="184"/>
      <c r="N6293" s="184"/>
      <c r="O6293" s="184"/>
    </row>
    <row r="6294" customFormat="false" ht="15" hidden="false" customHeight="true" outlineLevel="0" collapsed="false">
      <c r="A6294" s="184"/>
      <c r="B6294" s="184"/>
      <c r="C6294" s="184"/>
      <c r="D6294" s="184"/>
      <c r="E6294" s="184"/>
      <c r="F6294" s="184"/>
      <c r="G6294" s="184"/>
      <c r="H6294" s="184"/>
      <c r="I6294" s="184"/>
      <c r="J6294" s="184"/>
      <c r="K6294" s="184"/>
      <c r="L6294" s="184"/>
      <c r="M6294" s="184"/>
      <c r="N6294" s="184"/>
      <c r="O6294" s="184"/>
    </row>
    <row r="6295" customFormat="false" ht="15" hidden="false" customHeight="true" outlineLevel="0" collapsed="false">
      <c r="A6295" s="184"/>
      <c r="B6295" s="184"/>
      <c r="C6295" s="184"/>
      <c r="D6295" s="184"/>
      <c r="E6295" s="184"/>
      <c r="F6295" s="184"/>
      <c r="G6295" s="184"/>
      <c r="H6295" s="184"/>
      <c r="I6295" s="184"/>
      <c r="J6295" s="184"/>
      <c r="K6295" s="184"/>
      <c r="L6295" s="184"/>
      <c r="M6295" s="184"/>
      <c r="N6295" s="184"/>
      <c r="O6295" s="184"/>
    </row>
    <row r="6296" customFormat="false" ht="15" hidden="false" customHeight="true" outlineLevel="0" collapsed="false">
      <c r="A6296" s="184"/>
      <c r="B6296" s="184"/>
      <c r="C6296" s="184"/>
      <c r="D6296" s="184"/>
      <c r="E6296" s="184"/>
      <c r="F6296" s="184"/>
      <c r="G6296" s="184"/>
      <c r="H6296" s="184"/>
      <c r="I6296" s="184"/>
      <c r="J6296" s="184"/>
      <c r="K6296" s="184"/>
      <c r="L6296" s="184"/>
      <c r="M6296" s="184"/>
      <c r="N6296" s="184"/>
      <c r="O6296" s="184"/>
    </row>
    <row r="6297" customFormat="false" ht="15" hidden="false" customHeight="true" outlineLevel="0" collapsed="false">
      <c r="A6297" s="184"/>
      <c r="B6297" s="184"/>
      <c r="C6297" s="184"/>
      <c r="D6297" s="184"/>
      <c r="E6297" s="184"/>
      <c r="F6297" s="184"/>
      <c r="G6297" s="184"/>
      <c r="H6297" s="184"/>
      <c r="I6297" s="184"/>
      <c r="J6297" s="184"/>
      <c r="K6297" s="184"/>
      <c r="L6297" s="184"/>
      <c r="M6297" s="184"/>
      <c r="N6297" s="184"/>
      <c r="O6297" s="184"/>
    </row>
    <row r="6298" customFormat="false" ht="15" hidden="false" customHeight="true" outlineLevel="0" collapsed="false">
      <c r="A6298" s="184"/>
      <c r="B6298" s="184"/>
      <c r="C6298" s="184"/>
      <c r="D6298" s="184"/>
      <c r="E6298" s="184"/>
      <c r="F6298" s="184"/>
      <c r="G6298" s="184"/>
      <c r="H6298" s="184"/>
      <c r="I6298" s="184"/>
      <c r="J6298" s="184"/>
      <c r="K6298" s="184"/>
      <c r="L6298" s="184"/>
      <c r="M6298" s="184"/>
      <c r="N6298" s="184"/>
      <c r="O6298" s="184"/>
    </row>
    <row r="6299" customFormat="false" ht="15" hidden="false" customHeight="true" outlineLevel="0" collapsed="false">
      <c r="A6299" s="184"/>
      <c r="B6299" s="184"/>
      <c r="C6299" s="184"/>
      <c r="D6299" s="184"/>
      <c r="E6299" s="184"/>
      <c r="F6299" s="184"/>
      <c r="G6299" s="184"/>
      <c r="H6299" s="184"/>
      <c r="I6299" s="184"/>
      <c r="J6299" s="184"/>
      <c r="K6299" s="184"/>
      <c r="L6299" s="184"/>
      <c r="M6299" s="184"/>
      <c r="N6299" s="184"/>
      <c r="O6299" s="184"/>
    </row>
    <row r="6300" customFormat="false" ht="15" hidden="false" customHeight="true" outlineLevel="0" collapsed="false">
      <c r="A6300" s="184"/>
      <c r="B6300" s="184"/>
      <c r="C6300" s="184"/>
      <c r="D6300" s="184"/>
      <c r="E6300" s="184"/>
      <c r="F6300" s="184"/>
      <c r="G6300" s="184"/>
      <c r="H6300" s="184"/>
      <c r="I6300" s="184"/>
      <c r="J6300" s="184"/>
      <c r="K6300" s="184"/>
      <c r="L6300" s="184"/>
      <c r="M6300" s="184"/>
      <c r="N6300" s="184"/>
      <c r="O6300" s="184"/>
    </row>
    <row r="6301" customFormat="false" ht="15" hidden="false" customHeight="true" outlineLevel="0" collapsed="false">
      <c r="A6301" s="184"/>
      <c r="B6301" s="184"/>
      <c r="C6301" s="184"/>
      <c r="D6301" s="184"/>
      <c r="E6301" s="184"/>
      <c r="F6301" s="184"/>
      <c r="G6301" s="184"/>
      <c r="H6301" s="184"/>
      <c r="I6301" s="184"/>
      <c r="J6301" s="184"/>
      <c r="K6301" s="184"/>
      <c r="L6301" s="184"/>
      <c r="M6301" s="184"/>
      <c r="N6301" s="184"/>
      <c r="O6301" s="184"/>
    </row>
    <row r="6302" customFormat="false" ht="15" hidden="false" customHeight="true" outlineLevel="0" collapsed="false">
      <c r="A6302" s="184"/>
      <c r="B6302" s="184"/>
      <c r="C6302" s="184"/>
      <c r="D6302" s="184"/>
      <c r="E6302" s="184"/>
      <c r="F6302" s="184"/>
      <c r="G6302" s="184"/>
      <c r="H6302" s="184"/>
      <c r="I6302" s="184"/>
      <c r="J6302" s="184"/>
      <c r="K6302" s="184"/>
      <c r="L6302" s="184"/>
      <c r="M6302" s="184"/>
      <c r="N6302" s="184"/>
      <c r="O6302" s="184"/>
    </row>
    <row r="6303" customFormat="false" ht="15" hidden="false" customHeight="true" outlineLevel="0" collapsed="false">
      <c r="A6303" s="184"/>
      <c r="B6303" s="184"/>
      <c r="C6303" s="184"/>
      <c r="D6303" s="184"/>
      <c r="E6303" s="184"/>
      <c r="F6303" s="184"/>
      <c r="G6303" s="184"/>
      <c r="H6303" s="184"/>
      <c r="I6303" s="184"/>
      <c r="J6303" s="184"/>
      <c r="K6303" s="184"/>
      <c r="L6303" s="184"/>
      <c r="M6303" s="184"/>
      <c r="N6303" s="184"/>
      <c r="O6303" s="184"/>
    </row>
    <row r="6304" customFormat="false" ht="15" hidden="false" customHeight="true" outlineLevel="0" collapsed="false">
      <c r="A6304" s="184"/>
      <c r="B6304" s="184"/>
      <c r="C6304" s="184"/>
      <c r="D6304" s="184"/>
      <c r="E6304" s="184"/>
      <c r="F6304" s="184"/>
      <c r="G6304" s="184"/>
      <c r="H6304" s="184"/>
      <c r="I6304" s="184"/>
      <c r="J6304" s="184"/>
      <c r="K6304" s="184"/>
      <c r="L6304" s="184"/>
      <c r="M6304" s="184"/>
      <c r="N6304" s="184"/>
      <c r="O6304" s="184"/>
    </row>
    <row r="6305" customFormat="false" ht="15" hidden="false" customHeight="true" outlineLevel="0" collapsed="false">
      <c r="A6305" s="184"/>
      <c r="B6305" s="184"/>
      <c r="C6305" s="184"/>
      <c r="D6305" s="184"/>
      <c r="E6305" s="184"/>
      <c r="F6305" s="184"/>
      <c r="G6305" s="184"/>
      <c r="H6305" s="184"/>
      <c r="I6305" s="184"/>
      <c r="J6305" s="184"/>
      <c r="K6305" s="184"/>
      <c r="L6305" s="184"/>
      <c r="M6305" s="184"/>
      <c r="N6305" s="184"/>
      <c r="O6305" s="184"/>
    </row>
    <row r="6306" customFormat="false" ht="15" hidden="false" customHeight="true" outlineLevel="0" collapsed="false">
      <c r="A6306" s="184"/>
      <c r="B6306" s="184"/>
      <c r="C6306" s="184"/>
      <c r="D6306" s="184"/>
      <c r="E6306" s="184"/>
      <c r="F6306" s="184"/>
      <c r="G6306" s="184"/>
      <c r="H6306" s="184"/>
      <c r="I6306" s="184"/>
      <c r="J6306" s="184"/>
      <c r="K6306" s="184"/>
      <c r="L6306" s="184"/>
      <c r="M6306" s="184"/>
      <c r="N6306" s="184"/>
      <c r="O6306" s="184"/>
    </row>
    <row r="6307" customFormat="false" ht="15" hidden="false" customHeight="true" outlineLevel="0" collapsed="false">
      <c r="A6307" s="184"/>
      <c r="B6307" s="184"/>
      <c r="C6307" s="184"/>
      <c r="D6307" s="184"/>
      <c r="E6307" s="184"/>
      <c r="F6307" s="184"/>
      <c r="G6307" s="184"/>
      <c r="H6307" s="184"/>
      <c r="I6307" s="184"/>
      <c r="J6307" s="184"/>
      <c r="K6307" s="184"/>
      <c r="L6307" s="184"/>
      <c r="M6307" s="184"/>
      <c r="N6307" s="184"/>
      <c r="O6307" s="184"/>
    </row>
    <row r="6308" customFormat="false" ht="15" hidden="false" customHeight="true" outlineLevel="0" collapsed="false">
      <c r="A6308" s="184"/>
      <c r="B6308" s="184"/>
      <c r="C6308" s="184"/>
      <c r="D6308" s="184"/>
      <c r="E6308" s="184"/>
      <c r="F6308" s="184"/>
      <c r="G6308" s="184"/>
      <c r="H6308" s="184"/>
      <c r="I6308" s="184"/>
      <c r="J6308" s="184"/>
      <c r="K6308" s="184"/>
      <c r="L6308" s="184"/>
      <c r="M6308" s="184"/>
      <c r="N6308" s="184"/>
      <c r="O6308" s="184"/>
    </row>
    <row r="6309" customFormat="false" ht="15" hidden="false" customHeight="true" outlineLevel="0" collapsed="false">
      <c r="A6309" s="184"/>
      <c r="B6309" s="184"/>
      <c r="C6309" s="184"/>
      <c r="D6309" s="184"/>
      <c r="E6309" s="184"/>
      <c r="F6309" s="184"/>
      <c r="G6309" s="184"/>
      <c r="H6309" s="184"/>
      <c r="I6309" s="184"/>
      <c r="J6309" s="184"/>
      <c r="K6309" s="184"/>
      <c r="L6309" s="184"/>
      <c r="M6309" s="184"/>
      <c r="N6309" s="184"/>
      <c r="O6309" s="184"/>
    </row>
    <row r="6310" customFormat="false" ht="15" hidden="false" customHeight="true" outlineLevel="0" collapsed="false">
      <c r="A6310" s="184"/>
      <c r="B6310" s="184"/>
      <c r="C6310" s="184"/>
      <c r="D6310" s="184"/>
      <c r="E6310" s="184"/>
      <c r="F6310" s="184"/>
      <c r="G6310" s="184"/>
      <c r="H6310" s="184"/>
      <c r="I6310" s="184"/>
      <c r="J6310" s="184"/>
      <c r="K6310" s="184"/>
      <c r="L6310" s="184"/>
      <c r="M6310" s="184"/>
      <c r="N6310" s="184"/>
      <c r="O6310" s="184"/>
    </row>
    <row r="6311" customFormat="false" ht="15" hidden="false" customHeight="true" outlineLevel="0" collapsed="false">
      <c r="A6311" s="184"/>
      <c r="B6311" s="184"/>
      <c r="C6311" s="184"/>
      <c r="D6311" s="184"/>
      <c r="E6311" s="184"/>
      <c r="F6311" s="184"/>
      <c r="G6311" s="184"/>
      <c r="H6311" s="184"/>
      <c r="I6311" s="184"/>
      <c r="J6311" s="184"/>
      <c r="K6311" s="184"/>
      <c r="L6311" s="184"/>
      <c r="M6311" s="184"/>
      <c r="N6311" s="184"/>
      <c r="O6311" s="184"/>
    </row>
    <row r="6312" customFormat="false" ht="15" hidden="false" customHeight="true" outlineLevel="0" collapsed="false">
      <c r="A6312" s="184"/>
      <c r="B6312" s="184"/>
      <c r="C6312" s="184"/>
      <c r="D6312" s="184"/>
      <c r="E6312" s="184"/>
      <c r="F6312" s="184"/>
      <c r="G6312" s="184"/>
      <c r="H6312" s="184"/>
      <c r="I6312" s="184"/>
      <c r="J6312" s="184"/>
      <c r="K6312" s="184"/>
      <c r="L6312" s="184"/>
      <c r="M6312" s="184"/>
      <c r="N6312" s="184"/>
      <c r="O6312" s="184"/>
    </row>
    <row r="6313" customFormat="false" ht="15" hidden="false" customHeight="true" outlineLevel="0" collapsed="false">
      <c r="A6313" s="184"/>
      <c r="B6313" s="184"/>
      <c r="C6313" s="184"/>
      <c r="D6313" s="184"/>
      <c r="E6313" s="184"/>
      <c r="F6313" s="184"/>
      <c r="G6313" s="184"/>
      <c r="H6313" s="184"/>
      <c r="I6313" s="184"/>
      <c r="J6313" s="184"/>
      <c r="K6313" s="184"/>
      <c r="L6313" s="184"/>
      <c r="M6313" s="184"/>
      <c r="N6313" s="184"/>
      <c r="O6313" s="184"/>
    </row>
    <row r="6314" customFormat="false" ht="15" hidden="false" customHeight="true" outlineLevel="0" collapsed="false">
      <c r="A6314" s="184"/>
      <c r="B6314" s="184"/>
      <c r="C6314" s="184"/>
      <c r="D6314" s="184"/>
      <c r="E6314" s="184"/>
      <c r="F6314" s="184"/>
      <c r="G6314" s="184"/>
      <c r="H6314" s="184"/>
      <c r="I6314" s="184"/>
      <c r="J6314" s="184"/>
      <c r="K6314" s="184"/>
      <c r="L6314" s="184"/>
      <c r="M6314" s="184"/>
      <c r="N6314" s="184"/>
      <c r="O6314" s="184"/>
    </row>
    <row r="6315" customFormat="false" ht="15" hidden="false" customHeight="true" outlineLevel="0" collapsed="false">
      <c r="A6315" s="184"/>
      <c r="B6315" s="184"/>
      <c r="C6315" s="184"/>
      <c r="D6315" s="184"/>
      <c r="E6315" s="184"/>
      <c r="F6315" s="184"/>
      <c r="G6315" s="184"/>
      <c r="H6315" s="184"/>
      <c r="I6315" s="184"/>
      <c r="J6315" s="184"/>
      <c r="K6315" s="184"/>
      <c r="L6315" s="184"/>
      <c r="M6315" s="184"/>
      <c r="N6315" s="184"/>
      <c r="O6315" s="184"/>
    </row>
    <row r="6316" customFormat="false" ht="15" hidden="false" customHeight="true" outlineLevel="0" collapsed="false">
      <c r="A6316" s="184"/>
      <c r="B6316" s="184"/>
      <c r="C6316" s="184"/>
      <c r="D6316" s="184"/>
      <c r="E6316" s="184"/>
      <c r="F6316" s="184"/>
      <c r="G6316" s="184"/>
      <c r="H6316" s="184"/>
      <c r="I6316" s="184"/>
      <c r="J6316" s="184"/>
      <c r="K6316" s="184"/>
      <c r="L6316" s="184"/>
      <c r="M6316" s="184"/>
      <c r="N6316" s="184"/>
      <c r="O6316" s="184"/>
    </row>
    <row r="6317" customFormat="false" ht="15" hidden="false" customHeight="true" outlineLevel="0" collapsed="false">
      <c r="A6317" s="184"/>
      <c r="B6317" s="184"/>
      <c r="C6317" s="184"/>
      <c r="D6317" s="184"/>
      <c r="E6317" s="184"/>
      <c r="F6317" s="184"/>
      <c r="G6317" s="184"/>
      <c r="H6317" s="184"/>
      <c r="I6317" s="184"/>
      <c r="J6317" s="184"/>
      <c r="K6317" s="184"/>
      <c r="L6317" s="184"/>
      <c r="M6317" s="184"/>
      <c r="N6317" s="184"/>
      <c r="O6317" s="184"/>
    </row>
    <row r="6318" customFormat="false" ht="15" hidden="false" customHeight="true" outlineLevel="0" collapsed="false">
      <c r="A6318" s="184"/>
      <c r="B6318" s="184"/>
      <c r="C6318" s="184"/>
      <c r="D6318" s="184"/>
      <c r="E6318" s="184"/>
      <c r="F6318" s="184"/>
      <c r="G6318" s="184"/>
      <c r="H6318" s="184"/>
      <c r="I6318" s="184"/>
      <c r="J6318" s="184"/>
      <c r="K6318" s="184"/>
      <c r="L6318" s="184"/>
      <c r="M6318" s="184"/>
      <c r="N6318" s="184"/>
      <c r="O6318" s="184"/>
    </row>
    <row r="6319" customFormat="false" ht="15" hidden="false" customHeight="true" outlineLevel="0" collapsed="false">
      <c r="A6319" s="184"/>
      <c r="B6319" s="184"/>
      <c r="C6319" s="184"/>
      <c r="D6319" s="184"/>
      <c r="E6319" s="184"/>
      <c r="F6319" s="184"/>
      <c r="G6319" s="184"/>
      <c r="H6319" s="184"/>
      <c r="I6319" s="184"/>
      <c r="J6319" s="184"/>
      <c r="K6319" s="184"/>
      <c r="L6319" s="184"/>
      <c r="M6319" s="184"/>
      <c r="N6319" s="184"/>
      <c r="O6319" s="184"/>
    </row>
    <row r="6320" customFormat="false" ht="15" hidden="false" customHeight="true" outlineLevel="0" collapsed="false">
      <c r="A6320" s="184"/>
      <c r="B6320" s="184"/>
      <c r="C6320" s="184"/>
      <c r="D6320" s="184"/>
      <c r="E6320" s="184"/>
      <c r="F6320" s="184"/>
      <c r="G6320" s="184"/>
      <c r="H6320" s="184"/>
      <c r="I6320" s="184"/>
      <c r="J6320" s="184"/>
      <c r="K6320" s="184"/>
      <c r="L6320" s="184"/>
      <c r="M6320" s="184"/>
      <c r="N6320" s="184"/>
      <c r="O6320" s="184"/>
    </row>
    <row r="6321" customFormat="false" ht="15" hidden="false" customHeight="true" outlineLevel="0" collapsed="false">
      <c r="A6321" s="184"/>
      <c r="B6321" s="184"/>
      <c r="C6321" s="184"/>
      <c r="D6321" s="184"/>
      <c r="E6321" s="184"/>
      <c r="F6321" s="184"/>
      <c r="G6321" s="184"/>
      <c r="H6321" s="184"/>
      <c r="I6321" s="184"/>
      <c r="J6321" s="184"/>
      <c r="K6321" s="184"/>
      <c r="L6321" s="184"/>
      <c r="M6321" s="184"/>
      <c r="N6321" s="184"/>
      <c r="O6321" s="184"/>
    </row>
    <row r="6322" customFormat="false" ht="15" hidden="false" customHeight="true" outlineLevel="0" collapsed="false">
      <c r="A6322" s="184"/>
      <c r="B6322" s="184"/>
      <c r="C6322" s="184"/>
      <c r="D6322" s="184"/>
      <c r="E6322" s="184"/>
      <c r="F6322" s="184"/>
      <c r="G6322" s="184"/>
      <c r="H6322" s="184"/>
      <c r="I6322" s="184"/>
      <c r="J6322" s="184"/>
      <c r="K6322" s="184"/>
      <c r="L6322" s="184"/>
      <c r="M6322" s="184"/>
      <c r="N6322" s="184"/>
      <c r="O6322" s="184"/>
    </row>
    <row r="6323" customFormat="false" ht="15" hidden="false" customHeight="true" outlineLevel="0" collapsed="false">
      <c r="A6323" s="184"/>
      <c r="B6323" s="184"/>
      <c r="C6323" s="184"/>
      <c r="D6323" s="184"/>
      <c r="E6323" s="184"/>
      <c r="F6323" s="184"/>
      <c r="G6323" s="184"/>
      <c r="H6323" s="184"/>
      <c r="I6323" s="184"/>
      <c r="J6323" s="184"/>
      <c r="K6323" s="184"/>
      <c r="L6323" s="184"/>
      <c r="M6323" s="184"/>
      <c r="N6323" s="184"/>
      <c r="O6323" s="184"/>
    </row>
    <row r="6324" customFormat="false" ht="15" hidden="false" customHeight="true" outlineLevel="0" collapsed="false">
      <c r="A6324" s="184"/>
      <c r="B6324" s="184"/>
      <c r="C6324" s="184"/>
      <c r="D6324" s="184"/>
      <c r="E6324" s="184"/>
      <c r="F6324" s="184"/>
      <c r="G6324" s="184"/>
      <c r="H6324" s="184"/>
      <c r="I6324" s="184"/>
      <c r="J6324" s="184"/>
      <c r="K6324" s="184"/>
      <c r="L6324" s="184"/>
      <c r="M6324" s="184"/>
      <c r="N6324" s="184"/>
      <c r="O6324" s="184"/>
    </row>
    <row r="6325" customFormat="false" ht="15" hidden="false" customHeight="true" outlineLevel="0" collapsed="false">
      <c r="A6325" s="184"/>
      <c r="B6325" s="184"/>
      <c r="C6325" s="184"/>
      <c r="D6325" s="184"/>
      <c r="E6325" s="184"/>
      <c r="F6325" s="184"/>
      <c r="G6325" s="184"/>
      <c r="H6325" s="184"/>
      <c r="I6325" s="184"/>
      <c r="J6325" s="184"/>
      <c r="K6325" s="184"/>
      <c r="L6325" s="184"/>
      <c r="M6325" s="184"/>
      <c r="N6325" s="184"/>
      <c r="O6325" s="184"/>
    </row>
    <row r="6326" customFormat="false" ht="15" hidden="false" customHeight="true" outlineLevel="0" collapsed="false">
      <c r="A6326" s="184"/>
      <c r="B6326" s="184"/>
      <c r="C6326" s="184"/>
      <c r="D6326" s="184"/>
      <c r="E6326" s="184"/>
      <c r="F6326" s="184"/>
      <c r="G6326" s="184"/>
      <c r="H6326" s="184"/>
      <c r="I6326" s="184"/>
      <c r="J6326" s="184"/>
      <c r="K6326" s="184"/>
      <c r="L6326" s="184"/>
      <c r="M6326" s="184"/>
      <c r="N6326" s="184"/>
      <c r="O6326" s="184"/>
    </row>
    <row r="6327" customFormat="false" ht="15" hidden="false" customHeight="true" outlineLevel="0" collapsed="false">
      <c r="A6327" s="184"/>
      <c r="B6327" s="184"/>
      <c r="C6327" s="184"/>
      <c r="D6327" s="184"/>
      <c r="E6327" s="184"/>
      <c r="F6327" s="184"/>
      <c r="G6327" s="184"/>
      <c r="H6327" s="184"/>
      <c r="I6327" s="184"/>
      <c r="J6327" s="184"/>
      <c r="K6327" s="184"/>
      <c r="L6327" s="184"/>
      <c r="M6327" s="184"/>
      <c r="N6327" s="184"/>
      <c r="O6327" s="184"/>
    </row>
    <row r="6328" customFormat="false" ht="15" hidden="false" customHeight="true" outlineLevel="0" collapsed="false">
      <c r="A6328" s="184"/>
      <c r="B6328" s="184"/>
      <c r="C6328" s="184"/>
      <c r="D6328" s="184"/>
      <c r="E6328" s="184"/>
      <c r="F6328" s="184"/>
      <c r="G6328" s="184"/>
      <c r="H6328" s="184"/>
      <c r="I6328" s="184"/>
      <c r="J6328" s="184"/>
      <c r="K6328" s="184"/>
      <c r="L6328" s="184"/>
      <c r="M6328" s="184"/>
      <c r="N6328" s="184"/>
      <c r="O6328" s="184"/>
    </row>
    <row r="6329" customFormat="false" ht="15" hidden="false" customHeight="true" outlineLevel="0" collapsed="false">
      <c r="A6329" s="184"/>
      <c r="B6329" s="184"/>
      <c r="C6329" s="184"/>
      <c r="D6329" s="184"/>
      <c r="E6329" s="184"/>
      <c r="F6329" s="184"/>
      <c r="G6329" s="184"/>
      <c r="H6329" s="184"/>
      <c r="I6329" s="184"/>
      <c r="J6329" s="184"/>
      <c r="K6329" s="184"/>
      <c r="L6329" s="184"/>
      <c r="M6329" s="184"/>
      <c r="N6329" s="184"/>
      <c r="O6329" s="184"/>
    </row>
    <row r="6330" customFormat="false" ht="15" hidden="false" customHeight="true" outlineLevel="0" collapsed="false">
      <c r="A6330" s="184"/>
      <c r="B6330" s="184"/>
      <c r="C6330" s="184"/>
      <c r="D6330" s="184"/>
      <c r="E6330" s="184"/>
      <c r="F6330" s="184"/>
      <c r="G6330" s="184"/>
      <c r="H6330" s="184"/>
      <c r="I6330" s="184"/>
      <c r="J6330" s="184"/>
      <c r="K6330" s="184"/>
      <c r="L6330" s="184"/>
      <c r="M6330" s="184"/>
      <c r="N6330" s="184"/>
      <c r="O6330" s="184"/>
    </row>
    <row r="6331" customFormat="false" ht="15" hidden="false" customHeight="true" outlineLevel="0" collapsed="false">
      <c r="A6331" s="184"/>
      <c r="B6331" s="184"/>
      <c r="C6331" s="184"/>
      <c r="D6331" s="184"/>
      <c r="E6331" s="184"/>
      <c r="F6331" s="184"/>
      <c r="G6331" s="184"/>
      <c r="H6331" s="184"/>
      <c r="I6331" s="184"/>
      <c r="J6331" s="184"/>
      <c r="K6331" s="184"/>
      <c r="L6331" s="184"/>
      <c r="M6331" s="184"/>
      <c r="N6331" s="184"/>
      <c r="O6331" s="184"/>
    </row>
    <row r="6332" customFormat="false" ht="15" hidden="false" customHeight="true" outlineLevel="0" collapsed="false">
      <c r="A6332" s="184"/>
      <c r="B6332" s="184"/>
      <c r="C6332" s="184"/>
      <c r="D6332" s="184"/>
      <c r="E6332" s="184"/>
      <c r="F6332" s="184"/>
      <c r="G6332" s="184"/>
      <c r="H6332" s="184"/>
      <c r="I6332" s="184"/>
      <c r="J6332" s="184"/>
      <c r="K6332" s="184"/>
      <c r="L6332" s="184"/>
      <c r="M6332" s="184"/>
      <c r="N6332" s="184"/>
      <c r="O6332" s="184"/>
    </row>
    <row r="6333" customFormat="false" ht="15" hidden="false" customHeight="true" outlineLevel="0" collapsed="false">
      <c r="A6333" s="184"/>
      <c r="B6333" s="184"/>
      <c r="C6333" s="184"/>
      <c r="D6333" s="184"/>
      <c r="E6333" s="184"/>
      <c r="F6333" s="184"/>
      <c r="G6333" s="184"/>
      <c r="H6333" s="184"/>
      <c r="I6333" s="184"/>
      <c r="J6333" s="184"/>
      <c r="K6333" s="184"/>
      <c r="L6333" s="184"/>
      <c r="M6333" s="184"/>
      <c r="N6333" s="184"/>
      <c r="O6333" s="184"/>
    </row>
    <row r="6334" customFormat="false" ht="15" hidden="false" customHeight="true" outlineLevel="0" collapsed="false">
      <c r="A6334" s="184"/>
      <c r="B6334" s="184"/>
      <c r="C6334" s="184"/>
      <c r="D6334" s="184"/>
      <c r="E6334" s="184"/>
      <c r="F6334" s="184"/>
      <c r="G6334" s="184"/>
      <c r="H6334" s="184"/>
      <c r="I6334" s="184"/>
      <c r="J6334" s="184"/>
      <c r="K6334" s="184"/>
      <c r="L6334" s="184"/>
      <c r="M6334" s="184"/>
      <c r="N6334" s="184"/>
      <c r="O6334" s="184"/>
    </row>
    <row r="6335" customFormat="false" ht="15" hidden="false" customHeight="true" outlineLevel="0" collapsed="false">
      <c r="A6335" s="184"/>
      <c r="B6335" s="184"/>
      <c r="C6335" s="184"/>
      <c r="D6335" s="184"/>
      <c r="E6335" s="184"/>
      <c r="F6335" s="184"/>
      <c r="G6335" s="184"/>
      <c r="H6335" s="184"/>
      <c r="I6335" s="184"/>
      <c r="J6335" s="184"/>
      <c r="K6335" s="184"/>
      <c r="L6335" s="184"/>
      <c r="M6335" s="184"/>
      <c r="N6335" s="184"/>
      <c r="O6335" s="184"/>
    </row>
    <row r="6336" customFormat="false" ht="15" hidden="false" customHeight="true" outlineLevel="0" collapsed="false">
      <c r="A6336" s="184"/>
      <c r="B6336" s="184"/>
      <c r="C6336" s="184"/>
      <c r="D6336" s="184"/>
      <c r="E6336" s="184"/>
      <c r="F6336" s="184"/>
      <c r="G6336" s="184"/>
      <c r="H6336" s="184"/>
      <c r="I6336" s="184"/>
      <c r="J6336" s="184"/>
      <c r="K6336" s="184"/>
      <c r="L6336" s="184"/>
      <c r="M6336" s="184"/>
      <c r="N6336" s="184"/>
      <c r="O6336" s="184"/>
    </row>
    <row r="6337" customFormat="false" ht="15" hidden="false" customHeight="true" outlineLevel="0" collapsed="false">
      <c r="A6337" s="184"/>
      <c r="B6337" s="184"/>
      <c r="C6337" s="184"/>
      <c r="D6337" s="184"/>
      <c r="E6337" s="184"/>
      <c r="F6337" s="184"/>
      <c r="G6337" s="184"/>
      <c r="H6337" s="184"/>
      <c r="I6337" s="184"/>
      <c r="J6337" s="184"/>
      <c r="K6337" s="184"/>
      <c r="L6337" s="184"/>
      <c r="M6337" s="184"/>
      <c r="N6337" s="184"/>
      <c r="O6337" s="184"/>
    </row>
    <row r="6338" customFormat="false" ht="15" hidden="false" customHeight="true" outlineLevel="0" collapsed="false">
      <c r="A6338" s="184"/>
      <c r="B6338" s="184"/>
      <c r="C6338" s="184"/>
      <c r="D6338" s="184"/>
      <c r="E6338" s="184"/>
      <c r="F6338" s="184"/>
      <c r="G6338" s="184"/>
      <c r="H6338" s="184"/>
      <c r="I6338" s="184"/>
      <c r="J6338" s="184"/>
      <c r="K6338" s="184"/>
      <c r="L6338" s="184"/>
      <c r="M6338" s="184"/>
      <c r="N6338" s="184"/>
      <c r="O6338" s="184"/>
    </row>
    <row r="6339" customFormat="false" ht="15" hidden="false" customHeight="true" outlineLevel="0" collapsed="false">
      <c r="A6339" s="184"/>
      <c r="B6339" s="184"/>
      <c r="C6339" s="184"/>
      <c r="D6339" s="184"/>
      <c r="E6339" s="184"/>
      <c r="F6339" s="184"/>
      <c r="G6339" s="184"/>
      <c r="H6339" s="184"/>
      <c r="I6339" s="184"/>
      <c r="J6339" s="184"/>
      <c r="K6339" s="184"/>
      <c r="L6339" s="184"/>
      <c r="M6339" s="184"/>
      <c r="N6339" s="184"/>
      <c r="O6339" s="184"/>
    </row>
    <row r="6340" customFormat="false" ht="15" hidden="false" customHeight="true" outlineLevel="0" collapsed="false">
      <c r="A6340" s="184"/>
      <c r="B6340" s="184"/>
      <c r="C6340" s="184"/>
      <c r="D6340" s="184"/>
      <c r="E6340" s="184"/>
      <c r="F6340" s="184"/>
      <c r="G6340" s="184"/>
      <c r="H6340" s="184"/>
      <c r="I6340" s="184"/>
      <c r="J6340" s="184"/>
      <c r="K6340" s="184"/>
      <c r="L6340" s="184"/>
      <c r="M6340" s="184"/>
      <c r="N6340" s="184"/>
      <c r="O6340" s="184"/>
    </row>
    <row r="6341" customFormat="false" ht="15" hidden="false" customHeight="true" outlineLevel="0" collapsed="false">
      <c r="A6341" s="184"/>
      <c r="B6341" s="184"/>
      <c r="C6341" s="184"/>
      <c r="D6341" s="184"/>
      <c r="E6341" s="184"/>
      <c r="F6341" s="184"/>
      <c r="G6341" s="184"/>
      <c r="H6341" s="184"/>
      <c r="I6341" s="184"/>
      <c r="J6341" s="184"/>
      <c r="K6341" s="184"/>
      <c r="L6341" s="184"/>
      <c r="M6341" s="184"/>
      <c r="N6341" s="184"/>
      <c r="O6341" s="184"/>
    </row>
    <row r="6342" customFormat="false" ht="15" hidden="false" customHeight="true" outlineLevel="0" collapsed="false">
      <c r="A6342" s="184"/>
      <c r="B6342" s="184"/>
      <c r="C6342" s="184"/>
      <c r="D6342" s="184"/>
      <c r="E6342" s="184"/>
      <c r="F6342" s="184"/>
      <c r="G6342" s="184"/>
      <c r="H6342" s="184"/>
      <c r="I6342" s="184"/>
      <c r="J6342" s="184"/>
      <c r="K6342" s="184"/>
      <c r="L6342" s="184"/>
      <c r="M6342" s="184"/>
      <c r="N6342" s="184"/>
      <c r="O6342" s="184"/>
    </row>
    <row r="6343" customFormat="false" ht="15" hidden="false" customHeight="true" outlineLevel="0" collapsed="false">
      <c r="A6343" s="184"/>
      <c r="B6343" s="184"/>
      <c r="C6343" s="184"/>
      <c r="D6343" s="184"/>
      <c r="E6343" s="184"/>
      <c r="F6343" s="184"/>
      <c r="G6343" s="184"/>
      <c r="H6343" s="184"/>
      <c r="I6343" s="184"/>
      <c r="J6343" s="184"/>
      <c r="K6343" s="184"/>
      <c r="L6343" s="184"/>
      <c r="M6343" s="184"/>
      <c r="N6343" s="184"/>
      <c r="O6343" s="184"/>
    </row>
    <row r="6344" customFormat="false" ht="15" hidden="false" customHeight="true" outlineLevel="0" collapsed="false">
      <c r="A6344" s="184"/>
      <c r="B6344" s="184"/>
      <c r="C6344" s="184"/>
      <c r="D6344" s="184"/>
      <c r="E6344" s="184"/>
      <c r="F6344" s="184"/>
      <c r="G6344" s="184"/>
      <c r="H6344" s="184"/>
      <c r="I6344" s="184"/>
      <c r="J6344" s="184"/>
      <c r="K6344" s="184"/>
      <c r="L6344" s="184"/>
      <c r="M6344" s="184"/>
      <c r="N6344" s="184"/>
      <c r="O6344" s="184"/>
    </row>
    <row r="6345" customFormat="false" ht="15" hidden="false" customHeight="true" outlineLevel="0" collapsed="false">
      <c r="A6345" s="184"/>
      <c r="B6345" s="184"/>
      <c r="C6345" s="184"/>
      <c r="D6345" s="184"/>
      <c r="E6345" s="184"/>
      <c r="F6345" s="184"/>
      <c r="G6345" s="184"/>
      <c r="H6345" s="184"/>
      <c r="I6345" s="184"/>
      <c r="J6345" s="184"/>
      <c r="K6345" s="184"/>
      <c r="L6345" s="184"/>
      <c r="M6345" s="184"/>
      <c r="N6345" s="184"/>
      <c r="O6345" s="184"/>
    </row>
    <row r="6346" customFormat="false" ht="15" hidden="false" customHeight="true" outlineLevel="0" collapsed="false">
      <c r="A6346" s="184"/>
      <c r="B6346" s="184"/>
      <c r="C6346" s="184"/>
      <c r="D6346" s="184"/>
      <c r="E6346" s="184"/>
      <c r="F6346" s="184"/>
      <c r="G6346" s="184"/>
      <c r="H6346" s="184"/>
      <c r="I6346" s="184"/>
      <c r="J6346" s="184"/>
      <c r="K6346" s="184"/>
      <c r="L6346" s="184"/>
      <c r="M6346" s="184"/>
      <c r="N6346" s="184"/>
      <c r="O6346" s="184"/>
    </row>
    <row r="6347" customFormat="false" ht="15" hidden="false" customHeight="true" outlineLevel="0" collapsed="false">
      <c r="A6347" s="184"/>
      <c r="B6347" s="184"/>
      <c r="C6347" s="184"/>
      <c r="D6347" s="184"/>
      <c r="E6347" s="184"/>
      <c r="F6347" s="184"/>
      <c r="G6347" s="184"/>
      <c r="H6347" s="184"/>
      <c r="I6347" s="184"/>
      <c r="J6347" s="184"/>
      <c r="K6347" s="184"/>
      <c r="L6347" s="184"/>
      <c r="M6347" s="184"/>
      <c r="N6347" s="184"/>
      <c r="O6347" s="184"/>
    </row>
    <row r="6348" customFormat="false" ht="15" hidden="false" customHeight="true" outlineLevel="0" collapsed="false">
      <c r="A6348" s="184"/>
      <c r="B6348" s="184"/>
      <c r="C6348" s="184"/>
      <c r="D6348" s="184"/>
      <c r="E6348" s="184"/>
      <c r="F6348" s="184"/>
      <c r="G6348" s="184"/>
      <c r="H6348" s="184"/>
      <c r="I6348" s="184"/>
      <c r="J6348" s="184"/>
      <c r="K6348" s="184"/>
      <c r="L6348" s="184"/>
      <c r="M6348" s="184"/>
      <c r="N6348" s="184"/>
      <c r="O6348" s="184"/>
    </row>
    <row r="6349" customFormat="false" ht="15" hidden="false" customHeight="true" outlineLevel="0" collapsed="false">
      <c r="A6349" s="184"/>
      <c r="B6349" s="184"/>
      <c r="C6349" s="184"/>
      <c r="D6349" s="184"/>
      <c r="E6349" s="184"/>
      <c r="F6349" s="184"/>
      <c r="G6349" s="184"/>
      <c r="H6349" s="184"/>
      <c r="I6349" s="184"/>
      <c r="J6349" s="184"/>
      <c r="K6349" s="184"/>
      <c r="L6349" s="184"/>
      <c r="M6349" s="184"/>
      <c r="N6349" s="184"/>
      <c r="O6349" s="184"/>
    </row>
    <row r="6350" customFormat="false" ht="15" hidden="false" customHeight="true" outlineLevel="0" collapsed="false">
      <c r="A6350" s="184"/>
      <c r="B6350" s="184"/>
      <c r="C6350" s="184"/>
      <c r="D6350" s="184"/>
      <c r="E6350" s="184"/>
      <c r="F6350" s="184"/>
      <c r="G6350" s="184"/>
      <c r="H6350" s="184"/>
      <c r="I6350" s="184"/>
      <c r="J6350" s="184"/>
      <c r="K6350" s="184"/>
      <c r="L6350" s="184"/>
      <c r="M6350" s="184"/>
      <c r="N6350" s="184"/>
      <c r="O6350" s="184"/>
    </row>
    <row r="6351" customFormat="false" ht="15" hidden="false" customHeight="true" outlineLevel="0" collapsed="false">
      <c r="A6351" s="184"/>
      <c r="B6351" s="184"/>
      <c r="C6351" s="184"/>
      <c r="D6351" s="184"/>
      <c r="E6351" s="184"/>
      <c r="F6351" s="184"/>
      <c r="G6351" s="184"/>
      <c r="H6351" s="184"/>
      <c r="I6351" s="184"/>
      <c r="J6351" s="184"/>
      <c r="K6351" s="184"/>
      <c r="L6351" s="184"/>
      <c r="M6351" s="184"/>
      <c r="N6351" s="184"/>
      <c r="O6351" s="184"/>
    </row>
    <row r="6352" customFormat="false" ht="15" hidden="false" customHeight="true" outlineLevel="0" collapsed="false">
      <c r="A6352" s="184"/>
      <c r="B6352" s="184"/>
      <c r="C6352" s="184"/>
      <c r="D6352" s="184"/>
      <c r="E6352" s="184"/>
      <c r="F6352" s="184"/>
      <c r="G6352" s="184"/>
      <c r="H6352" s="184"/>
      <c r="I6352" s="184"/>
      <c r="J6352" s="184"/>
      <c r="K6352" s="184"/>
      <c r="L6352" s="184"/>
      <c r="M6352" s="184"/>
      <c r="N6352" s="184"/>
      <c r="O6352" s="184"/>
    </row>
    <row r="6353" customFormat="false" ht="15" hidden="false" customHeight="true" outlineLevel="0" collapsed="false">
      <c r="A6353" s="184"/>
      <c r="B6353" s="184"/>
      <c r="C6353" s="184"/>
      <c r="D6353" s="184"/>
      <c r="E6353" s="184"/>
      <c r="F6353" s="184"/>
      <c r="G6353" s="184"/>
      <c r="H6353" s="184"/>
      <c r="I6353" s="184"/>
      <c r="J6353" s="184"/>
      <c r="K6353" s="184"/>
      <c r="L6353" s="184"/>
      <c r="M6353" s="184"/>
      <c r="N6353" s="184"/>
      <c r="O6353" s="184"/>
    </row>
    <row r="6354" customFormat="false" ht="15" hidden="false" customHeight="true" outlineLevel="0" collapsed="false">
      <c r="A6354" s="184"/>
      <c r="B6354" s="184"/>
      <c r="C6354" s="184"/>
      <c r="D6354" s="184"/>
      <c r="E6354" s="184"/>
      <c r="F6354" s="184"/>
      <c r="G6354" s="184"/>
      <c r="H6354" s="184"/>
      <c r="I6354" s="184"/>
      <c r="J6354" s="184"/>
      <c r="K6354" s="184"/>
      <c r="L6354" s="184"/>
      <c r="M6354" s="184"/>
      <c r="N6354" s="184"/>
      <c r="O6354" s="184"/>
    </row>
    <row r="6355" customFormat="false" ht="15" hidden="false" customHeight="true" outlineLevel="0" collapsed="false">
      <c r="A6355" s="184"/>
      <c r="B6355" s="184"/>
      <c r="C6355" s="184"/>
      <c r="D6355" s="184"/>
      <c r="E6355" s="184"/>
      <c r="F6355" s="184"/>
      <c r="G6355" s="184"/>
      <c r="H6355" s="184"/>
      <c r="I6355" s="184"/>
      <c r="J6355" s="184"/>
      <c r="K6355" s="184"/>
      <c r="L6355" s="184"/>
      <c r="M6355" s="184"/>
      <c r="N6355" s="184"/>
      <c r="O6355" s="184"/>
    </row>
    <row r="6356" customFormat="false" ht="15" hidden="false" customHeight="true" outlineLevel="0" collapsed="false">
      <c r="A6356" s="184"/>
      <c r="B6356" s="184"/>
      <c r="C6356" s="184"/>
      <c r="D6356" s="184"/>
      <c r="E6356" s="184"/>
      <c r="F6356" s="184"/>
      <c r="G6356" s="184"/>
      <c r="H6356" s="184"/>
      <c r="I6356" s="184"/>
      <c r="J6356" s="184"/>
      <c r="K6356" s="184"/>
      <c r="L6356" s="184"/>
      <c r="M6356" s="184"/>
      <c r="N6356" s="184"/>
      <c r="O6356" s="184"/>
    </row>
    <row r="6357" customFormat="false" ht="15" hidden="false" customHeight="true" outlineLevel="0" collapsed="false">
      <c r="A6357" s="184"/>
      <c r="B6357" s="184"/>
      <c r="C6357" s="184"/>
      <c r="D6357" s="184"/>
      <c r="E6357" s="184"/>
      <c r="F6357" s="184"/>
      <c r="G6357" s="184"/>
      <c r="H6357" s="184"/>
      <c r="I6357" s="184"/>
      <c r="J6357" s="184"/>
      <c r="K6357" s="184"/>
      <c r="L6357" s="184"/>
      <c r="M6357" s="184"/>
      <c r="N6357" s="184"/>
      <c r="O6357" s="184"/>
    </row>
    <row r="6358" customFormat="false" ht="15" hidden="false" customHeight="true" outlineLevel="0" collapsed="false">
      <c r="A6358" s="184"/>
      <c r="B6358" s="184"/>
      <c r="C6358" s="184"/>
      <c r="D6358" s="184"/>
      <c r="E6358" s="184"/>
      <c r="F6358" s="184"/>
      <c r="G6358" s="184"/>
      <c r="H6358" s="184"/>
      <c r="I6358" s="184"/>
      <c r="J6358" s="184"/>
      <c r="K6358" s="184"/>
      <c r="L6358" s="184"/>
      <c r="M6358" s="184"/>
      <c r="N6358" s="184"/>
      <c r="O6358" s="184"/>
    </row>
    <row r="6359" customFormat="false" ht="15" hidden="false" customHeight="true" outlineLevel="0" collapsed="false">
      <c r="A6359" s="184"/>
      <c r="B6359" s="184"/>
      <c r="C6359" s="184"/>
      <c r="D6359" s="184"/>
      <c r="E6359" s="184"/>
      <c r="F6359" s="184"/>
      <c r="G6359" s="184"/>
      <c r="H6359" s="184"/>
      <c r="I6359" s="184"/>
      <c r="J6359" s="184"/>
      <c r="K6359" s="184"/>
      <c r="L6359" s="184"/>
      <c r="M6359" s="184"/>
      <c r="N6359" s="184"/>
      <c r="O6359" s="184"/>
    </row>
    <row r="6360" customFormat="false" ht="15" hidden="false" customHeight="true" outlineLevel="0" collapsed="false">
      <c r="A6360" s="184"/>
      <c r="B6360" s="184"/>
      <c r="C6360" s="184"/>
      <c r="D6360" s="184"/>
      <c r="E6360" s="184"/>
      <c r="F6360" s="184"/>
      <c r="G6360" s="184"/>
      <c r="H6360" s="184"/>
      <c r="I6360" s="184"/>
      <c r="J6360" s="184"/>
      <c r="K6360" s="184"/>
      <c r="L6360" s="184"/>
      <c r="M6360" s="184"/>
      <c r="N6360" s="184"/>
      <c r="O6360" s="184"/>
    </row>
    <row r="6361" customFormat="false" ht="15" hidden="false" customHeight="true" outlineLevel="0" collapsed="false">
      <c r="A6361" s="184"/>
      <c r="B6361" s="184"/>
      <c r="C6361" s="184"/>
      <c r="D6361" s="184"/>
      <c r="E6361" s="184"/>
      <c r="F6361" s="184"/>
      <c r="G6361" s="184"/>
      <c r="H6361" s="184"/>
      <c r="I6361" s="184"/>
      <c r="J6361" s="184"/>
      <c r="K6361" s="184"/>
      <c r="L6361" s="184"/>
      <c r="M6361" s="184"/>
      <c r="N6361" s="184"/>
      <c r="O6361" s="184"/>
    </row>
    <row r="6362" customFormat="false" ht="15" hidden="false" customHeight="true" outlineLevel="0" collapsed="false">
      <c r="A6362" s="184"/>
      <c r="B6362" s="184"/>
      <c r="C6362" s="184"/>
      <c r="D6362" s="184"/>
      <c r="E6362" s="184"/>
      <c r="F6362" s="184"/>
      <c r="G6362" s="184"/>
      <c r="H6362" s="184"/>
      <c r="I6362" s="184"/>
      <c r="J6362" s="184"/>
      <c r="K6362" s="184"/>
      <c r="L6362" s="184"/>
      <c r="M6362" s="184"/>
      <c r="N6362" s="184"/>
      <c r="O6362" s="184"/>
    </row>
    <row r="6363" customFormat="false" ht="15" hidden="false" customHeight="true" outlineLevel="0" collapsed="false">
      <c r="A6363" s="184"/>
      <c r="B6363" s="184"/>
      <c r="C6363" s="184"/>
      <c r="D6363" s="184"/>
      <c r="E6363" s="184"/>
      <c r="F6363" s="184"/>
      <c r="G6363" s="184"/>
      <c r="H6363" s="184"/>
      <c r="I6363" s="184"/>
      <c r="J6363" s="184"/>
      <c r="K6363" s="184"/>
      <c r="L6363" s="184"/>
      <c r="M6363" s="184"/>
      <c r="N6363" s="184"/>
      <c r="O6363" s="184"/>
    </row>
    <row r="6364" customFormat="false" ht="15" hidden="false" customHeight="true" outlineLevel="0" collapsed="false">
      <c r="A6364" s="184"/>
      <c r="B6364" s="184"/>
      <c r="C6364" s="184"/>
      <c r="D6364" s="184"/>
      <c r="E6364" s="184"/>
      <c r="F6364" s="184"/>
      <c r="G6364" s="184"/>
      <c r="H6364" s="184"/>
      <c r="I6364" s="184"/>
      <c r="J6364" s="184"/>
      <c r="K6364" s="184"/>
      <c r="L6364" s="184"/>
      <c r="M6364" s="184"/>
      <c r="N6364" s="184"/>
      <c r="O6364" s="184"/>
    </row>
    <row r="6365" customFormat="false" ht="15" hidden="false" customHeight="true" outlineLevel="0" collapsed="false">
      <c r="A6365" s="184"/>
      <c r="B6365" s="184"/>
      <c r="C6365" s="184"/>
      <c r="D6365" s="184"/>
      <c r="E6365" s="184"/>
      <c r="F6365" s="184"/>
      <c r="G6365" s="184"/>
      <c r="H6365" s="184"/>
      <c r="I6365" s="184"/>
      <c r="J6365" s="184"/>
      <c r="K6365" s="184"/>
      <c r="L6365" s="184"/>
      <c r="M6365" s="184"/>
      <c r="N6365" s="184"/>
      <c r="O6365" s="184"/>
    </row>
    <row r="6366" customFormat="false" ht="15" hidden="false" customHeight="true" outlineLevel="0" collapsed="false">
      <c r="A6366" s="184"/>
      <c r="B6366" s="184"/>
      <c r="C6366" s="184"/>
      <c r="D6366" s="184"/>
      <c r="E6366" s="184"/>
      <c r="F6366" s="184"/>
      <c r="G6366" s="184"/>
      <c r="H6366" s="184"/>
      <c r="I6366" s="184"/>
      <c r="J6366" s="184"/>
      <c r="K6366" s="184"/>
      <c r="L6366" s="184"/>
      <c r="M6366" s="184"/>
      <c r="N6366" s="184"/>
      <c r="O6366" s="184"/>
    </row>
    <row r="6367" customFormat="false" ht="15" hidden="false" customHeight="true" outlineLevel="0" collapsed="false">
      <c r="A6367" s="184"/>
      <c r="B6367" s="184"/>
      <c r="C6367" s="184"/>
      <c r="D6367" s="184"/>
      <c r="E6367" s="184"/>
      <c r="F6367" s="184"/>
      <c r="G6367" s="184"/>
      <c r="H6367" s="184"/>
      <c r="I6367" s="184"/>
      <c r="J6367" s="184"/>
      <c r="K6367" s="184"/>
      <c r="L6367" s="184"/>
      <c r="M6367" s="184"/>
      <c r="N6367" s="184"/>
      <c r="O6367" s="184"/>
    </row>
    <row r="6368" customFormat="false" ht="15" hidden="false" customHeight="true" outlineLevel="0" collapsed="false">
      <c r="A6368" s="184"/>
      <c r="B6368" s="184"/>
      <c r="C6368" s="184"/>
      <c r="D6368" s="184"/>
      <c r="E6368" s="184"/>
      <c r="F6368" s="184"/>
      <c r="G6368" s="184"/>
      <c r="H6368" s="184"/>
      <c r="I6368" s="184"/>
      <c r="J6368" s="184"/>
      <c r="K6368" s="184"/>
      <c r="L6368" s="184"/>
      <c r="M6368" s="184"/>
      <c r="N6368" s="184"/>
      <c r="O6368" s="184"/>
    </row>
    <row r="6369" customFormat="false" ht="15" hidden="false" customHeight="true" outlineLevel="0" collapsed="false">
      <c r="A6369" s="184"/>
      <c r="B6369" s="184"/>
      <c r="C6369" s="184"/>
      <c r="D6369" s="184"/>
      <c r="E6369" s="184"/>
      <c r="F6369" s="184"/>
      <c r="G6369" s="184"/>
      <c r="H6369" s="184"/>
      <c r="I6369" s="184"/>
      <c r="J6369" s="184"/>
      <c r="K6369" s="184"/>
      <c r="L6369" s="184"/>
      <c r="M6369" s="184"/>
      <c r="N6369" s="184"/>
      <c r="O6369" s="184"/>
    </row>
    <row r="6370" customFormat="false" ht="15" hidden="false" customHeight="true" outlineLevel="0" collapsed="false">
      <c r="A6370" s="184"/>
      <c r="B6370" s="184"/>
      <c r="C6370" s="184"/>
      <c r="D6370" s="184"/>
      <c r="E6370" s="184"/>
      <c r="F6370" s="184"/>
      <c r="G6370" s="184"/>
      <c r="H6370" s="184"/>
      <c r="I6370" s="184"/>
      <c r="J6370" s="184"/>
      <c r="K6370" s="184"/>
      <c r="L6370" s="184"/>
      <c r="M6370" s="184"/>
      <c r="N6370" s="184"/>
      <c r="O6370" s="184"/>
    </row>
    <row r="6371" customFormat="false" ht="15" hidden="false" customHeight="true" outlineLevel="0" collapsed="false">
      <c r="A6371" s="184"/>
      <c r="B6371" s="184"/>
      <c r="C6371" s="184"/>
      <c r="D6371" s="184"/>
      <c r="E6371" s="184"/>
      <c r="F6371" s="184"/>
      <c r="G6371" s="184"/>
      <c r="H6371" s="184"/>
      <c r="I6371" s="184"/>
      <c r="J6371" s="184"/>
      <c r="K6371" s="184"/>
      <c r="L6371" s="184"/>
      <c r="M6371" s="184"/>
      <c r="N6371" s="184"/>
      <c r="O6371" s="184"/>
    </row>
    <row r="6372" customFormat="false" ht="15" hidden="false" customHeight="true" outlineLevel="0" collapsed="false">
      <c r="A6372" s="184"/>
      <c r="B6372" s="184"/>
      <c r="C6372" s="184"/>
      <c r="D6372" s="184"/>
      <c r="E6372" s="184"/>
      <c r="F6372" s="184"/>
      <c r="G6372" s="184"/>
      <c r="H6372" s="184"/>
      <c r="I6372" s="184"/>
      <c r="J6372" s="184"/>
      <c r="K6372" s="184"/>
      <c r="L6372" s="184"/>
      <c r="M6372" s="184"/>
      <c r="N6372" s="184"/>
      <c r="O6372" s="184"/>
    </row>
    <row r="6373" customFormat="false" ht="15" hidden="false" customHeight="true" outlineLevel="0" collapsed="false">
      <c r="A6373" s="184"/>
      <c r="B6373" s="184"/>
      <c r="C6373" s="184"/>
      <c r="D6373" s="184"/>
      <c r="E6373" s="184"/>
      <c r="F6373" s="184"/>
      <c r="G6373" s="184"/>
      <c r="H6373" s="184"/>
      <c r="I6373" s="184"/>
      <c r="J6373" s="184"/>
      <c r="K6373" s="184"/>
      <c r="L6373" s="184"/>
      <c r="M6373" s="184"/>
      <c r="N6373" s="184"/>
      <c r="O6373" s="184"/>
    </row>
    <row r="6374" customFormat="false" ht="15" hidden="false" customHeight="true" outlineLevel="0" collapsed="false">
      <c r="A6374" s="184"/>
      <c r="B6374" s="184"/>
      <c r="C6374" s="184"/>
      <c r="D6374" s="184"/>
      <c r="E6374" s="184"/>
      <c r="F6374" s="184"/>
      <c r="G6374" s="184"/>
      <c r="H6374" s="184"/>
      <c r="I6374" s="184"/>
      <c r="J6374" s="184"/>
      <c r="K6374" s="184"/>
      <c r="L6374" s="184"/>
      <c r="M6374" s="184"/>
      <c r="N6374" s="184"/>
      <c r="O6374" s="184"/>
    </row>
    <row r="6375" customFormat="false" ht="15" hidden="false" customHeight="true" outlineLevel="0" collapsed="false">
      <c r="A6375" s="184"/>
      <c r="B6375" s="184"/>
      <c r="C6375" s="184"/>
      <c r="D6375" s="184"/>
      <c r="E6375" s="184"/>
      <c r="F6375" s="184"/>
      <c r="G6375" s="184"/>
      <c r="H6375" s="184"/>
      <c r="I6375" s="184"/>
      <c r="J6375" s="184"/>
      <c r="K6375" s="184"/>
      <c r="L6375" s="184"/>
      <c r="M6375" s="184"/>
      <c r="N6375" s="184"/>
      <c r="O6375" s="184"/>
    </row>
    <row r="6376" customFormat="false" ht="15" hidden="false" customHeight="true" outlineLevel="0" collapsed="false">
      <c r="A6376" s="184"/>
      <c r="B6376" s="184"/>
      <c r="C6376" s="184"/>
      <c r="D6376" s="184"/>
      <c r="E6376" s="184"/>
      <c r="F6376" s="184"/>
      <c r="G6376" s="184"/>
      <c r="H6376" s="184"/>
      <c r="I6376" s="184"/>
      <c r="J6376" s="184"/>
      <c r="K6376" s="184"/>
      <c r="L6376" s="184"/>
      <c r="M6376" s="184"/>
      <c r="N6376" s="184"/>
      <c r="O6376" s="184"/>
    </row>
    <row r="6377" customFormat="false" ht="15" hidden="false" customHeight="true" outlineLevel="0" collapsed="false">
      <c r="A6377" s="184"/>
      <c r="B6377" s="184"/>
      <c r="C6377" s="184"/>
      <c r="D6377" s="184"/>
      <c r="E6377" s="184"/>
      <c r="F6377" s="184"/>
      <c r="G6377" s="184"/>
      <c r="H6377" s="184"/>
      <c r="I6377" s="184"/>
      <c r="J6377" s="184"/>
      <c r="K6377" s="184"/>
      <c r="L6377" s="184"/>
      <c r="M6377" s="184"/>
      <c r="N6377" s="184"/>
      <c r="O6377" s="184"/>
    </row>
    <row r="6378" customFormat="false" ht="15" hidden="false" customHeight="true" outlineLevel="0" collapsed="false">
      <c r="A6378" s="184"/>
      <c r="B6378" s="184"/>
      <c r="C6378" s="184"/>
      <c r="D6378" s="184"/>
      <c r="E6378" s="184"/>
      <c r="F6378" s="184"/>
      <c r="G6378" s="184"/>
      <c r="H6378" s="184"/>
      <c r="I6378" s="184"/>
      <c r="J6378" s="184"/>
      <c r="K6378" s="184"/>
      <c r="L6378" s="184"/>
      <c r="M6378" s="184"/>
      <c r="N6378" s="184"/>
      <c r="O6378" s="184"/>
    </row>
    <row r="6379" customFormat="false" ht="15" hidden="false" customHeight="true" outlineLevel="0" collapsed="false">
      <c r="A6379" s="184"/>
      <c r="B6379" s="184"/>
      <c r="C6379" s="184"/>
      <c r="D6379" s="184"/>
      <c r="E6379" s="184"/>
      <c r="F6379" s="184"/>
      <c r="G6379" s="184"/>
      <c r="H6379" s="184"/>
      <c r="I6379" s="184"/>
      <c r="J6379" s="184"/>
      <c r="K6379" s="184"/>
      <c r="L6379" s="184"/>
      <c r="M6379" s="184"/>
      <c r="N6379" s="184"/>
      <c r="O6379" s="184"/>
    </row>
    <row r="6380" customFormat="false" ht="15" hidden="false" customHeight="true" outlineLevel="0" collapsed="false">
      <c r="A6380" s="184"/>
      <c r="B6380" s="184"/>
      <c r="C6380" s="184"/>
      <c r="D6380" s="184"/>
      <c r="E6380" s="184"/>
      <c r="F6380" s="184"/>
      <c r="G6380" s="184"/>
      <c r="H6380" s="184"/>
      <c r="I6380" s="184"/>
      <c r="J6380" s="184"/>
      <c r="K6380" s="184"/>
      <c r="L6380" s="184"/>
      <c r="M6380" s="184"/>
      <c r="N6380" s="184"/>
      <c r="O6380" s="184"/>
    </row>
    <row r="6381" customFormat="false" ht="15" hidden="false" customHeight="true" outlineLevel="0" collapsed="false">
      <c r="A6381" s="184"/>
      <c r="B6381" s="184"/>
      <c r="C6381" s="184"/>
      <c r="D6381" s="184"/>
      <c r="E6381" s="184"/>
      <c r="F6381" s="184"/>
      <c r="G6381" s="184"/>
      <c r="H6381" s="184"/>
      <c r="I6381" s="184"/>
      <c r="J6381" s="184"/>
      <c r="K6381" s="184"/>
      <c r="L6381" s="184"/>
      <c r="M6381" s="184"/>
      <c r="N6381" s="184"/>
      <c r="O6381" s="184"/>
    </row>
    <row r="6382" customFormat="false" ht="15" hidden="false" customHeight="true" outlineLevel="0" collapsed="false">
      <c r="A6382" s="184"/>
      <c r="B6382" s="184"/>
      <c r="C6382" s="184"/>
      <c r="D6382" s="184"/>
      <c r="E6382" s="184"/>
      <c r="F6382" s="184"/>
      <c r="G6382" s="184"/>
      <c r="H6382" s="184"/>
      <c r="I6382" s="184"/>
      <c r="J6382" s="184"/>
      <c r="K6382" s="184"/>
      <c r="L6382" s="184"/>
      <c r="M6382" s="184"/>
      <c r="N6382" s="184"/>
      <c r="O6382" s="184"/>
    </row>
    <row r="6383" customFormat="false" ht="15" hidden="false" customHeight="true" outlineLevel="0" collapsed="false">
      <c r="A6383" s="184"/>
      <c r="B6383" s="184"/>
      <c r="C6383" s="184"/>
      <c r="D6383" s="184"/>
      <c r="E6383" s="184"/>
      <c r="F6383" s="184"/>
      <c r="G6383" s="184"/>
      <c r="H6383" s="184"/>
      <c r="I6383" s="184"/>
      <c r="J6383" s="184"/>
      <c r="K6383" s="184"/>
      <c r="L6383" s="184"/>
      <c r="M6383" s="184"/>
      <c r="N6383" s="184"/>
      <c r="O6383" s="184"/>
    </row>
    <row r="6384" customFormat="false" ht="15" hidden="false" customHeight="true" outlineLevel="0" collapsed="false">
      <c r="A6384" s="184"/>
      <c r="B6384" s="184"/>
      <c r="C6384" s="184"/>
      <c r="D6384" s="184"/>
      <c r="E6384" s="184"/>
      <c r="F6384" s="184"/>
      <c r="G6384" s="184"/>
      <c r="H6384" s="184"/>
      <c r="I6384" s="184"/>
      <c r="J6384" s="184"/>
      <c r="K6384" s="184"/>
      <c r="L6384" s="184"/>
      <c r="M6384" s="184"/>
      <c r="N6384" s="184"/>
      <c r="O6384" s="184"/>
    </row>
    <row r="6385" customFormat="false" ht="15" hidden="false" customHeight="true" outlineLevel="0" collapsed="false">
      <c r="A6385" s="184"/>
      <c r="B6385" s="184"/>
      <c r="C6385" s="184"/>
      <c r="D6385" s="184"/>
      <c r="E6385" s="184"/>
      <c r="F6385" s="184"/>
      <c r="G6385" s="184"/>
      <c r="H6385" s="184"/>
      <c r="I6385" s="184"/>
      <c r="J6385" s="184"/>
      <c r="K6385" s="184"/>
      <c r="L6385" s="184"/>
      <c r="M6385" s="184"/>
      <c r="N6385" s="184"/>
      <c r="O6385" s="184"/>
    </row>
    <row r="6386" customFormat="false" ht="15" hidden="false" customHeight="true" outlineLevel="0" collapsed="false">
      <c r="A6386" s="184"/>
      <c r="B6386" s="184"/>
      <c r="C6386" s="184"/>
      <c r="D6386" s="184"/>
      <c r="E6386" s="184"/>
      <c r="F6386" s="184"/>
      <c r="G6386" s="184"/>
      <c r="H6386" s="184"/>
      <c r="I6386" s="184"/>
      <c r="J6386" s="184"/>
      <c r="K6386" s="184"/>
      <c r="L6386" s="184"/>
      <c r="M6386" s="184"/>
      <c r="N6386" s="184"/>
      <c r="O6386" s="184"/>
    </row>
    <row r="6387" customFormat="false" ht="15" hidden="false" customHeight="true" outlineLevel="0" collapsed="false">
      <c r="A6387" s="184"/>
      <c r="B6387" s="184"/>
      <c r="C6387" s="184"/>
      <c r="D6387" s="184"/>
      <c r="E6387" s="184"/>
      <c r="F6387" s="184"/>
      <c r="G6387" s="184"/>
      <c r="H6387" s="184"/>
      <c r="I6387" s="184"/>
      <c r="J6387" s="184"/>
      <c r="K6387" s="184"/>
      <c r="L6387" s="184"/>
      <c r="M6387" s="184"/>
      <c r="N6387" s="184"/>
      <c r="O6387" s="184"/>
    </row>
    <row r="6388" customFormat="false" ht="15" hidden="false" customHeight="true" outlineLevel="0" collapsed="false">
      <c r="A6388" s="184"/>
      <c r="B6388" s="184"/>
      <c r="C6388" s="184"/>
      <c r="D6388" s="184"/>
      <c r="E6388" s="184"/>
      <c r="F6388" s="184"/>
      <c r="G6388" s="184"/>
      <c r="H6388" s="184"/>
      <c r="I6388" s="184"/>
      <c r="J6388" s="184"/>
      <c r="K6388" s="184"/>
      <c r="L6388" s="184"/>
      <c r="M6388" s="184"/>
      <c r="N6388" s="184"/>
      <c r="O6388" s="184"/>
    </row>
    <row r="6389" customFormat="false" ht="15" hidden="false" customHeight="true" outlineLevel="0" collapsed="false">
      <c r="A6389" s="184"/>
      <c r="B6389" s="184"/>
      <c r="C6389" s="184"/>
      <c r="D6389" s="184"/>
      <c r="E6389" s="184"/>
      <c r="F6389" s="184"/>
      <c r="G6389" s="184"/>
      <c r="H6389" s="184"/>
      <c r="I6389" s="184"/>
      <c r="J6389" s="184"/>
      <c r="K6389" s="184"/>
      <c r="L6389" s="184"/>
      <c r="M6389" s="184"/>
      <c r="N6389" s="184"/>
      <c r="O6389" s="184"/>
    </row>
    <row r="6390" customFormat="false" ht="15" hidden="false" customHeight="true" outlineLevel="0" collapsed="false">
      <c r="A6390" s="184"/>
      <c r="B6390" s="184"/>
      <c r="C6390" s="184"/>
      <c r="D6390" s="184"/>
      <c r="E6390" s="184"/>
      <c r="F6390" s="184"/>
      <c r="G6390" s="184"/>
      <c r="H6390" s="184"/>
      <c r="I6390" s="184"/>
      <c r="J6390" s="184"/>
      <c r="K6390" s="184"/>
      <c r="L6390" s="184"/>
      <c r="M6390" s="184"/>
      <c r="N6390" s="184"/>
      <c r="O6390" s="184"/>
    </row>
    <row r="6391" customFormat="false" ht="15" hidden="false" customHeight="true" outlineLevel="0" collapsed="false">
      <c r="A6391" s="184"/>
      <c r="B6391" s="184"/>
      <c r="C6391" s="184"/>
      <c r="D6391" s="184"/>
      <c r="E6391" s="184"/>
      <c r="F6391" s="184"/>
      <c r="G6391" s="184"/>
      <c r="H6391" s="184"/>
      <c r="I6391" s="184"/>
      <c r="J6391" s="184"/>
      <c r="K6391" s="184"/>
      <c r="L6391" s="184"/>
      <c r="M6391" s="184"/>
      <c r="N6391" s="184"/>
      <c r="O6391" s="184"/>
    </row>
    <row r="6392" customFormat="false" ht="15" hidden="false" customHeight="true" outlineLevel="0" collapsed="false">
      <c r="A6392" s="184"/>
      <c r="B6392" s="184"/>
      <c r="C6392" s="184"/>
      <c r="D6392" s="184"/>
      <c r="E6392" s="184"/>
      <c r="F6392" s="184"/>
      <c r="G6392" s="184"/>
      <c r="H6392" s="184"/>
      <c r="I6392" s="184"/>
      <c r="J6392" s="184"/>
      <c r="K6392" s="184"/>
      <c r="L6392" s="184"/>
      <c r="M6392" s="184"/>
      <c r="N6392" s="184"/>
      <c r="O6392" s="184"/>
    </row>
    <row r="6393" customFormat="false" ht="15" hidden="false" customHeight="true" outlineLevel="0" collapsed="false">
      <c r="A6393" s="184"/>
      <c r="B6393" s="184"/>
      <c r="C6393" s="184"/>
      <c r="D6393" s="184"/>
      <c r="E6393" s="184"/>
      <c r="F6393" s="184"/>
      <c r="G6393" s="184"/>
      <c r="H6393" s="184"/>
      <c r="I6393" s="184"/>
      <c r="J6393" s="184"/>
      <c r="K6393" s="184"/>
      <c r="L6393" s="184"/>
      <c r="M6393" s="184"/>
      <c r="N6393" s="184"/>
      <c r="O6393" s="184"/>
    </row>
    <row r="6394" customFormat="false" ht="15" hidden="false" customHeight="true" outlineLevel="0" collapsed="false">
      <c r="A6394" s="184"/>
      <c r="B6394" s="184"/>
      <c r="C6394" s="184"/>
      <c r="D6394" s="184"/>
      <c r="E6394" s="184"/>
      <c r="F6394" s="184"/>
      <c r="G6394" s="184"/>
      <c r="H6394" s="184"/>
      <c r="I6394" s="184"/>
      <c r="J6394" s="184"/>
      <c r="K6394" s="184"/>
      <c r="L6394" s="184"/>
      <c r="M6394" s="184"/>
      <c r="N6394" s="184"/>
      <c r="O6394" s="184"/>
    </row>
    <row r="6395" customFormat="false" ht="15" hidden="false" customHeight="true" outlineLevel="0" collapsed="false">
      <c r="A6395" s="184"/>
      <c r="B6395" s="184"/>
      <c r="C6395" s="184"/>
      <c r="D6395" s="184"/>
      <c r="E6395" s="184"/>
      <c r="F6395" s="184"/>
      <c r="G6395" s="184"/>
      <c r="H6395" s="184"/>
      <c r="I6395" s="184"/>
      <c r="J6395" s="184"/>
      <c r="K6395" s="184"/>
      <c r="L6395" s="184"/>
      <c r="M6395" s="184"/>
      <c r="N6395" s="184"/>
      <c r="O6395" s="184"/>
    </row>
    <row r="6396" customFormat="false" ht="15" hidden="false" customHeight="true" outlineLevel="0" collapsed="false">
      <c r="A6396" s="184"/>
      <c r="B6396" s="184"/>
      <c r="C6396" s="184"/>
      <c r="D6396" s="184"/>
      <c r="E6396" s="184"/>
      <c r="F6396" s="184"/>
      <c r="G6396" s="184"/>
      <c r="H6396" s="184"/>
      <c r="I6396" s="184"/>
      <c r="J6396" s="184"/>
      <c r="K6396" s="184"/>
      <c r="L6396" s="184"/>
      <c r="M6396" s="184"/>
      <c r="N6396" s="184"/>
      <c r="O6396" s="184"/>
    </row>
    <row r="6397" customFormat="false" ht="15" hidden="false" customHeight="true" outlineLevel="0" collapsed="false">
      <c r="A6397" s="184"/>
      <c r="B6397" s="184"/>
      <c r="C6397" s="184"/>
      <c r="D6397" s="184"/>
      <c r="E6397" s="184"/>
      <c r="F6397" s="184"/>
      <c r="G6397" s="184"/>
      <c r="H6397" s="184"/>
      <c r="I6397" s="184"/>
      <c r="J6397" s="184"/>
      <c r="K6397" s="184"/>
      <c r="L6397" s="184"/>
      <c r="M6397" s="184"/>
      <c r="N6397" s="184"/>
      <c r="O6397" s="184"/>
    </row>
    <row r="6398" customFormat="false" ht="15" hidden="false" customHeight="true" outlineLevel="0" collapsed="false">
      <c r="A6398" s="184"/>
      <c r="B6398" s="184"/>
      <c r="C6398" s="184"/>
      <c r="D6398" s="184"/>
      <c r="E6398" s="184"/>
      <c r="F6398" s="184"/>
      <c r="G6398" s="184"/>
      <c r="H6398" s="184"/>
      <c r="I6398" s="184"/>
      <c r="J6398" s="184"/>
      <c r="K6398" s="184"/>
      <c r="L6398" s="184"/>
      <c r="M6398" s="184"/>
      <c r="N6398" s="184"/>
      <c r="O6398" s="184"/>
    </row>
    <row r="6399" customFormat="false" ht="15" hidden="false" customHeight="true" outlineLevel="0" collapsed="false">
      <c r="A6399" s="184"/>
      <c r="B6399" s="184"/>
      <c r="C6399" s="184"/>
      <c r="D6399" s="184"/>
      <c r="E6399" s="184"/>
      <c r="F6399" s="184"/>
      <c r="G6399" s="184"/>
      <c r="H6399" s="184"/>
      <c r="I6399" s="184"/>
      <c r="J6399" s="184"/>
      <c r="K6399" s="184"/>
      <c r="L6399" s="184"/>
      <c r="M6399" s="184"/>
      <c r="N6399" s="184"/>
      <c r="O6399" s="184"/>
    </row>
    <row r="6400" customFormat="false" ht="15" hidden="false" customHeight="true" outlineLevel="0" collapsed="false">
      <c r="A6400" s="184"/>
      <c r="B6400" s="184"/>
      <c r="C6400" s="184"/>
      <c r="D6400" s="184"/>
      <c r="E6400" s="184"/>
      <c r="F6400" s="184"/>
      <c r="G6400" s="184"/>
      <c r="H6400" s="184"/>
      <c r="I6400" s="184"/>
      <c r="J6400" s="184"/>
      <c r="K6400" s="184"/>
      <c r="L6400" s="184"/>
      <c r="M6400" s="184"/>
      <c r="N6400" s="184"/>
      <c r="O6400" s="184"/>
    </row>
    <row r="6401" customFormat="false" ht="15" hidden="false" customHeight="true" outlineLevel="0" collapsed="false">
      <c r="A6401" s="184"/>
      <c r="B6401" s="184"/>
      <c r="C6401" s="184"/>
      <c r="D6401" s="184"/>
      <c r="E6401" s="184"/>
      <c r="F6401" s="184"/>
      <c r="G6401" s="184"/>
      <c r="H6401" s="184"/>
      <c r="I6401" s="184"/>
      <c r="J6401" s="184"/>
      <c r="K6401" s="184"/>
      <c r="L6401" s="184"/>
      <c r="M6401" s="184"/>
      <c r="N6401" s="184"/>
      <c r="O6401" s="184"/>
    </row>
    <row r="6402" customFormat="false" ht="15" hidden="false" customHeight="true" outlineLevel="0" collapsed="false">
      <c r="A6402" s="184"/>
      <c r="B6402" s="184"/>
      <c r="C6402" s="184"/>
      <c r="D6402" s="184"/>
      <c r="E6402" s="184"/>
      <c r="F6402" s="184"/>
      <c r="G6402" s="184"/>
      <c r="H6402" s="184"/>
      <c r="I6402" s="184"/>
      <c r="J6402" s="184"/>
      <c r="K6402" s="184"/>
      <c r="L6402" s="184"/>
      <c r="M6402" s="184"/>
      <c r="N6402" s="184"/>
      <c r="O6402" s="184"/>
    </row>
    <row r="6403" customFormat="false" ht="15" hidden="false" customHeight="true" outlineLevel="0" collapsed="false">
      <c r="A6403" s="184"/>
      <c r="B6403" s="184"/>
      <c r="C6403" s="184"/>
      <c r="D6403" s="184"/>
      <c r="E6403" s="184"/>
      <c r="F6403" s="184"/>
      <c r="G6403" s="184"/>
      <c r="H6403" s="184"/>
      <c r="I6403" s="184"/>
      <c r="J6403" s="184"/>
      <c r="K6403" s="184"/>
      <c r="L6403" s="184"/>
      <c r="M6403" s="184"/>
      <c r="N6403" s="184"/>
      <c r="O6403" s="184"/>
    </row>
    <row r="6404" customFormat="false" ht="15" hidden="false" customHeight="true" outlineLevel="0" collapsed="false">
      <c r="A6404" s="184"/>
      <c r="B6404" s="184"/>
      <c r="C6404" s="184"/>
      <c r="D6404" s="184"/>
      <c r="E6404" s="184"/>
      <c r="F6404" s="184"/>
      <c r="G6404" s="184"/>
      <c r="H6404" s="184"/>
      <c r="I6404" s="184"/>
      <c r="J6404" s="184"/>
      <c r="K6404" s="184"/>
      <c r="L6404" s="184"/>
      <c r="M6404" s="184"/>
      <c r="N6404" s="184"/>
      <c r="O6404" s="184"/>
    </row>
    <row r="6405" customFormat="false" ht="15" hidden="false" customHeight="true" outlineLevel="0" collapsed="false">
      <c r="A6405" s="184"/>
      <c r="B6405" s="184"/>
      <c r="C6405" s="184"/>
      <c r="D6405" s="184"/>
      <c r="E6405" s="184"/>
      <c r="F6405" s="184"/>
      <c r="G6405" s="184"/>
      <c r="H6405" s="184"/>
      <c r="I6405" s="184"/>
      <c r="J6405" s="184"/>
      <c r="K6405" s="184"/>
      <c r="L6405" s="184"/>
      <c r="M6405" s="184"/>
      <c r="N6405" s="184"/>
      <c r="O6405" s="184"/>
    </row>
    <row r="6406" customFormat="false" ht="15" hidden="false" customHeight="true" outlineLevel="0" collapsed="false">
      <c r="A6406" s="184"/>
      <c r="B6406" s="184"/>
      <c r="C6406" s="184"/>
      <c r="D6406" s="184"/>
      <c r="E6406" s="184"/>
      <c r="F6406" s="184"/>
      <c r="G6406" s="184"/>
      <c r="H6406" s="184"/>
      <c r="I6406" s="184"/>
      <c r="J6406" s="184"/>
      <c r="K6406" s="184"/>
      <c r="L6406" s="184"/>
      <c r="M6406" s="184"/>
      <c r="N6406" s="184"/>
      <c r="O6406" s="184"/>
    </row>
    <row r="6407" customFormat="false" ht="15" hidden="false" customHeight="true" outlineLevel="0" collapsed="false">
      <c r="A6407" s="184"/>
      <c r="B6407" s="184"/>
      <c r="C6407" s="184"/>
      <c r="D6407" s="184"/>
      <c r="E6407" s="184"/>
      <c r="F6407" s="184"/>
      <c r="G6407" s="184"/>
      <c r="H6407" s="184"/>
      <c r="I6407" s="184"/>
      <c r="J6407" s="184"/>
      <c r="K6407" s="184"/>
      <c r="L6407" s="184"/>
      <c r="M6407" s="184"/>
      <c r="N6407" s="184"/>
      <c r="O6407" s="184"/>
    </row>
    <row r="6408" customFormat="false" ht="15" hidden="false" customHeight="true" outlineLevel="0" collapsed="false">
      <c r="A6408" s="184"/>
      <c r="B6408" s="184"/>
      <c r="C6408" s="184"/>
      <c r="D6408" s="184"/>
      <c r="E6408" s="184"/>
      <c r="F6408" s="184"/>
      <c r="G6408" s="184"/>
      <c r="H6408" s="184"/>
      <c r="I6408" s="184"/>
      <c r="J6408" s="184"/>
      <c r="K6408" s="184"/>
      <c r="L6408" s="184"/>
      <c r="M6408" s="184"/>
      <c r="N6408" s="184"/>
      <c r="O6408" s="184"/>
    </row>
    <row r="6409" customFormat="false" ht="15" hidden="false" customHeight="true" outlineLevel="0" collapsed="false">
      <c r="A6409" s="184"/>
      <c r="B6409" s="184"/>
      <c r="C6409" s="184"/>
      <c r="D6409" s="184"/>
      <c r="E6409" s="184"/>
      <c r="F6409" s="184"/>
      <c r="G6409" s="184"/>
      <c r="H6409" s="184"/>
      <c r="I6409" s="184"/>
      <c r="J6409" s="184"/>
      <c r="K6409" s="184"/>
      <c r="L6409" s="184"/>
      <c r="M6409" s="184"/>
      <c r="N6409" s="184"/>
      <c r="O6409" s="184"/>
    </row>
    <row r="6410" customFormat="false" ht="15" hidden="false" customHeight="true" outlineLevel="0" collapsed="false">
      <c r="A6410" s="184"/>
      <c r="B6410" s="184"/>
      <c r="C6410" s="184"/>
      <c r="D6410" s="184"/>
      <c r="E6410" s="184"/>
      <c r="F6410" s="184"/>
      <c r="G6410" s="184"/>
      <c r="H6410" s="184"/>
      <c r="I6410" s="184"/>
      <c r="J6410" s="184"/>
      <c r="K6410" s="184"/>
      <c r="L6410" s="184"/>
      <c r="M6410" s="184"/>
      <c r="N6410" s="184"/>
      <c r="O6410" s="184"/>
    </row>
    <row r="6411" customFormat="false" ht="15" hidden="false" customHeight="true" outlineLevel="0" collapsed="false">
      <c r="A6411" s="184"/>
      <c r="B6411" s="184"/>
      <c r="C6411" s="184"/>
      <c r="D6411" s="184"/>
      <c r="E6411" s="184"/>
      <c r="F6411" s="184"/>
      <c r="G6411" s="184"/>
      <c r="H6411" s="184"/>
      <c r="I6411" s="184"/>
      <c r="J6411" s="184"/>
      <c r="K6411" s="184"/>
      <c r="L6411" s="184"/>
      <c r="M6411" s="184"/>
      <c r="N6411" s="184"/>
      <c r="O6411" s="184"/>
    </row>
    <row r="6412" customFormat="false" ht="15" hidden="false" customHeight="true" outlineLevel="0" collapsed="false">
      <c r="A6412" s="184"/>
      <c r="B6412" s="184"/>
      <c r="C6412" s="184"/>
      <c r="D6412" s="184"/>
      <c r="E6412" s="184"/>
      <c r="F6412" s="184"/>
      <c r="G6412" s="184"/>
      <c r="H6412" s="184"/>
      <c r="I6412" s="184"/>
      <c r="J6412" s="184"/>
      <c r="K6412" s="184"/>
      <c r="L6412" s="184"/>
      <c r="M6412" s="184"/>
      <c r="N6412" s="184"/>
      <c r="O6412" s="184"/>
    </row>
    <row r="6413" customFormat="false" ht="15" hidden="false" customHeight="true" outlineLevel="0" collapsed="false">
      <c r="A6413" s="184"/>
      <c r="B6413" s="184"/>
      <c r="C6413" s="184"/>
      <c r="D6413" s="184"/>
      <c r="E6413" s="184"/>
      <c r="F6413" s="184"/>
      <c r="G6413" s="184"/>
      <c r="H6413" s="184"/>
      <c r="I6413" s="184"/>
      <c r="J6413" s="184"/>
      <c r="K6413" s="184"/>
      <c r="L6413" s="184"/>
      <c r="M6413" s="184"/>
      <c r="N6413" s="184"/>
      <c r="O6413" s="184"/>
    </row>
    <row r="6414" customFormat="false" ht="15" hidden="false" customHeight="true" outlineLevel="0" collapsed="false">
      <c r="A6414" s="184"/>
      <c r="B6414" s="184"/>
      <c r="C6414" s="184"/>
      <c r="D6414" s="184"/>
      <c r="E6414" s="184"/>
      <c r="F6414" s="184"/>
      <c r="G6414" s="184"/>
      <c r="H6414" s="184"/>
      <c r="I6414" s="184"/>
      <c r="J6414" s="184"/>
      <c r="K6414" s="184"/>
      <c r="L6414" s="184"/>
      <c r="M6414" s="184"/>
      <c r="N6414" s="184"/>
      <c r="O6414" s="184"/>
    </row>
    <row r="6415" customFormat="false" ht="15" hidden="false" customHeight="true" outlineLevel="0" collapsed="false">
      <c r="A6415" s="184"/>
      <c r="B6415" s="184"/>
      <c r="C6415" s="184"/>
      <c r="D6415" s="184"/>
      <c r="E6415" s="184"/>
      <c r="F6415" s="184"/>
      <c r="G6415" s="184"/>
      <c r="H6415" s="184"/>
      <c r="I6415" s="184"/>
      <c r="J6415" s="184"/>
      <c r="K6415" s="184"/>
      <c r="L6415" s="184"/>
      <c r="M6415" s="184"/>
      <c r="N6415" s="184"/>
      <c r="O6415" s="184"/>
    </row>
    <row r="6416" customFormat="false" ht="15" hidden="false" customHeight="true" outlineLevel="0" collapsed="false">
      <c r="A6416" s="184"/>
      <c r="B6416" s="184"/>
      <c r="C6416" s="184"/>
      <c r="D6416" s="184"/>
      <c r="E6416" s="184"/>
      <c r="F6416" s="184"/>
      <c r="G6416" s="184"/>
      <c r="H6416" s="184"/>
      <c r="I6416" s="184"/>
      <c r="J6416" s="184"/>
      <c r="K6416" s="184"/>
      <c r="L6416" s="184"/>
      <c r="M6416" s="184"/>
      <c r="N6416" s="184"/>
      <c r="O6416" s="184"/>
    </row>
    <row r="6417" customFormat="false" ht="15" hidden="false" customHeight="true" outlineLevel="0" collapsed="false">
      <c r="A6417" s="184"/>
      <c r="B6417" s="184"/>
      <c r="C6417" s="184"/>
      <c r="D6417" s="184"/>
      <c r="E6417" s="184"/>
      <c r="F6417" s="184"/>
      <c r="G6417" s="184"/>
      <c r="H6417" s="184"/>
      <c r="I6417" s="184"/>
      <c r="J6417" s="184"/>
      <c r="K6417" s="184"/>
      <c r="L6417" s="184"/>
      <c r="M6417" s="184"/>
      <c r="N6417" s="184"/>
      <c r="O6417" s="184"/>
    </row>
    <row r="6418" customFormat="false" ht="15" hidden="false" customHeight="true" outlineLevel="0" collapsed="false">
      <c r="A6418" s="184"/>
      <c r="B6418" s="184"/>
      <c r="C6418" s="184"/>
      <c r="D6418" s="184"/>
      <c r="E6418" s="184"/>
      <c r="F6418" s="184"/>
      <c r="G6418" s="184"/>
      <c r="H6418" s="184"/>
      <c r="I6418" s="184"/>
      <c r="J6418" s="184"/>
      <c r="K6418" s="184"/>
      <c r="L6418" s="184"/>
      <c r="M6418" s="184"/>
      <c r="N6418" s="184"/>
      <c r="O6418" s="184"/>
    </row>
    <row r="6419" customFormat="false" ht="15" hidden="false" customHeight="true" outlineLevel="0" collapsed="false">
      <c r="A6419" s="184"/>
      <c r="B6419" s="184"/>
      <c r="C6419" s="184"/>
      <c r="D6419" s="184"/>
      <c r="E6419" s="184"/>
      <c r="F6419" s="184"/>
      <c r="G6419" s="184"/>
      <c r="H6419" s="184"/>
      <c r="I6419" s="184"/>
      <c r="J6419" s="184"/>
      <c r="K6419" s="184"/>
      <c r="L6419" s="184"/>
      <c r="M6419" s="184"/>
      <c r="N6419" s="184"/>
      <c r="O6419" s="184"/>
    </row>
    <row r="6420" customFormat="false" ht="15" hidden="false" customHeight="true" outlineLevel="0" collapsed="false">
      <c r="A6420" s="184"/>
      <c r="B6420" s="184"/>
      <c r="C6420" s="184"/>
      <c r="D6420" s="184"/>
      <c r="E6420" s="184"/>
      <c r="F6420" s="184"/>
      <c r="G6420" s="184"/>
      <c r="H6420" s="184"/>
      <c r="I6420" s="184"/>
      <c r="J6420" s="184"/>
      <c r="K6420" s="184"/>
      <c r="L6420" s="184"/>
      <c r="M6420" s="184"/>
      <c r="N6420" s="184"/>
      <c r="O6420" s="184"/>
    </row>
    <row r="6421" customFormat="false" ht="15" hidden="false" customHeight="true" outlineLevel="0" collapsed="false">
      <c r="A6421" s="184"/>
      <c r="B6421" s="184"/>
      <c r="C6421" s="184"/>
      <c r="D6421" s="184"/>
      <c r="E6421" s="184"/>
      <c r="F6421" s="184"/>
      <c r="G6421" s="184"/>
      <c r="H6421" s="184"/>
      <c r="I6421" s="184"/>
      <c r="J6421" s="184"/>
      <c r="K6421" s="184"/>
      <c r="L6421" s="184"/>
      <c r="M6421" s="184"/>
      <c r="N6421" s="184"/>
      <c r="O6421" s="184"/>
    </row>
    <row r="6422" customFormat="false" ht="15" hidden="false" customHeight="true" outlineLevel="0" collapsed="false">
      <c r="A6422" s="184"/>
      <c r="B6422" s="184"/>
      <c r="C6422" s="184"/>
      <c r="D6422" s="184"/>
      <c r="E6422" s="184"/>
      <c r="F6422" s="184"/>
      <c r="G6422" s="184"/>
      <c r="H6422" s="184"/>
      <c r="I6422" s="184"/>
      <c r="J6422" s="184"/>
      <c r="K6422" s="184"/>
      <c r="L6422" s="184"/>
      <c r="M6422" s="184"/>
      <c r="N6422" s="184"/>
      <c r="O6422" s="184"/>
    </row>
    <row r="6423" customFormat="false" ht="15" hidden="false" customHeight="true" outlineLevel="0" collapsed="false">
      <c r="A6423" s="184"/>
      <c r="B6423" s="184"/>
      <c r="C6423" s="184"/>
      <c r="D6423" s="184"/>
      <c r="E6423" s="184"/>
      <c r="F6423" s="184"/>
      <c r="G6423" s="184"/>
      <c r="H6423" s="184"/>
      <c r="I6423" s="184"/>
      <c r="J6423" s="184"/>
      <c r="K6423" s="184"/>
      <c r="L6423" s="184"/>
      <c r="M6423" s="184"/>
      <c r="N6423" s="184"/>
      <c r="O6423" s="184"/>
    </row>
    <row r="6424" customFormat="false" ht="15" hidden="false" customHeight="true" outlineLevel="0" collapsed="false">
      <c r="A6424" s="184"/>
      <c r="B6424" s="184"/>
      <c r="C6424" s="184"/>
      <c r="D6424" s="184"/>
      <c r="E6424" s="184"/>
      <c r="F6424" s="184"/>
      <c r="G6424" s="184"/>
      <c r="H6424" s="184"/>
      <c r="I6424" s="184"/>
      <c r="J6424" s="184"/>
      <c r="K6424" s="184"/>
      <c r="L6424" s="184"/>
      <c r="M6424" s="184"/>
      <c r="N6424" s="184"/>
      <c r="O6424" s="184"/>
    </row>
    <row r="6425" customFormat="false" ht="15" hidden="false" customHeight="true" outlineLevel="0" collapsed="false">
      <c r="A6425" s="184"/>
      <c r="B6425" s="184"/>
      <c r="C6425" s="184"/>
      <c r="D6425" s="184"/>
      <c r="E6425" s="184"/>
      <c r="F6425" s="184"/>
      <c r="G6425" s="184"/>
      <c r="H6425" s="184"/>
      <c r="I6425" s="184"/>
      <c r="J6425" s="184"/>
      <c r="K6425" s="184"/>
      <c r="L6425" s="184"/>
      <c r="M6425" s="184"/>
      <c r="N6425" s="184"/>
      <c r="O6425" s="184"/>
    </row>
    <row r="6426" customFormat="false" ht="15" hidden="false" customHeight="true" outlineLevel="0" collapsed="false">
      <c r="A6426" s="184"/>
      <c r="B6426" s="184"/>
      <c r="C6426" s="184"/>
      <c r="D6426" s="184"/>
      <c r="E6426" s="184"/>
      <c r="F6426" s="184"/>
      <c r="G6426" s="184"/>
      <c r="H6426" s="184"/>
      <c r="I6426" s="184"/>
      <c r="J6426" s="184"/>
      <c r="K6426" s="184"/>
      <c r="L6426" s="184"/>
      <c r="M6426" s="184"/>
      <c r="N6426" s="184"/>
      <c r="O6426" s="184"/>
    </row>
    <row r="6427" customFormat="false" ht="15" hidden="false" customHeight="true" outlineLevel="0" collapsed="false">
      <c r="A6427" s="184"/>
      <c r="B6427" s="184"/>
      <c r="C6427" s="184"/>
      <c r="D6427" s="184"/>
      <c r="E6427" s="184"/>
      <c r="F6427" s="184"/>
      <c r="G6427" s="184"/>
      <c r="H6427" s="184"/>
      <c r="I6427" s="184"/>
      <c r="J6427" s="184"/>
      <c r="K6427" s="184"/>
      <c r="L6427" s="184"/>
      <c r="M6427" s="184"/>
      <c r="N6427" s="184"/>
      <c r="O6427" s="184"/>
    </row>
    <row r="6428" customFormat="false" ht="15" hidden="false" customHeight="true" outlineLevel="0" collapsed="false">
      <c r="A6428" s="184"/>
      <c r="B6428" s="184"/>
      <c r="C6428" s="184"/>
      <c r="D6428" s="184"/>
      <c r="E6428" s="184"/>
      <c r="F6428" s="184"/>
      <c r="G6428" s="184"/>
      <c r="H6428" s="184"/>
      <c r="I6428" s="184"/>
      <c r="J6428" s="184"/>
      <c r="K6428" s="184"/>
      <c r="L6428" s="184"/>
      <c r="M6428" s="184"/>
      <c r="N6428" s="184"/>
      <c r="O6428" s="184"/>
    </row>
    <row r="6429" customFormat="false" ht="15" hidden="false" customHeight="true" outlineLevel="0" collapsed="false">
      <c r="A6429" s="184"/>
      <c r="B6429" s="184"/>
      <c r="C6429" s="184"/>
      <c r="D6429" s="184"/>
      <c r="E6429" s="184"/>
      <c r="F6429" s="184"/>
      <c r="G6429" s="184"/>
      <c r="H6429" s="184"/>
      <c r="I6429" s="184"/>
      <c r="J6429" s="184"/>
      <c r="K6429" s="184"/>
      <c r="L6429" s="184"/>
      <c r="M6429" s="184"/>
      <c r="N6429" s="184"/>
      <c r="O6429" s="184"/>
    </row>
    <row r="6430" customFormat="false" ht="15" hidden="false" customHeight="true" outlineLevel="0" collapsed="false">
      <c r="A6430" s="184"/>
      <c r="B6430" s="184"/>
      <c r="C6430" s="184"/>
      <c r="D6430" s="184"/>
      <c r="E6430" s="184"/>
      <c r="F6430" s="184"/>
      <c r="G6430" s="184"/>
      <c r="H6430" s="184"/>
      <c r="I6430" s="184"/>
      <c r="J6430" s="184"/>
      <c r="K6430" s="184"/>
      <c r="L6430" s="184"/>
      <c r="M6430" s="184"/>
      <c r="N6430" s="184"/>
      <c r="O6430" s="184"/>
    </row>
    <row r="6431" customFormat="false" ht="15" hidden="false" customHeight="true" outlineLevel="0" collapsed="false">
      <c r="A6431" s="184"/>
      <c r="B6431" s="184"/>
      <c r="C6431" s="184"/>
      <c r="D6431" s="184"/>
      <c r="E6431" s="184"/>
      <c r="F6431" s="184"/>
      <c r="G6431" s="184"/>
      <c r="H6431" s="184"/>
      <c r="I6431" s="184"/>
      <c r="J6431" s="184"/>
      <c r="K6431" s="184"/>
      <c r="L6431" s="184"/>
      <c r="M6431" s="184"/>
      <c r="N6431" s="184"/>
      <c r="O6431" s="184"/>
    </row>
    <row r="6432" customFormat="false" ht="15" hidden="false" customHeight="true" outlineLevel="0" collapsed="false">
      <c r="A6432" s="184"/>
      <c r="B6432" s="184"/>
      <c r="C6432" s="184"/>
      <c r="D6432" s="184"/>
      <c r="E6432" s="184"/>
      <c r="F6432" s="184"/>
      <c r="G6432" s="184"/>
      <c r="H6432" s="184"/>
      <c r="I6432" s="184"/>
      <c r="J6432" s="184"/>
      <c r="K6432" s="184"/>
      <c r="L6432" s="184"/>
      <c r="M6432" s="184"/>
      <c r="N6432" s="184"/>
      <c r="O6432" s="184"/>
    </row>
    <row r="6433" customFormat="false" ht="15" hidden="false" customHeight="true" outlineLevel="0" collapsed="false">
      <c r="A6433" s="184"/>
      <c r="B6433" s="184"/>
      <c r="C6433" s="184"/>
      <c r="D6433" s="184"/>
      <c r="E6433" s="184"/>
      <c r="F6433" s="184"/>
      <c r="G6433" s="184"/>
      <c r="H6433" s="184"/>
      <c r="I6433" s="184"/>
      <c r="J6433" s="184"/>
      <c r="K6433" s="184"/>
      <c r="L6433" s="184"/>
      <c r="M6433" s="184"/>
      <c r="N6433" s="184"/>
      <c r="O6433" s="184"/>
    </row>
    <row r="6434" customFormat="false" ht="15" hidden="false" customHeight="true" outlineLevel="0" collapsed="false">
      <c r="A6434" s="184"/>
      <c r="B6434" s="184"/>
      <c r="C6434" s="184"/>
      <c r="D6434" s="184"/>
      <c r="E6434" s="184"/>
      <c r="F6434" s="184"/>
      <c r="G6434" s="184"/>
      <c r="H6434" s="184"/>
      <c r="I6434" s="184"/>
      <c r="J6434" s="184"/>
      <c r="K6434" s="184"/>
      <c r="L6434" s="184"/>
      <c r="M6434" s="184"/>
      <c r="N6434" s="184"/>
      <c r="O6434" s="184"/>
    </row>
    <row r="6435" customFormat="false" ht="15" hidden="false" customHeight="true" outlineLevel="0" collapsed="false">
      <c r="A6435" s="184"/>
      <c r="B6435" s="184"/>
      <c r="C6435" s="184"/>
      <c r="D6435" s="184"/>
      <c r="E6435" s="184"/>
      <c r="F6435" s="184"/>
      <c r="G6435" s="184"/>
      <c r="H6435" s="184"/>
      <c r="I6435" s="184"/>
      <c r="J6435" s="184"/>
      <c r="K6435" s="184"/>
      <c r="L6435" s="184"/>
      <c r="M6435" s="184"/>
      <c r="N6435" s="184"/>
      <c r="O6435" s="184"/>
    </row>
    <row r="6436" customFormat="false" ht="15" hidden="false" customHeight="true" outlineLevel="0" collapsed="false">
      <c r="A6436" s="184"/>
      <c r="B6436" s="184"/>
      <c r="C6436" s="184"/>
      <c r="D6436" s="184"/>
      <c r="E6436" s="184"/>
      <c r="F6436" s="184"/>
      <c r="G6436" s="184"/>
      <c r="H6436" s="184"/>
      <c r="I6436" s="184"/>
      <c r="J6436" s="184"/>
      <c r="K6436" s="184"/>
      <c r="L6436" s="184"/>
      <c r="M6436" s="184"/>
      <c r="N6436" s="184"/>
      <c r="O6436" s="184"/>
    </row>
    <row r="6437" customFormat="false" ht="15" hidden="false" customHeight="true" outlineLevel="0" collapsed="false">
      <c r="A6437" s="184"/>
      <c r="B6437" s="184"/>
      <c r="C6437" s="184"/>
      <c r="D6437" s="184"/>
      <c r="E6437" s="184"/>
      <c r="F6437" s="184"/>
      <c r="G6437" s="184"/>
      <c r="H6437" s="184"/>
      <c r="I6437" s="184"/>
      <c r="J6437" s="184"/>
      <c r="K6437" s="184"/>
      <c r="L6437" s="184"/>
      <c r="M6437" s="184"/>
      <c r="N6437" s="184"/>
      <c r="O6437" s="184"/>
    </row>
    <row r="6438" customFormat="false" ht="15" hidden="false" customHeight="true" outlineLevel="0" collapsed="false">
      <c r="A6438" s="184"/>
      <c r="B6438" s="184"/>
      <c r="C6438" s="184"/>
      <c r="D6438" s="184"/>
      <c r="E6438" s="184"/>
      <c r="F6438" s="184"/>
      <c r="G6438" s="184"/>
      <c r="H6438" s="184"/>
      <c r="I6438" s="184"/>
      <c r="J6438" s="184"/>
      <c r="K6438" s="184"/>
      <c r="L6438" s="184"/>
      <c r="M6438" s="184"/>
      <c r="N6438" s="184"/>
      <c r="O6438" s="184"/>
    </row>
    <row r="6439" customFormat="false" ht="15" hidden="false" customHeight="true" outlineLevel="0" collapsed="false">
      <c r="A6439" s="184"/>
      <c r="B6439" s="184"/>
      <c r="C6439" s="184"/>
      <c r="D6439" s="184"/>
      <c r="E6439" s="184"/>
      <c r="F6439" s="184"/>
      <c r="G6439" s="184"/>
      <c r="H6439" s="184"/>
      <c r="I6439" s="184"/>
      <c r="J6439" s="184"/>
      <c r="K6439" s="184"/>
      <c r="L6439" s="184"/>
      <c r="M6439" s="184"/>
      <c r="N6439" s="184"/>
      <c r="O6439" s="184"/>
    </row>
    <row r="6440" customFormat="false" ht="15" hidden="false" customHeight="true" outlineLevel="0" collapsed="false">
      <c r="A6440" s="184"/>
      <c r="B6440" s="184"/>
      <c r="C6440" s="184"/>
      <c r="D6440" s="184"/>
      <c r="E6440" s="184"/>
      <c r="F6440" s="184"/>
      <c r="G6440" s="184"/>
      <c r="H6440" s="184"/>
      <c r="I6440" s="184"/>
      <c r="J6440" s="184"/>
      <c r="K6440" s="184"/>
      <c r="L6440" s="184"/>
      <c r="M6440" s="184"/>
      <c r="N6440" s="184"/>
      <c r="O6440" s="184"/>
    </row>
    <row r="6441" customFormat="false" ht="15" hidden="false" customHeight="true" outlineLevel="0" collapsed="false">
      <c r="A6441" s="184"/>
      <c r="B6441" s="184"/>
      <c r="C6441" s="184"/>
      <c r="D6441" s="184"/>
      <c r="E6441" s="184"/>
      <c r="F6441" s="184"/>
      <c r="G6441" s="184"/>
      <c r="H6441" s="184"/>
      <c r="I6441" s="184"/>
      <c r="J6441" s="184"/>
      <c r="K6441" s="184"/>
      <c r="L6441" s="184"/>
      <c r="M6441" s="184"/>
      <c r="N6441" s="184"/>
      <c r="O6441" s="184"/>
    </row>
    <row r="6442" customFormat="false" ht="15" hidden="false" customHeight="true" outlineLevel="0" collapsed="false">
      <c r="A6442" s="184"/>
      <c r="B6442" s="184"/>
      <c r="C6442" s="184"/>
      <c r="D6442" s="184"/>
      <c r="E6442" s="184"/>
      <c r="F6442" s="184"/>
      <c r="G6442" s="184"/>
      <c r="H6442" s="184"/>
      <c r="I6442" s="184"/>
      <c r="J6442" s="184"/>
      <c r="K6442" s="184"/>
      <c r="L6442" s="184"/>
      <c r="M6442" s="184"/>
      <c r="N6442" s="184"/>
      <c r="O6442" s="184"/>
    </row>
    <row r="6443" customFormat="false" ht="15" hidden="false" customHeight="true" outlineLevel="0" collapsed="false">
      <c r="A6443" s="184"/>
      <c r="B6443" s="184"/>
      <c r="C6443" s="184"/>
      <c r="D6443" s="184"/>
      <c r="E6443" s="184"/>
      <c r="F6443" s="184"/>
      <c r="G6443" s="184"/>
      <c r="H6443" s="184"/>
      <c r="I6443" s="184"/>
      <c r="J6443" s="184"/>
      <c r="K6443" s="184"/>
      <c r="L6443" s="184"/>
      <c r="M6443" s="184"/>
      <c r="N6443" s="184"/>
      <c r="O6443" s="184"/>
    </row>
    <row r="6444" customFormat="false" ht="15" hidden="false" customHeight="true" outlineLevel="0" collapsed="false">
      <c r="A6444" s="184"/>
      <c r="B6444" s="184"/>
      <c r="C6444" s="184"/>
      <c r="D6444" s="184"/>
      <c r="E6444" s="184"/>
      <c r="F6444" s="184"/>
      <c r="G6444" s="184"/>
      <c r="H6444" s="184"/>
      <c r="I6444" s="184"/>
      <c r="J6444" s="184"/>
      <c r="K6444" s="184"/>
      <c r="L6444" s="184"/>
      <c r="M6444" s="184"/>
      <c r="N6444" s="184"/>
      <c r="O6444" s="184"/>
    </row>
    <row r="6445" customFormat="false" ht="15" hidden="false" customHeight="true" outlineLevel="0" collapsed="false">
      <c r="A6445" s="184"/>
      <c r="B6445" s="184"/>
      <c r="C6445" s="184"/>
      <c r="D6445" s="184"/>
      <c r="E6445" s="184"/>
      <c r="F6445" s="184"/>
      <c r="G6445" s="184"/>
      <c r="H6445" s="184"/>
      <c r="I6445" s="184"/>
      <c r="J6445" s="184"/>
      <c r="K6445" s="184"/>
      <c r="L6445" s="184"/>
      <c r="M6445" s="184"/>
      <c r="N6445" s="184"/>
      <c r="O6445" s="184"/>
    </row>
    <row r="6446" customFormat="false" ht="15" hidden="false" customHeight="true" outlineLevel="0" collapsed="false">
      <c r="A6446" s="184"/>
      <c r="B6446" s="184"/>
      <c r="C6446" s="184"/>
      <c r="D6446" s="184"/>
      <c r="E6446" s="184"/>
      <c r="F6446" s="184"/>
      <c r="G6446" s="184"/>
      <c r="H6446" s="184"/>
      <c r="I6446" s="184"/>
      <c r="J6446" s="184"/>
      <c r="K6446" s="184"/>
      <c r="L6446" s="184"/>
      <c r="M6446" s="184"/>
      <c r="N6446" s="184"/>
      <c r="O6446" s="184"/>
    </row>
    <row r="6447" customFormat="false" ht="15" hidden="false" customHeight="true" outlineLevel="0" collapsed="false">
      <c r="A6447" s="184"/>
      <c r="B6447" s="184"/>
      <c r="C6447" s="184"/>
      <c r="D6447" s="184"/>
      <c r="E6447" s="184"/>
      <c r="F6447" s="184"/>
      <c r="G6447" s="184"/>
      <c r="H6447" s="184"/>
      <c r="I6447" s="184"/>
      <c r="J6447" s="184"/>
      <c r="K6447" s="184"/>
      <c r="L6447" s="184"/>
      <c r="M6447" s="184"/>
      <c r="N6447" s="184"/>
      <c r="O6447" s="184"/>
    </row>
    <row r="6448" customFormat="false" ht="15" hidden="false" customHeight="true" outlineLevel="0" collapsed="false">
      <c r="A6448" s="184"/>
      <c r="B6448" s="184"/>
      <c r="C6448" s="184"/>
      <c r="D6448" s="184"/>
      <c r="E6448" s="184"/>
      <c r="F6448" s="184"/>
      <c r="G6448" s="184"/>
      <c r="H6448" s="184"/>
      <c r="I6448" s="184"/>
      <c r="J6448" s="184"/>
      <c r="K6448" s="184"/>
      <c r="L6448" s="184"/>
      <c r="M6448" s="184"/>
      <c r="N6448" s="184"/>
      <c r="O6448" s="184"/>
    </row>
    <row r="6449" customFormat="false" ht="15" hidden="false" customHeight="true" outlineLevel="0" collapsed="false">
      <c r="A6449" s="184"/>
      <c r="B6449" s="184"/>
      <c r="C6449" s="184"/>
      <c r="D6449" s="184"/>
      <c r="E6449" s="184"/>
      <c r="F6449" s="184"/>
      <c r="G6449" s="184"/>
      <c r="H6449" s="184"/>
      <c r="I6449" s="184"/>
      <c r="J6449" s="184"/>
      <c r="K6449" s="184"/>
      <c r="L6449" s="184"/>
      <c r="M6449" s="184"/>
      <c r="N6449" s="184"/>
      <c r="O6449" s="184"/>
    </row>
    <row r="6450" customFormat="false" ht="15" hidden="false" customHeight="true" outlineLevel="0" collapsed="false">
      <c r="A6450" s="184"/>
      <c r="B6450" s="184"/>
      <c r="C6450" s="184"/>
      <c r="D6450" s="184"/>
      <c r="E6450" s="184"/>
      <c r="F6450" s="184"/>
      <c r="G6450" s="184"/>
      <c r="H6450" s="184"/>
      <c r="I6450" s="184"/>
      <c r="J6450" s="184"/>
      <c r="K6450" s="184"/>
      <c r="L6450" s="184"/>
      <c r="M6450" s="184"/>
      <c r="N6450" s="184"/>
      <c r="O6450" s="184"/>
    </row>
    <row r="6451" customFormat="false" ht="15" hidden="false" customHeight="true" outlineLevel="0" collapsed="false">
      <c r="A6451" s="184"/>
      <c r="B6451" s="184"/>
      <c r="C6451" s="184"/>
      <c r="D6451" s="184"/>
      <c r="E6451" s="184"/>
      <c r="F6451" s="184"/>
      <c r="G6451" s="184"/>
      <c r="H6451" s="184"/>
      <c r="I6451" s="184"/>
      <c r="J6451" s="184"/>
      <c r="K6451" s="184"/>
      <c r="L6451" s="184"/>
      <c r="M6451" s="184"/>
      <c r="N6451" s="184"/>
      <c r="O6451" s="184"/>
    </row>
    <row r="6452" customFormat="false" ht="15" hidden="false" customHeight="true" outlineLevel="0" collapsed="false">
      <c r="A6452" s="184"/>
      <c r="B6452" s="184"/>
      <c r="C6452" s="184"/>
      <c r="D6452" s="184"/>
      <c r="E6452" s="184"/>
      <c r="F6452" s="184"/>
      <c r="G6452" s="184"/>
      <c r="H6452" s="184"/>
      <c r="I6452" s="184"/>
      <c r="J6452" s="184"/>
      <c r="K6452" s="184"/>
      <c r="L6452" s="184"/>
      <c r="M6452" s="184"/>
      <c r="N6452" s="184"/>
      <c r="O6452" s="184"/>
    </row>
    <row r="6453" customFormat="false" ht="15" hidden="false" customHeight="true" outlineLevel="0" collapsed="false">
      <c r="A6453" s="184"/>
      <c r="B6453" s="184"/>
      <c r="C6453" s="184"/>
      <c r="D6453" s="184"/>
      <c r="E6453" s="184"/>
      <c r="F6453" s="184"/>
      <c r="G6453" s="184"/>
      <c r="H6453" s="184"/>
      <c r="I6453" s="184"/>
      <c r="J6453" s="184"/>
      <c r="K6453" s="184"/>
      <c r="L6453" s="184"/>
      <c r="M6453" s="184"/>
      <c r="N6453" s="184"/>
      <c r="O6453" s="184"/>
    </row>
    <row r="6454" customFormat="false" ht="15" hidden="false" customHeight="true" outlineLevel="0" collapsed="false">
      <c r="A6454" s="184"/>
      <c r="B6454" s="184"/>
      <c r="C6454" s="184"/>
      <c r="D6454" s="184"/>
      <c r="E6454" s="184"/>
      <c r="F6454" s="184"/>
      <c r="G6454" s="184"/>
      <c r="H6454" s="184"/>
      <c r="I6454" s="184"/>
      <c r="J6454" s="184"/>
      <c r="K6454" s="184"/>
      <c r="L6454" s="184"/>
      <c r="M6454" s="184"/>
      <c r="N6454" s="184"/>
      <c r="O6454" s="184"/>
    </row>
    <row r="6455" customFormat="false" ht="15" hidden="false" customHeight="true" outlineLevel="0" collapsed="false">
      <c r="A6455" s="184"/>
      <c r="B6455" s="184"/>
      <c r="C6455" s="184"/>
      <c r="D6455" s="184"/>
      <c r="E6455" s="184"/>
      <c r="F6455" s="184"/>
      <c r="G6455" s="184"/>
      <c r="H6455" s="184"/>
      <c r="I6455" s="184"/>
      <c r="J6455" s="184"/>
      <c r="K6455" s="184"/>
      <c r="L6455" s="184"/>
      <c r="M6455" s="184"/>
      <c r="N6455" s="184"/>
      <c r="O6455" s="184"/>
    </row>
    <row r="6456" customFormat="false" ht="15" hidden="false" customHeight="true" outlineLevel="0" collapsed="false">
      <c r="A6456" s="184"/>
      <c r="B6456" s="184"/>
      <c r="C6456" s="184"/>
      <c r="D6456" s="184"/>
      <c r="E6456" s="184"/>
      <c r="F6456" s="184"/>
      <c r="G6456" s="184"/>
      <c r="H6456" s="184"/>
      <c r="I6456" s="184"/>
      <c r="J6456" s="184"/>
      <c r="K6456" s="184"/>
      <c r="L6456" s="184"/>
      <c r="M6456" s="184"/>
      <c r="N6456" s="184"/>
      <c r="O6456" s="184"/>
    </row>
    <row r="6457" customFormat="false" ht="15" hidden="false" customHeight="true" outlineLevel="0" collapsed="false">
      <c r="A6457" s="184"/>
      <c r="B6457" s="184"/>
      <c r="C6457" s="184"/>
      <c r="D6457" s="184"/>
      <c r="E6457" s="184"/>
      <c r="F6457" s="184"/>
      <c r="G6457" s="184"/>
      <c r="H6457" s="184"/>
      <c r="I6457" s="184"/>
      <c r="J6457" s="184"/>
      <c r="K6457" s="184"/>
      <c r="L6457" s="184"/>
      <c r="M6457" s="184"/>
      <c r="N6457" s="184"/>
      <c r="O6457" s="184"/>
    </row>
    <row r="6458" customFormat="false" ht="15" hidden="false" customHeight="true" outlineLevel="0" collapsed="false">
      <c r="A6458" s="184"/>
      <c r="B6458" s="184"/>
      <c r="C6458" s="184"/>
      <c r="D6458" s="184"/>
      <c r="E6458" s="184"/>
      <c r="F6458" s="184"/>
      <c r="G6458" s="184"/>
      <c r="H6458" s="184"/>
      <c r="I6458" s="184"/>
      <c r="J6458" s="184"/>
      <c r="K6458" s="184"/>
      <c r="L6458" s="184"/>
      <c r="M6458" s="184"/>
      <c r="N6458" s="184"/>
      <c r="O6458" s="184"/>
    </row>
    <row r="6459" customFormat="false" ht="15" hidden="false" customHeight="true" outlineLevel="0" collapsed="false">
      <c r="A6459" s="184"/>
      <c r="B6459" s="184"/>
      <c r="C6459" s="184"/>
      <c r="D6459" s="184"/>
      <c r="E6459" s="184"/>
      <c r="F6459" s="184"/>
      <c r="G6459" s="184"/>
      <c r="H6459" s="184"/>
      <c r="I6459" s="184"/>
      <c r="J6459" s="184"/>
      <c r="K6459" s="184"/>
      <c r="L6459" s="184"/>
      <c r="M6459" s="184"/>
      <c r="N6459" s="184"/>
      <c r="O6459" s="184"/>
    </row>
    <row r="6460" customFormat="false" ht="15" hidden="false" customHeight="true" outlineLevel="0" collapsed="false">
      <c r="A6460" s="184"/>
      <c r="B6460" s="184"/>
      <c r="C6460" s="184"/>
      <c r="D6460" s="184"/>
      <c r="E6460" s="184"/>
      <c r="F6460" s="184"/>
      <c r="G6460" s="184"/>
      <c r="H6460" s="184"/>
      <c r="I6460" s="184"/>
      <c r="J6460" s="184"/>
      <c r="K6460" s="184"/>
      <c r="L6460" s="184"/>
      <c r="M6460" s="184"/>
      <c r="N6460" s="184"/>
      <c r="O6460" s="184"/>
    </row>
    <row r="6461" customFormat="false" ht="15" hidden="false" customHeight="true" outlineLevel="0" collapsed="false">
      <c r="A6461" s="184"/>
      <c r="B6461" s="184"/>
      <c r="C6461" s="184"/>
      <c r="D6461" s="184"/>
      <c r="E6461" s="184"/>
      <c r="F6461" s="184"/>
      <c r="G6461" s="184"/>
      <c r="H6461" s="184"/>
      <c r="I6461" s="184"/>
      <c r="J6461" s="184"/>
      <c r="K6461" s="184"/>
      <c r="L6461" s="184"/>
      <c r="M6461" s="184"/>
      <c r="N6461" s="184"/>
      <c r="O6461" s="184"/>
    </row>
    <row r="6462" customFormat="false" ht="15" hidden="false" customHeight="true" outlineLevel="0" collapsed="false">
      <c r="A6462" s="184"/>
      <c r="B6462" s="184"/>
      <c r="C6462" s="184"/>
      <c r="D6462" s="184"/>
      <c r="E6462" s="184"/>
      <c r="F6462" s="184"/>
      <c r="G6462" s="184"/>
      <c r="H6462" s="184"/>
      <c r="I6462" s="184"/>
      <c r="J6462" s="184"/>
      <c r="K6462" s="184"/>
      <c r="L6462" s="184"/>
      <c r="M6462" s="184"/>
      <c r="N6462" s="184"/>
      <c r="O6462" s="184"/>
    </row>
    <row r="6463" customFormat="false" ht="15" hidden="false" customHeight="true" outlineLevel="0" collapsed="false">
      <c r="A6463" s="184"/>
      <c r="B6463" s="184"/>
      <c r="C6463" s="184"/>
      <c r="D6463" s="184"/>
      <c r="E6463" s="184"/>
      <c r="F6463" s="184"/>
      <c r="G6463" s="184"/>
      <c r="H6463" s="184"/>
      <c r="I6463" s="184"/>
      <c r="J6463" s="184"/>
      <c r="K6463" s="184"/>
      <c r="L6463" s="184"/>
      <c r="M6463" s="184"/>
      <c r="N6463" s="184"/>
      <c r="O6463" s="184"/>
    </row>
    <row r="6464" customFormat="false" ht="15" hidden="false" customHeight="true" outlineLevel="0" collapsed="false">
      <c r="A6464" s="184"/>
      <c r="B6464" s="184"/>
      <c r="C6464" s="184"/>
      <c r="D6464" s="184"/>
      <c r="E6464" s="184"/>
      <c r="F6464" s="184"/>
      <c r="G6464" s="184"/>
      <c r="H6464" s="184"/>
      <c r="I6464" s="184"/>
      <c r="J6464" s="184"/>
      <c r="K6464" s="184"/>
      <c r="L6464" s="184"/>
      <c r="M6464" s="184"/>
      <c r="N6464" s="184"/>
      <c r="O6464" s="184"/>
    </row>
    <row r="6465" customFormat="false" ht="15" hidden="false" customHeight="true" outlineLevel="0" collapsed="false">
      <c r="A6465" s="184"/>
      <c r="B6465" s="184"/>
      <c r="C6465" s="184"/>
      <c r="D6465" s="184"/>
      <c r="E6465" s="184"/>
      <c r="F6465" s="184"/>
      <c r="G6465" s="184"/>
      <c r="H6465" s="184"/>
      <c r="I6465" s="184"/>
      <c r="J6465" s="184"/>
      <c r="K6465" s="184"/>
      <c r="L6465" s="184"/>
      <c r="M6465" s="184"/>
      <c r="N6465" s="184"/>
      <c r="O6465" s="184"/>
    </row>
    <row r="6466" customFormat="false" ht="15" hidden="false" customHeight="true" outlineLevel="0" collapsed="false">
      <c r="A6466" s="184"/>
      <c r="B6466" s="184"/>
      <c r="C6466" s="184"/>
      <c r="D6466" s="184"/>
      <c r="E6466" s="184"/>
      <c r="F6466" s="184"/>
      <c r="G6466" s="184"/>
      <c r="H6466" s="184"/>
      <c r="I6466" s="184"/>
      <c r="J6466" s="184"/>
      <c r="K6466" s="184"/>
      <c r="L6466" s="184"/>
      <c r="M6466" s="184"/>
      <c r="N6466" s="184"/>
      <c r="O6466" s="184"/>
    </row>
    <row r="6467" customFormat="false" ht="15" hidden="false" customHeight="true" outlineLevel="0" collapsed="false">
      <c r="A6467" s="184"/>
      <c r="B6467" s="184"/>
      <c r="C6467" s="184"/>
      <c r="D6467" s="184"/>
      <c r="E6467" s="184"/>
      <c r="F6467" s="184"/>
      <c r="G6467" s="184"/>
      <c r="H6467" s="184"/>
      <c r="I6467" s="184"/>
      <c r="J6467" s="184"/>
      <c r="K6467" s="184"/>
      <c r="L6467" s="184"/>
      <c r="M6467" s="184"/>
      <c r="N6467" s="184"/>
      <c r="O6467" s="184"/>
    </row>
    <row r="6468" customFormat="false" ht="15" hidden="false" customHeight="true" outlineLevel="0" collapsed="false">
      <c r="A6468" s="184"/>
      <c r="B6468" s="184"/>
      <c r="C6468" s="184"/>
      <c r="D6468" s="184"/>
      <c r="E6468" s="184"/>
      <c r="F6468" s="184"/>
      <c r="G6468" s="184"/>
      <c r="H6468" s="184"/>
      <c r="I6468" s="184"/>
      <c r="J6468" s="184"/>
      <c r="K6468" s="184"/>
      <c r="L6468" s="184"/>
      <c r="M6468" s="184"/>
      <c r="N6468" s="184"/>
      <c r="O6468" s="184"/>
    </row>
    <row r="6469" customFormat="false" ht="15" hidden="false" customHeight="true" outlineLevel="0" collapsed="false">
      <c r="A6469" s="184"/>
      <c r="B6469" s="184"/>
      <c r="C6469" s="184"/>
      <c r="D6469" s="184"/>
      <c r="E6469" s="184"/>
      <c r="F6469" s="184"/>
      <c r="G6469" s="184"/>
      <c r="H6469" s="184"/>
      <c r="I6469" s="184"/>
      <c r="J6469" s="184"/>
      <c r="K6469" s="184"/>
      <c r="L6469" s="184"/>
      <c r="M6469" s="184"/>
      <c r="N6469" s="184"/>
      <c r="O6469" s="184"/>
    </row>
    <row r="6470" customFormat="false" ht="15" hidden="false" customHeight="true" outlineLevel="0" collapsed="false">
      <c r="A6470" s="184"/>
      <c r="B6470" s="184"/>
      <c r="C6470" s="184"/>
      <c r="D6470" s="184"/>
      <c r="E6470" s="184"/>
      <c r="F6470" s="184"/>
      <c r="G6470" s="184"/>
      <c r="H6470" s="184"/>
      <c r="I6470" s="184"/>
      <c r="J6470" s="184"/>
      <c r="K6470" s="184"/>
      <c r="L6470" s="184"/>
      <c r="M6470" s="184"/>
      <c r="N6470" s="184"/>
      <c r="O6470" s="184"/>
    </row>
    <row r="6471" customFormat="false" ht="15" hidden="false" customHeight="true" outlineLevel="0" collapsed="false">
      <c r="A6471" s="184"/>
      <c r="B6471" s="184"/>
      <c r="C6471" s="184"/>
      <c r="D6471" s="184"/>
      <c r="E6471" s="184"/>
      <c r="F6471" s="184"/>
      <c r="G6471" s="184"/>
      <c r="H6471" s="184"/>
      <c r="I6471" s="184"/>
      <c r="J6471" s="184"/>
      <c r="K6471" s="184"/>
      <c r="L6471" s="184"/>
      <c r="M6471" s="184"/>
      <c r="N6471" s="184"/>
      <c r="O6471" s="184"/>
    </row>
    <row r="6472" customFormat="false" ht="15" hidden="false" customHeight="true" outlineLevel="0" collapsed="false">
      <c r="A6472" s="184"/>
      <c r="B6472" s="184"/>
      <c r="C6472" s="184"/>
      <c r="D6472" s="184"/>
      <c r="E6472" s="184"/>
      <c r="F6472" s="184"/>
      <c r="G6472" s="184"/>
      <c r="H6472" s="184"/>
      <c r="I6472" s="184"/>
      <c r="J6472" s="184"/>
      <c r="K6472" s="184"/>
      <c r="L6472" s="184"/>
      <c r="M6472" s="184"/>
      <c r="N6472" s="184"/>
      <c r="O6472" s="184"/>
    </row>
    <row r="6473" customFormat="false" ht="15" hidden="false" customHeight="true" outlineLevel="0" collapsed="false">
      <c r="A6473" s="184"/>
      <c r="B6473" s="184"/>
      <c r="C6473" s="184"/>
      <c r="D6473" s="184"/>
      <c r="E6473" s="184"/>
      <c r="F6473" s="184"/>
      <c r="G6473" s="184"/>
      <c r="H6473" s="184"/>
      <c r="I6473" s="184"/>
      <c r="J6473" s="184"/>
      <c r="K6473" s="184"/>
      <c r="L6473" s="184"/>
      <c r="M6473" s="184"/>
      <c r="N6473" s="184"/>
      <c r="O6473" s="184"/>
    </row>
    <row r="6474" customFormat="false" ht="15" hidden="false" customHeight="true" outlineLevel="0" collapsed="false">
      <c r="A6474" s="184"/>
      <c r="B6474" s="184"/>
      <c r="C6474" s="184"/>
      <c r="D6474" s="184"/>
      <c r="E6474" s="184"/>
      <c r="F6474" s="184"/>
      <c r="G6474" s="184"/>
      <c r="H6474" s="184"/>
      <c r="I6474" s="184"/>
      <c r="J6474" s="184"/>
      <c r="K6474" s="184"/>
      <c r="L6474" s="184"/>
      <c r="M6474" s="184"/>
      <c r="N6474" s="184"/>
      <c r="O6474" s="184"/>
    </row>
    <row r="6475" customFormat="false" ht="15" hidden="false" customHeight="true" outlineLevel="0" collapsed="false">
      <c r="A6475" s="184"/>
      <c r="B6475" s="184"/>
      <c r="C6475" s="184"/>
      <c r="D6475" s="184"/>
      <c r="E6475" s="184"/>
      <c r="F6475" s="184"/>
      <c r="G6475" s="184"/>
      <c r="H6475" s="184"/>
      <c r="I6475" s="184"/>
      <c r="J6475" s="184"/>
      <c r="K6475" s="184"/>
      <c r="L6475" s="184"/>
      <c r="M6475" s="184"/>
      <c r="N6475" s="184"/>
      <c r="O6475" s="184"/>
    </row>
    <row r="6476" customFormat="false" ht="15" hidden="false" customHeight="true" outlineLevel="0" collapsed="false">
      <c r="A6476" s="184"/>
      <c r="B6476" s="184"/>
      <c r="C6476" s="184"/>
      <c r="D6476" s="184"/>
      <c r="E6476" s="184"/>
      <c r="F6476" s="184"/>
      <c r="G6476" s="184"/>
      <c r="H6476" s="184"/>
      <c r="I6476" s="184"/>
      <c r="J6476" s="184"/>
      <c r="K6476" s="184"/>
      <c r="L6476" s="184"/>
      <c r="M6476" s="184"/>
      <c r="N6476" s="184"/>
      <c r="O6476" s="184"/>
    </row>
    <row r="6477" customFormat="false" ht="15" hidden="false" customHeight="true" outlineLevel="0" collapsed="false">
      <c r="A6477" s="184"/>
      <c r="B6477" s="184"/>
      <c r="C6477" s="184"/>
      <c r="D6477" s="184"/>
      <c r="E6477" s="184"/>
      <c r="F6477" s="184"/>
      <c r="G6477" s="184"/>
      <c r="H6477" s="184"/>
      <c r="I6477" s="184"/>
      <c r="J6477" s="184"/>
      <c r="K6477" s="184"/>
      <c r="L6477" s="184"/>
      <c r="M6477" s="184"/>
      <c r="N6477" s="184"/>
      <c r="O6477" s="184"/>
    </row>
    <row r="6478" customFormat="false" ht="15" hidden="false" customHeight="true" outlineLevel="0" collapsed="false">
      <c r="A6478" s="184"/>
      <c r="B6478" s="184"/>
      <c r="C6478" s="184"/>
      <c r="D6478" s="184"/>
      <c r="E6478" s="184"/>
      <c r="F6478" s="184"/>
      <c r="G6478" s="184"/>
      <c r="H6478" s="184"/>
      <c r="I6478" s="184"/>
      <c r="J6478" s="184"/>
      <c r="K6478" s="184"/>
      <c r="L6478" s="184"/>
      <c r="M6478" s="184"/>
      <c r="N6478" s="184"/>
      <c r="O6478" s="184"/>
    </row>
    <row r="6479" customFormat="false" ht="15" hidden="false" customHeight="true" outlineLevel="0" collapsed="false">
      <c r="A6479" s="184"/>
      <c r="B6479" s="184"/>
      <c r="C6479" s="184"/>
      <c r="D6479" s="184"/>
      <c r="E6479" s="184"/>
      <c r="F6479" s="184"/>
      <c r="G6479" s="184"/>
      <c r="H6479" s="184"/>
      <c r="I6479" s="184"/>
      <c r="J6479" s="184"/>
      <c r="K6479" s="184"/>
      <c r="L6479" s="184"/>
      <c r="M6479" s="184"/>
      <c r="N6479" s="184"/>
      <c r="O6479" s="184"/>
    </row>
    <row r="6480" customFormat="false" ht="15" hidden="false" customHeight="true" outlineLevel="0" collapsed="false">
      <c r="A6480" s="184"/>
      <c r="B6480" s="184"/>
      <c r="C6480" s="184"/>
      <c r="D6480" s="184"/>
      <c r="E6480" s="184"/>
      <c r="F6480" s="184"/>
      <c r="G6480" s="184"/>
      <c r="H6480" s="184"/>
      <c r="I6480" s="184"/>
      <c r="J6480" s="184"/>
      <c r="K6480" s="184"/>
      <c r="L6480" s="184"/>
      <c r="M6480" s="184"/>
      <c r="N6480" s="184"/>
      <c r="O6480" s="184"/>
    </row>
    <row r="6481" customFormat="false" ht="15" hidden="false" customHeight="true" outlineLevel="0" collapsed="false">
      <c r="A6481" s="184"/>
      <c r="B6481" s="184"/>
      <c r="C6481" s="184"/>
      <c r="D6481" s="184"/>
      <c r="E6481" s="184"/>
      <c r="F6481" s="184"/>
      <c r="G6481" s="184"/>
      <c r="H6481" s="184"/>
      <c r="I6481" s="184"/>
      <c r="J6481" s="184"/>
      <c r="K6481" s="184"/>
      <c r="L6481" s="184"/>
      <c r="M6481" s="184"/>
      <c r="N6481" s="184"/>
      <c r="O6481" s="184"/>
    </row>
    <row r="6482" customFormat="false" ht="15" hidden="false" customHeight="true" outlineLevel="0" collapsed="false">
      <c r="A6482" s="184"/>
      <c r="B6482" s="184"/>
      <c r="C6482" s="184"/>
      <c r="D6482" s="184"/>
      <c r="E6482" s="184"/>
      <c r="F6482" s="184"/>
      <c r="G6482" s="184"/>
      <c r="H6482" s="184"/>
      <c r="I6482" s="184"/>
      <c r="J6482" s="184"/>
      <c r="K6482" s="184"/>
      <c r="L6482" s="184"/>
      <c r="M6482" s="184"/>
      <c r="N6482" s="184"/>
      <c r="O6482" s="184"/>
    </row>
    <row r="6483" customFormat="false" ht="15" hidden="false" customHeight="true" outlineLevel="0" collapsed="false">
      <c r="A6483" s="184"/>
      <c r="B6483" s="184"/>
      <c r="C6483" s="184"/>
      <c r="D6483" s="184"/>
      <c r="E6483" s="184"/>
      <c r="F6483" s="184"/>
      <c r="G6483" s="184"/>
      <c r="H6483" s="184"/>
      <c r="I6483" s="184"/>
      <c r="J6483" s="184"/>
      <c r="K6483" s="184"/>
      <c r="L6483" s="184"/>
      <c r="M6483" s="184"/>
      <c r="N6483" s="184"/>
      <c r="O6483" s="184"/>
    </row>
    <row r="6484" customFormat="false" ht="15" hidden="false" customHeight="true" outlineLevel="0" collapsed="false">
      <c r="A6484" s="184"/>
      <c r="B6484" s="184"/>
      <c r="C6484" s="184"/>
      <c r="D6484" s="184"/>
      <c r="E6484" s="184"/>
      <c r="F6484" s="184"/>
      <c r="G6484" s="184"/>
      <c r="H6484" s="184"/>
      <c r="I6484" s="184"/>
      <c r="J6484" s="184"/>
      <c r="K6484" s="184"/>
      <c r="L6484" s="184"/>
      <c r="M6484" s="184"/>
      <c r="N6484" s="184"/>
      <c r="O6484" s="184"/>
    </row>
    <row r="6485" customFormat="false" ht="15" hidden="false" customHeight="true" outlineLevel="0" collapsed="false">
      <c r="A6485" s="184"/>
      <c r="B6485" s="184"/>
      <c r="C6485" s="184"/>
      <c r="D6485" s="184"/>
      <c r="E6485" s="184"/>
      <c r="F6485" s="184"/>
      <c r="G6485" s="184"/>
      <c r="H6485" s="184"/>
      <c r="I6485" s="184"/>
      <c r="J6485" s="184"/>
      <c r="K6485" s="184"/>
      <c r="L6485" s="184"/>
      <c r="M6485" s="184"/>
      <c r="N6485" s="184"/>
      <c r="O6485" s="184"/>
    </row>
    <row r="6486" customFormat="false" ht="15" hidden="false" customHeight="true" outlineLevel="0" collapsed="false">
      <c r="A6486" s="184"/>
      <c r="B6486" s="184"/>
      <c r="C6486" s="184"/>
      <c r="D6486" s="184"/>
      <c r="E6486" s="184"/>
      <c r="F6486" s="184"/>
      <c r="G6486" s="184"/>
      <c r="H6486" s="184"/>
      <c r="I6486" s="184"/>
      <c r="J6486" s="184"/>
      <c r="K6486" s="184"/>
      <c r="L6486" s="184"/>
      <c r="M6486" s="184"/>
      <c r="N6486" s="184"/>
      <c r="O6486" s="184"/>
    </row>
    <row r="6487" customFormat="false" ht="15" hidden="false" customHeight="true" outlineLevel="0" collapsed="false">
      <c r="A6487" s="184"/>
      <c r="B6487" s="184"/>
      <c r="C6487" s="184"/>
      <c r="D6487" s="184"/>
      <c r="E6487" s="184"/>
      <c r="F6487" s="184"/>
      <c r="G6487" s="184"/>
      <c r="H6487" s="184"/>
      <c r="I6487" s="184"/>
      <c r="J6487" s="184"/>
      <c r="K6487" s="184"/>
      <c r="L6487" s="184"/>
      <c r="M6487" s="184"/>
      <c r="N6487" s="184"/>
      <c r="O6487" s="184"/>
    </row>
    <row r="6488" customFormat="false" ht="15" hidden="false" customHeight="true" outlineLevel="0" collapsed="false">
      <c r="A6488" s="184"/>
      <c r="B6488" s="184"/>
      <c r="C6488" s="184"/>
      <c r="D6488" s="184"/>
      <c r="E6488" s="184"/>
      <c r="F6488" s="184"/>
      <c r="G6488" s="184"/>
      <c r="H6488" s="184"/>
      <c r="I6488" s="184"/>
      <c r="J6488" s="184"/>
      <c r="K6488" s="184"/>
      <c r="L6488" s="184"/>
      <c r="M6488" s="184"/>
      <c r="N6488" s="184"/>
      <c r="O6488" s="184"/>
    </row>
    <row r="6489" customFormat="false" ht="15" hidden="false" customHeight="true" outlineLevel="0" collapsed="false">
      <c r="A6489" s="184"/>
      <c r="B6489" s="184"/>
      <c r="C6489" s="184"/>
      <c r="D6489" s="184"/>
      <c r="E6489" s="184"/>
      <c r="F6489" s="184"/>
      <c r="G6489" s="184"/>
      <c r="H6489" s="184"/>
      <c r="I6489" s="184"/>
      <c r="J6489" s="184"/>
      <c r="K6489" s="184"/>
      <c r="L6489" s="184"/>
      <c r="M6489" s="184"/>
      <c r="N6489" s="184"/>
      <c r="O6489" s="184"/>
    </row>
    <row r="6490" customFormat="false" ht="15" hidden="false" customHeight="true" outlineLevel="0" collapsed="false">
      <c r="A6490" s="184"/>
      <c r="B6490" s="184"/>
      <c r="C6490" s="184"/>
      <c r="D6490" s="184"/>
      <c r="E6490" s="184"/>
      <c r="F6490" s="184"/>
      <c r="G6490" s="184"/>
      <c r="H6490" s="184"/>
      <c r="I6490" s="184"/>
      <c r="J6490" s="184"/>
      <c r="K6490" s="184"/>
      <c r="L6490" s="184"/>
      <c r="M6490" s="184"/>
      <c r="N6490" s="184"/>
      <c r="O6490" s="184"/>
    </row>
    <row r="6491" customFormat="false" ht="15" hidden="false" customHeight="true" outlineLevel="0" collapsed="false">
      <c r="A6491" s="184"/>
      <c r="B6491" s="184"/>
      <c r="C6491" s="184"/>
      <c r="D6491" s="184"/>
      <c r="E6491" s="184"/>
      <c r="F6491" s="184"/>
      <c r="G6491" s="184"/>
      <c r="H6491" s="184"/>
      <c r="I6491" s="184"/>
      <c r="J6491" s="184"/>
      <c r="K6491" s="184"/>
      <c r="L6491" s="184"/>
      <c r="M6491" s="184"/>
      <c r="N6491" s="184"/>
      <c r="O6491" s="184"/>
    </row>
    <row r="6492" customFormat="false" ht="15" hidden="false" customHeight="true" outlineLevel="0" collapsed="false">
      <c r="A6492" s="184"/>
      <c r="B6492" s="184"/>
      <c r="C6492" s="184"/>
      <c r="D6492" s="184"/>
      <c r="E6492" s="184"/>
      <c r="F6492" s="184"/>
      <c r="G6492" s="184"/>
      <c r="H6492" s="184"/>
      <c r="I6492" s="184"/>
      <c r="J6492" s="184"/>
      <c r="K6492" s="184"/>
      <c r="L6492" s="184"/>
      <c r="M6492" s="184"/>
      <c r="N6492" s="184"/>
      <c r="O6492" s="184"/>
    </row>
    <row r="6493" customFormat="false" ht="15" hidden="false" customHeight="true" outlineLevel="0" collapsed="false">
      <c r="A6493" s="184"/>
      <c r="B6493" s="184"/>
      <c r="C6493" s="184"/>
      <c r="D6493" s="184"/>
      <c r="E6493" s="184"/>
      <c r="F6493" s="184"/>
      <c r="G6493" s="184"/>
      <c r="H6493" s="184"/>
      <c r="I6493" s="184"/>
      <c r="J6493" s="184"/>
      <c r="K6493" s="184"/>
      <c r="L6493" s="184"/>
      <c r="M6493" s="184"/>
      <c r="N6493" s="184"/>
      <c r="O6493" s="184"/>
    </row>
    <row r="6494" customFormat="false" ht="15" hidden="false" customHeight="true" outlineLevel="0" collapsed="false">
      <c r="A6494" s="184"/>
      <c r="B6494" s="184"/>
      <c r="C6494" s="184"/>
      <c r="D6494" s="184"/>
      <c r="E6494" s="184"/>
      <c r="F6494" s="184"/>
      <c r="G6494" s="184"/>
      <c r="H6494" s="184"/>
      <c r="I6494" s="184"/>
      <c r="J6494" s="184"/>
      <c r="K6494" s="184"/>
      <c r="L6494" s="184"/>
      <c r="M6494" s="184"/>
      <c r="N6494" s="184"/>
      <c r="O6494" s="184"/>
    </row>
    <row r="6495" customFormat="false" ht="15" hidden="false" customHeight="true" outlineLevel="0" collapsed="false">
      <c r="A6495" s="184"/>
      <c r="B6495" s="184"/>
      <c r="C6495" s="184"/>
      <c r="D6495" s="184"/>
      <c r="E6495" s="184"/>
      <c r="F6495" s="184"/>
      <c r="G6495" s="184"/>
      <c r="H6495" s="184"/>
      <c r="I6495" s="184"/>
      <c r="J6495" s="184"/>
      <c r="K6495" s="184"/>
      <c r="L6495" s="184"/>
      <c r="M6495" s="184"/>
      <c r="N6495" s="184"/>
      <c r="O6495" s="184"/>
    </row>
    <row r="6496" customFormat="false" ht="15" hidden="false" customHeight="true" outlineLevel="0" collapsed="false">
      <c r="A6496" s="184"/>
      <c r="B6496" s="184"/>
      <c r="C6496" s="184"/>
      <c r="D6496" s="184"/>
      <c r="E6496" s="184"/>
      <c r="F6496" s="184"/>
      <c r="G6496" s="184"/>
      <c r="H6496" s="184"/>
      <c r="I6496" s="184"/>
      <c r="J6496" s="184"/>
      <c r="K6496" s="184"/>
      <c r="L6496" s="184"/>
      <c r="M6496" s="184"/>
      <c r="N6496" s="184"/>
      <c r="O6496" s="184"/>
    </row>
    <row r="6497" customFormat="false" ht="15" hidden="false" customHeight="true" outlineLevel="0" collapsed="false">
      <c r="A6497" s="184"/>
      <c r="B6497" s="184"/>
      <c r="C6497" s="184"/>
      <c r="D6497" s="184"/>
      <c r="E6497" s="184"/>
      <c r="F6497" s="184"/>
      <c r="G6497" s="184"/>
      <c r="H6497" s="184"/>
      <c r="I6497" s="184"/>
      <c r="J6497" s="184"/>
      <c r="K6497" s="184"/>
      <c r="L6497" s="184"/>
      <c r="M6497" s="184"/>
      <c r="N6497" s="184"/>
      <c r="O6497" s="184"/>
    </row>
    <row r="6498" customFormat="false" ht="15" hidden="false" customHeight="true" outlineLevel="0" collapsed="false">
      <c r="A6498" s="184"/>
      <c r="B6498" s="184"/>
      <c r="C6498" s="184"/>
      <c r="D6498" s="184"/>
      <c r="E6498" s="184"/>
      <c r="F6498" s="184"/>
      <c r="G6498" s="184"/>
      <c r="H6498" s="184"/>
      <c r="I6498" s="184"/>
      <c r="J6498" s="184"/>
      <c r="K6498" s="184"/>
      <c r="L6498" s="184"/>
      <c r="M6498" s="184"/>
      <c r="N6498" s="184"/>
      <c r="O6498" s="184"/>
    </row>
    <row r="6499" customFormat="false" ht="15" hidden="false" customHeight="true" outlineLevel="0" collapsed="false">
      <c r="A6499" s="184"/>
      <c r="B6499" s="184"/>
      <c r="C6499" s="184"/>
      <c r="D6499" s="184"/>
      <c r="E6499" s="184"/>
      <c r="F6499" s="184"/>
      <c r="G6499" s="184"/>
      <c r="H6499" s="184"/>
      <c r="I6499" s="184"/>
      <c r="J6499" s="184"/>
      <c r="K6499" s="184"/>
      <c r="L6499" s="184"/>
      <c r="M6499" s="184"/>
      <c r="N6499" s="184"/>
      <c r="O6499" s="184"/>
    </row>
    <row r="6500" customFormat="false" ht="15" hidden="false" customHeight="true" outlineLevel="0" collapsed="false">
      <c r="A6500" s="184"/>
      <c r="B6500" s="184"/>
      <c r="C6500" s="184"/>
      <c r="D6500" s="184"/>
      <c r="E6500" s="184"/>
      <c r="F6500" s="184"/>
      <c r="G6500" s="184"/>
      <c r="H6500" s="184"/>
      <c r="I6500" s="184"/>
      <c r="J6500" s="184"/>
      <c r="K6500" s="184"/>
      <c r="L6500" s="184"/>
      <c r="M6500" s="184"/>
      <c r="N6500" s="184"/>
      <c r="O6500" s="184"/>
    </row>
    <row r="6501" customFormat="false" ht="15" hidden="false" customHeight="true" outlineLevel="0" collapsed="false">
      <c r="A6501" s="184"/>
      <c r="B6501" s="184"/>
      <c r="C6501" s="184"/>
      <c r="D6501" s="184"/>
      <c r="E6501" s="184"/>
      <c r="F6501" s="184"/>
      <c r="G6501" s="184"/>
      <c r="H6501" s="184"/>
      <c r="I6501" s="184"/>
      <c r="J6501" s="184"/>
      <c r="K6501" s="184"/>
      <c r="L6501" s="184"/>
      <c r="M6501" s="184"/>
      <c r="N6501" s="184"/>
      <c r="O6501" s="184"/>
    </row>
    <row r="6502" customFormat="false" ht="15" hidden="false" customHeight="true" outlineLevel="0" collapsed="false">
      <c r="A6502" s="184"/>
      <c r="B6502" s="184"/>
      <c r="C6502" s="184"/>
      <c r="D6502" s="184"/>
      <c r="E6502" s="184"/>
      <c r="F6502" s="184"/>
      <c r="G6502" s="184"/>
      <c r="H6502" s="184"/>
      <c r="I6502" s="184"/>
      <c r="J6502" s="184"/>
      <c r="K6502" s="184"/>
      <c r="L6502" s="184"/>
      <c r="M6502" s="184"/>
      <c r="N6502" s="184"/>
      <c r="O6502" s="184"/>
    </row>
    <row r="6503" customFormat="false" ht="15" hidden="false" customHeight="true" outlineLevel="0" collapsed="false">
      <c r="A6503" s="184"/>
      <c r="B6503" s="184"/>
      <c r="C6503" s="184"/>
      <c r="D6503" s="184"/>
      <c r="E6503" s="184"/>
      <c r="F6503" s="184"/>
      <c r="G6503" s="184"/>
      <c r="H6503" s="184"/>
      <c r="I6503" s="184"/>
      <c r="J6503" s="184"/>
      <c r="K6503" s="184"/>
      <c r="L6503" s="184"/>
      <c r="M6503" s="184"/>
      <c r="N6503" s="184"/>
      <c r="O6503" s="184"/>
    </row>
    <row r="6504" customFormat="false" ht="15" hidden="false" customHeight="true" outlineLevel="0" collapsed="false">
      <c r="A6504" s="184"/>
      <c r="B6504" s="184"/>
      <c r="C6504" s="184"/>
      <c r="D6504" s="184"/>
      <c r="E6504" s="184"/>
      <c r="F6504" s="184"/>
      <c r="G6504" s="184"/>
      <c r="H6504" s="184"/>
      <c r="I6504" s="184"/>
      <c r="J6504" s="184"/>
      <c r="K6504" s="184"/>
      <c r="L6504" s="184"/>
      <c r="M6504" s="184"/>
      <c r="N6504" s="184"/>
      <c r="O6504" s="184"/>
    </row>
    <row r="6505" customFormat="false" ht="15" hidden="false" customHeight="true" outlineLevel="0" collapsed="false">
      <c r="A6505" s="184"/>
      <c r="B6505" s="184"/>
      <c r="C6505" s="184"/>
      <c r="D6505" s="184"/>
      <c r="E6505" s="184"/>
      <c r="F6505" s="184"/>
      <c r="G6505" s="184"/>
      <c r="H6505" s="184"/>
      <c r="I6505" s="184"/>
      <c r="J6505" s="184"/>
      <c r="K6505" s="184"/>
      <c r="L6505" s="184"/>
      <c r="M6505" s="184"/>
      <c r="N6505" s="184"/>
      <c r="O6505" s="184"/>
    </row>
    <row r="6506" customFormat="false" ht="15" hidden="false" customHeight="true" outlineLevel="0" collapsed="false">
      <c r="A6506" s="184"/>
      <c r="B6506" s="184"/>
      <c r="C6506" s="184"/>
      <c r="D6506" s="184"/>
      <c r="E6506" s="184"/>
      <c r="F6506" s="184"/>
      <c r="G6506" s="184"/>
      <c r="H6506" s="184"/>
      <c r="I6506" s="184"/>
      <c r="J6506" s="184"/>
      <c r="K6506" s="184"/>
      <c r="L6506" s="184"/>
      <c r="M6506" s="184"/>
      <c r="N6506" s="184"/>
      <c r="O6506" s="184"/>
    </row>
    <row r="6507" customFormat="false" ht="15" hidden="false" customHeight="true" outlineLevel="0" collapsed="false">
      <c r="A6507" s="184"/>
      <c r="B6507" s="184"/>
      <c r="C6507" s="184"/>
      <c r="D6507" s="184"/>
      <c r="E6507" s="184"/>
      <c r="F6507" s="184"/>
      <c r="G6507" s="184"/>
      <c r="H6507" s="184"/>
      <c r="I6507" s="184"/>
      <c r="J6507" s="184"/>
      <c r="K6507" s="184"/>
      <c r="L6507" s="184"/>
      <c r="M6507" s="184"/>
      <c r="N6507" s="184"/>
      <c r="O6507" s="184"/>
    </row>
    <row r="6508" customFormat="false" ht="15" hidden="false" customHeight="true" outlineLevel="0" collapsed="false">
      <c r="A6508" s="184"/>
      <c r="B6508" s="184"/>
      <c r="C6508" s="184"/>
      <c r="D6508" s="184"/>
      <c r="E6508" s="184"/>
      <c r="F6508" s="184"/>
      <c r="G6508" s="184"/>
      <c r="H6508" s="184"/>
      <c r="I6508" s="184"/>
      <c r="J6508" s="184"/>
      <c r="K6508" s="184"/>
      <c r="L6508" s="184"/>
      <c r="M6508" s="184"/>
      <c r="N6508" s="184"/>
      <c r="O6508" s="184"/>
    </row>
    <row r="6509" customFormat="false" ht="15" hidden="false" customHeight="true" outlineLevel="0" collapsed="false">
      <c r="A6509" s="184"/>
      <c r="B6509" s="184"/>
      <c r="C6509" s="184"/>
      <c r="D6509" s="184"/>
      <c r="E6509" s="184"/>
      <c r="F6509" s="184"/>
      <c r="G6509" s="184"/>
      <c r="H6509" s="184"/>
      <c r="I6509" s="184"/>
      <c r="J6509" s="184"/>
      <c r="K6509" s="184"/>
      <c r="L6509" s="184"/>
      <c r="M6509" s="184"/>
      <c r="N6509" s="184"/>
      <c r="O6509" s="184"/>
    </row>
    <row r="6510" customFormat="false" ht="15" hidden="false" customHeight="true" outlineLevel="0" collapsed="false">
      <c r="A6510" s="184"/>
      <c r="B6510" s="184"/>
      <c r="C6510" s="184"/>
      <c r="D6510" s="184"/>
      <c r="E6510" s="184"/>
      <c r="F6510" s="184"/>
      <c r="G6510" s="184"/>
      <c r="H6510" s="184"/>
      <c r="I6510" s="184"/>
      <c r="J6510" s="184"/>
      <c r="K6510" s="184"/>
      <c r="L6510" s="184"/>
      <c r="M6510" s="184"/>
      <c r="N6510" s="184"/>
      <c r="O6510" s="184"/>
    </row>
    <row r="6511" customFormat="false" ht="15" hidden="false" customHeight="true" outlineLevel="0" collapsed="false">
      <c r="A6511" s="184"/>
      <c r="B6511" s="184"/>
      <c r="C6511" s="184"/>
      <c r="D6511" s="184"/>
      <c r="E6511" s="184"/>
      <c r="F6511" s="184"/>
      <c r="G6511" s="184"/>
      <c r="H6511" s="184"/>
      <c r="I6511" s="184"/>
      <c r="J6511" s="184"/>
      <c r="K6511" s="184"/>
      <c r="L6511" s="184"/>
      <c r="M6511" s="184"/>
      <c r="N6511" s="184"/>
      <c r="O6511" s="184"/>
    </row>
    <row r="6512" customFormat="false" ht="15" hidden="false" customHeight="true" outlineLevel="0" collapsed="false">
      <c r="A6512" s="184"/>
      <c r="B6512" s="184"/>
      <c r="C6512" s="184"/>
      <c r="D6512" s="184"/>
      <c r="E6512" s="184"/>
      <c r="F6512" s="184"/>
      <c r="G6512" s="184"/>
      <c r="H6512" s="184"/>
      <c r="I6512" s="184"/>
      <c r="J6512" s="184"/>
      <c r="K6512" s="184"/>
      <c r="L6512" s="184"/>
      <c r="M6512" s="184"/>
      <c r="N6512" s="184"/>
      <c r="O6512" s="184"/>
    </row>
    <row r="6513" customFormat="false" ht="15" hidden="false" customHeight="true" outlineLevel="0" collapsed="false">
      <c r="A6513" s="184"/>
      <c r="B6513" s="184"/>
      <c r="C6513" s="184"/>
      <c r="D6513" s="184"/>
      <c r="E6513" s="184"/>
      <c r="F6513" s="184"/>
      <c r="G6513" s="184"/>
      <c r="H6513" s="184"/>
      <c r="I6513" s="184"/>
      <c r="J6513" s="184"/>
      <c r="K6513" s="184"/>
      <c r="L6513" s="184"/>
      <c r="M6513" s="184"/>
      <c r="N6513" s="184"/>
      <c r="O6513" s="184"/>
    </row>
    <row r="6514" customFormat="false" ht="15" hidden="false" customHeight="true" outlineLevel="0" collapsed="false">
      <c r="A6514" s="184"/>
      <c r="B6514" s="184"/>
      <c r="C6514" s="184"/>
      <c r="D6514" s="184"/>
      <c r="E6514" s="184"/>
      <c r="F6514" s="184"/>
      <c r="G6514" s="184"/>
      <c r="H6514" s="184"/>
      <c r="I6514" s="184"/>
      <c r="J6514" s="184"/>
      <c r="K6514" s="184"/>
      <c r="L6514" s="184"/>
      <c r="M6514" s="184"/>
      <c r="N6514" s="184"/>
      <c r="O6514" s="184"/>
    </row>
    <row r="6515" customFormat="false" ht="15" hidden="false" customHeight="true" outlineLevel="0" collapsed="false">
      <c r="A6515" s="184"/>
      <c r="B6515" s="184"/>
      <c r="C6515" s="184"/>
      <c r="D6515" s="184"/>
      <c r="E6515" s="184"/>
      <c r="F6515" s="184"/>
      <c r="G6515" s="184"/>
      <c r="H6515" s="184"/>
      <c r="I6515" s="184"/>
      <c r="J6515" s="184"/>
      <c r="K6515" s="184"/>
      <c r="L6515" s="184"/>
      <c r="M6515" s="184"/>
      <c r="N6515" s="184"/>
      <c r="O6515" s="184"/>
    </row>
    <row r="6516" customFormat="false" ht="15" hidden="false" customHeight="true" outlineLevel="0" collapsed="false">
      <c r="A6516" s="184"/>
      <c r="B6516" s="184"/>
      <c r="C6516" s="184"/>
      <c r="D6516" s="184"/>
      <c r="E6516" s="184"/>
      <c r="F6516" s="184"/>
      <c r="G6516" s="184"/>
      <c r="H6516" s="184"/>
      <c r="I6516" s="184"/>
      <c r="J6516" s="184"/>
      <c r="K6516" s="184"/>
      <c r="L6516" s="184"/>
      <c r="M6516" s="184"/>
      <c r="N6516" s="184"/>
      <c r="O6516" s="184"/>
    </row>
    <row r="6517" customFormat="false" ht="15" hidden="false" customHeight="true" outlineLevel="0" collapsed="false">
      <c r="A6517" s="184"/>
      <c r="B6517" s="184"/>
      <c r="C6517" s="184"/>
      <c r="D6517" s="184"/>
      <c r="E6517" s="184"/>
      <c r="F6517" s="184"/>
      <c r="G6517" s="184"/>
      <c r="H6517" s="184"/>
      <c r="I6517" s="184"/>
      <c r="J6517" s="184"/>
      <c r="K6517" s="184"/>
      <c r="L6517" s="184"/>
      <c r="M6517" s="184"/>
      <c r="N6517" s="184"/>
      <c r="O6517" s="184"/>
    </row>
    <row r="6518" customFormat="false" ht="15" hidden="false" customHeight="true" outlineLevel="0" collapsed="false">
      <c r="A6518" s="184"/>
      <c r="B6518" s="184"/>
      <c r="C6518" s="184"/>
      <c r="D6518" s="184"/>
      <c r="E6518" s="184"/>
      <c r="F6518" s="184"/>
      <c r="G6518" s="184"/>
      <c r="H6518" s="184"/>
      <c r="I6518" s="184"/>
      <c r="J6518" s="184"/>
      <c r="K6518" s="184"/>
      <c r="L6518" s="184"/>
      <c r="M6518" s="184"/>
      <c r="N6518" s="184"/>
      <c r="O6518" s="184"/>
    </row>
    <row r="6519" customFormat="false" ht="15" hidden="false" customHeight="true" outlineLevel="0" collapsed="false">
      <c r="A6519" s="184"/>
      <c r="B6519" s="184"/>
      <c r="C6519" s="184"/>
      <c r="D6519" s="184"/>
      <c r="E6519" s="184"/>
      <c r="F6519" s="184"/>
      <c r="G6519" s="184"/>
      <c r="H6519" s="184"/>
      <c r="I6519" s="184"/>
      <c r="J6519" s="184"/>
      <c r="K6519" s="184"/>
      <c r="L6519" s="184"/>
      <c r="M6519" s="184"/>
      <c r="N6519" s="184"/>
      <c r="O6519" s="184"/>
    </row>
    <row r="6520" customFormat="false" ht="15" hidden="false" customHeight="true" outlineLevel="0" collapsed="false">
      <c r="A6520" s="184"/>
      <c r="B6520" s="184"/>
      <c r="C6520" s="184"/>
      <c r="D6520" s="184"/>
      <c r="E6520" s="184"/>
      <c r="F6520" s="184"/>
      <c r="G6520" s="184"/>
      <c r="H6520" s="184"/>
      <c r="I6520" s="184"/>
      <c r="J6520" s="184"/>
      <c r="K6520" s="184"/>
      <c r="L6520" s="184"/>
      <c r="M6520" s="184"/>
      <c r="N6520" s="184"/>
      <c r="O6520" s="184"/>
    </row>
    <row r="6521" customFormat="false" ht="15" hidden="false" customHeight="true" outlineLevel="0" collapsed="false">
      <c r="A6521" s="184"/>
      <c r="B6521" s="184"/>
      <c r="C6521" s="184"/>
      <c r="D6521" s="184"/>
      <c r="E6521" s="184"/>
      <c r="F6521" s="184"/>
      <c r="G6521" s="184"/>
      <c r="H6521" s="184"/>
      <c r="I6521" s="184"/>
      <c r="J6521" s="184"/>
      <c r="K6521" s="184"/>
      <c r="L6521" s="184"/>
      <c r="M6521" s="184"/>
      <c r="N6521" s="184"/>
      <c r="O6521" s="184"/>
    </row>
    <row r="6522" customFormat="false" ht="15" hidden="false" customHeight="true" outlineLevel="0" collapsed="false">
      <c r="A6522" s="184"/>
      <c r="B6522" s="184"/>
      <c r="C6522" s="184"/>
      <c r="D6522" s="184"/>
      <c r="E6522" s="184"/>
      <c r="F6522" s="184"/>
      <c r="G6522" s="184"/>
      <c r="H6522" s="184"/>
      <c r="I6522" s="184"/>
      <c r="J6522" s="184"/>
      <c r="K6522" s="184"/>
      <c r="L6522" s="184"/>
      <c r="M6522" s="184"/>
      <c r="N6522" s="184"/>
      <c r="O6522" s="184"/>
    </row>
    <row r="6523" customFormat="false" ht="15" hidden="false" customHeight="true" outlineLevel="0" collapsed="false">
      <c r="A6523" s="184"/>
      <c r="B6523" s="184"/>
      <c r="C6523" s="184"/>
      <c r="D6523" s="184"/>
      <c r="E6523" s="184"/>
      <c r="F6523" s="184"/>
      <c r="G6523" s="184"/>
      <c r="H6523" s="184"/>
      <c r="I6523" s="184"/>
      <c r="J6523" s="184"/>
      <c r="K6523" s="184"/>
      <c r="L6523" s="184"/>
      <c r="M6523" s="184"/>
      <c r="N6523" s="184"/>
      <c r="O6523" s="184"/>
    </row>
    <row r="6524" customFormat="false" ht="15" hidden="false" customHeight="true" outlineLevel="0" collapsed="false">
      <c r="A6524" s="184"/>
      <c r="B6524" s="184"/>
      <c r="C6524" s="184"/>
      <c r="D6524" s="184"/>
      <c r="E6524" s="184"/>
      <c r="F6524" s="184"/>
      <c r="G6524" s="184"/>
      <c r="H6524" s="184"/>
      <c r="I6524" s="184"/>
      <c r="J6524" s="184"/>
      <c r="K6524" s="184"/>
      <c r="L6524" s="184"/>
      <c r="M6524" s="184"/>
      <c r="N6524" s="184"/>
      <c r="O6524" s="184"/>
    </row>
    <row r="6525" customFormat="false" ht="15" hidden="false" customHeight="true" outlineLevel="0" collapsed="false">
      <c r="A6525" s="184"/>
      <c r="B6525" s="184"/>
      <c r="C6525" s="184"/>
      <c r="D6525" s="184"/>
      <c r="E6525" s="184"/>
      <c r="F6525" s="184"/>
      <c r="G6525" s="184"/>
      <c r="H6525" s="184"/>
      <c r="I6525" s="184"/>
      <c r="J6525" s="184"/>
      <c r="K6525" s="184"/>
      <c r="L6525" s="184"/>
      <c r="M6525" s="184"/>
      <c r="N6525" s="184"/>
      <c r="O6525" s="184"/>
    </row>
    <row r="6526" customFormat="false" ht="15" hidden="false" customHeight="true" outlineLevel="0" collapsed="false">
      <c r="A6526" s="184"/>
      <c r="B6526" s="184"/>
      <c r="C6526" s="184"/>
      <c r="D6526" s="184"/>
      <c r="E6526" s="184"/>
      <c r="F6526" s="184"/>
      <c r="G6526" s="184"/>
      <c r="H6526" s="184"/>
      <c r="I6526" s="184"/>
      <c r="J6526" s="184"/>
      <c r="K6526" s="184"/>
      <c r="L6526" s="184"/>
      <c r="M6526" s="184"/>
      <c r="N6526" s="184"/>
      <c r="O6526" s="184"/>
    </row>
    <row r="6527" customFormat="false" ht="15" hidden="false" customHeight="true" outlineLevel="0" collapsed="false">
      <c r="A6527" s="184"/>
      <c r="B6527" s="184"/>
      <c r="C6527" s="184"/>
      <c r="D6527" s="184"/>
      <c r="E6527" s="184"/>
      <c r="F6527" s="184"/>
      <c r="G6527" s="184"/>
      <c r="H6527" s="184"/>
      <c r="I6527" s="184"/>
      <c r="J6527" s="184"/>
      <c r="K6527" s="184"/>
      <c r="L6527" s="184"/>
      <c r="M6527" s="184"/>
      <c r="N6527" s="184"/>
      <c r="O6527" s="184"/>
    </row>
    <row r="6528" customFormat="false" ht="15" hidden="false" customHeight="true" outlineLevel="0" collapsed="false">
      <c r="A6528" s="184"/>
      <c r="B6528" s="184"/>
      <c r="C6528" s="184"/>
      <c r="D6528" s="184"/>
      <c r="E6528" s="184"/>
      <c r="F6528" s="184"/>
      <c r="G6528" s="184"/>
      <c r="H6528" s="184"/>
      <c r="I6528" s="184"/>
      <c r="J6528" s="184"/>
      <c r="K6528" s="184"/>
      <c r="L6528" s="184"/>
      <c r="M6528" s="184"/>
      <c r="N6528" s="184"/>
      <c r="O6528" s="184"/>
    </row>
    <row r="6529" customFormat="false" ht="15" hidden="false" customHeight="true" outlineLevel="0" collapsed="false">
      <c r="A6529" s="184"/>
      <c r="B6529" s="184"/>
      <c r="C6529" s="184"/>
      <c r="D6529" s="184"/>
      <c r="E6529" s="184"/>
      <c r="F6529" s="184"/>
      <c r="G6529" s="184"/>
      <c r="H6529" s="184"/>
      <c r="I6529" s="184"/>
      <c r="J6529" s="184"/>
      <c r="K6529" s="184"/>
      <c r="L6529" s="184"/>
      <c r="M6529" s="184"/>
      <c r="N6529" s="184"/>
      <c r="O6529" s="184"/>
    </row>
    <row r="6530" customFormat="false" ht="15" hidden="false" customHeight="true" outlineLevel="0" collapsed="false">
      <c r="A6530" s="184"/>
      <c r="B6530" s="184"/>
      <c r="C6530" s="184"/>
      <c r="D6530" s="184"/>
      <c r="E6530" s="184"/>
      <c r="F6530" s="184"/>
      <c r="G6530" s="184"/>
      <c r="H6530" s="184"/>
      <c r="I6530" s="184"/>
      <c r="J6530" s="184"/>
      <c r="K6530" s="184"/>
      <c r="L6530" s="184"/>
      <c r="M6530" s="184"/>
      <c r="N6530" s="184"/>
      <c r="O6530" s="184"/>
    </row>
    <row r="6531" customFormat="false" ht="15" hidden="false" customHeight="true" outlineLevel="0" collapsed="false">
      <c r="A6531" s="184"/>
      <c r="B6531" s="184"/>
      <c r="C6531" s="184"/>
      <c r="D6531" s="184"/>
      <c r="E6531" s="184"/>
      <c r="F6531" s="184"/>
      <c r="G6531" s="184"/>
      <c r="H6531" s="184"/>
      <c r="I6531" s="184"/>
      <c r="J6531" s="184"/>
      <c r="K6531" s="184"/>
      <c r="L6531" s="184"/>
      <c r="M6531" s="184"/>
      <c r="N6531" s="184"/>
      <c r="O6531" s="184"/>
    </row>
    <row r="6532" customFormat="false" ht="15" hidden="false" customHeight="true" outlineLevel="0" collapsed="false">
      <c r="A6532" s="184"/>
      <c r="B6532" s="184"/>
      <c r="C6532" s="184"/>
      <c r="D6532" s="184"/>
      <c r="E6532" s="184"/>
      <c r="F6532" s="184"/>
      <c r="G6532" s="184"/>
      <c r="H6532" s="184"/>
      <c r="I6532" s="184"/>
      <c r="J6532" s="184"/>
      <c r="K6532" s="184"/>
      <c r="L6532" s="184"/>
      <c r="M6532" s="184"/>
      <c r="N6532" s="184"/>
      <c r="O6532" s="184"/>
    </row>
    <row r="6533" customFormat="false" ht="15" hidden="false" customHeight="true" outlineLevel="0" collapsed="false">
      <c r="A6533" s="184"/>
      <c r="B6533" s="184"/>
      <c r="C6533" s="184"/>
      <c r="D6533" s="184"/>
      <c r="E6533" s="184"/>
      <c r="F6533" s="184"/>
      <c r="G6533" s="184"/>
      <c r="H6533" s="184"/>
      <c r="I6533" s="184"/>
      <c r="J6533" s="184"/>
      <c r="K6533" s="184"/>
      <c r="L6533" s="184"/>
      <c r="M6533" s="184"/>
      <c r="N6533" s="184"/>
      <c r="O6533" s="184"/>
    </row>
    <row r="6534" customFormat="false" ht="15" hidden="false" customHeight="true" outlineLevel="0" collapsed="false">
      <c r="A6534" s="184"/>
      <c r="B6534" s="184"/>
      <c r="C6534" s="184"/>
      <c r="D6534" s="184"/>
      <c r="E6534" s="184"/>
      <c r="F6534" s="184"/>
      <c r="G6534" s="184"/>
      <c r="H6534" s="184"/>
      <c r="I6534" s="184"/>
      <c r="J6534" s="184"/>
      <c r="K6534" s="184"/>
      <c r="L6534" s="184"/>
      <c r="M6534" s="184"/>
      <c r="N6534" s="184"/>
      <c r="O6534" s="184"/>
    </row>
    <row r="6535" customFormat="false" ht="15" hidden="false" customHeight="true" outlineLevel="0" collapsed="false">
      <c r="A6535" s="184"/>
      <c r="B6535" s="184"/>
      <c r="C6535" s="184"/>
      <c r="D6535" s="184"/>
      <c r="E6535" s="184"/>
      <c r="F6535" s="184"/>
      <c r="G6535" s="184"/>
      <c r="H6535" s="184"/>
      <c r="I6535" s="184"/>
      <c r="J6535" s="184"/>
      <c r="K6535" s="184"/>
      <c r="L6535" s="184"/>
      <c r="M6535" s="184"/>
      <c r="N6535" s="184"/>
      <c r="O6535" s="184"/>
    </row>
    <row r="6536" customFormat="false" ht="15" hidden="false" customHeight="true" outlineLevel="0" collapsed="false">
      <c r="A6536" s="184"/>
      <c r="B6536" s="184"/>
      <c r="C6536" s="184"/>
      <c r="D6536" s="184"/>
      <c r="E6536" s="184"/>
      <c r="F6536" s="184"/>
      <c r="G6536" s="184"/>
      <c r="H6536" s="184"/>
      <c r="I6536" s="184"/>
      <c r="J6536" s="184"/>
      <c r="K6536" s="184"/>
      <c r="L6536" s="184"/>
      <c r="M6536" s="184"/>
      <c r="N6536" s="184"/>
      <c r="O6536" s="184"/>
    </row>
    <row r="6537" customFormat="false" ht="15" hidden="false" customHeight="true" outlineLevel="0" collapsed="false">
      <c r="A6537" s="184"/>
      <c r="B6537" s="184"/>
      <c r="C6537" s="184"/>
      <c r="D6537" s="184"/>
      <c r="E6537" s="184"/>
      <c r="F6537" s="184"/>
      <c r="G6537" s="184"/>
      <c r="H6537" s="184"/>
      <c r="I6537" s="184"/>
      <c r="J6537" s="184"/>
      <c r="K6537" s="184"/>
      <c r="L6537" s="184"/>
      <c r="M6537" s="184"/>
      <c r="N6537" s="184"/>
      <c r="O6537" s="184"/>
    </row>
    <row r="6538" customFormat="false" ht="15" hidden="false" customHeight="true" outlineLevel="0" collapsed="false">
      <c r="A6538" s="184"/>
      <c r="B6538" s="184"/>
      <c r="C6538" s="184"/>
      <c r="D6538" s="184"/>
      <c r="E6538" s="184"/>
      <c r="F6538" s="184"/>
      <c r="G6538" s="184"/>
      <c r="H6538" s="184"/>
      <c r="I6538" s="184"/>
      <c r="J6538" s="184"/>
      <c r="K6538" s="184"/>
      <c r="L6538" s="184"/>
      <c r="M6538" s="184"/>
      <c r="N6538" s="184"/>
      <c r="O6538" s="184"/>
    </row>
    <row r="6539" customFormat="false" ht="15" hidden="false" customHeight="true" outlineLevel="0" collapsed="false">
      <c r="A6539" s="184"/>
      <c r="B6539" s="184"/>
      <c r="C6539" s="184"/>
      <c r="D6539" s="184"/>
      <c r="E6539" s="184"/>
      <c r="F6539" s="184"/>
      <c r="G6539" s="184"/>
      <c r="H6539" s="184"/>
      <c r="I6539" s="184"/>
      <c r="J6539" s="184"/>
      <c r="K6539" s="184"/>
      <c r="L6539" s="184"/>
      <c r="M6539" s="184"/>
      <c r="N6539" s="184"/>
      <c r="O6539" s="184"/>
    </row>
    <row r="6540" customFormat="false" ht="15" hidden="false" customHeight="true" outlineLevel="0" collapsed="false">
      <c r="A6540" s="184"/>
      <c r="B6540" s="184"/>
      <c r="C6540" s="184"/>
      <c r="D6540" s="184"/>
      <c r="E6540" s="184"/>
      <c r="F6540" s="184"/>
      <c r="G6540" s="184"/>
      <c r="H6540" s="184"/>
      <c r="I6540" s="184"/>
      <c r="J6540" s="184"/>
      <c r="K6540" s="184"/>
      <c r="L6540" s="184"/>
      <c r="M6540" s="184"/>
      <c r="N6540" s="184"/>
      <c r="O6540" s="184"/>
    </row>
    <row r="6541" customFormat="false" ht="15" hidden="false" customHeight="true" outlineLevel="0" collapsed="false">
      <c r="A6541" s="184"/>
      <c r="B6541" s="184"/>
      <c r="C6541" s="184"/>
      <c r="D6541" s="184"/>
      <c r="E6541" s="184"/>
      <c r="F6541" s="184"/>
      <c r="G6541" s="184"/>
      <c r="H6541" s="184"/>
      <c r="I6541" s="184"/>
      <c r="J6541" s="184"/>
      <c r="K6541" s="184"/>
      <c r="L6541" s="184"/>
      <c r="M6541" s="184"/>
      <c r="N6541" s="184"/>
      <c r="O6541" s="184"/>
    </row>
    <row r="6542" customFormat="false" ht="15" hidden="false" customHeight="true" outlineLevel="0" collapsed="false">
      <c r="A6542" s="184"/>
      <c r="B6542" s="184"/>
      <c r="C6542" s="184"/>
      <c r="D6542" s="184"/>
      <c r="E6542" s="184"/>
      <c r="F6542" s="184"/>
      <c r="G6542" s="184"/>
      <c r="H6542" s="184"/>
      <c r="I6542" s="184"/>
      <c r="J6542" s="184"/>
      <c r="K6542" s="184"/>
      <c r="L6542" s="184"/>
      <c r="M6542" s="184"/>
      <c r="N6542" s="184"/>
      <c r="O6542" s="184"/>
    </row>
    <row r="6543" customFormat="false" ht="15" hidden="false" customHeight="true" outlineLevel="0" collapsed="false">
      <c r="A6543" s="184"/>
      <c r="B6543" s="184"/>
      <c r="C6543" s="184"/>
      <c r="D6543" s="184"/>
      <c r="E6543" s="184"/>
      <c r="F6543" s="184"/>
      <c r="G6543" s="184"/>
      <c r="H6543" s="184"/>
      <c r="I6543" s="184"/>
      <c r="J6543" s="184"/>
      <c r="K6543" s="184"/>
      <c r="L6543" s="184"/>
      <c r="M6543" s="184"/>
      <c r="N6543" s="184"/>
      <c r="O6543" s="184"/>
    </row>
    <row r="6544" customFormat="false" ht="15" hidden="false" customHeight="true" outlineLevel="0" collapsed="false">
      <c r="A6544" s="184"/>
      <c r="B6544" s="184"/>
      <c r="C6544" s="184"/>
      <c r="D6544" s="184"/>
      <c r="E6544" s="184"/>
      <c r="F6544" s="184"/>
      <c r="G6544" s="184"/>
      <c r="H6544" s="184"/>
      <c r="I6544" s="184"/>
      <c r="J6544" s="184"/>
      <c r="K6544" s="184"/>
      <c r="L6544" s="184"/>
      <c r="M6544" s="184"/>
      <c r="N6544" s="184"/>
      <c r="O6544" s="184"/>
    </row>
    <row r="6545" customFormat="false" ht="15" hidden="false" customHeight="true" outlineLevel="0" collapsed="false">
      <c r="A6545" s="184"/>
      <c r="B6545" s="184"/>
      <c r="C6545" s="184"/>
      <c r="D6545" s="184"/>
      <c r="E6545" s="184"/>
      <c r="F6545" s="184"/>
      <c r="G6545" s="184"/>
      <c r="H6545" s="184"/>
      <c r="I6545" s="184"/>
      <c r="J6545" s="184"/>
      <c r="K6545" s="184"/>
      <c r="L6545" s="184"/>
      <c r="M6545" s="184"/>
      <c r="N6545" s="184"/>
      <c r="O6545" s="184"/>
    </row>
    <row r="6546" customFormat="false" ht="15" hidden="false" customHeight="true" outlineLevel="0" collapsed="false">
      <c r="A6546" s="184"/>
      <c r="B6546" s="184"/>
      <c r="C6546" s="184"/>
      <c r="D6546" s="184"/>
      <c r="E6546" s="184"/>
      <c r="F6546" s="184"/>
      <c r="G6546" s="184"/>
      <c r="H6546" s="184"/>
      <c r="I6546" s="184"/>
      <c r="J6546" s="184"/>
      <c r="K6546" s="184"/>
      <c r="L6546" s="184"/>
      <c r="M6546" s="184"/>
      <c r="N6546" s="184"/>
      <c r="O6546" s="184"/>
    </row>
    <row r="6547" customFormat="false" ht="15" hidden="false" customHeight="true" outlineLevel="0" collapsed="false">
      <c r="A6547" s="184"/>
      <c r="B6547" s="184"/>
      <c r="C6547" s="184"/>
      <c r="D6547" s="184"/>
      <c r="E6547" s="184"/>
      <c r="F6547" s="184"/>
      <c r="G6547" s="184"/>
      <c r="H6547" s="184"/>
      <c r="I6547" s="184"/>
      <c r="J6547" s="184"/>
      <c r="K6547" s="184"/>
      <c r="L6547" s="184"/>
      <c r="M6547" s="184"/>
      <c r="N6547" s="184"/>
      <c r="O6547" s="184"/>
    </row>
    <row r="6548" customFormat="false" ht="15" hidden="false" customHeight="true" outlineLevel="0" collapsed="false">
      <c r="A6548" s="184"/>
      <c r="B6548" s="184"/>
      <c r="C6548" s="184"/>
      <c r="D6548" s="184"/>
      <c r="E6548" s="184"/>
      <c r="F6548" s="184"/>
      <c r="G6548" s="184"/>
      <c r="H6548" s="184"/>
      <c r="I6548" s="184"/>
      <c r="J6548" s="184"/>
      <c r="K6548" s="184"/>
      <c r="L6548" s="184"/>
      <c r="M6548" s="184"/>
      <c r="N6548" s="184"/>
      <c r="O6548" s="184"/>
    </row>
    <row r="6549" customFormat="false" ht="15" hidden="false" customHeight="true" outlineLevel="0" collapsed="false">
      <c r="A6549" s="184"/>
      <c r="B6549" s="184"/>
      <c r="C6549" s="184"/>
      <c r="D6549" s="184"/>
      <c r="E6549" s="184"/>
      <c r="F6549" s="184"/>
      <c r="G6549" s="184"/>
      <c r="H6549" s="184"/>
      <c r="I6549" s="184"/>
      <c r="J6549" s="184"/>
      <c r="K6549" s="184"/>
      <c r="L6549" s="184"/>
      <c r="M6549" s="184"/>
      <c r="N6549" s="184"/>
      <c r="O6549" s="184"/>
    </row>
    <row r="6550" customFormat="false" ht="15" hidden="false" customHeight="true" outlineLevel="0" collapsed="false">
      <c r="A6550" s="184"/>
      <c r="B6550" s="184"/>
      <c r="C6550" s="184"/>
      <c r="D6550" s="184"/>
      <c r="E6550" s="184"/>
      <c r="F6550" s="184"/>
      <c r="G6550" s="184"/>
      <c r="H6550" s="184"/>
      <c r="I6550" s="184"/>
      <c r="J6550" s="184"/>
      <c r="K6550" s="184"/>
      <c r="L6550" s="184"/>
      <c r="M6550" s="184"/>
      <c r="N6550" s="184"/>
      <c r="O6550" s="184"/>
    </row>
    <row r="6551" customFormat="false" ht="15" hidden="false" customHeight="true" outlineLevel="0" collapsed="false">
      <c r="A6551" s="184"/>
      <c r="B6551" s="184"/>
      <c r="C6551" s="184"/>
      <c r="D6551" s="184"/>
      <c r="E6551" s="184"/>
      <c r="F6551" s="184"/>
      <c r="G6551" s="184"/>
      <c r="H6551" s="184"/>
      <c r="I6551" s="184"/>
      <c r="J6551" s="184"/>
      <c r="K6551" s="184"/>
      <c r="L6551" s="184"/>
      <c r="M6551" s="184"/>
      <c r="N6551" s="184"/>
      <c r="O6551" s="184"/>
    </row>
    <row r="6552" customFormat="false" ht="15" hidden="false" customHeight="true" outlineLevel="0" collapsed="false">
      <c r="A6552" s="184"/>
      <c r="B6552" s="184"/>
      <c r="C6552" s="184"/>
      <c r="D6552" s="184"/>
      <c r="E6552" s="184"/>
      <c r="F6552" s="184"/>
      <c r="G6552" s="184"/>
      <c r="H6552" s="184"/>
      <c r="I6552" s="184"/>
      <c r="J6552" s="184"/>
      <c r="K6552" s="184"/>
      <c r="L6552" s="184"/>
      <c r="M6552" s="184"/>
      <c r="N6552" s="184"/>
      <c r="O6552" s="184"/>
    </row>
    <row r="6553" customFormat="false" ht="15" hidden="false" customHeight="true" outlineLevel="0" collapsed="false">
      <c r="A6553" s="184"/>
      <c r="B6553" s="184"/>
      <c r="C6553" s="184"/>
      <c r="D6553" s="184"/>
      <c r="E6553" s="184"/>
      <c r="F6553" s="184"/>
      <c r="G6553" s="184"/>
      <c r="H6553" s="184"/>
      <c r="I6553" s="184"/>
      <c r="J6553" s="184"/>
      <c r="K6553" s="184"/>
      <c r="L6553" s="184"/>
      <c r="M6553" s="184"/>
      <c r="N6553" s="184"/>
      <c r="O6553" s="184"/>
    </row>
    <row r="6554" customFormat="false" ht="15" hidden="false" customHeight="true" outlineLevel="0" collapsed="false">
      <c r="A6554" s="184"/>
      <c r="B6554" s="184"/>
      <c r="C6554" s="184"/>
      <c r="D6554" s="184"/>
      <c r="E6554" s="184"/>
      <c r="F6554" s="184"/>
      <c r="G6554" s="184"/>
      <c r="H6554" s="184"/>
      <c r="I6554" s="184"/>
      <c r="J6554" s="184"/>
      <c r="K6554" s="184"/>
      <c r="L6554" s="184"/>
      <c r="M6554" s="184"/>
      <c r="N6554" s="184"/>
      <c r="O6554" s="184"/>
    </row>
    <row r="6555" customFormat="false" ht="15" hidden="false" customHeight="true" outlineLevel="0" collapsed="false">
      <c r="A6555" s="184"/>
      <c r="B6555" s="184"/>
      <c r="C6555" s="184"/>
      <c r="D6555" s="184"/>
      <c r="E6555" s="184"/>
      <c r="F6555" s="184"/>
      <c r="G6555" s="184"/>
      <c r="H6555" s="184"/>
      <c r="I6555" s="184"/>
      <c r="J6555" s="184"/>
      <c r="K6555" s="184"/>
      <c r="L6555" s="184"/>
      <c r="M6555" s="184"/>
      <c r="N6555" s="184"/>
      <c r="O6555" s="184"/>
    </row>
    <row r="6556" customFormat="false" ht="15" hidden="false" customHeight="true" outlineLevel="0" collapsed="false">
      <c r="A6556" s="184"/>
      <c r="B6556" s="184"/>
      <c r="C6556" s="184"/>
      <c r="D6556" s="184"/>
      <c r="E6556" s="184"/>
      <c r="F6556" s="184"/>
      <c r="G6556" s="184"/>
      <c r="H6556" s="184"/>
      <c r="I6556" s="184"/>
      <c r="J6556" s="184"/>
      <c r="K6556" s="184"/>
      <c r="L6556" s="184"/>
      <c r="M6556" s="184"/>
      <c r="N6556" s="184"/>
      <c r="O6556" s="184"/>
    </row>
    <row r="6557" customFormat="false" ht="15" hidden="false" customHeight="true" outlineLevel="0" collapsed="false">
      <c r="A6557" s="184"/>
      <c r="B6557" s="184"/>
      <c r="C6557" s="184"/>
      <c r="D6557" s="184"/>
      <c r="E6557" s="184"/>
      <c r="F6557" s="184"/>
      <c r="G6557" s="184"/>
      <c r="H6557" s="184"/>
      <c r="I6557" s="184"/>
      <c r="J6557" s="184"/>
      <c r="K6557" s="184"/>
      <c r="L6557" s="184"/>
      <c r="M6557" s="184"/>
      <c r="N6557" s="184"/>
      <c r="O6557" s="184"/>
    </row>
    <row r="6558" customFormat="false" ht="15" hidden="false" customHeight="true" outlineLevel="0" collapsed="false">
      <c r="A6558" s="184"/>
      <c r="B6558" s="184"/>
      <c r="C6558" s="184"/>
      <c r="D6558" s="184"/>
      <c r="E6558" s="184"/>
      <c r="F6558" s="184"/>
      <c r="G6558" s="184"/>
      <c r="H6558" s="184"/>
      <c r="I6558" s="184"/>
      <c r="J6558" s="184"/>
      <c r="K6558" s="184"/>
      <c r="L6558" s="184"/>
      <c r="M6558" s="184"/>
      <c r="N6558" s="184"/>
      <c r="O6558" s="184"/>
    </row>
    <row r="6559" customFormat="false" ht="15" hidden="false" customHeight="true" outlineLevel="0" collapsed="false">
      <c r="A6559" s="184"/>
      <c r="B6559" s="184"/>
      <c r="C6559" s="184"/>
      <c r="D6559" s="184"/>
      <c r="E6559" s="184"/>
      <c r="F6559" s="184"/>
      <c r="G6559" s="184"/>
      <c r="H6559" s="184"/>
      <c r="I6559" s="184"/>
      <c r="J6559" s="184"/>
      <c r="K6559" s="184"/>
      <c r="L6559" s="184"/>
      <c r="M6559" s="184"/>
      <c r="N6559" s="184"/>
      <c r="O6559" s="184"/>
    </row>
    <row r="6560" customFormat="false" ht="15" hidden="false" customHeight="true" outlineLevel="0" collapsed="false">
      <c r="A6560" s="184"/>
      <c r="B6560" s="184"/>
      <c r="C6560" s="184"/>
      <c r="D6560" s="184"/>
      <c r="E6560" s="184"/>
      <c r="F6560" s="184"/>
      <c r="G6560" s="184"/>
      <c r="H6560" s="184"/>
      <c r="I6560" s="184"/>
      <c r="J6560" s="184"/>
      <c r="K6560" s="184"/>
      <c r="L6560" s="184"/>
      <c r="M6560" s="184"/>
      <c r="N6560" s="184"/>
      <c r="O6560" s="184"/>
    </row>
    <row r="6561" customFormat="false" ht="15" hidden="false" customHeight="true" outlineLevel="0" collapsed="false">
      <c r="A6561" s="184"/>
      <c r="B6561" s="184"/>
      <c r="C6561" s="184"/>
      <c r="D6561" s="184"/>
      <c r="E6561" s="184"/>
      <c r="F6561" s="184"/>
      <c r="G6561" s="184"/>
      <c r="H6561" s="184"/>
      <c r="I6561" s="184"/>
      <c r="J6561" s="184"/>
      <c r="K6561" s="184"/>
      <c r="L6561" s="184"/>
      <c r="M6561" s="184"/>
      <c r="N6561" s="184"/>
      <c r="O6561" s="184"/>
    </row>
    <row r="6562" customFormat="false" ht="15" hidden="false" customHeight="true" outlineLevel="0" collapsed="false">
      <c r="A6562" s="184"/>
      <c r="B6562" s="184"/>
      <c r="C6562" s="184"/>
      <c r="D6562" s="184"/>
      <c r="E6562" s="184"/>
      <c r="F6562" s="184"/>
      <c r="G6562" s="184"/>
      <c r="H6562" s="184"/>
      <c r="I6562" s="184"/>
      <c r="J6562" s="184"/>
      <c r="K6562" s="184"/>
      <c r="L6562" s="184"/>
      <c r="M6562" s="184"/>
      <c r="N6562" s="184"/>
      <c r="O6562" s="184"/>
    </row>
    <row r="6563" customFormat="false" ht="15" hidden="false" customHeight="true" outlineLevel="0" collapsed="false">
      <c r="A6563" s="184"/>
      <c r="B6563" s="184"/>
      <c r="C6563" s="184"/>
      <c r="D6563" s="184"/>
      <c r="E6563" s="184"/>
      <c r="F6563" s="184"/>
      <c r="G6563" s="184"/>
      <c r="H6563" s="184"/>
      <c r="I6563" s="184"/>
      <c r="J6563" s="184"/>
      <c r="K6563" s="184"/>
      <c r="L6563" s="184"/>
      <c r="M6563" s="184"/>
      <c r="N6563" s="184"/>
      <c r="O6563" s="184"/>
    </row>
    <row r="6564" customFormat="false" ht="15" hidden="false" customHeight="true" outlineLevel="0" collapsed="false">
      <c r="A6564" s="184"/>
      <c r="B6564" s="184"/>
      <c r="C6564" s="184"/>
      <c r="D6564" s="184"/>
      <c r="E6564" s="184"/>
      <c r="F6564" s="184"/>
      <c r="G6564" s="184"/>
      <c r="H6564" s="184"/>
      <c r="I6564" s="184"/>
      <c r="J6564" s="184"/>
      <c r="K6564" s="184"/>
      <c r="L6564" s="184"/>
      <c r="M6564" s="184"/>
      <c r="N6564" s="184"/>
      <c r="O6564" s="184"/>
    </row>
    <row r="6565" customFormat="false" ht="15" hidden="false" customHeight="true" outlineLevel="0" collapsed="false">
      <c r="A6565" s="184"/>
      <c r="B6565" s="184"/>
      <c r="C6565" s="184"/>
      <c r="D6565" s="184"/>
      <c r="E6565" s="184"/>
      <c r="F6565" s="184"/>
      <c r="G6565" s="184"/>
      <c r="H6565" s="184"/>
      <c r="I6565" s="184"/>
      <c r="J6565" s="184"/>
      <c r="K6565" s="184"/>
      <c r="L6565" s="184"/>
      <c r="M6565" s="184"/>
      <c r="N6565" s="184"/>
      <c r="O6565" s="184"/>
    </row>
    <row r="6566" customFormat="false" ht="15" hidden="false" customHeight="true" outlineLevel="0" collapsed="false">
      <c r="A6566" s="184"/>
      <c r="B6566" s="184"/>
      <c r="C6566" s="184"/>
      <c r="D6566" s="184"/>
      <c r="E6566" s="184"/>
      <c r="F6566" s="184"/>
      <c r="G6566" s="184"/>
      <c r="H6566" s="184"/>
      <c r="I6566" s="184"/>
      <c r="J6566" s="184"/>
      <c r="K6566" s="184"/>
      <c r="L6566" s="184"/>
      <c r="M6566" s="184"/>
      <c r="N6566" s="184"/>
      <c r="O6566" s="184"/>
    </row>
    <row r="6567" customFormat="false" ht="15" hidden="false" customHeight="true" outlineLevel="0" collapsed="false">
      <c r="A6567" s="184"/>
      <c r="B6567" s="184"/>
      <c r="C6567" s="184"/>
      <c r="D6567" s="184"/>
      <c r="E6567" s="184"/>
      <c r="F6567" s="184"/>
      <c r="G6567" s="184"/>
      <c r="H6567" s="184"/>
      <c r="I6567" s="184"/>
      <c r="J6567" s="184"/>
      <c r="K6567" s="184"/>
      <c r="L6567" s="184"/>
      <c r="M6567" s="184"/>
      <c r="N6567" s="184"/>
      <c r="O6567" s="184"/>
    </row>
    <row r="6568" customFormat="false" ht="15" hidden="false" customHeight="true" outlineLevel="0" collapsed="false">
      <c r="A6568" s="184"/>
      <c r="B6568" s="184"/>
      <c r="C6568" s="184"/>
      <c r="D6568" s="184"/>
      <c r="E6568" s="184"/>
      <c r="F6568" s="184"/>
      <c r="G6568" s="184"/>
      <c r="H6568" s="184"/>
      <c r="I6568" s="184"/>
      <c r="J6568" s="184"/>
      <c r="K6568" s="184"/>
      <c r="L6568" s="184"/>
      <c r="M6568" s="184"/>
      <c r="N6568" s="184"/>
      <c r="O6568" s="184"/>
    </row>
    <row r="6569" customFormat="false" ht="15" hidden="false" customHeight="true" outlineLevel="0" collapsed="false">
      <c r="A6569" s="184"/>
      <c r="B6569" s="184"/>
      <c r="C6569" s="184"/>
      <c r="D6569" s="184"/>
      <c r="E6569" s="184"/>
      <c r="F6569" s="184"/>
      <c r="G6569" s="184"/>
      <c r="H6569" s="184"/>
      <c r="I6569" s="184"/>
      <c r="J6569" s="184"/>
      <c r="K6569" s="184"/>
      <c r="L6569" s="184"/>
      <c r="M6569" s="184"/>
      <c r="N6569" s="184"/>
      <c r="O6569" s="184"/>
    </row>
    <row r="6570" customFormat="false" ht="15" hidden="false" customHeight="true" outlineLevel="0" collapsed="false">
      <c r="A6570" s="184"/>
      <c r="B6570" s="184"/>
      <c r="C6570" s="184"/>
      <c r="D6570" s="184"/>
      <c r="E6570" s="184"/>
      <c r="F6570" s="184"/>
      <c r="G6570" s="184"/>
      <c r="H6570" s="184"/>
      <c r="I6570" s="184"/>
      <c r="J6570" s="184"/>
      <c r="K6570" s="184"/>
      <c r="L6570" s="184"/>
      <c r="M6570" s="184"/>
      <c r="N6570" s="184"/>
      <c r="O6570" s="184"/>
    </row>
    <row r="6571" customFormat="false" ht="15" hidden="false" customHeight="true" outlineLevel="0" collapsed="false">
      <c r="A6571" s="184"/>
      <c r="B6571" s="184"/>
      <c r="C6571" s="184"/>
      <c r="D6571" s="184"/>
      <c r="E6571" s="184"/>
      <c r="F6571" s="184"/>
      <c r="G6571" s="184"/>
      <c r="H6571" s="184"/>
      <c r="I6571" s="184"/>
      <c r="J6571" s="184"/>
      <c r="K6571" s="184"/>
      <c r="L6571" s="184"/>
      <c r="M6571" s="184"/>
      <c r="N6571" s="184"/>
      <c r="O6571" s="184"/>
    </row>
    <row r="6572" customFormat="false" ht="15" hidden="false" customHeight="true" outlineLevel="0" collapsed="false">
      <c r="A6572" s="184"/>
      <c r="B6572" s="184"/>
      <c r="C6572" s="184"/>
      <c r="D6572" s="184"/>
      <c r="E6572" s="184"/>
      <c r="F6572" s="184"/>
      <c r="G6572" s="184"/>
      <c r="H6572" s="184"/>
      <c r="I6572" s="184"/>
      <c r="J6572" s="184"/>
      <c r="K6572" s="184"/>
      <c r="L6572" s="184"/>
      <c r="M6572" s="184"/>
      <c r="N6572" s="184"/>
      <c r="O6572" s="184"/>
    </row>
    <row r="6573" customFormat="false" ht="15" hidden="false" customHeight="true" outlineLevel="0" collapsed="false">
      <c r="A6573" s="184"/>
      <c r="B6573" s="184"/>
      <c r="C6573" s="184"/>
      <c r="D6573" s="184"/>
      <c r="E6573" s="184"/>
      <c r="F6573" s="184"/>
      <c r="G6573" s="184"/>
      <c r="H6573" s="184"/>
      <c r="I6573" s="184"/>
      <c r="J6573" s="184"/>
      <c r="K6573" s="184"/>
      <c r="L6573" s="184"/>
      <c r="M6573" s="184"/>
      <c r="N6573" s="184"/>
      <c r="O6573" s="184"/>
    </row>
    <row r="6574" customFormat="false" ht="15" hidden="false" customHeight="true" outlineLevel="0" collapsed="false">
      <c r="A6574" s="184"/>
      <c r="B6574" s="184"/>
      <c r="C6574" s="184"/>
      <c r="D6574" s="184"/>
      <c r="E6574" s="184"/>
      <c r="F6574" s="184"/>
      <c r="G6574" s="184"/>
      <c r="H6574" s="184"/>
      <c r="I6574" s="184"/>
      <c r="J6574" s="184"/>
      <c r="K6574" s="184"/>
      <c r="L6574" s="184"/>
      <c r="M6574" s="184"/>
      <c r="N6574" s="184"/>
      <c r="O6574" s="184"/>
    </row>
    <row r="6575" customFormat="false" ht="15" hidden="false" customHeight="true" outlineLevel="0" collapsed="false">
      <c r="A6575" s="184"/>
      <c r="B6575" s="184"/>
      <c r="C6575" s="184"/>
      <c r="D6575" s="184"/>
      <c r="E6575" s="184"/>
      <c r="F6575" s="184"/>
      <c r="G6575" s="184"/>
      <c r="H6575" s="184"/>
      <c r="I6575" s="184"/>
      <c r="J6575" s="184"/>
      <c r="K6575" s="184"/>
      <c r="L6575" s="184"/>
      <c r="M6575" s="184"/>
      <c r="N6575" s="184"/>
      <c r="O6575" s="184"/>
    </row>
    <row r="6576" customFormat="false" ht="15" hidden="false" customHeight="true" outlineLevel="0" collapsed="false">
      <c r="A6576" s="184"/>
      <c r="B6576" s="184"/>
      <c r="C6576" s="184"/>
      <c r="D6576" s="184"/>
      <c r="E6576" s="184"/>
      <c r="F6576" s="184"/>
      <c r="G6576" s="184"/>
      <c r="H6576" s="184"/>
      <c r="I6576" s="184"/>
      <c r="J6576" s="184"/>
      <c r="K6576" s="184"/>
      <c r="L6576" s="184"/>
      <c r="M6576" s="184"/>
      <c r="N6576" s="184"/>
      <c r="O6576" s="184"/>
    </row>
    <row r="6577" customFormat="false" ht="15" hidden="false" customHeight="true" outlineLevel="0" collapsed="false">
      <c r="A6577" s="184"/>
      <c r="B6577" s="184"/>
      <c r="C6577" s="184"/>
      <c r="D6577" s="184"/>
      <c r="E6577" s="184"/>
      <c r="F6577" s="184"/>
      <c r="G6577" s="184"/>
      <c r="H6577" s="184"/>
      <c r="I6577" s="184"/>
      <c r="J6577" s="184"/>
      <c r="K6577" s="184"/>
      <c r="L6577" s="184"/>
      <c r="M6577" s="184"/>
      <c r="N6577" s="184"/>
      <c r="O6577" s="184"/>
    </row>
    <row r="6578" customFormat="false" ht="15" hidden="false" customHeight="true" outlineLevel="0" collapsed="false">
      <c r="A6578" s="184"/>
      <c r="B6578" s="184"/>
      <c r="C6578" s="184"/>
      <c r="D6578" s="184"/>
      <c r="E6578" s="184"/>
      <c r="F6578" s="184"/>
      <c r="G6578" s="184"/>
      <c r="H6578" s="184"/>
      <c r="I6578" s="184"/>
      <c r="J6578" s="184"/>
      <c r="K6578" s="184"/>
      <c r="L6578" s="184"/>
      <c r="M6578" s="184"/>
      <c r="N6578" s="184"/>
      <c r="O6578" s="184"/>
    </row>
    <row r="6579" customFormat="false" ht="15" hidden="false" customHeight="true" outlineLevel="0" collapsed="false">
      <c r="A6579" s="184"/>
      <c r="B6579" s="184"/>
      <c r="C6579" s="184"/>
      <c r="D6579" s="184"/>
      <c r="E6579" s="184"/>
      <c r="F6579" s="184"/>
      <c r="G6579" s="184"/>
      <c r="H6579" s="184"/>
      <c r="I6579" s="184"/>
      <c r="J6579" s="184"/>
      <c r="K6579" s="184"/>
      <c r="L6579" s="184"/>
      <c r="M6579" s="184"/>
      <c r="N6579" s="184"/>
      <c r="O6579" s="184"/>
    </row>
    <row r="6580" customFormat="false" ht="15" hidden="false" customHeight="true" outlineLevel="0" collapsed="false">
      <c r="A6580" s="184"/>
      <c r="B6580" s="184"/>
      <c r="C6580" s="184"/>
      <c r="D6580" s="184"/>
      <c r="E6580" s="184"/>
      <c r="F6580" s="184"/>
      <c r="G6580" s="184"/>
      <c r="H6580" s="184"/>
      <c r="I6580" s="184"/>
      <c r="J6580" s="184"/>
      <c r="K6580" s="184"/>
      <c r="L6580" s="184"/>
      <c r="M6580" s="184"/>
      <c r="N6580" s="184"/>
      <c r="O6580" s="184"/>
    </row>
    <row r="6581" customFormat="false" ht="15" hidden="false" customHeight="true" outlineLevel="0" collapsed="false">
      <c r="A6581" s="184"/>
      <c r="B6581" s="184"/>
      <c r="C6581" s="184"/>
      <c r="D6581" s="184"/>
      <c r="E6581" s="184"/>
      <c r="F6581" s="184"/>
      <c r="G6581" s="184"/>
      <c r="H6581" s="184"/>
      <c r="I6581" s="184"/>
      <c r="J6581" s="184"/>
      <c r="K6581" s="184"/>
      <c r="L6581" s="184"/>
      <c r="M6581" s="184"/>
      <c r="N6581" s="184"/>
      <c r="O6581" s="184"/>
    </row>
    <row r="6582" customFormat="false" ht="15" hidden="false" customHeight="true" outlineLevel="0" collapsed="false">
      <c r="A6582" s="184"/>
      <c r="B6582" s="184"/>
      <c r="C6582" s="184"/>
      <c r="D6582" s="184"/>
      <c r="E6582" s="184"/>
      <c r="F6582" s="184"/>
      <c r="G6582" s="184"/>
      <c r="H6582" s="184"/>
      <c r="I6582" s="184"/>
      <c r="J6582" s="184"/>
      <c r="K6582" s="184"/>
      <c r="L6582" s="184"/>
      <c r="M6582" s="184"/>
      <c r="N6582" s="184"/>
      <c r="O6582" s="184"/>
    </row>
    <row r="6583" customFormat="false" ht="41.25" hidden="false" customHeight="true" outlineLevel="0" collapsed="false">
      <c r="A6583" s="184" t="s">
        <v>5017</v>
      </c>
      <c r="B6583" s="184" t="s">
        <v>5018</v>
      </c>
      <c r="C6583" s="184"/>
      <c r="D6583" s="179" t="s">
        <v>4858</v>
      </c>
      <c r="E6583" s="184" t="s">
        <v>7256</v>
      </c>
      <c r="F6583" s="184"/>
      <c r="G6583" s="184"/>
      <c r="H6583" s="184"/>
      <c r="I6583" s="184"/>
      <c r="J6583" s="184"/>
      <c r="K6583" s="184"/>
      <c r="L6583" s="184"/>
      <c r="M6583" s="184" t="s">
        <v>7254</v>
      </c>
      <c r="N6583" s="184"/>
      <c r="O6583" s="184"/>
    </row>
    <row r="6584" customFormat="false" ht="41.25" hidden="false" customHeight="true" outlineLevel="0" collapsed="false">
      <c r="A6584" s="184" t="s">
        <v>5017</v>
      </c>
      <c r="B6584" s="184" t="s">
        <v>5018</v>
      </c>
      <c r="C6584" s="184" t="n">
        <v>1</v>
      </c>
      <c r="D6584" s="179" t="s">
        <v>6292</v>
      </c>
      <c r="E6584" s="184" t="s">
        <v>6862</v>
      </c>
      <c r="F6584" s="184"/>
      <c r="G6584" s="184"/>
      <c r="H6584" s="184"/>
      <c r="I6584" s="184"/>
      <c r="J6584" s="184"/>
      <c r="K6584" s="184"/>
      <c r="L6584" s="184"/>
      <c r="M6584" s="184"/>
      <c r="N6584" s="184"/>
      <c r="O6584" s="184"/>
    </row>
    <row r="6585" customFormat="false" ht="41.25" hidden="false" customHeight="true" outlineLevel="0" collapsed="false">
      <c r="A6585" s="184" t="s">
        <v>5017</v>
      </c>
      <c r="B6585" s="184" t="s">
        <v>5018</v>
      </c>
      <c r="C6585" s="184" t="n">
        <v>2</v>
      </c>
      <c r="D6585" s="177" t="s">
        <v>6298</v>
      </c>
      <c r="E6585" s="184" t="s">
        <v>6863</v>
      </c>
      <c r="F6585" s="184"/>
      <c r="G6585" s="184"/>
      <c r="H6585" s="184"/>
      <c r="I6585" s="184"/>
      <c r="J6585" s="184"/>
      <c r="K6585" s="184"/>
      <c r="L6585" s="184"/>
      <c r="M6585" s="184"/>
      <c r="N6585" s="184"/>
      <c r="O6585" s="184"/>
    </row>
    <row r="6586" customFormat="false" ht="41.25" hidden="false" customHeight="true" outlineLevel="0" collapsed="false">
      <c r="A6586" s="184" t="s">
        <v>5017</v>
      </c>
      <c r="B6586" s="184" t="s">
        <v>5018</v>
      </c>
      <c r="C6586" s="184" t="n">
        <v>3</v>
      </c>
      <c r="D6586" s="177" t="s">
        <v>6298</v>
      </c>
      <c r="E6586" s="184" t="s">
        <v>6864</v>
      </c>
      <c r="F6586" s="184"/>
      <c r="G6586" s="184"/>
      <c r="H6586" s="184"/>
      <c r="I6586" s="184"/>
      <c r="J6586" s="184"/>
      <c r="K6586" s="184"/>
      <c r="L6586" s="184"/>
      <c r="M6586" s="184"/>
      <c r="N6586" s="184"/>
      <c r="O6586" s="184"/>
    </row>
    <row r="6587" customFormat="false" ht="54.75" hidden="false" customHeight="true" outlineLevel="0" collapsed="false">
      <c r="A6587" s="184" t="s">
        <v>5017</v>
      </c>
      <c r="B6587" s="184" t="s">
        <v>5018</v>
      </c>
      <c r="C6587" s="184" t="n">
        <v>4</v>
      </c>
      <c r="D6587" s="174" t="s">
        <v>4846</v>
      </c>
      <c r="E6587" s="184" t="s">
        <v>784</v>
      </c>
      <c r="F6587" s="184" t="s">
        <v>715</v>
      </c>
      <c r="G6587" s="184"/>
      <c r="H6587" s="184"/>
      <c r="I6587" s="184"/>
      <c r="J6587" s="184" t="s">
        <v>5720</v>
      </c>
      <c r="K6587" s="184" t="s">
        <v>6333</v>
      </c>
      <c r="L6587" s="184"/>
      <c r="M6587" s="184" t="s">
        <v>6392</v>
      </c>
      <c r="N6587" s="184"/>
      <c r="O6587" s="184"/>
    </row>
    <row r="6588" customFormat="false" ht="54.75" hidden="false" customHeight="true" outlineLevel="0" collapsed="false">
      <c r="A6588" s="184" t="s">
        <v>5017</v>
      </c>
      <c r="B6588" s="184" t="s">
        <v>5018</v>
      </c>
      <c r="C6588" s="184" t="n">
        <v>5</v>
      </c>
      <c r="D6588" s="174" t="s">
        <v>4846</v>
      </c>
      <c r="E6588" s="184" t="s">
        <v>5837</v>
      </c>
      <c r="F6588" s="184" t="s">
        <v>715</v>
      </c>
      <c r="G6588" s="184"/>
      <c r="H6588" s="184"/>
      <c r="I6588" s="184"/>
      <c r="J6588" s="184" t="s">
        <v>6396</v>
      </c>
      <c r="K6588" s="184" t="s">
        <v>6333</v>
      </c>
      <c r="L6588" s="184"/>
      <c r="M6588" s="184" t="s">
        <v>5839</v>
      </c>
      <c r="N6588" s="184"/>
      <c r="O6588" s="184"/>
    </row>
    <row r="6589" customFormat="false" ht="54.75" hidden="false" customHeight="true" outlineLevel="0" collapsed="false">
      <c r="A6589" s="184" t="s">
        <v>5017</v>
      </c>
      <c r="B6589" s="184" t="s">
        <v>5018</v>
      </c>
      <c r="C6589" s="184" t="n">
        <v>6</v>
      </c>
      <c r="D6589" s="174" t="s">
        <v>4848</v>
      </c>
      <c r="E6589" s="184"/>
      <c r="F6589" s="184"/>
      <c r="G6589" s="184"/>
      <c r="H6589" s="184"/>
      <c r="I6589" s="184"/>
      <c r="J6589" s="184" t="s">
        <v>6301</v>
      </c>
      <c r="K6589" s="184"/>
      <c r="L6589" s="184" t="s">
        <v>6302</v>
      </c>
      <c r="M6589" s="184" t="s">
        <v>6303</v>
      </c>
      <c r="N6589" s="184"/>
      <c r="O6589" s="184"/>
    </row>
    <row r="6590" customFormat="false" ht="81.75" hidden="false" customHeight="true" outlineLevel="0" collapsed="false">
      <c r="A6590" s="184" t="s">
        <v>5017</v>
      </c>
      <c r="B6590" s="184" t="s">
        <v>5018</v>
      </c>
      <c r="C6590" s="184" t="n">
        <v>7</v>
      </c>
      <c r="D6590" s="174" t="s">
        <v>4846</v>
      </c>
      <c r="E6590" s="184" t="s">
        <v>6393</v>
      </c>
      <c r="F6590" s="184" t="s">
        <v>715</v>
      </c>
      <c r="G6590" s="184"/>
      <c r="H6590" s="184"/>
      <c r="I6590" s="184"/>
      <c r="J6590" s="184" t="s">
        <v>7251</v>
      </c>
      <c r="K6590" s="184" t="s">
        <v>6333</v>
      </c>
      <c r="L6590" s="184"/>
      <c r="M6590" s="184" t="s">
        <v>7257</v>
      </c>
      <c r="N6590" s="184"/>
      <c r="O6590" s="184"/>
    </row>
    <row r="6591" customFormat="false" ht="15" hidden="false" customHeight="true" outlineLevel="0" collapsed="false">
      <c r="A6591" s="184"/>
      <c r="B6591" s="184"/>
      <c r="C6591" s="184"/>
      <c r="D6591" s="184"/>
      <c r="E6591" s="184"/>
      <c r="F6591" s="184"/>
      <c r="G6591" s="184"/>
      <c r="H6591" s="184"/>
      <c r="I6591" s="184"/>
      <c r="J6591" s="184"/>
      <c r="K6591" s="184"/>
      <c r="L6591" s="184"/>
      <c r="M6591" s="184"/>
      <c r="N6591" s="184"/>
      <c r="O6591" s="184"/>
    </row>
    <row r="6592" customFormat="false" ht="15" hidden="false" customHeight="true" outlineLevel="0" collapsed="false">
      <c r="A6592" s="184"/>
      <c r="B6592" s="184"/>
      <c r="C6592" s="184"/>
      <c r="D6592" s="184"/>
      <c r="E6592" s="184"/>
      <c r="F6592" s="184"/>
      <c r="G6592" s="184"/>
      <c r="H6592" s="184"/>
      <c r="I6592" s="184"/>
      <c r="J6592" s="184"/>
      <c r="K6592" s="184"/>
      <c r="L6592" s="184"/>
      <c r="M6592" s="184"/>
      <c r="N6592" s="184"/>
      <c r="O6592" s="184"/>
    </row>
    <row r="6593" customFormat="false" ht="15" hidden="false" customHeight="true" outlineLevel="0" collapsed="false">
      <c r="A6593" s="184"/>
      <c r="B6593" s="184"/>
      <c r="C6593" s="184"/>
      <c r="D6593" s="184"/>
      <c r="E6593" s="184"/>
      <c r="F6593" s="184"/>
      <c r="G6593" s="184"/>
      <c r="H6593" s="184"/>
      <c r="I6593" s="184"/>
      <c r="J6593" s="184"/>
      <c r="K6593" s="184"/>
      <c r="L6593" s="184"/>
      <c r="M6593" s="184"/>
      <c r="N6593" s="184"/>
      <c r="O6593" s="184"/>
    </row>
    <row r="6594" customFormat="false" ht="15" hidden="false" customHeight="true" outlineLevel="0" collapsed="false">
      <c r="A6594" s="184"/>
      <c r="B6594" s="184"/>
      <c r="C6594" s="184"/>
      <c r="D6594" s="184"/>
      <c r="E6594" s="184"/>
      <c r="F6594" s="184"/>
      <c r="G6594" s="184"/>
      <c r="H6594" s="184"/>
      <c r="I6594" s="184"/>
      <c r="J6594" s="184"/>
      <c r="K6594" s="184"/>
      <c r="L6594" s="184"/>
      <c r="M6594" s="184"/>
      <c r="N6594" s="184"/>
      <c r="O6594" s="184"/>
    </row>
    <row r="6595" customFormat="false" ht="15" hidden="false" customHeight="true" outlineLevel="0" collapsed="false">
      <c r="A6595" s="184"/>
      <c r="B6595" s="184"/>
      <c r="C6595" s="184"/>
      <c r="D6595" s="184"/>
      <c r="E6595" s="184"/>
      <c r="F6595" s="184"/>
      <c r="G6595" s="184"/>
      <c r="H6595" s="184"/>
      <c r="I6595" s="184"/>
      <c r="J6595" s="184"/>
      <c r="K6595" s="184"/>
      <c r="L6595" s="184"/>
      <c r="M6595" s="184"/>
      <c r="N6595" s="184"/>
      <c r="O6595" s="184"/>
    </row>
    <row r="6596" customFormat="false" ht="15" hidden="false" customHeight="true" outlineLevel="0" collapsed="false">
      <c r="A6596" s="184"/>
      <c r="B6596" s="184"/>
      <c r="C6596" s="184"/>
      <c r="D6596" s="184"/>
      <c r="E6596" s="184"/>
      <c r="F6596" s="184"/>
      <c r="G6596" s="184"/>
      <c r="H6596" s="184"/>
      <c r="I6596" s="184"/>
      <c r="J6596" s="184"/>
      <c r="K6596" s="184"/>
      <c r="L6596" s="184"/>
      <c r="M6596" s="184"/>
      <c r="N6596" s="184"/>
      <c r="O6596" s="184"/>
    </row>
    <row r="6597" customFormat="false" ht="15" hidden="false" customHeight="true" outlineLevel="0" collapsed="false">
      <c r="A6597" s="184"/>
      <c r="B6597" s="184"/>
      <c r="C6597" s="184"/>
      <c r="D6597" s="184"/>
      <c r="E6597" s="184"/>
      <c r="F6597" s="184"/>
      <c r="G6597" s="184"/>
      <c r="H6597" s="184"/>
      <c r="I6597" s="184"/>
      <c r="J6597" s="184"/>
      <c r="K6597" s="184"/>
      <c r="L6597" s="184"/>
      <c r="M6597" s="184"/>
      <c r="N6597" s="184"/>
      <c r="O6597" s="184"/>
    </row>
    <row r="6598" customFormat="false" ht="15" hidden="false" customHeight="true" outlineLevel="0" collapsed="false">
      <c r="A6598" s="184"/>
      <c r="B6598" s="184"/>
      <c r="C6598" s="184"/>
      <c r="D6598" s="184"/>
      <c r="E6598" s="184"/>
      <c r="F6598" s="184"/>
      <c r="G6598" s="184"/>
      <c r="H6598" s="184"/>
      <c r="I6598" s="184"/>
      <c r="J6598" s="184"/>
      <c r="K6598" s="184"/>
      <c r="L6598" s="184"/>
      <c r="M6598" s="184"/>
      <c r="N6598" s="184"/>
      <c r="O6598" s="184"/>
    </row>
    <row r="6599" customFormat="false" ht="15" hidden="false" customHeight="true" outlineLevel="0" collapsed="false">
      <c r="A6599" s="184"/>
      <c r="B6599" s="184"/>
      <c r="C6599" s="184"/>
      <c r="D6599" s="184"/>
      <c r="E6599" s="184"/>
      <c r="F6599" s="184"/>
      <c r="G6599" s="184"/>
      <c r="H6599" s="184"/>
      <c r="I6599" s="184"/>
      <c r="J6599" s="184"/>
      <c r="K6599" s="184"/>
      <c r="L6599" s="184"/>
      <c r="M6599" s="184"/>
      <c r="N6599" s="184"/>
      <c r="O6599" s="184"/>
    </row>
    <row r="6600" customFormat="false" ht="15" hidden="false" customHeight="true" outlineLevel="0" collapsed="false">
      <c r="A6600" s="184"/>
      <c r="B6600" s="184"/>
      <c r="C6600" s="184"/>
      <c r="D6600" s="184"/>
      <c r="E6600" s="184"/>
      <c r="F6600" s="184"/>
      <c r="G6600" s="184"/>
      <c r="H6600" s="184"/>
      <c r="I6600" s="184"/>
      <c r="J6600" s="184"/>
      <c r="K6600" s="184"/>
      <c r="L6600" s="184"/>
      <c r="M6600" s="184"/>
      <c r="N6600" s="184"/>
      <c r="O6600" s="184"/>
    </row>
    <row r="6601" customFormat="false" ht="15" hidden="false" customHeight="true" outlineLevel="0" collapsed="false">
      <c r="A6601" s="184"/>
      <c r="B6601" s="184"/>
      <c r="C6601" s="184"/>
      <c r="D6601" s="184"/>
      <c r="E6601" s="184"/>
      <c r="F6601" s="184"/>
      <c r="G6601" s="184"/>
      <c r="H6601" s="184"/>
      <c r="I6601" s="184"/>
      <c r="J6601" s="184"/>
      <c r="K6601" s="184"/>
      <c r="L6601" s="184"/>
      <c r="M6601" s="184"/>
      <c r="N6601" s="184"/>
      <c r="O6601" s="184"/>
    </row>
    <row r="6602" customFormat="false" ht="15" hidden="false" customHeight="true" outlineLevel="0" collapsed="false">
      <c r="A6602" s="184"/>
      <c r="B6602" s="184"/>
      <c r="C6602" s="184"/>
      <c r="D6602" s="184"/>
      <c r="E6602" s="184"/>
      <c r="F6602" s="184"/>
      <c r="G6602" s="184"/>
      <c r="H6602" s="184"/>
      <c r="I6602" s="184"/>
      <c r="J6602" s="184"/>
      <c r="K6602" s="184"/>
      <c r="L6602" s="184"/>
      <c r="M6602" s="184"/>
      <c r="N6602" s="184"/>
      <c r="O6602" s="184"/>
    </row>
    <row r="6603" customFormat="false" ht="15" hidden="false" customHeight="true" outlineLevel="0" collapsed="false">
      <c r="A6603" s="184"/>
      <c r="B6603" s="184"/>
      <c r="C6603" s="184"/>
      <c r="D6603" s="184"/>
      <c r="E6603" s="184"/>
      <c r="F6603" s="184"/>
      <c r="G6603" s="184"/>
      <c r="H6603" s="184"/>
      <c r="I6603" s="184"/>
      <c r="J6603" s="184"/>
      <c r="K6603" s="184"/>
      <c r="L6603" s="184"/>
      <c r="M6603" s="184"/>
      <c r="N6603" s="184"/>
      <c r="O6603" s="184"/>
    </row>
    <row r="6604" customFormat="false" ht="15" hidden="false" customHeight="true" outlineLevel="0" collapsed="false">
      <c r="A6604" s="184"/>
      <c r="B6604" s="184"/>
      <c r="C6604" s="184"/>
      <c r="D6604" s="184"/>
      <c r="E6604" s="184"/>
      <c r="F6604" s="184"/>
      <c r="G6604" s="184"/>
      <c r="H6604" s="184"/>
      <c r="I6604" s="184"/>
      <c r="J6604" s="184"/>
      <c r="K6604" s="184"/>
      <c r="L6604" s="184"/>
      <c r="M6604" s="184"/>
      <c r="N6604" s="184"/>
      <c r="O6604" s="184"/>
    </row>
    <row r="6605" customFormat="false" ht="15" hidden="false" customHeight="true" outlineLevel="0" collapsed="false">
      <c r="A6605" s="184"/>
      <c r="B6605" s="184"/>
      <c r="C6605" s="184"/>
      <c r="D6605" s="184"/>
      <c r="E6605" s="184"/>
      <c r="F6605" s="184"/>
      <c r="G6605" s="184"/>
      <c r="H6605" s="184"/>
      <c r="I6605" s="184"/>
      <c r="J6605" s="184"/>
      <c r="K6605" s="184"/>
      <c r="L6605" s="184"/>
      <c r="M6605" s="184"/>
      <c r="N6605" s="184"/>
      <c r="O6605" s="184"/>
    </row>
    <row r="6606" customFormat="false" ht="15" hidden="false" customHeight="true" outlineLevel="0" collapsed="false">
      <c r="A6606" s="184"/>
      <c r="B6606" s="184"/>
      <c r="C6606" s="184"/>
      <c r="D6606" s="184"/>
      <c r="E6606" s="184"/>
      <c r="F6606" s="184"/>
      <c r="G6606" s="184"/>
      <c r="H6606" s="184"/>
      <c r="I6606" s="184"/>
      <c r="J6606" s="184"/>
      <c r="K6606" s="184"/>
      <c r="L6606" s="184"/>
      <c r="M6606" s="184"/>
      <c r="N6606" s="184"/>
      <c r="O6606" s="184"/>
    </row>
    <row r="6607" customFormat="false" ht="15" hidden="false" customHeight="true" outlineLevel="0" collapsed="false">
      <c r="A6607" s="184"/>
      <c r="B6607" s="184"/>
      <c r="C6607" s="184"/>
      <c r="D6607" s="184"/>
      <c r="E6607" s="184"/>
      <c r="F6607" s="184"/>
      <c r="G6607" s="184"/>
      <c r="H6607" s="184"/>
      <c r="I6607" s="184"/>
      <c r="J6607" s="184"/>
      <c r="K6607" s="184"/>
      <c r="L6607" s="184"/>
      <c r="M6607" s="184"/>
      <c r="N6607" s="184"/>
      <c r="O6607" s="184"/>
    </row>
    <row r="6608" customFormat="false" ht="15" hidden="false" customHeight="true" outlineLevel="0" collapsed="false">
      <c r="A6608" s="184"/>
      <c r="B6608" s="184"/>
      <c r="C6608" s="184"/>
      <c r="D6608" s="184"/>
      <c r="E6608" s="184"/>
      <c r="F6608" s="184"/>
      <c r="G6608" s="184"/>
      <c r="H6608" s="184"/>
      <c r="I6608" s="184"/>
      <c r="J6608" s="184"/>
      <c r="K6608" s="184"/>
      <c r="L6608" s="184"/>
      <c r="M6608" s="184"/>
      <c r="N6608" s="184"/>
      <c r="O6608" s="184"/>
    </row>
    <row r="6609" customFormat="false" ht="15" hidden="false" customHeight="true" outlineLevel="0" collapsed="false">
      <c r="A6609" s="184"/>
      <c r="B6609" s="184"/>
      <c r="C6609" s="184"/>
      <c r="D6609" s="184"/>
      <c r="E6609" s="184"/>
      <c r="F6609" s="184"/>
      <c r="G6609" s="184"/>
      <c r="H6609" s="184"/>
      <c r="I6609" s="184"/>
      <c r="J6609" s="184"/>
      <c r="K6609" s="184"/>
      <c r="L6609" s="184"/>
      <c r="M6609" s="184"/>
      <c r="N6609" s="184"/>
      <c r="O6609" s="184"/>
    </row>
    <row r="6610" customFormat="false" ht="15" hidden="false" customHeight="true" outlineLevel="0" collapsed="false">
      <c r="A6610" s="184"/>
      <c r="B6610" s="184"/>
      <c r="C6610" s="184"/>
      <c r="D6610" s="184"/>
      <c r="E6610" s="184"/>
      <c r="F6610" s="184"/>
      <c r="G6610" s="184"/>
      <c r="H6610" s="184"/>
      <c r="I6610" s="184"/>
      <c r="J6610" s="184"/>
      <c r="K6610" s="184"/>
      <c r="L6610" s="184"/>
      <c r="M6610" s="184"/>
      <c r="N6610" s="184"/>
      <c r="O6610" s="184"/>
    </row>
    <row r="6611" customFormat="false" ht="15" hidden="false" customHeight="true" outlineLevel="0" collapsed="false">
      <c r="A6611" s="184"/>
      <c r="B6611" s="184"/>
      <c r="C6611" s="184"/>
      <c r="D6611" s="184"/>
      <c r="E6611" s="184"/>
      <c r="F6611" s="184"/>
      <c r="G6611" s="184"/>
      <c r="H6611" s="184"/>
      <c r="I6611" s="184"/>
      <c r="J6611" s="184"/>
      <c r="K6611" s="184"/>
      <c r="L6611" s="184"/>
      <c r="M6611" s="184"/>
      <c r="N6611" s="184"/>
      <c r="O6611" s="184"/>
    </row>
    <row r="6612" customFormat="false" ht="15" hidden="false" customHeight="true" outlineLevel="0" collapsed="false">
      <c r="A6612" s="184"/>
      <c r="B6612" s="184"/>
      <c r="C6612" s="184"/>
      <c r="D6612" s="184"/>
      <c r="E6612" s="184"/>
      <c r="F6612" s="184"/>
      <c r="G6612" s="184"/>
      <c r="H6612" s="184"/>
      <c r="I6612" s="184"/>
      <c r="J6612" s="184"/>
      <c r="K6612" s="184"/>
      <c r="L6612" s="184"/>
      <c r="M6612" s="184"/>
      <c r="N6612" s="184"/>
      <c r="O6612" s="184"/>
    </row>
    <row r="6613" customFormat="false" ht="15" hidden="false" customHeight="true" outlineLevel="0" collapsed="false">
      <c r="A6613" s="184"/>
      <c r="B6613" s="184"/>
      <c r="C6613" s="184"/>
      <c r="D6613" s="184"/>
      <c r="E6613" s="184"/>
      <c r="F6613" s="184"/>
      <c r="G6613" s="184"/>
      <c r="H6613" s="184"/>
      <c r="I6613" s="184"/>
      <c r="J6613" s="184"/>
      <c r="K6613" s="184"/>
      <c r="L6613" s="184"/>
      <c r="M6613" s="184"/>
      <c r="N6613" s="184"/>
      <c r="O6613" s="184"/>
    </row>
    <row r="6614" customFormat="false" ht="15" hidden="false" customHeight="true" outlineLevel="0" collapsed="false">
      <c r="A6614" s="184"/>
      <c r="B6614" s="184"/>
      <c r="C6614" s="184"/>
      <c r="D6614" s="184"/>
      <c r="E6614" s="184"/>
      <c r="F6614" s="184"/>
      <c r="G6614" s="184"/>
      <c r="H6614" s="184"/>
      <c r="I6614" s="184"/>
      <c r="J6614" s="184"/>
      <c r="K6614" s="184"/>
      <c r="L6614" s="184"/>
      <c r="M6614" s="184"/>
      <c r="N6614" s="184"/>
      <c r="O6614" s="184"/>
    </row>
    <row r="6615" customFormat="false" ht="15" hidden="false" customHeight="true" outlineLevel="0" collapsed="false">
      <c r="A6615" s="184"/>
      <c r="B6615" s="184"/>
      <c r="C6615" s="184"/>
      <c r="D6615" s="184"/>
      <c r="E6615" s="184"/>
      <c r="F6615" s="184"/>
      <c r="G6615" s="184"/>
      <c r="H6615" s="184"/>
      <c r="I6615" s="184"/>
      <c r="J6615" s="184"/>
      <c r="K6615" s="184"/>
      <c r="L6615" s="184"/>
      <c r="M6615" s="184"/>
      <c r="N6615" s="184"/>
      <c r="O6615" s="184"/>
    </row>
    <row r="6616" customFormat="false" ht="15" hidden="false" customHeight="true" outlineLevel="0" collapsed="false">
      <c r="A6616" s="184"/>
      <c r="B6616" s="184"/>
      <c r="C6616" s="184"/>
      <c r="D6616" s="184"/>
      <c r="E6616" s="184"/>
      <c r="F6616" s="184"/>
      <c r="G6616" s="184"/>
      <c r="H6616" s="184"/>
      <c r="I6616" s="184"/>
      <c r="J6616" s="184"/>
      <c r="K6616" s="184"/>
      <c r="L6616" s="184"/>
      <c r="M6616" s="184"/>
      <c r="N6616" s="184"/>
      <c r="O6616" s="184"/>
    </row>
    <row r="6617" customFormat="false" ht="15" hidden="false" customHeight="true" outlineLevel="0" collapsed="false">
      <c r="A6617" s="184"/>
      <c r="B6617" s="184"/>
      <c r="C6617" s="184"/>
      <c r="D6617" s="184"/>
      <c r="E6617" s="184"/>
      <c r="F6617" s="184"/>
      <c r="G6617" s="184"/>
      <c r="H6617" s="184"/>
      <c r="I6617" s="184"/>
      <c r="J6617" s="184"/>
      <c r="K6617" s="184"/>
      <c r="L6617" s="184"/>
      <c r="M6617" s="184"/>
      <c r="N6617" s="184"/>
      <c r="O6617" s="184"/>
    </row>
    <row r="6618" customFormat="false" ht="15" hidden="false" customHeight="true" outlineLevel="0" collapsed="false">
      <c r="A6618" s="184"/>
      <c r="B6618" s="184"/>
      <c r="C6618" s="184"/>
      <c r="D6618" s="184"/>
      <c r="E6618" s="184"/>
      <c r="F6618" s="184"/>
      <c r="G6618" s="184"/>
      <c r="H6618" s="184"/>
      <c r="I6618" s="184"/>
      <c r="J6618" s="184"/>
      <c r="K6618" s="184"/>
      <c r="L6618" s="184"/>
      <c r="M6618" s="184"/>
      <c r="N6618" s="184"/>
      <c r="O6618" s="184"/>
    </row>
    <row r="6619" customFormat="false" ht="15" hidden="false" customHeight="true" outlineLevel="0" collapsed="false">
      <c r="A6619" s="184"/>
      <c r="B6619" s="184"/>
      <c r="C6619" s="184"/>
      <c r="D6619" s="184"/>
      <c r="E6619" s="184"/>
      <c r="F6619" s="184"/>
      <c r="G6619" s="184"/>
      <c r="H6619" s="184"/>
      <c r="I6619" s="184"/>
      <c r="J6619" s="184"/>
      <c r="K6619" s="184"/>
      <c r="L6619" s="184"/>
      <c r="M6619" s="184"/>
      <c r="N6619" s="184"/>
      <c r="O6619" s="184"/>
    </row>
    <row r="6620" customFormat="false" ht="15" hidden="false" customHeight="true" outlineLevel="0" collapsed="false">
      <c r="A6620" s="184"/>
      <c r="B6620" s="184"/>
      <c r="C6620" s="184"/>
      <c r="D6620" s="184"/>
      <c r="E6620" s="184"/>
      <c r="F6620" s="184"/>
      <c r="G6620" s="184"/>
      <c r="H6620" s="184"/>
      <c r="I6620" s="184"/>
      <c r="J6620" s="184"/>
      <c r="K6620" s="184"/>
      <c r="L6620" s="184"/>
      <c r="M6620" s="184"/>
      <c r="N6620" s="184"/>
      <c r="O6620" s="184"/>
    </row>
    <row r="6621" customFormat="false" ht="15" hidden="false" customHeight="true" outlineLevel="0" collapsed="false">
      <c r="A6621" s="184"/>
      <c r="B6621" s="184"/>
      <c r="C6621" s="184"/>
      <c r="D6621" s="184"/>
      <c r="E6621" s="184"/>
      <c r="F6621" s="184"/>
      <c r="G6621" s="184"/>
      <c r="H6621" s="184"/>
      <c r="I6621" s="184"/>
      <c r="J6621" s="184"/>
      <c r="K6621" s="184"/>
      <c r="L6621" s="184"/>
      <c r="M6621" s="184"/>
      <c r="N6621" s="184"/>
      <c r="O6621" s="184"/>
    </row>
    <row r="6622" customFormat="false" ht="15" hidden="false" customHeight="true" outlineLevel="0" collapsed="false">
      <c r="A6622" s="184"/>
      <c r="B6622" s="184"/>
      <c r="C6622" s="184"/>
      <c r="D6622" s="184"/>
      <c r="E6622" s="184"/>
      <c r="F6622" s="184"/>
      <c r="G6622" s="184"/>
      <c r="H6622" s="184"/>
      <c r="I6622" s="184"/>
      <c r="J6622" s="184"/>
      <c r="K6622" s="184"/>
      <c r="L6622" s="184"/>
      <c r="M6622" s="184"/>
      <c r="N6622" s="184"/>
      <c r="O6622" s="184"/>
    </row>
    <row r="6623" customFormat="false" ht="15" hidden="false" customHeight="true" outlineLevel="0" collapsed="false">
      <c r="A6623" s="184"/>
      <c r="B6623" s="184"/>
      <c r="C6623" s="184"/>
      <c r="D6623" s="184"/>
      <c r="E6623" s="184"/>
      <c r="F6623" s="184"/>
      <c r="G6623" s="184"/>
      <c r="H6623" s="184"/>
      <c r="I6623" s="184"/>
      <c r="J6623" s="184"/>
      <c r="K6623" s="184"/>
      <c r="L6623" s="184"/>
      <c r="M6623" s="184"/>
      <c r="N6623" s="184"/>
      <c r="O6623" s="184"/>
    </row>
    <row r="6624" customFormat="false" ht="15" hidden="false" customHeight="true" outlineLevel="0" collapsed="false">
      <c r="A6624" s="184"/>
      <c r="B6624" s="184"/>
      <c r="C6624" s="184"/>
      <c r="D6624" s="184"/>
      <c r="E6624" s="184"/>
      <c r="F6624" s="184"/>
      <c r="G6624" s="184"/>
      <c r="H6624" s="184"/>
      <c r="I6624" s="184"/>
      <c r="J6624" s="184"/>
      <c r="K6624" s="184"/>
      <c r="L6624" s="184"/>
      <c r="M6624" s="184"/>
      <c r="N6624" s="184"/>
      <c r="O6624" s="184"/>
    </row>
    <row r="6625" customFormat="false" ht="15" hidden="false" customHeight="true" outlineLevel="0" collapsed="false">
      <c r="A6625" s="184"/>
      <c r="B6625" s="184"/>
      <c r="C6625" s="184"/>
      <c r="D6625" s="184"/>
      <c r="E6625" s="184"/>
      <c r="F6625" s="184"/>
      <c r="G6625" s="184"/>
      <c r="H6625" s="184"/>
      <c r="I6625" s="184"/>
      <c r="J6625" s="184"/>
      <c r="K6625" s="184"/>
      <c r="L6625" s="184"/>
      <c r="M6625" s="184"/>
      <c r="N6625" s="184"/>
      <c r="O6625" s="184"/>
    </row>
    <row r="6626" customFormat="false" ht="15" hidden="false" customHeight="true" outlineLevel="0" collapsed="false">
      <c r="A6626" s="184"/>
      <c r="B6626" s="184"/>
      <c r="C6626" s="184"/>
      <c r="D6626" s="184"/>
      <c r="E6626" s="184"/>
      <c r="F6626" s="184"/>
      <c r="G6626" s="184"/>
      <c r="H6626" s="184"/>
      <c r="I6626" s="184"/>
      <c r="J6626" s="184"/>
      <c r="K6626" s="184"/>
      <c r="L6626" s="184"/>
      <c r="M6626" s="184"/>
      <c r="N6626" s="184"/>
      <c r="O6626" s="184"/>
    </row>
    <row r="6627" customFormat="false" ht="15" hidden="false" customHeight="true" outlineLevel="0" collapsed="false">
      <c r="A6627" s="184"/>
      <c r="B6627" s="184"/>
      <c r="C6627" s="184"/>
      <c r="D6627" s="184"/>
      <c r="E6627" s="184"/>
      <c r="F6627" s="184"/>
      <c r="G6627" s="184"/>
      <c r="H6627" s="184"/>
      <c r="I6627" s="184"/>
      <c r="J6627" s="184"/>
      <c r="K6627" s="184"/>
      <c r="L6627" s="184"/>
      <c r="M6627" s="184"/>
      <c r="N6627" s="184"/>
      <c r="O6627" s="184"/>
    </row>
    <row r="6628" customFormat="false" ht="15" hidden="false" customHeight="true" outlineLevel="0" collapsed="false">
      <c r="A6628" s="184"/>
      <c r="B6628" s="184"/>
      <c r="C6628" s="184"/>
      <c r="D6628" s="184"/>
      <c r="E6628" s="184"/>
      <c r="F6628" s="184"/>
      <c r="G6628" s="184"/>
      <c r="H6628" s="184"/>
      <c r="I6628" s="184"/>
      <c r="J6628" s="184"/>
      <c r="K6628" s="184"/>
      <c r="L6628" s="184"/>
      <c r="M6628" s="184"/>
      <c r="N6628" s="184"/>
      <c r="O6628" s="184"/>
    </row>
    <row r="6629" customFormat="false" ht="15" hidden="false" customHeight="true" outlineLevel="0" collapsed="false">
      <c r="A6629" s="184"/>
      <c r="B6629" s="184"/>
      <c r="C6629" s="184"/>
      <c r="D6629" s="184"/>
      <c r="E6629" s="184"/>
      <c r="F6629" s="184"/>
      <c r="G6629" s="184"/>
      <c r="H6629" s="184"/>
      <c r="I6629" s="184"/>
      <c r="J6629" s="184"/>
      <c r="K6629" s="184"/>
      <c r="L6629" s="184"/>
      <c r="M6629" s="184"/>
      <c r="N6629" s="184"/>
      <c r="O6629" s="184"/>
    </row>
    <row r="6630" customFormat="false" ht="15" hidden="false" customHeight="true" outlineLevel="0" collapsed="false">
      <c r="A6630" s="184"/>
      <c r="B6630" s="184"/>
      <c r="C6630" s="184"/>
      <c r="D6630" s="184"/>
      <c r="E6630" s="184"/>
      <c r="F6630" s="184"/>
      <c r="G6630" s="184"/>
      <c r="H6630" s="184"/>
      <c r="I6630" s="184"/>
      <c r="J6630" s="184"/>
      <c r="K6630" s="184"/>
      <c r="L6630" s="184"/>
      <c r="M6630" s="184"/>
      <c r="N6630" s="184"/>
      <c r="O6630" s="184"/>
    </row>
    <row r="6631" customFormat="false" ht="15" hidden="false" customHeight="true" outlineLevel="0" collapsed="false">
      <c r="A6631" s="184"/>
      <c r="B6631" s="184"/>
      <c r="C6631" s="184"/>
      <c r="D6631" s="184"/>
      <c r="E6631" s="184"/>
      <c r="F6631" s="184"/>
      <c r="G6631" s="184"/>
      <c r="H6631" s="184"/>
      <c r="I6631" s="184"/>
      <c r="J6631" s="184"/>
      <c r="K6631" s="184"/>
      <c r="L6631" s="184"/>
      <c r="M6631" s="184"/>
      <c r="N6631" s="184"/>
      <c r="O6631" s="184"/>
    </row>
    <row r="6632" customFormat="false" ht="15" hidden="false" customHeight="true" outlineLevel="0" collapsed="false">
      <c r="A6632" s="184"/>
      <c r="B6632" s="184"/>
      <c r="C6632" s="184"/>
      <c r="D6632" s="184"/>
      <c r="E6632" s="184"/>
      <c r="F6632" s="184"/>
      <c r="G6632" s="184"/>
      <c r="H6632" s="184"/>
      <c r="I6632" s="184"/>
      <c r="J6632" s="184"/>
      <c r="K6632" s="184"/>
      <c r="L6632" s="184"/>
      <c r="M6632" s="184"/>
      <c r="N6632" s="184"/>
      <c r="O6632" s="184"/>
    </row>
    <row r="6633" customFormat="false" ht="15" hidden="false" customHeight="true" outlineLevel="0" collapsed="false">
      <c r="A6633" s="184"/>
      <c r="B6633" s="184"/>
      <c r="C6633" s="184"/>
      <c r="D6633" s="184"/>
      <c r="E6633" s="184"/>
      <c r="F6633" s="184"/>
      <c r="G6633" s="184"/>
      <c r="H6633" s="184"/>
      <c r="I6633" s="184"/>
      <c r="J6633" s="184"/>
      <c r="K6633" s="184"/>
      <c r="L6633" s="184"/>
      <c r="M6633" s="184"/>
      <c r="N6633" s="184"/>
      <c r="O6633" s="184"/>
    </row>
    <row r="6634" customFormat="false" ht="15" hidden="false" customHeight="true" outlineLevel="0" collapsed="false">
      <c r="A6634" s="184"/>
      <c r="B6634" s="184"/>
      <c r="C6634" s="184"/>
      <c r="D6634" s="184"/>
      <c r="E6634" s="184"/>
      <c r="F6634" s="184"/>
      <c r="G6634" s="184"/>
      <c r="H6634" s="184"/>
      <c r="I6634" s="184"/>
      <c r="J6634" s="184"/>
      <c r="K6634" s="184"/>
      <c r="L6634" s="184"/>
      <c r="M6634" s="184"/>
      <c r="N6634" s="184"/>
      <c r="O6634" s="184"/>
    </row>
    <row r="6635" customFormat="false" ht="15" hidden="false" customHeight="true" outlineLevel="0" collapsed="false">
      <c r="A6635" s="184"/>
      <c r="B6635" s="184"/>
      <c r="C6635" s="184"/>
      <c r="D6635" s="184"/>
      <c r="E6635" s="184"/>
      <c r="F6635" s="184"/>
      <c r="G6635" s="184"/>
      <c r="H6635" s="184"/>
      <c r="I6635" s="184"/>
      <c r="J6635" s="184"/>
      <c r="K6635" s="184"/>
      <c r="L6635" s="184"/>
      <c r="M6635" s="184"/>
      <c r="N6635" s="184"/>
      <c r="O6635" s="184"/>
    </row>
    <row r="6636" customFormat="false" ht="15" hidden="false" customHeight="true" outlineLevel="0" collapsed="false">
      <c r="A6636" s="184"/>
      <c r="B6636" s="184"/>
      <c r="C6636" s="184"/>
      <c r="D6636" s="184"/>
      <c r="E6636" s="184"/>
      <c r="F6636" s="184"/>
      <c r="G6636" s="184"/>
      <c r="H6636" s="184"/>
      <c r="I6636" s="184"/>
      <c r="J6636" s="184"/>
      <c r="K6636" s="184"/>
      <c r="L6636" s="184"/>
      <c r="M6636" s="184"/>
      <c r="N6636" s="184"/>
      <c r="O6636" s="184"/>
    </row>
    <row r="6637" customFormat="false" ht="15" hidden="false" customHeight="true" outlineLevel="0" collapsed="false">
      <c r="A6637" s="184"/>
      <c r="B6637" s="184"/>
      <c r="C6637" s="184"/>
      <c r="D6637" s="184"/>
      <c r="E6637" s="184"/>
      <c r="F6637" s="184"/>
      <c r="G6637" s="184"/>
      <c r="H6637" s="184"/>
      <c r="I6637" s="184"/>
      <c r="J6637" s="184"/>
      <c r="K6637" s="184"/>
      <c r="L6637" s="184"/>
      <c r="M6637" s="184"/>
      <c r="N6637" s="184"/>
      <c r="O6637" s="184"/>
    </row>
    <row r="6638" customFormat="false" ht="15" hidden="false" customHeight="true" outlineLevel="0" collapsed="false">
      <c r="A6638" s="184"/>
      <c r="B6638" s="184"/>
      <c r="C6638" s="184"/>
      <c r="D6638" s="184"/>
      <c r="E6638" s="184"/>
      <c r="F6638" s="184"/>
      <c r="G6638" s="184"/>
      <c r="H6638" s="184"/>
      <c r="I6638" s="184"/>
      <c r="J6638" s="184"/>
      <c r="K6638" s="184"/>
      <c r="L6638" s="184"/>
      <c r="M6638" s="184"/>
      <c r="N6638" s="184"/>
      <c r="O6638" s="184"/>
    </row>
    <row r="6639" customFormat="false" ht="15" hidden="false" customHeight="true" outlineLevel="0" collapsed="false">
      <c r="A6639" s="184"/>
      <c r="B6639" s="184"/>
      <c r="C6639" s="184"/>
      <c r="D6639" s="184"/>
      <c r="E6639" s="184"/>
      <c r="F6639" s="184"/>
      <c r="G6639" s="184"/>
      <c r="H6639" s="184"/>
      <c r="I6639" s="184"/>
      <c r="J6639" s="184"/>
      <c r="K6639" s="184"/>
      <c r="L6639" s="184"/>
      <c r="M6639" s="184"/>
      <c r="N6639" s="184"/>
      <c r="O6639" s="184"/>
    </row>
    <row r="6640" customFormat="false" ht="15" hidden="false" customHeight="true" outlineLevel="0" collapsed="false">
      <c r="A6640" s="184"/>
      <c r="B6640" s="184"/>
      <c r="C6640" s="184"/>
      <c r="D6640" s="184"/>
      <c r="E6640" s="184"/>
      <c r="F6640" s="184"/>
      <c r="G6640" s="184"/>
      <c r="H6640" s="184"/>
      <c r="I6640" s="184"/>
      <c r="J6640" s="184"/>
      <c r="K6640" s="184"/>
      <c r="L6640" s="184"/>
      <c r="M6640" s="184"/>
      <c r="N6640" s="184"/>
      <c r="O6640" s="184"/>
    </row>
    <row r="6641" customFormat="false" ht="15" hidden="false" customHeight="true" outlineLevel="0" collapsed="false">
      <c r="A6641" s="184"/>
      <c r="B6641" s="184"/>
      <c r="C6641" s="184"/>
      <c r="D6641" s="184"/>
      <c r="E6641" s="184"/>
      <c r="F6641" s="184"/>
      <c r="G6641" s="184"/>
      <c r="H6641" s="184"/>
      <c r="I6641" s="184"/>
      <c r="J6641" s="184"/>
      <c r="K6641" s="184"/>
      <c r="L6641" s="184"/>
      <c r="M6641" s="184"/>
      <c r="N6641" s="184"/>
      <c r="O6641" s="184"/>
    </row>
    <row r="6642" customFormat="false" ht="15" hidden="false" customHeight="true" outlineLevel="0" collapsed="false">
      <c r="A6642" s="184"/>
      <c r="B6642" s="184"/>
      <c r="C6642" s="184"/>
      <c r="D6642" s="184"/>
      <c r="E6642" s="184"/>
      <c r="F6642" s="184"/>
      <c r="G6642" s="184"/>
      <c r="H6642" s="184"/>
      <c r="I6642" s="184"/>
      <c r="J6642" s="184"/>
      <c r="K6642" s="184"/>
      <c r="L6642" s="184"/>
      <c r="M6642" s="184"/>
      <c r="N6642" s="184"/>
      <c r="O6642" s="184"/>
    </row>
    <row r="6643" customFormat="false" ht="15" hidden="false" customHeight="true" outlineLevel="0" collapsed="false">
      <c r="A6643" s="184"/>
      <c r="B6643" s="184"/>
      <c r="C6643" s="184"/>
      <c r="D6643" s="184"/>
      <c r="E6643" s="184"/>
      <c r="F6643" s="184"/>
      <c r="G6643" s="184"/>
      <c r="H6643" s="184"/>
      <c r="I6643" s="184"/>
      <c r="J6643" s="184"/>
      <c r="K6643" s="184"/>
      <c r="L6643" s="184"/>
      <c r="M6643" s="184"/>
      <c r="N6643" s="184"/>
      <c r="O6643" s="184"/>
    </row>
    <row r="6644" customFormat="false" ht="15" hidden="false" customHeight="true" outlineLevel="0" collapsed="false">
      <c r="A6644" s="184"/>
      <c r="B6644" s="184"/>
      <c r="C6644" s="184"/>
      <c r="D6644" s="184"/>
      <c r="E6644" s="184"/>
      <c r="F6644" s="184"/>
      <c r="G6644" s="184"/>
      <c r="H6644" s="184"/>
      <c r="I6644" s="184"/>
      <c r="J6644" s="184"/>
      <c r="K6644" s="184"/>
      <c r="L6644" s="184"/>
      <c r="M6644" s="184"/>
      <c r="N6644" s="184"/>
      <c r="O6644" s="184"/>
    </row>
    <row r="6645" customFormat="false" ht="15" hidden="false" customHeight="true" outlineLevel="0" collapsed="false">
      <c r="A6645" s="184"/>
      <c r="B6645" s="184"/>
      <c r="C6645" s="184"/>
      <c r="D6645" s="184"/>
      <c r="E6645" s="184"/>
      <c r="F6645" s="184"/>
      <c r="G6645" s="184"/>
      <c r="H6645" s="184"/>
      <c r="I6645" s="184"/>
      <c r="J6645" s="184"/>
      <c r="K6645" s="184"/>
      <c r="L6645" s="184"/>
      <c r="M6645" s="184"/>
      <c r="N6645" s="184"/>
      <c r="O6645" s="184"/>
    </row>
    <row r="6646" customFormat="false" ht="15" hidden="false" customHeight="true" outlineLevel="0" collapsed="false">
      <c r="A6646" s="184"/>
      <c r="B6646" s="184"/>
      <c r="C6646" s="184"/>
      <c r="D6646" s="184"/>
      <c r="E6646" s="184"/>
      <c r="F6646" s="184"/>
      <c r="G6646" s="184"/>
      <c r="H6646" s="184"/>
      <c r="I6646" s="184"/>
      <c r="J6646" s="184"/>
      <c r="K6646" s="184"/>
      <c r="L6646" s="184"/>
      <c r="M6646" s="184"/>
      <c r="N6646" s="184"/>
      <c r="O6646" s="184"/>
    </row>
    <row r="6647" customFormat="false" ht="15" hidden="false" customHeight="true" outlineLevel="0" collapsed="false">
      <c r="A6647" s="184"/>
      <c r="B6647" s="184"/>
      <c r="C6647" s="184"/>
      <c r="D6647" s="184"/>
      <c r="E6647" s="184"/>
      <c r="F6647" s="184"/>
      <c r="G6647" s="184"/>
      <c r="H6647" s="184"/>
      <c r="I6647" s="184"/>
      <c r="J6647" s="184"/>
      <c r="K6647" s="184"/>
      <c r="L6647" s="184"/>
      <c r="M6647" s="184"/>
      <c r="N6647" s="184"/>
      <c r="O6647" s="184"/>
    </row>
    <row r="6648" customFormat="false" ht="15" hidden="false" customHeight="true" outlineLevel="0" collapsed="false">
      <c r="A6648" s="184"/>
      <c r="B6648" s="184"/>
      <c r="C6648" s="184"/>
      <c r="D6648" s="184"/>
      <c r="E6648" s="184"/>
      <c r="F6648" s="184"/>
      <c r="G6648" s="184"/>
      <c r="H6648" s="184"/>
      <c r="I6648" s="184"/>
      <c r="J6648" s="184"/>
      <c r="K6648" s="184"/>
      <c r="L6648" s="184"/>
      <c r="M6648" s="184"/>
      <c r="N6648" s="184"/>
      <c r="O6648" s="184"/>
    </row>
    <row r="6649" customFormat="false" ht="15" hidden="false" customHeight="true" outlineLevel="0" collapsed="false">
      <c r="A6649" s="184"/>
      <c r="B6649" s="184"/>
      <c r="C6649" s="184"/>
      <c r="D6649" s="184"/>
      <c r="E6649" s="184"/>
      <c r="F6649" s="184"/>
      <c r="G6649" s="184"/>
      <c r="H6649" s="184"/>
      <c r="I6649" s="184"/>
      <c r="J6649" s="184"/>
      <c r="K6649" s="184"/>
      <c r="L6649" s="184"/>
      <c r="M6649" s="184"/>
      <c r="N6649" s="184"/>
      <c r="O6649" s="184"/>
    </row>
    <row r="6650" customFormat="false" ht="15" hidden="false" customHeight="true" outlineLevel="0" collapsed="false">
      <c r="A6650" s="184"/>
      <c r="B6650" s="184"/>
      <c r="C6650" s="184"/>
      <c r="D6650" s="184"/>
      <c r="E6650" s="184"/>
      <c r="F6650" s="184"/>
      <c r="G6650" s="184"/>
      <c r="H6650" s="184"/>
      <c r="I6650" s="184"/>
      <c r="J6650" s="184"/>
      <c r="K6650" s="184"/>
      <c r="L6650" s="184"/>
      <c r="M6650" s="184"/>
      <c r="N6650" s="184"/>
      <c r="O6650" s="184"/>
    </row>
    <row r="6651" customFormat="false" ht="15" hidden="false" customHeight="true" outlineLevel="0" collapsed="false">
      <c r="A6651" s="184"/>
      <c r="B6651" s="184"/>
      <c r="C6651" s="184"/>
      <c r="D6651" s="184"/>
      <c r="E6651" s="184"/>
      <c r="F6651" s="184"/>
      <c r="G6651" s="184"/>
      <c r="H6651" s="184"/>
      <c r="I6651" s="184"/>
      <c r="J6651" s="184"/>
      <c r="K6651" s="184"/>
      <c r="L6651" s="184"/>
      <c r="M6651" s="184"/>
      <c r="N6651" s="184"/>
      <c r="O6651" s="184"/>
    </row>
    <row r="6652" customFormat="false" ht="15" hidden="false" customHeight="true" outlineLevel="0" collapsed="false">
      <c r="A6652" s="184"/>
      <c r="B6652" s="184"/>
      <c r="C6652" s="184"/>
      <c r="D6652" s="184"/>
      <c r="E6652" s="184"/>
      <c r="F6652" s="184"/>
      <c r="G6652" s="184"/>
      <c r="H6652" s="184"/>
      <c r="I6652" s="184"/>
      <c r="J6652" s="184"/>
      <c r="K6652" s="184"/>
      <c r="L6652" s="184"/>
      <c r="M6652" s="184"/>
      <c r="N6652" s="184"/>
      <c r="O6652" s="184"/>
    </row>
    <row r="6653" customFormat="false" ht="15" hidden="false" customHeight="true" outlineLevel="0" collapsed="false">
      <c r="A6653" s="184"/>
      <c r="B6653" s="184"/>
      <c r="C6653" s="184"/>
      <c r="D6653" s="184"/>
      <c r="E6653" s="184"/>
      <c r="F6653" s="184"/>
      <c r="G6653" s="184"/>
      <c r="H6653" s="184"/>
      <c r="I6653" s="184"/>
      <c r="J6653" s="184"/>
      <c r="K6653" s="184"/>
      <c r="L6653" s="184"/>
      <c r="M6653" s="184"/>
      <c r="N6653" s="184"/>
      <c r="O6653" s="184"/>
    </row>
    <row r="6654" customFormat="false" ht="15" hidden="false" customHeight="true" outlineLevel="0" collapsed="false">
      <c r="A6654" s="184"/>
      <c r="B6654" s="184"/>
      <c r="C6654" s="184"/>
      <c r="D6654" s="184"/>
      <c r="E6654" s="184"/>
      <c r="F6654" s="184"/>
      <c r="G6654" s="184"/>
      <c r="H6654" s="184"/>
      <c r="I6654" s="184"/>
      <c r="J6654" s="184"/>
      <c r="K6654" s="184"/>
      <c r="L6654" s="184"/>
      <c r="M6654" s="184"/>
      <c r="N6654" s="184"/>
      <c r="O6654" s="184"/>
    </row>
    <row r="6655" customFormat="false" ht="15" hidden="false" customHeight="true" outlineLevel="0" collapsed="false">
      <c r="A6655" s="184"/>
      <c r="B6655" s="184"/>
      <c r="C6655" s="184"/>
      <c r="D6655" s="184"/>
      <c r="E6655" s="184"/>
      <c r="F6655" s="184"/>
      <c r="G6655" s="184"/>
      <c r="H6655" s="184"/>
      <c r="I6655" s="184"/>
      <c r="J6655" s="184"/>
      <c r="K6655" s="184"/>
      <c r="L6655" s="184"/>
      <c r="M6655" s="184"/>
      <c r="N6655" s="184"/>
      <c r="O6655" s="184"/>
    </row>
    <row r="6656" customFormat="false" ht="15" hidden="false" customHeight="true" outlineLevel="0" collapsed="false">
      <c r="A6656" s="184"/>
      <c r="B6656" s="184"/>
      <c r="C6656" s="184"/>
      <c r="D6656" s="184"/>
      <c r="E6656" s="184"/>
      <c r="F6656" s="184"/>
      <c r="G6656" s="184"/>
      <c r="H6656" s="184"/>
      <c r="I6656" s="184"/>
      <c r="J6656" s="184"/>
      <c r="K6656" s="184"/>
      <c r="L6656" s="184"/>
      <c r="M6656" s="184"/>
      <c r="N6656" s="184"/>
      <c r="O6656" s="184"/>
    </row>
    <row r="6657" customFormat="false" ht="15" hidden="false" customHeight="true" outlineLevel="0" collapsed="false">
      <c r="A6657" s="184"/>
      <c r="B6657" s="184"/>
      <c r="C6657" s="184"/>
      <c r="D6657" s="184"/>
      <c r="E6657" s="184"/>
      <c r="F6657" s="184"/>
      <c r="G6657" s="184"/>
      <c r="H6657" s="184"/>
      <c r="I6657" s="184"/>
      <c r="J6657" s="184"/>
      <c r="K6657" s="184"/>
      <c r="L6657" s="184"/>
      <c r="M6657" s="184"/>
      <c r="N6657" s="184"/>
      <c r="O6657" s="184"/>
    </row>
    <row r="6658" customFormat="false" ht="15" hidden="false" customHeight="true" outlineLevel="0" collapsed="false">
      <c r="A6658" s="184"/>
      <c r="B6658" s="184"/>
      <c r="C6658" s="184"/>
      <c r="D6658" s="184"/>
      <c r="E6658" s="184"/>
      <c r="F6658" s="184"/>
      <c r="G6658" s="184"/>
      <c r="H6658" s="184"/>
      <c r="I6658" s="184"/>
      <c r="J6658" s="184"/>
      <c r="K6658" s="184"/>
      <c r="L6658" s="184"/>
      <c r="M6658" s="184"/>
      <c r="N6658" s="184"/>
      <c r="O6658" s="184"/>
    </row>
    <row r="6659" customFormat="false" ht="15" hidden="false" customHeight="true" outlineLevel="0" collapsed="false">
      <c r="A6659" s="184"/>
      <c r="B6659" s="184"/>
      <c r="C6659" s="184"/>
      <c r="D6659" s="184"/>
      <c r="E6659" s="184"/>
      <c r="F6659" s="184"/>
      <c r="G6659" s="184"/>
      <c r="H6659" s="184"/>
      <c r="I6659" s="184"/>
      <c r="J6659" s="184"/>
      <c r="K6659" s="184"/>
      <c r="L6659" s="184"/>
      <c r="M6659" s="184"/>
      <c r="N6659" s="184"/>
      <c r="O6659" s="184"/>
    </row>
    <row r="6660" customFormat="false" ht="15" hidden="false" customHeight="true" outlineLevel="0" collapsed="false">
      <c r="A6660" s="184"/>
      <c r="B6660" s="184"/>
      <c r="C6660" s="184"/>
      <c r="D6660" s="184"/>
      <c r="E6660" s="184"/>
      <c r="F6660" s="184"/>
      <c r="G6660" s="184"/>
      <c r="H6660" s="184"/>
      <c r="I6660" s="184"/>
      <c r="J6660" s="184"/>
      <c r="K6660" s="184"/>
      <c r="L6660" s="184"/>
      <c r="M6660" s="184"/>
      <c r="N6660" s="184"/>
      <c r="O6660" s="184"/>
    </row>
    <row r="6661" customFormat="false" ht="15" hidden="false" customHeight="true" outlineLevel="0" collapsed="false">
      <c r="A6661" s="184"/>
      <c r="B6661" s="184"/>
      <c r="C6661" s="184"/>
      <c r="D6661" s="184"/>
      <c r="E6661" s="184"/>
      <c r="F6661" s="184"/>
      <c r="G6661" s="184"/>
      <c r="H6661" s="184"/>
      <c r="I6661" s="184"/>
      <c r="J6661" s="184"/>
      <c r="K6661" s="184"/>
      <c r="L6661" s="184"/>
      <c r="M6661" s="184"/>
      <c r="N6661" s="184"/>
      <c r="O6661" s="184"/>
    </row>
    <row r="6662" customFormat="false" ht="15" hidden="false" customHeight="true" outlineLevel="0" collapsed="false">
      <c r="A6662" s="184"/>
      <c r="B6662" s="184"/>
      <c r="C6662" s="184"/>
      <c r="D6662" s="184"/>
      <c r="E6662" s="184"/>
      <c r="F6662" s="184"/>
      <c r="G6662" s="184"/>
      <c r="H6662" s="184"/>
      <c r="I6662" s="184"/>
      <c r="J6662" s="184"/>
      <c r="K6662" s="184"/>
      <c r="L6662" s="184"/>
      <c r="M6662" s="184"/>
      <c r="N6662" s="184"/>
      <c r="O6662" s="184"/>
    </row>
    <row r="6663" customFormat="false" ht="15" hidden="false" customHeight="true" outlineLevel="0" collapsed="false">
      <c r="A6663" s="184"/>
      <c r="B6663" s="184"/>
      <c r="C6663" s="184"/>
      <c r="D6663" s="184"/>
      <c r="E6663" s="184"/>
      <c r="F6663" s="184"/>
      <c r="G6663" s="184"/>
      <c r="H6663" s="184"/>
      <c r="I6663" s="184"/>
      <c r="J6663" s="184"/>
      <c r="K6663" s="184"/>
      <c r="L6663" s="184"/>
      <c r="M6663" s="184"/>
      <c r="N6663" s="184"/>
      <c r="O6663" s="184"/>
    </row>
    <row r="6664" customFormat="false" ht="15" hidden="false" customHeight="true" outlineLevel="0" collapsed="false">
      <c r="A6664" s="184"/>
      <c r="B6664" s="184"/>
      <c r="C6664" s="184"/>
      <c r="D6664" s="184"/>
      <c r="E6664" s="184"/>
      <c r="F6664" s="184"/>
      <c r="G6664" s="184"/>
      <c r="H6664" s="184"/>
      <c r="I6664" s="184"/>
      <c r="J6664" s="184"/>
      <c r="K6664" s="184"/>
      <c r="L6664" s="184"/>
      <c r="M6664" s="184"/>
      <c r="N6664" s="184"/>
      <c r="O6664" s="184"/>
    </row>
    <row r="6665" customFormat="false" ht="15" hidden="false" customHeight="true" outlineLevel="0" collapsed="false">
      <c r="A6665" s="184"/>
      <c r="B6665" s="184"/>
      <c r="C6665" s="184"/>
      <c r="D6665" s="184"/>
      <c r="E6665" s="184"/>
      <c r="F6665" s="184"/>
      <c r="G6665" s="184"/>
      <c r="H6665" s="184"/>
      <c r="I6665" s="184"/>
      <c r="J6665" s="184"/>
      <c r="K6665" s="184"/>
      <c r="L6665" s="184"/>
      <c r="M6665" s="184"/>
      <c r="N6665" s="184"/>
      <c r="O6665" s="184"/>
    </row>
    <row r="6666" customFormat="false" ht="15" hidden="false" customHeight="true" outlineLevel="0" collapsed="false">
      <c r="A6666" s="184"/>
      <c r="B6666" s="184"/>
      <c r="C6666" s="184"/>
      <c r="D6666" s="184"/>
      <c r="E6666" s="184"/>
      <c r="F6666" s="184"/>
      <c r="G6666" s="184"/>
      <c r="H6666" s="184"/>
      <c r="I6666" s="184"/>
      <c r="J6666" s="184"/>
      <c r="K6666" s="184"/>
      <c r="L6666" s="184"/>
      <c r="M6666" s="184"/>
      <c r="N6666" s="184"/>
      <c r="O6666" s="184"/>
    </row>
    <row r="6667" customFormat="false" ht="15" hidden="false" customHeight="true" outlineLevel="0" collapsed="false">
      <c r="A6667" s="184"/>
      <c r="B6667" s="184"/>
      <c r="C6667" s="184"/>
      <c r="D6667" s="184"/>
      <c r="E6667" s="184"/>
      <c r="F6667" s="184"/>
      <c r="G6667" s="184"/>
      <c r="H6667" s="184"/>
      <c r="I6667" s="184"/>
      <c r="J6667" s="184"/>
      <c r="K6667" s="184"/>
      <c r="L6667" s="184"/>
      <c r="M6667" s="184"/>
      <c r="N6667" s="184"/>
      <c r="O6667" s="184"/>
    </row>
    <row r="6668" customFormat="false" ht="15" hidden="false" customHeight="true" outlineLevel="0" collapsed="false">
      <c r="A6668" s="184"/>
      <c r="B6668" s="184"/>
      <c r="C6668" s="184"/>
      <c r="D6668" s="184"/>
      <c r="E6668" s="184"/>
      <c r="F6668" s="184"/>
      <c r="G6668" s="184"/>
      <c r="H6668" s="184"/>
      <c r="I6668" s="184"/>
      <c r="J6668" s="184"/>
      <c r="K6668" s="184"/>
      <c r="L6668" s="184"/>
      <c r="M6668" s="184"/>
      <c r="N6668" s="184"/>
      <c r="O6668" s="184"/>
    </row>
    <row r="6669" customFormat="false" ht="15" hidden="false" customHeight="true" outlineLevel="0" collapsed="false">
      <c r="A6669" s="184"/>
      <c r="B6669" s="184"/>
      <c r="C6669" s="184"/>
      <c r="D6669" s="184"/>
      <c r="E6669" s="184"/>
      <c r="F6669" s="184"/>
      <c r="G6669" s="184"/>
      <c r="H6669" s="184"/>
      <c r="I6669" s="184"/>
      <c r="J6669" s="184"/>
      <c r="K6669" s="184"/>
      <c r="L6669" s="184"/>
      <c r="M6669" s="184"/>
      <c r="N6669" s="184"/>
      <c r="O6669" s="184"/>
    </row>
    <row r="6670" customFormat="false" ht="15" hidden="false" customHeight="true" outlineLevel="0" collapsed="false">
      <c r="A6670" s="184"/>
      <c r="B6670" s="184"/>
      <c r="C6670" s="184"/>
      <c r="D6670" s="184"/>
      <c r="E6670" s="184"/>
      <c r="F6670" s="184"/>
      <c r="G6670" s="184"/>
      <c r="H6670" s="184"/>
      <c r="I6670" s="184"/>
      <c r="J6670" s="184"/>
      <c r="K6670" s="184"/>
      <c r="L6670" s="184"/>
      <c r="M6670" s="184"/>
      <c r="N6670" s="184"/>
      <c r="O6670" s="184"/>
    </row>
    <row r="6671" customFormat="false" ht="15" hidden="false" customHeight="true" outlineLevel="0" collapsed="false">
      <c r="A6671" s="184"/>
      <c r="B6671" s="184"/>
      <c r="C6671" s="184"/>
      <c r="D6671" s="184"/>
      <c r="E6671" s="184"/>
      <c r="F6671" s="184"/>
      <c r="G6671" s="184"/>
      <c r="H6671" s="184"/>
      <c r="I6671" s="184"/>
      <c r="J6671" s="184"/>
      <c r="K6671" s="184"/>
      <c r="L6671" s="184"/>
      <c r="M6671" s="184"/>
      <c r="N6671" s="184"/>
      <c r="O6671" s="184"/>
    </row>
    <row r="6672" customFormat="false" ht="15" hidden="false" customHeight="true" outlineLevel="0" collapsed="false">
      <c r="A6672" s="184"/>
      <c r="B6672" s="184"/>
      <c r="C6672" s="184"/>
      <c r="D6672" s="184"/>
      <c r="E6672" s="184"/>
      <c r="F6672" s="184"/>
      <c r="G6672" s="184"/>
      <c r="H6672" s="184"/>
      <c r="I6672" s="184"/>
      <c r="J6672" s="184"/>
      <c r="K6672" s="184"/>
      <c r="L6672" s="184"/>
      <c r="M6672" s="184"/>
      <c r="N6672" s="184"/>
      <c r="O6672" s="184"/>
    </row>
    <row r="6673" customFormat="false" ht="15" hidden="false" customHeight="true" outlineLevel="0" collapsed="false">
      <c r="A6673" s="184"/>
      <c r="B6673" s="184"/>
      <c r="C6673" s="184"/>
      <c r="D6673" s="184"/>
      <c r="E6673" s="184"/>
      <c r="F6673" s="184"/>
      <c r="G6673" s="184"/>
      <c r="H6673" s="184"/>
      <c r="I6673" s="184"/>
      <c r="J6673" s="184"/>
      <c r="K6673" s="184"/>
      <c r="L6673" s="184"/>
      <c r="M6673" s="184"/>
      <c r="N6673" s="184"/>
      <c r="O6673" s="184"/>
    </row>
    <row r="6674" customFormat="false" ht="15" hidden="false" customHeight="true" outlineLevel="0" collapsed="false">
      <c r="A6674" s="184"/>
      <c r="B6674" s="184"/>
      <c r="C6674" s="184"/>
      <c r="D6674" s="184"/>
      <c r="E6674" s="184"/>
      <c r="F6674" s="184"/>
      <c r="G6674" s="184"/>
      <c r="H6674" s="184"/>
      <c r="I6674" s="184"/>
      <c r="J6674" s="184"/>
      <c r="K6674" s="184"/>
      <c r="L6674" s="184"/>
      <c r="M6674" s="184"/>
      <c r="N6674" s="184"/>
      <c r="O6674" s="184"/>
    </row>
    <row r="6675" customFormat="false" ht="15" hidden="false" customHeight="true" outlineLevel="0" collapsed="false">
      <c r="A6675" s="184"/>
      <c r="B6675" s="184"/>
      <c r="C6675" s="184"/>
      <c r="D6675" s="184"/>
      <c r="E6675" s="184"/>
      <c r="F6675" s="184"/>
      <c r="G6675" s="184"/>
      <c r="H6675" s="184"/>
      <c r="I6675" s="184"/>
      <c r="J6675" s="184"/>
      <c r="K6675" s="184"/>
      <c r="L6675" s="184"/>
      <c r="M6675" s="184"/>
      <c r="N6675" s="184"/>
      <c r="O6675" s="184"/>
    </row>
    <row r="6676" customFormat="false" ht="15" hidden="false" customHeight="true" outlineLevel="0" collapsed="false">
      <c r="A6676" s="184"/>
      <c r="B6676" s="184"/>
      <c r="C6676" s="184"/>
      <c r="D6676" s="184"/>
      <c r="E6676" s="184"/>
      <c r="F6676" s="184"/>
      <c r="G6676" s="184"/>
      <c r="H6676" s="184"/>
      <c r="I6676" s="184"/>
      <c r="J6676" s="184"/>
      <c r="K6676" s="184"/>
      <c r="L6676" s="184"/>
      <c r="M6676" s="184"/>
      <c r="N6676" s="184"/>
      <c r="O6676" s="184"/>
    </row>
    <row r="6677" customFormat="false" ht="15" hidden="false" customHeight="true" outlineLevel="0" collapsed="false">
      <c r="A6677" s="184"/>
      <c r="B6677" s="184"/>
      <c r="C6677" s="184"/>
      <c r="D6677" s="184"/>
      <c r="E6677" s="184"/>
      <c r="F6677" s="184"/>
      <c r="G6677" s="184"/>
      <c r="H6677" s="184"/>
      <c r="I6677" s="184"/>
      <c r="J6677" s="184"/>
      <c r="K6677" s="184"/>
      <c r="L6677" s="184"/>
      <c r="M6677" s="184"/>
      <c r="N6677" s="184"/>
      <c r="O6677" s="184"/>
    </row>
    <row r="6678" customFormat="false" ht="15" hidden="false" customHeight="true" outlineLevel="0" collapsed="false">
      <c r="A6678" s="184"/>
      <c r="B6678" s="184"/>
      <c r="C6678" s="184"/>
      <c r="D6678" s="184"/>
      <c r="E6678" s="184"/>
      <c r="F6678" s="184"/>
      <c r="G6678" s="184"/>
      <c r="H6678" s="184"/>
      <c r="I6678" s="184"/>
      <c r="J6678" s="184"/>
      <c r="K6678" s="184"/>
      <c r="L6678" s="184"/>
      <c r="M6678" s="184"/>
      <c r="N6678" s="184"/>
      <c r="O6678" s="184"/>
    </row>
    <row r="6679" customFormat="false" ht="15" hidden="false" customHeight="true" outlineLevel="0" collapsed="false">
      <c r="A6679" s="184"/>
      <c r="B6679" s="184"/>
      <c r="C6679" s="184"/>
      <c r="D6679" s="184"/>
      <c r="E6679" s="184"/>
      <c r="F6679" s="184"/>
      <c r="G6679" s="184"/>
      <c r="H6679" s="184"/>
      <c r="I6679" s="184"/>
      <c r="J6679" s="184"/>
      <c r="K6679" s="184"/>
      <c r="L6679" s="184"/>
      <c r="M6679" s="184"/>
      <c r="N6679" s="184"/>
      <c r="O6679" s="184"/>
    </row>
    <row r="6680" customFormat="false" ht="15" hidden="false" customHeight="true" outlineLevel="0" collapsed="false">
      <c r="A6680" s="184"/>
      <c r="B6680" s="184"/>
      <c r="C6680" s="184"/>
      <c r="D6680" s="184"/>
      <c r="E6680" s="184"/>
      <c r="F6680" s="184"/>
      <c r="G6680" s="184"/>
      <c r="H6680" s="184"/>
      <c r="I6680" s="184"/>
      <c r="J6680" s="184"/>
      <c r="K6680" s="184"/>
      <c r="L6680" s="184"/>
      <c r="M6680" s="184"/>
      <c r="N6680" s="184"/>
      <c r="O6680" s="184"/>
    </row>
    <row r="6681" customFormat="false" ht="15" hidden="false" customHeight="true" outlineLevel="0" collapsed="false">
      <c r="A6681" s="184"/>
      <c r="B6681" s="184"/>
      <c r="C6681" s="184"/>
      <c r="D6681" s="184"/>
      <c r="E6681" s="184"/>
      <c r="F6681" s="184"/>
      <c r="G6681" s="184"/>
      <c r="H6681" s="184"/>
      <c r="I6681" s="184"/>
      <c r="J6681" s="184"/>
      <c r="K6681" s="184"/>
      <c r="L6681" s="184"/>
      <c r="M6681" s="184"/>
      <c r="N6681" s="184"/>
      <c r="O6681" s="184"/>
    </row>
    <row r="6682" customFormat="false" ht="15" hidden="false" customHeight="true" outlineLevel="0" collapsed="false">
      <c r="A6682" s="184"/>
      <c r="B6682" s="184"/>
      <c r="C6682" s="184"/>
      <c r="D6682" s="184"/>
      <c r="E6682" s="184"/>
      <c r="F6682" s="184"/>
      <c r="G6682" s="184"/>
      <c r="H6682" s="184"/>
      <c r="I6682" s="184"/>
      <c r="J6682" s="184"/>
      <c r="K6682" s="184"/>
      <c r="L6682" s="184"/>
      <c r="M6682" s="184"/>
      <c r="N6682" s="184"/>
      <c r="O6682" s="184"/>
    </row>
    <row r="6683" customFormat="false" ht="15" hidden="false" customHeight="true" outlineLevel="0" collapsed="false">
      <c r="A6683" s="184"/>
      <c r="B6683" s="184"/>
      <c r="C6683" s="184"/>
      <c r="D6683" s="184"/>
      <c r="E6683" s="184"/>
      <c r="F6683" s="184"/>
      <c r="G6683" s="184"/>
      <c r="H6683" s="184"/>
      <c r="I6683" s="184"/>
      <c r="J6683" s="184"/>
      <c r="K6683" s="184"/>
      <c r="L6683" s="184"/>
      <c r="M6683" s="184"/>
      <c r="N6683" s="184"/>
      <c r="O6683" s="184"/>
    </row>
    <row r="6684" customFormat="false" ht="15" hidden="false" customHeight="true" outlineLevel="0" collapsed="false">
      <c r="A6684" s="184"/>
      <c r="B6684" s="184"/>
      <c r="C6684" s="184"/>
      <c r="D6684" s="184"/>
      <c r="E6684" s="184"/>
      <c r="F6684" s="184"/>
      <c r="G6684" s="184"/>
      <c r="H6684" s="184"/>
      <c r="I6684" s="184"/>
      <c r="J6684" s="184"/>
      <c r="K6684" s="184"/>
      <c r="L6684" s="184"/>
      <c r="M6684" s="184"/>
      <c r="N6684" s="184"/>
      <c r="O6684" s="184"/>
    </row>
    <row r="6685" customFormat="false" ht="15" hidden="false" customHeight="true" outlineLevel="0" collapsed="false">
      <c r="A6685" s="184"/>
      <c r="B6685" s="184"/>
      <c r="C6685" s="184"/>
      <c r="D6685" s="184"/>
      <c r="E6685" s="184"/>
      <c r="F6685" s="184"/>
      <c r="G6685" s="184"/>
      <c r="H6685" s="184"/>
      <c r="I6685" s="184"/>
      <c r="J6685" s="184"/>
      <c r="K6685" s="184"/>
      <c r="L6685" s="184"/>
      <c r="M6685" s="184"/>
      <c r="N6685" s="184"/>
      <c r="O6685" s="184"/>
    </row>
    <row r="6686" customFormat="false" ht="15" hidden="false" customHeight="true" outlineLevel="0" collapsed="false">
      <c r="A6686" s="184"/>
      <c r="B6686" s="184"/>
      <c r="C6686" s="184"/>
      <c r="D6686" s="184"/>
      <c r="E6686" s="184"/>
      <c r="F6686" s="184"/>
      <c r="G6686" s="184"/>
      <c r="H6686" s="184"/>
      <c r="I6686" s="184"/>
      <c r="J6686" s="184"/>
      <c r="K6686" s="184"/>
      <c r="L6686" s="184"/>
      <c r="M6686" s="184"/>
      <c r="N6686" s="184"/>
      <c r="O6686" s="184"/>
    </row>
    <row r="6687" customFormat="false" ht="15" hidden="false" customHeight="true" outlineLevel="0" collapsed="false">
      <c r="A6687" s="184"/>
      <c r="B6687" s="184"/>
      <c r="C6687" s="184"/>
      <c r="D6687" s="184"/>
      <c r="E6687" s="184"/>
      <c r="F6687" s="184"/>
      <c r="G6687" s="184"/>
      <c r="H6687" s="184"/>
      <c r="I6687" s="184"/>
      <c r="J6687" s="184"/>
      <c r="K6687" s="184"/>
      <c r="L6687" s="184"/>
      <c r="M6687" s="184"/>
      <c r="N6687" s="184"/>
      <c r="O6687" s="184"/>
    </row>
    <row r="6688" customFormat="false" ht="15" hidden="false" customHeight="true" outlineLevel="0" collapsed="false">
      <c r="A6688" s="184"/>
      <c r="B6688" s="184"/>
      <c r="C6688" s="184"/>
      <c r="D6688" s="184"/>
      <c r="E6688" s="184"/>
      <c r="F6688" s="184"/>
      <c r="G6688" s="184"/>
      <c r="H6688" s="184"/>
      <c r="I6688" s="184"/>
      <c r="J6688" s="184"/>
      <c r="K6688" s="184"/>
      <c r="L6688" s="184"/>
      <c r="M6688" s="184"/>
      <c r="N6688" s="184"/>
      <c r="O6688" s="184"/>
    </row>
    <row r="6689" customFormat="false" ht="15" hidden="false" customHeight="true" outlineLevel="0" collapsed="false">
      <c r="A6689" s="184"/>
      <c r="B6689" s="184"/>
      <c r="C6689" s="184"/>
      <c r="D6689" s="184"/>
      <c r="E6689" s="184"/>
      <c r="F6689" s="184"/>
      <c r="G6689" s="184"/>
      <c r="H6689" s="184"/>
      <c r="I6689" s="184"/>
      <c r="J6689" s="184"/>
      <c r="K6689" s="184"/>
      <c r="L6689" s="184"/>
      <c r="M6689" s="184"/>
      <c r="N6689" s="184"/>
      <c r="O6689" s="184"/>
    </row>
    <row r="6690" customFormat="false" ht="15" hidden="false" customHeight="true" outlineLevel="0" collapsed="false">
      <c r="A6690" s="184"/>
      <c r="B6690" s="184"/>
      <c r="C6690" s="184"/>
      <c r="D6690" s="184"/>
      <c r="E6690" s="184"/>
      <c r="F6690" s="184"/>
      <c r="G6690" s="184"/>
      <c r="H6690" s="184"/>
      <c r="I6690" s="184"/>
      <c r="J6690" s="184"/>
      <c r="K6690" s="184"/>
      <c r="L6690" s="184"/>
      <c r="M6690" s="184"/>
      <c r="N6690" s="184"/>
      <c r="O6690" s="184"/>
    </row>
    <row r="6691" customFormat="false" ht="15" hidden="false" customHeight="true" outlineLevel="0" collapsed="false">
      <c r="A6691" s="184"/>
      <c r="B6691" s="184"/>
      <c r="C6691" s="184"/>
      <c r="D6691" s="184"/>
      <c r="E6691" s="184"/>
      <c r="F6691" s="184"/>
      <c r="G6691" s="184"/>
      <c r="H6691" s="184"/>
      <c r="I6691" s="184"/>
      <c r="J6691" s="184"/>
      <c r="K6691" s="184"/>
      <c r="L6691" s="184"/>
      <c r="M6691" s="184"/>
      <c r="N6691" s="184"/>
      <c r="O6691" s="184"/>
    </row>
    <row r="6692" customFormat="false" ht="15" hidden="false" customHeight="true" outlineLevel="0" collapsed="false">
      <c r="A6692" s="184"/>
      <c r="B6692" s="184"/>
      <c r="C6692" s="184"/>
      <c r="D6692" s="184"/>
      <c r="E6692" s="184"/>
      <c r="F6692" s="184"/>
      <c r="G6692" s="184"/>
      <c r="H6692" s="184"/>
      <c r="I6692" s="184"/>
      <c r="J6692" s="184"/>
      <c r="K6692" s="184"/>
      <c r="L6692" s="184"/>
      <c r="M6692" s="184"/>
      <c r="N6692" s="184"/>
      <c r="O6692" s="184"/>
    </row>
    <row r="6693" customFormat="false" ht="15" hidden="false" customHeight="true" outlineLevel="0" collapsed="false">
      <c r="A6693" s="184"/>
      <c r="B6693" s="184"/>
      <c r="C6693" s="184"/>
      <c r="D6693" s="184"/>
      <c r="E6693" s="184"/>
      <c r="F6693" s="184"/>
      <c r="G6693" s="184"/>
      <c r="H6693" s="184"/>
      <c r="I6693" s="184"/>
      <c r="J6693" s="184"/>
      <c r="K6693" s="184"/>
      <c r="L6693" s="184"/>
      <c r="M6693" s="184"/>
      <c r="N6693" s="184"/>
      <c r="O6693" s="184"/>
    </row>
    <row r="6694" customFormat="false" ht="15" hidden="false" customHeight="true" outlineLevel="0" collapsed="false">
      <c r="A6694" s="184"/>
      <c r="B6694" s="184"/>
      <c r="C6694" s="184"/>
      <c r="D6694" s="184"/>
      <c r="E6694" s="184"/>
      <c r="F6694" s="184"/>
      <c r="G6694" s="184"/>
      <c r="H6694" s="184"/>
      <c r="I6694" s="184"/>
      <c r="J6694" s="184"/>
      <c r="K6694" s="184"/>
      <c r="L6694" s="184"/>
      <c r="M6694" s="184"/>
      <c r="N6694" s="184"/>
      <c r="O6694" s="184"/>
    </row>
    <row r="6695" customFormat="false" ht="15" hidden="false" customHeight="true" outlineLevel="0" collapsed="false">
      <c r="A6695" s="184"/>
      <c r="B6695" s="184"/>
      <c r="C6695" s="184"/>
      <c r="D6695" s="184"/>
      <c r="E6695" s="184"/>
      <c r="F6695" s="184"/>
      <c r="G6695" s="184"/>
      <c r="H6695" s="184"/>
      <c r="I6695" s="184"/>
      <c r="J6695" s="184"/>
      <c r="K6695" s="184"/>
      <c r="L6695" s="184"/>
      <c r="M6695" s="184"/>
      <c r="N6695" s="184"/>
      <c r="O6695" s="184"/>
    </row>
    <row r="6696" customFormat="false" ht="15" hidden="false" customHeight="true" outlineLevel="0" collapsed="false">
      <c r="A6696" s="184"/>
      <c r="B6696" s="184"/>
      <c r="C6696" s="184"/>
      <c r="D6696" s="184"/>
      <c r="E6696" s="184"/>
      <c r="F6696" s="184"/>
      <c r="G6696" s="184"/>
      <c r="H6696" s="184"/>
      <c r="I6696" s="184"/>
      <c r="J6696" s="184"/>
      <c r="K6696" s="184"/>
      <c r="L6696" s="184"/>
      <c r="M6696" s="184"/>
      <c r="N6696" s="184"/>
      <c r="O6696" s="184"/>
    </row>
    <row r="6697" customFormat="false" ht="15" hidden="false" customHeight="true" outlineLevel="0" collapsed="false">
      <c r="A6697" s="184"/>
      <c r="B6697" s="184"/>
      <c r="C6697" s="184"/>
      <c r="D6697" s="184"/>
      <c r="E6697" s="184"/>
      <c r="F6697" s="184"/>
      <c r="G6697" s="184"/>
      <c r="H6697" s="184"/>
      <c r="I6697" s="184"/>
      <c r="J6697" s="184"/>
      <c r="K6697" s="184"/>
      <c r="L6697" s="184"/>
      <c r="M6697" s="184"/>
      <c r="N6697" s="184"/>
      <c r="O6697" s="184"/>
    </row>
    <row r="6698" customFormat="false" ht="15" hidden="false" customHeight="true" outlineLevel="0" collapsed="false">
      <c r="A6698" s="184"/>
      <c r="B6698" s="184"/>
      <c r="C6698" s="184"/>
      <c r="D6698" s="184"/>
      <c r="E6698" s="184"/>
      <c r="F6698" s="184"/>
      <c r="G6698" s="184"/>
      <c r="H6698" s="184"/>
      <c r="I6698" s="184"/>
      <c r="J6698" s="184"/>
      <c r="K6698" s="184"/>
      <c r="L6698" s="184"/>
      <c r="M6698" s="184"/>
      <c r="N6698" s="184"/>
      <c r="O6698" s="184"/>
    </row>
    <row r="6699" customFormat="false" ht="15" hidden="false" customHeight="true" outlineLevel="0" collapsed="false">
      <c r="A6699" s="184"/>
      <c r="B6699" s="184"/>
      <c r="C6699" s="184"/>
      <c r="D6699" s="184"/>
      <c r="E6699" s="184"/>
      <c r="F6699" s="184"/>
      <c r="G6699" s="184"/>
      <c r="H6699" s="184"/>
      <c r="I6699" s="184"/>
      <c r="J6699" s="184"/>
      <c r="K6699" s="184"/>
      <c r="L6699" s="184"/>
      <c r="M6699" s="184"/>
      <c r="N6699" s="184"/>
      <c r="O6699" s="184"/>
    </row>
    <row r="6700" customFormat="false" ht="15" hidden="false" customHeight="true" outlineLevel="0" collapsed="false">
      <c r="A6700" s="184"/>
      <c r="B6700" s="184"/>
      <c r="C6700" s="184"/>
      <c r="D6700" s="184"/>
      <c r="E6700" s="184"/>
      <c r="F6700" s="184"/>
      <c r="G6700" s="184"/>
      <c r="H6700" s="184"/>
      <c r="I6700" s="184"/>
      <c r="J6700" s="184"/>
      <c r="K6700" s="184"/>
      <c r="L6700" s="184"/>
      <c r="M6700" s="184"/>
      <c r="N6700" s="184"/>
      <c r="O6700" s="184"/>
    </row>
    <row r="6701" customFormat="false" ht="15" hidden="false" customHeight="true" outlineLevel="0" collapsed="false">
      <c r="A6701" s="184"/>
      <c r="B6701" s="184"/>
      <c r="C6701" s="184"/>
      <c r="D6701" s="184"/>
      <c r="E6701" s="184"/>
      <c r="F6701" s="184"/>
      <c r="G6701" s="184"/>
      <c r="H6701" s="184"/>
      <c r="I6701" s="184"/>
      <c r="J6701" s="184"/>
      <c r="K6701" s="184"/>
      <c r="L6701" s="184"/>
      <c r="M6701" s="184"/>
      <c r="N6701" s="184"/>
      <c r="O6701" s="184"/>
    </row>
    <row r="6702" customFormat="false" ht="15" hidden="false" customHeight="true" outlineLevel="0" collapsed="false">
      <c r="A6702" s="184"/>
      <c r="B6702" s="184"/>
      <c r="C6702" s="184"/>
      <c r="D6702" s="184"/>
      <c r="E6702" s="184"/>
      <c r="F6702" s="184"/>
      <c r="G6702" s="184"/>
      <c r="H6702" s="184"/>
      <c r="I6702" s="184"/>
      <c r="J6702" s="184"/>
      <c r="K6702" s="184"/>
      <c r="L6702" s="184"/>
      <c r="M6702" s="184"/>
      <c r="N6702" s="184"/>
      <c r="O6702" s="184"/>
    </row>
    <row r="6703" customFormat="false" ht="15" hidden="false" customHeight="true" outlineLevel="0" collapsed="false">
      <c r="A6703" s="184"/>
      <c r="B6703" s="184"/>
      <c r="C6703" s="184"/>
      <c r="D6703" s="184"/>
      <c r="E6703" s="184"/>
      <c r="F6703" s="184"/>
      <c r="G6703" s="184"/>
      <c r="H6703" s="184"/>
      <c r="I6703" s="184"/>
      <c r="J6703" s="184"/>
      <c r="K6703" s="184"/>
      <c r="L6703" s="184"/>
      <c r="M6703" s="184"/>
      <c r="N6703" s="184"/>
      <c r="O6703" s="184"/>
    </row>
    <row r="6704" customFormat="false" ht="15" hidden="false" customHeight="true" outlineLevel="0" collapsed="false">
      <c r="A6704" s="184"/>
      <c r="B6704" s="184"/>
      <c r="C6704" s="184"/>
      <c r="D6704" s="184"/>
      <c r="E6704" s="184"/>
      <c r="F6704" s="184"/>
      <c r="G6704" s="184"/>
      <c r="H6704" s="184"/>
      <c r="I6704" s="184"/>
      <c r="J6704" s="184"/>
      <c r="K6704" s="184"/>
      <c r="L6704" s="184"/>
      <c r="M6704" s="184"/>
      <c r="N6704" s="184"/>
      <c r="O6704" s="184"/>
    </row>
    <row r="6705" customFormat="false" ht="15" hidden="false" customHeight="true" outlineLevel="0" collapsed="false">
      <c r="A6705" s="184"/>
      <c r="B6705" s="184"/>
      <c r="C6705" s="184"/>
      <c r="D6705" s="184"/>
      <c r="E6705" s="184"/>
      <c r="F6705" s="184"/>
      <c r="G6705" s="184"/>
      <c r="H6705" s="184"/>
      <c r="I6705" s="184"/>
      <c r="J6705" s="184"/>
      <c r="K6705" s="184"/>
      <c r="L6705" s="184"/>
      <c r="M6705" s="184"/>
      <c r="N6705" s="184"/>
      <c r="O6705" s="184"/>
    </row>
    <row r="6706" customFormat="false" ht="15" hidden="false" customHeight="true" outlineLevel="0" collapsed="false">
      <c r="A6706" s="184"/>
      <c r="B6706" s="184"/>
      <c r="C6706" s="184"/>
      <c r="D6706" s="184"/>
      <c r="E6706" s="184"/>
      <c r="F6706" s="184"/>
      <c r="G6706" s="184"/>
      <c r="H6706" s="184"/>
      <c r="I6706" s="184"/>
      <c r="J6706" s="184"/>
      <c r="K6706" s="184"/>
      <c r="L6706" s="184"/>
      <c r="M6706" s="184"/>
      <c r="N6706" s="184"/>
      <c r="O6706" s="184"/>
    </row>
    <row r="6707" customFormat="false" ht="15" hidden="false" customHeight="true" outlineLevel="0" collapsed="false">
      <c r="A6707" s="184"/>
      <c r="B6707" s="184"/>
      <c r="C6707" s="184"/>
      <c r="D6707" s="184"/>
      <c r="E6707" s="184"/>
      <c r="F6707" s="184"/>
      <c r="G6707" s="184"/>
      <c r="H6707" s="184"/>
      <c r="I6707" s="184"/>
      <c r="J6707" s="184"/>
      <c r="K6707" s="184"/>
      <c r="L6707" s="184"/>
      <c r="M6707" s="184"/>
      <c r="N6707" s="184"/>
      <c r="O6707" s="184"/>
    </row>
    <row r="6708" customFormat="false" ht="15" hidden="false" customHeight="true" outlineLevel="0" collapsed="false">
      <c r="A6708" s="184"/>
      <c r="B6708" s="184"/>
      <c r="C6708" s="184"/>
      <c r="D6708" s="184"/>
      <c r="E6708" s="184"/>
      <c r="F6708" s="184"/>
      <c r="G6708" s="184"/>
      <c r="H6708" s="184"/>
      <c r="I6708" s="184"/>
      <c r="J6708" s="184"/>
      <c r="K6708" s="184"/>
      <c r="L6708" s="184"/>
      <c r="M6708" s="184"/>
      <c r="N6708" s="184"/>
      <c r="O6708" s="184"/>
    </row>
    <row r="6709" customFormat="false" ht="15" hidden="false" customHeight="true" outlineLevel="0" collapsed="false">
      <c r="A6709" s="184"/>
      <c r="B6709" s="184"/>
      <c r="C6709" s="184"/>
      <c r="D6709" s="184"/>
      <c r="E6709" s="184"/>
      <c r="F6709" s="184"/>
      <c r="G6709" s="184"/>
      <c r="H6709" s="184"/>
      <c r="I6709" s="184"/>
      <c r="J6709" s="184"/>
      <c r="K6709" s="184"/>
      <c r="L6709" s="184"/>
      <c r="M6709" s="184"/>
      <c r="N6709" s="184"/>
      <c r="O6709" s="184"/>
    </row>
    <row r="6710" customFormat="false" ht="15" hidden="false" customHeight="true" outlineLevel="0" collapsed="false">
      <c r="A6710" s="184"/>
      <c r="B6710" s="184"/>
      <c r="C6710" s="184"/>
      <c r="D6710" s="184"/>
      <c r="E6710" s="184"/>
      <c r="F6710" s="184"/>
      <c r="G6710" s="184"/>
      <c r="H6710" s="184"/>
      <c r="I6710" s="184"/>
      <c r="J6710" s="184"/>
      <c r="K6710" s="184"/>
      <c r="L6710" s="184"/>
      <c r="M6710" s="184"/>
      <c r="N6710" s="184"/>
      <c r="O6710" s="184"/>
    </row>
    <row r="6711" customFormat="false" ht="15" hidden="false" customHeight="true" outlineLevel="0" collapsed="false">
      <c r="A6711" s="184"/>
      <c r="B6711" s="184"/>
      <c r="C6711" s="184"/>
      <c r="D6711" s="184"/>
      <c r="E6711" s="184"/>
      <c r="F6711" s="184"/>
      <c r="G6711" s="184"/>
      <c r="H6711" s="184"/>
      <c r="I6711" s="184"/>
      <c r="J6711" s="184"/>
      <c r="K6711" s="184"/>
      <c r="L6711" s="184"/>
      <c r="M6711" s="184"/>
      <c r="N6711" s="184"/>
      <c r="O6711" s="184"/>
    </row>
    <row r="6712" customFormat="false" ht="15" hidden="false" customHeight="true" outlineLevel="0" collapsed="false">
      <c r="A6712" s="184"/>
      <c r="B6712" s="184"/>
      <c r="C6712" s="184"/>
      <c r="D6712" s="184"/>
      <c r="E6712" s="184"/>
      <c r="F6712" s="184"/>
      <c r="G6712" s="184"/>
      <c r="H6712" s="184"/>
      <c r="I6712" s="184"/>
      <c r="J6712" s="184"/>
      <c r="K6712" s="184"/>
      <c r="L6712" s="184"/>
      <c r="M6712" s="184"/>
      <c r="N6712" s="184"/>
      <c r="O6712" s="184"/>
    </row>
    <row r="6713" customFormat="false" ht="15" hidden="false" customHeight="true" outlineLevel="0" collapsed="false">
      <c r="A6713" s="184"/>
      <c r="B6713" s="184"/>
      <c r="C6713" s="184"/>
      <c r="D6713" s="184"/>
      <c r="E6713" s="184"/>
      <c r="F6713" s="184"/>
      <c r="G6713" s="184"/>
      <c r="H6713" s="184"/>
      <c r="I6713" s="184"/>
      <c r="J6713" s="184"/>
      <c r="K6713" s="184"/>
      <c r="L6713" s="184"/>
      <c r="M6713" s="184"/>
      <c r="N6713" s="184"/>
      <c r="O6713" s="184"/>
    </row>
    <row r="6714" customFormat="false" ht="15" hidden="false" customHeight="true" outlineLevel="0" collapsed="false">
      <c r="A6714" s="184"/>
      <c r="B6714" s="184"/>
      <c r="C6714" s="184"/>
      <c r="D6714" s="184"/>
      <c r="E6714" s="184"/>
      <c r="F6714" s="184"/>
      <c r="G6714" s="184"/>
      <c r="H6714" s="184"/>
      <c r="I6714" s="184"/>
      <c r="J6714" s="184"/>
      <c r="K6714" s="184"/>
      <c r="L6714" s="184"/>
      <c r="M6714" s="184"/>
      <c r="N6714" s="184"/>
      <c r="O6714" s="184"/>
    </row>
    <row r="6715" customFormat="false" ht="15" hidden="false" customHeight="true" outlineLevel="0" collapsed="false">
      <c r="A6715" s="184"/>
      <c r="B6715" s="184"/>
      <c r="C6715" s="184"/>
      <c r="D6715" s="184"/>
      <c r="E6715" s="184"/>
      <c r="F6715" s="184"/>
      <c r="G6715" s="184"/>
      <c r="H6715" s="184"/>
      <c r="I6715" s="184"/>
      <c r="J6715" s="184"/>
      <c r="K6715" s="184"/>
      <c r="L6715" s="184"/>
      <c r="M6715" s="184"/>
      <c r="N6715" s="184"/>
      <c r="O6715" s="184"/>
    </row>
    <row r="6716" customFormat="false" ht="15" hidden="false" customHeight="true" outlineLevel="0" collapsed="false">
      <c r="A6716" s="184"/>
      <c r="B6716" s="184"/>
      <c r="C6716" s="184"/>
      <c r="D6716" s="184"/>
      <c r="E6716" s="184"/>
      <c r="F6716" s="184"/>
      <c r="G6716" s="184"/>
      <c r="H6716" s="184"/>
      <c r="I6716" s="184"/>
      <c r="J6716" s="184"/>
      <c r="K6716" s="184"/>
      <c r="L6716" s="184"/>
      <c r="M6716" s="184"/>
      <c r="N6716" s="184"/>
      <c r="O6716" s="184"/>
    </row>
    <row r="6717" customFormat="false" ht="15" hidden="false" customHeight="true" outlineLevel="0" collapsed="false">
      <c r="A6717" s="184"/>
      <c r="B6717" s="184"/>
      <c r="C6717" s="184"/>
      <c r="D6717" s="184"/>
      <c r="E6717" s="184"/>
      <c r="F6717" s="184"/>
      <c r="G6717" s="184"/>
      <c r="H6717" s="184"/>
      <c r="I6717" s="184"/>
      <c r="J6717" s="184"/>
      <c r="K6717" s="184"/>
      <c r="L6717" s="184"/>
      <c r="M6717" s="184"/>
      <c r="N6717" s="184"/>
      <c r="O6717" s="184"/>
    </row>
    <row r="6718" customFormat="false" ht="15" hidden="false" customHeight="true" outlineLevel="0" collapsed="false">
      <c r="A6718" s="184"/>
      <c r="B6718" s="184"/>
      <c r="C6718" s="184"/>
      <c r="D6718" s="184"/>
      <c r="E6718" s="184"/>
      <c r="F6718" s="184"/>
      <c r="G6718" s="184"/>
      <c r="H6718" s="184"/>
      <c r="I6718" s="184"/>
      <c r="J6718" s="184"/>
      <c r="K6718" s="184"/>
      <c r="L6718" s="184"/>
      <c r="M6718" s="184"/>
      <c r="N6718" s="184"/>
      <c r="O6718" s="184"/>
    </row>
    <row r="6719" customFormat="false" ht="15" hidden="false" customHeight="true" outlineLevel="0" collapsed="false">
      <c r="A6719" s="184"/>
      <c r="B6719" s="184"/>
      <c r="C6719" s="184"/>
      <c r="D6719" s="184"/>
      <c r="E6719" s="184"/>
      <c r="F6719" s="184"/>
      <c r="G6719" s="184"/>
      <c r="H6719" s="184"/>
      <c r="I6719" s="184"/>
      <c r="J6719" s="184"/>
      <c r="K6719" s="184"/>
      <c r="L6719" s="184"/>
      <c r="M6719" s="184"/>
      <c r="N6719" s="184"/>
      <c r="O6719" s="184"/>
    </row>
    <row r="6720" customFormat="false" ht="15" hidden="false" customHeight="true" outlineLevel="0" collapsed="false">
      <c r="A6720" s="184"/>
      <c r="B6720" s="184"/>
      <c r="C6720" s="184"/>
      <c r="D6720" s="184"/>
      <c r="E6720" s="184"/>
      <c r="F6720" s="184"/>
      <c r="G6720" s="184"/>
      <c r="H6720" s="184"/>
      <c r="I6720" s="184"/>
      <c r="J6720" s="184"/>
      <c r="K6720" s="184"/>
      <c r="L6720" s="184"/>
      <c r="M6720" s="184"/>
      <c r="N6720" s="184"/>
      <c r="O6720" s="184"/>
    </row>
    <row r="6721" customFormat="false" ht="15" hidden="false" customHeight="true" outlineLevel="0" collapsed="false">
      <c r="A6721" s="184"/>
      <c r="B6721" s="184"/>
      <c r="C6721" s="184"/>
      <c r="D6721" s="184"/>
      <c r="E6721" s="184"/>
      <c r="F6721" s="184"/>
      <c r="G6721" s="184"/>
      <c r="H6721" s="184"/>
      <c r="I6721" s="184"/>
      <c r="J6721" s="184"/>
      <c r="K6721" s="184"/>
      <c r="L6721" s="184"/>
      <c r="M6721" s="184"/>
      <c r="N6721" s="184"/>
      <c r="O6721" s="184"/>
    </row>
    <row r="6722" customFormat="false" ht="15" hidden="false" customHeight="true" outlineLevel="0" collapsed="false">
      <c r="A6722" s="184"/>
      <c r="B6722" s="184"/>
      <c r="C6722" s="184"/>
      <c r="D6722" s="184"/>
      <c r="E6722" s="184"/>
      <c r="F6722" s="184"/>
      <c r="G6722" s="184"/>
      <c r="H6722" s="184"/>
      <c r="I6722" s="184"/>
      <c r="J6722" s="184"/>
      <c r="K6722" s="184"/>
      <c r="L6722" s="184"/>
      <c r="M6722" s="184"/>
      <c r="N6722" s="184"/>
      <c r="O6722" s="184"/>
    </row>
    <row r="6723" customFormat="false" ht="15" hidden="false" customHeight="true" outlineLevel="0" collapsed="false">
      <c r="A6723" s="184"/>
      <c r="B6723" s="184"/>
      <c r="C6723" s="184"/>
      <c r="D6723" s="184"/>
      <c r="E6723" s="184"/>
      <c r="F6723" s="184"/>
      <c r="G6723" s="184"/>
      <c r="H6723" s="184"/>
      <c r="I6723" s="184"/>
      <c r="J6723" s="184"/>
      <c r="K6723" s="184"/>
      <c r="L6723" s="184"/>
      <c r="M6723" s="184"/>
      <c r="N6723" s="184"/>
      <c r="O6723" s="184"/>
    </row>
    <row r="6724" customFormat="false" ht="15" hidden="false" customHeight="true" outlineLevel="0" collapsed="false">
      <c r="A6724" s="184"/>
      <c r="B6724" s="184"/>
      <c r="C6724" s="184"/>
      <c r="D6724" s="184"/>
      <c r="E6724" s="184"/>
      <c r="F6724" s="184"/>
      <c r="G6724" s="184"/>
      <c r="H6724" s="184"/>
      <c r="I6724" s="184"/>
      <c r="J6724" s="184"/>
      <c r="K6724" s="184"/>
      <c r="L6724" s="184"/>
      <c r="M6724" s="184"/>
      <c r="N6724" s="184"/>
      <c r="O6724" s="184"/>
    </row>
    <row r="6725" customFormat="false" ht="15" hidden="false" customHeight="true" outlineLevel="0" collapsed="false">
      <c r="A6725" s="184"/>
      <c r="B6725" s="184"/>
      <c r="C6725" s="184"/>
      <c r="D6725" s="184"/>
      <c r="E6725" s="184"/>
      <c r="F6725" s="184"/>
      <c r="G6725" s="184"/>
      <c r="H6725" s="184"/>
      <c r="I6725" s="184"/>
      <c r="J6725" s="184"/>
      <c r="K6725" s="184"/>
      <c r="L6725" s="184"/>
      <c r="M6725" s="184"/>
      <c r="N6725" s="184"/>
      <c r="O6725" s="184"/>
    </row>
    <row r="6726" customFormat="false" ht="15" hidden="false" customHeight="true" outlineLevel="0" collapsed="false">
      <c r="A6726" s="184"/>
      <c r="B6726" s="184"/>
      <c r="C6726" s="184"/>
      <c r="D6726" s="184"/>
      <c r="E6726" s="184"/>
      <c r="F6726" s="184"/>
      <c r="G6726" s="184"/>
      <c r="H6726" s="184"/>
      <c r="I6726" s="184"/>
      <c r="J6726" s="184"/>
      <c r="K6726" s="184"/>
      <c r="L6726" s="184"/>
      <c r="M6726" s="184"/>
      <c r="N6726" s="184"/>
      <c r="O6726" s="184"/>
    </row>
    <row r="6727" customFormat="false" ht="15" hidden="false" customHeight="true" outlineLevel="0" collapsed="false">
      <c r="A6727" s="184"/>
      <c r="B6727" s="184"/>
      <c r="C6727" s="184"/>
      <c r="D6727" s="184"/>
      <c r="E6727" s="184"/>
      <c r="F6727" s="184"/>
      <c r="G6727" s="184"/>
      <c r="H6727" s="184"/>
      <c r="I6727" s="184"/>
      <c r="J6727" s="184"/>
      <c r="K6727" s="184"/>
      <c r="L6727" s="184"/>
      <c r="M6727" s="184"/>
      <c r="N6727" s="184"/>
      <c r="O6727" s="184"/>
    </row>
    <row r="6728" customFormat="false" ht="15" hidden="false" customHeight="true" outlineLevel="0" collapsed="false">
      <c r="A6728" s="184"/>
      <c r="B6728" s="184"/>
      <c r="C6728" s="184"/>
      <c r="D6728" s="184"/>
      <c r="E6728" s="184"/>
      <c r="F6728" s="184"/>
      <c r="G6728" s="184"/>
      <c r="H6728" s="184"/>
      <c r="I6728" s="184"/>
      <c r="J6728" s="184"/>
      <c r="K6728" s="184"/>
      <c r="L6728" s="184"/>
      <c r="M6728" s="184"/>
      <c r="N6728" s="184"/>
      <c r="O6728" s="184"/>
    </row>
    <row r="6729" customFormat="false" ht="15" hidden="false" customHeight="true" outlineLevel="0" collapsed="false">
      <c r="A6729" s="184"/>
      <c r="B6729" s="184"/>
      <c r="C6729" s="184"/>
      <c r="D6729" s="184"/>
      <c r="E6729" s="184"/>
      <c r="F6729" s="184"/>
      <c r="G6729" s="184"/>
      <c r="H6729" s="184"/>
      <c r="I6729" s="184"/>
      <c r="J6729" s="184"/>
      <c r="K6729" s="184"/>
      <c r="L6729" s="184"/>
      <c r="M6729" s="184"/>
      <c r="N6729" s="184"/>
      <c r="O6729" s="184"/>
    </row>
    <row r="6730" customFormat="false" ht="15" hidden="false" customHeight="true" outlineLevel="0" collapsed="false">
      <c r="A6730" s="184"/>
      <c r="B6730" s="184"/>
      <c r="C6730" s="184"/>
      <c r="D6730" s="184"/>
      <c r="E6730" s="184"/>
      <c r="F6730" s="184"/>
      <c r="G6730" s="184"/>
      <c r="H6730" s="184"/>
      <c r="I6730" s="184"/>
      <c r="J6730" s="184"/>
      <c r="K6730" s="184"/>
      <c r="L6730" s="184"/>
      <c r="M6730" s="184"/>
      <c r="N6730" s="184"/>
      <c r="O6730" s="184"/>
    </row>
    <row r="6731" customFormat="false" ht="15" hidden="false" customHeight="true" outlineLevel="0" collapsed="false">
      <c r="A6731" s="184"/>
      <c r="B6731" s="184"/>
      <c r="C6731" s="184"/>
      <c r="D6731" s="184"/>
      <c r="E6731" s="184"/>
      <c r="F6731" s="184"/>
      <c r="G6731" s="184"/>
      <c r="H6731" s="184"/>
      <c r="I6731" s="184"/>
      <c r="J6731" s="184"/>
      <c r="K6731" s="184"/>
      <c r="L6731" s="184"/>
      <c r="M6731" s="184"/>
      <c r="N6731" s="184"/>
      <c r="O6731" s="184"/>
    </row>
    <row r="6732" customFormat="false" ht="15" hidden="false" customHeight="true" outlineLevel="0" collapsed="false">
      <c r="A6732" s="184"/>
      <c r="B6732" s="184"/>
      <c r="C6732" s="184"/>
      <c r="D6732" s="184"/>
      <c r="E6732" s="184"/>
      <c r="F6732" s="184"/>
      <c r="G6732" s="184"/>
      <c r="H6732" s="184"/>
      <c r="I6732" s="184"/>
      <c r="J6732" s="184"/>
      <c r="K6732" s="184"/>
      <c r="L6732" s="184"/>
      <c r="M6732" s="184"/>
      <c r="N6732" s="184"/>
      <c r="O6732" s="184"/>
    </row>
    <row r="6733" customFormat="false" ht="15" hidden="false" customHeight="true" outlineLevel="0" collapsed="false">
      <c r="A6733" s="184"/>
      <c r="B6733" s="184"/>
      <c r="C6733" s="184"/>
      <c r="D6733" s="184"/>
      <c r="E6733" s="184"/>
      <c r="F6733" s="184"/>
      <c r="G6733" s="184"/>
      <c r="H6733" s="184"/>
      <c r="I6733" s="184"/>
      <c r="J6733" s="184"/>
      <c r="K6733" s="184"/>
      <c r="L6733" s="184"/>
      <c r="M6733" s="184"/>
      <c r="N6733" s="184"/>
      <c r="O6733" s="184"/>
    </row>
    <row r="6734" customFormat="false" ht="15" hidden="false" customHeight="true" outlineLevel="0" collapsed="false">
      <c r="A6734" s="184"/>
      <c r="B6734" s="184"/>
      <c r="C6734" s="184"/>
      <c r="D6734" s="184"/>
      <c r="E6734" s="184"/>
      <c r="F6734" s="184"/>
      <c r="G6734" s="184"/>
      <c r="H6734" s="184"/>
      <c r="I6734" s="184"/>
      <c r="J6734" s="184"/>
      <c r="K6734" s="184"/>
      <c r="L6734" s="184"/>
      <c r="M6734" s="184"/>
      <c r="N6734" s="184"/>
      <c r="O6734" s="184"/>
    </row>
    <row r="6735" customFormat="false" ht="15" hidden="false" customHeight="true" outlineLevel="0" collapsed="false">
      <c r="A6735" s="184"/>
      <c r="B6735" s="184"/>
      <c r="C6735" s="184"/>
      <c r="D6735" s="184"/>
      <c r="E6735" s="184"/>
      <c r="F6735" s="184"/>
      <c r="G6735" s="184"/>
      <c r="H6735" s="184"/>
      <c r="I6735" s="184"/>
      <c r="J6735" s="184"/>
      <c r="K6735" s="184"/>
      <c r="L6735" s="184"/>
      <c r="M6735" s="184"/>
      <c r="N6735" s="184"/>
      <c r="O6735" s="184"/>
    </row>
    <row r="6736" customFormat="false" ht="15" hidden="false" customHeight="true" outlineLevel="0" collapsed="false">
      <c r="A6736" s="184"/>
      <c r="B6736" s="184"/>
      <c r="C6736" s="184"/>
      <c r="D6736" s="184"/>
      <c r="E6736" s="184"/>
      <c r="F6736" s="184"/>
      <c r="G6736" s="184"/>
      <c r="H6736" s="184"/>
      <c r="I6736" s="184"/>
      <c r="J6736" s="184"/>
      <c r="K6736" s="184"/>
      <c r="L6736" s="184"/>
      <c r="M6736" s="184"/>
      <c r="N6736" s="184"/>
      <c r="O6736" s="184"/>
    </row>
    <row r="6737" customFormat="false" ht="15" hidden="false" customHeight="true" outlineLevel="0" collapsed="false">
      <c r="A6737" s="184"/>
      <c r="B6737" s="184"/>
      <c r="C6737" s="184"/>
      <c r="D6737" s="184"/>
      <c r="E6737" s="184"/>
      <c r="F6737" s="184"/>
      <c r="G6737" s="184"/>
      <c r="H6737" s="184"/>
      <c r="I6737" s="184"/>
      <c r="J6737" s="184"/>
      <c r="K6737" s="184"/>
      <c r="L6737" s="184"/>
      <c r="M6737" s="184"/>
      <c r="N6737" s="184"/>
      <c r="O6737" s="184"/>
    </row>
    <row r="6738" customFormat="false" ht="15" hidden="false" customHeight="true" outlineLevel="0" collapsed="false">
      <c r="A6738" s="184"/>
      <c r="B6738" s="184"/>
      <c r="C6738" s="184"/>
      <c r="D6738" s="184"/>
      <c r="E6738" s="184"/>
      <c r="F6738" s="184"/>
      <c r="G6738" s="184"/>
      <c r="H6738" s="184"/>
      <c r="I6738" s="184"/>
      <c r="J6738" s="184"/>
      <c r="K6738" s="184"/>
      <c r="L6738" s="184"/>
      <c r="M6738" s="184"/>
      <c r="N6738" s="184"/>
      <c r="O6738" s="184"/>
    </row>
    <row r="6739" customFormat="false" ht="15" hidden="false" customHeight="true" outlineLevel="0" collapsed="false">
      <c r="A6739" s="184"/>
      <c r="B6739" s="184"/>
      <c r="C6739" s="184"/>
      <c r="D6739" s="184"/>
      <c r="E6739" s="184"/>
      <c r="F6739" s="184"/>
      <c r="G6739" s="184"/>
      <c r="H6739" s="184"/>
      <c r="I6739" s="184"/>
      <c r="J6739" s="184"/>
      <c r="K6739" s="184"/>
      <c r="L6739" s="184"/>
      <c r="M6739" s="184"/>
      <c r="N6739" s="184"/>
      <c r="O6739" s="184"/>
    </row>
    <row r="6740" customFormat="false" ht="15" hidden="false" customHeight="true" outlineLevel="0" collapsed="false">
      <c r="A6740" s="184"/>
      <c r="B6740" s="184"/>
      <c r="C6740" s="184"/>
      <c r="D6740" s="184"/>
      <c r="E6740" s="184"/>
      <c r="F6740" s="184"/>
      <c r="G6740" s="184"/>
      <c r="H6740" s="184"/>
      <c r="I6740" s="184"/>
      <c r="J6740" s="184"/>
      <c r="K6740" s="184"/>
      <c r="L6740" s="184"/>
      <c r="M6740" s="184"/>
      <c r="N6740" s="184"/>
      <c r="O6740" s="184"/>
    </row>
    <row r="6741" customFormat="false" ht="15" hidden="false" customHeight="true" outlineLevel="0" collapsed="false">
      <c r="A6741" s="184"/>
      <c r="B6741" s="184"/>
      <c r="C6741" s="184"/>
      <c r="D6741" s="184"/>
      <c r="E6741" s="184"/>
      <c r="F6741" s="184"/>
      <c r="G6741" s="184"/>
      <c r="H6741" s="184"/>
      <c r="I6741" s="184"/>
      <c r="J6741" s="184"/>
      <c r="K6741" s="184"/>
      <c r="L6741" s="184"/>
      <c r="M6741" s="184"/>
      <c r="N6741" s="184"/>
      <c r="O6741" s="184"/>
    </row>
    <row r="6742" customFormat="false" ht="15" hidden="false" customHeight="true" outlineLevel="0" collapsed="false">
      <c r="A6742" s="184"/>
      <c r="B6742" s="184"/>
      <c r="C6742" s="184"/>
      <c r="D6742" s="184"/>
      <c r="E6742" s="184"/>
      <c r="F6742" s="184"/>
      <c r="G6742" s="184"/>
      <c r="H6742" s="184"/>
      <c r="I6742" s="184"/>
      <c r="J6742" s="184"/>
      <c r="K6742" s="184"/>
      <c r="L6742" s="184"/>
      <c r="M6742" s="184"/>
      <c r="N6742" s="184"/>
      <c r="O6742" s="184"/>
    </row>
    <row r="6743" customFormat="false" ht="15" hidden="false" customHeight="true" outlineLevel="0" collapsed="false">
      <c r="A6743" s="184"/>
      <c r="B6743" s="184"/>
      <c r="C6743" s="184"/>
      <c r="D6743" s="184"/>
      <c r="E6743" s="184"/>
      <c r="F6743" s="184"/>
      <c r="G6743" s="184"/>
      <c r="H6743" s="184"/>
      <c r="I6743" s="184"/>
      <c r="J6743" s="184"/>
      <c r="K6743" s="184"/>
      <c r="L6743" s="184"/>
      <c r="M6743" s="184"/>
      <c r="N6743" s="184"/>
      <c r="O6743" s="184"/>
    </row>
    <row r="6744" customFormat="false" ht="15" hidden="false" customHeight="true" outlineLevel="0" collapsed="false">
      <c r="A6744" s="184"/>
      <c r="B6744" s="184"/>
      <c r="C6744" s="184"/>
      <c r="D6744" s="184"/>
      <c r="E6744" s="184"/>
      <c r="F6744" s="184"/>
      <c r="G6744" s="184"/>
      <c r="H6744" s="184"/>
      <c r="I6744" s="184"/>
      <c r="J6744" s="184"/>
      <c r="K6744" s="184"/>
      <c r="L6744" s="184"/>
      <c r="M6744" s="184"/>
      <c r="N6744" s="184"/>
      <c r="O6744" s="184"/>
    </row>
    <row r="6745" customFormat="false" ht="15" hidden="false" customHeight="true" outlineLevel="0" collapsed="false">
      <c r="A6745" s="184"/>
      <c r="B6745" s="184"/>
      <c r="C6745" s="184"/>
      <c r="D6745" s="184"/>
      <c r="E6745" s="184"/>
      <c r="F6745" s="184"/>
      <c r="G6745" s="184"/>
      <c r="H6745" s="184"/>
      <c r="I6745" s="184"/>
      <c r="J6745" s="184"/>
      <c r="K6745" s="184"/>
      <c r="L6745" s="184"/>
      <c r="M6745" s="184"/>
      <c r="N6745" s="184"/>
      <c r="O6745" s="184"/>
    </row>
    <row r="6746" customFormat="false" ht="15" hidden="false" customHeight="true" outlineLevel="0" collapsed="false">
      <c r="A6746" s="184"/>
      <c r="B6746" s="184"/>
      <c r="C6746" s="184"/>
      <c r="D6746" s="184"/>
      <c r="E6746" s="184"/>
      <c r="F6746" s="184"/>
      <c r="G6746" s="184"/>
      <c r="H6746" s="184"/>
      <c r="I6746" s="184"/>
      <c r="J6746" s="184"/>
      <c r="K6746" s="184"/>
      <c r="L6746" s="184"/>
      <c r="M6746" s="184"/>
      <c r="N6746" s="184"/>
      <c r="O6746" s="184"/>
    </row>
    <row r="6747" customFormat="false" ht="15" hidden="false" customHeight="true" outlineLevel="0" collapsed="false">
      <c r="A6747" s="184"/>
      <c r="B6747" s="184"/>
      <c r="C6747" s="184"/>
      <c r="D6747" s="184"/>
      <c r="E6747" s="184"/>
      <c r="F6747" s="184"/>
      <c r="G6747" s="184"/>
      <c r="H6747" s="184"/>
      <c r="I6747" s="184"/>
      <c r="J6747" s="184"/>
      <c r="K6747" s="184"/>
      <c r="L6747" s="184"/>
      <c r="M6747" s="184"/>
      <c r="N6747" s="184"/>
      <c r="O6747" s="184"/>
    </row>
    <row r="6748" customFormat="false" ht="15" hidden="false" customHeight="true" outlineLevel="0" collapsed="false">
      <c r="A6748" s="184"/>
      <c r="B6748" s="184"/>
      <c r="C6748" s="184"/>
      <c r="D6748" s="184"/>
      <c r="E6748" s="184"/>
      <c r="F6748" s="184"/>
      <c r="G6748" s="184"/>
      <c r="H6748" s="184"/>
      <c r="I6748" s="184"/>
      <c r="J6748" s="184"/>
      <c r="K6748" s="184"/>
      <c r="L6748" s="184"/>
      <c r="M6748" s="184"/>
      <c r="N6748" s="184"/>
      <c r="O6748" s="184"/>
    </row>
    <row r="6749" customFormat="false" ht="15" hidden="false" customHeight="true" outlineLevel="0" collapsed="false">
      <c r="A6749" s="184"/>
      <c r="B6749" s="184"/>
      <c r="C6749" s="184"/>
      <c r="D6749" s="184"/>
      <c r="E6749" s="184"/>
      <c r="F6749" s="184"/>
      <c r="G6749" s="184"/>
      <c r="H6749" s="184"/>
      <c r="I6749" s="184"/>
      <c r="J6749" s="184"/>
      <c r="K6749" s="184"/>
      <c r="L6749" s="184"/>
      <c r="M6749" s="184"/>
      <c r="N6749" s="184"/>
      <c r="O6749" s="184"/>
    </row>
    <row r="6750" customFormat="false" ht="15" hidden="false" customHeight="true" outlineLevel="0" collapsed="false">
      <c r="A6750" s="184"/>
      <c r="B6750" s="184"/>
      <c r="C6750" s="184"/>
      <c r="D6750" s="184"/>
      <c r="E6750" s="184"/>
      <c r="F6750" s="184"/>
      <c r="G6750" s="184"/>
      <c r="H6750" s="184"/>
      <c r="I6750" s="184"/>
      <c r="J6750" s="184"/>
      <c r="K6750" s="184"/>
      <c r="L6750" s="184"/>
      <c r="M6750" s="184"/>
      <c r="N6750" s="184"/>
      <c r="O6750" s="184"/>
    </row>
    <row r="6751" customFormat="false" ht="15" hidden="false" customHeight="true" outlineLevel="0" collapsed="false">
      <c r="A6751" s="184"/>
      <c r="B6751" s="184"/>
      <c r="C6751" s="184"/>
      <c r="D6751" s="184"/>
      <c r="E6751" s="184"/>
      <c r="F6751" s="184"/>
      <c r="G6751" s="184"/>
      <c r="H6751" s="184"/>
      <c r="I6751" s="184"/>
      <c r="J6751" s="184"/>
      <c r="K6751" s="184"/>
      <c r="L6751" s="184"/>
      <c r="M6751" s="184"/>
      <c r="N6751" s="184"/>
      <c r="O6751" s="184"/>
    </row>
    <row r="6752" customFormat="false" ht="15" hidden="false" customHeight="true" outlineLevel="0" collapsed="false">
      <c r="A6752" s="184"/>
      <c r="B6752" s="184"/>
      <c r="C6752" s="184"/>
      <c r="D6752" s="184"/>
      <c r="E6752" s="184"/>
      <c r="F6752" s="184"/>
      <c r="G6752" s="184"/>
      <c r="H6752" s="184"/>
      <c r="I6752" s="184"/>
      <c r="J6752" s="184"/>
      <c r="K6752" s="184"/>
      <c r="L6752" s="184"/>
      <c r="M6752" s="184"/>
      <c r="N6752" s="184"/>
      <c r="O6752" s="184"/>
    </row>
    <row r="6753" customFormat="false" ht="15" hidden="false" customHeight="true" outlineLevel="0" collapsed="false">
      <c r="A6753" s="184"/>
      <c r="B6753" s="184"/>
      <c r="C6753" s="184"/>
      <c r="D6753" s="184"/>
      <c r="E6753" s="184"/>
      <c r="F6753" s="184"/>
      <c r="G6753" s="184"/>
      <c r="H6753" s="184"/>
      <c r="I6753" s="184"/>
      <c r="J6753" s="184"/>
      <c r="K6753" s="184"/>
      <c r="L6753" s="184"/>
      <c r="M6753" s="184"/>
      <c r="N6753" s="184"/>
      <c r="O6753" s="184"/>
    </row>
    <row r="6754" customFormat="false" ht="15" hidden="false" customHeight="true" outlineLevel="0" collapsed="false">
      <c r="A6754" s="184"/>
      <c r="B6754" s="184"/>
      <c r="C6754" s="184"/>
      <c r="D6754" s="184"/>
      <c r="E6754" s="184"/>
      <c r="F6754" s="184"/>
      <c r="G6754" s="184"/>
      <c r="H6754" s="184"/>
      <c r="I6754" s="184"/>
      <c r="J6754" s="184"/>
      <c r="K6754" s="184"/>
      <c r="L6754" s="184"/>
      <c r="M6754" s="184"/>
      <c r="N6754" s="184"/>
      <c r="O6754" s="184"/>
    </row>
    <row r="6755" customFormat="false" ht="15" hidden="false" customHeight="true" outlineLevel="0" collapsed="false">
      <c r="A6755" s="184"/>
      <c r="B6755" s="184"/>
      <c r="C6755" s="184"/>
      <c r="D6755" s="184"/>
      <c r="E6755" s="184"/>
      <c r="F6755" s="184"/>
      <c r="G6755" s="184"/>
      <c r="H6755" s="184"/>
      <c r="I6755" s="184"/>
      <c r="J6755" s="184"/>
      <c r="K6755" s="184"/>
      <c r="L6755" s="184"/>
      <c r="M6755" s="184"/>
      <c r="N6755" s="184"/>
      <c r="O6755" s="184"/>
    </row>
    <row r="6756" customFormat="false" ht="15" hidden="false" customHeight="true" outlineLevel="0" collapsed="false">
      <c r="A6756" s="184"/>
      <c r="B6756" s="184"/>
      <c r="C6756" s="184"/>
      <c r="D6756" s="184"/>
      <c r="E6756" s="184"/>
      <c r="F6756" s="184"/>
      <c r="G6756" s="184"/>
      <c r="H6756" s="184"/>
      <c r="I6756" s="184"/>
      <c r="J6756" s="184"/>
      <c r="K6756" s="184"/>
      <c r="L6756" s="184"/>
      <c r="M6756" s="184"/>
      <c r="N6756" s="184"/>
      <c r="O6756" s="184"/>
    </row>
    <row r="6757" customFormat="false" ht="15" hidden="false" customHeight="true" outlineLevel="0" collapsed="false">
      <c r="A6757" s="184"/>
      <c r="B6757" s="184"/>
      <c r="C6757" s="184"/>
      <c r="D6757" s="184"/>
      <c r="E6757" s="184"/>
      <c r="F6757" s="184"/>
      <c r="G6757" s="184"/>
      <c r="H6757" s="184"/>
      <c r="I6757" s="184"/>
      <c r="J6757" s="184"/>
      <c r="K6757" s="184"/>
      <c r="L6757" s="184"/>
      <c r="M6757" s="184"/>
      <c r="N6757" s="184"/>
      <c r="O6757" s="184"/>
    </row>
    <row r="6758" customFormat="false" ht="15" hidden="false" customHeight="true" outlineLevel="0" collapsed="false">
      <c r="A6758" s="184"/>
      <c r="B6758" s="184"/>
      <c r="C6758" s="184"/>
      <c r="D6758" s="184"/>
      <c r="E6758" s="184"/>
      <c r="F6758" s="184"/>
      <c r="G6758" s="184"/>
      <c r="H6758" s="184"/>
      <c r="I6758" s="184"/>
      <c r="J6758" s="184"/>
      <c r="K6758" s="184"/>
      <c r="L6758" s="184"/>
      <c r="M6758" s="184"/>
      <c r="N6758" s="184"/>
      <c r="O6758" s="184"/>
    </row>
    <row r="6759" customFormat="false" ht="15" hidden="false" customHeight="true" outlineLevel="0" collapsed="false">
      <c r="A6759" s="184"/>
      <c r="B6759" s="184"/>
      <c r="C6759" s="184"/>
      <c r="D6759" s="184"/>
      <c r="E6759" s="184"/>
      <c r="F6759" s="184"/>
      <c r="G6759" s="184"/>
      <c r="H6759" s="184"/>
      <c r="I6759" s="184"/>
      <c r="J6759" s="184"/>
      <c r="K6759" s="184"/>
      <c r="L6759" s="184"/>
      <c r="M6759" s="184"/>
      <c r="N6759" s="184"/>
      <c r="O6759" s="184"/>
    </row>
    <row r="6760" customFormat="false" ht="15" hidden="false" customHeight="true" outlineLevel="0" collapsed="false">
      <c r="A6760" s="184"/>
      <c r="B6760" s="184"/>
      <c r="C6760" s="184"/>
      <c r="D6760" s="184"/>
      <c r="E6760" s="184"/>
      <c r="F6760" s="184"/>
      <c r="G6760" s="184"/>
      <c r="H6760" s="184"/>
      <c r="I6760" s="184"/>
      <c r="J6760" s="184"/>
      <c r="K6760" s="184"/>
      <c r="L6760" s="184"/>
      <c r="M6760" s="184"/>
      <c r="N6760" s="184"/>
      <c r="O6760" s="184"/>
    </row>
    <row r="6761" customFormat="false" ht="15" hidden="false" customHeight="true" outlineLevel="0" collapsed="false">
      <c r="A6761" s="184"/>
      <c r="B6761" s="184"/>
      <c r="C6761" s="184"/>
      <c r="D6761" s="184"/>
      <c r="E6761" s="184"/>
      <c r="F6761" s="184"/>
      <c r="G6761" s="184"/>
      <c r="H6761" s="184"/>
      <c r="I6761" s="184"/>
      <c r="J6761" s="184"/>
      <c r="K6761" s="184"/>
      <c r="L6761" s="184"/>
      <c r="M6761" s="184"/>
      <c r="N6761" s="184"/>
      <c r="O6761" s="184"/>
    </row>
    <row r="6762" customFormat="false" ht="15" hidden="false" customHeight="true" outlineLevel="0" collapsed="false">
      <c r="A6762" s="184"/>
      <c r="B6762" s="184"/>
      <c r="C6762" s="184"/>
      <c r="D6762" s="184"/>
      <c r="E6762" s="184"/>
      <c r="F6762" s="184"/>
      <c r="G6762" s="184"/>
      <c r="H6762" s="184"/>
      <c r="I6762" s="184"/>
      <c r="J6762" s="184"/>
      <c r="K6762" s="184"/>
      <c r="L6762" s="184"/>
      <c r="M6762" s="184"/>
      <c r="N6762" s="184"/>
      <c r="O6762" s="184"/>
    </row>
    <row r="6763" customFormat="false" ht="15" hidden="false" customHeight="true" outlineLevel="0" collapsed="false">
      <c r="A6763" s="184"/>
      <c r="B6763" s="184"/>
      <c r="C6763" s="184"/>
      <c r="D6763" s="184"/>
      <c r="E6763" s="184"/>
      <c r="F6763" s="184"/>
      <c r="G6763" s="184"/>
      <c r="H6763" s="184"/>
      <c r="I6763" s="184"/>
      <c r="J6763" s="184"/>
      <c r="K6763" s="184"/>
      <c r="L6763" s="184"/>
      <c r="M6763" s="184"/>
      <c r="N6763" s="184"/>
      <c r="O6763" s="184"/>
    </row>
    <row r="6764" customFormat="false" ht="15" hidden="false" customHeight="true" outlineLevel="0" collapsed="false">
      <c r="A6764" s="184"/>
      <c r="B6764" s="184"/>
      <c r="C6764" s="184"/>
      <c r="D6764" s="184"/>
      <c r="E6764" s="184"/>
      <c r="F6764" s="184"/>
      <c r="G6764" s="184"/>
      <c r="H6764" s="184"/>
      <c r="I6764" s="184"/>
      <c r="J6764" s="184"/>
      <c r="K6764" s="184"/>
      <c r="L6764" s="184"/>
      <c r="M6764" s="184"/>
      <c r="N6764" s="184"/>
      <c r="O6764" s="184"/>
    </row>
    <row r="6765" customFormat="false" ht="15" hidden="false" customHeight="true" outlineLevel="0" collapsed="false">
      <c r="A6765" s="184"/>
      <c r="B6765" s="184"/>
      <c r="C6765" s="184"/>
      <c r="D6765" s="184"/>
      <c r="E6765" s="184"/>
      <c r="F6765" s="184"/>
      <c r="G6765" s="184"/>
      <c r="H6765" s="184"/>
      <c r="I6765" s="184"/>
      <c r="J6765" s="184"/>
      <c r="K6765" s="184"/>
      <c r="L6765" s="184"/>
      <c r="M6765" s="184"/>
      <c r="N6765" s="184"/>
      <c r="O6765" s="184"/>
    </row>
    <row r="6766" customFormat="false" ht="15" hidden="false" customHeight="true" outlineLevel="0" collapsed="false">
      <c r="A6766" s="184"/>
      <c r="B6766" s="184"/>
      <c r="C6766" s="184"/>
      <c r="D6766" s="184"/>
      <c r="E6766" s="184"/>
      <c r="F6766" s="184"/>
      <c r="G6766" s="184"/>
      <c r="H6766" s="184"/>
      <c r="I6766" s="184"/>
      <c r="J6766" s="184"/>
      <c r="K6766" s="184"/>
      <c r="L6766" s="184"/>
      <c r="M6766" s="184"/>
      <c r="N6766" s="184"/>
      <c r="O6766" s="184"/>
    </row>
    <row r="6767" customFormat="false" ht="15" hidden="false" customHeight="true" outlineLevel="0" collapsed="false">
      <c r="A6767" s="184"/>
      <c r="B6767" s="184"/>
      <c r="C6767" s="184"/>
      <c r="D6767" s="184"/>
      <c r="E6767" s="184"/>
      <c r="F6767" s="184"/>
      <c r="G6767" s="184"/>
      <c r="H6767" s="184"/>
      <c r="I6767" s="184"/>
      <c r="J6767" s="184"/>
      <c r="K6767" s="184"/>
      <c r="L6767" s="184"/>
      <c r="M6767" s="184"/>
      <c r="N6767" s="184"/>
      <c r="O6767" s="184"/>
    </row>
    <row r="6768" customFormat="false" ht="15" hidden="false" customHeight="true" outlineLevel="0" collapsed="false">
      <c r="A6768" s="184"/>
      <c r="B6768" s="184"/>
      <c r="C6768" s="184"/>
      <c r="D6768" s="184"/>
      <c r="E6768" s="184"/>
      <c r="F6768" s="184"/>
      <c r="G6768" s="184"/>
      <c r="H6768" s="184"/>
      <c r="I6768" s="184"/>
      <c r="J6768" s="184"/>
      <c r="K6768" s="184"/>
      <c r="L6768" s="184"/>
      <c r="M6768" s="184"/>
      <c r="N6768" s="184"/>
      <c r="O6768" s="184"/>
    </row>
    <row r="6769" customFormat="false" ht="15" hidden="false" customHeight="true" outlineLevel="0" collapsed="false">
      <c r="A6769" s="184"/>
      <c r="B6769" s="184"/>
      <c r="C6769" s="184"/>
      <c r="D6769" s="184"/>
      <c r="E6769" s="184"/>
      <c r="F6769" s="184"/>
      <c r="G6769" s="184"/>
      <c r="H6769" s="184"/>
      <c r="I6769" s="184"/>
      <c r="J6769" s="184"/>
      <c r="K6769" s="184"/>
      <c r="L6769" s="184"/>
      <c r="M6769" s="184"/>
      <c r="N6769" s="184"/>
      <c r="O6769" s="184"/>
    </row>
    <row r="6770" customFormat="false" ht="15" hidden="false" customHeight="true" outlineLevel="0" collapsed="false">
      <c r="A6770" s="184"/>
      <c r="B6770" s="184"/>
      <c r="C6770" s="184"/>
      <c r="D6770" s="184"/>
      <c r="E6770" s="184"/>
      <c r="F6770" s="184"/>
      <c r="G6770" s="184"/>
      <c r="H6770" s="184"/>
      <c r="I6770" s="184"/>
      <c r="J6770" s="184"/>
      <c r="K6770" s="184"/>
      <c r="L6770" s="184"/>
      <c r="M6770" s="184"/>
      <c r="N6770" s="184"/>
      <c r="O6770" s="184"/>
    </row>
    <row r="6771" customFormat="false" ht="15" hidden="false" customHeight="true" outlineLevel="0" collapsed="false">
      <c r="A6771" s="184"/>
      <c r="B6771" s="184"/>
      <c r="C6771" s="184"/>
      <c r="D6771" s="184"/>
      <c r="E6771" s="184"/>
      <c r="F6771" s="184"/>
      <c r="G6771" s="184"/>
      <c r="H6771" s="184"/>
      <c r="I6771" s="184"/>
      <c r="J6771" s="184"/>
      <c r="K6771" s="184"/>
      <c r="L6771" s="184"/>
      <c r="M6771" s="184"/>
      <c r="N6771" s="184"/>
      <c r="O6771" s="184"/>
    </row>
    <row r="6772" customFormat="false" ht="15" hidden="false" customHeight="true" outlineLevel="0" collapsed="false">
      <c r="A6772" s="184"/>
      <c r="B6772" s="184"/>
      <c r="C6772" s="184"/>
      <c r="D6772" s="184"/>
      <c r="E6772" s="184"/>
      <c r="F6772" s="184"/>
      <c r="G6772" s="184"/>
      <c r="H6772" s="184"/>
      <c r="I6772" s="184"/>
      <c r="J6772" s="184"/>
      <c r="K6772" s="184"/>
      <c r="L6772" s="184"/>
      <c r="M6772" s="184"/>
      <c r="N6772" s="184"/>
      <c r="O6772" s="184"/>
    </row>
    <row r="6773" customFormat="false" ht="15" hidden="false" customHeight="true" outlineLevel="0" collapsed="false">
      <c r="A6773" s="184"/>
      <c r="B6773" s="184"/>
      <c r="C6773" s="184"/>
      <c r="D6773" s="184"/>
      <c r="E6773" s="184"/>
      <c r="F6773" s="184"/>
      <c r="G6773" s="184"/>
      <c r="H6773" s="184"/>
      <c r="I6773" s="184"/>
      <c r="J6773" s="184"/>
      <c r="K6773" s="184"/>
      <c r="L6773" s="184"/>
      <c r="M6773" s="184"/>
      <c r="N6773" s="184"/>
      <c r="O6773" s="184"/>
    </row>
    <row r="6774" customFormat="false" ht="15" hidden="false" customHeight="true" outlineLevel="0" collapsed="false">
      <c r="A6774" s="184"/>
      <c r="B6774" s="184"/>
      <c r="C6774" s="184"/>
      <c r="D6774" s="184"/>
      <c r="E6774" s="184"/>
      <c r="F6774" s="184"/>
      <c r="G6774" s="184"/>
      <c r="H6774" s="184"/>
      <c r="I6774" s="184"/>
      <c r="J6774" s="184"/>
      <c r="K6774" s="184"/>
      <c r="L6774" s="184"/>
      <c r="M6774" s="184"/>
      <c r="N6774" s="184"/>
      <c r="O6774" s="184"/>
    </row>
    <row r="6775" customFormat="false" ht="15" hidden="false" customHeight="true" outlineLevel="0" collapsed="false">
      <c r="A6775" s="184"/>
      <c r="B6775" s="184"/>
      <c r="C6775" s="184"/>
      <c r="D6775" s="184"/>
      <c r="E6775" s="184"/>
      <c r="F6775" s="184"/>
      <c r="G6775" s="184"/>
      <c r="H6775" s="184"/>
      <c r="I6775" s="184"/>
      <c r="J6775" s="184"/>
      <c r="K6775" s="184"/>
      <c r="L6775" s="184"/>
      <c r="M6775" s="184"/>
      <c r="N6775" s="184"/>
      <c r="O6775" s="184"/>
    </row>
    <row r="6776" customFormat="false" ht="15" hidden="false" customHeight="true" outlineLevel="0" collapsed="false">
      <c r="A6776" s="184"/>
      <c r="B6776" s="184"/>
      <c r="C6776" s="184"/>
      <c r="D6776" s="184"/>
      <c r="E6776" s="184"/>
      <c r="F6776" s="184"/>
      <c r="G6776" s="184"/>
      <c r="H6776" s="184"/>
      <c r="I6776" s="184"/>
      <c r="J6776" s="184"/>
      <c r="K6776" s="184"/>
      <c r="L6776" s="184"/>
      <c r="M6776" s="184"/>
      <c r="N6776" s="184"/>
      <c r="O6776" s="184"/>
    </row>
    <row r="6777" customFormat="false" ht="15" hidden="false" customHeight="true" outlineLevel="0" collapsed="false">
      <c r="A6777" s="184"/>
      <c r="B6777" s="184"/>
      <c r="C6777" s="184"/>
      <c r="D6777" s="184"/>
      <c r="E6777" s="184"/>
      <c r="F6777" s="184"/>
      <c r="G6777" s="184"/>
      <c r="H6777" s="184"/>
      <c r="I6777" s="184"/>
      <c r="J6777" s="184"/>
      <c r="K6777" s="184"/>
      <c r="L6777" s="184"/>
      <c r="M6777" s="184"/>
      <c r="N6777" s="184"/>
      <c r="O6777" s="184"/>
    </row>
    <row r="6778" customFormat="false" ht="15" hidden="false" customHeight="true" outlineLevel="0" collapsed="false">
      <c r="A6778" s="184"/>
      <c r="B6778" s="184"/>
      <c r="C6778" s="184"/>
      <c r="D6778" s="184"/>
      <c r="E6778" s="184"/>
      <c r="F6778" s="184"/>
      <c r="G6778" s="184"/>
      <c r="H6778" s="184"/>
      <c r="I6778" s="184"/>
      <c r="J6778" s="184"/>
      <c r="K6778" s="184"/>
      <c r="L6778" s="184"/>
      <c r="M6778" s="184"/>
      <c r="N6778" s="184"/>
      <c r="O6778" s="184"/>
    </row>
    <row r="6779" customFormat="false" ht="15" hidden="false" customHeight="true" outlineLevel="0" collapsed="false">
      <c r="A6779" s="184"/>
      <c r="B6779" s="184"/>
      <c r="C6779" s="184"/>
      <c r="D6779" s="184"/>
      <c r="E6779" s="184"/>
      <c r="F6779" s="184"/>
      <c r="G6779" s="184"/>
      <c r="H6779" s="184"/>
      <c r="I6779" s="184"/>
      <c r="J6779" s="184"/>
      <c r="K6779" s="184"/>
      <c r="L6779" s="184"/>
      <c r="M6779" s="184"/>
      <c r="N6779" s="184"/>
      <c r="O6779" s="184"/>
    </row>
    <row r="6780" customFormat="false" ht="15" hidden="false" customHeight="true" outlineLevel="0" collapsed="false">
      <c r="A6780" s="184"/>
      <c r="B6780" s="184"/>
      <c r="C6780" s="184"/>
      <c r="D6780" s="184"/>
      <c r="E6780" s="184"/>
      <c r="F6780" s="184"/>
      <c r="G6780" s="184"/>
      <c r="H6780" s="184"/>
      <c r="I6780" s="184"/>
      <c r="J6780" s="184"/>
      <c r="K6780" s="184"/>
      <c r="L6780" s="184"/>
      <c r="M6780" s="184"/>
      <c r="N6780" s="184"/>
      <c r="O6780" s="184"/>
    </row>
    <row r="6781" customFormat="false" ht="15" hidden="false" customHeight="true" outlineLevel="0" collapsed="false">
      <c r="A6781" s="184"/>
      <c r="B6781" s="184"/>
      <c r="C6781" s="184"/>
      <c r="D6781" s="184"/>
      <c r="E6781" s="184"/>
      <c r="F6781" s="184"/>
      <c r="G6781" s="184"/>
      <c r="H6781" s="184"/>
      <c r="I6781" s="184"/>
      <c r="J6781" s="184"/>
      <c r="K6781" s="184"/>
      <c r="L6781" s="184"/>
      <c r="M6781" s="184"/>
      <c r="N6781" s="184"/>
      <c r="O6781" s="184"/>
    </row>
    <row r="6782" customFormat="false" ht="15" hidden="false" customHeight="true" outlineLevel="0" collapsed="false">
      <c r="A6782" s="184"/>
      <c r="B6782" s="184"/>
      <c r="C6782" s="184"/>
      <c r="D6782" s="184"/>
      <c r="E6782" s="184"/>
      <c r="F6782" s="184"/>
      <c r="G6782" s="184"/>
      <c r="H6782" s="184"/>
      <c r="I6782" s="184"/>
      <c r="J6782" s="184"/>
      <c r="K6782" s="184"/>
      <c r="L6782" s="184"/>
      <c r="M6782" s="184"/>
      <c r="N6782" s="184"/>
      <c r="O6782" s="184"/>
    </row>
    <row r="6783" customFormat="false" ht="15" hidden="false" customHeight="true" outlineLevel="0" collapsed="false">
      <c r="A6783" s="184"/>
      <c r="B6783" s="184"/>
      <c r="C6783" s="184"/>
      <c r="D6783" s="184"/>
      <c r="E6783" s="184"/>
      <c r="F6783" s="184"/>
      <c r="G6783" s="184"/>
      <c r="H6783" s="184"/>
      <c r="I6783" s="184"/>
      <c r="J6783" s="184"/>
      <c r="K6783" s="184"/>
      <c r="L6783" s="184"/>
      <c r="M6783" s="184"/>
      <c r="N6783" s="184"/>
      <c r="O6783" s="184"/>
    </row>
    <row r="6784" customFormat="false" ht="15" hidden="false" customHeight="true" outlineLevel="0" collapsed="false">
      <c r="A6784" s="184"/>
      <c r="B6784" s="184"/>
      <c r="C6784" s="184"/>
      <c r="D6784" s="184"/>
      <c r="E6784" s="184"/>
      <c r="F6784" s="184"/>
      <c r="G6784" s="184"/>
      <c r="H6784" s="184"/>
      <c r="I6784" s="184"/>
      <c r="J6784" s="184"/>
      <c r="K6784" s="184"/>
      <c r="L6784" s="184"/>
      <c r="M6784" s="184"/>
      <c r="N6784" s="184"/>
      <c r="O6784" s="184"/>
    </row>
    <row r="6785" customFormat="false" ht="15" hidden="false" customHeight="true" outlineLevel="0" collapsed="false">
      <c r="A6785" s="184"/>
      <c r="B6785" s="184"/>
      <c r="C6785" s="184"/>
      <c r="D6785" s="184"/>
      <c r="E6785" s="184"/>
      <c r="F6785" s="184"/>
      <c r="G6785" s="184"/>
      <c r="H6785" s="184"/>
      <c r="I6785" s="184"/>
      <c r="J6785" s="184"/>
      <c r="K6785" s="184"/>
      <c r="L6785" s="184"/>
      <c r="M6785" s="184"/>
      <c r="N6785" s="184"/>
      <c r="O6785" s="184"/>
    </row>
    <row r="6786" customFormat="false" ht="15" hidden="false" customHeight="true" outlineLevel="0" collapsed="false">
      <c r="A6786" s="184"/>
      <c r="B6786" s="184"/>
      <c r="C6786" s="184"/>
      <c r="D6786" s="184"/>
      <c r="E6786" s="184"/>
      <c r="F6786" s="184"/>
      <c r="G6786" s="184"/>
      <c r="H6786" s="184"/>
      <c r="I6786" s="184"/>
      <c r="J6786" s="184"/>
      <c r="K6786" s="184"/>
      <c r="L6786" s="184"/>
      <c r="M6786" s="184"/>
      <c r="N6786" s="184"/>
      <c r="O6786" s="184"/>
    </row>
    <row r="6787" customFormat="false" ht="15" hidden="false" customHeight="true" outlineLevel="0" collapsed="false">
      <c r="A6787" s="184"/>
      <c r="B6787" s="184"/>
      <c r="C6787" s="184"/>
      <c r="D6787" s="184"/>
      <c r="E6787" s="184"/>
      <c r="F6787" s="184"/>
      <c r="G6787" s="184"/>
      <c r="H6787" s="184"/>
      <c r="I6787" s="184"/>
      <c r="J6787" s="184"/>
      <c r="K6787" s="184"/>
      <c r="L6787" s="184"/>
      <c r="M6787" s="184"/>
      <c r="N6787" s="184"/>
      <c r="O6787" s="184"/>
    </row>
    <row r="6788" customFormat="false" ht="15" hidden="false" customHeight="true" outlineLevel="0" collapsed="false">
      <c r="A6788" s="184"/>
      <c r="B6788" s="184"/>
      <c r="C6788" s="184"/>
      <c r="D6788" s="184"/>
      <c r="E6788" s="184"/>
      <c r="F6788" s="184"/>
      <c r="G6788" s="184"/>
      <c r="H6788" s="184"/>
      <c r="I6788" s="184"/>
      <c r="J6788" s="184"/>
      <c r="K6788" s="184"/>
      <c r="L6788" s="184"/>
      <c r="M6788" s="184"/>
      <c r="N6788" s="184"/>
      <c r="O6788" s="184"/>
    </row>
    <row r="6789" customFormat="false" ht="15" hidden="false" customHeight="true" outlineLevel="0" collapsed="false">
      <c r="A6789" s="184"/>
      <c r="B6789" s="184"/>
      <c r="C6789" s="184"/>
      <c r="D6789" s="184"/>
      <c r="E6789" s="184"/>
      <c r="F6789" s="184"/>
      <c r="G6789" s="184"/>
      <c r="H6789" s="184"/>
      <c r="I6789" s="184"/>
      <c r="J6789" s="184"/>
      <c r="K6789" s="184"/>
      <c r="L6789" s="184"/>
      <c r="M6789" s="184"/>
      <c r="N6789" s="184"/>
      <c r="O6789" s="184"/>
    </row>
    <row r="6790" customFormat="false" ht="15" hidden="false" customHeight="true" outlineLevel="0" collapsed="false">
      <c r="A6790" s="184"/>
      <c r="B6790" s="184"/>
      <c r="C6790" s="184"/>
      <c r="D6790" s="184"/>
      <c r="E6790" s="184"/>
      <c r="F6790" s="184"/>
      <c r="G6790" s="184"/>
      <c r="H6790" s="184"/>
      <c r="I6790" s="184"/>
      <c r="J6790" s="184"/>
      <c r="K6790" s="184"/>
      <c r="L6790" s="184"/>
      <c r="M6790" s="184"/>
      <c r="N6790" s="184"/>
      <c r="O6790" s="184"/>
    </row>
    <row r="6791" customFormat="false" ht="15" hidden="false" customHeight="true" outlineLevel="0" collapsed="false">
      <c r="A6791" s="184"/>
      <c r="B6791" s="184"/>
      <c r="C6791" s="184"/>
      <c r="D6791" s="184"/>
      <c r="E6791" s="184"/>
      <c r="F6791" s="184"/>
      <c r="G6791" s="184"/>
      <c r="H6791" s="184"/>
      <c r="I6791" s="184"/>
      <c r="J6791" s="184"/>
      <c r="K6791" s="184"/>
      <c r="L6791" s="184"/>
      <c r="M6791" s="184"/>
      <c r="N6791" s="184"/>
      <c r="O6791" s="184"/>
    </row>
    <row r="6792" customFormat="false" ht="15" hidden="false" customHeight="true" outlineLevel="0" collapsed="false">
      <c r="A6792" s="184"/>
      <c r="B6792" s="184"/>
      <c r="C6792" s="184"/>
      <c r="D6792" s="184"/>
      <c r="E6792" s="184"/>
      <c r="F6792" s="184"/>
      <c r="G6792" s="184"/>
      <c r="H6792" s="184"/>
      <c r="I6792" s="184"/>
      <c r="J6792" s="184"/>
      <c r="K6792" s="184"/>
      <c r="L6792" s="184"/>
      <c r="M6792" s="184"/>
      <c r="N6792" s="184"/>
      <c r="O6792" s="184"/>
    </row>
    <row r="6793" customFormat="false" ht="15" hidden="false" customHeight="true" outlineLevel="0" collapsed="false">
      <c r="A6793" s="184"/>
      <c r="B6793" s="184"/>
      <c r="C6793" s="184"/>
      <c r="D6793" s="184"/>
      <c r="E6793" s="184"/>
      <c r="F6793" s="184"/>
      <c r="G6793" s="184"/>
      <c r="H6793" s="184"/>
      <c r="I6793" s="184"/>
      <c r="J6793" s="184"/>
      <c r="K6793" s="184"/>
      <c r="L6793" s="184"/>
      <c r="M6793" s="184"/>
      <c r="N6793" s="184"/>
      <c r="O6793" s="184"/>
    </row>
    <row r="6794" customFormat="false" ht="15" hidden="false" customHeight="true" outlineLevel="0" collapsed="false">
      <c r="A6794" s="184"/>
      <c r="B6794" s="184"/>
      <c r="C6794" s="184"/>
      <c r="D6794" s="184"/>
      <c r="E6794" s="184"/>
      <c r="F6794" s="184"/>
      <c r="G6794" s="184"/>
      <c r="H6794" s="184"/>
      <c r="I6794" s="184"/>
      <c r="J6794" s="184"/>
      <c r="K6794" s="184"/>
      <c r="L6794" s="184"/>
      <c r="M6794" s="184"/>
      <c r="N6794" s="184"/>
      <c r="O6794" s="184"/>
    </row>
    <row r="6795" customFormat="false" ht="15" hidden="false" customHeight="true" outlineLevel="0" collapsed="false">
      <c r="A6795" s="184"/>
      <c r="B6795" s="184"/>
      <c r="C6795" s="184"/>
      <c r="D6795" s="184"/>
      <c r="E6795" s="184"/>
      <c r="F6795" s="184"/>
      <c r="G6795" s="184"/>
      <c r="H6795" s="184"/>
      <c r="I6795" s="184"/>
      <c r="J6795" s="184"/>
      <c r="K6795" s="184"/>
      <c r="L6795" s="184"/>
      <c r="M6795" s="184"/>
      <c r="N6795" s="184"/>
      <c r="O6795" s="184"/>
    </row>
    <row r="6796" customFormat="false" ht="15" hidden="false" customHeight="true" outlineLevel="0" collapsed="false">
      <c r="A6796" s="184"/>
      <c r="B6796" s="184"/>
      <c r="C6796" s="184"/>
      <c r="D6796" s="184"/>
      <c r="E6796" s="184"/>
      <c r="F6796" s="184"/>
      <c r="G6796" s="184"/>
      <c r="H6796" s="184"/>
      <c r="I6796" s="184"/>
      <c r="J6796" s="184"/>
      <c r="K6796" s="184"/>
      <c r="L6796" s="184"/>
      <c r="M6796" s="184"/>
      <c r="N6796" s="184"/>
      <c r="O6796" s="184"/>
    </row>
    <row r="6797" customFormat="false" ht="15" hidden="false" customHeight="true" outlineLevel="0" collapsed="false">
      <c r="A6797" s="184"/>
      <c r="B6797" s="184"/>
      <c r="C6797" s="184"/>
      <c r="D6797" s="184"/>
      <c r="E6797" s="184"/>
      <c r="F6797" s="184"/>
      <c r="G6797" s="184"/>
      <c r="H6797" s="184"/>
      <c r="I6797" s="184"/>
      <c r="J6797" s="184"/>
      <c r="K6797" s="184"/>
      <c r="L6797" s="184"/>
      <c r="M6797" s="184"/>
      <c r="N6797" s="184"/>
      <c r="O6797" s="184"/>
    </row>
    <row r="6798" customFormat="false" ht="15" hidden="false" customHeight="true" outlineLevel="0" collapsed="false">
      <c r="A6798" s="184"/>
      <c r="B6798" s="184"/>
      <c r="C6798" s="184"/>
      <c r="D6798" s="184"/>
      <c r="E6798" s="184"/>
      <c r="F6798" s="184"/>
      <c r="G6798" s="184"/>
      <c r="H6798" s="184"/>
      <c r="I6798" s="184"/>
      <c r="J6798" s="184"/>
      <c r="K6798" s="184"/>
      <c r="L6798" s="184"/>
      <c r="M6798" s="184"/>
      <c r="N6798" s="184"/>
      <c r="O6798" s="184"/>
    </row>
    <row r="6799" customFormat="false" ht="15" hidden="false" customHeight="true" outlineLevel="0" collapsed="false">
      <c r="A6799" s="184"/>
      <c r="B6799" s="184"/>
      <c r="C6799" s="184"/>
      <c r="D6799" s="184"/>
      <c r="E6799" s="184"/>
      <c r="F6799" s="184"/>
      <c r="G6799" s="184"/>
      <c r="H6799" s="184"/>
      <c r="I6799" s="184"/>
      <c r="J6799" s="184"/>
      <c r="K6799" s="184"/>
      <c r="L6799" s="184"/>
      <c r="M6799" s="184"/>
      <c r="N6799" s="184"/>
      <c r="O6799" s="184"/>
    </row>
    <row r="6800" customFormat="false" ht="15" hidden="false" customHeight="true" outlineLevel="0" collapsed="false">
      <c r="A6800" s="184"/>
      <c r="B6800" s="184"/>
      <c r="C6800" s="184"/>
      <c r="D6800" s="184"/>
      <c r="E6800" s="184"/>
      <c r="F6800" s="184"/>
      <c r="G6800" s="184"/>
      <c r="H6800" s="184"/>
      <c r="I6800" s="184"/>
      <c r="J6800" s="184"/>
      <c r="K6800" s="184"/>
      <c r="L6800" s="184"/>
      <c r="M6800" s="184"/>
      <c r="N6800" s="184"/>
      <c r="O6800" s="184"/>
    </row>
    <row r="6801" customFormat="false" ht="15" hidden="false" customHeight="true" outlineLevel="0" collapsed="false">
      <c r="A6801" s="184"/>
      <c r="B6801" s="184"/>
      <c r="C6801" s="184"/>
      <c r="D6801" s="184"/>
      <c r="E6801" s="184"/>
      <c r="F6801" s="184"/>
      <c r="G6801" s="184"/>
      <c r="H6801" s="184"/>
      <c r="I6801" s="184"/>
      <c r="J6801" s="184"/>
      <c r="K6801" s="184"/>
      <c r="L6801" s="184"/>
      <c r="M6801" s="184"/>
      <c r="N6801" s="184"/>
      <c r="O6801" s="184"/>
    </row>
    <row r="6802" customFormat="false" ht="15" hidden="false" customHeight="true" outlineLevel="0" collapsed="false">
      <c r="A6802" s="184"/>
      <c r="B6802" s="184"/>
      <c r="C6802" s="184"/>
      <c r="D6802" s="184"/>
      <c r="E6802" s="184"/>
      <c r="F6802" s="184"/>
      <c r="G6802" s="184"/>
      <c r="H6802" s="184"/>
      <c r="I6802" s="184"/>
      <c r="J6802" s="184"/>
      <c r="K6802" s="184"/>
      <c r="L6802" s="184"/>
      <c r="M6802" s="184"/>
      <c r="N6802" s="184"/>
      <c r="O6802" s="184"/>
    </row>
    <row r="6803" customFormat="false" ht="15" hidden="false" customHeight="true" outlineLevel="0" collapsed="false">
      <c r="A6803" s="184"/>
      <c r="B6803" s="184"/>
      <c r="C6803" s="184"/>
      <c r="D6803" s="184"/>
      <c r="E6803" s="184"/>
      <c r="F6803" s="184"/>
      <c r="G6803" s="184"/>
      <c r="H6803" s="184"/>
      <c r="I6803" s="184"/>
      <c r="J6803" s="184"/>
      <c r="K6803" s="184"/>
      <c r="L6803" s="184"/>
      <c r="M6803" s="184"/>
      <c r="N6803" s="184"/>
      <c r="O6803" s="184"/>
    </row>
    <row r="6804" customFormat="false" ht="15" hidden="false" customHeight="true" outlineLevel="0" collapsed="false">
      <c r="A6804" s="184"/>
      <c r="B6804" s="184"/>
      <c r="C6804" s="184"/>
      <c r="D6804" s="184"/>
      <c r="E6804" s="184"/>
      <c r="F6804" s="184"/>
      <c r="G6804" s="184"/>
      <c r="H6804" s="184"/>
      <c r="I6804" s="184"/>
      <c r="J6804" s="184"/>
      <c r="K6804" s="184"/>
      <c r="L6804" s="184"/>
      <c r="M6804" s="184"/>
      <c r="N6804" s="184"/>
      <c r="O6804" s="184"/>
    </row>
    <row r="6805" customFormat="false" ht="15" hidden="false" customHeight="true" outlineLevel="0" collapsed="false">
      <c r="A6805" s="184"/>
      <c r="B6805" s="184"/>
      <c r="C6805" s="184"/>
      <c r="D6805" s="184"/>
      <c r="E6805" s="184"/>
      <c r="F6805" s="184"/>
      <c r="G6805" s="184"/>
      <c r="H6805" s="184"/>
      <c r="I6805" s="184"/>
      <c r="J6805" s="184"/>
      <c r="K6805" s="184"/>
      <c r="L6805" s="184"/>
      <c r="M6805" s="184"/>
      <c r="N6805" s="184"/>
      <c r="O6805" s="184"/>
    </row>
    <row r="6806" customFormat="false" ht="15" hidden="false" customHeight="true" outlineLevel="0" collapsed="false">
      <c r="A6806" s="184"/>
      <c r="B6806" s="184"/>
      <c r="C6806" s="184"/>
      <c r="D6806" s="184"/>
      <c r="E6806" s="184"/>
      <c r="F6806" s="184"/>
      <c r="G6806" s="184"/>
      <c r="H6806" s="184"/>
      <c r="I6806" s="184"/>
      <c r="J6806" s="184"/>
      <c r="K6806" s="184"/>
      <c r="L6806" s="184"/>
      <c r="M6806" s="184"/>
      <c r="N6806" s="184"/>
      <c r="O6806" s="184"/>
    </row>
    <row r="6807" customFormat="false" ht="15" hidden="false" customHeight="true" outlineLevel="0" collapsed="false">
      <c r="A6807" s="184"/>
      <c r="B6807" s="184"/>
      <c r="C6807" s="184"/>
      <c r="D6807" s="184"/>
      <c r="E6807" s="184"/>
      <c r="F6807" s="184"/>
      <c r="G6807" s="184"/>
      <c r="H6807" s="184"/>
      <c r="I6807" s="184"/>
      <c r="J6807" s="184"/>
      <c r="K6807" s="184"/>
      <c r="L6807" s="184"/>
      <c r="M6807" s="184"/>
      <c r="N6807" s="184"/>
      <c r="O6807" s="184"/>
    </row>
    <row r="6808" customFormat="false" ht="15" hidden="false" customHeight="true" outlineLevel="0" collapsed="false">
      <c r="A6808" s="184"/>
      <c r="B6808" s="184"/>
      <c r="C6808" s="184"/>
      <c r="D6808" s="184"/>
      <c r="E6808" s="184"/>
      <c r="F6808" s="184"/>
      <c r="G6808" s="184"/>
      <c r="H6808" s="184"/>
      <c r="I6808" s="184"/>
      <c r="J6808" s="184"/>
      <c r="K6808" s="184"/>
      <c r="L6808" s="184"/>
      <c r="M6808" s="184"/>
      <c r="N6808" s="184"/>
      <c r="O6808" s="184"/>
    </row>
    <row r="6809" customFormat="false" ht="15" hidden="false" customHeight="true" outlineLevel="0" collapsed="false">
      <c r="A6809" s="184"/>
      <c r="B6809" s="184"/>
      <c r="C6809" s="184"/>
      <c r="D6809" s="184"/>
      <c r="E6809" s="184"/>
      <c r="F6809" s="184"/>
      <c r="G6809" s="184"/>
      <c r="H6809" s="184"/>
      <c r="I6809" s="184"/>
      <c r="J6809" s="184"/>
      <c r="K6809" s="184"/>
      <c r="L6809" s="184"/>
      <c r="M6809" s="184"/>
      <c r="N6809" s="184"/>
      <c r="O6809" s="184"/>
    </row>
    <row r="6810" customFormat="false" ht="15" hidden="false" customHeight="true" outlineLevel="0" collapsed="false">
      <c r="A6810" s="184"/>
      <c r="B6810" s="184"/>
      <c r="C6810" s="184"/>
      <c r="D6810" s="184"/>
      <c r="E6810" s="184"/>
      <c r="F6810" s="184"/>
      <c r="G6810" s="184"/>
      <c r="H6810" s="184"/>
      <c r="I6810" s="184"/>
      <c r="J6810" s="184"/>
      <c r="K6810" s="184"/>
      <c r="L6810" s="184"/>
      <c r="M6810" s="184"/>
      <c r="N6810" s="184"/>
      <c r="O6810" s="184"/>
    </row>
    <row r="6811" customFormat="false" ht="15" hidden="false" customHeight="true" outlineLevel="0" collapsed="false">
      <c r="A6811" s="184"/>
      <c r="B6811" s="184"/>
      <c r="C6811" s="184"/>
      <c r="D6811" s="184"/>
      <c r="E6811" s="184"/>
      <c r="F6811" s="184"/>
      <c r="G6811" s="184"/>
      <c r="H6811" s="184"/>
      <c r="I6811" s="184"/>
      <c r="J6811" s="184"/>
      <c r="K6811" s="184"/>
      <c r="L6811" s="184"/>
      <c r="M6811" s="184"/>
      <c r="N6811" s="184"/>
      <c r="O6811" s="184"/>
    </row>
    <row r="6812" customFormat="false" ht="15" hidden="false" customHeight="true" outlineLevel="0" collapsed="false">
      <c r="A6812" s="184"/>
      <c r="B6812" s="184"/>
      <c r="C6812" s="184"/>
      <c r="D6812" s="184"/>
      <c r="E6812" s="184"/>
      <c r="F6812" s="184"/>
      <c r="G6812" s="184"/>
      <c r="H6812" s="184"/>
      <c r="I6812" s="184"/>
      <c r="J6812" s="184"/>
      <c r="K6812" s="184"/>
      <c r="L6812" s="184"/>
      <c r="M6812" s="184"/>
      <c r="N6812" s="184"/>
      <c r="O6812" s="184"/>
    </row>
    <row r="6813" customFormat="false" ht="15" hidden="false" customHeight="true" outlineLevel="0" collapsed="false">
      <c r="A6813" s="184"/>
      <c r="B6813" s="184"/>
      <c r="C6813" s="184"/>
      <c r="D6813" s="184"/>
      <c r="E6813" s="184"/>
      <c r="F6813" s="184"/>
      <c r="G6813" s="184"/>
      <c r="H6813" s="184"/>
      <c r="I6813" s="184"/>
      <c r="J6813" s="184"/>
      <c r="K6813" s="184"/>
      <c r="L6813" s="184"/>
      <c r="M6813" s="184"/>
      <c r="N6813" s="184"/>
      <c r="O6813" s="184"/>
    </row>
    <row r="6814" customFormat="false" ht="15" hidden="false" customHeight="true" outlineLevel="0" collapsed="false">
      <c r="A6814" s="184"/>
      <c r="B6814" s="184"/>
      <c r="C6814" s="184"/>
      <c r="D6814" s="184"/>
      <c r="E6814" s="184"/>
      <c r="F6814" s="184"/>
      <c r="G6814" s="184"/>
      <c r="H6814" s="184"/>
      <c r="I6814" s="184"/>
      <c r="J6814" s="184"/>
      <c r="K6814" s="184"/>
      <c r="L6814" s="184"/>
      <c r="M6814" s="184"/>
      <c r="N6814" s="184"/>
      <c r="O6814" s="184"/>
    </row>
    <row r="6815" customFormat="false" ht="15" hidden="false" customHeight="true" outlineLevel="0" collapsed="false">
      <c r="A6815" s="184"/>
      <c r="B6815" s="184"/>
      <c r="C6815" s="184"/>
      <c r="D6815" s="184"/>
      <c r="E6815" s="184"/>
      <c r="F6815" s="184"/>
      <c r="G6815" s="184"/>
      <c r="H6815" s="184"/>
      <c r="I6815" s="184"/>
      <c r="J6815" s="184"/>
      <c r="K6815" s="184"/>
      <c r="L6815" s="184"/>
      <c r="M6815" s="184"/>
      <c r="N6815" s="184"/>
      <c r="O6815" s="184"/>
    </row>
    <row r="6816" customFormat="false" ht="15" hidden="false" customHeight="true" outlineLevel="0" collapsed="false">
      <c r="A6816" s="184"/>
      <c r="B6816" s="184"/>
      <c r="C6816" s="184"/>
      <c r="D6816" s="184"/>
      <c r="E6816" s="184"/>
      <c r="F6816" s="184"/>
      <c r="G6816" s="184"/>
      <c r="H6816" s="184"/>
      <c r="I6816" s="184"/>
      <c r="J6816" s="184"/>
      <c r="K6816" s="184"/>
      <c r="L6816" s="184"/>
      <c r="M6816" s="184"/>
      <c r="N6816" s="184"/>
      <c r="O6816" s="184"/>
    </row>
    <row r="6817" customFormat="false" ht="15" hidden="false" customHeight="true" outlineLevel="0" collapsed="false">
      <c r="A6817" s="184"/>
      <c r="B6817" s="184"/>
      <c r="C6817" s="184"/>
      <c r="D6817" s="184"/>
      <c r="E6817" s="184"/>
      <c r="F6817" s="184"/>
      <c r="G6817" s="184"/>
      <c r="H6817" s="184"/>
      <c r="I6817" s="184"/>
      <c r="J6817" s="184"/>
      <c r="K6817" s="184"/>
      <c r="L6817" s="184"/>
      <c r="M6817" s="184"/>
      <c r="N6817" s="184"/>
      <c r="O6817" s="184"/>
    </row>
    <row r="6818" customFormat="false" ht="15" hidden="false" customHeight="true" outlineLevel="0" collapsed="false">
      <c r="A6818" s="184"/>
      <c r="B6818" s="184"/>
      <c r="C6818" s="184"/>
      <c r="D6818" s="184"/>
      <c r="E6818" s="184"/>
      <c r="F6818" s="184"/>
      <c r="G6818" s="184"/>
      <c r="H6818" s="184"/>
      <c r="I6818" s="184"/>
      <c r="J6818" s="184"/>
      <c r="K6818" s="184"/>
      <c r="L6818" s="184"/>
      <c r="M6818" s="184"/>
      <c r="N6818" s="184"/>
      <c r="O6818" s="184"/>
    </row>
    <row r="6819" customFormat="false" ht="15" hidden="false" customHeight="true" outlineLevel="0" collapsed="false">
      <c r="A6819" s="184"/>
      <c r="B6819" s="184"/>
      <c r="C6819" s="184"/>
      <c r="D6819" s="184"/>
      <c r="E6819" s="184"/>
      <c r="F6819" s="184"/>
      <c r="G6819" s="184"/>
      <c r="H6819" s="184"/>
      <c r="I6819" s="184"/>
      <c r="J6819" s="184"/>
      <c r="K6819" s="184"/>
      <c r="L6819" s="184"/>
      <c r="M6819" s="184"/>
      <c r="N6819" s="184"/>
      <c r="O6819" s="184"/>
    </row>
    <row r="6820" customFormat="false" ht="15" hidden="false" customHeight="true" outlineLevel="0" collapsed="false">
      <c r="A6820" s="184"/>
      <c r="B6820" s="184"/>
      <c r="C6820" s="184"/>
      <c r="D6820" s="184"/>
      <c r="E6820" s="184"/>
      <c r="F6820" s="184"/>
      <c r="G6820" s="184"/>
      <c r="H6820" s="184"/>
      <c r="I6820" s="184"/>
      <c r="J6820" s="184"/>
      <c r="K6820" s="184"/>
      <c r="L6820" s="184"/>
      <c r="M6820" s="184"/>
      <c r="N6820" s="184"/>
      <c r="O6820" s="184"/>
    </row>
    <row r="6821" customFormat="false" ht="15" hidden="false" customHeight="true" outlineLevel="0" collapsed="false">
      <c r="A6821" s="184"/>
      <c r="B6821" s="184"/>
      <c r="C6821" s="184"/>
      <c r="D6821" s="184"/>
      <c r="E6821" s="184"/>
      <c r="F6821" s="184"/>
      <c r="G6821" s="184"/>
      <c r="H6821" s="184"/>
      <c r="I6821" s="184"/>
      <c r="J6821" s="184"/>
      <c r="K6821" s="184"/>
      <c r="L6821" s="184"/>
      <c r="M6821" s="184"/>
      <c r="N6821" s="184"/>
      <c r="O6821" s="184"/>
    </row>
    <row r="6822" customFormat="false" ht="15" hidden="false" customHeight="true" outlineLevel="0" collapsed="false">
      <c r="A6822" s="184"/>
      <c r="B6822" s="184"/>
      <c r="C6822" s="184"/>
      <c r="D6822" s="184"/>
      <c r="E6822" s="184"/>
      <c r="F6822" s="184"/>
      <c r="G6822" s="184"/>
      <c r="H6822" s="184"/>
      <c r="I6822" s="184"/>
      <c r="J6822" s="184"/>
      <c r="K6822" s="184"/>
      <c r="L6822" s="184"/>
      <c r="M6822" s="184"/>
      <c r="N6822" s="184"/>
      <c r="O6822" s="184"/>
    </row>
    <row r="6823" customFormat="false" ht="15" hidden="false" customHeight="true" outlineLevel="0" collapsed="false">
      <c r="A6823" s="184"/>
      <c r="B6823" s="184"/>
      <c r="C6823" s="184"/>
      <c r="D6823" s="184"/>
      <c r="E6823" s="184"/>
      <c r="F6823" s="184"/>
      <c r="G6823" s="184"/>
      <c r="H6823" s="184"/>
      <c r="I6823" s="184"/>
      <c r="J6823" s="184"/>
      <c r="K6823" s="184"/>
      <c r="L6823" s="184"/>
      <c r="M6823" s="184"/>
      <c r="N6823" s="184"/>
      <c r="O6823" s="184"/>
    </row>
    <row r="6824" customFormat="false" ht="15" hidden="false" customHeight="true" outlineLevel="0" collapsed="false">
      <c r="A6824" s="184"/>
      <c r="B6824" s="184"/>
      <c r="C6824" s="184"/>
      <c r="D6824" s="184"/>
      <c r="E6824" s="184"/>
      <c r="F6824" s="184"/>
      <c r="G6824" s="184"/>
      <c r="H6824" s="184"/>
      <c r="I6824" s="184"/>
      <c r="J6824" s="184"/>
      <c r="K6824" s="184"/>
      <c r="L6824" s="184"/>
      <c r="M6824" s="184"/>
      <c r="N6824" s="184"/>
      <c r="O6824" s="184"/>
    </row>
    <row r="6825" customFormat="false" ht="15" hidden="false" customHeight="true" outlineLevel="0" collapsed="false">
      <c r="A6825" s="184"/>
      <c r="B6825" s="184"/>
      <c r="C6825" s="184"/>
      <c r="D6825" s="184"/>
      <c r="E6825" s="184"/>
      <c r="F6825" s="184"/>
      <c r="G6825" s="184"/>
      <c r="H6825" s="184"/>
      <c r="I6825" s="184"/>
      <c r="J6825" s="184"/>
      <c r="K6825" s="184"/>
      <c r="L6825" s="184"/>
      <c r="M6825" s="184"/>
      <c r="N6825" s="184"/>
      <c r="O6825" s="184"/>
    </row>
    <row r="6826" customFormat="false" ht="15" hidden="false" customHeight="true" outlineLevel="0" collapsed="false">
      <c r="A6826" s="184"/>
      <c r="B6826" s="184"/>
      <c r="C6826" s="184"/>
      <c r="D6826" s="184"/>
      <c r="E6826" s="184"/>
      <c r="F6826" s="184"/>
      <c r="G6826" s="184"/>
      <c r="H6826" s="184"/>
      <c r="I6826" s="184"/>
      <c r="J6826" s="184"/>
      <c r="K6826" s="184"/>
      <c r="L6826" s="184"/>
      <c r="M6826" s="184"/>
      <c r="N6826" s="184"/>
      <c r="O6826" s="184"/>
    </row>
    <row r="6827" customFormat="false" ht="15" hidden="false" customHeight="true" outlineLevel="0" collapsed="false">
      <c r="A6827" s="184"/>
      <c r="B6827" s="184"/>
      <c r="C6827" s="184"/>
      <c r="D6827" s="184"/>
      <c r="E6827" s="184"/>
      <c r="F6827" s="184"/>
      <c r="G6827" s="184"/>
      <c r="H6827" s="184"/>
      <c r="I6827" s="184"/>
      <c r="J6827" s="184"/>
      <c r="K6827" s="184"/>
      <c r="L6827" s="184"/>
      <c r="M6827" s="184"/>
      <c r="N6827" s="184"/>
      <c r="O6827" s="184"/>
    </row>
    <row r="6828" customFormat="false" ht="15" hidden="false" customHeight="true" outlineLevel="0" collapsed="false">
      <c r="A6828" s="184"/>
      <c r="B6828" s="184"/>
      <c r="C6828" s="184"/>
      <c r="D6828" s="184"/>
      <c r="E6828" s="184"/>
      <c r="F6828" s="184"/>
      <c r="G6828" s="184"/>
      <c r="H6828" s="184"/>
      <c r="I6828" s="184"/>
      <c r="J6828" s="184"/>
      <c r="K6828" s="184"/>
      <c r="L6828" s="184"/>
      <c r="M6828" s="184"/>
      <c r="N6828" s="184"/>
      <c r="O6828" s="184"/>
    </row>
    <row r="6829" customFormat="false" ht="15" hidden="false" customHeight="true" outlineLevel="0" collapsed="false">
      <c r="A6829" s="184"/>
      <c r="B6829" s="184"/>
      <c r="C6829" s="184"/>
      <c r="D6829" s="184"/>
      <c r="E6829" s="184"/>
      <c r="F6829" s="184"/>
      <c r="G6829" s="184"/>
      <c r="H6829" s="184"/>
      <c r="I6829" s="184"/>
      <c r="J6829" s="184"/>
      <c r="K6829" s="184"/>
      <c r="L6829" s="184"/>
      <c r="M6829" s="184"/>
      <c r="N6829" s="184"/>
      <c r="O6829" s="184"/>
    </row>
    <row r="6830" customFormat="false" ht="15" hidden="false" customHeight="true" outlineLevel="0" collapsed="false">
      <c r="A6830" s="184"/>
      <c r="B6830" s="184"/>
      <c r="C6830" s="184"/>
      <c r="D6830" s="184"/>
      <c r="E6830" s="184"/>
      <c r="F6830" s="184"/>
      <c r="G6830" s="184"/>
      <c r="H6830" s="184"/>
      <c r="I6830" s="184"/>
      <c r="J6830" s="184"/>
      <c r="K6830" s="184"/>
      <c r="L6830" s="184"/>
      <c r="M6830" s="184"/>
      <c r="N6830" s="184"/>
      <c r="O6830" s="184"/>
    </row>
    <row r="6831" customFormat="false" ht="15" hidden="false" customHeight="true" outlineLevel="0" collapsed="false">
      <c r="A6831" s="184"/>
      <c r="B6831" s="184"/>
      <c r="C6831" s="184"/>
      <c r="D6831" s="184"/>
      <c r="E6831" s="184"/>
      <c r="F6831" s="184"/>
      <c r="G6831" s="184"/>
      <c r="H6831" s="184"/>
      <c r="I6831" s="184"/>
      <c r="J6831" s="184"/>
      <c r="K6831" s="184"/>
      <c r="L6831" s="184"/>
      <c r="M6831" s="184"/>
      <c r="N6831" s="184"/>
      <c r="O6831" s="184"/>
    </row>
    <row r="6832" customFormat="false" ht="15" hidden="false" customHeight="true" outlineLevel="0" collapsed="false">
      <c r="A6832" s="184"/>
      <c r="B6832" s="184"/>
      <c r="C6832" s="184"/>
      <c r="D6832" s="184"/>
      <c r="E6832" s="184"/>
      <c r="F6832" s="184"/>
      <c r="G6832" s="184"/>
      <c r="H6832" s="184"/>
      <c r="I6832" s="184"/>
      <c r="J6832" s="184"/>
      <c r="K6832" s="184"/>
      <c r="L6832" s="184"/>
      <c r="M6832" s="184"/>
      <c r="N6832" s="184"/>
      <c r="O6832" s="184"/>
    </row>
    <row r="6833" customFormat="false" ht="15" hidden="false" customHeight="true" outlineLevel="0" collapsed="false">
      <c r="A6833" s="184"/>
      <c r="B6833" s="184"/>
      <c r="C6833" s="184"/>
      <c r="D6833" s="184"/>
      <c r="E6833" s="184"/>
      <c r="F6833" s="184"/>
      <c r="G6833" s="184"/>
      <c r="H6833" s="184"/>
      <c r="I6833" s="184"/>
      <c r="J6833" s="184"/>
      <c r="K6833" s="184"/>
      <c r="L6833" s="184"/>
      <c r="M6833" s="184"/>
      <c r="N6833" s="184"/>
      <c r="O6833" s="184"/>
    </row>
    <row r="6834" customFormat="false" ht="15" hidden="false" customHeight="true" outlineLevel="0" collapsed="false">
      <c r="A6834" s="184"/>
      <c r="B6834" s="184"/>
      <c r="C6834" s="184"/>
      <c r="D6834" s="184"/>
      <c r="E6834" s="184"/>
      <c r="F6834" s="184"/>
      <c r="G6834" s="184"/>
      <c r="H6834" s="184"/>
      <c r="I6834" s="184"/>
      <c r="J6834" s="184"/>
      <c r="K6834" s="184"/>
      <c r="L6834" s="184"/>
      <c r="M6834" s="184"/>
      <c r="N6834" s="184"/>
      <c r="O6834" s="184"/>
    </row>
    <row r="6835" customFormat="false" ht="15" hidden="false" customHeight="true" outlineLevel="0" collapsed="false">
      <c r="A6835" s="184"/>
      <c r="B6835" s="184"/>
      <c r="C6835" s="184"/>
      <c r="D6835" s="184"/>
      <c r="E6835" s="184"/>
      <c r="F6835" s="184"/>
      <c r="G6835" s="184"/>
      <c r="H6835" s="184"/>
      <c r="I6835" s="184"/>
      <c r="J6835" s="184"/>
      <c r="K6835" s="184"/>
      <c r="L6835" s="184"/>
      <c r="M6835" s="184"/>
      <c r="N6835" s="184"/>
      <c r="O6835" s="184"/>
    </row>
    <row r="6836" customFormat="false" ht="15" hidden="false" customHeight="true" outlineLevel="0" collapsed="false">
      <c r="A6836" s="184"/>
      <c r="B6836" s="184"/>
      <c r="C6836" s="184"/>
      <c r="D6836" s="184"/>
      <c r="E6836" s="184"/>
      <c r="F6836" s="184"/>
      <c r="G6836" s="184"/>
      <c r="H6836" s="184"/>
      <c r="I6836" s="184"/>
      <c r="J6836" s="184"/>
      <c r="K6836" s="184"/>
      <c r="L6836" s="184"/>
      <c r="M6836" s="184"/>
      <c r="N6836" s="184"/>
      <c r="O6836" s="184"/>
    </row>
    <row r="6837" customFormat="false" ht="15" hidden="false" customHeight="true" outlineLevel="0" collapsed="false">
      <c r="A6837" s="184"/>
      <c r="B6837" s="184"/>
      <c r="C6837" s="184"/>
      <c r="D6837" s="184"/>
      <c r="E6837" s="184"/>
      <c r="F6837" s="184"/>
      <c r="G6837" s="184"/>
      <c r="H6837" s="184"/>
      <c r="I6837" s="184"/>
      <c r="J6837" s="184"/>
      <c r="K6837" s="184"/>
      <c r="L6837" s="184"/>
      <c r="M6837" s="184"/>
      <c r="N6837" s="184"/>
      <c r="O6837" s="184"/>
    </row>
    <row r="6838" customFormat="false" ht="15" hidden="false" customHeight="true" outlineLevel="0" collapsed="false">
      <c r="A6838" s="184"/>
      <c r="B6838" s="184"/>
      <c r="C6838" s="184"/>
      <c r="D6838" s="184"/>
      <c r="E6838" s="184"/>
      <c r="F6838" s="184"/>
      <c r="G6838" s="184"/>
      <c r="H6838" s="184"/>
      <c r="I6838" s="184"/>
      <c r="J6838" s="184"/>
      <c r="K6838" s="184"/>
      <c r="L6838" s="184"/>
      <c r="M6838" s="184"/>
      <c r="N6838" s="184"/>
      <c r="O6838" s="184"/>
    </row>
    <row r="6839" customFormat="false" ht="15" hidden="false" customHeight="true" outlineLevel="0" collapsed="false">
      <c r="A6839" s="184"/>
      <c r="B6839" s="184"/>
      <c r="C6839" s="184"/>
      <c r="D6839" s="184"/>
      <c r="E6839" s="184"/>
      <c r="F6839" s="184"/>
      <c r="G6839" s="184"/>
      <c r="H6839" s="184"/>
      <c r="I6839" s="184"/>
      <c r="J6839" s="184"/>
      <c r="K6839" s="184"/>
      <c r="L6839" s="184"/>
      <c r="M6839" s="184"/>
      <c r="N6839" s="184"/>
      <c r="O6839" s="184"/>
    </row>
    <row r="6840" customFormat="false" ht="15" hidden="false" customHeight="true" outlineLevel="0" collapsed="false">
      <c r="A6840" s="184"/>
      <c r="B6840" s="184"/>
      <c r="C6840" s="184"/>
      <c r="D6840" s="184"/>
      <c r="E6840" s="184"/>
      <c r="F6840" s="184"/>
      <c r="G6840" s="184"/>
      <c r="H6840" s="184"/>
      <c r="I6840" s="184"/>
      <c r="J6840" s="184"/>
      <c r="K6840" s="184"/>
      <c r="L6840" s="184"/>
      <c r="M6840" s="184"/>
      <c r="N6840" s="184"/>
      <c r="O6840" s="184"/>
    </row>
    <row r="6841" customFormat="false" ht="15" hidden="false" customHeight="true" outlineLevel="0" collapsed="false">
      <c r="A6841" s="184"/>
      <c r="B6841" s="184"/>
      <c r="C6841" s="184"/>
      <c r="D6841" s="184"/>
      <c r="E6841" s="184"/>
      <c r="F6841" s="184"/>
      <c r="G6841" s="184"/>
      <c r="H6841" s="184"/>
      <c r="I6841" s="184"/>
      <c r="J6841" s="184"/>
      <c r="K6841" s="184"/>
      <c r="L6841" s="184"/>
      <c r="M6841" s="184"/>
      <c r="N6841" s="184"/>
      <c r="O6841" s="184"/>
    </row>
    <row r="6842" customFormat="false" ht="15" hidden="false" customHeight="true" outlineLevel="0" collapsed="false">
      <c r="A6842" s="184"/>
      <c r="B6842" s="184"/>
      <c r="C6842" s="184"/>
      <c r="D6842" s="184"/>
      <c r="E6842" s="184"/>
      <c r="F6842" s="184"/>
      <c r="G6842" s="184"/>
      <c r="H6842" s="184"/>
      <c r="I6842" s="184"/>
      <c r="J6842" s="184"/>
      <c r="K6842" s="184"/>
      <c r="L6842" s="184"/>
      <c r="M6842" s="184"/>
      <c r="N6842" s="184"/>
      <c r="O6842" s="184"/>
    </row>
    <row r="6843" customFormat="false" ht="15" hidden="false" customHeight="true" outlineLevel="0" collapsed="false">
      <c r="A6843" s="184"/>
      <c r="B6843" s="184"/>
      <c r="C6843" s="184"/>
      <c r="D6843" s="184"/>
      <c r="E6843" s="184"/>
      <c r="F6843" s="184"/>
      <c r="G6843" s="184"/>
      <c r="H6843" s="184"/>
      <c r="I6843" s="184"/>
      <c r="J6843" s="184"/>
      <c r="K6843" s="184"/>
      <c r="L6843" s="184"/>
      <c r="M6843" s="184"/>
      <c r="N6843" s="184"/>
      <c r="O6843" s="184"/>
    </row>
    <row r="6844" customFormat="false" ht="15" hidden="false" customHeight="true" outlineLevel="0" collapsed="false">
      <c r="A6844" s="184"/>
      <c r="B6844" s="184"/>
      <c r="C6844" s="184"/>
      <c r="D6844" s="184"/>
      <c r="E6844" s="184"/>
      <c r="F6844" s="184"/>
      <c r="G6844" s="184"/>
      <c r="H6844" s="184"/>
      <c r="I6844" s="184"/>
      <c r="J6844" s="184"/>
      <c r="K6844" s="184"/>
      <c r="L6844" s="184"/>
      <c r="M6844" s="184"/>
      <c r="N6844" s="184"/>
      <c r="O6844" s="184"/>
    </row>
    <row r="6845" customFormat="false" ht="15" hidden="false" customHeight="true" outlineLevel="0" collapsed="false">
      <c r="A6845" s="184"/>
      <c r="B6845" s="184"/>
      <c r="C6845" s="184"/>
      <c r="D6845" s="184"/>
      <c r="E6845" s="184"/>
      <c r="F6845" s="184"/>
      <c r="G6845" s="184"/>
      <c r="H6845" s="184"/>
      <c r="I6845" s="184"/>
      <c r="J6845" s="184"/>
      <c r="K6845" s="184"/>
      <c r="L6845" s="184"/>
      <c r="M6845" s="184"/>
      <c r="N6845" s="184"/>
      <c r="O6845" s="184"/>
    </row>
    <row r="6846" customFormat="false" ht="15" hidden="false" customHeight="true" outlineLevel="0" collapsed="false">
      <c r="A6846" s="184"/>
      <c r="B6846" s="184"/>
      <c r="C6846" s="184"/>
      <c r="D6846" s="184"/>
      <c r="E6846" s="184"/>
      <c r="F6846" s="184"/>
      <c r="G6846" s="184"/>
      <c r="H6846" s="184"/>
      <c r="I6846" s="184"/>
      <c r="J6846" s="184"/>
      <c r="K6846" s="184"/>
      <c r="L6846" s="184"/>
      <c r="M6846" s="184"/>
      <c r="N6846" s="184"/>
      <c r="O6846" s="184"/>
    </row>
    <row r="6847" customFormat="false" ht="15" hidden="false" customHeight="true" outlineLevel="0" collapsed="false">
      <c r="A6847" s="184"/>
      <c r="B6847" s="184"/>
      <c r="C6847" s="184"/>
      <c r="D6847" s="184"/>
      <c r="E6847" s="184"/>
      <c r="F6847" s="184"/>
      <c r="G6847" s="184"/>
      <c r="H6847" s="184"/>
      <c r="I6847" s="184"/>
      <c r="J6847" s="184"/>
      <c r="K6847" s="184"/>
      <c r="L6847" s="184"/>
      <c r="M6847" s="184"/>
      <c r="N6847" s="184"/>
      <c r="O6847" s="184"/>
    </row>
    <row r="6848" customFormat="false" ht="15" hidden="false" customHeight="true" outlineLevel="0" collapsed="false">
      <c r="A6848" s="184"/>
      <c r="B6848" s="184"/>
      <c r="C6848" s="184"/>
      <c r="D6848" s="184"/>
      <c r="E6848" s="184"/>
      <c r="F6848" s="184"/>
      <c r="G6848" s="184"/>
      <c r="H6848" s="184"/>
      <c r="I6848" s="184"/>
      <c r="J6848" s="184"/>
      <c r="K6848" s="184"/>
      <c r="L6848" s="184"/>
      <c r="M6848" s="184"/>
      <c r="N6848" s="184"/>
      <c r="O6848" s="184"/>
    </row>
    <row r="6849" customFormat="false" ht="15" hidden="false" customHeight="true" outlineLevel="0" collapsed="false">
      <c r="A6849" s="184"/>
      <c r="B6849" s="184"/>
      <c r="C6849" s="184"/>
      <c r="D6849" s="184"/>
      <c r="E6849" s="184"/>
      <c r="F6849" s="184"/>
      <c r="G6849" s="184"/>
      <c r="H6849" s="184"/>
      <c r="I6849" s="184"/>
      <c r="J6849" s="184"/>
      <c r="K6849" s="184"/>
      <c r="L6849" s="184"/>
      <c r="M6849" s="184"/>
      <c r="N6849" s="184"/>
      <c r="O6849" s="184"/>
    </row>
    <row r="6850" customFormat="false" ht="15" hidden="false" customHeight="true" outlineLevel="0" collapsed="false">
      <c r="A6850" s="184"/>
      <c r="B6850" s="184"/>
      <c r="C6850" s="184"/>
      <c r="D6850" s="184"/>
      <c r="E6850" s="184"/>
      <c r="F6850" s="184"/>
      <c r="G6850" s="184"/>
      <c r="H6850" s="184"/>
      <c r="I6850" s="184"/>
      <c r="J6850" s="184"/>
      <c r="K6850" s="184"/>
      <c r="L6850" s="184"/>
      <c r="M6850" s="184"/>
      <c r="N6850" s="184"/>
      <c r="O6850" s="184"/>
    </row>
    <row r="6851" customFormat="false" ht="15" hidden="false" customHeight="true" outlineLevel="0" collapsed="false">
      <c r="A6851" s="184"/>
      <c r="B6851" s="184"/>
      <c r="C6851" s="184"/>
      <c r="D6851" s="184"/>
      <c r="E6851" s="184"/>
      <c r="F6851" s="184"/>
      <c r="G6851" s="184"/>
      <c r="H6851" s="184"/>
      <c r="I6851" s="184"/>
      <c r="J6851" s="184"/>
      <c r="K6851" s="184"/>
      <c r="L6851" s="184"/>
      <c r="M6851" s="184"/>
      <c r="N6851" s="184"/>
      <c r="O6851" s="184"/>
    </row>
    <row r="6852" customFormat="false" ht="15" hidden="false" customHeight="true" outlineLevel="0" collapsed="false">
      <c r="A6852" s="184"/>
      <c r="B6852" s="184"/>
      <c r="C6852" s="184"/>
      <c r="D6852" s="184"/>
      <c r="E6852" s="184"/>
      <c r="F6852" s="184"/>
      <c r="G6852" s="184"/>
      <c r="H6852" s="184"/>
      <c r="I6852" s="184"/>
      <c r="J6852" s="184"/>
      <c r="K6852" s="184"/>
      <c r="L6852" s="184"/>
      <c r="M6852" s="184"/>
      <c r="N6852" s="184"/>
      <c r="O6852" s="184"/>
    </row>
    <row r="6853" customFormat="false" ht="15" hidden="false" customHeight="true" outlineLevel="0" collapsed="false">
      <c r="A6853" s="184"/>
      <c r="B6853" s="184"/>
      <c r="C6853" s="184"/>
      <c r="D6853" s="184"/>
      <c r="E6853" s="184"/>
      <c r="F6853" s="184"/>
      <c r="G6853" s="184"/>
      <c r="H6853" s="184"/>
      <c r="I6853" s="184"/>
      <c r="J6853" s="184"/>
      <c r="K6853" s="184"/>
      <c r="L6853" s="184"/>
      <c r="M6853" s="184"/>
      <c r="N6853" s="184"/>
      <c r="O6853" s="184"/>
    </row>
    <row r="6854" customFormat="false" ht="15" hidden="false" customHeight="true" outlineLevel="0" collapsed="false">
      <c r="A6854" s="184"/>
      <c r="B6854" s="184"/>
      <c r="C6854" s="184"/>
      <c r="D6854" s="184"/>
      <c r="E6854" s="184"/>
      <c r="F6854" s="184"/>
      <c r="G6854" s="184"/>
      <c r="H6854" s="184"/>
      <c r="I6854" s="184"/>
      <c r="J6854" s="184"/>
      <c r="K6854" s="184"/>
      <c r="L6854" s="184"/>
      <c r="M6854" s="184"/>
      <c r="N6854" s="184"/>
      <c r="O6854" s="184"/>
    </row>
    <row r="6855" customFormat="false" ht="15" hidden="false" customHeight="true" outlineLevel="0" collapsed="false">
      <c r="A6855" s="184"/>
      <c r="B6855" s="184"/>
      <c r="C6855" s="184"/>
      <c r="D6855" s="184"/>
      <c r="E6855" s="184"/>
      <c r="F6855" s="184"/>
      <c r="G6855" s="184"/>
      <c r="H6855" s="184"/>
      <c r="I6855" s="184"/>
      <c r="J6855" s="184"/>
      <c r="K6855" s="184"/>
      <c r="L6855" s="184"/>
      <c r="M6855" s="184"/>
      <c r="N6855" s="184"/>
      <c r="O6855" s="184"/>
    </row>
    <row r="6856" customFormat="false" ht="15" hidden="false" customHeight="true" outlineLevel="0" collapsed="false">
      <c r="A6856" s="184"/>
      <c r="B6856" s="184"/>
      <c r="C6856" s="184"/>
      <c r="D6856" s="184"/>
      <c r="E6856" s="184"/>
      <c r="F6856" s="184"/>
      <c r="G6856" s="184"/>
      <c r="H6856" s="184"/>
      <c r="I6856" s="184"/>
      <c r="J6856" s="184"/>
      <c r="K6856" s="184"/>
      <c r="L6856" s="184"/>
      <c r="M6856" s="184"/>
      <c r="N6856" s="184"/>
      <c r="O6856" s="184"/>
    </row>
    <row r="6857" customFormat="false" ht="15" hidden="false" customHeight="true" outlineLevel="0" collapsed="false">
      <c r="A6857" s="184"/>
      <c r="B6857" s="184"/>
      <c r="C6857" s="184"/>
      <c r="D6857" s="184"/>
      <c r="E6857" s="184"/>
      <c r="F6857" s="184"/>
      <c r="G6857" s="184"/>
      <c r="H6857" s="184"/>
      <c r="I6857" s="184"/>
      <c r="J6857" s="184"/>
      <c r="K6857" s="184"/>
      <c r="L6857" s="184"/>
      <c r="M6857" s="184"/>
      <c r="N6857" s="184"/>
      <c r="O6857" s="184"/>
    </row>
    <row r="6858" customFormat="false" ht="15" hidden="false" customHeight="true" outlineLevel="0" collapsed="false">
      <c r="A6858" s="184"/>
      <c r="B6858" s="184"/>
      <c r="C6858" s="184"/>
      <c r="D6858" s="184"/>
      <c r="E6858" s="184"/>
      <c r="F6858" s="184"/>
      <c r="G6858" s="184"/>
      <c r="H6858" s="184"/>
      <c r="I6858" s="184"/>
      <c r="J6858" s="184"/>
      <c r="K6858" s="184"/>
      <c r="L6858" s="184"/>
      <c r="M6858" s="184"/>
      <c r="N6858" s="184"/>
      <c r="O6858" s="184"/>
    </row>
    <row r="6859" customFormat="false" ht="15" hidden="false" customHeight="true" outlineLevel="0" collapsed="false">
      <c r="A6859" s="184"/>
      <c r="B6859" s="184"/>
      <c r="C6859" s="184"/>
      <c r="D6859" s="184"/>
      <c r="E6859" s="184"/>
      <c r="F6859" s="184"/>
      <c r="G6859" s="184"/>
      <c r="H6859" s="184"/>
      <c r="I6859" s="184"/>
      <c r="J6859" s="184"/>
      <c r="K6859" s="184"/>
      <c r="L6859" s="184"/>
      <c r="M6859" s="184"/>
      <c r="N6859" s="184"/>
      <c r="O6859" s="184"/>
    </row>
    <row r="6860" customFormat="false" ht="15" hidden="false" customHeight="true" outlineLevel="0" collapsed="false">
      <c r="A6860" s="184"/>
      <c r="B6860" s="184"/>
      <c r="C6860" s="184"/>
      <c r="D6860" s="184"/>
      <c r="E6860" s="184"/>
      <c r="F6860" s="184"/>
      <c r="G6860" s="184"/>
      <c r="H6860" s="184"/>
      <c r="I6860" s="184"/>
      <c r="J6860" s="184"/>
      <c r="K6860" s="184"/>
      <c r="L6860" s="184"/>
      <c r="M6860" s="184"/>
      <c r="N6860" s="184"/>
      <c r="O6860" s="184"/>
    </row>
    <row r="6861" customFormat="false" ht="15" hidden="false" customHeight="true" outlineLevel="0" collapsed="false">
      <c r="A6861" s="184"/>
      <c r="B6861" s="184"/>
      <c r="C6861" s="184"/>
      <c r="D6861" s="184"/>
      <c r="E6861" s="184"/>
      <c r="F6861" s="184"/>
      <c r="G6861" s="184"/>
      <c r="H6861" s="184"/>
      <c r="I6861" s="184"/>
      <c r="J6861" s="184"/>
      <c r="K6861" s="184"/>
      <c r="L6861" s="184"/>
      <c r="M6861" s="184"/>
      <c r="N6861" s="184"/>
      <c r="O6861" s="184"/>
    </row>
    <row r="6862" customFormat="false" ht="15" hidden="false" customHeight="true" outlineLevel="0" collapsed="false">
      <c r="A6862" s="184"/>
      <c r="B6862" s="184"/>
      <c r="C6862" s="184"/>
      <c r="D6862" s="184"/>
      <c r="E6862" s="184"/>
      <c r="F6862" s="184"/>
      <c r="G6862" s="184"/>
      <c r="H6862" s="184"/>
      <c r="I6862" s="184"/>
      <c r="J6862" s="184"/>
      <c r="K6862" s="184"/>
      <c r="L6862" s="184"/>
      <c r="M6862" s="184"/>
      <c r="N6862" s="184"/>
      <c r="O6862" s="184"/>
    </row>
    <row r="6863" customFormat="false" ht="15" hidden="false" customHeight="true" outlineLevel="0" collapsed="false">
      <c r="A6863" s="184"/>
      <c r="B6863" s="184"/>
      <c r="C6863" s="184"/>
      <c r="D6863" s="184"/>
      <c r="E6863" s="184"/>
      <c r="F6863" s="184"/>
      <c r="G6863" s="184"/>
      <c r="H6863" s="184"/>
      <c r="I6863" s="184"/>
      <c r="J6863" s="184"/>
      <c r="K6863" s="184"/>
      <c r="L6863" s="184"/>
      <c r="M6863" s="184"/>
      <c r="N6863" s="184"/>
      <c r="O6863" s="184"/>
    </row>
    <row r="6864" customFormat="false" ht="15" hidden="false" customHeight="true" outlineLevel="0" collapsed="false">
      <c r="A6864" s="184"/>
      <c r="B6864" s="184"/>
      <c r="C6864" s="184"/>
      <c r="D6864" s="184"/>
      <c r="E6864" s="184"/>
      <c r="F6864" s="184"/>
      <c r="G6864" s="184"/>
      <c r="H6864" s="184"/>
      <c r="I6864" s="184"/>
      <c r="J6864" s="184"/>
      <c r="K6864" s="184"/>
      <c r="L6864" s="184"/>
      <c r="M6864" s="184"/>
      <c r="N6864" s="184"/>
      <c r="O6864" s="184"/>
    </row>
    <row r="6865" customFormat="false" ht="15" hidden="false" customHeight="true" outlineLevel="0" collapsed="false">
      <c r="A6865" s="184"/>
      <c r="B6865" s="184"/>
      <c r="C6865" s="184"/>
      <c r="D6865" s="184"/>
      <c r="E6865" s="184"/>
      <c r="F6865" s="184"/>
      <c r="G6865" s="184"/>
      <c r="H6865" s="184"/>
      <c r="I6865" s="184"/>
      <c r="J6865" s="184"/>
      <c r="K6865" s="184"/>
      <c r="L6865" s="184"/>
      <c r="M6865" s="184"/>
      <c r="N6865" s="184"/>
      <c r="O6865" s="184"/>
    </row>
    <row r="6866" customFormat="false" ht="15" hidden="false" customHeight="true" outlineLevel="0" collapsed="false">
      <c r="A6866" s="184"/>
      <c r="B6866" s="184"/>
      <c r="C6866" s="184"/>
      <c r="D6866" s="184"/>
      <c r="E6866" s="184"/>
      <c r="F6866" s="184"/>
      <c r="G6866" s="184"/>
      <c r="H6866" s="184"/>
      <c r="I6866" s="184"/>
      <c r="J6866" s="184"/>
      <c r="K6866" s="184"/>
      <c r="L6866" s="184"/>
      <c r="M6866" s="184"/>
      <c r="N6866" s="184"/>
      <c r="O6866" s="184"/>
    </row>
    <row r="6867" customFormat="false" ht="15" hidden="false" customHeight="true" outlineLevel="0" collapsed="false">
      <c r="A6867" s="184"/>
      <c r="B6867" s="184"/>
      <c r="C6867" s="184"/>
      <c r="D6867" s="184"/>
      <c r="E6867" s="184"/>
      <c r="F6867" s="184"/>
      <c r="G6867" s="184"/>
      <c r="H6867" s="184"/>
      <c r="I6867" s="184"/>
      <c r="J6867" s="184"/>
      <c r="K6867" s="184"/>
      <c r="L6867" s="184"/>
      <c r="M6867" s="184"/>
      <c r="N6867" s="184"/>
      <c r="O6867" s="184"/>
    </row>
    <row r="6868" customFormat="false" ht="15" hidden="false" customHeight="true" outlineLevel="0" collapsed="false">
      <c r="A6868" s="184"/>
      <c r="B6868" s="184"/>
      <c r="C6868" s="184"/>
      <c r="D6868" s="184"/>
      <c r="E6868" s="184"/>
      <c r="F6868" s="184"/>
      <c r="G6868" s="184"/>
      <c r="H6868" s="184"/>
      <c r="I6868" s="184"/>
      <c r="J6868" s="184"/>
      <c r="K6868" s="184"/>
      <c r="L6868" s="184"/>
      <c r="M6868" s="184"/>
      <c r="N6868" s="184"/>
      <c r="O6868" s="184"/>
    </row>
    <row r="6869" customFormat="false" ht="15" hidden="false" customHeight="true" outlineLevel="0" collapsed="false">
      <c r="A6869" s="184"/>
      <c r="B6869" s="184"/>
      <c r="C6869" s="184"/>
      <c r="D6869" s="184"/>
      <c r="E6869" s="184"/>
      <c r="F6869" s="184"/>
      <c r="G6869" s="184"/>
      <c r="H6869" s="184"/>
      <c r="I6869" s="184"/>
      <c r="J6869" s="184"/>
      <c r="K6869" s="184"/>
      <c r="L6869" s="184"/>
      <c r="M6869" s="184"/>
      <c r="N6869" s="184"/>
      <c r="O6869" s="184"/>
    </row>
    <row r="6870" customFormat="false" ht="15" hidden="false" customHeight="true" outlineLevel="0" collapsed="false">
      <c r="A6870" s="184"/>
      <c r="B6870" s="184"/>
      <c r="C6870" s="184"/>
      <c r="D6870" s="184"/>
      <c r="E6870" s="184"/>
      <c r="F6870" s="184"/>
      <c r="G6870" s="184"/>
      <c r="H6870" s="184"/>
      <c r="I6870" s="184"/>
      <c r="J6870" s="184"/>
      <c r="K6870" s="184"/>
      <c r="L6870" s="184"/>
      <c r="M6870" s="184"/>
      <c r="N6870" s="184"/>
      <c r="O6870" s="184"/>
    </row>
    <row r="6871" customFormat="false" ht="15" hidden="false" customHeight="true" outlineLevel="0" collapsed="false">
      <c r="A6871" s="184"/>
      <c r="B6871" s="184"/>
      <c r="C6871" s="184"/>
      <c r="D6871" s="184"/>
      <c r="E6871" s="184"/>
      <c r="F6871" s="184"/>
      <c r="G6871" s="184"/>
      <c r="H6871" s="184"/>
      <c r="I6871" s="184"/>
      <c r="J6871" s="184"/>
      <c r="K6871" s="184"/>
      <c r="L6871" s="184"/>
      <c r="M6871" s="184"/>
      <c r="N6871" s="184"/>
      <c r="O6871" s="184"/>
    </row>
    <row r="6872" customFormat="false" ht="15" hidden="false" customHeight="true" outlineLevel="0" collapsed="false">
      <c r="A6872" s="184"/>
      <c r="B6872" s="184"/>
      <c r="C6872" s="184"/>
      <c r="D6872" s="184"/>
      <c r="E6872" s="184"/>
      <c r="F6872" s="184"/>
      <c r="G6872" s="184"/>
      <c r="H6872" s="184"/>
      <c r="I6872" s="184"/>
      <c r="J6872" s="184"/>
      <c r="K6872" s="184"/>
      <c r="L6872" s="184"/>
      <c r="M6872" s="184"/>
      <c r="N6872" s="184"/>
      <c r="O6872" s="184"/>
    </row>
    <row r="6873" customFormat="false" ht="15" hidden="false" customHeight="true" outlineLevel="0" collapsed="false">
      <c r="A6873" s="184"/>
      <c r="B6873" s="184"/>
      <c r="C6873" s="184"/>
      <c r="D6873" s="184"/>
      <c r="E6873" s="184"/>
      <c r="F6873" s="184"/>
      <c r="G6873" s="184"/>
      <c r="H6873" s="184"/>
      <c r="I6873" s="184"/>
      <c r="J6873" s="184"/>
      <c r="K6873" s="184"/>
      <c r="L6873" s="184"/>
      <c r="M6873" s="184"/>
      <c r="N6873" s="184"/>
      <c r="O6873" s="184"/>
    </row>
    <row r="6874" customFormat="false" ht="15" hidden="false" customHeight="true" outlineLevel="0" collapsed="false">
      <c r="A6874" s="184"/>
      <c r="B6874" s="184"/>
      <c r="C6874" s="184"/>
      <c r="D6874" s="184"/>
      <c r="E6874" s="184"/>
      <c r="F6874" s="184"/>
      <c r="G6874" s="184"/>
      <c r="H6874" s="184"/>
      <c r="I6874" s="184"/>
      <c r="J6874" s="184"/>
      <c r="K6874" s="184"/>
      <c r="L6874" s="184"/>
      <c r="M6874" s="184"/>
      <c r="N6874" s="184"/>
      <c r="O6874" s="184"/>
    </row>
    <row r="6875" customFormat="false" ht="15" hidden="false" customHeight="true" outlineLevel="0" collapsed="false">
      <c r="A6875" s="184"/>
      <c r="B6875" s="184"/>
      <c r="C6875" s="184"/>
      <c r="D6875" s="184"/>
      <c r="E6875" s="184"/>
      <c r="F6875" s="184"/>
      <c r="G6875" s="184"/>
      <c r="H6875" s="184"/>
      <c r="I6875" s="184"/>
      <c r="J6875" s="184"/>
      <c r="K6875" s="184"/>
      <c r="L6875" s="184"/>
      <c r="M6875" s="184"/>
      <c r="N6875" s="184"/>
      <c r="O6875" s="184"/>
    </row>
    <row r="6876" customFormat="false" ht="15" hidden="false" customHeight="true" outlineLevel="0" collapsed="false">
      <c r="A6876" s="184"/>
      <c r="B6876" s="184"/>
      <c r="C6876" s="184"/>
      <c r="D6876" s="184"/>
      <c r="E6876" s="184"/>
      <c r="F6876" s="184"/>
      <c r="G6876" s="184"/>
      <c r="H6876" s="184"/>
      <c r="I6876" s="184"/>
      <c r="J6876" s="184"/>
      <c r="K6876" s="184"/>
      <c r="L6876" s="184"/>
      <c r="M6876" s="184"/>
      <c r="N6876" s="184"/>
      <c r="O6876" s="184"/>
    </row>
    <row r="6877" customFormat="false" ht="15" hidden="false" customHeight="true" outlineLevel="0" collapsed="false">
      <c r="A6877" s="184"/>
      <c r="B6877" s="184"/>
      <c r="C6877" s="184"/>
      <c r="D6877" s="184"/>
      <c r="E6877" s="184"/>
      <c r="F6877" s="184"/>
      <c r="G6877" s="184"/>
      <c r="H6877" s="184"/>
      <c r="I6877" s="184"/>
      <c r="J6877" s="184"/>
      <c r="K6877" s="184"/>
      <c r="L6877" s="184"/>
      <c r="M6877" s="184"/>
      <c r="N6877" s="184"/>
      <c r="O6877" s="184"/>
    </row>
    <row r="6878" customFormat="false" ht="15" hidden="false" customHeight="true" outlineLevel="0" collapsed="false">
      <c r="A6878" s="184"/>
      <c r="B6878" s="184"/>
      <c r="C6878" s="184"/>
      <c r="D6878" s="184"/>
      <c r="E6878" s="184"/>
      <c r="F6878" s="184"/>
      <c r="G6878" s="184"/>
      <c r="H6878" s="184"/>
      <c r="I6878" s="184"/>
      <c r="J6878" s="184"/>
      <c r="K6878" s="184"/>
      <c r="L6878" s="184"/>
      <c r="M6878" s="184"/>
      <c r="N6878" s="184"/>
      <c r="O6878" s="184"/>
    </row>
    <row r="6879" customFormat="false" ht="15" hidden="false" customHeight="true" outlineLevel="0" collapsed="false">
      <c r="A6879" s="184"/>
      <c r="B6879" s="184"/>
      <c r="C6879" s="184"/>
      <c r="D6879" s="184"/>
      <c r="E6879" s="184"/>
      <c r="F6879" s="184"/>
      <c r="G6879" s="184"/>
      <c r="H6879" s="184"/>
      <c r="I6879" s="184"/>
      <c r="J6879" s="184"/>
      <c r="K6879" s="184"/>
      <c r="L6879" s="184"/>
      <c r="M6879" s="184"/>
      <c r="N6879" s="184"/>
      <c r="O6879" s="184"/>
    </row>
    <row r="6880" customFormat="false" ht="15" hidden="false" customHeight="true" outlineLevel="0" collapsed="false">
      <c r="A6880" s="184"/>
      <c r="B6880" s="184"/>
      <c r="C6880" s="184"/>
      <c r="D6880" s="184"/>
      <c r="E6880" s="184"/>
      <c r="F6880" s="184"/>
      <c r="G6880" s="184"/>
      <c r="H6880" s="184"/>
      <c r="I6880" s="184"/>
      <c r="J6880" s="184"/>
      <c r="K6880" s="184"/>
      <c r="L6880" s="184"/>
      <c r="M6880" s="184"/>
      <c r="N6880" s="184"/>
      <c r="O6880" s="184"/>
    </row>
    <row r="6881" customFormat="false" ht="15" hidden="false" customHeight="true" outlineLevel="0" collapsed="false">
      <c r="A6881" s="184"/>
      <c r="B6881" s="184"/>
      <c r="C6881" s="184"/>
      <c r="D6881" s="184"/>
      <c r="E6881" s="184"/>
      <c r="F6881" s="184"/>
      <c r="G6881" s="184"/>
      <c r="H6881" s="184"/>
      <c r="I6881" s="184"/>
      <c r="J6881" s="184"/>
      <c r="K6881" s="184"/>
      <c r="L6881" s="184"/>
      <c r="M6881" s="184"/>
      <c r="N6881" s="184"/>
      <c r="O6881" s="184"/>
    </row>
    <row r="6882" customFormat="false" ht="15" hidden="false" customHeight="true" outlineLevel="0" collapsed="false">
      <c r="A6882" s="184"/>
      <c r="B6882" s="184"/>
      <c r="C6882" s="184"/>
      <c r="D6882" s="184"/>
      <c r="E6882" s="184"/>
      <c r="F6882" s="184"/>
      <c r="G6882" s="184"/>
      <c r="H6882" s="184"/>
      <c r="I6882" s="184"/>
      <c r="J6882" s="184"/>
      <c r="K6882" s="184"/>
      <c r="L6882" s="184"/>
      <c r="M6882" s="184"/>
      <c r="N6882" s="184"/>
      <c r="O6882" s="184"/>
    </row>
    <row r="6883" customFormat="false" ht="15" hidden="false" customHeight="true" outlineLevel="0" collapsed="false">
      <c r="A6883" s="184"/>
      <c r="B6883" s="184"/>
      <c r="C6883" s="184"/>
      <c r="D6883" s="184"/>
      <c r="E6883" s="184"/>
      <c r="F6883" s="184"/>
      <c r="G6883" s="184"/>
      <c r="H6883" s="184"/>
      <c r="I6883" s="184"/>
      <c r="J6883" s="184"/>
      <c r="K6883" s="184"/>
      <c r="L6883" s="184"/>
      <c r="M6883" s="184"/>
      <c r="N6883" s="184"/>
      <c r="O6883" s="184"/>
    </row>
    <row r="6884" customFormat="false" ht="27.75" hidden="false" customHeight="true" outlineLevel="0" collapsed="false">
      <c r="A6884" s="184" t="s">
        <v>5020</v>
      </c>
      <c r="B6884" s="184" t="s">
        <v>5021</v>
      </c>
      <c r="C6884" s="184"/>
      <c r="D6884" s="179" t="s">
        <v>4858</v>
      </c>
      <c r="E6884" s="184" t="s">
        <v>7258</v>
      </c>
      <c r="F6884" s="184"/>
      <c r="G6884" s="184"/>
      <c r="H6884" s="184"/>
      <c r="I6884" s="184"/>
      <c r="J6884" s="184"/>
      <c r="K6884" s="184"/>
      <c r="L6884" s="184"/>
      <c r="M6884" s="184" t="s">
        <v>7259</v>
      </c>
      <c r="N6884" s="184"/>
      <c r="O6884" s="184"/>
    </row>
    <row r="6885" customFormat="false" ht="27.75" hidden="false" customHeight="true" outlineLevel="0" collapsed="false">
      <c r="A6885" s="184" t="s">
        <v>5020</v>
      </c>
      <c r="B6885" s="184" t="s">
        <v>5021</v>
      </c>
      <c r="C6885" s="184" t="n">
        <v>1</v>
      </c>
      <c r="D6885" s="179" t="s">
        <v>6292</v>
      </c>
      <c r="E6885" s="184" t="s">
        <v>6862</v>
      </c>
      <c r="F6885" s="184"/>
      <c r="G6885" s="184"/>
      <c r="H6885" s="184"/>
      <c r="I6885" s="184"/>
      <c r="J6885" s="184"/>
      <c r="K6885" s="184"/>
      <c r="L6885" s="184"/>
      <c r="M6885" s="184"/>
      <c r="N6885" s="184"/>
      <c r="O6885" s="184"/>
    </row>
    <row r="6886" customFormat="false" ht="27.75" hidden="false" customHeight="true" outlineLevel="0" collapsed="false">
      <c r="A6886" s="184" t="s">
        <v>5020</v>
      </c>
      <c r="B6886" s="184" t="s">
        <v>5021</v>
      </c>
      <c r="C6886" s="184" t="n">
        <v>2</v>
      </c>
      <c r="D6886" s="177" t="s">
        <v>6298</v>
      </c>
      <c r="E6886" s="184" t="s">
        <v>6863</v>
      </c>
      <c r="F6886" s="184"/>
      <c r="G6886" s="184"/>
      <c r="H6886" s="184"/>
      <c r="I6886" s="184"/>
      <c r="J6886" s="184"/>
      <c r="K6886" s="184"/>
      <c r="L6886" s="184"/>
      <c r="M6886" s="184"/>
      <c r="N6886" s="184"/>
      <c r="O6886" s="184"/>
    </row>
    <row r="6887" customFormat="false" ht="27.75" hidden="false" customHeight="true" outlineLevel="0" collapsed="false">
      <c r="A6887" s="184" t="s">
        <v>5020</v>
      </c>
      <c r="B6887" s="184" t="s">
        <v>5021</v>
      </c>
      <c r="C6887" s="184" t="n">
        <v>3</v>
      </c>
      <c r="D6887" s="177" t="s">
        <v>6298</v>
      </c>
      <c r="E6887" s="184" t="s">
        <v>6864</v>
      </c>
      <c r="F6887" s="184"/>
      <c r="G6887" s="184"/>
      <c r="H6887" s="184"/>
      <c r="I6887" s="184"/>
      <c r="J6887" s="184"/>
      <c r="K6887" s="184"/>
      <c r="L6887" s="184"/>
      <c r="M6887" s="184"/>
      <c r="N6887" s="184"/>
      <c r="O6887" s="184"/>
    </row>
    <row r="6888" customFormat="false" ht="54.75" hidden="false" customHeight="true" outlineLevel="0" collapsed="false">
      <c r="A6888" s="184" t="s">
        <v>5020</v>
      </c>
      <c r="B6888" s="184" t="s">
        <v>5021</v>
      </c>
      <c r="C6888" s="184" t="n">
        <v>4</v>
      </c>
      <c r="D6888" s="174" t="s">
        <v>4846</v>
      </c>
      <c r="E6888" s="184" t="s">
        <v>784</v>
      </c>
      <c r="F6888" s="184" t="s">
        <v>715</v>
      </c>
      <c r="G6888" s="184"/>
      <c r="H6888" s="184"/>
      <c r="I6888" s="184"/>
      <c r="J6888" s="184" t="s">
        <v>5720</v>
      </c>
      <c r="K6888" s="184" t="s">
        <v>6333</v>
      </c>
      <c r="L6888" s="184"/>
      <c r="M6888" s="184" t="s">
        <v>6392</v>
      </c>
      <c r="N6888" s="184"/>
      <c r="O6888" s="184"/>
    </row>
    <row r="6889" customFormat="false" ht="54.75" hidden="false" customHeight="true" outlineLevel="0" collapsed="false">
      <c r="A6889" s="184" t="s">
        <v>5020</v>
      </c>
      <c r="B6889" s="184" t="s">
        <v>5021</v>
      </c>
      <c r="C6889" s="184" t="n">
        <v>5</v>
      </c>
      <c r="D6889" s="174" t="s">
        <v>4846</v>
      </c>
      <c r="E6889" s="184" t="s">
        <v>5837</v>
      </c>
      <c r="F6889" s="184" t="s">
        <v>715</v>
      </c>
      <c r="G6889" s="184"/>
      <c r="H6889" s="184"/>
      <c r="I6889" s="184"/>
      <c r="J6889" s="184" t="s">
        <v>6396</v>
      </c>
      <c r="K6889" s="184" t="s">
        <v>6333</v>
      </c>
      <c r="L6889" s="184"/>
      <c r="M6889" s="184" t="s">
        <v>5839</v>
      </c>
      <c r="N6889" s="184"/>
      <c r="O6889" s="184"/>
    </row>
    <row r="6890" customFormat="false" ht="54.75" hidden="false" customHeight="true" outlineLevel="0" collapsed="false">
      <c r="A6890" s="184" t="s">
        <v>5020</v>
      </c>
      <c r="B6890" s="184" t="s">
        <v>5021</v>
      </c>
      <c r="C6890" s="184" t="n">
        <v>6</v>
      </c>
      <c r="D6890" s="174" t="s">
        <v>4848</v>
      </c>
      <c r="E6890" s="184"/>
      <c r="F6890" s="184"/>
      <c r="G6890" s="184"/>
      <c r="H6890" s="184"/>
      <c r="I6890" s="184"/>
      <c r="J6890" s="184" t="s">
        <v>6301</v>
      </c>
      <c r="K6890" s="184"/>
      <c r="L6890" s="184" t="s">
        <v>6302</v>
      </c>
      <c r="M6890" s="184" t="s">
        <v>6303</v>
      </c>
      <c r="N6890" s="184"/>
      <c r="O6890" s="184"/>
    </row>
    <row r="6891" customFormat="false" ht="41.25" hidden="false" customHeight="true" outlineLevel="0" collapsed="false">
      <c r="A6891" s="184" t="s">
        <v>5020</v>
      </c>
      <c r="B6891" s="184" t="s">
        <v>5021</v>
      </c>
      <c r="C6891" s="184" t="n">
        <v>7</v>
      </c>
      <c r="D6891" s="174" t="s">
        <v>4846</v>
      </c>
      <c r="E6891" s="184" t="s">
        <v>6393</v>
      </c>
      <c r="F6891" s="184" t="s">
        <v>715</v>
      </c>
      <c r="G6891" s="184"/>
      <c r="H6891" s="184"/>
      <c r="I6891" s="184"/>
      <c r="J6891" s="184" t="s">
        <v>6394</v>
      </c>
      <c r="K6891" s="184" t="s">
        <v>6333</v>
      </c>
      <c r="L6891" s="184"/>
      <c r="M6891" s="184" t="s">
        <v>6395</v>
      </c>
      <c r="N6891" s="184"/>
      <c r="O6891" s="184"/>
    </row>
    <row r="6892" customFormat="false" ht="15" hidden="false" customHeight="true" outlineLevel="0" collapsed="false">
      <c r="A6892" s="184"/>
      <c r="B6892" s="184"/>
      <c r="C6892" s="184"/>
      <c r="D6892" s="184"/>
      <c r="E6892" s="184"/>
      <c r="F6892" s="184"/>
      <c r="G6892" s="184"/>
      <c r="H6892" s="184"/>
      <c r="I6892" s="184"/>
      <c r="J6892" s="184"/>
      <c r="K6892" s="184"/>
      <c r="L6892" s="184"/>
      <c r="M6892" s="184"/>
      <c r="N6892" s="184"/>
      <c r="O6892" s="184"/>
    </row>
    <row r="6893" customFormat="false" ht="15" hidden="false" customHeight="true" outlineLevel="0" collapsed="false">
      <c r="A6893" s="184"/>
      <c r="B6893" s="184"/>
      <c r="C6893" s="184"/>
      <c r="D6893" s="184"/>
      <c r="E6893" s="184"/>
      <c r="F6893" s="184"/>
      <c r="G6893" s="184"/>
      <c r="H6893" s="184"/>
      <c r="I6893" s="184"/>
      <c r="J6893" s="184"/>
      <c r="K6893" s="184"/>
      <c r="L6893" s="184"/>
      <c r="M6893" s="184"/>
      <c r="N6893" s="184"/>
      <c r="O6893" s="184"/>
    </row>
    <row r="6894" customFormat="false" ht="15" hidden="false" customHeight="true" outlineLevel="0" collapsed="false">
      <c r="A6894" s="184"/>
      <c r="B6894" s="184"/>
      <c r="C6894" s="184"/>
      <c r="D6894" s="184"/>
      <c r="E6894" s="184"/>
      <c r="F6894" s="184"/>
      <c r="G6894" s="184"/>
      <c r="H6894" s="184"/>
      <c r="I6894" s="184"/>
      <c r="J6894" s="184"/>
      <c r="K6894" s="184"/>
      <c r="L6894" s="184"/>
      <c r="M6894" s="184"/>
      <c r="N6894" s="184"/>
      <c r="O6894" s="184"/>
    </row>
    <row r="6895" customFormat="false" ht="15" hidden="false" customHeight="true" outlineLevel="0" collapsed="false">
      <c r="A6895" s="184"/>
      <c r="B6895" s="184"/>
      <c r="C6895" s="184"/>
      <c r="D6895" s="184"/>
      <c r="E6895" s="184"/>
      <c r="F6895" s="184"/>
      <c r="G6895" s="184"/>
      <c r="H6895" s="184"/>
      <c r="I6895" s="184"/>
      <c r="J6895" s="184"/>
      <c r="K6895" s="184"/>
      <c r="L6895" s="184"/>
      <c r="M6895" s="184"/>
      <c r="N6895" s="184"/>
      <c r="O6895" s="184"/>
    </row>
    <row r="6896" customFormat="false" ht="15" hidden="false" customHeight="true" outlineLevel="0" collapsed="false">
      <c r="A6896" s="184"/>
      <c r="B6896" s="184"/>
      <c r="C6896" s="184"/>
      <c r="D6896" s="184"/>
      <c r="E6896" s="184"/>
      <c r="F6896" s="184"/>
      <c r="G6896" s="184"/>
      <c r="H6896" s="184"/>
      <c r="I6896" s="184"/>
      <c r="J6896" s="184"/>
      <c r="K6896" s="184"/>
      <c r="L6896" s="184"/>
      <c r="M6896" s="184"/>
      <c r="N6896" s="184"/>
      <c r="O6896" s="184"/>
    </row>
    <row r="6897" customFormat="false" ht="15" hidden="false" customHeight="true" outlineLevel="0" collapsed="false">
      <c r="A6897" s="184"/>
      <c r="B6897" s="184"/>
      <c r="C6897" s="184"/>
      <c r="D6897" s="184"/>
      <c r="E6897" s="184"/>
      <c r="F6897" s="184"/>
      <c r="G6897" s="184"/>
      <c r="H6897" s="184"/>
      <c r="I6897" s="184"/>
      <c r="J6897" s="184"/>
      <c r="K6897" s="184"/>
      <c r="L6897" s="184"/>
      <c r="M6897" s="184"/>
      <c r="N6897" s="184"/>
      <c r="O6897" s="184"/>
    </row>
    <row r="6898" customFormat="false" ht="15" hidden="false" customHeight="true" outlineLevel="0" collapsed="false">
      <c r="A6898" s="184"/>
      <c r="B6898" s="184"/>
      <c r="C6898" s="184"/>
      <c r="D6898" s="184"/>
      <c r="E6898" s="184"/>
      <c r="F6898" s="184"/>
      <c r="G6898" s="184"/>
      <c r="H6898" s="184"/>
      <c r="I6898" s="184"/>
      <c r="J6898" s="184"/>
      <c r="K6898" s="184"/>
      <c r="L6898" s="184"/>
      <c r="M6898" s="184"/>
      <c r="N6898" s="184"/>
      <c r="O6898" s="184"/>
    </row>
    <row r="6899" customFormat="false" ht="15" hidden="false" customHeight="true" outlineLevel="0" collapsed="false">
      <c r="A6899" s="184"/>
      <c r="B6899" s="184"/>
      <c r="C6899" s="184"/>
      <c r="D6899" s="184"/>
      <c r="E6899" s="184"/>
      <c r="F6899" s="184"/>
      <c r="G6899" s="184"/>
      <c r="H6899" s="184"/>
      <c r="I6899" s="184"/>
      <c r="J6899" s="184"/>
      <c r="K6899" s="184"/>
      <c r="L6899" s="184"/>
      <c r="M6899" s="184"/>
      <c r="N6899" s="184"/>
      <c r="O6899" s="184"/>
    </row>
    <row r="6900" customFormat="false" ht="15" hidden="false" customHeight="true" outlineLevel="0" collapsed="false">
      <c r="A6900" s="184"/>
      <c r="B6900" s="184"/>
      <c r="C6900" s="184"/>
      <c r="D6900" s="184"/>
      <c r="E6900" s="184"/>
      <c r="F6900" s="184"/>
      <c r="G6900" s="184"/>
      <c r="H6900" s="184"/>
      <c r="I6900" s="184"/>
      <c r="J6900" s="184"/>
      <c r="K6900" s="184"/>
      <c r="L6900" s="184"/>
      <c r="M6900" s="184"/>
      <c r="N6900" s="184"/>
      <c r="O6900" s="184"/>
    </row>
    <row r="6901" customFormat="false" ht="15" hidden="false" customHeight="true" outlineLevel="0" collapsed="false">
      <c r="A6901" s="184"/>
      <c r="B6901" s="184"/>
      <c r="C6901" s="184"/>
      <c r="D6901" s="184"/>
      <c r="E6901" s="184"/>
      <c r="F6901" s="184"/>
      <c r="G6901" s="184"/>
      <c r="H6901" s="184"/>
      <c r="I6901" s="184"/>
      <c r="J6901" s="184"/>
      <c r="K6901" s="184"/>
      <c r="L6901" s="184"/>
      <c r="M6901" s="184"/>
      <c r="N6901" s="184"/>
      <c r="O6901" s="184"/>
    </row>
    <row r="6902" customFormat="false" ht="15" hidden="false" customHeight="true" outlineLevel="0" collapsed="false">
      <c r="A6902" s="184"/>
      <c r="B6902" s="184"/>
      <c r="C6902" s="184"/>
      <c r="D6902" s="184"/>
      <c r="E6902" s="184"/>
      <c r="F6902" s="184"/>
      <c r="G6902" s="184"/>
      <c r="H6902" s="184"/>
      <c r="I6902" s="184"/>
      <c r="J6902" s="184"/>
      <c r="K6902" s="184"/>
      <c r="L6902" s="184"/>
      <c r="M6902" s="184"/>
      <c r="N6902" s="184"/>
      <c r="O6902" s="184"/>
    </row>
    <row r="6903" customFormat="false" ht="15" hidden="false" customHeight="true" outlineLevel="0" collapsed="false">
      <c r="A6903" s="184"/>
      <c r="B6903" s="184"/>
      <c r="C6903" s="184"/>
      <c r="D6903" s="184"/>
      <c r="E6903" s="184"/>
      <c r="F6903" s="184"/>
      <c r="G6903" s="184"/>
      <c r="H6903" s="184"/>
      <c r="I6903" s="184"/>
      <c r="J6903" s="184"/>
      <c r="K6903" s="184"/>
      <c r="L6903" s="184"/>
      <c r="M6903" s="184"/>
      <c r="N6903" s="184"/>
      <c r="O6903" s="184"/>
    </row>
    <row r="6904" customFormat="false" ht="15" hidden="false" customHeight="true" outlineLevel="0" collapsed="false">
      <c r="A6904" s="184"/>
      <c r="B6904" s="184"/>
      <c r="C6904" s="184"/>
      <c r="D6904" s="184"/>
      <c r="E6904" s="184"/>
      <c r="F6904" s="184"/>
      <c r="G6904" s="184"/>
      <c r="H6904" s="184"/>
      <c r="I6904" s="184"/>
      <c r="J6904" s="184"/>
      <c r="K6904" s="184"/>
      <c r="L6904" s="184"/>
      <c r="M6904" s="184"/>
      <c r="N6904" s="184"/>
      <c r="O6904" s="184"/>
    </row>
    <row r="6905" customFormat="false" ht="15" hidden="false" customHeight="true" outlineLevel="0" collapsed="false">
      <c r="A6905" s="184"/>
      <c r="B6905" s="184"/>
      <c r="C6905" s="184"/>
      <c r="D6905" s="184"/>
      <c r="E6905" s="184"/>
      <c r="F6905" s="184"/>
      <c r="G6905" s="184"/>
      <c r="H6905" s="184"/>
      <c r="I6905" s="184"/>
      <c r="J6905" s="184"/>
      <c r="K6905" s="184"/>
      <c r="L6905" s="184"/>
      <c r="M6905" s="184"/>
      <c r="N6905" s="184"/>
      <c r="O6905" s="184"/>
    </row>
    <row r="6906" customFormat="false" ht="15" hidden="false" customHeight="true" outlineLevel="0" collapsed="false">
      <c r="A6906" s="184"/>
      <c r="B6906" s="184"/>
      <c r="C6906" s="184"/>
      <c r="D6906" s="184"/>
      <c r="E6906" s="184"/>
      <c r="F6906" s="184"/>
      <c r="G6906" s="184"/>
      <c r="H6906" s="184"/>
      <c r="I6906" s="184"/>
      <c r="J6906" s="184"/>
      <c r="K6906" s="184"/>
      <c r="L6906" s="184"/>
      <c r="M6906" s="184"/>
      <c r="N6906" s="184"/>
      <c r="O6906" s="184"/>
    </row>
    <row r="6907" customFormat="false" ht="15" hidden="false" customHeight="true" outlineLevel="0" collapsed="false">
      <c r="A6907" s="184"/>
      <c r="B6907" s="184"/>
      <c r="C6907" s="184"/>
      <c r="D6907" s="184"/>
      <c r="E6907" s="184"/>
      <c r="F6907" s="184"/>
      <c r="G6907" s="184"/>
      <c r="H6907" s="184"/>
      <c r="I6907" s="184"/>
      <c r="J6907" s="184"/>
      <c r="K6907" s="184"/>
      <c r="L6907" s="184"/>
      <c r="M6907" s="184"/>
      <c r="N6907" s="184"/>
      <c r="O6907" s="184"/>
    </row>
    <row r="6908" customFormat="false" ht="15" hidden="false" customHeight="true" outlineLevel="0" collapsed="false">
      <c r="A6908" s="184"/>
      <c r="B6908" s="184"/>
      <c r="C6908" s="184"/>
      <c r="D6908" s="184"/>
      <c r="E6908" s="184"/>
      <c r="F6908" s="184"/>
      <c r="G6908" s="184"/>
      <c r="H6908" s="184"/>
      <c r="I6908" s="184"/>
      <c r="J6908" s="184"/>
      <c r="K6908" s="184"/>
      <c r="L6908" s="184"/>
      <c r="M6908" s="184"/>
      <c r="N6908" s="184"/>
      <c r="O6908" s="184"/>
    </row>
    <row r="6909" customFormat="false" ht="15" hidden="false" customHeight="true" outlineLevel="0" collapsed="false">
      <c r="A6909" s="184"/>
      <c r="B6909" s="184"/>
      <c r="C6909" s="184"/>
      <c r="D6909" s="184"/>
      <c r="E6909" s="184"/>
      <c r="F6909" s="184"/>
      <c r="G6909" s="184"/>
      <c r="H6909" s="184"/>
      <c r="I6909" s="184"/>
      <c r="J6909" s="184"/>
      <c r="K6909" s="184"/>
      <c r="L6909" s="184"/>
      <c r="M6909" s="184"/>
      <c r="N6909" s="184"/>
      <c r="O6909" s="184"/>
    </row>
    <row r="6910" customFormat="false" ht="15" hidden="false" customHeight="true" outlineLevel="0" collapsed="false">
      <c r="A6910" s="184"/>
      <c r="B6910" s="184"/>
      <c r="C6910" s="184"/>
      <c r="D6910" s="184"/>
      <c r="E6910" s="184"/>
      <c r="F6910" s="184"/>
      <c r="G6910" s="184"/>
      <c r="H6910" s="184"/>
      <c r="I6910" s="184"/>
      <c r="J6910" s="184"/>
      <c r="K6910" s="184"/>
      <c r="L6910" s="184"/>
      <c r="M6910" s="184"/>
      <c r="N6910" s="184"/>
      <c r="O6910" s="184"/>
    </row>
    <row r="6911" customFormat="false" ht="15" hidden="false" customHeight="true" outlineLevel="0" collapsed="false">
      <c r="A6911" s="184"/>
      <c r="B6911" s="184"/>
      <c r="C6911" s="184"/>
      <c r="D6911" s="184"/>
      <c r="E6911" s="184"/>
      <c r="F6911" s="184"/>
      <c r="G6911" s="184"/>
      <c r="H6911" s="184"/>
      <c r="I6911" s="184"/>
      <c r="J6911" s="184"/>
      <c r="K6911" s="184"/>
      <c r="L6911" s="184"/>
      <c r="M6911" s="184"/>
      <c r="N6911" s="184"/>
      <c r="O6911" s="184"/>
    </row>
    <row r="6912" customFormat="false" ht="15" hidden="false" customHeight="true" outlineLevel="0" collapsed="false">
      <c r="A6912" s="184"/>
      <c r="B6912" s="184"/>
      <c r="C6912" s="184"/>
      <c r="D6912" s="184"/>
      <c r="E6912" s="184"/>
      <c r="F6912" s="184"/>
      <c r="G6912" s="184"/>
      <c r="H6912" s="184"/>
      <c r="I6912" s="184"/>
      <c r="J6912" s="184"/>
      <c r="K6912" s="184"/>
      <c r="L6912" s="184"/>
      <c r="M6912" s="184"/>
      <c r="N6912" s="184"/>
      <c r="O6912" s="184"/>
    </row>
    <row r="6913" customFormat="false" ht="15" hidden="false" customHeight="true" outlineLevel="0" collapsed="false">
      <c r="A6913" s="184"/>
      <c r="B6913" s="184"/>
      <c r="C6913" s="184"/>
      <c r="D6913" s="184"/>
      <c r="E6913" s="184"/>
      <c r="F6913" s="184"/>
      <c r="G6913" s="184"/>
      <c r="H6913" s="184"/>
      <c r="I6913" s="184"/>
      <c r="J6913" s="184"/>
      <c r="K6913" s="184"/>
      <c r="L6913" s="184"/>
      <c r="M6913" s="184"/>
      <c r="N6913" s="184"/>
      <c r="O6913" s="184"/>
    </row>
    <row r="6914" customFormat="false" ht="15" hidden="false" customHeight="true" outlineLevel="0" collapsed="false">
      <c r="A6914" s="184"/>
      <c r="B6914" s="184"/>
      <c r="C6914" s="184"/>
      <c r="D6914" s="184"/>
      <c r="E6914" s="184"/>
      <c r="F6914" s="184"/>
      <c r="G6914" s="184"/>
      <c r="H6914" s="184"/>
      <c r="I6914" s="184"/>
      <c r="J6914" s="184"/>
      <c r="K6914" s="184"/>
      <c r="L6914" s="184"/>
      <c r="M6914" s="184"/>
      <c r="N6914" s="184"/>
      <c r="O6914" s="184"/>
    </row>
    <row r="6915" customFormat="false" ht="15" hidden="false" customHeight="true" outlineLevel="0" collapsed="false">
      <c r="A6915" s="184"/>
      <c r="B6915" s="184"/>
      <c r="C6915" s="184"/>
      <c r="D6915" s="184"/>
      <c r="E6915" s="184"/>
      <c r="F6915" s="184"/>
      <c r="G6915" s="184"/>
      <c r="H6915" s="184"/>
      <c r="I6915" s="184"/>
      <c r="J6915" s="184"/>
      <c r="K6915" s="184"/>
      <c r="L6915" s="184"/>
      <c r="M6915" s="184"/>
      <c r="N6915" s="184"/>
      <c r="O6915" s="184"/>
    </row>
    <row r="6916" customFormat="false" ht="15" hidden="false" customHeight="true" outlineLevel="0" collapsed="false">
      <c r="A6916" s="184"/>
      <c r="B6916" s="184"/>
      <c r="C6916" s="184"/>
      <c r="D6916" s="184"/>
      <c r="E6916" s="184"/>
      <c r="F6916" s="184"/>
      <c r="G6916" s="184"/>
      <c r="H6916" s="184"/>
      <c r="I6916" s="184"/>
      <c r="J6916" s="184"/>
      <c r="K6916" s="184"/>
      <c r="L6916" s="184"/>
      <c r="M6916" s="184"/>
      <c r="N6916" s="184"/>
      <c r="O6916" s="184"/>
    </row>
    <row r="6917" customFormat="false" ht="15" hidden="false" customHeight="true" outlineLevel="0" collapsed="false">
      <c r="A6917" s="184"/>
      <c r="B6917" s="184"/>
      <c r="C6917" s="184"/>
      <c r="D6917" s="184"/>
      <c r="E6917" s="184"/>
      <c r="F6917" s="184"/>
      <c r="G6917" s="184"/>
      <c r="H6917" s="184"/>
      <c r="I6917" s="184"/>
      <c r="J6917" s="184"/>
      <c r="K6917" s="184"/>
      <c r="L6917" s="184"/>
      <c r="M6917" s="184"/>
      <c r="N6917" s="184"/>
      <c r="O6917" s="184"/>
    </row>
    <row r="6918" customFormat="false" ht="15" hidden="false" customHeight="true" outlineLevel="0" collapsed="false">
      <c r="A6918" s="184"/>
      <c r="B6918" s="184"/>
      <c r="C6918" s="184"/>
      <c r="D6918" s="184"/>
      <c r="E6918" s="184"/>
      <c r="F6918" s="184"/>
      <c r="G6918" s="184"/>
      <c r="H6918" s="184"/>
      <c r="I6918" s="184"/>
      <c r="J6918" s="184"/>
      <c r="K6918" s="184"/>
      <c r="L6918" s="184"/>
      <c r="M6918" s="184"/>
      <c r="N6918" s="184"/>
      <c r="O6918" s="184"/>
    </row>
    <row r="6919" customFormat="false" ht="15" hidden="false" customHeight="true" outlineLevel="0" collapsed="false">
      <c r="A6919" s="184"/>
      <c r="B6919" s="184"/>
      <c r="C6919" s="184"/>
      <c r="D6919" s="184"/>
      <c r="E6919" s="184"/>
      <c r="F6919" s="184"/>
      <c r="G6919" s="184"/>
      <c r="H6919" s="184"/>
      <c r="I6919" s="184"/>
      <c r="J6919" s="184"/>
      <c r="K6919" s="184"/>
      <c r="L6919" s="184"/>
      <c r="M6919" s="184"/>
      <c r="N6919" s="184"/>
      <c r="O6919" s="184"/>
    </row>
    <row r="6920" customFormat="false" ht="15" hidden="false" customHeight="true" outlineLevel="0" collapsed="false">
      <c r="A6920" s="184"/>
      <c r="B6920" s="184"/>
      <c r="C6920" s="184"/>
      <c r="D6920" s="184"/>
      <c r="E6920" s="184"/>
      <c r="F6920" s="184"/>
      <c r="G6920" s="184"/>
      <c r="H6920" s="184"/>
      <c r="I6920" s="184"/>
      <c r="J6920" s="184"/>
      <c r="K6920" s="184"/>
      <c r="L6920" s="184"/>
      <c r="M6920" s="184"/>
      <c r="N6920" s="184"/>
      <c r="O6920" s="184"/>
    </row>
    <row r="6921" customFormat="false" ht="15" hidden="false" customHeight="true" outlineLevel="0" collapsed="false">
      <c r="A6921" s="184"/>
      <c r="B6921" s="184"/>
      <c r="C6921" s="184"/>
      <c r="D6921" s="184"/>
      <c r="E6921" s="184"/>
      <c r="F6921" s="184"/>
      <c r="G6921" s="184"/>
      <c r="H6921" s="184"/>
      <c r="I6921" s="184"/>
      <c r="J6921" s="184"/>
      <c r="K6921" s="184"/>
      <c r="L6921" s="184"/>
      <c r="M6921" s="184"/>
      <c r="N6921" s="184"/>
      <c r="O6921" s="184"/>
    </row>
    <row r="6922" customFormat="false" ht="15" hidden="false" customHeight="true" outlineLevel="0" collapsed="false">
      <c r="A6922" s="184"/>
      <c r="B6922" s="184"/>
      <c r="C6922" s="184"/>
      <c r="D6922" s="184"/>
      <c r="E6922" s="184"/>
      <c r="F6922" s="184"/>
      <c r="G6922" s="184"/>
      <c r="H6922" s="184"/>
      <c r="I6922" s="184"/>
      <c r="J6922" s="184"/>
      <c r="K6922" s="184"/>
      <c r="L6922" s="184"/>
      <c r="M6922" s="184"/>
      <c r="N6922" s="184"/>
      <c r="O6922" s="184"/>
    </row>
    <row r="6923" customFormat="false" ht="15" hidden="false" customHeight="true" outlineLevel="0" collapsed="false">
      <c r="A6923" s="184"/>
      <c r="B6923" s="184"/>
      <c r="C6923" s="184"/>
      <c r="D6923" s="184"/>
      <c r="E6923" s="184"/>
      <c r="F6923" s="184"/>
      <c r="G6923" s="184"/>
      <c r="H6923" s="184"/>
      <c r="I6923" s="184"/>
      <c r="J6923" s="184"/>
      <c r="K6923" s="184"/>
      <c r="L6923" s="184"/>
      <c r="M6923" s="184"/>
      <c r="N6923" s="184"/>
      <c r="O6923" s="184"/>
    </row>
    <row r="6924" customFormat="false" ht="15" hidden="false" customHeight="true" outlineLevel="0" collapsed="false">
      <c r="A6924" s="184"/>
      <c r="B6924" s="184"/>
      <c r="C6924" s="184"/>
      <c r="D6924" s="184"/>
      <c r="E6924" s="184"/>
      <c r="F6924" s="184"/>
      <c r="G6924" s="184"/>
      <c r="H6924" s="184"/>
      <c r="I6924" s="184"/>
      <c r="J6924" s="184"/>
      <c r="K6924" s="184"/>
      <c r="L6924" s="184"/>
      <c r="M6924" s="184"/>
      <c r="N6924" s="184"/>
      <c r="O6924" s="184"/>
    </row>
    <row r="6925" customFormat="false" ht="15" hidden="false" customHeight="true" outlineLevel="0" collapsed="false">
      <c r="A6925" s="184"/>
      <c r="B6925" s="184"/>
      <c r="C6925" s="184"/>
      <c r="D6925" s="184"/>
      <c r="E6925" s="184"/>
      <c r="F6925" s="184"/>
      <c r="G6925" s="184"/>
      <c r="H6925" s="184"/>
      <c r="I6925" s="184"/>
      <c r="J6925" s="184"/>
      <c r="K6925" s="184"/>
      <c r="L6925" s="184"/>
      <c r="M6925" s="184"/>
      <c r="N6925" s="184"/>
      <c r="O6925" s="184"/>
    </row>
    <row r="6926" customFormat="false" ht="15" hidden="false" customHeight="true" outlineLevel="0" collapsed="false">
      <c r="A6926" s="184"/>
      <c r="B6926" s="184"/>
      <c r="C6926" s="184"/>
      <c r="D6926" s="184"/>
      <c r="E6926" s="184"/>
      <c r="F6926" s="184"/>
      <c r="G6926" s="184"/>
      <c r="H6926" s="184"/>
      <c r="I6926" s="184"/>
      <c r="J6926" s="184"/>
      <c r="K6926" s="184"/>
      <c r="L6926" s="184"/>
      <c r="M6926" s="184"/>
      <c r="N6926" s="184"/>
      <c r="O6926" s="184"/>
    </row>
    <row r="6927" customFormat="false" ht="15" hidden="false" customHeight="true" outlineLevel="0" collapsed="false">
      <c r="A6927" s="184"/>
      <c r="B6927" s="184"/>
      <c r="C6927" s="184"/>
      <c r="D6927" s="184"/>
      <c r="E6927" s="184"/>
      <c r="F6927" s="184"/>
      <c r="G6927" s="184"/>
      <c r="H6927" s="184"/>
      <c r="I6927" s="184"/>
      <c r="J6927" s="184"/>
      <c r="K6927" s="184"/>
      <c r="L6927" s="184"/>
      <c r="M6927" s="184"/>
      <c r="N6927" s="184"/>
      <c r="O6927" s="184"/>
    </row>
    <row r="6928" customFormat="false" ht="15" hidden="false" customHeight="true" outlineLevel="0" collapsed="false">
      <c r="A6928" s="184"/>
      <c r="B6928" s="184"/>
      <c r="C6928" s="184"/>
      <c r="D6928" s="184"/>
      <c r="E6928" s="184"/>
      <c r="F6928" s="184"/>
      <c r="G6928" s="184"/>
      <c r="H6928" s="184"/>
      <c r="I6928" s="184"/>
      <c r="J6928" s="184"/>
      <c r="K6928" s="184"/>
      <c r="L6928" s="184"/>
      <c r="M6928" s="184"/>
      <c r="N6928" s="184"/>
      <c r="O6928" s="184"/>
    </row>
    <row r="6929" customFormat="false" ht="15" hidden="false" customHeight="true" outlineLevel="0" collapsed="false">
      <c r="A6929" s="184"/>
      <c r="B6929" s="184"/>
      <c r="C6929" s="184"/>
      <c r="D6929" s="184"/>
      <c r="E6929" s="184"/>
      <c r="F6929" s="184"/>
      <c r="G6929" s="184"/>
      <c r="H6929" s="184"/>
      <c r="I6929" s="184"/>
      <c r="J6929" s="184"/>
      <c r="K6929" s="184"/>
      <c r="L6929" s="184"/>
      <c r="M6929" s="184"/>
      <c r="N6929" s="184"/>
      <c r="O6929" s="184"/>
    </row>
    <row r="6930" customFormat="false" ht="15" hidden="false" customHeight="true" outlineLevel="0" collapsed="false">
      <c r="A6930" s="184"/>
      <c r="B6930" s="184"/>
      <c r="C6930" s="184"/>
      <c r="D6930" s="184"/>
      <c r="E6930" s="184"/>
      <c r="F6930" s="184"/>
      <c r="G6930" s="184"/>
      <c r="H6930" s="184"/>
      <c r="I6930" s="184"/>
      <c r="J6930" s="184"/>
      <c r="K6930" s="184"/>
      <c r="L6930" s="184"/>
      <c r="M6930" s="184"/>
      <c r="N6930" s="184"/>
      <c r="O6930" s="184"/>
    </row>
    <row r="6931" customFormat="false" ht="15" hidden="false" customHeight="true" outlineLevel="0" collapsed="false">
      <c r="A6931" s="184"/>
      <c r="B6931" s="184"/>
      <c r="C6931" s="184"/>
      <c r="D6931" s="184"/>
      <c r="E6931" s="184"/>
      <c r="F6931" s="184"/>
      <c r="G6931" s="184"/>
      <c r="H6931" s="184"/>
      <c r="I6931" s="184"/>
      <c r="J6931" s="184"/>
      <c r="K6931" s="184"/>
      <c r="L6931" s="184"/>
      <c r="M6931" s="184"/>
      <c r="N6931" s="184"/>
      <c r="O6931" s="184"/>
    </row>
    <row r="6932" customFormat="false" ht="15" hidden="false" customHeight="true" outlineLevel="0" collapsed="false">
      <c r="A6932" s="184"/>
      <c r="B6932" s="184"/>
      <c r="C6932" s="184"/>
      <c r="D6932" s="184"/>
      <c r="E6932" s="184"/>
      <c r="F6932" s="184"/>
      <c r="G6932" s="184"/>
      <c r="H6932" s="184"/>
      <c r="I6932" s="184"/>
      <c r="J6932" s="184"/>
      <c r="K6932" s="184"/>
      <c r="L6932" s="184"/>
      <c r="M6932" s="184"/>
      <c r="N6932" s="184"/>
      <c r="O6932" s="184"/>
    </row>
    <row r="6933" customFormat="false" ht="15" hidden="false" customHeight="true" outlineLevel="0" collapsed="false">
      <c r="A6933" s="184"/>
      <c r="B6933" s="184"/>
      <c r="C6933" s="184"/>
      <c r="D6933" s="184"/>
      <c r="E6933" s="184"/>
      <c r="F6933" s="184"/>
      <c r="G6933" s="184"/>
      <c r="H6933" s="184"/>
      <c r="I6933" s="184"/>
      <c r="J6933" s="184"/>
      <c r="K6933" s="184"/>
      <c r="L6933" s="184"/>
      <c r="M6933" s="184"/>
      <c r="N6933" s="184"/>
      <c r="O6933" s="184"/>
    </row>
    <row r="6934" customFormat="false" ht="15" hidden="false" customHeight="true" outlineLevel="0" collapsed="false">
      <c r="A6934" s="184"/>
      <c r="B6934" s="184"/>
      <c r="C6934" s="184"/>
      <c r="D6934" s="184"/>
      <c r="E6934" s="184"/>
      <c r="F6934" s="184"/>
      <c r="G6934" s="184"/>
      <c r="H6934" s="184"/>
      <c r="I6934" s="184"/>
      <c r="J6934" s="184"/>
      <c r="K6934" s="184"/>
      <c r="L6934" s="184"/>
      <c r="M6934" s="184"/>
      <c r="N6934" s="184"/>
      <c r="O6934" s="184"/>
    </row>
    <row r="6935" customFormat="false" ht="15" hidden="false" customHeight="true" outlineLevel="0" collapsed="false">
      <c r="A6935" s="184"/>
      <c r="B6935" s="184"/>
      <c r="C6935" s="184"/>
      <c r="D6935" s="184"/>
      <c r="E6935" s="184"/>
      <c r="F6935" s="184"/>
      <c r="G6935" s="184"/>
      <c r="H6935" s="184"/>
      <c r="I6935" s="184"/>
      <c r="J6935" s="184"/>
      <c r="K6935" s="184"/>
      <c r="L6935" s="184"/>
      <c r="M6935" s="184"/>
      <c r="N6935" s="184"/>
      <c r="O6935" s="184"/>
    </row>
    <row r="6936" customFormat="false" ht="15" hidden="false" customHeight="true" outlineLevel="0" collapsed="false">
      <c r="A6936" s="184"/>
      <c r="B6936" s="184"/>
      <c r="C6936" s="184"/>
      <c r="D6936" s="184"/>
      <c r="E6936" s="184"/>
      <c r="F6936" s="184"/>
      <c r="G6936" s="184"/>
      <c r="H6936" s="184"/>
      <c r="I6936" s="184"/>
      <c r="J6936" s="184"/>
      <c r="K6936" s="184"/>
      <c r="L6936" s="184"/>
      <c r="M6936" s="184"/>
      <c r="N6936" s="184"/>
      <c r="O6936" s="184"/>
    </row>
    <row r="6937" customFormat="false" ht="15" hidden="false" customHeight="true" outlineLevel="0" collapsed="false">
      <c r="A6937" s="184"/>
      <c r="B6937" s="184"/>
      <c r="C6937" s="184"/>
      <c r="D6937" s="184"/>
      <c r="E6937" s="184"/>
      <c r="F6937" s="184"/>
      <c r="G6937" s="184"/>
      <c r="H6937" s="184"/>
      <c r="I6937" s="184"/>
      <c r="J6937" s="184"/>
      <c r="K6937" s="184"/>
      <c r="L6937" s="184"/>
      <c r="M6937" s="184"/>
      <c r="N6937" s="184"/>
      <c r="O6937" s="184"/>
    </row>
    <row r="6938" customFormat="false" ht="15" hidden="false" customHeight="true" outlineLevel="0" collapsed="false">
      <c r="A6938" s="184"/>
      <c r="B6938" s="184"/>
      <c r="C6938" s="184"/>
      <c r="D6938" s="184"/>
      <c r="E6938" s="184"/>
      <c r="F6938" s="184"/>
      <c r="G6938" s="184"/>
      <c r="H6938" s="184"/>
      <c r="I6938" s="184"/>
      <c r="J6938" s="184"/>
      <c r="K6938" s="184"/>
      <c r="L6938" s="184"/>
      <c r="M6938" s="184"/>
      <c r="N6938" s="184"/>
      <c r="O6938" s="184"/>
    </row>
    <row r="6939" customFormat="false" ht="15" hidden="false" customHeight="true" outlineLevel="0" collapsed="false">
      <c r="A6939" s="184"/>
      <c r="B6939" s="184"/>
      <c r="C6939" s="184"/>
      <c r="D6939" s="184"/>
      <c r="E6939" s="184"/>
      <c r="F6939" s="184"/>
      <c r="G6939" s="184"/>
      <c r="H6939" s="184"/>
      <c r="I6939" s="184"/>
      <c r="J6939" s="184"/>
      <c r="K6939" s="184"/>
      <c r="L6939" s="184"/>
      <c r="M6939" s="184"/>
      <c r="N6939" s="184"/>
      <c r="O6939" s="184"/>
    </row>
    <row r="6940" customFormat="false" ht="15" hidden="false" customHeight="true" outlineLevel="0" collapsed="false">
      <c r="A6940" s="184"/>
      <c r="B6940" s="184"/>
      <c r="C6940" s="184"/>
      <c r="D6940" s="184"/>
      <c r="E6940" s="184"/>
      <c r="F6940" s="184"/>
      <c r="G6940" s="184"/>
      <c r="H6940" s="184"/>
      <c r="I6940" s="184"/>
      <c r="J6940" s="184"/>
      <c r="K6940" s="184"/>
      <c r="L6940" s="184"/>
      <c r="M6940" s="184"/>
      <c r="N6940" s="184"/>
      <c r="O6940" s="184"/>
    </row>
    <row r="6941" customFormat="false" ht="15" hidden="false" customHeight="true" outlineLevel="0" collapsed="false">
      <c r="A6941" s="184"/>
      <c r="B6941" s="184"/>
      <c r="C6941" s="184"/>
      <c r="D6941" s="184"/>
      <c r="E6941" s="184"/>
      <c r="F6941" s="184"/>
      <c r="G6941" s="184"/>
      <c r="H6941" s="184"/>
      <c r="I6941" s="184"/>
      <c r="J6941" s="184"/>
      <c r="K6941" s="184"/>
      <c r="L6941" s="184"/>
      <c r="M6941" s="184"/>
      <c r="N6941" s="184"/>
      <c r="O6941" s="184"/>
    </row>
    <row r="6942" customFormat="false" ht="15" hidden="false" customHeight="true" outlineLevel="0" collapsed="false">
      <c r="A6942" s="184"/>
      <c r="B6942" s="184"/>
      <c r="C6942" s="184"/>
      <c r="D6942" s="184"/>
      <c r="E6942" s="184"/>
      <c r="F6942" s="184"/>
      <c r="G6942" s="184"/>
      <c r="H6942" s="184"/>
      <c r="I6942" s="184"/>
      <c r="J6942" s="184"/>
      <c r="K6942" s="184"/>
      <c r="L6942" s="184"/>
      <c r="M6942" s="184"/>
      <c r="N6942" s="184"/>
      <c r="O6942" s="184"/>
    </row>
    <row r="6943" customFormat="false" ht="15" hidden="false" customHeight="true" outlineLevel="0" collapsed="false">
      <c r="A6943" s="184"/>
      <c r="B6943" s="184"/>
      <c r="C6943" s="184"/>
      <c r="D6943" s="184"/>
      <c r="E6943" s="184"/>
      <c r="F6943" s="184"/>
      <c r="G6943" s="184"/>
      <c r="H6943" s="184"/>
      <c r="I6943" s="184"/>
      <c r="J6943" s="184"/>
      <c r="K6943" s="184"/>
      <c r="L6943" s="184"/>
      <c r="M6943" s="184"/>
      <c r="N6943" s="184"/>
      <c r="O6943" s="184"/>
    </row>
    <row r="6944" customFormat="false" ht="15" hidden="false" customHeight="true" outlineLevel="0" collapsed="false">
      <c r="A6944" s="184"/>
      <c r="B6944" s="184"/>
      <c r="C6944" s="184"/>
      <c r="D6944" s="184"/>
      <c r="E6944" s="184"/>
      <c r="F6944" s="184"/>
      <c r="G6944" s="184"/>
      <c r="H6944" s="184"/>
      <c r="I6944" s="184"/>
      <c r="J6944" s="184"/>
      <c r="K6944" s="184"/>
      <c r="L6944" s="184"/>
      <c r="M6944" s="184"/>
      <c r="N6944" s="184"/>
      <c r="O6944" s="184"/>
    </row>
    <row r="6945" customFormat="false" ht="15" hidden="false" customHeight="true" outlineLevel="0" collapsed="false">
      <c r="A6945" s="184"/>
      <c r="B6945" s="184"/>
      <c r="C6945" s="184"/>
      <c r="D6945" s="184"/>
      <c r="E6945" s="184"/>
      <c r="F6945" s="184"/>
      <c r="G6945" s="184"/>
      <c r="H6945" s="184"/>
      <c r="I6945" s="184"/>
      <c r="J6945" s="184"/>
      <c r="K6945" s="184"/>
      <c r="L6945" s="184"/>
      <c r="M6945" s="184"/>
      <c r="N6945" s="184"/>
      <c r="O6945" s="184"/>
    </row>
    <row r="6946" customFormat="false" ht="15" hidden="false" customHeight="true" outlineLevel="0" collapsed="false">
      <c r="A6946" s="184"/>
      <c r="B6946" s="184"/>
      <c r="C6946" s="184"/>
      <c r="D6946" s="184"/>
      <c r="E6946" s="184"/>
      <c r="F6946" s="184"/>
      <c r="G6946" s="184"/>
      <c r="H6946" s="184"/>
      <c r="I6946" s="184"/>
      <c r="J6946" s="184"/>
      <c r="K6946" s="184"/>
      <c r="L6946" s="184"/>
      <c r="M6946" s="184"/>
      <c r="N6946" s="184"/>
      <c r="O6946" s="184"/>
    </row>
    <row r="6947" customFormat="false" ht="15" hidden="false" customHeight="true" outlineLevel="0" collapsed="false">
      <c r="A6947" s="184"/>
      <c r="B6947" s="184"/>
      <c r="C6947" s="184"/>
      <c r="D6947" s="184"/>
      <c r="E6947" s="184"/>
      <c r="F6947" s="184"/>
      <c r="G6947" s="184"/>
      <c r="H6947" s="184"/>
      <c r="I6947" s="184"/>
      <c r="J6947" s="184"/>
      <c r="K6947" s="184"/>
      <c r="L6947" s="184"/>
      <c r="M6947" s="184"/>
      <c r="N6947" s="184"/>
      <c r="O6947" s="184"/>
    </row>
    <row r="6948" customFormat="false" ht="15" hidden="false" customHeight="true" outlineLevel="0" collapsed="false">
      <c r="A6948" s="184"/>
      <c r="B6948" s="184"/>
      <c r="C6948" s="184"/>
      <c r="D6948" s="184"/>
      <c r="E6948" s="184"/>
      <c r="F6948" s="184"/>
      <c r="G6948" s="184"/>
      <c r="H6948" s="184"/>
      <c r="I6948" s="184"/>
      <c r="J6948" s="184"/>
      <c r="K6948" s="184"/>
      <c r="L6948" s="184"/>
      <c r="M6948" s="184"/>
      <c r="N6948" s="184"/>
      <c r="O6948" s="184"/>
    </row>
    <row r="6949" customFormat="false" ht="15" hidden="false" customHeight="true" outlineLevel="0" collapsed="false">
      <c r="A6949" s="184"/>
      <c r="B6949" s="184"/>
      <c r="C6949" s="184"/>
      <c r="D6949" s="184"/>
      <c r="E6949" s="184"/>
      <c r="F6949" s="184"/>
      <c r="G6949" s="184"/>
      <c r="H6949" s="184"/>
      <c r="I6949" s="184"/>
      <c r="J6949" s="184"/>
      <c r="K6949" s="184"/>
      <c r="L6949" s="184"/>
      <c r="M6949" s="184"/>
      <c r="N6949" s="184"/>
      <c r="O6949" s="184"/>
    </row>
    <row r="6950" customFormat="false" ht="15" hidden="false" customHeight="true" outlineLevel="0" collapsed="false">
      <c r="A6950" s="184"/>
      <c r="B6950" s="184"/>
      <c r="C6950" s="184"/>
      <c r="D6950" s="184"/>
      <c r="E6950" s="184"/>
      <c r="F6950" s="184"/>
      <c r="G6950" s="184"/>
      <c r="H6950" s="184"/>
      <c r="I6950" s="184"/>
      <c r="J6950" s="184"/>
      <c r="K6950" s="184"/>
      <c r="L6950" s="184"/>
      <c r="M6950" s="184"/>
      <c r="N6950" s="184"/>
      <c r="O6950" s="184"/>
    </row>
    <row r="6951" customFormat="false" ht="15" hidden="false" customHeight="true" outlineLevel="0" collapsed="false">
      <c r="A6951" s="184"/>
      <c r="B6951" s="184"/>
      <c r="C6951" s="184"/>
      <c r="D6951" s="184"/>
      <c r="E6951" s="184"/>
      <c r="F6951" s="184"/>
      <c r="G6951" s="184"/>
      <c r="H6951" s="184"/>
      <c r="I6951" s="184"/>
      <c r="J6951" s="184"/>
      <c r="K6951" s="184"/>
      <c r="L6951" s="184"/>
      <c r="M6951" s="184"/>
      <c r="N6951" s="184"/>
      <c r="O6951" s="184"/>
    </row>
    <row r="6952" customFormat="false" ht="15" hidden="false" customHeight="true" outlineLevel="0" collapsed="false">
      <c r="A6952" s="184"/>
      <c r="B6952" s="184"/>
      <c r="C6952" s="184"/>
      <c r="D6952" s="184"/>
      <c r="E6952" s="184"/>
      <c r="F6952" s="184"/>
      <c r="G6952" s="184"/>
      <c r="H6952" s="184"/>
      <c r="I6952" s="184"/>
      <c r="J6952" s="184"/>
      <c r="K6952" s="184"/>
      <c r="L6952" s="184"/>
      <c r="M6952" s="184"/>
      <c r="N6952" s="184"/>
      <c r="O6952" s="184"/>
    </row>
    <row r="6953" customFormat="false" ht="15" hidden="false" customHeight="true" outlineLevel="0" collapsed="false">
      <c r="A6953" s="184"/>
      <c r="B6953" s="184"/>
      <c r="C6953" s="184"/>
      <c r="D6953" s="184"/>
      <c r="E6953" s="184"/>
      <c r="F6953" s="184"/>
      <c r="G6953" s="184"/>
      <c r="H6953" s="184"/>
      <c r="I6953" s="184"/>
      <c r="J6953" s="184"/>
      <c r="K6953" s="184"/>
      <c r="L6953" s="184"/>
      <c r="M6953" s="184"/>
      <c r="N6953" s="184"/>
      <c r="O6953" s="184"/>
    </row>
    <row r="6954" customFormat="false" ht="15" hidden="false" customHeight="true" outlineLevel="0" collapsed="false">
      <c r="A6954" s="184"/>
      <c r="B6954" s="184"/>
      <c r="C6954" s="184"/>
      <c r="D6954" s="184"/>
      <c r="E6954" s="184"/>
      <c r="F6954" s="184"/>
      <c r="G6954" s="184"/>
      <c r="H6954" s="184"/>
      <c r="I6954" s="184"/>
      <c r="J6954" s="184"/>
      <c r="K6954" s="184"/>
      <c r="L6954" s="184"/>
      <c r="M6954" s="184"/>
      <c r="N6954" s="184"/>
      <c r="O6954" s="184"/>
    </row>
    <row r="6955" customFormat="false" ht="15" hidden="false" customHeight="true" outlineLevel="0" collapsed="false">
      <c r="A6955" s="184"/>
      <c r="B6955" s="184"/>
      <c r="C6955" s="184"/>
      <c r="D6955" s="184"/>
      <c r="E6955" s="184"/>
      <c r="F6955" s="184"/>
      <c r="G6955" s="184"/>
      <c r="H6955" s="184"/>
      <c r="I6955" s="184"/>
      <c r="J6955" s="184"/>
      <c r="K6955" s="184"/>
      <c r="L6955" s="184"/>
      <c r="M6955" s="184"/>
      <c r="N6955" s="184"/>
      <c r="O6955" s="184"/>
    </row>
    <row r="6956" customFormat="false" ht="15" hidden="false" customHeight="true" outlineLevel="0" collapsed="false">
      <c r="A6956" s="184"/>
      <c r="B6956" s="184"/>
      <c r="C6956" s="184"/>
      <c r="D6956" s="184"/>
      <c r="E6956" s="184"/>
      <c r="F6956" s="184"/>
      <c r="G6956" s="184"/>
      <c r="H6956" s="184"/>
      <c r="I6956" s="184"/>
      <c r="J6956" s="184"/>
      <c r="K6956" s="184"/>
      <c r="L6956" s="184"/>
      <c r="M6956" s="184"/>
      <c r="N6956" s="184"/>
      <c r="O6956" s="184"/>
    </row>
    <row r="6957" customFormat="false" ht="15" hidden="false" customHeight="true" outlineLevel="0" collapsed="false">
      <c r="A6957" s="184"/>
      <c r="B6957" s="184"/>
      <c r="C6957" s="184"/>
      <c r="D6957" s="184"/>
      <c r="E6957" s="184"/>
      <c r="F6957" s="184"/>
      <c r="G6957" s="184"/>
      <c r="H6957" s="184"/>
      <c r="I6957" s="184"/>
      <c r="J6957" s="184"/>
      <c r="K6957" s="184"/>
      <c r="L6957" s="184"/>
      <c r="M6957" s="184"/>
      <c r="N6957" s="184"/>
      <c r="O6957" s="184"/>
    </row>
    <row r="6958" customFormat="false" ht="15" hidden="false" customHeight="true" outlineLevel="0" collapsed="false">
      <c r="A6958" s="184"/>
      <c r="B6958" s="184"/>
      <c r="C6958" s="184"/>
      <c r="D6958" s="184"/>
      <c r="E6958" s="184"/>
      <c r="F6958" s="184"/>
      <c r="G6958" s="184"/>
      <c r="H6958" s="184"/>
      <c r="I6958" s="184"/>
      <c r="J6958" s="184"/>
      <c r="K6958" s="184"/>
      <c r="L6958" s="184"/>
      <c r="M6958" s="184"/>
      <c r="N6958" s="184"/>
      <c r="O6958" s="184"/>
    </row>
    <row r="6959" customFormat="false" ht="15" hidden="false" customHeight="true" outlineLevel="0" collapsed="false">
      <c r="A6959" s="184"/>
      <c r="B6959" s="184"/>
      <c r="C6959" s="184"/>
      <c r="D6959" s="184"/>
      <c r="E6959" s="184"/>
      <c r="F6959" s="184"/>
      <c r="G6959" s="184"/>
      <c r="H6959" s="184"/>
      <c r="I6959" s="184"/>
      <c r="J6959" s="184"/>
      <c r="K6959" s="184"/>
      <c r="L6959" s="184"/>
      <c r="M6959" s="184"/>
      <c r="N6959" s="184"/>
      <c r="O6959" s="184"/>
    </row>
    <row r="6960" customFormat="false" ht="15" hidden="false" customHeight="true" outlineLevel="0" collapsed="false">
      <c r="A6960" s="184"/>
      <c r="B6960" s="184"/>
      <c r="C6960" s="184"/>
      <c r="D6960" s="184"/>
      <c r="E6960" s="184"/>
      <c r="F6960" s="184"/>
      <c r="G6960" s="184"/>
      <c r="H6960" s="184"/>
      <c r="I6960" s="184"/>
      <c r="J6960" s="184"/>
      <c r="K6960" s="184"/>
      <c r="L6960" s="184"/>
      <c r="M6960" s="184"/>
      <c r="N6960" s="184"/>
      <c r="O6960" s="184"/>
    </row>
    <row r="6961" customFormat="false" ht="15" hidden="false" customHeight="true" outlineLevel="0" collapsed="false">
      <c r="A6961" s="184"/>
      <c r="B6961" s="184"/>
      <c r="C6961" s="184"/>
      <c r="D6961" s="184"/>
      <c r="E6961" s="184"/>
      <c r="F6961" s="184"/>
      <c r="G6961" s="184"/>
      <c r="H6961" s="184"/>
      <c r="I6961" s="184"/>
      <c r="J6961" s="184"/>
      <c r="K6961" s="184"/>
      <c r="L6961" s="184"/>
      <c r="M6961" s="184"/>
      <c r="N6961" s="184"/>
      <c r="O6961" s="184"/>
    </row>
    <row r="6962" customFormat="false" ht="15" hidden="false" customHeight="true" outlineLevel="0" collapsed="false">
      <c r="A6962" s="184"/>
      <c r="B6962" s="184"/>
      <c r="C6962" s="184"/>
      <c r="D6962" s="184"/>
      <c r="E6962" s="184"/>
      <c r="F6962" s="184"/>
      <c r="G6962" s="184"/>
      <c r="H6962" s="184"/>
      <c r="I6962" s="184"/>
      <c r="J6962" s="184"/>
      <c r="K6962" s="184"/>
      <c r="L6962" s="184"/>
      <c r="M6962" s="184"/>
      <c r="N6962" s="184"/>
      <c r="O6962" s="184"/>
    </row>
    <row r="6963" customFormat="false" ht="15" hidden="false" customHeight="true" outlineLevel="0" collapsed="false">
      <c r="A6963" s="184"/>
      <c r="B6963" s="184"/>
      <c r="C6963" s="184"/>
      <c r="D6963" s="184"/>
      <c r="E6963" s="184"/>
      <c r="F6963" s="184"/>
      <c r="G6963" s="184"/>
      <c r="H6963" s="184"/>
      <c r="I6963" s="184"/>
      <c r="J6963" s="184"/>
      <c r="K6963" s="184"/>
      <c r="L6963" s="184"/>
      <c r="M6963" s="184"/>
      <c r="N6963" s="184"/>
      <c r="O6963" s="184"/>
    </row>
    <row r="6964" customFormat="false" ht="15" hidden="false" customHeight="true" outlineLevel="0" collapsed="false">
      <c r="A6964" s="184"/>
      <c r="B6964" s="184"/>
      <c r="C6964" s="184"/>
      <c r="D6964" s="184"/>
      <c r="E6964" s="184"/>
      <c r="F6964" s="184"/>
      <c r="G6964" s="184"/>
      <c r="H6964" s="184"/>
      <c r="I6964" s="184"/>
      <c r="J6964" s="184"/>
      <c r="K6964" s="184"/>
      <c r="L6964" s="184"/>
      <c r="M6964" s="184"/>
      <c r="N6964" s="184"/>
      <c r="O6964" s="184"/>
    </row>
    <row r="6965" customFormat="false" ht="15" hidden="false" customHeight="true" outlineLevel="0" collapsed="false">
      <c r="A6965" s="184"/>
      <c r="B6965" s="184"/>
      <c r="C6965" s="184"/>
      <c r="D6965" s="184"/>
      <c r="E6965" s="184"/>
      <c r="F6965" s="184"/>
      <c r="G6965" s="184"/>
      <c r="H6965" s="184"/>
      <c r="I6965" s="184"/>
      <c r="J6965" s="184"/>
      <c r="K6965" s="184"/>
      <c r="L6965" s="184"/>
      <c r="M6965" s="184"/>
      <c r="N6965" s="184"/>
      <c r="O6965" s="184"/>
    </row>
    <row r="6966" customFormat="false" ht="15" hidden="false" customHeight="true" outlineLevel="0" collapsed="false">
      <c r="A6966" s="184"/>
      <c r="B6966" s="184"/>
      <c r="C6966" s="184"/>
      <c r="D6966" s="184"/>
      <c r="E6966" s="184"/>
      <c r="F6966" s="184"/>
      <c r="G6966" s="184"/>
      <c r="H6966" s="184"/>
      <c r="I6966" s="184"/>
      <c r="J6966" s="184"/>
      <c r="K6966" s="184"/>
      <c r="L6966" s="184"/>
      <c r="M6966" s="184"/>
      <c r="N6966" s="184"/>
      <c r="O6966" s="184"/>
    </row>
    <row r="6967" customFormat="false" ht="15" hidden="false" customHeight="true" outlineLevel="0" collapsed="false">
      <c r="A6967" s="184"/>
      <c r="B6967" s="184"/>
      <c r="C6967" s="184"/>
      <c r="D6967" s="184"/>
      <c r="E6967" s="184"/>
      <c r="F6967" s="184"/>
      <c r="G6967" s="184"/>
      <c r="H6967" s="184"/>
      <c r="I6967" s="184"/>
      <c r="J6967" s="184"/>
      <c r="K6967" s="184"/>
      <c r="L6967" s="184"/>
      <c r="M6967" s="184"/>
      <c r="N6967" s="184"/>
      <c r="O6967" s="184"/>
    </row>
    <row r="6968" customFormat="false" ht="15" hidden="false" customHeight="true" outlineLevel="0" collapsed="false">
      <c r="A6968" s="184"/>
      <c r="B6968" s="184"/>
      <c r="C6968" s="184"/>
      <c r="D6968" s="184"/>
      <c r="E6968" s="184"/>
      <c r="F6968" s="184"/>
      <c r="G6968" s="184"/>
      <c r="H6968" s="184"/>
      <c r="I6968" s="184"/>
      <c r="J6968" s="184"/>
      <c r="K6968" s="184"/>
      <c r="L6968" s="184"/>
      <c r="M6968" s="184"/>
      <c r="N6968" s="184"/>
      <c r="O6968" s="184"/>
    </row>
    <row r="6969" customFormat="false" ht="15" hidden="false" customHeight="true" outlineLevel="0" collapsed="false">
      <c r="A6969" s="184"/>
      <c r="B6969" s="184"/>
      <c r="C6969" s="184"/>
      <c r="D6969" s="184"/>
      <c r="E6969" s="184"/>
      <c r="F6969" s="184"/>
      <c r="G6969" s="184"/>
      <c r="H6969" s="184"/>
      <c r="I6969" s="184"/>
      <c r="J6969" s="184"/>
      <c r="K6969" s="184"/>
      <c r="L6969" s="184"/>
      <c r="M6969" s="184"/>
      <c r="N6969" s="184"/>
      <c r="O6969" s="184"/>
    </row>
    <row r="6970" customFormat="false" ht="15" hidden="false" customHeight="true" outlineLevel="0" collapsed="false">
      <c r="A6970" s="184"/>
      <c r="B6970" s="184"/>
      <c r="C6970" s="184"/>
      <c r="D6970" s="184"/>
      <c r="E6970" s="184"/>
      <c r="F6970" s="184"/>
      <c r="G6970" s="184"/>
      <c r="H6970" s="184"/>
      <c r="I6970" s="184"/>
      <c r="J6970" s="184"/>
      <c r="K6970" s="184"/>
      <c r="L6970" s="184"/>
      <c r="M6970" s="184"/>
      <c r="N6970" s="184"/>
      <c r="O6970" s="184"/>
    </row>
    <row r="6971" customFormat="false" ht="15" hidden="false" customHeight="true" outlineLevel="0" collapsed="false">
      <c r="A6971" s="184"/>
      <c r="B6971" s="184"/>
      <c r="C6971" s="184"/>
      <c r="D6971" s="184"/>
      <c r="E6971" s="184"/>
      <c r="F6971" s="184"/>
      <c r="G6971" s="184"/>
      <c r="H6971" s="184"/>
      <c r="I6971" s="184"/>
      <c r="J6971" s="184"/>
      <c r="K6971" s="184"/>
      <c r="L6971" s="184"/>
      <c r="M6971" s="184"/>
      <c r="N6971" s="184"/>
      <c r="O6971" s="184"/>
    </row>
    <row r="6972" customFormat="false" ht="15" hidden="false" customHeight="true" outlineLevel="0" collapsed="false">
      <c r="A6972" s="184"/>
      <c r="B6972" s="184"/>
      <c r="C6972" s="184"/>
      <c r="D6972" s="184"/>
      <c r="E6972" s="184"/>
      <c r="F6972" s="184"/>
      <c r="G6972" s="184"/>
      <c r="H6972" s="184"/>
      <c r="I6972" s="184"/>
      <c r="J6972" s="184"/>
      <c r="K6972" s="184"/>
      <c r="L6972" s="184"/>
      <c r="M6972" s="184"/>
      <c r="N6972" s="184"/>
      <c r="O6972" s="184"/>
    </row>
    <row r="6973" customFormat="false" ht="15" hidden="false" customHeight="true" outlineLevel="0" collapsed="false">
      <c r="A6973" s="184"/>
      <c r="B6973" s="184"/>
      <c r="C6973" s="184"/>
      <c r="D6973" s="184"/>
      <c r="E6973" s="184"/>
      <c r="F6973" s="184"/>
      <c r="G6973" s="184"/>
      <c r="H6973" s="184"/>
      <c r="I6973" s="184"/>
      <c r="J6973" s="184"/>
      <c r="K6973" s="184"/>
      <c r="L6973" s="184"/>
      <c r="M6973" s="184"/>
      <c r="N6973" s="184"/>
      <c r="O6973" s="184"/>
    </row>
    <row r="6974" customFormat="false" ht="15" hidden="false" customHeight="true" outlineLevel="0" collapsed="false">
      <c r="A6974" s="184"/>
      <c r="B6974" s="184"/>
      <c r="C6974" s="184"/>
      <c r="D6974" s="184"/>
      <c r="E6974" s="184"/>
      <c r="F6974" s="184"/>
      <c r="G6974" s="184"/>
      <c r="H6974" s="184"/>
      <c r="I6974" s="184"/>
      <c r="J6974" s="184"/>
      <c r="K6974" s="184"/>
      <c r="L6974" s="184"/>
      <c r="M6974" s="184"/>
      <c r="N6974" s="184"/>
      <c r="O6974" s="184"/>
    </row>
    <row r="6975" customFormat="false" ht="15" hidden="false" customHeight="true" outlineLevel="0" collapsed="false">
      <c r="A6975" s="184"/>
      <c r="B6975" s="184"/>
      <c r="C6975" s="184"/>
      <c r="D6975" s="184"/>
      <c r="E6975" s="184"/>
      <c r="F6975" s="184"/>
      <c r="G6975" s="184"/>
      <c r="H6975" s="184"/>
      <c r="I6975" s="184"/>
      <c r="J6975" s="184"/>
      <c r="K6975" s="184"/>
      <c r="L6975" s="184"/>
      <c r="M6975" s="184"/>
      <c r="N6975" s="184"/>
      <c r="O6975" s="184"/>
    </row>
    <row r="6976" customFormat="false" ht="15" hidden="false" customHeight="true" outlineLevel="0" collapsed="false">
      <c r="A6976" s="184"/>
      <c r="B6976" s="184"/>
      <c r="C6976" s="184"/>
      <c r="D6976" s="184"/>
      <c r="E6976" s="184"/>
      <c r="F6976" s="184"/>
      <c r="G6976" s="184"/>
      <c r="H6976" s="184"/>
      <c r="I6976" s="184"/>
      <c r="J6976" s="184"/>
      <c r="K6976" s="184"/>
      <c r="L6976" s="184"/>
      <c r="M6976" s="184"/>
      <c r="N6976" s="184"/>
      <c r="O6976" s="184"/>
    </row>
    <row r="6977" customFormat="false" ht="15" hidden="false" customHeight="true" outlineLevel="0" collapsed="false">
      <c r="A6977" s="184"/>
      <c r="B6977" s="184"/>
      <c r="C6977" s="184"/>
      <c r="D6977" s="184"/>
      <c r="E6977" s="184"/>
      <c r="F6977" s="184"/>
      <c r="G6977" s="184"/>
      <c r="H6977" s="184"/>
      <c r="I6977" s="184"/>
      <c r="J6977" s="184"/>
      <c r="K6977" s="184"/>
      <c r="L6977" s="184"/>
      <c r="M6977" s="184"/>
      <c r="N6977" s="184"/>
      <c r="O6977" s="184"/>
    </row>
    <row r="6978" customFormat="false" ht="15" hidden="false" customHeight="true" outlineLevel="0" collapsed="false">
      <c r="A6978" s="184"/>
      <c r="B6978" s="184"/>
      <c r="C6978" s="184"/>
      <c r="D6978" s="184"/>
      <c r="E6978" s="184"/>
      <c r="F6978" s="184"/>
      <c r="G6978" s="184"/>
      <c r="H6978" s="184"/>
      <c r="I6978" s="184"/>
      <c r="J6978" s="184"/>
      <c r="K6978" s="184"/>
      <c r="L6978" s="184"/>
      <c r="M6978" s="184"/>
      <c r="N6978" s="184"/>
      <c r="O6978" s="184"/>
    </row>
    <row r="6979" customFormat="false" ht="15" hidden="false" customHeight="true" outlineLevel="0" collapsed="false">
      <c r="A6979" s="184"/>
      <c r="B6979" s="184"/>
      <c r="C6979" s="184"/>
      <c r="D6979" s="184"/>
      <c r="E6979" s="184"/>
      <c r="F6979" s="184"/>
      <c r="G6979" s="184"/>
      <c r="H6979" s="184"/>
      <c r="I6979" s="184"/>
      <c r="J6979" s="184"/>
      <c r="K6979" s="184"/>
      <c r="L6979" s="184"/>
      <c r="M6979" s="184"/>
      <c r="N6979" s="184"/>
      <c r="O6979" s="184"/>
    </row>
    <row r="6980" customFormat="false" ht="15" hidden="false" customHeight="true" outlineLevel="0" collapsed="false">
      <c r="A6980" s="184"/>
      <c r="B6980" s="184"/>
      <c r="C6980" s="184"/>
      <c r="D6980" s="184"/>
      <c r="E6980" s="184"/>
      <c r="F6980" s="184"/>
      <c r="G6980" s="184"/>
      <c r="H6980" s="184"/>
      <c r="I6980" s="184"/>
      <c r="J6980" s="184"/>
      <c r="K6980" s="184"/>
      <c r="L6980" s="184"/>
      <c r="M6980" s="184"/>
      <c r="N6980" s="184"/>
      <c r="O6980" s="184"/>
    </row>
    <row r="6981" customFormat="false" ht="15" hidden="false" customHeight="true" outlineLevel="0" collapsed="false">
      <c r="A6981" s="184"/>
      <c r="B6981" s="184"/>
      <c r="C6981" s="184"/>
      <c r="D6981" s="184"/>
      <c r="E6981" s="184"/>
      <c r="F6981" s="184"/>
      <c r="G6981" s="184"/>
      <c r="H6981" s="184"/>
      <c r="I6981" s="184"/>
      <c r="J6981" s="184"/>
      <c r="K6981" s="184"/>
      <c r="L6981" s="184"/>
      <c r="M6981" s="184"/>
      <c r="N6981" s="184"/>
      <c r="O6981" s="184"/>
    </row>
    <row r="6982" customFormat="false" ht="15" hidden="false" customHeight="true" outlineLevel="0" collapsed="false">
      <c r="A6982" s="184"/>
      <c r="B6982" s="184"/>
      <c r="C6982" s="184"/>
      <c r="D6982" s="184"/>
      <c r="E6982" s="184"/>
      <c r="F6982" s="184"/>
      <c r="G6982" s="184"/>
      <c r="H6982" s="184"/>
      <c r="I6982" s="184"/>
      <c r="J6982" s="184"/>
      <c r="K6982" s="184"/>
      <c r="L6982" s="184"/>
      <c r="M6982" s="184"/>
      <c r="N6982" s="184"/>
      <c r="O6982" s="184"/>
    </row>
    <row r="6983" customFormat="false" ht="15" hidden="false" customHeight="true" outlineLevel="0" collapsed="false">
      <c r="A6983" s="184"/>
      <c r="B6983" s="184"/>
      <c r="C6983" s="184"/>
      <c r="D6983" s="184"/>
      <c r="E6983" s="184"/>
      <c r="F6983" s="184"/>
      <c r="G6983" s="184"/>
      <c r="H6983" s="184"/>
      <c r="I6983" s="184"/>
      <c r="J6983" s="184"/>
      <c r="K6983" s="184"/>
      <c r="L6983" s="184"/>
      <c r="M6983" s="184"/>
      <c r="N6983" s="184"/>
      <c r="O6983" s="184"/>
    </row>
    <row r="6984" customFormat="false" ht="15" hidden="false" customHeight="true" outlineLevel="0" collapsed="false">
      <c r="A6984" s="184"/>
      <c r="B6984" s="184"/>
      <c r="C6984" s="184"/>
      <c r="D6984" s="184"/>
      <c r="E6984" s="184"/>
      <c r="F6984" s="184"/>
      <c r="G6984" s="184"/>
      <c r="H6984" s="184"/>
      <c r="I6984" s="184"/>
      <c r="J6984" s="184"/>
      <c r="K6984" s="184"/>
      <c r="L6984" s="184"/>
      <c r="M6984" s="184"/>
      <c r="N6984" s="184"/>
      <c r="O6984" s="184"/>
    </row>
    <row r="6985" customFormat="false" ht="15" hidden="false" customHeight="true" outlineLevel="0" collapsed="false">
      <c r="A6985" s="184"/>
      <c r="B6985" s="184"/>
      <c r="C6985" s="184"/>
      <c r="D6985" s="184"/>
      <c r="E6985" s="184"/>
      <c r="F6985" s="184"/>
      <c r="G6985" s="184"/>
      <c r="H6985" s="184"/>
      <c r="I6985" s="184"/>
      <c r="J6985" s="184"/>
      <c r="K6985" s="184"/>
      <c r="L6985" s="184"/>
      <c r="M6985" s="184"/>
      <c r="N6985" s="184"/>
      <c r="O6985" s="184"/>
    </row>
    <row r="6986" customFormat="false" ht="15" hidden="false" customHeight="true" outlineLevel="0" collapsed="false">
      <c r="A6986" s="184"/>
      <c r="B6986" s="184"/>
      <c r="C6986" s="184"/>
      <c r="D6986" s="184"/>
      <c r="E6986" s="184"/>
      <c r="F6986" s="184"/>
      <c r="G6986" s="184"/>
      <c r="H6986" s="184"/>
      <c r="I6986" s="184"/>
      <c r="J6986" s="184"/>
      <c r="K6986" s="184"/>
      <c r="L6986" s="184"/>
      <c r="M6986" s="184"/>
      <c r="N6986" s="184"/>
      <c r="O6986" s="184"/>
    </row>
    <row r="6987" customFormat="false" ht="15" hidden="false" customHeight="true" outlineLevel="0" collapsed="false">
      <c r="A6987" s="184"/>
      <c r="B6987" s="184"/>
      <c r="C6987" s="184"/>
      <c r="D6987" s="184"/>
      <c r="E6987" s="184"/>
      <c r="F6987" s="184"/>
      <c r="G6987" s="184"/>
      <c r="H6987" s="184"/>
      <c r="I6987" s="184"/>
      <c r="J6987" s="184"/>
      <c r="K6987" s="184"/>
      <c r="L6987" s="184"/>
      <c r="M6987" s="184"/>
      <c r="N6987" s="184"/>
      <c r="O6987" s="184"/>
    </row>
    <row r="6988" customFormat="false" ht="15" hidden="false" customHeight="true" outlineLevel="0" collapsed="false">
      <c r="A6988" s="184"/>
      <c r="B6988" s="184"/>
      <c r="C6988" s="184"/>
      <c r="D6988" s="184"/>
      <c r="E6988" s="184"/>
      <c r="F6988" s="184"/>
      <c r="G6988" s="184"/>
      <c r="H6988" s="184"/>
      <c r="I6988" s="184"/>
      <c r="J6988" s="184"/>
      <c r="K6988" s="184"/>
      <c r="L6988" s="184"/>
      <c r="M6988" s="184"/>
      <c r="N6988" s="184"/>
      <c r="O6988" s="184"/>
    </row>
    <row r="6989" customFormat="false" ht="15" hidden="false" customHeight="true" outlineLevel="0" collapsed="false">
      <c r="A6989" s="184"/>
      <c r="B6989" s="184"/>
      <c r="C6989" s="184"/>
      <c r="D6989" s="184"/>
      <c r="E6989" s="184"/>
      <c r="F6989" s="184"/>
      <c r="G6989" s="184"/>
      <c r="H6989" s="184"/>
      <c r="I6989" s="184"/>
      <c r="J6989" s="184"/>
      <c r="K6989" s="184"/>
      <c r="L6989" s="184"/>
      <c r="M6989" s="184"/>
      <c r="N6989" s="184"/>
      <c r="O6989" s="184"/>
    </row>
    <row r="6990" customFormat="false" ht="15" hidden="false" customHeight="true" outlineLevel="0" collapsed="false">
      <c r="A6990" s="184"/>
      <c r="B6990" s="184"/>
      <c r="C6990" s="184"/>
      <c r="D6990" s="184"/>
      <c r="E6990" s="184"/>
      <c r="F6990" s="184"/>
      <c r="G6990" s="184"/>
      <c r="H6990" s="184"/>
      <c r="I6990" s="184"/>
      <c r="J6990" s="184"/>
      <c r="K6990" s="184"/>
      <c r="L6990" s="184"/>
      <c r="M6990" s="184"/>
      <c r="N6990" s="184"/>
      <c r="O6990" s="184"/>
    </row>
    <row r="6991" customFormat="false" ht="15" hidden="false" customHeight="true" outlineLevel="0" collapsed="false">
      <c r="A6991" s="184"/>
      <c r="B6991" s="184"/>
      <c r="C6991" s="184"/>
      <c r="D6991" s="184"/>
      <c r="E6991" s="184"/>
      <c r="F6991" s="184"/>
      <c r="G6991" s="184"/>
      <c r="H6991" s="184"/>
      <c r="I6991" s="184"/>
      <c r="J6991" s="184"/>
      <c r="K6991" s="184"/>
      <c r="L6991" s="184"/>
      <c r="M6991" s="184"/>
      <c r="N6991" s="184"/>
      <c r="O6991" s="184"/>
    </row>
    <row r="6992" customFormat="false" ht="15" hidden="false" customHeight="true" outlineLevel="0" collapsed="false">
      <c r="A6992" s="184"/>
      <c r="B6992" s="184"/>
      <c r="C6992" s="184"/>
      <c r="D6992" s="184"/>
      <c r="E6992" s="184"/>
      <c r="F6992" s="184"/>
      <c r="G6992" s="184"/>
      <c r="H6992" s="184"/>
      <c r="I6992" s="184"/>
      <c r="J6992" s="184"/>
      <c r="K6992" s="184"/>
      <c r="L6992" s="184"/>
      <c r="M6992" s="184"/>
      <c r="N6992" s="184"/>
      <c r="O6992" s="184"/>
    </row>
    <row r="6993" customFormat="false" ht="15" hidden="false" customHeight="true" outlineLevel="0" collapsed="false">
      <c r="A6993" s="184"/>
      <c r="B6993" s="184"/>
      <c r="C6993" s="184"/>
      <c r="D6993" s="184"/>
      <c r="E6993" s="184"/>
      <c r="F6993" s="184"/>
      <c r="G6993" s="184"/>
      <c r="H6993" s="184"/>
      <c r="I6993" s="184"/>
      <c r="J6993" s="184"/>
      <c r="K6993" s="184"/>
      <c r="L6993" s="184"/>
      <c r="M6993" s="184"/>
      <c r="N6993" s="184"/>
      <c r="O6993" s="184"/>
    </row>
    <row r="6994" customFormat="false" ht="15" hidden="false" customHeight="true" outlineLevel="0" collapsed="false">
      <c r="A6994" s="184"/>
      <c r="B6994" s="184"/>
      <c r="C6994" s="184"/>
      <c r="D6994" s="184"/>
      <c r="E6994" s="184"/>
      <c r="F6994" s="184"/>
      <c r="G6994" s="184"/>
      <c r="H6994" s="184"/>
      <c r="I6994" s="184"/>
      <c r="J6994" s="184"/>
      <c r="K6994" s="184"/>
      <c r="L6994" s="184"/>
      <c r="M6994" s="184"/>
      <c r="N6994" s="184"/>
      <c r="O6994" s="184"/>
    </row>
    <row r="6995" customFormat="false" ht="15" hidden="false" customHeight="true" outlineLevel="0" collapsed="false">
      <c r="A6995" s="184"/>
      <c r="B6995" s="184"/>
      <c r="C6995" s="184"/>
      <c r="D6995" s="184"/>
      <c r="E6995" s="184"/>
      <c r="F6995" s="184"/>
      <c r="G6995" s="184"/>
      <c r="H6995" s="184"/>
      <c r="I6995" s="184"/>
      <c r="J6995" s="184"/>
      <c r="K6995" s="184"/>
      <c r="L6995" s="184"/>
      <c r="M6995" s="184"/>
      <c r="N6995" s="184"/>
      <c r="O6995" s="184"/>
    </row>
    <row r="6996" customFormat="false" ht="15" hidden="false" customHeight="true" outlineLevel="0" collapsed="false">
      <c r="A6996" s="184"/>
      <c r="B6996" s="184"/>
      <c r="C6996" s="184"/>
      <c r="D6996" s="184"/>
      <c r="E6996" s="184"/>
      <c r="F6996" s="184"/>
      <c r="G6996" s="184"/>
      <c r="H6996" s="184"/>
      <c r="I6996" s="184"/>
      <c r="J6996" s="184"/>
      <c r="K6996" s="184"/>
      <c r="L6996" s="184"/>
      <c r="M6996" s="184"/>
      <c r="N6996" s="184"/>
      <c r="O6996" s="184"/>
    </row>
    <row r="6997" customFormat="false" ht="15" hidden="false" customHeight="true" outlineLevel="0" collapsed="false">
      <c r="A6997" s="184"/>
      <c r="B6997" s="184"/>
      <c r="C6997" s="184"/>
      <c r="D6997" s="184"/>
      <c r="E6997" s="184"/>
      <c r="F6997" s="184"/>
      <c r="G6997" s="184"/>
      <c r="H6997" s="184"/>
      <c r="I6997" s="184"/>
      <c r="J6997" s="184"/>
      <c r="K6997" s="184"/>
      <c r="L6997" s="184"/>
      <c r="M6997" s="184"/>
      <c r="N6997" s="184"/>
      <c r="O6997" s="184"/>
    </row>
    <row r="6998" customFormat="false" ht="15" hidden="false" customHeight="true" outlineLevel="0" collapsed="false">
      <c r="A6998" s="184"/>
      <c r="B6998" s="184"/>
      <c r="C6998" s="184"/>
      <c r="D6998" s="184"/>
      <c r="E6998" s="184"/>
      <c r="F6998" s="184"/>
      <c r="G6998" s="184"/>
      <c r="H6998" s="184"/>
      <c r="I6998" s="184"/>
      <c r="J6998" s="184"/>
      <c r="K6998" s="184"/>
      <c r="L6998" s="184"/>
      <c r="M6998" s="184"/>
      <c r="N6998" s="184"/>
      <c r="O6998" s="184"/>
    </row>
    <row r="6999" customFormat="false" ht="15" hidden="false" customHeight="true" outlineLevel="0" collapsed="false">
      <c r="A6999" s="184"/>
      <c r="B6999" s="184"/>
      <c r="C6999" s="184"/>
      <c r="D6999" s="184"/>
      <c r="E6999" s="184"/>
      <c r="F6999" s="184"/>
      <c r="G6999" s="184"/>
      <c r="H6999" s="184"/>
      <c r="I6999" s="184"/>
      <c r="J6999" s="184"/>
      <c r="K6999" s="184"/>
      <c r="L6999" s="184"/>
      <c r="M6999" s="184"/>
      <c r="N6999" s="184"/>
      <c r="O6999" s="184"/>
    </row>
    <row r="7000" customFormat="false" ht="15" hidden="false" customHeight="true" outlineLevel="0" collapsed="false">
      <c r="A7000" s="184"/>
      <c r="B7000" s="184"/>
      <c r="C7000" s="184"/>
      <c r="D7000" s="184"/>
      <c r="E7000" s="184"/>
      <c r="F7000" s="184"/>
      <c r="G7000" s="184"/>
      <c r="H7000" s="184"/>
      <c r="I7000" s="184"/>
      <c r="J7000" s="184"/>
      <c r="K7000" s="184"/>
      <c r="L7000" s="184"/>
      <c r="M7000" s="184"/>
      <c r="N7000" s="184"/>
      <c r="O7000" s="184"/>
    </row>
    <row r="7001" customFormat="false" ht="15" hidden="false" customHeight="true" outlineLevel="0" collapsed="false">
      <c r="A7001" s="184"/>
      <c r="B7001" s="184"/>
      <c r="C7001" s="184"/>
      <c r="D7001" s="184"/>
      <c r="E7001" s="184"/>
      <c r="F7001" s="184"/>
      <c r="G7001" s="184"/>
      <c r="H7001" s="184"/>
      <c r="I7001" s="184"/>
      <c r="J7001" s="184"/>
      <c r="K7001" s="184"/>
      <c r="L7001" s="184"/>
      <c r="M7001" s="184"/>
      <c r="N7001" s="184"/>
      <c r="O7001" s="184"/>
    </row>
    <row r="7002" customFormat="false" ht="15" hidden="false" customHeight="true" outlineLevel="0" collapsed="false">
      <c r="A7002" s="184"/>
      <c r="B7002" s="184"/>
      <c r="C7002" s="184"/>
      <c r="D7002" s="184"/>
      <c r="E7002" s="184"/>
      <c r="F7002" s="184"/>
      <c r="G7002" s="184"/>
      <c r="H7002" s="184"/>
      <c r="I7002" s="184"/>
      <c r="J7002" s="184"/>
      <c r="K7002" s="184"/>
      <c r="L7002" s="184"/>
      <c r="M7002" s="184"/>
      <c r="N7002" s="184"/>
      <c r="O7002" s="184"/>
    </row>
    <row r="7003" customFormat="false" ht="15" hidden="false" customHeight="true" outlineLevel="0" collapsed="false">
      <c r="A7003" s="184"/>
      <c r="B7003" s="184"/>
      <c r="C7003" s="184"/>
      <c r="D7003" s="184"/>
      <c r="E7003" s="184"/>
      <c r="F7003" s="184"/>
      <c r="G7003" s="184"/>
      <c r="H7003" s="184"/>
      <c r="I7003" s="184"/>
      <c r="J7003" s="184"/>
      <c r="K7003" s="184"/>
      <c r="L7003" s="184"/>
      <c r="M7003" s="184"/>
      <c r="N7003" s="184"/>
      <c r="O7003" s="184"/>
    </row>
    <row r="7004" customFormat="false" ht="15" hidden="false" customHeight="true" outlineLevel="0" collapsed="false">
      <c r="A7004" s="184"/>
      <c r="B7004" s="184"/>
      <c r="C7004" s="184"/>
      <c r="D7004" s="184"/>
      <c r="E7004" s="184"/>
      <c r="F7004" s="184"/>
      <c r="G7004" s="184"/>
      <c r="H7004" s="184"/>
      <c r="I7004" s="184"/>
      <c r="J7004" s="184"/>
      <c r="K7004" s="184"/>
      <c r="L7004" s="184"/>
      <c r="M7004" s="184"/>
      <c r="N7004" s="184"/>
      <c r="O7004" s="184"/>
    </row>
    <row r="7005" customFormat="false" ht="15" hidden="false" customHeight="true" outlineLevel="0" collapsed="false">
      <c r="A7005" s="184"/>
      <c r="B7005" s="184"/>
      <c r="C7005" s="184"/>
      <c r="D7005" s="184"/>
      <c r="E7005" s="184"/>
      <c r="F7005" s="184"/>
      <c r="G7005" s="184"/>
      <c r="H7005" s="184"/>
      <c r="I7005" s="184"/>
      <c r="J7005" s="184"/>
      <c r="K7005" s="184"/>
      <c r="L7005" s="184"/>
      <c r="M7005" s="184"/>
      <c r="N7005" s="184"/>
      <c r="O7005" s="184"/>
    </row>
    <row r="7006" customFormat="false" ht="15" hidden="false" customHeight="true" outlineLevel="0" collapsed="false">
      <c r="A7006" s="184"/>
      <c r="B7006" s="184"/>
      <c r="C7006" s="184"/>
      <c r="D7006" s="184"/>
      <c r="E7006" s="184"/>
      <c r="F7006" s="184"/>
      <c r="G7006" s="184"/>
      <c r="H7006" s="184"/>
      <c r="I7006" s="184"/>
      <c r="J7006" s="184"/>
      <c r="K7006" s="184"/>
      <c r="L7006" s="184"/>
      <c r="M7006" s="184"/>
      <c r="N7006" s="184"/>
      <c r="O7006" s="184"/>
    </row>
    <row r="7007" customFormat="false" ht="15" hidden="false" customHeight="true" outlineLevel="0" collapsed="false">
      <c r="A7007" s="184"/>
      <c r="B7007" s="184"/>
      <c r="C7007" s="184"/>
      <c r="D7007" s="184"/>
      <c r="E7007" s="184"/>
      <c r="F7007" s="184"/>
      <c r="G7007" s="184"/>
      <c r="H7007" s="184"/>
      <c r="I7007" s="184"/>
      <c r="J7007" s="184"/>
      <c r="K7007" s="184"/>
      <c r="L7007" s="184"/>
      <c r="M7007" s="184"/>
      <c r="N7007" s="184"/>
      <c r="O7007" s="184"/>
    </row>
    <row r="7008" customFormat="false" ht="15" hidden="false" customHeight="true" outlineLevel="0" collapsed="false">
      <c r="A7008" s="184"/>
      <c r="B7008" s="184"/>
      <c r="C7008" s="184"/>
      <c r="D7008" s="184"/>
      <c r="E7008" s="184"/>
      <c r="F7008" s="184"/>
      <c r="G7008" s="184"/>
      <c r="H7008" s="184"/>
      <c r="I7008" s="184"/>
      <c r="J7008" s="184"/>
      <c r="K7008" s="184"/>
      <c r="L7008" s="184"/>
      <c r="M7008" s="184"/>
      <c r="N7008" s="184"/>
      <c r="O7008" s="184"/>
    </row>
    <row r="7009" customFormat="false" ht="15" hidden="false" customHeight="true" outlineLevel="0" collapsed="false">
      <c r="A7009" s="184"/>
      <c r="B7009" s="184"/>
      <c r="C7009" s="184"/>
      <c r="D7009" s="184"/>
      <c r="E7009" s="184"/>
      <c r="F7009" s="184"/>
      <c r="G7009" s="184"/>
      <c r="H7009" s="184"/>
      <c r="I7009" s="184"/>
      <c r="J7009" s="184"/>
      <c r="K7009" s="184"/>
      <c r="L7009" s="184"/>
      <c r="M7009" s="184"/>
      <c r="N7009" s="184"/>
      <c r="O7009" s="184"/>
    </row>
    <row r="7010" customFormat="false" ht="15" hidden="false" customHeight="true" outlineLevel="0" collapsed="false">
      <c r="A7010" s="184"/>
      <c r="B7010" s="184"/>
      <c r="C7010" s="184"/>
      <c r="D7010" s="184"/>
      <c r="E7010" s="184"/>
      <c r="F7010" s="184"/>
      <c r="G7010" s="184"/>
      <c r="H7010" s="184"/>
      <c r="I7010" s="184"/>
      <c r="J7010" s="184"/>
      <c r="K7010" s="184"/>
      <c r="L7010" s="184"/>
      <c r="M7010" s="184"/>
      <c r="N7010" s="184"/>
      <c r="O7010" s="184"/>
    </row>
    <row r="7011" customFormat="false" ht="15" hidden="false" customHeight="true" outlineLevel="0" collapsed="false">
      <c r="A7011" s="184"/>
      <c r="B7011" s="184"/>
      <c r="C7011" s="184"/>
      <c r="D7011" s="184"/>
      <c r="E7011" s="184"/>
      <c r="F7011" s="184"/>
      <c r="G7011" s="184"/>
      <c r="H7011" s="184"/>
      <c r="I7011" s="184"/>
      <c r="J7011" s="184"/>
      <c r="K7011" s="184"/>
      <c r="L7011" s="184"/>
      <c r="M7011" s="184"/>
      <c r="N7011" s="184"/>
      <c r="O7011" s="184"/>
    </row>
    <row r="7012" customFormat="false" ht="15" hidden="false" customHeight="true" outlineLevel="0" collapsed="false">
      <c r="A7012" s="184"/>
      <c r="B7012" s="184"/>
      <c r="C7012" s="184"/>
      <c r="D7012" s="184"/>
      <c r="E7012" s="184"/>
      <c r="F7012" s="184"/>
      <c r="G7012" s="184"/>
      <c r="H7012" s="184"/>
      <c r="I7012" s="184"/>
      <c r="J7012" s="184"/>
      <c r="K7012" s="184"/>
      <c r="L7012" s="184"/>
      <c r="M7012" s="184"/>
      <c r="N7012" s="184"/>
      <c r="O7012" s="184"/>
    </row>
    <row r="7013" customFormat="false" ht="15" hidden="false" customHeight="true" outlineLevel="0" collapsed="false">
      <c r="A7013" s="184"/>
      <c r="B7013" s="184"/>
      <c r="C7013" s="184"/>
      <c r="D7013" s="184"/>
      <c r="E7013" s="184"/>
      <c r="F7013" s="184"/>
      <c r="G7013" s="184"/>
      <c r="H7013" s="184"/>
      <c r="I7013" s="184"/>
      <c r="J7013" s="184"/>
      <c r="K7013" s="184"/>
      <c r="L7013" s="184"/>
      <c r="M7013" s="184"/>
      <c r="N7013" s="184"/>
      <c r="O7013" s="184"/>
    </row>
    <row r="7014" customFormat="false" ht="15" hidden="false" customHeight="true" outlineLevel="0" collapsed="false">
      <c r="A7014" s="184"/>
      <c r="B7014" s="184"/>
      <c r="C7014" s="184"/>
      <c r="D7014" s="184"/>
      <c r="E7014" s="184"/>
      <c r="F7014" s="184"/>
      <c r="G7014" s="184"/>
      <c r="H7014" s="184"/>
      <c r="I7014" s="184"/>
      <c r="J7014" s="184"/>
      <c r="K7014" s="184"/>
      <c r="L7014" s="184"/>
      <c r="M7014" s="184"/>
      <c r="N7014" s="184"/>
      <c r="O7014" s="184"/>
    </row>
    <row r="7015" customFormat="false" ht="15" hidden="false" customHeight="true" outlineLevel="0" collapsed="false">
      <c r="A7015" s="184"/>
      <c r="B7015" s="184"/>
      <c r="C7015" s="184"/>
      <c r="D7015" s="184"/>
      <c r="E7015" s="184"/>
      <c r="F7015" s="184"/>
      <c r="G7015" s="184"/>
      <c r="H7015" s="184"/>
      <c r="I7015" s="184"/>
      <c r="J7015" s="184"/>
      <c r="K7015" s="184"/>
      <c r="L7015" s="184"/>
      <c r="M7015" s="184"/>
      <c r="N7015" s="184"/>
      <c r="O7015" s="184"/>
    </row>
    <row r="7016" customFormat="false" ht="15" hidden="false" customHeight="true" outlineLevel="0" collapsed="false">
      <c r="A7016" s="184"/>
      <c r="B7016" s="184"/>
      <c r="C7016" s="184"/>
      <c r="D7016" s="184"/>
      <c r="E7016" s="184"/>
      <c r="F7016" s="184"/>
      <c r="G7016" s="184"/>
      <c r="H7016" s="184"/>
      <c r="I7016" s="184"/>
      <c r="J7016" s="184"/>
      <c r="K7016" s="184"/>
      <c r="L7016" s="184"/>
      <c r="M7016" s="184"/>
      <c r="N7016" s="184"/>
      <c r="O7016" s="184"/>
    </row>
    <row r="7017" customFormat="false" ht="15" hidden="false" customHeight="true" outlineLevel="0" collapsed="false">
      <c r="A7017" s="184"/>
      <c r="B7017" s="184"/>
      <c r="C7017" s="184"/>
      <c r="D7017" s="184"/>
      <c r="E7017" s="184"/>
      <c r="F7017" s="184"/>
      <c r="G7017" s="184"/>
      <c r="H7017" s="184"/>
      <c r="I7017" s="184"/>
      <c r="J7017" s="184"/>
      <c r="K7017" s="184"/>
      <c r="L7017" s="184"/>
      <c r="M7017" s="184"/>
      <c r="N7017" s="184"/>
      <c r="O7017" s="184"/>
    </row>
    <row r="7018" customFormat="false" ht="15" hidden="false" customHeight="true" outlineLevel="0" collapsed="false">
      <c r="A7018" s="184"/>
      <c r="B7018" s="184"/>
      <c r="C7018" s="184"/>
      <c r="D7018" s="184"/>
      <c r="E7018" s="184"/>
      <c r="F7018" s="184"/>
      <c r="G7018" s="184"/>
      <c r="H7018" s="184"/>
      <c r="I7018" s="184"/>
      <c r="J7018" s="184"/>
      <c r="K7018" s="184"/>
      <c r="L7018" s="184"/>
      <c r="M7018" s="184"/>
      <c r="N7018" s="184"/>
      <c r="O7018" s="184"/>
    </row>
    <row r="7019" customFormat="false" ht="15" hidden="false" customHeight="true" outlineLevel="0" collapsed="false">
      <c r="A7019" s="184"/>
      <c r="B7019" s="184"/>
      <c r="C7019" s="184"/>
      <c r="D7019" s="184"/>
      <c r="E7019" s="184"/>
      <c r="F7019" s="184"/>
      <c r="G7019" s="184"/>
      <c r="H7019" s="184"/>
      <c r="I7019" s="184"/>
      <c r="J7019" s="184"/>
      <c r="K7019" s="184"/>
      <c r="L7019" s="184"/>
      <c r="M7019" s="184"/>
      <c r="N7019" s="184"/>
      <c r="O7019" s="184"/>
    </row>
    <row r="7020" customFormat="false" ht="15" hidden="false" customHeight="true" outlineLevel="0" collapsed="false">
      <c r="A7020" s="184"/>
      <c r="B7020" s="184"/>
      <c r="C7020" s="184"/>
      <c r="D7020" s="184"/>
      <c r="E7020" s="184"/>
      <c r="F7020" s="184"/>
      <c r="G7020" s="184"/>
      <c r="H7020" s="184"/>
      <c r="I7020" s="184"/>
      <c r="J7020" s="184"/>
      <c r="K7020" s="184"/>
      <c r="L7020" s="184"/>
      <c r="M7020" s="184"/>
      <c r="N7020" s="184"/>
      <c r="O7020" s="184"/>
    </row>
    <row r="7021" customFormat="false" ht="15" hidden="false" customHeight="true" outlineLevel="0" collapsed="false">
      <c r="A7021" s="184"/>
      <c r="B7021" s="184"/>
      <c r="C7021" s="184"/>
      <c r="D7021" s="184"/>
      <c r="E7021" s="184"/>
      <c r="F7021" s="184"/>
      <c r="G7021" s="184"/>
      <c r="H7021" s="184"/>
      <c r="I7021" s="184"/>
      <c r="J7021" s="184"/>
      <c r="K7021" s="184"/>
      <c r="L7021" s="184"/>
      <c r="M7021" s="184"/>
      <c r="N7021" s="184"/>
      <c r="O7021" s="184"/>
    </row>
    <row r="7022" customFormat="false" ht="15" hidden="false" customHeight="true" outlineLevel="0" collapsed="false">
      <c r="A7022" s="184"/>
      <c r="B7022" s="184"/>
      <c r="C7022" s="184"/>
      <c r="D7022" s="184"/>
      <c r="E7022" s="184"/>
      <c r="F7022" s="184"/>
      <c r="G7022" s="184"/>
      <c r="H7022" s="184"/>
      <c r="I7022" s="184"/>
      <c r="J7022" s="184"/>
      <c r="K7022" s="184"/>
      <c r="L7022" s="184"/>
      <c r="M7022" s="184"/>
      <c r="N7022" s="184"/>
      <c r="O7022" s="184"/>
    </row>
    <row r="7023" customFormat="false" ht="15" hidden="false" customHeight="true" outlineLevel="0" collapsed="false">
      <c r="A7023" s="184"/>
      <c r="B7023" s="184"/>
      <c r="C7023" s="184"/>
      <c r="D7023" s="184"/>
      <c r="E7023" s="184"/>
      <c r="F7023" s="184"/>
      <c r="G7023" s="184"/>
      <c r="H7023" s="184"/>
      <c r="I7023" s="184"/>
      <c r="J7023" s="184"/>
      <c r="K7023" s="184"/>
      <c r="L7023" s="184"/>
      <c r="M7023" s="184"/>
      <c r="N7023" s="184"/>
      <c r="O7023" s="184"/>
    </row>
    <row r="7024" customFormat="false" ht="15" hidden="false" customHeight="true" outlineLevel="0" collapsed="false">
      <c r="A7024" s="184"/>
      <c r="B7024" s="184"/>
      <c r="C7024" s="184"/>
      <c r="D7024" s="184"/>
      <c r="E7024" s="184"/>
      <c r="F7024" s="184"/>
      <c r="G7024" s="184"/>
      <c r="H7024" s="184"/>
      <c r="I7024" s="184"/>
      <c r="J7024" s="184"/>
      <c r="K7024" s="184"/>
      <c r="L7024" s="184"/>
      <c r="M7024" s="184"/>
      <c r="N7024" s="184"/>
      <c r="O7024" s="184"/>
    </row>
    <row r="7025" customFormat="false" ht="15" hidden="false" customHeight="true" outlineLevel="0" collapsed="false">
      <c r="A7025" s="184"/>
      <c r="B7025" s="184"/>
      <c r="C7025" s="184"/>
      <c r="D7025" s="184"/>
      <c r="E7025" s="184"/>
      <c r="F7025" s="184"/>
      <c r="G7025" s="184"/>
      <c r="H7025" s="184"/>
      <c r="I7025" s="184"/>
      <c r="J7025" s="184"/>
      <c r="K7025" s="184"/>
      <c r="L7025" s="184"/>
      <c r="M7025" s="184"/>
      <c r="N7025" s="184"/>
      <c r="O7025" s="184"/>
    </row>
    <row r="7026" customFormat="false" ht="15" hidden="false" customHeight="true" outlineLevel="0" collapsed="false">
      <c r="A7026" s="184"/>
      <c r="B7026" s="184"/>
      <c r="C7026" s="184"/>
      <c r="D7026" s="184"/>
      <c r="E7026" s="184"/>
      <c r="F7026" s="184"/>
      <c r="G7026" s="184"/>
      <c r="H7026" s="184"/>
      <c r="I7026" s="184"/>
      <c r="J7026" s="184"/>
      <c r="K7026" s="184"/>
      <c r="L7026" s="184"/>
      <c r="M7026" s="184"/>
      <c r="N7026" s="184"/>
      <c r="O7026" s="184"/>
    </row>
    <row r="7027" customFormat="false" ht="15" hidden="false" customHeight="true" outlineLevel="0" collapsed="false">
      <c r="A7027" s="184"/>
      <c r="B7027" s="184"/>
      <c r="C7027" s="184"/>
      <c r="D7027" s="184"/>
      <c r="E7027" s="184"/>
      <c r="F7027" s="184"/>
      <c r="G7027" s="184"/>
      <c r="H7027" s="184"/>
      <c r="I7027" s="184"/>
      <c r="J7027" s="184"/>
      <c r="K7027" s="184"/>
      <c r="L7027" s="184"/>
      <c r="M7027" s="184"/>
      <c r="N7027" s="184"/>
      <c r="O7027" s="184"/>
    </row>
    <row r="7028" customFormat="false" ht="15" hidden="false" customHeight="true" outlineLevel="0" collapsed="false">
      <c r="A7028" s="184"/>
      <c r="B7028" s="184"/>
      <c r="C7028" s="184"/>
      <c r="D7028" s="184"/>
      <c r="E7028" s="184"/>
      <c r="F7028" s="184"/>
      <c r="G7028" s="184"/>
      <c r="H7028" s="184"/>
      <c r="I7028" s="184"/>
      <c r="J7028" s="184"/>
      <c r="K7028" s="184"/>
      <c r="L7028" s="184"/>
      <c r="M7028" s="184"/>
      <c r="N7028" s="184"/>
      <c r="O7028" s="184"/>
    </row>
    <row r="7029" customFormat="false" ht="15" hidden="false" customHeight="true" outlineLevel="0" collapsed="false">
      <c r="A7029" s="184"/>
      <c r="B7029" s="184"/>
      <c r="C7029" s="184"/>
      <c r="D7029" s="184"/>
      <c r="E7029" s="184"/>
      <c r="F7029" s="184"/>
      <c r="G7029" s="184"/>
      <c r="H7029" s="184"/>
      <c r="I7029" s="184"/>
      <c r="J7029" s="184"/>
      <c r="K7029" s="184"/>
      <c r="L7029" s="184"/>
      <c r="M7029" s="184"/>
      <c r="N7029" s="184"/>
      <c r="O7029" s="184"/>
    </row>
    <row r="7030" customFormat="false" ht="15" hidden="false" customHeight="true" outlineLevel="0" collapsed="false">
      <c r="A7030" s="184"/>
      <c r="B7030" s="184"/>
      <c r="C7030" s="184"/>
      <c r="D7030" s="184"/>
      <c r="E7030" s="184"/>
      <c r="F7030" s="184"/>
      <c r="G7030" s="184"/>
      <c r="H7030" s="184"/>
      <c r="I7030" s="184"/>
      <c r="J7030" s="184"/>
      <c r="K7030" s="184"/>
      <c r="L7030" s="184"/>
      <c r="M7030" s="184"/>
      <c r="N7030" s="184"/>
      <c r="O7030" s="184"/>
    </row>
    <row r="7031" customFormat="false" ht="15" hidden="false" customHeight="true" outlineLevel="0" collapsed="false">
      <c r="A7031" s="184"/>
      <c r="B7031" s="184"/>
      <c r="C7031" s="184"/>
      <c r="D7031" s="184"/>
      <c r="E7031" s="184"/>
      <c r="F7031" s="184"/>
      <c r="G7031" s="184"/>
      <c r="H7031" s="184"/>
      <c r="I7031" s="184"/>
      <c r="J7031" s="184"/>
      <c r="K7031" s="184"/>
      <c r="L7031" s="184"/>
      <c r="M7031" s="184"/>
      <c r="N7031" s="184"/>
      <c r="O7031" s="184"/>
    </row>
    <row r="7032" customFormat="false" ht="15" hidden="false" customHeight="true" outlineLevel="0" collapsed="false">
      <c r="A7032" s="184"/>
      <c r="B7032" s="184"/>
      <c r="C7032" s="184"/>
      <c r="D7032" s="184"/>
      <c r="E7032" s="184"/>
      <c r="F7032" s="184"/>
      <c r="G7032" s="184"/>
      <c r="H7032" s="184"/>
      <c r="I7032" s="184"/>
      <c r="J7032" s="184"/>
      <c r="K7032" s="184"/>
      <c r="L7032" s="184"/>
      <c r="M7032" s="184"/>
      <c r="N7032" s="184"/>
      <c r="O7032" s="184"/>
    </row>
    <row r="7033" customFormat="false" ht="15" hidden="false" customHeight="true" outlineLevel="0" collapsed="false">
      <c r="A7033" s="184"/>
      <c r="B7033" s="184"/>
      <c r="C7033" s="184"/>
      <c r="D7033" s="184"/>
      <c r="E7033" s="184"/>
      <c r="F7033" s="184"/>
      <c r="G7033" s="184"/>
      <c r="H7033" s="184"/>
      <c r="I7033" s="184"/>
      <c r="J7033" s="184"/>
      <c r="K7033" s="184"/>
      <c r="L7033" s="184"/>
      <c r="M7033" s="184"/>
      <c r="N7033" s="184"/>
      <c r="O7033" s="184"/>
    </row>
    <row r="7034" customFormat="false" ht="15" hidden="false" customHeight="true" outlineLevel="0" collapsed="false">
      <c r="A7034" s="184"/>
      <c r="B7034" s="184"/>
      <c r="C7034" s="184"/>
      <c r="D7034" s="184"/>
      <c r="E7034" s="184"/>
      <c r="F7034" s="184"/>
      <c r="G7034" s="184"/>
      <c r="H7034" s="184"/>
      <c r="I7034" s="184"/>
      <c r="J7034" s="184"/>
      <c r="K7034" s="184"/>
      <c r="L7034" s="184"/>
      <c r="M7034" s="184"/>
      <c r="N7034" s="184"/>
      <c r="O7034" s="184"/>
    </row>
    <row r="7035" customFormat="false" ht="15" hidden="false" customHeight="true" outlineLevel="0" collapsed="false">
      <c r="A7035" s="184"/>
      <c r="B7035" s="184"/>
      <c r="C7035" s="184"/>
      <c r="D7035" s="184"/>
      <c r="E7035" s="184"/>
      <c r="F7035" s="184"/>
      <c r="G7035" s="184"/>
      <c r="H7035" s="184"/>
      <c r="I7035" s="184"/>
      <c r="J7035" s="184"/>
      <c r="K7035" s="184"/>
      <c r="L7035" s="184"/>
      <c r="M7035" s="184"/>
      <c r="N7035" s="184"/>
      <c r="O7035" s="184"/>
    </row>
    <row r="7036" customFormat="false" ht="15" hidden="false" customHeight="true" outlineLevel="0" collapsed="false">
      <c r="A7036" s="184"/>
      <c r="B7036" s="184"/>
      <c r="C7036" s="184"/>
      <c r="D7036" s="184"/>
      <c r="E7036" s="184"/>
      <c r="F7036" s="184"/>
      <c r="G7036" s="184"/>
      <c r="H7036" s="184"/>
      <c r="I7036" s="184"/>
      <c r="J7036" s="184"/>
      <c r="K7036" s="184"/>
      <c r="L7036" s="184"/>
      <c r="M7036" s="184"/>
      <c r="N7036" s="184"/>
      <c r="O7036" s="184"/>
    </row>
    <row r="7037" customFormat="false" ht="15" hidden="false" customHeight="true" outlineLevel="0" collapsed="false">
      <c r="A7037" s="184"/>
      <c r="B7037" s="184"/>
      <c r="C7037" s="184"/>
      <c r="D7037" s="184"/>
      <c r="E7037" s="184"/>
      <c r="F7037" s="184"/>
      <c r="G7037" s="184"/>
      <c r="H7037" s="184"/>
      <c r="I7037" s="184"/>
      <c r="J7037" s="184"/>
      <c r="K7037" s="184"/>
      <c r="L7037" s="184"/>
      <c r="M7037" s="184"/>
      <c r="N7037" s="184"/>
      <c r="O7037" s="184"/>
    </row>
    <row r="7038" customFormat="false" ht="15" hidden="false" customHeight="true" outlineLevel="0" collapsed="false">
      <c r="A7038" s="184"/>
      <c r="B7038" s="184"/>
      <c r="C7038" s="184"/>
      <c r="D7038" s="184"/>
      <c r="E7038" s="184"/>
      <c r="F7038" s="184"/>
      <c r="G7038" s="184"/>
      <c r="H7038" s="184"/>
      <c r="I7038" s="184"/>
      <c r="J7038" s="184"/>
      <c r="K7038" s="184"/>
      <c r="L7038" s="184"/>
      <c r="M7038" s="184"/>
      <c r="N7038" s="184"/>
      <c r="O7038" s="184"/>
    </row>
    <row r="7039" customFormat="false" ht="15" hidden="false" customHeight="true" outlineLevel="0" collapsed="false">
      <c r="A7039" s="184"/>
      <c r="B7039" s="184"/>
      <c r="C7039" s="184"/>
      <c r="D7039" s="184"/>
      <c r="E7039" s="184"/>
      <c r="F7039" s="184"/>
      <c r="G7039" s="184"/>
      <c r="H7039" s="184"/>
      <c r="I7039" s="184"/>
      <c r="J7039" s="184"/>
      <c r="K7039" s="184"/>
      <c r="L7039" s="184"/>
      <c r="M7039" s="184"/>
      <c r="N7039" s="184"/>
      <c r="O7039" s="184"/>
    </row>
    <row r="7040" customFormat="false" ht="15" hidden="false" customHeight="true" outlineLevel="0" collapsed="false">
      <c r="A7040" s="184"/>
      <c r="B7040" s="184"/>
      <c r="C7040" s="184"/>
      <c r="D7040" s="184"/>
      <c r="E7040" s="184"/>
      <c r="F7040" s="184"/>
      <c r="G7040" s="184"/>
      <c r="H7040" s="184"/>
      <c r="I7040" s="184"/>
      <c r="J7040" s="184"/>
      <c r="K7040" s="184"/>
      <c r="L7040" s="184"/>
      <c r="M7040" s="184"/>
      <c r="N7040" s="184"/>
      <c r="O7040" s="184"/>
    </row>
    <row r="7041" customFormat="false" ht="15" hidden="false" customHeight="true" outlineLevel="0" collapsed="false">
      <c r="A7041" s="184"/>
      <c r="B7041" s="184"/>
      <c r="C7041" s="184"/>
      <c r="D7041" s="184"/>
      <c r="E7041" s="184"/>
      <c r="F7041" s="184"/>
      <c r="G7041" s="184"/>
      <c r="H7041" s="184"/>
      <c r="I7041" s="184"/>
      <c r="J7041" s="184"/>
      <c r="K7041" s="184"/>
      <c r="L7041" s="184"/>
      <c r="M7041" s="184"/>
      <c r="N7041" s="184"/>
      <c r="O7041" s="184"/>
    </row>
    <row r="7042" customFormat="false" ht="15" hidden="false" customHeight="true" outlineLevel="0" collapsed="false">
      <c r="A7042" s="184"/>
      <c r="B7042" s="184"/>
      <c r="C7042" s="184"/>
      <c r="D7042" s="184"/>
      <c r="E7042" s="184"/>
      <c r="F7042" s="184"/>
      <c r="G7042" s="184"/>
      <c r="H7042" s="184"/>
      <c r="I7042" s="184"/>
      <c r="J7042" s="184"/>
      <c r="K7042" s="184"/>
      <c r="L7042" s="184"/>
      <c r="M7042" s="184"/>
      <c r="N7042" s="184"/>
      <c r="O7042" s="184"/>
    </row>
    <row r="7043" customFormat="false" ht="15" hidden="false" customHeight="true" outlineLevel="0" collapsed="false">
      <c r="A7043" s="184"/>
      <c r="B7043" s="184"/>
      <c r="C7043" s="184"/>
      <c r="D7043" s="184"/>
      <c r="E7043" s="184"/>
      <c r="F7043" s="184"/>
      <c r="G7043" s="184"/>
      <c r="H7043" s="184"/>
      <c r="I7043" s="184"/>
      <c r="J7043" s="184"/>
      <c r="K7043" s="184"/>
      <c r="L7043" s="184"/>
      <c r="M7043" s="184"/>
      <c r="N7043" s="184"/>
      <c r="O7043" s="184"/>
    </row>
    <row r="7044" customFormat="false" ht="15" hidden="false" customHeight="true" outlineLevel="0" collapsed="false">
      <c r="A7044" s="184"/>
      <c r="B7044" s="184"/>
      <c r="C7044" s="184"/>
      <c r="D7044" s="184"/>
      <c r="E7044" s="184"/>
      <c r="F7044" s="184"/>
      <c r="G7044" s="184"/>
      <c r="H7044" s="184"/>
      <c r="I7044" s="184"/>
      <c r="J7044" s="184"/>
      <c r="K7044" s="184"/>
      <c r="L7044" s="184"/>
      <c r="M7044" s="184"/>
      <c r="N7044" s="184"/>
      <c r="O7044" s="184"/>
    </row>
    <row r="7045" customFormat="false" ht="15" hidden="false" customHeight="true" outlineLevel="0" collapsed="false">
      <c r="A7045" s="184"/>
      <c r="B7045" s="184"/>
      <c r="C7045" s="184"/>
      <c r="D7045" s="184"/>
      <c r="E7045" s="184"/>
      <c r="F7045" s="184"/>
      <c r="G7045" s="184"/>
      <c r="H7045" s="184"/>
      <c r="I7045" s="184"/>
      <c r="J7045" s="184"/>
      <c r="K7045" s="184"/>
      <c r="L7045" s="184"/>
      <c r="M7045" s="184"/>
      <c r="N7045" s="184"/>
      <c r="O7045" s="184"/>
    </row>
    <row r="7046" customFormat="false" ht="15" hidden="false" customHeight="true" outlineLevel="0" collapsed="false">
      <c r="A7046" s="184"/>
      <c r="B7046" s="184"/>
      <c r="C7046" s="184"/>
      <c r="D7046" s="184"/>
      <c r="E7046" s="184"/>
      <c r="F7046" s="184"/>
      <c r="G7046" s="184"/>
      <c r="H7046" s="184"/>
      <c r="I7046" s="184"/>
      <c r="J7046" s="184"/>
      <c r="K7046" s="184"/>
      <c r="L7046" s="184"/>
      <c r="M7046" s="184"/>
      <c r="N7046" s="184"/>
      <c r="O7046" s="184"/>
    </row>
    <row r="7047" customFormat="false" ht="15" hidden="false" customHeight="true" outlineLevel="0" collapsed="false">
      <c r="A7047" s="184"/>
      <c r="B7047" s="184"/>
      <c r="C7047" s="184"/>
      <c r="D7047" s="184"/>
      <c r="E7047" s="184"/>
      <c r="F7047" s="184"/>
      <c r="G7047" s="184"/>
      <c r="H7047" s="184"/>
      <c r="I7047" s="184"/>
      <c r="J7047" s="184"/>
      <c r="K7047" s="184"/>
      <c r="L7047" s="184"/>
      <c r="M7047" s="184"/>
      <c r="N7047" s="184"/>
      <c r="O7047" s="184"/>
    </row>
    <row r="7048" customFormat="false" ht="15" hidden="false" customHeight="true" outlineLevel="0" collapsed="false">
      <c r="A7048" s="184"/>
      <c r="B7048" s="184"/>
      <c r="C7048" s="184"/>
      <c r="D7048" s="184"/>
      <c r="E7048" s="184"/>
      <c r="F7048" s="184"/>
      <c r="G7048" s="184"/>
      <c r="H7048" s="184"/>
      <c r="I7048" s="184"/>
      <c r="J7048" s="184"/>
      <c r="K7048" s="184"/>
      <c r="L7048" s="184"/>
      <c r="M7048" s="184"/>
      <c r="N7048" s="184"/>
      <c r="O7048" s="184"/>
    </row>
    <row r="7049" customFormat="false" ht="15" hidden="false" customHeight="true" outlineLevel="0" collapsed="false">
      <c r="A7049" s="184"/>
      <c r="B7049" s="184"/>
      <c r="C7049" s="184"/>
      <c r="D7049" s="184"/>
      <c r="E7049" s="184"/>
      <c r="F7049" s="184"/>
      <c r="G7049" s="184"/>
      <c r="H7049" s="184"/>
      <c r="I7049" s="184"/>
      <c r="J7049" s="184"/>
      <c r="K7049" s="184"/>
      <c r="L7049" s="184"/>
      <c r="M7049" s="184"/>
      <c r="N7049" s="184"/>
      <c r="O7049" s="184"/>
    </row>
    <row r="7050" customFormat="false" ht="15" hidden="false" customHeight="true" outlineLevel="0" collapsed="false">
      <c r="A7050" s="184"/>
      <c r="B7050" s="184"/>
      <c r="C7050" s="184"/>
      <c r="D7050" s="184"/>
      <c r="E7050" s="184"/>
      <c r="F7050" s="184"/>
      <c r="G7050" s="184"/>
      <c r="H7050" s="184"/>
      <c r="I7050" s="184"/>
      <c r="J7050" s="184"/>
      <c r="K7050" s="184"/>
      <c r="L7050" s="184"/>
      <c r="M7050" s="184"/>
      <c r="N7050" s="184"/>
      <c r="O7050" s="184"/>
    </row>
    <row r="7051" customFormat="false" ht="15" hidden="false" customHeight="true" outlineLevel="0" collapsed="false">
      <c r="A7051" s="184"/>
      <c r="B7051" s="184"/>
      <c r="C7051" s="184"/>
      <c r="D7051" s="184"/>
      <c r="E7051" s="184"/>
      <c r="F7051" s="184"/>
      <c r="G7051" s="184"/>
      <c r="H7051" s="184"/>
      <c r="I7051" s="184"/>
      <c r="J7051" s="184"/>
      <c r="K7051" s="184"/>
      <c r="L7051" s="184"/>
      <c r="M7051" s="184"/>
      <c r="N7051" s="184"/>
      <c r="O7051" s="184"/>
    </row>
    <row r="7052" customFormat="false" ht="15" hidden="false" customHeight="true" outlineLevel="0" collapsed="false">
      <c r="A7052" s="184"/>
      <c r="B7052" s="184"/>
      <c r="C7052" s="184"/>
      <c r="D7052" s="184"/>
      <c r="E7052" s="184"/>
      <c r="F7052" s="184"/>
      <c r="G7052" s="184"/>
      <c r="H7052" s="184"/>
      <c r="I7052" s="184"/>
      <c r="J7052" s="184"/>
      <c r="K7052" s="184"/>
      <c r="L7052" s="184"/>
      <c r="M7052" s="184"/>
      <c r="N7052" s="184"/>
      <c r="O7052" s="184"/>
    </row>
    <row r="7053" customFormat="false" ht="15" hidden="false" customHeight="true" outlineLevel="0" collapsed="false">
      <c r="A7053" s="184"/>
      <c r="B7053" s="184"/>
      <c r="C7053" s="184"/>
      <c r="D7053" s="184"/>
      <c r="E7053" s="184"/>
      <c r="F7053" s="184"/>
      <c r="G7053" s="184"/>
      <c r="H7053" s="184"/>
      <c r="I7053" s="184"/>
      <c r="J7053" s="184"/>
      <c r="K7053" s="184"/>
      <c r="L7053" s="184"/>
      <c r="M7053" s="184"/>
      <c r="N7053" s="184"/>
      <c r="O7053" s="184"/>
    </row>
    <row r="7054" customFormat="false" ht="15" hidden="false" customHeight="true" outlineLevel="0" collapsed="false">
      <c r="A7054" s="184"/>
      <c r="B7054" s="184"/>
      <c r="C7054" s="184"/>
      <c r="D7054" s="184"/>
      <c r="E7054" s="184"/>
      <c r="F7054" s="184"/>
      <c r="G7054" s="184"/>
      <c r="H7054" s="184"/>
      <c r="I7054" s="184"/>
      <c r="J7054" s="184"/>
      <c r="K7054" s="184"/>
      <c r="L7054" s="184"/>
      <c r="M7054" s="184"/>
      <c r="N7054" s="184"/>
      <c r="O7054" s="184"/>
    </row>
    <row r="7055" customFormat="false" ht="15" hidden="false" customHeight="true" outlineLevel="0" collapsed="false">
      <c r="A7055" s="184"/>
      <c r="B7055" s="184"/>
      <c r="C7055" s="184"/>
      <c r="D7055" s="184"/>
      <c r="E7055" s="184"/>
      <c r="F7055" s="184"/>
      <c r="G7055" s="184"/>
      <c r="H7055" s="184"/>
      <c r="I7055" s="184"/>
      <c r="J7055" s="184"/>
      <c r="K7055" s="184"/>
      <c r="L7055" s="184"/>
      <c r="M7055" s="184"/>
      <c r="N7055" s="184"/>
      <c r="O7055" s="184"/>
    </row>
    <row r="7056" customFormat="false" ht="15" hidden="false" customHeight="true" outlineLevel="0" collapsed="false">
      <c r="A7056" s="184"/>
      <c r="B7056" s="184"/>
      <c r="C7056" s="184"/>
      <c r="D7056" s="184"/>
      <c r="E7056" s="184"/>
      <c r="F7056" s="184"/>
      <c r="G7056" s="184"/>
      <c r="H7056" s="184"/>
      <c r="I7056" s="184"/>
      <c r="J7056" s="184"/>
      <c r="K7056" s="184"/>
      <c r="L7056" s="184"/>
      <c r="M7056" s="184"/>
      <c r="N7056" s="184"/>
      <c r="O7056" s="184"/>
    </row>
    <row r="7057" customFormat="false" ht="15" hidden="false" customHeight="true" outlineLevel="0" collapsed="false">
      <c r="A7057" s="184"/>
      <c r="B7057" s="184"/>
      <c r="C7057" s="184"/>
      <c r="D7057" s="184"/>
      <c r="E7057" s="184"/>
      <c r="F7057" s="184"/>
      <c r="G7057" s="184"/>
      <c r="H7057" s="184"/>
      <c r="I7057" s="184"/>
      <c r="J7057" s="184"/>
      <c r="K7057" s="184"/>
      <c r="L7057" s="184"/>
      <c r="M7057" s="184"/>
      <c r="N7057" s="184"/>
      <c r="O7057" s="184"/>
    </row>
    <row r="7058" customFormat="false" ht="15" hidden="false" customHeight="true" outlineLevel="0" collapsed="false">
      <c r="A7058" s="184"/>
      <c r="B7058" s="184"/>
      <c r="C7058" s="184"/>
      <c r="D7058" s="184"/>
      <c r="E7058" s="184"/>
      <c r="F7058" s="184"/>
      <c r="G7058" s="184"/>
      <c r="H7058" s="184"/>
      <c r="I7058" s="184"/>
      <c r="J7058" s="184"/>
      <c r="K7058" s="184"/>
      <c r="L7058" s="184"/>
      <c r="M7058" s="184"/>
      <c r="N7058" s="184"/>
      <c r="O7058" s="184"/>
    </row>
    <row r="7059" customFormat="false" ht="15" hidden="false" customHeight="true" outlineLevel="0" collapsed="false">
      <c r="A7059" s="184"/>
      <c r="B7059" s="184"/>
      <c r="C7059" s="184"/>
      <c r="D7059" s="184"/>
      <c r="E7059" s="184"/>
      <c r="F7059" s="184"/>
      <c r="G7059" s="184"/>
      <c r="H7059" s="184"/>
      <c r="I7059" s="184"/>
      <c r="J7059" s="184"/>
      <c r="K7059" s="184"/>
      <c r="L7059" s="184"/>
      <c r="M7059" s="184"/>
      <c r="N7059" s="184"/>
      <c r="O7059" s="184"/>
    </row>
    <row r="7060" customFormat="false" ht="15" hidden="false" customHeight="true" outlineLevel="0" collapsed="false">
      <c r="A7060" s="184"/>
      <c r="B7060" s="184"/>
      <c r="C7060" s="184"/>
      <c r="D7060" s="184"/>
      <c r="E7060" s="184"/>
      <c r="F7060" s="184"/>
      <c r="G7060" s="184"/>
      <c r="H7060" s="184"/>
      <c r="I7060" s="184"/>
      <c r="J7060" s="184"/>
      <c r="K7060" s="184"/>
      <c r="L7060" s="184"/>
      <c r="M7060" s="184"/>
      <c r="N7060" s="184"/>
      <c r="O7060" s="184"/>
    </row>
    <row r="7061" customFormat="false" ht="15" hidden="false" customHeight="true" outlineLevel="0" collapsed="false">
      <c r="A7061" s="184"/>
      <c r="B7061" s="184"/>
      <c r="C7061" s="184"/>
      <c r="D7061" s="184"/>
      <c r="E7061" s="184"/>
      <c r="F7061" s="184"/>
      <c r="G7061" s="184"/>
      <c r="H7061" s="184"/>
      <c r="I7061" s="184"/>
      <c r="J7061" s="184"/>
      <c r="K7061" s="184"/>
      <c r="L7061" s="184"/>
      <c r="M7061" s="184"/>
      <c r="N7061" s="184"/>
      <c r="O7061" s="184"/>
    </row>
    <row r="7062" customFormat="false" ht="15" hidden="false" customHeight="true" outlineLevel="0" collapsed="false">
      <c r="A7062" s="184"/>
      <c r="B7062" s="184"/>
      <c r="C7062" s="184"/>
      <c r="D7062" s="184"/>
      <c r="E7062" s="184"/>
      <c r="F7062" s="184"/>
      <c r="G7062" s="184"/>
      <c r="H7062" s="184"/>
      <c r="I7062" s="184"/>
      <c r="J7062" s="184"/>
      <c r="K7062" s="184"/>
      <c r="L7062" s="184"/>
      <c r="M7062" s="184"/>
      <c r="N7062" s="184"/>
      <c r="O7062" s="184"/>
    </row>
    <row r="7063" customFormat="false" ht="15" hidden="false" customHeight="true" outlineLevel="0" collapsed="false">
      <c r="A7063" s="184"/>
      <c r="B7063" s="184"/>
      <c r="C7063" s="184"/>
      <c r="D7063" s="184"/>
      <c r="E7063" s="184"/>
      <c r="F7063" s="184"/>
      <c r="G7063" s="184"/>
      <c r="H7063" s="184"/>
      <c r="I7063" s="184"/>
      <c r="J7063" s="184"/>
      <c r="K7063" s="184"/>
      <c r="L7063" s="184"/>
      <c r="M7063" s="184"/>
      <c r="N7063" s="184"/>
      <c r="O7063" s="184"/>
    </row>
    <row r="7064" customFormat="false" ht="15" hidden="false" customHeight="true" outlineLevel="0" collapsed="false">
      <c r="A7064" s="184"/>
      <c r="B7064" s="184"/>
      <c r="C7064" s="184"/>
      <c r="D7064" s="184"/>
      <c r="E7064" s="184"/>
      <c r="F7064" s="184"/>
      <c r="G7064" s="184"/>
      <c r="H7064" s="184"/>
      <c r="I7064" s="184"/>
      <c r="J7064" s="184"/>
      <c r="K7064" s="184"/>
      <c r="L7064" s="184"/>
      <c r="M7064" s="184"/>
      <c r="N7064" s="184"/>
      <c r="O7064" s="184"/>
    </row>
    <row r="7065" customFormat="false" ht="15" hidden="false" customHeight="true" outlineLevel="0" collapsed="false">
      <c r="A7065" s="184"/>
      <c r="B7065" s="184"/>
      <c r="C7065" s="184"/>
      <c r="D7065" s="184"/>
      <c r="E7065" s="184"/>
      <c r="F7065" s="184"/>
      <c r="G7065" s="184"/>
      <c r="H7065" s="184"/>
      <c r="I7065" s="184"/>
      <c r="J7065" s="184"/>
      <c r="K7065" s="184"/>
      <c r="L7065" s="184"/>
      <c r="M7065" s="184"/>
      <c r="N7065" s="184"/>
      <c r="O7065" s="184"/>
    </row>
    <row r="7066" customFormat="false" ht="15" hidden="false" customHeight="true" outlineLevel="0" collapsed="false">
      <c r="A7066" s="184"/>
      <c r="B7066" s="184"/>
      <c r="C7066" s="184"/>
      <c r="D7066" s="184"/>
      <c r="E7066" s="184"/>
      <c r="F7066" s="184"/>
      <c r="G7066" s="184"/>
      <c r="H7066" s="184"/>
      <c r="I7066" s="184"/>
      <c r="J7066" s="184"/>
      <c r="K7066" s="184"/>
      <c r="L7066" s="184"/>
      <c r="M7066" s="184"/>
      <c r="N7066" s="184"/>
      <c r="O7066" s="184"/>
    </row>
    <row r="7067" customFormat="false" ht="15" hidden="false" customHeight="true" outlineLevel="0" collapsed="false">
      <c r="A7067" s="184"/>
      <c r="B7067" s="184"/>
      <c r="C7067" s="184"/>
      <c r="D7067" s="184"/>
      <c r="E7067" s="184"/>
      <c r="F7067" s="184"/>
      <c r="G7067" s="184"/>
      <c r="H7067" s="184"/>
      <c r="I7067" s="184"/>
      <c r="J7067" s="184"/>
      <c r="K7067" s="184"/>
      <c r="L7067" s="184"/>
      <c r="M7067" s="184"/>
      <c r="N7067" s="184"/>
      <c r="O7067" s="184"/>
    </row>
    <row r="7068" customFormat="false" ht="15" hidden="false" customHeight="true" outlineLevel="0" collapsed="false">
      <c r="A7068" s="184"/>
      <c r="B7068" s="184"/>
      <c r="C7068" s="184"/>
      <c r="D7068" s="184"/>
      <c r="E7068" s="184"/>
      <c r="F7068" s="184"/>
      <c r="G7068" s="184"/>
      <c r="H7068" s="184"/>
      <c r="I7068" s="184"/>
      <c r="J7068" s="184"/>
      <c r="K7068" s="184"/>
      <c r="L7068" s="184"/>
      <c r="M7068" s="184"/>
      <c r="N7068" s="184"/>
      <c r="O7068" s="184"/>
    </row>
    <row r="7069" customFormat="false" ht="15" hidden="false" customHeight="true" outlineLevel="0" collapsed="false">
      <c r="A7069" s="184"/>
      <c r="B7069" s="184"/>
      <c r="C7069" s="184"/>
      <c r="D7069" s="184"/>
      <c r="E7069" s="184"/>
      <c r="F7069" s="184"/>
      <c r="G7069" s="184"/>
      <c r="H7069" s="184"/>
      <c r="I7069" s="184"/>
      <c r="J7069" s="184"/>
      <c r="K7069" s="184"/>
      <c r="L7069" s="184"/>
      <c r="M7069" s="184"/>
      <c r="N7069" s="184"/>
      <c r="O7069" s="184"/>
    </row>
    <row r="7070" customFormat="false" ht="15" hidden="false" customHeight="true" outlineLevel="0" collapsed="false">
      <c r="A7070" s="184"/>
      <c r="B7070" s="184"/>
      <c r="C7070" s="184"/>
      <c r="D7070" s="184"/>
      <c r="E7070" s="184"/>
      <c r="F7070" s="184"/>
      <c r="G7070" s="184"/>
      <c r="H7070" s="184"/>
      <c r="I7070" s="184"/>
      <c r="J7070" s="184"/>
      <c r="K7070" s="184"/>
      <c r="L7070" s="184"/>
      <c r="M7070" s="184"/>
      <c r="N7070" s="184"/>
      <c r="O7070" s="184"/>
    </row>
    <row r="7071" customFormat="false" ht="15" hidden="false" customHeight="true" outlineLevel="0" collapsed="false">
      <c r="A7071" s="184"/>
      <c r="B7071" s="184"/>
      <c r="C7071" s="184"/>
      <c r="D7071" s="184"/>
      <c r="E7071" s="184"/>
      <c r="F7071" s="184"/>
      <c r="G7071" s="184"/>
      <c r="H7071" s="184"/>
      <c r="I7071" s="184"/>
      <c r="J7071" s="184"/>
      <c r="K7071" s="184"/>
      <c r="L7071" s="184"/>
      <c r="M7071" s="184"/>
      <c r="N7071" s="184"/>
      <c r="O7071" s="184"/>
    </row>
    <row r="7072" customFormat="false" ht="15" hidden="false" customHeight="true" outlineLevel="0" collapsed="false">
      <c r="A7072" s="184"/>
      <c r="B7072" s="184"/>
      <c r="C7072" s="184"/>
      <c r="D7072" s="184"/>
      <c r="E7072" s="184"/>
      <c r="F7072" s="184"/>
      <c r="G7072" s="184"/>
      <c r="H7072" s="184"/>
      <c r="I7072" s="184"/>
      <c r="J7072" s="184"/>
      <c r="K7072" s="184"/>
      <c r="L7072" s="184"/>
      <c r="M7072" s="184"/>
      <c r="N7072" s="184"/>
      <c r="O7072" s="184"/>
    </row>
    <row r="7073" customFormat="false" ht="15" hidden="false" customHeight="true" outlineLevel="0" collapsed="false">
      <c r="A7073" s="184"/>
      <c r="B7073" s="184"/>
      <c r="C7073" s="184"/>
      <c r="D7073" s="184"/>
      <c r="E7073" s="184"/>
      <c r="F7073" s="184"/>
      <c r="G7073" s="184"/>
      <c r="H7073" s="184"/>
      <c r="I7073" s="184"/>
      <c r="J7073" s="184"/>
      <c r="K7073" s="184"/>
      <c r="L7073" s="184"/>
      <c r="M7073" s="184"/>
      <c r="N7073" s="184"/>
      <c r="O7073" s="184"/>
    </row>
    <row r="7074" customFormat="false" ht="15" hidden="false" customHeight="true" outlineLevel="0" collapsed="false">
      <c r="A7074" s="184"/>
      <c r="B7074" s="184"/>
      <c r="C7074" s="184"/>
      <c r="D7074" s="184"/>
      <c r="E7074" s="184"/>
      <c r="F7074" s="184"/>
      <c r="G7074" s="184"/>
      <c r="H7074" s="184"/>
      <c r="I7074" s="184"/>
      <c r="J7074" s="184"/>
      <c r="K7074" s="184"/>
      <c r="L7074" s="184"/>
      <c r="M7074" s="184"/>
      <c r="N7074" s="184"/>
      <c r="O7074" s="184"/>
    </row>
    <row r="7075" customFormat="false" ht="15" hidden="false" customHeight="true" outlineLevel="0" collapsed="false">
      <c r="A7075" s="184"/>
      <c r="B7075" s="184"/>
      <c r="C7075" s="184"/>
      <c r="D7075" s="184"/>
      <c r="E7075" s="184"/>
      <c r="F7075" s="184"/>
      <c r="G7075" s="184"/>
      <c r="H7075" s="184"/>
      <c r="I7075" s="184"/>
      <c r="J7075" s="184"/>
      <c r="K7075" s="184"/>
      <c r="L7075" s="184"/>
      <c r="M7075" s="184"/>
      <c r="N7075" s="184"/>
      <c r="O7075" s="184"/>
    </row>
    <row r="7076" customFormat="false" ht="15" hidden="false" customHeight="true" outlineLevel="0" collapsed="false">
      <c r="A7076" s="184"/>
      <c r="B7076" s="184"/>
      <c r="C7076" s="184"/>
      <c r="D7076" s="184"/>
      <c r="E7076" s="184"/>
      <c r="F7076" s="184"/>
      <c r="G7076" s="184"/>
      <c r="H7076" s="184"/>
      <c r="I7076" s="184"/>
      <c r="J7076" s="184"/>
      <c r="K7076" s="184"/>
      <c r="L7076" s="184"/>
      <c r="M7076" s="184"/>
      <c r="N7076" s="184"/>
      <c r="O7076" s="184"/>
    </row>
    <row r="7077" customFormat="false" ht="15" hidden="false" customHeight="true" outlineLevel="0" collapsed="false">
      <c r="A7077" s="184"/>
      <c r="B7077" s="184"/>
      <c r="C7077" s="184"/>
      <c r="D7077" s="184"/>
      <c r="E7077" s="184"/>
      <c r="F7077" s="184"/>
      <c r="G7077" s="184"/>
      <c r="H7077" s="184"/>
      <c r="I7077" s="184"/>
      <c r="J7077" s="184"/>
      <c r="K7077" s="184"/>
      <c r="L7077" s="184"/>
      <c r="M7077" s="184"/>
      <c r="N7077" s="184"/>
      <c r="O7077" s="184"/>
    </row>
    <row r="7078" customFormat="false" ht="15" hidden="false" customHeight="true" outlineLevel="0" collapsed="false">
      <c r="A7078" s="184"/>
      <c r="B7078" s="184"/>
      <c r="C7078" s="184"/>
      <c r="D7078" s="184"/>
      <c r="E7078" s="184"/>
      <c r="F7078" s="184"/>
      <c r="G7078" s="184"/>
      <c r="H7078" s="184"/>
      <c r="I7078" s="184"/>
      <c r="J7078" s="184"/>
      <c r="K7078" s="184"/>
      <c r="L7078" s="184"/>
      <c r="M7078" s="184"/>
      <c r="N7078" s="184"/>
      <c r="O7078" s="184"/>
    </row>
    <row r="7079" customFormat="false" ht="15" hidden="false" customHeight="true" outlineLevel="0" collapsed="false">
      <c r="A7079" s="184"/>
      <c r="B7079" s="184"/>
      <c r="C7079" s="184"/>
      <c r="D7079" s="184"/>
      <c r="E7079" s="184"/>
      <c r="F7079" s="184"/>
      <c r="G7079" s="184"/>
      <c r="H7079" s="184"/>
      <c r="I7079" s="184"/>
      <c r="J7079" s="184"/>
      <c r="K7079" s="184"/>
      <c r="L7079" s="184"/>
      <c r="M7079" s="184"/>
      <c r="N7079" s="184"/>
      <c r="O7079" s="184"/>
    </row>
    <row r="7080" customFormat="false" ht="15" hidden="false" customHeight="true" outlineLevel="0" collapsed="false">
      <c r="A7080" s="184"/>
      <c r="B7080" s="184"/>
      <c r="C7080" s="184"/>
      <c r="D7080" s="184"/>
      <c r="E7080" s="184"/>
      <c r="F7080" s="184"/>
      <c r="G7080" s="184"/>
      <c r="H7080" s="184"/>
      <c r="I7080" s="184"/>
      <c r="J7080" s="184"/>
      <c r="K7080" s="184"/>
      <c r="L7080" s="184"/>
      <c r="M7080" s="184"/>
      <c r="N7080" s="184"/>
      <c r="O7080" s="184"/>
    </row>
    <row r="7081" customFormat="false" ht="15" hidden="false" customHeight="true" outlineLevel="0" collapsed="false">
      <c r="A7081" s="184"/>
      <c r="B7081" s="184"/>
      <c r="C7081" s="184"/>
      <c r="D7081" s="184"/>
      <c r="E7081" s="184"/>
      <c r="F7081" s="184"/>
      <c r="G7081" s="184"/>
      <c r="H7081" s="184"/>
      <c r="I7081" s="184"/>
      <c r="J7081" s="184"/>
      <c r="K7081" s="184"/>
      <c r="L7081" s="184"/>
      <c r="M7081" s="184"/>
      <c r="N7081" s="184"/>
      <c r="O7081" s="184"/>
    </row>
    <row r="7082" customFormat="false" ht="15" hidden="false" customHeight="true" outlineLevel="0" collapsed="false">
      <c r="A7082" s="184"/>
      <c r="B7082" s="184"/>
      <c r="C7082" s="184"/>
      <c r="D7082" s="184"/>
      <c r="E7082" s="184"/>
      <c r="F7082" s="184"/>
      <c r="G7082" s="184"/>
      <c r="H7082" s="184"/>
      <c r="I7082" s="184"/>
      <c r="J7082" s="184"/>
      <c r="K7082" s="184"/>
      <c r="L7082" s="184"/>
      <c r="M7082" s="184"/>
      <c r="N7082" s="184"/>
      <c r="O7082" s="184"/>
    </row>
    <row r="7083" customFormat="false" ht="15" hidden="false" customHeight="true" outlineLevel="0" collapsed="false">
      <c r="A7083" s="184"/>
      <c r="B7083" s="184"/>
      <c r="C7083" s="184"/>
      <c r="D7083" s="184"/>
      <c r="E7083" s="184"/>
      <c r="F7083" s="184"/>
      <c r="G7083" s="184"/>
      <c r="H7083" s="184"/>
      <c r="I7083" s="184"/>
      <c r="J7083" s="184"/>
      <c r="K7083" s="184"/>
      <c r="L7083" s="184"/>
      <c r="M7083" s="184"/>
      <c r="N7083" s="184"/>
      <c r="O7083" s="184"/>
    </row>
    <row r="7084" customFormat="false" ht="15" hidden="false" customHeight="true" outlineLevel="0" collapsed="false">
      <c r="A7084" s="184"/>
      <c r="B7084" s="184"/>
      <c r="C7084" s="184"/>
      <c r="D7084" s="184"/>
      <c r="E7084" s="184"/>
      <c r="F7084" s="184"/>
      <c r="G7084" s="184"/>
      <c r="H7084" s="184"/>
      <c r="I7084" s="184"/>
      <c r="J7084" s="184"/>
      <c r="K7084" s="184"/>
      <c r="L7084" s="184"/>
      <c r="M7084" s="184"/>
      <c r="N7084" s="184"/>
      <c r="O7084" s="184"/>
    </row>
    <row r="7085" customFormat="false" ht="15" hidden="false" customHeight="true" outlineLevel="0" collapsed="false">
      <c r="A7085" s="184"/>
      <c r="B7085" s="184"/>
      <c r="C7085" s="184"/>
      <c r="D7085" s="184"/>
      <c r="E7085" s="184"/>
      <c r="F7085" s="184"/>
      <c r="G7085" s="184"/>
      <c r="H7085" s="184"/>
      <c r="I7085" s="184"/>
      <c r="J7085" s="184"/>
      <c r="K7085" s="184"/>
      <c r="L7085" s="184"/>
      <c r="M7085" s="184"/>
      <c r="N7085" s="184"/>
      <c r="O7085" s="184"/>
    </row>
    <row r="7086" customFormat="false" ht="15" hidden="false" customHeight="true" outlineLevel="0" collapsed="false">
      <c r="A7086" s="184"/>
      <c r="B7086" s="184"/>
      <c r="C7086" s="184"/>
      <c r="D7086" s="184"/>
      <c r="E7086" s="184"/>
      <c r="F7086" s="184"/>
      <c r="G7086" s="184"/>
      <c r="H7086" s="184"/>
      <c r="I7086" s="184"/>
      <c r="J7086" s="184"/>
      <c r="K7086" s="184"/>
      <c r="L7086" s="184"/>
      <c r="M7086" s="184"/>
      <c r="N7086" s="184"/>
      <c r="O7086" s="184"/>
    </row>
    <row r="7087" customFormat="false" ht="15" hidden="false" customHeight="true" outlineLevel="0" collapsed="false">
      <c r="A7087" s="184"/>
      <c r="B7087" s="184"/>
      <c r="C7087" s="184"/>
      <c r="D7087" s="184"/>
      <c r="E7087" s="184"/>
      <c r="F7087" s="184"/>
      <c r="G7087" s="184"/>
      <c r="H7087" s="184"/>
      <c r="I7087" s="184"/>
      <c r="J7087" s="184"/>
      <c r="K7087" s="184"/>
      <c r="L7087" s="184"/>
      <c r="M7087" s="184"/>
      <c r="N7087" s="184"/>
      <c r="O7087" s="184"/>
    </row>
    <row r="7088" customFormat="false" ht="15" hidden="false" customHeight="true" outlineLevel="0" collapsed="false">
      <c r="A7088" s="184"/>
      <c r="B7088" s="184"/>
      <c r="C7088" s="184"/>
      <c r="D7088" s="184"/>
      <c r="E7088" s="184"/>
      <c r="F7088" s="184"/>
      <c r="G7088" s="184"/>
      <c r="H7088" s="184"/>
      <c r="I7088" s="184"/>
      <c r="J7088" s="184"/>
      <c r="K7088" s="184"/>
      <c r="L7088" s="184"/>
      <c r="M7088" s="184"/>
      <c r="N7088" s="184"/>
      <c r="O7088" s="184"/>
    </row>
    <row r="7089" customFormat="false" ht="15" hidden="false" customHeight="true" outlineLevel="0" collapsed="false">
      <c r="A7089" s="184"/>
      <c r="B7089" s="184"/>
      <c r="C7089" s="184"/>
      <c r="D7089" s="184"/>
      <c r="E7089" s="184"/>
      <c r="F7089" s="184"/>
      <c r="G7089" s="184"/>
      <c r="H7089" s="184"/>
      <c r="I7089" s="184"/>
      <c r="J7089" s="184"/>
      <c r="K7089" s="184"/>
      <c r="L7089" s="184"/>
      <c r="M7089" s="184"/>
      <c r="N7089" s="184"/>
      <c r="O7089" s="184"/>
    </row>
    <row r="7090" customFormat="false" ht="15" hidden="false" customHeight="true" outlineLevel="0" collapsed="false">
      <c r="A7090" s="184"/>
      <c r="B7090" s="184"/>
      <c r="C7090" s="184"/>
      <c r="D7090" s="184"/>
      <c r="E7090" s="184"/>
      <c r="F7090" s="184"/>
      <c r="G7090" s="184"/>
      <c r="H7090" s="184"/>
      <c r="I7090" s="184"/>
      <c r="J7090" s="184"/>
      <c r="K7090" s="184"/>
      <c r="L7090" s="184"/>
      <c r="M7090" s="184"/>
      <c r="N7090" s="184"/>
      <c r="O7090" s="184"/>
    </row>
    <row r="7091" customFormat="false" ht="15" hidden="false" customHeight="true" outlineLevel="0" collapsed="false">
      <c r="A7091" s="184"/>
      <c r="B7091" s="184"/>
      <c r="C7091" s="184"/>
      <c r="D7091" s="184"/>
      <c r="E7091" s="184"/>
      <c r="F7091" s="184"/>
      <c r="G7091" s="184"/>
      <c r="H7091" s="184"/>
      <c r="I7091" s="184"/>
      <c r="J7091" s="184"/>
      <c r="K7091" s="184"/>
      <c r="L7091" s="184"/>
      <c r="M7091" s="184"/>
      <c r="N7091" s="184"/>
      <c r="O7091" s="184"/>
    </row>
    <row r="7092" customFormat="false" ht="15" hidden="false" customHeight="true" outlineLevel="0" collapsed="false">
      <c r="A7092" s="184"/>
      <c r="B7092" s="184"/>
      <c r="C7092" s="184"/>
      <c r="D7092" s="184"/>
      <c r="E7092" s="184"/>
      <c r="F7092" s="184"/>
      <c r="G7092" s="184"/>
      <c r="H7092" s="184"/>
      <c r="I7092" s="184"/>
      <c r="J7092" s="184"/>
      <c r="K7092" s="184"/>
      <c r="L7092" s="184"/>
      <c r="M7092" s="184"/>
      <c r="N7092" s="184"/>
      <c r="O7092" s="184"/>
    </row>
    <row r="7093" customFormat="false" ht="15" hidden="false" customHeight="true" outlineLevel="0" collapsed="false">
      <c r="A7093" s="184"/>
      <c r="B7093" s="184"/>
      <c r="C7093" s="184"/>
      <c r="D7093" s="184"/>
      <c r="E7093" s="184"/>
      <c r="F7093" s="184"/>
      <c r="G7093" s="184"/>
      <c r="H7093" s="184"/>
      <c r="I7093" s="184"/>
      <c r="J7093" s="184"/>
      <c r="K7093" s="184"/>
      <c r="L7093" s="184"/>
      <c r="M7093" s="184"/>
      <c r="N7093" s="184"/>
      <c r="O7093" s="184"/>
    </row>
    <row r="7094" customFormat="false" ht="15" hidden="false" customHeight="true" outlineLevel="0" collapsed="false">
      <c r="A7094" s="184"/>
      <c r="B7094" s="184"/>
      <c r="C7094" s="184"/>
      <c r="D7094" s="184"/>
      <c r="E7094" s="184"/>
      <c r="F7094" s="184"/>
      <c r="G7094" s="184"/>
      <c r="H7094" s="184"/>
      <c r="I7094" s="184"/>
      <c r="J7094" s="184"/>
      <c r="K7094" s="184"/>
      <c r="L7094" s="184"/>
      <c r="M7094" s="184"/>
      <c r="N7094" s="184"/>
      <c r="O7094" s="184"/>
    </row>
    <row r="7095" customFormat="false" ht="15" hidden="false" customHeight="true" outlineLevel="0" collapsed="false">
      <c r="A7095" s="184"/>
      <c r="B7095" s="184"/>
      <c r="C7095" s="184"/>
      <c r="D7095" s="184"/>
      <c r="E7095" s="184"/>
      <c r="F7095" s="184"/>
      <c r="G7095" s="184"/>
      <c r="H7095" s="184"/>
      <c r="I7095" s="184"/>
      <c r="J7095" s="184"/>
      <c r="K7095" s="184"/>
      <c r="L7095" s="184"/>
      <c r="M7095" s="184"/>
      <c r="N7095" s="184"/>
      <c r="O7095" s="184"/>
    </row>
    <row r="7096" customFormat="false" ht="15" hidden="false" customHeight="true" outlineLevel="0" collapsed="false">
      <c r="A7096" s="184"/>
      <c r="B7096" s="184"/>
      <c r="C7096" s="184"/>
      <c r="D7096" s="184"/>
      <c r="E7096" s="184"/>
      <c r="F7096" s="184"/>
      <c r="G7096" s="184"/>
      <c r="H7096" s="184"/>
      <c r="I7096" s="184"/>
      <c r="J7096" s="184"/>
      <c r="K7096" s="184"/>
      <c r="L7096" s="184"/>
      <c r="M7096" s="184"/>
      <c r="N7096" s="184"/>
      <c r="O7096" s="184"/>
    </row>
    <row r="7097" customFormat="false" ht="15" hidden="false" customHeight="true" outlineLevel="0" collapsed="false">
      <c r="A7097" s="184"/>
      <c r="B7097" s="184"/>
      <c r="C7097" s="184"/>
      <c r="D7097" s="184"/>
      <c r="E7097" s="184"/>
      <c r="F7097" s="184"/>
      <c r="G7097" s="184"/>
      <c r="H7097" s="184"/>
      <c r="I7097" s="184"/>
      <c r="J7097" s="184"/>
      <c r="K7097" s="184"/>
      <c r="L7097" s="184"/>
      <c r="M7097" s="184"/>
      <c r="N7097" s="184"/>
      <c r="O7097" s="184"/>
    </row>
    <row r="7098" customFormat="false" ht="15" hidden="false" customHeight="true" outlineLevel="0" collapsed="false">
      <c r="A7098" s="184"/>
      <c r="B7098" s="184"/>
      <c r="C7098" s="184"/>
      <c r="D7098" s="184"/>
      <c r="E7098" s="184"/>
      <c r="F7098" s="184"/>
      <c r="G7098" s="184"/>
      <c r="H7098" s="184"/>
      <c r="I7098" s="184"/>
      <c r="J7098" s="184"/>
      <c r="K7098" s="184"/>
      <c r="L7098" s="184"/>
      <c r="M7098" s="184"/>
      <c r="N7098" s="184"/>
      <c r="O7098" s="184"/>
    </row>
    <row r="7099" customFormat="false" ht="15" hidden="false" customHeight="true" outlineLevel="0" collapsed="false">
      <c r="A7099" s="184"/>
      <c r="B7099" s="184"/>
      <c r="C7099" s="184"/>
      <c r="D7099" s="184"/>
      <c r="E7099" s="184"/>
      <c r="F7099" s="184"/>
      <c r="G7099" s="184"/>
      <c r="H7099" s="184"/>
      <c r="I7099" s="184"/>
      <c r="J7099" s="184"/>
      <c r="K7099" s="184"/>
      <c r="L7099" s="184"/>
      <c r="M7099" s="184"/>
      <c r="N7099" s="184"/>
      <c r="O7099" s="184"/>
    </row>
    <row r="7100" customFormat="false" ht="15" hidden="false" customHeight="true" outlineLevel="0" collapsed="false">
      <c r="A7100" s="184"/>
      <c r="B7100" s="184"/>
      <c r="C7100" s="184"/>
      <c r="D7100" s="184"/>
      <c r="E7100" s="184"/>
      <c r="F7100" s="184"/>
      <c r="G7100" s="184"/>
      <c r="H7100" s="184"/>
      <c r="I7100" s="184"/>
      <c r="J7100" s="184"/>
      <c r="K7100" s="184"/>
      <c r="L7100" s="184"/>
      <c r="M7100" s="184"/>
      <c r="N7100" s="184"/>
      <c r="O7100" s="184"/>
    </row>
    <row r="7101" customFormat="false" ht="15" hidden="false" customHeight="true" outlineLevel="0" collapsed="false">
      <c r="A7101" s="184"/>
      <c r="B7101" s="184"/>
      <c r="C7101" s="184"/>
      <c r="D7101" s="184"/>
      <c r="E7101" s="184"/>
      <c r="F7101" s="184"/>
      <c r="G7101" s="184"/>
      <c r="H7101" s="184"/>
      <c r="I7101" s="184"/>
      <c r="J7101" s="184"/>
      <c r="K7101" s="184"/>
      <c r="L7101" s="184"/>
      <c r="M7101" s="184"/>
      <c r="N7101" s="184"/>
      <c r="O7101" s="184"/>
    </row>
    <row r="7102" customFormat="false" ht="15" hidden="false" customHeight="true" outlineLevel="0" collapsed="false">
      <c r="A7102" s="184"/>
      <c r="B7102" s="184"/>
      <c r="C7102" s="184"/>
      <c r="D7102" s="184"/>
      <c r="E7102" s="184"/>
      <c r="F7102" s="184"/>
      <c r="G7102" s="184"/>
      <c r="H7102" s="184"/>
      <c r="I7102" s="184"/>
      <c r="J7102" s="184"/>
      <c r="K7102" s="184"/>
      <c r="L7102" s="184"/>
      <c r="M7102" s="184"/>
      <c r="N7102" s="184"/>
      <c r="O7102" s="184"/>
    </row>
    <row r="7103" customFormat="false" ht="15" hidden="false" customHeight="true" outlineLevel="0" collapsed="false">
      <c r="A7103" s="184"/>
      <c r="B7103" s="184"/>
      <c r="C7103" s="184"/>
      <c r="D7103" s="184"/>
      <c r="E7103" s="184"/>
      <c r="F7103" s="184"/>
      <c r="G7103" s="184"/>
      <c r="H7103" s="184"/>
      <c r="I7103" s="184"/>
      <c r="J7103" s="184"/>
      <c r="K7103" s="184"/>
      <c r="L7103" s="184"/>
      <c r="M7103" s="184"/>
      <c r="N7103" s="184"/>
      <c r="O7103" s="184"/>
    </row>
    <row r="7104" customFormat="false" ht="15" hidden="false" customHeight="true" outlineLevel="0" collapsed="false">
      <c r="A7104" s="184"/>
      <c r="B7104" s="184"/>
      <c r="C7104" s="184"/>
      <c r="D7104" s="184"/>
      <c r="E7104" s="184"/>
      <c r="F7104" s="184"/>
      <c r="G7104" s="184"/>
      <c r="H7104" s="184"/>
      <c r="I7104" s="184"/>
      <c r="J7104" s="184"/>
      <c r="K7104" s="184"/>
      <c r="L7104" s="184"/>
      <c r="M7104" s="184"/>
      <c r="N7104" s="184"/>
      <c r="O7104" s="184"/>
    </row>
    <row r="7105" customFormat="false" ht="15" hidden="false" customHeight="true" outlineLevel="0" collapsed="false">
      <c r="A7105" s="184"/>
      <c r="B7105" s="184"/>
      <c r="C7105" s="184"/>
      <c r="D7105" s="184"/>
      <c r="E7105" s="184"/>
      <c r="F7105" s="184"/>
      <c r="G7105" s="184"/>
      <c r="H7105" s="184"/>
      <c r="I7105" s="184"/>
      <c r="J7105" s="184"/>
      <c r="K7105" s="184"/>
      <c r="L7105" s="184"/>
      <c r="M7105" s="184"/>
      <c r="N7105" s="184"/>
      <c r="O7105" s="184"/>
    </row>
    <row r="7106" customFormat="false" ht="15" hidden="false" customHeight="true" outlineLevel="0" collapsed="false">
      <c r="A7106" s="184"/>
      <c r="B7106" s="184"/>
      <c r="C7106" s="184"/>
      <c r="D7106" s="184"/>
      <c r="E7106" s="184"/>
      <c r="F7106" s="184"/>
      <c r="G7106" s="184"/>
      <c r="H7106" s="184"/>
      <c r="I7106" s="184"/>
      <c r="J7106" s="184"/>
      <c r="K7106" s="184"/>
      <c r="L7106" s="184"/>
      <c r="M7106" s="184"/>
      <c r="N7106" s="184"/>
      <c r="O7106" s="184"/>
    </row>
    <row r="7107" customFormat="false" ht="15" hidden="false" customHeight="true" outlineLevel="0" collapsed="false">
      <c r="A7107" s="184"/>
      <c r="B7107" s="184"/>
      <c r="C7107" s="184"/>
      <c r="D7107" s="184"/>
      <c r="E7107" s="184"/>
      <c r="F7107" s="184"/>
      <c r="G7107" s="184"/>
      <c r="H7107" s="184"/>
      <c r="I7107" s="184"/>
      <c r="J7107" s="184"/>
      <c r="K7107" s="184"/>
      <c r="L7107" s="184"/>
      <c r="M7107" s="184"/>
      <c r="N7107" s="184"/>
      <c r="O7107" s="184"/>
    </row>
    <row r="7108" customFormat="false" ht="15" hidden="false" customHeight="true" outlineLevel="0" collapsed="false">
      <c r="A7108" s="184"/>
      <c r="B7108" s="184"/>
      <c r="C7108" s="184"/>
      <c r="D7108" s="184"/>
      <c r="E7108" s="184"/>
      <c r="F7108" s="184"/>
      <c r="G7108" s="184"/>
      <c r="H7108" s="184"/>
      <c r="I7108" s="184"/>
      <c r="J7108" s="184"/>
      <c r="K7108" s="184"/>
      <c r="L7108" s="184"/>
      <c r="M7108" s="184"/>
      <c r="N7108" s="184"/>
      <c r="O7108" s="184"/>
    </row>
    <row r="7109" customFormat="false" ht="15" hidden="false" customHeight="true" outlineLevel="0" collapsed="false">
      <c r="A7109" s="184"/>
      <c r="B7109" s="184"/>
      <c r="C7109" s="184"/>
      <c r="D7109" s="184"/>
      <c r="E7109" s="184"/>
      <c r="F7109" s="184"/>
      <c r="G7109" s="184"/>
      <c r="H7109" s="184"/>
      <c r="I7109" s="184"/>
      <c r="J7109" s="184"/>
      <c r="K7109" s="184"/>
      <c r="L7109" s="184"/>
      <c r="M7109" s="184"/>
      <c r="N7109" s="184"/>
      <c r="O7109" s="184"/>
    </row>
    <row r="7110" customFormat="false" ht="15" hidden="false" customHeight="true" outlineLevel="0" collapsed="false">
      <c r="A7110" s="184"/>
      <c r="B7110" s="184"/>
      <c r="C7110" s="184"/>
      <c r="D7110" s="184"/>
      <c r="E7110" s="184"/>
      <c r="F7110" s="184"/>
      <c r="G7110" s="184"/>
      <c r="H7110" s="184"/>
      <c r="I7110" s="184"/>
      <c r="J7110" s="184"/>
      <c r="K7110" s="184"/>
      <c r="L7110" s="184"/>
      <c r="M7110" s="184"/>
      <c r="N7110" s="184"/>
      <c r="O7110" s="184"/>
    </row>
    <row r="7111" customFormat="false" ht="15" hidden="false" customHeight="true" outlineLevel="0" collapsed="false">
      <c r="A7111" s="184"/>
      <c r="B7111" s="184"/>
      <c r="C7111" s="184"/>
      <c r="D7111" s="184"/>
      <c r="E7111" s="184"/>
      <c r="F7111" s="184"/>
      <c r="G7111" s="184"/>
      <c r="H7111" s="184"/>
      <c r="I7111" s="184"/>
      <c r="J7111" s="184"/>
      <c r="K7111" s="184"/>
      <c r="L7111" s="184"/>
      <c r="M7111" s="184"/>
      <c r="N7111" s="184"/>
      <c r="O7111" s="184"/>
    </row>
    <row r="7112" customFormat="false" ht="15" hidden="false" customHeight="true" outlineLevel="0" collapsed="false">
      <c r="A7112" s="184"/>
      <c r="B7112" s="184"/>
      <c r="C7112" s="184"/>
      <c r="D7112" s="184"/>
      <c r="E7112" s="184"/>
      <c r="F7112" s="184"/>
      <c r="G7112" s="184"/>
      <c r="H7112" s="184"/>
      <c r="I7112" s="184"/>
      <c r="J7112" s="184"/>
      <c r="K7112" s="184"/>
      <c r="L7112" s="184"/>
      <c r="M7112" s="184"/>
      <c r="N7112" s="184"/>
      <c r="O7112" s="184"/>
    </row>
    <row r="7113" customFormat="false" ht="15" hidden="false" customHeight="true" outlineLevel="0" collapsed="false">
      <c r="A7113" s="184"/>
      <c r="B7113" s="184"/>
      <c r="C7113" s="184"/>
      <c r="D7113" s="184"/>
      <c r="E7113" s="184"/>
      <c r="F7113" s="184"/>
      <c r="G7113" s="184"/>
      <c r="H7113" s="184"/>
      <c r="I7113" s="184"/>
      <c r="J7113" s="184"/>
      <c r="K7113" s="184"/>
      <c r="L7113" s="184"/>
      <c r="M7113" s="184"/>
      <c r="N7113" s="184"/>
      <c r="O7113" s="184"/>
    </row>
    <row r="7114" customFormat="false" ht="15" hidden="false" customHeight="true" outlineLevel="0" collapsed="false">
      <c r="A7114" s="184"/>
      <c r="B7114" s="184"/>
      <c r="C7114" s="184"/>
      <c r="D7114" s="184"/>
      <c r="E7114" s="184"/>
      <c r="F7114" s="184"/>
      <c r="G7114" s="184"/>
      <c r="H7114" s="184"/>
      <c r="I7114" s="184"/>
      <c r="J7114" s="184"/>
      <c r="K7114" s="184"/>
      <c r="L7114" s="184"/>
      <c r="M7114" s="184"/>
      <c r="N7114" s="184"/>
      <c r="O7114" s="184"/>
    </row>
    <row r="7115" customFormat="false" ht="15" hidden="false" customHeight="true" outlineLevel="0" collapsed="false">
      <c r="A7115" s="184"/>
      <c r="B7115" s="184"/>
      <c r="C7115" s="184"/>
      <c r="D7115" s="184"/>
      <c r="E7115" s="184"/>
      <c r="F7115" s="184"/>
      <c r="G7115" s="184"/>
      <c r="H7115" s="184"/>
      <c r="I7115" s="184"/>
      <c r="J7115" s="184"/>
      <c r="K7115" s="184"/>
      <c r="L7115" s="184"/>
      <c r="M7115" s="184"/>
      <c r="N7115" s="184"/>
      <c r="O7115" s="184"/>
    </row>
    <row r="7116" customFormat="false" ht="15" hidden="false" customHeight="true" outlineLevel="0" collapsed="false">
      <c r="A7116" s="184"/>
      <c r="B7116" s="184"/>
      <c r="C7116" s="184"/>
      <c r="D7116" s="184"/>
      <c r="E7116" s="184"/>
      <c r="F7116" s="184"/>
      <c r="G7116" s="184"/>
      <c r="H7116" s="184"/>
      <c r="I7116" s="184"/>
      <c r="J7116" s="184"/>
      <c r="K7116" s="184"/>
      <c r="L7116" s="184"/>
      <c r="M7116" s="184"/>
      <c r="N7116" s="184"/>
      <c r="O7116" s="184"/>
    </row>
    <row r="7117" customFormat="false" ht="15" hidden="false" customHeight="true" outlineLevel="0" collapsed="false">
      <c r="A7117" s="184"/>
      <c r="B7117" s="184"/>
      <c r="C7117" s="184"/>
      <c r="D7117" s="184"/>
      <c r="E7117" s="184"/>
      <c r="F7117" s="184"/>
      <c r="G7117" s="184"/>
      <c r="H7117" s="184"/>
      <c r="I7117" s="184"/>
      <c r="J7117" s="184"/>
      <c r="K7117" s="184"/>
      <c r="L7117" s="184"/>
      <c r="M7117" s="184"/>
      <c r="N7117" s="184"/>
      <c r="O7117" s="184"/>
    </row>
    <row r="7118" customFormat="false" ht="15" hidden="false" customHeight="true" outlineLevel="0" collapsed="false">
      <c r="A7118" s="184"/>
      <c r="B7118" s="184"/>
      <c r="C7118" s="184"/>
      <c r="D7118" s="184"/>
      <c r="E7118" s="184"/>
      <c r="F7118" s="184"/>
      <c r="G7118" s="184"/>
      <c r="H7118" s="184"/>
      <c r="I7118" s="184"/>
      <c r="J7118" s="184"/>
      <c r="K7118" s="184"/>
      <c r="L7118" s="184"/>
      <c r="M7118" s="184"/>
      <c r="N7118" s="184"/>
      <c r="O7118" s="184"/>
    </row>
    <row r="7119" customFormat="false" ht="15" hidden="false" customHeight="true" outlineLevel="0" collapsed="false">
      <c r="A7119" s="184"/>
      <c r="B7119" s="184"/>
      <c r="C7119" s="184"/>
      <c r="D7119" s="184"/>
      <c r="E7119" s="184"/>
      <c r="F7119" s="184"/>
      <c r="G7119" s="184"/>
      <c r="H7119" s="184"/>
      <c r="I7119" s="184"/>
      <c r="J7119" s="184"/>
      <c r="K7119" s="184"/>
      <c r="L7119" s="184"/>
      <c r="M7119" s="184"/>
      <c r="N7119" s="184"/>
      <c r="O7119" s="184"/>
    </row>
    <row r="7120" customFormat="false" ht="15" hidden="false" customHeight="true" outlineLevel="0" collapsed="false">
      <c r="A7120" s="184"/>
      <c r="B7120" s="184"/>
      <c r="C7120" s="184"/>
      <c r="D7120" s="184"/>
      <c r="E7120" s="184"/>
      <c r="F7120" s="184"/>
      <c r="G7120" s="184"/>
      <c r="H7120" s="184"/>
      <c r="I7120" s="184"/>
      <c r="J7120" s="184"/>
      <c r="K7120" s="184"/>
      <c r="L7120" s="184"/>
      <c r="M7120" s="184"/>
      <c r="N7120" s="184"/>
      <c r="O7120" s="184"/>
    </row>
    <row r="7121" customFormat="false" ht="15" hidden="false" customHeight="true" outlineLevel="0" collapsed="false">
      <c r="A7121" s="184"/>
      <c r="B7121" s="184"/>
      <c r="C7121" s="184"/>
      <c r="D7121" s="184"/>
      <c r="E7121" s="184"/>
      <c r="F7121" s="184"/>
      <c r="G7121" s="184"/>
      <c r="H7121" s="184"/>
      <c r="I7121" s="184"/>
      <c r="J7121" s="184"/>
      <c r="K7121" s="184"/>
      <c r="L7121" s="184"/>
      <c r="M7121" s="184"/>
      <c r="N7121" s="184"/>
      <c r="O7121" s="184"/>
    </row>
    <row r="7122" customFormat="false" ht="15" hidden="false" customHeight="true" outlineLevel="0" collapsed="false">
      <c r="A7122" s="184"/>
      <c r="B7122" s="184"/>
      <c r="C7122" s="184"/>
      <c r="D7122" s="184"/>
      <c r="E7122" s="184"/>
      <c r="F7122" s="184"/>
      <c r="G7122" s="184"/>
      <c r="H7122" s="184"/>
      <c r="I7122" s="184"/>
      <c r="J7122" s="184"/>
      <c r="K7122" s="184"/>
      <c r="L7122" s="184"/>
      <c r="M7122" s="184"/>
      <c r="N7122" s="184"/>
      <c r="O7122" s="184"/>
    </row>
    <row r="7123" customFormat="false" ht="15" hidden="false" customHeight="true" outlineLevel="0" collapsed="false">
      <c r="A7123" s="184"/>
      <c r="B7123" s="184"/>
      <c r="C7123" s="184"/>
      <c r="D7123" s="184"/>
      <c r="E7123" s="184"/>
      <c r="F7123" s="184"/>
      <c r="G7123" s="184"/>
      <c r="H7123" s="184"/>
      <c r="I7123" s="184"/>
      <c r="J7123" s="184"/>
      <c r="K7123" s="184"/>
      <c r="L7123" s="184"/>
      <c r="M7123" s="184"/>
      <c r="N7123" s="184"/>
      <c r="O7123" s="184"/>
    </row>
    <row r="7124" customFormat="false" ht="15" hidden="false" customHeight="true" outlineLevel="0" collapsed="false">
      <c r="A7124" s="184"/>
      <c r="B7124" s="184"/>
      <c r="C7124" s="184"/>
      <c r="D7124" s="184"/>
      <c r="E7124" s="184"/>
      <c r="F7124" s="184"/>
      <c r="G7124" s="184"/>
      <c r="H7124" s="184"/>
      <c r="I7124" s="184"/>
      <c r="J7124" s="184"/>
      <c r="K7124" s="184"/>
      <c r="L7124" s="184"/>
      <c r="M7124" s="184"/>
      <c r="N7124" s="184"/>
      <c r="O7124" s="184"/>
    </row>
    <row r="7125" customFormat="false" ht="15" hidden="false" customHeight="true" outlineLevel="0" collapsed="false">
      <c r="A7125" s="184"/>
      <c r="B7125" s="184"/>
      <c r="C7125" s="184"/>
      <c r="D7125" s="184"/>
      <c r="E7125" s="184"/>
      <c r="F7125" s="184"/>
      <c r="G7125" s="184"/>
      <c r="H7125" s="184"/>
      <c r="I7125" s="184"/>
      <c r="J7125" s="184"/>
      <c r="K7125" s="184"/>
      <c r="L7125" s="184"/>
      <c r="M7125" s="184"/>
      <c r="N7125" s="184"/>
      <c r="O7125" s="184"/>
    </row>
    <row r="7126" customFormat="false" ht="15" hidden="false" customHeight="true" outlineLevel="0" collapsed="false">
      <c r="A7126" s="184"/>
      <c r="B7126" s="184"/>
      <c r="C7126" s="184"/>
      <c r="D7126" s="184"/>
      <c r="E7126" s="184"/>
      <c r="F7126" s="184"/>
      <c r="G7126" s="184"/>
      <c r="H7126" s="184"/>
      <c r="I7126" s="184"/>
      <c r="J7126" s="184"/>
      <c r="K7126" s="184"/>
      <c r="L7126" s="184"/>
      <c r="M7126" s="184"/>
      <c r="N7126" s="184"/>
      <c r="O7126" s="184"/>
    </row>
    <row r="7127" customFormat="false" ht="15" hidden="false" customHeight="true" outlineLevel="0" collapsed="false">
      <c r="A7127" s="184"/>
      <c r="B7127" s="184"/>
      <c r="C7127" s="184"/>
      <c r="D7127" s="184"/>
      <c r="E7127" s="184"/>
      <c r="F7127" s="184"/>
      <c r="G7127" s="184"/>
      <c r="H7127" s="184"/>
      <c r="I7127" s="184"/>
      <c r="J7127" s="184"/>
      <c r="K7127" s="184"/>
      <c r="L7127" s="184"/>
      <c r="M7127" s="184"/>
      <c r="N7127" s="184"/>
      <c r="O7127" s="184"/>
    </row>
    <row r="7128" customFormat="false" ht="15" hidden="false" customHeight="true" outlineLevel="0" collapsed="false">
      <c r="A7128" s="184"/>
      <c r="B7128" s="184"/>
      <c r="C7128" s="184"/>
      <c r="D7128" s="184"/>
      <c r="E7128" s="184"/>
      <c r="F7128" s="184"/>
      <c r="G7128" s="184"/>
      <c r="H7128" s="184"/>
      <c r="I7128" s="184"/>
      <c r="J7128" s="184"/>
      <c r="K7128" s="184"/>
      <c r="L7128" s="184"/>
      <c r="M7128" s="184"/>
      <c r="N7128" s="184"/>
      <c r="O7128" s="184"/>
    </row>
    <row r="7129" customFormat="false" ht="15" hidden="false" customHeight="true" outlineLevel="0" collapsed="false">
      <c r="A7129" s="184"/>
      <c r="B7129" s="184"/>
      <c r="C7129" s="184"/>
      <c r="D7129" s="184"/>
      <c r="E7129" s="184"/>
      <c r="F7129" s="184"/>
      <c r="G7129" s="184"/>
      <c r="H7129" s="184"/>
      <c r="I7129" s="184"/>
      <c r="J7129" s="184"/>
      <c r="K7129" s="184"/>
      <c r="L7129" s="184"/>
      <c r="M7129" s="184"/>
      <c r="N7129" s="184"/>
      <c r="O7129" s="184"/>
    </row>
    <row r="7130" customFormat="false" ht="15" hidden="false" customHeight="true" outlineLevel="0" collapsed="false">
      <c r="A7130" s="184"/>
      <c r="B7130" s="184"/>
      <c r="C7130" s="184"/>
      <c r="D7130" s="184"/>
      <c r="E7130" s="184"/>
      <c r="F7130" s="184"/>
      <c r="G7130" s="184"/>
      <c r="H7130" s="184"/>
      <c r="I7130" s="184"/>
      <c r="J7130" s="184"/>
      <c r="K7130" s="184"/>
      <c r="L7130" s="184"/>
      <c r="M7130" s="184"/>
      <c r="N7130" s="184"/>
      <c r="O7130" s="184"/>
    </row>
    <row r="7131" customFormat="false" ht="15" hidden="false" customHeight="true" outlineLevel="0" collapsed="false">
      <c r="A7131" s="184"/>
      <c r="B7131" s="184"/>
      <c r="C7131" s="184"/>
      <c r="D7131" s="184"/>
      <c r="E7131" s="184"/>
      <c r="F7131" s="184"/>
      <c r="G7131" s="184"/>
      <c r="H7131" s="184"/>
      <c r="I7131" s="184"/>
      <c r="J7131" s="184"/>
      <c r="K7131" s="184"/>
      <c r="L7131" s="184"/>
      <c r="M7131" s="184"/>
      <c r="N7131" s="184"/>
      <c r="O7131" s="184"/>
    </row>
    <row r="7132" customFormat="false" ht="15" hidden="false" customHeight="true" outlineLevel="0" collapsed="false">
      <c r="A7132" s="184"/>
      <c r="B7132" s="184"/>
      <c r="C7132" s="184"/>
      <c r="D7132" s="184"/>
      <c r="E7132" s="184"/>
      <c r="F7132" s="184"/>
      <c r="G7132" s="184"/>
      <c r="H7132" s="184"/>
      <c r="I7132" s="184"/>
      <c r="J7132" s="184"/>
      <c r="K7132" s="184"/>
      <c r="L7132" s="184"/>
      <c r="M7132" s="184"/>
      <c r="N7132" s="184"/>
      <c r="O7132" s="184"/>
    </row>
    <row r="7133" customFormat="false" ht="15" hidden="false" customHeight="true" outlineLevel="0" collapsed="false">
      <c r="A7133" s="184"/>
      <c r="B7133" s="184"/>
      <c r="C7133" s="184"/>
      <c r="D7133" s="184"/>
      <c r="E7133" s="184"/>
      <c r="F7133" s="184"/>
      <c r="G7133" s="184"/>
      <c r="H7133" s="184"/>
      <c r="I7133" s="184"/>
      <c r="J7133" s="184"/>
      <c r="K7133" s="184"/>
      <c r="L7133" s="184"/>
      <c r="M7133" s="184"/>
      <c r="N7133" s="184"/>
      <c r="O7133" s="184"/>
    </row>
    <row r="7134" customFormat="false" ht="15" hidden="false" customHeight="true" outlineLevel="0" collapsed="false">
      <c r="A7134" s="184"/>
      <c r="B7134" s="184"/>
      <c r="C7134" s="184"/>
      <c r="D7134" s="184"/>
      <c r="E7134" s="184"/>
      <c r="F7134" s="184"/>
      <c r="G7134" s="184"/>
      <c r="H7134" s="184"/>
      <c r="I7134" s="184"/>
      <c r="J7134" s="184"/>
      <c r="K7134" s="184"/>
      <c r="L7134" s="184"/>
      <c r="M7134" s="184"/>
      <c r="N7134" s="184"/>
      <c r="O7134" s="184"/>
    </row>
    <row r="7135" customFormat="false" ht="15" hidden="false" customHeight="true" outlineLevel="0" collapsed="false">
      <c r="A7135" s="184"/>
      <c r="B7135" s="184"/>
      <c r="C7135" s="184"/>
      <c r="D7135" s="184"/>
      <c r="E7135" s="184"/>
      <c r="F7135" s="184"/>
      <c r="G7135" s="184"/>
      <c r="H7135" s="184"/>
      <c r="I7135" s="184"/>
      <c r="J7135" s="184"/>
      <c r="K7135" s="184"/>
      <c r="L7135" s="184"/>
      <c r="M7135" s="184"/>
      <c r="N7135" s="184"/>
      <c r="O7135" s="184"/>
    </row>
    <row r="7136" customFormat="false" ht="15" hidden="false" customHeight="true" outlineLevel="0" collapsed="false">
      <c r="A7136" s="184"/>
      <c r="B7136" s="184"/>
      <c r="C7136" s="184"/>
      <c r="D7136" s="184"/>
      <c r="E7136" s="184"/>
      <c r="F7136" s="184"/>
      <c r="G7136" s="184"/>
      <c r="H7136" s="184"/>
      <c r="I7136" s="184"/>
      <c r="J7136" s="184"/>
      <c r="K7136" s="184"/>
      <c r="L7136" s="184"/>
      <c r="M7136" s="184"/>
      <c r="N7136" s="184"/>
      <c r="O7136" s="184"/>
    </row>
    <row r="7137" customFormat="false" ht="15" hidden="false" customHeight="true" outlineLevel="0" collapsed="false">
      <c r="A7137" s="184"/>
      <c r="B7137" s="184"/>
      <c r="C7137" s="184"/>
      <c r="D7137" s="184"/>
      <c r="E7137" s="184"/>
      <c r="F7137" s="184"/>
      <c r="G7137" s="184"/>
      <c r="H7137" s="184"/>
      <c r="I7137" s="184"/>
      <c r="J7137" s="184"/>
      <c r="K7137" s="184"/>
      <c r="L7137" s="184"/>
      <c r="M7137" s="184"/>
      <c r="N7137" s="184"/>
      <c r="O7137" s="184"/>
    </row>
    <row r="7138" customFormat="false" ht="15" hidden="false" customHeight="true" outlineLevel="0" collapsed="false">
      <c r="A7138" s="184"/>
      <c r="B7138" s="184"/>
      <c r="C7138" s="184"/>
      <c r="D7138" s="184"/>
      <c r="E7138" s="184"/>
      <c r="F7138" s="184"/>
      <c r="G7138" s="184"/>
      <c r="H7138" s="184"/>
      <c r="I7138" s="184"/>
      <c r="J7138" s="184"/>
      <c r="K7138" s="184"/>
      <c r="L7138" s="184"/>
      <c r="M7138" s="184"/>
      <c r="N7138" s="184"/>
      <c r="O7138" s="184"/>
    </row>
    <row r="7139" customFormat="false" ht="15" hidden="false" customHeight="true" outlineLevel="0" collapsed="false">
      <c r="A7139" s="184"/>
      <c r="B7139" s="184"/>
      <c r="C7139" s="184"/>
      <c r="D7139" s="184"/>
      <c r="E7139" s="184"/>
      <c r="F7139" s="184"/>
      <c r="G7139" s="184"/>
      <c r="H7139" s="184"/>
      <c r="I7139" s="184"/>
      <c r="J7139" s="184"/>
      <c r="K7139" s="184"/>
      <c r="L7139" s="184"/>
      <c r="M7139" s="184"/>
      <c r="N7139" s="184"/>
      <c r="O7139" s="184"/>
    </row>
    <row r="7140" customFormat="false" ht="15" hidden="false" customHeight="true" outlineLevel="0" collapsed="false">
      <c r="A7140" s="184"/>
      <c r="B7140" s="184"/>
      <c r="C7140" s="184"/>
      <c r="D7140" s="184"/>
      <c r="E7140" s="184"/>
      <c r="F7140" s="184"/>
      <c r="G7140" s="184"/>
      <c r="H7140" s="184"/>
      <c r="I7140" s="184"/>
      <c r="J7140" s="184"/>
      <c r="K7140" s="184"/>
      <c r="L7140" s="184"/>
      <c r="M7140" s="184"/>
      <c r="N7140" s="184"/>
      <c r="O7140" s="184"/>
    </row>
    <row r="7141" customFormat="false" ht="15" hidden="false" customHeight="true" outlineLevel="0" collapsed="false">
      <c r="A7141" s="184"/>
      <c r="B7141" s="184"/>
      <c r="C7141" s="184"/>
      <c r="D7141" s="184"/>
      <c r="E7141" s="184"/>
      <c r="F7141" s="184"/>
      <c r="G7141" s="184"/>
      <c r="H7141" s="184"/>
      <c r="I7141" s="184"/>
      <c r="J7141" s="184"/>
      <c r="K7141" s="184"/>
      <c r="L7141" s="184"/>
      <c r="M7141" s="184"/>
      <c r="N7141" s="184"/>
      <c r="O7141" s="184"/>
    </row>
    <row r="7142" customFormat="false" ht="15" hidden="false" customHeight="true" outlineLevel="0" collapsed="false">
      <c r="A7142" s="184"/>
      <c r="B7142" s="184"/>
      <c r="C7142" s="184"/>
      <c r="D7142" s="184"/>
      <c r="E7142" s="184"/>
      <c r="F7142" s="184"/>
      <c r="G7142" s="184"/>
      <c r="H7142" s="184"/>
      <c r="I7142" s="184"/>
      <c r="J7142" s="184"/>
      <c r="K7142" s="184"/>
      <c r="L7142" s="184"/>
      <c r="M7142" s="184"/>
      <c r="N7142" s="184"/>
      <c r="O7142" s="184"/>
    </row>
    <row r="7143" customFormat="false" ht="15" hidden="false" customHeight="true" outlineLevel="0" collapsed="false">
      <c r="A7143" s="184"/>
      <c r="B7143" s="184"/>
      <c r="C7143" s="184"/>
      <c r="D7143" s="184"/>
      <c r="E7143" s="184"/>
      <c r="F7143" s="184"/>
      <c r="G7143" s="184"/>
      <c r="H7143" s="184"/>
      <c r="I7143" s="184"/>
      <c r="J7143" s="184"/>
      <c r="K7143" s="184"/>
      <c r="L7143" s="184"/>
      <c r="M7143" s="184"/>
      <c r="N7143" s="184"/>
      <c r="O7143" s="184"/>
    </row>
    <row r="7144" customFormat="false" ht="15" hidden="false" customHeight="true" outlineLevel="0" collapsed="false">
      <c r="A7144" s="184"/>
      <c r="B7144" s="184"/>
      <c r="C7144" s="184"/>
      <c r="D7144" s="184"/>
      <c r="E7144" s="184"/>
      <c r="F7144" s="184"/>
      <c r="G7144" s="184"/>
      <c r="H7144" s="184"/>
      <c r="I7144" s="184"/>
      <c r="J7144" s="184"/>
      <c r="K7144" s="184"/>
      <c r="L7144" s="184"/>
      <c r="M7144" s="184"/>
      <c r="N7144" s="184"/>
      <c r="O7144" s="184"/>
    </row>
    <row r="7145" customFormat="false" ht="15" hidden="false" customHeight="true" outlineLevel="0" collapsed="false">
      <c r="A7145" s="184"/>
      <c r="B7145" s="184"/>
      <c r="C7145" s="184"/>
      <c r="D7145" s="184"/>
      <c r="E7145" s="184"/>
      <c r="F7145" s="184"/>
      <c r="G7145" s="184"/>
      <c r="H7145" s="184"/>
      <c r="I7145" s="184"/>
      <c r="J7145" s="184"/>
      <c r="K7145" s="184"/>
      <c r="L7145" s="184"/>
      <c r="M7145" s="184"/>
      <c r="N7145" s="184"/>
      <c r="O7145" s="184"/>
    </row>
    <row r="7146" customFormat="false" ht="15" hidden="false" customHeight="true" outlineLevel="0" collapsed="false">
      <c r="A7146" s="184"/>
      <c r="B7146" s="184"/>
      <c r="C7146" s="184"/>
      <c r="D7146" s="184"/>
      <c r="E7146" s="184"/>
      <c r="F7146" s="184"/>
      <c r="G7146" s="184"/>
      <c r="H7146" s="184"/>
      <c r="I7146" s="184"/>
      <c r="J7146" s="184"/>
      <c r="K7146" s="184"/>
      <c r="L7146" s="184"/>
      <c r="M7146" s="184"/>
      <c r="N7146" s="184"/>
      <c r="O7146" s="184"/>
    </row>
    <row r="7147" customFormat="false" ht="15" hidden="false" customHeight="true" outlineLevel="0" collapsed="false">
      <c r="A7147" s="184"/>
      <c r="B7147" s="184"/>
      <c r="C7147" s="184"/>
      <c r="D7147" s="184"/>
      <c r="E7147" s="184"/>
      <c r="F7147" s="184"/>
      <c r="G7147" s="184"/>
      <c r="H7147" s="184"/>
      <c r="I7147" s="184"/>
      <c r="J7147" s="184"/>
      <c r="K7147" s="184"/>
      <c r="L7147" s="184"/>
      <c r="M7147" s="184"/>
      <c r="N7147" s="184"/>
      <c r="O7147" s="184"/>
    </row>
    <row r="7148" customFormat="false" ht="15" hidden="false" customHeight="true" outlineLevel="0" collapsed="false">
      <c r="A7148" s="184"/>
      <c r="B7148" s="184"/>
      <c r="C7148" s="184"/>
      <c r="D7148" s="184"/>
      <c r="E7148" s="184"/>
      <c r="F7148" s="184"/>
      <c r="G7148" s="184"/>
      <c r="H7148" s="184"/>
      <c r="I7148" s="184"/>
      <c r="J7148" s="184"/>
      <c r="K7148" s="184"/>
      <c r="L7148" s="184"/>
      <c r="M7148" s="184"/>
      <c r="N7148" s="184"/>
      <c r="O7148" s="184"/>
    </row>
    <row r="7149" customFormat="false" ht="15" hidden="false" customHeight="true" outlineLevel="0" collapsed="false">
      <c r="A7149" s="184"/>
      <c r="B7149" s="184"/>
      <c r="C7149" s="184"/>
      <c r="D7149" s="184"/>
      <c r="E7149" s="184"/>
      <c r="F7149" s="184"/>
      <c r="G7149" s="184"/>
      <c r="H7149" s="184"/>
      <c r="I7149" s="184"/>
      <c r="J7149" s="184"/>
      <c r="K7149" s="184"/>
      <c r="L7149" s="184"/>
      <c r="M7149" s="184"/>
      <c r="N7149" s="184"/>
      <c r="O7149" s="184"/>
    </row>
    <row r="7150" customFormat="false" ht="15" hidden="false" customHeight="true" outlineLevel="0" collapsed="false">
      <c r="A7150" s="184"/>
      <c r="B7150" s="184"/>
      <c r="C7150" s="184"/>
      <c r="D7150" s="184"/>
      <c r="E7150" s="184"/>
      <c r="F7150" s="184"/>
      <c r="G7150" s="184"/>
      <c r="H7150" s="184"/>
      <c r="I7150" s="184"/>
      <c r="J7150" s="184"/>
      <c r="K7150" s="184"/>
      <c r="L7150" s="184"/>
      <c r="M7150" s="184"/>
      <c r="N7150" s="184"/>
      <c r="O7150" s="184"/>
    </row>
    <row r="7151" customFormat="false" ht="15" hidden="false" customHeight="true" outlineLevel="0" collapsed="false">
      <c r="A7151" s="184"/>
      <c r="B7151" s="184"/>
      <c r="C7151" s="184"/>
      <c r="D7151" s="184"/>
      <c r="E7151" s="184"/>
      <c r="F7151" s="184"/>
      <c r="G7151" s="184"/>
      <c r="H7151" s="184"/>
      <c r="I7151" s="184"/>
      <c r="J7151" s="184"/>
      <c r="K7151" s="184"/>
      <c r="L7151" s="184"/>
      <c r="M7151" s="184"/>
      <c r="N7151" s="184"/>
      <c r="O7151" s="184"/>
    </row>
    <row r="7152" customFormat="false" ht="15" hidden="false" customHeight="true" outlineLevel="0" collapsed="false">
      <c r="A7152" s="184"/>
      <c r="B7152" s="184"/>
      <c r="C7152" s="184"/>
      <c r="D7152" s="184"/>
      <c r="E7152" s="184"/>
      <c r="F7152" s="184"/>
      <c r="G7152" s="184"/>
      <c r="H7152" s="184"/>
      <c r="I7152" s="184"/>
      <c r="J7152" s="184"/>
      <c r="K7152" s="184"/>
      <c r="L7152" s="184"/>
      <c r="M7152" s="184"/>
      <c r="N7152" s="184"/>
      <c r="O7152" s="184"/>
    </row>
    <row r="7153" customFormat="false" ht="15" hidden="false" customHeight="true" outlineLevel="0" collapsed="false">
      <c r="A7153" s="184"/>
      <c r="B7153" s="184"/>
      <c r="C7153" s="184"/>
      <c r="D7153" s="184"/>
      <c r="E7153" s="184"/>
      <c r="F7153" s="184"/>
      <c r="G7153" s="184"/>
      <c r="H7153" s="184"/>
      <c r="I7153" s="184"/>
      <c r="J7153" s="184"/>
      <c r="K7153" s="184"/>
      <c r="L7153" s="184"/>
      <c r="M7153" s="184"/>
      <c r="N7153" s="184"/>
      <c r="O7153" s="184"/>
    </row>
    <row r="7154" customFormat="false" ht="15" hidden="false" customHeight="true" outlineLevel="0" collapsed="false">
      <c r="A7154" s="184"/>
      <c r="B7154" s="184"/>
      <c r="C7154" s="184"/>
      <c r="D7154" s="184"/>
      <c r="E7154" s="184"/>
      <c r="F7154" s="184"/>
      <c r="G7154" s="184"/>
      <c r="H7154" s="184"/>
      <c r="I7154" s="184"/>
      <c r="J7154" s="184"/>
      <c r="K7154" s="184"/>
      <c r="L7154" s="184"/>
      <c r="M7154" s="184"/>
      <c r="N7154" s="184"/>
      <c r="O7154" s="184"/>
    </row>
    <row r="7155" customFormat="false" ht="15" hidden="false" customHeight="true" outlineLevel="0" collapsed="false">
      <c r="A7155" s="184"/>
      <c r="B7155" s="184"/>
      <c r="C7155" s="184"/>
      <c r="D7155" s="184"/>
      <c r="E7155" s="184"/>
      <c r="F7155" s="184"/>
      <c r="G7155" s="184"/>
      <c r="H7155" s="184"/>
      <c r="I7155" s="184"/>
      <c r="J7155" s="184"/>
      <c r="K7155" s="184"/>
      <c r="L7155" s="184"/>
      <c r="M7155" s="184"/>
      <c r="N7155" s="184"/>
      <c r="O7155" s="184"/>
    </row>
    <row r="7156" customFormat="false" ht="15" hidden="false" customHeight="true" outlineLevel="0" collapsed="false">
      <c r="A7156" s="184"/>
      <c r="B7156" s="184"/>
      <c r="C7156" s="184"/>
      <c r="D7156" s="184"/>
      <c r="E7156" s="184"/>
      <c r="F7156" s="184"/>
      <c r="G7156" s="184"/>
      <c r="H7156" s="184"/>
      <c r="I7156" s="184"/>
      <c r="J7156" s="184"/>
      <c r="K7156" s="184"/>
      <c r="L7156" s="184"/>
      <c r="M7156" s="184"/>
      <c r="N7156" s="184"/>
      <c r="O7156" s="184"/>
    </row>
    <row r="7157" customFormat="false" ht="15" hidden="false" customHeight="true" outlineLevel="0" collapsed="false">
      <c r="A7157" s="184"/>
      <c r="B7157" s="184"/>
      <c r="C7157" s="184"/>
      <c r="D7157" s="184"/>
      <c r="E7157" s="184"/>
      <c r="F7157" s="184"/>
      <c r="G7157" s="184"/>
      <c r="H7157" s="184"/>
      <c r="I7157" s="184"/>
      <c r="J7157" s="184"/>
      <c r="K7157" s="184"/>
      <c r="L7157" s="184"/>
      <c r="M7157" s="184"/>
      <c r="N7157" s="184"/>
      <c r="O7157" s="184"/>
    </row>
    <row r="7158" customFormat="false" ht="15" hidden="false" customHeight="true" outlineLevel="0" collapsed="false">
      <c r="A7158" s="184"/>
      <c r="B7158" s="184"/>
      <c r="C7158" s="184"/>
      <c r="D7158" s="184"/>
      <c r="E7158" s="184"/>
      <c r="F7158" s="184"/>
      <c r="G7158" s="184"/>
      <c r="H7158" s="184"/>
      <c r="I7158" s="184"/>
      <c r="J7158" s="184"/>
      <c r="K7158" s="184"/>
      <c r="L7158" s="184"/>
      <c r="M7158" s="184"/>
      <c r="N7158" s="184"/>
      <c r="O7158" s="184"/>
    </row>
    <row r="7159" customFormat="false" ht="15" hidden="false" customHeight="true" outlineLevel="0" collapsed="false">
      <c r="A7159" s="184"/>
      <c r="B7159" s="184"/>
      <c r="C7159" s="184"/>
      <c r="D7159" s="184"/>
      <c r="E7159" s="184"/>
      <c r="F7159" s="184"/>
      <c r="G7159" s="184"/>
      <c r="H7159" s="184"/>
      <c r="I7159" s="184"/>
      <c r="J7159" s="184"/>
      <c r="K7159" s="184"/>
      <c r="L7159" s="184"/>
      <c r="M7159" s="184"/>
      <c r="N7159" s="184"/>
      <c r="O7159" s="184"/>
    </row>
    <row r="7160" customFormat="false" ht="15" hidden="false" customHeight="true" outlineLevel="0" collapsed="false">
      <c r="A7160" s="184"/>
      <c r="B7160" s="184"/>
      <c r="C7160" s="184"/>
      <c r="D7160" s="184"/>
      <c r="E7160" s="184"/>
      <c r="F7160" s="184"/>
      <c r="G7160" s="184"/>
      <c r="H7160" s="184"/>
      <c r="I7160" s="184"/>
      <c r="J7160" s="184"/>
      <c r="K7160" s="184"/>
      <c r="L7160" s="184"/>
      <c r="M7160" s="184"/>
      <c r="N7160" s="184"/>
      <c r="O7160" s="184"/>
    </row>
    <row r="7161" customFormat="false" ht="15" hidden="false" customHeight="true" outlineLevel="0" collapsed="false">
      <c r="A7161" s="184"/>
      <c r="B7161" s="184"/>
      <c r="C7161" s="184"/>
      <c r="D7161" s="184"/>
      <c r="E7161" s="184"/>
      <c r="F7161" s="184"/>
      <c r="G7161" s="184"/>
      <c r="H7161" s="184"/>
      <c r="I7161" s="184"/>
      <c r="J7161" s="184"/>
      <c r="K7161" s="184"/>
      <c r="L7161" s="184"/>
      <c r="M7161" s="184"/>
      <c r="N7161" s="184"/>
      <c r="O7161" s="184"/>
    </row>
    <row r="7162" customFormat="false" ht="15" hidden="false" customHeight="true" outlineLevel="0" collapsed="false">
      <c r="A7162" s="184"/>
      <c r="B7162" s="184"/>
      <c r="C7162" s="184"/>
      <c r="D7162" s="184"/>
      <c r="E7162" s="184"/>
      <c r="F7162" s="184"/>
      <c r="G7162" s="184"/>
      <c r="H7162" s="184"/>
      <c r="I7162" s="184"/>
      <c r="J7162" s="184"/>
      <c r="K7162" s="184"/>
      <c r="L7162" s="184"/>
      <c r="M7162" s="184"/>
      <c r="N7162" s="184"/>
      <c r="O7162" s="184"/>
    </row>
    <row r="7163" customFormat="false" ht="15" hidden="false" customHeight="true" outlineLevel="0" collapsed="false">
      <c r="A7163" s="184"/>
      <c r="B7163" s="184"/>
      <c r="C7163" s="184"/>
      <c r="D7163" s="184"/>
      <c r="E7163" s="184"/>
      <c r="F7163" s="184"/>
      <c r="G7163" s="184"/>
      <c r="H7163" s="184"/>
      <c r="I7163" s="184"/>
      <c r="J7163" s="184"/>
      <c r="K7163" s="184"/>
      <c r="L7163" s="184"/>
      <c r="M7163" s="184"/>
      <c r="N7163" s="184"/>
      <c r="O7163" s="184"/>
    </row>
    <row r="7164" customFormat="false" ht="15" hidden="false" customHeight="true" outlineLevel="0" collapsed="false">
      <c r="A7164" s="184"/>
      <c r="B7164" s="184"/>
      <c r="C7164" s="184"/>
      <c r="D7164" s="184"/>
      <c r="E7164" s="184"/>
      <c r="F7164" s="184"/>
      <c r="G7164" s="184"/>
      <c r="H7164" s="184"/>
      <c r="I7164" s="184"/>
      <c r="J7164" s="184"/>
      <c r="K7164" s="184"/>
      <c r="L7164" s="184"/>
      <c r="M7164" s="184"/>
      <c r="N7164" s="184"/>
      <c r="O7164" s="184"/>
    </row>
    <row r="7165" customFormat="false" ht="15" hidden="false" customHeight="true" outlineLevel="0" collapsed="false">
      <c r="A7165" s="184"/>
      <c r="B7165" s="184"/>
      <c r="C7165" s="184"/>
      <c r="D7165" s="184"/>
      <c r="E7165" s="184"/>
      <c r="F7165" s="184"/>
      <c r="G7165" s="184"/>
      <c r="H7165" s="184"/>
      <c r="I7165" s="184"/>
      <c r="J7165" s="184"/>
      <c r="K7165" s="184"/>
      <c r="L7165" s="184"/>
      <c r="M7165" s="184"/>
      <c r="N7165" s="184"/>
      <c r="O7165" s="184"/>
    </row>
    <row r="7166" customFormat="false" ht="15" hidden="false" customHeight="true" outlineLevel="0" collapsed="false">
      <c r="A7166" s="184"/>
      <c r="B7166" s="184"/>
      <c r="C7166" s="184"/>
      <c r="D7166" s="184"/>
      <c r="E7166" s="184"/>
      <c r="F7166" s="184"/>
      <c r="G7166" s="184"/>
      <c r="H7166" s="184"/>
      <c r="I7166" s="184"/>
      <c r="J7166" s="184"/>
      <c r="K7166" s="184"/>
      <c r="L7166" s="184"/>
      <c r="M7166" s="184"/>
      <c r="N7166" s="184"/>
      <c r="O7166" s="184"/>
    </row>
    <row r="7167" customFormat="false" ht="15" hidden="false" customHeight="true" outlineLevel="0" collapsed="false">
      <c r="A7167" s="184"/>
      <c r="B7167" s="184"/>
      <c r="C7167" s="184"/>
      <c r="D7167" s="184"/>
      <c r="E7167" s="184"/>
      <c r="F7167" s="184"/>
      <c r="G7167" s="184"/>
      <c r="H7167" s="184"/>
      <c r="I7167" s="184"/>
      <c r="J7167" s="184"/>
      <c r="K7167" s="184"/>
      <c r="L7167" s="184"/>
      <c r="M7167" s="184"/>
      <c r="N7167" s="184"/>
      <c r="O7167" s="184"/>
    </row>
    <row r="7168" customFormat="false" ht="15" hidden="false" customHeight="true" outlineLevel="0" collapsed="false">
      <c r="A7168" s="184"/>
      <c r="B7168" s="184"/>
      <c r="C7168" s="184"/>
      <c r="D7168" s="184"/>
      <c r="E7168" s="184"/>
      <c r="F7168" s="184"/>
      <c r="G7168" s="184"/>
      <c r="H7168" s="184"/>
      <c r="I7168" s="184"/>
      <c r="J7168" s="184"/>
      <c r="K7168" s="184"/>
      <c r="L7168" s="184"/>
      <c r="M7168" s="184"/>
      <c r="N7168" s="184"/>
      <c r="O7168" s="184"/>
    </row>
    <row r="7169" customFormat="false" ht="15" hidden="false" customHeight="true" outlineLevel="0" collapsed="false">
      <c r="A7169" s="184"/>
      <c r="B7169" s="184"/>
      <c r="C7169" s="184"/>
      <c r="D7169" s="184"/>
      <c r="E7169" s="184"/>
      <c r="F7169" s="184"/>
      <c r="G7169" s="184"/>
      <c r="H7169" s="184"/>
      <c r="I7169" s="184"/>
      <c r="J7169" s="184"/>
      <c r="K7169" s="184"/>
      <c r="L7169" s="184"/>
      <c r="M7169" s="184"/>
      <c r="N7169" s="184"/>
      <c r="O7169" s="184"/>
    </row>
    <row r="7170" customFormat="false" ht="15" hidden="false" customHeight="true" outlineLevel="0" collapsed="false">
      <c r="A7170" s="184"/>
      <c r="B7170" s="184"/>
      <c r="C7170" s="184"/>
      <c r="D7170" s="184"/>
      <c r="E7170" s="184"/>
      <c r="F7170" s="184"/>
      <c r="G7170" s="184"/>
      <c r="H7170" s="184"/>
      <c r="I7170" s="184"/>
      <c r="J7170" s="184"/>
      <c r="K7170" s="184"/>
      <c r="L7170" s="184"/>
      <c r="M7170" s="184"/>
      <c r="N7170" s="184"/>
      <c r="O7170" s="184"/>
    </row>
    <row r="7171" customFormat="false" ht="15" hidden="false" customHeight="true" outlineLevel="0" collapsed="false">
      <c r="A7171" s="184"/>
      <c r="B7171" s="184"/>
      <c r="C7171" s="184"/>
      <c r="D7171" s="184"/>
      <c r="E7171" s="184"/>
      <c r="F7171" s="184"/>
      <c r="G7171" s="184"/>
      <c r="H7171" s="184"/>
      <c r="I7171" s="184"/>
      <c r="J7171" s="184"/>
      <c r="K7171" s="184"/>
      <c r="L7171" s="184"/>
      <c r="M7171" s="184"/>
      <c r="N7171" s="184"/>
      <c r="O7171" s="184"/>
    </row>
    <row r="7172" customFormat="false" ht="15" hidden="false" customHeight="true" outlineLevel="0" collapsed="false">
      <c r="A7172" s="184"/>
      <c r="B7172" s="184"/>
      <c r="C7172" s="184"/>
      <c r="D7172" s="184"/>
      <c r="E7172" s="184"/>
      <c r="F7172" s="184"/>
      <c r="G7172" s="184"/>
      <c r="H7172" s="184"/>
      <c r="I7172" s="184"/>
      <c r="J7172" s="184"/>
      <c r="K7172" s="184"/>
      <c r="L7172" s="184"/>
      <c r="M7172" s="184"/>
      <c r="N7172" s="184"/>
      <c r="O7172" s="184"/>
    </row>
    <row r="7173" customFormat="false" ht="15" hidden="false" customHeight="true" outlineLevel="0" collapsed="false">
      <c r="A7173" s="184"/>
      <c r="B7173" s="184"/>
      <c r="C7173" s="184"/>
      <c r="D7173" s="184"/>
      <c r="E7173" s="184"/>
      <c r="F7173" s="184"/>
      <c r="G7173" s="184"/>
      <c r="H7173" s="184"/>
      <c r="I7173" s="184"/>
      <c r="J7173" s="184"/>
      <c r="K7173" s="184"/>
      <c r="L7173" s="184"/>
      <c r="M7173" s="184"/>
      <c r="N7173" s="184"/>
      <c r="O7173" s="184"/>
    </row>
    <row r="7174" customFormat="false" ht="15" hidden="false" customHeight="true" outlineLevel="0" collapsed="false">
      <c r="A7174" s="184"/>
      <c r="B7174" s="184"/>
      <c r="C7174" s="184"/>
      <c r="D7174" s="184"/>
      <c r="E7174" s="184"/>
      <c r="F7174" s="184"/>
      <c r="G7174" s="184"/>
      <c r="H7174" s="184"/>
      <c r="I7174" s="184"/>
      <c r="J7174" s="184"/>
      <c r="K7174" s="184"/>
      <c r="L7174" s="184"/>
      <c r="M7174" s="184"/>
      <c r="N7174" s="184"/>
      <c r="O7174" s="184"/>
    </row>
    <row r="7175" customFormat="false" ht="15" hidden="false" customHeight="true" outlineLevel="0" collapsed="false">
      <c r="A7175" s="184"/>
      <c r="B7175" s="184"/>
      <c r="C7175" s="184"/>
      <c r="D7175" s="184"/>
      <c r="E7175" s="184"/>
      <c r="F7175" s="184"/>
      <c r="G7175" s="184"/>
      <c r="H7175" s="184"/>
      <c r="I7175" s="184"/>
      <c r="J7175" s="184"/>
      <c r="K7175" s="184"/>
      <c r="L7175" s="184"/>
      <c r="M7175" s="184"/>
      <c r="N7175" s="184"/>
      <c r="O7175" s="184"/>
    </row>
    <row r="7176" customFormat="false" ht="15" hidden="false" customHeight="true" outlineLevel="0" collapsed="false">
      <c r="A7176" s="184"/>
      <c r="B7176" s="184"/>
      <c r="C7176" s="184"/>
      <c r="D7176" s="184"/>
      <c r="E7176" s="184"/>
      <c r="F7176" s="184"/>
      <c r="G7176" s="184"/>
      <c r="H7176" s="184"/>
      <c r="I7176" s="184"/>
      <c r="J7176" s="184"/>
      <c r="K7176" s="184"/>
      <c r="L7176" s="184"/>
      <c r="M7176" s="184"/>
      <c r="N7176" s="184"/>
      <c r="O7176" s="184"/>
    </row>
    <row r="7177" customFormat="false" ht="15" hidden="false" customHeight="true" outlineLevel="0" collapsed="false">
      <c r="A7177" s="184"/>
      <c r="B7177" s="184"/>
      <c r="C7177" s="184"/>
      <c r="D7177" s="184"/>
      <c r="E7177" s="184"/>
      <c r="F7177" s="184"/>
      <c r="G7177" s="184"/>
      <c r="H7177" s="184"/>
      <c r="I7177" s="184"/>
      <c r="J7177" s="184"/>
      <c r="K7177" s="184"/>
      <c r="L7177" s="184"/>
      <c r="M7177" s="184"/>
      <c r="N7177" s="184"/>
      <c r="O7177" s="184"/>
    </row>
    <row r="7178" customFormat="false" ht="15" hidden="false" customHeight="true" outlineLevel="0" collapsed="false">
      <c r="A7178" s="184"/>
      <c r="B7178" s="184"/>
      <c r="C7178" s="184"/>
      <c r="D7178" s="184"/>
      <c r="E7178" s="184"/>
      <c r="F7178" s="184"/>
      <c r="G7178" s="184"/>
      <c r="H7178" s="184"/>
      <c r="I7178" s="184"/>
      <c r="J7178" s="184"/>
      <c r="K7178" s="184"/>
      <c r="L7178" s="184"/>
      <c r="M7178" s="184"/>
      <c r="N7178" s="184"/>
      <c r="O7178" s="184"/>
    </row>
    <row r="7179" customFormat="false" ht="15" hidden="false" customHeight="true" outlineLevel="0" collapsed="false">
      <c r="A7179" s="184"/>
      <c r="B7179" s="184"/>
      <c r="C7179" s="184"/>
      <c r="D7179" s="184"/>
      <c r="E7179" s="184"/>
      <c r="F7179" s="184"/>
      <c r="G7179" s="184"/>
      <c r="H7179" s="184"/>
      <c r="I7179" s="184"/>
      <c r="J7179" s="184"/>
      <c r="K7179" s="184"/>
      <c r="L7179" s="184"/>
      <c r="M7179" s="184"/>
      <c r="N7179" s="184"/>
      <c r="O7179" s="184"/>
    </row>
    <row r="7180" customFormat="false" ht="15" hidden="false" customHeight="true" outlineLevel="0" collapsed="false">
      <c r="A7180" s="184"/>
      <c r="B7180" s="184"/>
      <c r="C7180" s="184"/>
      <c r="D7180" s="184"/>
      <c r="E7180" s="184"/>
      <c r="F7180" s="184"/>
      <c r="G7180" s="184"/>
      <c r="H7180" s="184"/>
      <c r="I7180" s="184"/>
      <c r="J7180" s="184"/>
      <c r="K7180" s="184"/>
      <c r="L7180" s="184"/>
      <c r="M7180" s="184"/>
      <c r="N7180" s="184"/>
      <c r="O7180" s="184"/>
    </row>
    <row r="7181" customFormat="false" ht="15" hidden="false" customHeight="true" outlineLevel="0" collapsed="false">
      <c r="A7181" s="184"/>
      <c r="B7181" s="184"/>
      <c r="C7181" s="184"/>
      <c r="D7181" s="184"/>
      <c r="E7181" s="184"/>
      <c r="F7181" s="184"/>
      <c r="G7181" s="184"/>
      <c r="H7181" s="184"/>
      <c r="I7181" s="184"/>
      <c r="J7181" s="184"/>
      <c r="K7181" s="184"/>
      <c r="L7181" s="184"/>
      <c r="M7181" s="184"/>
      <c r="N7181" s="184"/>
      <c r="O7181" s="184"/>
    </row>
    <row r="7182" customFormat="false" ht="15" hidden="false" customHeight="true" outlineLevel="0" collapsed="false">
      <c r="A7182" s="184"/>
      <c r="B7182" s="184"/>
      <c r="C7182" s="184"/>
      <c r="D7182" s="184"/>
      <c r="E7182" s="184"/>
      <c r="F7182" s="184"/>
      <c r="G7182" s="184"/>
      <c r="H7182" s="184"/>
      <c r="I7182" s="184"/>
      <c r="J7182" s="184"/>
      <c r="K7182" s="184"/>
      <c r="L7182" s="184"/>
      <c r="M7182" s="184"/>
      <c r="N7182" s="184"/>
      <c r="O7182" s="184"/>
    </row>
    <row r="7183" customFormat="false" ht="15" hidden="false" customHeight="true" outlineLevel="0" collapsed="false">
      <c r="A7183" s="184"/>
      <c r="B7183" s="184"/>
      <c r="C7183" s="184"/>
      <c r="D7183" s="184"/>
      <c r="E7183" s="184"/>
      <c r="F7183" s="184"/>
      <c r="G7183" s="184"/>
      <c r="H7183" s="184"/>
      <c r="I7183" s="184"/>
      <c r="J7183" s="184"/>
      <c r="K7183" s="184"/>
      <c r="L7183" s="184"/>
      <c r="M7183" s="184"/>
      <c r="N7183" s="184"/>
      <c r="O7183" s="184"/>
    </row>
    <row r="7184" customFormat="false" ht="15" hidden="false" customHeight="true" outlineLevel="0" collapsed="false">
      <c r="A7184" s="184"/>
      <c r="B7184" s="184"/>
      <c r="C7184" s="184"/>
      <c r="D7184" s="184"/>
      <c r="E7184" s="184"/>
      <c r="F7184" s="184"/>
      <c r="G7184" s="184"/>
      <c r="H7184" s="184"/>
      <c r="I7184" s="184"/>
      <c r="J7184" s="184"/>
      <c r="K7184" s="184"/>
      <c r="L7184" s="184"/>
      <c r="M7184" s="184"/>
      <c r="N7184" s="184"/>
      <c r="O7184" s="184"/>
    </row>
    <row r="7185" customFormat="false" ht="15" hidden="false" customHeight="true" outlineLevel="0" collapsed="false">
      <c r="B7185" s="181" t="s">
        <v>7260</v>
      </c>
    </row>
    <row r="7186" customFormat="false" ht="41.25" hidden="false" customHeight="true" outlineLevel="0" collapsed="false">
      <c r="A7186" s="184" t="s">
        <v>5023</v>
      </c>
      <c r="B7186" s="184" t="s">
        <v>5024</v>
      </c>
      <c r="C7186" s="184"/>
      <c r="D7186" s="179" t="s">
        <v>4858</v>
      </c>
      <c r="E7186" s="184" t="s">
        <v>7261</v>
      </c>
      <c r="F7186" s="184"/>
      <c r="G7186" s="184"/>
      <c r="H7186" s="184"/>
      <c r="I7186" s="184"/>
      <c r="J7186" s="184"/>
      <c r="K7186" s="184"/>
      <c r="L7186" s="184"/>
      <c r="M7186" s="184" t="s">
        <v>7262</v>
      </c>
      <c r="N7186" s="184"/>
      <c r="O7186" s="184"/>
    </row>
    <row r="7187" customFormat="false" ht="27.75" hidden="false" customHeight="true" outlineLevel="0" collapsed="false">
      <c r="A7187" s="184" t="s">
        <v>5023</v>
      </c>
      <c r="B7187" s="184" t="s">
        <v>5024</v>
      </c>
      <c r="C7187" s="184" t="n">
        <v>1</v>
      </c>
      <c r="D7187" s="184" t="s">
        <v>4790</v>
      </c>
      <c r="E7187" s="184" t="s">
        <v>7263</v>
      </c>
      <c r="F7187" s="184"/>
      <c r="G7187" s="184"/>
      <c r="H7187" s="184"/>
      <c r="I7187" s="184"/>
      <c r="J7187" s="184"/>
      <c r="K7187" s="184"/>
      <c r="L7187" s="184"/>
      <c r="M7187" s="184" t="s">
        <v>7264</v>
      </c>
      <c r="N7187" s="184"/>
      <c r="O7187" s="184"/>
    </row>
    <row r="7188" customFormat="false" ht="27.75" hidden="false" customHeight="true" outlineLevel="0" collapsed="false">
      <c r="A7188" s="184" t="s">
        <v>5023</v>
      </c>
      <c r="B7188" s="184" t="s">
        <v>5024</v>
      </c>
      <c r="C7188" s="184" t="n">
        <v>2</v>
      </c>
      <c r="D7188" s="178" t="s">
        <v>6457</v>
      </c>
      <c r="E7188" s="184" t="s">
        <v>7265</v>
      </c>
      <c r="F7188" s="184"/>
      <c r="G7188" s="184"/>
      <c r="H7188" s="184"/>
      <c r="I7188" s="184"/>
      <c r="J7188" s="184"/>
      <c r="K7188" s="184"/>
      <c r="L7188" s="184"/>
      <c r="M7188" s="184" t="s">
        <v>7266</v>
      </c>
      <c r="N7188" s="184"/>
      <c r="O7188" s="184"/>
    </row>
    <row r="7189" customFormat="false" ht="54.75" hidden="false" customHeight="true" outlineLevel="0" collapsed="false">
      <c r="A7189" s="184" t="s">
        <v>5023</v>
      </c>
      <c r="B7189" s="184" t="s">
        <v>5024</v>
      </c>
      <c r="C7189" s="184" t="n">
        <v>3</v>
      </c>
      <c r="D7189" s="184" t="s">
        <v>4790</v>
      </c>
      <c r="E7189" s="184" t="s">
        <v>7267</v>
      </c>
      <c r="F7189" s="184"/>
      <c r="G7189" s="184"/>
      <c r="H7189" s="184"/>
      <c r="I7189" s="184"/>
      <c r="J7189" s="184"/>
      <c r="K7189" s="184"/>
      <c r="L7189" s="184"/>
      <c r="M7189" s="184" t="s">
        <v>7268</v>
      </c>
      <c r="N7189" s="184"/>
      <c r="O7189" s="184"/>
    </row>
    <row r="7190" customFormat="false" ht="27.75" hidden="false" customHeight="true" outlineLevel="0" collapsed="false">
      <c r="A7190" s="184" t="s">
        <v>5023</v>
      </c>
      <c r="B7190" s="184" t="s">
        <v>5024</v>
      </c>
      <c r="C7190" s="184" t="n">
        <v>4</v>
      </c>
      <c r="D7190" s="178" t="s">
        <v>6457</v>
      </c>
      <c r="E7190" s="184" t="s">
        <v>7265</v>
      </c>
      <c r="F7190" s="184"/>
      <c r="G7190" s="184"/>
      <c r="H7190" s="184"/>
      <c r="I7190" s="184"/>
      <c r="J7190" s="184"/>
      <c r="K7190" s="184"/>
      <c r="L7190" s="184"/>
      <c r="M7190" s="184" t="s">
        <v>7269</v>
      </c>
      <c r="N7190" s="184"/>
      <c r="O7190" s="184"/>
    </row>
    <row r="7191" customFormat="false" ht="41.25" hidden="false" customHeight="true" outlineLevel="0" collapsed="false">
      <c r="A7191" s="184" t="s">
        <v>5023</v>
      </c>
      <c r="B7191" s="184" t="s">
        <v>5024</v>
      </c>
      <c r="C7191" s="184" t="n">
        <v>5</v>
      </c>
      <c r="D7191" s="184" t="s">
        <v>4790</v>
      </c>
      <c r="E7191" s="184" t="s">
        <v>7270</v>
      </c>
      <c r="F7191" s="184"/>
      <c r="G7191" s="184"/>
      <c r="H7191" s="184"/>
      <c r="I7191" s="184"/>
      <c r="J7191" s="184"/>
      <c r="K7191" s="184"/>
      <c r="L7191" s="184"/>
      <c r="M7191" s="184" t="s">
        <v>7271</v>
      </c>
      <c r="N7191" s="184"/>
      <c r="O7191" s="184"/>
    </row>
    <row r="7192" customFormat="false" ht="54.75" hidden="false" customHeight="true" outlineLevel="0" collapsed="false">
      <c r="A7192" s="184" t="s">
        <v>5023</v>
      </c>
      <c r="B7192" s="184" t="s">
        <v>5024</v>
      </c>
      <c r="C7192" s="184" t="n">
        <v>6</v>
      </c>
      <c r="D7192" s="184" t="s">
        <v>4790</v>
      </c>
      <c r="E7192" s="184" t="s">
        <v>7272</v>
      </c>
      <c r="F7192" s="184"/>
      <c r="G7192" s="184"/>
      <c r="H7192" s="184"/>
      <c r="I7192" s="184"/>
      <c r="J7192" s="184"/>
      <c r="K7192" s="184"/>
      <c r="L7192" s="184"/>
      <c r="M7192" s="184" t="s">
        <v>7273</v>
      </c>
      <c r="N7192" s="184"/>
      <c r="O7192" s="184"/>
    </row>
    <row r="7193" customFormat="false" ht="27.75" hidden="false" customHeight="true" outlineLevel="0" collapsed="false">
      <c r="A7193" s="184" t="s">
        <v>5023</v>
      </c>
      <c r="B7193" s="184" t="s">
        <v>5024</v>
      </c>
      <c r="C7193" s="184" t="n">
        <v>7</v>
      </c>
      <c r="D7193" s="184" t="s">
        <v>4790</v>
      </c>
      <c r="E7193" s="184" t="s">
        <v>7274</v>
      </c>
      <c r="F7193" s="184"/>
      <c r="G7193" s="184"/>
      <c r="H7193" s="184"/>
      <c r="I7193" s="184"/>
      <c r="J7193" s="184"/>
      <c r="K7193" s="184"/>
      <c r="L7193" s="184"/>
      <c r="M7193" s="184" t="s">
        <v>7275</v>
      </c>
      <c r="N7193" s="184"/>
      <c r="O7193" s="184"/>
    </row>
    <row r="7194" customFormat="false" ht="15" hidden="false" customHeight="true" outlineLevel="0" collapsed="false">
      <c r="A7194" s="184"/>
      <c r="B7194" s="184"/>
      <c r="C7194" s="184"/>
      <c r="D7194" s="184"/>
      <c r="E7194" s="184"/>
      <c r="F7194" s="184"/>
      <c r="G7194" s="184"/>
      <c r="H7194" s="184"/>
      <c r="I7194" s="184"/>
      <c r="J7194" s="184"/>
      <c r="K7194" s="184"/>
      <c r="L7194" s="184"/>
      <c r="M7194" s="184"/>
      <c r="N7194" s="184"/>
      <c r="O7194" s="184"/>
    </row>
    <row r="7195" customFormat="false" ht="15" hidden="false" customHeight="true" outlineLevel="0" collapsed="false">
      <c r="A7195" s="184"/>
      <c r="B7195" s="184"/>
      <c r="C7195" s="184"/>
      <c r="D7195" s="184"/>
      <c r="E7195" s="184"/>
      <c r="F7195" s="184"/>
      <c r="G7195" s="184"/>
      <c r="H7195" s="184"/>
      <c r="I7195" s="184"/>
      <c r="J7195" s="184"/>
      <c r="K7195" s="184"/>
      <c r="L7195" s="184"/>
      <c r="M7195" s="184"/>
      <c r="N7195" s="184"/>
      <c r="O7195" s="184"/>
    </row>
    <row r="7196" customFormat="false" ht="15" hidden="false" customHeight="true" outlineLevel="0" collapsed="false">
      <c r="A7196" s="184"/>
      <c r="B7196" s="184"/>
      <c r="C7196" s="184"/>
      <c r="D7196" s="184"/>
      <c r="E7196" s="184"/>
      <c r="F7196" s="184"/>
      <c r="G7196" s="184"/>
      <c r="H7196" s="184"/>
      <c r="I7196" s="184"/>
      <c r="J7196" s="184"/>
      <c r="K7196" s="184"/>
      <c r="L7196" s="184"/>
      <c r="M7196" s="184"/>
      <c r="N7196" s="184"/>
      <c r="O7196" s="184"/>
    </row>
    <row r="7197" customFormat="false" ht="15" hidden="false" customHeight="true" outlineLevel="0" collapsed="false">
      <c r="A7197" s="184"/>
      <c r="B7197" s="184"/>
      <c r="C7197" s="184"/>
      <c r="D7197" s="184"/>
      <c r="E7197" s="184"/>
      <c r="F7197" s="184"/>
      <c r="G7197" s="184"/>
      <c r="H7197" s="184"/>
      <c r="I7197" s="184"/>
      <c r="J7197" s="184"/>
      <c r="K7197" s="184"/>
      <c r="L7197" s="184"/>
      <c r="M7197" s="184"/>
      <c r="N7197" s="184"/>
      <c r="O7197" s="184"/>
    </row>
    <row r="7198" customFormat="false" ht="15" hidden="false" customHeight="true" outlineLevel="0" collapsed="false">
      <c r="A7198" s="184"/>
      <c r="B7198" s="184"/>
      <c r="C7198" s="184"/>
      <c r="D7198" s="184"/>
      <c r="E7198" s="184"/>
      <c r="F7198" s="184"/>
      <c r="G7198" s="184"/>
      <c r="H7198" s="184"/>
      <c r="I7198" s="184"/>
      <c r="J7198" s="184"/>
      <c r="K7198" s="184"/>
      <c r="L7198" s="184"/>
      <c r="M7198" s="184"/>
      <c r="N7198" s="184"/>
      <c r="O7198" s="184"/>
    </row>
    <row r="7199" customFormat="false" ht="15" hidden="false" customHeight="true" outlineLevel="0" collapsed="false">
      <c r="A7199" s="184"/>
      <c r="B7199" s="184"/>
      <c r="C7199" s="184"/>
      <c r="D7199" s="184"/>
      <c r="E7199" s="184"/>
      <c r="F7199" s="184"/>
      <c r="G7199" s="184"/>
      <c r="H7199" s="184"/>
      <c r="I7199" s="184"/>
      <c r="J7199" s="184"/>
      <c r="K7199" s="184"/>
      <c r="L7199" s="184"/>
      <c r="M7199" s="184"/>
      <c r="N7199" s="184"/>
      <c r="O7199" s="184"/>
    </row>
    <row r="7200" customFormat="false" ht="15" hidden="false" customHeight="true" outlineLevel="0" collapsed="false">
      <c r="A7200" s="184"/>
      <c r="B7200" s="184"/>
      <c r="C7200" s="184"/>
      <c r="D7200" s="184"/>
      <c r="E7200" s="184"/>
      <c r="F7200" s="184"/>
      <c r="G7200" s="184"/>
      <c r="H7200" s="184"/>
      <c r="I7200" s="184"/>
      <c r="J7200" s="184"/>
      <c r="K7200" s="184"/>
      <c r="L7200" s="184"/>
      <c r="M7200" s="184"/>
      <c r="N7200" s="184"/>
      <c r="O7200" s="184"/>
    </row>
    <row r="7201" customFormat="false" ht="15" hidden="false" customHeight="true" outlineLevel="0" collapsed="false">
      <c r="A7201" s="184"/>
      <c r="B7201" s="184"/>
      <c r="C7201" s="184"/>
      <c r="D7201" s="184"/>
      <c r="E7201" s="184"/>
      <c r="F7201" s="184"/>
      <c r="G7201" s="184"/>
      <c r="H7201" s="184"/>
      <c r="I7201" s="184"/>
      <c r="J7201" s="184"/>
      <c r="K7201" s="184"/>
      <c r="L7201" s="184"/>
      <c r="M7201" s="184"/>
      <c r="N7201" s="184"/>
      <c r="O7201" s="184"/>
    </row>
    <row r="7202" customFormat="false" ht="15" hidden="false" customHeight="true" outlineLevel="0" collapsed="false">
      <c r="A7202" s="184"/>
      <c r="B7202" s="184"/>
      <c r="C7202" s="184"/>
      <c r="D7202" s="184"/>
      <c r="E7202" s="184"/>
      <c r="F7202" s="184"/>
      <c r="G7202" s="184"/>
      <c r="H7202" s="184"/>
      <c r="I7202" s="184"/>
      <c r="J7202" s="184"/>
      <c r="K7202" s="184"/>
      <c r="L7202" s="184"/>
      <c r="M7202" s="184"/>
      <c r="N7202" s="184"/>
      <c r="O7202" s="184"/>
    </row>
    <row r="7203" customFormat="false" ht="15" hidden="false" customHeight="true" outlineLevel="0" collapsed="false">
      <c r="A7203" s="184"/>
      <c r="B7203" s="184"/>
      <c r="C7203" s="184"/>
      <c r="D7203" s="184"/>
      <c r="E7203" s="184"/>
      <c r="F7203" s="184"/>
      <c r="G7203" s="184"/>
      <c r="H7203" s="184"/>
      <c r="I7203" s="184"/>
      <c r="J7203" s="184"/>
      <c r="K7203" s="184"/>
      <c r="L7203" s="184"/>
      <c r="M7203" s="184"/>
      <c r="N7203" s="184"/>
      <c r="O7203" s="184"/>
    </row>
    <row r="7204" customFormat="false" ht="15" hidden="false" customHeight="true" outlineLevel="0" collapsed="false">
      <c r="A7204" s="184"/>
      <c r="B7204" s="184"/>
      <c r="C7204" s="184"/>
      <c r="D7204" s="184"/>
      <c r="E7204" s="184"/>
      <c r="F7204" s="184"/>
      <c r="G7204" s="184"/>
      <c r="H7204" s="184"/>
      <c r="I7204" s="184"/>
      <c r="J7204" s="184"/>
      <c r="K7204" s="184"/>
      <c r="L7204" s="184"/>
      <c r="M7204" s="184"/>
      <c r="N7204" s="184"/>
      <c r="O7204" s="184"/>
    </row>
    <row r="7205" customFormat="false" ht="15" hidden="false" customHeight="true" outlineLevel="0" collapsed="false">
      <c r="A7205" s="184"/>
      <c r="B7205" s="184"/>
      <c r="C7205" s="184"/>
      <c r="D7205" s="184"/>
      <c r="E7205" s="184"/>
      <c r="F7205" s="184"/>
      <c r="G7205" s="184"/>
      <c r="H7205" s="184"/>
      <c r="I7205" s="184"/>
      <c r="J7205" s="184"/>
      <c r="K7205" s="184"/>
      <c r="L7205" s="184"/>
      <c r="M7205" s="184"/>
      <c r="N7205" s="184"/>
      <c r="O7205" s="184"/>
    </row>
    <row r="7206" customFormat="false" ht="15" hidden="false" customHeight="true" outlineLevel="0" collapsed="false">
      <c r="A7206" s="184"/>
      <c r="B7206" s="184"/>
      <c r="C7206" s="184"/>
      <c r="D7206" s="184"/>
      <c r="E7206" s="184"/>
      <c r="F7206" s="184"/>
      <c r="G7206" s="184"/>
      <c r="H7206" s="184"/>
      <c r="I7206" s="184"/>
      <c r="J7206" s="184"/>
      <c r="K7206" s="184"/>
      <c r="L7206" s="184"/>
      <c r="M7206" s="184"/>
      <c r="N7206" s="184"/>
      <c r="O7206" s="184"/>
    </row>
    <row r="7207" customFormat="false" ht="15" hidden="false" customHeight="true" outlineLevel="0" collapsed="false">
      <c r="A7207" s="184"/>
      <c r="B7207" s="184"/>
      <c r="C7207" s="184"/>
      <c r="D7207" s="184"/>
      <c r="E7207" s="184"/>
      <c r="F7207" s="184"/>
      <c r="G7207" s="184"/>
      <c r="H7207" s="184"/>
      <c r="I7207" s="184"/>
      <c r="J7207" s="184"/>
      <c r="K7207" s="184"/>
      <c r="L7207" s="184"/>
      <c r="M7207" s="184"/>
      <c r="N7207" s="184"/>
      <c r="O7207" s="184"/>
    </row>
    <row r="7208" customFormat="false" ht="15" hidden="false" customHeight="true" outlineLevel="0" collapsed="false">
      <c r="A7208" s="184"/>
      <c r="B7208" s="184"/>
      <c r="C7208" s="184"/>
      <c r="D7208" s="184"/>
      <c r="E7208" s="184"/>
      <c r="F7208" s="184"/>
      <c r="G7208" s="184"/>
      <c r="H7208" s="184"/>
      <c r="I7208" s="184"/>
      <c r="J7208" s="184"/>
      <c r="K7208" s="184"/>
      <c r="L7208" s="184"/>
      <c r="M7208" s="184"/>
      <c r="N7208" s="184"/>
      <c r="O7208" s="184"/>
    </row>
    <row r="7209" customFormat="false" ht="15" hidden="false" customHeight="true" outlineLevel="0" collapsed="false">
      <c r="A7209" s="184"/>
      <c r="B7209" s="184"/>
      <c r="C7209" s="184"/>
      <c r="D7209" s="184"/>
      <c r="E7209" s="184"/>
      <c r="F7209" s="184"/>
      <c r="G7209" s="184"/>
      <c r="H7209" s="184"/>
      <c r="I7209" s="184"/>
      <c r="J7209" s="184"/>
      <c r="K7209" s="184"/>
      <c r="L7209" s="184"/>
      <c r="M7209" s="184"/>
      <c r="N7209" s="184"/>
      <c r="O7209" s="184"/>
    </row>
    <row r="7210" customFormat="false" ht="15" hidden="false" customHeight="true" outlineLevel="0" collapsed="false">
      <c r="A7210" s="184"/>
      <c r="B7210" s="184"/>
      <c r="C7210" s="184"/>
      <c r="D7210" s="184"/>
      <c r="E7210" s="184"/>
      <c r="F7210" s="184"/>
      <c r="G7210" s="184"/>
      <c r="H7210" s="184"/>
      <c r="I7210" s="184"/>
      <c r="J7210" s="184"/>
      <c r="K7210" s="184"/>
      <c r="L7210" s="184"/>
      <c r="M7210" s="184"/>
      <c r="N7210" s="184"/>
      <c r="O7210" s="184"/>
    </row>
    <row r="7211" customFormat="false" ht="15" hidden="false" customHeight="true" outlineLevel="0" collapsed="false">
      <c r="A7211" s="184"/>
      <c r="B7211" s="184"/>
      <c r="C7211" s="184"/>
      <c r="D7211" s="184"/>
      <c r="E7211" s="184"/>
      <c r="F7211" s="184"/>
      <c r="G7211" s="184"/>
      <c r="H7211" s="184"/>
      <c r="I7211" s="184"/>
      <c r="J7211" s="184"/>
      <c r="K7211" s="184"/>
      <c r="L7211" s="184"/>
      <c r="M7211" s="184"/>
      <c r="N7211" s="184"/>
      <c r="O7211" s="184"/>
    </row>
    <row r="7212" customFormat="false" ht="15" hidden="false" customHeight="true" outlineLevel="0" collapsed="false">
      <c r="A7212" s="184"/>
      <c r="B7212" s="184"/>
      <c r="C7212" s="184"/>
      <c r="D7212" s="184"/>
      <c r="E7212" s="184"/>
      <c r="F7212" s="184"/>
      <c r="G7212" s="184"/>
      <c r="H7212" s="184"/>
      <c r="I7212" s="184"/>
      <c r="J7212" s="184"/>
      <c r="K7212" s="184"/>
      <c r="L7212" s="184"/>
      <c r="M7212" s="184"/>
      <c r="N7212" s="184"/>
      <c r="O7212" s="184"/>
    </row>
    <row r="7213" customFormat="false" ht="15" hidden="false" customHeight="true" outlineLevel="0" collapsed="false">
      <c r="A7213" s="184"/>
      <c r="B7213" s="184"/>
      <c r="C7213" s="184"/>
      <c r="D7213" s="184"/>
      <c r="E7213" s="184"/>
      <c r="F7213" s="184"/>
      <c r="G7213" s="184"/>
      <c r="H7213" s="184"/>
      <c r="I7213" s="184"/>
      <c r="J7213" s="184"/>
      <c r="K7213" s="184"/>
      <c r="L7213" s="184"/>
      <c r="M7213" s="184"/>
      <c r="N7213" s="184"/>
      <c r="O7213" s="184"/>
    </row>
    <row r="7214" customFormat="false" ht="15" hidden="false" customHeight="true" outlineLevel="0" collapsed="false">
      <c r="A7214" s="184"/>
      <c r="B7214" s="184"/>
      <c r="C7214" s="184"/>
      <c r="D7214" s="184"/>
      <c r="E7214" s="184"/>
      <c r="F7214" s="184"/>
      <c r="G7214" s="184"/>
      <c r="H7214" s="184"/>
      <c r="I7214" s="184"/>
      <c r="J7214" s="184"/>
      <c r="K7214" s="184"/>
      <c r="L7214" s="184"/>
      <c r="M7214" s="184"/>
      <c r="N7214" s="184"/>
      <c r="O7214" s="184"/>
    </row>
    <row r="7215" customFormat="false" ht="15" hidden="false" customHeight="true" outlineLevel="0" collapsed="false">
      <c r="A7215" s="184"/>
      <c r="B7215" s="184"/>
      <c r="C7215" s="184"/>
      <c r="D7215" s="184"/>
      <c r="E7215" s="184"/>
      <c r="F7215" s="184"/>
      <c r="G7215" s="184"/>
      <c r="H7215" s="184"/>
      <c r="I7215" s="184"/>
      <c r="J7215" s="184"/>
      <c r="K7215" s="184"/>
      <c r="L7215" s="184"/>
      <c r="M7215" s="184"/>
      <c r="N7215" s="184"/>
      <c r="O7215" s="184"/>
    </row>
    <row r="7216" customFormat="false" ht="15" hidden="false" customHeight="true" outlineLevel="0" collapsed="false">
      <c r="A7216" s="184"/>
      <c r="B7216" s="184"/>
      <c r="C7216" s="184"/>
      <c r="D7216" s="184"/>
      <c r="E7216" s="184"/>
      <c r="F7216" s="184"/>
      <c r="G7216" s="184"/>
      <c r="H7216" s="184"/>
      <c r="I7216" s="184"/>
      <c r="J7216" s="184"/>
      <c r="K7216" s="184"/>
      <c r="L7216" s="184"/>
      <c r="M7216" s="184"/>
      <c r="N7216" s="184"/>
      <c r="O7216" s="184"/>
    </row>
    <row r="7217" customFormat="false" ht="15" hidden="false" customHeight="true" outlineLevel="0" collapsed="false">
      <c r="A7217" s="184"/>
      <c r="B7217" s="184"/>
      <c r="C7217" s="184"/>
      <c r="D7217" s="184"/>
      <c r="E7217" s="184"/>
      <c r="F7217" s="184"/>
      <c r="G7217" s="184"/>
      <c r="H7217" s="184"/>
      <c r="I7217" s="184"/>
      <c r="J7217" s="184"/>
      <c r="K7217" s="184"/>
      <c r="L7217" s="184"/>
      <c r="M7217" s="184"/>
      <c r="N7217" s="184"/>
      <c r="O7217" s="184"/>
    </row>
    <row r="7218" customFormat="false" ht="15" hidden="false" customHeight="true" outlineLevel="0" collapsed="false">
      <c r="A7218" s="184"/>
      <c r="B7218" s="184"/>
      <c r="C7218" s="184"/>
      <c r="D7218" s="184"/>
      <c r="E7218" s="184"/>
      <c r="F7218" s="184"/>
      <c r="G7218" s="184"/>
      <c r="H7218" s="184"/>
      <c r="I7218" s="184"/>
      <c r="J7218" s="184"/>
      <c r="K7218" s="184"/>
      <c r="L7218" s="184"/>
      <c r="M7218" s="184"/>
      <c r="N7218" s="184"/>
      <c r="O7218" s="184"/>
    </row>
    <row r="7219" customFormat="false" ht="15" hidden="false" customHeight="true" outlineLevel="0" collapsed="false">
      <c r="A7219" s="184"/>
      <c r="B7219" s="184"/>
      <c r="C7219" s="184"/>
      <c r="D7219" s="184"/>
      <c r="E7219" s="184"/>
      <c r="F7219" s="184"/>
      <c r="G7219" s="184"/>
      <c r="H7219" s="184"/>
      <c r="I7219" s="184"/>
      <c r="J7219" s="184"/>
      <c r="K7219" s="184"/>
      <c r="L7219" s="184"/>
      <c r="M7219" s="184"/>
      <c r="N7219" s="184"/>
      <c r="O7219" s="184"/>
    </row>
    <row r="7220" customFormat="false" ht="15" hidden="false" customHeight="true" outlineLevel="0" collapsed="false">
      <c r="A7220" s="184"/>
      <c r="B7220" s="184"/>
      <c r="C7220" s="184"/>
      <c r="D7220" s="184"/>
      <c r="E7220" s="184"/>
      <c r="F7220" s="184"/>
      <c r="G7220" s="184"/>
      <c r="H7220" s="184"/>
      <c r="I7220" s="184"/>
      <c r="J7220" s="184"/>
      <c r="K7220" s="184"/>
      <c r="L7220" s="184"/>
      <c r="M7220" s="184"/>
      <c r="N7220" s="184"/>
      <c r="O7220" s="184"/>
    </row>
    <row r="7221" customFormat="false" ht="15" hidden="false" customHeight="true" outlineLevel="0" collapsed="false">
      <c r="A7221" s="184"/>
      <c r="B7221" s="184"/>
      <c r="C7221" s="184"/>
      <c r="D7221" s="184"/>
      <c r="E7221" s="184"/>
      <c r="F7221" s="184"/>
      <c r="G7221" s="184"/>
      <c r="H7221" s="184"/>
      <c r="I7221" s="184"/>
      <c r="J7221" s="184"/>
      <c r="K7221" s="184"/>
      <c r="L7221" s="184"/>
      <c r="M7221" s="184"/>
      <c r="N7221" s="184"/>
      <c r="O7221" s="184"/>
    </row>
    <row r="7222" customFormat="false" ht="15" hidden="false" customHeight="true" outlineLevel="0" collapsed="false">
      <c r="A7222" s="184"/>
      <c r="B7222" s="184"/>
      <c r="C7222" s="184"/>
      <c r="D7222" s="184"/>
      <c r="E7222" s="184"/>
      <c r="F7222" s="184"/>
      <c r="G7222" s="184"/>
      <c r="H7222" s="184"/>
      <c r="I7222" s="184"/>
      <c r="J7222" s="184"/>
      <c r="K7222" s="184"/>
      <c r="L7222" s="184"/>
      <c r="M7222" s="184"/>
      <c r="N7222" s="184"/>
      <c r="O7222" s="184"/>
    </row>
    <row r="7223" customFormat="false" ht="15" hidden="false" customHeight="true" outlineLevel="0" collapsed="false">
      <c r="A7223" s="184"/>
      <c r="B7223" s="184"/>
      <c r="C7223" s="184"/>
      <c r="D7223" s="184"/>
      <c r="E7223" s="184"/>
      <c r="F7223" s="184"/>
      <c r="G7223" s="184"/>
      <c r="H7223" s="184"/>
      <c r="I7223" s="184"/>
      <c r="J7223" s="184"/>
      <c r="K7223" s="184"/>
      <c r="L7223" s="184"/>
      <c r="M7223" s="184"/>
      <c r="N7223" s="184"/>
      <c r="O7223" s="184"/>
    </row>
    <row r="7224" customFormat="false" ht="15" hidden="false" customHeight="true" outlineLevel="0" collapsed="false">
      <c r="A7224" s="184"/>
      <c r="B7224" s="184"/>
      <c r="C7224" s="184"/>
      <c r="D7224" s="184"/>
      <c r="E7224" s="184"/>
      <c r="F7224" s="184"/>
      <c r="G7224" s="184"/>
      <c r="H7224" s="184"/>
      <c r="I7224" s="184"/>
      <c r="J7224" s="184"/>
      <c r="K7224" s="184"/>
      <c r="L7224" s="184"/>
      <c r="M7224" s="184"/>
      <c r="N7224" s="184"/>
      <c r="O7224" s="184"/>
    </row>
    <row r="7225" customFormat="false" ht="15" hidden="false" customHeight="true" outlineLevel="0" collapsed="false">
      <c r="A7225" s="184"/>
      <c r="B7225" s="184"/>
      <c r="C7225" s="184"/>
      <c r="D7225" s="184"/>
      <c r="E7225" s="184"/>
      <c r="F7225" s="184"/>
      <c r="G7225" s="184"/>
      <c r="H7225" s="184"/>
      <c r="I7225" s="184"/>
      <c r="J7225" s="184"/>
      <c r="K7225" s="184"/>
      <c r="L7225" s="184"/>
      <c r="M7225" s="184"/>
      <c r="N7225" s="184"/>
      <c r="O7225" s="184"/>
    </row>
    <row r="7226" customFormat="false" ht="15" hidden="false" customHeight="true" outlineLevel="0" collapsed="false">
      <c r="A7226" s="184"/>
      <c r="B7226" s="184"/>
      <c r="C7226" s="184"/>
      <c r="D7226" s="184"/>
      <c r="E7226" s="184"/>
      <c r="F7226" s="184"/>
      <c r="G7226" s="184"/>
      <c r="H7226" s="184"/>
      <c r="I7226" s="184"/>
      <c r="J7226" s="184"/>
      <c r="K7226" s="184"/>
      <c r="L7226" s="184"/>
      <c r="M7226" s="184"/>
      <c r="N7226" s="184"/>
      <c r="O7226" s="184"/>
    </row>
    <row r="7227" customFormat="false" ht="15" hidden="false" customHeight="true" outlineLevel="0" collapsed="false">
      <c r="A7227" s="184"/>
      <c r="B7227" s="184"/>
      <c r="C7227" s="184"/>
      <c r="D7227" s="184"/>
      <c r="E7227" s="184"/>
      <c r="F7227" s="184"/>
      <c r="G7227" s="184"/>
      <c r="H7227" s="184"/>
      <c r="I7227" s="184"/>
      <c r="J7227" s="184"/>
      <c r="K7227" s="184"/>
      <c r="L7227" s="184"/>
      <c r="M7227" s="184"/>
      <c r="N7227" s="184"/>
      <c r="O7227" s="184"/>
    </row>
    <row r="7228" customFormat="false" ht="15" hidden="false" customHeight="true" outlineLevel="0" collapsed="false">
      <c r="A7228" s="184"/>
      <c r="B7228" s="184"/>
      <c r="C7228" s="184"/>
      <c r="D7228" s="184"/>
      <c r="E7228" s="184"/>
      <c r="F7228" s="184"/>
      <c r="G7228" s="184"/>
      <c r="H7228" s="184"/>
      <c r="I7228" s="184"/>
      <c r="J7228" s="184"/>
      <c r="K7228" s="184"/>
      <c r="L7228" s="184"/>
      <c r="M7228" s="184"/>
      <c r="N7228" s="184"/>
      <c r="O7228" s="184"/>
    </row>
    <row r="7229" customFormat="false" ht="15" hidden="false" customHeight="true" outlineLevel="0" collapsed="false">
      <c r="A7229" s="184"/>
      <c r="B7229" s="184"/>
      <c r="C7229" s="184"/>
      <c r="D7229" s="184"/>
      <c r="E7229" s="184"/>
      <c r="F7229" s="184"/>
      <c r="G7229" s="184"/>
      <c r="H7229" s="184"/>
      <c r="I7229" s="184"/>
      <c r="J7229" s="184"/>
      <c r="K7229" s="184"/>
      <c r="L7229" s="184"/>
      <c r="M7229" s="184"/>
      <c r="N7229" s="184"/>
      <c r="O7229" s="184"/>
    </row>
    <row r="7230" customFormat="false" ht="15" hidden="false" customHeight="true" outlineLevel="0" collapsed="false">
      <c r="A7230" s="184"/>
      <c r="B7230" s="184"/>
      <c r="C7230" s="184"/>
      <c r="D7230" s="184"/>
      <c r="E7230" s="184"/>
      <c r="F7230" s="184"/>
      <c r="G7230" s="184"/>
      <c r="H7230" s="184"/>
      <c r="I7230" s="184"/>
      <c r="J7230" s="184"/>
      <c r="K7230" s="184"/>
      <c r="L7230" s="184"/>
      <c r="M7230" s="184"/>
      <c r="N7230" s="184"/>
      <c r="O7230" s="184"/>
    </row>
    <row r="7231" customFormat="false" ht="15" hidden="false" customHeight="true" outlineLevel="0" collapsed="false">
      <c r="A7231" s="184"/>
      <c r="B7231" s="184"/>
      <c r="C7231" s="184"/>
      <c r="D7231" s="184"/>
      <c r="E7231" s="184"/>
      <c r="F7231" s="184"/>
      <c r="G7231" s="184"/>
      <c r="H7231" s="184"/>
      <c r="I7231" s="184"/>
      <c r="J7231" s="184"/>
      <c r="K7231" s="184"/>
      <c r="L7231" s="184"/>
      <c r="M7231" s="184"/>
      <c r="N7231" s="184"/>
      <c r="O7231" s="184"/>
    </row>
    <row r="7232" customFormat="false" ht="15" hidden="false" customHeight="true" outlineLevel="0" collapsed="false">
      <c r="A7232" s="184"/>
      <c r="B7232" s="184"/>
      <c r="C7232" s="184"/>
      <c r="D7232" s="184"/>
      <c r="E7232" s="184"/>
      <c r="F7232" s="184"/>
      <c r="G7232" s="184"/>
      <c r="H7232" s="184"/>
      <c r="I7232" s="184"/>
      <c r="J7232" s="184"/>
      <c r="K7232" s="184"/>
      <c r="L7232" s="184"/>
      <c r="M7232" s="184"/>
      <c r="N7232" s="184"/>
      <c r="O7232" s="184"/>
    </row>
    <row r="7233" customFormat="false" ht="15" hidden="false" customHeight="true" outlineLevel="0" collapsed="false">
      <c r="A7233" s="184"/>
      <c r="B7233" s="184"/>
      <c r="C7233" s="184"/>
      <c r="D7233" s="184"/>
      <c r="E7233" s="184"/>
      <c r="F7233" s="184"/>
      <c r="G7233" s="184"/>
      <c r="H7233" s="184"/>
      <c r="I7233" s="184"/>
      <c r="J7233" s="184"/>
      <c r="K7233" s="184"/>
      <c r="L7233" s="184"/>
      <c r="M7233" s="184"/>
      <c r="N7233" s="184"/>
      <c r="O7233" s="184"/>
    </row>
    <row r="7234" customFormat="false" ht="15" hidden="false" customHeight="true" outlineLevel="0" collapsed="false">
      <c r="A7234" s="184"/>
      <c r="B7234" s="184"/>
      <c r="C7234" s="184"/>
      <c r="D7234" s="184"/>
      <c r="E7234" s="184"/>
      <c r="F7234" s="184"/>
      <c r="G7234" s="184"/>
      <c r="H7234" s="184"/>
      <c r="I7234" s="184"/>
      <c r="J7234" s="184"/>
      <c r="K7234" s="184"/>
      <c r="L7234" s="184"/>
      <c r="M7234" s="184"/>
      <c r="N7234" s="184"/>
      <c r="O7234" s="184"/>
    </row>
    <row r="7235" customFormat="false" ht="15" hidden="false" customHeight="true" outlineLevel="0" collapsed="false">
      <c r="A7235" s="184"/>
      <c r="B7235" s="184"/>
      <c r="C7235" s="184"/>
      <c r="D7235" s="184"/>
      <c r="E7235" s="184"/>
      <c r="F7235" s="184"/>
      <c r="G7235" s="184"/>
      <c r="H7235" s="184"/>
      <c r="I7235" s="184"/>
      <c r="J7235" s="184"/>
      <c r="K7235" s="184"/>
      <c r="L7235" s="184"/>
      <c r="M7235" s="184"/>
      <c r="N7235" s="184"/>
      <c r="O7235" s="184"/>
    </row>
    <row r="7236" customFormat="false" ht="15" hidden="false" customHeight="true" outlineLevel="0" collapsed="false">
      <c r="A7236" s="184"/>
      <c r="B7236" s="184"/>
      <c r="C7236" s="184"/>
      <c r="D7236" s="184"/>
      <c r="E7236" s="184"/>
      <c r="F7236" s="184"/>
      <c r="G7236" s="184"/>
      <c r="H7236" s="184"/>
      <c r="I7236" s="184"/>
      <c r="J7236" s="184"/>
      <c r="K7236" s="184"/>
      <c r="L7236" s="184"/>
      <c r="M7236" s="184"/>
      <c r="N7236" s="184"/>
      <c r="O7236" s="184"/>
    </row>
    <row r="7237" customFormat="false" ht="15" hidden="false" customHeight="true" outlineLevel="0" collapsed="false">
      <c r="A7237" s="184"/>
      <c r="B7237" s="184"/>
      <c r="C7237" s="184"/>
      <c r="D7237" s="184"/>
      <c r="E7237" s="184"/>
      <c r="F7237" s="184"/>
      <c r="G7237" s="184"/>
      <c r="H7237" s="184"/>
      <c r="I7237" s="184"/>
      <c r="J7237" s="184"/>
      <c r="K7237" s="184"/>
      <c r="L7237" s="184"/>
      <c r="M7237" s="184"/>
      <c r="N7237" s="184"/>
      <c r="O7237" s="184"/>
    </row>
    <row r="7238" customFormat="false" ht="15" hidden="false" customHeight="true" outlineLevel="0" collapsed="false">
      <c r="A7238" s="184"/>
      <c r="B7238" s="184"/>
      <c r="C7238" s="184"/>
      <c r="D7238" s="184"/>
      <c r="E7238" s="184"/>
      <c r="F7238" s="184"/>
      <c r="G7238" s="184"/>
      <c r="H7238" s="184"/>
      <c r="I7238" s="184"/>
      <c r="J7238" s="184"/>
      <c r="K7238" s="184"/>
      <c r="L7238" s="184"/>
      <c r="M7238" s="184"/>
      <c r="N7238" s="184"/>
      <c r="O7238" s="184"/>
    </row>
    <row r="7239" customFormat="false" ht="15" hidden="false" customHeight="true" outlineLevel="0" collapsed="false">
      <c r="A7239" s="184"/>
      <c r="B7239" s="184"/>
      <c r="C7239" s="184"/>
      <c r="D7239" s="184"/>
      <c r="E7239" s="184"/>
      <c r="F7239" s="184"/>
      <c r="G7239" s="184"/>
      <c r="H7239" s="184"/>
      <c r="I7239" s="184"/>
      <c r="J7239" s="184"/>
      <c r="K7239" s="184"/>
      <c r="L7239" s="184"/>
      <c r="M7239" s="184"/>
      <c r="N7239" s="184"/>
      <c r="O7239" s="184"/>
    </row>
    <row r="7240" customFormat="false" ht="15" hidden="false" customHeight="true" outlineLevel="0" collapsed="false">
      <c r="A7240" s="184"/>
      <c r="B7240" s="184"/>
      <c r="C7240" s="184"/>
      <c r="D7240" s="184"/>
      <c r="E7240" s="184"/>
      <c r="F7240" s="184"/>
      <c r="G7240" s="184"/>
      <c r="H7240" s="184"/>
      <c r="I7240" s="184"/>
      <c r="J7240" s="184"/>
      <c r="K7240" s="184"/>
      <c r="L7240" s="184"/>
      <c r="M7240" s="184"/>
      <c r="N7240" s="184"/>
      <c r="O7240" s="184"/>
    </row>
    <row r="7241" customFormat="false" ht="15" hidden="false" customHeight="true" outlineLevel="0" collapsed="false">
      <c r="A7241" s="184"/>
      <c r="B7241" s="184"/>
      <c r="C7241" s="184"/>
      <c r="D7241" s="184"/>
      <c r="E7241" s="184"/>
      <c r="F7241" s="184"/>
      <c r="G7241" s="184"/>
      <c r="H7241" s="184"/>
      <c r="I7241" s="184"/>
      <c r="J7241" s="184"/>
      <c r="K7241" s="184"/>
      <c r="L7241" s="184"/>
      <c r="M7241" s="184"/>
      <c r="N7241" s="184"/>
      <c r="O7241" s="184"/>
    </row>
    <row r="7242" customFormat="false" ht="15" hidden="false" customHeight="true" outlineLevel="0" collapsed="false">
      <c r="A7242" s="184"/>
      <c r="B7242" s="184"/>
      <c r="C7242" s="184"/>
      <c r="D7242" s="184"/>
      <c r="E7242" s="184"/>
      <c r="F7242" s="184"/>
      <c r="G7242" s="184"/>
      <c r="H7242" s="184"/>
      <c r="I7242" s="184"/>
      <c r="J7242" s="184"/>
      <c r="K7242" s="184"/>
      <c r="L7242" s="184"/>
      <c r="M7242" s="184"/>
      <c r="N7242" s="184"/>
      <c r="O7242" s="184"/>
    </row>
    <row r="7243" customFormat="false" ht="15" hidden="false" customHeight="true" outlineLevel="0" collapsed="false">
      <c r="A7243" s="184"/>
      <c r="B7243" s="184"/>
      <c r="C7243" s="184"/>
      <c r="D7243" s="184"/>
      <c r="E7243" s="184"/>
      <c r="F7243" s="184"/>
      <c r="G7243" s="184"/>
      <c r="H7243" s="184"/>
      <c r="I7243" s="184"/>
      <c r="J7243" s="184"/>
      <c r="K7243" s="184"/>
      <c r="L7243" s="184"/>
      <c r="M7243" s="184"/>
      <c r="N7243" s="184"/>
      <c r="O7243" s="184"/>
    </row>
    <row r="7244" customFormat="false" ht="15" hidden="false" customHeight="true" outlineLevel="0" collapsed="false">
      <c r="A7244" s="184"/>
      <c r="B7244" s="184"/>
      <c r="C7244" s="184"/>
      <c r="D7244" s="184"/>
      <c r="E7244" s="184"/>
      <c r="F7244" s="184"/>
      <c r="G7244" s="184"/>
      <c r="H7244" s="184"/>
      <c r="I7244" s="184"/>
      <c r="J7244" s="184"/>
      <c r="K7244" s="184"/>
      <c r="L7244" s="184"/>
      <c r="M7244" s="184"/>
      <c r="N7244" s="184"/>
      <c r="O7244" s="184"/>
    </row>
    <row r="7245" customFormat="false" ht="15" hidden="false" customHeight="true" outlineLevel="0" collapsed="false">
      <c r="A7245" s="184"/>
      <c r="B7245" s="184"/>
      <c r="C7245" s="184"/>
      <c r="D7245" s="184"/>
      <c r="E7245" s="184"/>
      <c r="F7245" s="184"/>
      <c r="G7245" s="184"/>
      <c r="H7245" s="184"/>
      <c r="I7245" s="184"/>
      <c r="J7245" s="184"/>
      <c r="K7245" s="184"/>
      <c r="L7245" s="184"/>
      <c r="M7245" s="184"/>
      <c r="N7245" s="184"/>
      <c r="O7245" s="184"/>
    </row>
    <row r="7246" customFormat="false" ht="15" hidden="false" customHeight="true" outlineLevel="0" collapsed="false">
      <c r="A7246" s="184"/>
      <c r="B7246" s="184"/>
      <c r="C7246" s="184"/>
      <c r="D7246" s="184"/>
      <c r="E7246" s="184"/>
      <c r="F7246" s="184"/>
      <c r="G7246" s="184"/>
      <c r="H7246" s="184"/>
      <c r="I7246" s="184"/>
      <c r="J7246" s="184"/>
      <c r="K7246" s="184"/>
      <c r="L7246" s="184"/>
      <c r="M7246" s="184"/>
      <c r="N7246" s="184"/>
      <c r="O7246" s="184"/>
    </row>
    <row r="7247" customFormat="false" ht="15" hidden="false" customHeight="true" outlineLevel="0" collapsed="false">
      <c r="A7247" s="184"/>
      <c r="B7247" s="184"/>
      <c r="C7247" s="184"/>
      <c r="D7247" s="184"/>
      <c r="E7247" s="184"/>
      <c r="F7247" s="184"/>
      <c r="G7247" s="184"/>
      <c r="H7247" s="184"/>
      <c r="I7247" s="184"/>
      <c r="J7247" s="184"/>
      <c r="K7247" s="184"/>
      <c r="L7247" s="184"/>
      <c r="M7247" s="184"/>
      <c r="N7247" s="184"/>
      <c r="O7247" s="184"/>
    </row>
    <row r="7248" customFormat="false" ht="15" hidden="false" customHeight="true" outlineLevel="0" collapsed="false">
      <c r="A7248" s="184"/>
      <c r="B7248" s="184"/>
      <c r="C7248" s="184"/>
      <c r="D7248" s="184"/>
      <c r="E7248" s="184"/>
      <c r="F7248" s="184"/>
      <c r="G7248" s="184"/>
      <c r="H7248" s="184"/>
      <c r="I7248" s="184"/>
      <c r="J7248" s="184"/>
      <c r="K7248" s="184"/>
      <c r="L7248" s="184"/>
      <c r="M7248" s="184"/>
      <c r="N7248" s="184"/>
      <c r="O7248" s="184"/>
    </row>
    <row r="7249" customFormat="false" ht="15" hidden="false" customHeight="true" outlineLevel="0" collapsed="false">
      <c r="A7249" s="184"/>
      <c r="B7249" s="184"/>
      <c r="C7249" s="184"/>
      <c r="D7249" s="184"/>
      <c r="E7249" s="184"/>
      <c r="F7249" s="184"/>
      <c r="G7249" s="184"/>
      <c r="H7249" s="184"/>
      <c r="I7249" s="184"/>
      <c r="J7249" s="184"/>
      <c r="K7249" s="184"/>
      <c r="L7249" s="184"/>
      <c r="M7249" s="184"/>
      <c r="N7249" s="184"/>
      <c r="O7249" s="184"/>
    </row>
    <row r="7250" customFormat="false" ht="15" hidden="false" customHeight="true" outlineLevel="0" collapsed="false">
      <c r="A7250" s="184"/>
      <c r="B7250" s="184"/>
      <c r="C7250" s="184"/>
      <c r="D7250" s="184"/>
      <c r="E7250" s="184"/>
      <c r="F7250" s="184"/>
      <c r="G7250" s="184"/>
      <c r="H7250" s="184"/>
      <c r="I7250" s="184"/>
      <c r="J7250" s="184"/>
      <c r="K7250" s="184"/>
      <c r="L7250" s="184"/>
      <c r="M7250" s="184"/>
      <c r="N7250" s="184"/>
      <c r="O7250" s="184"/>
    </row>
    <row r="7251" customFormat="false" ht="15" hidden="false" customHeight="true" outlineLevel="0" collapsed="false">
      <c r="A7251" s="184"/>
      <c r="B7251" s="184"/>
      <c r="C7251" s="184"/>
      <c r="D7251" s="184"/>
      <c r="E7251" s="184"/>
      <c r="F7251" s="184"/>
      <c r="G7251" s="184"/>
      <c r="H7251" s="184"/>
      <c r="I7251" s="184"/>
      <c r="J7251" s="184"/>
      <c r="K7251" s="184"/>
      <c r="L7251" s="184"/>
      <c r="M7251" s="184"/>
      <c r="N7251" s="184"/>
      <c r="O7251" s="184"/>
    </row>
    <row r="7252" customFormat="false" ht="15" hidden="false" customHeight="true" outlineLevel="0" collapsed="false">
      <c r="A7252" s="184"/>
      <c r="B7252" s="184"/>
      <c r="C7252" s="184"/>
      <c r="D7252" s="184"/>
      <c r="E7252" s="184"/>
      <c r="F7252" s="184"/>
      <c r="G7252" s="184"/>
      <c r="H7252" s="184"/>
      <c r="I7252" s="184"/>
      <c r="J7252" s="184"/>
      <c r="K7252" s="184"/>
      <c r="L7252" s="184"/>
      <c r="M7252" s="184"/>
      <c r="N7252" s="184"/>
      <c r="O7252" s="184"/>
    </row>
    <row r="7253" customFormat="false" ht="15" hidden="false" customHeight="true" outlineLevel="0" collapsed="false">
      <c r="A7253" s="184"/>
      <c r="B7253" s="184"/>
      <c r="C7253" s="184"/>
      <c r="D7253" s="184"/>
      <c r="E7253" s="184"/>
      <c r="F7253" s="184"/>
      <c r="G7253" s="184"/>
      <c r="H7253" s="184"/>
      <c r="I7253" s="184"/>
      <c r="J7253" s="184"/>
      <c r="K7253" s="184"/>
      <c r="L7253" s="184"/>
      <c r="M7253" s="184"/>
      <c r="N7253" s="184"/>
      <c r="O7253" s="184"/>
    </row>
    <row r="7254" customFormat="false" ht="15" hidden="false" customHeight="true" outlineLevel="0" collapsed="false">
      <c r="A7254" s="184"/>
      <c r="B7254" s="184"/>
      <c r="C7254" s="184"/>
      <c r="D7254" s="184"/>
      <c r="E7254" s="184"/>
      <c r="F7254" s="184"/>
      <c r="G7254" s="184"/>
      <c r="H7254" s="184"/>
      <c r="I7254" s="184"/>
      <c r="J7254" s="184"/>
      <c r="K7254" s="184"/>
      <c r="L7254" s="184"/>
      <c r="M7254" s="184"/>
      <c r="N7254" s="184"/>
      <c r="O7254" s="184"/>
    </row>
    <row r="7255" customFormat="false" ht="15" hidden="false" customHeight="true" outlineLevel="0" collapsed="false">
      <c r="A7255" s="184"/>
      <c r="B7255" s="184"/>
      <c r="C7255" s="184"/>
      <c r="D7255" s="184"/>
      <c r="E7255" s="184"/>
      <c r="F7255" s="184"/>
      <c r="G7255" s="184"/>
      <c r="H7255" s="184"/>
      <c r="I7255" s="184"/>
      <c r="J7255" s="184"/>
      <c r="K7255" s="184"/>
      <c r="L7255" s="184"/>
      <c r="M7255" s="184"/>
      <c r="N7255" s="184"/>
      <c r="O7255" s="184"/>
    </row>
    <row r="7256" customFormat="false" ht="15" hidden="false" customHeight="true" outlineLevel="0" collapsed="false">
      <c r="A7256" s="184"/>
      <c r="B7256" s="184"/>
      <c r="C7256" s="184"/>
      <c r="D7256" s="184"/>
      <c r="E7256" s="184"/>
      <c r="F7256" s="184"/>
      <c r="G7256" s="184"/>
      <c r="H7256" s="184"/>
      <c r="I7256" s="184"/>
      <c r="J7256" s="184"/>
      <c r="K7256" s="184"/>
      <c r="L7256" s="184"/>
      <c r="M7256" s="184"/>
      <c r="N7256" s="184"/>
      <c r="O7256" s="184"/>
    </row>
    <row r="7257" customFormat="false" ht="15" hidden="false" customHeight="true" outlineLevel="0" collapsed="false">
      <c r="A7257" s="184"/>
      <c r="B7257" s="184"/>
      <c r="C7257" s="184"/>
      <c r="D7257" s="184"/>
      <c r="E7257" s="184"/>
      <c r="F7257" s="184"/>
      <c r="G7257" s="184"/>
      <c r="H7257" s="184"/>
      <c r="I7257" s="184"/>
      <c r="J7257" s="184"/>
      <c r="K7257" s="184"/>
      <c r="L7257" s="184"/>
      <c r="M7257" s="184"/>
      <c r="N7257" s="184"/>
      <c r="O7257" s="184"/>
    </row>
    <row r="7258" customFormat="false" ht="15" hidden="false" customHeight="true" outlineLevel="0" collapsed="false">
      <c r="A7258" s="184"/>
      <c r="B7258" s="184"/>
      <c r="C7258" s="184"/>
      <c r="D7258" s="184"/>
      <c r="E7258" s="184"/>
      <c r="F7258" s="184"/>
      <c r="G7258" s="184"/>
      <c r="H7258" s="184"/>
      <c r="I7258" s="184"/>
      <c r="J7258" s="184"/>
      <c r="K7258" s="184"/>
      <c r="L7258" s="184"/>
      <c r="M7258" s="184"/>
      <c r="N7258" s="184"/>
      <c r="O7258" s="184"/>
    </row>
    <row r="7259" customFormat="false" ht="15" hidden="false" customHeight="true" outlineLevel="0" collapsed="false">
      <c r="A7259" s="184"/>
      <c r="B7259" s="184"/>
      <c r="C7259" s="184"/>
      <c r="D7259" s="184"/>
      <c r="E7259" s="184"/>
      <c r="F7259" s="184"/>
      <c r="G7259" s="184"/>
      <c r="H7259" s="184"/>
      <c r="I7259" s="184"/>
      <c r="J7259" s="184"/>
      <c r="K7259" s="184"/>
      <c r="L7259" s="184"/>
      <c r="M7259" s="184"/>
      <c r="N7259" s="184"/>
      <c r="O7259" s="184"/>
    </row>
    <row r="7260" customFormat="false" ht="15" hidden="false" customHeight="true" outlineLevel="0" collapsed="false">
      <c r="A7260" s="184"/>
      <c r="B7260" s="184"/>
      <c r="C7260" s="184"/>
      <c r="D7260" s="184"/>
      <c r="E7260" s="184"/>
      <c r="F7260" s="184"/>
      <c r="G7260" s="184"/>
      <c r="H7260" s="184"/>
      <c r="I7260" s="184"/>
      <c r="J7260" s="184"/>
      <c r="K7260" s="184"/>
      <c r="L7260" s="184"/>
      <c r="M7260" s="184"/>
      <c r="N7260" s="184"/>
      <c r="O7260" s="184"/>
    </row>
    <row r="7261" customFormat="false" ht="15" hidden="false" customHeight="true" outlineLevel="0" collapsed="false">
      <c r="A7261" s="184"/>
      <c r="B7261" s="184"/>
      <c r="C7261" s="184"/>
      <c r="D7261" s="184"/>
      <c r="E7261" s="184"/>
      <c r="F7261" s="184"/>
      <c r="G7261" s="184"/>
      <c r="H7261" s="184"/>
      <c r="I7261" s="184"/>
      <c r="J7261" s="184"/>
      <c r="K7261" s="184"/>
      <c r="L7261" s="184"/>
      <c r="M7261" s="184"/>
      <c r="N7261" s="184"/>
      <c r="O7261" s="184"/>
    </row>
    <row r="7262" customFormat="false" ht="15" hidden="false" customHeight="true" outlineLevel="0" collapsed="false">
      <c r="A7262" s="184"/>
      <c r="B7262" s="184"/>
      <c r="C7262" s="184"/>
      <c r="D7262" s="184"/>
      <c r="E7262" s="184"/>
      <c r="F7262" s="184"/>
      <c r="G7262" s="184"/>
      <c r="H7262" s="184"/>
      <c r="I7262" s="184"/>
      <c r="J7262" s="184"/>
      <c r="K7262" s="184"/>
      <c r="L7262" s="184"/>
      <c r="M7262" s="184"/>
      <c r="N7262" s="184"/>
      <c r="O7262" s="184"/>
    </row>
    <row r="7263" customFormat="false" ht="15" hidden="false" customHeight="true" outlineLevel="0" collapsed="false">
      <c r="A7263" s="184"/>
      <c r="B7263" s="184"/>
      <c r="C7263" s="184"/>
      <c r="D7263" s="184"/>
      <c r="E7263" s="184"/>
      <c r="F7263" s="184"/>
      <c r="G7263" s="184"/>
      <c r="H7263" s="184"/>
      <c r="I7263" s="184"/>
      <c r="J7263" s="184"/>
      <c r="K7263" s="184"/>
      <c r="L7263" s="184"/>
      <c r="M7263" s="184"/>
      <c r="N7263" s="184"/>
      <c r="O7263" s="184"/>
    </row>
    <row r="7264" customFormat="false" ht="15" hidden="false" customHeight="true" outlineLevel="0" collapsed="false">
      <c r="A7264" s="184"/>
      <c r="B7264" s="184"/>
      <c r="C7264" s="184"/>
      <c r="D7264" s="184"/>
      <c r="E7264" s="184"/>
      <c r="F7264" s="184"/>
      <c r="G7264" s="184"/>
      <c r="H7264" s="184"/>
      <c r="I7264" s="184"/>
      <c r="J7264" s="184"/>
      <c r="K7264" s="184"/>
      <c r="L7264" s="184"/>
      <c r="M7264" s="184"/>
      <c r="N7264" s="184"/>
      <c r="O7264" s="184"/>
    </row>
    <row r="7265" customFormat="false" ht="15" hidden="false" customHeight="true" outlineLevel="0" collapsed="false">
      <c r="A7265" s="184"/>
      <c r="B7265" s="184"/>
      <c r="C7265" s="184"/>
      <c r="D7265" s="184"/>
      <c r="E7265" s="184"/>
      <c r="F7265" s="184"/>
      <c r="G7265" s="184"/>
      <c r="H7265" s="184"/>
      <c r="I7265" s="184"/>
      <c r="J7265" s="184"/>
      <c r="K7265" s="184"/>
      <c r="L7265" s="184"/>
      <c r="M7265" s="184"/>
      <c r="N7265" s="184"/>
      <c r="O7265" s="184"/>
    </row>
    <row r="7266" customFormat="false" ht="15" hidden="false" customHeight="true" outlineLevel="0" collapsed="false">
      <c r="A7266" s="184"/>
      <c r="B7266" s="184"/>
      <c r="C7266" s="184"/>
      <c r="D7266" s="184"/>
      <c r="E7266" s="184"/>
      <c r="F7266" s="184"/>
      <c r="G7266" s="184"/>
      <c r="H7266" s="184"/>
      <c r="I7266" s="184"/>
      <c r="J7266" s="184"/>
      <c r="K7266" s="184"/>
      <c r="L7266" s="184"/>
      <c r="M7266" s="184"/>
      <c r="N7266" s="184"/>
      <c r="O7266" s="184"/>
    </row>
    <row r="7267" customFormat="false" ht="15" hidden="false" customHeight="true" outlineLevel="0" collapsed="false">
      <c r="A7267" s="184"/>
      <c r="B7267" s="184"/>
      <c r="C7267" s="184"/>
      <c r="D7267" s="184"/>
      <c r="E7267" s="184"/>
      <c r="F7267" s="184"/>
      <c r="G7267" s="184"/>
      <c r="H7267" s="184"/>
      <c r="I7267" s="184"/>
      <c r="J7267" s="184"/>
      <c r="K7267" s="184"/>
      <c r="L7267" s="184"/>
      <c r="M7267" s="184"/>
      <c r="N7267" s="184"/>
      <c r="O7267" s="184"/>
    </row>
    <row r="7268" customFormat="false" ht="15" hidden="false" customHeight="true" outlineLevel="0" collapsed="false">
      <c r="A7268" s="184"/>
      <c r="B7268" s="184"/>
      <c r="C7268" s="184"/>
      <c r="D7268" s="184"/>
      <c r="E7268" s="184"/>
      <c r="F7268" s="184"/>
      <c r="G7268" s="184"/>
      <c r="H7268" s="184"/>
      <c r="I7268" s="184"/>
      <c r="J7268" s="184"/>
      <c r="K7268" s="184"/>
      <c r="L7268" s="184"/>
      <c r="M7268" s="184"/>
      <c r="N7268" s="184"/>
      <c r="O7268" s="184"/>
    </row>
    <row r="7269" customFormat="false" ht="15" hidden="false" customHeight="true" outlineLevel="0" collapsed="false">
      <c r="A7269" s="184"/>
      <c r="B7269" s="184"/>
      <c r="C7269" s="184"/>
      <c r="D7269" s="184"/>
      <c r="E7269" s="184"/>
      <c r="F7269" s="184"/>
      <c r="G7269" s="184"/>
      <c r="H7269" s="184"/>
      <c r="I7269" s="184"/>
      <c r="J7269" s="184"/>
      <c r="K7269" s="184"/>
      <c r="L7269" s="184"/>
      <c r="M7269" s="184"/>
      <c r="N7269" s="184"/>
      <c r="O7269" s="184"/>
    </row>
    <row r="7270" customFormat="false" ht="15" hidden="false" customHeight="true" outlineLevel="0" collapsed="false">
      <c r="A7270" s="184"/>
      <c r="B7270" s="184"/>
      <c r="C7270" s="184"/>
      <c r="D7270" s="184"/>
      <c r="E7270" s="184"/>
      <c r="F7270" s="184"/>
      <c r="G7270" s="184"/>
      <c r="H7270" s="184"/>
      <c r="I7270" s="184"/>
      <c r="J7270" s="184"/>
      <c r="K7270" s="184"/>
      <c r="L7270" s="184"/>
      <c r="M7270" s="184"/>
      <c r="N7270" s="184"/>
      <c r="O7270" s="184"/>
    </row>
    <row r="7271" customFormat="false" ht="15" hidden="false" customHeight="true" outlineLevel="0" collapsed="false">
      <c r="A7271" s="184"/>
      <c r="B7271" s="184"/>
      <c r="C7271" s="184"/>
      <c r="D7271" s="184"/>
      <c r="E7271" s="184"/>
      <c r="F7271" s="184"/>
      <c r="G7271" s="184"/>
      <c r="H7271" s="184"/>
      <c r="I7271" s="184"/>
      <c r="J7271" s="184"/>
      <c r="K7271" s="184"/>
      <c r="L7271" s="184"/>
      <c r="M7271" s="184"/>
      <c r="N7271" s="184"/>
      <c r="O7271" s="184"/>
    </row>
    <row r="7272" customFormat="false" ht="15" hidden="false" customHeight="true" outlineLevel="0" collapsed="false">
      <c r="A7272" s="184"/>
      <c r="B7272" s="184"/>
      <c r="C7272" s="184"/>
      <c r="D7272" s="184"/>
      <c r="E7272" s="184"/>
      <c r="F7272" s="184"/>
      <c r="G7272" s="184"/>
      <c r="H7272" s="184"/>
      <c r="I7272" s="184"/>
      <c r="J7272" s="184"/>
      <c r="K7272" s="184"/>
      <c r="L7272" s="184"/>
      <c r="M7272" s="184"/>
      <c r="N7272" s="184"/>
      <c r="O7272" s="184"/>
    </row>
    <row r="7273" customFormat="false" ht="15" hidden="false" customHeight="true" outlineLevel="0" collapsed="false">
      <c r="A7273" s="184"/>
      <c r="B7273" s="184"/>
      <c r="C7273" s="184"/>
      <c r="D7273" s="184"/>
      <c r="E7273" s="184"/>
      <c r="F7273" s="184"/>
      <c r="G7273" s="184"/>
      <c r="H7273" s="184"/>
      <c r="I7273" s="184"/>
      <c r="J7273" s="184"/>
      <c r="K7273" s="184"/>
      <c r="L7273" s="184"/>
      <c r="M7273" s="184"/>
      <c r="N7273" s="184"/>
      <c r="O7273" s="184"/>
    </row>
    <row r="7274" customFormat="false" ht="15" hidden="false" customHeight="true" outlineLevel="0" collapsed="false">
      <c r="A7274" s="184"/>
      <c r="B7274" s="184"/>
      <c r="C7274" s="184"/>
      <c r="D7274" s="184"/>
      <c r="E7274" s="184"/>
      <c r="F7274" s="184"/>
      <c r="G7274" s="184"/>
      <c r="H7274" s="184"/>
      <c r="I7274" s="184"/>
      <c r="J7274" s="184"/>
      <c r="K7274" s="184"/>
      <c r="L7274" s="184"/>
      <c r="M7274" s="184"/>
      <c r="N7274" s="184"/>
      <c r="O7274" s="184"/>
    </row>
    <row r="7275" customFormat="false" ht="15" hidden="false" customHeight="true" outlineLevel="0" collapsed="false">
      <c r="A7275" s="184"/>
      <c r="B7275" s="184"/>
      <c r="C7275" s="184"/>
      <c r="D7275" s="184"/>
      <c r="E7275" s="184"/>
      <c r="F7275" s="184"/>
      <c r="G7275" s="184"/>
      <c r="H7275" s="184"/>
      <c r="I7275" s="184"/>
      <c r="J7275" s="184"/>
      <c r="K7275" s="184"/>
      <c r="L7275" s="184"/>
      <c r="M7275" s="184"/>
      <c r="N7275" s="184"/>
      <c r="O7275" s="184"/>
    </row>
    <row r="7276" customFormat="false" ht="15" hidden="false" customHeight="true" outlineLevel="0" collapsed="false">
      <c r="A7276" s="184"/>
      <c r="B7276" s="184"/>
      <c r="C7276" s="184"/>
      <c r="D7276" s="184"/>
      <c r="E7276" s="184"/>
      <c r="F7276" s="184"/>
      <c r="G7276" s="184"/>
      <c r="H7276" s="184"/>
      <c r="I7276" s="184"/>
      <c r="J7276" s="184"/>
      <c r="K7276" s="184"/>
      <c r="L7276" s="184"/>
      <c r="M7276" s="184"/>
      <c r="N7276" s="184"/>
      <c r="O7276" s="184"/>
    </row>
    <row r="7277" customFormat="false" ht="15" hidden="false" customHeight="true" outlineLevel="0" collapsed="false">
      <c r="A7277" s="184"/>
      <c r="B7277" s="184"/>
      <c r="C7277" s="184"/>
      <c r="D7277" s="184"/>
      <c r="E7277" s="184"/>
      <c r="F7277" s="184"/>
      <c r="G7277" s="184"/>
      <c r="H7277" s="184"/>
      <c r="I7277" s="184"/>
      <c r="J7277" s="184"/>
      <c r="K7277" s="184"/>
      <c r="L7277" s="184"/>
      <c r="M7277" s="184"/>
      <c r="N7277" s="184"/>
      <c r="O7277" s="184"/>
    </row>
    <row r="7278" customFormat="false" ht="15" hidden="false" customHeight="true" outlineLevel="0" collapsed="false">
      <c r="A7278" s="184"/>
      <c r="B7278" s="184"/>
      <c r="C7278" s="184"/>
      <c r="D7278" s="184"/>
      <c r="E7278" s="184"/>
      <c r="F7278" s="184"/>
      <c r="G7278" s="184"/>
      <c r="H7278" s="184"/>
      <c r="I7278" s="184"/>
      <c r="J7278" s="184"/>
      <c r="K7278" s="184"/>
      <c r="L7278" s="184"/>
      <c r="M7278" s="184"/>
      <c r="N7278" s="184"/>
      <c r="O7278" s="184"/>
    </row>
    <row r="7279" customFormat="false" ht="15" hidden="false" customHeight="true" outlineLevel="0" collapsed="false">
      <c r="A7279" s="184"/>
      <c r="B7279" s="184"/>
      <c r="C7279" s="184"/>
      <c r="D7279" s="184"/>
      <c r="E7279" s="184"/>
      <c r="F7279" s="184"/>
      <c r="G7279" s="184"/>
      <c r="H7279" s="184"/>
      <c r="I7279" s="184"/>
      <c r="J7279" s="184"/>
      <c r="K7279" s="184"/>
      <c r="L7279" s="184"/>
      <c r="M7279" s="184"/>
      <c r="N7279" s="184"/>
      <c r="O7279" s="184"/>
    </row>
    <row r="7280" customFormat="false" ht="15" hidden="false" customHeight="true" outlineLevel="0" collapsed="false">
      <c r="A7280" s="184"/>
      <c r="B7280" s="184"/>
      <c r="C7280" s="184"/>
      <c r="D7280" s="184"/>
      <c r="E7280" s="184"/>
      <c r="F7280" s="184"/>
      <c r="G7280" s="184"/>
      <c r="H7280" s="184"/>
      <c r="I7280" s="184"/>
      <c r="J7280" s="184"/>
      <c r="K7280" s="184"/>
      <c r="L7280" s="184"/>
      <c r="M7280" s="184"/>
      <c r="N7280" s="184"/>
      <c r="O7280" s="184"/>
    </row>
    <row r="7281" customFormat="false" ht="15" hidden="false" customHeight="true" outlineLevel="0" collapsed="false">
      <c r="A7281" s="184"/>
      <c r="B7281" s="184"/>
      <c r="C7281" s="184"/>
      <c r="D7281" s="184"/>
      <c r="E7281" s="184"/>
      <c r="F7281" s="184"/>
      <c r="G7281" s="184"/>
      <c r="H7281" s="184"/>
      <c r="I7281" s="184"/>
      <c r="J7281" s="184"/>
      <c r="K7281" s="184"/>
      <c r="L7281" s="184"/>
      <c r="M7281" s="184"/>
      <c r="N7281" s="184"/>
      <c r="O7281" s="184"/>
    </row>
    <row r="7282" customFormat="false" ht="15" hidden="false" customHeight="true" outlineLevel="0" collapsed="false">
      <c r="A7282" s="184"/>
      <c r="B7282" s="184"/>
      <c r="C7282" s="184"/>
      <c r="D7282" s="184"/>
      <c r="E7282" s="184"/>
      <c r="F7282" s="184"/>
      <c r="G7282" s="184"/>
      <c r="H7282" s="184"/>
      <c r="I7282" s="184"/>
      <c r="J7282" s="184"/>
      <c r="K7282" s="184"/>
      <c r="L7282" s="184"/>
      <c r="M7282" s="184"/>
      <c r="N7282" s="184"/>
      <c r="O7282" s="184"/>
    </row>
    <row r="7283" customFormat="false" ht="15" hidden="false" customHeight="true" outlineLevel="0" collapsed="false">
      <c r="A7283" s="184"/>
      <c r="B7283" s="184"/>
      <c r="C7283" s="184"/>
      <c r="D7283" s="184"/>
      <c r="E7283" s="184"/>
      <c r="F7283" s="184"/>
      <c r="G7283" s="184"/>
      <c r="H7283" s="184"/>
      <c r="I7283" s="184"/>
      <c r="J7283" s="184"/>
      <c r="K7283" s="184"/>
      <c r="L7283" s="184"/>
      <c r="M7283" s="184"/>
      <c r="N7283" s="184"/>
      <c r="O7283" s="184"/>
    </row>
    <row r="7284" customFormat="false" ht="15" hidden="false" customHeight="true" outlineLevel="0" collapsed="false">
      <c r="A7284" s="184"/>
      <c r="B7284" s="184"/>
      <c r="C7284" s="184"/>
      <c r="D7284" s="184"/>
      <c r="E7284" s="184"/>
      <c r="F7284" s="184"/>
      <c r="G7284" s="184"/>
      <c r="H7284" s="184"/>
      <c r="I7284" s="184"/>
      <c r="J7284" s="184"/>
      <c r="K7284" s="184"/>
      <c r="L7284" s="184"/>
      <c r="M7284" s="184"/>
      <c r="N7284" s="184"/>
      <c r="O7284" s="184"/>
    </row>
    <row r="7285" customFormat="false" ht="15" hidden="false" customHeight="true" outlineLevel="0" collapsed="false">
      <c r="A7285" s="184"/>
      <c r="B7285" s="184"/>
      <c r="C7285" s="184"/>
      <c r="D7285" s="184"/>
      <c r="E7285" s="184"/>
      <c r="F7285" s="184"/>
      <c r="G7285" s="184"/>
      <c r="H7285" s="184"/>
      <c r="I7285" s="184"/>
      <c r="J7285" s="184"/>
      <c r="K7285" s="184"/>
      <c r="L7285" s="184"/>
      <c r="M7285" s="184"/>
      <c r="N7285" s="184"/>
      <c r="O7285" s="184"/>
    </row>
    <row r="7286" customFormat="false" ht="15" hidden="false" customHeight="true" outlineLevel="0" collapsed="false">
      <c r="A7286" s="184"/>
      <c r="B7286" s="184"/>
      <c r="C7286" s="184"/>
      <c r="D7286" s="184"/>
      <c r="E7286" s="184"/>
      <c r="F7286" s="184"/>
      <c r="G7286" s="184"/>
      <c r="H7286" s="184"/>
      <c r="I7286" s="184"/>
      <c r="J7286" s="184"/>
      <c r="K7286" s="184"/>
      <c r="L7286" s="184"/>
      <c r="M7286" s="184"/>
      <c r="N7286" s="184"/>
      <c r="O7286" s="184"/>
    </row>
    <row r="7287" customFormat="false" ht="15" hidden="false" customHeight="true" outlineLevel="0" collapsed="false">
      <c r="A7287" s="184"/>
      <c r="B7287" s="184"/>
      <c r="C7287" s="184"/>
      <c r="D7287" s="184"/>
      <c r="E7287" s="184"/>
      <c r="F7287" s="184"/>
      <c r="G7287" s="184"/>
      <c r="H7287" s="184"/>
      <c r="I7287" s="184"/>
      <c r="J7287" s="184"/>
      <c r="K7287" s="184"/>
      <c r="L7287" s="184"/>
      <c r="M7287" s="184"/>
      <c r="N7287" s="184"/>
      <c r="O7287" s="184"/>
    </row>
    <row r="7288" customFormat="false" ht="15" hidden="false" customHeight="true" outlineLevel="0" collapsed="false">
      <c r="A7288" s="184"/>
      <c r="B7288" s="184"/>
      <c r="C7288" s="184"/>
      <c r="D7288" s="184"/>
      <c r="E7288" s="184"/>
      <c r="F7288" s="184"/>
      <c r="G7288" s="184"/>
      <c r="H7288" s="184"/>
      <c r="I7288" s="184"/>
      <c r="J7288" s="184"/>
      <c r="K7288" s="184"/>
      <c r="L7288" s="184"/>
      <c r="M7288" s="184"/>
      <c r="N7288" s="184"/>
      <c r="O7288" s="184"/>
    </row>
    <row r="7289" customFormat="false" ht="15" hidden="false" customHeight="true" outlineLevel="0" collapsed="false">
      <c r="A7289" s="184"/>
      <c r="B7289" s="184"/>
      <c r="C7289" s="184"/>
      <c r="D7289" s="184"/>
      <c r="E7289" s="184"/>
      <c r="F7289" s="184"/>
      <c r="G7289" s="184"/>
      <c r="H7289" s="184"/>
      <c r="I7289" s="184"/>
      <c r="J7289" s="184"/>
      <c r="K7289" s="184"/>
      <c r="L7289" s="184"/>
      <c r="M7289" s="184"/>
      <c r="N7289" s="184"/>
      <c r="O7289" s="184"/>
    </row>
    <row r="7290" customFormat="false" ht="15" hidden="false" customHeight="true" outlineLevel="0" collapsed="false">
      <c r="A7290" s="184"/>
      <c r="B7290" s="184"/>
      <c r="C7290" s="184"/>
      <c r="D7290" s="184"/>
      <c r="E7290" s="184"/>
      <c r="F7290" s="184"/>
      <c r="G7290" s="184"/>
      <c r="H7290" s="184"/>
      <c r="I7290" s="184"/>
      <c r="J7290" s="184"/>
      <c r="K7290" s="184"/>
      <c r="L7290" s="184"/>
      <c r="M7290" s="184"/>
      <c r="N7290" s="184"/>
      <c r="O7290" s="184"/>
    </row>
    <row r="7291" customFormat="false" ht="15" hidden="false" customHeight="true" outlineLevel="0" collapsed="false">
      <c r="A7291" s="184"/>
      <c r="B7291" s="184"/>
      <c r="C7291" s="184"/>
      <c r="D7291" s="184"/>
      <c r="E7291" s="184"/>
      <c r="F7291" s="184"/>
      <c r="G7291" s="184"/>
      <c r="H7291" s="184"/>
      <c r="I7291" s="184"/>
      <c r="J7291" s="184"/>
      <c r="K7291" s="184"/>
      <c r="L7291" s="184"/>
      <c r="M7291" s="184"/>
      <c r="N7291" s="184"/>
      <c r="O7291" s="184"/>
    </row>
    <row r="7292" customFormat="false" ht="15" hidden="false" customHeight="true" outlineLevel="0" collapsed="false">
      <c r="A7292" s="184"/>
      <c r="B7292" s="184"/>
      <c r="C7292" s="184"/>
      <c r="D7292" s="184"/>
      <c r="E7292" s="184"/>
      <c r="F7292" s="184"/>
      <c r="G7292" s="184"/>
      <c r="H7292" s="184"/>
      <c r="I7292" s="184"/>
      <c r="J7292" s="184"/>
      <c r="K7292" s="184"/>
      <c r="L7292" s="184"/>
      <c r="M7292" s="184"/>
      <c r="N7292" s="184"/>
      <c r="O7292" s="184"/>
    </row>
    <row r="7293" customFormat="false" ht="15" hidden="false" customHeight="true" outlineLevel="0" collapsed="false">
      <c r="A7293" s="184"/>
      <c r="B7293" s="184"/>
      <c r="C7293" s="184"/>
      <c r="D7293" s="184"/>
      <c r="E7293" s="184"/>
      <c r="F7293" s="184"/>
      <c r="G7293" s="184"/>
      <c r="H7293" s="184"/>
      <c r="I7293" s="184"/>
      <c r="J7293" s="184"/>
      <c r="K7293" s="184"/>
      <c r="L7293" s="184"/>
      <c r="M7293" s="184"/>
      <c r="N7293" s="184"/>
      <c r="O7293" s="184"/>
    </row>
    <row r="7294" customFormat="false" ht="15" hidden="false" customHeight="true" outlineLevel="0" collapsed="false">
      <c r="A7294" s="184"/>
      <c r="B7294" s="184"/>
      <c r="C7294" s="184"/>
      <c r="D7294" s="184"/>
      <c r="E7294" s="184"/>
      <c r="F7294" s="184"/>
      <c r="G7294" s="184"/>
      <c r="H7294" s="184"/>
      <c r="I7294" s="184"/>
      <c r="J7294" s="184"/>
      <c r="K7294" s="184"/>
      <c r="L7294" s="184"/>
      <c r="M7294" s="184"/>
      <c r="N7294" s="184"/>
      <c r="O7294" s="184"/>
    </row>
    <row r="7295" customFormat="false" ht="15" hidden="false" customHeight="true" outlineLevel="0" collapsed="false">
      <c r="A7295" s="184"/>
      <c r="B7295" s="184"/>
      <c r="C7295" s="184"/>
      <c r="D7295" s="184"/>
      <c r="E7295" s="184"/>
      <c r="F7295" s="184"/>
      <c r="G7295" s="184"/>
      <c r="H7295" s="184"/>
      <c r="I7295" s="184"/>
      <c r="J7295" s="184"/>
      <c r="K7295" s="184"/>
      <c r="L7295" s="184"/>
      <c r="M7295" s="184"/>
      <c r="N7295" s="184"/>
      <c r="O7295" s="184"/>
    </row>
    <row r="7296" customFormat="false" ht="15" hidden="false" customHeight="true" outlineLevel="0" collapsed="false">
      <c r="A7296" s="184"/>
      <c r="B7296" s="184"/>
      <c r="C7296" s="184"/>
      <c r="D7296" s="184"/>
      <c r="E7296" s="184"/>
      <c r="F7296" s="184"/>
      <c r="G7296" s="184"/>
      <c r="H7296" s="184"/>
      <c r="I7296" s="184"/>
      <c r="J7296" s="184"/>
      <c r="K7296" s="184"/>
      <c r="L7296" s="184"/>
      <c r="M7296" s="184"/>
      <c r="N7296" s="184"/>
      <c r="O7296" s="184"/>
    </row>
    <row r="7297" customFormat="false" ht="15" hidden="false" customHeight="true" outlineLevel="0" collapsed="false">
      <c r="A7297" s="184"/>
      <c r="B7297" s="184"/>
      <c r="C7297" s="184"/>
      <c r="D7297" s="184"/>
      <c r="E7297" s="184"/>
      <c r="F7297" s="184"/>
      <c r="G7297" s="184"/>
      <c r="H7297" s="184"/>
      <c r="I7297" s="184"/>
      <c r="J7297" s="184"/>
      <c r="K7297" s="184"/>
      <c r="L7297" s="184"/>
      <c r="M7297" s="184"/>
      <c r="N7297" s="184"/>
      <c r="O7297" s="184"/>
    </row>
    <row r="7298" customFormat="false" ht="15" hidden="false" customHeight="true" outlineLevel="0" collapsed="false">
      <c r="A7298" s="184"/>
      <c r="B7298" s="184"/>
      <c r="C7298" s="184"/>
      <c r="D7298" s="184"/>
      <c r="E7298" s="184"/>
      <c r="F7298" s="184"/>
      <c r="G7298" s="184"/>
      <c r="H7298" s="184"/>
      <c r="I7298" s="184"/>
      <c r="J7298" s="184"/>
      <c r="K7298" s="184"/>
      <c r="L7298" s="184"/>
      <c r="M7298" s="184"/>
      <c r="N7298" s="184"/>
      <c r="O7298" s="184"/>
    </row>
    <row r="7299" customFormat="false" ht="15" hidden="false" customHeight="true" outlineLevel="0" collapsed="false">
      <c r="A7299" s="184"/>
      <c r="B7299" s="184"/>
      <c r="C7299" s="184"/>
      <c r="D7299" s="184"/>
      <c r="E7299" s="184"/>
      <c r="F7299" s="184"/>
      <c r="G7299" s="184"/>
      <c r="H7299" s="184"/>
      <c r="I7299" s="184"/>
      <c r="J7299" s="184"/>
      <c r="K7299" s="184"/>
      <c r="L7299" s="184"/>
      <c r="M7299" s="184"/>
      <c r="N7299" s="184"/>
      <c r="O7299" s="184"/>
    </row>
    <row r="7300" customFormat="false" ht="15" hidden="false" customHeight="true" outlineLevel="0" collapsed="false">
      <c r="A7300" s="184"/>
      <c r="B7300" s="184"/>
      <c r="C7300" s="184"/>
      <c r="D7300" s="184"/>
      <c r="E7300" s="184"/>
      <c r="F7300" s="184"/>
      <c r="G7300" s="184"/>
      <c r="H7300" s="184"/>
      <c r="I7300" s="184"/>
      <c r="J7300" s="184"/>
      <c r="K7300" s="184"/>
      <c r="L7300" s="184"/>
      <c r="M7300" s="184"/>
      <c r="N7300" s="184"/>
      <c r="O7300" s="184"/>
    </row>
    <row r="7301" customFormat="false" ht="15" hidden="false" customHeight="true" outlineLevel="0" collapsed="false">
      <c r="A7301" s="184"/>
      <c r="B7301" s="184"/>
      <c r="C7301" s="184"/>
      <c r="D7301" s="184"/>
      <c r="E7301" s="184"/>
      <c r="F7301" s="184"/>
      <c r="G7301" s="184"/>
      <c r="H7301" s="184"/>
      <c r="I7301" s="184"/>
      <c r="J7301" s="184"/>
      <c r="K7301" s="184"/>
      <c r="L7301" s="184"/>
      <c r="M7301" s="184"/>
      <c r="N7301" s="184"/>
      <c r="O7301" s="184"/>
    </row>
    <row r="7302" customFormat="false" ht="15" hidden="false" customHeight="true" outlineLevel="0" collapsed="false">
      <c r="A7302" s="184"/>
      <c r="B7302" s="184"/>
      <c r="C7302" s="184"/>
      <c r="D7302" s="184"/>
      <c r="E7302" s="184"/>
      <c r="F7302" s="184"/>
      <c r="G7302" s="184"/>
      <c r="H7302" s="184"/>
      <c r="I7302" s="184"/>
      <c r="J7302" s="184"/>
      <c r="K7302" s="184"/>
      <c r="L7302" s="184"/>
      <c r="M7302" s="184"/>
      <c r="N7302" s="184"/>
      <c r="O7302" s="184"/>
    </row>
    <row r="7303" customFormat="false" ht="15" hidden="false" customHeight="true" outlineLevel="0" collapsed="false">
      <c r="A7303" s="184"/>
      <c r="B7303" s="184"/>
      <c r="C7303" s="184"/>
      <c r="D7303" s="184"/>
      <c r="E7303" s="184"/>
      <c r="F7303" s="184"/>
      <c r="G7303" s="184"/>
      <c r="H7303" s="184"/>
      <c r="I7303" s="184"/>
      <c r="J7303" s="184"/>
      <c r="K7303" s="184"/>
      <c r="L7303" s="184"/>
      <c r="M7303" s="184"/>
      <c r="N7303" s="184"/>
      <c r="O7303" s="184"/>
    </row>
    <row r="7304" customFormat="false" ht="15" hidden="false" customHeight="true" outlineLevel="0" collapsed="false">
      <c r="A7304" s="184"/>
      <c r="B7304" s="184"/>
      <c r="C7304" s="184"/>
      <c r="D7304" s="184"/>
      <c r="E7304" s="184"/>
      <c r="F7304" s="184"/>
      <c r="G7304" s="184"/>
      <c r="H7304" s="184"/>
      <c r="I7304" s="184"/>
      <c r="J7304" s="184"/>
      <c r="K7304" s="184"/>
      <c r="L7304" s="184"/>
      <c r="M7304" s="184"/>
      <c r="N7304" s="184"/>
      <c r="O7304" s="184"/>
    </row>
    <row r="7305" customFormat="false" ht="15" hidden="false" customHeight="true" outlineLevel="0" collapsed="false">
      <c r="A7305" s="184"/>
      <c r="B7305" s="184"/>
      <c r="C7305" s="184"/>
      <c r="D7305" s="184"/>
      <c r="E7305" s="184"/>
      <c r="F7305" s="184"/>
      <c r="G7305" s="184"/>
      <c r="H7305" s="184"/>
      <c r="I7305" s="184"/>
      <c r="J7305" s="184"/>
      <c r="K7305" s="184"/>
      <c r="L7305" s="184"/>
      <c r="M7305" s="184"/>
      <c r="N7305" s="184"/>
      <c r="O7305" s="184"/>
    </row>
    <row r="7306" customFormat="false" ht="15" hidden="false" customHeight="true" outlineLevel="0" collapsed="false">
      <c r="A7306" s="184"/>
      <c r="B7306" s="184"/>
      <c r="C7306" s="184"/>
      <c r="D7306" s="184"/>
      <c r="E7306" s="184"/>
      <c r="F7306" s="184"/>
      <c r="G7306" s="184"/>
      <c r="H7306" s="184"/>
      <c r="I7306" s="184"/>
      <c r="J7306" s="184"/>
      <c r="K7306" s="184"/>
      <c r="L7306" s="184"/>
      <c r="M7306" s="184"/>
      <c r="N7306" s="184"/>
      <c r="O7306" s="184"/>
    </row>
    <row r="7307" customFormat="false" ht="15" hidden="false" customHeight="true" outlineLevel="0" collapsed="false">
      <c r="A7307" s="184"/>
      <c r="B7307" s="184"/>
      <c r="C7307" s="184"/>
      <c r="D7307" s="184"/>
      <c r="E7307" s="184"/>
      <c r="F7307" s="184"/>
      <c r="G7307" s="184"/>
      <c r="H7307" s="184"/>
      <c r="I7307" s="184"/>
      <c r="J7307" s="184"/>
      <c r="K7307" s="184"/>
      <c r="L7307" s="184"/>
      <c r="M7307" s="184"/>
      <c r="N7307" s="184"/>
      <c r="O7307" s="184"/>
    </row>
    <row r="7308" customFormat="false" ht="15" hidden="false" customHeight="true" outlineLevel="0" collapsed="false">
      <c r="A7308" s="184"/>
      <c r="B7308" s="184"/>
      <c r="C7308" s="184"/>
      <c r="D7308" s="184"/>
      <c r="E7308" s="184"/>
      <c r="F7308" s="184"/>
      <c r="G7308" s="184"/>
      <c r="H7308" s="184"/>
      <c r="I7308" s="184"/>
      <c r="J7308" s="184"/>
      <c r="K7308" s="184"/>
      <c r="L7308" s="184"/>
      <c r="M7308" s="184"/>
      <c r="N7308" s="184"/>
      <c r="O7308" s="184"/>
    </row>
    <row r="7309" customFormat="false" ht="15" hidden="false" customHeight="true" outlineLevel="0" collapsed="false">
      <c r="A7309" s="184"/>
      <c r="B7309" s="184"/>
      <c r="C7309" s="184"/>
      <c r="D7309" s="184"/>
      <c r="E7309" s="184"/>
      <c r="F7309" s="184"/>
      <c r="G7309" s="184"/>
      <c r="H7309" s="184"/>
      <c r="I7309" s="184"/>
      <c r="J7309" s="184"/>
      <c r="K7309" s="184"/>
      <c r="L7309" s="184"/>
      <c r="M7309" s="184"/>
      <c r="N7309" s="184"/>
      <c r="O7309" s="184"/>
    </row>
    <row r="7310" customFormat="false" ht="15" hidden="false" customHeight="true" outlineLevel="0" collapsed="false">
      <c r="A7310" s="184"/>
      <c r="B7310" s="184"/>
      <c r="C7310" s="184"/>
      <c r="D7310" s="184"/>
      <c r="E7310" s="184"/>
      <c r="F7310" s="184"/>
      <c r="G7310" s="184"/>
      <c r="H7310" s="184"/>
      <c r="I7310" s="184"/>
      <c r="J7310" s="184"/>
      <c r="K7310" s="184"/>
      <c r="L7310" s="184"/>
      <c r="M7310" s="184"/>
      <c r="N7310" s="184"/>
      <c r="O7310" s="184"/>
    </row>
    <row r="7311" customFormat="false" ht="15" hidden="false" customHeight="true" outlineLevel="0" collapsed="false">
      <c r="A7311" s="184"/>
      <c r="B7311" s="184"/>
      <c r="C7311" s="184"/>
      <c r="D7311" s="184"/>
      <c r="E7311" s="184"/>
      <c r="F7311" s="184"/>
      <c r="G7311" s="184"/>
      <c r="H7311" s="184"/>
      <c r="I7311" s="184"/>
      <c r="J7311" s="184"/>
      <c r="K7311" s="184"/>
      <c r="L7311" s="184"/>
      <c r="M7311" s="184"/>
      <c r="N7311" s="184"/>
      <c r="O7311" s="184"/>
    </row>
    <row r="7312" customFormat="false" ht="15" hidden="false" customHeight="true" outlineLevel="0" collapsed="false">
      <c r="A7312" s="184"/>
      <c r="B7312" s="184"/>
      <c r="C7312" s="184"/>
      <c r="D7312" s="184"/>
      <c r="E7312" s="184"/>
      <c r="F7312" s="184"/>
      <c r="G7312" s="184"/>
      <c r="H7312" s="184"/>
      <c r="I7312" s="184"/>
      <c r="J7312" s="184"/>
      <c r="K7312" s="184"/>
      <c r="L7312" s="184"/>
      <c r="M7312" s="184"/>
      <c r="N7312" s="184"/>
      <c r="O7312" s="184"/>
    </row>
    <row r="7313" customFormat="false" ht="15" hidden="false" customHeight="true" outlineLevel="0" collapsed="false">
      <c r="A7313" s="184"/>
      <c r="B7313" s="184"/>
      <c r="C7313" s="184"/>
      <c r="D7313" s="184"/>
      <c r="E7313" s="184"/>
      <c r="F7313" s="184"/>
      <c r="G7313" s="184"/>
      <c r="H7313" s="184"/>
      <c r="I7313" s="184"/>
      <c r="J7313" s="184"/>
      <c r="K7313" s="184"/>
      <c r="L7313" s="184"/>
      <c r="M7313" s="184"/>
      <c r="N7313" s="184"/>
      <c r="O7313" s="184"/>
    </row>
    <row r="7314" customFormat="false" ht="15" hidden="false" customHeight="true" outlineLevel="0" collapsed="false">
      <c r="A7314" s="184"/>
      <c r="B7314" s="184"/>
      <c r="C7314" s="184"/>
      <c r="D7314" s="184"/>
      <c r="E7314" s="184"/>
      <c r="F7314" s="184"/>
      <c r="G7314" s="184"/>
      <c r="H7314" s="184"/>
      <c r="I7314" s="184"/>
      <c r="J7314" s="184"/>
      <c r="K7314" s="184"/>
      <c r="L7314" s="184"/>
      <c r="M7314" s="184"/>
      <c r="N7314" s="184"/>
      <c r="O7314" s="184"/>
    </row>
    <row r="7315" customFormat="false" ht="15" hidden="false" customHeight="true" outlineLevel="0" collapsed="false">
      <c r="A7315" s="184"/>
      <c r="B7315" s="184"/>
      <c r="C7315" s="184"/>
      <c r="D7315" s="184"/>
      <c r="E7315" s="184"/>
      <c r="F7315" s="184"/>
      <c r="G7315" s="184"/>
      <c r="H7315" s="184"/>
      <c r="I7315" s="184"/>
      <c r="J7315" s="184"/>
      <c r="K7315" s="184"/>
      <c r="L7315" s="184"/>
      <c r="M7315" s="184"/>
      <c r="N7315" s="184"/>
      <c r="O7315" s="184"/>
    </row>
    <row r="7316" customFormat="false" ht="15" hidden="false" customHeight="true" outlineLevel="0" collapsed="false">
      <c r="A7316" s="184"/>
      <c r="B7316" s="184"/>
      <c r="C7316" s="184"/>
      <c r="D7316" s="184"/>
      <c r="E7316" s="184"/>
      <c r="F7316" s="184"/>
      <c r="G7316" s="184"/>
      <c r="H7316" s="184"/>
      <c r="I7316" s="184"/>
      <c r="J7316" s="184"/>
      <c r="K7316" s="184"/>
      <c r="L7316" s="184"/>
      <c r="M7316" s="184"/>
      <c r="N7316" s="184"/>
      <c r="O7316" s="184"/>
    </row>
    <row r="7317" customFormat="false" ht="15" hidden="false" customHeight="true" outlineLevel="0" collapsed="false">
      <c r="A7317" s="184"/>
      <c r="B7317" s="184"/>
      <c r="C7317" s="184"/>
      <c r="D7317" s="184"/>
      <c r="E7317" s="184"/>
      <c r="F7317" s="184"/>
      <c r="G7317" s="184"/>
      <c r="H7317" s="184"/>
      <c r="I7317" s="184"/>
      <c r="J7317" s="184"/>
      <c r="K7317" s="184"/>
      <c r="L7317" s="184"/>
      <c r="M7317" s="184"/>
      <c r="N7317" s="184"/>
      <c r="O7317" s="184"/>
    </row>
    <row r="7318" customFormat="false" ht="15" hidden="false" customHeight="true" outlineLevel="0" collapsed="false">
      <c r="A7318" s="184"/>
      <c r="B7318" s="184"/>
      <c r="C7318" s="184"/>
      <c r="D7318" s="184"/>
      <c r="E7318" s="184"/>
      <c r="F7318" s="184"/>
      <c r="G7318" s="184"/>
      <c r="H7318" s="184"/>
      <c r="I7318" s="184"/>
      <c r="J7318" s="184"/>
      <c r="K7318" s="184"/>
      <c r="L7318" s="184"/>
      <c r="M7318" s="184"/>
      <c r="N7318" s="184"/>
      <c r="O7318" s="184"/>
    </row>
    <row r="7319" customFormat="false" ht="15" hidden="false" customHeight="true" outlineLevel="0" collapsed="false">
      <c r="A7319" s="184"/>
      <c r="B7319" s="184"/>
      <c r="C7319" s="184"/>
      <c r="D7319" s="184"/>
      <c r="E7319" s="184"/>
      <c r="F7319" s="184"/>
      <c r="G7319" s="184"/>
      <c r="H7319" s="184"/>
      <c r="I7319" s="184"/>
      <c r="J7319" s="184"/>
      <c r="K7319" s="184"/>
      <c r="L7319" s="184"/>
      <c r="M7319" s="184"/>
      <c r="N7319" s="184"/>
      <c r="O7319" s="184"/>
    </row>
    <row r="7320" customFormat="false" ht="15" hidden="false" customHeight="true" outlineLevel="0" collapsed="false">
      <c r="A7320" s="184"/>
      <c r="B7320" s="184"/>
      <c r="C7320" s="184"/>
      <c r="D7320" s="184"/>
      <c r="E7320" s="184"/>
      <c r="F7320" s="184"/>
      <c r="G7320" s="184"/>
      <c r="H7320" s="184"/>
      <c r="I7320" s="184"/>
      <c r="J7320" s="184"/>
      <c r="K7320" s="184"/>
      <c r="L7320" s="184"/>
      <c r="M7320" s="184"/>
      <c r="N7320" s="184"/>
      <c r="O7320" s="184"/>
    </row>
    <row r="7321" customFormat="false" ht="15" hidden="false" customHeight="true" outlineLevel="0" collapsed="false">
      <c r="A7321" s="184"/>
      <c r="B7321" s="184"/>
      <c r="C7321" s="184"/>
      <c r="D7321" s="184"/>
      <c r="E7321" s="184"/>
      <c r="F7321" s="184"/>
      <c r="G7321" s="184"/>
      <c r="H7321" s="184"/>
      <c r="I7321" s="184"/>
      <c r="J7321" s="184"/>
      <c r="K7321" s="184"/>
      <c r="L7321" s="184"/>
      <c r="M7321" s="184"/>
      <c r="N7321" s="184"/>
      <c r="O7321" s="184"/>
    </row>
    <row r="7322" customFormat="false" ht="15" hidden="false" customHeight="true" outlineLevel="0" collapsed="false">
      <c r="A7322" s="184"/>
      <c r="B7322" s="184"/>
      <c r="C7322" s="184"/>
      <c r="D7322" s="184"/>
      <c r="E7322" s="184"/>
      <c r="F7322" s="184"/>
      <c r="G7322" s="184"/>
      <c r="H7322" s="184"/>
      <c r="I7322" s="184"/>
      <c r="J7322" s="184"/>
      <c r="K7322" s="184"/>
      <c r="L7322" s="184"/>
      <c r="M7322" s="184"/>
      <c r="N7322" s="184"/>
      <c r="O7322" s="184"/>
    </row>
    <row r="7323" customFormat="false" ht="15" hidden="false" customHeight="true" outlineLevel="0" collapsed="false">
      <c r="A7323" s="184"/>
      <c r="B7323" s="184"/>
      <c r="C7323" s="184"/>
      <c r="D7323" s="184"/>
      <c r="E7323" s="184"/>
      <c r="F7323" s="184"/>
      <c r="G7323" s="184"/>
      <c r="H7323" s="184"/>
      <c r="I7323" s="184"/>
      <c r="J7323" s="184"/>
      <c r="K7323" s="184"/>
      <c r="L7323" s="184"/>
      <c r="M7323" s="184"/>
      <c r="N7323" s="184"/>
      <c r="O7323" s="184"/>
    </row>
    <row r="7324" customFormat="false" ht="15" hidden="false" customHeight="true" outlineLevel="0" collapsed="false">
      <c r="A7324" s="184"/>
      <c r="B7324" s="184"/>
      <c r="C7324" s="184"/>
      <c r="D7324" s="184"/>
      <c r="E7324" s="184"/>
      <c r="F7324" s="184"/>
      <c r="G7324" s="184"/>
      <c r="H7324" s="184"/>
      <c r="I7324" s="184"/>
      <c r="J7324" s="184"/>
      <c r="K7324" s="184"/>
      <c r="L7324" s="184"/>
      <c r="M7324" s="184"/>
      <c r="N7324" s="184"/>
      <c r="O7324" s="184"/>
    </row>
    <row r="7325" customFormat="false" ht="15" hidden="false" customHeight="true" outlineLevel="0" collapsed="false">
      <c r="A7325" s="184"/>
      <c r="B7325" s="184"/>
      <c r="C7325" s="184"/>
      <c r="D7325" s="184"/>
      <c r="E7325" s="184"/>
      <c r="F7325" s="184"/>
      <c r="G7325" s="184"/>
      <c r="H7325" s="184"/>
      <c r="I7325" s="184"/>
      <c r="J7325" s="184"/>
      <c r="K7325" s="184"/>
      <c r="L7325" s="184"/>
      <c r="M7325" s="184"/>
      <c r="N7325" s="184"/>
      <c r="O7325" s="184"/>
    </row>
    <row r="7326" customFormat="false" ht="15" hidden="false" customHeight="true" outlineLevel="0" collapsed="false">
      <c r="A7326" s="184"/>
      <c r="B7326" s="184"/>
      <c r="C7326" s="184"/>
      <c r="D7326" s="184"/>
      <c r="E7326" s="184"/>
      <c r="F7326" s="184"/>
      <c r="G7326" s="184"/>
      <c r="H7326" s="184"/>
      <c r="I7326" s="184"/>
      <c r="J7326" s="184"/>
      <c r="K7326" s="184"/>
      <c r="L7326" s="184"/>
      <c r="M7326" s="184"/>
      <c r="N7326" s="184"/>
      <c r="O7326" s="184"/>
    </row>
    <row r="7327" customFormat="false" ht="15" hidden="false" customHeight="true" outlineLevel="0" collapsed="false">
      <c r="A7327" s="184"/>
      <c r="B7327" s="184"/>
      <c r="C7327" s="184"/>
      <c r="D7327" s="184"/>
      <c r="E7327" s="184"/>
      <c r="F7327" s="184"/>
      <c r="G7327" s="184"/>
      <c r="H7327" s="184"/>
      <c r="I7327" s="184"/>
      <c r="J7327" s="184"/>
      <c r="K7327" s="184"/>
      <c r="L7327" s="184"/>
      <c r="M7327" s="184"/>
      <c r="N7327" s="184"/>
      <c r="O7327" s="184"/>
    </row>
    <row r="7328" customFormat="false" ht="15" hidden="false" customHeight="true" outlineLevel="0" collapsed="false">
      <c r="A7328" s="184"/>
      <c r="B7328" s="184"/>
      <c r="C7328" s="184"/>
      <c r="D7328" s="184"/>
      <c r="E7328" s="184"/>
      <c r="F7328" s="184"/>
      <c r="G7328" s="184"/>
      <c r="H7328" s="184"/>
      <c r="I7328" s="184"/>
      <c r="J7328" s="184"/>
      <c r="K7328" s="184"/>
      <c r="L7328" s="184"/>
      <c r="M7328" s="184"/>
      <c r="N7328" s="184"/>
      <c r="O7328" s="184"/>
    </row>
    <row r="7329" customFormat="false" ht="15" hidden="false" customHeight="true" outlineLevel="0" collapsed="false">
      <c r="A7329" s="184"/>
      <c r="B7329" s="184"/>
      <c r="C7329" s="184"/>
      <c r="D7329" s="184"/>
      <c r="E7329" s="184"/>
      <c r="F7329" s="184"/>
      <c r="G7329" s="184"/>
      <c r="H7329" s="184"/>
      <c r="I7329" s="184"/>
      <c r="J7329" s="184"/>
      <c r="K7329" s="184"/>
      <c r="L7329" s="184"/>
      <c r="M7329" s="184"/>
      <c r="N7329" s="184"/>
      <c r="O7329" s="184"/>
    </row>
    <row r="7330" customFormat="false" ht="15" hidden="false" customHeight="true" outlineLevel="0" collapsed="false">
      <c r="A7330" s="184"/>
      <c r="B7330" s="184"/>
      <c r="C7330" s="184"/>
      <c r="D7330" s="184"/>
      <c r="E7330" s="184"/>
      <c r="F7330" s="184"/>
      <c r="G7330" s="184"/>
      <c r="H7330" s="184"/>
      <c r="I7330" s="184"/>
      <c r="J7330" s="184"/>
      <c r="K7330" s="184"/>
      <c r="L7330" s="184"/>
      <c r="M7330" s="184"/>
      <c r="N7330" s="184"/>
      <c r="O7330" s="184"/>
    </row>
    <row r="7331" customFormat="false" ht="15" hidden="false" customHeight="true" outlineLevel="0" collapsed="false">
      <c r="A7331" s="184"/>
      <c r="B7331" s="184"/>
      <c r="C7331" s="184"/>
      <c r="D7331" s="184"/>
      <c r="E7331" s="184"/>
      <c r="F7331" s="184"/>
      <c r="G7331" s="184"/>
      <c r="H7331" s="184"/>
      <c r="I7331" s="184"/>
      <c r="J7331" s="184"/>
      <c r="K7331" s="184"/>
      <c r="L7331" s="184"/>
      <c r="M7331" s="184"/>
      <c r="N7331" s="184"/>
      <c r="O7331" s="184"/>
    </row>
    <row r="7332" customFormat="false" ht="15" hidden="false" customHeight="true" outlineLevel="0" collapsed="false">
      <c r="A7332" s="184"/>
      <c r="B7332" s="184"/>
      <c r="C7332" s="184"/>
      <c r="D7332" s="184"/>
      <c r="E7332" s="184"/>
      <c r="F7332" s="184"/>
      <c r="G7332" s="184"/>
      <c r="H7332" s="184"/>
      <c r="I7332" s="184"/>
      <c r="J7332" s="184"/>
      <c r="K7332" s="184"/>
      <c r="L7332" s="184"/>
      <c r="M7332" s="184"/>
      <c r="N7332" s="184"/>
      <c r="O7332" s="184"/>
    </row>
    <row r="7333" customFormat="false" ht="15" hidden="false" customHeight="true" outlineLevel="0" collapsed="false">
      <c r="A7333" s="184"/>
      <c r="B7333" s="184"/>
      <c r="C7333" s="184"/>
      <c r="D7333" s="184"/>
      <c r="E7333" s="184"/>
      <c r="F7333" s="184"/>
      <c r="G7333" s="184"/>
      <c r="H7333" s="184"/>
      <c r="I7333" s="184"/>
      <c r="J7333" s="184"/>
      <c r="K7333" s="184"/>
      <c r="L7333" s="184"/>
      <c r="M7333" s="184"/>
      <c r="N7333" s="184"/>
      <c r="O7333" s="184"/>
    </row>
    <row r="7334" customFormat="false" ht="15" hidden="false" customHeight="true" outlineLevel="0" collapsed="false">
      <c r="A7334" s="184"/>
      <c r="B7334" s="184"/>
      <c r="C7334" s="184"/>
      <c r="D7334" s="184"/>
      <c r="E7334" s="184"/>
      <c r="F7334" s="184"/>
      <c r="G7334" s="184"/>
      <c r="H7334" s="184"/>
      <c r="I7334" s="184"/>
      <c r="J7334" s="184"/>
      <c r="K7334" s="184"/>
      <c r="L7334" s="184"/>
      <c r="M7334" s="184"/>
      <c r="N7334" s="184"/>
      <c r="O7334" s="184"/>
    </row>
    <row r="7335" customFormat="false" ht="15" hidden="false" customHeight="true" outlineLevel="0" collapsed="false">
      <c r="A7335" s="184"/>
      <c r="B7335" s="184"/>
      <c r="C7335" s="184"/>
      <c r="D7335" s="184"/>
      <c r="E7335" s="184"/>
      <c r="F7335" s="184"/>
      <c r="G7335" s="184"/>
      <c r="H7335" s="184"/>
      <c r="I7335" s="184"/>
      <c r="J7335" s="184"/>
      <c r="K7335" s="184"/>
      <c r="L7335" s="184"/>
      <c r="M7335" s="184"/>
      <c r="N7335" s="184"/>
      <c r="O7335" s="184"/>
    </row>
    <row r="7336" customFormat="false" ht="15" hidden="false" customHeight="true" outlineLevel="0" collapsed="false">
      <c r="A7336" s="184"/>
      <c r="B7336" s="184"/>
      <c r="C7336" s="184"/>
      <c r="D7336" s="184"/>
      <c r="E7336" s="184"/>
      <c r="F7336" s="184"/>
      <c r="G7336" s="184"/>
      <c r="H7336" s="184"/>
      <c r="I7336" s="184"/>
      <c r="J7336" s="184"/>
      <c r="K7336" s="184"/>
      <c r="L7336" s="184"/>
      <c r="M7336" s="184"/>
      <c r="N7336" s="184"/>
      <c r="O7336" s="184"/>
    </row>
    <row r="7337" customFormat="false" ht="15" hidden="false" customHeight="true" outlineLevel="0" collapsed="false">
      <c r="A7337" s="184"/>
      <c r="B7337" s="184"/>
      <c r="C7337" s="184"/>
      <c r="D7337" s="184"/>
      <c r="E7337" s="184"/>
      <c r="F7337" s="184"/>
      <c r="G7337" s="184"/>
      <c r="H7337" s="184"/>
      <c r="I7337" s="184"/>
      <c r="J7337" s="184"/>
      <c r="K7337" s="184"/>
      <c r="L7337" s="184"/>
      <c r="M7337" s="184"/>
      <c r="N7337" s="184"/>
      <c r="O7337" s="184"/>
    </row>
    <row r="7338" customFormat="false" ht="15" hidden="false" customHeight="true" outlineLevel="0" collapsed="false">
      <c r="A7338" s="184"/>
      <c r="B7338" s="184"/>
      <c r="C7338" s="184"/>
      <c r="D7338" s="184"/>
      <c r="E7338" s="184"/>
      <c r="F7338" s="184"/>
      <c r="G7338" s="184"/>
      <c r="H7338" s="184"/>
      <c r="I7338" s="184"/>
      <c r="J7338" s="184"/>
      <c r="K7338" s="184"/>
      <c r="L7338" s="184"/>
      <c r="M7338" s="184"/>
      <c r="N7338" s="184"/>
      <c r="O7338" s="184"/>
    </row>
    <row r="7339" customFormat="false" ht="15" hidden="false" customHeight="true" outlineLevel="0" collapsed="false">
      <c r="A7339" s="184"/>
      <c r="B7339" s="184"/>
      <c r="C7339" s="184"/>
      <c r="D7339" s="184"/>
      <c r="E7339" s="184"/>
      <c r="F7339" s="184"/>
      <c r="G7339" s="184"/>
      <c r="H7339" s="184"/>
      <c r="I7339" s="184"/>
      <c r="J7339" s="184"/>
      <c r="K7339" s="184"/>
      <c r="L7339" s="184"/>
      <c r="M7339" s="184"/>
      <c r="N7339" s="184"/>
      <c r="O7339" s="184"/>
    </row>
    <row r="7340" customFormat="false" ht="15" hidden="false" customHeight="true" outlineLevel="0" collapsed="false">
      <c r="A7340" s="184"/>
      <c r="B7340" s="184"/>
      <c r="C7340" s="184"/>
      <c r="D7340" s="184"/>
      <c r="E7340" s="184"/>
      <c r="F7340" s="184"/>
      <c r="G7340" s="184"/>
      <c r="H7340" s="184"/>
      <c r="I7340" s="184"/>
      <c r="J7340" s="184"/>
      <c r="K7340" s="184"/>
      <c r="L7340" s="184"/>
      <c r="M7340" s="184"/>
      <c r="N7340" s="184"/>
      <c r="O7340" s="184"/>
    </row>
    <row r="7341" customFormat="false" ht="15" hidden="false" customHeight="true" outlineLevel="0" collapsed="false">
      <c r="A7341" s="184"/>
      <c r="B7341" s="184"/>
      <c r="C7341" s="184"/>
      <c r="D7341" s="184"/>
      <c r="E7341" s="184"/>
      <c r="F7341" s="184"/>
      <c r="G7341" s="184"/>
      <c r="H7341" s="184"/>
      <c r="I7341" s="184"/>
      <c r="J7341" s="184"/>
      <c r="K7341" s="184"/>
      <c r="L7341" s="184"/>
      <c r="M7341" s="184"/>
      <c r="N7341" s="184"/>
      <c r="O7341" s="184"/>
    </row>
    <row r="7342" customFormat="false" ht="15" hidden="false" customHeight="true" outlineLevel="0" collapsed="false">
      <c r="A7342" s="184"/>
      <c r="B7342" s="184"/>
      <c r="C7342" s="184"/>
      <c r="D7342" s="184"/>
      <c r="E7342" s="184"/>
      <c r="F7342" s="184"/>
      <c r="G7342" s="184"/>
      <c r="H7342" s="184"/>
      <c r="I7342" s="184"/>
      <c r="J7342" s="184"/>
      <c r="K7342" s="184"/>
      <c r="L7342" s="184"/>
      <c r="M7342" s="184"/>
      <c r="N7342" s="184"/>
      <c r="O7342" s="184"/>
    </row>
    <row r="7343" customFormat="false" ht="15" hidden="false" customHeight="true" outlineLevel="0" collapsed="false">
      <c r="A7343" s="184"/>
      <c r="B7343" s="184"/>
      <c r="C7343" s="184"/>
      <c r="D7343" s="184"/>
      <c r="E7343" s="184"/>
      <c r="F7343" s="184"/>
      <c r="G7343" s="184"/>
      <c r="H7343" s="184"/>
      <c r="I7343" s="184"/>
      <c r="J7343" s="184"/>
      <c r="K7343" s="184"/>
      <c r="L7343" s="184"/>
      <c r="M7343" s="184"/>
      <c r="N7343" s="184"/>
      <c r="O7343" s="184"/>
    </row>
    <row r="7344" customFormat="false" ht="15" hidden="false" customHeight="true" outlineLevel="0" collapsed="false">
      <c r="A7344" s="184"/>
      <c r="B7344" s="184"/>
      <c r="C7344" s="184"/>
      <c r="D7344" s="184"/>
      <c r="E7344" s="184"/>
      <c r="F7344" s="184"/>
      <c r="G7344" s="184"/>
      <c r="H7344" s="184"/>
      <c r="I7344" s="184"/>
      <c r="J7344" s="184"/>
      <c r="K7344" s="184"/>
      <c r="L7344" s="184"/>
      <c r="M7344" s="184"/>
      <c r="N7344" s="184"/>
      <c r="O7344" s="184"/>
    </row>
    <row r="7345" customFormat="false" ht="15" hidden="false" customHeight="true" outlineLevel="0" collapsed="false">
      <c r="A7345" s="184"/>
      <c r="B7345" s="184"/>
      <c r="C7345" s="184"/>
      <c r="D7345" s="184"/>
      <c r="E7345" s="184"/>
      <c r="F7345" s="184"/>
      <c r="G7345" s="184"/>
      <c r="H7345" s="184"/>
      <c r="I7345" s="184"/>
      <c r="J7345" s="184"/>
      <c r="K7345" s="184"/>
      <c r="L7345" s="184"/>
      <c r="M7345" s="184"/>
      <c r="N7345" s="184"/>
      <c r="O7345" s="184"/>
    </row>
    <row r="7346" customFormat="false" ht="15" hidden="false" customHeight="true" outlineLevel="0" collapsed="false">
      <c r="A7346" s="184"/>
      <c r="B7346" s="184"/>
      <c r="C7346" s="184"/>
      <c r="D7346" s="184"/>
      <c r="E7346" s="184"/>
      <c r="F7346" s="184"/>
      <c r="G7346" s="184"/>
      <c r="H7346" s="184"/>
      <c r="I7346" s="184"/>
      <c r="J7346" s="184"/>
      <c r="K7346" s="184"/>
      <c r="L7346" s="184"/>
      <c r="M7346" s="184"/>
      <c r="N7346" s="184"/>
      <c r="O7346" s="184"/>
    </row>
    <row r="7347" customFormat="false" ht="15" hidden="false" customHeight="true" outlineLevel="0" collapsed="false">
      <c r="A7347" s="184"/>
      <c r="B7347" s="184"/>
      <c r="C7347" s="184"/>
      <c r="D7347" s="184"/>
      <c r="E7347" s="184"/>
      <c r="F7347" s="184"/>
      <c r="G7347" s="184"/>
      <c r="H7347" s="184"/>
      <c r="I7347" s="184"/>
      <c r="J7347" s="184"/>
      <c r="K7347" s="184"/>
      <c r="L7347" s="184"/>
      <c r="M7347" s="184"/>
      <c r="N7347" s="184"/>
      <c r="O7347" s="184"/>
    </row>
    <row r="7348" customFormat="false" ht="15" hidden="false" customHeight="true" outlineLevel="0" collapsed="false">
      <c r="A7348" s="184"/>
      <c r="B7348" s="184"/>
      <c r="C7348" s="184"/>
      <c r="D7348" s="184"/>
      <c r="E7348" s="184"/>
      <c r="F7348" s="184"/>
      <c r="G7348" s="184"/>
      <c r="H7348" s="184"/>
      <c r="I7348" s="184"/>
      <c r="J7348" s="184"/>
      <c r="K7348" s="184"/>
      <c r="L7348" s="184"/>
      <c r="M7348" s="184"/>
      <c r="N7348" s="184"/>
      <c r="O7348" s="184"/>
    </row>
    <row r="7349" customFormat="false" ht="15" hidden="false" customHeight="true" outlineLevel="0" collapsed="false">
      <c r="A7349" s="184"/>
      <c r="B7349" s="184"/>
      <c r="C7349" s="184"/>
      <c r="D7349" s="184"/>
      <c r="E7349" s="184"/>
      <c r="F7349" s="184"/>
      <c r="G7349" s="184"/>
      <c r="H7349" s="184"/>
      <c r="I7349" s="184"/>
      <c r="J7349" s="184"/>
      <c r="K7349" s="184"/>
      <c r="L7349" s="184"/>
      <c r="M7349" s="184"/>
      <c r="N7349" s="184"/>
      <c r="O7349" s="184"/>
    </row>
    <row r="7350" customFormat="false" ht="15" hidden="false" customHeight="true" outlineLevel="0" collapsed="false">
      <c r="A7350" s="184"/>
      <c r="B7350" s="184"/>
      <c r="C7350" s="184"/>
      <c r="D7350" s="184"/>
      <c r="E7350" s="184"/>
      <c r="F7350" s="184"/>
      <c r="G7350" s="184"/>
      <c r="H7350" s="184"/>
      <c r="I7350" s="184"/>
      <c r="J7350" s="184"/>
      <c r="K7350" s="184"/>
      <c r="L7350" s="184"/>
      <c r="M7350" s="184"/>
      <c r="N7350" s="184"/>
      <c r="O7350" s="184"/>
    </row>
    <row r="7351" customFormat="false" ht="15" hidden="false" customHeight="true" outlineLevel="0" collapsed="false">
      <c r="A7351" s="184"/>
      <c r="B7351" s="184"/>
      <c r="C7351" s="184"/>
      <c r="D7351" s="184"/>
      <c r="E7351" s="184"/>
      <c r="F7351" s="184"/>
      <c r="G7351" s="184"/>
      <c r="H7351" s="184"/>
      <c r="I7351" s="184"/>
      <c r="J7351" s="184"/>
      <c r="K7351" s="184"/>
      <c r="L7351" s="184"/>
      <c r="M7351" s="184"/>
      <c r="N7351" s="184"/>
      <c r="O7351" s="184"/>
    </row>
    <row r="7352" customFormat="false" ht="15" hidden="false" customHeight="true" outlineLevel="0" collapsed="false">
      <c r="A7352" s="184"/>
      <c r="B7352" s="184"/>
      <c r="C7352" s="184"/>
      <c r="D7352" s="184"/>
      <c r="E7352" s="184"/>
      <c r="F7352" s="184"/>
      <c r="G7352" s="184"/>
      <c r="H7352" s="184"/>
      <c r="I7352" s="184"/>
      <c r="J7352" s="184"/>
      <c r="K7352" s="184"/>
      <c r="L7352" s="184"/>
      <c r="M7352" s="184"/>
      <c r="N7352" s="184"/>
      <c r="O7352" s="184"/>
    </row>
    <row r="7353" customFormat="false" ht="15" hidden="false" customHeight="true" outlineLevel="0" collapsed="false">
      <c r="A7353" s="184"/>
      <c r="B7353" s="184"/>
      <c r="C7353" s="184"/>
      <c r="D7353" s="184"/>
      <c r="E7353" s="184"/>
      <c r="F7353" s="184"/>
      <c r="G7353" s="184"/>
      <c r="H7353" s="184"/>
      <c r="I7353" s="184"/>
      <c r="J7353" s="184"/>
      <c r="K7353" s="184"/>
      <c r="L7353" s="184"/>
      <c r="M7353" s="184"/>
      <c r="N7353" s="184"/>
      <c r="O7353" s="184"/>
    </row>
    <row r="7354" customFormat="false" ht="15" hidden="false" customHeight="true" outlineLevel="0" collapsed="false">
      <c r="A7354" s="184"/>
      <c r="B7354" s="184"/>
      <c r="C7354" s="184"/>
      <c r="D7354" s="184"/>
      <c r="E7354" s="184"/>
      <c r="F7354" s="184"/>
      <c r="G7354" s="184"/>
      <c r="H7354" s="184"/>
      <c r="I7354" s="184"/>
      <c r="J7354" s="184"/>
      <c r="K7354" s="184"/>
      <c r="L7354" s="184"/>
      <c r="M7354" s="184"/>
      <c r="N7354" s="184"/>
      <c r="O7354" s="184"/>
    </row>
    <row r="7355" customFormat="false" ht="15" hidden="false" customHeight="true" outlineLevel="0" collapsed="false">
      <c r="A7355" s="184"/>
      <c r="B7355" s="184"/>
      <c r="C7355" s="184"/>
      <c r="D7355" s="184"/>
      <c r="E7355" s="184"/>
      <c r="F7355" s="184"/>
      <c r="G7355" s="184"/>
      <c r="H7355" s="184"/>
      <c r="I7355" s="184"/>
      <c r="J7355" s="184"/>
      <c r="K7355" s="184"/>
      <c r="L7355" s="184"/>
      <c r="M7355" s="184"/>
      <c r="N7355" s="184"/>
      <c r="O7355" s="184"/>
    </row>
    <row r="7356" customFormat="false" ht="15" hidden="false" customHeight="true" outlineLevel="0" collapsed="false">
      <c r="A7356" s="184"/>
      <c r="B7356" s="184"/>
      <c r="C7356" s="184"/>
      <c r="D7356" s="184"/>
      <c r="E7356" s="184"/>
      <c r="F7356" s="184"/>
      <c r="G7356" s="184"/>
      <c r="H7356" s="184"/>
      <c r="I7356" s="184"/>
      <c r="J7356" s="184"/>
      <c r="K7356" s="184"/>
      <c r="L7356" s="184"/>
      <c r="M7356" s="184"/>
      <c r="N7356" s="184"/>
      <c r="O7356" s="184"/>
    </row>
    <row r="7357" customFormat="false" ht="15" hidden="false" customHeight="true" outlineLevel="0" collapsed="false">
      <c r="A7357" s="184"/>
      <c r="B7357" s="184"/>
      <c r="C7357" s="184"/>
      <c r="D7357" s="184"/>
      <c r="E7357" s="184"/>
      <c r="F7357" s="184"/>
      <c r="G7357" s="184"/>
      <c r="H7357" s="184"/>
      <c r="I7357" s="184"/>
      <c r="J7357" s="184"/>
      <c r="K7357" s="184"/>
      <c r="L7357" s="184"/>
      <c r="M7357" s="184"/>
      <c r="N7357" s="184"/>
      <c r="O7357" s="184"/>
    </row>
    <row r="7358" customFormat="false" ht="15" hidden="false" customHeight="true" outlineLevel="0" collapsed="false">
      <c r="A7358" s="184"/>
      <c r="B7358" s="184"/>
      <c r="C7358" s="184"/>
      <c r="D7358" s="184"/>
      <c r="E7358" s="184"/>
      <c r="F7358" s="184"/>
      <c r="G7358" s="184"/>
      <c r="H7358" s="184"/>
      <c r="I7358" s="184"/>
      <c r="J7358" s="184"/>
      <c r="K7358" s="184"/>
      <c r="L7358" s="184"/>
      <c r="M7358" s="184"/>
      <c r="N7358" s="184"/>
      <c r="O7358" s="184"/>
    </row>
    <row r="7359" customFormat="false" ht="15" hidden="false" customHeight="true" outlineLevel="0" collapsed="false">
      <c r="A7359" s="184"/>
      <c r="B7359" s="184"/>
      <c r="C7359" s="184"/>
      <c r="D7359" s="184"/>
      <c r="E7359" s="184"/>
      <c r="F7359" s="184"/>
      <c r="G7359" s="184"/>
      <c r="H7359" s="184"/>
      <c r="I7359" s="184"/>
      <c r="J7359" s="184"/>
      <c r="K7359" s="184"/>
      <c r="L7359" s="184"/>
      <c r="M7359" s="184"/>
      <c r="N7359" s="184"/>
      <c r="O7359" s="184"/>
    </row>
    <row r="7360" customFormat="false" ht="15" hidden="false" customHeight="true" outlineLevel="0" collapsed="false">
      <c r="A7360" s="184"/>
      <c r="B7360" s="184"/>
      <c r="C7360" s="184"/>
      <c r="D7360" s="184"/>
      <c r="E7360" s="184"/>
      <c r="F7360" s="184"/>
      <c r="G7360" s="184"/>
      <c r="H7360" s="184"/>
      <c r="I7360" s="184"/>
      <c r="J7360" s="184"/>
      <c r="K7360" s="184"/>
      <c r="L7360" s="184"/>
      <c r="M7360" s="184"/>
      <c r="N7360" s="184"/>
      <c r="O7360" s="184"/>
    </row>
    <row r="7361" customFormat="false" ht="15" hidden="false" customHeight="true" outlineLevel="0" collapsed="false">
      <c r="A7361" s="184"/>
      <c r="B7361" s="184"/>
      <c r="C7361" s="184"/>
      <c r="D7361" s="184"/>
      <c r="E7361" s="184"/>
      <c r="F7361" s="184"/>
      <c r="G7361" s="184"/>
      <c r="H7361" s="184"/>
      <c r="I7361" s="184"/>
      <c r="J7361" s="184"/>
      <c r="K7361" s="184"/>
      <c r="L7361" s="184"/>
      <c r="M7361" s="184"/>
      <c r="N7361" s="184"/>
      <c r="O7361" s="184"/>
    </row>
    <row r="7362" customFormat="false" ht="15" hidden="false" customHeight="true" outlineLevel="0" collapsed="false">
      <c r="A7362" s="184"/>
      <c r="B7362" s="184"/>
      <c r="C7362" s="184"/>
      <c r="D7362" s="184"/>
      <c r="E7362" s="184"/>
      <c r="F7362" s="184"/>
      <c r="G7362" s="184"/>
      <c r="H7362" s="184"/>
      <c r="I7362" s="184"/>
      <c r="J7362" s="184"/>
      <c r="K7362" s="184"/>
      <c r="L7362" s="184"/>
      <c r="M7362" s="184"/>
      <c r="N7362" s="184"/>
      <c r="O7362" s="184"/>
    </row>
    <row r="7363" customFormat="false" ht="15" hidden="false" customHeight="true" outlineLevel="0" collapsed="false">
      <c r="A7363" s="184"/>
      <c r="B7363" s="184"/>
      <c r="C7363" s="184"/>
      <c r="D7363" s="184"/>
      <c r="E7363" s="184"/>
      <c r="F7363" s="184"/>
      <c r="G7363" s="184"/>
      <c r="H7363" s="184"/>
      <c r="I7363" s="184"/>
      <c r="J7363" s="184"/>
      <c r="K7363" s="184"/>
      <c r="L7363" s="184"/>
      <c r="M7363" s="184"/>
      <c r="N7363" s="184"/>
      <c r="O7363" s="184"/>
    </row>
    <row r="7364" customFormat="false" ht="15" hidden="false" customHeight="true" outlineLevel="0" collapsed="false">
      <c r="A7364" s="184"/>
      <c r="B7364" s="184"/>
      <c r="C7364" s="184"/>
      <c r="D7364" s="184"/>
      <c r="E7364" s="184"/>
      <c r="F7364" s="184"/>
      <c r="G7364" s="184"/>
      <c r="H7364" s="184"/>
      <c r="I7364" s="184"/>
      <c r="J7364" s="184"/>
      <c r="K7364" s="184"/>
      <c r="L7364" s="184"/>
      <c r="M7364" s="184"/>
      <c r="N7364" s="184"/>
      <c r="O7364" s="184"/>
    </row>
    <row r="7365" customFormat="false" ht="15" hidden="false" customHeight="true" outlineLevel="0" collapsed="false">
      <c r="A7365" s="184"/>
      <c r="B7365" s="184"/>
      <c r="C7365" s="184"/>
      <c r="D7365" s="184"/>
      <c r="E7365" s="184"/>
      <c r="F7365" s="184"/>
      <c r="G7365" s="184"/>
      <c r="H7365" s="184"/>
      <c r="I7365" s="184"/>
      <c r="J7365" s="184"/>
      <c r="K7365" s="184"/>
      <c r="L7365" s="184"/>
      <c r="M7365" s="184"/>
      <c r="N7365" s="184"/>
      <c r="O7365" s="184"/>
    </row>
    <row r="7366" customFormat="false" ht="15" hidden="false" customHeight="true" outlineLevel="0" collapsed="false">
      <c r="A7366" s="184"/>
      <c r="B7366" s="184"/>
      <c r="C7366" s="184"/>
      <c r="D7366" s="184"/>
      <c r="E7366" s="184"/>
      <c r="F7366" s="184"/>
      <c r="G7366" s="184"/>
      <c r="H7366" s="184"/>
      <c r="I7366" s="184"/>
      <c r="J7366" s="184"/>
      <c r="K7366" s="184"/>
      <c r="L7366" s="184"/>
      <c r="M7366" s="184"/>
      <c r="N7366" s="184"/>
      <c r="O7366" s="184"/>
    </row>
    <row r="7367" customFormat="false" ht="15" hidden="false" customHeight="true" outlineLevel="0" collapsed="false">
      <c r="A7367" s="184"/>
      <c r="B7367" s="184"/>
      <c r="C7367" s="184"/>
      <c r="D7367" s="184"/>
      <c r="E7367" s="184"/>
      <c r="F7367" s="184"/>
      <c r="G7367" s="184"/>
      <c r="H7367" s="184"/>
      <c r="I7367" s="184"/>
      <c r="J7367" s="184"/>
      <c r="K7367" s="184"/>
      <c r="L7367" s="184"/>
      <c r="M7367" s="184"/>
      <c r="N7367" s="184"/>
      <c r="O7367" s="184"/>
    </row>
    <row r="7368" customFormat="false" ht="15" hidden="false" customHeight="true" outlineLevel="0" collapsed="false">
      <c r="A7368" s="184"/>
      <c r="B7368" s="184"/>
      <c r="C7368" s="184"/>
      <c r="D7368" s="184"/>
      <c r="E7368" s="184"/>
      <c r="F7368" s="184"/>
      <c r="G7368" s="184"/>
      <c r="H7368" s="184"/>
      <c r="I7368" s="184"/>
      <c r="J7368" s="184"/>
      <c r="K7368" s="184"/>
      <c r="L7368" s="184"/>
      <c r="M7368" s="184"/>
      <c r="N7368" s="184"/>
      <c r="O7368" s="184"/>
    </row>
    <row r="7369" customFormat="false" ht="15" hidden="false" customHeight="true" outlineLevel="0" collapsed="false">
      <c r="A7369" s="184"/>
      <c r="B7369" s="184"/>
      <c r="C7369" s="184"/>
      <c r="D7369" s="184"/>
      <c r="E7369" s="184"/>
      <c r="F7369" s="184"/>
      <c r="G7369" s="184"/>
      <c r="H7369" s="184"/>
      <c r="I7369" s="184"/>
      <c r="J7369" s="184"/>
      <c r="K7369" s="184"/>
      <c r="L7369" s="184"/>
      <c r="M7369" s="184"/>
      <c r="N7369" s="184"/>
      <c r="O7369" s="184"/>
    </row>
    <row r="7370" customFormat="false" ht="15" hidden="false" customHeight="true" outlineLevel="0" collapsed="false">
      <c r="A7370" s="184"/>
      <c r="B7370" s="184"/>
      <c r="C7370" s="184"/>
      <c r="D7370" s="184"/>
      <c r="E7370" s="184"/>
      <c r="F7370" s="184"/>
      <c r="G7370" s="184"/>
      <c r="H7370" s="184"/>
      <c r="I7370" s="184"/>
      <c r="J7370" s="184"/>
      <c r="K7370" s="184"/>
      <c r="L7370" s="184"/>
      <c r="M7370" s="184"/>
      <c r="N7370" s="184"/>
      <c r="O7370" s="184"/>
    </row>
    <row r="7371" customFormat="false" ht="15" hidden="false" customHeight="true" outlineLevel="0" collapsed="false">
      <c r="A7371" s="184"/>
      <c r="B7371" s="184"/>
      <c r="C7371" s="184"/>
      <c r="D7371" s="184"/>
      <c r="E7371" s="184"/>
      <c r="F7371" s="184"/>
      <c r="G7371" s="184"/>
      <c r="H7371" s="184"/>
      <c r="I7371" s="184"/>
      <c r="J7371" s="184"/>
      <c r="K7371" s="184"/>
      <c r="L7371" s="184"/>
      <c r="M7371" s="184"/>
      <c r="N7371" s="184"/>
      <c r="O7371" s="184"/>
    </row>
    <row r="7372" customFormat="false" ht="15" hidden="false" customHeight="true" outlineLevel="0" collapsed="false">
      <c r="A7372" s="184"/>
      <c r="B7372" s="184"/>
      <c r="C7372" s="184"/>
      <c r="D7372" s="184"/>
      <c r="E7372" s="184"/>
      <c r="F7372" s="184"/>
      <c r="G7372" s="184"/>
      <c r="H7372" s="184"/>
      <c r="I7372" s="184"/>
      <c r="J7372" s="184"/>
      <c r="K7372" s="184"/>
      <c r="L7372" s="184"/>
      <c r="M7372" s="184"/>
      <c r="N7372" s="184"/>
      <c r="O7372" s="184"/>
    </row>
    <row r="7373" customFormat="false" ht="15" hidden="false" customHeight="true" outlineLevel="0" collapsed="false">
      <c r="A7373" s="184"/>
      <c r="B7373" s="184"/>
      <c r="C7373" s="184"/>
      <c r="D7373" s="184"/>
      <c r="E7373" s="184"/>
      <c r="F7373" s="184"/>
      <c r="G7373" s="184"/>
      <c r="H7373" s="184"/>
      <c r="I7373" s="184"/>
      <c r="J7373" s="184"/>
      <c r="K7373" s="184"/>
      <c r="L7373" s="184"/>
      <c r="M7373" s="184"/>
      <c r="N7373" s="184"/>
      <c r="O7373" s="184"/>
    </row>
    <row r="7374" customFormat="false" ht="15" hidden="false" customHeight="true" outlineLevel="0" collapsed="false">
      <c r="A7374" s="184"/>
      <c r="B7374" s="184"/>
      <c r="C7374" s="184"/>
      <c r="D7374" s="184"/>
      <c r="E7374" s="184"/>
      <c r="F7374" s="184"/>
      <c r="G7374" s="184"/>
      <c r="H7374" s="184"/>
      <c r="I7374" s="184"/>
      <c r="J7374" s="184"/>
      <c r="K7374" s="184"/>
      <c r="L7374" s="184"/>
      <c r="M7374" s="184"/>
      <c r="N7374" s="184"/>
      <c r="O7374" s="184"/>
    </row>
    <row r="7375" customFormat="false" ht="15" hidden="false" customHeight="true" outlineLevel="0" collapsed="false">
      <c r="A7375" s="184"/>
      <c r="B7375" s="184"/>
      <c r="C7375" s="184"/>
      <c r="D7375" s="184"/>
      <c r="E7375" s="184"/>
      <c r="F7375" s="184"/>
      <c r="G7375" s="184"/>
      <c r="H7375" s="184"/>
      <c r="I7375" s="184"/>
      <c r="J7375" s="184"/>
      <c r="K7375" s="184"/>
      <c r="L7375" s="184"/>
      <c r="M7375" s="184"/>
      <c r="N7375" s="184"/>
      <c r="O7375" s="184"/>
    </row>
    <row r="7376" customFormat="false" ht="15" hidden="false" customHeight="true" outlineLevel="0" collapsed="false">
      <c r="A7376" s="184"/>
      <c r="B7376" s="184"/>
      <c r="C7376" s="184"/>
      <c r="D7376" s="184"/>
      <c r="E7376" s="184"/>
      <c r="F7376" s="184"/>
      <c r="G7376" s="184"/>
      <c r="H7376" s="184"/>
      <c r="I7376" s="184"/>
      <c r="J7376" s="184"/>
      <c r="K7376" s="184"/>
      <c r="L7376" s="184"/>
      <c r="M7376" s="184"/>
      <c r="N7376" s="184"/>
      <c r="O7376" s="184"/>
    </row>
    <row r="7377" customFormat="false" ht="15" hidden="false" customHeight="true" outlineLevel="0" collapsed="false">
      <c r="A7377" s="184"/>
      <c r="B7377" s="184"/>
      <c r="C7377" s="184"/>
      <c r="D7377" s="184"/>
      <c r="E7377" s="184"/>
      <c r="F7377" s="184"/>
      <c r="G7377" s="184"/>
      <c r="H7377" s="184"/>
      <c r="I7377" s="184"/>
      <c r="J7377" s="184"/>
      <c r="K7377" s="184"/>
      <c r="L7377" s="184"/>
      <c r="M7377" s="184"/>
      <c r="N7377" s="184"/>
      <c r="O7377" s="184"/>
    </row>
    <row r="7378" customFormat="false" ht="15" hidden="false" customHeight="true" outlineLevel="0" collapsed="false">
      <c r="A7378" s="184"/>
      <c r="B7378" s="184"/>
      <c r="C7378" s="184"/>
      <c r="D7378" s="184"/>
      <c r="E7378" s="184"/>
      <c r="F7378" s="184"/>
      <c r="G7378" s="184"/>
      <c r="H7378" s="184"/>
      <c r="I7378" s="184"/>
      <c r="J7378" s="184"/>
      <c r="K7378" s="184"/>
      <c r="L7378" s="184"/>
      <c r="M7378" s="184"/>
      <c r="N7378" s="184"/>
      <c r="O7378" s="184"/>
    </row>
    <row r="7379" customFormat="false" ht="15" hidden="false" customHeight="true" outlineLevel="0" collapsed="false">
      <c r="A7379" s="184"/>
      <c r="B7379" s="184"/>
      <c r="C7379" s="184"/>
      <c r="D7379" s="184"/>
      <c r="E7379" s="184"/>
      <c r="F7379" s="184"/>
      <c r="G7379" s="184"/>
      <c r="H7379" s="184"/>
      <c r="I7379" s="184"/>
      <c r="J7379" s="184"/>
      <c r="K7379" s="184"/>
      <c r="L7379" s="184"/>
      <c r="M7379" s="184"/>
      <c r="N7379" s="184"/>
      <c r="O7379" s="184"/>
    </row>
    <row r="7380" customFormat="false" ht="15" hidden="false" customHeight="true" outlineLevel="0" collapsed="false">
      <c r="A7380" s="184"/>
      <c r="B7380" s="184"/>
      <c r="C7380" s="184"/>
      <c r="D7380" s="184"/>
      <c r="E7380" s="184"/>
      <c r="F7380" s="184"/>
      <c r="G7380" s="184"/>
      <c r="H7380" s="184"/>
      <c r="I7380" s="184"/>
      <c r="J7380" s="184"/>
      <c r="K7380" s="184"/>
      <c r="L7380" s="184"/>
      <c r="M7380" s="184"/>
      <c r="N7380" s="184"/>
      <c r="O7380" s="184"/>
    </row>
    <row r="7381" customFormat="false" ht="15" hidden="false" customHeight="true" outlineLevel="0" collapsed="false">
      <c r="A7381" s="184"/>
      <c r="B7381" s="184"/>
      <c r="C7381" s="184"/>
      <c r="D7381" s="184"/>
      <c r="E7381" s="184"/>
      <c r="F7381" s="184"/>
      <c r="G7381" s="184"/>
      <c r="H7381" s="184"/>
      <c r="I7381" s="184"/>
      <c r="J7381" s="184"/>
      <c r="K7381" s="184"/>
      <c r="L7381" s="184"/>
      <c r="M7381" s="184"/>
      <c r="N7381" s="184"/>
      <c r="O7381" s="184"/>
    </row>
    <row r="7382" customFormat="false" ht="15" hidden="false" customHeight="true" outlineLevel="0" collapsed="false">
      <c r="A7382" s="184"/>
      <c r="B7382" s="184"/>
      <c r="C7382" s="184"/>
      <c r="D7382" s="184"/>
      <c r="E7382" s="184"/>
      <c r="F7382" s="184"/>
      <c r="G7382" s="184"/>
      <c r="H7382" s="184"/>
      <c r="I7382" s="184"/>
      <c r="J7382" s="184"/>
      <c r="K7382" s="184"/>
      <c r="L7382" s="184"/>
      <c r="M7382" s="184"/>
      <c r="N7382" s="184"/>
      <c r="O7382" s="184"/>
    </row>
    <row r="7383" customFormat="false" ht="15" hidden="false" customHeight="true" outlineLevel="0" collapsed="false">
      <c r="A7383" s="184"/>
      <c r="B7383" s="184"/>
      <c r="C7383" s="184"/>
      <c r="D7383" s="184"/>
      <c r="E7383" s="184"/>
      <c r="F7383" s="184"/>
      <c r="G7383" s="184"/>
      <c r="H7383" s="184"/>
      <c r="I7383" s="184"/>
      <c r="J7383" s="184"/>
      <c r="K7383" s="184"/>
      <c r="L7383" s="184"/>
      <c r="M7383" s="184"/>
      <c r="N7383" s="184"/>
      <c r="O7383" s="184"/>
    </row>
    <row r="7384" customFormat="false" ht="15" hidden="false" customHeight="true" outlineLevel="0" collapsed="false">
      <c r="A7384" s="184"/>
      <c r="B7384" s="184"/>
      <c r="C7384" s="184"/>
      <c r="D7384" s="184"/>
      <c r="E7384" s="184"/>
      <c r="F7384" s="184"/>
      <c r="G7384" s="184"/>
      <c r="H7384" s="184"/>
      <c r="I7384" s="184"/>
      <c r="J7384" s="184"/>
      <c r="K7384" s="184"/>
      <c r="L7384" s="184"/>
      <c r="M7384" s="184"/>
      <c r="N7384" s="184"/>
      <c r="O7384" s="184"/>
    </row>
    <row r="7385" customFormat="false" ht="15" hidden="false" customHeight="true" outlineLevel="0" collapsed="false">
      <c r="A7385" s="184"/>
      <c r="B7385" s="184"/>
      <c r="C7385" s="184"/>
      <c r="D7385" s="184"/>
      <c r="E7385" s="184"/>
      <c r="F7385" s="184"/>
      <c r="G7385" s="184"/>
      <c r="H7385" s="184"/>
      <c r="I7385" s="184"/>
      <c r="J7385" s="184"/>
      <c r="K7385" s="184"/>
      <c r="L7385" s="184"/>
      <c r="M7385" s="184"/>
      <c r="N7385" s="184"/>
      <c r="O7385" s="184"/>
    </row>
    <row r="7386" customFormat="false" ht="15" hidden="false" customHeight="true" outlineLevel="0" collapsed="false">
      <c r="A7386" s="184"/>
      <c r="B7386" s="184"/>
      <c r="C7386" s="184"/>
      <c r="D7386" s="184"/>
      <c r="E7386" s="184"/>
      <c r="F7386" s="184"/>
      <c r="G7386" s="184"/>
      <c r="H7386" s="184"/>
      <c r="I7386" s="184"/>
      <c r="J7386" s="184"/>
      <c r="K7386" s="184"/>
      <c r="L7386" s="184"/>
      <c r="M7386" s="184"/>
      <c r="N7386" s="184"/>
      <c r="O7386" s="184"/>
    </row>
    <row r="7387" customFormat="false" ht="15" hidden="false" customHeight="true" outlineLevel="0" collapsed="false">
      <c r="A7387" s="184"/>
      <c r="B7387" s="184"/>
      <c r="C7387" s="184"/>
      <c r="D7387" s="184"/>
      <c r="E7387" s="184"/>
      <c r="F7387" s="184"/>
      <c r="G7387" s="184"/>
      <c r="H7387" s="184"/>
      <c r="I7387" s="184"/>
      <c r="J7387" s="184"/>
      <c r="K7387" s="184"/>
      <c r="L7387" s="184"/>
      <c r="M7387" s="184"/>
      <c r="N7387" s="184"/>
      <c r="O7387" s="184"/>
    </row>
    <row r="7388" customFormat="false" ht="15" hidden="false" customHeight="true" outlineLevel="0" collapsed="false">
      <c r="A7388" s="184"/>
      <c r="B7388" s="184"/>
      <c r="C7388" s="184"/>
      <c r="D7388" s="184"/>
      <c r="E7388" s="184"/>
      <c r="F7388" s="184"/>
      <c r="G7388" s="184"/>
      <c r="H7388" s="184"/>
      <c r="I7388" s="184"/>
      <c r="J7388" s="184"/>
      <c r="K7388" s="184"/>
      <c r="L7388" s="184"/>
      <c r="M7388" s="184"/>
      <c r="N7388" s="184"/>
      <c r="O7388" s="184"/>
    </row>
    <row r="7389" customFormat="false" ht="15" hidden="false" customHeight="true" outlineLevel="0" collapsed="false">
      <c r="A7389" s="184"/>
      <c r="B7389" s="184"/>
      <c r="C7389" s="184"/>
      <c r="D7389" s="184"/>
      <c r="E7389" s="184"/>
      <c r="F7389" s="184"/>
      <c r="G7389" s="184"/>
      <c r="H7389" s="184"/>
      <c r="I7389" s="184"/>
      <c r="J7389" s="184"/>
      <c r="K7389" s="184"/>
      <c r="L7389" s="184"/>
      <c r="M7389" s="184"/>
      <c r="N7389" s="184"/>
      <c r="O7389" s="184"/>
    </row>
    <row r="7390" customFormat="false" ht="15" hidden="false" customHeight="true" outlineLevel="0" collapsed="false">
      <c r="A7390" s="184"/>
      <c r="B7390" s="184"/>
      <c r="C7390" s="184"/>
      <c r="D7390" s="184"/>
      <c r="E7390" s="184"/>
      <c r="F7390" s="184"/>
      <c r="G7390" s="184"/>
      <c r="H7390" s="184"/>
      <c r="I7390" s="184"/>
      <c r="J7390" s="184"/>
      <c r="K7390" s="184"/>
      <c r="L7390" s="184"/>
      <c r="M7390" s="184"/>
      <c r="N7390" s="184"/>
      <c r="O7390" s="184"/>
    </row>
    <row r="7391" customFormat="false" ht="15" hidden="false" customHeight="true" outlineLevel="0" collapsed="false">
      <c r="A7391" s="184"/>
      <c r="B7391" s="184"/>
      <c r="C7391" s="184"/>
      <c r="D7391" s="184"/>
      <c r="E7391" s="184"/>
      <c r="F7391" s="184"/>
      <c r="G7391" s="184"/>
      <c r="H7391" s="184"/>
      <c r="I7391" s="184"/>
      <c r="J7391" s="184"/>
      <c r="K7391" s="184"/>
      <c r="L7391" s="184"/>
      <c r="M7391" s="184"/>
      <c r="N7391" s="184"/>
      <c r="O7391" s="184"/>
    </row>
    <row r="7392" customFormat="false" ht="15" hidden="false" customHeight="true" outlineLevel="0" collapsed="false">
      <c r="A7392" s="184"/>
      <c r="B7392" s="184"/>
      <c r="C7392" s="184"/>
      <c r="D7392" s="184"/>
      <c r="E7392" s="184"/>
      <c r="F7392" s="184"/>
      <c r="G7392" s="184"/>
      <c r="H7392" s="184"/>
      <c r="I7392" s="184"/>
      <c r="J7392" s="184"/>
      <c r="K7392" s="184"/>
      <c r="L7392" s="184"/>
      <c r="M7392" s="184"/>
      <c r="N7392" s="184"/>
      <c r="O7392" s="184"/>
    </row>
    <row r="7393" customFormat="false" ht="15" hidden="false" customHeight="true" outlineLevel="0" collapsed="false">
      <c r="A7393" s="184"/>
      <c r="B7393" s="184"/>
      <c r="C7393" s="184"/>
      <c r="D7393" s="184"/>
      <c r="E7393" s="184"/>
      <c r="F7393" s="184"/>
      <c r="G7393" s="184"/>
      <c r="H7393" s="184"/>
      <c r="I7393" s="184"/>
      <c r="J7393" s="184"/>
      <c r="K7393" s="184"/>
      <c r="L7393" s="184"/>
      <c r="M7393" s="184"/>
      <c r="N7393" s="184"/>
      <c r="O7393" s="184"/>
    </row>
    <row r="7394" customFormat="false" ht="15" hidden="false" customHeight="true" outlineLevel="0" collapsed="false">
      <c r="A7394" s="184"/>
      <c r="B7394" s="184"/>
      <c r="C7394" s="184"/>
      <c r="D7394" s="184"/>
      <c r="E7394" s="184"/>
      <c r="F7394" s="184"/>
      <c r="G7394" s="184"/>
      <c r="H7394" s="184"/>
      <c r="I7394" s="184"/>
      <c r="J7394" s="184"/>
      <c r="K7394" s="184"/>
      <c r="L7394" s="184"/>
      <c r="M7394" s="184"/>
      <c r="N7394" s="184"/>
      <c r="O7394" s="184"/>
    </row>
    <row r="7395" customFormat="false" ht="15" hidden="false" customHeight="true" outlineLevel="0" collapsed="false">
      <c r="A7395" s="184"/>
      <c r="B7395" s="184"/>
      <c r="C7395" s="184"/>
      <c r="D7395" s="184"/>
      <c r="E7395" s="184"/>
      <c r="F7395" s="184"/>
      <c r="G7395" s="184"/>
      <c r="H7395" s="184"/>
      <c r="I7395" s="184"/>
      <c r="J7395" s="184"/>
      <c r="K7395" s="184"/>
      <c r="L7395" s="184"/>
      <c r="M7395" s="184"/>
      <c r="N7395" s="184"/>
      <c r="O7395" s="184"/>
    </row>
    <row r="7396" customFormat="false" ht="15" hidden="false" customHeight="true" outlineLevel="0" collapsed="false">
      <c r="A7396" s="184"/>
      <c r="B7396" s="184"/>
      <c r="C7396" s="184"/>
      <c r="D7396" s="184"/>
      <c r="E7396" s="184"/>
      <c r="F7396" s="184"/>
      <c r="G7396" s="184"/>
      <c r="H7396" s="184"/>
      <c r="I7396" s="184"/>
      <c r="J7396" s="184"/>
      <c r="K7396" s="184"/>
      <c r="L7396" s="184"/>
      <c r="M7396" s="184"/>
      <c r="N7396" s="184"/>
      <c r="O7396" s="184"/>
    </row>
    <row r="7397" customFormat="false" ht="15" hidden="false" customHeight="true" outlineLevel="0" collapsed="false">
      <c r="A7397" s="184"/>
      <c r="B7397" s="184"/>
      <c r="C7397" s="184"/>
      <c r="D7397" s="184"/>
      <c r="E7397" s="184"/>
      <c r="F7397" s="184"/>
      <c r="G7397" s="184"/>
      <c r="H7397" s="184"/>
      <c r="I7397" s="184"/>
      <c r="J7397" s="184"/>
      <c r="K7397" s="184"/>
      <c r="L7397" s="184"/>
      <c r="M7397" s="184"/>
      <c r="N7397" s="184"/>
      <c r="O7397" s="184"/>
    </row>
    <row r="7398" customFormat="false" ht="15" hidden="false" customHeight="true" outlineLevel="0" collapsed="false">
      <c r="A7398" s="184"/>
      <c r="B7398" s="184"/>
      <c r="C7398" s="184"/>
      <c r="D7398" s="184"/>
      <c r="E7398" s="184"/>
      <c r="F7398" s="184"/>
      <c r="G7398" s="184"/>
      <c r="H7398" s="184"/>
      <c r="I7398" s="184"/>
      <c r="J7398" s="184"/>
      <c r="K7398" s="184"/>
      <c r="L7398" s="184"/>
      <c r="M7398" s="184"/>
      <c r="N7398" s="184"/>
      <c r="O7398" s="184"/>
    </row>
    <row r="7399" customFormat="false" ht="15" hidden="false" customHeight="true" outlineLevel="0" collapsed="false">
      <c r="A7399" s="184"/>
      <c r="B7399" s="184"/>
      <c r="C7399" s="184"/>
      <c r="D7399" s="184"/>
      <c r="E7399" s="184"/>
      <c r="F7399" s="184"/>
      <c r="G7399" s="184"/>
      <c r="H7399" s="184"/>
      <c r="I7399" s="184"/>
      <c r="J7399" s="184"/>
      <c r="K7399" s="184"/>
      <c r="L7399" s="184"/>
      <c r="M7399" s="184"/>
      <c r="N7399" s="184"/>
      <c r="O7399" s="184"/>
    </row>
    <row r="7400" customFormat="false" ht="15" hidden="false" customHeight="true" outlineLevel="0" collapsed="false">
      <c r="A7400" s="184"/>
      <c r="B7400" s="184"/>
      <c r="C7400" s="184"/>
      <c r="D7400" s="184"/>
      <c r="E7400" s="184"/>
      <c r="F7400" s="184"/>
      <c r="G7400" s="184"/>
      <c r="H7400" s="184"/>
      <c r="I7400" s="184"/>
      <c r="J7400" s="184"/>
      <c r="K7400" s="184"/>
      <c r="L7400" s="184"/>
      <c r="M7400" s="184"/>
      <c r="N7400" s="184"/>
      <c r="O7400" s="184"/>
    </row>
    <row r="7401" customFormat="false" ht="15" hidden="false" customHeight="true" outlineLevel="0" collapsed="false">
      <c r="A7401" s="184"/>
      <c r="B7401" s="184"/>
      <c r="C7401" s="184"/>
      <c r="D7401" s="184"/>
      <c r="E7401" s="184"/>
      <c r="F7401" s="184"/>
      <c r="G7401" s="184"/>
      <c r="H7401" s="184"/>
      <c r="I7401" s="184"/>
      <c r="J7401" s="184"/>
      <c r="K7401" s="184"/>
      <c r="L7401" s="184"/>
      <c r="M7401" s="184"/>
      <c r="N7401" s="184"/>
      <c r="O7401" s="184"/>
    </row>
    <row r="7402" customFormat="false" ht="15" hidden="false" customHeight="true" outlineLevel="0" collapsed="false">
      <c r="A7402" s="184"/>
      <c r="B7402" s="184"/>
      <c r="C7402" s="184"/>
      <c r="D7402" s="184"/>
      <c r="E7402" s="184"/>
      <c r="F7402" s="184"/>
      <c r="G7402" s="184"/>
      <c r="H7402" s="184"/>
      <c r="I7402" s="184"/>
      <c r="J7402" s="184"/>
      <c r="K7402" s="184"/>
      <c r="L7402" s="184"/>
      <c r="M7402" s="184"/>
      <c r="N7402" s="184"/>
      <c r="O7402" s="184"/>
    </row>
    <row r="7403" customFormat="false" ht="15" hidden="false" customHeight="true" outlineLevel="0" collapsed="false">
      <c r="A7403" s="184"/>
      <c r="B7403" s="184"/>
      <c r="C7403" s="184"/>
      <c r="D7403" s="184"/>
      <c r="E7403" s="184"/>
      <c r="F7403" s="184"/>
      <c r="G7403" s="184"/>
      <c r="H7403" s="184"/>
      <c r="I7403" s="184"/>
      <c r="J7403" s="184"/>
      <c r="K7403" s="184"/>
      <c r="L7403" s="184"/>
      <c r="M7403" s="184"/>
      <c r="N7403" s="184"/>
      <c r="O7403" s="184"/>
    </row>
    <row r="7404" customFormat="false" ht="15" hidden="false" customHeight="true" outlineLevel="0" collapsed="false">
      <c r="A7404" s="184"/>
      <c r="B7404" s="184"/>
      <c r="C7404" s="184"/>
      <c r="D7404" s="184"/>
      <c r="E7404" s="184"/>
      <c r="F7404" s="184"/>
      <c r="G7404" s="184"/>
      <c r="H7404" s="184"/>
      <c r="I7404" s="184"/>
      <c r="J7404" s="184"/>
      <c r="K7404" s="184"/>
      <c r="L7404" s="184"/>
      <c r="M7404" s="184"/>
      <c r="N7404" s="184"/>
      <c r="O7404" s="184"/>
    </row>
    <row r="7405" customFormat="false" ht="15" hidden="false" customHeight="true" outlineLevel="0" collapsed="false">
      <c r="A7405" s="184"/>
      <c r="B7405" s="184"/>
      <c r="C7405" s="184"/>
      <c r="D7405" s="184"/>
      <c r="E7405" s="184"/>
      <c r="F7405" s="184"/>
      <c r="G7405" s="184"/>
      <c r="H7405" s="184"/>
      <c r="I7405" s="184"/>
      <c r="J7405" s="184"/>
      <c r="K7405" s="184"/>
      <c r="L7405" s="184"/>
      <c r="M7405" s="184"/>
      <c r="N7405" s="184"/>
      <c r="O7405" s="184"/>
    </row>
    <row r="7406" customFormat="false" ht="15" hidden="false" customHeight="true" outlineLevel="0" collapsed="false">
      <c r="A7406" s="184"/>
      <c r="B7406" s="184"/>
      <c r="C7406" s="184"/>
      <c r="D7406" s="184"/>
      <c r="E7406" s="184"/>
      <c r="F7406" s="184"/>
      <c r="G7406" s="184"/>
      <c r="H7406" s="184"/>
      <c r="I7406" s="184"/>
      <c r="J7406" s="184"/>
      <c r="K7406" s="184"/>
      <c r="L7406" s="184"/>
      <c r="M7406" s="184"/>
      <c r="N7406" s="184"/>
      <c r="O7406" s="184"/>
    </row>
    <row r="7407" customFormat="false" ht="15" hidden="false" customHeight="true" outlineLevel="0" collapsed="false">
      <c r="A7407" s="184"/>
      <c r="B7407" s="184"/>
      <c r="C7407" s="184"/>
      <c r="D7407" s="184"/>
      <c r="E7407" s="184"/>
      <c r="F7407" s="184"/>
      <c r="G7407" s="184"/>
      <c r="H7407" s="184"/>
      <c r="I7407" s="184"/>
      <c r="J7407" s="184"/>
      <c r="K7407" s="184"/>
      <c r="L7407" s="184"/>
      <c r="M7407" s="184"/>
      <c r="N7407" s="184"/>
      <c r="O7407" s="184"/>
    </row>
    <row r="7408" customFormat="false" ht="15" hidden="false" customHeight="true" outlineLevel="0" collapsed="false">
      <c r="A7408" s="184"/>
      <c r="B7408" s="184"/>
      <c r="C7408" s="184"/>
      <c r="D7408" s="184"/>
      <c r="E7408" s="184"/>
      <c r="F7408" s="184"/>
      <c r="G7408" s="184"/>
      <c r="H7408" s="184"/>
      <c r="I7408" s="184"/>
      <c r="J7408" s="184"/>
      <c r="K7408" s="184"/>
      <c r="L7408" s="184"/>
      <c r="M7408" s="184"/>
      <c r="N7408" s="184"/>
      <c r="O7408" s="184"/>
    </row>
    <row r="7409" customFormat="false" ht="15" hidden="false" customHeight="true" outlineLevel="0" collapsed="false">
      <c r="A7409" s="184"/>
      <c r="B7409" s="184"/>
      <c r="C7409" s="184"/>
      <c r="D7409" s="184"/>
      <c r="E7409" s="184"/>
      <c r="F7409" s="184"/>
      <c r="G7409" s="184"/>
      <c r="H7409" s="184"/>
      <c r="I7409" s="184"/>
      <c r="J7409" s="184"/>
      <c r="K7409" s="184"/>
      <c r="L7409" s="184"/>
      <c r="M7409" s="184"/>
      <c r="N7409" s="184"/>
      <c r="O7409" s="184"/>
    </row>
    <row r="7410" customFormat="false" ht="15" hidden="false" customHeight="true" outlineLevel="0" collapsed="false">
      <c r="A7410" s="184"/>
      <c r="B7410" s="184"/>
      <c r="C7410" s="184"/>
      <c r="D7410" s="184"/>
      <c r="E7410" s="184"/>
      <c r="F7410" s="184"/>
      <c r="G7410" s="184"/>
      <c r="H7410" s="184"/>
      <c r="I7410" s="184"/>
      <c r="J7410" s="184"/>
      <c r="K7410" s="184"/>
      <c r="L7410" s="184"/>
      <c r="M7410" s="184"/>
      <c r="N7410" s="184"/>
      <c r="O7410" s="184"/>
    </row>
    <row r="7411" customFormat="false" ht="15" hidden="false" customHeight="true" outlineLevel="0" collapsed="false">
      <c r="A7411" s="184"/>
      <c r="B7411" s="184"/>
      <c r="C7411" s="184"/>
      <c r="D7411" s="184"/>
      <c r="E7411" s="184"/>
      <c r="F7411" s="184"/>
      <c r="G7411" s="184"/>
      <c r="H7411" s="184"/>
      <c r="I7411" s="184"/>
      <c r="J7411" s="184"/>
      <c r="K7411" s="184"/>
      <c r="L7411" s="184"/>
      <c r="M7411" s="184"/>
      <c r="N7411" s="184"/>
      <c r="O7411" s="184"/>
    </row>
    <row r="7412" customFormat="false" ht="15" hidden="false" customHeight="true" outlineLevel="0" collapsed="false">
      <c r="A7412" s="184"/>
      <c r="B7412" s="184"/>
      <c r="C7412" s="184"/>
      <c r="D7412" s="184"/>
      <c r="E7412" s="184"/>
      <c r="F7412" s="184"/>
      <c r="G7412" s="184"/>
      <c r="H7412" s="184"/>
      <c r="I7412" s="184"/>
      <c r="J7412" s="184"/>
      <c r="K7412" s="184"/>
      <c r="L7412" s="184"/>
      <c r="M7412" s="184"/>
      <c r="N7412" s="184"/>
      <c r="O7412" s="184"/>
    </row>
    <row r="7413" customFormat="false" ht="15" hidden="false" customHeight="true" outlineLevel="0" collapsed="false">
      <c r="A7413" s="184"/>
      <c r="B7413" s="184"/>
      <c r="C7413" s="184"/>
      <c r="D7413" s="184"/>
      <c r="E7413" s="184"/>
      <c r="F7413" s="184"/>
      <c r="G7413" s="184"/>
      <c r="H7413" s="184"/>
      <c r="I7413" s="184"/>
      <c r="J7413" s="184"/>
      <c r="K7413" s="184"/>
      <c r="L7413" s="184"/>
      <c r="M7413" s="184"/>
      <c r="N7413" s="184"/>
      <c r="O7413" s="184"/>
    </row>
    <row r="7414" customFormat="false" ht="15" hidden="false" customHeight="true" outlineLevel="0" collapsed="false">
      <c r="A7414" s="184"/>
      <c r="B7414" s="184"/>
      <c r="C7414" s="184"/>
      <c r="D7414" s="184"/>
      <c r="E7414" s="184"/>
      <c r="F7414" s="184"/>
      <c r="G7414" s="184"/>
      <c r="H7414" s="184"/>
      <c r="I7414" s="184"/>
      <c r="J7414" s="184"/>
      <c r="K7414" s="184"/>
      <c r="L7414" s="184"/>
      <c r="M7414" s="184"/>
      <c r="N7414" s="184"/>
      <c r="O7414" s="184"/>
    </row>
    <row r="7415" customFormat="false" ht="15" hidden="false" customHeight="true" outlineLevel="0" collapsed="false">
      <c r="A7415" s="184"/>
      <c r="B7415" s="184"/>
      <c r="C7415" s="184"/>
      <c r="D7415" s="184"/>
      <c r="E7415" s="184"/>
      <c r="F7415" s="184"/>
      <c r="G7415" s="184"/>
      <c r="H7415" s="184"/>
      <c r="I7415" s="184"/>
      <c r="J7415" s="184"/>
      <c r="K7415" s="184"/>
      <c r="L7415" s="184"/>
      <c r="M7415" s="184"/>
      <c r="N7415" s="184"/>
      <c r="O7415" s="184"/>
    </row>
    <row r="7416" customFormat="false" ht="15" hidden="false" customHeight="true" outlineLevel="0" collapsed="false">
      <c r="A7416" s="184"/>
      <c r="B7416" s="184"/>
      <c r="C7416" s="184"/>
      <c r="D7416" s="184"/>
      <c r="E7416" s="184"/>
      <c r="F7416" s="184"/>
      <c r="G7416" s="184"/>
      <c r="H7416" s="184"/>
      <c r="I7416" s="184"/>
      <c r="J7416" s="184"/>
      <c r="K7416" s="184"/>
      <c r="L7416" s="184"/>
      <c r="M7416" s="184"/>
      <c r="N7416" s="184"/>
      <c r="O7416" s="184"/>
    </row>
    <row r="7417" customFormat="false" ht="15" hidden="false" customHeight="true" outlineLevel="0" collapsed="false">
      <c r="A7417" s="184"/>
      <c r="B7417" s="184"/>
      <c r="C7417" s="184"/>
      <c r="D7417" s="184"/>
      <c r="E7417" s="184"/>
      <c r="F7417" s="184"/>
      <c r="G7417" s="184"/>
      <c r="H7417" s="184"/>
      <c r="I7417" s="184"/>
      <c r="J7417" s="184"/>
      <c r="K7417" s="184"/>
      <c r="L7417" s="184"/>
      <c r="M7417" s="184"/>
      <c r="N7417" s="184"/>
      <c r="O7417" s="184"/>
    </row>
    <row r="7418" customFormat="false" ht="15" hidden="false" customHeight="true" outlineLevel="0" collapsed="false">
      <c r="A7418" s="184"/>
      <c r="B7418" s="184"/>
      <c r="C7418" s="184"/>
      <c r="D7418" s="184"/>
      <c r="E7418" s="184"/>
      <c r="F7418" s="184"/>
      <c r="G7418" s="184"/>
      <c r="H7418" s="184"/>
      <c r="I7418" s="184"/>
      <c r="J7418" s="184"/>
      <c r="K7418" s="184"/>
      <c r="L7418" s="184"/>
      <c r="M7418" s="184"/>
      <c r="N7418" s="184"/>
      <c r="O7418" s="184"/>
    </row>
    <row r="7419" customFormat="false" ht="15" hidden="false" customHeight="true" outlineLevel="0" collapsed="false">
      <c r="A7419" s="184"/>
      <c r="B7419" s="184"/>
      <c r="C7419" s="184"/>
      <c r="D7419" s="184"/>
      <c r="E7419" s="184"/>
      <c r="F7419" s="184"/>
      <c r="G7419" s="184"/>
      <c r="H7419" s="184"/>
      <c r="I7419" s="184"/>
      <c r="J7419" s="184"/>
      <c r="K7419" s="184"/>
      <c r="L7419" s="184"/>
      <c r="M7419" s="184"/>
      <c r="N7419" s="184"/>
      <c r="O7419" s="184"/>
    </row>
    <row r="7420" customFormat="false" ht="15" hidden="false" customHeight="true" outlineLevel="0" collapsed="false">
      <c r="A7420" s="184"/>
      <c r="B7420" s="184"/>
      <c r="C7420" s="184"/>
      <c r="D7420" s="184"/>
      <c r="E7420" s="184"/>
      <c r="F7420" s="184"/>
      <c r="G7420" s="184"/>
      <c r="H7420" s="184"/>
      <c r="I7420" s="184"/>
      <c r="J7420" s="184"/>
      <c r="K7420" s="184"/>
      <c r="L7420" s="184"/>
      <c r="M7420" s="184"/>
      <c r="N7420" s="184"/>
      <c r="O7420" s="184"/>
    </row>
    <row r="7421" customFormat="false" ht="15" hidden="false" customHeight="true" outlineLevel="0" collapsed="false">
      <c r="A7421" s="184"/>
      <c r="B7421" s="184"/>
      <c r="C7421" s="184"/>
      <c r="D7421" s="184"/>
      <c r="E7421" s="184"/>
      <c r="F7421" s="184"/>
      <c r="G7421" s="184"/>
      <c r="H7421" s="184"/>
      <c r="I7421" s="184"/>
      <c r="J7421" s="184"/>
      <c r="K7421" s="184"/>
      <c r="L7421" s="184"/>
      <c r="M7421" s="184"/>
      <c r="N7421" s="184"/>
      <c r="O7421" s="184"/>
    </row>
    <row r="7422" customFormat="false" ht="15" hidden="false" customHeight="true" outlineLevel="0" collapsed="false">
      <c r="A7422" s="184"/>
      <c r="B7422" s="184"/>
      <c r="C7422" s="184"/>
      <c r="D7422" s="184"/>
      <c r="E7422" s="184"/>
      <c r="F7422" s="184"/>
      <c r="G7422" s="184"/>
      <c r="H7422" s="184"/>
      <c r="I7422" s="184"/>
      <c r="J7422" s="184"/>
      <c r="K7422" s="184"/>
      <c r="L7422" s="184"/>
      <c r="M7422" s="184"/>
      <c r="N7422" s="184"/>
      <c r="O7422" s="184"/>
    </row>
    <row r="7423" customFormat="false" ht="15" hidden="false" customHeight="true" outlineLevel="0" collapsed="false">
      <c r="A7423" s="184"/>
      <c r="B7423" s="184"/>
      <c r="C7423" s="184"/>
      <c r="D7423" s="184"/>
      <c r="E7423" s="184"/>
      <c r="F7423" s="184"/>
      <c r="G7423" s="184"/>
      <c r="H7423" s="184"/>
      <c r="I7423" s="184"/>
      <c r="J7423" s="184"/>
      <c r="K7423" s="184"/>
      <c r="L7423" s="184"/>
      <c r="M7423" s="184"/>
      <c r="N7423" s="184"/>
      <c r="O7423" s="184"/>
    </row>
    <row r="7424" customFormat="false" ht="15" hidden="false" customHeight="true" outlineLevel="0" collapsed="false">
      <c r="A7424" s="184"/>
      <c r="B7424" s="184"/>
      <c r="C7424" s="184"/>
      <c r="D7424" s="184"/>
      <c r="E7424" s="184"/>
      <c r="F7424" s="184"/>
      <c r="G7424" s="184"/>
      <c r="H7424" s="184"/>
      <c r="I7424" s="184"/>
      <c r="J7424" s="184"/>
      <c r="K7424" s="184"/>
      <c r="L7424" s="184"/>
      <c r="M7424" s="184"/>
      <c r="N7424" s="184"/>
      <c r="O7424" s="184"/>
    </row>
    <row r="7425" customFormat="false" ht="15" hidden="false" customHeight="true" outlineLevel="0" collapsed="false">
      <c r="A7425" s="184"/>
      <c r="B7425" s="184"/>
      <c r="C7425" s="184"/>
      <c r="D7425" s="184"/>
      <c r="E7425" s="184"/>
      <c r="F7425" s="184"/>
      <c r="G7425" s="184"/>
      <c r="H7425" s="184"/>
      <c r="I7425" s="184"/>
      <c r="J7425" s="184"/>
      <c r="K7425" s="184"/>
      <c r="L7425" s="184"/>
      <c r="M7425" s="184"/>
      <c r="N7425" s="184"/>
      <c r="O7425" s="184"/>
    </row>
    <row r="7426" customFormat="false" ht="15" hidden="false" customHeight="true" outlineLevel="0" collapsed="false">
      <c r="A7426" s="184"/>
      <c r="B7426" s="184"/>
      <c r="C7426" s="184"/>
      <c r="D7426" s="184"/>
      <c r="E7426" s="184"/>
      <c r="F7426" s="184"/>
      <c r="G7426" s="184"/>
      <c r="H7426" s="184"/>
      <c r="I7426" s="184"/>
      <c r="J7426" s="184"/>
      <c r="K7426" s="184"/>
      <c r="L7426" s="184"/>
      <c r="M7426" s="184"/>
      <c r="N7426" s="184"/>
      <c r="O7426" s="184"/>
    </row>
    <row r="7427" customFormat="false" ht="15" hidden="false" customHeight="true" outlineLevel="0" collapsed="false">
      <c r="A7427" s="184"/>
      <c r="B7427" s="184"/>
      <c r="C7427" s="184"/>
      <c r="D7427" s="184"/>
      <c r="E7427" s="184"/>
      <c r="F7427" s="184"/>
      <c r="G7427" s="184"/>
      <c r="H7427" s="184"/>
      <c r="I7427" s="184"/>
      <c r="J7427" s="184"/>
      <c r="K7427" s="184"/>
      <c r="L7427" s="184"/>
      <c r="M7427" s="184"/>
      <c r="N7427" s="184"/>
      <c r="O7427" s="184"/>
    </row>
    <row r="7428" customFormat="false" ht="15" hidden="false" customHeight="true" outlineLevel="0" collapsed="false">
      <c r="A7428" s="184"/>
      <c r="B7428" s="184"/>
      <c r="C7428" s="184"/>
      <c r="D7428" s="184"/>
      <c r="E7428" s="184"/>
      <c r="F7428" s="184"/>
      <c r="G7428" s="184"/>
      <c r="H7428" s="184"/>
      <c r="I7428" s="184"/>
      <c r="J7428" s="184"/>
      <c r="K7428" s="184"/>
      <c r="L7428" s="184"/>
      <c r="M7428" s="184"/>
      <c r="N7428" s="184"/>
      <c r="O7428" s="184"/>
    </row>
    <row r="7429" customFormat="false" ht="15" hidden="false" customHeight="true" outlineLevel="0" collapsed="false">
      <c r="A7429" s="184"/>
      <c r="B7429" s="184"/>
      <c r="C7429" s="184"/>
      <c r="D7429" s="184"/>
      <c r="E7429" s="184"/>
      <c r="F7429" s="184"/>
      <c r="G7429" s="184"/>
      <c r="H7429" s="184"/>
      <c r="I7429" s="184"/>
      <c r="J7429" s="184"/>
      <c r="K7429" s="184"/>
      <c r="L7429" s="184"/>
      <c r="M7429" s="184"/>
      <c r="N7429" s="184"/>
      <c r="O7429" s="184"/>
    </row>
    <row r="7430" customFormat="false" ht="15" hidden="false" customHeight="true" outlineLevel="0" collapsed="false">
      <c r="A7430" s="184"/>
      <c r="B7430" s="184"/>
      <c r="C7430" s="184"/>
      <c r="D7430" s="184"/>
      <c r="E7430" s="184"/>
      <c r="F7430" s="184"/>
      <c r="G7430" s="184"/>
      <c r="H7430" s="184"/>
      <c r="I7430" s="184"/>
      <c r="J7430" s="184"/>
      <c r="K7430" s="184"/>
      <c r="L7430" s="184"/>
      <c r="M7430" s="184"/>
      <c r="N7430" s="184"/>
      <c r="O7430" s="184"/>
    </row>
    <row r="7431" customFormat="false" ht="15" hidden="false" customHeight="true" outlineLevel="0" collapsed="false">
      <c r="A7431" s="184"/>
      <c r="B7431" s="184"/>
      <c r="C7431" s="184"/>
      <c r="D7431" s="184"/>
      <c r="E7431" s="184"/>
      <c r="F7431" s="184"/>
      <c r="G7431" s="184"/>
      <c r="H7431" s="184"/>
      <c r="I7431" s="184"/>
      <c r="J7431" s="184"/>
      <c r="K7431" s="184"/>
      <c r="L7431" s="184"/>
      <c r="M7431" s="184"/>
      <c r="N7431" s="184"/>
      <c r="O7431" s="184"/>
    </row>
    <row r="7432" customFormat="false" ht="15" hidden="false" customHeight="true" outlineLevel="0" collapsed="false">
      <c r="A7432" s="184"/>
      <c r="B7432" s="184"/>
      <c r="C7432" s="184"/>
      <c r="D7432" s="184"/>
      <c r="E7432" s="184"/>
      <c r="F7432" s="184"/>
      <c r="G7432" s="184"/>
      <c r="H7432" s="184"/>
      <c r="I7432" s="184"/>
      <c r="J7432" s="184"/>
      <c r="K7432" s="184"/>
      <c r="L7432" s="184"/>
      <c r="M7432" s="184"/>
      <c r="N7432" s="184"/>
      <c r="O7432" s="184"/>
    </row>
    <row r="7433" customFormat="false" ht="15" hidden="false" customHeight="true" outlineLevel="0" collapsed="false">
      <c r="A7433" s="184"/>
      <c r="B7433" s="184"/>
      <c r="C7433" s="184"/>
      <c r="D7433" s="184"/>
      <c r="E7433" s="184"/>
      <c r="F7433" s="184"/>
      <c r="G7433" s="184"/>
      <c r="H7433" s="184"/>
      <c r="I7433" s="184"/>
      <c r="J7433" s="184"/>
      <c r="K7433" s="184"/>
      <c r="L7433" s="184"/>
      <c r="M7433" s="184"/>
      <c r="N7433" s="184"/>
      <c r="O7433" s="184"/>
    </row>
    <row r="7434" customFormat="false" ht="15" hidden="false" customHeight="true" outlineLevel="0" collapsed="false">
      <c r="A7434" s="184"/>
      <c r="B7434" s="184"/>
      <c r="C7434" s="184"/>
      <c r="D7434" s="184"/>
      <c r="E7434" s="184"/>
      <c r="F7434" s="184"/>
      <c r="G7434" s="184"/>
      <c r="H7434" s="184"/>
      <c r="I7434" s="184"/>
      <c r="J7434" s="184"/>
      <c r="K7434" s="184"/>
      <c r="L7434" s="184"/>
      <c r="M7434" s="184"/>
      <c r="N7434" s="184"/>
      <c r="O7434" s="184"/>
    </row>
    <row r="7435" customFormat="false" ht="15" hidden="false" customHeight="true" outlineLevel="0" collapsed="false">
      <c r="A7435" s="184"/>
      <c r="B7435" s="184"/>
      <c r="C7435" s="184"/>
      <c r="D7435" s="184"/>
      <c r="E7435" s="184"/>
      <c r="F7435" s="184"/>
      <c r="G7435" s="184"/>
      <c r="H7435" s="184"/>
      <c r="I7435" s="184"/>
      <c r="J7435" s="184"/>
      <c r="K7435" s="184"/>
      <c r="L7435" s="184"/>
      <c r="M7435" s="184"/>
      <c r="N7435" s="184"/>
      <c r="O7435" s="184"/>
    </row>
    <row r="7436" customFormat="false" ht="15" hidden="false" customHeight="true" outlineLevel="0" collapsed="false">
      <c r="A7436" s="184"/>
      <c r="B7436" s="184"/>
      <c r="C7436" s="184"/>
      <c r="D7436" s="184"/>
      <c r="E7436" s="184"/>
      <c r="F7436" s="184"/>
      <c r="G7436" s="184"/>
      <c r="H7436" s="184"/>
      <c r="I7436" s="184"/>
      <c r="J7436" s="184"/>
      <c r="K7436" s="184"/>
      <c r="L7436" s="184"/>
      <c r="M7436" s="184"/>
      <c r="N7436" s="184"/>
      <c r="O7436" s="184"/>
    </row>
    <row r="7437" customFormat="false" ht="15" hidden="false" customHeight="true" outlineLevel="0" collapsed="false">
      <c r="A7437" s="184"/>
      <c r="B7437" s="184"/>
      <c r="C7437" s="184"/>
      <c r="D7437" s="184"/>
      <c r="E7437" s="184"/>
      <c r="F7437" s="184"/>
      <c r="G7437" s="184"/>
      <c r="H7437" s="184"/>
      <c r="I7437" s="184"/>
      <c r="J7437" s="184"/>
      <c r="K7437" s="184"/>
      <c r="L7437" s="184"/>
      <c r="M7437" s="184"/>
      <c r="N7437" s="184"/>
      <c r="O7437" s="184"/>
    </row>
    <row r="7438" customFormat="false" ht="15" hidden="false" customHeight="true" outlineLevel="0" collapsed="false">
      <c r="A7438" s="184"/>
      <c r="B7438" s="184"/>
      <c r="C7438" s="184"/>
      <c r="D7438" s="184"/>
      <c r="E7438" s="184"/>
      <c r="F7438" s="184"/>
      <c r="G7438" s="184"/>
      <c r="H7438" s="184"/>
      <c r="I7438" s="184"/>
      <c r="J7438" s="184"/>
      <c r="K7438" s="184"/>
      <c r="L7438" s="184"/>
      <c r="M7438" s="184"/>
      <c r="N7438" s="184"/>
      <c r="O7438" s="184"/>
    </row>
    <row r="7439" customFormat="false" ht="15" hidden="false" customHeight="true" outlineLevel="0" collapsed="false">
      <c r="A7439" s="184"/>
      <c r="B7439" s="184"/>
      <c r="C7439" s="184"/>
      <c r="D7439" s="184"/>
      <c r="E7439" s="184"/>
      <c r="F7439" s="184"/>
      <c r="G7439" s="184"/>
      <c r="H7439" s="184"/>
      <c r="I7439" s="184"/>
      <c r="J7439" s="184"/>
      <c r="K7439" s="184"/>
      <c r="L7439" s="184"/>
      <c r="M7439" s="184"/>
      <c r="N7439" s="184"/>
      <c r="O7439" s="184"/>
    </row>
    <row r="7440" customFormat="false" ht="15" hidden="false" customHeight="true" outlineLevel="0" collapsed="false">
      <c r="A7440" s="184"/>
      <c r="B7440" s="184"/>
      <c r="C7440" s="184"/>
      <c r="D7440" s="184"/>
      <c r="E7440" s="184"/>
      <c r="F7440" s="184"/>
      <c r="G7440" s="184"/>
      <c r="H7440" s="184"/>
      <c r="I7440" s="184"/>
      <c r="J7440" s="184"/>
      <c r="K7440" s="184"/>
      <c r="L7440" s="184"/>
      <c r="M7440" s="184"/>
      <c r="N7440" s="184"/>
      <c r="O7440" s="184"/>
    </row>
    <row r="7441" customFormat="false" ht="15" hidden="false" customHeight="true" outlineLevel="0" collapsed="false">
      <c r="A7441" s="184"/>
      <c r="B7441" s="184"/>
      <c r="C7441" s="184"/>
      <c r="D7441" s="184"/>
      <c r="E7441" s="184"/>
      <c r="F7441" s="184"/>
      <c r="G7441" s="184"/>
      <c r="H7441" s="184"/>
      <c r="I7441" s="184"/>
      <c r="J7441" s="184"/>
      <c r="K7441" s="184"/>
      <c r="L7441" s="184"/>
      <c r="M7441" s="184"/>
      <c r="N7441" s="184"/>
      <c r="O7441" s="184"/>
    </row>
    <row r="7442" customFormat="false" ht="15" hidden="false" customHeight="true" outlineLevel="0" collapsed="false">
      <c r="A7442" s="184"/>
      <c r="B7442" s="184"/>
      <c r="C7442" s="184"/>
      <c r="D7442" s="184"/>
      <c r="E7442" s="184"/>
      <c r="F7442" s="184"/>
      <c r="G7442" s="184"/>
      <c r="H7442" s="184"/>
      <c r="I7442" s="184"/>
      <c r="J7442" s="184"/>
      <c r="K7442" s="184"/>
      <c r="L7442" s="184"/>
      <c r="M7442" s="184"/>
      <c r="N7442" s="184"/>
      <c r="O7442" s="184"/>
    </row>
    <row r="7443" customFormat="false" ht="15" hidden="false" customHeight="true" outlineLevel="0" collapsed="false">
      <c r="A7443" s="184"/>
      <c r="B7443" s="184"/>
      <c r="C7443" s="184"/>
      <c r="D7443" s="184"/>
      <c r="E7443" s="184"/>
      <c r="F7443" s="184"/>
      <c r="G7443" s="184"/>
      <c r="H7443" s="184"/>
      <c r="I7443" s="184"/>
      <c r="J7443" s="184"/>
      <c r="K7443" s="184"/>
      <c r="L7443" s="184"/>
      <c r="M7443" s="184"/>
      <c r="N7443" s="184"/>
      <c r="O7443" s="184"/>
    </row>
    <row r="7444" customFormat="false" ht="15" hidden="false" customHeight="true" outlineLevel="0" collapsed="false">
      <c r="A7444" s="184"/>
      <c r="B7444" s="184"/>
      <c r="C7444" s="184"/>
      <c r="D7444" s="184"/>
      <c r="E7444" s="184"/>
      <c r="F7444" s="184"/>
      <c r="G7444" s="184"/>
      <c r="H7444" s="184"/>
      <c r="I7444" s="184"/>
      <c r="J7444" s="184"/>
      <c r="K7444" s="184"/>
      <c r="L7444" s="184"/>
      <c r="M7444" s="184"/>
      <c r="N7444" s="184"/>
      <c r="O7444" s="184"/>
    </row>
    <row r="7445" customFormat="false" ht="15" hidden="false" customHeight="true" outlineLevel="0" collapsed="false">
      <c r="A7445" s="184"/>
      <c r="B7445" s="184"/>
      <c r="C7445" s="184"/>
      <c r="D7445" s="184"/>
      <c r="E7445" s="184"/>
      <c r="F7445" s="184"/>
      <c r="G7445" s="184"/>
      <c r="H7445" s="184"/>
      <c r="I7445" s="184"/>
      <c r="J7445" s="184"/>
      <c r="K7445" s="184"/>
      <c r="L7445" s="184"/>
      <c r="M7445" s="184"/>
      <c r="N7445" s="184"/>
      <c r="O7445" s="184"/>
    </row>
    <row r="7446" customFormat="false" ht="15" hidden="false" customHeight="true" outlineLevel="0" collapsed="false">
      <c r="A7446" s="184"/>
      <c r="B7446" s="184"/>
      <c r="C7446" s="184"/>
      <c r="D7446" s="184"/>
      <c r="E7446" s="184"/>
      <c r="F7446" s="184"/>
      <c r="G7446" s="184"/>
      <c r="H7446" s="184"/>
      <c r="I7446" s="184"/>
      <c r="J7446" s="184"/>
      <c r="K7446" s="184"/>
      <c r="L7446" s="184"/>
      <c r="M7446" s="184"/>
      <c r="N7446" s="184"/>
      <c r="O7446" s="184"/>
    </row>
    <row r="7447" customFormat="false" ht="15" hidden="false" customHeight="true" outlineLevel="0" collapsed="false">
      <c r="A7447" s="184"/>
      <c r="B7447" s="184"/>
      <c r="C7447" s="184"/>
      <c r="D7447" s="184"/>
      <c r="E7447" s="184"/>
      <c r="F7447" s="184"/>
      <c r="G7447" s="184"/>
      <c r="H7447" s="184"/>
      <c r="I7447" s="184"/>
      <c r="J7447" s="184"/>
      <c r="K7447" s="184"/>
      <c r="L7447" s="184"/>
      <c r="M7447" s="184"/>
      <c r="N7447" s="184"/>
      <c r="O7447" s="184"/>
    </row>
    <row r="7448" customFormat="false" ht="15" hidden="false" customHeight="true" outlineLevel="0" collapsed="false">
      <c r="A7448" s="184"/>
      <c r="B7448" s="184"/>
      <c r="C7448" s="184"/>
      <c r="D7448" s="184"/>
      <c r="E7448" s="184"/>
      <c r="F7448" s="184"/>
      <c r="G7448" s="184"/>
      <c r="H7448" s="184"/>
      <c r="I7448" s="184"/>
      <c r="J7448" s="184"/>
      <c r="K7448" s="184"/>
      <c r="L7448" s="184"/>
      <c r="M7448" s="184"/>
      <c r="N7448" s="184"/>
      <c r="O7448" s="184"/>
    </row>
    <row r="7449" customFormat="false" ht="15" hidden="false" customHeight="true" outlineLevel="0" collapsed="false">
      <c r="A7449" s="184"/>
      <c r="B7449" s="184"/>
      <c r="C7449" s="184"/>
      <c r="D7449" s="184"/>
      <c r="E7449" s="184"/>
      <c r="F7449" s="184"/>
      <c r="G7449" s="184"/>
      <c r="H7449" s="184"/>
      <c r="I7449" s="184"/>
      <c r="J7449" s="184"/>
      <c r="K7449" s="184"/>
      <c r="L7449" s="184"/>
      <c r="M7449" s="184"/>
      <c r="N7449" s="184"/>
      <c r="O7449" s="184"/>
    </row>
    <row r="7450" customFormat="false" ht="15" hidden="false" customHeight="true" outlineLevel="0" collapsed="false">
      <c r="A7450" s="184"/>
      <c r="B7450" s="184"/>
      <c r="C7450" s="184"/>
      <c r="D7450" s="184"/>
      <c r="E7450" s="184"/>
      <c r="F7450" s="184"/>
      <c r="G7450" s="184"/>
      <c r="H7450" s="184"/>
      <c r="I7450" s="184"/>
      <c r="J7450" s="184"/>
      <c r="K7450" s="184"/>
      <c r="L7450" s="184"/>
      <c r="M7450" s="184"/>
      <c r="N7450" s="184"/>
      <c r="O7450" s="184"/>
    </row>
    <row r="7451" customFormat="false" ht="15" hidden="false" customHeight="true" outlineLevel="0" collapsed="false">
      <c r="A7451" s="184"/>
      <c r="B7451" s="184"/>
      <c r="C7451" s="184"/>
      <c r="D7451" s="184"/>
      <c r="E7451" s="184"/>
      <c r="F7451" s="184"/>
      <c r="G7451" s="184"/>
      <c r="H7451" s="184"/>
      <c r="I7451" s="184"/>
      <c r="J7451" s="184"/>
      <c r="K7451" s="184"/>
      <c r="L7451" s="184"/>
      <c r="M7451" s="184"/>
      <c r="N7451" s="184"/>
      <c r="O7451" s="184"/>
    </row>
    <row r="7452" customFormat="false" ht="15" hidden="false" customHeight="true" outlineLevel="0" collapsed="false">
      <c r="A7452" s="184"/>
      <c r="B7452" s="184"/>
      <c r="C7452" s="184"/>
      <c r="D7452" s="184"/>
      <c r="E7452" s="184"/>
      <c r="F7452" s="184"/>
      <c r="G7452" s="184"/>
      <c r="H7452" s="184"/>
      <c r="I7452" s="184"/>
      <c r="J7452" s="184"/>
      <c r="K7452" s="184"/>
      <c r="L7452" s="184"/>
      <c r="M7452" s="184"/>
      <c r="N7452" s="184"/>
      <c r="O7452" s="184"/>
    </row>
    <row r="7453" customFormat="false" ht="15" hidden="false" customHeight="true" outlineLevel="0" collapsed="false">
      <c r="A7453" s="184"/>
      <c r="B7453" s="184"/>
      <c r="C7453" s="184"/>
      <c r="D7453" s="184"/>
      <c r="E7453" s="184"/>
      <c r="F7453" s="184"/>
      <c r="G7453" s="184"/>
      <c r="H7453" s="184"/>
      <c r="I7453" s="184"/>
      <c r="J7453" s="184"/>
      <c r="K7453" s="184"/>
      <c r="L7453" s="184"/>
      <c r="M7453" s="184"/>
      <c r="N7453" s="184"/>
      <c r="O7453" s="184"/>
    </row>
    <row r="7454" customFormat="false" ht="15" hidden="false" customHeight="true" outlineLevel="0" collapsed="false">
      <c r="A7454" s="184"/>
      <c r="B7454" s="184"/>
      <c r="C7454" s="184"/>
      <c r="D7454" s="184"/>
      <c r="E7454" s="184"/>
      <c r="F7454" s="184"/>
      <c r="G7454" s="184"/>
      <c r="H7454" s="184"/>
      <c r="I7454" s="184"/>
      <c r="J7454" s="184"/>
      <c r="K7454" s="184"/>
      <c r="L7454" s="184"/>
      <c r="M7454" s="184"/>
      <c r="N7454" s="184"/>
      <c r="O7454" s="184"/>
    </row>
    <row r="7455" customFormat="false" ht="15" hidden="false" customHeight="true" outlineLevel="0" collapsed="false">
      <c r="A7455" s="184"/>
      <c r="B7455" s="184"/>
      <c r="C7455" s="184"/>
      <c r="D7455" s="184"/>
      <c r="E7455" s="184"/>
      <c r="F7455" s="184"/>
      <c r="G7455" s="184"/>
      <c r="H7455" s="184"/>
      <c r="I7455" s="184"/>
      <c r="J7455" s="184"/>
      <c r="K7455" s="184"/>
      <c r="L7455" s="184"/>
      <c r="M7455" s="184"/>
      <c r="N7455" s="184"/>
      <c r="O7455" s="184"/>
    </row>
    <row r="7456" customFormat="false" ht="15" hidden="false" customHeight="true" outlineLevel="0" collapsed="false">
      <c r="A7456" s="184"/>
      <c r="B7456" s="184"/>
      <c r="C7456" s="184"/>
      <c r="D7456" s="184"/>
      <c r="E7456" s="184"/>
      <c r="F7456" s="184"/>
      <c r="G7456" s="184"/>
      <c r="H7456" s="184"/>
      <c r="I7456" s="184"/>
      <c r="J7456" s="184"/>
      <c r="K7456" s="184"/>
      <c r="L7456" s="184"/>
      <c r="M7456" s="184"/>
      <c r="N7456" s="184"/>
      <c r="O7456" s="184"/>
    </row>
    <row r="7457" customFormat="false" ht="15" hidden="false" customHeight="true" outlineLevel="0" collapsed="false">
      <c r="A7457" s="184"/>
      <c r="B7457" s="184"/>
      <c r="C7457" s="184"/>
      <c r="D7457" s="184"/>
      <c r="E7457" s="184"/>
      <c r="F7457" s="184"/>
      <c r="G7457" s="184"/>
      <c r="H7457" s="184"/>
      <c r="I7457" s="184"/>
      <c r="J7457" s="184"/>
      <c r="K7457" s="184"/>
      <c r="L7457" s="184"/>
      <c r="M7457" s="184"/>
      <c r="N7457" s="184"/>
      <c r="O7457" s="184"/>
    </row>
    <row r="7458" customFormat="false" ht="15" hidden="false" customHeight="true" outlineLevel="0" collapsed="false">
      <c r="A7458" s="184"/>
      <c r="B7458" s="184"/>
      <c r="C7458" s="184"/>
      <c r="D7458" s="184"/>
      <c r="E7458" s="184"/>
      <c r="F7458" s="184"/>
      <c r="G7458" s="184"/>
      <c r="H7458" s="184"/>
      <c r="I7458" s="184"/>
      <c r="J7458" s="184"/>
      <c r="K7458" s="184"/>
      <c r="L7458" s="184"/>
      <c r="M7458" s="184"/>
      <c r="N7458" s="184"/>
      <c r="O7458" s="184"/>
    </row>
    <row r="7459" customFormat="false" ht="15" hidden="false" customHeight="true" outlineLevel="0" collapsed="false">
      <c r="A7459" s="184"/>
      <c r="B7459" s="184"/>
      <c r="C7459" s="184"/>
      <c r="D7459" s="184"/>
      <c r="E7459" s="184"/>
      <c r="F7459" s="184"/>
      <c r="G7459" s="184"/>
      <c r="H7459" s="184"/>
      <c r="I7459" s="184"/>
      <c r="J7459" s="184"/>
      <c r="K7459" s="184"/>
      <c r="L7459" s="184"/>
      <c r="M7459" s="184"/>
      <c r="N7459" s="184"/>
      <c r="O7459" s="184"/>
    </row>
    <row r="7460" customFormat="false" ht="15" hidden="false" customHeight="true" outlineLevel="0" collapsed="false">
      <c r="A7460" s="184"/>
      <c r="B7460" s="184"/>
      <c r="C7460" s="184"/>
      <c r="D7460" s="184"/>
      <c r="E7460" s="184"/>
      <c r="F7460" s="184"/>
      <c r="G7460" s="184"/>
      <c r="H7460" s="184"/>
      <c r="I7460" s="184"/>
      <c r="J7460" s="184"/>
      <c r="K7460" s="184"/>
      <c r="L7460" s="184"/>
      <c r="M7460" s="184"/>
      <c r="N7460" s="184"/>
      <c r="O7460" s="184"/>
    </row>
    <row r="7461" customFormat="false" ht="15" hidden="false" customHeight="true" outlineLevel="0" collapsed="false">
      <c r="A7461" s="184"/>
      <c r="B7461" s="184"/>
      <c r="C7461" s="184"/>
      <c r="D7461" s="184"/>
      <c r="E7461" s="184"/>
      <c r="F7461" s="184"/>
      <c r="G7461" s="184"/>
      <c r="H7461" s="184"/>
      <c r="I7461" s="184"/>
      <c r="J7461" s="184"/>
      <c r="K7461" s="184"/>
      <c r="L7461" s="184"/>
      <c r="M7461" s="184"/>
      <c r="N7461" s="184"/>
      <c r="O7461" s="184"/>
    </row>
    <row r="7462" customFormat="false" ht="15" hidden="false" customHeight="true" outlineLevel="0" collapsed="false">
      <c r="A7462" s="184"/>
      <c r="B7462" s="184"/>
      <c r="C7462" s="184"/>
      <c r="D7462" s="184"/>
      <c r="E7462" s="184"/>
      <c r="F7462" s="184"/>
      <c r="G7462" s="184"/>
      <c r="H7462" s="184"/>
      <c r="I7462" s="184"/>
      <c r="J7462" s="184"/>
      <c r="K7462" s="184"/>
      <c r="L7462" s="184"/>
      <c r="M7462" s="184"/>
      <c r="N7462" s="184"/>
      <c r="O7462" s="184"/>
    </row>
    <row r="7463" customFormat="false" ht="15" hidden="false" customHeight="true" outlineLevel="0" collapsed="false">
      <c r="A7463" s="184"/>
      <c r="B7463" s="184"/>
      <c r="C7463" s="184"/>
      <c r="D7463" s="184"/>
      <c r="E7463" s="184"/>
      <c r="F7463" s="184"/>
      <c r="G7463" s="184"/>
      <c r="H7463" s="184"/>
      <c r="I7463" s="184"/>
      <c r="J7463" s="184"/>
      <c r="K7463" s="184"/>
      <c r="L7463" s="184"/>
      <c r="M7463" s="184"/>
      <c r="N7463" s="184"/>
      <c r="O7463" s="184"/>
    </row>
    <row r="7464" customFormat="false" ht="15" hidden="false" customHeight="true" outlineLevel="0" collapsed="false">
      <c r="A7464" s="184"/>
      <c r="B7464" s="184"/>
      <c r="C7464" s="184"/>
      <c r="D7464" s="184"/>
      <c r="E7464" s="184"/>
      <c r="F7464" s="184"/>
      <c r="G7464" s="184"/>
      <c r="H7464" s="184"/>
      <c r="I7464" s="184"/>
      <c r="J7464" s="184"/>
      <c r="K7464" s="184"/>
      <c r="L7464" s="184"/>
      <c r="M7464" s="184"/>
      <c r="N7464" s="184"/>
      <c r="O7464" s="184"/>
    </row>
    <row r="7465" customFormat="false" ht="15" hidden="false" customHeight="true" outlineLevel="0" collapsed="false">
      <c r="A7465" s="184"/>
      <c r="B7465" s="184"/>
      <c r="C7465" s="184"/>
      <c r="D7465" s="184"/>
      <c r="E7465" s="184"/>
      <c r="F7465" s="184"/>
      <c r="G7465" s="184"/>
      <c r="H7465" s="184"/>
      <c r="I7465" s="184"/>
      <c r="J7465" s="184"/>
      <c r="K7465" s="184"/>
      <c r="L7465" s="184"/>
      <c r="M7465" s="184"/>
      <c r="N7465" s="184"/>
      <c r="O7465" s="184"/>
    </row>
    <row r="7466" customFormat="false" ht="15" hidden="false" customHeight="true" outlineLevel="0" collapsed="false">
      <c r="A7466" s="184"/>
      <c r="B7466" s="184"/>
      <c r="C7466" s="184"/>
      <c r="D7466" s="184"/>
      <c r="E7466" s="184"/>
      <c r="F7466" s="184"/>
      <c r="G7466" s="184"/>
      <c r="H7466" s="184"/>
      <c r="I7466" s="184"/>
      <c r="J7466" s="184"/>
      <c r="K7466" s="184"/>
      <c r="L7466" s="184"/>
      <c r="M7466" s="184"/>
      <c r="N7466" s="184"/>
      <c r="O7466" s="184"/>
    </row>
    <row r="7467" customFormat="false" ht="15" hidden="false" customHeight="true" outlineLevel="0" collapsed="false">
      <c r="A7467" s="184"/>
      <c r="B7467" s="184"/>
      <c r="C7467" s="184"/>
      <c r="D7467" s="184"/>
      <c r="E7467" s="184"/>
      <c r="F7467" s="184"/>
      <c r="G7467" s="184"/>
      <c r="H7467" s="184"/>
      <c r="I7467" s="184"/>
      <c r="J7467" s="184"/>
      <c r="K7467" s="184"/>
      <c r="L7467" s="184"/>
      <c r="M7467" s="184"/>
      <c r="N7467" s="184"/>
      <c r="O7467" s="184"/>
    </row>
    <row r="7468" customFormat="false" ht="15" hidden="false" customHeight="true" outlineLevel="0" collapsed="false">
      <c r="A7468" s="184"/>
      <c r="B7468" s="184"/>
      <c r="C7468" s="184"/>
      <c r="D7468" s="184"/>
      <c r="E7468" s="184"/>
      <c r="F7468" s="184"/>
      <c r="G7468" s="184"/>
      <c r="H7468" s="184"/>
      <c r="I7468" s="184"/>
      <c r="J7468" s="184"/>
      <c r="K7468" s="184"/>
      <c r="L7468" s="184"/>
      <c r="M7468" s="184"/>
      <c r="N7468" s="184"/>
      <c r="O7468" s="184"/>
    </row>
    <row r="7469" customFormat="false" ht="15" hidden="false" customHeight="true" outlineLevel="0" collapsed="false">
      <c r="A7469" s="184"/>
      <c r="B7469" s="184"/>
      <c r="C7469" s="184"/>
      <c r="D7469" s="184"/>
      <c r="E7469" s="184"/>
      <c r="F7469" s="184"/>
      <c r="G7469" s="184"/>
      <c r="H7469" s="184"/>
      <c r="I7469" s="184"/>
      <c r="J7469" s="184"/>
      <c r="K7469" s="184"/>
      <c r="L7469" s="184"/>
      <c r="M7469" s="184"/>
      <c r="N7469" s="184"/>
      <c r="O7469" s="184"/>
    </row>
    <row r="7470" customFormat="false" ht="15" hidden="false" customHeight="true" outlineLevel="0" collapsed="false">
      <c r="A7470" s="184"/>
      <c r="B7470" s="184"/>
      <c r="C7470" s="184"/>
      <c r="D7470" s="184"/>
      <c r="E7470" s="184"/>
      <c r="F7470" s="184"/>
      <c r="G7470" s="184"/>
      <c r="H7470" s="184"/>
      <c r="I7470" s="184"/>
      <c r="J7470" s="184"/>
      <c r="K7470" s="184"/>
      <c r="L7470" s="184"/>
      <c r="M7470" s="184"/>
      <c r="N7470" s="184"/>
      <c r="O7470" s="184"/>
    </row>
    <row r="7471" customFormat="false" ht="15" hidden="false" customHeight="true" outlineLevel="0" collapsed="false">
      <c r="A7471" s="184"/>
      <c r="B7471" s="184"/>
      <c r="C7471" s="184"/>
      <c r="D7471" s="184"/>
      <c r="E7471" s="184"/>
      <c r="F7471" s="184"/>
      <c r="G7471" s="184"/>
      <c r="H7471" s="184"/>
      <c r="I7471" s="184"/>
      <c r="J7471" s="184"/>
      <c r="K7471" s="184"/>
      <c r="L7471" s="184"/>
      <c r="M7471" s="184"/>
      <c r="N7471" s="184"/>
      <c r="O7471" s="184"/>
    </row>
    <row r="7472" customFormat="false" ht="15" hidden="false" customHeight="true" outlineLevel="0" collapsed="false">
      <c r="A7472" s="184"/>
      <c r="B7472" s="184"/>
      <c r="C7472" s="184"/>
      <c r="D7472" s="184"/>
      <c r="E7472" s="184"/>
      <c r="F7472" s="184"/>
      <c r="G7472" s="184"/>
      <c r="H7472" s="184"/>
      <c r="I7472" s="184"/>
      <c r="J7472" s="184"/>
      <c r="K7472" s="184"/>
      <c r="L7472" s="184"/>
      <c r="M7472" s="184"/>
      <c r="N7472" s="184"/>
      <c r="O7472" s="184"/>
    </row>
    <row r="7473" customFormat="false" ht="15" hidden="false" customHeight="true" outlineLevel="0" collapsed="false">
      <c r="A7473" s="184"/>
      <c r="B7473" s="184"/>
      <c r="C7473" s="184"/>
      <c r="D7473" s="184"/>
      <c r="E7473" s="184"/>
      <c r="F7473" s="184"/>
      <c r="G7473" s="184"/>
      <c r="H7473" s="184"/>
      <c r="I7473" s="184"/>
      <c r="J7473" s="184"/>
      <c r="K7473" s="184"/>
      <c r="L7473" s="184"/>
      <c r="M7473" s="184"/>
      <c r="N7473" s="184"/>
      <c r="O7473" s="184"/>
    </row>
    <row r="7474" customFormat="false" ht="15" hidden="false" customHeight="true" outlineLevel="0" collapsed="false">
      <c r="A7474" s="184"/>
      <c r="B7474" s="184"/>
      <c r="C7474" s="184"/>
      <c r="D7474" s="184"/>
      <c r="E7474" s="184"/>
      <c r="F7474" s="184"/>
      <c r="G7474" s="184"/>
      <c r="H7474" s="184"/>
      <c r="I7474" s="184"/>
      <c r="J7474" s="184"/>
      <c r="K7474" s="184"/>
      <c r="L7474" s="184"/>
      <c r="M7474" s="184"/>
      <c r="N7474" s="184"/>
      <c r="O7474" s="184"/>
    </row>
    <row r="7475" customFormat="false" ht="27.75" hidden="false" customHeight="true" outlineLevel="0" collapsed="false">
      <c r="A7475" s="184" t="s">
        <v>5026</v>
      </c>
      <c r="B7475" s="184" t="s">
        <v>5027</v>
      </c>
      <c r="C7475" s="184"/>
      <c r="D7475" s="179" t="s">
        <v>4858</v>
      </c>
      <c r="E7475" s="184" t="s">
        <v>7276</v>
      </c>
      <c r="F7475" s="184"/>
      <c r="G7475" s="184"/>
      <c r="H7475" s="184"/>
      <c r="I7475" s="184"/>
      <c r="J7475" s="184"/>
      <c r="K7475" s="184"/>
      <c r="L7475" s="184"/>
      <c r="M7475" s="184" t="s">
        <v>7277</v>
      </c>
      <c r="N7475" s="184"/>
      <c r="O7475" s="184"/>
    </row>
    <row r="7476" customFormat="false" ht="27.75" hidden="false" customHeight="true" outlineLevel="0" collapsed="false">
      <c r="A7476" s="184" t="s">
        <v>5026</v>
      </c>
      <c r="B7476" s="184" t="s">
        <v>5027</v>
      </c>
      <c r="C7476" s="184" t="n">
        <v>1</v>
      </c>
      <c r="D7476" s="178" t="s">
        <v>5269</v>
      </c>
      <c r="E7476" s="184" t="s">
        <v>2895</v>
      </c>
      <c r="F7476" s="184"/>
      <c r="G7476" s="184"/>
      <c r="H7476" s="184"/>
      <c r="I7476" s="184"/>
      <c r="J7476" s="184"/>
      <c r="K7476" s="184"/>
      <c r="L7476" s="184"/>
      <c r="M7476" s="184" t="s">
        <v>6291</v>
      </c>
      <c r="N7476" s="184"/>
      <c r="O7476" s="184"/>
    </row>
    <row r="7477" customFormat="false" ht="27.75" hidden="false" customHeight="true" outlineLevel="0" collapsed="false">
      <c r="A7477" s="184" t="s">
        <v>5026</v>
      </c>
      <c r="B7477" s="184" t="s">
        <v>5027</v>
      </c>
      <c r="C7477" s="184" t="n">
        <v>2</v>
      </c>
      <c r="D7477" s="179" t="s">
        <v>6292</v>
      </c>
      <c r="E7477" s="184" t="s">
        <v>6964</v>
      </c>
      <c r="F7477" s="184"/>
      <c r="G7477" s="184"/>
      <c r="H7477" s="184"/>
      <c r="I7477" s="184"/>
      <c r="J7477" s="184"/>
      <c r="K7477" s="184"/>
      <c r="L7477" s="184"/>
      <c r="M7477" s="184"/>
      <c r="N7477" s="184"/>
      <c r="O7477" s="184"/>
    </row>
    <row r="7478" customFormat="false" ht="27.75" hidden="false" customHeight="true" outlineLevel="0" collapsed="false">
      <c r="A7478" s="184" t="s">
        <v>5026</v>
      </c>
      <c r="B7478" s="184" t="s">
        <v>5027</v>
      </c>
      <c r="C7478" s="184" t="n">
        <v>3</v>
      </c>
      <c r="D7478" s="184" t="s">
        <v>6294</v>
      </c>
      <c r="E7478" s="184" t="s">
        <v>6965</v>
      </c>
      <c r="F7478" s="184"/>
      <c r="G7478" s="184"/>
      <c r="H7478" s="184"/>
      <c r="I7478" s="184"/>
      <c r="J7478" s="184"/>
      <c r="K7478" s="184"/>
      <c r="L7478" s="184"/>
      <c r="M7478" s="184"/>
      <c r="N7478" s="184"/>
      <c r="O7478" s="184"/>
    </row>
    <row r="7479" customFormat="false" ht="41.25" hidden="false" customHeight="true" outlineLevel="0" collapsed="false">
      <c r="A7479" s="184" t="s">
        <v>5026</v>
      </c>
      <c r="B7479" s="184" t="s">
        <v>5027</v>
      </c>
      <c r="C7479" s="184" t="n">
        <v>4</v>
      </c>
      <c r="D7479" s="184" t="s">
        <v>4790</v>
      </c>
      <c r="E7479" s="184" t="s">
        <v>7278</v>
      </c>
      <c r="F7479" s="184"/>
      <c r="G7479" s="184"/>
      <c r="H7479" s="184"/>
      <c r="I7479" s="184"/>
      <c r="J7479" s="184"/>
      <c r="K7479" s="184"/>
      <c r="L7479" s="184"/>
      <c r="M7479" s="184" t="s">
        <v>7279</v>
      </c>
      <c r="N7479" s="184"/>
      <c r="O7479" s="184"/>
    </row>
    <row r="7480" customFormat="false" ht="27.75" hidden="false" customHeight="true" outlineLevel="0" collapsed="false">
      <c r="A7480" s="184" t="s">
        <v>5026</v>
      </c>
      <c r="B7480" s="184" t="s">
        <v>5027</v>
      </c>
      <c r="C7480" s="184" t="n">
        <v>5</v>
      </c>
      <c r="D7480" s="178" t="s">
        <v>6457</v>
      </c>
      <c r="E7480" s="184" t="s">
        <v>6968</v>
      </c>
      <c r="F7480" s="184"/>
      <c r="G7480" s="184"/>
      <c r="H7480" s="184"/>
      <c r="I7480" s="184"/>
      <c r="J7480" s="184"/>
      <c r="K7480" s="184"/>
      <c r="L7480" s="184"/>
      <c r="M7480" s="184" t="s">
        <v>6969</v>
      </c>
      <c r="N7480" s="184"/>
      <c r="O7480" s="184"/>
    </row>
    <row r="7481" customFormat="false" ht="27.75" hidden="false" customHeight="true" outlineLevel="0" collapsed="false">
      <c r="A7481" s="184" t="s">
        <v>5026</v>
      </c>
      <c r="B7481" s="184" t="s">
        <v>5027</v>
      </c>
      <c r="C7481" s="184" t="n">
        <v>6</v>
      </c>
      <c r="D7481" s="184" t="s">
        <v>6970</v>
      </c>
      <c r="E7481" s="184" t="s">
        <v>6971</v>
      </c>
      <c r="F7481" s="184"/>
      <c r="G7481" s="184"/>
      <c r="H7481" s="184"/>
      <c r="I7481" s="184"/>
      <c r="J7481" s="184"/>
      <c r="K7481" s="184"/>
      <c r="L7481" s="184"/>
      <c r="M7481" s="184"/>
      <c r="N7481" s="184"/>
      <c r="O7481" s="184"/>
    </row>
    <row r="7482" customFormat="false" ht="27.75" hidden="false" customHeight="true" outlineLevel="0" collapsed="false">
      <c r="A7482" s="184" t="s">
        <v>5026</v>
      </c>
      <c r="B7482" s="184" t="s">
        <v>5027</v>
      </c>
      <c r="C7482" s="184" t="n">
        <v>7</v>
      </c>
      <c r="D7482" s="184" t="s">
        <v>6970</v>
      </c>
      <c r="E7482" s="184" t="s">
        <v>6972</v>
      </c>
      <c r="F7482" s="184"/>
      <c r="G7482" s="184"/>
      <c r="H7482" s="184"/>
      <c r="I7482" s="184"/>
      <c r="J7482" s="184"/>
      <c r="K7482" s="184"/>
      <c r="L7482" s="184"/>
      <c r="M7482" s="184"/>
      <c r="N7482" s="184"/>
      <c r="O7482" s="184"/>
    </row>
    <row r="7483" customFormat="false" ht="27.75" hidden="false" customHeight="true" outlineLevel="0" collapsed="false">
      <c r="A7483" s="184" t="s">
        <v>5026</v>
      </c>
      <c r="B7483" s="184" t="s">
        <v>5027</v>
      </c>
      <c r="C7483" s="184" t="n">
        <v>8</v>
      </c>
      <c r="D7483" s="184" t="s">
        <v>6970</v>
      </c>
      <c r="E7483" s="184" t="s">
        <v>6973</v>
      </c>
      <c r="F7483" s="184"/>
      <c r="G7483" s="184"/>
      <c r="H7483" s="184"/>
      <c r="I7483" s="184"/>
      <c r="J7483" s="184"/>
      <c r="K7483" s="184"/>
      <c r="L7483" s="184"/>
      <c r="M7483" s="184"/>
      <c r="N7483" s="184"/>
      <c r="O7483" s="184"/>
    </row>
    <row r="7484" customFormat="false" ht="27.75" hidden="false" customHeight="true" outlineLevel="0" collapsed="false">
      <c r="A7484" s="184" t="s">
        <v>5026</v>
      </c>
      <c r="B7484" s="184" t="s">
        <v>5027</v>
      </c>
      <c r="C7484" s="184" t="n">
        <v>9</v>
      </c>
      <c r="D7484" s="184" t="s">
        <v>6970</v>
      </c>
      <c r="E7484" s="184" t="s">
        <v>7280</v>
      </c>
      <c r="F7484" s="184"/>
      <c r="G7484" s="184"/>
      <c r="H7484" s="184"/>
      <c r="I7484" s="184"/>
      <c r="J7484" s="184"/>
      <c r="K7484" s="184"/>
      <c r="L7484" s="184"/>
      <c r="M7484" s="184"/>
      <c r="N7484" s="184"/>
      <c r="O7484" s="184"/>
    </row>
    <row r="7485" customFormat="false" ht="27.75" hidden="false" customHeight="true" outlineLevel="0" collapsed="false">
      <c r="A7485" s="184" t="s">
        <v>5026</v>
      </c>
      <c r="B7485" s="184" t="s">
        <v>5027</v>
      </c>
      <c r="C7485" s="184" t="n">
        <v>10</v>
      </c>
      <c r="D7485" s="184" t="s">
        <v>6970</v>
      </c>
      <c r="E7485" s="184" t="s">
        <v>6975</v>
      </c>
      <c r="F7485" s="184"/>
      <c r="G7485" s="184"/>
      <c r="H7485" s="184"/>
      <c r="I7485" s="184"/>
      <c r="J7485" s="184"/>
      <c r="K7485" s="184"/>
      <c r="L7485" s="184"/>
      <c r="M7485" s="184"/>
      <c r="N7485" s="184"/>
      <c r="O7485" s="184"/>
    </row>
    <row r="7486" customFormat="false" ht="27.75" hidden="false" customHeight="true" outlineLevel="0" collapsed="false">
      <c r="A7486" s="184" t="s">
        <v>5026</v>
      </c>
      <c r="B7486" s="184" t="s">
        <v>5027</v>
      </c>
      <c r="C7486" s="184" t="n">
        <v>11</v>
      </c>
      <c r="D7486" s="177" t="s">
        <v>6429</v>
      </c>
      <c r="E7486" s="184" t="s">
        <v>3408</v>
      </c>
      <c r="F7486" s="184"/>
      <c r="G7486" s="184"/>
      <c r="H7486" s="184"/>
      <c r="I7486" s="184"/>
      <c r="J7486" s="184"/>
      <c r="K7486" s="184"/>
      <c r="L7486" s="184"/>
      <c r="M7486" s="184"/>
      <c r="N7486" s="184"/>
      <c r="O7486" s="184"/>
    </row>
    <row r="7487" customFormat="false" ht="27.75" hidden="false" customHeight="true" outlineLevel="0" collapsed="false">
      <c r="A7487" s="184" t="s">
        <v>5026</v>
      </c>
      <c r="B7487" s="184" t="s">
        <v>5027</v>
      </c>
      <c r="C7487" s="184" t="n">
        <v>12</v>
      </c>
      <c r="D7487" s="184" t="s">
        <v>4790</v>
      </c>
      <c r="E7487" s="184" t="s">
        <v>6976</v>
      </c>
      <c r="F7487" s="184"/>
      <c r="G7487" s="184"/>
      <c r="H7487" s="184"/>
      <c r="I7487" s="184"/>
      <c r="J7487" s="184"/>
      <c r="K7487" s="184"/>
      <c r="L7487" s="184"/>
      <c r="M7487" s="184" t="s">
        <v>6977</v>
      </c>
      <c r="N7487" s="184"/>
      <c r="O7487" s="184"/>
    </row>
    <row r="7488" customFormat="false" ht="27.75" hidden="false" customHeight="true" outlineLevel="0" collapsed="false">
      <c r="A7488" s="184" t="s">
        <v>5026</v>
      </c>
      <c r="B7488" s="184" t="s">
        <v>5027</v>
      </c>
      <c r="C7488" s="184" t="n">
        <v>13</v>
      </c>
      <c r="D7488" s="178" t="s">
        <v>5269</v>
      </c>
      <c r="E7488" s="184" t="s">
        <v>6978</v>
      </c>
      <c r="F7488" s="184"/>
      <c r="G7488" s="184"/>
      <c r="H7488" s="184"/>
      <c r="I7488" s="184"/>
      <c r="J7488" s="184"/>
      <c r="K7488" s="184"/>
      <c r="L7488" s="184"/>
      <c r="M7488" s="184" t="s">
        <v>6979</v>
      </c>
      <c r="N7488" s="184"/>
      <c r="O7488" s="184"/>
    </row>
    <row r="7489" customFormat="false" ht="27.75" hidden="false" customHeight="true" outlineLevel="0" collapsed="false">
      <c r="A7489" s="184" t="s">
        <v>5026</v>
      </c>
      <c r="B7489" s="184" t="s">
        <v>5027</v>
      </c>
      <c r="C7489" s="184" t="n">
        <v>14</v>
      </c>
      <c r="D7489" s="179" t="s">
        <v>6292</v>
      </c>
      <c r="E7489" s="184" t="s">
        <v>6980</v>
      </c>
      <c r="F7489" s="184"/>
      <c r="G7489" s="184"/>
      <c r="H7489" s="184"/>
      <c r="I7489" s="184"/>
      <c r="J7489" s="184"/>
      <c r="K7489" s="184"/>
      <c r="L7489" s="184"/>
      <c r="M7489" s="184"/>
      <c r="N7489" s="184"/>
      <c r="O7489" s="184"/>
    </row>
    <row r="7490" customFormat="false" ht="27.75" hidden="false" customHeight="true" outlineLevel="0" collapsed="false">
      <c r="A7490" s="184" t="s">
        <v>5026</v>
      </c>
      <c r="B7490" s="184" t="s">
        <v>5027</v>
      </c>
      <c r="C7490" s="184" t="n">
        <v>15</v>
      </c>
      <c r="D7490" s="178" t="s">
        <v>6457</v>
      </c>
      <c r="E7490" s="184" t="s">
        <v>6981</v>
      </c>
      <c r="F7490" s="184"/>
      <c r="G7490" s="184"/>
      <c r="H7490" s="184"/>
      <c r="I7490" s="184"/>
      <c r="J7490" s="184"/>
      <c r="K7490" s="184"/>
      <c r="L7490" s="184"/>
      <c r="M7490" s="184" t="s">
        <v>6982</v>
      </c>
      <c r="N7490" s="184"/>
      <c r="O7490" s="184"/>
    </row>
    <row r="7491" customFormat="false" ht="27.75" hidden="false" customHeight="true" outlineLevel="0" collapsed="false">
      <c r="A7491" s="184" t="s">
        <v>5026</v>
      </c>
      <c r="B7491" s="184" t="s">
        <v>5027</v>
      </c>
      <c r="C7491" s="184" t="n">
        <v>16</v>
      </c>
      <c r="D7491" s="184" t="s">
        <v>4790</v>
      </c>
      <c r="E7491" s="184" t="s">
        <v>7281</v>
      </c>
      <c r="F7491" s="184"/>
      <c r="G7491" s="184"/>
      <c r="H7491" s="184"/>
      <c r="I7491" s="184"/>
      <c r="J7491" s="184"/>
      <c r="K7491" s="184"/>
      <c r="L7491" s="184"/>
      <c r="M7491" s="184" t="s">
        <v>7282</v>
      </c>
      <c r="N7491" s="184"/>
      <c r="O7491" s="184"/>
    </row>
    <row r="7492" customFormat="false" ht="27.75" hidden="false" customHeight="true" outlineLevel="0" collapsed="false">
      <c r="A7492" s="184" t="s">
        <v>5026</v>
      </c>
      <c r="B7492" s="184" t="s">
        <v>5027</v>
      </c>
      <c r="C7492" s="184" t="n">
        <v>17</v>
      </c>
      <c r="D7492" s="178" t="s">
        <v>6457</v>
      </c>
      <c r="E7492" s="184" t="s">
        <v>7265</v>
      </c>
      <c r="F7492" s="184"/>
      <c r="G7492" s="184"/>
      <c r="H7492" s="184"/>
      <c r="I7492" s="184"/>
      <c r="J7492" s="184"/>
      <c r="K7492" s="184"/>
      <c r="L7492" s="184"/>
      <c r="M7492" s="184" t="s">
        <v>7266</v>
      </c>
      <c r="N7492" s="184"/>
      <c r="O7492" s="184"/>
    </row>
    <row r="7493" customFormat="false" ht="27.75" hidden="false" customHeight="true" outlineLevel="0" collapsed="false">
      <c r="A7493" s="184" t="s">
        <v>5026</v>
      </c>
      <c r="B7493" s="184" t="s">
        <v>5027</v>
      </c>
      <c r="C7493" s="184" t="n">
        <v>18</v>
      </c>
      <c r="D7493" s="184" t="s">
        <v>4790</v>
      </c>
      <c r="E7493" s="184" t="s">
        <v>7283</v>
      </c>
      <c r="F7493" s="184"/>
      <c r="G7493" s="184"/>
      <c r="H7493" s="184"/>
      <c r="I7493" s="184"/>
      <c r="J7493" s="184"/>
      <c r="K7493" s="184"/>
      <c r="L7493" s="184"/>
      <c r="M7493" s="184" t="s">
        <v>7284</v>
      </c>
      <c r="N7493" s="184"/>
      <c r="O7493" s="184"/>
    </row>
    <row r="7494" customFormat="false" ht="27.75" hidden="false" customHeight="true" outlineLevel="0" collapsed="false">
      <c r="A7494" s="184" t="s">
        <v>5026</v>
      </c>
      <c r="B7494" s="184" t="s">
        <v>5027</v>
      </c>
      <c r="C7494" s="184" t="n">
        <v>19</v>
      </c>
      <c r="D7494" s="178" t="s">
        <v>6457</v>
      </c>
      <c r="E7494" s="184" t="s">
        <v>7265</v>
      </c>
      <c r="F7494" s="184"/>
      <c r="G7494" s="184"/>
      <c r="H7494" s="184"/>
      <c r="I7494" s="184"/>
      <c r="J7494" s="184"/>
      <c r="K7494" s="184"/>
      <c r="L7494" s="184"/>
      <c r="M7494" s="184" t="s">
        <v>7269</v>
      </c>
      <c r="N7494" s="184"/>
      <c r="O7494" s="184"/>
    </row>
    <row r="7495" customFormat="false" ht="27.75" hidden="false" customHeight="true" outlineLevel="0" collapsed="false">
      <c r="A7495" s="184" t="s">
        <v>5026</v>
      </c>
      <c r="B7495" s="184" t="s">
        <v>5027</v>
      </c>
      <c r="C7495" s="184" t="n">
        <v>20</v>
      </c>
      <c r="D7495" s="184" t="s">
        <v>4790</v>
      </c>
      <c r="E7495" s="184" t="s">
        <v>7285</v>
      </c>
      <c r="F7495" s="184"/>
      <c r="G7495" s="184"/>
      <c r="H7495" s="184"/>
      <c r="I7495" s="184"/>
      <c r="J7495" s="184"/>
      <c r="K7495" s="184"/>
      <c r="L7495" s="184"/>
      <c r="M7495" s="184" t="s">
        <v>7286</v>
      </c>
      <c r="N7495" s="184"/>
      <c r="O7495" s="184"/>
    </row>
    <row r="7496" customFormat="false" ht="27.75" hidden="false" customHeight="true" outlineLevel="0" collapsed="false">
      <c r="A7496" s="184" t="s">
        <v>5026</v>
      </c>
      <c r="B7496" s="184" t="s">
        <v>5027</v>
      </c>
      <c r="C7496" s="184" t="n">
        <v>21</v>
      </c>
      <c r="D7496" s="184" t="s">
        <v>4790</v>
      </c>
      <c r="E7496" s="184" t="s">
        <v>7287</v>
      </c>
      <c r="F7496" s="184"/>
      <c r="G7496" s="184"/>
      <c r="H7496" s="184"/>
      <c r="I7496" s="184"/>
      <c r="J7496" s="184"/>
      <c r="K7496" s="184"/>
      <c r="L7496" s="184"/>
      <c r="M7496" s="184" t="s">
        <v>7288</v>
      </c>
      <c r="N7496" s="184"/>
      <c r="O7496" s="184"/>
    </row>
    <row r="7497" customFormat="false" ht="27.75" hidden="false" customHeight="true" outlineLevel="0" collapsed="false">
      <c r="A7497" s="184" t="s">
        <v>5026</v>
      </c>
      <c r="B7497" s="184" t="s">
        <v>5027</v>
      </c>
      <c r="C7497" s="184" t="n">
        <v>22</v>
      </c>
      <c r="D7497" s="184" t="s">
        <v>4790</v>
      </c>
      <c r="E7497" s="184" t="s">
        <v>7289</v>
      </c>
      <c r="F7497" s="184"/>
      <c r="G7497" s="184"/>
      <c r="H7497" s="184"/>
      <c r="I7497" s="184"/>
      <c r="J7497" s="184"/>
      <c r="K7497" s="184"/>
      <c r="L7497" s="184"/>
      <c r="M7497" s="184" t="s">
        <v>7290</v>
      </c>
      <c r="N7497" s="184"/>
      <c r="O7497" s="184"/>
    </row>
    <row r="7498" customFormat="false" ht="27.75" hidden="false" customHeight="true" outlineLevel="0" collapsed="false">
      <c r="A7498" s="184" t="s">
        <v>5026</v>
      </c>
      <c r="B7498" s="184" t="s">
        <v>5027</v>
      </c>
      <c r="C7498" s="184" t="n">
        <v>23</v>
      </c>
      <c r="D7498" s="179" t="s">
        <v>6292</v>
      </c>
      <c r="E7498" s="184" t="s">
        <v>6993</v>
      </c>
      <c r="F7498" s="184"/>
      <c r="G7498" s="184"/>
      <c r="H7498" s="184"/>
      <c r="I7498" s="184"/>
      <c r="J7498" s="184"/>
      <c r="K7498" s="184"/>
      <c r="L7498" s="184"/>
      <c r="M7498" s="184"/>
      <c r="N7498" s="184"/>
      <c r="O7498" s="184"/>
    </row>
    <row r="7499" customFormat="false" ht="27.75" hidden="false" customHeight="true" outlineLevel="0" collapsed="false">
      <c r="A7499" s="184" t="s">
        <v>5026</v>
      </c>
      <c r="B7499" s="184" t="s">
        <v>5027</v>
      </c>
      <c r="C7499" s="184" t="n">
        <v>24</v>
      </c>
      <c r="D7499" s="178" t="s">
        <v>5269</v>
      </c>
      <c r="E7499" s="184" t="s">
        <v>6994</v>
      </c>
      <c r="F7499" s="184"/>
      <c r="G7499" s="184"/>
      <c r="H7499" s="184"/>
      <c r="I7499" s="184"/>
      <c r="J7499" s="184"/>
      <c r="K7499" s="184"/>
      <c r="L7499" s="184"/>
      <c r="M7499" s="184" t="s">
        <v>6995</v>
      </c>
      <c r="N7499" s="184"/>
      <c r="O7499" s="184"/>
    </row>
    <row r="7500" customFormat="false" ht="27.75" hidden="false" customHeight="true" outlineLevel="0" collapsed="false">
      <c r="A7500" s="184" t="s">
        <v>5026</v>
      </c>
      <c r="B7500" s="184" t="s">
        <v>5027</v>
      </c>
      <c r="C7500" s="184" t="n">
        <v>25</v>
      </c>
      <c r="D7500" s="178" t="s">
        <v>5269</v>
      </c>
      <c r="E7500" s="184" t="s">
        <v>6996</v>
      </c>
      <c r="F7500" s="184"/>
      <c r="G7500" s="184"/>
      <c r="H7500" s="184"/>
      <c r="I7500" s="184"/>
      <c r="J7500" s="184"/>
      <c r="K7500" s="184"/>
      <c r="L7500" s="184"/>
      <c r="M7500" s="184" t="s">
        <v>6997</v>
      </c>
      <c r="N7500" s="184"/>
      <c r="O7500" s="184"/>
    </row>
    <row r="7501" customFormat="false" ht="27.75" hidden="false" customHeight="true" outlineLevel="0" collapsed="false">
      <c r="A7501" s="184" t="s">
        <v>5026</v>
      </c>
      <c r="B7501" s="184" t="s">
        <v>5027</v>
      </c>
      <c r="C7501" s="184" t="n">
        <v>26</v>
      </c>
      <c r="D7501" s="178" t="s">
        <v>5269</v>
      </c>
      <c r="E7501" s="184" t="s">
        <v>6998</v>
      </c>
      <c r="F7501" s="184"/>
      <c r="G7501" s="184"/>
      <c r="H7501" s="184"/>
      <c r="I7501" s="184"/>
      <c r="J7501" s="184"/>
      <c r="K7501" s="184"/>
      <c r="L7501" s="184"/>
      <c r="M7501" s="184" t="s">
        <v>6641</v>
      </c>
      <c r="N7501" s="184"/>
      <c r="O7501" s="184"/>
    </row>
    <row r="7502" customFormat="false" ht="27.75" hidden="false" customHeight="true" outlineLevel="0" collapsed="false">
      <c r="A7502" s="184" t="s">
        <v>5026</v>
      </c>
      <c r="B7502" s="184" t="s">
        <v>5027</v>
      </c>
      <c r="C7502" s="184" t="n">
        <v>27</v>
      </c>
      <c r="D7502" s="178" t="s">
        <v>5269</v>
      </c>
      <c r="E7502" s="184" t="s">
        <v>6999</v>
      </c>
      <c r="F7502" s="184"/>
      <c r="G7502" s="184"/>
      <c r="H7502" s="184"/>
      <c r="I7502" s="184"/>
      <c r="J7502" s="184"/>
      <c r="K7502" s="184"/>
      <c r="L7502" s="184"/>
      <c r="M7502" s="184" t="s">
        <v>7000</v>
      </c>
      <c r="N7502" s="184"/>
      <c r="O7502" s="184"/>
    </row>
    <row r="7503" customFormat="false" ht="27.75" hidden="false" customHeight="true" outlineLevel="0" collapsed="false">
      <c r="A7503" s="184" t="s">
        <v>5026</v>
      </c>
      <c r="B7503" s="184" t="s">
        <v>5027</v>
      </c>
      <c r="C7503" s="184" t="n">
        <v>28</v>
      </c>
      <c r="D7503" s="177" t="s">
        <v>5276</v>
      </c>
      <c r="E7503" s="184" t="s">
        <v>7001</v>
      </c>
      <c r="F7503" s="184"/>
      <c r="G7503" s="184"/>
      <c r="H7503" s="184"/>
      <c r="I7503" s="184"/>
      <c r="J7503" s="184"/>
      <c r="K7503" s="184"/>
      <c r="L7503" s="184"/>
      <c r="M7503" s="184"/>
      <c r="N7503" s="184"/>
      <c r="O7503" s="184"/>
    </row>
    <row r="7504" customFormat="false" ht="15" hidden="false" customHeight="true" outlineLevel="0" collapsed="false">
      <c r="A7504" s="184"/>
      <c r="B7504" s="184"/>
      <c r="C7504" s="184"/>
      <c r="D7504" s="184"/>
      <c r="E7504" s="184"/>
      <c r="F7504" s="184"/>
      <c r="G7504" s="184"/>
      <c r="H7504" s="184"/>
      <c r="I7504" s="184"/>
      <c r="J7504" s="184"/>
      <c r="K7504" s="184"/>
      <c r="L7504" s="184"/>
      <c r="M7504" s="184"/>
      <c r="N7504" s="184"/>
      <c r="O7504" s="184"/>
    </row>
    <row r="7505" customFormat="false" ht="15" hidden="false" customHeight="true" outlineLevel="0" collapsed="false">
      <c r="A7505" s="184"/>
      <c r="B7505" s="184"/>
      <c r="C7505" s="184"/>
      <c r="D7505" s="184"/>
      <c r="E7505" s="184"/>
      <c r="F7505" s="184"/>
      <c r="G7505" s="184"/>
      <c r="H7505" s="184"/>
      <c r="I7505" s="184"/>
      <c r="J7505" s="184"/>
      <c r="K7505" s="184"/>
      <c r="L7505" s="184"/>
      <c r="M7505" s="184"/>
      <c r="N7505" s="184"/>
      <c r="O7505" s="184"/>
    </row>
    <row r="7506" customFormat="false" ht="15" hidden="false" customHeight="true" outlineLevel="0" collapsed="false">
      <c r="A7506" s="184"/>
      <c r="B7506" s="184"/>
      <c r="C7506" s="184"/>
      <c r="D7506" s="184"/>
      <c r="E7506" s="184"/>
      <c r="F7506" s="184"/>
      <c r="G7506" s="184"/>
      <c r="H7506" s="184"/>
      <c r="I7506" s="184"/>
      <c r="J7506" s="184"/>
      <c r="K7506" s="184"/>
      <c r="L7506" s="184"/>
      <c r="M7506" s="184"/>
      <c r="N7506" s="184"/>
      <c r="O7506" s="184"/>
    </row>
    <row r="7507" customFormat="false" ht="15" hidden="false" customHeight="true" outlineLevel="0" collapsed="false">
      <c r="A7507" s="184"/>
      <c r="B7507" s="184"/>
      <c r="C7507" s="184"/>
      <c r="D7507" s="184"/>
      <c r="E7507" s="184"/>
      <c r="F7507" s="184"/>
      <c r="G7507" s="184"/>
      <c r="H7507" s="184"/>
      <c r="I7507" s="184"/>
      <c r="J7507" s="184"/>
      <c r="K7507" s="184"/>
      <c r="L7507" s="184"/>
      <c r="M7507" s="184"/>
      <c r="N7507" s="184"/>
      <c r="O7507" s="184"/>
    </row>
    <row r="7508" customFormat="false" ht="15" hidden="false" customHeight="true" outlineLevel="0" collapsed="false">
      <c r="A7508" s="184"/>
      <c r="B7508" s="184"/>
      <c r="C7508" s="184"/>
      <c r="D7508" s="184"/>
      <c r="E7508" s="184"/>
      <c r="F7508" s="184"/>
      <c r="G7508" s="184"/>
      <c r="H7508" s="184"/>
      <c r="I7508" s="184"/>
      <c r="J7508" s="184"/>
      <c r="K7508" s="184"/>
      <c r="L7508" s="184"/>
      <c r="M7508" s="184"/>
      <c r="N7508" s="184"/>
      <c r="O7508" s="184"/>
    </row>
    <row r="7509" customFormat="false" ht="15" hidden="false" customHeight="true" outlineLevel="0" collapsed="false">
      <c r="A7509" s="184"/>
      <c r="B7509" s="184"/>
      <c r="C7509" s="184"/>
      <c r="D7509" s="184"/>
      <c r="E7509" s="184"/>
      <c r="F7509" s="184"/>
      <c r="G7509" s="184"/>
      <c r="H7509" s="184"/>
      <c r="I7509" s="184"/>
      <c r="J7509" s="184"/>
      <c r="K7509" s="184"/>
      <c r="L7509" s="184"/>
      <c r="M7509" s="184"/>
      <c r="N7509" s="184"/>
      <c r="O7509" s="184"/>
    </row>
    <row r="7510" customFormat="false" ht="15" hidden="false" customHeight="true" outlineLevel="0" collapsed="false">
      <c r="A7510" s="184"/>
      <c r="B7510" s="184"/>
      <c r="C7510" s="184"/>
      <c r="D7510" s="184"/>
      <c r="E7510" s="184"/>
      <c r="F7510" s="184"/>
      <c r="G7510" s="184"/>
      <c r="H7510" s="184"/>
      <c r="I7510" s="184"/>
      <c r="J7510" s="184"/>
      <c r="K7510" s="184"/>
      <c r="L7510" s="184"/>
      <c r="M7510" s="184"/>
      <c r="N7510" s="184"/>
      <c r="O7510" s="184"/>
    </row>
    <row r="7511" customFormat="false" ht="15" hidden="false" customHeight="true" outlineLevel="0" collapsed="false">
      <c r="A7511" s="184"/>
      <c r="B7511" s="184"/>
      <c r="C7511" s="184"/>
      <c r="D7511" s="184"/>
      <c r="E7511" s="184"/>
      <c r="F7511" s="184"/>
      <c r="G7511" s="184"/>
      <c r="H7511" s="184"/>
      <c r="I7511" s="184"/>
      <c r="J7511" s="184"/>
      <c r="K7511" s="184"/>
      <c r="L7511" s="184"/>
      <c r="M7511" s="184"/>
      <c r="N7511" s="184"/>
      <c r="O7511" s="184"/>
    </row>
    <row r="7512" customFormat="false" ht="15" hidden="false" customHeight="true" outlineLevel="0" collapsed="false">
      <c r="A7512" s="184"/>
      <c r="B7512" s="184"/>
      <c r="C7512" s="184"/>
      <c r="D7512" s="184"/>
      <c r="E7512" s="184"/>
      <c r="F7512" s="184"/>
      <c r="G7512" s="184"/>
      <c r="H7512" s="184"/>
      <c r="I7512" s="184"/>
      <c r="J7512" s="184"/>
      <c r="K7512" s="184"/>
      <c r="L7512" s="184"/>
      <c r="M7512" s="184"/>
      <c r="N7512" s="184"/>
      <c r="O7512" s="184"/>
    </row>
    <row r="7513" customFormat="false" ht="15" hidden="false" customHeight="true" outlineLevel="0" collapsed="false">
      <c r="A7513" s="184"/>
      <c r="B7513" s="184"/>
      <c r="C7513" s="184"/>
      <c r="D7513" s="184"/>
      <c r="E7513" s="184"/>
      <c r="F7513" s="184"/>
      <c r="G7513" s="184"/>
      <c r="H7513" s="184"/>
      <c r="I7513" s="184"/>
      <c r="J7513" s="184"/>
      <c r="K7513" s="184"/>
      <c r="L7513" s="184"/>
      <c r="M7513" s="184"/>
      <c r="N7513" s="184"/>
      <c r="O7513" s="184"/>
    </row>
    <row r="7514" customFormat="false" ht="15" hidden="false" customHeight="true" outlineLevel="0" collapsed="false">
      <c r="A7514" s="184"/>
      <c r="B7514" s="184"/>
      <c r="C7514" s="184"/>
      <c r="D7514" s="184"/>
      <c r="E7514" s="184"/>
      <c r="F7514" s="184"/>
      <c r="G7514" s="184"/>
      <c r="H7514" s="184"/>
      <c r="I7514" s="184"/>
      <c r="J7514" s="184"/>
      <c r="K7514" s="184"/>
      <c r="L7514" s="184"/>
      <c r="M7514" s="184"/>
      <c r="N7514" s="184"/>
      <c r="O7514" s="184"/>
    </row>
    <row r="7515" customFormat="false" ht="15" hidden="false" customHeight="true" outlineLevel="0" collapsed="false">
      <c r="A7515" s="184"/>
      <c r="B7515" s="184"/>
      <c r="C7515" s="184"/>
      <c r="D7515" s="184"/>
      <c r="E7515" s="184"/>
      <c r="F7515" s="184"/>
      <c r="G7515" s="184"/>
      <c r="H7515" s="184"/>
      <c r="I7515" s="184"/>
      <c r="J7515" s="184"/>
      <c r="K7515" s="184"/>
      <c r="L7515" s="184"/>
      <c r="M7515" s="184"/>
      <c r="N7515" s="184"/>
      <c r="O7515" s="184"/>
    </row>
    <row r="7516" customFormat="false" ht="15" hidden="false" customHeight="true" outlineLevel="0" collapsed="false">
      <c r="A7516" s="184"/>
      <c r="B7516" s="184"/>
      <c r="C7516" s="184"/>
      <c r="D7516" s="184"/>
      <c r="E7516" s="184"/>
      <c r="F7516" s="184"/>
      <c r="G7516" s="184"/>
      <c r="H7516" s="184"/>
      <c r="I7516" s="184"/>
      <c r="J7516" s="184"/>
      <c r="K7516" s="184"/>
      <c r="L7516" s="184"/>
      <c r="M7516" s="184"/>
      <c r="N7516" s="184"/>
      <c r="O7516" s="184"/>
    </row>
    <row r="7517" customFormat="false" ht="15" hidden="false" customHeight="true" outlineLevel="0" collapsed="false">
      <c r="A7517" s="184"/>
      <c r="B7517" s="184"/>
      <c r="C7517" s="184"/>
      <c r="D7517" s="184"/>
      <c r="E7517" s="184"/>
      <c r="F7517" s="184"/>
      <c r="G7517" s="184"/>
      <c r="H7517" s="184"/>
      <c r="I7517" s="184"/>
      <c r="J7517" s="184"/>
      <c r="K7517" s="184"/>
      <c r="L7517" s="184"/>
      <c r="M7517" s="184"/>
      <c r="N7517" s="184"/>
      <c r="O7517" s="184"/>
    </row>
    <row r="7518" customFormat="false" ht="15" hidden="false" customHeight="true" outlineLevel="0" collapsed="false">
      <c r="A7518" s="184"/>
      <c r="B7518" s="184"/>
      <c r="C7518" s="184"/>
      <c r="D7518" s="184"/>
      <c r="E7518" s="184"/>
      <c r="F7518" s="184"/>
      <c r="G7518" s="184"/>
      <c r="H7518" s="184"/>
      <c r="I7518" s="184"/>
      <c r="J7518" s="184"/>
      <c r="K7518" s="184"/>
      <c r="L7518" s="184"/>
      <c r="M7518" s="184"/>
      <c r="N7518" s="184"/>
      <c r="O7518" s="184"/>
    </row>
    <row r="7519" customFormat="false" ht="15" hidden="false" customHeight="true" outlineLevel="0" collapsed="false">
      <c r="A7519" s="184"/>
      <c r="B7519" s="184"/>
      <c r="C7519" s="184"/>
      <c r="D7519" s="184"/>
      <c r="E7519" s="184"/>
      <c r="F7519" s="184"/>
      <c r="G7519" s="184"/>
      <c r="H7519" s="184"/>
      <c r="I7519" s="184"/>
      <c r="J7519" s="184"/>
      <c r="K7519" s="184"/>
      <c r="L7519" s="184"/>
      <c r="M7519" s="184"/>
      <c r="N7519" s="184"/>
      <c r="O7519" s="184"/>
    </row>
    <row r="7520" customFormat="false" ht="15" hidden="false" customHeight="true" outlineLevel="0" collapsed="false">
      <c r="A7520" s="184"/>
      <c r="B7520" s="184"/>
      <c r="C7520" s="184"/>
      <c r="D7520" s="184"/>
      <c r="E7520" s="184"/>
      <c r="F7520" s="184"/>
      <c r="G7520" s="184"/>
      <c r="H7520" s="184"/>
      <c r="I7520" s="184"/>
      <c r="J7520" s="184"/>
      <c r="K7520" s="184"/>
      <c r="L7520" s="184"/>
      <c r="M7520" s="184"/>
      <c r="N7520" s="184"/>
      <c r="O7520" s="184"/>
    </row>
    <row r="7521" customFormat="false" ht="15" hidden="false" customHeight="true" outlineLevel="0" collapsed="false">
      <c r="A7521" s="184"/>
      <c r="B7521" s="184"/>
      <c r="C7521" s="184"/>
      <c r="D7521" s="184"/>
      <c r="E7521" s="184"/>
      <c r="F7521" s="184"/>
      <c r="G7521" s="184"/>
      <c r="H7521" s="184"/>
      <c r="I7521" s="184"/>
      <c r="J7521" s="184"/>
      <c r="K7521" s="184"/>
      <c r="L7521" s="184"/>
      <c r="M7521" s="184"/>
      <c r="N7521" s="184"/>
      <c r="O7521" s="184"/>
    </row>
    <row r="7522" customFormat="false" ht="15" hidden="false" customHeight="true" outlineLevel="0" collapsed="false">
      <c r="A7522" s="184"/>
      <c r="B7522" s="184"/>
      <c r="C7522" s="184"/>
      <c r="D7522" s="184"/>
      <c r="E7522" s="184"/>
      <c r="F7522" s="184"/>
      <c r="G7522" s="184"/>
      <c r="H7522" s="184"/>
      <c r="I7522" s="184"/>
      <c r="J7522" s="184"/>
      <c r="K7522" s="184"/>
      <c r="L7522" s="184"/>
      <c r="M7522" s="184"/>
      <c r="N7522" s="184"/>
      <c r="O7522" s="184"/>
    </row>
    <row r="7523" customFormat="false" ht="15" hidden="false" customHeight="true" outlineLevel="0" collapsed="false">
      <c r="A7523" s="184"/>
      <c r="B7523" s="184"/>
      <c r="C7523" s="184"/>
      <c r="D7523" s="184"/>
      <c r="E7523" s="184"/>
      <c r="F7523" s="184"/>
      <c r="G7523" s="184"/>
      <c r="H7523" s="184"/>
      <c r="I7523" s="184"/>
      <c r="J7523" s="184"/>
      <c r="K7523" s="184"/>
      <c r="L7523" s="184"/>
      <c r="M7523" s="184"/>
      <c r="N7523" s="184"/>
      <c r="O7523" s="184"/>
    </row>
    <row r="7524" customFormat="false" ht="15" hidden="false" customHeight="true" outlineLevel="0" collapsed="false">
      <c r="A7524" s="184"/>
      <c r="B7524" s="184"/>
      <c r="C7524" s="184"/>
      <c r="D7524" s="184"/>
      <c r="E7524" s="184"/>
      <c r="F7524" s="184"/>
      <c r="G7524" s="184"/>
      <c r="H7524" s="184"/>
      <c r="I7524" s="184"/>
      <c r="J7524" s="184"/>
      <c r="K7524" s="184"/>
      <c r="L7524" s="184"/>
      <c r="M7524" s="184"/>
      <c r="N7524" s="184"/>
      <c r="O7524" s="184"/>
    </row>
    <row r="7525" customFormat="false" ht="15" hidden="false" customHeight="true" outlineLevel="0" collapsed="false">
      <c r="A7525" s="184"/>
      <c r="B7525" s="184"/>
      <c r="C7525" s="184"/>
      <c r="D7525" s="184"/>
      <c r="E7525" s="184"/>
      <c r="F7525" s="184"/>
      <c r="G7525" s="184"/>
      <c r="H7525" s="184"/>
      <c r="I7525" s="184"/>
      <c r="J7525" s="184"/>
      <c r="K7525" s="184"/>
      <c r="L7525" s="184"/>
      <c r="M7525" s="184"/>
      <c r="N7525" s="184"/>
      <c r="O7525" s="184"/>
    </row>
    <row r="7526" customFormat="false" ht="15" hidden="false" customHeight="true" outlineLevel="0" collapsed="false">
      <c r="A7526" s="184"/>
      <c r="B7526" s="184"/>
      <c r="C7526" s="184"/>
      <c r="D7526" s="184"/>
      <c r="E7526" s="184"/>
      <c r="F7526" s="184"/>
      <c r="G7526" s="184"/>
      <c r="H7526" s="184"/>
      <c r="I7526" s="184"/>
      <c r="J7526" s="184"/>
      <c r="K7526" s="184"/>
      <c r="L7526" s="184"/>
      <c r="M7526" s="184"/>
      <c r="N7526" s="184"/>
      <c r="O7526" s="184"/>
    </row>
    <row r="7527" customFormat="false" ht="15" hidden="false" customHeight="true" outlineLevel="0" collapsed="false">
      <c r="A7527" s="184"/>
      <c r="B7527" s="184"/>
      <c r="C7527" s="184"/>
      <c r="D7527" s="184"/>
      <c r="E7527" s="184"/>
      <c r="F7527" s="184"/>
      <c r="G7527" s="184"/>
      <c r="H7527" s="184"/>
      <c r="I7527" s="184"/>
      <c r="J7527" s="184"/>
      <c r="K7527" s="184"/>
      <c r="L7527" s="184"/>
      <c r="M7527" s="184"/>
      <c r="N7527" s="184"/>
      <c r="O7527" s="184"/>
    </row>
    <row r="7528" customFormat="false" ht="15" hidden="false" customHeight="true" outlineLevel="0" collapsed="false">
      <c r="A7528" s="184"/>
      <c r="B7528" s="184"/>
      <c r="C7528" s="184"/>
      <c r="D7528" s="184"/>
      <c r="E7528" s="184"/>
      <c r="F7528" s="184"/>
      <c r="G7528" s="184"/>
      <c r="H7528" s="184"/>
      <c r="I7528" s="184"/>
      <c r="J7528" s="184"/>
      <c r="K7528" s="184"/>
      <c r="L7528" s="184"/>
      <c r="M7528" s="184"/>
      <c r="N7528" s="184"/>
      <c r="O7528" s="184"/>
    </row>
    <row r="7529" customFormat="false" ht="15" hidden="false" customHeight="true" outlineLevel="0" collapsed="false">
      <c r="A7529" s="184"/>
      <c r="B7529" s="184"/>
      <c r="C7529" s="184"/>
      <c r="D7529" s="184"/>
      <c r="E7529" s="184"/>
      <c r="F7529" s="184"/>
      <c r="G7529" s="184"/>
      <c r="H7529" s="184"/>
      <c r="I7529" s="184"/>
      <c r="J7529" s="184"/>
      <c r="K7529" s="184"/>
      <c r="L7529" s="184"/>
      <c r="M7529" s="184"/>
      <c r="N7529" s="184"/>
      <c r="O7529" s="184"/>
    </row>
    <row r="7530" customFormat="false" ht="15" hidden="false" customHeight="true" outlineLevel="0" collapsed="false">
      <c r="A7530" s="184"/>
      <c r="B7530" s="184"/>
      <c r="C7530" s="184"/>
      <c r="D7530" s="184"/>
      <c r="E7530" s="184"/>
      <c r="F7530" s="184"/>
      <c r="G7530" s="184"/>
      <c r="H7530" s="184"/>
      <c r="I7530" s="184"/>
      <c r="J7530" s="184"/>
      <c r="K7530" s="184"/>
      <c r="L7530" s="184"/>
      <c r="M7530" s="184"/>
      <c r="N7530" s="184"/>
      <c r="O7530" s="184"/>
    </row>
    <row r="7531" customFormat="false" ht="15" hidden="false" customHeight="true" outlineLevel="0" collapsed="false">
      <c r="A7531" s="184"/>
      <c r="B7531" s="184"/>
      <c r="C7531" s="184"/>
      <c r="D7531" s="184"/>
      <c r="E7531" s="184"/>
      <c r="F7531" s="184"/>
      <c r="G7531" s="184"/>
      <c r="H7531" s="184"/>
      <c r="I7531" s="184"/>
      <c r="J7531" s="184"/>
      <c r="K7531" s="184"/>
      <c r="L7531" s="184"/>
      <c r="M7531" s="184"/>
      <c r="N7531" s="184"/>
      <c r="O7531" s="184"/>
    </row>
    <row r="7532" customFormat="false" ht="15" hidden="false" customHeight="true" outlineLevel="0" collapsed="false">
      <c r="A7532" s="184"/>
      <c r="B7532" s="184"/>
      <c r="C7532" s="184"/>
      <c r="D7532" s="184"/>
      <c r="E7532" s="184"/>
      <c r="F7532" s="184"/>
      <c r="G7532" s="184"/>
      <c r="H7532" s="184"/>
      <c r="I7532" s="184"/>
      <c r="J7532" s="184"/>
      <c r="K7532" s="184"/>
      <c r="L7532" s="184"/>
      <c r="M7532" s="184"/>
      <c r="N7532" s="184"/>
      <c r="O7532" s="184"/>
    </row>
    <row r="7533" customFormat="false" ht="15" hidden="false" customHeight="true" outlineLevel="0" collapsed="false">
      <c r="A7533" s="184"/>
      <c r="B7533" s="184"/>
      <c r="C7533" s="184"/>
      <c r="D7533" s="184"/>
      <c r="E7533" s="184"/>
      <c r="F7533" s="184"/>
      <c r="G7533" s="184"/>
      <c r="H7533" s="184"/>
      <c r="I7533" s="184"/>
      <c r="J7533" s="184"/>
      <c r="K7533" s="184"/>
      <c r="L7533" s="184"/>
      <c r="M7533" s="184"/>
      <c r="N7533" s="184"/>
      <c r="O7533" s="184"/>
    </row>
    <row r="7534" customFormat="false" ht="15" hidden="false" customHeight="true" outlineLevel="0" collapsed="false">
      <c r="A7534" s="184"/>
      <c r="B7534" s="184"/>
      <c r="C7534" s="184"/>
      <c r="D7534" s="184"/>
      <c r="E7534" s="184"/>
      <c r="F7534" s="184"/>
      <c r="G7534" s="184"/>
      <c r="H7534" s="184"/>
      <c r="I7534" s="184"/>
      <c r="J7534" s="184"/>
      <c r="K7534" s="184"/>
      <c r="L7534" s="184"/>
      <c r="M7534" s="184"/>
      <c r="N7534" s="184"/>
      <c r="O7534" s="184"/>
    </row>
    <row r="7535" customFormat="false" ht="15" hidden="false" customHeight="true" outlineLevel="0" collapsed="false">
      <c r="A7535" s="184"/>
      <c r="B7535" s="184"/>
      <c r="C7535" s="184"/>
      <c r="D7535" s="184"/>
      <c r="E7535" s="184"/>
      <c r="F7535" s="184"/>
      <c r="G7535" s="184"/>
      <c r="H7535" s="184"/>
      <c r="I7535" s="184"/>
      <c r="J7535" s="184"/>
      <c r="K7535" s="184"/>
      <c r="L7535" s="184"/>
      <c r="M7535" s="184"/>
      <c r="N7535" s="184"/>
      <c r="O7535" s="184"/>
    </row>
    <row r="7536" customFormat="false" ht="15" hidden="false" customHeight="true" outlineLevel="0" collapsed="false">
      <c r="A7536" s="184"/>
      <c r="B7536" s="184"/>
      <c r="C7536" s="184"/>
      <c r="D7536" s="184"/>
      <c r="E7536" s="184"/>
      <c r="F7536" s="184"/>
      <c r="G7536" s="184"/>
      <c r="H7536" s="184"/>
      <c r="I7536" s="184"/>
      <c r="J7536" s="184"/>
      <c r="K7536" s="184"/>
      <c r="L7536" s="184"/>
      <c r="M7536" s="184"/>
      <c r="N7536" s="184"/>
      <c r="O7536" s="184"/>
    </row>
    <row r="7537" customFormat="false" ht="15" hidden="false" customHeight="true" outlineLevel="0" collapsed="false">
      <c r="A7537" s="184"/>
      <c r="B7537" s="184"/>
      <c r="C7537" s="184"/>
      <c r="D7537" s="184"/>
      <c r="E7537" s="184"/>
      <c r="F7537" s="184"/>
      <c r="G7537" s="184"/>
      <c r="H7537" s="184"/>
      <c r="I7537" s="184"/>
      <c r="J7537" s="184"/>
      <c r="K7537" s="184"/>
      <c r="L7537" s="184"/>
      <c r="M7537" s="184"/>
      <c r="N7537" s="184"/>
      <c r="O7537" s="184"/>
    </row>
    <row r="7538" customFormat="false" ht="15" hidden="false" customHeight="true" outlineLevel="0" collapsed="false">
      <c r="A7538" s="184"/>
      <c r="B7538" s="184"/>
      <c r="C7538" s="184"/>
      <c r="D7538" s="184"/>
      <c r="E7538" s="184"/>
      <c r="F7538" s="184"/>
      <c r="G7538" s="184"/>
      <c r="H7538" s="184"/>
      <c r="I7538" s="184"/>
      <c r="J7538" s="184"/>
      <c r="K7538" s="184"/>
      <c r="L7538" s="184"/>
      <c r="M7538" s="184"/>
      <c r="N7538" s="184"/>
      <c r="O7538" s="184"/>
    </row>
    <row r="7539" customFormat="false" ht="15" hidden="false" customHeight="true" outlineLevel="0" collapsed="false">
      <c r="A7539" s="184"/>
      <c r="B7539" s="184"/>
      <c r="C7539" s="184"/>
      <c r="D7539" s="184"/>
      <c r="E7539" s="184"/>
      <c r="F7539" s="184"/>
      <c r="G7539" s="184"/>
      <c r="H7539" s="184"/>
      <c r="I7539" s="184"/>
      <c r="J7539" s="184"/>
      <c r="K7539" s="184"/>
      <c r="L7539" s="184"/>
      <c r="M7539" s="184"/>
      <c r="N7539" s="184"/>
      <c r="O7539" s="184"/>
    </row>
    <row r="7540" customFormat="false" ht="15" hidden="false" customHeight="true" outlineLevel="0" collapsed="false">
      <c r="A7540" s="184"/>
      <c r="B7540" s="184"/>
      <c r="C7540" s="184"/>
      <c r="D7540" s="184"/>
      <c r="E7540" s="184"/>
      <c r="F7540" s="184"/>
      <c r="G7540" s="184"/>
      <c r="H7540" s="184"/>
      <c r="I7540" s="184"/>
      <c r="J7540" s="184"/>
      <c r="K7540" s="184"/>
      <c r="L7540" s="184"/>
      <c r="M7540" s="184"/>
      <c r="N7540" s="184"/>
      <c r="O7540" s="184"/>
    </row>
    <row r="7541" customFormat="false" ht="15" hidden="false" customHeight="true" outlineLevel="0" collapsed="false">
      <c r="A7541" s="184"/>
      <c r="B7541" s="184"/>
      <c r="C7541" s="184"/>
      <c r="D7541" s="184"/>
      <c r="E7541" s="184"/>
      <c r="F7541" s="184"/>
      <c r="G7541" s="184"/>
      <c r="H7541" s="184"/>
      <c r="I7541" s="184"/>
      <c r="J7541" s="184"/>
      <c r="K7541" s="184"/>
      <c r="L7541" s="184"/>
      <c r="M7541" s="184"/>
      <c r="N7541" s="184"/>
      <c r="O7541" s="184"/>
    </row>
    <row r="7542" customFormat="false" ht="15" hidden="false" customHeight="true" outlineLevel="0" collapsed="false">
      <c r="A7542" s="184"/>
      <c r="B7542" s="184"/>
      <c r="C7542" s="184"/>
      <c r="D7542" s="184"/>
      <c r="E7542" s="184"/>
      <c r="F7542" s="184"/>
      <c r="G7542" s="184"/>
      <c r="H7542" s="184"/>
      <c r="I7542" s="184"/>
      <c r="J7542" s="184"/>
      <c r="K7542" s="184"/>
      <c r="L7542" s="184"/>
      <c r="M7542" s="184"/>
      <c r="N7542" s="184"/>
      <c r="O7542" s="184"/>
    </row>
    <row r="7543" customFormat="false" ht="15" hidden="false" customHeight="true" outlineLevel="0" collapsed="false">
      <c r="A7543" s="184"/>
      <c r="B7543" s="184"/>
      <c r="C7543" s="184"/>
      <c r="D7543" s="184"/>
      <c r="E7543" s="184"/>
      <c r="F7543" s="184"/>
      <c r="G7543" s="184"/>
      <c r="H7543" s="184"/>
      <c r="I7543" s="184"/>
      <c r="J7543" s="184"/>
      <c r="K7543" s="184"/>
      <c r="L7543" s="184"/>
      <c r="M7543" s="184"/>
      <c r="N7543" s="184"/>
      <c r="O7543" s="184"/>
    </row>
    <row r="7544" customFormat="false" ht="15" hidden="false" customHeight="true" outlineLevel="0" collapsed="false">
      <c r="A7544" s="184"/>
      <c r="B7544" s="184"/>
      <c r="C7544" s="184"/>
      <c r="D7544" s="184"/>
      <c r="E7544" s="184"/>
      <c r="F7544" s="184"/>
      <c r="G7544" s="184"/>
      <c r="H7544" s="184"/>
      <c r="I7544" s="184"/>
      <c r="J7544" s="184"/>
      <c r="K7544" s="184"/>
      <c r="L7544" s="184"/>
      <c r="M7544" s="184"/>
      <c r="N7544" s="184"/>
      <c r="O7544" s="184"/>
    </row>
    <row r="7545" customFormat="false" ht="15" hidden="false" customHeight="true" outlineLevel="0" collapsed="false">
      <c r="A7545" s="184"/>
      <c r="B7545" s="184"/>
      <c r="C7545" s="184"/>
      <c r="D7545" s="184"/>
      <c r="E7545" s="184"/>
      <c r="F7545" s="184"/>
      <c r="G7545" s="184"/>
      <c r="H7545" s="184"/>
      <c r="I7545" s="184"/>
      <c r="J7545" s="184"/>
      <c r="K7545" s="184"/>
      <c r="L7545" s="184"/>
      <c r="M7545" s="184"/>
      <c r="N7545" s="184"/>
      <c r="O7545" s="184"/>
    </row>
    <row r="7546" customFormat="false" ht="15" hidden="false" customHeight="true" outlineLevel="0" collapsed="false">
      <c r="A7546" s="184"/>
      <c r="B7546" s="184"/>
      <c r="C7546" s="184"/>
      <c r="D7546" s="184"/>
      <c r="E7546" s="184"/>
      <c r="F7546" s="184"/>
      <c r="G7546" s="184"/>
      <c r="H7546" s="184"/>
      <c r="I7546" s="184"/>
      <c r="J7546" s="184"/>
      <c r="K7546" s="184"/>
      <c r="L7546" s="184"/>
      <c r="M7546" s="184"/>
      <c r="N7546" s="184"/>
      <c r="O7546" s="184"/>
    </row>
    <row r="7547" customFormat="false" ht="15" hidden="false" customHeight="true" outlineLevel="0" collapsed="false">
      <c r="A7547" s="184"/>
      <c r="B7547" s="184"/>
      <c r="C7547" s="184"/>
      <c r="D7547" s="184"/>
      <c r="E7547" s="184"/>
      <c r="F7547" s="184"/>
      <c r="G7547" s="184"/>
      <c r="H7547" s="184"/>
      <c r="I7547" s="184"/>
      <c r="J7547" s="184"/>
      <c r="K7547" s="184"/>
      <c r="L7547" s="184"/>
      <c r="M7547" s="184"/>
      <c r="N7547" s="184"/>
      <c r="O7547" s="184"/>
    </row>
    <row r="7548" customFormat="false" ht="15" hidden="false" customHeight="true" outlineLevel="0" collapsed="false">
      <c r="A7548" s="184"/>
      <c r="B7548" s="184"/>
      <c r="C7548" s="184"/>
      <c r="D7548" s="184"/>
      <c r="E7548" s="184"/>
      <c r="F7548" s="184"/>
      <c r="G7548" s="184"/>
      <c r="H7548" s="184"/>
      <c r="I7548" s="184"/>
      <c r="J7548" s="184"/>
      <c r="K7548" s="184"/>
      <c r="L7548" s="184"/>
      <c r="M7548" s="184"/>
      <c r="N7548" s="184"/>
      <c r="O7548" s="184"/>
    </row>
    <row r="7549" customFormat="false" ht="15" hidden="false" customHeight="true" outlineLevel="0" collapsed="false">
      <c r="A7549" s="184"/>
      <c r="B7549" s="184"/>
      <c r="C7549" s="184"/>
      <c r="D7549" s="184"/>
      <c r="E7549" s="184"/>
      <c r="F7549" s="184"/>
      <c r="G7549" s="184"/>
      <c r="H7549" s="184"/>
      <c r="I7549" s="184"/>
      <c r="J7549" s="184"/>
      <c r="K7549" s="184"/>
      <c r="L7549" s="184"/>
      <c r="M7549" s="184"/>
      <c r="N7549" s="184"/>
      <c r="O7549" s="184"/>
    </row>
    <row r="7550" customFormat="false" ht="15" hidden="false" customHeight="true" outlineLevel="0" collapsed="false">
      <c r="A7550" s="184"/>
      <c r="B7550" s="184"/>
      <c r="C7550" s="184"/>
      <c r="D7550" s="184"/>
      <c r="E7550" s="184"/>
      <c r="F7550" s="184"/>
      <c r="G7550" s="184"/>
      <c r="H7550" s="184"/>
      <c r="I7550" s="184"/>
      <c r="J7550" s="184"/>
      <c r="K7550" s="184"/>
      <c r="L7550" s="184"/>
      <c r="M7550" s="184"/>
      <c r="N7550" s="184"/>
      <c r="O7550" s="184"/>
    </row>
    <row r="7551" customFormat="false" ht="15" hidden="false" customHeight="true" outlineLevel="0" collapsed="false">
      <c r="A7551" s="184"/>
      <c r="B7551" s="184"/>
      <c r="C7551" s="184"/>
      <c r="D7551" s="184"/>
      <c r="E7551" s="184"/>
      <c r="F7551" s="184"/>
      <c r="G7551" s="184"/>
      <c r="H7551" s="184"/>
      <c r="I7551" s="184"/>
      <c r="J7551" s="184"/>
      <c r="K7551" s="184"/>
      <c r="L7551" s="184"/>
      <c r="M7551" s="184"/>
      <c r="N7551" s="184"/>
      <c r="O7551" s="184"/>
    </row>
    <row r="7552" customFormat="false" ht="15" hidden="false" customHeight="true" outlineLevel="0" collapsed="false">
      <c r="A7552" s="184"/>
      <c r="B7552" s="184"/>
      <c r="C7552" s="184"/>
      <c r="D7552" s="184"/>
      <c r="E7552" s="184"/>
      <c r="F7552" s="184"/>
      <c r="G7552" s="184"/>
      <c r="H7552" s="184"/>
      <c r="I7552" s="184"/>
      <c r="J7552" s="184"/>
      <c r="K7552" s="184"/>
      <c r="L7552" s="184"/>
      <c r="M7552" s="184"/>
      <c r="N7552" s="184"/>
      <c r="O7552" s="184"/>
    </row>
    <row r="7553" customFormat="false" ht="15" hidden="false" customHeight="true" outlineLevel="0" collapsed="false">
      <c r="A7553" s="184"/>
      <c r="B7553" s="184"/>
      <c r="C7553" s="184"/>
      <c r="D7553" s="184"/>
      <c r="E7553" s="184"/>
      <c r="F7553" s="184"/>
      <c r="G7553" s="184"/>
      <c r="H7553" s="184"/>
      <c r="I7553" s="184"/>
      <c r="J7553" s="184"/>
      <c r="K7553" s="184"/>
      <c r="L7553" s="184"/>
      <c r="M7553" s="184"/>
      <c r="N7553" s="184"/>
      <c r="O7553" s="184"/>
    </row>
    <row r="7554" customFormat="false" ht="15" hidden="false" customHeight="true" outlineLevel="0" collapsed="false">
      <c r="A7554" s="184"/>
      <c r="B7554" s="184"/>
      <c r="C7554" s="184"/>
      <c r="D7554" s="184"/>
      <c r="E7554" s="184"/>
      <c r="F7554" s="184"/>
      <c r="G7554" s="184"/>
      <c r="H7554" s="184"/>
      <c r="I7554" s="184"/>
      <c r="J7554" s="184"/>
      <c r="K7554" s="184"/>
      <c r="L7554" s="184"/>
      <c r="M7554" s="184"/>
      <c r="N7554" s="184"/>
      <c r="O7554" s="184"/>
    </row>
    <row r="7555" customFormat="false" ht="15" hidden="false" customHeight="true" outlineLevel="0" collapsed="false">
      <c r="A7555" s="184"/>
      <c r="B7555" s="184"/>
      <c r="C7555" s="184"/>
      <c r="D7555" s="184"/>
      <c r="E7555" s="184"/>
      <c r="F7555" s="184"/>
      <c r="G7555" s="184"/>
      <c r="H7555" s="184"/>
      <c r="I7555" s="184"/>
      <c r="J7555" s="184"/>
      <c r="K7555" s="184"/>
      <c r="L7555" s="184"/>
      <c r="M7555" s="184"/>
      <c r="N7555" s="184"/>
      <c r="O7555" s="184"/>
    </row>
    <row r="7556" customFormat="false" ht="15" hidden="false" customHeight="true" outlineLevel="0" collapsed="false">
      <c r="A7556" s="184"/>
      <c r="B7556" s="184"/>
      <c r="C7556" s="184"/>
      <c r="D7556" s="184"/>
      <c r="E7556" s="184"/>
      <c r="F7556" s="184"/>
      <c r="G7556" s="184"/>
      <c r="H7556" s="184"/>
      <c r="I7556" s="184"/>
      <c r="J7556" s="184"/>
      <c r="K7556" s="184"/>
      <c r="L7556" s="184"/>
      <c r="M7556" s="184"/>
      <c r="N7556" s="184"/>
      <c r="O7556" s="184"/>
    </row>
    <row r="7557" customFormat="false" ht="15" hidden="false" customHeight="true" outlineLevel="0" collapsed="false">
      <c r="A7557" s="184"/>
      <c r="B7557" s="184"/>
      <c r="C7557" s="184"/>
      <c r="D7557" s="184"/>
      <c r="E7557" s="184"/>
      <c r="F7557" s="184"/>
      <c r="G7557" s="184"/>
      <c r="H7557" s="184"/>
      <c r="I7557" s="184"/>
      <c r="J7557" s="184"/>
      <c r="K7557" s="184"/>
      <c r="L7557" s="184"/>
      <c r="M7557" s="184"/>
      <c r="N7557" s="184"/>
      <c r="O7557" s="184"/>
    </row>
    <row r="7558" customFormat="false" ht="15" hidden="false" customHeight="true" outlineLevel="0" collapsed="false">
      <c r="A7558" s="184"/>
      <c r="B7558" s="184"/>
      <c r="C7558" s="184"/>
      <c r="D7558" s="184"/>
      <c r="E7558" s="184"/>
      <c r="F7558" s="184"/>
      <c r="G7558" s="184"/>
      <c r="H7558" s="184"/>
      <c r="I7558" s="184"/>
      <c r="J7558" s="184"/>
      <c r="K7558" s="184"/>
      <c r="L7558" s="184"/>
      <c r="M7558" s="184"/>
      <c r="N7558" s="184"/>
      <c r="O7558" s="184"/>
    </row>
    <row r="7559" customFormat="false" ht="15" hidden="false" customHeight="true" outlineLevel="0" collapsed="false">
      <c r="A7559" s="184"/>
      <c r="B7559" s="184"/>
      <c r="C7559" s="184"/>
      <c r="D7559" s="184"/>
      <c r="E7559" s="184"/>
      <c r="F7559" s="184"/>
      <c r="G7559" s="184"/>
      <c r="H7559" s="184"/>
      <c r="I7559" s="184"/>
      <c r="J7559" s="184"/>
      <c r="K7559" s="184"/>
      <c r="L7559" s="184"/>
      <c r="M7559" s="184"/>
      <c r="N7559" s="184"/>
      <c r="O7559" s="184"/>
    </row>
    <row r="7560" customFormat="false" ht="15" hidden="false" customHeight="true" outlineLevel="0" collapsed="false">
      <c r="A7560" s="184"/>
      <c r="B7560" s="184"/>
      <c r="C7560" s="184"/>
      <c r="D7560" s="184"/>
      <c r="E7560" s="184"/>
      <c r="F7560" s="184"/>
      <c r="G7560" s="184"/>
      <c r="H7560" s="184"/>
      <c r="I7560" s="184"/>
      <c r="J7560" s="184"/>
      <c r="K7560" s="184"/>
      <c r="L7560" s="184"/>
      <c r="M7560" s="184"/>
      <c r="N7560" s="184"/>
      <c r="O7560" s="184"/>
    </row>
    <row r="7561" customFormat="false" ht="27.75" hidden="false" customHeight="true" outlineLevel="0" collapsed="false">
      <c r="A7561" s="184" t="s">
        <v>5029</v>
      </c>
      <c r="B7561" s="184" t="s">
        <v>5030</v>
      </c>
      <c r="C7561" s="184"/>
      <c r="D7561" s="179" t="s">
        <v>4858</v>
      </c>
      <c r="E7561" s="184" t="s">
        <v>7291</v>
      </c>
      <c r="F7561" s="184"/>
      <c r="G7561" s="184"/>
      <c r="H7561" s="184"/>
      <c r="I7561" s="184"/>
      <c r="J7561" s="184"/>
      <c r="K7561" s="184"/>
      <c r="L7561" s="184"/>
      <c r="M7561" s="184" t="s">
        <v>7292</v>
      </c>
      <c r="N7561" s="184"/>
      <c r="O7561" s="184"/>
    </row>
    <row r="7562" customFormat="false" ht="27.75" hidden="false" customHeight="true" outlineLevel="0" collapsed="false">
      <c r="A7562" s="184" t="s">
        <v>5029</v>
      </c>
      <c r="B7562" s="184" t="s">
        <v>5030</v>
      </c>
      <c r="C7562" s="184" t="n">
        <v>1</v>
      </c>
      <c r="D7562" s="178" t="s">
        <v>5269</v>
      </c>
      <c r="E7562" s="184" t="s">
        <v>6289</v>
      </c>
      <c r="F7562" s="184"/>
      <c r="G7562" s="184"/>
      <c r="H7562" s="184"/>
      <c r="I7562" s="184"/>
      <c r="J7562" s="184"/>
      <c r="K7562" s="184"/>
      <c r="L7562" s="184"/>
      <c r="M7562" s="184" t="s">
        <v>6517</v>
      </c>
      <c r="N7562" s="184"/>
      <c r="O7562" s="184"/>
    </row>
    <row r="7563" customFormat="false" ht="27.75" hidden="false" customHeight="true" outlineLevel="0" collapsed="false">
      <c r="A7563" s="184" t="s">
        <v>5029</v>
      </c>
      <c r="B7563" s="184" t="s">
        <v>5030</v>
      </c>
      <c r="C7563" s="184" t="n">
        <v>2</v>
      </c>
      <c r="D7563" s="177" t="s">
        <v>6429</v>
      </c>
      <c r="E7563" s="184" t="s">
        <v>6470</v>
      </c>
      <c r="F7563" s="184"/>
      <c r="G7563" s="184"/>
      <c r="H7563" s="184"/>
      <c r="I7563" s="184"/>
      <c r="J7563" s="184"/>
      <c r="K7563" s="184"/>
      <c r="L7563" s="184"/>
      <c r="M7563" s="184"/>
      <c r="N7563" s="184"/>
      <c r="O7563" s="184"/>
    </row>
    <row r="7564" customFormat="false" ht="27.75" hidden="false" customHeight="true" outlineLevel="0" collapsed="false">
      <c r="A7564" s="184" t="s">
        <v>5029</v>
      </c>
      <c r="B7564" s="184" t="s">
        <v>5030</v>
      </c>
      <c r="C7564" s="184" t="n">
        <v>3</v>
      </c>
      <c r="D7564" s="179" t="s">
        <v>6292</v>
      </c>
      <c r="E7564" s="184" t="s">
        <v>6518</v>
      </c>
      <c r="F7564" s="184"/>
      <c r="G7564" s="184"/>
      <c r="H7564" s="184"/>
      <c r="I7564" s="184"/>
      <c r="J7564" s="184"/>
      <c r="K7564" s="184"/>
      <c r="L7564" s="184"/>
      <c r="M7564" s="184"/>
      <c r="N7564" s="184"/>
      <c r="O7564" s="184"/>
    </row>
    <row r="7565" customFormat="false" ht="27.75" hidden="false" customHeight="true" outlineLevel="0" collapsed="false">
      <c r="A7565" s="184" t="s">
        <v>5029</v>
      </c>
      <c r="B7565" s="184" t="s">
        <v>5030</v>
      </c>
      <c r="C7565" s="184" t="n">
        <v>4</v>
      </c>
      <c r="D7565" s="184" t="s">
        <v>6294</v>
      </c>
      <c r="E7565" s="184" t="s">
        <v>6519</v>
      </c>
      <c r="F7565" s="184"/>
      <c r="G7565" s="184"/>
      <c r="H7565" s="184"/>
      <c r="I7565" s="184"/>
      <c r="J7565" s="184"/>
      <c r="K7565" s="184"/>
      <c r="L7565" s="184"/>
      <c r="M7565" s="184"/>
      <c r="N7565" s="184"/>
      <c r="O7565" s="184"/>
    </row>
    <row r="7566" customFormat="false" ht="27.75" hidden="false" customHeight="true" outlineLevel="0" collapsed="false">
      <c r="A7566" s="184" t="s">
        <v>5029</v>
      </c>
      <c r="B7566" s="184" t="s">
        <v>5030</v>
      </c>
      <c r="C7566" s="184" t="n">
        <v>5</v>
      </c>
      <c r="D7566" s="184" t="s">
        <v>4790</v>
      </c>
      <c r="E7566" s="184" t="s">
        <v>7293</v>
      </c>
      <c r="F7566" s="184"/>
      <c r="G7566" s="184"/>
      <c r="H7566" s="184"/>
      <c r="I7566" s="184"/>
      <c r="J7566" s="184"/>
      <c r="K7566" s="184"/>
      <c r="L7566" s="184"/>
      <c r="M7566" s="184"/>
      <c r="N7566" s="184"/>
      <c r="O7566" s="184"/>
    </row>
    <row r="7567" customFormat="false" ht="27.75" hidden="false" customHeight="true" outlineLevel="0" collapsed="false">
      <c r="A7567" s="184" t="s">
        <v>5029</v>
      </c>
      <c r="B7567" s="184" t="s">
        <v>5030</v>
      </c>
      <c r="C7567" s="184" t="n">
        <v>6</v>
      </c>
      <c r="D7567" s="178" t="s">
        <v>6457</v>
      </c>
      <c r="E7567" s="184" t="s">
        <v>7265</v>
      </c>
      <c r="F7567" s="184"/>
      <c r="G7567" s="184"/>
      <c r="H7567" s="184"/>
      <c r="I7567" s="184"/>
      <c r="J7567" s="184"/>
      <c r="K7567" s="184"/>
      <c r="L7567" s="184"/>
      <c r="M7567" s="184" t="s">
        <v>7266</v>
      </c>
      <c r="N7567" s="184"/>
      <c r="O7567" s="184"/>
    </row>
    <row r="7568" customFormat="false" ht="27.75" hidden="false" customHeight="true" outlineLevel="0" collapsed="false">
      <c r="A7568" s="184" t="s">
        <v>5029</v>
      </c>
      <c r="B7568" s="184" t="s">
        <v>5030</v>
      </c>
      <c r="C7568" s="184" t="n">
        <v>7</v>
      </c>
      <c r="D7568" s="184" t="s">
        <v>4790</v>
      </c>
      <c r="E7568" s="184" t="s">
        <v>7294</v>
      </c>
      <c r="F7568" s="184"/>
      <c r="G7568" s="184"/>
      <c r="H7568" s="184"/>
      <c r="I7568" s="184"/>
      <c r="J7568" s="184"/>
      <c r="K7568" s="184"/>
      <c r="L7568" s="184"/>
      <c r="M7568" s="184"/>
      <c r="N7568" s="184"/>
      <c r="O7568" s="184"/>
    </row>
    <row r="7569" customFormat="false" ht="27.75" hidden="false" customHeight="true" outlineLevel="0" collapsed="false">
      <c r="A7569" s="184" t="s">
        <v>5029</v>
      </c>
      <c r="B7569" s="184" t="s">
        <v>5030</v>
      </c>
      <c r="C7569" s="184" t="n">
        <v>8</v>
      </c>
      <c r="D7569" s="178" t="s">
        <v>6457</v>
      </c>
      <c r="E7569" s="184" t="s">
        <v>7265</v>
      </c>
      <c r="F7569" s="184"/>
      <c r="G7569" s="184"/>
      <c r="H7569" s="184"/>
      <c r="I7569" s="184"/>
      <c r="J7569" s="184"/>
      <c r="K7569" s="184"/>
      <c r="L7569" s="184"/>
      <c r="M7569" s="184" t="s">
        <v>7269</v>
      </c>
      <c r="N7569" s="184"/>
      <c r="O7569" s="184"/>
    </row>
    <row r="7570" customFormat="false" ht="27.75" hidden="false" customHeight="true" outlineLevel="0" collapsed="false">
      <c r="A7570" s="184" t="s">
        <v>5029</v>
      </c>
      <c r="B7570" s="184" t="s">
        <v>5030</v>
      </c>
      <c r="C7570" s="184" t="n">
        <v>9</v>
      </c>
      <c r="D7570" s="184" t="s">
        <v>4790</v>
      </c>
      <c r="E7570" s="184" t="s">
        <v>7295</v>
      </c>
      <c r="F7570" s="184"/>
      <c r="G7570" s="184"/>
      <c r="H7570" s="184"/>
      <c r="I7570" s="184"/>
      <c r="J7570" s="184"/>
      <c r="K7570" s="184"/>
      <c r="L7570" s="184"/>
      <c r="M7570" s="184"/>
      <c r="N7570" s="184"/>
      <c r="O7570" s="184"/>
    </row>
    <row r="7571" customFormat="false" ht="27.75" hidden="false" customHeight="true" outlineLevel="0" collapsed="false">
      <c r="A7571" s="184" t="s">
        <v>5029</v>
      </c>
      <c r="B7571" s="184" t="s">
        <v>5030</v>
      </c>
      <c r="C7571" s="184" t="n">
        <v>10</v>
      </c>
      <c r="D7571" s="184" t="s">
        <v>4790</v>
      </c>
      <c r="E7571" s="184" t="s">
        <v>7296</v>
      </c>
      <c r="F7571" s="184"/>
      <c r="G7571" s="184"/>
      <c r="H7571" s="184"/>
      <c r="I7571" s="184"/>
      <c r="J7571" s="184"/>
      <c r="K7571" s="184"/>
      <c r="L7571" s="184"/>
      <c r="M7571" s="184"/>
      <c r="N7571" s="184"/>
      <c r="O7571" s="184"/>
    </row>
    <row r="7572" customFormat="false" ht="27.75" hidden="false" customHeight="true" outlineLevel="0" collapsed="false">
      <c r="A7572" s="184" t="s">
        <v>5029</v>
      </c>
      <c r="B7572" s="184" t="s">
        <v>5030</v>
      </c>
      <c r="C7572" s="184" t="n">
        <v>11</v>
      </c>
      <c r="D7572" s="184" t="s">
        <v>4790</v>
      </c>
      <c r="E7572" s="184" t="s">
        <v>7297</v>
      </c>
      <c r="F7572" s="184"/>
      <c r="G7572" s="184"/>
      <c r="H7572" s="184"/>
      <c r="I7572" s="184"/>
      <c r="J7572" s="184"/>
      <c r="K7572" s="184"/>
      <c r="L7572" s="184"/>
      <c r="M7572" s="184"/>
      <c r="N7572" s="184"/>
      <c r="O7572" s="184"/>
    </row>
    <row r="7573" customFormat="false" ht="27.75" hidden="false" customHeight="true" outlineLevel="0" collapsed="false">
      <c r="A7573" s="184" t="s">
        <v>5029</v>
      </c>
      <c r="B7573" s="184" t="s">
        <v>5030</v>
      </c>
      <c r="C7573" s="184" t="n">
        <v>12</v>
      </c>
      <c r="D7573" s="179" t="s">
        <v>6292</v>
      </c>
      <c r="E7573" s="184" t="s">
        <v>6525</v>
      </c>
      <c r="F7573" s="184"/>
      <c r="G7573" s="184"/>
      <c r="H7573" s="184"/>
      <c r="I7573" s="184"/>
      <c r="J7573" s="184"/>
      <c r="K7573" s="184"/>
      <c r="L7573" s="184"/>
      <c r="M7573" s="184"/>
      <c r="N7573" s="184"/>
      <c r="O7573" s="184"/>
    </row>
    <row r="7574" customFormat="false" ht="41.25" hidden="false" customHeight="true" outlineLevel="0" collapsed="false">
      <c r="A7574" s="184" t="s">
        <v>5029</v>
      </c>
      <c r="B7574" s="184" t="s">
        <v>5030</v>
      </c>
      <c r="C7574" s="184" t="n">
        <v>13</v>
      </c>
      <c r="D7574" s="177" t="s">
        <v>6298</v>
      </c>
      <c r="E7574" s="184" t="s">
        <v>6526</v>
      </c>
      <c r="F7574" s="184"/>
      <c r="G7574" s="184"/>
      <c r="H7574" s="184"/>
      <c r="I7574" s="184"/>
      <c r="J7574" s="184"/>
      <c r="K7574" s="184"/>
      <c r="L7574" s="184"/>
      <c r="M7574" s="184"/>
      <c r="N7574" s="184"/>
      <c r="O7574" s="184"/>
    </row>
    <row r="7575" customFormat="false" ht="27.75" hidden="false" customHeight="true" outlineLevel="0" collapsed="false">
      <c r="A7575" s="184" t="s">
        <v>5029</v>
      </c>
      <c r="B7575" s="184" t="s">
        <v>5030</v>
      </c>
      <c r="C7575" s="184" t="n">
        <v>14</v>
      </c>
      <c r="D7575" s="184" t="s">
        <v>4790</v>
      </c>
      <c r="E7575" s="184" t="s">
        <v>7298</v>
      </c>
      <c r="F7575" s="184"/>
      <c r="G7575" s="184"/>
      <c r="H7575" s="184"/>
      <c r="I7575" s="184"/>
      <c r="J7575" s="184"/>
      <c r="K7575" s="184"/>
      <c r="L7575" s="184"/>
      <c r="M7575" s="184" t="s">
        <v>7299</v>
      </c>
      <c r="N7575" s="184"/>
      <c r="O7575" s="184"/>
    </row>
    <row r="7576" customFormat="false" ht="27.75" hidden="false" customHeight="true" outlineLevel="0" collapsed="false">
      <c r="A7576" s="184" t="s">
        <v>5029</v>
      </c>
      <c r="B7576" s="184" t="s">
        <v>5030</v>
      </c>
      <c r="C7576" s="184" t="n">
        <v>15</v>
      </c>
      <c r="D7576" s="174" t="s">
        <v>6529</v>
      </c>
      <c r="E7576" s="184" t="s">
        <v>6530</v>
      </c>
      <c r="F7576" s="184"/>
      <c r="G7576" s="184"/>
      <c r="H7576" s="184"/>
      <c r="I7576" s="184"/>
      <c r="J7576" s="184"/>
      <c r="K7576" s="184"/>
      <c r="L7576" s="184"/>
      <c r="M7576" s="184" t="s">
        <v>6531</v>
      </c>
      <c r="N7576" s="184"/>
      <c r="O7576" s="184"/>
    </row>
    <row r="7577" customFormat="false" ht="27.75" hidden="false" customHeight="true" outlineLevel="0" collapsed="false">
      <c r="A7577" s="184" t="s">
        <v>5029</v>
      </c>
      <c r="B7577" s="184" t="s">
        <v>5030</v>
      </c>
      <c r="C7577" s="184" t="n">
        <v>16</v>
      </c>
      <c r="D7577" s="174" t="s">
        <v>6529</v>
      </c>
      <c r="E7577" s="184" t="s">
        <v>6532</v>
      </c>
      <c r="F7577" s="184"/>
      <c r="G7577" s="184"/>
      <c r="H7577" s="184"/>
      <c r="I7577" s="184"/>
      <c r="J7577" s="184"/>
      <c r="K7577" s="184"/>
      <c r="L7577" s="184"/>
      <c r="M7577" s="184" t="s">
        <v>6533</v>
      </c>
      <c r="N7577" s="184"/>
      <c r="O7577" s="184"/>
    </row>
    <row r="7578" customFormat="false" ht="27.75" hidden="false" customHeight="true" outlineLevel="0" collapsed="false">
      <c r="A7578" s="184" t="s">
        <v>5029</v>
      </c>
      <c r="B7578" s="184" t="s">
        <v>5030</v>
      </c>
      <c r="C7578" s="184" t="n">
        <v>17</v>
      </c>
      <c r="D7578" s="184" t="s">
        <v>4790</v>
      </c>
      <c r="E7578" s="184" t="s">
        <v>7300</v>
      </c>
      <c r="F7578" s="184"/>
      <c r="G7578" s="184"/>
      <c r="H7578" s="184"/>
      <c r="I7578" s="184"/>
      <c r="J7578" s="184"/>
      <c r="K7578" s="184"/>
      <c r="L7578" s="184"/>
      <c r="M7578" s="184" t="s">
        <v>7301</v>
      </c>
      <c r="N7578" s="184"/>
      <c r="O7578" s="184"/>
    </row>
    <row r="7579" customFormat="false" ht="27.75" hidden="false" customHeight="true" outlineLevel="0" collapsed="false">
      <c r="A7579" s="184" t="s">
        <v>5029</v>
      </c>
      <c r="B7579" s="184" t="s">
        <v>5030</v>
      </c>
      <c r="C7579" s="184" t="n">
        <v>18</v>
      </c>
      <c r="D7579" s="174" t="s">
        <v>6529</v>
      </c>
      <c r="E7579" s="184" t="s">
        <v>6530</v>
      </c>
      <c r="F7579" s="184"/>
      <c r="G7579" s="184"/>
      <c r="H7579" s="184"/>
      <c r="I7579" s="184"/>
      <c r="J7579" s="184"/>
      <c r="K7579" s="184"/>
      <c r="L7579" s="184"/>
      <c r="M7579" s="184" t="s">
        <v>6536</v>
      </c>
      <c r="N7579" s="184"/>
      <c r="O7579" s="184"/>
    </row>
    <row r="7580" customFormat="false" ht="27.75" hidden="false" customHeight="true" outlineLevel="0" collapsed="false">
      <c r="A7580" s="184" t="s">
        <v>5029</v>
      </c>
      <c r="B7580" s="184" t="s">
        <v>5030</v>
      </c>
      <c r="C7580" s="184" t="n">
        <v>19</v>
      </c>
      <c r="D7580" s="174" t="s">
        <v>6529</v>
      </c>
      <c r="E7580" s="184" t="s">
        <v>6532</v>
      </c>
      <c r="F7580" s="184"/>
      <c r="G7580" s="184"/>
      <c r="H7580" s="184"/>
      <c r="I7580" s="184"/>
      <c r="J7580" s="184"/>
      <c r="K7580" s="184"/>
      <c r="L7580" s="184"/>
      <c r="M7580" s="184" t="s">
        <v>6537</v>
      </c>
      <c r="N7580" s="184"/>
      <c r="O7580" s="184"/>
    </row>
    <row r="7581" customFormat="false" ht="27.75" hidden="false" customHeight="true" outlineLevel="0" collapsed="false">
      <c r="A7581" s="184" t="s">
        <v>5029</v>
      </c>
      <c r="B7581" s="184" t="s">
        <v>5030</v>
      </c>
      <c r="C7581" s="184" t="n">
        <v>20</v>
      </c>
      <c r="D7581" s="184" t="s">
        <v>4790</v>
      </c>
      <c r="E7581" s="184" t="s">
        <v>7302</v>
      </c>
      <c r="F7581" s="184"/>
      <c r="G7581" s="184"/>
      <c r="H7581" s="184"/>
      <c r="I7581" s="184"/>
      <c r="J7581" s="184"/>
      <c r="K7581" s="184"/>
      <c r="L7581" s="184"/>
      <c r="M7581" s="184" t="s">
        <v>7303</v>
      </c>
      <c r="N7581" s="184"/>
      <c r="O7581" s="184"/>
    </row>
    <row r="7582" customFormat="false" ht="27.75" hidden="false" customHeight="true" outlineLevel="0" collapsed="false">
      <c r="A7582" s="184" t="s">
        <v>5029</v>
      </c>
      <c r="B7582" s="184" t="s">
        <v>5030</v>
      </c>
      <c r="C7582" s="184" t="n">
        <v>21</v>
      </c>
      <c r="D7582" s="174" t="s">
        <v>6529</v>
      </c>
      <c r="E7582" s="184" t="s">
        <v>6530</v>
      </c>
      <c r="F7582" s="184"/>
      <c r="G7582" s="184"/>
      <c r="H7582" s="184"/>
      <c r="I7582" s="184"/>
      <c r="J7582" s="184"/>
      <c r="K7582" s="184"/>
      <c r="L7582" s="184"/>
      <c r="M7582" s="184" t="s">
        <v>6540</v>
      </c>
      <c r="N7582" s="184"/>
      <c r="O7582" s="184"/>
    </row>
    <row r="7583" customFormat="false" ht="27.75" hidden="false" customHeight="true" outlineLevel="0" collapsed="false">
      <c r="A7583" s="184" t="s">
        <v>5029</v>
      </c>
      <c r="B7583" s="184" t="s">
        <v>5030</v>
      </c>
      <c r="C7583" s="184" t="n">
        <v>22</v>
      </c>
      <c r="D7583" s="174" t="s">
        <v>6529</v>
      </c>
      <c r="E7583" s="184" t="s">
        <v>6532</v>
      </c>
      <c r="F7583" s="184"/>
      <c r="G7583" s="184"/>
      <c r="H7583" s="184"/>
      <c r="I7583" s="184"/>
      <c r="J7583" s="184"/>
      <c r="K7583" s="184"/>
      <c r="L7583" s="184"/>
      <c r="M7583" s="184" t="s">
        <v>6541</v>
      </c>
      <c r="N7583" s="184"/>
      <c r="O7583" s="184"/>
    </row>
    <row r="7584" customFormat="false" ht="27.75" hidden="false" customHeight="true" outlineLevel="0" collapsed="false">
      <c r="A7584" s="184" t="s">
        <v>5029</v>
      </c>
      <c r="B7584" s="184" t="s">
        <v>5030</v>
      </c>
      <c r="C7584" s="184" t="n">
        <v>23</v>
      </c>
      <c r="D7584" s="184" t="s">
        <v>4790</v>
      </c>
      <c r="E7584" s="184" t="s">
        <v>7304</v>
      </c>
      <c r="F7584" s="184"/>
      <c r="G7584" s="184"/>
      <c r="H7584" s="184"/>
      <c r="I7584" s="184"/>
      <c r="J7584" s="184"/>
      <c r="K7584" s="184"/>
      <c r="L7584" s="184"/>
      <c r="M7584" s="184" t="s">
        <v>7305</v>
      </c>
      <c r="N7584" s="184"/>
      <c r="O7584" s="184"/>
    </row>
    <row r="7585" customFormat="false" ht="27.75" hidden="false" customHeight="true" outlineLevel="0" collapsed="false">
      <c r="A7585" s="184" t="s">
        <v>5029</v>
      </c>
      <c r="B7585" s="184" t="s">
        <v>5030</v>
      </c>
      <c r="C7585" s="184" t="n">
        <v>24</v>
      </c>
      <c r="D7585" s="174" t="s">
        <v>6529</v>
      </c>
      <c r="E7585" s="184" t="s">
        <v>6530</v>
      </c>
      <c r="F7585" s="184"/>
      <c r="G7585" s="184"/>
      <c r="H7585" s="184"/>
      <c r="I7585" s="184"/>
      <c r="J7585" s="184"/>
      <c r="K7585" s="184"/>
      <c r="L7585" s="184"/>
      <c r="M7585" s="184" t="s">
        <v>6544</v>
      </c>
      <c r="N7585" s="184"/>
      <c r="O7585" s="184"/>
    </row>
    <row r="7586" customFormat="false" ht="27.75" hidden="false" customHeight="true" outlineLevel="0" collapsed="false">
      <c r="A7586" s="184" t="s">
        <v>5029</v>
      </c>
      <c r="B7586" s="184" t="s">
        <v>5030</v>
      </c>
      <c r="C7586" s="184" t="n">
        <v>25</v>
      </c>
      <c r="D7586" s="174" t="s">
        <v>6529</v>
      </c>
      <c r="E7586" s="184" t="s">
        <v>6532</v>
      </c>
      <c r="F7586" s="184"/>
      <c r="G7586" s="184"/>
      <c r="H7586" s="184"/>
      <c r="I7586" s="184"/>
      <c r="J7586" s="184"/>
      <c r="K7586" s="184"/>
      <c r="L7586" s="184"/>
      <c r="M7586" s="184" t="s">
        <v>6545</v>
      </c>
      <c r="N7586" s="184"/>
      <c r="O7586" s="184"/>
    </row>
    <row r="7587" customFormat="false" ht="41.25" hidden="false" customHeight="true" outlineLevel="0" collapsed="false">
      <c r="A7587" s="184" t="s">
        <v>5029</v>
      </c>
      <c r="B7587" s="184" t="s">
        <v>5030</v>
      </c>
      <c r="C7587" s="184" t="n">
        <v>26</v>
      </c>
      <c r="D7587" s="184" t="s">
        <v>4790</v>
      </c>
      <c r="E7587" s="184" t="s">
        <v>6546</v>
      </c>
      <c r="F7587" s="184"/>
      <c r="G7587" s="184"/>
      <c r="H7587" s="184"/>
      <c r="I7587" s="184"/>
      <c r="J7587" s="184"/>
      <c r="K7587" s="184"/>
      <c r="L7587" s="184"/>
      <c r="M7587" s="184" t="s">
        <v>6547</v>
      </c>
      <c r="N7587" s="184"/>
      <c r="O7587" s="184"/>
    </row>
    <row r="7588" customFormat="false" ht="27.75" hidden="false" customHeight="true" outlineLevel="0" collapsed="false">
      <c r="A7588" s="184" t="s">
        <v>5029</v>
      </c>
      <c r="B7588" s="184" t="s">
        <v>5030</v>
      </c>
      <c r="C7588" s="184" t="n">
        <v>27</v>
      </c>
      <c r="D7588" s="174" t="s">
        <v>6529</v>
      </c>
      <c r="E7588" s="184" t="s">
        <v>6530</v>
      </c>
      <c r="F7588" s="184"/>
      <c r="G7588" s="184"/>
      <c r="H7588" s="184"/>
      <c r="I7588" s="184"/>
      <c r="J7588" s="184"/>
      <c r="K7588" s="184"/>
      <c r="L7588" s="184"/>
      <c r="M7588" s="184" t="s">
        <v>6548</v>
      </c>
      <c r="N7588" s="184"/>
      <c r="O7588" s="184"/>
    </row>
    <row r="7589" customFormat="false" ht="27.75" hidden="false" customHeight="true" outlineLevel="0" collapsed="false">
      <c r="A7589" s="184" t="s">
        <v>5029</v>
      </c>
      <c r="B7589" s="184" t="s">
        <v>5030</v>
      </c>
      <c r="C7589" s="184" t="n">
        <v>28</v>
      </c>
      <c r="D7589" s="174" t="s">
        <v>6529</v>
      </c>
      <c r="E7589" s="184" t="s">
        <v>6532</v>
      </c>
      <c r="F7589" s="184"/>
      <c r="G7589" s="184"/>
      <c r="H7589" s="184"/>
      <c r="I7589" s="184"/>
      <c r="J7589" s="184"/>
      <c r="K7589" s="184"/>
      <c r="L7589" s="184"/>
      <c r="M7589" s="184" t="s">
        <v>6549</v>
      </c>
      <c r="N7589" s="184"/>
      <c r="O7589" s="184"/>
    </row>
    <row r="7590" customFormat="false" ht="27.75" hidden="false" customHeight="true" outlineLevel="0" collapsed="false">
      <c r="A7590" s="184" t="s">
        <v>5029</v>
      </c>
      <c r="B7590" s="184" t="s">
        <v>5030</v>
      </c>
      <c r="C7590" s="184" t="n">
        <v>29</v>
      </c>
      <c r="D7590" s="177" t="s">
        <v>5276</v>
      </c>
      <c r="E7590" s="184" t="s">
        <v>6550</v>
      </c>
      <c r="F7590" s="184"/>
      <c r="G7590" s="184"/>
      <c r="H7590" s="184"/>
      <c r="I7590" s="184"/>
      <c r="J7590" s="184"/>
      <c r="K7590" s="184"/>
      <c r="L7590" s="184"/>
      <c r="M7590" s="184"/>
      <c r="N7590" s="184"/>
      <c r="O7590" s="184"/>
    </row>
    <row r="7591" customFormat="false" ht="27.75" hidden="false" customHeight="true" outlineLevel="0" collapsed="false">
      <c r="A7591" s="184" t="s">
        <v>5029</v>
      </c>
      <c r="B7591" s="184" t="s">
        <v>5030</v>
      </c>
      <c r="C7591" s="184" t="n">
        <v>30</v>
      </c>
      <c r="D7591" s="178" t="s">
        <v>5269</v>
      </c>
      <c r="E7591" s="184" t="s">
        <v>6551</v>
      </c>
      <c r="F7591" s="184"/>
      <c r="G7591" s="184"/>
      <c r="H7591" s="184"/>
      <c r="I7591" s="184"/>
      <c r="J7591" s="184"/>
      <c r="K7591" s="184"/>
      <c r="L7591" s="184"/>
      <c r="M7591" s="184" t="s">
        <v>6552</v>
      </c>
      <c r="N7591" s="184"/>
      <c r="O7591" s="184"/>
    </row>
    <row r="7592" customFormat="false" ht="15" hidden="false" customHeight="true" outlineLevel="0" collapsed="false">
      <c r="A7592" s="184"/>
      <c r="B7592" s="184"/>
      <c r="C7592" s="184"/>
      <c r="D7592" s="184"/>
      <c r="E7592" s="184"/>
      <c r="F7592" s="184"/>
      <c r="G7592" s="184"/>
      <c r="H7592" s="184"/>
      <c r="I7592" s="184"/>
      <c r="J7592" s="184"/>
      <c r="K7592" s="184"/>
      <c r="L7592" s="184"/>
      <c r="M7592" s="184"/>
      <c r="N7592" s="184"/>
      <c r="O7592" s="184"/>
    </row>
    <row r="7593" customFormat="false" ht="15" hidden="false" customHeight="true" outlineLevel="0" collapsed="false">
      <c r="A7593" s="184"/>
      <c r="B7593" s="184"/>
      <c r="C7593" s="184"/>
      <c r="D7593" s="184"/>
      <c r="E7593" s="184"/>
      <c r="F7593" s="184"/>
      <c r="G7593" s="184"/>
      <c r="H7593" s="184"/>
      <c r="I7593" s="184"/>
      <c r="J7593" s="184"/>
      <c r="K7593" s="184"/>
      <c r="L7593" s="184"/>
      <c r="M7593" s="184"/>
      <c r="N7593" s="184"/>
      <c r="O7593" s="184"/>
    </row>
    <row r="7594" customFormat="false" ht="15" hidden="false" customHeight="true" outlineLevel="0" collapsed="false">
      <c r="A7594" s="184"/>
      <c r="B7594" s="184"/>
      <c r="C7594" s="184"/>
      <c r="D7594" s="184"/>
      <c r="E7594" s="184"/>
      <c r="F7594" s="184"/>
      <c r="G7594" s="184"/>
      <c r="H7594" s="184"/>
      <c r="I7594" s="184"/>
      <c r="J7594" s="184"/>
      <c r="K7594" s="184"/>
      <c r="L7594" s="184"/>
      <c r="M7594" s="184"/>
      <c r="N7594" s="184"/>
      <c r="O7594" s="184"/>
    </row>
    <row r="7595" customFormat="false" ht="15" hidden="false" customHeight="true" outlineLevel="0" collapsed="false">
      <c r="A7595" s="184"/>
      <c r="B7595" s="184"/>
      <c r="C7595" s="184"/>
      <c r="D7595" s="184"/>
      <c r="E7595" s="184"/>
      <c r="F7595" s="184"/>
      <c r="G7595" s="184"/>
      <c r="H7595" s="184"/>
      <c r="I7595" s="184"/>
      <c r="J7595" s="184"/>
      <c r="K7595" s="184"/>
      <c r="L7595" s="184"/>
      <c r="M7595" s="184"/>
      <c r="N7595" s="184"/>
      <c r="O7595" s="184"/>
    </row>
    <row r="7596" customFormat="false" ht="15" hidden="false" customHeight="true" outlineLevel="0" collapsed="false">
      <c r="A7596" s="184"/>
      <c r="B7596" s="184"/>
      <c r="C7596" s="184"/>
      <c r="D7596" s="184"/>
      <c r="E7596" s="184"/>
      <c r="F7596" s="184"/>
      <c r="G7596" s="184"/>
      <c r="H7596" s="184"/>
      <c r="I7596" s="184"/>
      <c r="J7596" s="184"/>
      <c r="K7596" s="184"/>
      <c r="L7596" s="184"/>
      <c r="M7596" s="184"/>
      <c r="N7596" s="184"/>
      <c r="O7596" s="184"/>
    </row>
    <row r="7597" customFormat="false" ht="15" hidden="false" customHeight="true" outlineLevel="0" collapsed="false">
      <c r="A7597" s="184"/>
      <c r="B7597" s="184"/>
      <c r="C7597" s="184"/>
      <c r="D7597" s="184"/>
      <c r="E7597" s="184"/>
      <c r="F7597" s="184"/>
      <c r="G7597" s="184"/>
      <c r="H7597" s="184"/>
      <c r="I7597" s="184"/>
      <c r="J7597" s="184"/>
      <c r="K7597" s="184"/>
      <c r="L7597" s="184"/>
      <c r="M7597" s="184"/>
      <c r="N7597" s="184"/>
      <c r="O7597" s="184"/>
    </row>
    <row r="7598" customFormat="false" ht="15" hidden="false" customHeight="true" outlineLevel="0" collapsed="false">
      <c r="A7598" s="184"/>
      <c r="B7598" s="184"/>
      <c r="C7598" s="184"/>
      <c r="D7598" s="184"/>
      <c r="E7598" s="184"/>
      <c r="F7598" s="184"/>
      <c r="G7598" s="184"/>
      <c r="H7598" s="184"/>
      <c r="I7598" s="184"/>
      <c r="J7598" s="184"/>
      <c r="K7598" s="184"/>
      <c r="L7598" s="184"/>
      <c r="M7598" s="184"/>
      <c r="N7598" s="184"/>
      <c r="O7598" s="184"/>
    </row>
    <row r="7599" customFormat="false" ht="15" hidden="false" customHeight="true" outlineLevel="0" collapsed="false">
      <c r="A7599" s="184"/>
      <c r="B7599" s="184"/>
      <c r="C7599" s="184"/>
      <c r="D7599" s="184"/>
      <c r="E7599" s="184"/>
      <c r="F7599" s="184"/>
      <c r="G7599" s="184"/>
      <c r="H7599" s="184"/>
      <c r="I7599" s="184"/>
      <c r="J7599" s="184"/>
      <c r="K7599" s="184"/>
      <c r="L7599" s="184"/>
      <c r="M7599" s="184"/>
      <c r="N7599" s="184"/>
      <c r="O7599" s="184"/>
    </row>
    <row r="7600" customFormat="false" ht="15" hidden="false" customHeight="true" outlineLevel="0" collapsed="false">
      <c r="A7600" s="184"/>
      <c r="B7600" s="184"/>
      <c r="C7600" s="184"/>
      <c r="D7600" s="184"/>
      <c r="E7600" s="184"/>
      <c r="F7600" s="184"/>
      <c r="G7600" s="184"/>
      <c r="H7600" s="184"/>
      <c r="I7600" s="184"/>
      <c r="J7600" s="184"/>
      <c r="K7600" s="184"/>
      <c r="L7600" s="184"/>
      <c r="M7600" s="184"/>
      <c r="N7600" s="184"/>
      <c r="O7600" s="184"/>
    </row>
    <row r="7601" customFormat="false" ht="15" hidden="false" customHeight="true" outlineLevel="0" collapsed="false">
      <c r="A7601" s="184"/>
      <c r="B7601" s="184"/>
      <c r="C7601" s="184"/>
      <c r="D7601" s="184"/>
      <c r="E7601" s="184"/>
      <c r="F7601" s="184"/>
      <c r="G7601" s="184"/>
      <c r="H7601" s="184"/>
      <c r="I7601" s="184"/>
      <c r="J7601" s="184"/>
      <c r="K7601" s="184"/>
      <c r="L7601" s="184"/>
      <c r="M7601" s="184"/>
      <c r="N7601" s="184"/>
      <c r="O7601" s="184"/>
    </row>
    <row r="7602" customFormat="false" ht="15" hidden="false" customHeight="true" outlineLevel="0" collapsed="false">
      <c r="A7602" s="184"/>
      <c r="B7602" s="184"/>
      <c r="C7602" s="184"/>
      <c r="D7602" s="184"/>
      <c r="E7602" s="184"/>
      <c r="F7602" s="184"/>
      <c r="G7602" s="184"/>
      <c r="H7602" s="184"/>
      <c r="I7602" s="184"/>
      <c r="J7602" s="184"/>
      <c r="K7602" s="184"/>
      <c r="L7602" s="184"/>
      <c r="M7602" s="184"/>
      <c r="N7602" s="184"/>
      <c r="O7602" s="184"/>
    </row>
    <row r="7603" customFormat="false" ht="15" hidden="false" customHeight="true" outlineLevel="0" collapsed="false">
      <c r="A7603" s="184"/>
      <c r="B7603" s="184"/>
      <c r="C7603" s="184"/>
      <c r="D7603" s="184"/>
      <c r="E7603" s="184"/>
      <c r="F7603" s="184"/>
      <c r="G7603" s="184"/>
      <c r="H7603" s="184"/>
      <c r="I7603" s="184"/>
      <c r="J7603" s="184"/>
      <c r="K7603" s="184"/>
      <c r="L7603" s="184"/>
      <c r="M7603" s="184"/>
      <c r="N7603" s="184"/>
      <c r="O7603" s="184"/>
    </row>
    <row r="7604" customFormat="false" ht="15" hidden="false" customHeight="true" outlineLevel="0" collapsed="false">
      <c r="A7604" s="184"/>
      <c r="B7604" s="184"/>
      <c r="C7604" s="184"/>
      <c r="D7604" s="184"/>
      <c r="E7604" s="184"/>
      <c r="F7604" s="184"/>
      <c r="G7604" s="184"/>
      <c r="H7604" s="184"/>
      <c r="I7604" s="184"/>
      <c r="J7604" s="184"/>
      <c r="K7604" s="184"/>
      <c r="L7604" s="184"/>
      <c r="M7604" s="184"/>
      <c r="N7604" s="184"/>
      <c r="O7604" s="184"/>
    </row>
    <row r="7605" customFormat="false" ht="15" hidden="false" customHeight="true" outlineLevel="0" collapsed="false">
      <c r="A7605" s="184"/>
      <c r="B7605" s="184"/>
      <c r="C7605" s="184"/>
      <c r="D7605" s="184"/>
      <c r="E7605" s="184"/>
      <c r="F7605" s="184"/>
      <c r="G7605" s="184"/>
      <c r="H7605" s="184"/>
      <c r="I7605" s="184"/>
      <c r="J7605" s="184"/>
      <c r="K7605" s="184"/>
      <c r="L7605" s="184"/>
      <c r="M7605" s="184"/>
      <c r="N7605" s="184"/>
      <c r="O7605" s="184"/>
    </row>
    <row r="7606" customFormat="false" ht="15" hidden="false" customHeight="true" outlineLevel="0" collapsed="false">
      <c r="A7606" s="184"/>
      <c r="B7606" s="184"/>
      <c r="C7606" s="184"/>
      <c r="D7606" s="184"/>
      <c r="E7606" s="184"/>
      <c r="F7606" s="184"/>
      <c r="G7606" s="184"/>
      <c r="H7606" s="184"/>
      <c r="I7606" s="184"/>
      <c r="J7606" s="184"/>
      <c r="K7606" s="184"/>
      <c r="L7606" s="184"/>
      <c r="M7606" s="184"/>
      <c r="N7606" s="184"/>
      <c r="O7606" s="184"/>
    </row>
    <row r="7607" customFormat="false" ht="15" hidden="false" customHeight="true" outlineLevel="0" collapsed="false">
      <c r="A7607" s="184"/>
      <c r="B7607" s="184"/>
      <c r="C7607" s="184"/>
      <c r="D7607" s="184"/>
      <c r="E7607" s="184"/>
      <c r="F7607" s="184"/>
      <c r="G7607" s="184"/>
      <c r="H7607" s="184"/>
      <c r="I7607" s="184"/>
      <c r="J7607" s="184"/>
      <c r="K7607" s="184"/>
      <c r="L7607" s="184"/>
      <c r="M7607" s="184"/>
      <c r="N7607" s="184"/>
      <c r="O7607" s="184"/>
    </row>
    <row r="7608" customFormat="false" ht="15" hidden="false" customHeight="true" outlineLevel="0" collapsed="false">
      <c r="A7608" s="184"/>
      <c r="B7608" s="184"/>
      <c r="C7608" s="184"/>
      <c r="D7608" s="184"/>
      <c r="E7608" s="184"/>
      <c r="F7608" s="184"/>
      <c r="G7608" s="184"/>
      <c r="H7608" s="184"/>
      <c r="I7608" s="184"/>
      <c r="J7608" s="184"/>
      <c r="K7608" s="184"/>
      <c r="L7608" s="184"/>
      <c r="M7608" s="184"/>
      <c r="N7608" s="184"/>
      <c r="O7608" s="184"/>
    </row>
    <row r="7609" customFormat="false" ht="15" hidden="false" customHeight="true" outlineLevel="0" collapsed="false">
      <c r="A7609" s="184"/>
      <c r="B7609" s="184"/>
      <c r="C7609" s="184"/>
      <c r="D7609" s="184"/>
      <c r="E7609" s="184"/>
      <c r="F7609" s="184"/>
      <c r="G7609" s="184"/>
      <c r="H7609" s="184"/>
      <c r="I7609" s="184"/>
      <c r="J7609" s="184"/>
      <c r="K7609" s="184"/>
      <c r="L7609" s="184"/>
      <c r="M7609" s="184"/>
      <c r="N7609" s="184"/>
      <c r="O7609" s="184"/>
    </row>
    <row r="7610" customFormat="false" ht="15" hidden="false" customHeight="true" outlineLevel="0" collapsed="false">
      <c r="A7610" s="184"/>
      <c r="B7610" s="184"/>
      <c r="C7610" s="184"/>
      <c r="D7610" s="184"/>
      <c r="E7610" s="184"/>
      <c r="F7610" s="184"/>
      <c r="G7610" s="184"/>
      <c r="H7610" s="184"/>
      <c r="I7610" s="184"/>
      <c r="J7610" s="184"/>
      <c r="K7610" s="184"/>
      <c r="L7610" s="184"/>
      <c r="M7610" s="184"/>
      <c r="N7610" s="184"/>
      <c r="O7610" s="184"/>
    </row>
    <row r="7611" customFormat="false" ht="15" hidden="false" customHeight="true" outlineLevel="0" collapsed="false">
      <c r="A7611" s="184"/>
      <c r="B7611" s="184"/>
      <c r="C7611" s="184"/>
      <c r="D7611" s="184"/>
      <c r="E7611" s="184"/>
      <c r="F7611" s="184"/>
      <c r="G7611" s="184"/>
      <c r="H7611" s="184"/>
      <c r="I7611" s="184"/>
      <c r="J7611" s="184"/>
      <c r="K7611" s="184"/>
      <c r="L7611" s="184"/>
      <c r="M7611" s="184"/>
      <c r="N7611" s="184"/>
      <c r="O7611" s="184"/>
    </row>
    <row r="7612" customFormat="false" ht="15" hidden="false" customHeight="true" outlineLevel="0" collapsed="false">
      <c r="A7612" s="184"/>
      <c r="B7612" s="184"/>
      <c r="C7612" s="184"/>
      <c r="D7612" s="184"/>
      <c r="E7612" s="184"/>
      <c r="F7612" s="184"/>
      <c r="G7612" s="184"/>
      <c r="H7612" s="184"/>
      <c r="I7612" s="184"/>
      <c r="J7612" s="184"/>
      <c r="K7612" s="184"/>
      <c r="L7612" s="184"/>
      <c r="M7612" s="184"/>
      <c r="N7612" s="184"/>
      <c r="O7612" s="184"/>
    </row>
    <row r="7613" customFormat="false" ht="15" hidden="false" customHeight="true" outlineLevel="0" collapsed="false">
      <c r="A7613" s="184"/>
      <c r="B7613" s="184"/>
      <c r="C7613" s="184"/>
      <c r="D7613" s="184"/>
      <c r="E7613" s="184"/>
      <c r="F7613" s="184"/>
      <c r="G7613" s="184"/>
      <c r="H7613" s="184"/>
      <c r="I7613" s="184"/>
      <c r="J7613" s="184"/>
      <c r="K7613" s="184"/>
      <c r="L7613" s="184"/>
      <c r="M7613" s="184"/>
      <c r="N7613" s="184"/>
      <c r="O7613" s="184"/>
    </row>
    <row r="7614" customFormat="false" ht="15" hidden="false" customHeight="true" outlineLevel="0" collapsed="false">
      <c r="A7614" s="184"/>
      <c r="B7614" s="184"/>
      <c r="C7614" s="184"/>
      <c r="D7614" s="184"/>
      <c r="E7614" s="184"/>
      <c r="F7614" s="184"/>
      <c r="G7614" s="184"/>
      <c r="H7614" s="184"/>
      <c r="I7614" s="184"/>
      <c r="J7614" s="184"/>
      <c r="K7614" s="184"/>
      <c r="L7614" s="184"/>
      <c r="M7614" s="184"/>
      <c r="N7614" s="184"/>
      <c r="O7614" s="184"/>
    </row>
    <row r="7615" customFormat="false" ht="15" hidden="false" customHeight="true" outlineLevel="0" collapsed="false">
      <c r="A7615" s="184"/>
      <c r="B7615" s="184"/>
      <c r="C7615" s="184"/>
      <c r="D7615" s="184"/>
      <c r="E7615" s="184"/>
      <c r="F7615" s="184"/>
      <c r="G7615" s="184"/>
      <c r="H7615" s="184"/>
      <c r="I7615" s="184"/>
      <c r="J7615" s="184"/>
      <c r="K7615" s="184"/>
      <c r="L7615" s="184"/>
      <c r="M7615" s="184"/>
      <c r="N7615" s="184"/>
      <c r="O7615" s="184"/>
    </row>
    <row r="7616" customFormat="false" ht="15" hidden="false" customHeight="true" outlineLevel="0" collapsed="false">
      <c r="A7616" s="184"/>
      <c r="B7616" s="184"/>
      <c r="C7616" s="184"/>
      <c r="D7616" s="184"/>
      <c r="E7616" s="184"/>
      <c r="F7616" s="184"/>
      <c r="G7616" s="184"/>
      <c r="H7616" s="184"/>
      <c r="I7616" s="184"/>
      <c r="J7616" s="184"/>
      <c r="K7616" s="184"/>
      <c r="L7616" s="184"/>
      <c r="M7616" s="184"/>
      <c r="N7616" s="184"/>
      <c r="O7616" s="184"/>
    </row>
    <row r="7617" customFormat="false" ht="15" hidden="false" customHeight="true" outlineLevel="0" collapsed="false">
      <c r="A7617" s="184"/>
      <c r="B7617" s="184"/>
      <c r="C7617" s="184"/>
      <c r="D7617" s="184"/>
      <c r="E7617" s="184"/>
      <c r="F7617" s="184"/>
      <c r="G7617" s="184"/>
      <c r="H7617" s="184"/>
      <c r="I7617" s="184"/>
      <c r="J7617" s="184"/>
      <c r="K7617" s="184"/>
      <c r="L7617" s="184"/>
      <c r="M7617" s="184"/>
      <c r="N7617" s="184"/>
      <c r="O7617" s="184"/>
    </row>
    <row r="7618" customFormat="false" ht="15" hidden="false" customHeight="true" outlineLevel="0" collapsed="false">
      <c r="A7618" s="184"/>
      <c r="B7618" s="184"/>
      <c r="C7618" s="184"/>
      <c r="D7618" s="184"/>
      <c r="E7618" s="184"/>
      <c r="F7618" s="184"/>
      <c r="G7618" s="184"/>
      <c r="H7618" s="184"/>
      <c r="I7618" s="184"/>
      <c r="J7618" s="184"/>
      <c r="K7618" s="184"/>
      <c r="L7618" s="184"/>
      <c r="M7618" s="184"/>
      <c r="N7618" s="184"/>
      <c r="O7618" s="184"/>
    </row>
    <row r="7619" customFormat="false" ht="15" hidden="false" customHeight="true" outlineLevel="0" collapsed="false">
      <c r="A7619" s="184"/>
      <c r="B7619" s="184"/>
      <c r="C7619" s="184"/>
      <c r="D7619" s="184"/>
      <c r="E7619" s="184"/>
      <c r="F7619" s="184"/>
      <c r="G7619" s="184"/>
      <c r="H7619" s="184"/>
      <c r="I7619" s="184"/>
      <c r="J7619" s="184"/>
      <c r="K7619" s="184"/>
      <c r="L7619" s="184"/>
      <c r="M7619" s="184"/>
      <c r="N7619" s="184"/>
      <c r="O7619" s="184"/>
    </row>
    <row r="7620" customFormat="false" ht="15" hidden="false" customHeight="true" outlineLevel="0" collapsed="false">
      <c r="A7620" s="184"/>
      <c r="B7620" s="184"/>
      <c r="C7620" s="184"/>
      <c r="D7620" s="184"/>
      <c r="E7620" s="184"/>
      <c r="F7620" s="184"/>
      <c r="G7620" s="184"/>
      <c r="H7620" s="184"/>
      <c r="I7620" s="184"/>
      <c r="J7620" s="184"/>
      <c r="K7620" s="184"/>
      <c r="L7620" s="184"/>
      <c r="M7620" s="184"/>
      <c r="N7620" s="184"/>
      <c r="O7620" s="184"/>
    </row>
    <row r="7621" customFormat="false" ht="15" hidden="false" customHeight="true" outlineLevel="0" collapsed="false">
      <c r="A7621" s="184"/>
      <c r="B7621" s="184"/>
      <c r="C7621" s="184"/>
      <c r="D7621" s="184"/>
      <c r="E7621" s="184"/>
      <c r="F7621" s="184"/>
      <c r="G7621" s="184"/>
      <c r="H7621" s="184"/>
      <c r="I7621" s="184"/>
      <c r="J7621" s="184"/>
      <c r="K7621" s="184"/>
      <c r="L7621" s="184"/>
      <c r="M7621" s="184"/>
      <c r="N7621" s="184"/>
      <c r="O7621" s="184"/>
    </row>
    <row r="7622" customFormat="false" ht="15" hidden="false" customHeight="true" outlineLevel="0" collapsed="false">
      <c r="A7622" s="184"/>
      <c r="B7622" s="184"/>
      <c r="C7622" s="184"/>
      <c r="D7622" s="184"/>
      <c r="E7622" s="184"/>
      <c r="F7622" s="184"/>
      <c r="G7622" s="184"/>
      <c r="H7622" s="184"/>
      <c r="I7622" s="184"/>
      <c r="J7622" s="184"/>
      <c r="K7622" s="184"/>
      <c r="L7622" s="184"/>
      <c r="M7622" s="184"/>
      <c r="N7622" s="184"/>
      <c r="O7622" s="184"/>
    </row>
    <row r="7623" customFormat="false" ht="15" hidden="false" customHeight="true" outlineLevel="0" collapsed="false">
      <c r="A7623" s="184"/>
      <c r="B7623" s="184"/>
      <c r="C7623" s="184"/>
      <c r="D7623" s="184"/>
      <c r="E7623" s="184"/>
      <c r="F7623" s="184"/>
      <c r="G7623" s="184"/>
      <c r="H7623" s="184"/>
      <c r="I7623" s="184"/>
      <c r="J7623" s="184"/>
      <c r="K7623" s="184"/>
      <c r="L7623" s="184"/>
      <c r="M7623" s="184"/>
      <c r="N7623" s="184"/>
      <c r="O7623" s="184"/>
    </row>
    <row r="7624" customFormat="false" ht="15" hidden="false" customHeight="true" outlineLevel="0" collapsed="false">
      <c r="A7624" s="184"/>
      <c r="B7624" s="184"/>
      <c r="C7624" s="184"/>
      <c r="D7624" s="184"/>
      <c r="E7624" s="184"/>
      <c r="F7624" s="184"/>
      <c r="G7624" s="184"/>
      <c r="H7624" s="184"/>
      <c r="I7624" s="184"/>
      <c r="J7624" s="184"/>
      <c r="K7624" s="184"/>
      <c r="L7624" s="184"/>
      <c r="M7624" s="184"/>
      <c r="N7624" s="184"/>
      <c r="O7624" s="184"/>
    </row>
    <row r="7625" customFormat="false" ht="15" hidden="false" customHeight="true" outlineLevel="0" collapsed="false">
      <c r="A7625" s="184"/>
      <c r="B7625" s="184"/>
      <c r="C7625" s="184"/>
      <c r="D7625" s="184"/>
      <c r="E7625" s="184"/>
      <c r="F7625" s="184"/>
      <c r="G7625" s="184"/>
      <c r="H7625" s="184"/>
      <c r="I7625" s="184"/>
      <c r="J7625" s="184"/>
      <c r="K7625" s="184"/>
      <c r="L7625" s="184"/>
      <c r="M7625" s="184"/>
      <c r="N7625" s="184"/>
      <c r="O7625" s="184"/>
    </row>
    <row r="7626" customFormat="false" ht="15" hidden="false" customHeight="true" outlineLevel="0" collapsed="false">
      <c r="A7626" s="184"/>
      <c r="B7626" s="184"/>
      <c r="C7626" s="184"/>
      <c r="D7626" s="184"/>
      <c r="E7626" s="184"/>
      <c r="F7626" s="184"/>
      <c r="G7626" s="184"/>
      <c r="H7626" s="184"/>
      <c r="I7626" s="184"/>
      <c r="J7626" s="184"/>
      <c r="K7626" s="184"/>
      <c r="L7626" s="184"/>
      <c r="M7626" s="184"/>
      <c r="N7626" s="184"/>
      <c r="O7626" s="184"/>
    </row>
    <row r="7627" customFormat="false" ht="15" hidden="false" customHeight="true" outlineLevel="0" collapsed="false">
      <c r="A7627" s="184"/>
      <c r="B7627" s="184"/>
      <c r="C7627" s="184"/>
      <c r="D7627" s="184"/>
      <c r="E7627" s="184"/>
      <c r="F7627" s="184"/>
      <c r="G7627" s="184"/>
      <c r="H7627" s="184"/>
      <c r="I7627" s="184"/>
      <c r="J7627" s="184"/>
      <c r="K7627" s="184"/>
      <c r="L7627" s="184"/>
      <c r="M7627" s="184"/>
      <c r="N7627" s="184"/>
      <c r="O7627" s="184"/>
    </row>
    <row r="7628" customFormat="false" ht="15" hidden="false" customHeight="true" outlineLevel="0" collapsed="false">
      <c r="A7628" s="184"/>
      <c r="B7628" s="184"/>
      <c r="C7628" s="184"/>
      <c r="D7628" s="184"/>
      <c r="E7628" s="184"/>
      <c r="F7628" s="184"/>
      <c r="G7628" s="184"/>
      <c r="H7628" s="184"/>
      <c r="I7628" s="184"/>
      <c r="J7628" s="184"/>
      <c r="K7628" s="184"/>
      <c r="L7628" s="184"/>
      <c r="M7628" s="184"/>
      <c r="N7628" s="184"/>
      <c r="O7628" s="184"/>
    </row>
    <row r="7629" customFormat="false" ht="15" hidden="false" customHeight="true" outlineLevel="0" collapsed="false">
      <c r="B7629" s="181" t="s">
        <v>7306</v>
      </c>
    </row>
    <row r="7630" customFormat="false" ht="68.25" hidden="false" customHeight="true" outlineLevel="0" collapsed="false">
      <c r="A7630" s="184" t="s">
        <v>5032</v>
      </c>
      <c r="B7630" s="184" t="s">
        <v>5033</v>
      </c>
      <c r="C7630" s="184"/>
      <c r="D7630" s="179" t="s">
        <v>4858</v>
      </c>
      <c r="E7630" s="184" t="s">
        <v>7307</v>
      </c>
      <c r="F7630" s="184"/>
      <c r="G7630" s="184"/>
      <c r="H7630" s="184"/>
      <c r="I7630" s="184"/>
      <c r="J7630" s="184"/>
      <c r="K7630" s="184"/>
      <c r="L7630" s="184"/>
      <c r="M7630" s="184" t="s">
        <v>7308</v>
      </c>
      <c r="N7630" s="184"/>
      <c r="O7630" s="184"/>
    </row>
    <row r="7631" customFormat="false" ht="41.25" hidden="false" customHeight="true" outlineLevel="0" collapsed="false">
      <c r="A7631" s="184" t="s">
        <v>5032</v>
      </c>
      <c r="B7631" s="184" t="s">
        <v>5033</v>
      </c>
      <c r="C7631" s="184" t="n">
        <v>1</v>
      </c>
      <c r="D7631" s="184" t="s">
        <v>4790</v>
      </c>
      <c r="E7631" s="184" t="s">
        <v>7019</v>
      </c>
      <c r="F7631" s="184"/>
      <c r="G7631" s="184"/>
      <c r="H7631" s="184"/>
      <c r="I7631" s="184"/>
      <c r="J7631" s="184"/>
      <c r="K7631" s="184"/>
      <c r="L7631" s="184"/>
      <c r="M7631" s="184" t="s">
        <v>7020</v>
      </c>
      <c r="N7631" s="184"/>
      <c r="O7631" s="184"/>
    </row>
    <row r="7632" customFormat="false" ht="41.25" hidden="false" customHeight="true" outlineLevel="0" collapsed="false">
      <c r="A7632" s="184" t="s">
        <v>5032</v>
      </c>
      <c r="B7632" s="184" t="s">
        <v>5033</v>
      </c>
      <c r="C7632" s="184" t="n">
        <v>2</v>
      </c>
      <c r="D7632" s="184" t="s">
        <v>4790</v>
      </c>
      <c r="E7632" s="184" t="s">
        <v>7021</v>
      </c>
      <c r="F7632" s="184"/>
      <c r="G7632" s="184"/>
      <c r="H7632" s="184"/>
      <c r="I7632" s="184"/>
      <c r="J7632" s="184"/>
      <c r="K7632" s="184"/>
      <c r="L7632" s="184"/>
      <c r="M7632" s="184" t="s">
        <v>7022</v>
      </c>
      <c r="N7632" s="184"/>
      <c r="O7632" s="184"/>
    </row>
    <row r="7633" customFormat="false" ht="41.25" hidden="false" customHeight="true" outlineLevel="0" collapsed="false">
      <c r="A7633" s="184" t="s">
        <v>5032</v>
      </c>
      <c r="B7633" s="184" t="s">
        <v>5033</v>
      </c>
      <c r="C7633" s="184" t="n">
        <v>3</v>
      </c>
      <c r="D7633" s="184" t="s">
        <v>4790</v>
      </c>
      <c r="E7633" s="184" t="s">
        <v>7023</v>
      </c>
      <c r="F7633" s="184"/>
      <c r="G7633" s="184"/>
      <c r="H7633" s="184"/>
      <c r="I7633" s="184"/>
      <c r="J7633" s="184"/>
      <c r="K7633" s="184"/>
      <c r="L7633" s="184"/>
      <c r="M7633" s="184" t="s">
        <v>7024</v>
      </c>
      <c r="N7633" s="184"/>
      <c r="O7633" s="184"/>
    </row>
    <row r="7634" customFormat="false" ht="41.25" hidden="false" customHeight="true" outlineLevel="0" collapsed="false">
      <c r="A7634" s="184" t="s">
        <v>5032</v>
      </c>
      <c r="B7634" s="184" t="s">
        <v>5033</v>
      </c>
      <c r="C7634" s="184" t="n">
        <v>4</v>
      </c>
      <c r="D7634" s="184" t="s">
        <v>4790</v>
      </c>
      <c r="E7634" s="184" t="s">
        <v>7309</v>
      </c>
      <c r="F7634" s="184"/>
      <c r="G7634" s="184"/>
      <c r="H7634" s="184"/>
      <c r="I7634" s="184"/>
      <c r="J7634" s="184"/>
      <c r="K7634" s="184"/>
      <c r="L7634" s="184"/>
      <c r="M7634" s="184" t="s">
        <v>7310</v>
      </c>
      <c r="N7634" s="184"/>
      <c r="O7634" s="184"/>
    </row>
    <row r="7635" customFormat="false" ht="54.75" hidden="false" customHeight="true" outlineLevel="0" collapsed="false">
      <c r="A7635" s="184" t="s">
        <v>5032</v>
      </c>
      <c r="B7635" s="184" t="s">
        <v>5033</v>
      </c>
      <c r="C7635" s="184" t="n">
        <v>5</v>
      </c>
      <c r="D7635" s="184" t="s">
        <v>4790</v>
      </c>
      <c r="E7635" s="184" t="s">
        <v>7311</v>
      </c>
      <c r="F7635" s="184"/>
      <c r="G7635" s="184"/>
      <c r="H7635" s="184"/>
      <c r="I7635" s="184"/>
      <c r="J7635" s="184"/>
      <c r="K7635" s="184"/>
      <c r="L7635" s="184"/>
      <c r="M7635" s="184" t="s">
        <v>7312</v>
      </c>
      <c r="N7635" s="184"/>
      <c r="O7635" s="184"/>
    </row>
    <row r="7636" customFormat="false" ht="41.25" hidden="false" customHeight="true" outlineLevel="0" collapsed="false">
      <c r="A7636" s="184" t="s">
        <v>5032</v>
      </c>
      <c r="B7636" s="184" t="s">
        <v>5033</v>
      </c>
      <c r="C7636" s="184" t="n">
        <v>6</v>
      </c>
      <c r="D7636" s="179" t="s">
        <v>6292</v>
      </c>
      <c r="E7636" s="184" t="s">
        <v>7075</v>
      </c>
      <c r="F7636" s="184"/>
      <c r="G7636" s="184"/>
      <c r="H7636" s="184"/>
      <c r="I7636" s="184"/>
      <c r="J7636" s="184"/>
      <c r="K7636" s="184"/>
      <c r="L7636" s="184"/>
      <c r="M7636" s="184"/>
      <c r="N7636" s="184"/>
      <c r="O7636" s="184"/>
    </row>
    <row r="7637" customFormat="false" ht="41.25" hidden="false" customHeight="true" outlineLevel="0" collapsed="false">
      <c r="A7637" s="184" t="s">
        <v>5032</v>
      </c>
      <c r="B7637" s="184" t="s">
        <v>5033</v>
      </c>
      <c r="C7637" s="184" t="n">
        <v>7</v>
      </c>
      <c r="D7637" s="178" t="s">
        <v>5269</v>
      </c>
      <c r="E7637" s="184" t="s">
        <v>7076</v>
      </c>
      <c r="F7637" s="184"/>
      <c r="G7637" s="184"/>
      <c r="H7637" s="184"/>
      <c r="I7637" s="184"/>
      <c r="J7637" s="184"/>
      <c r="K7637" s="184"/>
      <c r="L7637" s="184"/>
      <c r="M7637" s="184" t="s">
        <v>7077</v>
      </c>
      <c r="N7637" s="184"/>
      <c r="O7637" s="184"/>
    </row>
    <row r="7638" customFormat="false" ht="41.25" hidden="false" customHeight="true" outlineLevel="0" collapsed="false">
      <c r="A7638" s="184" t="s">
        <v>5032</v>
      </c>
      <c r="B7638" s="184" t="s">
        <v>5033</v>
      </c>
      <c r="C7638" s="184" t="n">
        <v>8</v>
      </c>
      <c r="D7638" s="178" t="s">
        <v>5269</v>
      </c>
      <c r="E7638" s="184" t="s">
        <v>7078</v>
      </c>
      <c r="F7638" s="184"/>
      <c r="G7638" s="184"/>
      <c r="H7638" s="184"/>
      <c r="I7638" s="184"/>
      <c r="J7638" s="184"/>
      <c r="K7638" s="184"/>
      <c r="L7638" s="184"/>
      <c r="M7638" s="184" t="s">
        <v>7079</v>
      </c>
      <c r="N7638" s="184"/>
      <c r="O7638" s="184"/>
    </row>
    <row r="7639" customFormat="false" ht="41.25" hidden="false" customHeight="true" outlineLevel="0" collapsed="false">
      <c r="A7639" s="184" t="s">
        <v>5032</v>
      </c>
      <c r="B7639" s="184" t="s">
        <v>5033</v>
      </c>
      <c r="C7639" s="184" t="n">
        <v>9</v>
      </c>
      <c r="D7639" s="178" t="s">
        <v>5269</v>
      </c>
      <c r="E7639" s="184" t="s">
        <v>7080</v>
      </c>
      <c r="F7639" s="184"/>
      <c r="G7639" s="184"/>
      <c r="H7639" s="184"/>
      <c r="I7639" s="184"/>
      <c r="J7639" s="184"/>
      <c r="K7639" s="184"/>
      <c r="L7639" s="184"/>
      <c r="M7639" s="184" t="s">
        <v>7081</v>
      </c>
      <c r="N7639" s="184"/>
      <c r="O7639" s="184"/>
    </row>
    <row r="7640" customFormat="false" ht="41.25" hidden="false" customHeight="true" outlineLevel="0" collapsed="false">
      <c r="A7640" s="184" t="s">
        <v>5032</v>
      </c>
      <c r="B7640" s="184" t="s">
        <v>5033</v>
      </c>
      <c r="C7640" s="184" t="n">
        <v>10</v>
      </c>
      <c r="D7640" s="177" t="s">
        <v>6298</v>
      </c>
      <c r="E7640" s="184" t="s">
        <v>7313</v>
      </c>
      <c r="F7640" s="184"/>
      <c r="G7640" s="184"/>
      <c r="H7640" s="184"/>
      <c r="I7640" s="184"/>
      <c r="J7640" s="184"/>
      <c r="K7640" s="184"/>
      <c r="L7640" s="184"/>
      <c r="M7640" s="184"/>
      <c r="N7640" s="184"/>
      <c r="O7640" s="184"/>
    </row>
    <row r="7641" customFormat="false" ht="41.25" hidden="false" customHeight="true" outlineLevel="0" collapsed="false">
      <c r="A7641" s="184" t="s">
        <v>5032</v>
      </c>
      <c r="B7641" s="184" t="s">
        <v>5033</v>
      </c>
      <c r="C7641" s="184" t="n">
        <v>11</v>
      </c>
      <c r="D7641" s="174" t="s">
        <v>6529</v>
      </c>
      <c r="E7641" s="184" t="s">
        <v>7314</v>
      </c>
      <c r="F7641" s="184"/>
      <c r="G7641" s="184"/>
      <c r="H7641" s="184"/>
      <c r="I7641" s="184"/>
      <c r="J7641" s="184"/>
      <c r="K7641" s="184"/>
      <c r="L7641" s="184"/>
      <c r="M7641" s="184" t="s">
        <v>7315</v>
      </c>
      <c r="N7641" s="184"/>
      <c r="O7641" s="184"/>
    </row>
    <row r="7642" customFormat="false" ht="41.25" hidden="false" customHeight="true" outlineLevel="0" collapsed="false">
      <c r="A7642" s="184" t="s">
        <v>5032</v>
      </c>
      <c r="B7642" s="184" t="s">
        <v>5033</v>
      </c>
      <c r="C7642" s="184" t="n">
        <v>12</v>
      </c>
      <c r="D7642" s="184" t="s">
        <v>4790</v>
      </c>
      <c r="E7642" s="184" t="s">
        <v>7316</v>
      </c>
      <c r="F7642" s="184"/>
      <c r="G7642" s="184"/>
      <c r="H7642" s="184"/>
      <c r="I7642" s="184"/>
      <c r="J7642" s="184"/>
      <c r="K7642" s="184"/>
      <c r="L7642" s="184"/>
      <c r="M7642" s="184" t="s">
        <v>7317</v>
      </c>
      <c r="N7642" s="184"/>
      <c r="O7642" s="184"/>
    </row>
    <row r="7643" customFormat="false" ht="41.25" hidden="false" customHeight="true" outlineLevel="0" collapsed="false">
      <c r="A7643" s="184" t="s">
        <v>5032</v>
      </c>
      <c r="B7643" s="184" t="s">
        <v>5033</v>
      </c>
      <c r="C7643" s="184" t="n">
        <v>13</v>
      </c>
      <c r="D7643" s="184" t="s">
        <v>4790</v>
      </c>
      <c r="E7643" s="184" t="s">
        <v>7318</v>
      </c>
      <c r="F7643" s="184"/>
      <c r="G7643" s="184"/>
      <c r="H7643" s="184"/>
      <c r="I7643" s="184"/>
      <c r="J7643" s="184"/>
      <c r="K7643" s="184"/>
      <c r="L7643" s="184"/>
      <c r="M7643" s="184" t="s">
        <v>7319</v>
      </c>
      <c r="N7643" s="184"/>
      <c r="O7643" s="184"/>
    </row>
    <row r="7644" customFormat="false" ht="41.25" hidden="false" customHeight="true" outlineLevel="0" collapsed="false">
      <c r="A7644" s="184" t="s">
        <v>5032</v>
      </c>
      <c r="B7644" s="184" t="s">
        <v>5033</v>
      </c>
      <c r="C7644" s="184" t="n">
        <v>14</v>
      </c>
      <c r="D7644" s="184" t="s">
        <v>4790</v>
      </c>
      <c r="E7644" s="184" t="s">
        <v>7320</v>
      </c>
      <c r="F7644" s="184"/>
      <c r="G7644" s="184"/>
      <c r="H7644" s="184"/>
      <c r="I7644" s="184"/>
      <c r="J7644" s="184"/>
      <c r="K7644" s="184"/>
      <c r="L7644" s="184"/>
      <c r="M7644" s="184" t="s">
        <v>7321</v>
      </c>
      <c r="N7644" s="184"/>
      <c r="O7644" s="184"/>
    </row>
    <row r="7645" customFormat="false" ht="41.25" hidden="false" customHeight="true" outlineLevel="0" collapsed="false">
      <c r="A7645" s="184" t="s">
        <v>5032</v>
      </c>
      <c r="B7645" s="184" t="s">
        <v>5033</v>
      </c>
      <c r="C7645" s="184" t="n">
        <v>15</v>
      </c>
      <c r="D7645" s="184" t="s">
        <v>4790</v>
      </c>
      <c r="E7645" s="184" t="s">
        <v>7322</v>
      </c>
      <c r="F7645" s="184"/>
      <c r="G7645" s="184"/>
      <c r="H7645" s="184"/>
      <c r="I7645" s="184"/>
      <c r="J7645" s="184"/>
      <c r="K7645" s="184"/>
      <c r="L7645" s="184"/>
      <c r="M7645" s="184" t="s">
        <v>7323</v>
      </c>
      <c r="N7645" s="184"/>
      <c r="O7645" s="184"/>
    </row>
    <row r="7646" customFormat="false" ht="41.25" hidden="false" customHeight="true" outlineLevel="0" collapsed="false">
      <c r="A7646" s="184" t="s">
        <v>5032</v>
      </c>
      <c r="B7646" s="184" t="s">
        <v>5033</v>
      </c>
      <c r="C7646" s="184" t="n">
        <v>16</v>
      </c>
      <c r="D7646" s="184" t="s">
        <v>4790</v>
      </c>
      <c r="E7646" s="184" t="s">
        <v>7324</v>
      </c>
      <c r="F7646" s="184"/>
      <c r="G7646" s="184"/>
      <c r="H7646" s="184"/>
      <c r="I7646" s="184"/>
      <c r="J7646" s="184"/>
      <c r="K7646" s="184"/>
      <c r="L7646" s="184"/>
      <c r="M7646" s="184" t="s">
        <v>7325</v>
      </c>
      <c r="N7646" s="184"/>
      <c r="O7646" s="184"/>
    </row>
    <row r="7647" customFormat="false" ht="41.25" hidden="false" customHeight="true" outlineLevel="0" collapsed="false">
      <c r="A7647" s="184" t="s">
        <v>5032</v>
      </c>
      <c r="B7647" s="184" t="s">
        <v>5033</v>
      </c>
      <c r="C7647" s="184" t="n">
        <v>17</v>
      </c>
      <c r="D7647" s="184" t="s">
        <v>4790</v>
      </c>
      <c r="E7647" s="184" t="s">
        <v>7326</v>
      </c>
      <c r="F7647" s="184"/>
      <c r="G7647" s="184"/>
      <c r="H7647" s="184"/>
      <c r="I7647" s="184"/>
      <c r="J7647" s="184"/>
      <c r="K7647" s="184"/>
      <c r="L7647" s="184"/>
      <c r="M7647" s="184" t="s">
        <v>7327</v>
      </c>
      <c r="N7647" s="184"/>
      <c r="O7647" s="184"/>
    </row>
    <row r="7648" customFormat="false" ht="41.25" hidden="false" customHeight="true" outlineLevel="0" collapsed="false">
      <c r="A7648" s="184" t="s">
        <v>5032</v>
      </c>
      <c r="B7648" s="184" t="s">
        <v>5033</v>
      </c>
      <c r="C7648" s="184" t="n">
        <v>18</v>
      </c>
      <c r="D7648" s="184" t="s">
        <v>4790</v>
      </c>
      <c r="E7648" s="184" t="s">
        <v>7328</v>
      </c>
      <c r="F7648" s="184"/>
      <c r="G7648" s="184"/>
      <c r="H7648" s="184"/>
      <c r="I7648" s="184"/>
      <c r="J7648" s="184"/>
      <c r="K7648" s="184"/>
      <c r="L7648" s="184"/>
      <c r="M7648" s="184" t="s">
        <v>7329</v>
      </c>
      <c r="N7648" s="184"/>
      <c r="O7648" s="184"/>
    </row>
    <row r="7649" customFormat="false" ht="41.25" hidden="false" customHeight="true" outlineLevel="0" collapsed="false">
      <c r="A7649" s="184" t="s">
        <v>5032</v>
      </c>
      <c r="B7649" s="184" t="s">
        <v>5033</v>
      </c>
      <c r="C7649" s="184" t="n">
        <v>19</v>
      </c>
      <c r="D7649" s="184" t="s">
        <v>4790</v>
      </c>
      <c r="E7649" s="184" t="s">
        <v>7330</v>
      </c>
      <c r="F7649" s="184"/>
      <c r="G7649" s="184"/>
      <c r="H7649" s="184"/>
      <c r="I7649" s="184"/>
      <c r="J7649" s="184"/>
      <c r="K7649" s="184"/>
      <c r="L7649" s="184"/>
      <c r="M7649" s="184" t="s">
        <v>7331</v>
      </c>
      <c r="N7649" s="184"/>
      <c r="O7649" s="184"/>
    </row>
    <row r="7650" customFormat="false" ht="41.25" hidden="false" customHeight="true" outlineLevel="0" collapsed="false">
      <c r="A7650" s="184" t="s">
        <v>5032</v>
      </c>
      <c r="B7650" s="184" t="s">
        <v>5033</v>
      </c>
      <c r="C7650" s="184" t="n">
        <v>20</v>
      </c>
      <c r="D7650" s="184" t="s">
        <v>4790</v>
      </c>
      <c r="E7650" s="184" t="s">
        <v>7332</v>
      </c>
      <c r="F7650" s="184"/>
      <c r="G7650" s="184"/>
      <c r="H7650" s="184"/>
      <c r="I7650" s="184"/>
      <c r="J7650" s="184"/>
      <c r="K7650" s="184"/>
      <c r="L7650" s="184"/>
      <c r="M7650" s="184" t="s">
        <v>7333</v>
      </c>
      <c r="N7650" s="184"/>
      <c r="O7650" s="184"/>
    </row>
    <row r="7651" customFormat="false" ht="41.25" hidden="false" customHeight="true" outlineLevel="0" collapsed="false">
      <c r="A7651" s="184" t="s">
        <v>5032</v>
      </c>
      <c r="B7651" s="184" t="s">
        <v>5033</v>
      </c>
      <c r="C7651" s="184" t="n">
        <v>21</v>
      </c>
      <c r="D7651" s="184" t="s">
        <v>6296</v>
      </c>
      <c r="E7651" s="184" t="s">
        <v>7334</v>
      </c>
      <c r="F7651" s="184"/>
      <c r="G7651" s="184"/>
      <c r="H7651" s="184"/>
      <c r="I7651" s="184"/>
      <c r="J7651" s="184"/>
      <c r="K7651" s="184"/>
      <c r="L7651" s="184"/>
      <c r="M7651" s="184"/>
      <c r="N7651" s="184"/>
      <c r="O7651" s="184"/>
    </row>
    <row r="7652" customFormat="false" ht="81.75" hidden="false" customHeight="true" outlineLevel="0" collapsed="false">
      <c r="A7652" s="184" t="s">
        <v>5032</v>
      </c>
      <c r="B7652" s="184" t="s">
        <v>5033</v>
      </c>
      <c r="C7652" s="184" t="n">
        <v>22</v>
      </c>
      <c r="D7652" s="184" t="s">
        <v>6294</v>
      </c>
      <c r="E7652" s="184" t="s">
        <v>7335</v>
      </c>
      <c r="F7652" s="184"/>
      <c r="G7652" s="184"/>
      <c r="H7652" s="184"/>
      <c r="I7652" s="184"/>
      <c r="J7652" s="184"/>
      <c r="K7652" s="184"/>
      <c r="L7652" s="184"/>
      <c r="M7652" s="184"/>
      <c r="N7652" s="184"/>
      <c r="O7652" s="184"/>
    </row>
    <row r="7653" customFormat="false" ht="15" hidden="false" customHeight="true" outlineLevel="0" collapsed="false">
      <c r="A7653" s="184"/>
      <c r="B7653" s="184"/>
      <c r="C7653" s="184"/>
      <c r="D7653" s="184"/>
      <c r="E7653" s="184"/>
      <c r="F7653" s="184"/>
      <c r="G7653" s="184"/>
      <c r="H7653" s="184"/>
      <c r="I7653" s="184"/>
      <c r="J7653" s="184"/>
      <c r="K7653" s="184"/>
      <c r="L7653" s="184"/>
      <c r="M7653" s="184"/>
      <c r="N7653" s="184"/>
      <c r="O7653" s="184"/>
    </row>
    <row r="7654" customFormat="false" ht="15" hidden="false" customHeight="true" outlineLevel="0" collapsed="false">
      <c r="A7654" s="184"/>
      <c r="B7654" s="184"/>
      <c r="C7654" s="184"/>
      <c r="D7654" s="184"/>
      <c r="E7654" s="184"/>
      <c r="F7654" s="184"/>
      <c r="G7654" s="184"/>
      <c r="H7654" s="184"/>
      <c r="I7654" s="184"/>
      <c r="J7654" s="184"/>
      <c r="K7654" s="184"/>
      <c r="L7654" s="184"/>
      <c r="M7654" s="184"/>
      <c r="N7654" s="184"/>
      <c r="O7654" s="184"/>
    </row>
    <row r="7655" customFormat="false" ht="15" hidden="false" customHeight="true" outlineLevel="0" collapsed="false">
      <c r="A7655" s="184"/>
      <c r="B7655" s="184"/>
      <c r="C7655" s="184"/>
      <c r="D7655" s="184"/>
      <c r="E7655" s="184"/>
      <c r="F7655" s="184"/>
      <c r="G7655" s="184"/>
      <c r="H7655" s="184"/>
      <c r="I7655" s="184"/>
      <c r="J7655" s="184"/>
      <c r="K7655" s="184"/>
      <c r="L7655" s="184"/>
      <c r="M7655" s="184"/>
      <c r="N7655" s="184"/>
      <c r="O7655" s="184"/>
    </row>
    <row r="7656" customFormat="false" ht="15" hidden="false" customHeight="true" outlineLevel="0" collapsed="false">
      <c r="A7656" s="184"/>
      <c r="B7656" s="184"/>
      <c r="C7656" s="184"/>
      <c r="D7656" s="184"/>
      <c r="E7656" s="184"/>
      <c r="F7656" s="184"/>
      <c r="G7656" s="184"/>
      <c r="H7656" s="184"/>
      <c r="I7656" s="184"/>
      <c r="J7656" s="184"/>
      <c r="K7656" s="184"/>
      <c r="L7656" s="184"/>
      <c r="M7656" s="184"/>
      <c r="N7656" s="184"/>
      <c r="O7656" s="184"/>
    </row>
    <row r="7657" customFormat="false" ht="15" hidden="false" customHeight="true" outlineLevel="0" collapsed="false">
      <c r="A7657" s="184"/>
      <c r="B7657" s="184"/>
      <c r="C7657" s="184"/>
      <c r="D7657" s="184"/>
      <c r="E7657" s="184"/>
      <c r="F7657" s="184"/>
      <c r="G7657" s="184"/>
      <c r="H7657" s="184"/>
      <c r="I7657" s="184"/>
      <c r="J7657" s="184"/>
      <c r="K7657" s="184"/>
      <c r="L7657" s="184"/>
      <c r="M7657" s="184"/>
      <c r="N7657" s="184"/>
      <c r="O7657" s="184"/>
    </row>
    <row r="7658" customFormat="false" ht="15" hidden="false" customHeight="true" outlineLevel="0" collapsed="false">
      <c r="A7658" s="184"/>
      <c r="B7658" s="184"/>
      <c r="C7658" s="184"/>
      <c r="D7658" s="184"/>
      <c r="E7658" s="184"/>
      <c r="F7658" s="184"/>
      <c r="G7658" s="184"/>
      <c r="H7658" s="184"/>
      <c r="I7658" s="184"/>
      <c r="J7658" s="184"/>
      <c r="K7658" s="184"/>
      <c r="L7658" s="184"/>
      <c r="M7658" s="184"/>
      <c r="N7658" s="184"/>
      <c r="O7658" s="184"/>
    </row>
    <row r="7659" customFormat="false" ht="15" hidden="false" customHeight="true" outlineLevel="0" collapsed="false">
      <c r="A7659" s="184"/>
      <c r="B7659" s="184"/>
      <c r="C7659" s="184"/>
      <c r="D7659" s="184"/>
      <c r="E7659" s="184"/>
      <c r="F7659" s="184"/>
      <c r="G7659" s="184"/>
      <c r="H7659" s="184"/>
      <c r="I7659" s="184"/>
      <c r="J7659" s="184"/>
      <c r="K7659" s="184"/>
      <c r="L7659" s="184"/>
      <c r="M7659" s="184"/>
      <c r="N7659" s="184"/>
      <c r="O7659" s="184"/>
    </row>
    <row r="7660" customFormat="false" ht="15" hidden="false" customHeight="true" outlineLevel="0" collapsed="false">
      <c r="A7660" s="184"/>
      <c r="B7660" s="184"/>
      <c r="C7660" s="184"/>
      <c r="D7660" s="184"/>
      <c r="E7660" s="184"/>
      <c r="F7660" s="184"/>
      <c r="G7660" s="184"/>
      <c r="H7660" s="184"/>
      <c r="I7660" s="184"/>
      <c r="J7660" s="184"/>
      <c r="K7660" s="184"/>
      <c r="L7660" s="184"/>
      <c r="M7660" s="184"/>
      <c r="N7660" s="184"/>
      <c r="O7660" s="184"/>
    </row>
    <row r="7661" customFormat="false" ht="15" hidden="false" customHeight="true" outlineLevel="0" collapsed="false">
      <c r="A7661" s="184"/>
      <c r="B7661" s="184"/>
      <c r="C7661" s="184"/>
      <c r="D7661" s="184"/>
      <c r="E7661" s="184"/>
      <c r="F7661" s="184"/>
      <c r="G7661" s="184"/>
      <c r="H7661" s="184"/>
      <c r="I7661" s="184"/>
      <c r="J7661" s="184"/>
      <c r="K7661" s="184"/>
      <c r="L7661" s="184"/>
      <c r="M7661" s="184"/>
      <c r="N7661" s="184"/>
      <c r="O7661" s="184"/>
    </row>
    <row r="7662" customFormat="false" ht="15" hidden="false" customHeight="true" outlineLevel="0" collapsed="false">
      <c r="A7662" s="184"/>
      <c r="B7662" s="184"/>
      <c r="C7662" s="184"/>
      <c r="D7662" s="184"/>
      <c r="E7662" s="184"/>
      <c r="F7662" s="184"/>
      <c r="G7662" s="184"/>
      <c r="H7662" s="184"/>
      <c r="I7662" s="184"/>
      <c r="J7662" s="184"/>
      <c r="K7662" s="184"/>
      <c r="L7662" s="184"/>
      <c r="M7662" s="184"/>
      <c r="N7662" s="184"/>
      <c r="O7662" s="184"/>
    </row>
    <row r="7663" customFormat="false" ht="15" hidden="false" customHeight="true" outlineLevel="0" collapsed="false">
      <c r="A7663" s="184"/>
      <c r="B7663" s="184"/>
      <c r="C7663" s="184"/>
      <c r="D7663" s="184"/>
      <c r="E7663" s="184"/>
      <c r="F7663" s="184"/>
      <c r="G7663" s="184"/>
      <c r="H7663" s="184"/>
      <c r="I7663" s="184"/>
      <c r="J7663" s="184"/>
      <c r="K7663" s="184"/>
      <c r="L7663" s="184"/>
      <c r="M7663" s="184"/>
      <c r="N7663" s="184"/>
      <c r="O7663" s="184"/>
    </row>
    <row r="7664" customFormat="false" ht="15" hidden="false" customHeight="true" outlineLevel="0" collapsed="false">
      <c r="A7664" s="184"/>
      <c r="B7664" s="184"/>
      <c r="C7664" s="184"/>
      <c r="D7664" s="184"/>
      <c r="E7664" s="184"/>
      <c r="F7664" s="184"/>
      <c r="G7664" s="184"/>
      <c r="H7664" s="184"/>
      <c r="I7664" s="184"/>
      <c r="J7664" s="184"/>
      <c r="K7664" s="184"/>
      <c r="L7664" s="184"/>
      <c r="M7664" s="184"/>
      <c r="N7664" s="184"/>
      <c r="O7664" s="184"/>
    </row>
    <row r="7665" customFormat="false" ht="15" hidden="false" customHeight="true" outlineLevel="0" collapsed="false">
      <c r="A7665" s="184"/>
      <c r="B7665" s="184"/>
      <c r="C7665" s="184"/>
      <c r="D7665" s="184"/>
      <c r="E7665" s="184"/>
      <c r="F7665" s="184"/>
      <c r="G7665" s="184"/>
      <c r="H7665" s="184"/>
      <c r="I7665" s="184"/>
      <c r="J7665" s="184"/>
      <c r="K7665" s="184"/>
      <c r="L7665" s="184"/>
      <c r="M7665" s="184"/>
      <c r="N7665" s="184"/>
      <c r="O7665" s="184"/>
    </row>
    <row r="7666" customFormat="false" ht="15" hidden="false" customHeight="true" outlineLevel="0" collapsed="false">
      <c r="A7666" s="184"/>
      <c r="B7666" s="184"/>
      <c r="C7666" s="184"/>
      <c r="D7666" s="184"/>
      <c r="E7666" s="184"/>
      <c r="F7666" s="184"/>
      <c r="G7666" s="184"/>
      <c r="H7666" s="184"/>
      <c r="I7666" s="184"/>
      <c r="J7666" s="184"/>
      <c r="K7666" s="184"/>
      <c r="L7666" s="184"/>
      <c r="M7666" s="184"/>
      <c r="N7666" s="184"/>
      <c r="O7666" s="184"/>
    </row>
    <row r="7667" customFormat="false" ht="15" hidden="false" customHeight="true" outlineLevel="0" collapsed="false">
      <c r="A7667" s="184"/>
      <c r="B7667" s="184"/>
      <c r="C7667" s="184"/>
      <c r="D7667" s="184"/>
      <c r="E7667" s="184"/>
      <c r="F7667" s="184"/>
      <c r="G7667" s="184"/>
      <c r="H7667" s="184"/>
      <c r="I7667" s="184"/>
      <c r="J7667" s="184"/>
      <c r="K7667" s="184"/>
      <c r="L7667" s="184"/>
      <c r="M7667" s="184"/>
      <c r="N7667" s="184"/>
      <c r="O7667" s="184"/>
    </row>
    <row r="7668" customFormat="false" ht="15" hidden="false" customHeight="true" outlineLevel="0" collapsed="false">
      <c r="A7668" s="184"/>
      <c r="B7668" s="184"/>
      <c r="C7668" s="184"/>
      <c r="D7668" s="184"/>
      <c r="E7668" s="184"/>
      <c r="F7668" s="184"/>
      <c r="G7668" s="184"/>
      <c r="H7668" s="184"/>
      <c r="I7668" s="184"/>
      <c r="J7668" s="184"/>
      <c r="K7668" s="184"/>
      <c r="L7668" s="184"/>
      <c r="M7668" s="184"/>
      <c r="N7668" s="184"/>
      <c r="O7668" s="184"/>
    </row>
    <row r="7669" customFormat="false" ht="15" hidden="false" customHeight="true" outlineLevel="0" collapsed="false">
      <c r="A7669" s="184"/>
      <c r="B7669" s="184"/>
      <c r="C7669" s="184"/>
      <c r="D7669" s="184"/>
      <c r="E7669" s="184"/>
      <c r="F7669" s="184"/>
      <c r="G7669" s="184"/>
      <c r="H7669" s="184"/>
      <c r="I7669" s="184"/>
      <c r="J7669" s="184"/>
      <c r="K7669" s="184"/>
      <c r="L7669" s="184"/>
      <c r="M7669" s="184"/>
      <c r="N7669" s="184"/>
      <c r="O7669" s="184"/>
    </row>
    <row r="7670" customFormat="false" ht="15" hidden="false" customHeight="true" outlineLevel="0" collapsed="false">
      <c r="A7670" s="184"/>
      <c r="B7670" s="184"/>
      <c r="C7670" s="184"/>
      <c r="D7670" s="184"/>
      <c r="E7670" s="184"/>
      <c r="F7670" s="184"/>
      <c r="G7670" s="184"/>
      <c r="H7670" s="184"/>
      <c r="I7670" s="184"/>
      <c r="J7670" s="184"/>
      <c r="K7670" s="184"/>
      <c r="L7670" s="184"/>
      <c r="M7670" s="184"/>
      <c r="N7670" s="184"/>
      <c r="O7670" s="184"/>
    </row>
    <row r="7671" customFormat="false" ht="15" hidden="false" customHeight="true" outlineLevel="0" collapsed="false">
      <c r="A7671" s="184"/>
      <c r="B7671" s="184"/>
      <c r="C7671" s="184"/>
      <c r="D7671" s="184"/>
      <c r="E7671" s="184"/>
      <c r="F7671" s="184"/>
      <c r="G7671" s="184"/>
      <c r="H7671" s="184"/>
      <c r="I7671" s="184"/>
      <c r="J7671" s="184"/>
      <c r="K7671" s="184"/>
      <c r="L7671" s="184"/>
      <c r="M7671" s="184"/>
      <c r="N7671" s="184"/>
      <c r="O7671" s="184"/>
    </row>
    <row r="7672" customFormat="false" ht="15" hidden="false" customHeight="true" outlineLevel="0" collapsed="false">
      <c r="A7672" s="184"/>
      <c r="B7672" s="184"/>
      <c r="C7672" s="184"/>
      <c r="D7672" s="184"/>
      <c r="E7672" s="184"/>
      <c r="F7672" s="184"/>
      <c r="G7672" s="184"/>
      <c r="H7672" s="184"/>
      <c r="I7672" s="184"/>
      <c r="J7672" s="184"/>
      <c r="K7672" s="184"/>
      <c r="L7672" s="184"/>
      <c r="M7672" s="184"/>
      <c r="N7672" s="184"/>
      <c r="O7672" s="184"/>
    </row>
    <row r="7673" customFormat="false" ht="15" hidden="false" customHeight="true" outlineLevel="0" collapsed="false">
      <c r="A7673" s="184"/>
      <c r="B7673" s="184"/>
      <c r="C7673" s="184"/>
      <c r="D7673" s="184"/>
      <c r="E7673" s="184"/>
      <c r="F7673" s="184"/>
      <c r="G7673" s="184"/>
      <c r="H7673" s="184"/>
      <c r="I7673" s="184"/>
      <c r="J7673" s="184"/>
      <c r="K7673" s="184"/>
      <c r="L7673" s="184"/>
      <c r="M7673" s="184"/>
      <c r="N7673" s="184"/>
      <c r="O7673" s="184"/>
    </row>
    <row r="7674" customFormat="false" ht="15" hidden="false" customHeight="true" outlineLevel="0" collapsed="false">
      <c r="A7674" s="184"/>
      <c r="B7674" s="184"/>
      <c r="C7674" s="184"/>
      <c r="D7674" s="184"/>
      <c r="E7674" s="184"/>
      <c r="F7674" s="184"/>
      <c r="G7674" s="184"/>
      <c r="H7674" s="184"/>
      <c r="I7674" s="184"/>
      <c r="J7674" s="184"/>
      <c r="K7674" s="184"/>
      <c r="L7674" s="184"/>
      <c r="M7674" s="184"/>
      <c r="N7674" s="184"/>
      <c r="O7674" s="184"/>
    </row>
    <row r="7675" customFormat="false" ht="15" hidden="false" customHeight="true" outlineLevel="0" collapsed="false">
      <c r="A7675" s="184"/>
      <c r="B7675" s="184"/>
      <c r="C7675" s="184"/>
      <c r="D7675" s="184"/>
      <c r="E7675" s="184"/>
      <c r="F7675" s="184"/>
      <c r="G7675" s="184"/>
      <c r="H7675" s="184"/>
      <c r="I7675" s="184"/>
      <c r="J7675" s="184"/>
      <c r="K7675" s="184"/>
      <c r="L7675" s="184"/>
      <c r="M7675" s="184"/>
      <c r="N7675" s="184"/>
      <c r="O7675" s="184"/>
    </row>
    <row r="7676" customFormat="false" ht="15" hidden="false" customHeight="true" outlineLevel="0" collapsed="false">
      <c r="A7676" s="184"/>
      <c r="B7676" s="184"/>
      <c r="C7676" s="184"/>
      <c r="D7676" s="184"/>
      <c r="E7676" s="184"/>
      <c r="F7676" s="184"/>
      <c r="G7676" s="184"/>
      <c r="H7676" s="184"/>
      <c r="I7676" s="184"/>
      <c r="J7676" s="184"/>
      <c r="K7676" s="184"/>
      <c r="L7676" s="184"/>
      <c r="M7676" s="184"/>
      <c r="N7676" s="184"/>
      <c r="O7676" s="184"/>
    </row>
    <row r="7677" customFormat="false" ht="15" hidden="false" customHeight="true" outlineLevel="0" collapsed="false">
      <c r="A7677" s="184"/>
      <c r="B7677" s="184"/>
      <c r="C7677" s="184"/>
      <c r="D7677" s="184"/>
      <c r="E7677" s="184"/>
      <c r="F7677" s="184"/>
      <c r="G7677" s="184"/>
      <c r="H7677" s="184"/>
      <c r="I7677" s="184"/>
      <c r="J7677" s="184"/>
      <c r="K7677" s="184"/>
      <c r="L7677" s="184"/>
      <c r="M7677" s="184"/>
      <c r="N7677" s="184"/>
      <c r="O7677" s="184"/>
    </row>
    <row r="7678" customFormat="false" ht="15" hidden="false" customHeight="true" outlineLevel="0" collapsed="false">
      <c r="A7678" s="184"/>
      <c r="B7678" s="184"/>
      <c r="C7678" s="184"/>
      <c r="D7678" s="184"/>
      <c r="E7678" s="184"/>
      <c r="F7678" s="184"/>
      <c r="G7678" s="184"/>
      <c r="H7678" s="184"/>
      <c r="I7678" s="184"/>
      <c r="J7678" s="184"/>
      <c r="K7678" s="184"/>
      <c r="L7678" s="184"/>
      <c r="M7678" s="184"/>
      <c r="N7678" s="184"/>
      <c r="O7678" s="184"/>
    </row>
    <row r="7679" customFormat="false" ht="15" hidden="false" customHeight="true" outlineLevel="0" collapsed="false">
      <c r="A7679" s="184"/>
      <c r="B7679" s="184"/>
      <c r="C7679" s="184"/>
      <c r="D7679" s="184"/>
      <c r="E7679" s="184"/>
      <c r="F7679" s="184"/>
      <c r="G7679" s="184"/>
      <c r="H7679" s="184"/>
      <c r="I7679" s="184"/>
      <c r="J7679" s="184"/>
      <c r="K7679" s="184"/>
      <c r="L7679" s="184"/>
      <c r="M7679" s="184"/>
      <c r="N7679" s="184"/>
      <c r="O7679" s="184"/>
    </row>
    <row r="7680" customFormat="false" ht="15" hidden="false" customHeight="true" outlineLevel="0" collapsed="false">
      <c r="A7680" s="184"/>
      <c r="B7680" s="184"/>
      <c r="C7680" s="184"/>
      <c r="D7680" s="184"/>
      <c r="E7680" s="184"/>
      <c r="F7680" s="184"/>
      <c r="G7680" s="184"/>
      <c r="H7680" s="184"/>
      <c r="I7680" s="184"/>
      <c r="J7680" s="184"/>
      <c r="K7680" s="184"/>
      <c r="L7680" s="184"/>
      <c r="M7680" s="184"/>
      <c r="N7680" s="184"/>
      <c r="O7680" s="184"/>
    </row>
    <row r="7681" customFormat="false" ht="15" hidden="false" customHeight="true" outlineLevel="0" collapsed="false">
      <c r="A7681" s="184"/>
      <c r="B7681" s="184"/>
      <c r="C7681" s="184"/>
      <c r="D7681" s="184"/>
      <c r="E7681" s="184"/>
      <c r="F7681" s="184"/>
      <c r="G7681" s="184"/>
      <c r="H7681" s="184"/>
      <c r="I7681" s="184"/>
      <c r="J7681" s="184"/>
      <c r="K7681" s="184"/>
      <c r="L7681" s="184"/>
      <c r="M7681" s="184"/>
      <c r="N7681" s="184"/>
      <c r="O7681" s="184"/>
    </row>
    <row r="7682" customFormat="false" ht="15" hidden="false" customHeight="true" outlineLevel="0" collapsed="false">
      <c r="A7682" s="184"/>
      <c r="B7682" s="184"/>
      <c r="C7682" s="184"/>
      <c r="D7682" s="184"/>
      <c r="E7682" s="184"/>
      <c r="F7682" s="184"/>
      <c r="G7682" s="184"/>
      <c r="H7682" s="184"/>
      <c r="I7682" s="184"/>
      <c r="J7682" s="184"/>
      <c r="K7682" s="184"/>
      <c r="L7682" s="184"/>
      <c r="M7682" s="184"/>
      <c r="N7682" s="184"/>
      <c r="O7682" s="184"/>
    </row>
    <row r="7683" customFormat="false" ht="15" hidden="false" customHeight="true" outlineLevel="0" collapsed="false">
      <c r="A7683" s="184"/>
      <c r="B7683" s="184"/>
      <c r="C7683" s="184"/>
      <c r="D7683" s="184"/>
      <c r="E7683" s="184"/>
      <c r="F7683" s="184"/>
      <c r="G7683" s="184"/>
      <c r="H7683" s="184"/>
      <c r="I7683" s="184"/>
      <c r="J7683" s="184"/>
      <c r="K7683" s="184"/>
      <c r="L7683" s="184"/>
      <c r="M7683" s="184"/>
      <c r="N7683" s="184"/>
      <c r="O7683" s="184"/>
    </row>
    <row r="7684" customFormat="false" ht="15" hidden="false" customHeight="true" outlineLevel="0" collapsed="false">
      <c r="A7684" s="184"/>
      <c r="B7684" s="184"/>
      <c r="C7684" s="184"/>
      <c r="D7684" s="184"/>
      <c r="E7684" s="184"/>
      <c r="F7684" s="184"/>
      <c r="G7684" s="184"/>
      <c r="H7684" s="184"/>
      <c r="I7684" s="184"/>
      <c r="J7684" s="184"/>
      <c r="K7684" s="184"/>
      <c r="L7684" s="184"/>
      <c r="M7684" s="184"/>
      <c r="N7684" s="184"/>
      <c r="O7684" s="184"/>
    </row>
    <row r="7685" customFormat="false" ht="15" hidden="false" customHeight="true" outlineLevel="0" collapsed="false">
      <c r="A7685" s="184"/>
      <c r="B7685" s="184"/>
      <c r="C7685" s="184"/>
      <c r="D7685" s="184"/>
      <c r="E7685" s="184"/>
      <c r="F7685" s="184"/>
      <c r="G7685" s="184"/>
      <c r="H7685" s="184"/>
      <c r="I7685" s="184"/>
      <c r="J7685" s="184"/>
      <c r="K7685" s="184"/>
      <c r="L7685" s="184"/>
      <c r="M7685" s="184"/>
      <c r="N7685" s="184"/>
      <c r="O7685" s="184"/>
    </row>
    <row r="7686" customFormat="false" ht="15" hidden="false" customHeight="true" outlineLevel="0" collapsed="false">
      <c r="A7686" s="184"/>
      <c r="B7686" s="184"/>
      <c r="C7686" s="184"/>
      <c r="D7686" s="184"/>
      <c r="E7686" s="184"/>
      <c r="F7686" s="184"/>
      <c r="G7686" s="184"/>
      <c r="H7686" s="184"/>
      <c r="I7686" s="184"/>
      <c r="J7686" s="184"/>
      <c r="K7686" s="184"/>
      <c r="L7686" s="184"/>
      <c r="M7686" s="184"/>
      <c r="N7686" s="184"/>
      <c r="O7686" s="184"/>
    </row>
    <row r="7687" customFormat="false" ht="15" hidden="false" customHeight="true" outlineLevel="0" collapsed="false">
      <c r="A7687" s="184"/>
      <c r="B7687" s="184"/>
      <c r="C7687" s="184"/>
      <c r="D7687" s="184"/>
      <c r="E7687" s="184"/>
      <c r="F7687" s="184"/>
      <c r="G7687" s="184"/>
      <c r="H7687" s="184"/>
      <c r="I7687" s="184"/>
      <c r="J7687" s="184"/>
      <c r="K7687" s="184"/>
      <c r="L7687" s="184"/>
      <c r="M7687" s="184"/>
      <c r="N7687" s="184"/>
      <c r="O7687" s="184"/>
    </row>
    <row r="7688" customFormat="false" ht="15" hidden="false" customHeight="true" outlineLevel="0" collapsed="false">
      <c r="A7688" s="184"/>
      <c r="B7688" s="184"/>
      <c r="C7688" s="184"/>
      <c r="D7688" s="184"/>
      <c r="E7688" s="184"/>
      <c r="F7688" s="184"/>
      <c r="G7688" s="184"/>
      <c r="H7688" s="184"/>
      <c r="I7688" s="184"/>
      <c r="J7688" s="184"/>
      <c r="K7688" s="184"/>
      <c r="L7688" s="184"/>
      <c r="M7688" s="184"/>
      <c r="N7688" s="184"/>
      <c r="O7688" s="184"/>
    </row>
    <row r="7689" customFormat="false" ht="15" hidden="false" customHeight="true" outlineLevel="0" collapsed="false">
      <c r="A7689" s="184"/>
      <c r="B7689" s="184"/>
      <c r="C7689" s="184"/>
      <c r="D7689" s="184"/>
      <c r="E7689" s="184"/>
      <c r="F7689" s="184"/>
      <c r="G7689" s="184"/>
      <c r="H7689" s="184"/>
      <c r="I7689" s="184"/>
      <c r="J7689" s="184"/>
      <c r="K7689" s="184"/>
      <c r="L7689" s="184"/>
      <c r="M7689" s="184"/>
      <c r="N7689" s="184"/>
      <c r="O7689" s="184"/>
    </row>
    <row r="7690" customFormat="false" ht="15" hidden="false" customHeight="true" outlineLevel="0" collapsed="false">
      <c r="A7690" s="184"/>
      <c r="B7690" s="184"/>
      <c r="C7690" s="184"/>
      <c r="D7690" s="184"/>
      <c r="E7690" s="184"/>
      <c r="F7690" s="184"/>
      <c r="G7690" s="184"/>
      <c r="H7690" s="184"/>
      <c r="I7690" s="184"/>
      <c r="J7690" s="184"/>
      <c r="K7690" s="184"/>
      <c r="L7690" s="184"/>
      <c r="M7690" s="184"/>
      <c r="N7690" s="184"/>
      <c r="O7690" s="184"/>
    </row>
    <row r="7691" customFormat="false" ht="15" hidden="false" customHeight="true" outlineLevel="0" collapsed="false">
      <c r="A7691" s="184"/>
      <c r="B7691" s="184"/>
      <c r="C7691" s="184"/>
      <c r="D7691" s="184"/>
      <c r="E7691" s="184"/>
      <c r="F7691" s="184"/>
      <c r="G7691" s="184"/>
      <c r="H7691" s="184"/>
      <c r="I7691" s="184"/>
      <c r="J7691" s="184"/>
      <c r="K7691" s="184"/>
      <c r="L7691" s="184"/>
      <c r="M7691" s="184"/>
      <c r="N7691" s="184"/>
      <c r="O7691" s="184"/>
    </row>
    <row r="7692" customFormat="false" ht="15" hidden="false" customHeight="true" outlineLevel="0" collapsed="false">
      <c r="A7692" s="184"/>
      <c r="B7692" s="184"/>
      <c r="C7692" s="184"/>
      <c r="D7692" s="184"/>
      <c r="E7692" s="184"/>
      <c r="F7692" s="184"/>
      <c r="G7692" s="184"/>
      <c r="H7692" s="184"/>
      <c r="I7692" s="184"/>
      <c r="J7692" s="184"/>
      <c r="K7692" s="184"/>
      <c r="L7692" s="184"/>
      <c r="M7692" s="184"/>
      <c r="N7692" s="184"/>
      <c r="O7692" s="184"/>
    </row>
    <row r="7693" customFormat="false" ht="15" hidden="false" customHeight="true" outlineLevel="0" collapsed="false">
      <c r="A7693" s="184"/>
      <c r="B7693" s="184"/>
      <c r="C7693" s="184"/>
      <c r="D7693" s="184"/>
      <c r="E7693" s="184"/>
      <c r="F7693" s="184"/>
      <c r="G7693" s="184"/>
      <c r="H7693" s="184"/>
      <c r="I7693" s="184"/>
      <c r="J7693" s="184"/>
      <c r="K7693" s="184"/>
      <c r="L7693" s="184"/>
      <c r="M7693" s="184"/>
      <c r="N7693" s="184"/>
      <c r="O7693" s="184"/>
    </row>
    <row r="7694" customFormat="false" ht="15" hidden="false" customHeight="true" outlineLevel="0" collapsed="false">
      <c r="A7694" s="184"/>
      <c r="B7694" s="184"/>
      <c r="C7694" s="184"/>
      <c r="D7694" s="184"/>
      <c r="E7694" s="184"/>
      <c r="F7694" s="184"/>
      <c r="G7694" s="184"/>
      <c r="H7694" s="184"/>
      <c r="I7694" s="184"/>
      <c r="J7694" s="184"/>
      <c r="K7694" s="184"/>
      <c r="L7694" s="184"/>
      <c r="M7694" s="184"/>
      <c r="N7694" s="184"/>
      <c r="O7694" s="184"/>
    </row>
    <row r="7695" customFormat="false" ht="15" hidden="false" customHeight="true" outlineLevel="0" collapsed="false">
      <c r="A7695" s="184"/>
      <c r="B7695" s="184"/>
      <c r="C7695" s="184"/>
      <c r="D7695" s="184"/>
      <c r="E7695" s="184"/>
      <c r="F7695" s="184"/>
      <c r="G7695" s="184"/>
      <c r="H7695" s="184"/>
      <c r="I7695" s="184"/>
      <c r="J7695" s="184"/>
      <c r="K7695" s="184"/>
      <c r="L7695" s="184"/>
      <c r="M7695" s="184"/>
      <c r="N7695" s="184"/>
      <c r="O7695" s="184"/>
    </row>
    <row r="7696" customFormat="false" ht="15" hidden="false" customHeight="true" outlineLevel="0" collapsed="false">
      <c r="A7696" s="184"/>
      <c r="B7696" s="184"/>
      <c r="C7696" s="184"/>
      <c r="D7696" s="184"/>
      <c r="E7696" s="184"/>
      <c r="F7696" s="184"/>
      <c r="G7696" s="184"/>
      <c r="H7696" s="184"/>
      <c r="I7696" s="184"/>
      <c r="J7696" s="184"/>
      <c r="K7696" s="184"/>
      <c r="L7696" s="184"/>
      <c r="M7696" s="184"/>
      <c r="N7696" s="184"/>
      <c r="O7696" s="184"/>
    </row>
    <row r="7697" customFormat="false" ht="15" hidden="false" customHeight="true" outlineLevel="0" collapsed="false">
      <c r="A7697" s="184"/>
      <c r="B7697" s="184"/>
      <c r="C7697" s="184"/>
      <c r="D7697" s="184"/>
      <c r="E7697" s="184"/>
      <c r="F7697" s="184"/>
      <c r="G7697" s="184"/>
      <c r="H7697" s="184"/>
      <c r="I7697" s="184"/>
      <c r="J7697" s="184"/>
      <c r="K7697" s="184"/>
      <c r="L7697" s="184"/>
      <c r="M7697" s="184"/>
      <c r="N7697" s="184"/>
      <c r="O7697" s="184"/>
    </row>
    <row r="7698" customFormat="false" ht="15" hidden="false" customHeight="true" outlineLevel="0" collapsed="false">
      <c r="A7698" s="184"/>
      <c r="B7698" s="184"/>
      <c r="C7698" s="184"/>
      <c r="D7698" s="184"/>
      <c r="E7698" s="184"/>
      <c r="F7698" s="184"/>
      <c r="G7698" s="184"/>
      <c r="H7698" s="184"/>
      <c r="I7698" s="184"/>
      <c r="J7698" s="184"/>
      <c r="K7698" s="184"/>
      <c r="L7698" s="184"/>
      <c r="M7698" s="184"/>
      <c r="N7698" s="184"/>
      <c r="O7698" s="184"/>
    </row>
    <row r="7699" customFormat="false" ht="15" hidden="false" customHeight="true" outlineLevel="0" collapsed="false">
      <c r="A7699" s="184"/>
      <c r="B7699" s="184"/>
      <c r="C7699" s="184"/>
      <c r="D7699" s="184"/>
      <c r="E7699" s="184"/>
      <c r="F7699" s="184"/>
      <c r="G7699" s="184"/>
      <c r="H7699" s="184"/>
      <c r="I7699" s="184"/>
      <c r="J7699" s="184"/>
      <c r="K7699" s="184"/>
      <c r="L7699" s="184"/>
      <c r="M7699" s="184"/>
      <c r="N7699" s="184"/>
      <c r="O7699" s="184"/>
    </row>
    <row r="7700" customFormat="false" ht="15" hidden="false" customHeight="true" outlineLevel="0" collapsed="false">
      <c r="A7700" s="184"/>
      <c r="B7700" s="184"/>
      <c r="C7700" s="184"/>
      <c r="D7700" s="184"/>
      <c r="E7700" s="184"/>
      <c r="F7700" s="184"/>
      <c r="G7700" s="184"/>
      <c r="H7700" s="184"/>
      <c r="I7700" s="184"/>
      <c r="J7700" s="184"/>
      <c r="K7700" s="184"/>
      <c r="L7700" s="184"/>
      <c r="M7700" s="184"/>
      <c r="N7700" s="184"/>
      <c r="O7700" s="184"/>
    </row>
    <row r="7701" customFormat="false" ht="15" hidden="false" customHeight="true" outlineLevel="0" collapsed="false">
      <c r="A7701" s="184"/>
      <c r="B7701" s="184"/>
      <c r="C7701" s="184"/>
      <c r="D7701" s="184"/>
      <c r="E7701" s="184"/>
      <c r="F7701" s="184"/>
      <c r="G7701" s="184"/>
      <c r="H7701" s="184"/>
      <c r="I7701" s="184"/>
      <c r="J7701" s="184"/>
      <c r="K7701" s="184"/>
      <c r="L7701" s="184"/>
      <c r="M7701" s="184"/>
      <c r="N7701" s="184"/>
      <c r="O7701" s="184"/>
    </row>
    <row r="7702" customFormat="false" ht="15" hidden="false" customHeight="true" outlineLevel="0" collapsed="false">
      <c r="A7702" s="184"/>
      <c r="B7702" s="184"/>
      <c r="C7702" s="184"/>
      <c r="D7702" s="184"/>
      <c r="E7702" s="184"/>
      <c r="F7702" s="184"/>
      <c r="G7702" s="184"/>
      <c r="H7702" s="184"/>
      <c r="I7702" s="184"/>
      <c r="J7702" s="184"/>
      <c r="K7702" s="184"/>
      <c r="L7702" s="184"/>
      <c r="M7702" s="184"/>
      <c r="N7702" s="184"/>
      <c r="O7702" s="184"/>
    </row>
    <row r="7703" customFormat="false" ht="15" hidden="false" customHeight="true" outlineLevel="0" collapsed="false">
      <c r="A7703" s="184"/>
      <c r="B7703" s="184"/>
      <c r="C7703" s="184"/>
      <c r="D7703" s="184"/>
      <c r="E7703" s="184"/>
      <c r="F7703" s="184"/>
      <c r="G7703" s="184"/>
      <c r="H7703" s="184"/>
      <c r="I7703" s="184"/>
      <c r="J7703" s="184"/>
      <c r="K7703" s="184"/>
      <c r="L7703" s="184"/>
      <c r="M7703" s="184"/>
      <c r="N7703" s="184"/>
      <c r="O7703" s="184"/>
    </row>
    <row r="7704" customFormat="false" ht="15" hidden="false" customHeight="true" outlineLevel="0" collapsed="false">
      <c r="A7704" s="184"/>
      <c r="B7704" s="184"/>
      <c r="C7704" s="184"/>
      <c r="D7704" s="184"/>
      <c r="E7704" s="184"/>
      <c r="F7704" s="184"/>
      <c r="G7704" s="184"/>
      <c r="H7704" s="184"/>
      <c r="I7704" s="184"/>
      <c r="J7704" s="184"/>
      <c r="K7704" s="184"/>
      <c r="L7704" s="184"/>
      <c r="M7704" s="184"/>
      <c r="N7704" s="184"/>
      <c r="O7704" s="184"/>
    </row>
    <row r="7705" customFormat="false" ht="15" hidden="false" customHeight="true" outlineLevel="0" collapsed="false">
      <c r="A7705" s="184"/>
      <c r="B7705" s="184"/>
      <c r="C7705" s="184"/>
      <c r="D7705" s="184"/>
      <c r="E7705" s="184"/>
      <c r="F7705" s="184"/>
      <c r="G7705" s="184"/>
      <c r="H7705" s="184"/>
      <c r="I7705" s="184"/>
      <c r="J7705" s="184"/>
      <c r="K7705" s="184"/>
      <c r="L7705" s="184"/>
      <c r="M7705" s="184"/>
      <c r="N7705" s="184"/>
      <c r="O7705" s="184"/>
    </row>
    <row r="7706" customFormat="false" ht="15" hidden="false" customHeight="true" outlineLevel="0" collapsed="false">
      <c r="A7706" s="184"/>
      <c r="B7706" s="184"/>
      <c r="C7706" s="184"/>
      <c r="D7706" s="184"/>
      <c r="E7706" s="184"/>
      <c r="F7706" s="184"/>
      <c r="G7706" s="184"/>
      <c r="H7706" s="184"/>
      <c r="I7706" s="184"/>
      <c r="J7706" s="184"/>
      <c r="K7706" s="184"/>
      <c r="L7706" s="184"/>
      <c r="M7706" s="184"/>
      <c r="N7706" s="184"/>
      <c r="O7706" s="184"/>
    </row>
    <row r="7707" customFormat="false" ht="15" hidden="false" customHeight="true" outlineLevel="0" collapsed="false">
      <c r="A7707" s="184"/>
      <c r="B7707" s="184"/>
      <c r="C7707" s="184"/>
      <c r="D7707" s="184"/>
      <c r="E7707" s="184"/>
      <c r="F7707" s="184"/>
      <c r="G7707" s="184"/>
      <c r="H7707" s="184"/>
      <c r="I7707" s="184"/>
      <c r="J7707" s="184"/>
      <c r="K7707" s="184"/>
      <c r="L7707" s="184"/>
      <c r="M7707" s="184"/>
      <c r="N7707" s="184"/>
      <c r="O7707" s="184"/>
    </row>
    <row r="7708" customFormat="false" ht="15" hidden="false" customHeight="true" outlineLevel="0" collapsed="false">
      <c r="A7708" s="184"/>
      <c r="B7708" s="184"/>
      <c r="C7708" s="184"/>
      <c r="D7708" s="184"/>
      <c r="E7708" s="184"/>
      <c r="F7708" s="184"/>
      <c r="G7708" s="184"/>
      <c r="H7708" s="184"/>
      <c r="I7708" s="184"/>
      <c r="J7708" s="184"/>
      <c r="K7708" s="184"/>
      <c r="L7708" s="184"/>
      <c r="M7708" s="184"/>
      <c r="N7708" s="184"/>
      <c r="O7708" s="184"/>
    </row>
    <row r="7709" customFormat="false" ht="15" hidden="false" customHeight="true" outlineLevel="0" collapsed="false">
      <c r="A7709" s="184"/>
      <c r="B7709" s="184"/>
      <c r="C7709" s="184"/>
      <c r="D7709" s="184"/>
      <c r="E7709" s="184"/>
      <c r="F7709" s="184"/>
      <c r="G7709" s="184"/>
      <c r="H7709" s="184"/>
      <c r="I7709" s="184"/>
      <c r="J7709" s="184"/>
      <c r="K7709" s="184"/>
      <c r="L7709" s="184"/>
      <c r="M7709" s="184"/>
      <c r="N7709" s="184"/>
      <c r="O7709" s="184"/>
    </row>
    <row r="7710" customFormat="false" ht="15" hidden="false" customHeight="true" outlineLevel="0" collapsed="false">
      <c r="A7710" s="184"/>
      <c r="B7710" s="184"/>
      <c r="C7710" s="184"/>
      <c r="D7710" s="184"/>
      <c r="E7710" s="184"/>
      <c r="F7710" s="184"/>
      <c r="G7710" s="184"/>
      <c r="H7710" s="184"/>
      <c r="I7710" s="184"/>
      <c r="J7710" s="184"/>
      <c r="K7710" s="184"/>
      <c r="L7710" s="184"/>
      <c r="M7710" s="184"/>
      <c r="N7710" s="184"/>
      <c r="O7710" s="184"/>
    </row>
    <row r="7711" customFormat="false" ht="15" hidden="false" customHeight="true" outlineLevel="0" collapsed="false">
      <c r="A7711" s="184"/>
      <c r="B7711" s="184"/>
      <c r="C7711" s="184"/>
      <c r="D7711" s="184"/>
      <c r="E7711" s="184"/>
      <c r="F7711" s="184"/>
      <c r="G7711" s="184"/>
      <c r="H7711" s="184"/>
      <c r="I7711" s="184"/>
      <c r="J7711" s="184"/>
      <c r="K7711" s="184"/>
      <c r="L7711" s="184"/>
      <c r="M7711" s="184"/>
      <c r="N7711" s="184"/>
      <c r="O7711" s="184"/>
    </row>
    <row r="7712" customFormat="false" ht="15" hidden="false" customHeight="true" outlineLevel="0" collapsed="false">
      <c r="A7712" s="184"/>
      <c r="B7712" s="184"/>
      <c r="C7712" s="184"/>
      <c r="D7712" s="184"/>
      <c r="E7712" s="184"/>
      <c r="F7712" s="184"/>
      <c r="G7712" s="184"/>
      <c r="H7712" s="184"/>
      <c r="I7712" s="184"/>
      <c r="J7712" s="184"/>
      <c r="K7712" s="184"/>
      <c r="L7712" s="184"/>
      <c r="M7712" s="184"/>
      <c r="N7712" s="184"/>
      <c r="O7712" s="184"/>
    </row>
    <row r="7713" customFormat="false" ht="15" hidden="false" customHeight="true" outlineLevel="0" collapsed="false">
      <c r="A7713" s="184"/>
      <c r="B7713" s="184"/>
      <c r="C7713" s="184"/>
      <c r="D7713" s="184"/>
      <c r="E7713" s="184"/>
      <c r="F7713" s="184"/>
      <c r="G7713" s="184"/>
      <c r="H7713" s="184"/>
      <c r="I7713" s="184"/>
      <c r="J7713" s="184"/>
      <c r="K7713" s="184"/>
      <c r="L7713" s="184"/>
      <c r="M7713" s="184"/>
      <c r="N7713" s="184"/>
      <c r="O7713" s="184"/>
    </row>
    <row r="7714" customFormat="false" ht="15" hidden="false" customHeight="true" outlineLevel="0" collapsed="false">
      <c r="A7714" s="184"/>
      <c r="B7714" s="184"/>
      <c r="C7714" s="184"/>
      <c r="D7714" s="184"/>
      <c r="E7714" s="184"/>
      <c r="F7714" s="184"/>
      <c r="G7714" s="184"/>
      <c r="H7714" s="184"/>
      <c r="I7714" s="184"/>
      <c r="J7714" s="184"/>
      <c r="K7714" s="184"/>
      <c r="L7714" s="184"/>
      <c r="M7714" s="184"/>
      <c r="N7714" s="184"/>
      <c r="O7714" s="184"/>
    </row>
    <row r="7715" customFormat="false" ht="15" hidden="false" customHeight="true" outlineLevel="0" collapsed="false">
      <c r="A7715" s="184"/>
      <c r="B7715" s="184"/>
      <c r="C7715" s="184"/>
      <c r="D7715" s="184"/>
      <c r="E7715" s="184"/>
      <c r="F7715" s="184"/>
      <c r="G7715" s="184"/>
      <c r="H7715" s="184"/>
      <c r="I7715" s="184"/>
      <c r="J7715" s="184"/>
      <c r="K7715" s="184"/>
      <c r="L7715" s="184"/>
      <c r="M7715" s="184"/>
      <c r="N7715" s="184"/>
      <c r="O7715" s="184"/>
    </row>
    <row r="7716" customFormat="false" ht="15" hidden="false" customHeight="true" outlineLevel="0" collapsed="false">
      <c r="A7716" s="184"/>
      <c r="B7716" s="184"/>
      <c r="C7716" s="184"/>
      <c r="D7716" s="184"/>
      <c r="E7716" s="184"/>
      <c r="F7716" s="184"/>
      <c r="G7716" s="184"/>
      <c r="H7716" s="184"/>
      <c r="I7716" s="184"/>
      <c r="J7716" s="184"/>
      <c r="K7716" s="184"/>
      <c r="L7716" s="184"/>
      <c r="M7716" s="184"/>
      <c r="N7716" s="184"/>
      <c r="O7716" s="184"/>
    </row>
    <row r="7717" customFormat="false" ht="15" hidden="false" customHeight="true" outlineLevel="0" collapsed="false">
      <c r="A7717" s="184"/>
      <c r="B7717" s="184"/>
      <c r="C7717" s="184"/>
      <c r="D7717" s="184"/>
      <c r="E7717" s="184"/>
      <c r="F7717" s="184"/>
      <c r="G7717" s="184"/>
      <c r="H7717" s="184"/>
      <c r="I7717" s="184"/>
      <c r="J7717" s="184"/>
      <c r="K7717" s="184"/>
      <c r="L7717" s="184"/>
      <c r="M7717" s="184"/>
      <c r="N7717" s="184"/>
      <c r="O7717" s="184"/>
    </row>
    <row r="7718" customFormat="false" ht="15" hidden="false" customHeight="true" outlineLevel="0" collapsed="false">
      <c r="A7718" s="184"/>
      <c r="B7718" s="184"/>
      <c r="C7718" s="184"/>
      <c r="D7718" s="184"/>
      <c r="E7718" s="184"/>
      <c r="F7718" s="184"/>
      <c r="G7718" s="184"/>
      <c r="H7718" s="184"/>
      <c r="I7718" s="184"/>
      <c r="J7718" s="184"/>
      <c r="K7718" s="184"/>
      <c r="L7718" s="184"/>
      <c r="M7718" s="184"/>
      <c r="N7718" s="184"/>
      <c r="O7718" s="184"/>
    </row>
    <row r="7719" customFormat="false" ht="15" hidden="false" customHeight="true" outlineLevel="0" collapsed="false">
      <c r="A7719" s="184"/>
      <c r="B7719" s="184"/>
      <c r="C7719" s="184"/>
      <c r="D7719" s="184"/>
      <c r="E7719" s="184"/>
      <c r="F7719" s="184"/>
      <c r="G7719" s="184"/>
      <c r="H7719" s="184"/>
      <c r="I7719" s="184"/>
      <c r="J7719" s="184"/>
      <c r="K7719" s="184"/>
      <c r="L7719" s="184"/>
      <c r="M7719" s="184"/>
      <c r="N7719" s="184"/>
      <c r="O7719" s="184"/>
    </row>
    <row r="7720" customFormat="false" ht="15" hidden="false" customHeight="true" outlineLevel="0" collapsed="false">
      <c r="A7720" s="184"/>
      <c r="B7720" s="184"/>
      <c r="C7720" s="184"/>
      <c r="D7720" s="184"/>
      <c r="E7720" s="184"/>
      <c r="F7720" s="184"/>
      <c r="G7720" s="184"/>
      <c r="H7720" s="184"/>
      <c r="I7720" s="184"/>
      <c r="J7720" s="184"/>
      <c r="K7720" s="184"/>
      <c r="L7720" s="184"/>
      <c r="M7720" s="184"/>
      <c r="N7720" s="184"/>
      <c r="O7720" s="184"/>
    </row>
    <row r="7721" customFormat="false" ht="15" hidden="false" customHeight="true" outlineLevel="0" collapsed="false">
      <c r="A7721" s="184"/>
      <c r="B7721" s="184"/>
      <c r="C7721" s="184"/>
      <c r="D7721" s="184"/>
      <c r="E7721" s="184"/>
      <c r="F7721" s="184"/>
      <c r="G7721" s="184"/>
      <c r="H7721" s="184"/>
      <c r="I7721" s="184"/>
      <c r="J7721" s="184"/>
      <c r="K7721" s="184"/>
      <c r="L7721" s="184"/>
      <c r="M7721" s="184"/>
      <c r="N7721" s="184"/>
      <c r="O7721" s="184"/>
    </row>
    <row r="7722" customFormat="false" ht="15" hidden="false" customHeight="true" outlineLevel="0" collapsed="false">
      <c r="A7722" s="184"/>
      <c r="B7722" s="184"/>
      <c r="C7722" s="184"/>
      <c r="D7722" s="184"/>
      <c r="E7722" s="184"/>
      <c r="F7722" s="184"/>
      <c r="G7722" s="184"/>
      <c r="H7722" s="184"/>
      <c r="I7722" s="184"/>
      <c r="J7722" s="184"/>
      <c r="K7722" s="184"/>
      <c r="L7722" s="184"/>
      <c r="M7722" s="184"/>
      <c r="N7722" s="184"/>
      <c r="O7722" s="184"/>
    </row>
    <row r="7723" customFormat="false" ht="15" hidden="false" customHeight="true" outlineLevel="0" collapsed="false">
      <c r="A7723" s="184"/>
      <c r="B7723" s="184"/>
      <c r="C7723" s="184"/>
      <c r="D7723" s="184"/>
      <c r="E7723" s="184"/>
      <c r="F7723" s="184"/>
      <c r="G7723" s="184"/>
      <c r="H7723" s="184"/>
      <c r="I7723" s="184"/>
      <c r="J7723" s="184"/>
      <c r="K7723" s="184"/>
      <c r="L7723" s="184"/>
      <c r="M7723" s="184"/>
      <c r="N7723" s="184"/>
      <c r="O7723" s="184"/>
    </row>
    <row r="7724" customFormat="false" ht="15" hidden="false" customHeight="true" outlineLevel="0" collapsed="false">
      <c r="A7724" s="184"/>
      <c r="B7724" s="184"/>
      <c r="C7724" s="184"/>
      <c r="D7724" s="184"/>
      <c r="E7724" s="184"/>
      <c r="F7724" s="184"/>
      <c r="G7724" s="184"/>
      <c r="H7724" s="184"/>
      <c r="I7724" s="184"/>
      <c r="J7724" s="184"/>
      <c r="K7724" s="184"/>
      <c r="L7724" s="184"/>
      <c r="M7724" s="184"/>
      <c r="N7724" s="184"/>
      <c r="O7724" s="184"/>
    </row>
    <row r="7725" customFormat="false" ht="15" hidden="false" customHeight="true" outlineLevel="0" collapsed="false">
      <c r="A7725" s="184"/>
      <c r="B7725" s="184"/>
      <c r="C7725" s="184"/>
      <c r="D7725" s="184"/>
      <c r="E7725" s="184"/>
      <c r="F7725" s="184"/>
      <c r="G7725" s="184"/>
      <c r="H7725" s="184"/>
      <c r="I7725" s="184"/>
      <c r="J7725" s="184"/>
      <c r="K7725" s="184"/>
      <c r="L7725" s="184"/>
      <c r="M7725" s="184"/>
      <c r="N7725" s="184"/>
      <c r="O7725" s="184"/>
    </row>
    <row r="7726" customFormat="false" ht="15" hidden="false" customHeight="true" outlineLevel="0" collapsed="false">
      <c r="A7726" s="184"/>
      <c r="B7726" s="184"/>
      <c r="C7726" s="184"/>
      <c r="D7726" s="184"/>
      <c r="E7726" s="184"/>
      <c r="F7726" s="184"/>
      <c r="G7726" s="184"/>
      <c r="H7726" s="184"/>
      <c r="I7726" s="184"/>
      <c r="J7726" s="184"/>
      <c r="K7726" s="184"/>
      <c r="L7726" s="184"/>
      <c r="M7726" s="184"/>
      <c r="N7726" s="184"/>
      <c r="O7726" s="184"/>
    </row>
    <row r="7727" customFormat="false" ht="15" hidden="false" customHeight="true" outlineLevel="0" collapsed="false">
      <c r="A7727" s="184"/>
      <c r="B7727" s="184"/>
      <c r="C7727" s="184"/>
      <c r="D7727" s="184"/>
      <c r="E7727" s="184"/>
      <c r="F7727" s="184"/>
      <c r="G7727" s="184"/>
      <c r="H7727" s="184"/>
      <c r="I7727" s="184"/>
      <c r="J7727" s="184"/>
      <c r="K7727" s="184"/>
      <c r="L7727" s="184"/>
      <c r="M7727" s="184"/>
      <c r="N7727" s="184"/>
      <c r="O7727" s="184"/>
    </row>
    <row r="7728" customFormat="false" ht="15" hidden="false" customHeight="true" outlineLevel="0" collapsed="false">
      <c r="A7728" s="184"/>
      <c r="B7728" s="184"/>
      <c r="C7728" s="184"/>
      <c r="D7728" s="184"/>
      <c r="E7728" s="184"/>
      <c r="F7728" s="184"/>
      <c r="G7728" s="184"/>
      <c r="H7728" s="184"/>
      <c r="I7728" s="184"/>
      <c r="J7728" s="184"/>
      <c r="K7728" s="184"/>
      <c r="L7728" s="184"/>
      <c r="M7728" s="184"/>
      <c r="N7728" s="184"/>
      <c r="O7728" s="184"/>
    </row>
    <row r="7729" customFormat="false" ht="15" hidden="false" customHeight="true" outlineLevel="0" collapsed="false">
      <c r="A7729" s="184"/>
      <c r="B7729" s="184"/>
      <c r="C7729" s="184"/>
      <c r="D7729" s="184"/>
      <c r="E7729" s="184"/>
      <c r="F7729" s="184"/>
      <c r="G7729" s="184"/>
      <c r="H7729" s="184"/>
      <c r="I7729" s="184"/>
      <c r="J7729" s="184"/>
      <c r="K7729" s="184"/>
      <c r="L7729" s="184"/>
      <c r="M7729" s="184"/>
      <c r="N7729" s="184"/>
      <c r="O7729" s="184"/>
    </row>
    <row r="7730" customFormat="false" ht="15" hidden="false" customHeight="true" outlineLevel="0" collapsed="false">
      <c r="A7730" s="184"/>
      <c r="B7730" s="184"/>
      <c r="C7730" s="184"/>
      <c r="D7730" s="184"/>
      <c r="E7730" s="184"/>
      <c r="F7730" s="184"/>
      <c r="G7730" s="184"/>
      <c r="H7730" s="184"/>
      <c r="I7730" s="184"/>
      <c r="J7730" s="184"/>
      <c r="K7730" s="184"/>
      <c r="L7730" s="184"/>
      <c r="M7730" s="184"/>
      <c r="N7730" s="184"/>
      <c r="O7730" s="184"/>
    </row>
    <row r="7731" customFormat="false" ht="15" hidden="false" customHeight="true" outlineLevel="0" collapsed="false">
      <c r="A7731" s="184"/>
      <c r="B7731" s="184"/>
      <c r="C7731" s="184"/>
      <c r="D7731" s="184"/>
      <c r="E7731" s="184"/>
      <c r="F7731" s="184"/>
      <c r="G7731" s="184"/>
      <c r="H7731" s="184"/>
      <c r="I7731" s="184"/>
      <c r="J7731" s="184"/>
      <c r="K7731" s="184"/>
      <c r="L7731" s="184"/>
      <c r="M7731" s="184"/>
      <c r="N7731" s="184"/>
      <c r="O7731" s="184"/>
    </row>
    <row r="7732" customFormat="false" ht="15" hidden="false" customHeight="true" outlineLevel="0" collapsed="false">
      <c r="A7732" s="184"/>
      <c r="B7732" s="184"/>
      <c r="C7732" s="184"/>
      <c r="D7732" s="184"/>
      <c r="E7732" s="184"/>
      <c r="F7732" s="184"/>
      <c r="G7732" s="184"/>
      <c r="H7732" s="184"/>
      <c r="I7732" s="184"/>
      <c r="J7732" s="184"/>
      <c r="K7732" s="184"/>
      <c r="L7732" s="184"/>
      <c r="M7732" s="184"/>
      <c r="N7732" s="184"/>
      <c r="O7732" s="184"/>
    </row>
    <row r="7733" customFormat="false" ht="15" hidden="false" customHeight="true" outlineLevel="0" collapsed="false">
      <c r="A7733" s="184"/>
      <c r="B7733" s="184"/>
      <c r="C7733" s="184"/>
      <c r="D7733" s="184"/>
      <c r="E7733" s="184"/>
      <c r="F7733" s="184"/>
      <c r="G7733" s="184"/>
      <c r="H7733" s="184"/>
      <c r="I7733" s="184"/>
      <c r="J7733" s="184"/>
      <c r="K7733" s="184"/>
      <c r="L7733" s="184"/>
      <c r="M7733" s="184"/>
      <c r="N7733" s="184"/>
      <c r="O7733" s="184"/>
    </row>
    <row r="7734" customFormat="false" ht="15" hidden="false" customHeight="true" outlineLevel="0" collapsed="false">
      <c r="A7734" s="184"/>
      <c r="B7734" s="184"/>
      <c r="C7734" s="184"/>
      <c r="D7734" s="184"/>
      <c r="E7734" s="184"/>
      <c r="F7734" s="184"/>
      <c r="G7734" s="184"/>
      <c r="H7734" s="184"/>
      <c r="I7734" s="184"/>
      <c r="J7734" s="184"/>
      <c r="K7734" s="184"/>
      <c r="L7734" s="184"/>
      <c r="M7734" s="184"/>
      <c r="N7734" s="184"/>
      <c r="O7734" s="184"/>
    </row>
    <row r="7735" customFormat="false" ht="15" hidden="false" customHeight="true" outlineLevel="0" collapsed="false">
      <c r="A7735" s="184"/>
      <c r="B7735" s="184"/>
      <c r="C7735" s="184"/>
      <c r="D7735" s="184"/>
      <c r="E7735" s="184"/>
      <c r="F7735" s="184"/>
      <c r="G7735" s="184"/>
      <c r="H7735" s="184"/>
      <c r="I7735" s="184"/>
      <c r="J7735" s="184"/>
      <c r="K7735" s="184"/>
      <c r="L7735" s="184"/>
      <c r="M7735" s="184"/>
      <c r="N7735" s="184"/>
      <c r="O7735" s="184"/>
    </row>
    <row r="7736" customFormat="false" ht="15" hidden="false" customHeight="true" outlineLevel="0" collapsed="false">
      <c r="A7736" s="184"/>
      <c r="B7736" s="184"/>
      <c r="C7736" s="184"/>
      <c r="D7736" s="184"/>
      <c r="E7736" s="184"/>
      <c r="F7736" s="184"/>
      <c r="G7736" s="184"/>
      <c r="H7736" s="184"/>
      <c r="I7736" s="184"/>
      <c r="J7736" s="184"/>
      <c r="K7736" s="184"/>
      <c r="L7736" s="184"/>
      <c r="M7736" s="184"/>
      <c r="N7736" s="184"/>
      <c r="O7736" s="184"/>
    </row>
    <row r="7737" customFormat="false" ht="15" hidden="false" customHeight="true" outlineLevel="0" collapsed="false">
      <c r="A7737" s="184"/>
      <c r="B7737" s="184"/>
      <c r="C7737" s="184"/>
      <c r="D7737" s="184"/>
      <c r="E7737" s="184"/>
      <c r="F7737" s="184"/>
      <c r="G7737" s="184"/>
      <c r="H7737" s="184"/>
      <c r="I7737" s="184"/>
      <c r="J7737" s="184"/>
      <c r="K7737" s="184"/>
      <c r="L7737" s="184"/>
      <c r="M7737" s="184"/>
      <c r="N7737" s="184"/>
      <c r="O7737" s="184"/>
    </row>
    <row r="7738" customFormat="false" ht="15" hidden="false" customHeight="true" outlineLevel="0" collapsed="false">
      <c r="A7738" s="184"/>
      <c r="B7738" s="184"/>
      <c r="C7738" s="184"/>
      <c r="D7738" s="184"/>
      <c r="E7738" s="184"/>
      <c r="F7738" s="184"/>
      <c r="G7738" s="184"/>
      <c r="H7738" s="184"/>
      <c r="I7738" s="184"/>
      <c r="J7738" s="184"/>
      <c r="K7738" s="184"/>
      <c r="L7738" s="184"/>
      <c r="M7738" s="184"/>
      <c r="N7738" s="184"/>
      <c r="O7738" s="184"/>
    </row>
    <row r="7739" customFormat="false" ht="15" hidden="false" customHeight="true" outlineLevel="0" collapsed="false">
      <c r="A7739" s="184"/>
      <c r="B7739" s="184"/>
      <c r="C7739" s="184"/>
      <c r="D7739" s="184"/>
      <c r="E7739" s="184"/>
      <c r="F7739" s="184"/>
      <c r="G7739" s="184"/>
      <c r="H7739" s="184"/>
      <c r="I7739" s="184"/>
      <c r="J7739" s="184"/>
      <c r="K7739" s="184"/>
      <c r="L7739" s="184"/>
      <c r="M7739" s="184"/>
      <c r="N7739" s="184"/>
      <c r="O7739" s="184"/>
    </row>
    <row r="7740" customFormat="false" ht="15" hidden="false" customHeight="true" outlineLevel="0" collapsed="false">
      <c r="A7740" s="184"/>
      <c r="B7740" s="184"/>
      <c r="C7740" s="184"/>
      <c r="D7740" s="184"/>
      <c r="E7740" s="184"/>
      <c r="F7740" s="184"/>
      <c r="G7740" s="184"/>
      <c r="H7740" s="184"/>
      <c r="I7740" s="184"/>
      <c r="J7740" s="184"/>
      <c r="K7740" s="184"/>
      <c r="L7740" s="184"/>
      <c r="M7740" s="184"/>
      <c r="N7740" s="184"/>
      <c r="O7740" s="184"/>
    </row>
    <row r="7741" customFormat="false" ht="15" hidden="false" customHeight="true" outlineLevel="0" collapsed="false">
      <c r="A7741" s="184"/>
      <c r="B7741" s="184"/>
      <c r="C7741" s="184"/>
      <c r="D7741" s="184"/>
      <c r="E7741" s="184"/>
      <c r="F7741" s="184"/>
      <c r="G7741" s="184"/>
      <c r="H7741" s="184"/>
      <c r="I7741" s="184"/>
      <c r="J7741" s="184"/>
      <c r="K7741" s="184"/>
      <c r="L7741" s="184"/>
      <c r="M7741" s="184"/>
      <c r="N7741" s="184"/>
      <c r="O7741" s="184"/>
    </row>
    <row r="7742" customFormat="false" ht="15" hidden="false" customHeight="true" outlineLevel="0" collapsed="false">
      <c r="A7742" s="184"/>
      <c r="B7742" s="184"/>
      <c r="C7742" s="184"/>
      <c r="D7742" s="184"/>
      <c r="E7742" s="184"/>
      <c r="F7742" s="184"/>
      <c r="G7742" s="184"/>
      <c r="H7742" s="184"/>
      <c r="I7742" s="184"/>
      <c r="J7742" s="184"/>
      <c r="K7742" s="184"/>
      <c r="L7742" s="184"/>
      <c r="M7742" s="184"/>
      <c r="N7742" s="184"/>
      <c r="O7742" s="184"/>
    </row>
    <row r="7743" customFormat="false" ht="15" hidden="false" customHeight="true" outlineLevel="0" collapsed="false">
      <c r="A7743" s="184"/>
      <c r="B7743" s="184"/>
      <c r="C7743" s="184"/>
      <c r="D7743" s="184"/>
      <c r="E7743" s="184"/>
      <c r="F7743" s="184"/>
      <c r="G7743" s="184"/>
      <c r="H7743" s="184"/>
      <c r="I7743" s="184"/>
      <c r="J7743" s="184"/>
      <c r="K7743" s="184"/>
      <c r="L7743" s="184"/>
      <c r="M7743" s="184"/>
      <c r="N7743" s="184"/>
      <c r="O7743" s="184"/>
    </row>
    <row r="7744" customFormat="false" ht="15" hidden="false" customHeight="true" outlineLevel="0" collapsed="false">
      <c r="A7744" s="184"/>
      <c r="B7744" s="184"/>
      <c r="C7744" s="184"/>
      <c r="D7744" s="184"/>
      <c r="E7744" s="184"/>
      <c r="F7744" s="184"/>
      <c r="G7744" s="184"/>
      <c r="H7744" s="184"/>
      <c r="I7744" s="184"/>
      <c r="J7744" s="184"/>
      <c r="K7744" s="184"/>
      <c r="L7744" s="184"/>
      <c r="M7744" s="184"/>
      <c r="N7744" s="184"/>
      <c r="O7744" s="184"/>
    </row>
    <row r="7745" customFormat="false" ht="15" hidden="false" customHeight="true" outlineLevel="0" collapsed="false">
      <c r="A7745" s="184"/>
      <c r="B7745" s="184"/>
      <c r="C7745" s="184"/>
      <c r="D7745" s="184"/>
      <c r="E7745" s="184"/>
      <c r="F7745" s="184"/>
      <c r="G7745" s="184"/>
      <c r="H7745" s="184"/>
      <c r="I7745" s="184"/>
      <c r="J7745" s="184"/>
      <c r="K7745" s="184"/>
      <c r="L7745" s="184"/>
      <c r="M7745" s="184"/>
      <c r="N7745" s="184"/>
      <c r="O7745" s="184"/>
    </row>
    <row r="7746" customFormat="false" ht="15" hidden="false" customHeight="true" outlineLevel="0" collapsed="false">
      <c r="A7746" s="184"/>
      <c r="B7746" s="184"/>
      <c r="C7746" s="184"/>
      <c r="D7746" s="184"/>
      <c r="E7746" s="184"/>
      <c r="F7746" s="184"/>
      <c r="G7746" s="184"/>
      <c r="H7746" s="184"/>
      <c r="I7746" s="184"/>
      <c r="J7746" s="184"/>
      <c r="K7746" s="184"/>
      <c r="L7746" s="184"/>
      <c r="M7746" s="184"/>
      <c r="N7746" s="184"/>
      <c r="O7746" s="184"/>
    </row>
    <row r="7747" customFormat="false" ht="15" hidden="false" customHeight="true" outlineLevel="0" collapsed="false">
      <c r="A7747" s="184"/>
      <c r="B7747" s="184"/>
      <c r="C7747" s="184"/>
      <c r="D7747" s="184"/>
      <c r="E7747" s="184"/>
      <c r="F7747" s="184"/>
      <c r="G7747" s="184"/>
      <c r="H7747" s="184"/>
      <c r="I7747" s="184"/>
      <c r="J7747" s="184"/>
      <c r="K7747" s="184"/>
      <c r="L7747" s="184"/>
      <c r="M7747" s="184"/>
      <c r="N7747" s="184"/>
      <c r="O7747" s="184"/>
    </row>
    <row r="7748" customFormat="false" ht="15" hidden="false" customHeight="true" outlineLevel="0" collapsed="false">
      <c r="A7748" s="184"/>
      <c r="B7748" s="184"/>
      <c r="C7748" s="184"/>
      <c r="D7748" s="184"/>
      <c r="E7748" s="184"/>
      <c r="F7748" s="184"/>
      <c r="G7748" s="184"/>
      <c r="H7748" s="184"/>
      <c r="I7748" s="184"/>
      <c r="J7748" s="184"/>
      <c r="K7748" s="184"/>
      <c r="L7748" s="184"/>
      <c r="M7748" s="184"/>
      <c r="N7748" s="184"/>
      <c r="O7748" s="184"/>
    </row>
    <row r="7749" customFormat="false" ht="15" hidden="false" customHeight="true" outlineLevel="0" collapsed="false">
      <c r="A7749" s="184"/>
      <c r="B7749" s="184"/>
      <c r="C7749" s="184"/>
      <c r="D7749" s="184"/>
      <c r="E7749" s="184"/>
      <c r="F7749" s="184"/>
      <c r="G7749" s="184"/>
      <c r="H7749" s="184"/>
      <c r="I7749" s="184"/>
      <c r="J7749" s="184"/>
      <c r="K7749" s="184"/>
      <c r="L7749" s="184"/>
      <c r="M7749" s="184"/>
      <c r="N7749" s="184"/>
      <c r="O7749" s="184"/>
    </row>
    <row r="7750" customFormat="false" ht="15" hidden="false" customHeight="true" outlineLevel="0" collapsed="false">
      <c r="A7750" s="184"/>
      <c r="B7750" s="184"/>
      <c r="C7750" s="184"/>
      <c r="D7750" s="184"/>
      <c r="E7750" s="184"/>
      <c r="F7750" s="184"/>
      <c r="G7750" s="184"/>
      <c r="H7750" s="184"/>
      <c r="I7750" s="184"/>
      <c r="J7750" s="184"/>
      <c r="K7750" s="184"/>
      <c r="L7750" s="184"/>
      <c r="M7750" s="184"/>
      <c r="N7750" s="184"/>
      <c r="O7750" s="184"/>
    </row>
    <row r="7751" customFormat="false" ht="15" hidden="false" customHeight="true" outlineLevel="0" collapsed="false">
      <c r="A7751" s="184"/>
      <c r="B7751" s="184"/>
      <c r="C7751" s="184"/>
      <c r="D7751" s="184"/>
      <c r="E7751" s="184"/>
      <c r="F7751" s="184"/>
      <c r="G7751" s="184"/>
      <c r="H7751" s="184"/>
      <c r="I7751" s="184"/>
      <c r="J7751" s="184"/>
      <c r="K7751" s="184"/>
      <c r="L7751" s="184"/>
      <c r="M7751" s="184"/>
      <c r="N7751" s="184"/>
      <c r="O7751" s="184"/>
    </row>
    <row r="7752" customFormat="false" ht="15" hidden="false" customHeight="true" outlineLevel="0" collapsed="false">
      <c r="A7752" s="184"/>
      <c r="B7752" s="184"/>
      <c r="C7752" s="184"/>
      <c r="D7752" s="184"/>
      <c r="E7752" s="184"/>
      <c r="F7752" s="184"/>
      <c r="G7752" s="184"/>
      <c r="H7752" s="184"/>
      <c r="I7752" s="184"/>
      <c r="J7752" s="184"/>
      <c r="K7752" s="184"/>
      <c r="L7752" s="184"/>
      <c r="M7752" s="184"/>
      <c r="N7752" s="184"/>
      <c r="O7752" s="184"/>
    </row>
    <row r="7753" customFormat="false" ht="15" hidden="false" customHeight="true" outlineLevel="0" collapsed="false">
      <c r="A7753" s="184"/>
      <c r="B7753" s="184"/>
      <c r="C7753" s="184"/>
      <c r="D7753" s="184"/>
      <c r="E7753" s="184"/>
      <c r="F7753" s="184"/>
      <c r="G7753" s="184"/>
      <c r="H7753" s="184"/>
      <c r="I7753" s="184"/>
      <c r="J7753" s="184"/>
      <c r="K7753" s="184"/>
      <c r="L7753" s="184"/>
      <c r="M7753" s="184"/>
      <c r="N7753" s="184"/>
      <c r="O7753" s="184"/>
    </row>
    <row r="7754" customFormat="false" ht="15" hidden="false" customHeight="true" outlineLevel="0" collapsed="false">
      <c r="A7754" s="184"/>
      <c r="B7754" s="184"/>
      <c r="C7754" s="184"/>
      <c r="D7754" s="184"/>
      <c r="E7754" s="184"/>
      <c r="F7754" s="184"/>
      <c r="G7754" s="184"/>
      <c r="H7754" s="184"/>
      <c r="I7754" s="184"/>
      <c r="J7754" s="184"/>
      <c r="K7754" s="184"/>
      <c r="L7754" s="184"/>
      <c r="M7754" s="184"/>
      <c r="N7754" s="184"/>
      <c r="O7754" s="184"/>
    </row>
    <row r="7755" customFormat="false" ht="15" hidden="false" customHeight="true" outlineLevel="0" collapsed="false">
      <c r="A7755" s="184"/>
      <c r="B7755" s="184"/>
      <c r="C7755" s="184"/>
      <c r="D7755" s="184"/>
      <c r="E7755" s="184"/>
      <c r="F7755" s="184"/>
      <c r="G7755" s="184"/>
      <c r="H7755" s="184"/>
      <c r="I7755" s="184"/>
      <c r="J7755" s="184"/>
      <c r="K7755" s="184"/>
      <c r="L7755" s="184"/>
      <c r="M7755" s="184"/>
      <c r="N7755" s="184"/>
      <c r="O7755" s="184"/>
    </row>
    <row r="7756" customFormat="false" ht="15" hidden="false" customHeight="true" outlineLevel="0" collapsed="false">
      <c r="A7756" s="184"/>
      <c r="B7756" s="184"/>
      <c r="C7756" s="184"/>
      <c r="D7756" s="184"/>
      <c r="E7756" s="184"/>
      <c r="F7756" s="184"/>
      <c r="G7756" s="184"/>
      <c r="H7756" s="184"/>
      <c r="I7756" s="184"/>
      <c r="J7756" s="184"/>
      <c r="K7756" s="184"/>
      <c r="L7756" s="184"/>
      <c r="M7756" s="184"/>
      <c r="N7756" s="184"/>
      <c r="O7756" s="184"/>
    </row>
    <row r="7757" customFormat="false" ht="15" hidden="false" customHeight="true" outlineLevel="0" collapsed="false">
      <c r="A7757" s="184"/>
      <c r="B7757" s="184"/>
      <c r="C7757" s="184"/>
      <c r="D7757" s="184"/>
      <c r="E7757" s="184"/>
      <c r="F7757" s="184"/>
      <c r="G7757" s="184"/>
      <c r="H7757" s="184"/>
      <c r="I7757" s="184"/>
      <c r="J7757" s="184"/>
      <c r="K7757" s="184"/>
      <c r="L7757" s="184"/>
      <c r="M7757" s="184"/>
      <c r="N7757" s="184"/>
      <c r="O7757" s="184"/>
    </row>
    <row r="7758" customFormat="false" ht="15" hidden="false" customHeight="true" outlineLevel="0" collapsed="false">
      <c r="A7758" s="184"/>
      <c r="B7758" s="184"/>
      <c r="C7758" s="184"/>
      <c r="D7758" s="184"/>
      <c r="E7758" s="184"/>
      <c r="F7758" s="184"/>
      <c r="G7758" s="184"/>
      <c r="H7758" s="184"/>
      <c r="I7758" s="184"/>
      <c r="J7758" s="184"/>
      <c r="K7758" s="184"/>
      <c r="L7758" s="184"/>
      <c r="M7758" s="184"/>
      <c r="N7758" s="184"/>
      <c r="O7758" s="184"/>
    </row>
    <row r="7759" customFormat="false" ht="15" hidden="false" customHeight="true" outlineLevel="0" collapsed="false">
      <c r="A7759" s="184"/>
      <c r="B7759" s="184"/>
      <c r="C7759" s="184"/>
      <c r="D7759" s="184"/>
      <c r="E7759" s="184"/>
      <c r="F7759" s="184"/>
      <c r="G7759" s="184"/>
      <c r="H7759" s="184"/>
      <c r="I7759" s="184"/>
      <c r="J7759" s="184"/>
      <c r="K7759" s="184"/>
      <c r="L7759" s="184"/>
      <c r="M7759" s="184"/>
      <c r="N7759" s="184"/>
      <c r="O7759" s="184"/>
    </row>
    <row r="7760" customFormat="false" ht="15" hidden="false" customHeight="true" outlineLevel="0" collapsed="false">
      <c r="A7760" s="184"/>
      <c r="B7760" s="184"/>
      <c r="C7760" s="184"/>
      <c r="D7760" s="184"/>
      <c r="E7760" s="184"/>
      <c r="F7760" s="184"/>
      <c r="G7760" s="184"/>
      <c r="H7760" s="184"/>
      <c r="I7760" s="184"/>
      <c r="J7760" s="184"/>
      <c r="K7760" s="184"/>
      <c r="L7760" s="184"/>
      <c r="M7760" s="184"/>
      <c r="N7760" s="184"/>
      <c r="O7760" s="184"/>
    </row>
    <row r="7761" customFormat="false" ht="15" hidden="false" customHeight="true" outlineLevel="0" collapsed="false">
      <c r="A7761" s="184"/>
      <c r="B7761" s="184"/>
      <c r="C7761" s="184"/>
      <c r="D7761" s="184"/>
      <c r="E7761" s="184"/>
      <c r="F7761" s="184"/>
      <c r="G7761" s="184"/>
      <c r="H7761" s="184"/>
      <c r="I7761" s="184"/>
      <c r="J7761" s="184"/>
      <c r="K7761" s="184"/>
      <c r="L7761" s="184"/>
      <c r="M7761" s="184"/>
      <c r="N7761" s="184"/>
      <c r="O7761" s="184"/>
    </row>
    <row r="7762" customFormat="false" ht="15" hidden="false" customHeight="true" outlineLevel="0" collapsed="false">
      <c r="A7762" s="184"/>
      <c r="B7762" s="184"/>
      <c r="C7762" s="184"/>
      <c r="D7762" s="184"/>
      <c r="E7762" s="184"/>
      <c r="F7762" s="184"/>
      <c r="G7762" s="184"/>
      <c r="H7762" s="184"/>
      <c r="I7762" s="184"/>
      <c r="J7762" s="184"/>
      <c r="K7762" s="184"/>
      <c r="L7762" s="184"/>
      <c r="M7762" s="184"/>
      <c r="N7762" s="184"/>
      <c r="O7762" s="184"/>
    </row>
    <row r="7763" customFormat="false" ht="15" hidden="false" customHeight="true" outlineLevel="0" collapsed="false">
      <c r="A7763" s="184"/>
      <c r="B7763" s="184"/>
      <c r="C7763" s="184"/>
      <c r="D7763" s="184"/>
      <c r="E7763" s="184"/>
      <c r="F7763" s="184"/>
      <c r="G7763" s="184"/>
      <c r="H7763" s="184"/>
      <c r="I7763" s="184"/>
      <c r="J7763" s="184"/>
      <c r="K7763" s="184"/>
      <c r="L7763" s="184"/>
      <c r="M7763" s="184"/>
      <c r="N7763" s="184"/>
      <c r="O7763" s="184"/>
    </row>
    <row r="7764" customFormat="false" ht="15" hidden="false" customHeight="true" outlineLevel="0" collapsed="false">
      <c r="A7764" s="184"/>
      <c r="B7764" s="184"/>
      <c r="C7764" s="184"/>
      <c r="D7764" s="184"/>
      <c r="E7764" s="184"/>
      <c r="F7764" s="184"/>
      <c r="G7764" s="184"/>
      <c r="H7764" s="184"/>
      <c r="I7764" s="184"/>
      <c r="J7764" s="184"/>
      <c r="K7764" s="184"/>
      <c r="L7764" s="184"/>
      <c r="M7764" s="184"/>
      <c r="N7764" s="184"/>
      <c r="O7764" s="184"/>
    </row>
    <row r="7765" customFormat="false" ht="15" hidden="false" customHeight="true" outlineLevel="0" collapsed="false">
      <c r="A7765" s="184"/>
      <c r="B7765" s="184"/>
      <c r="C7765" s="184"/>
      <c r="D7765" s="184"/>
      <c r="E7765" s="184"/>
      <c r="F7765" s="184"/>
      <c r="G7765" s="184"/>
      <c r="H7765" s="184"/>
      <c r="I7765" s="184"/>
      <c r="J7765" s="184"/>
      <c r="K7765" s="184"/>
      <c r="L7765" s="184"/>
      <c r="M7765" s="184"/>
      <c r="N7765" s="184"/>
      <c r="O7765" s="184"/>
    </row>
    <row r="7766" customFormat="false" ht="15" hidden="false" customHeight="true" outlineLevel="0" collapsed="false">
      <c r="A7766" s="184"/>
      <c r="B7766" s="184"/>
      <c r="C7766" s="184"/>
      <c r="D7766" s="184"/>
      <c r="E7766" s="184"/>
      <c r="F7766" s="184"/>
      <c r="G7766" s="184"/>
      <c r="H7766" s="184"/>
      <c r="I7766" s="184"/>
      <c r="J7766" s="184"/>
      <c r="K7766" s="184"/>
      <c r="L7766" s="184"/>
      <c r="M7766" s="184"/>
      <c r="N7766" s="184"/>
      <c r="O7766" s="184"/>
    </row>
    <row r="7767" customFormat="false" ht="15" hidden="false" customHeight="true" outlineLevel="0" collapsed="false">
      <c r="A7767" s="184"/>
      <c r="B7767" s="184"/>
      <c r="C7767" s="184"/>
      <c r="D7767" s="184"/>
      <c r="E7767" s="184"/>
      <c r="F7767" s="184"/>
      <c r="G7767" s="184"/>
      <c r="H7767" s="184"/>
      <c r="I7767" s="184"/>
      <c r="J7767" s="184"/>
      <c r="K7767" s="184"/>
      <c r="L7767" s="184"/>
      <c r="M7767" s="184"/>
      <c r="N7767" s="184"/>
      <c r="O7767" s="184"/>
    </row>
    <row r="7768" customFormat="false" ht="15" hidden="false" customHeight="true" outlineLevel="0" collapsed="false">
      <c r="A7768" s="184"/>
      <c r="B7768" s="184"/>
      <c r="C7768" s="184"/>
      <c r="D7768" s="184"/>
      <c r="E7768" s="184"/>
      <c r="F7768" s="184"/>
      <c r="G7768" s="184"/>
      <c r="H7768" s="184"/>
      <c r="I7768" s="184"/>
      <c r="J7768" s="184"/>
      <c r="K7768" s="184"/>
      <c r="L7768" s="184"/>
      <c r="M7768" s="184"/>
      <c r="N7768" s="184"/>
      <c r="O7768" s="184"/>
    </row>
    <row r="7769" customFormat="false" ht="15" hidden="false" customHeight="true" outlineLevel="0" collapsed="false">
      <c r="A7769" s="184"/>
      <c r="B7769" s="184"/>
      <c r="C7769" s="184"/>
      <c r="D7769" s="184"/>
      <c r="E7769" s="184"/>
      <c r="F7769" s="184"/>
      <c r="G7769" s="184"/>
      <c r="H7769" s="184"/>
      <c r="I7769" s="184"/>
      <c r="J7769" s="184"/>
      <c r="K7769" s="184"/>
      <c r="L7769" s="184"/>
      <c r="M7769" s="184"/>
      <c r="N7769" s="184"/>
      <c r="O7769" s="184"/>
    </row>
    <row r="7770" customFormat="false" ht="15" hidden="false" customHeight="true" outlineLevel="0" collapsed="false">
      <c r="A7770" s="184"/>
      <c r="B7770" s="184"/>
      <c r="C7770" s="184"/>
      <c r="D7770" s="184"/>
      <c r="E7770" s="184"/>
      <c r="F7770" s="184"/>
      <c r="G7770" s="184"/>
      <c r="H7770" s="184"/>
      <c r="I7770" s="184"/>
      <c r="J7770" s="184"/>
      <c r="K7770" s="184"/>
      <c r="L7770" s="184"/>
      <c r="M7770" s="184"/>
      <c r="N7770" s="184"/>
      <c r="O7770" s="184"/>
    </row>
    <row r="7771" customFormat="false" ht="15" hidden="false" customHeight="true" outlineLevel="0" collapsed="false">
      <c r="A7771" s="184"/>
      <c r="B7771" s="184"/>
      <c r="C7771" s="184"/>
      <c r="D7771" s="184"/>
      <c r="E7771" s="184"/>
      <c r="F7771" s="184"/>
      <c r="G7771" s="184"/>
      <c r="H7771" s="184"/>
      <c r="I7771" s="184"/>
      <c r="J7771" s="184"/>
      <c r="K7771" s="184"/>
      <c r="L7771" s="184"/>
      <c r="M7771" s="184"/>
      <c r="N7771" s="184"/>
      <c r="O7771" s="184"/>
    </row>
    <row r="7772" customFormat="false" ht="15" hidden="false" customHeight="true" outlineLevel="0" collapsed="false">
      <c r="A7772" s="184"/>
      <c r="B7772" s="184"/>
      <c r="C7772" s="184"/>
      <c r="D7772" s="184"/>
      <c r="E7772" s="184"/>
      <c r="F7772" s="184"/>
      <c r="G7772" s="184"/>
      <c r="H7772" s="184"/>
      <c r="I7772" s="184"/>
      <c r="J7772" s="184"/>
      <c r="K7772" s="184"/>
      <c r="L7772" s="184"/>
      <c r="M7772" s="184"/>
      <c r="N7772" s="184"/>
      <c r="O7772" s="184"/>
    </row>
    <row r="7773" customFormat="false" ht="15" hidden="false" customHeight="true" outlineLevel="0" collapsed="false">
      <c r="A7773" s="184"/>
      <c r="B7773" s="184"/>
      <c r="C7773" s="184"/>
      <c r="D7773" s="184"/>
      <c r="E7773" s="184"/>
      <c r="F7773" s="184"/>
      <c r="G7773" s="184"/>
      <c r="H7773" s="184"/>
      <c r="I7773" s="184"/>
      <c r="J7773" s="184"/>
      <c r="K7773" s="184"/>
      <c r="L7773" s="184"/>
      <c r="M7773" s="184"/>
      <c r="N7773" s="184"/>
      <c r="O7773" s="184"/>
    </row>
    <row r="7774" customFormat="false" ht="15" hidden="false" customHeight="true" outlineLevel="0" collapsed="false">
      <c r="A7774" s="184"/>
      <c r="B7774" s="184"/>
      <c r="C7774" s="184"/>
      <c r="D7774" s="184"/>
      <c r="E7774" s="184"/>
      <c r="F7774" s="184"/>
      <c r="G7774" s="184"/>
      <c r="H7774" s="184"/>
      <c r="I7774" s="184"/>
      <c r="J7774" s="184"/>
      <c r="K7774" s="184"/>
      <c r="L7774" s="184"/>
      <c r="M7774" s="184"/>
      <c r="N7774" s="184"/>
      <c r="O7774" s="184"/>
    </row>
    <row r="7775" customFormat="false" ht="15" hidden="false" customHeight="true" outlineLevel="0" collapsed="false">
      <c r="A7775" s="184"/>
      <c r="B7775" s="184"/>
      <c r="C7775" s="184"/>
      <c r="D7775" s="184"/>
      <c r="E7775" s="184"/>
      <c r="F7775" s="184"/>
      <c r="G7775" s="184"/>
      <c r="H7775" s="184"/>
      <c r="I7775" s="184"/>
      <c r="J7775" s="184"/>
      <c r="K7775" s="184"/>
      <c r="L7775" s="184"/>
      <c r="M7775" s="184"/>
      <c r="N7775" s="184"/>
      <c r="O7775" s="184"/>
    </row>
    <row r="7776" customFormat="false" ht="15" hidden="false" customHeight="true" outlineLevel="0" collapsed="false">
      <c r="A7776" s="184"/>
      <c r="B7776" s="184"/>
      <c r="C7776" s="184"/>
      <c r="D7776" s="184"/>
      <c r="E7776" s="184"/>
      <c r="F7776" s="184"/>
      <c r="G7776" s="184"/>
      <c r="H7776" s="184"/>
      <c r="I7776" s="184"/>
      <c r="J7776" s="184"/>
      <c r="K7776" s="184"/>
      <c r="L7776" s="184"/>
      <c r="M7776" s="184"/>
      <c r="N7776" s="184"/>
      <c r="O7776" s="184"/>
    </row>
    <row r="7777" customFormat="false" ht="15" hidden="false" customHeight="true" outlineLevel="0" collapsed="false">
      <c r="A7777" s="184"/>
      <c r="B7777" s="184"/>
      <c r="C7777" s="184"/>
      <c r="D7777" s="184"/>
      <c r="E7777" s="184"/>
      <c r="F7777" s="184"/>
      <c r="G7777" s="184"/>
      <c r="H7777" s="184"/>
      <c r="I7777" s="184"/>
      <c r="J7777" s="184"/>
      <c r="K7777" s="184"/>
      <c r="L7777" s="184"/>
      <c r="M7777" s="184"/>
      <c r="N7777" s="184"/>
      <c r="O7777" s="184"/>
    </row>
    <row r="7778" customFormat="false" ht="15" hidden="false" customHeight="true" outlineLevel="0" collapsed="false">
      <c r="A7778" s="184"/>
      <c r="B7778" s="184"/>
      <c r="C7778" s="184"/>
      <c r="D7778" s="184"/>
      <c r="E7778" s="184"/>
      <c r="F7778" s="184"/>
      <c r="G7778" s="184"/>
      <c r="H7778" s="184"/>
      <c r="I7778" s="184"/>
      <c r="J7778" s="184"/>
      <c r="K7778" s="184"/>
      <c r="L7778" s="184"/>
      <c r="M7778" s="184"/>
      <c r="N7778" s="184"/>
      <c r="O7778" s="184"/>
    </row>
    <row r="7779" customFormat="false" ht="15" hidden="false" customHeight="true" outlineLevel="0" collapsed="false">
      <c r="A7779" s="184"/>
      <c r="B7779" s="184"/>
      <c r="C7779" s="184"/>
      <c r="D7779" s="184"/>
      <c r="E7779" s="184"/>
      <c r="F7779" s="184"/>
      <c r="G7779" s="184"/>
      <c r="H7779" s="184"/>
      <c r="I7779" s="184"/>
      <c r="J7779" s="184"/>
      <c r="K7779" s="184"/>
      <c r="L7779" s="184"/>
      <c r="M7779" s="184"/>
      <c r="N7779" s="184"/>
      <c r="O7779" s="184"/>
    </row>
    <row r="7780" customFormat="false" ht="15" hidden="false" customHeight="true" outlineLevel="0" collapsed="false">
      <c r="A7780" s="184"/>
      <c r="B7780" s="184"/>
      <c r="C7780" s="184"/>
      <c r="D7780" s="184"/>
      <c r="E7780" s="184"/>
      <c r="F7780" s="184"/>
      <c r="G7780" s="184"/>
      <c r="H7780" s="184"/>
      <c r="I7780" s="184"/>
      <c r="J7780" s="184"/>
      <c r="K7780" s="184"/>
      <c r="L7780" s="184"/>
      <c r="M7780" s="184"/>
      <c r="N7780" s="184"/>
      <c r="O7780" s="184"/>
    </row>
    <row r="7781" customFormat="false" ht="15" hidden="false" customHeight="true" outlineLevel="0" collapsed="false">
      <c r="A7781" s="184"/>
      <c r="B7781" s="184"/>
      <c r="C7781" s="184"/>
      <c r="D7781" s="184"/>
      <c r="E7781" s="184"/>
      <c r="F7781" s="184"/>
      <c r="G7781" s="184"/>
      <c r="H7781" s="184"/>
      <c r="I7781" s="184"/>
      <c r="J7781" s="184"/>
      <c r="K7781" s="184"/>
      <c r="L7781" s="184"/>
      <c r="M7781" s="184"/>
      <c r="N7781" s="184"/>
      <c r="O7781" s="184"/>
    </row>
    <row r="7782" customFormat="false" ht="15" hidden="false" customHeight="true" outlineLevel="0" collapsed="false">
      <c r="A7782" s="184"/>
      <c r="B7782" s="184"/>
      <c r="C7782" s="184"/>
      <c r="D7782" s="184"/>
      <c r="E7782" s="184"/>
      <c r="F7782" s="184"/>
      <c r="G7782" s="184"/>
      <c r="H7782" s="184"/>
      <c r="I7782" s="184"/>
      <c r="J7782" s="184"/>
      <c r="K7782" s="184"/>
      <c r="L7782" s="184"/>
      <c r="M7782" s="184"/>
      <c r="N7782" s="184"/>
      <c r="O7782" s="184"/>
    </row>
    <row r="7783" customFormat="false" ht="15" hidden="false" customHeight="true" outlineLevel="0" collapsed="false">
      <c r="A7783" s="184"/>
      <c r="B7783" s="184"/>
      <c r="C7783" s="184"/>
      <c r="D7783" s="184"/>
      <c r="E7783" s="184"/>
      <c r="F7783" s="184"/>
      <c r="G7783" s="184"/>
      <c r="H7783" s="184"/>
      <c r="I7783" s="184"/>
      <c r="J7783" s="184"/>
      <c r="K7783" s="184"/>
      <c r="L7783" s="184"/>
      <c r="M7783" s="184"/>
      <c r="N7783" s="184"/>
      <c r="O7783" s="184"/>
    </row>
    <row r="7784" customFormat="false" ht="15" hidden="false" customHeight="true" outlineLevel="0" collapsed="false">
      <c r="A7784" s="184"/>
      <c r="B7784" s="184"/>
      <c r="C7784" s="184"/>
      <c r="D7784" s="184"/>
      <c r="E7784" s="184"/>
      <c r="F7784" s="184"/>
      <c r="G7784" s="184"/>
      <c r="H7784" s="184"/>
      <c r="I7784" s="184"/>
      <c r="J7784" s="184"/>
      <c r="K7784" s="184"/>
      <c r="L7784" s="184"/>
      <c r="M7784" s="184"/>
      <c r="N7784" s="184"/>
      <c r="O7784" s="184"/>
    </row>
    <row r="7785" customFormat="false" ht="15" hidden="false" customHeight="true" outlineLevel="0" collapsed="false">
      <c r="A7785" s="184"/>
      <c r="B7785" s="184"/>
      <c r="C7785" s="184"/>
      <c r="D7785" s="184"/>
      <c r="E7785" s="184"/>
      <c r="F7785" s="184"/>
      <c r="G7785" s="184"/>
      <c r="H7785" s="184"/>
      <c r="I7785" s="184"/>
      <c r="J7785" s="184"/>
      <c r="K7785" s="184"/>
      <c r="L7785" s="184"/>
      <c r="M7785" s="184"/>
      <c r="N7785" s="184"/>
      <c r="O7785" s="184"/>
    </row>
    <row r="7786" customFormat="false" ht="15" hidden="false" customHeight="true" outlineLevel="0" collapsed="false">
      <c r="A7786" s="184"/>
      <c r="B7786" s="184"/>
      <c r="C7786" s="184"/>
      <c r="D7786" s="184"/>
      <c r="E7786" s="184"/>
      <c r="F7786" s="184"/>
      <c r="G7786" s="184"/>
      <c r="H7786" s="184"/>
      <c r="I7786" s="184"/>
      <c r="J7786" s="184"/>
      <c r="K7786" s="184"/>
      <c r="L7786" s="184"/>
      <c r="M7786" s="184"/>
      <c r="N7786" s="184"/>
      <c r="O7786" s="184"/>
    </row>
    <row r="7787" customFormat="false" ht="15" hidden="false" customHeight="true" outlineLevel="0" collapsed="false">
      <c r="A7787" s="184"/>
      <c r="B7787" s="184"/>
      <c r="C7787" s="184"/>
      <c r="D7787" s="184"/>
      <c r="E7787" s="184"/>
      <c r="F7787" s="184"/>
      <c r="G7787" s="184"/>
      <c r="H7787" s="184"/>
      <c r="I7787" s="184"/>
      <c r="J7787" s="184"/>
      <c r="K7787" s="184"/>
      <c r="L7787" s="184"/>
      <c r="M7787" s="184"/>
      <c r="N7787" s="184"/>
      <c r="O7787" s="184"/>
    </row>
    <row r="7788" customFormat="false" ht="15" hidden="false" customHeight="true" outlineLevel="0" collapsed="false">
      <c r="A7788" s="184"/>
      <c r="B7788" s="184"/>
      <c r="C7788" s="184"/>
      <c r="D7788" s="184"/>
      <c r="E7788" s="184"/>
      <c r="F7788" s="184"/>
      <c r="G7788" s="184"/>
      <c r="H7788" s="184"/>
      <c r="I7788" s="184"/>
      <c r="J7788" s="184"/>
      <c r="K7788" s="184"/>
      <c r="L7788" s="184"/>
      <c r="M7788" s="184"/>
      <c r="N7788" s="184"/>
      <c r="O7788" s="184"/>
    </row>
    <row r="7789" customFormat="false" ht="15" hidden="false" customHeight="true" outlineLevel="0" collapsed="false">
      <c r="A7789" s="184"/>
      <c r="B7789" s="184"/>
      <c r="C7789" s="184"/>
      <c r="D7789" s="184"/>
      <c r="E7789" s="184"/>
      <c r="F7789" s="184"/>
      <c r="G7789" s="184"/>
      <c r="H7789" s="184"/>
      <c r="I7789" s="184"/>
      <c r="J7789" s="184"/>
      <c r="K7789" s="184"/>
      <c r="L7789" s="184"/>
      <c r="M7789" s="184"/>
      <c r="N7789" s="184"/>
      <c r="O7789" s="184"/>
    </row>
    <row r="7790" customFormat="false" ht="15" hidden="false" customHeight="true" outlineLevel="0" collapsed="false">
      <c r="A7790" s="184"/>
      <c r="B7790" s="184"/>
      <c r="C7790" s="184"/>
      <c r="D7790" s="184"/>
      <c r="E7790" s="184"/>
      <c r="F7790" s="184"/>
      <c r="G7790" s="184"/>
      <c r="H7790" s="184"/>
      <c r="I7790" s="184"/>
      <c r="J7790" s="184"/>
      <c r="K7790" s="184"/>
      <c r="L7790" s="184"/>
      <c r="M7790" s="184"/>
      <c r="N7790" s="184"/>
      <c r="O7790" s="184"/>
    </row>
    <row r="7791" customFormat="false" ht="15" hidden="false" customHeight="true" outlineLevel="0" collapsed="false">
      <c r="A7791" s="184"/>
      <c r="B7791" s="184"/>
      <c r="C7791" s="184"/>
      <c r="D7791" s="184"/>
      <c r="E7791" s="184"/>
      <c r="F7791" s="184"/>
      <c r="G7791" s="184"/>
      <c r="H7791" s="184"/>
      <c r="I7791" s="184"/>
      <c r="J7791" s="184"/>
      <c r="K7791" s="184"/>
      <c r="L7791" s="184"/>
      <c r="M7791" s="184"/>
      <c r="N7791" s="184"/>
      <c r="O7791" s="184"/>
    </row>
    <row r="7792" customFormat="false" ht="15" hidden="false" customHeight="true" outlineLevel="0" collapsed="false">
      <c r="A7792" s="184"/>
      <c r="B7792" s="184"/>
      <c r="C7792" s="184"/>
      <c r="D7792" s="184"/>
      <c r="E7792" s="184"/>
      <c r="F7792" s="184"/>
      <c r="G7792" s="184"/>
      <c r="H7792" s="184"/>
      <c r="I7792" s="184"/>
      <c r="J7792" s="184"/>
      <c r="K7792" s="184"/>
      <c r="L7792" s="184"/>
      <c r="M7792" s="184"/>
      <c r="N7792" s="184"/>
      <c r="O7792" s="184"/>
    </row>
    <row r="7793" customFormat="false" ht="15" hidden="false" customHeight="true" outlineLevel="0" collapsed="false">
      <c r="A7793" s="184"/>
      <c r="B7793" s="184"/>
      <c r="C7793" s="184"/>
      <c r="D7793" s="184"/>
      <c r="E7793" s="184"/>
      <c r="F7793" s="184"/>
      <c r="G7793" s="184"/>
      <c r="H7793" s="184"/>
      <c r="I7793" s="184"/>
      <c r="J7793" s="184"/>
      <c r="K7793" s="184"/>
      <c r="L7793" s="184"/>
      <c r="M7793" s="184"/>
      <c r="N7793" s="184"/>
      <c r="O7793" s="184"/>
    </row>
    <row r="7794" customFormat="false" ht="15" hidden="false" customHeight="true" outlineLevel="0" collapsed="false">
      <c r="A7794" s="184"/>
      <c r="B7794" s="184"/>
      <c r="C7794" s="184"/>
      <c r="D7794" s="184"/>
      <c r="E7794" s="184"/>
      <c r="F7794" s="184"/>
      <c r="G7794" s="184"/>
      <c r="H7794" s="184"/>
      <c r="I7794" s="184"/>
      <c r="J7794" s="184"/>
      <c r="K7794" s="184"/>
      <c r="L7794" s="184"/>
      <c r="M7794" s="184"/>
      <c r="N7794" s="184"/>
      <c r="O7794" s="184"/>
    </row>
    <row r="7795" customFormat="false" ht="15" hidden="false" customHeight="true" outlineLevel="0" collapsed="false">
      <c r="A7795" s="184"/>
      <c r="B7795" s="184"/>
      <c r="C7795" s="184"/>
      <c r="D7795" s="184"/>
      <c r="E7795" s="184"/>
      <c r="F7795" s="184"/>
      <c r="G7795" s="184"/>
      <c r="H7795" s="184"/>
      <c r="I7795" s="184"/>
      <c r="J7795" s="184"/>
      <c r="K7795" s="184"/>
      <c r="L7795" s="184"/>
      <c r="M7795" s="184"/>
      <c r="N7795" s="184"/>
      <c r="O7795" s="184"/>
    </row>
    <row r="7796" customFormat="false" ht="15" hidden="false" customHeight="true" outlineLevel="0" collapsed="false">
      <c r="A7796" s="184"/>
      <c r="B7796" s="184"/>
      <c r="C7796" s="184"/>
      <c r="D7796" s="184"/>
      <c r="E7796" s="184"/>
      <c r="F7796" s="184"/>
      <c r="G7796" s="184"/>
      <c r="H7796" s="184"/>
      <c r="I7796" s="184"/>
      <c r="J7796" s="184"/>
      <c r="K7796" s="184"/>
      <c r="L7796" s="184"/>
      <c r="M7796" s="184"/>
      <c r="N7796" s="184"/>
      <c r="O7796" s="184"/>
    </row>
    <row r="7797" customFormat="false" ht="15" hidden="false" customHeight="true" outlineLevel="0" collapsed="false">
      <c r="A7797" s="184"/>
      <c r="B7797" s="184"/>
      <c r="C7797" s="184"/>
      <c r="D7797" s="184"/>
      <c r="E7797" s="184"/>
      <c r="F7797" s="184"/>
      <c r="G7797" s="184"/>
      <c r="H7797" s="184"/>
      <c r="I7797" s="184"/>
      <c r="J7797" s="184"/>
      <c r="K7797" s="184"/>
      <c r="L7797" s="184"/>
      <c r="M7797" s="184"/>
      <c r="N7797" s="184"/>
      <c r="O7797" s="184"/>
    </row>
    <row r="7798" customFormat="false" ht="15" hidden="false" customHeight="true" outlineLevel="0" collapsed="false">
      <c r="A7798" s="184"/>
      <c r="B7798" s="184"/>
      <c r="C7798" s="184"/>
      <c r="D7798" s="184"/>
      <c r="E7798" s="184"/>
      <c r="F7798" s="184"/>
      <c r="G7798" s="184"/>
      <c r="H7798" s="184"/>
      <c r="I7798" s="184"/>
      <c r="J7798" s="184"/>
      <c r="K7798" s="184"/>
      <c r="L7798" s="184"/>
      <c r="M7798" s="184"/>
      <c r="N7798" s="184"/>
      <c r="O7798" s="184"/>
    </row>
    <row r="7799" customFormat="false" ht="15" hidden="false" customHeight="true" outlineLevel="0" collapsed="false">
      <c r="A7799" s="184"/>
      <c r="B7799" s="184"/>
      <c r="C7799" s="184"/>
      <c r="D7799" s="184"/>
      <c r="E7799" s="184"/>
      <c r="F7799" s="184"/>
      <c r="G7799" s="184"/>
      <c r="H7799" s="184"/>
      <c r="I7799" s="184"/>
      <c r="J7799" s="184"/>
      <c r="K7799" s="184"/>
      <c r="L7799" s="184"/>
      <c r="M7799" s="184"/>
      <c r="N7799" s="184"/>
      <c r="O7799" s="184"/>
    </row>
    <row r="7800" customFormat="false" ht="15" hidden="false" customHeight="true" outlineLevel="0" collapsed="false">
      <c r="A7800" s="184"/>
      <c r="B7800" s="184"/>
      <c r="C7800" s="184"/>
      <c r="D7800" s="184"/>
      <c r="E7800" s="184"/>
      <c r="F7800" s="184"/>
      <c r="G7800" s="184"/>
      <c r="H7800" s="184"/>
      <c r="I7800" s="184"/>
      <c r="J7800" s="184"/>
      <c r="K7800" s="184"/>
      <c r="L7800" s="184"/>
      <c r="M7800" s="184"/>
      <c r="N7800" s="184"/>
      <c r="O7800" s="184"/>
    </row>
    <row r="7801" customFormat="false" ht="15" hidden="false" customHeight="true" outlineLevel="0" collapsed="false">
      <c r="A7801" s="184"/>
      <c r="B7801" s="184"/>
      <c r="C7801" s="184"/>
      <c r="D7801" s="184"/>
      <c r="E7801" s="184"/>
      <c r="F7801" s="184"/>
      <c r="G7801" s="184"/>
      <c r="H7801" s="184"/>
      <c r="I7801" s="184"/>
      <c r="J7801" s="184"/>
      <c r="K7801" s="184"/>
      <c r="L7801" s="184"/>
      <c r="M7801" s="184"/>
      <c r="N7801" s="184"/>
      <c r="O7801" s="184"/>
    </row>
    <row r="7802" customFormat="false" ht="15" hidden="false" customHeight="true" outlineLevel="0" collapsed="false">
      <c r="A7802" s="184"/>
      <c r="B7802" s="184"/>
      <c r="C7802" s="184"/>
      <c r="D7802" s="184"/>
      <c r="E7802" s="184"/>
      <c r="F7802" s="184"/>
      <c r="G7802" s="184"/>
      <c r="H7802" s="184"/>
      <c r="I7802" s="184"/>
      <c r="J7802" s="184"/>
      <c r="K7802" s="184"/>
      <c r="L7802" s="184"/>
      <c r="M7802" s="184"/>
      <c r="N7802" s="184"/>
      <c r="O7802" s="184"/>
    </row>
    <row r="7803" customFormat="false" ht="15" hidden="false" customHeight="true" outlineLevel="0" collapsed="false">
      <c r="A7803" s="184"/>
      <c r="B7803" s="184"/>
      <c r="C7803" s="184"/>
      <c r="D7803" s="184"/>
      <c r="E7803" s="184"/>
      <c r="F7803" s="184"/>
      <c r="G7803" s="184"/>
      <c r="H7803" s="184"/>
      <c r="I7803" s="184"/>
      <c r="J7803" s="184"/>
      <c r="K7803" s="184"/>
      <c r="L7803" s="184"/>
      <c r="M7803" s="184"/>
      <c r="N7803" s="184"/>
      <c r="O7803" s="184"/>
    </row>
    <row r="7804" customFormat="false" ht="15" hidden="false" customHeight="true" outlineLevel="0" collapsed="false">
      <c r="A7804" s="184"/>
      <c r="B7804" s="184"/>
      <c r="C7804" s="184"/>
      <c r="D7804" s="184"/>
      <c r="E7804" s="184"/>
      <c r="F7804" s="184"/>
      <c r="G7804" s="184"/>
      <c r="H7804" s="184"/>
      <c r="I7804" s="184"/>
      <c r="J7804" s="184"/>
      <c r="K7804" s="184"/>
      <c r="L7804" s="184"/>
      <c r="M7804" s="184"/>
      <c r="N7804" s="184"/>
      <c r="O7804" s="184"/>
    </row>
    <row r="7805" customFormat="false" ht="15" hidden="false" customHeight="true" outlineLevel="0" collapsed="false">
      <c r="A7805" s="184"/>
      <c r="B7805" s="184"/>
      <c r="C7805" s="184"/>
      <c r="D7805" s="184"/>
      <c r="E7805" s="184"/>
      <c r="F7805" s="184"/>
      <c r="G7805" s="184"/>
      <c r="H7805" s="184"/>
      <c r="I7805" s="184"/>
      <c r="J7805" s="184"/>
      <c r="K7805" s="184"/>
      <c r="L7805" s="184"/>
      <c r="M7805" s="184"/>
      <c r="N7805" s="184"/>
      <c r="O7805" s="184"/>
    </row>
    <row r="7806" customFormat="false" ht="15" hidden="false" customHeight="true" outlineLevel="0" collapsed="false">
      <c r="A7806" s="184"/>
      <c r="B7806" s="184"/>
      <c r="C7806" s="184"/>
      <c r="D7806" s="184"/>
      <c r="E7806" s="184"/>
      <c r="F7806" s="184"/>
      <c r="G7806" s="184"/>
      <c r="H7806" s="184"/>
      <c r="I7806" s="184"/>
      <c r="J7806" s="184"/>
      <c r="K7806" s="184"/>
      <c r="L7806" s="184"/>
      <c r="M7806" s="184"/>
      <c r="N7806" s="184"/>
      <c r="O7806" s="184"/>
    </row>
    <row r="7807" customFormat="false" ht="15" hidden="false" customHeight="true" outlineLevel="0" collapsed="false">
      <c r="A7807" s="184"/>
      <c r="B7807" s="184"/>
      <c r="C7807" s="184"/>
      <c r="D7807" s="184"/>
      <c r="E7807" s="184"/>
      <c r="F7807" s="184"/>
      <c r="G7807" s="184"/>
      <c r="H7807" s="184"/>
      <c r="I7807" s="184"/>
      <c r="J7807" s="184"/>
      <c r="K7807" s="184"/>
      <c r="L7807" s="184"/>
      <c r="M7807" s="184"/>
      <c r="N7807" s="184"/>
      <c r="O7807" s="184"/>
    </row>
    <row r="7808" customFormat="false" ht="15" hidden="false" customHeight="true" outlineLevel="0" collapsed="false">
      <c r="A7808" s="184"/>
      <c r="B7808" s="184"/>
      <c r="C7808" s="184"/>
      <c r="D7808" s="184"/>
      <c r="E7808" s="184"/>
      <c r="F7808" s="184"/>
      <c r="G7808" s="184"/>
      <c r="H7808" s="184"/>
      <c r="I7808" s="184"/>
      <c r="J7808" s="184"/>
      <c r="K7808" s="184"/>
      <c r="L7808" s="184"/>
      <c r="M7808" s="184"/>
      <c r="N7808" s="184"/>
      <c r="O7808" s="184"/>
    </row>
    <row r="7809" customFormat="false" ht="15" hidden="false" customHeight="true" outlineLevel="0" collapsed="false">
      <c r="A7809" s="184"/>
      <c r="B7809" s="184"/>
      <c r="C7809" s="184"/>
      <c r="D7809" s="184"/>
      <c r="E7809" s="184"/>
      <c r="F7809" s="184"/>
      <c r="G7809" s="184"/>
      <c r="H7809" s="184"/>
      <c r="I7809" s="184"/>
      <c r="J7809" s="184"/>
      <c r="K7809" s="184"/>
      <c r="L7809" s="184"/>
      <c r="M7809" s="184"/>
      <c r="N7809" s="184"/>
      <c r="O7809" s="184"/>
    </row>
    <row r="7810" customFormat="false" ht="15" hidden="false" customHeight="true" outlineLevel="0" collapsed="false">
      <c r="A7810" s="184"/>
      <c r="B7810" s="184"/>
      <c r="C7810" s="184"/>
      <c r="D7810" s="184"/>
      <c r="E7810" s="184"/>
      <c r="F7810" s="184"/>
      <c r="G7810" s="184"/>
      <c r="H7810" s="184"/>
      <c r="I7810" s="184"/>
      <c r="J7810" s="184"/>
      <c r="K7810" s="184"/>
      <c r="L7810" s="184"/>
      <c r="M7810" s="184"/>
      <c r="N7810" s="184"/>
      <c r="O7810" s="184"/>
    </row>
    <row r="7811" customFormat="false" ht="15" hidden="false" customHeight="true" outlineLevel="0" collapsed="false">
      <c r="A7811" s="184"/>
      <c r="B7811" s="184"/>
      <c r="C7811" s="184"/>
      <c r="D7811" s="184"/>
      <c r="E7811" s="184"/>
      <c r="F7811" s="184"/>
      <c r="G7811" s="184"/>
      <c r="H7811" s="184"/>
      <c r="I7811" s="184"/>
      <c r="J7811" s="184"/>
      <c r="K7811" s="184"/>
      <c r="L7811" s="184"/>
      <c r="M7811" s="184"/>
      <c r="N7811" s="184"/>
      <c r="O7811" s="184"/>
    </row>
    <row r="7812" customFormat="false" ht="15" hidden="false" customHeight="true" outlineLevel="0" collapsed="false">
      <c r="A7812" s="184"/>
      <c r="B7812" s="184"/>
      <c r="C7812" s="184"/>
      <c r="D7812" s="184"/>
      <c r="E7812" s="184"/>
      <c r="F7812" s="184"/>
      <c r="G7812" s="184"/>
      <c r="H7812" s="184"/>
      <c r="I7812" s="184"/>
      <c r="J7812" s="184"/>
      <c r="K7812" s="184"/>
      <c r="L7812" s="184"/>
      <c r="M7812" s="184"/>
      <c r="N7812" s="184"/>
      <c r="O7812" s="184"/>
    </row>
    <row r="7813" customFormat="false" ht="15" hidden="false" customHeight="true" outlineLevel="0" collapsed="false">
      <c r="A7813" s="184"/>
      <c r="B7813" s="184"/>
      <c r="C7813" s="184"/>
      <c r="D7813" s="184"/>
      <c r="E7813" s="184"/>
      <c r="F7813" s="184"/>
      <c r="G7813" s="184"/>
      <c r="H7813" s="184"/>
      <c r="I7813" s="184"/>
      <c r="J7813" s="184"/>
      <c r="K7813" s="184"/>
      <c r="L7813" s="184"/>
      <c r="M7813" s="184"/>
      <c r="N7813" s="184"/>
      <c r="O7813" s="184"/>
    </row>
    <row r="7814" customFormat="false" ht="15" hidden="false" customHeight="true" outlineLevel="0" collapsed="false">
      <c r="A7814" s="184"/>
      <c r="B7814" s="184"/>
      <c r="C7814" s="184"/>
      <c r="D7814" s="184"/>
      <c r="E7814" s="184"/>
      <c r="F7814" s="184"/>
      <c r="G7814" s="184"/>
      <c r="H7814" s="184"/>
      <c r="I7814" s="184"/>
      <c r="J7814" s="184"/>
      <c r="K7814" s="184"/>
      <c r="L7814" s="184"/>
      <c r="M7814" s="184"/>
      <c r="N7814" s="184"/>
      <c r="O7814" s="184"/>
    </row>
    <row r="7815" customFormat="false" ht="15" hidden="false" customHeight="true" outlineLevel="0" collapsed="false">
      <c r="A7815" s="184"/>
      <c r="B7815" s="184"/>
      <c r="C7815" s="184"/>
      <c r="D7815" s="184"/>
      <c r="E7815" s="184"/>
      <c r="F7815" s="184"/>
      <c r="G7815" s="184"/>
      <c r="H7815" s="184"/>
      <c r="I7815" s="184"/>
      <c r="J7815" s="184"/>
      <c r="K7815" s="184"/>
      <c r="L7815" s="184"/>
      <c r="M7815" s="184"/>
      <c r="N7815" s="184"/>
      <c r="O7815" s="184"/>
    </row>
    <row r="7816" customFormat="false" ht="15" hidden="false" customHeight="true" outlineLevel="0" collapsed="false">
      <c r="A7816" s="184"/>
      <c r="B7816" s="184"/>
      <c r="C7816" s="184"/>
      <c r="D7816" s="184"/>
      <c r="E7816" s="184"/>
      <c r="F7816" s="184"/>
      <c r="G7816" s="184"/>
      <c r="H7816" s="184"/>
      <c r="I7816" s="184"/>
      <c r="J7816" s="184"/>
      <c r="K7816" s="184"/>
      <c r="L7816" s="184"/>
      <c r="M7816" s="184"/>
      <c r="N7816" s="184"/>
      <c r="O7816" s="184"/>
    </row>
    <row r="7817" customFormat="false" ht="15" hidden="false" customHeight="true" outlineLevel="0" collapsed="false">
      <c r="A7817" s="184"/>
      <c r="B7817" s="184"/>
      <c r="C7817" s="184"/>
      <c r="D7817" s="184"/>
      <c r="E7817" s="184"/>
      <c r="F7817" s="184"/>
      <c r="G7817" s="184"/>
      <c r="H7817" s="184"/>
      <c r="I7817" s="184"/>
      <c r="J7817" s="184"/>
      <c r="K7817" s="184"/>
      <c r="L7817" s="184"/>
      <c r="M7817" s="184"/>
      <c r="N7817" s="184"/>
      <c r="O7817" s="184"/>
    </row>
    <row r="7818" customFormat="false" ht="15" hidden="false" customHeight="true" outlineLevel="0" collapsed="false">
      <c r="A7818" s="184"/>
      <c r="B7818" s="184"/>
      <c r="C7818" s="184"/>
      <c r="D7818" s="184"/>
      <c r="E7818" s="184"/>
      <c r="F7818" s="184"/>
      <c r="G7818" s="184"/>
      <c r="H7818" s="184"/>
      <c r="I7818" s="184"/>
      <c r="J7818" s="184"/>
      <c r="K7818" s="184"/>
      <c r="L7818" s="184"/>
      <c r="M7818" s="184"/>
      <c r="N7818" s="184"/>
      <c r="O7818" s="184"/>
    </row>
    <row r="7819" customFormat="false" ht="15" hidden="false" customHeight="true" outlineLevel="0" collapsed="false">
      <c r="A7819" s="184"/>
      <c r="B7819" s="184"/>
      <c r="C7819" s="184"/>
      <c r="D7819" s="184"/>
      <c r="E7819" s="184"/>
      <c r="F7819" s="184"/>
      <c r="G7819" s="184"/>
      <c r="H7819" s="184"/>
      <c r="I7819" s="184"/>
      <c r="J7819" s="184"/>
      <c r="K7819" s="184"/>
      <c r="L7819" s="184"/>
      <c r="M7819" s="184"/>
      <c r="N7819" s="184"/>
      <c r="O7819" s="184"/>
    </row>
    <row r="7820" customFormat="false" ht="15" hidden="false" customHeight="true" outlineLevel="0" collapsed="false">
      <c r="A7820" s="184"/>
      <c r="B7820" s="184"/>
      <c r="C7820" s="184"/>
      <c r="D7820" s="184"/>
      <c r="E7820" s="184"/>
      <c r="F7820" s="184"/>
      <c r="G7820" s="184"/>
      <c r="H7820" s="184"/>
      <c r="I7820" s="184"/>
      <c r="J7820" s="184"/>
      <c r="K7820" s="184"/>
      <c r="L7820" s="184"/>
      <c r="M7820" s="184"/>
      <c r="N7820" s="184"/>
      <c r="O7820" s="184"/>
    </row>
    <row r="7821" customFormat="false" ht="15" hidden="false" customHeight="true" outlineLevel="0" collapsed="false">
      <c r="A7821" s="184"/>
      <c r="B7821" s="184"/>
      <c r="C7821" s="184"/>
      <c r="D7821" s="184"/>
      <c r="E7821" s="184"/>
      <c r="F7821" s="184"/>
      <c r="G7821" s="184"/>
      <c r="H7821" s="184"/>
      <c r="I7821" s="184"/>
      <c r="J7821" s="184"/>
      <c r="K7821" s="184"/>
      <c r="L7821" s="184"/>
      <c r="M7821" s="184"/>
      <c r="N7821" s="184"/>
      <c r="O7821" s="184"/>
    </row>
    <row r="7822" customFormat="false" ht="15" hidden="false" customHeight="true" outlineLevel="0" collapsed="false">
      <c r="A7822" s="184"/>
      <c r="B7822" s="184"/>
      <c r="C7822" s="184"/>
      <c r="D7822" s="184"/>
      <c r="E7822" s="184"/>
      <c r="F7822" s="184"/>
      <c r="G7822" s="184"/>
      <c r="H7822" s="184"/>
      <c r="I7822" s="184"/>
      <c r="J7822" s="184"/>
      <c r="K7822" s="184"/>
      <c r="L7822" s="184"/>
      <c r="M7822" s="184"/>
      <c r="N7822" s="184"/>
      <c r="O7822" s="184"/>
    </row>
    <row r="7823" customFormat="false" ht="15" hidden="false" customHeight="true" outlineLevel="0" collapsed="false">
      <c r="A7823" s="184"/>
      <c r="B7823" s="184"/>
      <c r="C7823" s="184"/>
      <c r="D7823" s="184"/>
      <c r="E7823" s="184"/>
      <c r="F7823" s="184"/>
      <c r="G7823" s="184"/>
      <c r="H7823" s="184"/>
      <c r="I7823" s="184"/>
      <c r="J7823" s="184"/>
      <c r="K7823" s="184"/>
      <c r="L7823" s="184"/>
      <c r="M7823" s="184"/>
      <c r="N7823" s="184"/>
      <c r="O7823" s="184"/>
    </row>
    <row r="7824" customFormat="false" ht="15" hidden="false" customHeight="true" outlineLevel="0" collapsed="false">
      <c r="A7824" s="184"/>
      <c r="B7824" s="184"/>
      <c r="C7824" s="184"/>
      <c r="D7824" s="184"/>
      <c r="E7824" s="184"/>
      <c r="F7824" s="184"/>
      <c r="G7824" s="184"/>
      <c r="H7824" s="184"/>
      <c r="I7824" s="184"/>
      <c r="J7824" s="184"/>
      <c r="K7824" s="184"/>
      <c r="L7824" s="184"/>
      <c r="M7824" s="184"/>
      <c r="N7824" s="184"/>
      <c r="O7824" s="184"/>
    </row>
    <row r="7825" customFormat="false" ht="15" hidden="false" customHeight="true" outlineLevel="0" collapsed="false">
      <c r="A7825" s="184"/>
      <c r="B7825" s="184"/>
      <c r="C7825" s="184"/>
      <c r="D7825" s="184"/>
      <c r="E7825" s="184"/>
      <c r="F7825" s="184"/>
      <c r="G7825" s="184"/>
      <c r="H7825" s="184"/>
      <c r="I7825" s="184"/>
      <c r="J7825" s="184"/>
      <c r="K7825" s="184"/>
      <c r="L7825" s="184"/>
      <c r="M7825" s="184"/>
      <c r="N7825" s="184"/>
      <c r="O7825" s="184"/>
    </row>
    <row r="7826" customFormat="false" ht="15" hidden="false" customHeight="true" outlineLevel="0" collapsed="false">
      <c r="A7826" s="184"/>
      <c r="B7826" s="184"/>
      <c r="C7826" s="184"/>
      <c r="D7826" s="184"/>
      <c r="E7826" s="184"/>
      <c r="F7826" s="184"/>
      <c r="G7826" s="184"/>
      <c r="H7826" s="184"/>
      <c r="I7826" s="184"/>
      <c r="J7826" s="184"/>
      <c r="K7826" s="184"/>
      <c r="L7826" s="184"/>
      <c r="M7826" s="184"/>
      <c r="N7826" s="184"/>
      <c r="O7826" s="184"/>
    </row>
    <row r="7827" customFormat="false" ht="15" hidden="false" customHeight="true" outlineLevel="0" collapsed="false">
      <c r="A7827" s="184"/>
      <c r="B7827" s="184"/>
      <c r="C7827" s="184"/>
      <c r="D7827" s="184"/>
      <c r="E7827" s="184"/>
      <c r="F7827" s="184"/>
      <c r="G7827" s="184"/>
      <c r="H7827" s="184"/>
      <c r="I7827" s="184"/>
      <c r="J7827" s="184"/>
      <c r="K7827" s="184"/>
      <c r="L7827" s="184"/>
      <c r="M7827" s="184"/>
      <c r="N7827" s="184"/>
      <c r="O7827" s="184"/>
    </row>
    <row r="7828" customFormat="false" ht="15" hidden="false" customHeight="true" outlineLevel="0" collapsed="false">
      <c r="A7828" s="184"/>
      <c r="B7828" s="184"/>
      <c r="C7828" s="184"/>
      <c r="D7828" s="184"/>
      <c r="E7828" s="184"/>
      <c r="F7828" s="184"/>
      <c r="G7828" s="184"/>
      <c r="H7828" s="184"/>
      <c r="I7828" s="184"/>
      <c r="J7828" s="184"/>
      <c r="K7828" s="184"/>
      <c r="L7828" s="184"/>
      <c r="M7828" s="184"/>
      <c r="N7828" s="184"/>
      <c r="O7828" s="184"/>
    </row>
    <row r="7829" customFormat="false" ht="15" hidden="false" customHeight="true" outlineLevel="0" collapsed="false">
      <c r="A7829" s="184"/>
      <c r="B7829" s="184"/>
      <c r="C7829" s="184"/>
      <c r="D7829" s="184"/>
      <c r="E7829" s="184"/>
      <c r="F7829" s="184"/>
      <c r="G7829" s="184"/>
      <c r="H7829" s="184"/>
      <c r="I7829" s="184"/>
      <c r="J7829" s="184"/>
      <c r="K7829" s="184"/>
      <c r="L7829" s="184"/>
      <c r="M7829" s="184"/>
      <c r="N7829" s="184"/>
      <c r="O7829" s="184"/>
    </row>
    <row r="7830" customFormat="false" ht="15" hidden="false" customHeight="true" outlineLevel="0" collapsed="false">
      <c r="A7830" s="184"/>
      <c r="B7830" s="184"/>
      <c r="C7830" s="184"/>
      <c r="D7830" s="184"/>
      <c r="E7830" s="184"/>
      <c r="F7830" s="184"/>
      <c r="G7830" s="184"/>
      <c r="H7830" s="184"/>
      <c r="I7830" s="184"/>
      <c r="J7830" s="184"/>
      <c r="K7830" s="184"/>
      <c r="L7830" s="184"/>
      <c r="M7830" s="184"/>
      <c r="N7830" s="184"/>
      <c r="O7830" s="184"/>
    </row>
    <row r="7831" customFormat="false" ht="15" hidden="false" customHeight="true" outlineLevel="0" collapsed="false">
      <c r="A7831" s="184"/>
      <c r="B7831" s="184"/>
      <c r="C7831" s="184"/>
      <c r="D7831" s="184"/>
      <c r="E7831" s="184"/>
      <c r="F7831" s="184"/>
      <c r="G7831" s="184"/>
      <c r="H7831" s="184"/>
      <c r="I7831" s="184"/>
      <c r="J7831" s="184"/>
      <c r="K7831" s="184"/>
      <c r="L7831" s="184"/>
      <c r="M7831" s="184"/>
      <c r="N7831" s="184"/>
      <c r="O7831" s="184"/>
    </row>
    <row r="7832" customFormat="false" ht="15" hidden="false" customHeight="true" outlineLevel="0" collapsed="false">
      <c r="A7832" s="184"/>
      <c r="B7832" s="184"/>
      <c r="C7832" s="184"/>
      <c r="D7832" s="184"/>
      <c r="E7832" s="184"/>
      <c r="F7832" s="184"/>
      <c r="G7832" s="184"/>
      <c r="H7832" s="184"/>
      <c r="I7832" s="184"/>
      <c r="J7832" s="184"/>
      <c r="K7832" s="184"/>
      <c r="L7832" s="184"/>
      <c r="M7832" s="184"/>
      <c r="N7832" s="184"/>
      <c r="O7832" s="184"/>
    </row>
    <row r="7833" customFormat="false" ht="15" hidden="false" customHeight="true" outlineLevel="0" collapsed="false">
      <c r="A7833" s="184"/>
      <c r="B7833" s="184"/>
      <c r="C7833" s="184"/>
      <c r="D7833" s="184"/>
      <c r="E7833" s="184"/>
      <c r="F7833" s="184"/>
      <c r="G7833" s="184"/>
      <c r="H7833" s="184"/>
      <c r="I7833" s="184"/>
      <c r="J7833" s="184"/>
      <c r="K7833" s="184"/>
      <c r="L7833" s="184"/>
      <c r="M7833" s="184"/>
      <c r="N7833" s="184"/>
      <c r="O7833" s="184"/>
    </row>
    <row r="7834" customFormat="false" ht="15" hidden="false" customHeight="true" outlineLevel="0" collapsed="false">
      <c r="A7834" s="184"/>
      <c r="B7834" s="184"/>
      <c r="C7834" s="184"/>
      <c r="D7834" s="184"/>
      <c r="E7834" s="184"/>
      <c r="F7834" s="184"/>
      <c r="G7834" s="184"/>
      <c r="H7834" s="184"/>
      <c r="I7834" s="184"/>
      <c r="J7834" s="184"/>
      <c r="K7834" s="184"/>
      <c r="L7834" s="184"/>
      <c r="M7834" s="184"/>
      <c r="N7834" s="184"/>
      <c r="O7834" s="184"/>
    </row>
    <row r="7835" customFormat="false" ht="15" hidden="false" customHeight="true" outlineLevel="0" collapsed="false">
      <c r="A7835" s="184"/>
      <c r="B7835" s="184"/>
      <c r="C7835" s="184"/>
      <c r="D7835" s="184"/>
      <c r="E7835" s="184"/>
      <c r="F7835" s="184"/>
      <c r="G7835" s="184"/>
      <c r="H7835" s="184"/>
      <c r="I7835" s="184"/>
      <c r="J7835" s="184"/>
      <c r="K7835" s="184"/>
      <c r="L7835" s="184"/>
      <c r="M7835" s="184"/>
      <c r="N7835" s="184"/>
      <c r="O7835" s="184"/>
    </row>
    <row r="7836" customFormat="false" ht="15" hidden="false" customHeight="true" outlineLevel="0" collapsed="false">
      <c r="A7836" s="184"/>
      <c r="B7836" s="184"/>
      <c r="C7836" s="184"/>
      <c r="D7836" s="184"/>
      <c r="E7836" s="184"/>
      <c r="F7836" s="184"/>
      <c r="G7836" s="184"/>
      <c r="H7836" s="184"/>
      <c r="I7836" s="184"/>
      <c r="J7836" s="184"/>
      <c r="K7836" s="184"/>
      <c r="L7836" s="184"/>
      <c r="M7836" s="184"/>
      <c r="N7836" s="184"/>
      <c r="O7836" s="184"/>
    </row>
    <row r="7837" customFormat="false" ht="15" hidden="false" customHeight="true" outlineLevel="0" collapsed="false">
      <c r="A7837" s="184"/>
      <c r="B7837" s="184"/>
      <c r="C7837" s="184"/>
      <c r="D7837" s="184"/>
      <c r="E7837" s="184"/>
      <c r="F7837" s="184"/>
      <c r="G7837" s="184"/>
      <c r="H7837" s="184"/>
      <c r="I7837" s="184"/>
      <c r="J7837" s="184"/>
      <c r="K7837" s="184"/>
      <c r="L7837" s="184"/>
      <c r="M7837" s="184"/>
      <c r="N7837" s="184"/>
      <c r="O7837" s="184"/>
    </row>
    <row r="7838" customFormat="false" ht="15" hidden="false" customHeight="true" outlineLevel="0" collapsed="false">
      <c r="A7838" s="184"/>
      <c r="B7838" s="184"/>
      <c r="C7838" s="184"/>
      <c r="D7838" s="184"/>
      <c r="E7838" s="184"/>
      <c r="F7838" s="184"/>
      <c r="G7838" s="184"/>
      <c r="H7838" s="184"/>
      <c r="I7838" s="184"/>
      <c r="J7838" s="184"/>
      <c r="K7838" s="184"/>
      <c r="L7838" s="184"/>
      <c r="M7838" s="184"/>
      <c r="N7838" s="184"/>
      <c r="O7838" s="184"/>
    </row>
    <row r="7839" customFormat="false" ht="15" hidden="false" customHeight="true" outlineLevel="0" collapsed="false">
      <c r="A7839" s="184"/>
      <c r="B7839" s="184"/>
      <c r="C7839" s="184"/>
      <c r="D7839" s="184"/>
      <c r="E7839" s="184"/>
      <c r="F7839" s="184"/>
      <c r="G7839" s="184"/>
      <c r="H7839" s="184"/>
      <c r="I7839" s="184"/>
      <c r="J7839" s="184"/>
      <c r="K7839" s="184"/>
      <c r="L7839" s="184"/>
      <c r="M7839" s="184"/>
      <c r="N7839" s="184"/>
      <c r="O7839" s="184"/>
    </row>
    <row r="7840" customFormat="false" ht="15" hidden="false" customHeight="true" outlineLevel="0" collapsed="false">
      <c r="A7840" s="184"/>
      <c r="B7840" s="184"/>
      <c r="C7840" s="184"/>
      <c r="D7840" s="184"/>
      <c r="E7840" s="184"/>
      <c r="F7840" s="184"/>
      <c r="G7840" s="184"/>
      <c r="H7840" s="184"/>
      <c r="I7840" s="184"/>
      <c r="J7840" s="184"/>
      <c r="K7840" s="184"/>
      <c r="L7840" s="184"/>
      <c r="M7840" s="184"/>
      <c r="N7840" s="184"/>
      <c r="O7840" s="184"/>
    </row>
    <row r="7841" customFormat="false" ht="15" hidden="false" customHeight="true" outlineLevel="0" collapsed="false">
      <c r="A7841" s="184"/>
      <c r="B7841" s="184"/>
      <c r="C7841" s="184"/>
      <c r="D7841" s="184"/>
      <c r="E7841" s="184"/>
      <c r="F7841" s="184"/>
      <c r="G7841" s="184"/>
      <c r="H7841" s="184"/>
      <c r="I7841" s="184"/>
      <c r="J7841" s="184"/>
      <c r="K7841" s="184"/>
      <c r="L7841" s="184"/>
      <c r="M7841" s="184"/>
      <c r="N7841" s="184"/>
      <c r="O7841" s="184"/>
    </row>
    <row r="7842" customFormat="false" ht="15" hidden="false" customHeight="true" outlineLevel="0" collapsed="false">
      <c r="A7842" s="184"/>
      <c r="B7842" s="184"/>
      <c r="C7842" s="184"/>
      <c r="D7842" s="184"/>
      <c r="E7842" s="184"/>
      <c r="F7842" s="184"/>
      <c r="G7842" s="184"/>
      <c r="H7842" s="184"/>
      <c r="I7842" s="184"/>
      <c r="J7842" s="184"/>
      <c r="K7842" s="184"/>
      <c r="L7842" s="184"/>
      <c r="M7842" s="184"/>
      <c r="N7842" s="184"/>
      <c r="O7842" s="184"/>
    </row>
    <row r="7843" customFormat="false" ht="15" hidden="false" customHeight="true" outlineLevel="0" collapsed="false">
      <c r="A7843" s="184"/>
      <c r="B7843" s="184"/>
      <c r="C7843" s="184"/>
      <c r="D7843" s="184"/>
      <c r="E7843" s="184"/>
      <c r="F7843" s="184"/>
      <c r="G7843" s="184"/>
      <c r="H7843" s="184"/>
      <c r="I7843" s="184"/>
      <c r="J7843" s="184"/>
      <c r="K7843" s="184"/>
      <c r="L7843" s="184"/>
      <c r="M7843" s="184"/>
      <c r="N7843" s="184"/>
      <c r="O7843" s="184"/>
    </row>
    <row r="7844" customFormat="false" ht="15" hidden="false" customHeight="true" outlineLevel="0" collapsed="false">
      <c r="A7844" s="184"/>
      <c r="B7844" s="184"/>
      <c r="C7844" s="184"/>
      <c r="D7844" s="184"/>
      <c r="E7844" s="184"/>
      <c r="F7844" s="184"/>
      <c r="G7844" s="184"/>
      <c r="H7844" s="184"/>
      <c r="I7844" s="184"/>
      <c r="J7844" s="184"/>
      <c r="K7844" s="184"/>
      <c r="L7844" s="184"/>
      <c r="M7844" s="184"/>
      <c r="N7844" s="184"/>
      <c r="O7844" s="184"/>
    </row>
    <row r="7845" customFormat="false" ht="15" hidden="false" customHeight="true" outlineLevel="0" collapsed="false">
      <c r="A7845" s="184"/>
      <c r="B7845" s="184"/>
      <c r="C7845" s="184"/>
      <c r="D7845" s="184"/>
      <c r="E7845" s="184"/>
      <c r="F7845" s="184"/>
      <c r="G7845" s="184"/>
      <c r="H7845" s="184"/>
      <c r="I7845" s="184"/>
      <c r="J7845" s="184"/>
      <c r="K7845" s="184"/>
      <c r="L7845" s="184"/>
      <c r="M7845" s="184"/>
      <c r="N7845" s="184"/>
      <c r="O7845" s="184"/>
    </row>
    <row r="7846" customFormat="false" ht="15" hidden="false" customHeight="true" outlineLevel="0" collapsed="false">
      <c r="A7846" s="184"/>
      <c r="B7846" s="184"/>
      <c r="C7846" s="184"/>
      <c r="D7846" s="184"/>
      <c r="E7846" s="184"/>
      <c r="F7846" s="184"/>
      <c r="G7846" s="184"/>
      <c r="H7846" s="184"/>
      <c r="I7846" s="184"/>
      <c r="J7846" s="184"/>
      <c r="K7846" s="184"/>
      <c r="L7846" s="184"/>
      <c r="M7846" s="184"/>
      <c r="N7846" s="184"/>
      <c r="O7846" s="184"/>
    </row>
    <row r="7847" customFormat="false" ht="15" hidden="false" customHeight="true" outlineLevel="0" collapsed="false">
      <c r="A7847" s="184"/>
      <c r="B7847" s="184"/>
      <c r="C7847" s="184"/>
      <c r="D7847" s="184"/>
      <c r="E7847" s="184"/>
      <c r="F7847" s="184"/>
      <c r="G7847" s="184"/>
      <c r="H7847" s="184"/>
      <c r="I7847" s="184"/>
      <c r="J7847" s="184"/>
      <c r="K7847" s="184"/>
      <c r="L7847" s="184"/>
      <c r="M7847" s="184"/>
      <c r="N7847" s="184"/>
      <c r="O7847" s="184"/>
    </row>
    <row r="7848" customFormat="false" ht="15" hidden="false" customHeight="true" outlineLevel="0" collapsed="false">
      <c r="A7848" s="184"/>
      <c r="B7848" s="184"/>
      <c r="C7848" s="184"/>
      <c r="D7848" s="184"/>
      <c r="E7848" s="184"/>
      <c r="F7848" s="184"/>
      <c r="G7848" s="184"/>
      <c r="H7848" s="184"/>
      <c r="I7848" s="184"/>
      <c r="J7848" s="184"/>
      <c r="K7848" s="184"/>
      <c r="L7848" s="184"/>
      <c r="M7848" s="184"/>
      <c r="N7848" s="184"/>
      <c r="O7848" s="184"/>
    </row>
    <row r="7849" customFormat="false" ht="15" hidden="false" customHeight="true" outlineLevel="0" collapsed="false">
      <c r="A7849" s="184"/>
      <c r="B7849" s="184"/>
      <c r="C7849" s="184"/>
      <c r="D7849" s="184"/>
      <c r="E7849" s="184"/>
      <c r="F7849" s="184"/>
      <c r="G7849" s="184"/>
      <c r="H7849" s="184"/>
      <c r="I7849" s="184"/>
      <c r="J7849" s="184"/>
      <c r="K7849" s="184"/>
      <c r="L7849" s="184"/>
      <c r="M7849" s="184"/>
      <c r="N7849" s="184"/>
      <c r="O7849" s="184"/>
    </row>
    <row r="7850" customFormat="false" ht="15" hidden="false" customHeight="true" outlineLevel="0" collapsed="false">
      <c r="A7850" s="184"/>
      <c r="B7850" s="184"/>
      <c r="C7850" s="184"/>
      <c r="D7850" s="184"/>
      <c r="E7850" s="184"/>
      <c r="F7850" s="184"/>
      <c r="G7850" s="184"/>
      <c r="H7850" s="184"/>
      <c r="I7850" s="184"/>
      <c r="J7850" s="184"/>
      <c r="K7850" s="184"/>
      <c r="L7850" s="184"/>
      <c r="M7850" s="184"/>
      <c r="N7850" s="184"/>
      <c r="O7850" s="184"/>
    </row>
    <row r="7851" customFormat="false" ht="15" hidden="false" customHeight="true" outlineLevel="0" collapsed="false">
      <c r="A7851" s="184"/>
      <c r="B7851" s="184"/>
      <c r="C7851" s="184"/>
      <c r="D7851" s="184"/>
      <c r="E7851" s="184"/>
      <c r="F7851" s="184"/>
      <c r="G7851" s="184"/>
      <c r="H7851" s="184"/>
      <c r="I7851" s="184"/>
      <c r="J7851" s="184"/>
      <c r="K7851" s="184"/>
      <c r="L7851" s="184"/>
      <c r="M7851" s="184"/>
      <c r="N7851" s="184"/>
      <c r="O7851" s="184"/>
    </row>
    <row r="7852" customFormat="false" ht="15" hidden="false" customHeight="true" outlineLevel="0" collapsed="false">
      <c r="A7852" s="184"/>
      <c r="B7852" s="184"/>
      <c r="C7852" s="184"/>
      <c r="D7852" s="184"/>
      <c r="E7852" s="184"/>
      <c r="F7852" s="184"/>
      <c r="G7852" s="184"/>
      <c r="H7852" s="184"/>
      <c r="I7852" s="184"/>
      <c r="J7852" s="184"/>
      <c r="K7852" s="184"/>
      <c r="L7852" s="184"/>
      <c r="M7852" s="184"/>
      <c r="N7852" s="184"/>
      <c r="O7852" s="184"/>
    </row>
    <row r="7853" customFormat="false" ht="15" hidden="false" customHeight="true" outlineLevel="0" collapsed="false">
      <c r="A7853" s="184"/>
      <c r="B7853" s="184"/>
      <c r="C7853" s="184"/>
      <c r="D7853" s="184"/>
      <c r="E7853" s="184"/>
      <c r="F7853" s="184"/>
      <c r="G7853" s="184"/>
      <c r="H7853" s="184"/>
      <c r="I7853" s="184"/>
      <c r="J7853" s="184"/>
      <c r="K7853" s="184"/>
      <c r="L7853" s="184"/>
      <c r="M7853" s="184"/>
      <c r="N7853" s="184"/>
      <c r="O7853" s="184"/>
    </row>
    <row r="7854" customFormat="false" ht="15" hidden="false" customHeight="true" outlineLevel="0" collapsed="false">
      <c r="A7854" s="184"/>
      <c r="B7854" s="184"/>
      <c r="C7854" s="184"/>
      <c r="D7854" s="184"/>
      <c r="E7854" s="184"/>
      <c r="F7854" s="184"/>
      <c r="G7854" s="184"/>
      <c r="H7854" s="184"/>
      <c r="I7854" s="184"/>
      <c r="J7854" s="184"/>
      <c r="K7854" s="184"/>
      <c r="L7854" s="184"/>
      <c r="M7854" s="184"/>
      <c r="N7854" s="184"/>
      <c r="O7854" s="184"/>
    </row>
    <row r="7855" customFormat="false" ht="15" hidden="false" customHeight="true" outlineLevel="0" collapsed="false">
      <c r="A7855" s="184"/>
      <c r="B7855" s="184"/>
      <c r="C7855" s="184"/>
      <c r="D7855" s="184"/>
      <c r="E7855" s="184"/>
      <c r="F7855" s="184"/>
      <c r="G7855" s="184"/>
      <c r="H7855" s="184"/>
      <c r="I7855" s="184"/>
      <c r="J7855" s="184"/>
      <c r="K7855" s="184"/>
      <c r="L7855" s="184"/>
      <c r="M7855" s="184"/>
      <c r="N7855" s="184"/>
      <c r="O7855" s="184"/>
    </row>
    <row r="7856" customFormat="false" ht="15" hidden="false" customHeight="true" outlineLevel="0" collapsed="false">
      <c r="A7856" s="184"/>
      <c r="B7856" s="184"/>
      <c r="C7856" s="184"/>
      <c r="D7856" s="184"/>
      <c r="E7856" s="184"/>
      <c r="F7856" s="184"/>
      <c r="G7856" s="184"/>
      <c r="H7856" s="184"/>
      <c r="I7856" s="184"/>
      <c r="J7856" s="184"/>
      <c r="K7856" s="184"/>
      <c r="L7856" s="184"/>
      <c r="M7856" s="184"/>
      <c r="N7856" s="184"/>
      <c r="O7856" s="184"/>
    </row>
    <row r="7857" customFormat="false" ht="15" hidden="false" customHeight="true" outlineLevel="0" collapsed="false">
      <c r="A7857" s="184"/>
      <c r="B7857" s="184"/>
      <c r="C7857" s="184"/>
      <c r="D7857" s="184"/>
      <c r="E7857" s="184"/>
      <c r="F7857" s="184"/>
      <c r="G7857" s="184"/>
      <c r="H7857" s="184"/>
      <c r="I7857" s="184"/>
      <c r="J7857" s="184"/>
      <c r="K7857" s="184"/>
      <c r="L7857" s="184"/>
      <c r="M7857" s="184"/>
      <c r="N7857" s="184"/>
      <c r="O7857" s="184"/>
    </row>
    <row r="7858" customFormat="false" ht="15" hidden="false" customHeight="true" outlineLevel="0" collapsed="false">
      <c r="A7858" s="184"/>
      <c r="B7858" s="184"/>
      <c r="C7858" s="184"/>
      <c r="D7858" s="184"/>
      <c r="E7858" s="184"/>
      <c r="F7858" s="184"/>
      <c r="G7858" s="184"/>
      <c r="H7858" s="184"/>
      <c r="I7858" s="184"/>
      <c r="J7858" s="184"/>
      <c r="K7858" s="184"/>
      <c r="L7858" s="184"/>
      <c r="M7858" s="184"/>
      <c r="N7858" s="184"/>
      <c r="O7858" s="184"/>
    </row>
    <row r="7859" customFormat="false" ht="15" hidden="false" customHeight="true" outlineLevel="0" collapsed="false">
      <c r="A7859" s="184"/>
      <c r="B7859" s="184"/>
      <c r="C7859" s="184"/>
      <c r="D7859" s="184"/>
      <c r="E7859" s="184"/>
      <c r="F7859" s="184"/>
      <c r="G7859" s="184"/>
      <c r="H7859" s="184"/>
      <c r="I7859" s="184"/>
      <c r="J7859" s="184"/>
      <c r="K7859" s="184"/>
      <c r="L7859" s="184"/>
      <c r="M7859" s="184"/>
      <c r="N7859" s="184"/>
      <c r="O7859" s="184"/>
    </row>
    <row r="7860" customFormat="false" ht="15" hidden="false" customHeight="true" outlineLevel="0" collapsed="false">
      <c r="A7860" s="184"/>
      <c r="B7860" s="184"/>
      <c r="C7860" s="184"/>
      <c r="D7860" s="184"/>
      <c r="E7860" s="184"/>
      <c r="F7860" s="184"/>
      <c r="G7860" s="184"/>
      <c r="H7860" s="184"/>
      <c r="I7860" s="184"/>
      <c r="J7860" s="184"/>
      <c r="K7860" s="184"/>
      <c r="L7860" s="184"/>
      <c r="M7860" s="184"/>
      <c r="N7860" s="184"/>
      <c r="O7860" s="184"/>
    </row>
    <row r="7861" customFormat="false" ht="15" hidden="false" customHeight="true" outlineLevel="0" collapsed="false">
      <c r="A7861" s="184"/>
      <c r="B7861" s="184"/>
      <c r="C7861" s="184"/>
      <c r="D7861" s="184"/>
      <c r="E7861" s="184"/>
      <c r="F7861" s="184"/>
      <c r="G7861" s="184"/>
      <c r="H7861" s="184"/>
      <c r="I7861" s="184"/>
      <c r="J7861" s="184"/>
      <c r="K7861" s="184"/>
      <c r="L7861" s="184"/>
      <c r="M7861" s="184"/>
      <c r="N7861" s="184"/>
      <c r="O7861" s="184"/>
    </row>
    <row r="7862" customFormat="false" ht="15" hidden="false" customHeight="true" outlineLevel="0" collapsed="false">
      <c r="A7862" s="184"/>
      <c r="B7862" s="184"/>
      <c r="C7862" s="184"/>
      <c r="D7862" s="184"/>
      <c r="E7862" s="184"/>
      <c r="F7862" s="184"/>
      <c r="G7862" s="184"/>
      <c r="H7862" s="184"/>
      <c r="I7862" s="184"/>
      <c r="J7862" s="184"/>
      <c r="K7862" s="184"/>
      <c r="L7862" s="184"/>
      <c r="M7862" s="184"/>
      <c r="N7862" s="184"/>
      <c r="O7862" s="184"/>
    </row>
    <row r="7863" customFormat="false" ht="15" hidden="false" customHeight="true" outlineLevel="0" collapsed="false">
      <c r="A7863" s="184"/>
      <c r="B7863" s="184"/>
      <c r="C7863" s="184"/>
      <c r="D7863" s="184"/>
      <c r="E7863" s="184"/>
      <c r="F7863" s="184"/>
      <c r="G7863" s="184"/>
      <c r="H7863" s="184"/>
      <c r="I7863" s="184"/>
      <c r="J7863" s="184"/>
      <c r="K7863" s="184"/>
      <c r="L7863" s="184"/>
      <c r="M7863" s="184"/>
      <c r="N7863" s="184"/>
      <c r="O7863" s="184"/>
    </row>
    <row r="7864" customFormat="false" ht="15" hidden="false" customHeight="true" outlineLevel="0" collapsed="false">
      <c r="A7864" s="184"/>
      <c r="B7864" s="184"/>
      <c r="C7864" s="184"/>
      <c r="D7864" s="184"/>
      <c r="E7864" s="184"/>
      <c r="F7864" s="184"/>
      <c r="G7864" s="184"/>
      <c r="H7864" s="184"/>
      <c r="I7864" s="184"/>
      <c r="J7864" s="184"/>
      <c r="K7864" s="184"/>
      <c r="L7864" s="184"/>
      <c r="M7864" s="184"/>
      <c r="N7864" s="184"/>
      <c r="O7864" s="184"/>
    </row>
    <row r="7865" customFormat="false" ht="15" hidden="false" customHeight="true" outlineLevel="0" collapsed="false">
      <c r="A7865" s="184"/>
      <c r="B7865" s="184"/>
      <c r="C7865" s="184"/>
      <c r="D7865" s="184"/>
      <c r="E7865" s="184"/>
      <c r="F7865" s="184"/>
      <c r="G7865" s="184"/>
      <c r="H7865" s="184"/>
      <c r="I7865" s="184"/>
      <c r="J7865" s="184"/>
      <c r="K7865" s="184"/>
      <c r="L7865" s="184"/>
      <c r="M7865" s="184"/>
      <c r="N7865" s="184"/>
      <c r="O7865" s="184"/>
    </row>
    <row r="7866" customFormat="false" ht="15" hidden="false" customHeight="true" outlineLevel="0" collapsed="false">
      <c r="A7866" s="184"/>
      <c r="B7866" s="184"/>
      <c r="C7866" s="184"/>
      <c r="D7866" s="184"/>
      <c r="E7866" s="184"/>
      <c r="F7866" s="184"/>
      <c r="G7866" s="184"/>
      <c r="H7866" s="184"/>
      <c r="I7866" s="184"/>
      <c r="J7866" s="184"/>
      <c r="K7866" s="184"/>
      <c r="L7866" s="184"/>
      <c r="M7866" s="184"/>
      <c r="N7866" s="184"/>
      <c r="O7866" s="184"/>
    </row>
    <row r="7867" customFormat="false" ht="15" hidden="false" customHeight="true" outlineLevel="0" collapsed="false">
      <c r="A7867" s="184"/>
      <c r="B7867" s="184"/>
      <c r="C7867" s="184"/>
      <c r="D7867" s="184"/>
      <c r="E7867" s="184"/>
      <c r="F7867" s="184"/>
      <c r="G7867" s="184"/>
      <c r="H7867" s="184"/>
      <c r="I7867" s="184"/>
      <c r="J7867" s="184"/>
      <c r="K7867" s="184"/>
      <c r="L7867" s="184"/>
      <c r="M7867" s="184"/>
      <c r="N7867" s="184"/>
      <c r="O7867" s="184"/>
    </row>
    <row r="7868" customFormat="false" ht="15" hidden="false" customHeight="true" outlineLevel="0" collapsed="false">
      <c r="A7868" s="184"/>
      <c r="B7868" s="184"/>
      <c r="C7868" s="184"/>
      <c r="D7868" s="184"/>
      <c r="E7868" s="184"/>
      <c r="F7868" s="184"/>
      <c r="G7868" s="184"/>
      <c r="H7868" s="184"/>
      <c r="I7868" s="184"/>
      <c r="J7868" s="184"/>
      <c r="K7868" s="184"/>
      <c r="L7868" s="184"/>
      <c r="M7868" s="184"/>
      <c r="N7868" s="184"/>
      <c r="O7868" s="184"/>
    </row>
    <row r="7869" customFormat="false" ht="15" hidden="false" customHeight="true" outlineLevel="0" collapsed="false">
      <c r="A7869" s="184"/>
      <c r="B7869" s="184"/>
      <c r="C7869" s="184"/>
      <c r="D7869" s="184"/>
      <c r="E7869" s="184"/>
      <c r="F7869" s="184"/>
      <c r="G7869" s="184"/>
      <c r="H7869" s="184"/>
      <c r="I7869" s="184"/>
      <c r="J7869" s="184"/>
      <c r="K7869" s="184"/>
      <c r="L7869" s="184"/>
      <c r="M7869" s="184"/>
      <c r="N7869" s="184"/>
      <c r="O7869" s="184"/>
    </row>
    <row r="7870" customFormat="false" ht="15" hidden="false" customHeight="true" outlineLevel="0" collapsed="false">
      <c r="A7870" s="184"/>
      <c r="B7870" s="184"/>
      <c r="C7870" s="184"/>
      <c r="D7870" s="184"/>
      <c r="E7870" s="184"/>
      <c r="F7870" s="184"/>
      <c r="G7870" s="184"/>
      <c r="H7870" s="184"/>
      <c r="I7870" s="184"/>
      <c r="J7870" s="184"/>
      <c r="K7870" s="184"/>
      <c r="L7870" s="184"/>
      <c r="M7870" s="184"/>
      <c r="N7870" s="184"/>
      <c r="O7870" s="184"/>
    </row>
    <row r="7871" customFormat="false" ht="15" hidden="false" customHeight="true" outlineLevel="0" collapsed="false">
      <c r="A7871" s="184"/>
      <c r="B7871" s="184"/>
      <c r="C7871" s="184"/>
      <c r="D7871" s="184"/>
      <c r="E7871" s="184"/>
      <c r="F7871" s="184"/>
      <c r="G7871" s="184"/>
      <c r="H7871" s="184"/>
      <c r="I7871" s="184"/>
      <c r="J7871" s="184"/>
      <c r="K7871" s="184"/>
      <c r="L7871" s="184"/>
      <c r="M7871" s="184"/>
      <c r="N7871" s="184"/>
      <c r="O7871" s="184"/>
    </row>
    <row r="7872" customFormat="false" ht="15" hidden="false" customHeight="true" outlineLevel="0" collapsed="false">
      <c r="A7872" s="184"/>
      <c r="B7872" s="184"/>
      <c r="C7872" s="184"/>
      <c r="D7872" s="184"/>
      <c r="E7872" s="184"/>
      <c r="F7872" s="184"/>
      <c r="G7872" s="184"/>
      <c r="H7872" s="184"/>
      <c r="I7872" s="184"/>
      <c r="J7872" s="184"/>
      <c r="K7872" s="184"/>
      <c r="L7872" s="184"/>
      <c r="M7872" s="184"/>
      <c r="N7872" s="184"/>
      <c r="O7872" s="184"/>
    </row>
    <row r="7873" customFormat="false" ht="15" hidden="false" customHeight="true" outlineLevel="0" collapsed="false">
      <c r="A7873" s="184"/>
      <c r="B7873" s="184"/>
      <c r="C7873" s="184"/>
      <c r="D7873" s="184"/>
      <c r="E7873" s="184"/>
      <c r="F7873" s="184"/>
      <c r="G7873" s="184"/>
      <c r="H7873" s="184"/>
      <c r="I7873" s="184"/>
      <c r="J7873" s="184"/>
      <c r="K7873" s="184"/>
      <c r="L7873" s="184"/>
      <c r="M7873" s="184"/>
      <c r="N7873" s="184"/>
      <c r="O7873" s="184"/>
    </row>
    <row r="7874" customFormat="false" ht="15" hidden="false" customHeight="true" outlineLevel="0" collapsed="false">
      <c r="A7874" s="184"/>
      <c r="B7874" s="184"/>
      <c r="C7874" s="184"/>
      <c r="D7874" s="184"/>
      <c r="E7874" s="184"/>
      <c r="F7874" s="184"/>
      <c r="G7874" s="184"/>
      <c r="H7874" s="184"/>
      <c r="I7874" s="184"/>
      <c r="J7874" s="184"/>
      <c r="K7874" s="184"/>
      <c r="L7874" s="184"/>
      <c r="M7874" s="184"/>
      <c r="N7874" s="184"/>
      <c r="O7874" s="184"/>
    </row>
    <row r="7875" customFormat="false" ht="15" hidden="false" customHeight="true" outlineLevel="0" collapsed="false">
      <c r="A7875" s="184"/>
      <c r="B7875" s="184"/>
      <c r="C7875" s="184"/>
      <c r="D7875" s="184"/>
      <c r="E7875" s="184"/>
      <c r="F7875" s="184"/>
      <c r="G7875" s="184"/>
      <c r="H7875" s="184"/>
      <c r="I7875" s="184"/>
      <c r="J7875" s="184"/>
      <c r="K7875" s="184"/>
      <c r="L7875" s="184"/>
      <c r="M7875" s="184"/>
      <c r="N7875" s="184"/>
      <c r="O7875" s="184"/>
    </row>
    <row r="7876" customFormat="false" ht="15" hidden="false" customHeight="true" outlineLevel="0" collapsed="false">
      <c r="A7876" s="184"/>
      <c r="B7876" s="184"/>
      <c r="C7876" s="184"/>
      <c r="D7876" s="184"/>
      <c r="E7876" s="184"/>
      <c r="F7876" s="184"/>
      <c r="G7876" s="184"/>
      <c r="H7876" s="184"/>
      <c r="I7876" s="184"/>
      <c r="J7876" s="184"/>
      <c r="K7876" s="184"/>
      <c r="L7876" s="184"/>
      <c r="M7876" s="184"/>
      <c r="N7876" s="184"/>
      <c r="O7876" s="184"/>
    </row>
    <row r="7877" customFormat="false" ht="15" hidden="false" customHeight="true" outlineLevel="0" collapsed="false">
      <c r="A7877" s="184"/>
      <c r="B7877" s="184"/>
      <c r="C7877" s="184"/>
      <c r="D7877" s="184"/>
      <c r="E7877" s="184"/>
      <c r="F7877" s="184"/>
      <c r="G7877" s="184"/>
      <c r="H7877" s="184"/>
      <c r="I7877" s="184"/>
      <c r="J7877" s="184"/>
      <c r="K7877" s="184"/>
      <c r="L7877" s="184"/>
      <c r="M7877" s="184"/>
      <c r="N7877" s="184"/>
      <c r="O7877" s="184"/>
    </row>
    <row r="7878" customFormat="false" ht="15" hidden="false" customHeight="true" outlineLevel="0" collapsed="false">
      <c r="A7878" s="184"/>
      <c r="B7878" s="184"/>
      <c r="C7878" s="184"/>
      <c r="D7878" s="184"/>
      <c r="E7878" s="184"/>
      <c r="F7878" s="184"/>
      <c r="G7878" s="184"/>
      <c r="H7878" s="184"/>
      <c r="I7878" s="184"/>
      <c r="J7878" s="184"/>
      <c r="K7878" s="184"/>
      <c r="L7878" s="184"/>
      <c r="M7878" s="184"/>
      <c r="N7878" s="184"/>
      <c r="O7878" s="184"/>
    </row>
    <row r="7879" customFormat="false" ht="15" hidden="false" customHeight="true" outlineLevel="0" collapsed="false">
      <c r="A7879" s="184"/>
      <c r="B7879" s="184"/>
      <c r="C7879" s="184"/>
      <c r="D7879" s="184"/>
      <c r="E7879" s="184"/>
      <c r="F7879" s="184"/>
      <c r="G7879" s="184"/>
      <c r="H7879" s="184"/>
      <c r="I7879" s="184"/>
      <c r="J7879" s="184"/>
      <c r="K7879" s="184"/>
      <c r="L7879" s="184"/>
      <c r="M7879" s="184"/>
      <c r="N7879" s="184"/>
      <c r="O7879" s="184"/>
    </row>
    <row r="7880" customFormat="false" ht="15" hidden="false" customHeight="true" outlineLevel="0" collapsed="false">
      <c r="A7880" s="184"/>
      <c r="B7880" s="184"/>
      <c r="C7880" s="184"/>
      <c r="D7880" s="184"/>
      <c r="E7880" s="184"/>
      <c r="F7880" s="184"/>
      <c r="G7880" s="184"/>
      <c r="H7880" s="184"/>
      <c r="I7880" s="184"/>
      <c r="J7880" s="184"/>
      <c r="K7880" s="184"/>
      <c r="L7880" s="184"/>
      <c r="M7880" s="184"/>
      <c r="N7880" s="184"/>
      <c r="O7880" s="184"/>
    </row>
    <row r="7881" customFormat="false" ht="15" hidden="false" customHeight="true" outlineLevel="0" collapsed="false">
      <c r="A7881" s="184"/>
      <c r="B7881" s="184"/>
      <c r="C7881" s="184"/>
      <c r="D7881" s="184"/>
      <c r="E7881" s="184"/>
      <c r="F7881" s="184"/>
      <c r="G7881" s="184"/>
      <c r="H7881" s="184"/>
      <c r="I7881" s="184"/>
      <c r="J7881" s="184"/>
      <c r="K7881" s="184"/>
      <c r="L7881" s="184"/>
      <c r="M7881" s="184"/>
      <c r="N7881" s="184"/>
      <c r="O7881" s="184"/>
    </row>
    <row r="7882" customFormat="false" ht="15" hidden="false" customHeight="true" outlineLevel="0" collapsed="false">
      <c r="A7882" s="184"/>
      <c r="B7882" s="184"/>
      <c r="C7882" s="184"/>
      <c r="D7882" s="184"/>
      <c r="E7882" s="184"/>
      <c r="F7882" s="184"/>
      <c r="G7882" s="184"/>
      <c r="H7882" s="184"/>
      <c r="I7882" s="184"/>
      <c r="J7882" s="184"/>
      <c r="K7882" s="184"/>
      <c r="L7882" s="184"/>
      <c r="M7882" s="184"/>
      <c r="N7882" s="184"/>
      <c r="O7882" s="184"/>
    </row>
    <row r="7883" customFormat="false" ht="15" hidden="false" customHeight="true" outlineLevel="0" collapsed="false">
      <c r="A7883" s="184"/>
      <c r="B7883" s="184"/>
      <c r="C7883" s="184"/>
      <c r="D7883" s="184"/>
      <c r="E7883" s="184"/>
      <c r="F7883" s="184"/>
      <c r="G7883" s="184"/>
      <c r="H7883" s="184"/>
      <c r="I7883" s="184"/>
      <c r="J7883" s="184"/>
      <c r="K7883" s="184"/>
      <c r="L7883" s="184"/>
      <c r="M7883" s="184"/>
      <c r="N7883" s="184"/>
      <c r="O7883" s="184"/>
    </row>
    <row r="7884" customFormat="false" ht="15" hidden="false" customHeight="true" outlineLevel="0" collapsed="false">
      <c r="A7884" s="184"/>
      <c r="B7884" s="184"/>
      <c r="C7884" s="184"/>
      <c r="D7884" s="184"/>
      <c r="E7884" s="184"/>
      <c r="F7884" s="184"/>
      <c r="G7884" s="184"/>
      <c r="H7884" s="184"/>
      <c r="I7884" s="184"/>
      <c r="J7884" s="184"/>
      <c r="K7884" s="184"/>
      <c r="L7884" s="184"/>
      <c r="M7884" s="184"/>
      <c r="N7884" s="184"/>
      <c r="O7884" s="184"/>
    </row>
    <row r="7885" customFormat="false" ht="15" hidden="false" customHeight="true" outlineLevel="0" collapsed="false">
      <c r="A7885" s="184"/>
      <c r="B7885" s="184"/>
      <c r="C7885" s="184"/>
      <c r="D7885" s="184"/>
      <c r="E7885" s="184"/>
      <c r="F7885" s="184"/>
      <c r="G7885" s="184"/>
      <c r="H7885" s="184"/>
      <c r="I7885" s="184"/>
      <c r="J7885" s="184"/>
      <c r="K7885" s="184"/>
      <c r="L7885" s="184"/>
      <c r="M7885" s="184"/>
      <c r="N7885" s="184"/>
      <c r="O7885" s="184"/>
    </row>
    <row r="7886" customFormat="false" ht="15" hidden="false" customHeight="true" outlineLevel="0" collapsed="false">
      <c r="A7886" s="184"/>
      <c r="B7886" s="184"/>
      <c r="C7886" s="184"/>
      <c r="D7886" s="184"/>
      <c r="E7886" s="184"/>
      <c r="F7886" s="184"/>
      <c r="G7886" s="184"/>
      <c r="H7886" s="184"/>
      <c r="I7886" s="184"/>
      <c r="J7886" s="184"/>
      <c r="K7886" s="184"/>
      <c r="L7886" s="184"/>
      <c r="M7886" s="184"/>
      <c r="N7886" s="184"/>
      <c r="O7886" s="184"/>
    </row>
    <row r="7887" customFormat="false" ht="15" hidden="false" customHeight="true" outlineLevel="0" collapsed="false">
      <c r="A7887" s="184"/>
      <c r="B7887" s="184"/>
      <c r="C7887" s="184"/>
      <c r="D7887" s="184"/>
      <c r="E7887" s="184"/>
      <c r="F7887" s="184"/>
      <c r="G7887" s="184"/>
      <c r="H7887" s="184"/>
      <c r="I7887" s="184"/>
      <c r="J7887" s="184"/>
      <c r="K7887" s="184"/>
      <c r="L7887" s="184"/>
      <c r="M7887" s="184"/>
      <c r="N7887" s="184"/>
      <c r="O7887" s="184"/>
    </row>
    <row r="7888" customFormat="false" ht="15" hidden="false" customHeight="true" outlineLevel="0" collapsed="false">
      <c r="A7888" s="184"/>
      <c r="B7888" s="184"/>
      <c r="C7888" s="184"/>
      <c r="D7888" s="184"/>
      <c r="E7888" s="184"/>
      <c r="F7888" s="184"/>
      <c r="G7888" s="184"/>
      <c r="H7888" s="184"/>
      <c r="I7888" s="184"/>
      <c r="J7888" s="184"/>
      <c r="K7888" s="184"/>
      <c r="L7888" s="184"/>
      <c r="M7888" s="184"/>
      <c r="N7888" s="184"/>
      <c r="O7888" s="184"/>
    </row>
    <row r="7889" customFormat="false" ht="15" hidden="false" customHeight="true" outlineLevel="0" collapsed="false">
      <c r="A7889" s="184"/>
      <c r="B7889" s="184"/>
      <c r="C7889" s="184"/>
      <c r="D7889" s="184"/>
      <c r="E7889" s="184"/>
      <c r="F7889" s="184"/>
      <c r="G7889" s="184"/>
      <c r="H7889" s="184"/>
      <c r="I7889" s="184"/>
      <c r="J7889" s="184"/>
      <c r="K7889" s="184"/>
      <c r="L7889" s="184"/>
      <c r="M7889" s="184"/>
      <c r="N7889" s="184"/>
      <c r="O7889" s="184"/>
    </row>
    <row r="7890" customFormat="false" ht="15" hidden="false" customHeight="true" outlineLevel="0" collapsed="false">
      <c r="A7890" s="184"/>
      <c r="B7890" s="184"/>
      <c r="C7890" s="184"/>
      <c r="D7890" s="184"/>
      <c r="E7890" s="184"/>
      <c r="F7890" s="184"/>
      <c r="G7890" s="184"/>
      <c r="H7890" s="184"/>
      <c r="I7890" s="184"/>
      <c r="J7890" s="184"/>
      <c r="K7890" s="184"/>
      <c r="L7890" s="184"/>
      <c r="M7890" s="184"/>
      <c r="N7890" s="184"/>
      <c r="O7890" s="184"/>
    </row>
    <row r="7891" customFormat="false" ht="15" hidden="false" customHeight="true" outlineLevel="0" collapsed="false">
      <c r="A7891" s="184"/>
      <c r="B7891" s="184"/>
      <c r="C7891" s="184"/>
      <c r="D7891" s="184"/>
      <c r="E7891" s="184"/>
      <c r="F7891" s="184"/>
      <c r="G7891" s="184"/>
      <c r="H7891" s="184"/>
      <c r="I7891" s="184"/>
      <c r="J7891" s="184"/>
      <c r="K7891" s="184"/>
      <c r="L7891" s="184"/>
      <c r="M7891" s="184"/>
      <c r="N7891" s="184"/>
      <c r="O7891" s="184"/>
    </row>
    <row r="7892" customFormat="false" ht="15" hidden="false" customHeight="true" outlineLevel="0" collapsed="false">
      <c r="A7892" s="184"/>
      <c r="B7892" s="184"/>
      <c r="C7892" s="184"/>
      <c r="D7892" s="184"/>
      <c r="E7892" s="184"/>
      <c r="F7892" s="184"/>
      <c r="G7892" s="184"/>
      <c r="H7892" s="184"/>
      <c r="I7892" s="184"/>
      <c r="J7892" s="184"/>
      <c r="K7892" s="184"/>
      <c r="L7892" s="184"/>
      <c r="M7892" s="184"/>
      <c r="N7892" s="184"/>
      <c r="O7892" s="184"/>
    </row>
    <row r="7893" customFormat="false" ht="15" hidden="false" customHeight="true" outlineLevel="0" collapsed="false">
      <c r="A7893" s="184"/>
      <c r="B7893" s="184"/>
      <c r="C7893" s="184"/>
      <c r="D7893" s="184"/>
      <c r="E7893" s="184"/>
      <c r="F7893" s="184"/>
      <c r="G7893" s="184"/>
      <c r="H7893" s="184"/>
      <c r="I7893" s="184"/>
      <c r="J7893" s="184"/>
      <c r="K7893" s="184"/>
      <c r="L7893" s="184"/>
      <c r="M7893" s="184"/>
      <c r="N7893" s="184"/>
      <c r="O7893" s="184"/>
    </row>
    <row r="7894" customFormat="false" ht="15" hidden="false" customHeight="true" outlineLevel="0" collapsed="false">
      <c r="A7894" s="184"/>
      <c r="B7894" s="184"/>
      <c r="C7894" s="184"/>
      <c r="D7894" s="184"/>
      <c r="E7894" s="184"/>
      <c r="F7894" s="184"/>
      <c r="G7894" s="184"/>
      <c r="H7894" s="184"/>
      <c r="I7894" s="184"/>
      <c r="J7894" s="184"/>
      <c r="K7894" s="184"/>
      <c r="L7894" s="184"/>
      <c r="M7894" s="184"/>
      <c r="N7894" s="184"/>
      <c r="O7894" s="184"/>
    </row>
    <row r="7895" customFormat="false" ht="15" hidden="false" customHeight="true" outlineLevel="0" collapsed="false">
      <c r="A7895" s="184"/>
      <c r="B7895" s="184"/>
      <c r="C7895" s="184"/>
      <c r="D7895" s="184"/>
      <c r="E7895" s="184"/>
      <c r="F7895" s="184"/>
      <c r="G7895" s="184"/>
      <c r="H7895" s="184"/>
      <c r="I7895" s="184"/>
      <c r="J7895" s="184"/>
      <c r="K7895" s="184"/>
      <c r="L7895" s="184"/>
      <c r="M7895" s="184"/>
      <c r="N7895" s="184"/>
      <c r="O7895" s="184"/>
    </row>
    <row r="7896" customFormat="false" ht="15" hidden="false" customHeight="true" outlineLevel="0" collapsed="false">
      <c r="A7896" s="184"/>
      <c r="B7896" s="184"/>
      <c r="C7896" s="184"/>
      <c r="D7896" s="184"/>
      <c r="E7896" s="184"/>
      <c r="F7896" s="184"/>
      <c r="G7896" s="184"/>
      <c r="H7896" s="184"/>
      <c r="I7896" s="184"/>
      <c r="J7896" s="184"/>
      <c r="K7896" s="184"/>
      <c r="L7896" s="184"/>
      <c r="M7896" s="184"/>
      <c r="N7896" s="184"/>
      <c r="O7896" s="184"/>
    </row>
    <row r="7897" customFormat="false" ht="15" hidden="false" customHeight="true" outlineLevel="0" collapsed="false">
      <c r="A7897" s="184"/>
      <c r="B7897" s="184"/>
      <c r="C7897" s="184"/>
      <c r="D7897" s="184"/>
      <c r="E7897" s="184"/>
      <c r="F7897" s="184"/>
      <c r="G7897" s="184"/>
      <c r="H7897" s="184"/>
      <c r="I7897" s="184"/>
      <c r="J7897" s="184"/>
      <c r="K7897" s="184"/>
      <c r="L7897" s="184"/>
      <c r="M7897" s="184"/>
      <c r="N7897" s="184"/>
      <c r="O7897" s="184"/>
    </row>
    <row r="7898" customFormat="false" ht="15" hidden="false" customHeight="true" outlineLevel="0" collapsed="false">
      <c r="A7898" s="184"/>
      <c r="B7898" s="184"/>
      <c r="C7898" s="184"/>
      <c r="D7898" s="184"/>
      <c r="E7898" s="184"/>
      <c r="F7898" s="184"/>
      <c r="G7898" s="184"/>
      <c r="H7898" s="184"/>
      <c r="I7898" s="184"/>
      <c r="J7898" s="184"/>
      <c r="K7898" s="184"/>
      <c r="L7898" s="184"/>
      <c r="M7898" s="184"/>
      <c r="N7898" s="184"/>
      <c r="O7898" s="184"/>
    </row>
    <row r="7899" customFormat="false" ht="15" hidden="false" customHeight="true" outlineLevel="0" collapsed="false">
      <c r="A7899" s="184"/>
      <c r="B7899" s="184"/>
      <c r="C7899" s="184"/>
      <c r="D7899" s="184"/>
      <c r="E7899" s="184"/>
      <c r="F7899" s="184"/>
      <c r="G7899" s="184"/>
      <c r="H7899" s="184"/>
      <c r="I7899" s="184"/>
      <c r="J7899" s="184"/>
      <c r="K7899" s="184"/>
      <c r="L7899" s="184"/>
      <c r="M7899" s="184"/>
      <c r="N7899" s="184"/>
      <c r="O7899" s="184"/>
    </row>
    <row r="7900" customFormat="false" ht="15" hidden="false" customHeight="true" outlineLevel="0" collapsed="false">
      <c r="A7900" s="184"/>
      <c r="B7900" s="184"/>
      <c r="C7900" s="184"/>
      <c r="D7900" s="184"/>
      <c r="E7900" s="184"/>
      <c r="F7900" s="184"/>
      <c r="G7900" s="184"/>
      <c r="H7900" s="184"/>
      <c r="I7900" s="184"/>
      <c r="J7900" s="184"/>
      <c r="K7900" s="184"/>
      <c r="L7900" s="184"/>
      <c r="M7900" s="184"/>
      <c r="N7900" s="184"/>
      <c r="O7900" s="184"/>
    </row>
    <row r="7901" customFormat="false" ht="15" hidden="false" customHeight="true" outlineLevel="0" collapsed="false">
      <c r="A7901" s="184"/>
      <c r="B7901" s="184"/>
      <c r="C7901" s="184"/>
      <c r="D7901" s="184"/>
      <c r="E7901" s="184"/>
      <c r="F7901" s="184"/>
      <c r="G7901" s="184"/>
      <c r="H7901" s="184"/>
      <c r="I7901" s="184"/>
      <c r="J7901" s="184"/>
      <c r="K7901" s="184"/>
      <c r="L7901" s="184"/>
      <c r="M7901" s="184"/>
      <c r="N7901" s="184"/>
      <c r="O7901" s="184"/>
    </row>
    <row r="7902" customFormat="false" ht="15" hidden="false" customHeight="true" outlineLevel="0" collapsed="false">
      <c r="A7902" s="184"/>
      <c r="B7902" s="184"/>
      <c r="C7902" s="184"/>
      <c r="D7902" s="184"/>
      <c r="E7902" s="184"/>
      <c r="F7902" s="184"/>
      <c r="G7902" s="184"/>
      <c r="H7902" s="184"/>
      <c r="I7902" s="184"/>
      <c r="J7902" s="184"/>
      <c r="K7902" s="184"/>
      <c r="L7902" s="184"/>
      <c r="M7902" s="184"/>
      <c r="N7902" s="184"/>
      <c r="O7902" s="184"/>
    </row>
    <row r="7903" customFormat="false" ht="15" hidden="false" customHeight="true" outlineLevel="0" collapsed="false">
      <c r="A7903" s="184"/>
      <c r="B7903" s="184"/>
      <c r="C7903" s="184"/>
      <c r="D7903" s="184"/>
      <c r="E7903" s="184"/>
      <c r="F7903" s="184"/>
      <c r="G7903" s="184"/>
      <c r="H7903" s="184"/>
      <c r="I7903" s="184"/>
      <c r="J7903" s="184"/>
      <c r="K7903" s="184"/>
      <c r="L7903" s="184"/>
      <c r="M7903" s="184"/>
      <c r="N7903" s="184"/>
      <c r="O7903" s="184"/>
    </row>
    <row r="7904" customFormat="false" ht="15" hidden="false" customHeight="true" outlineLevel="0" collapsed="false">
      <c r="A7904" s="184"/>
      <c r="B7904" s="184"/>
      <c r="C7904" s="184"/>
      <c r="D7904" s="184"/>
      <c r="E7904" s="184"/>
      <c r="F7904" s="184"/>
      <c r="G7904" s="184"/>
      <c r="H7904" s="184"/>
      <c r="I7904" s="184"/>
      <c r="J7904" s="184"/>
      <c r="K7904" s="184"/>
      <c r="L7904" s="184"/>
      <c r="M7904" s="184"/>
      <c r="N7904" s="184"/>
      <c r="O7904" s="184"/>
    </row>
    <row r="7905" customFormat="false" ht="15" hidden="false" customHeight="true" outlineLevel="0" collapsed="false">
      <c r="A7905" s="184"/>
      <c r="B7905" s="184"/>
      <c r="C7905" s="184"/>
      <c r="D7905" s="184"/>
      <c r="E7905" s="184"/>
      <c r="F7905" s="184"/>
      <c r="G7905" s="184"/>
      <c r="H7905" s="184"/>
      <c r="I7905" s="184"/>
      <c r="J7905" s="184"/>
      <c r="K7905" s="184"/>
      <c r="L7905" s="184"/>
      <c r="M7905" s="184"/>
      <c r="N7905" s="184"/>
      <c r="O7905" s="184"/>
    </row>
    <row r="7906" customFormat="false" ht="15" hidden="false" customHeight="true" outlineLevel="0" collapsed="false">
      <c r="A7906" s="184"/>
      <c r="B7906" s="184"/>
      <c r="C7906" s="184"/>
      <c r="D7906" s="184"/>
      <c r="E7906" s="184"/>
      <c r="F7906" s="184"/>
      <c r="G7906" s="184"/>
      <c r="H7906" s="184"/>
      <c r="I7906" s="184"/>
      <c r="J7906" s="184"/>
      <c r="K7906" s="184"/>
      <c r="L7906" s="184"/>
      <c r="M7906" s="184"/>
      <c r="N7906" s="184"/>
      <c r="O7906" s="184"/>
    </row>
    <row r="7907" customFormat="false" ht="15" hidden="false" customHeight="true" outlineLevel="0" collapsed="false">
      <c r="A7907" s="184"/>
      <c r="B7907" s="184"/>
      <c r="C7907" s="184"/>
      <c r="D7907" s="184"/>
      <c r="E7907" s="184"/>
      <c r="F7907" s="184"/>
      <c r="G7907" s="184"/>
      <c r="H7907" s="184"/>
      <c r="I7907" s="184"/>
      <c r="J7907" s="184"/>
      <c r="K7907" s="184"/>
      <c r="L7907" s="184"/>
      <c r="M7907" s="184"/>
      <c r="N7907" s="184"/>
      <c r="O7907" s="184"/>
    </row>
    <row r="7908" customFormat="false" ht="15" hidden="false" customHeight="true" outlineLevel="0" collapsed="false">
      <c r="A7908" s="184"/>
      <c r="B7908" s="184"/>
      <c r="C7908" s="184"/>
      <c r="D7908" s="184"/>
      <c r="E7908" s="184"/>
      <c r="F7908" s="184"/>
      <c r="G7908" s="184"/>
      <c r="H7908" s="184"/>
      <c r="I7908" s="184"/>
      <c r="J7908" s="184"/>
      <c r="K7908" s="184"/>
      <c r="L7908" s="184"/>
      <c r="M7908" s="184"/>
      <c r="N7908" s="184"/>
      <c r="O7908" s="184"/>
    </row>
    <row r="7909" customFormat="false" ht="15" hidden="false" customHeight="true" outlineLevel="0" collapsed="false">
      <c r="A7909" s="184"/>
      <c r="B7909" s="184"/>
      <c r="C7909" s="184"/>
      <c r="D7909" s="184"/>
      <c r="E7909" s="184"/>
      <c r="F7909" s="184"/>
      <c r="G7909" s="184"/>
      <c r="H7909" s="184"/>
      <c r="I7909" s="184"/>
      <c r="J7909" s="184"/>
      <c r="K7909" s="184"/>
      <c r="L7909" s="184"/>
      <c r="M7909" s="184"/>
      <c r="N7909" s="184"/>
      <c r="O7909" s="184"/>
    </row>
    <row r="7910" customFormat="false" ht="15" hidden="false" customHeight="true" outlineLevel="0" collapsed="false">
      <c r="A7910" s="184"/>
      <c r="B7910" s="184"/>
      <c r="C7910" s="184"/>
      <c r="D7910" s="184"/>
      <c r="E7910" s="184"/>
      <c r="F7910" s="184"/>
      <c r="G7910" s="184"/>
      <c r="H7910" s="184"/>
      <c r="I7910" s="184"/>
      <c r="J7910" s="184"/>
      <c r="K7910" s="184"/>
      <c r="L7910" s="184"/>
      <c r="M7910" s="184"/>
      <c r="N7910" s="184"/>
      <c r="O7910" s="184"/>
    </row>
    <row r="7911" customFormat="false" ht="15" hidden="false" customHeight="true" outlineLevel="0" collapsed="false">
      <c r="A7911" s="184"/>
      <c r="B7911" s="184"/>
      <c r="C7911" s="184"/>
      <c r="D7911" s="184"/>
      <c r="E7911" s="184"/>
      <c r="F7911" s="184"/>
      <c r="G7911" s="184"/>
      <c r="H7911" s="184"/>
      <c r="I7911" s="184"/>
      <c r="J7911" s="184"/>
      <c r="K7911" s="184"/>
      <c r="L7911" s="184"/>
      <c r="M7911" s="184"/>
      <c r="N7911" s="184"/>
      <c r="O7911" s="184"/>
    </row>
    <row r="7912" customFormat="false" ht="15" hidden="false" customHeight="true" outlineLevel="0" collapsed="false">
      <c r="A7912" s="184"/>
      <c r="B7912" s="184"/>
      <c r="C7912" s="184"/>
      <c r="D7912" s="184"/>
      <c r="E7912" s="184"/>
      <c r="F7912" s="184"/>
      <c r="G7912" s="184"/>
      <c r="H7912" s="184"/>
      <c r="I7912" s="184"/>
      <c r="J7912" s="184"/>
      <c r="K7912" s="184"/>
      <c r="L7912" s="184"/>
      <c r="M7912" s="184"/>
      <c r="N7912" s="184"/>
      <c r="O7912" s="184"/>
    </row>
    <row r="7913" customFormat="false" ht="15" hidden="false" customHeight="true" outlineLevel="0" collapsed="false">
      <c r="A7913" s="184"/>
      <c r="B7913" s="184"/>
      <c r="C7913" s="184"/>
      <c r="D7913" s="184"/>
      <c r="E7913" s="184"/>
      <c r="F7913" s="184"/>
      <c r="G7913" s="184"/>
      <c r="H7913" s="184"/>
      <c r="I7913" s="184"/>
      <c r="J7913" s="184"/>
      <c r="K7913" s="184"/>
      <c r="L7913" s="184"/>
      <c r="M7913" s="184"/>
      <c r="N7913" s="184"/>
      <c r="O7913" s="184"/>
    </row>
    <row r="7914" customFormat="false" ht="15" hidden="false" customHeight="true" outlineLevel="0" collapsed="false">
      <c r="A7914" s="184"/>
      <c r="B7914" s="184"/>
      <c r="C7914" s="184"/>
      <c r="D7914" s="184"/>
      <c r="E7914" s="184"/>
      <c r="F7914" s="184"/>
      <c r="G7914" s="184"/>
      <c r="H7914" s="184"/>
      <c r="I7914" s="184"/>
      <c r="J7914" s="184"/>
      <c r="K7914" s="184"/>
      <c r="L7914" s="184"/>
      <c r="M7914" s="184"/>
      <c r="N7914" s="184"/>
      <c r="O7914" s="184"/>
    </row>
    <row r="7915" customFormat="false" ht="15" hidden="false" customHeight="true" outlineLevel="0" collapsed="false">
      <c r="A7915" s="184"/>
      <c r="B7915" s="184"/>
      <c r="C7915" s="184"/>
      <c r="D7915" s="184"/>
      <c r="E7915" s="184"/>
      <c r="F7915" s="184"/>
      <c r="G7915" s="184"/>
      <c r="H7915" s="184"/>
      <c r="I7915" s="184"/>
      <c r="J7915" s="184"/>
      <c r="K7915" s="184"/>
      <c r="L7915" s="184"/>
      <c r="M7915" s="184"/>
      <c r="N7915" s="184"/>
      <c r="O7915" s="184"/>
    </row>
    <row r="7916" customFormat="false" ht="15" hidden="false" customHeight="true" outlineLevel="0" collapsed="false">
      <c r="A7916" s="184"/>
      <c r="B7916" s="184"/>
      <c r="C7916" s="184"/>
      <c r="D7916" s="184"/>
      <c r="E7916" s="184"/>
      <c r="F7916" s="184"/>
      <c r="G7916" s="184"/>
      <c r="H7916" s="184"/>
      <c r="I7916" s="184"/>
      <c r="J7916" s="184"/>
      <c r="K7916" s="184"/>
      <c r="L7916" s="184"/>
      <c r="M7916" s="184"/>
      <c r="N7916" s="184"/>
      <c r="O7916" s="184"/>
    </row>
    <row r="7917" customFormat="false" ht="15" hidden="false" customHeight="true" outlineLevel="0" collapsed="false">
      <c r="A7917" s="184"/>
      <c r="B7917" s="184"/>
      <c r="C7917" s="184"/>
      <c r="D7917" s="184"/>
      <c r="E7917" s="184"/>
      <c r="F7917" s="184"/>
      <c r="G7917" s="184"/>
      <c r="H7917" s="184"/>
      <c r="I7917" s="184"/>
      <c r="J7917" s="184"/>
      <c r="K7917" s="184"/>
      <c r="L7917" s="184"/>
      <c r="M7917" s="184"/>
      <c r="N7917" s="184"/>
      <c r="O7917" s="184"/>
    </row>
    <row r="7918" customFormat="false" ht="15" hidden="false" customHeight="true" outlineLevel="0" collapsed="false">
      <c r="A7918" s="184"/>
      <c r="B7918" s="184"/>
      <c r="C7918" s="184"/>
      <c r="D7918" s="184"/>
      <c r="E7918" s="184"/>
      <c r="F7918" s="184"/>
      <c r="G7918" s="184"/>
      <c r="H7918" s="184"/>
      <c r="I7918" s="184"/>
      <c r="J7918" s="184"/>
      <c r="K7918" s="184"/>
      <c r="L7918" s="184"/>
      <c r="M7918" s="184"/>
      <c r="N7918" s="184"/>
      <c r="O7918" s="184"/>
    </row>
    <row r="7919" customFormat="false" ht="15" hidden="false" customHeight="true" outlineLevel="0" collapsed="false">
      <c r="A7919" s="184"/>
      <c r="B7919" s="184"/>
      <c r="C7919" s="184"/>
      <c r="D7919" s="184"/>
      <c r="E7919" s="184"/>
      <c r="F7919" s="184"/>
      <c r="G7919" s="184"/>
      <c r="H7919" s="184"/>
      <c r="I7919" s="184"/>
      <c r="J7919" s="184"/>
      <c r="K7919" s="184"/>
      <c r="L7919" s="184"/>
      <c r="M7919" s="184"/>
      <c r="N7919" s="184"/>
      <c r="O7919" s="184"/>
    </row>
    <row r="7920" customFormat="false" ht="15" hidden="false" customHeight="true" outlineLevel="0" collapsed="false">
      <c r="A7920" s="184"/>
      <c r="B7920" s="184"/>
      <c r="C7920" s="184"/>
      <c r="D7920" s="184"/>
      <c r="E7920" s="184"/>
      <c r="F7920" s="184"/>
      <c r="G7920" s="184"/>
      <c r="H7920" s="184"/>
      <c r="I7920" s="184"/>
      <c r="J7920" s="184"/>
      <c r="K7920" s="184"/>
      <c r="L7920" s="184"/>
      <c r="M7920" s="184"/>
      <c r="N7920" s="184"/>
      <c r="O7920" s="184"/>
    </row>
    <row r="7921" customFormat="false" ht="15" hidden="false" customHeight="true" outlineLevel="0" collapsed="false">
      <c r="A7921" s="184"/>
      <c r="B7921" s="184"/>
      <c r="C7921" s="184"/>
      <c r="D7921" s="184"/>
      <c r="E7921" s="184"/>
      <c r="F7921" s="184"/>
      <c r="G7921" s="184"/>
      <c r="H7921" s="184"/>
      <c r="I7921" s="184"/>
      <c r="J7921" s="184"/>
      <c r="K7921" s="184"/>
      <c r="L7921" s="184"/>
      <c r="M7921" s="184"/>
      <c r="N7921" s="184"/>
      <c r="O7921" s="184"/>
    </row>
    <row r="7922" customFormat="false" ht="15" hidden="false" customHeight="true" outlineLevel="0" collapsed="false">
      <c r="A7922" s="184"/>
      <c r="B7922" s="184"/>
      <c r="C7922" s="184"/>
      <c r="D7922" s="184"/>
      <c r="E7922" s="184"/>
      <c r="F7922" s="184"/>
      <c r="G7922" s="184"/>
      <c r="H7922" s="184"/>
      <c r="I7922" s="184"/>
      <c r="J7922" s="184"/>
      <c r="K7922" s="184"/>
      <c r="L7922" s="184"/>
      <c r="M7922" s="184"/>
      <c r="N7922" s="184"/>
      <c r="O7922" s="184"/>
    </row>
    <row r="7923" customFormat="false" ht="15" hidden="false" customHeight="true" outlineLevel="0" collapsed="false">
      <c r="A7923" s="184"/>
      <c r="B7923" s="184"/>
      <c r="C7923" s="184"/>
      <c r="D7923" s="184"/>
      <c r="E7923" s="184"/>
      <c r="F7923" s="184"/>
      <c r="G7923" s="184"/>
      <c r="H7923" s="184"/>
      <c r="I7923" s="184"/>
      <c r="J7923" s="184"/>
      <c r="K7923" s="184"/>
      <c r="L7923" s="184"/>
      <c r="M7923" s="184"/>
      <c r="N7923" s="184"/>
      <c r="O7923" s="184"/>
    </row>
    <row r="7924" customFormat="false" ht="15" hidden="false" customHeight="true" outlineLevel="0" collapsed="false">
      <c r="A7924" s="184"/>
      <c r="B7924" s="184"/>
      <c r="C7924" s="184"/>
      <c r="D7924" s="184"/>
      <c r="E7924" s="184"/>
      <c r="F7924" s="184"/>
      <c r="G7924" s="184"/>
      <c r="H7924" s="184"/>
      <c r="I7924" s="184"/>
      <c r="J7924" s="184"/>
      <c r="K7924" s="184"/>
      <c r="L7924" s="184"/>
      <c r="M7924" s="184"/>
      <c r="N7924" s="184"/>
      <c r="O7924" s="184"/>
    </row>
    <row r="7925" customFormat="false" ht="15" hidden="false" customHeight="true" outlineLevel="0" collapsed="false">
      <c r="A7925" s="184"/>
      <c r="B7925" s="184"/>
      <c r="C7925" s="184"/>
      <c r="D7925" s="184"/>
      <c r="E7925" s="184"/>
      <c r="F7925" s="184"/>
      <c r="G7925" s="184"/>
      <c r="H7925" s="184"/>
      <c r="I7925" s="184"/>
      <c r="J7925" s="184"/>
      <c r="K7925" s="184"/>
      <c r="L7925" s="184"/>
      <c r="M7925" s="184"/>
      <c r="N7925" s="184"/>
      <c r="O7925" s="184"/>
    </row>
    <row r="7926" customFormat="false" ht="15" hidden="false" customHeight="true" outlineLevel="0" collapsed="false">
      <c r="A7926" s="184"/>
      <c r="B7926" s="184"/>
      <c r="C7926" s="184"/>
      <c r="D7926" s="184"/>
      <c r="E7926" s="184"/>
      <c r="F7926" s="184"/>
      <c r="G7926" s="184"/>
      <c r="H7926" s="184"/>
      <c r="I7926" s="184"/>
      <c r="J7926" s="184"/>
      <c r="K7926" s="184"/>
      <c r="L7926" s="184"/>
      <c r="M7926" s="184"/>
      <c r="N7926" s="184"/>
      <c r="O7926" s="184"/>
    </row>
    <row r="7927" customFormat="false" ht="15" hidden="false" customHeight="true" outlineLevel="0" collapsed="false">
      <c r="A7927" s="184"/>
      <c r="B7927" s="184"/>
      <c r="C7927" s="184"/>
      <c r="D7927" s="184"/>
      <c r="E7927" s="184"/>
      <c r="F7927" s="184"/>
      <c r="G7927" s="184"/>
      <c r="H7927" s="184"/>
      <c r="I7927" s="184"/>
      <c r="J7927" s="184"/>
      <c r="K7927" s="184"/>
      <c r="L7927" s="184"/>
      <c r="M7927" s="184"/>
      <c r="N7927" s="184"/>
      <c r="O7927" s="184"/>
    </row>
    <row r="7928" customFormat="false" ht="15" hidden="false" customHeight="true" outlineLevel="0" collapsed="false">
      <c r="A7928" s="184"/>
      <c r="B7928" s="184"/>
      <c r="C7928" s="184"/>
      <c r="D7928" s="184"/>
      <c r="E7928" s="184"/>
      <c r="F7928" s="184"/>
      <c r="G7928" s="184"/>
      <c r="H7928" s="184"/>
      <c r="I7928" s="184"/>
      <c r="J7928" s="184"/>
      <c r="K7928" s="184"/>
      <c r="L7928" s="184"/>
      <c r="M7928" s="184"/>
      <c r="N7928" s="184"/>
      <c r="O7928" s="184"/>
    </row>
    <row r="7929" customFormat="false" ht="15" hidden="false" customHeight="true" outlineLevel="0" collapsed="false">
      <c r="A7929" s="184"/>
      <c r="B7929" s="184"/>
      <c r="C7929" s="184"/>
      <c r="D7929" s="184"/>
      <c r="E7929" s="184"/>
      <c r="F7929" s="184"/>
      <c r="G7929" s="184"/>
      <c r="H7929" s="184"/>
      <c r="I7929" s="184"/>
      <c r="J7929" s="184"/>
      <c r="K7929" s="184"/>
      <c r="L7929" s="184"/>
      <c r="M7929" s="184"/>
      <c r="N7929" s="184"/>
      <c r="O7929" s="184"/>
    </row>
    <row r="7930" customFormat="false" ht="15" hidden="false" customHeight="true" outlineLevel="0" collapsed="false">
      <c r="A7930" s="184"/>
      <c r="B7930" s="184"/>
      <c r="C7930" s="184"/>
      <c r="D7930" s="184"/>
      <c r="E7930" s="184"/>
      <c r="F7930" s="184"/>
      <c r="G7930" s="184"/>
      <c r="H7930" s="184"/>
      <c r="I7930" s="184"/>
      <c r="J7930" s="184"/>
      <c r="K7930" s="184"/>
      <c r="L7930" s="184"/>
      <c r="M7930" s="184"/>
      <c r="N7930" s="184"/>
      <c r="O7930" s="184"/>
    </row>
    <row r="7931" customFormat="false" ht="68.25" hidden="false" customHeight="true" outlineLevel="0" collapsed="false">
      <c r="A7931" s="184" t="s">
        <v>5035</v>
      </c>
      <c r="B7931" s="184" t="s">
        <v>5036</v>
      </c>
      <c r="C7931" s="184"/>
      <c r="D7931" s="179" t="s">
        <v>4858</v>
      </c>
      <c r="E7931" s="184" t="s">
        <v>7336</v>
      </c>
      <c r="F7931" s="184"/>
      <c r="G7931" s="184"/>
      <c r="H7931" s="184"/>
      <c r="I7931" s="184"/>
      <c r="J7931" s="184"/>
      <c r="K7931" s="184"/>
      <c r="L7931" s="184"/>
      <c r="M7931" s="184" t="s">
        <v>7308</v>
      </c>
      <c r="N7931" s="184"/>
      <c r="O7931" s="184"/>
    </row>
    <row r="7932" customFormat="false" ht="54.75" hidden="false" customHeight="true" outlineLevel="0" collapsed="false">
      <c r="A7932" s="184" t="s">
        <v>5035</v>
      </c>
      <c r="B7932" s="184" t="s">
        <v>5036</v>
      </c>
      <c r="C7932" s="184" t="n">
        <v>1</v>
      </c>
      <c r="D7932" s="184" t="s">
        <v>4790</v>
      </c>
      <c r="E7932" s="184" t="s">
        <v>7019</v>
      </c>
      <c r="F7932" s="184"/>
      <c r="G7932" s="184"/>
      <c r="H7932" s="184"/>
      <c r="I7932" s="184"/>
      <c r="J7932" s="184"/>
      <c r="K7932" s="184"/>
      <c r="L7932" s="184"/>
      <c r="M7932" s="184" t="s">
        <v>7020</v>
      </c>
      <c r="N7932" s="184"/>
      <c r="O7932" s="184"/>
    </row>
    <row r="7933" customFormat="false" ht="54.75" hidden="false" customHeight="true" outlineLevel="0" collapsed="false">
      <c r="A7933" s="184" t="s">
        <v>5035</v>
      </c>
      <c r="B7933" s="184" t="s">
        <v>5036</v>
      </c>
      <c r="C7933" s="184" t="n">
        <v>2</v>
      </c>
      <c r="D7933" s="184" t="s">
        <v>4790</v>
      </c>
      <c r="E7933" s="184" t="s">
        <v>7021</v>
      </c>
      <c r="F7933" s="184"/>
      <c r="G7933" s="184"/>
      <c r="H7933" s="184"/>
      <c r="I7933" s="184"/>
      <c r="J7933" s="184"/>
      <c r="K7933" s="184"/>
      <c r="L7933" s="184"/>
      <c r="M7933" s="184" t="s">
        <v>7022</v>
      </c>
      <c r="N7933" s="184"/>
      <c r="O7933" s="184"/>
    </row>
    <row r="7934" customFormat="false" ht="54.75" hidden="false" customHeight="true" outlineLevel="0" collapsed="false">
      <c r="A7934" s="184" t="s">
        <v>5035</v>
      </c>
      <c r="B7934" s="184" t="s">
        <v>5036</v>
      </c>
      <c r="C7934" s="184" t="n">
        <v>3</v>
      </c>
      <c r="D7934" s="184" t="s">
        <v>4790</v>
      </c>
      <c r="E7934" s="184" t="s">
        <v>7023</v>
      </c>
      <c r="F7934" s="184"/>
      <c r="G7934" s="184"/>
      <c r="H7934" s="184"/>
      <c r="I7934" s="184"/>
      <c r="J7934" s="184"/>
      <c r="K7934" s="184"/>
      <c r="L7934" s="184"/>
      <c r="M7934" s="184" t="s">
        <v>7024</v>
      </c>
      <c r="N7934" s="184"/>
      <c r="O7934" s="184"/>
    </row>
    <row r="7935" customFormat="false" ht="54.75" hidden="false" customHeight="true" outlineLevel="0" collapsed="false">
      <c r="A7935" s="184" t="s">
        <v>5035</v>
      </c>
      <c r="B7935" s="184" t="s">
        <v>5036</v>
      </c>
      <c r="C7935" s="184" t="n">
        <v>4</v>
      </c>
      <c r="D7935" s="184" t="s">
        <v>4790</v>
      </c>
      <c r="E7935" s="184" t="s">
        <v>7309</v>
      </c>
      <c r="F7935" s="184"/>
      <c r="G7935" s="184"/>
      <c r="H7935" s="184"/>
      <c r="I7935" s="184"/>
      <c r="J7935" s="184"/>
      <c r="K7935" s="184"/>
      <c r="L7935" s="184"/>
      <c r="M7935" s="184" t="s">
        <v>7310</v>
      </c>
      <c r="N7935" s="184"/>
      <c r="O7935" s="184"/>
    </row>
    <row r="7936" customFormat="false" ht="54.75" hidden="false" customHeight="true" outlineLevel="0" collapsed="false">
      <c r="A7936" s="184" t="s">
        <v>5035</v>
      </c>
      <c r="B7936" s="184" t="s">
        <v>5036</v>
      </c>
      <c r="C7936" s="184" t="n">
        <v>5</v>
      </c>
      <c r="D7936" s="184" t="s">
        <v>4790</v>
      </c>
      <c r="E7936" s="184" t="s">
        <v>7311</v>
      </c>
      <c r="F7936" s="184"/>
      <c r="G7936" s="184"/>
      <c r="H7936" s="184"/>
      <c r="I7936" s="184"/>
      <c r="J7936" s="184"/>
      <c r="K7936" s="184"/>
      <c r="L7936" s="184"/>
      <c r="M7936" s="184" t="s">
        <v>7312</v>
      </c>
      <c r="N7936" s="184"/>
      <c r="O7936" s="184"/>
    </row>
    <row r="7937" customFormat="false" ht="54.75" hidden="false" customHeight="true" outlineLevel="0" collapsed="false">
      <c r="A7937" s="184" t="s">
        <v>5035</v>
      </c>
      <c r="B7937" s="184" t="s">
        <v>5036</v>
      </c>
      <c r="C7937" s="184" t="n">
        <v>6</v>
      </c>
      <c r="D7937" s="179" t="s">
        <v>6292</v>
      </c>
      <c r="E7937" s="184" t="s">
        <v>7075</v>
      </c>
      <c r="F7937" s="184"/>
      <c r="G7937" s="184"/>
      <c r="H7937" s="184"/>
      <c r="I7937" s="184"/>
      <c r="J7937" s="184"/>
      <c r="K7937" s="184"/>
      <c r="L7937" s="184"/>
      <c r="M7937" s="184"/>
      <c r="N7937" s="184"/>
      <c r="O7937" s="184"/>
    </row>
    <row r="7938" customFormat="false" ht="54.75" hidden="false" customHeight="true" outlineLevel="0" collapsed="false">
      <c r="A7938" s="184" t="s">
        <v>5035</v>
      </c>
      <c r="B7938" s="184" t="s">
        <v>5036</v>
      </c>
      <c r="C7938" s="184" t="n">
        <v>7</v>
      </c>
      <c r="D7938" s="178" t="s">
        <v>5269</v>
      </c>
      <c r="E7938" s="184" t="s">
        <v>7076</v>
      </c>
      <c r="F7938" s="184"/>
      <c r="G7938" s="184"/>
      <c r="H7938" s="184"/>
      <c r="I7938" s="184"/>
      <c r="J7938" s="184"/>
      <c r="K7938" s="184"/>
      <c r="L7938" s="184"/>
      <c r="M7938" s="184" t="s">
        <v>7077</v>
      </c>
      <c r="N7938" s="184"/>
      <c r="O7938" s="184"/>
    </row>
    <row r="7939" customFormat="false" ht="54.75" hidden="false" customHeight="true" outlineLevel="0" collapsed="false">
      <c r="A7939" s="184" t="s">
        <v>5035</v>
      </c>
      <c r="B7939" s="184" t="s">
        <v>5036</v>
      </c>
      <c r="C7939" s="184" t="n">
        <v>8</v>
      </c>
      <c r="D7939" s="178" t="s">
        <v>5269</v>
      </c>
      <c r="E7939" s="184" t="s">
        <v>7078</v>
      </c>
      <c r="F7939" s="184"/>
      <c r="G7939" s="184"/>
      <c r="H7939" s="184"/>
      <c r="I7939" s="184"/>
      <c r="J7939" s="184"/>
      <c r="K7939" s="184"/>
      <c r="L7939" s="184"/>
      <c r="M7939" s="184" t="s">
        <v>7079</v>
      </c>
      <c r="N7939" s="184"/>
      <c r="O7939" s="184"/>
    </row>
    <row r="7940" customFormat="false" ht="54.75" hidden="false" customHeight="true" outlineLevel="0" collapsed="false">
      <c r="A7940" s="184" t="s">
        <v>5035</v>
      </c>
      <c r="B7940" s="184" t="s">
        <v>5036</v>
      </c>
      <c r="C7940" s="184" t="n">
        <v>9</v>
      </c>
      <c r="D7940" s="178" t="s">
        <v>5269</v>
      </c>
      <c r="E7940" s="184" t="s">
        <v>7080</v>
      </c>
      <c r="F7940" s="184"/>
      <c r="G7940" s="184"/>
      <c r="H7940" s="184"/>
      <c r="I7940" s="184"/>
      <c r="J7940" s="184"/>
      <c r="K7940" s="184"/>
      <c r="L7940" s="184"/>
      <c r="M7940" s="184" t="s">
        <v>7081</v>
      </c>
      <c r="N7940" s="184"/>
      <c r="O7940" s="184"/>
    </row>
    <row r="7941" customFormat="false" ht="54.75" hidden="false" customHeight="true" outlineLevel="0" collapsed="false">
      <c r="A7941" s="184" t="s">
        <v>5035</v>
      </c>
      <c r="B7941" s="184" t="s">
        <v>5036</v>
      </c>
      <c r="C7941" s="184" t="n">
        <v>10</v>
      </c>
      <c r="D7941" s="177" t="s">
        <v>6298</v>
      </c>
      <c r="E7941" s="184" t="s">
        <v>7313</v>
      </c>
      <c r="F7941" s="184"/>
      <c r="G7941" s="184"/>
      <c r="H7941" s="184"/>
      <c r="I7941" s="184"/>
      <c r="J7941" s="184"/>
      <c r="K7941" s="184"/>
      <c r="L7941" s="184"/>
      <c r="M7941" s="184"/>
      <c r="N7941" s="184"/>
      <c r="O7941" s="184"/>
    </row>
    <row r="7942" customFormat="false" ht="54.75" hidden="false" customHeight="true" outlineLevel="0" collapsed="false">
      <c r="A7942" s="184" t="s">
        <v>5035</v>
      </c>
      <c r="B7942" s="184" t="s">
        <v>5036</v>
      </c>
      <c r="C7942" s="184" t="n">
        <v>11</v>
      </c>
      <c r="D7942" s="174" t="s">
        <v>6529</v>
      </c>
      <c r="E7942" s="184" t="s">
        <v>7314</v>
      </c>
      <c r="F7942" s="184"/>
      <c r="G7942" s="184"/>
      <c r="H7942" s="184"/>
      <c r="I7942" s="184"/>
      <c r="J7942" s="184"/>
      <c r="K7942" s="184"/>
      <c r="L7942" s="184"/>
      <c r="M7942" s="184" t="s">
        <v>7315</v>
      </c>
      <c r="N7942" s="184"/>
      <c r="O7942" s="184"/>
    </row>
    <row r="7943" customFormat="false" ht="54.75" hidden="false" customHeight="true" outlineLevel="0" collapsed="false">
      <c r="A7943" s="184" t="s">
        <v>5035</v>
      </c>
      <c r="B7943" s="184" t="s">
        <v>5036</v>
      </c>
      <c r="C7943" s="184" t="n">
        <v>12</v>
      </c>
      <c r="D7943" s="184" t="s">
        <v>4790</v>
      </c>
      <c r="E7943" s="184" t="s">
        <v>7337</v>
      </c>
      <c r="F7943" s="184"/>
      <c r="G7943" s="184"/>
      <c r="H7943" s="184"/>
      <c r="I7943" s="184"/>
      <c r="J7943" s="184"/>
      <c r="K7943" s="184"/>
      <c r="L7943" s="184"/>
      <c r="M7943" s="184" t="s">
        <v>7338</v>
      </c>
      <c r="N7943" s="184"/>
      <c r="O7943" s="184"/>
    </row>
    <row r="7944" customFormat="false" ht="54.75" hidden="false" customHeight="true" outlineLevel="0" collapsed="false">
      <c r="A7944" s="184" t="s">
        <v>5035</v>
      </c>
      <c r="B7944" s="184" t="s">
        <v>5036</v>
      </c>
      <c r="C7944" s="184" t="n">
        <v>13</v>
      </c>
      <c r="D7944" s="184" t="s">
        <v>4790</v>
      </c>
      <c r="E7944" s="184" t="s">
        <v>7339</v>
      </c>
      <c r="F7944" s="184"/>
      <c r="G7944" s="184"/>
      <c r="H7944" s="184"/>
      <c r="I7944" s="184"/>
      <c r="J7944" s="184"/>
      <c r="K7944" s="184"/>
      <c r="L7944" s="184"/>
      <c r="M7944" s="184" t="s">
        <v>7340</v>
      </c>
      <c r="N7944" s="184"/>
      <c r="O7944" s="184"/>
    </row>
    <row r="7945" customFormat="false" ht="54.75" hidden="false" customHeight="true" outlineLevel="0" collapsed="false">
      <c r="A7945" s="184" t="s">
        <v>5035</v>
      </c>
      <c r="B7945" s="184" t="s">
        <v>5036</v>
      </c>
      <c r="C7945" s="184" t="n">
        <v>14</v>
      </c>
      <c r="D7945" s="184" t="s">
        <v>4790</v>
      </c>
      <c r="E7945" s="184" t="s">
        <v>7341</v>
      </c>
      <c r="F7945" s="184"/>
      <c r="G7945" s="184"/>
      <c r="H7945" s="184"/>
      <c r="I7945" s="184"/>
      <c r="J7945" s="184"/>
      <c r="K7945" s="184"/>
      <c r="L7945" s="184"/>
      <c r="M7945" s="184" t="s">
        <v>7342</v>
      </c>
      <c r="N7945" s="184"/>
      <c r="O7945" s="184"/>
    </row>
    <row r="7946" customFormat="false" ht="54.75" hidden="false" customHeight="true" outlineLevel="0" collapsed="false">
      <c r="A7946" s="184" t="s">
        <v>5035</v>
      </c>
      <c r="B7946" s="184" t="s">
        <v>5036</v>
      </c>
      <c r="C7946" s="184" t="n">
        <v>15</v>
      </c>
      <c r="D7946" s="184" t="s">
        <v>4790</v>
      </c>
      <c r="E7946" s="184" t="s">
        <v>7343</v>
      </c>
      <c r="F7946" s="184"/>
      <c r="G7946" s="184"/>
      <c r="H7946" s="184"/>
      <c r="I7946" s="184"/>
      <c r="J7946" s="184"/>
      <c r="K7946" s="184"/>
      <c r="L7946" s="184"/>
      <c r="M7946" s="184" t="s">
        <v>7344</v>
      </c>
      <c r="N7946" s="184"/>
      <c r="O7946" s="184"/>
    </row>
    <row r="7947" customFormat="false" ht="54.75" hidden="false" customHeight="true" outlineLevel="0" collapsed="false">
      <c r="A7947" s="184" t="s">
        <v>5035</v>
      </c>
      <c r="B7947" s="184" t="s">
        <v>5036</v>
      </c>
      <c r="C7947" s="184" t="n">
        <v>16</v>
      </c>
      <c r="D7947" s="184" t="s">
        <v>4790</v>
      </c>
      <c r="E7947" s="184" t="s">
        <v>7324</v>
      </c>
      <c r="F7947" s="184"/>
      <c r="G7947" s="184"/>
      <c r="H7947" s="184"/>
      <c r="I7947" s="184"/>
      <c r="J7947" s="184"/>
      <c r="K7947" s="184"/>
      <c r="L7947" s="184"/>
      <c r="M7947" s="184" t="s">
        <v>7325</v>
      </c>
      <c r="N7947" s="184"/>
      <c r="O7947" s="184"/>
    </row>
    <row r="7948" customFormat="false" ht="54.75" hidden="false" customHeight="true" outlineLevel="0" collapsed="false">
      <c r="A7948" s="184" t="s">
        <v>5035</v>
      </c>
      <c r="B7948" s="184" t="s">
        <v>5036</v>
      </c>
      <c r="C7948" s="184" t="n">
        <v>17</v>
      </c>
      <c r="D7948" s="184" t="s">
        <v>4790</v>
      </c>
      <c r="E7948" s="184" t="s">
        <v>7345</v>
      </c>
      <c r="F7948" s="184"/>
      <c r="G7948" s="184"/>
      <c r="H7948" s="184"/>
      <c r="I7948" s="184"/>
      <c r="J7948" s="184"/>
      <c r="K7948" s="184"/>
      <c r="L7948" s="184"/>
      <c r="M7948" s="184" t="s">
        <v>7346</v>
      </c>
      <c r="N7948" s="184"/>
      <c r="O7948" s="184"/>
    </row>
    <row r="7949" customFormat="false" ht="54.75" hidden="false" customHeight="true" outlineLevel="0" collapsed="false">
      <c r="A7949" s="184" t="s">
        <v>5035</v>
      </c>
      <c r="B7949" s="184" t="s">
        <v>5036</v>
      </c>
      <c r="C7949" s="184" t="n">
        <v>18</v>
      </c>
      <c r="D7949" s="184" t="s">
        <v>4790</v>
      </c>
      <c r="E7949" s="184" t="s">
        <v>7347</v>
      </c>
      <c r="F7949" s="184"/>
      <c r="G7949" s="184"/>
      <c r="H7949" s="184"/>
      <c r="I7949" s="184"/>
      <c r="J7949" s="184"/>
      <c r="K7949" s="184"/>
      <c r="L7949" s="184"/>
      <c r="M7949" s="184" t="s">
        <v>7348</v>
      </c>
      <c r="N7949" s="184"/>
      <c r="O7949" s="184"/>
    </row>
    <row r="7950" customFormat="false" ht="54.75" hidden="false" customHeight="true" outlineLevel="0" collapsed="false">
      <c r="A7950" s="184" t="s">
        <v>5035</v>
      </c>
      <c r="B7950" s="184" t="s">
        <v>5036</v>
      </c>
      <c r="C7950" s="184" t="n">
        <v>19</v>
      </c>
      <c r="D7950" s="184" t="s">
        <v>4790</v>
      </c>
      <c r="E7950" s="184" t="s">
        <v>7349</v>
      </c>
      <c r="F7950" s="184"/>
      <c r="G7950" s="184"/>
      <c r="H7950" s="184"/>
      <c r="I7950" s="184"/>
      <c r="J7950" s="184"/>
      <c r="K7950" s="184"/>
      <c r="L7950" s="184"/>
      <c r="M7950" s="184" t="s">
        <v>7350</v>
      </c>
      <c r="N7950" s="184"/>
      <c r="O7950" s="184"/>
    </row>
    <row r="7951" customFormat="false" ht="54.75" hidden="false" customHeight="true" outlineLevel="0" collapsed="false">
      <c r="A7951" s="184" t="s">
        <v>5035</v>
      </c>
      <c r="B7951" s="184" t="s">
        <v>5036</v>
      </c>
      <c r="C7951" s="184" t="n">
        <v>20</v>
      </c>
      <c r="D7951" s="184" t="s">
        <v>4790</v>
      </c>
      <c r="E7951" s="184" t="s">
        <v>7351</v>
      </c>
      <c r="F7951" s="184"/>
      <c r="G7951" s="184"/>
      <c r="H7951" s="184"/>
      <c r="I7951" s="184"/>
      <c r="J7951" s="184"/>
      <c r="K7951" s="184"/>
      <c r="L7951" s="184"/>
      <c r="M7951" s="184" t="s">
        <v>7352</v>
      </c>
      <c r="N7951" s="184"/>
      <c r="O7951" s="184"/>
    </row>
    <row r="7952" customFormat="false" ht="54.75" hidden="false" customHeight="true" outlineLevel="0" collapsed="false">
      <c r="A7952" s="184" t="s">
        <v>5035</v>
      </c>
      <c r="B7952" s="184" t="s">
        <v>5036</v>
      </c>
      <c r="C7952" s="184" t="n">
        <v>21</v>
      </c>
      <c r="D7952" s="184" t="s">
        <v>4790</v>
      </c>
      <c r="E7952" s="184" t="s">
        <v>7332</v>
      </c>
      <c r="F7952" s="184"/>
      <c r="G7952" s="184"/>
      <c r="H7952" s="184"/>
      <c r="I7952" s="184"/>
      <c r="J7952" s="184"/>
      <c r="K7952" s="184"/>
      <c r="L7952" s="184"/>
      <c r="M7952" s="184" t="s">
        <v>7333</v>
      </c>
      <c r="N7952" s="184"/>
      <c r="O7952" s="184"/>
    </row>
    <row r="7953" customFormat="false" ht="54.75" hidden="false" customHeight="true" outlineLevel="0" collapsed="false">
      <c r="A7953" s="184" t="s">
        <v>5035</v>
      </c>
      <c r="B7953" s="184" t="s">
        <v>5036</v>
      </c>
      <c r="C7953" s="184" t="n">
        <v>22</v>
      </c>
      <c r="D7953" s="184" t="s">
        <v>6296</v>
      </c>
      <c r="E7953" s="184" t="s">
        <v>7334</v>
      </c>
      <c r="F7953" s="184"/>
      <c r="G7953" s="184"/>
      <c r="H7953" s="184"/>
      <c r="I7953" s="184"/>
      <c r="J7953" s="184"/>
      <c r="K7953" s="184"/>
      <c r="L7953" s="184"/>
      <c r="M7953" s="184"/>
      <c r="N7953" s="184"/>
      <c r="O7953" s="184"/>
    </row>
    <row r="7954" customFormat="false" ht="81.75" hidden="false" customHeight="true" outlineLevel="0" collapsed="false">
      <c r="A7954" s="184" t="s">
        <v>5035</v>
      </c>
      <c r="B7954" s="184" t="s">
        <v>5036</v>
      </c>
      <c r="C7954" s="184" t="n">
        <v>23</v>
      </c>
      <c r="D7954" s="184" t="s">
        <v>6294</v>
      </c>
      <c r="E7954" s="184" t="s">
        <v>7335</v>
      </c>
      <c r="F7954" s="184"/>
      <c r="G7954" s="184"/>
      <c r="H7954" s="184"/>
      <c r="I7954" s="184"/>
      <c r="J7954" s="184"/>
      <c r="K7954" s="184"/>
      <c r="L7954" s="184"/>
      <c r="M7954" s="184"/>
      <c r="N7954" s="184"/>
      <c r="O7954" s="184"/>
    </row>
    <row r="7955" customFormat="false" ht="15" hidden="false" customHeight="true" outlineLevel="0" collapsed="false">
      <c r="A7955" s="184"/>
      <c r="B7955" s="184"/>
      <c r="C7955" s="184"/>
      <c r="D7955" s="184"/>
      <c r="E7955" s="184"/>
      <c r="F7955" s="184"/>
      <c r="G7955" s="184"/>
      <c r="H7955" s="184"/>
      <c r="I7955" s="184"/>
      <c r="J7955" s="184"/>
      <c r="K7955" s="184"/>
      <c r="L7955" s="184"/>
      <c r="M7955" s="184"/>
      <c r="N7955" s="184"/>
      <c r="O7955" s="184"/>
    </row>
    <row r="7956" customFormat="false" ht="15" hidden="false" customHeight="true" outlineLevel="0" collapsed="false">
      <c r="A7956" s="184"/>
      <c r="B7956" s="184"/>
      <c r="C7956" s="184"/>
      <c r="D7956" s="184"/>
      <c r="E7956" s="184"/>
      <c r="F7956" s="184"/>
      <c r="G7956" s="184"/>
      <c r="H7956" s="184"/>
      <c r="I7956" s="184"/>
      <c r="J7956" s="184"/>
      <c r="K7956" s="184"/>
      <c r="L7956" s="184"/>
      <c r="M7956" s="184"/>
      <c r="N7956" s="184"/>
      <c r="O7956" s="184"/>
    </row>
    <row r="7957" customFormat="false" ht="15" hidden="false" customHeight="true" outlineLevel="0" collapsed="false">
      <c r="A7957" s="184"/>
      <c r="B7957" s="184"/>
      <c r="C7957" s="184"/>
      <c r="D7957" s="184"/>
      <c r="E7957" s="184"/>
      <c r="F7957" s="184"/>
      <c r="G7957" s="184"/>
      <c r="H7957" s="184"/>
      <c r="I7957" s="184"/>
      <c r="J7957" s="184"/>
      <c r="K7957" s="184"/>
      <c r="L7957" s="184"/>
      <c r="M7957" s="184"/>
      <c r="N7957" s="184"/>
      <c r="O7957" s="184"/>
    </row>
    <row r="7958" customFormat="false" ht="15" hidden="false" customHeight="true" outlineLevel="0" collapsed="false">
      <c r="A7958" s="184"/>
      <c r="B7958" s="184"/>
      <c r="C7958" s="184"/>
      <c r="D7958" s="184"/>
      <c r="E7958" s="184"/>
      <c r="F7958" s="184"/>
      <c r="G7958" s="184"/>
      <c r="H7958" s="184"/>
      <c r="I7958" s="184"/>
      <c r="J7958" s="184"/>
      <c r="K7958" s="184"/>
      <c r="L7958" s="184"/>
      <c r="M7958" s="184"/>
      <c r="N7958" s="184"/>
      <c r="O7958" s="184"/>
    </row>
    <row r="7959" customFormat="false" ht="15" hidden="false" customHeight="true" outlineLevel="0" collapsed="false">
      <c r="A7959" s="184"/>
      <c r="B7959" s="184"/>
      <c r="C7959" s="184"/>
      <c r="D7959" s="184"/>
      <c r="E7959" s="184"/>
      <c r="F7959" s="184"/>
      <c r="G7959" s="184"/>
      <c r="H7959" s="184"/>
      <c r="I7959" s="184"/>
      <c r="J7959" s="184"/>
      <c r="K7959" s="184"/>
      <c r="L7959" s="184"/>
      <c r="M7959" s="184"/>
      <c r="N7959" s="184"/>
      <c r="O7959" s="184"/>
    </row>
    <row r="7960" customFormat="false" ht="15" hidden="false" customHeight="true" outlineLevel="0" collapsed="false">
      <c r="A7960" s="184"/>
      <c r="B7960" s="184"/>
      <c r="C7960" s="184"/>
      <c r="D7960" s="184"/>
      <c r="E7960" s="184"/>
      <c r="F7960" s="184"/>
      <c r="G7960" s="184"/>
      <c r="H7960" s="184"/>
      <c r="I7960" s="184"/>
      <c r="J7960" s="184"/>
      <c r="K7960" s="184"/>
      <c r="L7960" s="184"/>
      <c r="M7960" s="184"/>
      <c r="N7960" s="184"/>
      <c r="O7960" s="184"/>
    </row>
    <row r="7961" customFormat="false" ht="15" hidden="false" customHeight="true" outlineLevel="0" collapsed="false">
      <c r="A7961" s="184"/>
      <c r="B7961" s="184"/>
      <c r="C7961" s="184"/>
      <c r="D7961" s="184"/>
      <c r="E7961" s="184"/>
      <c r="F7961" s="184"/>
      <c r="G7961" s="184"/>
      <c r="H7961" s="184"/>
      <c r="I7961" s="184"/>
      <c r="J7961" s="184"/>
      <c r="K7961" s="184"/>
      <c r="L7961" s="184"/>
      <c r="M7961" s="184"/>
      <c r="N7961" s="184"/>
      <c r="O7961" s="184"/>
    </row>
    <row r="7962" customFormat="false" ht="15" hidden="false" customHeight="true" outlineLevel="0" collapsed="false">
      <c r="A7962" s="184"/>
      <c r="B7962" s="184"/>
      <c r="C7962" s="184"/>
      <c r="D7962" s="184"/>
      <c r="E7962" s="184"/>
      <c r="F7962" s="184"/>
      <c r="G7962" s="184"/>
      <c r="H7962" s="184"/>
      <c r="I7962" s="184"/>
      <c r="J7962" s="184"/>
      <c r="K7962" s="184"/>
      <c r="L7962" s="184"/>
      <c r="M7962" s="184"/>
      <c r="N7962" s="184"/>
      <c r="O7962" s="184"/>
    </row>
    <row r="7963" customFormat="false" ht="15" hidden="false" customHeight="true" outlineLevel="0" collapsed="false">
      <c r="A7963" s="184"/>
      <c r="B7963" s="184"/>
      <c r="C7963" s="184"/>
      <c r="D7963" s="184"/>
      <c r="E7963" s="184"/>
      <c r="F7963" s="184"/>
      <c r="G7963" s="184"/>
      <c r="H7963" s="184"/>
      <c r="I7963" s="184"/>
      <c r="J7963" s="184"/>
      <c r="K7963" s="184"/>
      <c r="L7963" s="184"/>
      <c r="M7963" s="184"/>
      <c r="N7963" s="184"/>
      <c r="O7963" s="184"/>
    </row>
    <row r="7964" customFormat="false" ht="15" hidden="false" customHeight="true" outlineLevel="0" collapsed="false">
      <c r="A7964" s="184"/>
      <c r="B7964" s="184"/>
      <c r="C7964" s="184"/>
      <c r="D7964" s="184"/>
      <c r="E7964" s="184"/>
      <c r="F7964" s="184"/>
      <c r="G7964" s="184"/>
      <c r="H7964" s="184"/>
      <c r="I7964" s="184"/>
      <c r="J7964" s="184"/>
      <c r="K7964" s="184"/>
      <c r="L7964" s="184"/>
      <c r="M7964" s="184"/>
      <c r="N7964" s="184"/>
      <c r="O7964" s="184"/>
    </row>
    <row r="7965" customFormat="false" ht="15" hidden="false" customHeight="true" outlineLevel="0" collapsed="false">
      <c r="A7965" s="184"/>
      <c r="B7965" s="184"/>
      <c r="C7965" s="184"/>
      <c r="D7965" s="184"/>
      <c r="E7965" s="184"/>
      <c r="F7965" s="184"/>
      <c r="G7965" s="184"/>
      <c r="H7965" s="184"/>
      <c r="I7965" s="184"/>
      <c r="J7965" s="184"/>
      <c r="K7965" s="184"/>
      <c r="L7965" s="184"/>
      <c r="M7965" s="184"/>
      <c r="N7965" s="184"/>
      <c r="O7965" s="184"/>
    </row>
    <row r="7966" customFormat="false" ht="15" hidden="false" customHeight="true" outlineLevel="0" collapsed="false">
      <c r="A7966" s="184"/>
      <c r="B7966" s="184"/>
      <c r="C7966" s="184"/>
      <c r="D7966" s="184"/>
      <c r="E7966" s="184"/>
      <c r="F7966" s="184"/>
      <c r="G7966" s="184"/>
      <c r="H7966" s="184"/>
      <c r="I7966" s="184"/>
      <c r="J7966" s="184"/>
      <c r="K7966" s="184"/>
      <c r="L7966" s="184"/>
      <c r="M7966" s="184"/>
      <c r="N7966" s="184"/>
      <c r="O7966" s="184"/>
    </row>
    <row r="7967" customFormat="false" ht="15" hidden="false" customHeight="true" outlineLevel="0" collapsed="false">
      <c r="A7967" s="184"/>
      <c r="B7967" s="184"/>
      <c r="C7967" s="184"/>
      <c r="D7967" s="184"/>
      <c r="E7967" s="184"/>
      <c r="F7967" s="184"/>
      <c r="G7967" s="184"/>
      <c r="H7967" s="184"/>
      <c r="I7967" s="184"/>
      <c r="J7967" s="184"/>
      <c r="K7967" s="184"/>
      <c r="L7967" s="184"/>
      <c r="M7967" s="184"/>
      <c r="N7967" s="184"/>
      <c r="O7967" s="184"/>
    </row>
    <row r="7968" customFormat="false" ht="15" hidden="false" customHeight="true" outlineLevel="0" collapsed="false">
      <c r="A7968" s="184"/>
      <c r="B7968" s="184"/>
      <c r="C7968" s="184"/>
      <c r="D7968" s="184"/>
      <c r="E7968" s="184"/>
      <c r="F7968" s="184"/>
      <c r="G7968" s="184"/>
      <c r="H7968" s="184"/>
      <c r="I7968" s="184"/>
      <c r="J7968" s="184"/>
      <c r="K7968" s="184"/>
      <c r="L7968" s="184"/>
      <c r="M7968" s="184"/>
      <c r="N7968" s="184"/>
      <c r="O7968" s="184"/>
    </row>
    <row r="7969" customFormat="false" ht="15" hidden="false" customHeight="true" outlineLevel="0" collapsed="false">
      <c r="A7969" s="184"/>
      <c r="B7969" s="184"/>
      <c r="C7969" s="184"/>
      <c r="D7969" s="184"/>
      <c r="E7969" s="184"/>
      <c r="F7969" s="184"/>
      <c r="G7969" s="184"/>
      <c r="H7969" s="184"/>
      <c r="I7969" s="184"/>
      <c r="J7969" s="184"/>
      <c r="K7969" s="184"/>
      <c r="L7969" s="184"/>
      <c r="M7969" s="184"/>
      <c r="N7969" s="184"/>
      <c r="O7969" s="184"/>
    </row>
    <row r="7970" customFormat="false" ht="15" hidden="false" customHeight="true" outlineLevel="0" collapsed="false">
      <c r="A7970" s="184"/>
      <c r="B7970" s="184"/>
      <c r="C7970" s="184"/>
      <c r="D7970" s="184"/>
      <c r="E7970" s="184"/>
      <c r="F7970" s="184"/>
      <c r="G7970" s="184"/>
      <c r="H7970" s="184"/>
      <c r="I7970" s="184"/>
      <c r="J7970" s="184"/>
      <c r="K7970" s="184"/>
      <c r="L7970" s="184"/>
      <c r="M7970" s="184"/>
      <c r="N7970" s="184"/>
      <c r="O7970" s="184"/>
    </row>
    <row r="7971" customFormat="false" ht="15" hidden="false" customHeight="true" outlineLevel="0" collapsed="false">
      <c r="A7971" s="184"/>
      <c r="B7971" s="184"/>
      <c r="C7971" s="184"/>
      <c r="D7971" s="184"/>
      <c r="E7971" s="184"/>
      <c r="F7971" s="184"/>
      <c r="G7971" s="184"/>
      <c r="H7971" s="184"/>
      <c r="I7971" s="184"/>
      <c r="J7971" s="184"/>
      <c r="K7971" s="184"/>
      <c r="L7971" s="184"/>
      <c r="M7971" s="184"/>
      <c r="N7971" s="184"/>
      <c r="O7971" s="184"/>
    </row>
    <row r="7972" customFormat="false" ht="15" hidden="false" customHeight="true" outlineLevel="0" collapsed="false">
      <c r="A7972" s="184"/>
      <c r="B7972" s="184"/>
      <c r="C7972" s="184"/>
      <c r="D7972" s="184"/>
      <c r="E7972" s="184"/>
      <c r="F7972" s="184"/>
      <c r="G7972" s="184"/>
      <c r="H7972" s="184"/>
      <c r="I7972" s="184"/>
      <c r="J7972" s="184"/>
      <c r="K7972" s="184"/>
      <c r="L7972" s="184"/>
      <c r="M7972" s="184"/>
      <c r="N7972" s="184"/>
      <c r="O7972" s="184"/>
    </row>
    <row r="7973" customFormat="false" ht="15" hidden="false" customHeight="true" outlineLevel="0" collapsed="false">
      <c r="A7973" s="184"/>
      <c r="B7973" s="184"/>
      <c r="C7973" s="184"/>
      <c r="D7973" s="184"/>
      <c r="E7973" s="184"/>
      <c r="F7973" s="184"/>
      <c r="G7973" s="184"/>
      <c r="H7973" s="184"/>
      <c r="I7973" s="184"/>
      <c r="J7973" s="184"/>
      <c r="K7973" s="184"/>
      <c r="L7973" s="184"/>
      <c r="M7973" s="184"/>
      <c r="N7973" s="184"/>
      <c r="O7973" s="184"/>
    </row>
    <row r="7974" customFormat="false" ht="15" hidden="false" customHeight="true" outlineLevel="0" collapsed="false">
      <c r="A7974" s="184"/>
      <c r="B7974" s="184"/>
      <c r="C7974" s="184"/>
      <c r="D7974" s="184"/>
      <c r="E7974" s="184"/>
      <c r="F7974" s="184"/>
      <c r="G7974" s="184"/>
      <c r="H7974" s="184"/>
      <c r="I7974" s="184"/>
      <c r="J7974" s="184"/>
      <c r="K7974" s="184"/>
      <c r="L7974" s="184"/>
      <c r="M7974" s="184"/>
      <c r="N7974" s="184"/>
      <c r="O7974" s="184"/>
    </row>
    <row r="7975" customFormat="false" ht="15" hidden="false" customHeight="true" outlineLevel="0" collapsed="false">
      <c r="A7975" s="184"/>
      <c r="B7975" s="184"/>
      <c r="C7975" s="184"/>
      <c r="D7975" s="184"/>
      <c r="E7975" s="184"/>
      <c r="F7975" s="184"/>
      <c r="G7975" s="184"/>
      <c r="H7975" s="184"/>
      <c r="I7975" s="184"/>
      <c r="J7975" s="184"/>
      <c r="K7975" s="184"/>
      <c r="L7975" s="184"/>
      <c r="M7975" s="184"/>
      <c r="N7975" s="184"/>
      <c r="O7975" s="184"/>
    </row>
    <row r="7976" customFormat="false" ht="15" hidden="false" customHeight="true" outlineLevel="0" collapsed="false">
      <c r="A7976" s="184"/>
      <c r="B7976" s="184"/>
      <c r="C7976" s="184"/>
      <c r="D7976" s="184"/>
      <c r="E7976" s="184"/>
      <c r="F7976" s="184"/>
      <c r="G7976" s="184"/>
      <c r="H7976" s="184"/>
      <c r="I7976" s="184"/>
      <c r="J7976" s="184"/>
      <c r="K7976" s="184"/>
      <c r="L7976" s="184"/>
      <c r="M7976" s="184"/>
      <c r="N7976" s="184"/>
      <c r="O7976" s="184"/>
    </row>
    <row r="7977" customFormat="false" ht="15" hidden="false" customHeight="true" outlineLevel="0" collapsed="false">
      <c r="A7977" s="184"/>
      <c r="B7977" s="184"/>
      <c r="C7977" s="184"/>
      <c r="D7977" s="184"/>
      <c r="E7977" s="184"/>
      <c r="F7977" s="184"/>
      <c r="G7977" s="184"/>
      <c r="H7977" s="184"/>
      <c r="I7977" s="184"/>
      <c r="J7977" s="184"/>
      <c r="K7977" s="184"/>
      <c r="L7977" s="184"/>
      <c r="M7977" s="184"/>
      <c r="N7977" s="184"/>
      <c r="O7977" s="184"/>
    </row>
    <row r="7978" customFormat="false" ht="15" hidden="false" customHeight="true" outlineLevel="0" collapsed="false">
      <c r="A7978" s="184"/>
      <c r="B7978" s="184"/>
      <c r="C7978" s="184"/>
      <c r="D7978" s="184"/>
      <c r="E7978" s="184"/>
      <c r="F7978" s="184"/>
      <c r="G7978" s="184"/>
      <c r="H7978" s="184"/>
      <c r="I7978" s="184"/>
      <c r="J7978" s="184"/>
      <c r="K7978" s="184"/>
      <c r="L7978" s="184"/>
      <c r="M7978" s="184"/>
      <c r="N7978" s="184"/>
      <c r="O7978" s="184"/>
    </row>
    <row r="7979" customFormat="false" ht="15" hidden="false" customHeight="true" outlineLevel="0" collapsed="false">
      <c r="A7979" s="184"/>
      <c r="B7979" s="184"/>
      <c r="C7979" s="184"/>
      <c r="D7979" s="184"/>
      <c r="E7979" s="184"/>
      <c r="F7979" s="184"/>
      <c r="G7979" s="184"/>
      <c r="H7979" s="184"/>
      <c r="I7979" s="184"/>
      <c r="J7979" s="184"/>
      <c r="K7979" s="184"/>
      <c r="L7979" s="184"/>
      <c r="M7979" s="184"/>
      <c r="N7979" s="184"/>
      <c r="O7979" s="184"/>
    </row>
    <row r="7980" customFormat="false" ht="15" hidden="false" customHeight="true" outlineLevel="0" collapsed="false">
      <c r="A7980" s="184"/>
      <c r="B7980" s="184"/>
      <c r="C7980" s="184"/>
      <c r="D7980" s="184"/>
      <c r="E7980" s="184"/>
      <c r="F7980" s="184"/>
      <c r="G7980" s="184"/>
      <c r="H7980" s="184"/>
      <c r="I7980" s="184"/>
      <c r="J7980" s="184"/>
      <c r="K7980" s="184"/>
      <c r="L7980" s="184"/>
      <c r="M7980" s="184"/>
      <c r="N7980" s="184"/>
      <c r="O7980" s="184"/>
    </row>
    <row r="7981" customFormat="false" ht="15" hidden="false" customHeight="true" outlineLevel="0" collapsed="false">
      <c r="A7981" s="184"/>
      <c r="B7981" s="184"/>
      <c r="C7981" s="184"/>
      <c r="D7981" s="184"/>
      <c r="E7981" s="184"/>
      <c r="F7981" s="184"/>
      <c r="G7981" s="184"/>
      <c r="H7981" s="184"/>
      <c r="I7981" s="184"/>
      <c r="J7981" s="184"/>
      <c r="K7981" s="184"/>
      <c r="L7981" s="184"/>
      <c r="M7981" s="184"/>
      <c r="N7981" s="184"/>
      <c r="O7981" s="184"/>
    </row>
    <row r="7982" customFormat="false" ht="15" hidden="false" customHeight="true" outlineLevel="0" collapsed="false">
      <c r="A7982" s="184"/>
      <c r="B7982" s="184"/>
      <c r="C7982" s="184"/>
      <c r="D7982" s="184"/>
      <c r="E7982" s="184"/>
      <c r="F7982" s="184"/>
      <c r="G7982" s="184"/>
      <c r="H7982" s="184"/>
      <c r="I7982" s="184"/>
      <c r="J7982" s="184"/>
      <c r="K7982" s="184"/>
      <c r="L7982" s="184"/>
      <c r="M7982" s="184"/>
      <c r="N7982" s="184"/>
      <c r="O7982" s="184"/>
    </row>
    <row r="7983" customFormat="false" ht="15" hidden="false" customHeight="true" outlineLevel="0" collapsed="false">
      <c r="A7983" s="184"/>
      <c r="B7983" s="184"/>
      <c r="C7983" s="184"/>
      <c r="D7983" s="184"/>
      <c r="E7983" s="184"/>
      <c r="F7983" s="184"/>
      <c r="G7983" s="184"/>
      <c r="H7983" s="184"/>
      <c r="I7983" s="184"/>
      <c r="J7983" s="184"/>
      <c r="K7983" s="184"/>
      <c r="L7983" s="184"/>
      <c r="M7983" s="184"/>
      <c r="N7983" s="184"/>
      <c r="O7983" s="184"/>
    </row>
    <row r="7984" customFormat="false" ht="15" hidden="false" customHeight="true" outlineLevel="0" collapsed="false">
      <c r="A7984" s="184"/>
      <c r="B7984" s="184"/>
      <c r="C7984" s="184"/>
      <c r="D7984" s="184"/>
      <c r="E7984" s="184"/>
      <c r="F7984" s="184"/>
      <c r="G7984" s="184"/>
      <c r="H7984" s="184"/>
      <c r="I7984" s="184"/>
      <c r="J7984" s="184"/>
      <c r="K7984" s="184"/>
      <c r="L7984" s="184"/>
      <c r="M7984" s="184"/>
      <c r="N7984" s="184"/>
      <c r="O7984" s="184"/>
    </row>
    <row r="7985" customFormat="false" ht="15" hidden="false" customHeight="true" outlineLevel="0" collapsed="false">
      <c r="A7985" s="184"/>
      <c r="B7985" s="184"/>
      <c r="C7985" s="184"/>
      <c r="D7985" s="184"/>
      <c r="E7985" s="184"/>
      <c r="F7985" s="184"/>
      <c r="G7985" s="184"/>
      <c r="H7985" s="184"/>
      <c r="I7985" s="184"/>
      <c r="J7985" s="184"/>
      <c r="K7985" s="184"/>
      <c r="L7985" s="184"/>
      <c r="M7985" s="184"/>
      <c r="N7985" s="184"/>
      <c r="O7985" s="184"/>
    </row>
    <row r="7986" customFormat="false" ht="15" hidden="false" customHeight="true" outlineLevel="0" collapsed="false">
      <c r="A7986" s="184"/>
      <c r="B7986" s="184"/>
      <c r="C7986" s="184"/>
      <c r="D7986" s="184"/>
      <c r="E7986" s="184"/>
      <c r="F7986" s="184"/>
      <c r="G7986" s="184"/>
      <c r="H7986" s="184"/>
      <c r="I7986" s="184"/>
      <c r="J7986" s="184"/>
      <c r="K7986" s="184"/>
      <c r="L7986" s="184"/>
      <c r="M7986" s="184"/>
      <c r="N7986" s="184"/>
      <c r="O7986" s="184"/>
    </row>
    <row r="7987" customFormat="false" ht="15" hidden="false" customHeight="true" outlineLevel="0" collapsed="false">
      <c r="A7987" s="184"/>
      <c r="B7987" s="184"/>
      <c r="C7987" s="184"/>
      <c r="D7987" s="184"/>
      <c r="E7987" s="184"/>
      <c r="F7987" s="184"/>
      <c r="G7987" s="184"/>
      <c r="H7987" s="184"/>
      <c r="I7987" s="184"/>
      <c r="J7987" s="184"/>
      <c r="K7987" s="184"/>
      <c r="L7987" s="184"/>
      <c r="M7987" s="184"/>
      <c r="N7987" s="184"/>
      <c r="O7987" s="184"/>
    </row>
    <row r="7988" customFormat="false" ht="15" hidden="false" customHeight="true" outlineLevel="0" collapsed="false">
      <c r="A7988" s="184"/>
      <c r="B7988" s="184"/>
      <c r="C7988" s="184"/>
      <c r="D7988" s="184"/>
      <c r="E7988" s="184"/>
      <c r="F7988" s="184"/>
      <c r="G7988" s="184"/>
      <c r="H7988" s="184"/>
      <c r="I7988" s="184"/>
      <c r="J7988" s="184"/>
      <c r="K7988" s="184"/>
      <c r="L7988" s="184"/>
      <c r="M7988" s="184"/>
      <c r="N7988" s="184"/>
      <c r="O7988" s="184"/>
    </row>
    <row r="7989" customFormat="false" ht="15" hidden="false" customHeight="true" outlineLevel="0" collapsed="false">
      <c r="A7989" s="184"/>
      <c r="B7989" s="184"/>
      <c r="C7989" s="184"/>
      <c r="D7989" s="184"/>
      <c r="E7989" s="184"/>
      <c r="F7989" s="184"/>
      <c r="G7989" s="184"/>
      <c r="H7989" s="184"/>
      <c r="I7989" s="184"/>
      <c r="J7989" s="184"/>
      <c r="K7989" s="184"/>
      <c r="L7989" s="184"/>
      <c r="M7989" s="184"/>
      <c r="N7989" s="184"/>
      <c r="O7989" s="184"/>
    </row>
    <row r="7990" customFormat="false" ht="15" hidden="false" customHeight="true" outlineLevel="0" collapsed="false">
      <c r="A7990" s="184"/>
      <c r="B7990" s="184"/>
      <c r="C7990" s="184"/>
      <c r="D7990" s="184"/>
      <c r="E7990" s="184"/>
      <c r="F7990" s="184"/>
      <c r="G7990" s="184"/>
      <c r="H7990" s="184"/>
      <c r="I7990" s="184"/>
      <c r="J7990" s="184"/>
      <c r="K7990" s="184"/>
      <c r="L7990" s="184"/>
      <c r="M7990" s="184"/>
      <c r="N7990" s="184"/>
      <c r="O7990" s="184"/>
    </row>
    <row r="7991" customFormat="false" ht="15" hidden="false" customHeight="true" outlineLevel="0" collapsed="false">
      <c r="A7991" s="184"/>
      <c r="B7991" s="184"/>
      <c r="C7991" s="184"/>
      <c r="D7991" s="184"/>
      <c r="E7991" s="184"/>
      <c r="F7991" s="184"/>
      <c r="G7991" s="184"/>
      <c r="H7991" s="184"/>
      <c r="I7991" s="184"/>
      <c r="J7991" s="184"/>
      <c r="K7991" s="184"/>
      <c r="L7991" s="184"/>
      <c r="M7991" s="184"/>
      <c r="N7991" s="184"/>
      <c r="O7991" s="184"/>
    </row>
    <row r="7992" customFormat="false" ht="15" hidden="false" customHeight="true" outlineLevel="0" collapsed="false">
      <c r="A7992" s="184"/>
      <c r="B7992" s="184"/>
      <c r="C7992" s="184"/>
      <c r="D7992" s="184"/>
      <c r="E7992" s="184"/>
      <c r="F7992" s="184"/>
      <c r="G7992" s="184"/>
      <c r="H7992" s="184"/>
      <c r="I7992" s="184"/>
      <c r="J7992" s="184"/>
      <c r="K7992" s="184"/>
      <c r="L7992" s="184"/>
      <c r="M7992" s="184"/>
      <c r="N7992" s="184"/>
      <c r="O7992" s="184"/>
    </row>
    <row r="7993" customFormat="false" ht="15" hidden="false" customHeight="true" outlineLevel="0" collapsed="false">
      <c r="A7993" s="184"/>
      <c r="B7993" s="184"/>
      <c r="C7993" s="184"/>
      <c r="D7993" s="184"/>
      <c r="E7993" s="184"/>
      <c r="F7993" s="184"/>
      <c r="G7993" s="184"/>
      <c r="H7993" s="184"/>
      <c r="I7993" s="184"/>
      <c r="J7993" s="184"/>
      <c r="K7993" s="184"/>
      <c r="L7993" s="184"/>
      <c r="M7993" s="184"/>
      <c r="N7993" s="184"/>
      <c r="O7993" s="184"/>
    </row>
    <row r="7994" customFormat="false" ht="15" hidden="false" customHeight="true" outlineLevel="0" collapsed="false">
      <c r="A7994" s="184"/>
      <c r="B7994" s="184"/>
      <c r="C7994" s="184"/>
      <c r="D7994" s="184"/>
      <c r="E7994" s="184"/>
      <c r="F7994" s="184"/>
      <c r="G7994" s="184"/>
      <c r="H7994" s="184"/>
      <c r="I7994" s="184"/>
      <c r="J7994" s="184"/>
      <c r="K7994" s="184"/>
      <c r="L7994" s="184"/>
      <c r="M7994" s="184"/>
      <c r="N7994" s="184"/>
      <c r="O7994" s="184"/>
    </row>
    <row r="7995" customFormat="false" ht="15" hidden="false" customHeight="true" outlineLevel="0" collapsed="false">
      <c r="A7995" s="184"/>
      <c r="B7995" s="184"/>
      <c r="C7995" s="184"/>
      <c r="D7995" s="184"/>
      <c r="E7995" s="184"/>
      <c r="F7995" s="184"/>
      <c r="G7995" s="184"/>
      <c r="H7995" s="184"/>
      <c r="I7995" s="184"/>
      <c r="J7995" s="184"/>
      <c r="K7995" s="184"/>
      <c r="L7995" s="184"/>
      <c r="M7995" s="184"/>
      <c r="N7995" s="184"/>
      <c r="O7995" s="184"/>
    </row>
    <row r="7996" customFormat="false" ht="15" hidden="false" customHeight="true" outlineLevel="0" collapsed="false">
      <c r="A7996" s="184"/>
      <c r="B7996" s="184"/>
      <c r="C7996" s="184"/>
      <c r="D7996" s="184"/>
      <c r="E7996" s="184"/>
      <c r="F7996" s="184"/>
      <c r="G7996" s="184"/>
      <c r="H7996" s="184"/>
      <c r="I7996" s="184"/>
      <c r="J7996" s="184"/>
      <c r="K7996" s="184"/>
      <c r="L7996" s="184"/>
      <c r="M7996" s="184"/>
      <c r="N7996" s="184"/>
      <c r="O7996" s="184"/>
    </row>
    <row r="7997" customFormat="false" ht="15" hidden="false" customHeight="true" outlineLevel="0" collapsed="false">
      <c r="A7997" s="184"/>
      <c r="B7997" s="184"/>
      <c r="C7997" s="184"/>
      <c r="D7997" s="184"/>
      <c r="E7997" s="184"/>
      <c r="F7997" s="184"/>
      <c r="G7997" s="184"/>
      <c r="H7997" s="184"/>
      <c r="I7997" s="184"/>
      <c r="J7997" s="184"/>
      <c r="K7997" s="184"/>
      <c r="L7997" s="184"/>
      <c r="M7997" s="184"/>
      <c r="N7997" s="184"/>
      <c r="O7997" s="184"/>
    </row>
    <row r="7998" customFormat="false" ht="15" hidden="false" customHeight="true" outlineLevel="0" collapsed="false">
      <c r="A7998" s="184"/>
      <c r="B7998" s="184"/>
      <c r="C7998" s="184"/>
      <c r="D7998" s="184"/>
      <c r="E7998" s="184"/>
      <c r="F7998" s="184"/>
      <c r="G7998" s="184"/>
      <c r="H7998" s="184"/>
      <c r="I7998" s="184"/>
      <c r="J7998" s="184"/>
      <c r="K7998" s="184"/>
      <c r="L7998" s="184"/>
      <c r="M7998" s="184"/>
      <c r="N7998" s="184"/>
      <c r="O7998" s="184"/>
    </row>
    <row r="7999" customFormat="false" ht="15" hidden="false" customHeight="true" outlineLevel="0" collapsed="false">
      <c r="A7999" s="184"/>
      <c r="B7999" s="184"/>
      <c r="C7999" s="184"/>
      <c r="D7999" s="184"/>
      <c r="E7999" s="184"/>
      <c r="F7999" s="184"/>
      <c r="G7999" s="184"/>
      <c r="H7999" s="184"/>
      <c r="I7999" s="184"/>
      <c r="J7999" s="184"/>
      <c r="K7999" s="184"/>
      <c r="L7999" s="184"/>
      <c r="M7999" s="184"/>
      <c r="N7999" s="184"/>
      <c r="O7999" s="184"/>
    </row>
    <row r="8000" customFormat="false" ht="15" hidden="false" customHeight="true" outlineLevel="0" collapsed="false">
      <c r="A8000" s="184"/>
      <c r="B8000" s="184"/>
      <c r="C8000" s="184"/>
      <c r="D8000" s="184"/>
      <c r="E8000" s="184"/>
      <c r="F8000" s="184"/>
      <c r="G8000" s="184"/>
      <c r="H8000" s="184"/>
      <c r="I8000" s="184"/>
      <c r="J8000" s="184"/>
      <c r="K8000" s="184"/>
      <c r="L8000" s="184"/>
      <c r="M8000" s="184"/>
      <c r="N8000" s="184"/>
      <c r="O8000" s="184"/>
    </row>
    <row r="8001" customFormat="false" ht="15" hidden="false" customHeight="true" outlineLevel="0" collapsed="false">
      <c r="A8001" s="184"/>
      <c r="B8001" s="184"/>
      <c r="C8001" s="184"/>
      <c r="D8001" s="184"/>
      <c r="E8001" s="184"/>
      <c r="F8001" s="184"/>
      <c r="G8001" s="184"/>
      <c r="H8001" s="184"/>
      <c r="I8001" s="184"/>
      <c r="J8001" s="184"/>
      <c r="K8001" s="184"/>
      <c r="L8001" s="184"/>
      <c r="M8001" s="184"/>
      <c r="N8001" s="184"/>
      <c r="O8001" s="184"/>
    </row>
    <row r="8002" customFormat="false" ht="15" hidden="false" customHeight="true" outlineLevel="0" collapsed="false">
      <c r="A8002" s="184"/>
      <c r="B8002" s="184"/>
      <c r="C8002" s="184"/>
      <c r="D8002" s="184"/>
      <c r="E8002" s="184"/>
      <c r="F8002" s="184"/>
      <c r="G8002" s="184"/>
      <c r="H8002" s="184"/>
      <c r="I8002" s="184"/>
      <c r="J8002" s="184"/>
      <c r="K8002" s="184"/>
      <c r="L8002" s="184"/>
      <c r="M8002" s="184"/>
      <c r="N8002" s="184"/>
      <c r="O8002" s="184"/>
    </row>
    <row r="8003" customFormat="false" ht="15" hidden="false" customHeight="true" outlineLevel="0" collapsed="false">
      <c r="A8003" s="184"/>
      <c r="B8003" s="184"/>
      <c r="C8003" s="184"/>
      <c r="D8003" s="184"/>
      <c r="E8003" s="184"/>
      <c r="F8003" s="184"/>
      <c r="G8003" s="184"/>
      <c r="H8003" s="184"/>
      <c r="I8003" s="184"/>
      <c r="J8003" s="184"/>
      <c r="K8003" s="184"/>
      <c r="L8003" s="184"/>
      <c r="M8003" s="184"/>
      <c r="N8003" s="184"/>
      <c r="O8003" s="184"/>
    </row>
    <row r="8004" customFormat="false" ht="15" hidden="false" customHeight="true" outlineLevel="0" collapsed="false">
      <c r="A8004" s="184"/>
      <c r="B8004" s="184"/>
      <c r="C8004" s="184"/>
      <c r="D8004" s="184"/>
      <c r="E8004" s="184"/>
      <c r="F8004" s="184"/>
      <c r="G8004" s="184"/>
      <c r="H8004" s="184"/>
      <c r="I8004" s="184"/>
      <c r="J8004" s="184"/>
      <c r="K8004" s="184"/>
      <c r="L8004" s="184"/>
      <c r="M8004" s="184"/>
      <c r="N8004" s="184"/>
      <c r="O8004" s="184"/>
    </row>
    <row r="8005" customFormat="false" ht="15" hidden="false" customHeight="true" outlineLevel="0" collapsed="false">
      <c r="A8005" s="184"/>
      <c r="B8005" s="184"/>
      <c r="C8005" s="184"/>
      <c r="D8005" s="184"/>
      <c r="E8005" s="184"/>
      <c r="F8005" s="184"/>
      <c r="G8005" s="184"/>
      <c r="H8005" s="184"/>
      <c r="I8005" s="184"/>
      <c r="J8005" s="184"/>
      <c r="K8005" s="184"/>
      <c r="L8005" s="184"/>
      <c r="M8005" s="184"/>
      <c r="N8005" s="184"/>
      <c r="O8005" s="184"/>
    </row>
    <row r="8006" customFormat="false" ht="15" hidden="false" customHeight="true" outlineLevel="0" collapsed="false">
      <c r="A8006" s="184"/>
      <c r="B8006" s="184"/>
      <c r="C8006" s="184"/>
      <c r="D8006" s="184"/>
      <c r="E8006" s="184"/>
      <c r="F8006" s="184"/>
      <c r="G8006" s="184"/>
      <c r="H8006" s="184"/>
      <c r="I8006" s="184"/>
      <c r="J8006" s="184"/>
      <c r="K8006" s="184"/>
      <c r="L8006" s="184"/>
      <c r="M8006" s="184"/>
      <c r="N8006" s="184"/>
      <c r="O8006" s="184"/>
    </row>
    <row r="8007" customFormat="false" ht="15" hidden="false" customHeight="true" outlineLevel="0" collapsed="false">
      <c r="A8007" s="184"/>
      <c r="B8007" s="184"/>
      <c r="C8007" s="184"/>
      <c r="D8007" s="184"/>
      <c r="E8007" s="184"/>
      <c r="F8007" s="184"/>
      <c r="G8007" s="184"/>
      <c r="H8007" s="184"/>
      <c r="I8007" s="184"/>
      <c r="J8007" s="184"/>
      <c r="K8007" s="184"/>
      <c r="L8007" s="184"/>
      <c r="M8007" s="184"/>
      <c r="N8007" s="184"/>
      <c r="O8007" s="184"/>
    </row>
    <row r="8008" customFormat="false" ht="15" hidden="false" customHeight="true" outlineLevel="0" collapsed="false">
      <c r="A8008" s="184"/>
      <c r="B8008" s="184"/>
      <c r="C8008" s="184"/>
      <c r="D8008" s="184"/>
      <c r="E8008" s="184"/>
      <c r="F8008" s="184"/>
      <c r="G8008" s="184"/>
      <c r="H8008" s="184"/>
      <c r="I8008" s="184"/>
      <c r="J8008" s="184"/>
      <c r="K8008" s="184"/>
      <c r="L8008" s="184"/>
      <c r="M8008" s="184"/>
      <c r="N8008" s="184"/>
      <c r="O8008" s="184"/>
    </row>
    <row r="8009" customFormat="false" ht="15" hidden="false" customHeight="true" outlineLevel="0" collapsed="false">
      <c r="A8009" s="184"/>
      <c r="B8009" s="184"/>
      <c r="C8009" s="184"/>
      <c r="D8009" s="184"/>
      <c r="E8009" s="184"/>
      <c r="F8009" s="184"/>
      <c r="G8009" s="184"/>
      <c r="H8009" s="184"/>
      <c r="I8009" s="184"/>
      <c r="J8009" s="184"/>
      <c r="K8009" s="184"/>
      <c r="L8009" s="184"/>
      <c r="M8009" s="184"/>
      <c r="N8009" s="184"/>
      <c r="O8009" s="184"/>
    </row>
    <row r="8010" customFormat="false" ht="15" hidden="false" customHeight="true" outlineLevel="0" collapsed="false">
      <c r="A8010" s="184"/>
      <c r="B8010" s="184"/>
      <c r="C8010" s="184"/>
      <c r="D8010" s="184"/>
      <c r="E8010" s="184"/>
      <c r="F8010" s="184"/>
      <c r="G8010" s="184"/>
      <c r="H8010" s="184"/>
      <c r="I8010" s="184"/>
      <c r="J8010" s="184"/>
      <c r="K8010" s="184"/>
      <c r="L8010" s="184"/>
      <c r="M8010" s="184"/>
      <c r="N8010" s="184"/>
      <c r="O8010" s="184"/>
    </row>
    <row r="8011" customFormat="false" ht="15" hidden="false" customHeight="true" outlineLevel="0" collapsed="false">
      <c r="A8011" s="184"/>
      <c r="B8011" s="184"/>
      <c r="C8011" s="184"/>
      <c r="D8011" s="184"/>
      <c r="E8011" s="184"/>
      <c r="F8011" s="184"/>
      <c r="G8011" s="184"/>
      <c r="H8011" s="184"/>
      <c r="I8011" s="184"/>
      <c r="J8011" s="184"/>
      <c r="K8011" s="184"/>
      <c r="L8011" s="184"/>
      <c r="M8011" s="184"/>
      <c r="N8011" s="184"/>
      <c r="O8011" s="184"/>
    </row>
    <row r="8012" customFormat="false" ht="15" hidden="false" customHeight="true" outlineLevel="0" collapsed="false">
      <c r="A8012" s="184"/>
      <c r="B8012" s="184"/>
      <c r="C8012" s="184"/>
      <c r="D8012" s="184"/>
      <c r="E8012" s="184"/>
      <c r="F8012" s="184"/>
      <c r="G8012" s="184"/>
      <c r="H8012" s="184"/>
      <c r="I8012" s="184"/>
      <c r="J8012" s="184"/>
      <c r="K8012" s="184"/>
      <c r="L8012" s="184"/>
      <c r="M8012" s="184"/>
      <c r="N8012" s="184"/>
      <c r="O8012" s="184"/>
    </row>
    <row r="8013" customFormat="false" ht="15" hidden="false" customHeight="true" outlineLevel="0" collapsed="false">
      <c r="A8013" s="184"/>
      <c r="B8013" s="184"/>
      <c r="C8013" s="184"/>
      <c r="D8013" s="184"/>
      <c r="E8013" s="184"/>
      <c r="F8013" s="184"/>
      <c r="G8013" s="184"/>
      <c r="H8013" s="184"/>
      <c r="I8013" s="184"/>
      <c r="J8013" s="184"/>
      <c r="K8013" s="184"/>
      <c r="L8013" s="184"/>
      <c r="M8013" s="184"/>
      <c r="N8013" s="184"/>
      <c r="O8013" s="184"/>
    </row>
    <row r="8014" customFormat="false" ht="15" hidden="false" customHeight="true" outlineLevel="0" collapsed="false">
      <c r="A8014" s="184"/>
      <c r="B8014" s="184"/>
      <c r="C8014" s="184"/>
      <c r="D8014" s="184"/>
      <c r="E8014" s="184"/>
      <c r="F8014" s="184"/>
      <c r="G8014" s="184"/>
      <c r="H8014" s="184"/>
      <c r="I8014" s="184"/>
      <c r="J8014" s="184"/>
      <c r="K8014" s="184"/>
      <c r="L8014" s="184"/>
      <c r="M8014" s="184"/>
      <c r="N8014" s="184"/>
      <c r="O8014" s="184"/>
    </row>
    <row r="8015" customFormat="false" ht="15" hidden="false" customHeight="true" outlineLevel="0" collapsed="false">
      <c r="A8015" s="184"/>
      <c r="B8015" s="184"/>
      <c r="C8015" s="184"/>
      <c r="D8015" s="184"/>
      <c r="E8015" s="184"/>
      <c r="F8015" s="184"/>
      <c r="G8015" s="184"/>
      <c r="H8015" s="184"/>
      <c r="I8015" s="184"/>
      <c r="J8015" s="184"/>
      <c r="K8015" s="184"/>
      <c r="L8015" s="184"/>
      <c r="M8015" s="184"/>
      <c r="N8015" s="184"/>
      <c r="O8015" s="184"/>
    </row>
    <row r="8016" customFormat="false" ht="15" hidden="false" customHeight="true" outlineLevel="0" collapsed="false">
      <c r="A8016" s="184"/>
      <c r="B8016" s="184"/>
      <c r="C8016" s="184"/>
      <c r="D8016" s="184"/>
      <c r="E8016" s="184"/>
      <c r="F8016" s="184"/>
      <c r="G8016" s="184"/>
      <c r="H8016" s="184"/>
      <c r="I8016" s="184"/>
      <c r="J8016" s="184"/>
      <c r="K8016" s="184"/>
      <c r="L8016" s="184"/>
      <c r="M8016" s="184"/>
      <c r="N8016" s="184"/>
      <c r="O8016" s="184"/>
    </row>
    <row r="8017" customFormat="false" ht="15" hidden="false" customHeight="true" outlineLevel="0" collapsed="false">
      <c r="A8017" s="184"/>
      <c r="B8017" s="184"/>
      <c r="C8017" s="184"/>
      <c r="D8017" s="184"/>
      <c r="E8017" s="184"/>
      <c r="F8017" s="184"/>
      <c r="G8017" s="184"/>
      <c r="H8017" s="184"/>
      <c r="I8017" s="184"/>
      <c r="J8017" s="184"/>
      <c r="K8017" s="184"/>
      <c r="L8017" s="184"/>
      <c r="M8017" s="184"/>
      <c r="N8017" s="184"/>
      <c r="O8017" s="184"/>
    </row>
    <row r="8018" customFormat="false" ht="15" hidden="false" customHeight="true" outlineLevel="0" collapsed="false">
      <c r="A8018" s="184"/>
      <c r="B8018" s="184"/>
      <c r="C8018" s="184"/>
      <c r="D8018" s="184"/>
      <c r="E8018" s="184"/>
      <c r="F8018" s="184"/>
      <c r="G8018" s="184"/>
      <c r="H8018" s="184"/>
      <c r="I8018" s="184"/>
      <c r="J8018" s="184"/>
      <c r="K8018" s="184"/>
      <c r="L8018" s="184"/>
      <c r="M8018" s="184"/>
      <c r="N8018" s="184"/>
      <c r="O8018" s="184"/>
    </row>
    <row r="8019" customFormat="false" ht="15" hidden="false" customHeight="true" outlineLevel="0" collapsed="false">
      <c r="A8019" s="184"/>
      <c r="B8019" s="184"/>
      <c r="C8019" s="184"/>
      <c r="D8019" s="184"/>
      <c r="E8019" s="184"/>
      <c r="F8019" s="184"/>
      <c r="G8019" s="184"/>
      <c r="H8019" s="184"/>
      <c r="I8019" s="184"/>
      <c r="J8019" s="184"/>
      <c r="K8019" s="184"/>
      <c r="L8019" s="184"/>
      <c r="M8019" s="184"/>
      <c r="N8019" s="184"/>
      <c r="O8019" s="184"/>
    </row>
    <row r="8020" customFormat="false" ht="15" hidden="false" customHeight="true" outlineLevel="0" collapsed="false">
      <c r="A8020" s="184"/>
      <c r="B8020" s="184"/>
      <c r="C8020" s="184"/>
      <c r="D8020" s="184"/>
      <c r="E8020" s="184"/>
      <c r="F8020" s="184"/>
      <c r="G8020" s="184"/>
      <c r="H8020" s="184"/>
      <c r="I8020" s="184"/>
      <c r="J8020" s="184"/>
      <c r="K8020" s="184"/>
      <c r="L8020" s="184"/>
      <c r="M8020" s="184"/>
      <c r="N8020" s="184"/>
      <c r="O8020" s="184"/>
    </row>
    <row r="8021" customFormat="false" ht="15" hidden="false" customHeight="true" outlineLevel="0" collapsed="false">
      <c r="A8021" s="184"/>
      <c r="B8021" s="184"/>
      <c r="C8021" s="184"/>
      <c r="D8021" s="184"/>
      <c r="E8021" s="184"/>
      <c r="F8021" s="184"/>
      <c r="G8021" s="184"/>
      <c r="H8021" s="184"/>
      <c r="I8021" s="184"/>
      <c r="J8021" s="184"/>
      <c r="K8021" s="184"/>
      <c r="L8021" s="184"/>
      <c r="M8021" s="184"/>
      <c r="N8021" s="184"/>
      <c r="O8021" s="184"/>
    </row>
    <row r="8022" customFormat="false" ht="15" hidden="false" customHeight="true" outlineLevel="0" collapsed="false">
      <c r="A8022" s="184"/>
      <c r="B8022" s="184"/>
      <c r="C8022" s="184"/>
      <c r="D8022" s="184"/>
      <c r="E8022" s="184"/>
      <c r="F8022" s="184"/>
      <c r="G8022" s="184"/>
      <c r="H8022" s="184"/>
      <c r="I8022" s="184"/>
      <c r="J8022" s="184"/>
      <c r="K8022" s="184"/>
      <c r="L8022" s="184"/>
      <c r="M8022" s="184"/>
      <c r="N8022" s="184"/>
      <c r="O8022" s="184"/>
    </row>
    <row r="8023" customFormat="false" ht="15" hidden="false" customHeight="true" outlineLevel="0" collapsed="false">
      <c r="A8023" s="184"/>
      <c r="B8023" s="184"/>
      <c r="C8023" s="184"/>
      <c r="D8023" s="184"/>
      <c r="E8023" s="184"/>
      <c r="F8023" s="184"/>
      <c r="G8023" s="184"/>
      <c r="H8023" s="184"/>
      <c r="I8023" s="184"/>
      <c r="J8023" s="184"/>
      <c r="K8023" s="184"/>
      <c r="L8023" s="184"/>
      <c r="M8023" s="184"/>
      <c r="N8023" s="184"/>
      <c r="O8023" s="184"/>
    </row>
    <row r="8024" customFormat="false" ht="15" hidden="false" customHeight="true" outlineLevel="0" collapsed="false">
      <c r="A8024" s="184"/>
      <c r="B8024" s="184"/>
      <c r="C8024" s="184"/>
      <c r="D8024" s="184"/>
      <c r="E8024" s="184"/>
      <c r="F8024" s="184"/>
      <c r="G8024" s="184"/>
      <c r="H8024" s="184"/>
      <c r="I8024" s="184"/>
      <c r="J8024" s="184"/>
      <c r="K8024" s="184"/>
      <c r="L8024" s="184"/>
      <c r="M8024" s="184"/>
      <c r="N8024" s="184"/>
      <c r="O8024" s="184"/>
    </row>
    <row r="8025" customFormat="false" ht="15" hidden="false" customHeight="true" outlineLevel="0" collapsed="false">
      <c r="A8025" s="184"/>
      <c r="B8025" s="184"/>
      <c r="C8025" s="184"/>
      <c r="D8025" s="184"/>
      <c r="E8025" s="184"/>
      <c r="F8025" s="184"/>
      <c r="G8025" s="184"/>
      <c r="H8025" s="184"/>
      <c r="I8025" s="184"/>
      <c r="J8025" s="184"/>
      <c r="K8025" s="184"/>
      <c r="L8025" s="184"/>
      <c r="M8025" s="184"/>
      <c r="N8025" s="184"/>
      <c r="O8025" s="184"/>
    </row>
    <row r="8026" customFormat="false" ht="15" hidden="false" customHeight="true" outlineLevel="0" collapsed="false">
      <c r="A8026" s="184"/>
      <c r="B8026" s="184"/>
      <c r="C8026" s="184"/>
      <c r="D8026" s="184"/>
      <c r="E8026" s="184"/>
      <c r="F8026" s="184"/>
      <c r="G8026" s="184"/>
      <c r="H8026" s="184"/>
      <c r="I8026" s="184"/>
      <c r="J8026" s="184"/>
      <c r="K8026" s="184"/>
      <c r="L8026" s="184"/>
      <c r="M8026" s="184"/>
      <c r="N8026" s="184"/>
      <c r="O8026" s="184"/>
    </row>
    <row r="8027" customFormat="false" ht="15" hidden="false" customHeight="true" outlineLevel="0" collapsed="false">
      <c r="A8027" s="184"/>
      <c r="B8027" s="184"/>
      <c r="C8027" s="184"/>
      <c r="D8027" s="184"/>
      <c r="E8027" s="184"/>
      <c r="F8027" s="184"/>
      <c r="G8027" s="184"/>
      <c r="H8027" s="184"/>
      <c r="I8027" s="184"/>
      <c r="J8027" s="184"/>
      <c r="K8027" s="184"/>
      <c r="L8027" s="184"/>
      <c r="M8027" s="184"/>
      <c r="N8027" s="184"/>
      <c r="O8027" s="184"/>
    </row>
    <row r="8028" customFormat="false" ht="15" hidden="false" customHeight="true" outlineLevel="0" collapsed="false">
      <c r="A8028" s="184"/>
      <c r="B8028" s="184"/>
      <c r="C8028" s="184"/>
      <c r="D8028" s="184"/>
      <c r="E8028" s="184"/>
      <c r="F8028" s="184"/>
      <c r="G8028" s="184"/>
      <c r="H8028" s="184"/>
      <c r="I8028" s="184"/>
      <c r="J8028" s="184"/>
      <c r="K8028" s="184"/>
      <c r="L8028" s="184"/>
      <c r="M8028" s="184"/>
      <c r="N8028" s="184"/>
      <c r="O8028" s="184"/>
    </row>
    <row r="8029" customFormat="false" ht="15" hidden="false" customHeight="true" outlineLevel="0" collapsed="false">
      <c r="A8029" s="184"/>
      <c r="B8029" s="184"/>
      <c r="C8029" s="184"/>
      <c r="D8029" s="184"/>
      <c r="E8029" s="184"/>
      <c r="F8029" s="184"/>
      <c r="G8029" s="184"/>
      <c r="H8029" s="184"/>
      <c r="I8029" s="184"/>
      <c r="J8029" s="184"/>
      <c r="K8029" s="184"/>
      <c r="L8029" s="184"/>
      <c r="M8029" s="184"/>
      <c r="N8029" s="184"/>
      <c r="O8029" s="184"/>
    </row>
    <row r="8030" customFormat="false" ht="15" hidden="false" customHeight="true" outlineLevel="0" collapsed="false">
      <c r="A8030" s="184"/>
      <c r="B8030" s="184"/>
      <c r="C8030" s="184"/>
      <c r="D8030" s="184"/>
      <c r="E8030" s="184"/>
      <c r="F8030" s="184"/>
      <c r="G8030" s="184"/>
      <c r="H8030" s="184"/>
      <c r="I8030" s="184"/>
      <c r="J8030" s="184"/>
      <c r="K8030" s="184"/>
      <c r="L8030" s="184"/>
      <c r="M8030" s="184"/>
      <c r="N8030" s="184"/>
      <c r="O8030" s="184"/>
    </row>
    <row r="8031" customFormat="false" ht="15" hidden="false" customHeight="true" outlineLevel="0" collapsed="false">
      <c r="A8031" s="184"/>
      <c r="B8031" s="184"/>
      <c r="C8031" s="184"/>
      <c r="D8031" s="184"/>
      <c r="E8031" s="184"/>
      <c r="F8031" s="184"/>
      <c r="G8031" s="184"/>
      <c r="H8031" s="184"/>
      <c r="I8031" s="184"/>
      <c r="J8031" s="184"/>
      <c r="K8031" s="184"/>
      <c r="L8031" s="184"/>
      <c r="M8031" s="184"/>
      <c r="N8031" s="184"/>
      <c r="O8031" s="184"/>
    </row>
    <row r="8032" customFormat="false" ht="15" hidden="false" customHeight="true" outlineLevel="0" collapsed="false">
      <c r="A8032" s="184"/>
      <c r="B8032" s="184"/>
      <c r="C8032" s="184"/>
      <c r="D8032" s="184"/>
      <c r="E8032" s="184"/>
      <c r="F8032" s="184"/>
      <c r="G8032" s="184"/>
      <c r="H8032" s="184"/>
      <c r="I8032" s="184"/>
      <c r="J8032" s="184"/>
      <c r="K8032" s="184"/>
      <c r="L8032" s="184"/>
      <c r="M8032" s="184"/>
      <c r="N8032" s="184"/>
      <c r="O8032" s="184"/>
    </row>
    <row r="8033" customFormat="false" ht="15" hidden="false" customHeight="true" outlineLevel="0" collapsed="false">
      <c r="A8033" s="184"/>
      <c r="B8033" s="184"/>
      <c r="C8033" s="184"/>
      <c r="D8033" s="184"/>
      <c r="E8033" s="184"/>
      <c r="F8033" s="184"/>
      <c r="G8033" s="184"/>
      <c r="H8033" s="184"/>
      <c r="I8033" s="184"/>
      <c r="J8033" s="184"/>
      <c r="K8033" s="184"/>
      <c r="L8033" s="184"/>
      <c r="M8033" s="184"/>
      <c r="N8033" s="184"/>
      <c r="O8033" s="184"/>
    </row>
    <row r="8034" customFormat="false" ht="15" hidden="false" customHeight="true" outlineLevel="0" collapsed="false">
      <c r="A8034" s="184"/>
      <c r="B8034" s="184"/>
      <c r="C8034" s="184"/>
      <c r="D8034" s="184"/>
      <c r="E8034" s="184"/>
      <c r="F8034" s="184"/>
      <c r="G8034" s="184"/>
      <c r="H8034" s="184"/>
      <c r="I8034" s="184"/>
      <c r="J8034" s="184"/>
      <c r="K8034" s="184"/>
      <c r="L8034" s="184"/>
      <c r="M8034" s="184"/>
      <c r="N8034" s="184"/>
      <c r="O8034" s="184"/>
    </row>
    <row r="8035" customFormat="false" ht="15" hidden="false" customHeight="true" outlineLevel="0" collapsed="false">
      <c r="A8035" s="184"/>
      <c r="B8035" s="184"/>
      <c r="C8035" s="184"/>
      <c r="D8035" s="184"/>
      <c r="E8035" s="184"/>
      <c r="F8035" s="184"/>
      <c r="G8035" s="184"/>
      <c r="H8035" s="184"/>
      <c r="I8035" s="184"/>
      <c r="J8035" s="184"/>
      <c r="K8035" s="184"/>
      <c r="L8035" s="184"/>
      <c r="M8035" s="184"/>
      <c r="N8035" s="184"/>
      <c r="O8035" s="184"/>
    </row>
    <row r="8036" customFormat="false" ht="15" hidden="false" customHeight="true" outlineLevel="0" collapsed="false">
      <c r="A8036" s="184"/>
      <c r="B8036" s="184"/>
      <c r="C8036" s="184"/>
      <c r="D8036" s="184"/>
      <c r="E8036" s="184"/>
      <c r="F8036" s="184"/>
      <c r="G8036" s="184"/>
      <c r="H8036" s="184"/>
      <c r="I8036" s="184"/>
      <c r="J8036" s="184"/>
      <c r="K8036" s="184"/>
      <c r="L8036" s="184"/>
      <c r="M8036" s="184"/>
      <c r="N8036" s="184"/>
      <c r="O8036" s="184"/>
    </row>
    <row r="8037" customFormat="false" ht="15" hidden="false" customHeight="true" outlineLevel="0" collapsed="false">
      <c r="A8037" s="184"/>
      <c r="B8037" s="184"/>
      <c r="C8037" s="184"/>
      <c r="D8037" s="184"/>
      <c r="E8037" s="184"/>
      <c r="F8037" s="184"/>
      <c r="G8037" s="184"/>
      <c r="H8037" s="184"/>
      <c r="I8037" s="184"/>
      <c r="J8037" s="184"/>
      <c r="K8037" s="184"/>
      <c r="L8037" s="184"/>
      <c r="M8037" s="184"/>
      <c r="N8037" s="184"/>
      <c r="O8037" s="184"/>
    </row>
    <row r="8038" customFormat="false" ht="15" hidden="false" customHeight="true" outlineLevel="0" collapsed="false">
      <c r="A8038" s="184"/>
      <c r="B8038" s="184"/>
      <c r="C8038" s="184"/>
      <c r="D8038" s="184"/>
      <c r="E8038" s="184"/>
      <c r="F8038" s="184"/>
      <c r="G8038" s="184"/>
      <c r="H8038" s="184"/>
      <c r="I8038" s="184"/>
      <c r="J8038" s="184"/>
      <c r="K8038" s="184"/>
      <c r="L8038" s="184"/>
      <c r="M8038" s="184"/>
      <c r="N8038" s="184"/>
      <c r="O8038" s="184"/>
    </row>
    <row r="8039" customFormat="false" ht="15" hidden="false" customHeight="true" outlineLevel="0" collapsed="false">
      <c r="A8039" s="184"/>
      <c r="B8039" s="184"/>
      <c r="C8039" s="184"/>
      <c r="D8039" s="184"/>
      <c r="E8039" s="184"/>
      <c r="F8039" s="184"/>
      <c r="G8039" s="184"/>
      <c r="H8039" s="184"/>
      <c r="I8039" s="184"/>
      <c r="J8039" s="184"/>
      <c r="K8039" s="184"/>
      <c r="L8039" s="184"/>
      <c r="M8039" s="184"/>
      <c r="N8039" s="184"/>
      <c r="O8039" s="184"/>
    </row>
    <row r="8040" customFormat="false" ht="15" hidden="false" customHeight="true" outlineLevel="0" collapsed="false">
      <c r="A8040" s="184"/>
      <c r="B8040" s="184"/>
      <c r="C8040" s="184"/>
      <c r="D8040" s="184"/>
      <c r="E8040" s="184"/>
      <c r="F8040" s="184"/>
      <c r="G8040" s="184"/>
      <c r="H8040" s="184"/>
      <c r="I8040" s="184"/>
      <c r="J8040" s="184"/>
      <c r="K8040" s="184"/>
      <c r="L8040" s="184"/>
      <c r="M8040" s="184"/>
      <c r="N8040" s="184"/>
      <c r="O8040" s="184"/>
    </row>
    <row r="8041" customFormat="false" ht="15" hidden="false" customHeight="true" outlineLevel="0" collapsed="false">
      <c r="A8041" s="184"/>
      <c r="B8041" s="184"/>
      <c r="C8041" s="184"/>
      <c r="D8041" s="184"/>
      <c r="E8041" s="184"/>
      <c r="F8041" s="184"/>
      <c r="G8041" s="184"/>
      <c r="H8041" s="184"/>
      <c r="I8041" s="184"/>
      <c r="J8041" s="184"/>
      <c r="K8041" s="184"/>
      <c r="L8041" s="184"/>
      <c r="M8041" s="184"/>
      <c r="N8041" s="184"/>
      <c r="O8041" s="184"/>
    </row>
    <row r="8042" customFormat="false" ht="15" hidden="false" customHeight="true" outlineLevel="0" collapsed="false">
      <c r="A8042" s="184"/>
      <c r="B8042" s="184"/>
      <c r="C8042" s="184"/>
      <c r="D8042" s="184"/>
      <c r="E8042" s="184"/>
      <c r="F8042" s="184"/>
      <c r="G8042" s="184"/>
      <c r="H8042" s="184"/>
      <c r="I8042" s="184"/>
      <c r="J8042" s="184"/>
      <c r="K8042" s="184"/>
      <c r="L8042" s="184"/>
      <c r="M8042" s="184"/>
      <c r="N8042" s="184"/>
      <c r="O8042" s="184"/>
    </row>
    <row r="8043" customFormat="false" ht="15" hidden="false" customHeight="true" outlineLevel="0" collapsed="false">
      <c r="A8043" s="184"/>
      <c r="B8043" s="184"/>
      <c r="C8043" s="184"/>
      <c r="D8043" s="184"/>
      <c r="E8043" s="184"/>
      <c r="F8043" s="184"/>
      <c r="G8043" s="184"/>
      <c r="H8043" s="184"/>
      <c r="I8043" s="184"/>
      <c r="J8043" s="184"/>
      <c r="K8043" s="184"/>
      <c r="L8043" s="184"/>
      <c r="M8043" s="184"/>
      <c r="N8043" s="184"/>
      <c r="O8043" s="184"/>
    </row>
    <row r="8044" customFormat="false" ht="15" hidden="false" customHeight="true" outlineLevel="0" collapsed="false">
      <c r="A8044" s="184"/>
      <c r="B8044" s="184"/>
      <c r="C8044" s="184"/>
      <c r="D8044" s="184"/>
      <c r="E8044" s="184"/>
      <c r="F8044" s="184"/>
      <c r="G8044" s="184"/>
      <c r="H8044" s="184"/>
      <c r="I8044" s="184"/>
      <c r="J8044" s="184"/>
      <c r="K8044" s="184"/>
      <c r="L8044" s="184"/>
      <c r="M8044" s="184"/>
      <c r="N8044" s="184"/>
      <c r="O8044" s="184"/>
    </row>
    <row r="8045" customFormat="false" ht="15" hidden="false" customHeight="true" outlineLevel="0" collapsed="false">
      <c r="A8045" s="184"/>
      <c r="B8045" s="184"/>
      <c r="C8045" s="184"/>
      <c r="D8045" s="184"/>
      <c r="E8045" s="184"/>
      <c r="F8045" s="184"/>
      <c r="G8045" s="184"/>
      <c r="H8045" s="184"/>
      <c r="I8045" s="184"/>
      <c r="J8045" s="184"/>
      <c r="K8045" s="184"/>
      <c r="L8045" s="184"/>
      <c r="M8045" s="184"/>
      <c r="N8045" s="184"/>
      <c r="O8045" s="184"/>
    </row>
    <row r="8046" customFormat="false" ht="15" hidden="false" customHeight="true" outlineLevel="0" collapsed="false">
      <c r="A8046" s="184"/>
      <c r="B8046" s="184"/>
      <c r="C8046" s="184"/>
      <c r="D8046" s="184"/>
      <c r="E8046" s="184"/>
      <c r="F8046" s="184"/>
      <c r="G8046" s="184"/>
      <c r="H8046" s="184"/>
      <c r="I8046" s="184"/>
      <c r="J8046" s="184"/>
      <c r="K8046" s="184"/>
      <c r="L8046" s="184"/>
      <c r="M8046" s="184"/>
      <c r="N8046" s="184"/>
      <c r="O8046" s="184"/>
    </row>
    <row r="8047" customFormat="false" ht="15" hidden="false" customHeight="true" outlineLevel="0" collapsed="false">
      <c r="A8047" s="184"/>
      <c r="B8047" s="184"/>
      <c r="C8047" s="184"/>
      <c r="D8047" s="184"/>
      <c r="E8047" s="184"/>
      <c r="F8047" s="184"/>
      <c r="G8047" s="184"/>
      <c r="H8047" s="184"/>
      <c r="I8047" s="184"/>
      <c r="J8047" s="184"/>
      <c r="K8047" s="184"/>
      <c r="L8047" s="184"/>
      <c r="M8047" s="184"/>
      <c r="N8047" s="184"/>
      <c r="O8047" s="184"/>
    </row>
    <row r="8048" customFormat="false" ht="15" hidden="false" customHeight="true" outlineLevel="0" collapsed="false">
      <c r="A8048" s="184"/>
      <c r="B8048" s="184"/>
      <c r="C8048" s="184"/>
      <c r="D8048" s="184"/>
      <c r="E8048" s="184"/>
      <c r="F8048" s="184"/>
      <c r="G8048" s="184"/>
      <c r="H8048" s="184"/>
      <c r="I8048" s="184"/>
      <c r="J8048" s="184"/>
      <c r="K8048" s="184"/>
      <c r="L8048" s="184"/>
      <c r="M8048" s="184"/>
      <c r="N8048" s="184"/>
      <c r="O8048" s="184"/>
    </row>
    <row r="8049" customFormat="false" ht="15" hidden="false" customHeight="true" outlineLevel="0" collapsed="false">
      <c r="A8049" s="184"/>
      <c r="B8049" s="184"/>
      <c r="C8049" s="184"/>
      <c r="D8049" s="184"/>
      <c r="E8049" s="184"/>
      <c r="F8049" s="184"/>
      <c r="G8049" s="184"/>
      <c r="H8049" s="184"/>
      <c r="I8049" s="184"/>
      <c r="J8049" s="184"/>
      <c r="K8049" s="184"/>
      <c r="L8049" s="184"/>
      <c r="M8049" s="184"/>
      <c r="N8049" s="184"/>
      <c r="O8049" s="184"/>
    </row>
    <row r="8050" customFormat="false" ht="15" hidden="false" customHeight="true" outlineLevel="0" collapsed="false">
      <c r="A8050" s="184"/>
      <c r="B8050" s="184"/>
      <c r="C8050" s="184"/>
      <c r="D8050" s="184"/>
      <c r="E8050" s="184"/>
      <c r="F8050" s="184"/>
      <c r="G8050" s="184"/>
      <c r="H8050" s="184"/>
      <c r="I8050" s="184"/>
      <c r="J8050" s="184"/>
      <c r="K8050" s="184"/>
      <c r="L8050" s="184"/>
      <c r="M8050" s="184"/>
      <c r="N8050" s="184"/>
      <c r="O8050" s="184"/>
    </row>
    <row r="8051" customFormat="false" ht="15" hidden="false" customHeight="true" outlineLevel="0" collapsed="false">
      <c r="A8051" s="184"/>
      <c r="B8051" s="184"/>
      <c r="C8051" s="184"/>
      <c r="D8051" s="184"/>
      <c r="E8051" s="184"/>
      <c r="F8051" s="184"/>
      <c r="G8051" s="184"/>
      <c r="H8051" s="184"/>
      <c r="I8051" s="184"/>
      <c r="J8051" s="184"/>
      <c r="K8051" s="184"/>
      <c r="L8051" s="184"/>
      <c r="M8051" s="184"/>
      <c r="N8051" s="184"/>
      <c r="O8051" s="184"/>
    </row>
    <row r="8052" customFormat="false" ht="15" hidden="false" customHeight="true" outlineLevel="0" collapsed="false">
      <c r="A8052" s="184"/>
      <c r="B8052" s="184"/>
      <c r="C8052" s="184"/>
      <c r="D8052" s="184"/>
      <c r="E8052" s="184"/>
      <c r="F8052" s="184"/>
      <c r="G8052" s="184"/>
      <c r="H8052" s="184"/>
      <c r="I8052" s="184"/>
      <c r="J8052" s="184"/>
      <c r="K8052" s="184"/>
      <c r="L8052" s="184"/>
      <c r="M8052" s="184"/>
      <c r="N8052" s="184"/>
      <c r="O8052" s="184"/>
    </row>
    <row r="8053" customFormat="false" ht="15" hidden="false" customHeight="true" outlineLevel="0" collapsed="false">
      <c r="A8053" s="184"/>
      <c r="B8053" s="184"/>
      <c r="C8053" s="184"/>
      <c r="D8053" s="184"/>
      <c r="E8053" s="184"/>
      <c r="F8053" s="184"/>
      <c r="G8053" s="184"/>
      <c r="H8053" s="184"/>
      <c r="I8053" s="184"/>
      <c r="J8053" s="184"/>
      <c r="K8053" s="184"/>
      <c r="L8053" s="184"/>
      <c r="M8053" s="184"/>
      <c r="N8053" s="184"/>
      <c r="O8053" s="184"/>
    </row>
    <row r="8054" customFormat="false" ht="15" hidden="false" customHeight="true" outlineLevel="0" collapsed="false">
      <c r="A8054" s="184"/>
      <c r="B8054" s="184"/>
      <c r="C8054" s="184"/>
      <c r="D8054" s="184"/>
      <c r="E8054" s="184"/>
      <c r="F8054" s="184"/>
      <c r="G8054" s="184"/>
      <c r="H8054" s="184"/>
      <c r="I8054" s="184"/>
      <c r="J8054" s="184"/>
      <c r="K8054" s="184"/>
      <c r="L8054" s="184"/>
      <c r="M8054" s="184"/>
      <c r="N8054" s="184"/>
      <c r="O8054" s="184"/>
    </row>
    <row r="8055" customFormat="false" ht="15" hidden="false" customHeight="true" outlineLevel="0" collapsed="false">
      <c r="A8055" s="184"/>
      <c r="B8055" s="184"/>
      <c r="C8055" s="184"/>
      <c r="D8055" s="184"/>
      <c r="E8055" s="184"/>
      <c r="F8055" s="184"/>
      <c r="G8055" s="184"/>
      <c r="H8055" s="184"/>
      <c r="I8055" s="184"/>
      <c r="J8055" s="184"/>
      <c r="K8055" s="184"/>
      <c r="L8055" s="184"/>
      <c r="M8055" s="184"/>
      <c r="N8055" s="184"/>
      <c r="O8055" s="184"/>
    </row>
    <row r="8056" customFormat="false" ht="15" hidden="false" customHeight="true" outlineLevel="0" collapsed="false">
      <c r="A8056" s="184"/>
      <c r="B8056" s="184"/>
      <c r="C8056" s="184"/>
      <c r="D8056" s="184"/>
      <c r="E8056" s="184"/>
      <c r="F8056" s="184"/>
      <c r="G8056" s="184"/>
      <c r="H8056" s="184"/>
      <c r="I8056" s="184"/>
      <c r="J8056" s="184"/>
      <c r="K8056" s="184"/>
      <c r="L8056" s="184"/>
      <c r="M8056" s="184"/>
      <c r="N8056" s="184"/>
      <c r="O8056" s="184"/>
    </row>
    <row r="8057" customFormat="false" ht="15" hidden="false" customHeight="true" outlineLevel="0" collapsed="false">
      <c r="A8057" s="184"/>
      <c r="B8057" s="184"/>
      <c r="C8057" s="184"/>
      <c r="D8057" s="184"/>
      <c r="E8057" s="184"/>
      <c r="F8057" s="184"/>
      <c r="G8057" s="184"/>
      <c r="H8057" s="184"/>
      <c r="I8057" s="184"/>
      <c r="J8057" s="184"/>
      <c r="K8057" s="184"/>
      <c r="L8057" s="184"/>
      <c r="M8057" s="184"/>
      <c r="N8057" s="184"/>
      <c r="O8057" s="184"/>
    </row>
    <row r="8058" customFormat="false" ht="15" hidden="false" customHeight="true" outlineLevel="0" collapsed="false">
      <c r="A8058" s="184"/>
      <c r="B8058" s="184"/>
      <c r="C8058" s="184"/>
      <c r="D8058" s="184"/>
      <c r="E8058" s="184"/>
      <c r="F8058" s="184"/>
      <c r="G8058" s="184"/>
      <c r="H8058" s="184"/>
      <c r="I8058" s="184"/>
      <c r="J8058" s="184"/>
      <c r="K8058" s="184"/>
      <c r="L8058" s="184"/>
      <c r="M8058" s="184"/>
      <c r="N8058" s="184"/>
      <c r="O8058" s="184"/>
    </row>
    <row r="8059" customFormat="false" ht="15" hidden="false" customHeight="true" outlineLevel="0" collapsed="false">
      <c r="A8059" s="184"/>
      <c r="B8059" s="184"/>
      <c r="C8059" s="184"/>
      <c r="D8059" s="184"/>
      <c r="E8059" s="184"/>
      <c r="F8059" s="184"/>
      <c r="G8059" s="184"/>
      <c r="H8059" s="184"/>
      <c r="I8059" s="184"/>
      <c r="J8059" s="184"/>
      <c r="K8059" s="184"/>
      <c r="L8059" s="184"/>
      <c r="M8059" s="184"/>
      <c r="N8059" s="184"/>
      <c r="O8059" s="184"/>
    </row>
    <row r="8060" customFormat="false" ht="15" hidden="false" customHeight="true" outlineLevel="0" collapsed="false">
      <c r="A8060" s="184"/>
      <c r="B8060" s="184"/>
      <c r="C8060" s="184"/>
      <c r="D8060" s="184"/>
      <c r="E8060" s="184"/>
      <c r="F8060" s="184"/>
      <c r="G8060" s="184"/>
      <c r="H8060" s="184"/>
      <c r="I8060" s="184"/>
      <c r="J8060" s="184"/>
      <c r="K8060" s="184"/>
      <c r="L8060" s="184"/>
      <c r="M8060" s="184"/>
      <c r="N8060" s="184"/>
      <c r="O8060" s="184"/>
    </row>
    <row r="8061" customFormat="false" ht="15" hidden="false" customHeight="true" outlineLevel="0" collapsed="false">
      <c r="A8061" s="184"/>
      <c r="B8061" s="184"/>
      <c r="C8061" s="184"/>
      <c r="D8061" s="184"/>
      <c r="E8061" s="184"/>
      <c r="F8061" s="184"/>
      <c r="G8061" s="184"/>
      <c r="H8061" s="184"/>
      <c r="I8061" s="184"/>
      <c r="J8061" s="184"/>
      <c r="K8061" s="184"/>
      <c r="L8061" s="184"/>
      <c r="M8061" s="184"/>
      <c r="N8061" s="184"/>
      <c r="O8061" s="184"/>
    </row>
    <row r="8062" customFormat="false" ht="15" hidden="false" customHeight="true" outlineLevel="0" collapsed="false">
      <c r="A8062" s="184"/>
      <c r="B8062" s="184"/>
      <c r="C8062" s="184"/>
      <c r="D8062" s="184"/>
      <c r="E8062" s="184"/>
      <c r="F8062" s="184"/>
      <c r="G8062" s="184"/>
      <c r="H8062" s="184"/>
      <c r="I8062" s="184"/>
      <c r="J8062" s="184"/>
      <c r="K8062" s="184"/>
      <c r="L8062" s="184"/>
      <c r="M8062" s="184"/>
      <c r="N8062" s="184"/>
      <c r="O8062" s="184"/>
    </row>
    <row r="8063" customFormat="false" ht="15" hidden="false" customHeight="true" outlineLevel="0" collapsed="false">
      <c r="A8063" s="184"/>
      <c r="B8063" s="184"/>
      <c r="C8063" s="184"/>
      <c r="D8063" s="184"/>
      <c r="E8063" s="184"/>
      <c r="F8063" s="184"/>
      <c r="G8063" s="184"/>
      <c r="H8063" s="184"/>
      <c r="I8063" s="184"/>
      <c r="J8063" s="184"/>
      <c r="K8063" s="184"/>
      <c r="L8063" s="184"/>
      <c r="M8063" s="184"/>
      <c r="N8063" s="184"/>
      <c r="O8063" s="184"/>
    </row>
    <row r="8064" customFormat="false" ht="15" hidden="false" customHeight="true" outlineLevel="0" collapsed="false">
      <c r="A8064" s="184"/>
      <c r="B8064" s="184"/>
      <c r="C8064" s="184"/>
      <c r="D8064" s="184"/>
      <c r="E8064" s="184"/>
      <c r="F8064" s="184"/>
      <c r="G8064" s="184"/>
      <c r="H8064" s="184"/>
      <c r="I8064" s="184"/>
      <c r="J8064" s="184"/>
      <c r="K8064" s="184"/>
      <c r="L8064" s="184"/>
      <c r="M8064" s="184"/>
      <c r="N8064" s="184"/>
      <c r="O8064" s="184"/>
    </row>
    <row r="8065" customFormat="false" ht="15" hidden="false" customHeight="true" outlineLevel="0" collapsed="false">
      <c r="A8065" s="184"/>
      <c r="B8065" s="184"/>
      <c r="C8065" s="184"/>
      <c r="D8065" s="184"/>
      <c r="E8065" s="184"/>
      <c r="F8065" s="184"/>
      <c r="G8065" s="184"/>
      <c r="H8065" s="184"/>
      <c r="I8065" s="184"/>
      <c r="J8065" s="184"/>
      <c r="K8065" s="184"/>
      <c r="L8065" s="184"/>
      <c r="M8065" s="184"/>
      <c r="N8065" s="184"/>
      <c r="O8065" s="184"/>
    </row>
    <row r="8066" customFormat="false" ht="15" hidden="false" customHeight="true" outlineLevel="0" collapsed="false">
      <c r="A8066" s="184"/>
      <c r="B8066" s="184"/>
      <c r="C8066" s="184"/>
      <c r="D8066" s="184"/>
      <c r="E8066" s="184"/>
      <c r="F8066" s="184"/>
      <c r="G8066" s="184"/>
      <c r="H8066" s="184"/>
      <c r="I8066" s="184"/>
      <c r="J8066" s="184"/>
      <c r="K8066" s="184"/>
      <c r="L8066" s="184"/>
      <c r="M8066" s="184"/>
      <c r="N8066" s="184"/>
      <c r="O8066" s="184"/>
    </row>
    <row r="8067" customFormat="false" ht="15" hidden="false" customHeight="true" outlineLevel="0" collapsed="false">
      <c r="A8067" s="184"/>
      <c r="B8067" s="184"/>
      <c r="C8067" s="184"/>
      <c r="D8067" s="184"/>
      <c r="E8067" s="184"/>
      <c r="F8067" s="184"/>
      <c r="G8067" s="184"/>
      <c r="H8067" s="184"/>
      <c r="I8067" s="184"/>
      <c r="J8067" s="184"/>
      <c r="K8067" s="184"/>
      <c r="L8067" s="184"/>
      <c r="M8067" s="184"/>
      <c r="N8067" s="184"/>
      <c r="O8067" s="184"/>
    </row>
    <row r="8068" customFormat="false" ht="15" hidden="false" customHeight="true" outlineLevel="0" collapsed="false">
      <c r="A8068" s="184"/>
      <c r="B8068" s="184"/>
      <c r="C8068" s="184"/>
      <c r="D8068" s="184"/>
      <c r="E8068" s="184"/>
      <c r="F8068" s="184"/>
      <c r="G8068" s="184"/>
      <c r="H8068" s="184"/>
      <c r="I8068" s="184"/>
      <c r="J8068" s="184"/>
      <c r="K8068" s="184"/>
      <c r="L8068" s="184"/>
      <c r="M8068" s="184"/>
      <c r="N8068" s="184"/>
      <c r="O8068" s="184"/>
    </row>
    <row r="8069" customFormat="false" ht="15" hidden="false" customHeight="true" outlineLevel="0" collapsed="false">
      <c r="A8069" s="184"/>
      <c r="B8069" s="184"/>
      <c r="C8069" s="184"/>
      <c r="D8069" s="184"/>
      <c r="E8069" s="184"/>
      <c r="F8069" s="184"/>
      <c r="G8069" s="184"/>
      <c r="H8069" s="184"/>
      <c r="I8069" s="184"/>
      <c r="J8069" s="184"/>
      <c r="K8069" s="184"/>
      <c r="L8069" s="184"/>
      <c r="M8069" s="184"/>
      <c r="N8069" s="184"/>
      <c r="O8069" s="184"/>
    </row>
    <row r="8070" customFormat="false" ht="15" hidden="false" customHeight="true" outlineLevel="0" collapsed="false">
      <c r="A8070" s="184"/>
      <c r="B8070" s="184"/>
      <c r="C8070" s="184"/>
      <c r="D8070" s="184"/>
      <c r="E8070" s="184"/>
      <c r="F8070" s="184"/>
      <c r="G8070" s="184"/>
      <c r="H8070" s="184"/>
      <c r="I8070" s="184"/>
      <c r="J8070" s="184"/>
      <c r="K8070" s="184"/>
      <c r="L8070" s="184"/>
      <c r="M8070" s="184"/>
      <c r="N8070" s="184"/>
      <c r="O8070" s="184"/>
    </row>
    <row r="8071" customFormat="false" ht="15" hidden="false" customHeight="true" outlineLevel="0" collapsed="false">
      <c r="A8071" s="184"/>
      <c r="B8071" s="184"/>
      <c r="C8071" s="184"/>
      <c r="D8071" s="184"/>
      <c r="E8071" s="184"/>
      <c r="F8071" s="184"/>
      <c r="G8071" s="184"/>
      <c r="H8071" s="184"/>
      <c r="I8071" s="184"/>
      <c r="J8071" s="184"/>
      <c r="K8071" s="184"/>
      <c r="L8071" s="184"/>
      <c r="M8071" s="184"/>
      <c r="N8071" s="184"/>
      <c r="O8071" s="184"/>
    </row>
    <row r="8072" customFormat="false" ht="15" hidden="false" customHeight="true" outlineLevel="0" collapsed="false">
      <c r="A8072" s="184"/>
      <c r="B8072" s="184"/>
      <c r="C8072" s="184"/>
      <c r="D8072" s="184"/>
      <c r="E8072" s="184"/>
      <c r="F8072" s="184"/>
      <c r="G8072" s="184"/>
      <c r="H8072" s="184"/>
      <c r="I8072" s="184"/>
      <c r="J8072" s="184"/>
      <c r="K8072" s="184"/>
      <c r="L8072" s="184"/>
      <c r="M8072" s="184"/>
      <c r="N8072" s="184"/>
      <c r="O8072" s="184"/>
    </row>
    <row r="8073" customFormat="false" ht="15" hidden="false" customHeight="true" outlineLevel="0" collapsed="false">
      <c r="A8073" s="184"/>
      <c r="B8073" s="184"/>
      <c r="C8073" s="184"/>
      <c r="D8073" s="184"/>
      <c r="E8073" s="184"/>
      <c r="F8073" s="184"/>
      <c r="G8073" s="184"/>
      <c r="H8073" s="184"/>
      <c r="I8073" s="184"/>
      <c r="J8073" s="184"/>
      <c r="K8073" s="184"/>
      <c r="L8073" s="184"/>
      <c r="M8073" s="184"/>
      <c r="N8073" s="184"/>
      <c r="O8073" s="184"/>
    </row>
    <row r="8074" customFormat="false" ht="15" hidden="false" customHeight="true" outlineLevel="0" collapsed="false">
      <c r="A8074" s="184"/>
      <c r="B8074" s="184"/>
      <c r="C8074" s="184"/>
      <c r="D8074" s="184"/>
      <c r="E8074" s="184"/>
      <c r="F8074" s="184"/>
      <c r="G8074" s="184"/>
      <c r="H8074" s="184"/>
      <c r="I8074" s="184"/>
      <c r="J8074" s="184"/>
      <c r="K8074" s="184"/>
      <c r="L8074" s="184"/>
      <c r="M8074" s="184"/>
      <c r="N8074" s="184"/>
      <c r="O8074" s="184"/>
    </row>
    <row r="8075" customFormat="false" ht="15" hidden="false" customHeight="true" outlineLevel="0" collapsed="false">
      <c r="A8075" s="184"/>
      <c r="B8075" s="184"/>
      <c r="C8075" s="184"/>
      <c r="D8075" s="184"/>
      <c r="E8075" s="184"/>
      <c r="F8075" s="184"/>
      <c r="G8075" s="184"/>
      <c r="H8075" s="184"/>
      <c r="I8075" s="184"/>
      <c r="J8075" s="184"/>
      <c r="K8075" s="184"/>
      <c r="L8075" s="184"/>
      <c r="M8075" s="184"/>
      <c r="N8075" s="184"/>
      <c r="O8075" s="184"/>
    </row>
    <row r="8076" customFormat="false" ht="15" hidden="false" customHeight="true" outlineLevel="0" collapsed="false">
      <c r="A8076" s="184"/>
      <c r="B8076" s="184"/>
      <c r="C8076" s="184"/>
      <c r="D8076" s="184"/>
      <c r="E8076" s="184"/>
      <c r="F8076" s="184"/>
      <c r="G8076" s="184"/>
      <c r="H8076" s="184"/>
      <c r="I8076" s="184"/>
      <c r="J8076" s="184"/>
      <c r="K8076" s="184"/>
      <c r="L8076" s="184"/>
      <c r="M8076" s="184"/>
      <c r="N8076" s="184"/>
      <c r="O8076" s="184"/>
    </row>
    <row r="8077" customFormat="false" ht="15" hidden="false" customHeight="true" outlineLevel="0" collapsed="false">
      <c r="A8077" s="184"/>
      <c r="B8077" s="184"/>
      <c r="C8077" s="184"/>
      <c r="D8077" s="184"/>
      <c r="E8077" s="184"/>
      <c r="F8077" s="184"/>
      <c r="G8077" s="184"/>
      <c r="H8077" s="184"/>
      <c r="I8077" s="184"/>
      <c r="J8077" s="184"/>
      <c r="K8077" s="184"/>
      <c r="L8077" s="184"/>
      <c r="M8077" s="184"/>
      <c r="N8077" s="184"/>
      <c r="O8077" s="184"/>
    </row>
    <row r="8078" customFormat="false" ht="15" hidden="false" customHeight="true" outlineLevel="0" collapsed="false">
      <c r="A8078" s="184"/>
      <c r="B8078" s="184"/>
      <c r="C8078" s="184"/>
      <c r="D8078" s="184"/>
      <c r="E8078" s="184"/>
      <c r="F8078" s="184"/>
      <c r="G8078" s="184"/>
      <c r="H8078" s="184"/>
      <c r="I8078" s="184"/>
      <c r="J8078" s="184"/>
      <c r="K8078" s="184"/>
      <c r="L8078" s="184"/>
      <c r="M8078" s="184"/>
      <c r="N8078" s="184"/>
      <c r="O8078" s="184"/>
    </row>
    <row r="8079" customFormat="false" ht="15" hidden="false" customHeight="true" outlineLevel="0" collapsed="false">
      <c r="A8079" s="184"/>
      <c r="B8079" s="184"/>
      <c r="C8079" s="184"/>
      <c r="D8079" s="184"/>
      <c r="E8079" s="184"/>
      <c r="F8079" s="184"/>
      <c r="G8079" s="184"/>
      <c r="H8079" s="184"/>
      <c r="I8079" s="184"/>
      <c r="J8079" s="184"/>
      <c r="K8079" s="184"/>
      <c r="L8079" s="184"/>
      <c r="M8079" s="184"/>
      <c r="N8079" s="184"/>
      <c r="O8079" s="184"/>
    </row>
    <row r="8080" customFormat="false" ht="15" hidden="false" customHeight="true" outlineLevel="0" collapsed="false">
      <c r="A8080" s="184"/>
      <c r="B8080" s="184"/>
      <c r="C8080" s="184"/>
      <c r="D8080" s="184"/>
      <c r="E8080" s="184"/>
      <c r="F8080" s="184"/>
      <c r="G8080" s="184"/>
      <c r="H8080" s="184"/>
      <c r="I8080" s="184"/>
      <c r="J8080" s="184"/>
      <c r="K8080" s="184"/>
      <c r="L8080" s="184"/>
      <c r="M8080" s="184"/>
      <c r="N8080" s="184"/>
      <c r="O8080" s="184"/>
    </row>
    <row r="8081" customFormat="false" ht="15" hidden="false" customHeight="true" outlineLevel="0" collapsed="false">
      <c r="A8081" s="184"/>
      <c r="B8081" s="184"/>
      <c r="C8081" s="184"/>
      <c r="D8081" s="184"/>
      <c r="E8081" s="184"/>
      <c r="F8081" s="184"/>
      <c r="G8081" s="184"/>
      <c r="H8081" s="184"/>
      <c r="I8081" s="184"/>
      <c r="J8081" s="184"/>
      <c r="K8081" s="184"/>
      <c r="L8081" s="184"/>
      <c r="M8081" s="184"/>
      <c r="N8081" s="184"/>
      <c r="O8081" s="184"/>
    </row>
    <row r="8082" customFormat="false" ht="15" hidden="false" customHeight="true" outlineLevel="0" collapsed="false">
      <c r="A8082" s="184"/>
      <c r="B8082" s="184"/>
      <c r="C8082" s="184"/>
      <c r="D8082" s="184"/>
      <c r="E8082" s="184"/>
      <c r="F8082" s="184"/>
      <c r="G8082" s="184"/>
      <c r="H8082" s="184"/>
      <c r="I8082" s="184"/>
      <c r="J8082" s="184"/>
      <c r="K8082" s="184"/>
      <c r="L8082" s="184"/>
      <c r="M8082" s="184"/>
      <c r="N8082" s="184"/>
      <c r="O8082" s="184"/>
    </row>
    <row r="8083" customFormat="false" ht="15" hidden="false" customHeight="true" outlineLevel="0" collapsed="false">
      <c r="A8083" s="184"/>
      <c r="B8083" s="184"/>
      <c r="C8083" s="184"/>
      <c r="D8083" s="184"/>
      <c r="E8083" s="184"/>
      <c r="F8083" s="184"/>
      <c r="G8083" s="184"/>
      <c r="H8083" s="184"/>
      <c r="I8083" s="184"/>
      <c r="J8083" s="184"/>
      <c r="K8083" s="184"/>
      <c r="L8083" s="184"/>
      <c r="M8083" s="184"/>
      <c r="N8083" s="184"/>
      <c r="O8083" s="184"/>
    </row>
    <row r="8084" customFormat="false" ht="15" hidden="false" customHeight="true" outlineLevel="0" collapsed="false">
      <c r="A8084" s="184"/>
      <c r="B8084" s="184"/>
      <c r="C8084" s="184"/>
      <c r="D8084" s="184"/>
      <c r="E8084" s="184"/>
      <c r="F8084" s="184"/>
      <c r="G8084" s="184"/>
      <c r="H8084" s="184"/>
      <c r="I8084" s="184"/>
      <c r="J8084" s="184"/>
      <c r="K8084" s="184"/>
      <c r="L8084" s="184"/>
      <c r="M8084" s="184"/>
      <c r="N8084" s="184"/>
      <c r="O8084" s="184"/>
    </row>
    <row r="8085" customFormat="false" ht="15" hidden="false" customHeight="true" outlineLevel="0" collapsed="false">
      <c r="A8085" s="184"/>
      <c r="B8085" s="184"/>
      <c r="C8085" s="184"/>
      <c r="D8085" s="184"/>
      <c r="E8085" s="184"/>
      <c r="F8085" s="184"/>
      <c r="G8085" s="184"/>
      <c r="H8085" s="184"/>
      <c r="I8085" s="184"/>
      <c r="J8085" s="184"/>
      <c r="K8085" s="184"/>
      <c r="L8085" s="184"/>
      <c r="M8085" s="184"/>
      <c r="N8085" s="184"/>
      <c r="O8085" s="184"/>
    </row>
    <row r="8086" customFormat="false" ht="15" hidden="false" customHeight="true" outlineLevel="0" collapsed="false">
      <c r="A8086" s="184"/>
      <c r="B8086" s="184"/>
      <c r="C8086" s="184"/>
      <c r="D8086" s="184"/>
      <c r="E8086" s="184"/>
      <c r="F8086" s="184"/>
      <c r="G8086" s="184"/>
      <c r="H8086" s="184"/>
      <c r="I8086" s="184"/>
      <c r="J8086" s="184"/>
      <c r="K8086" s="184"/>
      <c r="L8086" s="184"/>
      <c r="M8086" s="184"/>
      <c r="N8086" s="184"/>
      <c r="O8086" s="184"/>
    </row>
    <row r="8087" customFormat="false" ht="15" hidden="false" customHeight="true" outlineLevel="0" collapsed="false">
      <c r="A8087" s="184"/>
      <c r="B8087" s="184"/>
      <c r="C8087" s="184"/>
      <c r="D8087" s="184"/>
      <c r="E8087" s="184"/>
      <c r="F8087" s="184"/>
      <c r="G8087" s="184"/>
      <c r="H8087" s="184"/>
      <c r="I8087" s="184"/>
      <c r="J8087" s="184"/>
      <c r="K8087" s="184"/>
      <c r="L8087" s="184"/>
      <c r="M8087" s="184"/>
      <c r="N8087" s="184"/>
      <c r="O8087" s="184"/>
    </row>
    <row r="8088" customFormat="false" ht="15" hidden="false" customHeight="true" outlineLevel="0" collapsed="false">
      <c r="A8088" s="184"/>
      <c r="B8088" s="184"/>
      <c r="C8088" s="184"/>
      <c r="D8088" s="184"/>
      <c r="E8088" s="184"/>
      <c r="F8088" s="184"/>
      <c r="G8088" s="184"/>
      <c r="H8088" s="184"/>
      <c r="I8088" s="184"/>
      <c r="J8088" s="184"/>
      <c r="K8088" s="184"/>
      <c r="L8088" s="184"/>
      <c r="M8088" s="184"/>
      <c r="N8088" s="184"/>
      <c r="O8088" s="184"/>
    </row>
    <row r="8089" customFormat="false" ht="15" hidden="false" customHeight="true" outlineLevel="0" collapsed="false">
      <c r="A8089" s="184"/>
      <c r="B8089" s="184"/>
      <c r="C8089" s="184"/>
      <c r="D8089" s="184"/>
      <c r="E8089" s="184"/>
      <c r="F8089" s="184"/>
      <c r="G8089" s="184"/>
      <c r="H8089" s="184"/>
      <c r="I8089" s="184"/>
      <c r="J8089" s="184"/>
      <c r="K8089" s="184"/>
      <c r="L8089" s="184"/>
      <c r="M8089" s="184"/>
      <c r="N8089" s="184"/>
      <c r="O8089" s="184"/>
    </row>
    <row r="8090" customFormat="false" ht="15" hidden="false" customHeight="true" outlineLevel="0" collapsed="false">
      <c r="A8090" s="184"/>
      <c r="B8090" s="184"/>
      <c r="C8090" s="184"/>
      <c r="D8090" s="184"/>
      <c r="E8090" s="184"/>
      <c r="F8090" s="184"/>
      <c r="G8090" s="184"/>
      <c r="H8090" s="184"/>
      <c r="I8090" s="184"/>
      <c r="J8090" s="184"/>
      <c r="K8090" s="184"/>
      <c r="L8090" s="184"/>
      <c r="M8090" s="184"/>
      <c r="N8090" s="184"/>
      <c r="O8090" s="184"/>
    </row>
    <row r="8091" customFormat="false" ht="15" hidden="false" customHeight="true" outlineLevel="0" collapsed="false">
      <c r="A8091" s="184"/>
      <c r="B8091" s="184"/>
      <c r="C8091" s="184"/>
      <c r="D8091" s="184"/>
      <c r="E8091" s="184"/>
      <c r="F8091" s="184"/>
      <c r="G8091" s="184"/>
      <c r="H8091" s="184"/>
      <c r="I8091" s="184"/>
      <c r="J8091" s="184"/>
      <c r="K8091" s="184"/>
      <c r="L8091" s="184"/>
      <c r="M8091" s="184"/>
      <c r="N8091" s="184"/>
      <c r="O8091" s="184"/>
    </row>
    <row r="8092" customFormat="false" ht="15" hidden="false" customHeight="true" outlineLevel="0" collapsed="false">
      <c r="A8092" s="184"/>
      <c r="B8092" s="184"/>
      <c r="C8092" s="184"/>
      <c r="D8092" s="184"/>
      <c r="E8092" s="184"/>
      <c r="F8092" s="184"/>
      <c r="G8092" s="184"/>
      <c r="H8092" s="184"/>
      <c r="I8092" s="184"/>
      <c r="J8092" s="184"/>
      <c r="K8092" s="184"/>
      <c r="L8092" s="184"/>
      <c r="M8092" s="184"/>
      <c r="N8092" s="184"/>
      <c r="O8092" s="184"/>
    </row>
    <row r="8093" customFormat="false" ht="15" hidden="false" customHeight="true" outlineLevel="0" collapsed="false">
      <c r="A8093" s="184"/>
      <c r="B8093" s="184"/>
      <c r="C8093" s="184"/>
      <c r="D8093" s="184"/>
      <c r="E8093" s="184"/>
      <c r="F8093" s="184"/>
      <c r="G8093" s="184"/>
      <c r="H8093" s="184"/>
      <c r="I8093" s="184"/>
      <c r="J8093" s="184"/>
      <c r="K8093" s="184"/>
      <c r="L8093" s="184"/>
      <c r="M8093" s="184"/>
      <c r="N8093" s="184"/>
      <c r="O8093" s="184"/>
    </row>
    <row r="8094" customFormat="false" ht="15" hidden="false" customHeight="true" outlineLevel="0" collapsed="false">
      <c r="A8094" s="184"/>
      <c r="B8094" s="184"/>
      <c r="C8094" s="184"/>
      <c r="D8094" s="184"/>
      <c r="E8094" s="184"/>
      <c r="F8094" s="184"/>
      <c r="G8094" s="184"/>
      <c r="H8094" s="184"/>
      <c r="I8094" s="184"/>
      <c r="J8094" s="184"/>
      <c r="K8094" s="184"/>
      <c r="L8094" s="184"/>
      <c r="M8094" s="184"/>
      <c r="N8094" s="184"/>
      <c r="O8094" s="184"/>
    </row>
    <row r="8095" customFormat="false" ht="15" hidden="false" customHeight="true" outlineLevel="0" collapsed="false">
      <c r="A8095" s="184"/>
      <c r="B8095" s="184"/>
      <c r="C8095" s="184"/>
      <c r="D8095" s="184"/>
      <c r="E8095" s="184"/>
      <c r="F8095" s="184"/>
      <c r="G8095" s="184"/>
      <c r="H8095" s="184"/>
      <c r="I8095" s="184"/>
      <c r="J8095" s="184"/>
      <c r="K8095" s="184"/>
      <c r="L8095" s="184"/>
      <c r="M8095" s="184"/>
      <c r="N8095" s="184"/>
      <c r="O8095" s="184"/>
    </row>
    <row r="8096" customFormat="false" ht="15" hidden="false" customHeight="true" outlineLevel="0" collapsed="false">
      <c r="A8096" s="184"/>
      <c r="B8096" s="184"/>
      <c r="C8096" s="184"/>
      <c r="D8096" s="184"/>
      <c r="E8096" s="184"/>
      <c r="F8096" s="184"/>
      <c r="G8096" s="184"/>
      <c r="H8096" s="184"/>
      <c r="I8096" s="184"/>
      <c r="J8096" s="184"/>
      <c r="K8096" s="184"/>
      <c r="L8096" s="184"/>
      <c r="M8096" s="184"/>
      <c r="N8096" s="184"/>
      <c r="O8096" s="184"/>
    </row>
    <row r="8097" customFormat="false" ht="15" hidden="false" customHeight="true" outlineLevel="0" collapsed="false">
      <c r="A8097" s="184"/>
      <c r="B8097" s="184"/>
      <c r="C8097" s="184"/>
      <c r="D8097" s="184"/>
      <c r="E8097" s="184"/>
      <c r="F8097" s="184"/>
      <c r="G8097" s="184"/>
      <c r="H8097" s="184"/>
      <c r="I8097" s="184"/>
      <c r="J8097" s="184"/>
      <c r="K8097" s="184"/>
      <c r="L8097" s="184"/>
      <c r="M8097" s="184"/>
      <c r="N8097" s="184"/>
      <c r="O8097" s="184"/>
    </row>
    <row r="8098" customFormat="false" ht="15" hidden="false" customHeight="true" outlineLevel="0" collapsed="false">
      <c r="A8098" s="184"/>
      <c r="B8098" s="184"/>
      <c r="C8098" s="184"/>
      <c r="D8098" s="184"/>
      <c r="E8098" s="184"/>
      <c r="F8098" s="184"/>
      <c r="G8098" s="184"/>
      <c r="H8098" s="184"/>
      <c r="I8098" s="184"/>
      <c r="J8098" s="184"/>
      <c r="K8098" s="184"/>
      <c r="L8098" s="184"/>
      <c r="M8098" s="184"/>
      <c r="N8098" s="184"/>
      <c r="O8098" s="184"/>
    </row>
    <row r="8099" customFormat="false" ht="15" hidden="false" customHeight="true" outlineLevel="0" collapsed="false">
      <c r="A8099" s="184"/>
      <c r="B8099" s="184"/>
      <c r="C8099" s="184"/>
      <c r="D8099" s="184"/>
      <c r="E8099" s="184"/>
      <c r="F8099" s="184"/>
      <c r="G8099" s="184"/>
      <c r="H8099" s="184"/>
      <c r="I8099" s="184"/>
      <c r="J8099" s="184"/>
      <c r="K8099" s="184"/>
      <c r="L8099" s="184"/>
      <c r="M8099" s="184"/>
      <c r="N8099" s="184"/>
      <c r="O8099" s="184"/>
    </row>
    <row r="8100" customFormat="false" ht="15" hidden="false" customHeight="true" outlineLevel="0" collapsed="false">
      <c r="A8100" s="184"/>
      <c r="B8100" s="184"/>
      <c r="C8100" s="184"/>
      <c r="D8100" s="184"/>
      <c r="E8100" s="184"/>
      <c r="F8100" s="184"/>
      <c r="G8100" s="184"/>
      <c r="H8100" s="184"/>
      <c r="I8100" s="184"/>
      <c r="J8100" s="184"/>
      <c r="K8100" s="184"/>
      <c r="L8100" s="184"/>
      <c r="M8100" s="184"/>
      <c r="N8100" s="184"/>
      <c r="O8100" s="184"/>
    </row>
    <row r="8101" customFormat="false" ht="15" hidden="false" customHeight="true" outlineLevel="0" collapsed="false">
      <c r="A8101" s="184"/>
      <c r="B8101" s="184"/>
      <c r="C8101" s="184"/>
      <c r="D8101" s="184"/>
      <c r="E8101" s="184"/>
      <c r="F8101" s="184"/>
      <c r="G8101" s="184"/>
      <c r="H8101" s="184"/>
      <c r="I8101" s="184"/>
      <c r="J8101" s="184"/>
      <c r="K8101" s="184"/>
      <c r="L8101" s="184"/>
      <c r="M8101" s="184"/>
      <c r="N8101" s="184"/>
      <c r="O8101" s="184"/>
    </row>
    <row r="8102" customFormat="false" ht="15" hidden="false" customHeight="true" outlineLevel="0" collapsed="false">
      <c r="A8102" s="184"/>
      <c r="B8102" s="184"/>
      <c r="C8102" s="184"/>
      <c r="D8102" s="184"/>
      <c r="E8102" s="184"/>
      <c r="F8102" s="184"/>
      <c r="G8102" s="184"/>
      <c r="H8102" s="184"/>
      <c r="I8102" s="184"/>
      <c r="J8102" s="184"/>
      <c r="K8102" s="184"/>
      <c r="L8102" s="184"/>
      <c r="M8102" s="184"/>
      <c r="N8102" s="184"/>
      <c r="O8102" s="184"/>
    </row>
    <row r="8103" customFormat="false" ht="15" hidden="false" customHeight="true" outlineLevel="0" collapsed="false">
      <c r="A8103" s="184"/>
      <c r="B8103" s="184"/>
      <c r="C8103" s="184"/>
      <c r="D8103" s="184"/>
      <c r="E8103" s="184"/>
      <c r="F8103" s="184"/>
      <c r="G8103" s="184"/>
      <c r="H8103" s="184"/>
      <c r="I8103" s="184"/>
      <c r="J8103" s="184"/>
      <c r="K8103" s="184"/>
      <c r="L8103" s="184"/>
      <c r="M8103" s="184"/>
      <c r="N8103" s="184"/>
      <c r="O8103" s="184"/>
    </row>
    <row r="8104" customFormat="false" ht="15" hidden="false" customHeight="true" outlineLevel="0" collapsed="false">
      <c r="A8104" s="184"/>
      <c r="B8104" s="184"/>
      <c r="C8104" s="184"/>
      <c r="D8104" s="184"/>
      <c r="E8104" s="184"/>
      <c r="F8104" s="184"/>
      <c r="G8104" s="184"/>
      <c r="H8104" s="184"/>
      <c r="I8104" s="184"/>
      <c r="J8104" s="184"/>
      <c r="K8104" s="184"/>
      <c r="L8104" s="184"/>
      <c r="M8104" s="184"/>
      <c r="N8104" s="184"/>
      <c r="O8104" s="184"/>
    </row>
    <row r="8105" customFormat="false" ht="15" hidden="false" customHeight="true" outlineLevel="0" collapsed="false">
      <c r="A8105" s="184"/>
      <c r="B8105" s="184"/>
      <c r="C8105" s="184"/>
      <c r="D8105" s="184"/>
      <c r="E8105" s="184"/>
      <c r="F8105" s="184"/>
      <c r="G8105" s="184"/>
      <c r="H8105" s="184"/>
      <c r="I8105" s="184"/>
      <c r="J8105" s="184"/>
      <c r="K8105" s="184"/>
      <c r="L8105" s="184"/>
      <c r="M8105" s="184"/>
      <c r="N8105" s="184"/>
      <c r="O8105" s="184"/>
    </row>
    <row r="8106" customFormat="false" ht="15" hidden="false" customHeight="true" outlineLevel="0" collapsed="false">
      <c r="A8106" s="184"/>
      <c r="B8106" s="184"/>
      <c r="C8106" s="184"/>
      <c r="D8106" s="184"/>
      <c r="E8106" s="184"/>
      <c r="F8106" s="184"/>
      <c r="G8106" s="184"/>
      <c r="H8106" s="184"/>
      <c r="I8106" s="184"/>
      <c r="J8106" s="184"/>
      <c r="K8106" s="184"/>
      <c r="L8106" s="184"/>
      <c r="M8106" s="184"/>
      <c r="N8106" s="184"/>
      <c r="O8106" s="184"/>
    </row>
    <row r="8107" customFormat="false" ht="15" hidden="false" customHeight="true" outlineLevel="0" collapsed="false">
      <c r="A8107" s="184"/>
      <c r="B8107" s="184"/>
      <c r="C8107" s="184"/>
      <c r="D8107" s="184"/>
      <c r="E8107" s="184"/>
      <c r="F8107" s="184"/>
      <c r="G8107" s="184"/>
      <c r="H8107" s="184"/>
      <c r="I8107" s="184"/>
      <c r="J8107" s="184"/>
      <c r="K8107" s="184"/>
      <c r="L8107" s="184"/>
      <c r="M8107" s="184"/>
      <c r="N8107" s="184"/>
      <c r="O8107" s="184"/>
    </row>
    <row r="8108" customFormat="false" ht="15" hidden="false" customHeight="true" outlineLevel="0" collapsed="false">
      <c r="A8108" s="184"/>
      <c r="B8108" s="184"/>
      <c r="C8108" s="184"/>
      <c r="D8108" s="184"/>
      <c r="E8108" s="184"/>
      <c r="F8108" s="184"/>
      <c r="G8108" s="184"/>
      <c r="H8108" s="184"/>
      <c r="I8108" s="184"/>
      <c r="J8108" s="184"/>
      <c r="K8108" s="184"/>
      <c r="L8108" s="184"/>
      <c r="M8108" s="184"/>
      <c r="N8108" s="184"/>
      <c r="O8108" s="184"/>
    </row>
    <row r="8109" customFormat="false" ht="15" hidden="false" customHeight="true" outlineLevel="0" collapsed="false">
      <c r="A8109" s="184"/>
      <c r="B8109" s="184"/>
      <c r="C8109" s="184"/>
      <c r="D8109" s="184"/>
      <c r="E8109" s="184"/>
      <c r="F8109" s="184"/>
      <c r="G8109" s="184"/>
      <c r="H8109" s="184"/>
      <c r="I8109" s="184"/>
      <c r="J8109" s="184"/>
      <c r="K8109" s="184"/>
      <c r="L8109" s="184"/>
      <c r="M8109" s="184"/>
      <c r="N8109" s="184"/>
      <c r="O8109" s="184"/>
    </row>
    <row r="8110" customFormat="false" ht="15" hidden="false" customHeight="true" outlineLevel="0" collapsed="false">
      <c r="A8110" s="184"/>
      <c r="B8110" s="184"/>
      <c r="C8110" s="184"/>
      <c r="D8110" s="184"/>
      <c r="E8110" s="184"/>
      <c r="F8110" s="184"/>
      <c r="G8110" s="184"/>
      <c r="H8110" s="184"/>
      <c r="I8110" s="184"/>
      <c r="J8110" s="184"/>
      <c r="K8110" s="184"/>
      <c r="L8110" s="184"/>
      <c r="M8110" s="184"/>
      <c r="N8110" s="184"/>
      <c r="O8110" s="184"/>
    </row>
    <row r="8111" customFormat="false" ht="15" hidden="false" customHeight="true" outlineLevel="0" collapsed="false">
      <c r="A8111" s="184"/>
      <c r="B8111" s="184"/>
      <c r="C8111" s="184"/>
      <c r="D8111" s="184"/>
      <c r="E8111" s="184"/>
      <c r="F8111" s="184"/>
      <c r="G8111" s="184"/>
      <c r="H8111" s="184"/>
      <c r="I8111" s="184"/>
      <c r="J8111" s="184"/>
      <c r="K8111" s="184"/>
      <c r="L8111" s="184"/>
      <c r="M8111" s="184"/>
      <c r="N8111" s="184"/>
      <c r="O8111" s="184"/>
    </row>
    <row r="8112" customFormat="false" ht="15" hidden="false" customHeight="true" outlineLevel="0" collapsed="false">
      <c r="A8112" s="184"/>
      <c r="B8112" s="184"/>
      <c r="C8112" s="184"/>
      <c r="D8112" s="184"/>
      <c r="E8112" s="184"/>
      <c r="F8112" s="184"/>
      <c r="G8112" s="184"/>
      <c r="H8112" s="184"/>
      <c r="I8112" s="184"/>
      <c r="J8112" s="184"/>
      <c r="K8112" s="184"/>
      <c r="L8112" s="184"/>
      <c r="M8112" s="184"/>
      <c r="N8112" s="184"/>
      <c r="O8112" s="184"/>
    </row>
    <row r="8113" customFormat="false" ht="15" hidden="false" customHeight="true" outlineLevel="0" collapsed="false">
      <c r="A8113" s="184"/>
      <c r="B8113" s="184"/>
      <c r="C8113" s="184"/>
      <c r="D8113" s="184"/>
      <c r="E8113" s="184"/>
      <c r="F8113" s="184"/>
      <c r="G8113" s="184"/>
      <c r="H8113" s="184"/>
      <c r="I8113" s="184"/>
      <c r="J8113" s="184"/>
      <c r="K8113" s="184"/>
      <c r="L8113" s="184"/>
      <c r="M8113" s="184"/>
      <c r="N8113" s="184"/>
      <c r="O8113" s="184"/>
    </row>
    <row r="8114" customFormat="false" ht="15" hidden="false" customHeight="true" outlineLevel="0" collapsed="false">
      <c r="A8114" s="184"/>
      <c r="B8114" s="184"/>
      <c r="C8114" s="184"/>
      <c r="D8114" s="184"/>
      <c r="E8114" s="184"/>
      <c r="F8114" s="184"/>
      <c r="G8114" s="184"/>
      <c r="H8114" s="184"/>
      <c r="I8114" s="184"/>
      <c r="J8114" s="184"/>
      <c r="K8114" s="184"/>
      <c r="L8114" s="184"/>
      <c r="M8114" s="184"/>
      <c r="N8114" s="184"/>
      <c r="O8114" s="184"/>
    </row>
    <row r="8115" customFormat="false" ht="15" hidden="false" customHeight="true" outlineLevel="0" collapsed="false">
      <c r="A8115" s="184"/>
      <c r="B8115" s="184"/>
      <c r="C8115" s="184"/>
      <c r="D8115" s="184"/>
      <c r="E8115" s="184"/>
      <c r="F8115" s="184"/>
      <c r="G8115" s="184"/>
      <c r="H8115" s="184"/>
      <c r="I8115" s="184"/>
      <c r="J8115" s="184"/>
      <c r="K8115" s="184"/>
      <c r="L8115" s="184"/>
      <c r="M8115" s="184"/>
      <c r="N8115" s="184"/>
      <c r="O8115" s="184"/>
    </row>
    <row r="8116" customFormat="false" ht="15" hidden="false" customHeight="true" outlineLevel="0" collapsed="false">
      <c r="A8116" s="184"/>
      <c r="B8116" s="184"/>
      <c r="C8116" s="184"/>
      <c r="D8116" s="184"/>
      <c r="E8116" s="184"/>
      <c r="F8116" s="184"/>
      <c r="G8116" s="184"/>
      <c r="H8116" s="184"/>
      <c r="I8116" s="184"/>
      <c r="J8116" s="184"/>
      <c r="K8116" s="184"/>
      <c r="L8116" s="184"/>
      <c r="M8116" s="184"/>
      <c r="N8116" s="184"/>
      <c r="O8116" s="184"/>
    </row>
    <row r="8117" customFormat="false" ht="15" hidden="false" customHeight="true" outlineLevel="0" collapsed="false">
      <c r="A8117" s="184"/>
      <c r="B8117" s="184"/>
      <c r="C8117" s="184"/>
      <c r="D8117" s="184"/>
      <c r="E8117" s="184"/>
      <c r="F8117" s="184"/>
      <c r="G8117" s="184"/>
      <c r="H8117" s="184"/>
      <c r="I8117" s="184"/>
      <c r="J8117" s="184"/>
      <c r="K8117" s="184"/>
      <c r="L8117" s="184"/>
      <c r="M8117" s="184"/>
      <c r="N8117" s="184"/>
      <c r="O8117" s="184"/>
    </row>
    <row r="8118" customFormat="false" ht="15" hidden="false" customHeight="true" outlineLevel="0" collapsed="false">
      <c r="A8118" s="184"/>
      <c r="B8118" s="184"/>
      <c r="C8118" s="184"/>
      <c r="D8118" s="184"/>
      <c r="E8118" s="184"/>
      <c r="F8118" s="184"/>
      <c r="G8118" s="184"/>
      <c r="H8118" s="184"/>
      <c r="I8118" s="184"/>
      <c r="J8118" s="184"/>
      <c r="K8118" s="184"/>
      <c r="L8118" s="184"/>
      <c r="M8118" s="184"/>
      <c r="N8118" s="184"/>
      <c r="O8118" s="184"/>
    </row>
    <row r="8119" customFormat="false" ht="15" hidden="false" customHeight="true" outlineLevel="0" collapsed="false">
      <c r="A8119" s="184"/>
      <c r="B8119" s="184"/>
      <c r="C8119" s="184"/>
      <c r="D8119" s="184"/>
      <c r="E8119" s="184"/>
      <c r="F8119" s="184"/>
      <c r="G8119" s="184"/>
      <c r="H8119" s="184"/>
      <c r="I8119" s="184"/>
      <c r="J8119" s="184"/>
      <c r="K8119" s="184"/>
      <c r="L8119" s="184"/>
      <c r="M8119" s="184"/>
      <c r="N8119" s="184"/>
      <c r="O8119" s="184"/>
    </row>
    <row r="8120" customFormat="false" ht="15" hidden="false" customHeight="true" outlineLevel="0" collapsed="false">
      <c r="A8120" s="184"/>
      <c r="B8120" s="184"/>
      <c r="C8120" s="184"/>
      <c r="D8120" s="184"/>
      <c r="E8120" s="184"/>
      <c r="F8120" s="184"/>
      <c r="G8120" s="184"/>
      <c r="H8120" s="184"/>
      <c r="I8120" s="184"/>
      <c r="J8120" s="184"/>
      <c r="K8120" s="184"/>
      <c r="L8120" s="184"/>
      <c r="M8120" s="184"/>
      <c r="N8120" s="184"/>
      <c r="O8120" s="184"/>
    </row>
    <row r="8121" customFormat="false" ht="15" hidden="false" customHeight="true" outlineLevel="0" collapsed="false">
      <c r="A8121" s="184"/>
      <c r="B8121" s="184"/>
      <c r="C8121" s="184"/>
      <c r="D8121" s="184"/>
      <c r="E8121" s="184"/>
      <c r="F8121" s="184"/>
      <c r="G8121" s="184"/>
      <c r="H8121" s="184"/>
      <c r="I8121" s="184"/>
      <c r="J8121" s="184"/>
      <c r="K8121" s="184"/>
      <c r="L8121" s="184"/>
      <c r="M8121" s="184"/>
      <c r="N8121" s="184"/>
      <c r="O8121" s="184"/>
    </row>
    <row r="8122" customFormat="false" ht="15" hidden="false" customHeight="true" outlineLevel="0" collapsed="false">
      <c r="A8122" s="184"/>
      <c r="B8122" s="184"/>
      <c r="C8122" s="184"/>
      <c r="D8122" s="184"/>
      <c r="E8122" s="184"/>
      <c r="F8122" s="184"/>
      <c r="G8122" s="184"/>
      <c r="H8122" s="184"/>
      <c r="I8122" s="184"/>
      <c r="J8122" s="184"/>
      <c r="K8122" s="184"/>
      <c r="L8122" s="184"/>
      <c r="M8122" s="184"/>
      <c r="N8122" s="184"/>
      <c r="O8122" s="184"/>
    </row>
    <row r="8123" customFormat="false" ht="15" hidden="false" customHeight="true" outlineLevel="0" collapsed="false">
      <c r="A8123" s="184"/>
      <c r="B8123" s="184"/>
      <c r="C8123" s="184"/>
      <c r="D8123" s="184"/>
      <c r="E8123" s="184"/>
      <c r="F8123" s="184"/>
      <c r="G8123" s="184"/>
      <c r="H8123" s="184"/>
      <c r="I8123" s="184"/>
      <c r="J8123" s="184"/>
      <c r="K8123" s="184"/>
      <c r="L8123" s="184"/>
      <c r="M8123" s="184"/>
      <c r="N8123" s="184"/>
      <c r="O8123" s="184"/>
    </row>
    <row r="8124" customFormat="false" ht="15" hidden="false" customHeight="true" outlineLevel="0" collapsed="false">
      <c r="A8124" s="184"/>
      <c r="B8124" s="184"/>
      <c r="C8124" s="184"/>
      <c r="D8124" s="184"/>
      <c r="E8124" s="184"/>
      <c r="F8124" s="184"/>
      <c r="G8124" s="184"/>
      <c r="H8124" s="184"/>
      <c r="I8124" s="184"/>
      <c r="J8124" s="184"/>
      <c r="K8124" s="184"/>
      <c r="L8124" s="184"/>
      <c r="M8124" s="184"/>
      <c r="N8124" s="184"/>
      <c r="O8124" s="184"/>
    </row>
    <row r="8125" customFormat="false" ht="15" hidden="false" customHeight="true" outlineLevel="0" collapsed="false">
      <c r="A8125" s="184"/>
      <c r="B8125" s="184"/>
      <c r="C8125" s="184"/>
      <c r="D8125" s="184"/>
      <c r="E8125" s="184"/>
      <c r="F8125" s="184"/>
      <c r="G8125" s="184"/>
      <c r="H8125" s="184"/>
      <c r="I8125" s="184"/>
      <c r="J8125" s="184"/>
      <c r="K8125" s="184"/>
      <c r="L8125" s="184"/>
      <c r="M8125" s="184"/>
      <c r="N8125" s="184"/>
      <c r="O8125" s="184"/>
    </row>
    <row r="8126" customFormat="false" ht="15" hidden="false" customHeight="true" outlineLevel="0" collapsed="false">
      <c r="A8126" s="184"/>
      <c r="B8126" s="184"/>
      <c r="C8126" s="184"/>
      <c r="D8126" s="184"/>
      <c r="E8126" s="184"/>
      <c r="F8126" s="184"/>
      <c r="G8126" s="184"/>
      <c r="H8126" s="184"/>
      <c r="I8126" s="184"/>
      <c r="J8126" s="184"/>
      <c r="K8126" s="184"/>
      <c r="L8126" s="184"/>
      <c r="M8126" s="184"/>
      <c r="N8126" s="184"/>
      <c r="O8126" s="184"/>
    </row>
    <row r="8127" customFormat="false" ht="15" hidden="false" customHeight="true" outlineLevel="0" collapsed="false">
      <c r="A8127" s="184"/>
      <c r="B8127" s="184"/>
      <c r="C8127" s="184"/>
      <c r="D8127" s="184"/>
      <c r="E8127" s="184"/>
      <c r="F8127" s="184"/>
      <c r="G8127" s="184"/>
      <c r="H8127" s="184"/>
      <c r="I8127" s="184"/>
      <c r="J8127" s="184"/>
      <c r="K8127" s="184"/>
      <c r="L8127" s="184"/>
      <c r="M8127" s="184"/>
      <c r="N8127" s="184"/>
      <c r="O8127" s="184"/>
    </row>
    <row r="8128" customFormat="false" ht="15" hidden="false" customHeight="true" outlineLevel="0" collapsed="false">
      <c r="A8128" s="184"/>
      <c r="B8128" s="184"/>
      <c r="C8128" s="184"/>
      <c r="D8128" s="184"/>
      <c r="E8128" s="184"/>
      <c r="F8128" s="184"/>
      <c r="G8128" s="184"/>
      <c r="H8128" s="184"/>
      <c r="I8128" s="184"/>
      <c r="J8128" s="184"/>
      <c r="K8128" s="184"/>
      <c r="L8128" s="184"/>
      <c r="M8128" s="184"/>
      <c r="N8128" s="184"/>
      <c r="O8128" s="184"/>
    </row>
    <row r="8129" customFormat="false" ht="15" hidden="false" customHeight="true" outlineLevel="0" collapsed="false">
      <c r="A8129" s="184"/>
      <c r="B8129" s="184"/>
      <c r="C8129" s="184"/>
      <c r="D8129" s="184"/>
      <c r="E8129" s="184"/>
      <c r="F8129" s="184"/>
      <c r="G8129" s="184"/>
      <c r="H8129" s="184"/>
      <c r="I8129" s="184"/>
      <c r="J8129" s="184"/>
      <c r="K8129" s="184"/>
      <c r="L8129" s="184"/>
      <c r="M8129" s="184"/>
      <c r="N8129" s="184"/>
      <c r="O8129" s="184"/>
    </row>
    <row r="8130" customFormat="false" ht="15" hidden="false" customHeight="true" outlineLevel="0" collapsed="false">
      <c r="A8130" s="184"/>
      <c r="B8130" s="184"/>
      <c r="C8130" s="184"/>
      <c r="D8130" s="184"/>
      <c r="E8130" s="184"/>
      <c r="F8130" s="184"/>
      <c r="G8130" s="184"/>
      <c r="H8130" s="184"/>
      <c r="I8130" s="184"/>
      <c r="J8130" s="184"/>
      <c r="K8130" s="184"/>
      <c r="L8130" s="184"/>
      <c r="M8130" s="184"/>
      <c r="N8130" s="184"/>
      <c r="O8130" s="184"/>
    </row>
    <row r="8131" customFormat="false" ht="15" hidden="false" customHeight="true" outlineLevel="0" collapsed="false">
      <c r="A8131" s="184"/>
      <c r="B8131" s="184"/>
      <c r="C8131" s="184"/>
      <c r="D8131" s="184"/>
      <c r="E8131" s="184"/>
      <c r="F8131" s="184"/>
      <c r="G8131" s="184"/>
      <c r="H8131" s="184"/>
      <c r="I8131" s="184"/>
      <c r="J8131" s="184"/>
      <c r="K8131" s="184"/>
      <c r="L8131" s="184"/>
      <c r="M8131" s="184"/>
      <c r="N8131" s="184"/>
      <c r="O8131" s="184"/>
    </row>
    <row r="8132" customFormat="false" ht="15" hidden="false" customHeight="true" outlineLevel="0" collapsed="false">
      <c r="A8132" s="184"/>
      <c r="B8132" s="184"/>
      <c r="C8132" s="184"/>
      <c r="D8132" s="184"/>
      <c r="E8132" s="184"/>
      <c r="F8132" s="184"/>
      <c r="G8132" s="184"/>
      <c r="H8132" s="184"/>
      <c r="I8132" s="184"/>
      <c r="J8132" s="184"/>
      <c r="K8132" s="184"/>
      <c r="L8132" s="184"/>
      <c r="M8132" s="184"/>
      <c r="N8132" s="184"/>
      <c r="O8132" s="184"/>
    </row>
    <row r="8133" customFormat="false" ht="15" hidden="false" customHeight="true" outlineLevel="0" collapsed="false">
      <c r="A8133" s="184"/>
      <c r="B8133" s="184"/>
      <c r="C8133" s="184"/>
      <c r="D8133" s="184"/>
      <c r="E8133" s="184"/>
      <c r="F8133" s="184"/>
      <c r="G8133" s="184"/>
      <c r="H8133" s="184"/>
      <c r="I8133" s="184"/>
      <c r="J8133" s="184"/>
      <c r="K8133" s="184"/>
      <c r="L8133" s="184"/>
      <c r="M8133" s="184"/>
      <c r="N8133" s="184"/>
      <c r="O8133" s="184"/>
    </row>
    <row r="8134" customFormat="false" ht="15" hidden="false" customHeight="true" outlineLevel="0" collapsed="false">
      <c r="A8134" s="184"/>
      <c r="B8134" s="184"/>
      <c r="C8134" s="184"/>
      <c r="D8134" s="184"/>
      <c r="E8134" s="184"/>
      <c r="F8134" s="184"/>
      <c r="G8134" s="184"/>
      <c r="H8134" s="184"/>
      <c r="I8134" s="184"/>
      <c r="J8134" s="184"/>
      <c r="K8134" s="184"/>
      <c r="L8134" s="184"/>
      <c r="M8134" s="184"/>
      <c r="N8134" s="184"/>
      <c r="O8134" s="184"/>
    </row>
    <row r="8135" customFormat="false" ht="15" hidden="false" customHeight="true" outlineLevel="0" collapsed="false">
      <c r="A8135" s="184"/>
      <c r="B8135" s="184"/>
      <c r="C8135" s="184"/>
      <c r="D8135" s="184"/>
      <c r="E8135" s="184"/>
      <c r="F8135" s="184"/>
      <c r="G8135" s="184"/>
      <c r="H8135" s="184"/>
      <c r="I8135" s="184"/>
      <c r="J8135" s="184"/>
      <c r="K8135" s="184"/>
      <c r="L8135" s="184"/>
      <c r="M8135" s="184"/>
      <c r="N8135" s="184"/>
      <c r="O8135" s="184"/>
    </row>
    <row r="8136" customFormat="false" ht="15" hidden="false" customHeight="true" outlineLevel="0" collapsed="false">
      <c r="A8136" s="184"/>
      <c r="B8136" s="184"/>
      <c r="C8136" s="184"/>
      <c r="D8136" s="184"/>
      <c r="E8136" s="184"/>
      <c r="F8136" s="184"/>
      <c r="G8136" s="184"/>
      <c r="H8136" s="184"/>
      <c r="I8136" s="184"/>
      <c r="J8136" s="184"/>
      <c r="K8136" s="184"/>
      <c r="L8136" s="184"/>
      <c r="M8136" s="184"/>
      <c r="N8136" s="184"/>
      <c r="O8136" s="184"/>
    </row>
    <row r="8137" customFormat="false" ht="15" hidden="false" customHeight="true" outlineLevel="0" collapsed="false">
      <c r="A8137" s="184"/>
      <c r="B8137" s="184"/>
      <c r="C8137" s="184"/>
      <c r="D8137" s="184"/>
      <c r="E8137" s="184"/>
      <c r="F8137" s="184"/>
      <c r="G8137" s="184"/>
      <c r="H8137" s="184"/>
      <c r="I8137" s="184"/>
      <c r="J8137" s="184"/>
      <c r="K8137" s="184"/>
      <c r="L8137" s="184"/>
      <c r="M8137" s="184"/>
      <c r="N8137" s="184"/>
      <c r="O8137" s="184"/>
    </row>
    <row r="8138" customFormat="false" ht="15" hidden="false" customHeight="true" outlineLevel="0" collapsed="false">
      <c r="A8138" s="184"/>
      <c r="B8138" s="184"/>
      <c r="C8138" s="184"/>
      <c r="D8138" s="184"/>
      <c r="E8138" s="184"/>
      <c r="F8138" s="184"/>
      <c r="G8138" s="184"/>
      <c r="H8138" s="184"/>
      <c r="I8138" s="184"/>
      <c r="J8138" s="184"/>
      <c r="K8138" s="184"/>
      <c r="L8138" s="184"/>
      <c r="M8138" s="184"/>
      <c r="N8138" s="184"/>
      <c r="O8138" s="184"/>
    </row>
    <row r="8139" customFormat="false" ht="15" hidden="false" customHeight="true" outlineLevel="0" collapsed="false">
      <c r="A8139" s="184"/>
      <c r="B8139" s="184"/>
      <c r="C8139" s="184"/>
      <c r="D8139" s="184"/>
      <c r="E8139" s="184"/>
      <c r="F8139" s="184"/>
      <c r="G8139" s="184"/>
      <c r="H8139" s="184"/>
      <c r="I8139" s="184"/>
      <c r="J8139" s="184"/>
      <c r="K8139" s="184"/>
      <c r="L8139" s="184"/>
      <c r="M8139" s="184"/>
      <c r="N8139" s="184"/>
      <c r="O8139" s="184"/>
    </row>
    <row r="8140" customFormat="false" ht="15" hidden="false" customHeight="true" outlineLevel="0" collapsed="false">
      <c r="A8140" s="184"/>
      <c r="B8140" s="184"/>
      <c r="C8140" s="184"/>
      <c r="D8140" s="184"/>
      <c r="E8140" s="184"/>
      <c r="F8140" s="184"/>
      <c r="G8140" s="184"/>
      <c r="H8140" s="184"/>
      <c r="I8140" s="184"/>
      <c r="J8140" s="184"/>
      <c r="K8140" s="184"/>
      <c r="L8140" s="184"/>
      <c r="M8140" s="184"/>
      <c r="N8140" s="184"/>
      <c r="O8140" s="184"/>
    </row>
    <row r="8141" customFormat="false" ht="15" hidden="false" customHeight="true" outlineLevel="0" collapsed="false">
      <c r="A8141" s="184"/>
      <c r="B8141" s="184"/>
      <c r="C8141" s="184"/>
      <c r="D8141" s="184"/>
      <c r="E8141" s="184"/>
      <c r="F8141" s="184"/>
      <c r="G8141" s="184"/>
      <c r="H8141" s="184"/>
      <c r="I8141" s="184"/>
      <c r="J8141" s="184"/>
      <c r="K8141" s="184"/>
      <c r="L8141" s="184"/>
      <c r="M8141" s="184"/>
      <c r="N8141" s="184"/>
      <c r="O8141" s="184"/>
    </row>
    <row r="8142" customFormat="false" ht="15" hidden="false" customHeight="true" outlineLevel="0" collapsed="false">
      <c r="A8142" s="184"/>
      <c r="B8142" s="184"/>
      <c r="C8142" s="184"/>
      <c r="D8142" s="184"/>
      <c r="E8142" s="184"/>
      <c r="F8142" s="184"/>
      <c r="G8142" s="184"/>
      <c r="H8142" s="184"/>
      <c r="I8142" s="184"/>
      <c r="J8142" s="184"/>
      <c r="K8142" s="184"/>
      <c r="L8142" s="184"/>
      <c r="M8142" s="184"/>
      <c r="N8142" s="184"/>
      <c r="O8142" s="184"/>
    </row>
    <row r="8143" customFormat="false" ht="15" hidden="false" customHeight="true" outlineLevel="0" collapsed="false">
      <c r="A8143" s="184"/>
      <c r="B8143" s="184"/>
      <c r="C8143" s="184"/>
      <c r="D8143" s="184"/>
      <c r="E8143" s="184"/>
      <c r="F8143" s="184"/>
      <c r="G8143" s="184"/>
      <c r="H8143" s="184"/>
      <c r="I8143" s="184"/>
      <c r="J8143" s="184"/>
      <c r="K8143" s="184"/>
      <c r="L8143" s="184"/>
      <c r="M8143" s="184"/>
      <c r="N8143" s="184"/>
      <c r="O8143" s="184"/>
    </row>
    <row r="8144" customFormat="false" ht="15" hidden="false" customHeight="true" outlineLevel="0" collapsed="false">
      <c r="A8144" s="184"/>
      <c r="B8144" s="184"/>
      <c r="C8144" s="184"/>
      <c r="D8144" s="184"/>
      <c r="E8144" s="184"/>
      <c r="F8144" s="184"/>
      <c r="G8144" s="184"/>
      <c r="H8144" s="184"/>
      <c r="I8144" s="184"/>
      <c r="J8144" s="184"/>
      <c r="K8144" s="184"/>
      <c r="L8144" s="184"/>
      <c r="M8144" s="184"/>
      <c r="N8144" s="184"/>
      <c r="O8144" s="184"/>
    </row>
    <row r="8145" customFormat="false" ht="15" hidden="false" customHeight="true" outlineLevel="0" collapsed="false">
      <c r="A8145" s="184"/>
      <c r="B8145" s="184"/>
      <c r="C8145" s="184"/>
      <c r="D8145" s="184"/>
      <c r="E8145" s="184"/>
      <c r="F8145" s="184"/>
      <c r="G8145" s="184"/>
      <c r="H8145" s="184"/>
      <c r="I8145" s="184"/>
      <c r="J8145" s="184"/>
      <c r="K8145" s="184"/>
      <c r="L8145" s="184"/>
      <c r="M8145" s="184"/>
      <c r="N8145" s="184"/>
      <c r="O8145" s="184"/>
    </row>
    <row r="8146" customFormat="false" ht="15" hidden="false" customHeight="true" outlineLevel="0" collapsed="false">
      <c r="A8146" s="184"/>
      <c r="B8146" s="184"/>
      <c r="C8146" s="184"/>
      <c r="D8146" s="184"/>
      <c r="E8146" s="184"/>
      <c r="F8146" s="184"/>
      <c r="G8146" s="184"/>
      <c r="H8146" s="184"/>
      <c r="I8146" s="184"/>
      <c r="J8146" s="184"/>
      <c r="K8146" s="184"/>
      <c r="L8146" s="184"/>
      <c r="M8146" s="184"/>
      <c r="N8146" s="184"/>
      <c r="O8146" s="184"/>
    </row>
    <row r="8147" customFormat="false" ht="15" hidden="false" customHeight="true" outlineLevel="0" collapsed="false">
      <c r="A8147" s="184"/>
      <c r="B8147" s="184"/>
      <c r="C8147" s="184"/>
      <c r="D8147" s="184"/>
      <c r="E8147" s="184"/>
      <c r="F8147" s="184"/>
      <c r="G8147" s="184"/>
      <c r="H8147" s="184"/>
      <c r="I8147" s="184"/>
      <c r="J8147" s="184"/>
      <c r="K8147" s="184"/>
      <c r="L8147" s="184"/>
      <c r="M8147" s="184"/>
      <c r="N8147" s="184"/>
      <c r="O8147" s="184"/>
    </row>
    <row r="8148" customFormat="false" ht="15" hidden="false" customHeight="true" outlineLevel="0" collapsed="false">
      <c r="A8148" s="184"/>
      <c r="B8148" s="184"/>
      <c r="C8148" s="184"/>
      <c r="D8148" s="184"/>
      <c r="E8148" s="184"/>
      <c r="F8148" s="184"/>
      <c r="G8148" s="184"/>
      <c r="H8148" s="184"/>
      <c r="I8148" s="184"/>
      <c r="J8148" s="184"/>
      <c r="K8148" s="184"/>
      <c r="L8148" s="184"/>
      <c r="M8148" s="184"/>
      <c r="N8148" s="184"/>
      <c r="O8148" s="184"/>
    </row>
    <row r="8149" customFormat="false" ht="15" hidden="false" customHeight="true" outlineLevel="0" collapsed="false">
      <c r="A8149" s="184"/>
      <c r="B8149" s="184"/>
      <c r="C8149" s="184"/>
      <c r="D8149" s="184"/>
      <c r="E8149" s="184"/>
      <c r="F8149" s="184"/>
      <c r="G8149" s="184"/>
      <c r="H8149" s="184"/>
      <c r="I8149" s="184"/>
      <c r="J8149" s="184"/>
      <c r="K8149" s="184"/>
      <c r="L8149" s="184"/>
      <c r="M8149" s="184"/>
      <c r="N8149" s="184"/>
      <c r="O8149" s="184"/>
    </row>
    <row r="8150" customFormat="false" ht="15" hidden="false" customHeight="true" outlineLevel="0" collapsed="false">
      <c r="A8150" s="184"/>
      <c r="B8150" s="184"/>
      <c r="C8150" s="184"/>
      <c r="D8150" s="184"/>
      <c r="E8150" s="184"/>
      <c r="F8150" s="184"/>
      <c r="G8150" s="184"/>
      <c r="H8150" s="184"/>
      <c r="I8150" s="184"/>
      <c r="J8150" s="184"/>
      <c r="K8150" s="184"/>
      <c r="L8150" s="184"/>
      <c r="M8150" s="184"/>
      <c r="N8150" s="184"/>
      <c r="O8150" s="184"/>
    </row>
    <row r="8151" customFormat="false" ht="15" hidden="false" customHeight="true" outlineLevel="0" collapsed="false">
      <c r="A8151" s="184"/>
      <c r="B8151" s="184"/>
      <c r="C8151" s="184"/>
      <c r="D8151" s="184"/>
      <c r="E8151" s="184"/>
      <c r="F8151" s="184"/>
      <c r="G8151" s="184"/>
      <c r="H8151" s="184"/>
      <c r="I8151" s="184"/>
      <c r="J8151" s="184"/>
      <c r="K8151" s="184"/>
      <c r="L8151" s="184"/>
      <c r="M8151" s="184"/>
      <c r="N8151" s="184"/>
      <c r="O8151" s="184"/>
    </row>
    <row r="8152" customFormat="false" ht="15" hidden="false" customHeight="true" outlineLevel="0" collapsed="false">
      <c r="A8152" s="184"/>
      <c r="B8152" s="184"/>
      <c r="C8152" s="184"/>
      <c r="D8152" s="184"/>
      <c r="E8152" s="184"/>
      <c r="F8152" s="184"/>
      <c r="G8152" s="184"/>
      <c r="H8152" s="184"/>
      <c r="I8152" s="184"/>
      <c r="J8152" s="184"/>
      <c r="K8152" s="184"/>
      <c r="L8152" s="184"/>
      <c r="M8152" s="184"/>
      <c r="N8152" s="184"/>
      <c r="O8152" s="184"/>
    </row>
    <row r="8153" customFormat="false" ht="15" hidden="false" customHeight="true" outlineLevel="0" collapsed="false">
      <c r="A8153" s="184"/>
      <c r="B8153" s="184"/>
      <c r="C8153" s="184"/>
      <c r="D8153" s="184"/>
      <c r="E8153" s="184"/>
      <c r="F8153" s="184"/>
      <c r="G8153" s="184"/>
      <c r="H8153" s="184"/>
      <c r="I8153" s="184"/>
      <c r="J8153" s="184"/>
      <c r="K8153" s="184"/>
      <c r="L8153" s="184"/>
      <c r="M8153" s="184"/>
      <c r="N8153" s="184"/>
      <c r="O8153" s="184"/>
    </row>
    <row r="8154" customFormat="false" ht="15" hidden="false" customHeight="true" outlineLevel="0" collapsed="false">
      <c r="A8154" s="184"/>
      <c r="B8154" s="184"/>
      <c r="C8154" s="184"/>
      <c r="D8154" s="184"/>
      <c r="E8154" s="184"/>
      <c r="F8154" s="184"/>
      <c r="G8154" s="184"/>
      <c r="H8154" s="184"/>
      <c r="I8154" s="184"/>
      <c r="J8154" s="184"/>
      <c r="K8154" s="184"/>
      <c r="L8154" s="184"/>
      <c r="M8154" s="184"/>
      <c r="N8154" s="184"/>
      <c r="O8154" s="184"/>
    </row>
    <row r="8155" customFormat="false" ht="15" hidden="false" customHeight="true" outlineLevel="0" collapsed="false">
      <c r="A8155" s="184"/>
      <c r="B8155" s="184"/>
      <c r="C8155" s="184"/>
      <c r="D8155" s="184"/>
      <c r="E8155" s="184"/>
      <c r="F8155" s="184"/>
      <c r="G8155" s="184"/>
      <c r="H8155" s="184"/>
      <c r="I8155" s="184"/>
      <c r="J8155" s="184"/>
      <c r="K8155" s="184"/>
      <c r="L8155" s="184"/>
      <c r="M8155" s="184"/>
      <c r="N8155" s="184"/>
      <c r="O8155" s="184"/>
    </row>
    <row r="8156" customFormat="false" ht="15" hidden="false" customHeight="true" outlineLevel="0" collapsed="false">
      <c r="A8156" s="184"/>
      <c r="B8156" s="184"/>
      <c r="C8156" s="184"/>
      <c r="D8156" s="184"/>
      <c r="E8156" s="184"/>
      <c r="F8156" s="184"/>
      <c r="G8156" s="184"/>
      <c r="H8156" s="184"/>
      <c r="I8156" s="184"/>
      <c r="J8156" s="184"/>
      <c r="K8156" s="184"/>
      <c r="L8156" s="184"/>
      <c r="M8156" s="184"/>
      <c r="N8156" s="184"/>
      <c r="O8156" s="184"/>
    </row>
    <row r="8157" customFormat="false" ht="15" hidden="false" customHeight="true" outlineLevel="0" collapsed="false">
      <c r="A8157" s="184"/>
      <c r="B8157" s="184"/>
      <c r="C8157" s="184"/>
      <c r="D8157" s="184"/>
      <c r="E8157" s="184"/>
      <c r="F8157" s="184"/>
      <c r="G8157" s="184"/>
      <c r="H8157" s="184"/>
      <c r="I8157" s="184"/>
      <c r="J8157" s="184"/>
      <c r="K8157" s="184"/>
      <c r="L8157" s="184"/>
      <c r="M8157" s="184"/>
      <c r="N8157" s="184"/>
      <c r="O8157" s="184"/>
    </row>
    <row r="8158" customFormat="false" ht="15" hidden="false" customHeight="true" outlineLevel="0" collapsed="false">
      <c r="A8158" s="184"/>
      <c r="B8158" s="184"/>
      <c r="C8158" s="184"/>
      <c r="D8158" s="184"/>
      <c r="E8158" s="184"/>
      <c r="F8158" s="184"/>
      <c r="G8158" s="184"/>
      <c r="H8158" s="184"/>
      <c r="I8158" s="184"/>
      <c r="J8158" s="184"/>
      <c r="K8158" s="184"/>
      <c r="L8158" s="184"/>
      <c r="M8158" s="184"/>
      <c r="N8158" s="184"/>
      <c r="O8158" s="184"/>
    </row>
    <row r="8159" customFormat="false" ht="15" hidden="false" customHeight="true" outlineLevel="0" collapsed="false">
      <c r="A8159" s="184"/>
      <c r="B8159" s="184"/>
      <c r="C8159" s="184"/>
      <c r="D8159" s="184"/>
      <c r="E8159" s="184"/>
      <c r="F8159" s="184"/>
      <c r="G8159" s="184"/>
      <c r="H8159" s="184"/>
      <c r="I8159" s="184"/>
      <c r="J8159" s="184"/>
      <c r="K8159" s="184"/>
      <c r="L8159" s="184"/>
      <c r="M8159" s="184"/>
      <c r="N8159" s="184"/>
      <c r="O8159" s="184"/>
    </row>
    <row r="8160" customFormat="false" ht="15" hidden="false" customHeight="true" outlineLevel="0" collapsed="false">
      <c r="A8160" s="184"/>
      <c r="B8160" s="184"/>
      <c r="C8160" s="184"/>
      <c r="D8160" s="184"/>
      <c r="E8160" s="184"/>
      <c r="F8160" s="184"/>
      <c r="G8160" s="184"/>
      <c r="H8160" s="184"/>
      <c r="I8160" s="184"/>
      <c r="J8160" s="184"/>
      <c r="K8160" s="184"/>
      <c r="L8160" s="184"/>
      <c r="M8160" s="184"/>
      <c r="N8160" s="184"/>
      <c r="O8160" s="184"/>
    </row>
    <row r="8161" customFormat="false" ht="15" hidden="false" customHeight="true" outlineLevel="0" collapsed="false">
      <c r="A8161" s="184"/>
      <c r="B8161" s="184"/>
      <c r="C8161" s="184"/>
      <c r="D8161" s="184"/>
      <c r="E8161" s="184"/>
      <c r="F8161" s="184"/>
      <c r="G8161" s="184"/>
      <c r="H8161" s="184"/>
      <c r="I8161" s="184"/>
      <c r="J8161" s="184"/>
      <c r="K8161" s="184"/>
      <c r="L8161" s="184"/>
      <c r="M8161" s="184"/>
      <c r="N8161" s="184"/>
      <c r="O8161" s="184"/>
    </row>
    <row r="8162" customFormat="false" ht="15" hidden="false" customHeight="true" outlineLevel="0" collapsed="false">
      <c r="A8162" s="184"/>
      <c r="B8162" s="184"/>
      <c r="C8162" s="184"/>
      <c r="D8162" s="184"/>
      <c r="E8162" s="184"/>
      <c r="F8162" s="184"/>
      <c r="G8162" s="184"/>
      <c r="H8162" s="184"/>
      <c r="I8162" s="184"/>
      <c r="J8162" s="184"/>
      <c r="K8162" s="184"/>
      <c r="L8162" s="184"/>
      <c r="M8162" s="184"/>
      <c r="N8162" s="184"/>
      <c r="O8162" s="184"/>
    </row>
    <row r="8163" customFormat="false" ht="15" hidden="false" customHeight="true" outlineLevel="0" collapsed="false">
      <c r="A8163" s="184"/>
      <c r="B8163" s="184"/>
      <c r="C8163" s="184"/>
      <c r="D8163" s="184"/>
      <c r="E8163" s="184"/>
      <c r="F8163" s="184"/>
      <c r="G8163" s="184"/>
      <c r="H8163" s="184"/>
      <c r="I8163" s="184"/>
      <c r="J8163" s="184"/>
      <c r="K8163" s="184"/>
      <c r="L8163" s="184"/>
      <c r="M8163" s="184"/>
      <c r="N8163" s="184"/>
      <c r="O8163" s="184"/>
    </row>
    <row r="8164" customFormat="false" ht="15" hidden="false" customHeight="true" outlineLevel="0" collapsed="false">
      <c r="A8164" s="184"/>
      <c r="B8164" s="184"/>
      <c r="C8164" s="184"/>
      <c r="D8164" s="184"/>
      <c r="E8164" s="184"/>
      <c r="F8164" s="184"/>
      <c r="G8164" s="184"/>
      <c r="H8164" s="184"/>
      <c r="I8164" s="184"/>
      <c r="J8164" s="184"/>
      <c r="K8164" s="184"/>
      <c r="L8164" s="184"/>
      <c r="M8164" s="184"/>
      <c r="N8164" s="184"/>
      <c r="O8164" s="184"/>
    </row>
    <row r="8165" customFormat="false" ht="15" hidden="false" customHeight="true" outlineLevel="0" collapsed="false">
      <c r="A8165" s="184"/>
      <c r="B8165" s="184"/>
      <c r="C8165" s="184"/>
      <c r="D8165" s="184"/>
      <c r="E8165" s="184"/>
      <c r="F8165" s="184"/>
      <c r="G8165" s="184"/>
      <c r="H8165" s="184"/>
      <c r="I8165" s="184"/>
      <c r="J8165" s="184"/>
      <c r="K8165" s="184"/>
      <c r="L8165" s="184"/>
      <c r="M8165" s="184"/>
      <c r="N8165" s="184"/>
      <c r="O8165" s="184"/>
    </row>
    <row r="8166" customFormat="false" ht="15" hidden="false" customHeight="true" outlineLevel="0" collapsed="false">
      <c r="A8166" s="184"/>
      <c r="B8166" s="184"/>
      <c r="C8166" s="184"/>
      <c r="D8166" s="184"/>
      <c r="E8166" s="184"/>
      <c r="F8166" s="184"/>
      <c r="G8166" s="184"/>
      <c r="H8166" s="184"/>
      <c r="I8166" s="184"/>
      <c r="J8166" s="184"/>
      <c r="K8166" s="184"/>
      <c r="L8166" s="184"/>
      <c r="M8166" s="184"/>
      <c r="N8166" s="184"/>
      <c r="O8166" s="184"/>
    </row>
    <row r="8167" customFormat="false" ht="15" hidden="false" customHeight="true" outlineLevel="0" collapsed="false">
      <c r="A8167" s="184"/>
      <c r="B8167" s="184"/>
      <c r="C8167" s="184"/>
      <c r="D8167" s="184"/>
      <c r="E8167" s="184"/>
      <c r="F8167" s="184"/>
      <c r="G8167" s="184"/>
      <c r="H8167" s="184"/>
      <c r="I8167" s="184"/>
      <c r="J8167" s="184"/>
      <c r="K8167" s="184"/>
      <c r="L8167" s="184"/>
      <c r="M8167" s="184"/>
      <c r="N8167" s="184"/>
      <c r="O8167" s="184"/>
    </row>
    <row r="8168" customFormat="false" ht="15" hidden="false" customHeight="true" outlineLevel="0" collapsed="false">
      <c r="A8168" s="184"/>
      <c r="B8168" s="184"/>
      <c r="C8168" s="184"/>
      <c r="D8168" s="184"/>
      <c r="E8168" s="184"/>
      <c r="F8168" s="184"/>
      <c r="G8168" s="184"/>
      <c r="H8168" s="184"/>
      <c r="I8168" s="184"/>
      <c r="J8168" s="184"/>
      <c r="K8168" s="184"/>
      <c r="L8168" s="184"/>
      <c r="M8168" s="184"/>
      <c r="N8168" s="184"/>
      <c r="O8168" s="184"/>
    </row>
    <row r="8169" customFormat="false" ht="15" hidden="false" customHeight="true" outlineLevel="0" collapsed="false">
      <c r="A8169" s="184"/>
      <c r="B8169" s="184"/>
      <c r="C8169" s="184"/>
      <c r="D8169" s="184"/>
      <c r="E8169" s="184"/>
      <c r="F8169" s="184"/>
      <c r="G8169" s="184"/>
      <c r="H8169" s="184"/>
      <c r="I8169" s="184"/>
      <c r="J8169" s="184"/>
      <c r="K8169" s="184"/>
      <c r="L8169" s="184"/>
      <c r="M8169" s="184"/>
      <c r="N8169" s="184"/>
      <c r="O8169" s="184"/>
    </row>
    <row r="8170" customFormat="false" ht="15" hidden="false" customHeight="true" outlineLevel="0" collapsed="false">
      <c r="A8170" s="184"/>
      <c r="B8170" s="184"/>
      <c r="C8170" s="184"/>
      <c r="D8170" s="184"/>
      <c r="E8170" s="184"/>
      <c r="F8170" s="184"/>
      <c r="G8170" s="184"/>
      <c r="H8170" s="184"/>
      <c r="I8170" s="184"/>
      <c r="J8170" s="184"/>
      <c r="K8170" s="184"/>
      <c r="L8170" s="184"/>
      <c r="M8170" s="184"/>
      <c r="N8170" s="184"/>
      <c r="O8170" s="184"/>
    </row>
    <row r="8171" customFormat="false" ht="15" hidden="false" customHeight="true" outlineLevel="0" collapsed="false">
      <c r="A8171" s="184"/>
      <c r="B8171" s="184"/>
      <c r="C8171" s="184"/>
      <c r="D8171" s="184"/>
      <c r="E8171" s="184"/>
      <c r="F8171" s="184"/>
      <c r="G8171" s="184"/>
      <c r="H8171" s="184"/>
      <c r="I8171" s="184"/>
      <c r="J8171" s="184"/>
      <c r="K8171" s="184"/>
      <c r="L8171" s="184"/>
      <c r="M8171" s="184"/>
      <c r="N8171" s="184"/>
      <c r="O8171" s="184"/>
    </row>
    <row r="8172" customFormat="false" ht="15" hidden="false" customHeight="true" outlineLevel="0" collapsed="false">
      <c r="A8172" s="184"/>
      <c r="B8172" s="184"/>
      <c r="C8172" s="184"/>
      <c r="D8172" s="184"/>
      <c r="E8172" s="184"/>
      <c r="F8172" s="184"/>
      <c r="G8172" s="184"/>
      <c r="H8172" s="184"/>
      <c r="I8172" s="184"/>
      <c r="J8172" s="184"/>
      <c r="K8172" s="184"/>
      <c r="L8172" s="184"/>
      <c r="M8172" s="184"/>
      <c r="N8172" s="184"/>
      <c r="O8172" s="184"/>
    </row>
    <row r="8173" customFormat="false" ht="15" hidden="false" customHeight="true" outlineLevel="0" collapsed="false">
      <c r="A8173" s="184"/>
      <c r="B8173" s="184"/>
      <c r="C8173" s="184"/>
      <c r="D8173" s="184"/>
      <c r="E8173" s="184"/>
      <c r="F8173" s="184"/>
      <c r="G8173" s="184"/>
      <c r="H8173" s="184"/>
      <c r="I8173" s="184"/>
      <c r="J8173" s="184"/>
      <c r="K8173" s="184"/>
      <c r="L8173" s="184"/>
      <c r="M8173" s="184"/>
      <c r="N8173" s="184"/>
      <c r="O8173" s="184"/>
    </row>
    <row r="8174" customFormat="false" ht="15" hidden="false" customHeight="true" outlineLevel="0" collapsed="false">
      <c r="A8174" s="184"/>
      <c r="B8174" s="184"/>
      <c r="C8174" s="184"/>
      <c r="D8174" s="184"/>
      <c r="E8174" s="184"/>
      <c r="F8174" s="184"/>
      <c r="G8174" s="184"/>
      <c r="H8174" s="184"/>
      <c r="I8174" s="184"/>
      <c r="J8174" s="184"/>
      <c r="K8174" s="184"/>
      <c r="L8174" s="184"/>
      <c r="M8174" s="184"/>
      <c r="N8174" s="184"/>
      <c r="O8174" s="184"/>
    </row>
    <row r="8175" customFormat="false" ht="15" hidden="false" customHeight="true" outlineLevel="0" collapsed="false">
      <c r="A8175" s="184"/>
      <c r="B8175" s="184"/>
      <c r="C8175" s="184"/>
      <c r="D8175" s="184"/>
      <c r="E8175" s="184"/>
      <c r="F8175" s="184"/>
      <c r="G8175" s="184"/>
      <c r="H8175" s="184"/>
      <c r="I8175" s="184"/>
      <c r="J8175" s="184"/>
      <c r="K8175" s="184"/>
      <c r="L8175" s="184"/>
      <c r="M8175" s="184"/>
      <c r="N8175" s="184"/>
      <c r="O8175" s="184"/>
    </row>
    <row r="8176" customFormat="false" ht="15" hidden="false" customHeight="true" outlineLevel="0" collapsed="false">
      <c r="A8176" s="184"/>
      <c r="B8176" s="184"/>
      <c r="C8176" s="184"/>
      <c r="D8176" s="184"/>
      <c r="E8176" s="184"/>
      <c r="F8176" s="184"/>
      <c r="G8176" s="184"/>
      <c r="H8176" s="184"/>
      <c r="I8176" s="184"/>
      <c r="J8176" s="184"/>
      <c r="K8176" s="184"/>
      <c r="L8176" s="184"/>
      <c r="M8176" s="184"/>
      <c r="N8176" s="184"/>
      <c r="O8176" s="184"/>
    </row>
    <row r="8177" customFormat="false" ht="15" hidden="false" customHeight="true" outlineLevel="0" collapsed="false">
      <c r="A8177" s="184"/>
      <c r="B8177" s="184"/>
      <c r="C8177" s="184"/>
      <c r="D8177" s="184"/>
      <c r="E8177" s="184"/>
      <c r="F8177" s="184"/>
      <c r="G8177" s="184"/>
      <c r="H8177" s="184"/>
      <c r="I8177" s="184"/>
      <c r="J8177" s="184"/>
      <c r="K8177" s="184"/>
      <c r="L8177" s="184"/>
      <c r="M8177" s="184"/>
      <c r="N8177" s="184"/>
      <c r="O8177" s="184"/>
    </row>
    <row r="8178" customFormat="false" ht="15" hidden="false" customHeight="true" outlineLevel="0" collapsed="false">
      <c r="A8178" s="184"/>
      <c r="B8178" s="184"/>
      <c r="C8178" s="184"/>
      <c r="D8178" s="184"/>
      <c r="E8178" s="184"/>
      <c r="F8178" s="184"/>
      <c r="G8178" s="184"/>
      <c r="H8178" s="184"/>
      <c r="I8178" s="184"/>
      <c r="J8178" s="184"/>
      <c r="K8178" s="184"/>
      <c r="L8178" s="184"/>
      <c r="M8178" s="184"/>
      <c r="N8178" s="184"/>
      <c r="O8178" s="184"/>
    </row>
    <row r="8179" customFormat="false" ht="15" hidden="false" customHeight="true" outlineLevel="0" collapsed="false">
      <c r="A8179" s="184"/>
      <c r="B8179" s="184"/>
      <c r="C8179" s="184"/>
      <c r="D8179" s="184"/>
      <c r="E8179" s="184"/>
      <c r="F8179" s="184"/>
      <c r="G8179" s="184"/>
      <c r="H8179" s="184"/>
      <c r="I8179" s="184"/>
      <c r="J8179" s="184"/>
      <c r="K8179" s="184"/>
      <c r="L8179" s="184"/>
      <c r="M8179" s="184"/>
      <c r="N8179" s="184"/>
      <c r="O8179" s="184"/>
    </row>
    <row r="8180" customFormat="false" ht="15" hidden="false" customHeight="true" outlineLevel="0" collapsed="false">
      <c r="A8180" s="184"/>
      <c r="B8180" s="184"/>
      <c r="C8180" s="184"/>
      <c r="D8180" s="184"/>
      <c r="E8180" s="184"/>
      <c r="F8180" s="184"/>
      <c r="G8180" s="184"/>
      <c r="H8180" s="184"/>
      <c r="I8180" s="184"/>
      <c r="J8180" s="184"/>
      <c r="K8180" s="184"/>
      <c r="L8180" s="184"/>
      <c r="M8180" s="184"/>
      <c r="N8180" s="184"/>
      <c r="O8180" s="184"/>
    </row>
    <row r="8181" customFormat="false" ht="15" hidden="false" customHeight="true" outlineLevel="0" collapsed="false">
      <c r="A8181" s="184"/>
      <c r="B8181" s="184"/>
      <c r="C8181" s="184"/>
      <c r="D8181" s="184"/>
      <c r="E8181" s="184"/>
      <c r="F8181" s="184"/>
      <c r="G8181" s="184"/>
      <c r="H8181" s="184"/>
      <c r="I8181" s="184"/>
      <c r="J8181" s="184"/>
      <c r="K8181" s="184"/>
      <c r="L8181" s="184"/>
      <c r="M8181" s="184"/>
      <c r="N8181" s="184"/>
      <c r="O8181" s="184"/>
    </row>
    <row r="8182" customFormat="false" ht="15" hidden="false" customHeight="true" outlineLevel="0" collapsed="false">
      <c r="A8182" s="184"/>
      <c r="B8182" s="184"/>
      <c r="C8182" s="184"/>
      <c r="D8182" s="184"/>
      <c r="E8182" s="184"/>
      <c r="F8182" s="184"/>
      <c r="G8182" s="184"/>
      <c r="H8182" s="184"/>
      <c r="I8182" s="184"/>
      <c r="J8182" s="184"/>
      <c r="K8182" s="184"/>
      <c r="L8182" s="184"/>
      <c r="M8182" s="184"/>
      <c r="N8182" s="184"/>
      <c r="O8182" s="184"/>
    </row>
    <row r="8183" customFormat="false" ht="15" hidden="false" customHeight="true" outlineLevel="0" collapsed="false">
      <c r="A8183" s="184"/>
      <c r="B8183" s="184"/>
      <c r="C8183" s="184"/>
      <c r="D8183" s="184"/>
      <c r="E8183" s="184"/>
      <c r="F8183" s="184"/>
      <c r="G8183" s="184"/>
      <c r="H8183" s="184"/>
      <c r="I8183" s="184"/>
      <c r="J8183" s="184"/>
      <c r="K8183" s="184"/>
      <c r="L8183" s="184"/>
      <c r="M8183" s="184"/>
      <c r="N8183" s="184"/>
      <c r="O8183" s="184"/>
    </row>
    <row r="8184" customFormat="false" ht="15" hidden="false" customHeight="true" outlineLevel="0" collapsed="false">
      <c r="A8184" s="184"/>
      <c r="B8184" s="184"/>
      <c r="C8184" s="184"/>
      <c r="D8184" s="184"/>
      <c r="E8184" s="184"/>
      <c r="F8184" s="184"/>
      <c r="G8184" s="184"/>
      <c r="H8184" s="184"/>
      <c r="I8184" s="184"/>
      <c r="J8184" s="184"/>
      <c r="K8184" s="184"/>
      <c r="L8184" s="184"/>
      <c r="M8184" s="184"/>
      <c r="N8184" s="184"/>
      <c r="O8184" s="184"/>
    </row>
    <row r="8185" customFormat="false" ht="15" hidden="false" customHeight="true" outlineLevel="0" collapsed="false">
      <c r="A8185" s="184"/>
      <c r="B8185" s="184"/>
      <c r="C8185" s="184"/>
      <c r="D8185" s="184"/>
      <c r="E8185" s="184"/>
      <c r="F8185" s="184"/>
      <c r="G8185" s="184"/>
      <c r="H8185" s="184"/>
      <c r="I8185" s="184"/>
      <c r="J8185" s="184"/>
      <c r="K8185" s="184"/>
      <c r="L8185" s="184"/>
      <c r="M8185" s="184"/>
      <c r="N8185" s="184"/>
      <c r="O8185" s="184"/>
    </row>
    <row r="8186" customFormat="false" ht="15" hidden="false" customHeight="true" outlineLevel="0" collapsed="false">
      <c r="A8186" s="184"/>
      <c r="B8186" s="184"/>
      <c r="C8186" s="184"/>
      <c r="D8186" s="184"/>
      <c r="E8186" s="184"/>
      <c r="F8186" s="184"/>
      <c r="G8186" s="184"/>
      <c r="H8186" s="184"/>
      <c r="I8186" s="184"/>
      <c r="J8186" s="184"/>
      <c r="K8186" s="184"/>
      <c r="L8186" s="184"/>
      <c r="M8186" s="184"/>
      <c r="N8186" s="184"/>
      <c r="O8186" s="184"/>
    </row>
    <row r="8187" customFormat="false" ht="15" hidden="false" customHeight="true" outlineLevel="0" collapsed="false">
      <c r="A8187" s="184"/>
      <c r="B8187" s="184"/>
      <c r="C8187" s="184"/>
      <c r="D8187" s="184"/>
      <c r="E8187" s="184"/>
      <c r="F8187" s="184"/>
      <c r="G8187" s="184"/>
      <c r="H8187" s="184"/>
      <c r="I8187" s="184"/>
      <c r="J8187" s="184"/>
      <c r="K8187" s="184"/>
      <c r="L8187" s="184"/>
      <c r="M8187" s="184"/>
      <c r="N8187" s="184"/>
      <c r="O8187" s="184"/>
    </row>
    <row r="8188" customFormat="false" ht="15" hidden="false" customHeight="true" outlineLevel="0" collapsed="false">
      <c r="A8188" s="184"/>
      <c r="B8188" s="184"/>
      <c r="C8188" s="184"/>
      <c r="D8188" s="184"/>
      <c r="E8188" s="184"/>
      <c r="F8188" s="184"/>
      <c r="G8188" s="184"/>
      <c r="H8188" s="184"/>
      <c r="I8188" s="184"/>
      <c r="J8188" s="184"/>
      <c r="K8188" s="184"/>
      <c r="L8188" s="184"/>
      <c r="M8188" s="184"/>
      <c r="N8188" s="184"/>
      <c r="O8188" s="184"/>
    </row>
    <row r="8189" customFormat="false" ht="15" hidden="false" customHeight="true" outlineLevel="0" collapsed="false">
      <c r="A8189" s="184"/>
      <c r="B8189" s="184"/>
      <c r="C8189" s="184"/>
      <c r="D8189" s="184"/>
      <c r="E8189" s="184"/>
      <c r="F8189" s="184"/>
      <c r="G8189" s="184"/>
      <c r="H8189" s="184"/>
      <c r="I8189" s="184"/>
      <c r="J8189" s="184"/>
      <c r="K8189" s="184"/>
      <c r="L8189" s="184"/>
      <c r="M8189" s="184"/>
      <c r="N8189" s="184"/>
      <c r="O8189" s="184"/>
    </row>
    <row r="8190" customFormat="false" ht="15" hidden="false" customHeight="true" outlineLevel="0" collapsed="false">
      <c r="A8190" s="184"/>
      <c r="B8190" s="184"/>
      <c r="C8190" s="184"/>
      <c r="D8190" s="184"/>
      <c r="E8190" s="184"/>
      <c r="F8190" s="184"/>
      <c r="G8190" s="184"/>
      <c r="H8190" s="184"/>
      <c r="I8190" s="184"/>
      <c r="J8190" s="184"/>
      <c r="K8190" s="184"/>
      <c r="L8190" s="184"/>
      <c r="M8190" s="184"/>
      <c r="N8190" s="184"/>
      <c r="O8190" s="184"/>
    </row>
    <row r="8191" customFormat="false" ht="15" hidden="false" customHeight="true" outlineLevel="0" collapsed="false">
      <c r="A8191" s="184"/>
      <c r="B8191" s="184"/>
      <c r="C8191" s="184"/>
      <c r="D8191" s="184"/>
      <c r="E8191" s="184"/>
      <c r="F8191" s="184"/>
      <c r="G8191" s="184"/>
      <c r="H8191" s="184"/>
      <c r="I8191" s="184"/>
      <c r="J8191" s="184"/>
      <c r="K8191" s="184"/>
      <c r="L8191" s="184"/>
      <c r="M8191" s="184"/>
      <c r="N8191" s="184"/>
      <c r="O8191" s="184"/>
    </row>
    <row r="8192" customFormat="false" ht="15" hidden="false" customHeight="true" outlineLevel="0" collapsed="false">
      <c r="A8192" s="184"/>
      <c r="B8192" s="184"/>
      <c r="C8192" s="184"/>
      <c r="D8192" s="184"/>
      <c r="E8192" s="184"/>
      <c r="F8192" s="184"/>
      <c r="G8192" s="184"/>
      <c r="H8192" s="184"/>
      <c r="I8192" s="184"/>
      <c r="J8192" s="184"/>
      <c r="K8192" s="184"/>
      <c r="L8192" s="184"/>
      <c r="M8192" s="184"/>
      <c r="N8192" s="184"/>
      <c r="O8192" s="184"/>
    </row>
    <row r="8193" customFormat="false" ht="15" hidden="false" customHeight="true" outlineLevel="0" collapsed="false">
      <c r="A8193" s="184"/>
      <c r="B8193" s="184"/>
      <c r="C8193" s="184"/>
      <c r="D8193" s="184"/>
      <c r="E8193" s="184"/>
      <c r="F8193" s="184"/>
      <c r="G8193" s="184"/>
      <c r="H8193" s="184"/>
      <c r="I8193" s="184"/>
      <c r="J8193" s="184"/>
      <c r="K8193" s="184"/>
      <c r="L8193" s="184"/>
      <c r="M8193" s="184"/>
      <c r="N8193" s="184"/>
      <c r="O8193" s="184"/>
    </row>
    <row r="8194" customFormat="false" ht="15" hidden="false" customHeight="true" outlineLevel="0" collapsed="false">
      <c r="A8194" s="184"/>
      <c r="B8194" s="184"/>
      <c r="C8194" s="184"/>
      <c r="D8194" s="184"/>
      <c r="E8194" s="184"/>
      <c r="F8194" s="184"/>
      <c r="G8194" s="184"/>
      <c r="H8194" s="184"/>
      <c r="I8194" s="184"/>
      <c r="J8194" s="184"/>
      <c r="K8194" s="184"/>
      <c r="L8194" s="184"/>
      <c r="M8194" s="184"/>
      <c r="N8194" s="184"/>
      <c r="O8194" s="184"/>
    </row>
    <row r="8195" customFormat="false" ht="15" hidden="false" customHeight="true" outlineLevel="0" collapsed="false">
      <c r="A8195" s="184"/>
      <c r="B8195" s="184"/>
      <c r="C8195" s="184"/>
      <c r="D8195" s="184"/>
      <c r="E8195" s="184"/>
      <c r="F8195" s="184"/>
      <c r="G8195" s="184"/>
      <c r="H8195" s="184"/>
      <c r="I8195" s="184"/>
      <c r="J8195" s="184"/>
      <c r="K8195" s="184"/>
      <c r="L8195" s="184"/>
      <c r="M8195" s="184"/>
      <c r="N8195" s="184"/>
      <c r="O8195" s="184"/>
    </row>
    <row r="8196" customFormat="false" ht="15" hidden="false" customHeight="true" outlineLevel="0" collapsed="false">
      <c r="A8196" s="184"/>
      <c r="B8196" s="184"/>
      <c r="C8196" s="184"/>
      <c r="D8196" s="184"/>
      <c r="E8196" s="184"/>
      <c r="F8196" s="184"/>
      <c r="G8196" s="184"/>
      <c r="H8196" s="184"/>
      <c r="I8196" s="184"/>
      <c r="J8196" s="184"/>
      <c r="K8196" s="184"/>
      <c r="L8196" s="184"/>
      <c r="M8196" s="184"/>
      <c r="N8196" s="184"/>
      <c r="O8196" s="184"/>
    </row>
    <row r="8197" customFormat="false" ht="15" hidden="false" customHeight="true" outlineLevel="0" collapsed="false">
      <c r="A8197" s="184"/>
      <c r="B8197" s="184"/>
      <c r="C8197" s="184"/>
      <c r="D8197" s="184"/>
      <c r="E8197" s="184"/>
      <c r="F8197" s="184"/>
      <c r="G8197" s="184"/>
      <c r="H8197" s="184"/>
      <c r="I8197" s="184"/>
      <c r="J8197" s="184"/>
      <c r="K8197" s="184"/>
      <c r="L8197" s="184"/>
      <c r="M8197" s="184"/>
      <c r="N8197" s="184"/>
      <c r="O8197" s="184"/>
    </row>
    <row r="8198" customFormat="false" ht="15" hidden="false" customHeight="true" outlineLevel="0" collapsed="false">
      <c r="A8198" s="184"/>
      <c r="B8198" s="184"/>
      <c r="C8198" s="184"/>
      <c r="D8198" s="184"/>
      <c r="E8198" s="184"/>
      <c r="F8198" s="184"/>
      <c r="G8198" s="184"/>
      <c r="H8198" s="184"/>
      <c r="I8198" s="184"/>
      <c r="J8198" s="184"/>
      <c r="K8198" s="184"/>
      <c r="L8198" s="184"/>
      <c r="M8198" s="184"/>
      <c r="N8198" s="184"/>
      <c r="O8198" s="184"/>
    </row>
    <row r="8199" customFormat="false" ht="15" hidden="false" customHeight="true" outlineLevel="0" collapsed="false">
      <c r="A8199" s="184"/>
      <c r="B8199" s="184"/>
      <c r="C8199" s="184"/>
      <c r="D8199" s="184"/>
      <c r="E8199" s="184"/>
      <c r="F8199" s="184"/>
      <c r="G8199" s="184"/>
      <c r="H8199" s="184"/>
      <c r="I8199" s="184"/>
      <c r="J8199" s="184"/>
      <c r="K8199" s="184"/>
      <c r="L8199" s="184"/>
      <c r="M8199" s="184"/>
      <c r="N8199" s="184"/>
      <c r="O8199" s="184"/>
    </row>
    <row r="8200" customFormat="false" ht="15" hidden="false" customHeight="true" outlineLevel="0" collapsed="false">
      <c r="A8200" s="184"/>
      <c r="B8200" s="184"/>
      <c r="C8200" s="184"/>
      <c r="D8200" s="184"/>
      <c r="E8200" s="184"/>
      <c r="F8200" s="184"/>
      <c r="G8200" s="184"/>
      <c r="H8200" s="184"/>
      <c r="I8200" s="184"/>
      <c r="J8200" s="184"/>
      <c r="K8200" s="184"/>
      <c r="L8200" s="184"/>
      <c r="M8200" s="184"/>
      <c r="N8200" s="184"/>
      <c r="O8200" s="184"/>
    </row>
    <row r="8201" customFormat="false" ht="15" hidden="false" customHeight="true" outlineLevel="0" collapsed="false">
      <c r="A8201" s="184"/>
      <c r="B8201" s="184"/>
      <c r="C8201" s="184"/>
      <c r="D8201" s="184"/>
      <c r="E8201" s="184"/>
      <c r="F8201" s="184"/>
      <c r="G8201" s="184"/>
      <c r="H8201" s="184"/>
      <c r="I8201" s="184"/>
      <c r="J8201" s="184"/>
      <c r="K8201" s="184"/>
      <c r="L8201" s="184"/>
      <c r="M8201" s="184"/>
      <c r="N8201" s="184"/>
      <c r="O8201" s="184"/>
    </row>
    <row r="8202" customFormat="false" ht="15" hidden="false" customHeight="true" outlineLevel="0" collapsed="false">
      <c r="A8202" s="184"/>
      <c r="B8202" s="184"/>
      <c r="C8202" s="184"/>
      <c r="D8202" s="184"/>
      <c r="E8202" s="184"/>
      <c r="F8202" s="184"/>
      <c r="G8202" s="184"/>
      <c r="H8202" s="184"/>
      <c r="I8202" s="184"/>
      <c r="J8202" s="184"/>
      <c r="K8202" s="184"/>
      <c r="L8202" s="184"/>
      <c r="M8202" s="184"/>
      <c r="N8202" s="184"/>
      <c r="O8202" s="184"/>
    </row>
    <row r="8203" customFormat="false" ht="15" hidden="false" customHeight="true" outlineLevel="0" collapsed="false">
      <c r="A8203" s="184"/>
      <c r="B8203" s="184"/>
      <c r="C8203" s="184"/>
      <c r="D8203" s="184"/>
      <c r="E8203" s="184"/>
      <c r="F8203" s="184"/>
      <c r="G8203" s="184"/>
      <c r="H8203" s="184"/>
      <c r="I8203" s="184"/>
      <c r="J8203" s="184"/>
      <c r="K8203" s="184"/>
      <c r="L8203" s="184"/>
      <c r="M8203" s="184"/>
      <c r="N8203" s="184"/>
      <c r="O8203" s="184"/>
    </row>
    <row r="8204" customFormat="false" ht="15" hidden="false" customHeight="true" outlineLevel="0" collapsed="false">
      <c r="A8204" s="184"/>
      <c r="B8204" s="184"/>
      <c r="C8204" s="184"/>
      <c r="D8204" s="184"/>
      <c r="E8204" s="184"/>
      <c r="F8204" s="184"/>
      <c r="G8204" s="184"/>
      <c r="H8204" s="184"/>
      <c r="I8204" s="184"/>
      <c r="J8204" s="184"/>
      <c r="K8204" s="184"/>
      <c r="L8204" s="184"/>
      <c r="M8204" s="184"/>
      <c r="N8204" s="184"/>
      <c r="O8204" s="184"/>
    </row>
    <row r="8205" customFormat="false" ht="15" hidden="false" customHeight="true" outlineLevel="0" collapsed="false">
      <c r="A8205" s="184"/>
      <c r="B8205" s="184"/>
      <c r="C8205" s="184"/>
      <c r="D8205" s="184"/>
      <c r="E8205" s="184"/>
      <c r="F8205" s="184"/>
      <c r="G8205" s="184"/>
      <c r="H8205" s="184"/>
      <c r="I8205" s="184"/>
      <c r="J8205" s="184"/>
      <c r="K8205" s="184"/>
      <c r="L8205" s="184"/>
      <c r="M8205" s="184"/>
      <c r="N8205" s="184"/>
      <c r="O8205" s="184"/>
    </row>
    <row r="8206" customFormat="false" ht="15" hidden="false" customHeight="true" outlineLevel="0" collapsed="false">
      <c r="A8206" s="184"/>
      <c r="B8206" s="184"/>
      <c r="C8206" s="184"/>
      <c r="D8206" s="184"/>
      <c r="E8206" s="184"/>
      <c r="F8206" s="184"/>
      <c r="G8206" s="184"/>
      <c r="H8206" s="184"/>
      <c r="I8206" s="184"/>
      <c r="J8206" s="184"/>
      <c r="K8206" s="184"/>
      <c r="L8206" s="184"/>
      <c r="M8206" s="184"/>
      <c r="N8206" s="184"/>
      <c r="O8206" s="184"/>
    </row>
    <row r="8207" customFormat="false" ht="15" hidden="false" customHeight="true" outlineLevel="0" collapsed="false">
      <c r="A8207" s="184"/>
      <c r="B8207" s="184"/>
      <c r="C8207" s="184"/>
      <c r="D8207" s="184"/>
      <c r="E8207" s="184"/>
      <c r="F8207" s="184"/>
      <c r="G8207" s="184"/>
      <c r="H8207" s="184"/>
      <c r="I8207" s="184"/>
      <c r="J8207" s="184"/>
      <c r="K8207" s="184"/>
      <c r="L8207" s="184"/>
      <c r="M8207" s="184"/>
      <c r="N8207" s="184"/>
      <c r="O8207" s="184"/>
    </row>
    <row r="8208" customFormat="false" ht="15" hidden="false" customHeight="true" outlineLevel="0" collapsed="false">
      <c r="A8208" s="184"/>
      <c r="B8208" s="184"/>
      <c r="C8208" s="184"/>
      <c r="D8208" s="184"/>
      <c r="E8208" s="184"/>
      <c r="F8208" s="184"/>
      <c r="G8208" s="184"/>
      <c r="H8208" s="184"/>
      <c r="I8208" s="184"/>
      <c r="J8208" s="184"/>
      <c r="K8208" s="184"/>
      <c r="L8208" s="184"/>
      <c r="M8208" s="184"/>
      <c r="N8208" s="184"/>
      <c r="O8208" s="184"/>
    </row>
    <row r="8209" customFormat="false" ht="15" hidden="false" customHeight="true" outlineLevel="0" collapsed="false">
      <c r="A8209" s="184"/>
      <c r="B8209" s="184"/>
      <c r="C8209" s="184"/>
      <c r="D8209" s="184"/>
      <c r="E8209" s="184"/>
      <c r="F8209" s="184"/>
      <c r="G8209" s="184"/>
      <c r="H8209" s="184"/>
      <c r="I8209" s="184"/>
      <c r="J8209" s="184"/>
      <c r="K8209" s="184"/>
      <c r="L8209" s="184"/>
      <c r="M8209" s="184"/>
      <c r="N8209" s="184"/>
      <c r="O8209" s="184"/>
    </row>
    <row r="8210" customFormat="false" ht="15" hidden="false" customHeight="true" outlineLevel="0" collapsed="false">
      <c r="A8210" s="184"/>
      <c r="B8210" s="184"/>
      <c r="C8210" s="184"/>
      <c r="D8210" s="184"/>
      <c r="E8210" s="184"/>
      <c r="F8210" s="184"/>
      <c r="G8210" s="184"/>
      <c r="H8210" s="184"/>
      <c r="I8210" s="184"/>
      <c r="J8210" s="184"/>
      <c r="K8210" s="184"/>
      <c r="L8210" s="184"/>
      <c r="M8210" s="184"/>
      <c r="N8210" s="184"/>
      <c r="O8210" s="184"/>
    </row>
    <row r="8211" customFormat="false" ht="15" hidden="false" customHeight="true" outlineLevel="0" collapsed="false">
      <c r="A8211" s="184"/>
      <c r="B8211" s="184"/>
      <c r="C8211" s="184"/>
      <c r="D8211" s="184"/>
      <c r="E8211" s="184"/>
      <c r="F8211" s="184"/>
      <c r="G8211" s="184"/>
      <c r="H8211" s="184"/>
      <c r="I8211" s="184"/>
      <c r="J8211" s="184"/>
      <c r="K8211" s="184"/>
      <c r="L8211" s="184"/>
      <c r="M8211" s="184"/>
      <c r="N8211" s="184"/>
      <c r="O8211" s="184"/>
    </row>
    <row r="8212" customFormat="false" ht="15" hidden="false" customHeight="true" outlineLevel="0" collapsed="false">
      <c r="A8212" s="184"/>
      <c r="B8212" s="184"/>
      <c r="C8212" s="184"/>
      <c r="D8212" s="184"/>
      <c r="E8212" s="184"/>
      <c r="F8212" s="184"/>
      <c r="G8212" s="184"/>
      <c r="H8212" s="184"/>
      <c r="I8212" s="184"/>
      <c r="J8212" s="184"/>
      <c r="K8212" s="184"/>
      <c r="L8212" s="184"/>
      <c r="M8212" s="184"/>
      <c r="N8212" s="184"/>
      <c r="O8212" s="184"/>
    </row>
    <row r="8213" customFormat="false" ht="15" hidden="false" customHeight="true" outlineLevel="0" collapsed="false">
      <c r="A8213" s="184"/>
      <c r="B8213" s="184"/>
      <c r="C8213" s="184"/>
      <c r="D8213" s="184"/>
      <c r="E8213" s="184"/>
      <c r="F8213" s="184"/>
      <c r="G8213" s="184"/>
      <c r="H8213" s="184"/>
      <c r="I8213" s="184"/>
      <c r="J8213" s="184"/>
      <c r="K8213" s="184"/>
      <c r="L8213" s="184"/>
      <c r="M8213" s="184"/>
      <c r="N8213" s="184"/>
      <c r="O8213" s="184"/>
    </row>
    <row r="8214" customFormat="false" ht="15" hidden="false" customHeight="true" outlineLevel="0" collapsed="false">
      <c r="A8214" s="184"/>
      <c r="B8214" s="184"/>
      <c r="C8214" s="184"/>
      <c r="D8214" s="184"/>
      <c r="E8214" s="184"/>
      <c r="F8214" s="184"/>
      <c r="G8214" s="184"/>
      <c r="H8214" s="184"/>
      <c r="I8214" s="184"/>
      <c r="J8214" s="184"/>
      <c r="K8214" s="184"/>
      <c r="L8214" s="184"/>
      <c r="M8214" s="184"/>
      <c r="N8214" s="184"/>
      <c r="O8214" s="184"/>
    </row>
    <row r="8215" customFormat="false" ht="15" hidden="false" customHeight="true" outlineLevel="0" collapsed="false">
      <c r="A8215" s="184"/>
      <c r="B8215" s="184"/>
      <c r="C8215" s="184"/>
      <c r="D8215" s="184"/>
      <c r="E8215" s="184"/>
      <c r="F8215" s="184"/>
      <c r="G8215" s="184"/>
      <c r="H8215" s="184"/>
      <c r="I8215" s="184"/>
      <c r="J8215" s="184"/>
      <c r="K8215" s="184"/>
      <c r="L8215" s="184"/>
      <c r="M8215" s="184"/>
      <c r="N8215" s="184"/>
      <c r="O8215" s="184"/>
    </row>
    <row r="8216" customFormat="false" ht="15" hidden="false" customHeight="true" outlineLevel="0" collapsed="false">
      <c r="A8216" s="184"/>
      <c r="B8216" s="184"/>
      <c r="C8216" s="184"/>
      <c r="D8216" s="184"/>
      <c r="E8216" s="184"/>
      <c r="F8216" s="184"/>
      <c r="G8216" s="184"/>
      <c r="H8216" s="184"/>
      <c r="I8216" s="184"/>
      <c r="J8216" s="184"/>
      <c r="K8216" s="184"/>
      <c r="L8216" s="184"/>
      <c r="M8216" s="184"/>
      <c r="N8216" s="184"/>
      <c r="O8216" s="184"/>
    </row>
    <row r="8217" customFormat="false" ht="15" hidden="false" customHeight="true" outlineLevel="0" collapsed="false">
      <c r="A8217" s="184"/>
      <c r="B8217" s="184"/>
      <c r="C8217" s="184"/>
      <c r="D8217" s="184"/>
      <c r="E8217" s="184"/>
      <c r="F8217" s="184"/>
      <c r="G8217" s="184"/>
      <c r="H8217" s="184"/>
      <c r="I8217" s="184"/>
      <c r="J8217" s="184"/>
      <c r="K8217" s="184"/>
      <c r="L8217" s="184"/>
      <c r="M8217" s="184"/>
      <c r="N8217" s="184"/>
      <c r="O8217" s="184"/>
    </row>
    <row r="8218" customFormat="false" ht="15" hidden="false" customHeight="true" outlineLevel="0" collapsed="false">
      <c r="A8218" s="184"/>
      <c r="B8218" s="184"/>
      <c r="C8218" s="184"/>
      <c r="D8218" s="184"/>
      <c r="E8218" s="184"/>
      <c r="F8218" s="184"/>
      <c r="G8218" s="184"/>
      <c r="H8218" s="184"/>
      <c r="I8218" s="184"/>
      <c r="J8218" s="184"/>
      <c r="K8218" s="184"/>
      <c r="L8218" s="184"/>
      <c r="M8218" s="184"/>
      <c r="N8218" s="184"/>
      <c r="O8218" s="184"/>
    </row>
    <row r="8219" customFormat="false" ht="15" hidden="false" customHeight="true" outlineLevel="0" collapsed="false">
      <c r="A8219" s="184"/>
      <c r="B8219" s="184"/>
      <c r="C8219" s="184"/>
      <c r="D8219" s="184"/>
      <c r="E8219" s="184"/>
      <c r="F8219" s="184"/>
      <c r="G8219" s="184"/>
      <c r="H8219" s="184"/>
      <c r="I8219" s="184"/>
      <c r="J8219" s="184"/>
      <c r="K8219" s="184"/>
      <c r="L8219" s="184"/>
      <c r="M8219" s="184"/>
      <c r="N8219" s="184"/>
      <c r="O8219" s="184"/>
    </row>
    <row r="8220" customFormat="false" ht="15" hidden="false" customHeight="true" outlineLevel="0" collapsed="false">
      <c r="A8220" s="184"/>
      <c r="B8220" s="184"/>
      <c r="C8220" s="184"/>
      <c r="D8220" s="184"/>
      <c r="E8220" s="184"/>
      <c r="F8220" s="184"/>
      <c r="G8220" s="184"/>
      <c r="H8220" s="184"/>
      <c r="I8220" s="184"/>
      <c r="J8220" s="184"/>
      <c r="K8220" s="184"/>
      <c r="L8220" s="184"/>
      <c r="M8220" s="184"/>
      <c r="N8220" s="184"/>
      <c r="O8220" s="184"/>
    </row>
    <row r="8221" customFormat="false" ht="15" hidden="false" customHeight="true" outlineLevel="0" collapsed="false">
      <c r="A8221" s="184"/>
      <c r="B8221" s="184"/>
      <c r="C8221" s="184"/>
      <c r="D8221" s="184"/>
      <c r="E8221" s="184"/>
      <c r="F8221" s="184"/>
      <c r="G8221" s="184"/>
      <c r="H8221" s="184"/>
      <c r="I8221" s="184"/>
      <c r="J8221" s="184"/>
      <c r="K8221" s="184"/>
      <c r="L8221" s="184"/>
      <c r="M8221" s="184"/>
      <c r="N8221" s="184"/>
      <c r="O8221" s="184"/>
    </row>
    <row r="8222" customFormat="false" ht="15" hidden="false" customHeight="true" outlineLevel="0" collapsed="false">
      <c r="A8222" s="184"/>
      <c r="B8222" s="184"/>
      <c r="C8222" s="184"/>
      <c r="D8222" s="184"/>
      <c r="E8222" s="184"/>
      <c r="F8222" s="184"/>
      <c r="G8222" s="184"/>
      <c r="H8222" s="184"/>
      <c r="I8222" s="184"/>
      <c r="J8222" s="184"/>
      <c r="K8222" s="184"/>
      <c r="L8222" s="184"/>
      <c r="M8222" s="184"/>
      <c r="N8222" s="184"/>
      <c r="O8222" s="184"/>
    </row>
    <row r="8223" customFormat="false" ht="15" hidden="false" customHeight="true" outlineLevel="0" collapsed="false">
      <c r="A8223" s="184"/>
      <c r="B8223" s="184"/>
      <c r="C8223" s="184"/>
      <c r="D8223" s="184"/>
      <c r="E8223" s="184"/>
      <c r="F8223" s="184"/>
      <c r="G8223" s="184"/>
      <c r="H8223" s="184"/>
      <c r="I8223" s="184"/>
      <c r="J8223" s="184"/>
      <c r="K8223" s="184"/>
      <c r="L8223" s="184"/>
      <c r="M8223" s="184"/>
      <c r="N8223" s="184"/>
      <c r="O8223" s="184"/>
    </row>
    <row r="8224" customFormat="false" ht="15" hidden="false" customHeight="true" outlineLevel="0" collapsed="false">
      <c r="A8224" s="184"/>
      <c r="B8224" s="184"/>
      <c r="C8224" s="184"/>
      <c r="D8224" s="184"/>
      <c r="E8224" s="184"/>
      <c r="F8224" s="184"/>
      <c r="G8224" s="184"/>
      <c r="H8224" s="184"/>
      <c r="I8224" s="184"/>
      <c r="J8224" s="184"/>
      <c r="K8224" s="184"/>
      <c r="L8224" s="184"/>
      <c r="M8224" s="184"/>
      <c r="N8224" s="184"/>
      <c r="O8224" s="184"/>
    </row>
    <row r="8225" customFormat="false" ht="15" hidden="false" customHeight="true" outlineLevel="0" collapsed="false">
      <c r="A8225" s="184"/>
      <c r="B8225" s="184"/>
      <c r="C8225" s="184"/>
      <c r="D8225" s="184"/>
      <c r="E8225" s="184"/>
      <c r="F8225" s="184"/>
      <c r="G8225" s="184"/>
      <c r="H8225" s="184"/>
      <c r="I8225" s="184"/>
      <c r="J8225" s="184"/>
      <c r="K8225" s="184"/>
      <c r="L8225" s="184"/>
      <c r="M8225" s="184"/>
      <c r="N8225" s="184"/>
      <c r="O8225" s="184"/>
    </row>
    <row r="8226" customFormat="false" ht="15" hidden="false" customHeight="true" outlineLevel="0" collapsed="false">
      <c r="A8226" s="184"/>
      <c r="B8226" s="184"/>
      <c r="C8226" s="184"/>
      <c r="D8226" s="184"/>
      <c r="E8226" s="184"/>
      <c r="F8226" s="184"/>
      <c r="G8226" s="184"/>
      <c r="H8226" s="184"/>
      <c r="I8226" s="184"/>
      <c r="J8226" s="184"/>
      <c r="K8226" s="184"/>
      <c r="L8226" s="184"/>
      <c r="M8226" s="184"/>
      <c r="N8226" s="184"/>
      <c r="O8226" s="184"/>
    </row>
    <row r="8227" customFormat="false" ht="15" hidden="false" customHeight="true" outlineLevel="0" collapsed="false">
      <c r="A8227" s="184"/>
      <c r="B8227" s="184"/>
      <c r="C8227" s="184"/>
      <c r="D8227" s="184"/>
      <c r="E8227" s="184"/>
      <c r="F8227" s="184"/>
      <c r="G8227" s="184"/>
      <c r="H8227" s="184"/>
      <c r="I8227" s="184"/>
      <c r="J8227" s="184"/>
      <c r="K8227" s="184"/>
      <c r="L8227" s="184"/>
      <c r="M8227" s="184"/>
      <c r="N8227" s="184"/>
      <c r="O8227" s="184"/>
    </row>
    <row r="8228" customFormat="false" ht="15" hidden="false" customHeight="true" outlineLevel="0" collapsed="false">
      <c r="A8228" s="184"/>
      <c r="B8228" s="184"/>
      <c r="C8228" s="184"/>
      <c r="D8228" s="184"/>
      <c r="E8228" s="184"/>
      <c r="F8228" s="184"/>
      <c r="G8228" s="184"/>
      <c r="H8228" s="184"/>
      <c r="I8228" s="184"/>
      <c r="J8228" s="184"/>
      <c r="K8228" s="184"/>
      <c r="L8228" s="184"/>
      <c r="M8228" s="184"/>
      <c r="N8228" s="184"/>
      <c r="O8228" s="184"/>
    </row>
    <row r="8229" customFormat="false" ht="15" hidden="false" customHeight="true" outlineLevel="0" collapsed="false">
      <c r="A8229" s="184"/>
      <c r="B8229" s="184"/>
      <c r="C8229" s="184"/>
      <c r="D8229" s="184"/>
      <c r="E8229" s="184"/>
      <c r="F8229" s="184"/>
      <c r="G8229" s="184"/>
      <c r="H8229" s="184"/>
      <c r="I8229" s="184"/>
      <c r="J8229" s="184"/>
      <c r="K8229" s="184"/>
      <c r="L8229" s="184"/>
      <c r="M8229" s="184"/>
      <c r="N8229" s="184"/>
      <c r="O8229" s="184"/>
    </row>
    <row r="8230" customFormat="false" ht="15" hidden="false" customHeight="true" outlineLevel="0" collapsed="false">
      <c r="A8230" s="184"/>
      <c r="B8230" s="184"/>
      <c r="C8230" s="184"/>
      <c r="D8230" s="184"/>
      <c r="E8230" s="184"/>
      <c r="F8230" s="184"/>
      <c r="G8230" s="184"/>
      <c r="H8230" s="184"/>
      <c r="I8230" s="184"/>
      <c r="J8230" s="184"/>
      <c r="K8230" s="184"/>
      <c r="L8230" s="184"/>
      <c r="M8230" s="184"/>
      <c r="N8230" s="184"/>
      <c r="O8230" s="184"/>
    </row>
    <row r="8231" customFormat="false" ht="15" hidden="false" customHeight="true" outlineLevel="0" collapsed="false">
      <c r="A8231" s="184"/>
      <c r="B8231" s="184"/>
      <c r="C8231" s="184"/>
      <c r="D8231" s="184"/>
      <c r="E8231" s="184"/>
      <c r="F8231" s="184"/>
      <c r="G8231" s="184"/>
      <c r="H8231" s="184"/>
      <c r="I8231" s="184"/>
      <c r="J8231" s="184"/>
      <c r="K8231" s="184"/>
      <c r="L8231" s="184"/>
      <c r="M8231" s="184"/>
      <c r="N8231" s="184"/>
      <c r="O8231" s="184"/>
    </row>
    <row r="8232" customFormat="false" ht="68.25" hidden="false" customHeight="true" outlineLevel="0" collapsed="false">
      <c r="A8232" s="184" t="s">
        <v>5038</v>
      </c>
      <c r="B8232" s="184" t="s">
        <v>5039</v>
      </c>
      <c r="C8232" s="184"/>
      <c r="D8232" s="179" t="s">
        <v>4858</v>
      </c>
      <c r="E8232" s="184" t="s">
        <v>7353</v>
      </c>
      <c r="F8232" s="184"/>
      <c r="G8232" s="184"/>
      <c r="H8232" s="184"/>
      <c r="I8232" s="184"/>
      <c r="J8232" s="184"/>
      <c r="K8232" s="184"/>
      <c r="L8232" s="184"/>
      <c r="M8232" s="184" t="s">
        <v>7308</v>
      </c>
      <c r="N8232" s="184"/>
      <c r="O8232" s="184"/>
    </row>
    <row r="8233" customFormat="false" ht="27.75" hidden="false" customHeight="true" outlineLevel="0" collapsed="false">
      <c r="A8233" s="184" t="s">
        <v>5038</v>
      </c>
      <c r="B8233" s="184" t="s">
        <v>5039</v>
      </c>
      <c r="C8233" s="184" t="n">
        <v>1</v>
      </c>
      <c r="D8233" s="184" t="s">
        <v>4790</v>
      </c>
      <c r="E8233" s="184" t="s">
        <v>7019</v>
      </c>
      <c r="F8233" s="184"/>
      <c r="G8233" s="184"/>
      <c r="H8233" s="184"/>
      <c r="I8233" s="184"/>
      <c r="J8233" s="184"/>
      <c r="K8233" s="184"/>
      <c r="L8233" s="184"/>
      <c r="M8233" s="184" t="s">
        <v>7020</v>
      </c>
      <c r="N8233" s="184"/>
      <c r="O8233" s="184"/>
    </row>
    <row r="8234" customFormat="false" ht="41.25" hidden="false" customHeight="true" outlineLevel="0" collapsed="false">
      <c r="A8234" s="184" t="s">
        <v>5038</v>
      </c>
      <c r="B8234" s="184" t="s">
        <v>5039</v>
      </c>
      <c r="C8234" s="184" t="n">
        <v>2</v>
      </c>
      <c r="D8234" s="184" t="s">
        <v>4790</v>
      </c>
      <c r="E8234" s="184" t="s">
        <v>7021</v>
      </c>
      <c r="F8234" s="184"/>
      <c r="G8234" s="184"/>
      <c r="H8234" s="184"/>
      <c r="I8234" s="184"/>
      <c r="J8234" s="184"/>
      <c r="K8234" s="184"/>
      <c r="L8234" s="184"/>
      <c r="M8234" s="184" t="s">
        <v>7022</v>
      </c>
      <c r="N8234" s="184"/>
      <c r="O8234" s="184"/>
    </row>
    <row r="8235" customFormat="false" ht="41.25" hidden="false" customHeight="true" outlineLevel="0" collapsed="false">
      <c r="A8235" s="184" t="s">
        <v>5038</v>
      </c>
      <c r="B8235" s="184" t="s">
        <v>5039</v>
      </c>
      <c r="C8235" s="184" t="n">
        <v>3</v>
      </c>
      <c r="D8235" s="184" t="s">
        <v>4790</v>
      </c>
      <c r="E8235" s="184" t="s">
        <v>7023</v>
      </c>
      <c r="F8235" s="184"/>
      <c r="G8235" s="184"/>
      <c r="H8235" s="184"/>
      <c r="I8235" s="184"/>
      <c r="J8235" s="184"/>
      <c r="K8235" s="184"/>
      <c r="L8235" s="184"/>
      <c r="M8235" s="184" t="s">
        <v>7024</v>
      </c>
      <c r="N8235" s="184"/>
      <c r="O8235" s="184"/>
    </row>
    <row r="8236" customFormat="false" ht="27.75" hidden="false" customHeight="true" outlineLevel="0" collapsed="false">
      <c r="A8236" s="184" t="s">
        <v>5038</v>
      </c>
      <c r="B8236" s="184" t="s">
        <v>5039</v>
      </c>
      <c r="C8236" s="184" t="n">
        <v>4</v>
      </c>
      <c r="D8236" s="184" t="s">
        <v>4790</v>
      </c>
      <c r="E8236" s="184" t="s">
        <v>7309</v>
      </c>
      <c r="F8236" s="184"/>
      <c r="G8236" s="184"/>
      <c r="H8236" s="184"/>
      <c r="I8236" s="184"/>
      <c r="J8236" s="184"/>
      <c r="K8236" s="184"/>
      <c r="L8236" s="184"/>
      <c r="M8236" s="184" t="s">
        <v>7310</v>
      </c>
      <c r="N8236" s="184"/>
      <c r="O8236" s="184"/>
    </row>
    <row r="8237" customFormat="false" ht="54.75" hidden="false" customHeight="true" outlineLevel="0" collapsed="false">
      <c r="A8237" s="184" t="s">
        <v>5038</v>
      </c>
      <c r="B8237" s="184" t="s">
        <v>5039</v>
      </c>
      <c r="C8237" s="184" t="n">
        <v>5</v>
      </c>
      <c r="D8237" s="184" t="s">
        <v>4790</v>
      </c>
      <c r="E8237" s="184" t="s">
        <v>7311</v>
      </c>
      <c r="F8237" s="184"/>
      <c r="G8237" s="184"/>
      <c r="H8237" s="184"/>
      <c r="I8237" s="184"/>
      <c r="J8237" s="184"/>
      <c r="K8237" s="184"/>
      <c r="L8237" s="184"/>
      <c r="M8237" s="184" t="s">
        <v>7312</v>
      </c>
      <c r="N8237" s="184"/>
      <c r="O8237" s="184"/>
    </row>
    <row r="8238" customFormat="false" ht="27.75" hidden="false" customHeight="true" outlineLevel="0" collapsed="false">
      <c r="A8238" s="184" t="s">
        <v>5038</v>
      </c>
      <c r="B8238" s="184" t="s">
        <v>5039</v>
      </c>
      <c r="C8238" s="184" t="n">
        <v>6</v>
      </c>
      <c r="D8238" s="179" t="s">
        <v>6292</v>
      </c>
      <c r="E8238" s="184" t="s">
        <v>7075</v>
      </c>
      <c r="F8238" s="184"/>
      <c r="G8238" s="184"/>
      <c r="H8238" s="184"/>
      <c r="I8238" s="184"/>
      <c r="J8238" s="184"/>
      <c r="K8238" s="184"/>
      <c r="L8238" s="184"/>
      <c r="M8238" s="184"/>
      <c r="N8238" s="184"/>
      <c r="O8238" s="184"/>
    </row>
    <row r="8239" customFormat="false" ht="27.75" hidden="false" customHeight="true" outlineLevel="0" collapsed="false">
      <c r="A8239" s="184" t="s">
        <v>5038</v>
      </c>
      <c r="B8239" s="184" t="s">
        <v>5039</v>
      </c>
      <c r="C8239" s="184" t="n">
        <v>7</v>
      </c>
      <c r="D8239" s="178" t="s">
        <v>5269</v>
      </c>
      <c r="E8239" s="184" t="s">
        <v>7076</v>
      </c>
      <c r="F8239" s="184"/>
      <c r="G8239" s="184"/>
      <c r="H8239" s="184"/>
      <c r="I8239" s="184"/>
      <c r="J8239" s="184"/>
      <c r="K8239" s="184"/>
      <c r="L8239" s="184"/>
      <c r="M8239" s="184" t="s">
        <v>7077</v>
      </c>
      <c r="N8239" s="184"/>
      <c r="O8239" s="184"/>
    </row>
    <row r="8240" customFormat="false" ht="27.75" hidden="false" customHeight="true" outlineLevel="0" collapsed="false">
      <c r="A8240" s="184" t="s">
        <v>5038</v>
      </c>
      <c r="B8240" s="184" t="s">
        <v>5039</v>
      </c>
      <c r="C8240" s="184" t="n">
        <v>8</v>
      </c>
      <c r="D8240" s="178" t="s">
        <v>5269</v>
      </c>
      <c r="E8240" s="184" t="s">
        <v>7078</v>
      </c>
      <c r="F8240" s="184"/>
      <c r="G8240" s="184"/>
      <c r="H8240" s="184"/>
      <c r="I8240" s="184"/>
      <c r="J8240" s="184"/>
      <c r="K8240" s="184"/>
      <c r="L8240" s="184"/>
      <c r="M8240" s="184" t="s">
        <v>7079</v>
      </c>
      <c r="N8240" s="184"/>
      <c r="O8240" s="184"/>
    </row>
    <row r="8241" customFormat="false" ht="27.75" hidden="false" customHeight="true" outlineLevel="0" collapsed="false">
      <c r="A8241" s="184" t="s">
        <v>5038</v>
      </c>
      <c r="B8241" s="184" t="s">
        <v>5039</v>
      </c>
      <c r="C8241" s="184" t="n">
        <v>9</v>
      </c>
      <c r="D8241" s="178" t="s">
        <v>5269</v>
      </c>
      <c r="E8241" s="184" t="s">
        <v>7080</v>
      </c>
      <c r="F8241" s="184"/>
      <c r="G8241" s="184"/>
      <c r="H8241" s="184"/>
      <c r="I8241" s="184"/>
      <c r="J8241" s="184"/>
      <c r="K8241" s="184"/>
      <c r="L8241" s="184"/>
      <c r="M8241" s="184" t="s">
        <v>7081</v>
      </c>
      <c r="N8241" s="184"/>
      <c r="O8241" s="184"/>
    </row>
    <row r="8242" customFormat="false" ht="27.75" hidden="false" customHeight="true" outlineLevel="0" collapsed="false">
      <c r="A8242" s="184" t="s">
        <v>5038</v>
      </c>
      <c r="B8242" s="184" t="s">
        <v>5039</v>
      </c>
      <c r="C8242" s="184" t="n">
        <v>10</v>
      </c>
      <c r="D8242" s="177" t="s">
        <v>6298</v>
      </c>
      <c r="E8242" s="184" t="s">
        <v>7313</v>
      </c>
      <c r="F8242" s="184"/>
      <c r="G8242" s="184"/>
      <c r="H8242" s="184"/>
      <c r="I8242" s="184"/>
      <c r="J8242" s="184"/>
      <c r="K8242" s="184"/>
      <c r="L8242" s="184"/>
      <c r="M8242" s="184"/>
      <c r="N8242" s="184"/>
      <c r="O8242" s="184"/>
    </row>
    <row r="8243" customFormat="false" ht="27.75" hidden="false" customHeight="true" outlineLevel="0" collapsed="false">
      <c r="A8243" s="184" t="s">
        <v>5038</v>
      </c>
      <c r="B8243" s="184" t="s">
        <v>5039</v>
      </c>
      <c r="C8243" s="184" t="n">
        <v>11</v>
      </c>
      <c r="D8243" s="174" t="s">
        <v>6529</v>
      </c>
      <c r="E8243" s="184" t="s">
        <v>7314</v>
      </c>
      <c r="F8243" s="184"/>
      <c r="G8243" s="184"/>
      <c r="H8243" s="184"/>
      <c r="I8243" s="184"/>
      <c r="J8243" s="184"/>
      <c r="K8243" s="184"/>
      <c r="L8243" s="184"/>
      <c r="M8243" s="184" t="s">
        <v>7315</v>
      </c>
      <c r="N8243" s="184"/>
      <c r="O8243" s="184"/>
    </row>
    <row r="8244" customFormat="false" ht="27.75" hidden="false" customHeight="true" outlineLevel="0" collapsed="false">
      <c r="A8244" s="184" t="s">
        <v>5038</v>
      </c>
      <c r="B8244" s="184" t="s">
        <v>5039</v>
      </c>
      <c r="C8244" s="184" t="n">
        <v>12</v>
      </c>
      <c r="D8244" s="184" t="s">
        <v>4790</v>
      </c>
      <c r="E8244" s="184" t="s">
        <v>7354</v>
      </c>
      <c r="F8244" s="184"/>
      <c r="G8244" s="184"/>
      <c r="H8244" s="184"/>
      <c r="I8244" s="184"/>
      <c r="J8244" s="184"/>
      <c r="K8244" s="184"/>
      <c r="L8244" s="184"/>
      <c r="M8244" s="184" t="s">
        <v>7355</v>
      </c>
      <c r="N8244" s="184"/>
      <c r="O8244" s="184"/>
    </row>
    <row r="8245" customFormat="false" ht="27.75" hidden="false" customHeight="true" outlineLevel="0" collapsed="false">
      <c r="A8245" s="184" t="s">
        <v>5038</v>
      </c>
      <c r="B8245" s="184" t="s">
        <v>5039</v>
      </c>
      <c r="C8245" s="184" t="n">
        <v>13</v>
      </c>
      <c r="D8245" s="184" t="s">
        <v>4790</v>
      </c>
      <c r="E8245" s="184" t="s">
        <v>7356</v>
      </c>
      <c r="F8245" s="184"/>
      <c r="G8245" s="184"/>
      <c r="H8245" s="184"/>
      <c r="I8245" s="184"/>
      <c r="J8245" s="184"/>
      <c r="K8245" s="184"/>
      <c r="L8245" s="184"/>
      <c r="M8245" s="184" t="s">
        <v>7357</v>
      </c>
      <c r="N8245" s="184"/>
      <c r="O8245" s="184"/>
    </row>
    <row r="8246" customFormat="false" ht="27.75" hidden="false" customHeight="true" outlineLevel="0" collapsed="false">
      <c r="A8246" s="184" t="s">
        <v>5038</v>
      </c>
      <c r="B8246" s="184" t="s">
        <v>5039</v>
      </c>
      <c r="C8246" s="184" t="n">
        <v>14</v>
      </c>
      <c r="D8246" s="184" t="s">
        <v>4790</v>
      </c>
      <c r="E8246" s="184" t="s">
        <v>7358</v>
      </c>
      <c r="F8246" s="184"/>
      <c r="G8246" s="184"/>
      <c r="H8246" s="184"/>
      <c r="I8246" s="184"/>
      <c r="J8246" s="184"/>
      <c r="K8246" s="184"/>
      <c r="L8246" s="184"/>
      <c r="M8246" s="184" t="s">
        <v>7359</v>
      </c>
      <c r="N8246" s="184"/>
      <c r="O8246" s="184"/>
    </row>
    <row r="8247" customFormat="false" ht="27.75" hidden="false" customHeight="true" outlineLevel="0" collapsed="false">
      <c r="A8247" s="184" t="s">
        <v>5038</v>
      </c>
      <c r="B8247" s="184" t="s">
        <v>5039</v>
      </c>
      <c r="C8247" s="184" t="n">
        <v>15</v>
      </c>
      <c r="D8247" s="184" t="s">
        <v>4790</v>
      </c>
      <c r="E8247" s="184" t="s">
        <v>7360</v>
      </c>
      <c r="F8247" s="184"/>
      <c r="G8247" s="184"/>
      <c r="H8247" s="184"/>
      <c r="I8247" s="184"/>
      <c r="J8247" s="184"/>
      <c r="K8247" s="184"/>
      <c r="L8247" s="184"/>
      <c r="M8247" s="184" t="s">
        <v>7361</v>
      </c>
      <c r="N8247" s="184"/>
      <c r="O8247" s="184"/>
    </row>
    <row r="8248" customFormat="false" ht="27.75" hidden="false" customHeight="true" outlineLevel="0" collapsed="false">
      <c r="A8248" s="184" t="s">
        <v>5038</v>
      </c>
      <c r="B8248" s="184" t="s">
        <v>5039</v>
      </c>
      <c r="C8248" s="184" t="n">
        <v>16</v>
      </c>
      <c r="D8248" s="184" t="s">
        <v>4790</v>
      </c>
      <c r="E8248" s="184" t="s">
        <v>7362</v>
      </c>
      <c r="F8248" s="184"/>
      <c r="G8248" s="184"/>
      <c r="H8248" s="184"/>
      <c r="I8248" s="184"/>
      <c r="J8248" s="184"/>
      <c r="K8248" s="184"/>
      <c r="L8248" s="184"/>
      <c r="M8248" s="184" t="s">
        <v>7363</v>
      </c>
      <c r="N8248" s="184"/>
      <c r="O8248" s="184"/>
    </row>
    <row r="8249" customFormat="false" ht="27.75" hidden="false" customHeight="true" outlineLevel="0" collapsed="false">
      <c r="A8249" s="184" t="s">
        <v>5038</v>
      </c>
      <c r="B8249" s="184" t="s">
        <v>5039</v>
      </c>
      <c r="C8249" s="184" t="n">
        <v>17</v>
      </c>
      <c r="D8249" s="184" t="s">
        <v>4790</v>
      </c>
      <c r="E8249" s="184" t="s">
        <v>7364</v>
      </c>
      <c r="F8249" s="184"/>
      <c r="G8249" s="184"/>
      <c r="H8249" s="184"/>
      <c r="I8249" s="184"/>
      <c r="J8249" s="184"/>
      <c r="K8249" s="184"/>
      <c r="L8249" s="184"/>
      <c r="M8249" s="184" t="s">
        <v>7365</v>
      </c>
      <c r="N8249" s="184"/>
      <c r="O8249" s="184"/>
    </row>
    <row r="8250" customFormat="false" ht="27.75" hidden="false" customHeight="true" outlineLevel="0" collapsed="false">
      <c r="A8250" s="184" t="s">
        <v>5038</v>
      </c>
      <c r="B8250" s="184" t="s">
        <v>5039</v>
      </c>
      <c r="C8250" s="184" t="n">
        <v>18</v>
      </c>
      <c r="D8250" s="184" t="s">
        <v>4790</v>
      </c>
      <c r="E8250" s="184" t="s">
        <v>7366</v>
      </c>
      <c r="F8250" s="184"/>
      <c r="G8250" s="184"/>
      <c r="H8250" s="184"/>
      <c r="I8250" s="184"/>
      <c r="J8250" s="184"/>
      <c r="K8250" s="184"/>
      <c r="L8250" s="184"/>
      <c r="M8250" s="184" t="s">
        <v>7367</v>
      </c>
      <c r="N8250" s="184"/>
      <c r="O8250" s="184"/>
    </row>
    <row r="8251" customFormat="false" ht="27.75" hidden="false" customHeight="true" outlineLevel="0" collapsed="false">
      <c r="A8251" s="184" t="s">
        <v>5038</v>
      </c>
      <c r="B8251" s="184" t="s">
        <v>5039</v>
      </c>
      <c r="C8251" s="184" t="n">
        <v>19</v>
      </c>
      <c r="D8251" s="184" t="s">
        <v>4790</v>
      </c>
      <c r="E8251" s="184" t="s">
        <v>7368</v>
      </c>
      <c r="F8251" s="184"/>
      <c r="G8251" s="184"/>
      <c r="H8251" s="184"/>
      <c r="I8251" s="184"/>
      <c r="J8251" s="184"/>
      <c r="K8251" s="184"/>
      <c r="L8251" s="184"/>
      <c r="M8251" s="184" t="s">
        <v>7369</v>
      </c>
      <c r="N8251" s="184"/>
      <c r="O8251" s="184"/>
    </row>
    <row r="8252" customFormat="false" ht="27.75" hidden="false" customHeight="true" outlineLevel="0" collapsed="false">
      <c r="A8252" s="184" t="s">
        <v>5038</v>
      </c>
      <c r="B8252" s="184" t="s">
        <v>5039</v>
      </c>
      <c r="C8252" s="184" t="n">
        <v>20</v>
      </c>
      <c r="D8252" s="184" t="s">
        <v>4790</v>
      </c>
      <c r="E8252" s="184" t="s">
        <v>7370</v>
      </c>
      <c r="F8252" s="184"/>
      <c r="G8252" s="184"/>
      <c r="H8252" s="184"/>
      <c r="I8252" s="184"/>
      <c r="J8252" s="184"/>
      <c r="K8252" s="184"/>
      <c r="L8252" s="184"/>
      <c r="M8252" s="184" t="s">
        <v>7371</v>
      </c>
      <c r="N8252" s="184"/>
      <c r="O8252" s="184"/>
    </row>
    <row r="8253" customFormat="false" ht="27.75" hidden="false" customHeight="true" outlineLevel="0" collapsed="false">
      <c r="A8253" s="184" t="s">
        <v>5038</v>
      </c>
      <c r="B8253" s="184" t="s">
        <v>5039</v>
      </c>
      <c r="C8253" s="184" t="n">
        <v>21</v>
      </c>
      <c r="D8253" s="184" t="s">
        <v>6296</v>
      </c>
      <c r="E8253" s="184" t="s">
        <v>7334</v>
      </c>
      <c r="F8253" s="184"/>
      <c r="G8253" s="184"/>
      <c r="H8253" s="184"/>
      <c r="I8253" s="184"/>
      <c r="J8253" s="184"/>
      <c r="K8253" s="184"/>
      <c r="L8253" s="184"/>
      <c r="M8253" s="184"/>
      <c r="N8253" s="184"/>
      <c r="O8253" s="184"/>
    </row>
    <row r="8254" customFormat="false" ht="81.75" hidden="false" customHeight="true" outlineLevel="0" collapsed="false">
      <c r="A8254" s="184" t="s">
        <v>5038</v>
      </c>
      <c r="B8254" s="184" t="s">
        <v>5039</v>
      </c>
      <c r="C8254" s="184" t="n">
        <v>22</v>
      </c>
      <c r="D8254" s="184" t="s">
        <v>6294</v>
      </c>
      <c r="E8254" s="184" t="s">
        <v>7335</v>
      </c>
      <c r="F8254" s="184"/>
      <c r="G8254" s="184"/>
      <c r="H8254" s="184"/>
      <c r="I8254" s="184"/>
      <c r="J8254" s="184"/>
      <c r="K8254" s="184"/>
      <c r="L8254" s="184"/>
      <c r="M8254" s="184"/>
      <c r="N8254" s="184"/>
      <c r="O8254" s="184"/>
    </row>
    <row r="8255" customFormat="false" ht="15" hidden="false" customHeight="true" outlineLevel="0" collapsed="false">
      <c r="A8255" s="184"/>
      <c r="B8255" s="184"/>
      <c r="C8255" s="184"/>
      <c r="D8255" s="184"/>
      <c r="E8255" s="184"/>
      <c r="F8255" s="184"/>
      <c r="G8255" s="184"/>
      <c r="H8255" s="184"/>
      <c r="I8255" s="184"/>
      <c r="J8255" s="184"/>
      <c r="K8255" s="184"/>
      <c r="L8255" s="184"/>
      <c r="M8255" s="184"/>
      <c r="N8255" s="184"/>
      <c r="O8255" s="184"/>
    </row>
    <row r="8256" customFormat="false" ht="15" hidden="false" customHeight="true" outlineLevel="0" collapsed="false">
      <c r="A8256" s="184"/>
      <c r="B8256" s="184"/>
      <c r="C8256" s="184"/>
      <c r="D8256" s="184"/>
      <c r="E8256" s="184"/>
      <c r="F8256" s="184"/>
      <c r="G8256" s="184"/>
      <c r="H8256" s="184"/>
      <c r="I8256" s="184"/>
      <c r="J8256" s="184"/>
      <c r="K8256" s="184"/>
      <c r="L8256" s="184"/>
      <c r="M8256" s="184"/>
      <c r="N8256" s="184"/>
      <c r="O8256" s="184"/>
    </row>
    <row r="8257" customFormat="false" ht="15" hidden="false" customHeight="true" outlineLevel="0" collapsed="false">
      <c r="A8257" s="184"/>
      <c r="B8257" s="184"/>
      <c r="C8257" s="184"/>
      <c r="D8257" s="184"/>
      <c r="E8257" s="184"/>
      <c r="F8257" s="184"/>
      <c r="G8257" s="184"/>
      <c r="H8257" s="184"/>
      <c r="I8257" s="184"/>
      <c r="J8257" s="184"/>
      <c r="K8257" s="184"/>
      <c r="L8257" s="184"/>
      <c r="M8257" s="184"/>
      <c r="N8257" s="184"/>
      <c r="O8257" s="184"/>
    </row>
    <row r="8258" customFormat="false" ht="15" hidden="false" customHeight="true" outlineLevel="0" collapsed="false">
      <c r="A8258" s="184"/>
      <c r="B8258" s="184"/>
      <c r="C8258" s="184"/>
      <c r="D8258" s="184"/>
      <c r="E8258" s="184"/>
      <c r="F8258" s="184"/>
      <c r="G8258" s="184"/>
      <c r="H8258" s="184"/>
      <c r="I8258" s="184"/>
      <c r="J8258" s="184"/>
      <c r="K8258" s="184"/>
      <c r="L8258" s="184"/>
      <c r="M8258" s="184"/>
      <c r="N8258" s="184"/>
      <c r="O8258" s="184"/>
    </row>
    <row r="8259" customFormat="false" ht="15" hidden="false" customHeight="true" outlineLevel="0" collapsed="false">
      <c r="A8259" s="184"/>
      <c r="B8259" s="184"/>
      <c r="C8259" s="184"/>
      <c r="D8259" s="184"/>
      <c r="E8259" s="184"/>
      <c r="F8259" s="184"/>
      <c r="G8259" s="184"/>
      <c r="H8259" s="184"/>
      <c r="I8259" s="184"/>
      <c r="J8259" s="184"/>
      <c r="K8259" s="184"/>
      <c r="L8259" s="184"/>
      <c r="M8259" s="184"/>
      <c r="N8259" s="184"/>
      <c r="O8259" s="184"/>
    </row>
    <row r="8260" customFormat="false" ht="15" hidden="false" customHeight="true" outlineLevel="0" collapsed="false">
      <c r="A8260" s="184"/>
      <c r="B8260" s="184"/>
      <c r="C8260" s="184"/>
      <c r="D8260" s="184"/>
      <c r="E8260" s="184"/>
      <c r="F8260" s="184"/>
      <c r="G8260" s="184"/>
      <c r="H8260" s="184"/>
      <c r="I8260" s="184"/>
      <c r="J8260" s="184"/>
      <c r="K8260" s="184"/>
      <c r="L8260" s="184"/>
      <c r="M8260" s="184"/>
      <c r="N8260" s="184"/>
      <c r="O8260" s="184"/>
    </row>
    <row r="8261" customFormat="false" ht="15" hidden="false" customHeight="true" outlineLevel="0" collapsed="false">
      <c r="A8261" s="184"/>
      <c r="B8261" s="184"/>
      <c r="C8261" s="184"/>
      <c r="D8261" s="184"/>
      <c r="E8261" s="184"/>
      <c r="F8261" s="184"/>
      <c r="G8261" s="184"/>
      <c r="H8261" s="184"/>
      <c r="I8261" s="184"/>
      <c r="J8261" s="184"/>
      <c r="K8261" s="184"/>
      <c r="L8261" s="184"/>
      <c r="M8261" s="184"/>
      <c r="N8261" s="184"/>
      <c r="O8261" s="184"/>
    </row>
    <row r="8262" customFormat="false" ht="15" hidden="false" customHeight="true" outlineLevel="0" collapsed="false">
      <c r="A8262" s="184"/>
      <c r="B8262" s="184"/>
      <c r="C8262" s="184"/>
      <c r="D8262" s="184"/>
      <c r="E8262" s="184"/>
      <c r="F8262" s="184"/>
      <c r="G8262" s="184"/>
      <c r="H8262" s="184"/>
      <c r="I8262" s="184"/>
      <c r="J8262" s="184"/>
      <c r="K8262" s="184"/>
      <c r="L8262" s="184"/>
      <c r="M8262" s="184"/>
      <c r="N8262" s="184"/>
      <c r="O8262" s="184"/>
    </row>
    <row r="8263" customFormat="false" ht="15" hidden="false" customHeight="true" outlineLevel="0" collapsed="false">
      <c r="A8263" s="184"/>
      <c r="B8263" s="184"/>
      <c r="C8263" s="184"/>
      <c r="D8263" s="184"/>
      <c r="E8263" s="184"/>
      <c r="F8263" s="184"/>
      <c r="G8263" s="184"/>
      <c r="H8263" s="184"/>
      <c r="I8263" s="184"/>
      <c r="J8263" s="184"/>
      <c r="K8263" s="184"/>
      <c r="L8263" s="184"/>
      <c r="M8263" s="184"/>
      <c r="N8263" s="184"/>
      <c r="O8263" s="184"/>
    </row>
    <row r="8264" customFormat="false" ht="15" hidden="false" customHeight="true" outlineLevel="0" collapsed="false">
      <c r="A8264" s="184"/>
      <c r="B8264" s="184"/>
      <c r="C8264" s="184"/>
      <c r="D8264" s="184"/>
      <c r="E8264" s="184"/>
      <c r="F8264" s="184"/>
      <c r="G8264" s="184"/>
      <c r="H8264" s="184"/>
      <c r="I8264" s="184"/>
      <c r="J8264" s="184"/>
      <c r="K8264" s="184"/>
      <c r="L8264" s="184"/>
      <c r="M8264" s="184"/>
      <c r="N8264" s="184"/>
      <c r="O8264" s="184"/>
    </row>
    <row r="8265" customFormat="false" ht="15" hidden="false" customHeight="true" outlineLevel="0" collapsed="false">
      <c r="A8265" s="184"/>
      <c r="B8265" s="184"/>
      <c r="C8265" s="184"/>
      <c r="D8265" s="184"/>
      <c r="E8265" s="184"/>
      <c r="F8265" s="184"/>
      <c r="G8265" s="184"/>
      <c r="H8265" s="184"/>
      <c r="I8265" s="184"/>
      <c r="J8265" s="184"/>
      <c r="K8265" s="184"/>
      <c r="L8265" s="184"/>
      <c r="M8265" s="184"/>
      <c r="N8265" s="184"/>
      <c r="O8265" s="184"/>
    </row>
    <row r="8266" customFormat="false" ht="15" hidden="false" customHeight="true" outlineLevel="0" collapsed="false">
      <c r="A8266" s="184"/>
      <c r="B8266" s="184"/>
      <c r="C8266" s="184"/>
      <c r="D8266" s="184"/>
      <c r="E8266" s="184"/>
      <c r="F8266" s="184"/>
      <c r="G8266" s="184"/>
      <c r="H8266" s="184"/>
      <c r="I8266" s="184"/>
      <c r="J8266" s="184"/>
      <c r="K8266" s="184"/>
      <c r="L8266" s="184"/>
      <c r="M8266" s="184"/>
      <c r="N8266" s="184"/>
      <c r="O8266" s="184"/>
    </row>
    <row r="8267" customFormat="false" ht="15" hidden="false" customHeight="true" outlineLevel="0" collapsed="false">
      <c r="A8267" s="184"/>
      <c r="B8267" s="184"/>
      <c r="C8267" s="184"/>
      <c r="D8267" s="184"/>
      <c r="E8267" s="184"/>
      <c r="F8267" s="184"/>
      <c r="G8267" s="184"/>
      <c r="H8267" s="184"/>
      <c r="I8267" s="184"/>
      <c r="J8267" s="184"/>
      <c r="K8267" s="184"/>
      <c r="L8267" s="184"/>
      <c r="M8267" s="184"/>
      <c r="N8267" s="184"/>
      <c r="O8267" s="184"/>
    </row>
    <row r="8268" customFormat="false" ht="15" hidden="false" customHeight="true" outlineLevel="0" collapsed="false">
      <c r="A8268" s="184"/>
      <c r="B8268" s="184"/>
      <c r="C8268" s="184"/>
      <c r="D8268" s="184"/>
      <c r="E8268" s="184"/>
      <c r="F8268" s="184"/>
      <c r="G8268" s="184"/>
      <c r="H8268" s="184"/>
      <c r="I8268" s="184"/>
      <c r="J8268" s="184"/>
      <c r="K8268" s="184"/>
      <c r="L8268" s="184"/>
      <c r="M8268" s="184"/>
      <c r="N8268" s="184"/>
      <c r="O8268" s="184"/>
    </row>
    <row r="8269" customFormat="false" ht="15" hidden="false" customHeight="true" outlineLevel="0" collapsed="false">
      <c r="A8269" s="184"/>
      <c r="B8269" s="184"/>
      <c r="C8269" s="184"/>
      <c r="D8269" s="184"/>
      <c r="E8269" s="184"/>
      <c r="F8269" s="184"/>
      <c r="G8269" s="184"/>
      <c r="H8269" s="184"/>
      <c r="I8269" s="184"/>
      <c r="J8269" s="184"/>
      <c r="K8269" s="184"/>
      <c r="L8269" s="184"/>
      <c r="M8269" s="184"/>
      <c r="N8269" s="184"/>
      <c r="O8269" s="184"/>
    </row>
    <row r="8270" customFormat="false" ht="15" hidden="false" customHeight="true" outlineLevel="0" collapsed="false">
      <c r="A8270" s="184"/>
      <c r="B8270" s="184"/>
      <c r="C8270" s="184"/>
      <c r="D8270" s="184"/>
      <c r="E8270" s="184"/>
      <c r="F8270" s="184"/>
      <c r="G8270" s="184"/>
      <c r="H8270" s="184"/>
      <c r="I8270" s="184"/>
      <c r="J8270" s="184"/>
      <c r="K8270" s="184"/>
      <c r="L8270" s="184"/>
      <c r="M8270" s="184"/>
      <c r="N8270" s="184"/>
      <c r="O8270" s="184"/>
    </row>
    <row r="8271" customFormat="false" ht="15" hidden="false" customHeight="true" outlineLevel="0" collapsed="false">
      <c r="A8271" s="184"/>
      <c r="B8271" s="184"/>
      <c r="C8271" s="184"/>
      <c r="D8271" s="184"/>
      <c r="E8271" s="184"/>
      <c r="F8271" s="184"/>
      <c r="G8271" s="184"/>
      <c r="H8271" s="184"/>
      <c r="I8271" s="184"/>
      <c r="J8271" s="184"/>
      <c r="K8271" s="184"/>
      <c r="L8271" s="184"/>
      <c r="M8271" s="184"/>
      <c r="N8271" s="184"/>
      <c r="O8271" s="184"/>
    </row>
    <row r="8272" customFormat="false" ht="15" hidden="false" customHeight="true" outlineLevel="0" collapsed="false">
      <c r="A8272" s="184"/>
      <c r="B8272" s="184"/>
      <c r="C8272" s="184"/>
      <c r="D8272" s="184"/>
      <c r="E8272" s="184"/>
      <c r="F8272" s="184"/>
      <c r="G8272" s="184"/>
      <c r="H8272" s="184"/>
      <c r="I8272" s="184"/>
      <c r="J8272" s="184"/>
      <c r="K8272" s="184"/>
      <c r="L8272" s="184"/>
      <c r="M8272" s="184"/>
      <c r="N8272" s="184"/>
      <c r="O8272" s="184"/>
    </row>
    <row r="8273" customFormat="false" ht="15" hidden="false" customHeight="true" outlineLevel="0" collapsed="false">
      <c r="A8273" s="184"/>
      <c r="B8273" s="184"/>
      <c r="C8273" s="184"/>
      <c r="D8273" s="184"/>
      <c r="E8273" s="184"/>
      <c r="F8273" s="184"/>
      <c r="G8273" s="184"/>
      <c r="H8273" s="184"/>
      <c r="I8273" s="184"/>
      <c r="J8273" s="184"/>
      <c r="K8273" s="184"/>
      <c r="L8273" s="184"/>
      <c r="M8273" s="184"/>
      <c r="N8273" s="184"/>
      <c r="O8273" s="184"/>
    </row>
    <row r="8274" customFormat="false" ht="15" hidden="false" customHeight="true" outlineLevel="0" collapsed="false">
      <c r="A8274" s="184"/>
      <c r="B8274" s="184"/>
      <c r="C8274" s="184"/>
      <c r="D8274" s="184"/>
      <c r="E8274" s="184"/>
      <c r="F8274" s="184"/>
      <c r="G8274" s="184"/>
      <c r="H8274" s="184"/>
      <c r="I8274" s="184"/>
      <c r="J8274" s="184"/>
      <c r="K8274" s="184"/>
      <c r="L8274" s="184"/>
      <c r="M8274" s="184"/>
      <c r="N8274" s="184"/>
      <c r="O8274" s="184"/>
    </row>
    <row r="8275" customFormat="false" ht="15" hidden="false" customHeight="true" outlineLevel="0" collapsed="false">
      <c r="A8275" s="184"/>
      <c r="B8275" s="184"/>
      <c r="C8275" s="184"/>
      <c r="D8275" s="184"/>
      <c r="E8275" s="184"/>
      <c r="F8275" s="184"/>
      <c r="G8275" s="184"/>
      <c r="H8275" s="184"/>
      <c r="I8275" s="184"/>
      <c r="J8275" s="184"/>
      <c r="K8275" s="184"/>
      <c r="L8275" s="184"/>
      <c r="M8275" s="184"/>
      <c r="N8275" s="184"/>
      <c r="O8275" s="184"/>
    </row>
    <row r="8276" customFormat="false" ht="15" hidden="false" customHeight="true" outlineLevel="0" collapsed="false">
      <c r="A8276" s="184"/>
      <c r="B8276" s="184"/>
      <c r="C8276" s="184"/>
      <c r="D8276" s="184"/>
      <c r="E8276" s="184"/>
      <c r="F8276" s="184"/>
      <c r="G8276" s="184"/>
      <c r="H8276" s="184"/>
      <c r="I8276" s="184"/>
      <c r="J8276" s="184"/>
      <c r="K8276" s="184"/>
      <c r="L8276" s="184"/>
      <c r="M8276" s="184"/>
      <c r="N8276" s="184"/>
      <c r="O8276" s="184"/>
    </row>
    <row r="8277" customFormat="false" ht="15" hidden="false" customHeight="true" outlineLevel="0" collapsed="false">
      <c r="A8277" s="184"/>
      <c r="B8277" s="184"/>
      <c r="C8277" s="184"/>
      <c r="D8277" s="184"/>
      <c r="E8277" s="184"/>
      <c r="F8277" s="184"/>
      <c r="G8277" s="184"/>
      <c r="H8277" s="184"/>
      <c r="I8277" s="184"/>
      <c r="J8277" s="184"/>
      <c r="K8277" s="184"/>
      <c r="L8277" s="184"/>
      <c r="M8277" s="184"/>
      <c r="N8277" s="184"/>
      <c r="O8277" s="184"/>
    </row>
    <row r="8278" customFormat="false" ht="15" hidden="false" customHeight="true" outlineLevel="0" collapsed="false">
      <c r="A8278" s="184"/>
      <c r="B8278" s="184"/>
      <c r="C8278" s="184"/>
      <c r="D8278" s="184"/>
      <c r="E8278" s="184"/>
      <c r="F8278" s="184"/>
      <c r="G8278" s="184"/>
      <c r="H8278" s="184"/>
      <c r="I8278" s="184"/>
      <c r="J8278" s="184"/>
      <c r="K8278" s="184"/>
      <c r="L8278" s="184"/>
      <c r="M8278" s="184"/>
      <c r="N8278" s="184"/>
      <c r="O8278" s="184"/>
    </row>
    <row r="8279" customFormat="false" ht="15" hidden="false" customHeight="true" outlineLevel="0" collapsed="false">
      <c r="A8279" s="184"/>
      <c r="B8279" s="184"/>
      <c r="C8279" s="184"/>
      <c r="D8279" s="184"/>
      <c r="E8279" s="184"/>
      <c r="F8279" s="184"/>
      <c r="G8279" s="184"/>
      <c r="H8279" s="184"/>
      <c r="I8279" s="184"/>
      <c r="J8279" s="184"/>
      <c r="K8279" s="184"/>
      <c r="L8279" s="184"/>
      <c r="M8279" s="184"/>
      <c r="N8279" s="184"/>
      <c r="O8279" s="184"/>
    </row>
    <row r="8280" customFormat="false" ht="15" hidden="false" customHeight="true" outlineLevel="0" collapsed="false">
      <c r="A8280" s="184"/>
      <c r="B8280" s="184"/>
      <c r="C8280" s="184"/>
      <c r="D8280" s="184"/>
      <c r="E8280" s="184"/>
      <c r="F8280" s="184"/>
      <c r="G8280" s="184"/>
      <c r="H8280" s="184"/>
      <c r="I8280" s="184"/>
      <c r="J8280" s="184"/>
      <c r="K8280" s="184"/>
      <c r="L8280" s="184"/>
      <c r="M8280" s="184"/>
      <c r="N8280" s="184"/>
      <c r="O8280" s="184"/>
    </row>
    <row r="8281" customFormat="false" ht="15" hidden="false" customHeight="true" outlineLevel="0" collapsed="false">
      <c r="A8281" s="184"/>
      <c r="B8281" s="184"/>
      <c r="C8281" s="184"/>
      <c r="D8281" s="184"/>
      <c r="E8281" s="184"/>
      <c r="F8281" s="184"/>
      <c r="G8281" s="184"/>
      <c r="H8281" s="184"/>
      <c r="I8281" s="184"/>
      <c r="J8281" s="184"/>
      <c r="K8281" s="184"/>
      <c r="L8281" s="184"/>
      <c r="M8281" s="184"/>
      <c r="N8281" s="184"/>
      <c r="O8281" s="184"/>
    </row>
    <row r="8282" customFormat="false" ht="15" hidden="false" customHeight="true" outlineLevel="0" collapsed="false">
      <c r="A8282" s="184"/>
      <c r="B8282" s="184"/>
      <c r="C8282" s="184"/>
      <c r="D8282" s="184"/>
      <c r="E8282" s="184"/>
      <c r="F8282" s="184"/>
      <c r="G8282" s="184"/>
      <c r="H8282" s="184"/>
      <c r="I8282" s="184"/>
      <c r="J8282" s="184"/>
      <c r="K8282" s="184"/>
      <c r="L8282" s="184"/>
      <c r="M8282" s="184"/>
      <c r="N8282" s="184"/>
      <c r="O8282" s="184"/>
    </row>
    <row r="8283" customFormat="false" ht="15" hidden="false" customHeight="true" outlineLevel="0" collapsed="false">
      <c r="A8283" s="184"/>
      <c r="B8283" s="184"/>
      <c r="C8283" s="184"/>
      <c r="D8283" s="184"/>
      <c r="E8283" s="184"/>
      <c r="F8283" s="184"/>
      <c r="G8283" s="184"/>
      <c r="H8283" s="184"/>
      <c r="I8283" s="184"/>
      <c r="J8283" s="184"/>
      <c r="K8283" s="184"/>
      <c r="L8283" s="184"/>
      <c r="M8283" s="184"/>
      <c r="N8283" s="184"/>
      <c r="O8283" s="184"/>
    </row>
    <row r="8284" customFormat="false" ht="15" hidden="false" customHeight="true" outlineLevel="0" collapsed="false">
      <c r="A8284" s="184"/>
      <c r="B8284" s="184"/>
      <c r="C8284" s="184"/>
      <c r="D8284" s="184"/>
      <c r="E8284" s="184"/>
      <c r="F8284" s="184"/>
      <c r="G8284" s="184"/>
      <c r="H8284" s="184"/>
      <c r="I8284" s="184"/>
      <c r="J8284" s="184"/>
      <c r="K8284" s="184"/>
      <c r="L8284" s="184"/>
      <c r="M8284" s="184"/>
      <c r="N8284" s="184"/>
      <c r="O8284" s="184"/>
    </row>
    <row r="8285" customFormat="false" ht="15" hidden="false" customHeight="true" outlineLevel="0" collapsed="false">
      <c r="A8285" s="184"/>
      <c r="B8285" s="184"/>
      <c r="C8285" s="184"/>
      <c r="D8285" s="184"/>
      <c r="E8285" s="184"/>
      <c r="F8285" s="184"/>
      <c r="G8285" s="184"/>
      <c r="H8285" s="184"/>
      <c r="I8285" s="184"/>
      <c r="J8285" s="184"/>
      <c r="K8285" s="184"/>
      <c r="L8285" s="184"/>
      <c r="M8285" s="184"/>
      <c r="N8285" s="184"/>
      <c r="O8285" s="184"/>
    </row>
    <row r="8286" customFormat="false" ht="15" hidden="false" customHeight="true" outlineLevel="0" collapsed="false">
      <c r="A8286" s="184"/>
      <c r="B8286" s="184"/>
      <c r="C8286" s="184"/>
      <c r="D8286" s="184"/>
      <c r="E8286" s="184"/>
      <c r="F8286" s="184"/>
      <c r="G8286" s="184"/>
      <c r="H8286" s="184"/>
      <c r="I8286" s="184"/>
      <c r="J8286" s="184"/>
      <c r="K8286" s="184"/>
      <c r="L8286" s="184"/>
      <c r="M8286" s="184"/>
      <c r="N8286" s="184"/>
      <c r="O8286" s="184"/>
    </row>
    <row r="8287" customFormat="false" ht="15" hidden="false" customHeight="true" outlineLevel="0" collapsed="false">
      <c r="A8287" s="184"/>
      <c r="B8287" s="184"/>
      <c r="C8287" s="184"/>
      <c r="D8287" s="184"/>
      <c r="E8287" s="184"/>
      <c r="F8287" s="184"/>
      <c r="G8287" s="184"/>
      <c r="H8287" s="184"/>
      <c r="I8287" s="184"/>
      <c r="J8287" s="184"/>
      <c r="K8287" s="184"/>
      <c r="L8287" s="184"/>
      <c r="M8287" s="184"/>
      <c r="N8287" s="184"/>
      <c r="O8287" s="184"/>
    </row>
    <row r="8288" customFormat="false" ht="15" hidden="false" customHeight="true" outlineLevel="0" collapsed="false">
      <c r="A8288" s="184"/>
      <c r="B8288" s="184"/>
      <c r="C8288" s="184"/>
      <c r="D8288" s="184"/>
      <c r="E8288" s="184"/>
      <c r="F8288" s="184"/>
      <c r="G8288" s="184"/>
      <c r="H8288" s="184"/>
      <c r="I8288" s="184"/>
      <c r="J8288" s="184"/>
      <c r="K8288" s="184"/>
      <c r="L8288" s="184"/>
      <c r="M8288" s="184"/>
      <c r="N8288" s="184"/>
      <c r="O8288" s="184"/>
    </row>
    <row r="8289" customFormat="false" ht="15" hidden="false" customHeight="true" outlineLevel="0" collapsed="false">
      <c r="A8289" s="184"/>
      <c r="B8289" s="184"/>
      <c r="C8289" s="184"/>
      <c r="D8289" s="184"/>
      <c r="E8289" s="184"/>
      <c r="F8289" s="184"/>
      <c r="G8289" s="184"/>
      <c r="H8289" s="184"/>
      <c r="I8289" s="184"/>
      <c r="J8289" s="184"/>
      <c r="K8289" s="184"/>
      <c r="L8289" s="184"/>
      <c r="M8289" s="184"/>
      <c r="N8289" s="184"/>
      <c r="O8289" s="184"/>
    </row>
    <row r="8290" customFormat="false" ht="15" hidden="false" customHeight="true" outlineLevel="0" collapsed="false">
      <c r="A8290" s="184"/>
      <c r="B8290" s="184"/>
      <c r="C8290" s="184"/>
      <c r="D8290" s="184"/>
      <c r="E8290" s="184"/>
      <c r="F8290" s="184"/>
      <c r="G8290" s="184"/>
      <c r="H8290" s="184"/>
      <c r="I8290" s="184"/>
      <c r="J8290" s="184"/>
      <c r="K8290" s="184"/>
      <c r="L8290" s="184"/>
      <c r="M8290" s="184"/>
      <c r="N8290" s="184"/>
      <c r="O8290" s="184"/>
    </row>
    <row r="8291" customFormat="false" ht="15" hidden="false" customHeight="true" outlineLevel="0" collapsed="false">
      <c r="A8291" s="184"/>
      <c r="B8291" s="184"/>
      <c r="C8291" s="184"/>
      <c r="D8291" s="184"/>
      <c r="E8291" s="184"/>
      <c r="F8291" s="184"/>
      <c r="G8291" s="184"/>
      <c r="H8291" s="184"/>
      <c r="I8291" s="184"/>
      <c r="J8291" s="184"/>
      <c r="K8291" s="184"/>
      <c r="L8291" s="184"/>
      <c r="M8291" s="184"/>
      <c r="N8291" s="184"/>
      <c r="O8291" s="184"/>
    </row>
    <row r="8292" customFormat="false" ht="15" hidden="false" customHeight="true" outlineLevel="0" collapsed="false">
      <c r="A8292" s="184"/>
      <c r="B8292" s="184"/>
      <c r="C8292" s="184"/>
      <c r="D8292" s="184"/>
      <c r="E8292" s="184"/>
      <c r="F8292" s="184"/>
      <c r="G8292" s="184"/>
      <c r="H8292" s="184"/>
      <c r="I8292" s="184"/>
      <c r="J8292" s="184"/>
      <c r="K8292" s="184"/>
      <c r="L8292" s="184"/>
      <c r="M8292" s="184"/>
      <c r="N8292" s="184"/>
      <c r="O8292" s="184"/>
    </row>
    <row r="8293" customFormat="false" ht="15" hidden="false" customHeight="true" outlineLevel="0" collapsed="false">
      <c r="A8293" s="184"/>
      <c r="B8293" s="184"/>
      <c r="C8293" s="184"/>
      <c r="D8293" s="184"/>
      <c r="E8293" s="184"/>
      <c r="F8293" s="184"/>
      <c r="G8293" s="184"/>
      <c r="H8293" s="184"/>
      <c r="I8293" s="184"/>
      <c r="J8293" s="184"/>
      <c r="K8293" s="184"/>
      <c r="L8293" s="184"/>
      <c r="M8293" s="184"/>
      <c r="N8293" s="184"/>
      <c r="O8293" s="184"/>
    </row>
    <row r="8294" customFormat="false" ht="15" hidden="false" customHeight="true" outlineLevel="0" collapsed="false">
      <c r="A8294" s="184"/>
      <c r="B8294" s="184"/>
      <c r="C8294" s="184"/>
      <c r="D8294" s="184"/>
      <c r="E8294" s="184"/>
      <c r="F8294" s="184"/>
      <c r="G8294" s="184"/>
      <c r="H8294" s="184"/>
      <c r="I8294" s="184"/>
      <c r="J8294" s="184"/>
      <c r="K8294" s="184"/>
      <c r="L8294" s="184"/>
      <c r="M8294" s="184"/>
      <c r="N8294" s="184"/>
      <c r="O8294" s="184"/>
    </row>
    <row r="8295" customFormat="false" ht="15" hidden="false" customHeight="true" outlineLevel="0" collapsed="false">
      <c r="A8295" s="184"/>
      <c r="B8295" s="184"/>
      <c r="C8295" s="184"/>
      <c r="D8295" s="184"/>
      <c r="E8295" s="184"/>
      <c r="F8295" s="184"/>
      <c r="G8295" s="184"/>
      <c r="H8295" s="184"/>
      <c r="I8295" s="184"/>
      <c r="J8295" s="184"/>
      <c r="K8295" s="184"/>
      <c r="L8295" s="184"/>
      <c r="M8295" s="184"/>
      <c r="N8295" s="184"/>
      <c r="O8295" s="184"/>
    </row>
    <row r="8296" customFormat="false" ht="15" hidden="false" customHeight="true" outlineLevel="0" collapsed="false">
      <c r="A8296" s="184"/>
      <c r="B8296" s="184"/>
      <c r="C8296" s="184"/>
      <c r="D8296" s="184"/>
      <c r="E8296" s="184"/>
      <c r="F8296" s="184"/>
      <c r="G8296" s="184"/>
      <c r="H8296" s="184"/>
      <c r="I8296" s="184"/>
      <c r="J8296" s="184"/>
      <c r="K8296" s="184"/>
      <c r="L8296" s="184"/>
      <c r="M8296" s="184"/>
      <c r="N8296" s="184"/>
      <c r="O8296" s="184"/>
    </row>
    <row r="8297" customFormat="false" ht="15" hidden="false" customHeight="true" outlineLevel="0" collapsed="false">
      <c r="A8297" s="184"/>
      <c r="B8297" s="184"/>
      <c r="C8297" s="184"/>
      <c r="D8297" s="184"/>
      <c r="E8297" s="184"/>
      <c r="F8297" s="184"/>
      <c r="G8297" s="184"/>
      <c r="H8297" s="184"/>
      <c r="I8297" s="184"/>
      <c r="J8297" s="184"/>
      <c r="K8297" s="184"/>
      <c r="L8297" s="184"/>
      <c r="M8297" s="184"/>
      <c r="N8297" s="184"/>
      <c r="O8297" s="184"/>
    </row>
    <row r="8298" customFormat="false" ht="15" hidden="false" customHeight="true" outlineLevel="0" collapsed="false">
      <c r="A8298" s="184"/>
      <c r="B8298" s="184"/>
      <c r="C8298" s="184"/>
      <c r="D8298" s="184"/>
      <c r="E8298" s="184"/>
      <c r="F8298" s="184"/>
      <c r="G8298" s="184"/>
      <c r="H8298" s="184"/>
      <c r="I8298" s="184"/>
      <c r="J8298" s="184"/>
      <c r="K8298" s="184"/>
      <c r="L8298" s="184"/>
      <c r="M8298" s="184"/>
      <c r="N8298" s="184"/>
      <c r="O8298" s="184"/>
    </row>
    <row r="8299" customFormat="false" ht="15" hidden="false" customHeight="true" outlineLevel="0" collapsed="false">
      <c r="A8299" s="184"/>
      <c r="B8299" s="184"/>
      <c r="C8299" s="184"/>
      <c r="D8299" s="184"/>
      <c r="E8299" s="184"/>
      <c r="F8299" s="184"/>
      <c r="G8299" s="184"/>
      <c r="H8299" s="184"/>
      <c r="I8299" s="184"/>
      <c r="J8299" s="184"/>
      <c r="K8299" s="184"/>
      <c r="L8299" s="184"/>
      <c r="M8299" s="184"/>
      <c r="N8299" s="184"/>
      <c r="O8299" s="184"/>
    </row>
    <row r="8300" customFormat="false" ht="15" hidden="false" customHeight="true" outlineLevel="0" collapsed="false">
      <c r="A8300" s="184"/>
      <c r="B8300" s="184"/>
      <c r="C8300" s="184"/>
      <c r="D8300" s="184"/>
      <c r="E8300" s="184"/>
      <c r="F8300" s="184"/>
      <c r="G8300" s="184"/>
      <c r="H8300" s="184"/>
      <c r="I8300" s="184"/>
      <c r="J8300" s="184"/>
      <c r="K8300" s="184"/>
      <c r="L8300" s="184"/>
      <c r="M8300" s="184"/>
      <c r="N8300" s="184"/>
      <c r="O8300" s="184"/>
    </row>
    <row r="8301" customFormat="false" ht="15" hidden="false" customHeight="true" outlineLevel="0" collapsed="false">
      <c r="A8301" s="184"/>
      <c r="B8301" s="184"/>
      <c r="C8301" s="184"/>
      <c r="D8301" s="184"/>
      <c r="E8301" s="184"/>
      <c r="F8301" s="184"/>
      <c r="G8301" s="184"/>
      <c r="H8301" s="184"/>
      <c r="I8301" s="184"/>
      <c r="J8301" s="184"/>
      <c r="K8301" s="184"/>
      <c r="L8301" s="184"/>
      <c r="M8301" s="184"/>
      <c r="N8301" s="184"/>
      <c r="O8301" s="184"/>
    </row>
    <row r="8302" customFormat="false" ht="15" hidden="false" customHeight="true" outlineLevel="0" collapsed="false">
      <c r="A8302" s="184"/>
      <c r="B8302" s="184"/>
      <c r="C8302" s="184"/>
      <c r="D8302" s="184"/>
      <c r="E8302" s="184"/>
      <c r="F8302" s="184"/>
      <c r="G8302" s="184"/>
      <c r="H8302" s="184"/>
      <c r="I8302" s="184"/>
      <c r="J8302" s="184"/>
      <c r="K8302" s="184"/>
      <c r="L8302" s="184"/>
      <c r="M8302" s="184"/>
      <c r="N8302" s="184"/>
      <c r="O8302" s="184"/>
    </row>
    <row r="8303" customFormat="false" ht="15" hidden="false" customHeight="true" outlineLevel="0" collapsed="false">
      <c r="A8303" s="184"/>
      <c r="B8303" s="184"/>
      <c r="C8303" s="184"/>
      <c r="D8303" s="184"/>
      <c r="E8303" s="184"/>
      <c r="F8303" s="184"/>
      <c r="G8303" s="184"/>
      <c r="H8303" s="184"/>
      <c r="I8303" s="184"/>
      <c r="J8303" s="184"/>
      <c r="K8303" s="184"/>
      <c r="L8303" s="184"/>
      <c r="M8303" s="184"/>
      <c r="N8303" s="184"/>
      <c r="O8303" s="184"/>
    </row>
    <row r="8304" customFormat="false" ht="15" hidden="false" customHeight="true" outlineLevel="0" collapsed="false">
      <c r="A8304" s="184"/>
      <c r="B8304" s="184"/>
      <c r="C8304" s="184"/>
      <c r="D8304" s="184"/>
      <c r="E8304" s="184"/>
      <c r="F8304" s="184"/>
      <c r="G8304" s="184"/>
      <c r="H8304" s="184"/>
      <c r="I8304" s="184"/>
      <c r="J8304" s="184"/>
      <c r="K8304" s="184"/>
      <c r="L8304" s="184"/>
      <c r="M8304" s="184"/>
      <c r="N8304" s="184"/>
      <c r="O8304" s="184"/>
    </row>
    <row r="8305" customFormat="false" ht="15" hidden="false" customHeight="true" outlineLevel="0" collapsed="false">
      <c r="A8305" s="184"/>
      <c r="B8305" s="184"/>
      <c r="C8305" s="184"/>
      <c r="D8305" s="184"/>
      <c r="E8305" s="184"/>
      <c r="F8305" s="184"/>
      <c r="G8305" s="184"/>
      <c r="H8305" s="184"/>
      <c r="I8305" s="184"/>
      <c r="J8305" s="184"/>
      <c r="K8305" s="184"/>
      <c r="L8305" s="184"/>
      <c r="M8305" s="184"/>
      <c r="N8305" s="184"/>
      <c r="O8305" s="184"/>
    </row>
    <row r="8306" customFormat="false" ht="15" hidden="false" customHeight="true" outlineLevel="0" collapsed="false">
      <c r="A8306" s="184"/>
      <c r="B8306" s="184"/>
      <c r="C8306" s="184"/>
      <c r="D8306" s="184"/>
      <c r="E8306" s="184"/>
      <c r="F8306" s="184"/>
      <c r="G8306" s="184"/>
      <c r="H8306" s="184"/>
      <c r="I8306" s="184"/>
      <c r="J8306" s="184"/>
      <c r="K8306" s="184"/>
      <c r="L8306" s="184"/>
      <c r="M8306" s="184"/>
      <c r="N8306" s="184"/>
      <c r="O8306" s="184"/>
    </row>
    <row r="8307" customFormat="false" ht="15" hidden="false" customHeight="true" outlineLevel="0" collapsed="false">
      <c r="A8307" s="184"/>
      <c r="B8307" s="184"/>
      <c r="C8307" s="184"/>
      <c r="D8307" s="184"/>
      <c r="E8307" s="184"/>
      <c r="F8307" s="184"/>
      <c r="G8307" s="184"/>
      <c r="H8307" s="184"/>
      <c r="I8307" s="184"/>
      <c r="J8307" s="184"/>
      <c r="K8307" s="184"/>
      <c r="L8307" s="184"/>
      <c r="M8307" s="184"/>
      <c r="N8307" s="184"/>
      <c r="O8307" s="184"/>
    </row>
    <row r="8308" customFormat="false" ht="15" hidden="false" customHeight="true" outlineLevel="0" collapsed="false">
      <c r="A8308" s="184"/>
      <c r="B8308" s="184"/>
      <c r="C8308" s="184"/>
      <c r="D8308" s="184"/>
      <c r="E8308" s="184"/>
      <c r="F8308" s="184"/>
      <c r="G8308" s="184"/>
      <c r="H8308" s="184"/>
      <c r="I8308" s="184"/>
      <c r="J8308" s="184"/>
      <c r="K8308" s="184"/>
      <c r="L8308" s="184"/>
      <c r="M8308" s="184"/>
      <c r="N8308" s="184"/>
      <c r="O8308" s="184"/>
    </row>
    <row r="8309" customFormat="false" ht="15" hidden="false" customHeight="true" outlineLevel="0" collapsed="false">
      <c r="A8309" s="184"/>
      <c r="B8309" s="184"/>
      <c r="C8309" s="184"/>
      <c r="D8309" s="184"/>
      <c r="E8309" s="184"/>
      <c r="F8309" s="184"/>
      <c r="G8309" s="184"/>
      <c r="H8309" s="184"/>
      <c r="I8309" s="184"/>
      <c r="J8309" s="184"/>
      <c r="K8309" s="184"/>
      <c r="L8309" s="184"/>
      <c r="M8309" s="184"/>
      <c r="N8309" s="184"/>
      <c r="O8309" s="184"/>
    </row>
    <row r="8310" customFormat="false" ht="15" hidden="false" customHeight="true" outlineLevel="0" collapsed="false">
      <c r="A8310" s="184"/>
      <c r="B8310" s="184"/>
      <c r="C8310" s="184"/>
      <c r="D8310" s="184"/>
      <c r="E8310" s="184"/>
      <c r="F8310" s="184"/>
      <c r="G8310" s="184"/>
      <c r="H8310" s="184"/>
      <c r="I8310" s="184"/>
      <c r="J8310" s="184"/>
      <c r="K8310" s="184"/>
      <c r="L8310" s="184"/>
      <c r="M8310" s="184"/>
      <c r="N8310" s="184"/>
      <c r="O8310" s="184"/>
    </row>
    <row r="8311" customFormat="false" ht="15" hidden="false" customHeight="true" outlineLevel="0" collapsed="false">
      <c r="A8311" s="184"/>
      <c r="B8311" s="184"/>
      <c r="C8311" s="184"/>
      <c r="D8311" s="184"/>
      <c r="E8311" s="184"/>
      <c r="F8311" s="184"/>
      <c r="G8311" s="184"/>
      <c r="H8311" s="184"/>
      <c r="I8311" s="184"/>
      <c r="J8311" s="184"/>
      <c r="K8311" s="184"/>
      <c r="L8311" s="184"/>
      <c r="M8311" s="184"/>
      <c r="N8311" s="184"/>
      <c r="O8311" s="184"/>
    </row>
    <row r="8312" customFormat="false" ht="15" hidden="false" customHeight="true" outlineLevel="0" collapsed="false">
      <c r="A8312" s="184"/>
      <c r="B8312" s="184"/>
      <c r="C8312" s="184"/>
      <c r="D8312" s="184"/>
      <c r="E8312" s="184"/>
      <c r="F8312" s="184"/>
      <c r="G8312" s="184"/>
      <c r="H8312" s="184"/>
      <c r="I8312" s="184"/>
      <c r="J8312" s="184"/>
      <c r="K8312" s="184"/>
      <c r="L8312" s="184"/>
      <c r="M8312" s="184"/>
      <c r="N8312" s="184"/>
      <c r="O8312" s="184"/>
    </row>
    <row r="8313" customFormat="false" ht="15" hidden="false" customHeight="true" outlineLevel="0" collapsed="false">
      <c r="A8313" s="184"/>
      <c r="B8313" s="184"/>
      <c r="C8313" s="184"/>
      <c r="D8313" s="184"/>
      <c r="E8313" s="184"/>
      <c r="F8313" s="184"/>
      <c r="G8313" s="184"/>
      <c r="H8313" s="184"/>
      <c r="I8313" s="184"/>
      <c r="J8313" s="184"/>
      <c r="K8313" s="184"/>
      <c r="L8313" s="184"/>
      <c r="M8313" s="184"/>
      <c r="N8313" s="184"/>
      <c r="O8313" s="184"/>
    </row>
    <row r="8314" customFormat="false" ht="15" hidden="false" customHeight="true" outlineLevel="0" collapsed="false">
      <c r="A8314" s="184"/>
      <c r="B8314" s="184"/>
      <c r="C8314" s="184"/>
      <c r="D8314" s="184"/>
      <c r="E8314" s="184"/>
      <c r="F8314" s="184"/>
      <c r="G8314" s="184"/>
      <c r="H8314" s="184"/>
      <c r="I8314" s="184"/>
      <c r="J8314" s="184"/>
      <c r="K8314" s="184"/>
      <c r="L8314" s="184"/>
      <c r="M8314" s="184"/>
      <c r="N8314" s="184"/>
      <c r="O8314" s="184"/>
    </row>
    <row r="8315" customFormat="false" ht="15" hidden="false" customHeight="true" outlineLevel="0" collapsed="false">
      <c r="A8315" s="184"/>
      <c r="B8315" s="184"/>
      <c r="C8315" s="184"/>
      <c r="D8315" s="184"/>
      <c r="E8315" s="184"/>
      <c r="F8315" s="184"/>
      <c r="G8315" s="184"/>
      <c r="H8315" s="184"/>
      <c r="I8315" s="184"/>
      <c r="J8315" s="184"/>
      <c r="K8315" s="184"/>
      <c r="L8315" s="184"/>
      <c r="M8315" s="184"/>
      <c r="N8315" s="184"/>
      <c r="O8315" s="184"/>
    </row>
    <row r="8316" customFormat="false" ht="15" hidden="false" customHeight="true" outlineLevel="0" collapsed="false">
      <c r="A8316" s="184"/>
      <c r="B8316" s="184"/>
      <c r="C8316" s="184"/>
      <c r="D8316" s="184"/>
      <c r="E8316" s="184"/>
      <c r="F8316" s="184"/>
      <c r="G8316" s="184"/>
      <c r="H8316" s="184"/>
      <c r="I8316" s="184"/>
      <c r="J8316" s="184"/>
      <c r="K8316" s="184"/>
      <c r="L8316" s="184"/>
      <c r="M8316" s="184"/>
      <c r="N8316" s="184"/>
      <c r="O8316" s="184"/>
    </row>
    <row r="8317" customFormat="false" ht="15" hidden="false" customHeight="true" outlineLevel="0" collapsed="false">
      <c r="A8317" s="184"/>
      <c r="B8317" s="184"/>
      <c r="C8317" s="184"/>
      <c r="D8317" s="184"/>
      <c r="E8317" s="184"/>
      <c r="F8317" s="184"/>
      <c r="G8317" s="184"/>
      <c r="H8317" s="184"/>
      <c r="I8317" s="184"/>
      <c r="J8317" s="184"/>
      <c r="K8317" s="184"/>
      <c r="L8317" s="184"/>
      <c r="M8317" s="184"/>
      <c r="N8317" s="184"/>
      <c r="O8317" s="184"/>
    </row>
    <row r="8318" customFormat="false" ht="15" hidden="false" customHeight="true" outlineLevel="0" collapsed="false">
      <c r="A8318" s="184"/>
      <c r="B8318" s="184"/>
      <c r="C8318" s="184"/>
      <c r="D8318" s="184"/>
      <c r="E8318" s="184"/>
      <c r="F8318" s="184"/>
      <c r="G8318" s="184"/>
      <c r="H8318" s="184"/>
      <c r="I8318" s="184"/>
      <c r="J8318" s="184"/>
      <c r="K8318" s="184"/>
      <c r="L8318" s="184"/>
      <c r="M8318" s="184"/>
      <c r="N8318" s="184"/>
      <c r="O8318" s="184"/>
    </row>
    <row r="8319" customFormat="false" ht="15" hidden="false" customHeight="true" outlineLevel="0" collapsed="false">
      <c r="A8319" s="184"/>
      <c r="B8319" s="184"/>
      <c r="C8319" s="184"/>
      <c r="D8319" s="184"/>
      <c r="E8319" s="184"/>
      <c r="F8319" s="184"/>
      <c r="G8319" s="184"/>
      <c r="H8319" s="184"/>
      <c r="I8319" s="184"/>
      <c r="J8319" s="184"/>
      <c r="K8319" s="184"/>
      <c r="L8319" s="184"/>
      <c r="M8319" s="184"/>
      <c r="N8319" s="184"/>
      <c r="O8319" s="184"/>
    </row>
    <row r="8320" customFormat="false" ht="15" hidden="false" customHeight="true" outlineLevel="0" collapsed="false">
      <c r="A8320" s="184"/>
      <c r="B8320" s="184"/>
      <c r="C8320" s="184"/>
      <c r="D8320" s="184"/>
      <c r="E8320" s="184"/>
      <c r="F8320" s="184"/>
      <c r="G8320" s="184"/>
      <c r="H8320" s="184"/>
      <c r="I8320" s="184"/>
      <c r="J8320" s="184"/>
      <c r="K8320" s="184"/>
      <c r="L8320" s="184"/>
      <c r="M8320" s="184"/>
      <c r="N8320" s="184"/>
      <c r="O8320" s="184"/>
    </row>
    <row r="8321" customFormat="false" ht="15" hidden="false" customHeight="true" outlineLevel="0" collapsed="false">
      <c r="A8321" s="184"/>
      <c r="B8321" s="184"/>
      <c r="C8321" s="184"/>
      <c r="D8321" s="184"/>
      <c r="E8321" s="184"/>
      <c r="F8321" s="184"/>
      <c r="G8321" s="184"/>
      <c r="H8321" s="184"/>
      <c r="I8321" s="184"/>
      <c r="J8321" s="184"/>
      <c r="K8321" s="184"/>
      <c r="L8321" s="184"/>
      <c r="M8321" s="184"/>
      <c r="N8321" s="184"/>
      <c r="O8321" s="184"/>
    </row>
    <row r="8322" customFormat="false" ht="15" hidden="false" customHeight="true" outlineLevel="0" collapsed="false">
      <c r="A8322" s="184"/>
      <c r="B8322" s="184"/>
      <c r="C8322" s="184"/>
      <c r="D8322" s="184"/>
      <c r="E8322" s="184"/>
      <c r="F8322" s="184"/>
      <c r="G8322" s="184"/>
      <c r="H8322" s="184"/>
      <c r="I8322" s="184"/>
      <c r="J8322" s="184"/>
      <c r="K8322" s="184"/>
      <c r="L8322" s="184"/>
      <c r="M8322" s="184"/>
      <c r="N8322" s="184"/>
      <c r="O8322" s="184"/>
    </row>
    <row r="8323" customFormat="false" ht="15" hidden="false" customHeight="true" outlineLevel="0" collapsed="false">
      <c r="A8323" s="184"/>
      <c r="B8323" s="184"/>
      <c r="C8323" s="184"/>
      <c r="D8323" s="184"/>
      <c r="E8323" s="184"/>
      <c r="F8323" s="184"/>
      <c r="G8323" s="184"/>
      <c r="H8323" s="184"/>
      <c r="I8323" s="184"/>
      <c r="J8323" s="184"/>
      <c r="K8323" s="184"/>
      <c r="L8323" s="184"/>
      <c r="M8323" s="184"/>
      <c r="N8323" s="184"/>
      <c r="O8323" s="184"/>
    </row>
    <row r="8324" customFormat="false" ht="15" hidden="false" customHeight="true" outlineLevel="0" collapsed="false">
      <c r="A8324" s="184"/>
      <c r="B8324" s="184"/>
      <c r="C8324" s="184"/>
      <c r="D8324" s="184"/>
      <c r="E8324" s="184"/>
      <c r="F8324" s="184"/>
      <c r="G8324" s="184"/>
      <c r="H8324" s="184"/>
      <c r="I8324" s="184"/>
      <c r="J8324" s="184"/>
      <c r="K8324" s="184"/>
      <c r="L8324" s="184"/>
      <c r="M8324" s="184"/>
      <c r="N8324" s="184"/>
      <c r="O8324" s="184"/>
    </row>
    <row r="8325" customFormat="false" ht="15" hidden="false" customHeight="true" outlineLevel="0" collapsed="false">
      <c r="A8325" s="184"/>
      <c r="B8325" s="184"/>
      <c r="C8325" s="184"/>
      <c r="D8325" s="184"/>
      <c r="E8325" s="184"/>
      <c r="F8325" s="184"/>
      <c r="G8325" s="184"/>
      <c r="H8325" s="184"/>
      <c r="I8325" s="184"/>
      <c r="J8325" s="184"/>
      <c r="K8325" s="184"/>
      <c r="L8325" s="184"/>
      <c r="M8325" s="184"/>
      <c r="N8325" s="184"/>
      <c r="O8325" s="184"/>
    </row>
    <row r="8326" customFormat="false" ht="15" hidden="false" customHeight="true" outlineLevel="0" collapsed="false">
      <c r="A8326" s="184"/>
      <c r="B8326" s="184"/>
      <c r="C8326" s="184"/>
      <c r="D8326" s="184"/>
      <c r="E8326" s="184"/>
      <c r="F8326" s="184"/>
      <c r="G8326" s="184"/>
      <c r="H8326" s="184"/>
      <c r="I8326" s="184"/>
      <c r="J8326" s="184"/>
      <c r="K8326" s="184"/>
      <c r="L8326" s="184"/>
      <c r="M8326" s="184"/>
      <c r="N8326" s="184"/>
      <c r="O8326" s="184"/>
    </row>
    <row r="8327" customFormat="false" ht="15" hidden="false" customHeight="true" outlineLevel="0" collapsed="false">
      <c r="A8327" s="184"/>
      <c r="B8327" s="184"/>
      <c r="C8327" s="184"/>
      <c r="D8327" s="184"/>
      <c r="E8327" s="184"/>
      <c r="F8327" s="184"/>
      <c r="G8327" s="184"/>
      <c r="H8327" s="184"/>
      <c r="I8327" s="184"/>
      <c r="J8327" s="184"/>
      <c r="K8327" s="184"/>
      <c r="L8327" s="184"/>
      <c r="M8327" s="184"/>
      <c r="N8327" s="184"/>
      <c r="O8327" s="184"/>
    </row>
    <row r="8328" customFormat="false" ht="15" hidden="false" customHeight="true" outlineLevel="0" collapsed="false">
      <c r="A8328" s="184"/>
      <c r="B8328" s="184"/>
      <c r="C8328" s="184"/>
      <c r="D8328" s="184"/>
      <c r="E8328" s="184"/>
      <c r="F8328" s="184"/>
      <c r="G8328" s="184"/>
      <c r="H8328" s="184"/>
      <c r="I8328" s="184"/>
      <c r="J8328" s="184"/>
      <c r="K8328" s="184"/>
      <c r="L8328" s="184"/>
      <c r="M8328" s="184"/>
      <c r="N8328" s="184"/>
      <c r="O8328" s="184"/>
    </row>
    <row r="8329" customFormat="false" ht="15" hidden="false" customHeight="true" outlineLevel="0" collapsed="false">
      <c r="A8329" s="184"/>
      <c r="B8329" s="184"/>
      <c r="C8329" s="184"/>
      <c r="D8329" s="184"/>
      <c r="E8329" s="184"/>
      <c r="F8329" s="184"/>
      <c r="G8329" s="184"/>
      <c r="H8329" s="184"/>
      <c r="I8329" s="184"/>
      <c r="J8329" s="184"/>
      <c r="K8329" s="184"/>
      <c r="L8329" s="184"/>
      <c r="M8329" s="184"/>
      <c r="N8329" s="184"/>
      <c r="O8329" s="184"/>
    </row>
    <row r="8330" customFormat="false" ht="15" hidden="false" customHeight="true" outlineLevel="0" collapsed="false">
      <c r="A8330" s="184"/>
      <c r="B8330" s="184"/>
      <c r="C8330" s="184"/>
      <c r="D8330" s="184"/>
      <c r="E8330" s="184"/>
      <c r="F8330" s="184"/>
      <c r="G8330" s="184"/>
      <c r="H8330" s="184"/>
      <c r="I8330" s="184"/>
      <c r="J8330" s="184"/>
      <c r="K8330" s="184"/>
      <c r="L8330" s="184"/>
      <c r="M8330" s="184"/>
      <c r="N8330" s="184"/>
      <c r="O8330" s="184"/>
    </row>
    <row r="8331" customFormat="false" ht="15" hidden="false" customHeight="true" outlineLevel="0" collapsed="false">
      <c r="A8331" s="184"/>
      <c r="B8331" s="184"/>
      <c r="C8331" s="184"/>
      <c r="D8331" s="184"/>
      <c r="E8331" s="184"/>
      <c r="F8331" s="184"/>
      <c r="G8331" s="184"/>
      <c r="H8331" s="184"/>
      <c r="I8331" s="184"/>
      <c r="J8331" s="184"/>
      <c r="K8331" s="184"/>
      <c r="L8331" s="184"/>
      <c r="M8331" s="184"/>
      <c r="N8331" s="184"/>
      <c r="O8331" s="184"/>
    </row>
    <row r="8332" customFormat="false" ht="15" hidden="false" customHeight="true" outlineLevel="0" collapsed="false">
      <c r="A8332" s="184"/>
      <c r="B8332" s="184"/>
      <c r="C8332" s="184"/>
      <c r="D8332" s="184"/>
      <c r="E8332" s="184"/>
      <c r="F8332" s="184"/>
      <c r="G8332" s="184"/>
      <c r="H8332" s="184"/>
      <c r="I8332" s="184"/>
      <c r="J8332" s="184"/>
      <c r="K8332" s="184"/>
      <c r="L8332" s="184"/>
      <c r="M8332" s="184"/>
      <c r="N8332" s="184"/>
      <c r="O8332" s="184"/>
    </row>
    <row r="8333" customFormat="false" ht="15" hidden="false" customHeight="true" outlineLevel="0" collapsed="false">
      <c r="A8333" s="184"/>
      <c r="B8333" s="184"/>
      <c r="C8333" s="184"/>
      <c r="D8333" s="184"/>
      <c r="E8333" s="184"/>
      <c r="F8333" s="184"/>
      <c r="G8333" s="184"/>
      <c r="H8333" s="184"/>
      <c r="I8333" s="184"/>
      <c r="J8333" s="184"/>
      <c r="K8333" s="184"/>
      <c r="L8333" s="184"/>
      <c r="M8333" s="184"/>
      <c r="N8333" s="184"/>
      <c r="O8333" s="184"/>
    </row>
    <row r="8334" customFormat="false" ht="15" hidden="false" customHeight="true" outlineLevel="0" collapsed="false">
      <c r="A8334" s="184"/>
      <c r="B8334" s="184"/>
      <c r="C8334" s="184"/>
      <c r="D8334" s="184"/>
      <c r="E8334" s="184"/>
      <c r="F8334" s="184"/>
      <c r="G8334" s="184"/>
      <c r="H8334" s="184"/>
      <c r="I8334" s="184"/>
      <c r="J8334" s="184"/>
      <c r="K8334" s="184"/>
      <c r="L8334" s="184"/>
      <c r="M8334" s="184"/>
      <c r="N8334" s="184"/>
      <c r="O8334" s="184"/>
    </row>
    <row r="8335" customFormat="false" ht="15" hidden="false" customHeight="true" outlineLevel="0" collapsed="false">
      <c r="A8335" s="184"/>
      <c r="B8335" s="184"/>
      <c r="C8335" s="184"/>
      <c r="D8335" s="184"/>
      <c r="E8335" s="184"/>
      <c r="F8335" s="184"/>
      <c r="G8335" s="184"/>
      <c r="H8335" s="184"/>
      <c r="I8335" s="184"/>
      <c r="J8335" s="184"/>
      <c r="K8335" s="184"/>
      <c r="L8335" s="184"/>
      <c r="M8335" s="184"/>
      <c r="N8335" s="184"/>
      <c r="O8335" s="184"/>
    </row>
    <row r="8336" customFormat="false" ht="15" hidden="false" customHeight="true" outlineLevel="0" collapsed="false">
      <c r="A8336" s="184"/>
      <c r="B8336" s="184"/>
      <c r="C8336" s="184"/>
      <c r="D8336" s="184"/>
      <c r="E8336" s="184"/>
      <c r="F8336" s="184"/>
      <c r="G8336" s="184"/>
      <c r="H8336" s="184"/>
      <c r="I8336" s="184"/>
      <c r="J8336" s="184"/>
      <c r="K8336" s="184"/>
      <c r="L8336" s="184"/>
      <c r="M8336" s="184"/>
      <c r="N8336" s="184"/>
      <c r="O8336" s="184"/>
    </row>
    <row r="8337" customFormat="false" ht="15" hidden="false" customHeight="true" outlineLevel="0" collapsed="false">
      <c r="A8337" s="184"/>
      <c r="B8337" s="184"/>
      <c r="C8337" s="184"/>
      <c r="D8337" s="184"/>
      <c r="E8337" s="184"/>
      <c r="F8337" s="184"/>
      <c r="G8337" s="184"/>
      <c r="H8337" s="184"/>
      <c r="I8337" s="184"/>
      <c r="J8337" s="184"/>
      <c r="K8337" s="184"/>
      <c r="L8337" s="184"/>
      <c r="M8337" s="184"/>
      <c r="N8337" s="184"/>
      <c r="O8337" s="184"/>
    </row>
    <row r="8338" customFormat="false" ht="15" hidden="false" customHeight="true" outlineLevel="0" collapsed="false">
      <c r="A8338" s="184"/>
      <c r="B8338" s="184"/>
      <c r="C8338" s="184"/>
      <c r="D8338" s="184"/>
      <c r="E8338" s="184"/>
      <c r="F8338" s="184"/>
      <c r="G8338" s="184"/>
      <c r="H8338" s="184"/>
      <c r="I8338" s="184"/>
      <c r="J8338" s="184"/>
      <c r="K8338" s="184"/>
      <c r="L8338" s="184"/>
      <c r="M8338" s="184"/>
      <c r="N8338" s="184"/>
      <c r="O8338" s="184"/>
    </row>
    <row r="8339" customFormat="false" ht="15" hidden="false" customHeight="true" outlineLevel="0" collapsed="false">
      <c r="A8339" s="184"/>
      <c r="B8339" s="184"/>
      <c r="C8339" s="184"/>
      <c r="D8339" s="184"/>
      <c r="E8339" s="184"/>
      <c r="F8339" s="184"/>
      <c r="G8339" s="184"/>
      <c r="H8339" s="184"/>
      <c r="I8339" s="184"/>
      <c r="J8339" s="184"/>
      <c r="K8339" s="184"/>
      <c r="L8339" s="184"/>
      <c r="M8339" s="184"/>
      <c r="N8339" s="184"/>
      <c r="O8339" s="184"/>
    </row>
    <row r="8340" customFormat="false" ht="15" hidden="false" customHeight="true" outlineLevel="0" collapsed="false">
      <c r="A8340" s="184"/>
      <c r="B8340" s="184"/>
      <c r="C8340" s="184"/>
      <c r="D8340" s="184"/>
      <c r="E8340" s="184"/>
      <c r="F8340" s="184"/>
      <c r="G8340" s="184"/>
      <c r="H8340" s="184"/>
      <c r="I8340" s="184"/>
      <c r="J8340" s="184"/>
      <c r="K8340" s="184"/>
      <c r="L8340" s="184"/>
      <c r="M8340" s="184"/>
      <c r="N8340" s="184"/>
      <c r="O8340" s="184"/>
    </row>
    <row r="8341" customFormat="false" ht="15" hidden="false" customHeight="true" outlineLevel="0" collapsed="false">
      <c r="A8341" s="184"/>
      <c r="B8341" s="184"/>
      <c r="C8341" s="184"/>
      <c r="D8341" s="184"/>
      <c r="E8341" s="184"/>
      <c r="F8341" s="184"/>
      <c r="G8341" s="184"/>
      <c r="H8341" s="184"/>
      <c r="I8341" s="184"/>
      <c r="J8341" s="184"/>
      <c r="K8341" s="184"/>
      <c r="L8341" s="184"/>
      <c r="M8341" s="184"/>
      <c r="N8341" s="184"/>
      <c r="O8341" s="184"/>
    </row>
    <row r="8342" customFormat="false" ht="15" hidden="false" customHeight="true" outlineLevel="0" collapsed="false">
      <c r="A8342" s="184"/>
      <c r="B8342" s="184"/>
      <c r="C8342" s="184"/>
      <c r="D8342" s="184"/>
      <c r="E8342" s="184"/>
      <c r="F8342" s="184"/>
      <c r="G8342" s="184"/>
      <c r="H8342" s="184"/>
      <c r="I8342" s="184"/>
      <c r="J8342" s="184"/>
      <c r="K8342" s="184"/>
      <c r="L8342" s="184"/>
      <c r="M8342" s="184"/>
      <c r="N8342" s="184"/>
      <c r="O8342" s="184"/>
    </row>
    <row r="8343" customFormat="false" ht="15" hidden="false" customHeight="true" outlineLevel="0" collapsed="false">
      <c r="A8343" s="184"/>
      <c r="B8343" s="184"/>
      <c r="C8343" s="184"/>
      <c r="D8343" s="184"/>
      <c r="E8343" s="184"/>
      <c r="F8343" s="184"/>
      <c r="G8343" s="184"/>
      <c r="H8343" s="184"/>
      <c r="I8343" s="184"/>
      <c r="J8343" s="184"/>
      <c r="K8343" s="184"/>
      <c r="L8343" s="184"/>
      <c r="M8343" s="184"/>
      <c r="N8343" s="184"/>
      <c r="O8343" s="184"/>
    </row>
    <row r="8344" customFormat="false" ht="15" hidden="false" customHeight="true" outlineLevel="0" collapsed="false">
      <c r="A8344" s="184"/>
      <c r="B8344" s="184"/>
      <c r="C8344" s="184"/>
      <c r="D8344" s="184"/>
      <c r="E8344" s="184"/>
      <c r="F8344" s="184"/>
      <c r="G8344" s="184"/>
      <c r="H8344" s="184"/>
      <c r="I8344" s="184"/>
      <c r="J8344" s="184"/>
      <c r="K8344" s="184"/>
      <c r="L8344" s="184"/>
      <c r="M8344" s="184"/>
      <c r="N8344" s="184"/>
      <c r="O8344" s="184"/>
    </row>
    <row r="8345" customFormat="false" ht="15" hidden="false" customHeight="true" outlineLevel="0" collapsed="false">
      <c r="A8345" s="184"/>
      <c r="B8345" s="184"/>
      <c r="C8345" s="184"/>
      <c r="D8345" s="184"/>
      <c r="E8345" s="184"/>
      <c r="F8345" s="184"/>
      <c r="G8345" s="184"/>
      <c r="H8345" s="184"/>
      <c r="I8345" s="184"/>
      <c r="J8345" s="184"/>
      <c r="K8345" s="184"/>
      <c r="L8345" s="184"/>
      <c r="M8345" s="184"/>
      <c r="N8345" s="184"/>
      <c r="O8345" s="184"/>
    </row>
    <row r="8346" customFormat="false" ht="15" hidden="false" customHeight="true" outlineLevel="0" collapsed="false">
      <c r="A8346" s="184"/>
      <c r="B8346" s="184"/>
      <c r="C8346" s="184"/>
      <c r="D8346" s="184"/>
      <c r="E8346" s="184"/>
      <c r="F8346" s="184"/>
      <c r="G8346" s="184"/>
      <c r="H8346" s="184"/>
      <c r="I8346" s="184"/>
      <c r="J8346" s="184"/>
      <c r="K8346" s="184"/>
      <c r="L8346" s="184"/>
      <c r="M8346" s="184"/>
      <c r="N8346" s="184"/>
      <c r="O8346" s="184"/>
    </row>
    <row r="8347" customFormat="false" ht="15" hidden="false" customHeight="true" outlineLevel="0" collapsed="false">
      <c r="A8347" s="184"/>
      <c r="B8347" s="184"/>
      <c r="C8347" s="184"/>
      <c r="D8347" s="184"/>
      <c r="E8347" s="184"/>
      <c r="F8347" s="184"/>
      <c r="G8347" s="184"/>
      <c r="H8347" s="184"/>
      <c r="I8347" s="184"/>
      <c r="J8347" s="184"/>
      <c r="K8347" s="184"/>
      <c r="L8347" s="184"/>
      <c r="M8347" s="184"/>
      <c r="N8347" s="184"/>
      <c r="O8347" s="184"/>
    </row>
    <row r="8348" customFormat="false" ht="15" hidden="false" customHeight="true" outlineLevel="0" collapsed="false">
      <c r="A8348" s="184"/>
      <c r="B8348" s="184"/>
      <c r="C8348" s="184"/>
      <c r="D8348" s="184"/>
      <c r="E8348" s="184"/>
      <c r="F8348" s="184"/>
      <c r="G8348" s="184"/>
      <c r="H8348" s="184"/>
      <c r="I8348" s="184"/>
      <c r="J8348" s="184"/>
      <c r="K8348" s="184"/>
      <c r="L8348" s="184"/>
      <c r="M8348" s="184"/>
      <c r="N8348" s="184"/>
      <c r="O8348" s="184"/>
    </row>
    <row r="8349" customFormat="false" ht="15" hidden="false" customHeight="true" outlineLevel="0" collapsed="false">
      <c r="A8349" s="184"/>
      <c r="B8349" s="184"/>
      <c r="C8349" s="184"/>
      <c r="D8349" s="184"/>
      <c r="E8349" s="184"/>
      <c r="F8349" s="184"/>
      <c r="G8349" s="184"/>
      <c r="H8349" s="184"/>
      <c r="I8349" s="184"/>
      <c r="J8349" s="184"/>
      <c r="K8349" s="184"/>
      <c r="L8349" s="184"/>
      <c r="M8349" s="184"/>
      <c r="N8349" s="184"/>
      <c r="O8349" s="184"/>
    </row>
    <row r="8350" customFormat="false" ht="15" hidden="false" customHeight="true" outlineLevel="0" collapsed="false">
      <c r="A8350" s="184"/>
      <c r="B8350" s="184"/>
      <c r="C8350" s="184"/>
      <c r="D8350" s="184"/>
      <c r="E8350" s="184"/>
      <c r="F8350" s="184"/>
      <c r="G8350" s="184"/>
      <c r="H8350" s="184"/>
      <c r="I8350" s="184"/>
      <c r="J8350" s="184"/>
      <c r="K8350" s="184"/>
      <c r="L8350" s="184"/>
      <c r="M8350" s="184"/>
      <c r="N8350" s="184"/>
      <c r="O8350" s="184"/>
    </row>
    <row r="8351" customFormat="false" ht="15" hidden="false" customHeight="true" outlineLevel="0" collapsed="false">
      <c r="A8351" s="184"/>
      <c r="B8351" s="184"/>
      <c r="C8351" s="184"/>
      <c r="D8351" s="184"/>
      <c r="E8351" s="184"/>
      <c r="F8351" s="184"/>
      <c r="G8351" s="184"/>
      <c r="H8351" s="184"/>
      <c r="I8351" s="184"/>
      <c r="J8351" s="184"/>
      <c r="K8351" s="184"/>
      <c r="L8351" s="184"/>
      <c r="M8351" s="184"/>
      <c r="N8351" s="184"/>
      <c r="O8351" s="184"/>
    </row>
    <row r="8352" customFormat="false" ht="15" hidden="false" customHeight="true" outlineLevel="0" collapsed="false">
      <c r="A8352" s="184"/>
      <c r="B8352" s="184"/>
      <c r="C8352" s="184"/>
      <c r="D8352" s="184"/>
      <c r="E8352" s="184"/>
      <c r="F8352" s="184"/>
      <c r="G8352" s="184"/>
      <c r="H8352" s="184"/>
      <c r="I8352" s="184"/>
      <c r="J8352" s="184"/>
      <c r="K8352" s="184"/>
      <c r="L8352" s="184"/>
      <c r="M8352" s="184"/>
      <c r="N8352" s="184"/>
      <c r="O8352" s="184"/>
    </row>
    <row r="8353" customFormat="false" ht="15" hidden="false" customHeight="true" outlineLevel="0" collapsed="false">
      <c r="A8353" s="184"/>
      <c r="B8353" s="184"/>
      <c r="C8353" s="184"/>
      <c r="D8353" s="184"/>
      <c r="E8353" s="184"/>
      <c r="F8353" s="184"/>
      <c r="G8353" s="184"/>
      <c r="H8353" s="184"/>
      <c r="I8353" s="184"/>
      <c r="J8353" s="184"/>
      <c r="K8353" s="184"/>
      <c r="L8353" s="184"/>
      <c r="M8353" s="184"/>
      <c r="N8353" s="184"/>
      <c r="O8353" s="184"/>
    </row>
    <row r="8354" customFormat="false" ht="15" hidden="false" customHeight="true" outlineLevel="0" collapsed="false">
      <c r="A8354" s="184"/>
      <c r="B8354" s="184"/>
      <c r="C8354" s="184"/>
      <c r="D8354" s="184"/>
      <c r="E8354" s="184"/>
      <c r="F8354" s="184"/>
      <c r="G8354" s="184"/>
      <c r="H8354" s="184"/>
      <c r="I8354" s="184"/>
      <c r="J8354" s="184"/>
      <c r="K8354" s="184"/>
      <c r="L8354" s="184"/>
      <c r="M8354" s="184"/>
      <c r="N8354" s="184"/>
      <c r="O8354" s="184"/>
    </row>
    <row r="8355" customFormat="false" ht="15" hidden="false" customHeight="true" outlineLevel="0" collapsed="false">
      <c r="A8355" s="184"/>
      <c r="B8355" s="184"/>
      <c r="C8355" s="184"/>
      <c r="D8355" s="184"/>
      <c r="E8355" s="184"/>
      <c r="F8355" s="184"/>
      <c r="G8355" s="184"/>
      <c r="H8355" s="184"/>
      <c r="I8355" s="184"/>
      <c r="J8355" s="184"/>
      <c r="K8355" s="184"/>
      <c r="L8355" s="184"/>
      <c r="M8355" s="184"/>
      <c r="N8355" s="184"/>
      <c r="O8355" s="184"/>
    </row>
    <row r="8356" customFormat="false" ht="15" hidden="false" customHeight="true" outlineLevel="0" collapsed="false">
      <c r="A8356" s="184"/>
      <c r="B8356" s="184"/>
      <c r="C8356" s="184"/>
      <c r="D8356" s="184"/>
      <c r="E8356" s="184"/>
      <c r="F8356" s="184"/>
      <c r="G8356" s="184"/>
      <c r="H8356" s="184"/>
      <c r="I8356" s="184"/>
      <c r="J8356" s="184"/>
      <c r="K8356" s="184"/>
      <c r="L8356" s="184"/>
      <c r="M8356" s="184"/>
      <c r="N8356" s="184"/>
      <c r="O8356" s="184"/>
    </row>
    <row r="8357" customFormat="false" ht="15" hidden="false" customHeight="true" outlineLevel="0" collapsed="false">
      <c r="A8357" s="184"/>
      <c r="B8357" s="184"/>
      <c r="C8357" s="184"/>
      <c r="D8357" s="184"/>
      <c r="E8357" s="184"/>
      <c r="F8357" s="184"/>
      <c r="G8357" s="184"/>
      <c r="H8357" s="184"/>
      <c r="I8357" s="184"/>
      <c r="J8357" s="184"/>
      <c r="K8357" s="184"/>
      <c r="L8357" s="184"/>
      <c r="M8357" s="184"/>
      <c r="N8357" s="184"/>
      <c r="O8357" s="184"/>
    </row>
    <row r="8358" customFormat="false" ht="15" hidden="false" customHeight="true" outlineLevel="0" collapsed="false">
      <c r="A8358" s="184"/>
      <c r="B8358" s="184"/>
      <c r="C8358" s="184"/>
      <c r="D8358" s="184"/>
      <c r="E8358" s="184"/>
      <c r="F8358" s="184"/>
      <c r="G8358" s="184"/>
      <c r="H8358" s="184"/>
      <c r="I8358" s="184"/>
      <c r="J8358" s="184"/>
      <c r="K8358" s="184"/>
      <c r="L8358" s="184"/>
      <c r="M8358" s="184"/>
      <c r="N8358" s="184"/>
      <c r="O8358" s="184"/>
    </row>
    <row r="8359" customFormat="false" ht="15" hidden="false" customHeight="true" outlineLevel="0" collapsed="false">
      <c r="A8359" s="184"/>
      <c r="B8359" s="184"/>
      <c r="C8359" s="184"/>
      <c r="D8359" s="184"/>
      <c r="E8359" s="184"/>
      <c r="F8359" s="184"/>
      <c r="G8359" s="184"/>
      <c r="H8359" s="184"/>
      <c r="I8359" s="184"/>
      <c r="J8359" s="184"/>
      <c r="K8359" s="184"/>
      <c r="L8359" s="184"/>
      <c r="M8359" s="184"/>
      <c r="N8359" s="184"/>
      <c r="O8359" s="184"/>
    </row>
    <row r="8360" customFormat="false" ht="15" hidden="false" customHeight="true" outlineLevel="0" collapsed="false">
      <c r="A8360" s="184"/>
      <c r="B8360" s="184"/>
      <c r="C8360" s="184"/>
      <c r="D8360" s="184"/>
      <c r="E8360" s="184"/>
      <c r="F8360" s="184"/>
      <c r="G8360" s="184"/>
      <c r="H8360" s="184"/>
      <c r="I8360" s="184"/>
      <c r="J8360" s="184"/>
      <c r="K8360" s="184"/>
      <c r="L8360" s="184"/>
      <c r="M8360" s="184"/>
      <c r="N8360" s="184"/>
      <c r="O8360" s="184"/>
    </row>
    <row r="8361" customFormat="false" ht="15" hidden="false" customHeight="true" outlineLevel="0" collapsed="false">
      <c r="A8361" s="184"/>
      <c r="B8361" s="184"/>
      <c r="C8361" s="184"/>
      <c r="D8361" s="184"/>
      <c r="E8361" s="184"/>
      <c r="F8361" s="184"/>
      <c r="G8361" s="184"/>
      <c r="H8361" s="184"/>
      <c r="I8361" s="184"/>
      <c r="J8361" s="184"/>
      <c r="K8361" s="184"/>
      <c r="L8361" s="184"/>
      <c r="M8361" s="184"/>
      <c r="N8361" s="184"/>
      <c r="O8361" s="184"/>
    </row>
    <row r="8362" customFormat="false" ht="15" hidden="false" customHeight="true" outlineLevel="0" collapsed="false">
      <c r="A8362" s="184"/>
      <c r="B8362" s="184"/>
      <c r="C8362" s="184"/>
      <c r="D8362" s="184"/>
      <c r="E8362" s="184"/>
      <c r="F8362" s="184"/>
      <c r="G8362" s="184"/>
      <c r="H8362" s="184"/>
      <c r="I8362" s="184"/>
      <c r="J8362" s="184"/>
      <c r="K8362" s="184"/>
      <c r="L8362" s="184"/>
      <c r="M8362" s="184"/>
      <c r="N8362" s="184"/>
      <c r="O8362" s="184"/>
    </row>
    <row r="8363" customFormat="false" ht="15" hidden="false" customHeight="true" outlineLevel="0" collapsed="false">
      <c r="A8363" s="184"/>
      <c r="B8363" s="184"/>
      <c r="C8363" s="184"/>
      <c r="D8363" s="184"/>
      <c r="E8363" s="184"/>
      <c r="F8363" s="184"/>
      <c r="G8363" s="184"/>
      <c r="H8363" s="184"/>
      <c r="I8363" s="184"/>
      <c r="J8363" s="184"/>
      <c r="K8363" s="184"/>
      <c r="L8363" s="184"/>
      <c r="M8363" s="184"/>
      <c r="N8363" s="184"/>
      <c r="O8363" s="184"/>
    </row>
    <row r="8364" customFormat="false" ht="15" hidden="false" customHeight="true" outlineLevel="0" collapsed="false">
      <c r="A8364" s="184"/>
      <c r="B8364" s="184"/>
      <c r="C8364" s="184"/>
      <c r="D8364" s="184"/>
      <c r="E8364" s="184"/>
      <c r="F8364" s="184"/>
      <c r="G8364" s="184"/>
      <c r="H8364" s="184"/>
      <c r="I8364" s="184"/>
      <c r="J8364" s="184"/>
      <c r="K8364" s="184"/>
      <c r="L8364" s="184"/>
      <c r="M8364" s="184"/>
      <c r="N8364" s="184"/>
      <c r="O8364" s="184"/>
    </row>
    <row r="8365" customFormat="false" ht="15" hidden="false" customHeight="true" outlineLevel="0" collapsed="false">
      <c r="A8365" s="184"/>
      <c r="B8365" s="184"/>
      <c r="C8365" s="184"/>
      <c r="D8365" s="184"/>
      <c r="E8365" s="184"/>
      <c r="F8365" s="184"/>
      <c r="G8365" s="184"/>
      <c r="H8365" s="184"/>
      <c r="I8365" s="184"/>
      <c r="J8365" s="184"/>
      <c r="K8365" s="184"/>
      <c r="L8365" s="184"/>
      <c r="M8365" s="184"/>
      <c r="N8365" s="184"/>
      <c r="O8365" s="184"/>
    </row>
    <row r="8366" customFormat="false" ht="15" hidden="false" customHeight="true" outlineLevel="0" collapsed="false">
      <c r="A8366" s="184"/>
      <c r="B8366" s="184"/>
      <c r="C8366" s="184"/>
      <c r="D8366" s="184"/>
      <c r="E8366" s="184"/>
      <c r="F8366" s="184"/>
      <c r="G8366" s="184"/>
      <c r="H8366" s="184"/>
      <c r="I8366" s="184"/>
      <c r="J8366" s="184"/>
      <c r="K8366" s="184"/>
      <c r="L8366" s="184"/>
      <c r="M8366" s="184"/>
      <c r="N8366" s="184"/>
      <c r="O8366" s="184"/>
    </row>
    <row r="8367" customFormat="false" ht="15" hidden="false" customHeight="true" outlineLevel="0" collapsed="false">
      <c r="A8367" s="184"/>
      <c r="B8367" s="184"/>
      <c r="C8367" s="184"/>
      <c r="D8367" s="184"/>
      <c r="E8367" s="184"/>
      <c r="F8367" s="184"/>
      <c r="G8367" s="184"/>
      <c r="H8367" s="184"/>
      <c r="I8367" s="184"/>
      <c r="J8367" s="184"/>
      <c r="K8367" s="184"/>
      <c r="L8367" s="184"/>
      <c r="M8367" s="184"/>
      <c r="N8367" s="184"/>
      <c r="O8367" s="184"/>
    </row>
    <row r="8368" customFormat="false" ht="15" hidden="false" customHeight="true" outlineLevel="0" collapsed="false">
      <c r="A8368" s="184"/>
      <c r="B8368" s="184"/>
      <c r="C8368" s="184"/>
      <c r="D8368" s="184"/>
      <c r="E8368" s="184"/>
      <c r="F8368" s="184"/>
      <c r="G8368" s="184"/>
      <c r="H8368" s="184"/>
      <c r="I8368" s="184"/>
      <c r="J8368" s="184"/>
      <c r="K8368" s="184"/>
      <c r="L8368" s="184"/>
      <c r="M8368" s="184"/>
      <c r="N8368" s="184"/>
      <c r="O8368" s="184"/>
    </row>
    <row r="8369" customFormat="false" ht="15" hidden="false" customHeight="true" outlineLevel="0" collapsed="false">
      <c r="A8369" s="184"/>
      <c r="B8369" s="184"/>
      <c r="C8369" s="184"/>
      <c r="D8369" s="184"/>
      <c r="E8369" s="184"/>
      <c r="F8369" s="184"/>
      <c r="G8369" s="184"/>
      <c r="H8369" s="184"/>
      <c r="I8369" s="184"/>
      <c r="J8369" s="184"/>
      <c r="K8369" s="184"/>
      <c r="L8369" s="184"/>
      <c r="M8369" s="184"/>
      <c r="N8369" s="184"/>
      <c r="O8369" s="184"/>
    </row>
    <row r="8370" customFormat="false" ht="15" hidden="false" customHeight="true" outlineLevel="0" collapsed="false">
      <c r="A8370" s="184"/>
      <c r="B8370" s="184"/>
      <c r="C8370" s="184"/>
      <c r="D8370" s="184"/>
      <c r="E8370" s="184"/>
      <c r="F8370" s="184"/>
      <c r="G8370" s="184"/>
      <c r="H8370" s="184"/>
      <c r="I8370" s="184"/>
      <c r="J8370" s="184"/>
      <c r="K8370" s="184"/>
      <c r="L8370" s="184"/>
      <c r="M8370" s="184"/>
      <c r="N8370" s="184"/>
      <c r="O8370" s="184"/>
    </row>
    <row r="8371" customFormat="false" ht="15" hidden="false" customHeight="true" outlineLevel="0" collapsed="false">
      <c r="A8371" s="184"/>
      <c r="B8371" s="184"/>
      <c r="C8371" s="184"/>
      <c r="D8371" s="184"/>
      <c r="E8371" s="184"/>
      <c r="F8371" s="184"/>
      <c r="G8371" s="184"/>
      <c r="H8371" s="184"/>
      <c r="I8371" s="184"/>
      <c r="J8371" s="184"/>
      <c r="K8371" s="184"/>
      <c r="L8371" s="184"/>
      <c r="M8371" s="184"/>
      <c r="N8371" s="184"/>
      <c r="O8371" s="184"/>
    </row>
    <row r="8372" customFormat="false" ht="15" hidden="false" customHeight="true" outlineLevel="0" collapsed="false">
      <c r="A8372" s="184"/>
      <c r="B8372" s="184"/>
      <c r="C8372" s="184"/>
      <c r="D8372" s="184"/>
      <c r="E8372" s="184"/>
      <c r="F8372" s="184"/>
      <c r="G8372" s="184"/>
      <c r="H8372" s="184"/>
      <c r="I8372" s="184"/>
      <c r="J8372" s="184"/>
      <c r="K8372" s="184"/>
      <c r="L8372" s="184"/>
      <c r="M8372" s="184"/>
      <c r="N8372" s="184"/>
      <c r="O8372" s="184"/>
    </row>
    <row r="8373" customFormat="false" ht="15" hidden="false" customHeight="true" outlineLevel="0" collapsed="false">
      <c r="A8373" s="184"/>
      <c r="B8373" s="184"/>
      <c r="C8373" s="184"/>
      <c r="D8373" s="184"/>
      <c r="E8373" s="184"/>
      <c r="F8373" s="184"/>
      <c r="G8373" s="184"/>
      <c r="H8373" s="184"/>
      <c r="I8373" s="184"/>
      <c r="J8373" s="184"/>
      <c r="K8373" s="184"/>
      <c r="L8373" s="184"/>
      <c r="M8373" s="184"/>
      <c r="N8373" s="184"/>
      <c r="O8373" s="184"/>
    </row>
    <row r="8374" customFormat="false" ht="15" hidden="false" customHeight="true" outlineLevel="0" collapsed="false">
      <c r="A8374" s="184"/>
      <c r="B8374" s="184"/>
      <c r="C8374" s="184"/>
      <c r="D8374" s="184"/>
      <c r="E8374" s="184"/>
      <c r="F8374" s="184"/>
      <c r="G8374" s="184"/>
      <c r="H8374" s="184"/>
      <c r="I8374" s="184"/>
      <c r="J8374" s="184"/>
      <c r="K8374" s="184"/>
      <c r="L8374" s="184"/>
      <c r="M8374" s="184"/>
      <c r="N8374" s="184"/>
      <c r="O8374" s="184"/>
    </row>
    <row r="8375" customFormat="false" ht="15" hidden="false" customHeight="true" outlineLevel="0" collapsed="false">
      <c r="A8375" s="184"/>
      <c r="B8375" s="184"/>
      <c r="C8375" s="184"/>
      <c r="D8375" s="184"/>
      <c r="E8375" s="184"/>
      <c r="F8375" s="184"/>
      <c r="G8375" s="184"/>
      <c r="H8375" s="184"/>
      <c r="I8375" s="184"/>
      <c r="J8375" s="184"/>
      <c r="K8375" s="184"/>
      <c r="L8375" s="184"/>
      <c r="M8375" s="184"/>
      <c r="N8375" s="184"/>
      <c r="O8375" s="184"/>
    </row>
    <row r="8376" customFormat="false" ht="15" hidden="false" customHeight="true" outlineLevel="0" collapsed="false">
      <c r="A8376" s="184"/>
      <c r="B8376" s="184"/>
      <c r="C8376" s="184"/>
      <c r="D8376" s="184"/>
      <c r="E8376" s="184"/>
      <c r="F8376" s="184"/>
      <c r="G8376" s="184"/>
      <c r="H8376" s="184"/>
      <c r="I8376" s="184"/>
      <c r="J8376" s="184"/>
      <c r="K8376" s="184"/>
      <c r="L8376" s="184"/>
      <c r="M8376" s="184"/>
      <c r="N8376" s="184"/>
      <c r="O8376" s="184"/>
    </row>
    <row r="8377" customFormat="false" ht="15" hidden="false" customHeight="true" outlineLevel="0" collapsed="false">
      <c r="A8377" s="184"/>
      <c r="B8377" s="184"/>
      <c r="C8377" s="184"/>
      <c r="D8377" s="184"/>
      <c r="E8377" s="184"/>
      <c r="F8377" s="184"/>
      <c r="G8377" s="184"/>
      <c r="H8377" s="184"/>
      <c r="I8377" s="184"/>
      <c r="J8377" s="184"/>
      <c r="K8377" s="184"/>
      <c r="L8377" s="184"/>
      <c r="M8377" s="184"/>
      <c r="N8377" s="184"/>
      <c r="O8377" s="184"/>
    </row>
    <row r="8378" customFormat="false" ht="15" hidden="false" customHeight="true" outlineLevel="0" collapsed="false">
      <c r="A8378" s="184"/>
      <c r="B8378" s="184"/>
      <c r="C8378" s="184"/>
      <c r="D8378" s="184"/>
      <c r="E8378" s="184"/>
      <c r="F8378" s="184"/>
      <c r="G8378" s="184"/>
      <c r="H8378" s="184"/>
      <c r="I8378" s="184"/>
      <c r="J8378" s="184"/>
      <c r="K8378" s="184"/>
      <c r="L8378" s="184"/>
      <c r="M8378" s="184"/>
      <c r="N8378" s="184"/>
      <c r="O8378" s="184"/>
    </row>
    <row r="8379" customFormat="false" ht="15" hidden="false" customHeight="true" outlineLevel="0" collapsed="false">
      <c r="A8379" s="184"/>
      <c r="B8379" s="184"/>
      <c r="C8379" s="184"/>
      <c r="D8379" s="184"/>
      <c r="E8379" s="184"/>
      <c r="F8379" s="184"/>
      <c r="G8379" s="184"/>
      <c r="H8379" s="184"/>
      <c r="I8379" s="184"/>
      <c r="J8379" s="184"/>
      <c r="K8379" s="184"/>
      <c r="L8379" s="184"/>
      <c r="M8379" s="184"/>
      <c r="N8379" s="184"/>
      <c r="O8379" s="184"/>
    </row>
    <row r="8380" customFormat="false" ht="15" hidden="false" customHeight="true" outlineLevel="0" collapsed="false">
      <c r="A8380" s="184"/>
      <c r="B8380" s="184"/>
      <c r="C8380" s="184"/>
      <c r="D8380" s="184"/>
      <c r="E8380" s="184"/>
      <c r="F8380" s="184"/>
      <c r="G8380" s="184"/>
      <c r="H8380" s="184"/>
      <c r="I8380" s="184"/>
      <c r="J8380" s="184"/>
      <c r="K8380" s="184"/>
      <c r="L8380" s="184"/>
      <c r="M8380" s="184"/>
      <c r="N8380" s="184"/>
      <c r="O8380" s="184"/>
    </row>
    <row r="8381" customFormat="false" ht="15" hidden="false" customHeight="true" outlineLevel="0" collapsed="false">
      <c r="A8381" s="184"/>
      <c r="B8381" s="184"/>
      <c r="C8381" s="184"/>
      <c r="D8381" s="184"/>
      <c r="E8381" s="184"/>
      <c r="F8381" s="184"/>
      <c r="G8381" s="184"/>
      <c r="H8381" s="184"/>
      <c r="I8381" s="184"/>
      <c r="J8381" s="184"/>
      <c r="K8381" s="184"/>
      <c r="L8381" s="184"/>
      <c r="M8381" s="184"/>
      <c r="N8381" s="184"/>
      <c r="O8381" s="184"/>
    </row>
    <row r="8382" customFormat="false" ht="15" hidden="false" customHeight="true" outlineLevel="0" collapsed="false">
      <c r="A8382" s="184"/>
      <c r="B8382" s="184"/>
      <c r="C8382" s="184"/>
      <c r="D8382" s="184"/>
      <c r="E8382" s="184"/>
      <c r="F8382" s="184"/>
      <c r="G8382" s="184"/>
      <c r="H8382" s="184"/>
      <c r="I8382" s="184"/>
      <c r="J8382" s="184"/>
      <c r="K8382" s="184"/>
      <c r="L8382" s="184"/>
      <c r="M8382" s="184"/>
      <c r="N8382" s="184"/>
      <c r="O8382" s="184"/>
    </row>
    <row r="8383" customFormat="false" ht="15" hidden="false" customHeight="true" outlineLevel="0" collapsed="false">
      <c r="A8383" s="184"/>
      <c r="B8383" s="184"/>
      <c r="C8383" s="184"/>
      <c r="D8383" s="184"/>
      <c r="E8383" s="184"/>
      <c r="F8383" s="184"/>
      <c r="G8383" s="184"/>
      <c r="H8383" s="184"/>
      <c r="I8383" s="184"/>
      <c r="J8383" s="184"/>
      <c r="K8383" s="184"/>
      <c r="L8383" s="184"/>
      <c r="M8383" s="184"/>
      <c r="N8383" s="184"/>
      <c r="O8383" s="184"/>
    </row>
    <row r="8384" customFormat="false" ht="15" hidden="false" customHeight="true" outlineLevel="0" collapsed="false">
      <c r="A8384" s="184"/>
      <c r="B8384" s="184"/>
      <c r="C8384" s="184"/>
      <c r="D8384" s="184"/>
      <c r="E8384" s="184"/>
      <c r="F8384" s="184"/>
      <c r="G8384" s="184"/>
      <c r="H8384" s="184"/>
      <c r="I8384" s="184"/>
      <c r="J8384" s="184"/>
      <c r="K8384" s="184"/>
      <c r="L8384" s="184"/>
      <c r="M8384" s="184"/>
      <c r="N8384" s="184"/>
      <c r="O8384" s="184"/>
    </row>
    <row r="8385" customFormat="false" ht="15" hidden="false" customHeight="true" outlineLevel="0" collapsed="false">
      <c r="A8385" s="184"/>
      <c r="B8385" s="184"/>
      <c r="C8385" s="184"/>
      <c r="D8385" s="184"/>
      <c r="E8385" s="184"/>
      <c r="F8385" s="184"/>
      <c r="G8385" s="184"/>
      <c r="H8385" s="184"/>
      <c r="I8385" s="184"/>
      <c r="J8385" s="184"/>
      <c r="K8385" s="184"/>
      <c r="L8385" s="184"/>
      <c r="M8385" s="184"/>
      <c r="N8385" s="184"/>
      <c r="O8385" s="184"/>
    </row>
    <row r="8386" customFormat="false" ht="15" hidden="false" customHeight="true" outlineLevel="0" collapsed="false">
      <c r="A8386" s="184"/>
      <c r="B8386" s="184"/>
      <c r="C8386" s="184"/>
      <c r="D8386" s="184"/>
      <c r="E8386" s="184"/>
      <c r="F8386" s="184"/>
      <c r="G8386" s="184"/>
      <c r="H8386" s="184"/>
      <c r="I8386" s="184"/>
      <c r="J8386" s="184"/>
      <c r="K8386" s="184"/>
      <c r="L8386" s="184"/>
      <c r="M8386" s="184"/>
      <c r="N8386" s="184"/>
      <c r="O8386" s="184"/>
    </row>
    <row r="8387" customFormat="false" ht="15" hidden="false" customHeight="true" outlineLevel="0" collapsed="false">
      <c r="A8387" s="184"/>
      <c r="B8387" s="184"/>
      <c r="C8387" s="184"/>
      <c r="D8387" s="184"/>
      <c r="E8387" s="184"/>
      <c r="F8387" s="184"/>
      <c r="G8387" s="184"/>
      <c r="H8387" s="184"/>
      <c r="I8387" s="184"/>
      <c r="J8387" s="184"/>
      <c r="K8387" s="184"/>
      <c r="L8387" s="184"/>
      <c r="M8387" s="184"/>
      <c r="N8387" s="184"/>
      <c r="O8387" s="184"/>
    </row>
    <row r="8388" customFormat="false" ht="15" hidden="false" customHeight="true" outlineLevel="0" collapsed="false">
      <c r="A8388" s="184"/>
      <c r="B8388" s="184"/>
      <c r="C8388" s="184"/>
      <c r="D8388" s="184"/>
      <c r="E8388" s="184"/>
      <c r="F8388" s="184"/>
      <c r="G8388" s="184"/>
      <c r="H8388" s="184"/>
      <c r="I8388" s="184"/>
      <c r="J8388" s="184"/>
      <c r="K8388" s="184"/>
      <c r="L8388" s="184"/>
      <c r="M8388" s="184"/>
      <c r="N8388" s="184"/>
      <c r="O8388" s="184"/>
    </row>
    <row r="8389" customFormat="false" ht="15" hidden="false" customHeight="true" outlineLevel="0" collapsed="false">
      <c r="A8389" s="184"/>
      <c r="B8389" s="184"/>
      <c r="C8389" s="184"/>
      <c r="D8389" s="184"/>
      <c r="E8389" s="184"/>
      <c r="F8389" s="184"/>
      <c r="G8389" s="184"/>
      <c r="H8389" s="184"/>
      <c r="I8389" s="184"/>
      <c r="J8389" s="184"/>
      <c r="K8389" s="184"/>
      <c r="L8389" s="184"/>
      <c r="M8389" s="184"/>
      <c r="N8389" s="184"/>
      <c r="O8389" s="184"/>
    </row>
    <row r="8390" customFormat="false" ht="15" hidden="false" customHeight="true" outlineLevel="0" collapsed="false">
      <c r="A8390" s="184"/>
      <c r="B8390" s="184"/>
      <c r="C8390" s="184"/>
      <c r="D8390" s="184"/>
      <c r="E8390" s="184"/>
      <c r="F8390" s="184"/>
      <c r="G8390" s="184"/>
      <c r="H8390" s="184"/>
      <c r="I8390" s="184"/>
      <c r="J8390" s="184"/>
      <c r="K8390" s="184"/>
      <c r="L8390" s="184"/>
      <c r="M8390" s="184"/>
      <c r="N8390" s="184"/>
      <c r="O8390" s="184"/>
    </row>
    <row r="8391" customFormat="false" ht="15" hidden="false" customHeight="true" outlineLevel="0" collapsed="false">
      <c r="A8391" s="184"/>
      <c r="B8391" s="184"/>
      <c r="C8391" s="184"/>
      <c r="D8391" s="184"/>
      <c r="E8391" s="184"/>
      <c r="F8391" s="184"/>
      <c r="G8391" s="184"/>
      <c r="H8391" s="184"/>
      <c r="I8391" s="184"/>
      <c r="J8391" s="184"/>
      <c r="K8391" s="184"/>
      <c r="L8391" s="184"/>
      <c r="M8391" s="184"/>
      <c r="N8391" s="184"/>
      <c r="O8391" s="184"/>
    </row>
    <row r="8392" customFormat="false" ht="15" hidden="false" customHeight="true" outlineLevel="0" collapsed="false">
      <c r="A8392" s="184"/>
      <c r="B8392" s="184"/>
      <c r="C8392" s="184"/>
      <c r="D8392" s="184"/>
      <c r="E8392" s="184"/>
      <c r="F8392" s="184"/>
      <c r="G8392" s="184"/>
      <c r="H8392" s="184"/>
      <c r="I8392" s="184"/>
      <c r="J8392" s="184"/>
      <c r="K8392" s="184"/>
      <c r="L8392" s="184"/>
      <c r="M8392" s="184"/>
      <c r="N8392" s="184"/>
      <c r="O8392" s="184"/>
    </row>
    <row r="8393" customFormat="false" ht="15" hidden="false" customHeight="true" outlineLevel="0" collapsed="false">
      <c r="A8393" s="184"/>
      <c r="B8393" s="184"/>
      <c r="C8393" s="184"/>
      <c r="D8393" s="184"/>
      <c r="E8393" s="184"/>
      <c r="F8393" s="184"/>
      <c r="G8393" s="184"/>
      <c r="H8393" s="184"/>
      <c r="I8393" s="184"/>
      <c r="J8393" s="184"/>
      <c r="K8393" s="184"/>
      <c r="L8393" s="184"/>
      <c r="M8393" s="184"/>
      <c r="N8393" s="184"/>
      <c r="O8393" s="184"/>
    </row>
    <row r="8394" customFormat="false" ht="15" hidden="false" customHeight="true" outlineLevel="0" collapsed="false">
      <c r="A8394" s="184"/>
      <c r="B8394" s="184"/>
      <c r="C8394" s="184"/>
      <c r="D8394" s="184"/>
      <c r="E8394" s="184"/>
      <c r="F8394" s="184"/>
      <c r="G8394" s="184"/>
      <c r="H8394" s="184"/>
      <c r="I8394" s="184"/>
      <c r="J8394" s="184"/>
      <c r="K8394" s="184"/>
      <c r="L8394" s="184"/>
      <c r="M8394" s="184"/>
      <c r="N8394" s="184"/>
      <c r="O8394" s="184"/>
    </row>
    <row r="8395" customFormat="false" ht="15" hidden="false" customHeight="true" outlineLevel="0" collapsed="false">
      <c r="A8395" s="184"/>
      <c r="B8395" s="184"/>
      <c r="C8395" s="184"/>
      <c r="D8395" s="184"/>
      <c r="E8395" s="184"/>
      <c r="F8395" s="184"/>
      <c r="G8395" s="184"/>
      <c r="H8395" s="184"/>
      <c r="I8395" s="184"/>
      <c r="J8395" s="184"/>
      <c r="K8395" s="184"/>
      <c r="L8395" s="184"/>
      <c r="M8395" s="184"/>
      <c r="N8395" s="184"/>
      <c r="O8395" s="184"/>
    </row>
    <row r="8396" customFormat="false" ht="15" hidden="false" customHeight="true" outlineLevel="0" collapsed="false">
      <c r="A8396" s="184"/>
      <c r="B8396" s="184"/>
      <c r="C8396" s="184"/>
      <c r="D8396" s="184"/>
      <c r="E8396" s="184"/>
      <c r="F8396" s="184"/>
      <c r="G8396" s="184"/>
      <c r="H8396" s="184"/>
      <c r="I8396" s="184"/>
      <c r="J8396" s="184"/>
      <c r="K8396" s="184"/>
      <c r="L8396" s="184"/>
      <c r="M8396" s="184"/>
      <c r="N8396" s="184"/>
      <c r="O8396" s="184"/>
    </row>
    <row r="8397" customFormat="false" ht="15" hidden="false" customHeight="true" outlineLevel="0" collapsed="false">
      <c r="A8397" s="184"/>
      <c r="B8397" s="184"/>
      <c r="C8397" s="184"/>
      <c r="D8397" s="184"/>
      <c r="E8397" s="184"/>
      <c r="F8397" s="184"/>
      <c r="G8397" s="184"/>
      <c r="H8397" s="184"/>
      <c r="I8397" s="184"/>
      <c r="J8397" s="184"/>
      <c r="K8397" s="184"/>
      <c r="L8397" s="184"/>
      <c r="M8397" s="184"/>
      <c r="N8397" s="184"/>
      <c r="O8397" s="184"/>
    </row>
    <row r="8398" customFormat="false" ht="15" hidden="false" customHeight="true" outlineLevel="0" collapsed="false">
      <c r="A8398" s="184"/>
      <c r="B8398" s="184"/>
      <c r="C8398" s="184"/>
      <c r="D8398" s="184"/>
      <c r="E8398" s="184"/>
      <c r="F8398" s="184"/>
      <c r="G8398" s="184"/>
      <c r="H8398" s="184"/>
      <c r="I8398" s="184"/>
      <c r="J8398" s="184"/>
      <c r="K8398" s="184"/>
      <c r="L8398" s="184"/>
      <c r="M8398" s="184"/>
      <c r="N8398" s="184"/>
      <c r="O8398" s="184"/>
    </row>
    <row r="8399" customFormat="false" ht="15" hidden="false" customHeight="true" outlineLevel="0" collapsed="false">
      <c r="A8399" s="184"/>
      <c r="B8399" s="184"/>
      <c r="C8399" s="184"/>
      <c r="D8399" s="184"/>
      <c r="E8399" s="184"/>
      <c r="F8399" s="184"/>
      <c r="G8399" s="184"/>
      <c r="H8399" s="184"/>
      <c r="I8399" s="184"/>
      <c r="J8399" s="184"/>
      <c r="K8399" s="184"/>
      <c r="L8399" s="184"/>
      <c r="M8399" s="184"/>
      <c r="N8399" s="184"/>
      <c r="O8399" s="184"/>
    </row>
    <row r="8400" customFormat="false" ht="15" hidden="false" customHeight="true" outlineLevel="0" collapsed="false">
      <c r="A8400" s="184"/>
      <c r="B8400" s="184"/>
      <c r="C8400" s="184"/>
      <c r="D8400" s="184"/>
      <c r="E8400" s="184"/>
      <c r="F8400" s="184"/>
      <c r="G8400" s="184"/>
      <c r="H8400" s="184"/>
      <c r="I8400" s="184"/>
      <c r="J8400" s="184"/>
      <c r="K8400" s="184"/>
      <c r="L8400" s="184"/>
      <c r="M8400" s="184"/>
      <c r="N8400" s="184"/>
      <c r="O8400" s="184"/>
    </row>
    <row r="8401" customFormat="false" ht="15" hidden="false" customHeight="true" outlineLevel="0" collapsed="false">
      <c r="A8401" s="184"/>
      <c r="B8401" s="184"/>
      <c r="C8401" s="184"/>
      <c r="D8401" s="184"/>
      <c r="E8401" s="184"/>
      <c r="F8401" s="184"/>
      <c r="G8401" s="184"/>
      <c r="H8401" s="184"/>
      <c r="I8401" s="184"/>
      <c r="J8401" s="184"/>
      <c r="K8401" s="184"/>
      <c r="L8401" s="184"/>
      <c r="M8401" s="184"/>
      <c r="N8401" s="184"/>
      <c r="O8401" s="184"/>
    </row>
    <row r="8402" customFormat="false" ht="15" hidden="false" customHeight="true" outlineLevel="0" collapsed="false">
      <c r="A8402" s="184"/>
      <c r="B8402" s="184"/>
      <c r="C8402" s="184"/>
      <c r="D8402" s="184"/>
      <c r="E8402" s="184"/>
      <c r="F8402" s="184"/>
      <c r="G8402" s="184"/>
      <c r="H8402" s="184"/>
      <c r="I8402" s="184"/>
      <c r="J8402" s="184"/>
      <c r="K8402" s="184"/>
      <c r="L8402" s="184"/>
      <c r="M8402" s="184"/>
      <c r="N8402" s="184"/>
      <c r="O8402" s="184"/>
    </row>
    <row r="8403" customFormat="false" ht="15" hidden="false" customHeight="true" outlineLevel="0" collapsed="false">
      <c r="A8403" s="184"/>
      <c r="B8403" s="184"/>
      <c r="C8403" s="184"/>
      <c r="D8403" s="184"/>
      <c r="E8403" s="184"/>
      <c r="F8403" s="184"/>
      <c r="G8403" s="184"/>
      <c r="H8403" s="184"/>
      <c r="I8403" s="184"/>
      <c r="J8403" s="184"/>
      <c r="K8403" s="184"/>
      <c r="L8403" s="184"/>
      <c r="M8403" s="184"/>
      <c r="N8403" s="184"/>
      <c r="O8403" s="184"/>
    </row>
    <row r="8404" customFormat="false" ht="15" hidden="false" customHeight="true" outlineLevel="0" collapsed="false">
      <c r="A8404" s="184"/>
      <c r="B8404" s="184"/>
      <c r="C8404" s="184"/>
      <c r="D8404" s="184"/>
      <c r="E8404" s="184"/>
      <c r="F8404" s="184"/>
      <c r="G8404" s="184"/>
      <c r="H8404" s="184"/>
      <c r="I8404" s="184"/>
      <c r="J8404" s="184"/>
      <c r="K8404" s="184"/>
      <c r="L8404" s="184"/>
      <c r="M8404" s="184"/>
      <c r="N8404" s="184"/>
      <c r="O8404" s="184"/>
    </row>
    <row r="8405" customFormat="false" ht="15" hidden="false" customHeight="true" outlineLevel="0" collapsed="false">
      <c r="A8405" s="184"/>
      <c r="B8405" s="184"/>
      <c r="C8405" s="184"/>
      <c r="D8405" s="184"/>
      <c r="E8405" s="184"/>
      <c r="F8405" s="184"/>
      <c r="G8405" s="184"/>
      <c r="H8405" s="184"/>
      <c r="I8405" s="184"/>
      <c r="J8405" s="184"/>
      <c r="K8405" s="184"/>
      <c r="L8405" s="184"/>
      <c r="M8405" s="184"/>
      <c r="N8405" s="184"/>
      <c r="O8405" s="184"/>
    </row>
    <row r="8406" customFormat="false" ht="15" hidden="false" customHeight="true" outlineLevel="0" collapsed="false">
      <c r="A8406" s="184"/>
      <c r="B8406" s="184"/>
      <c r="C8406" s="184"/>
      <c r="D8406" s="184"/>
      <c r="E8406" s="184"/>
      <c r="F8406" s="184"/>
      <c r="G8406" s="184"/>
      <c r="H8406" s="184"/>
      <c r="I8406" s="184"/>
      <c r="J8406" s="184"/>
      <c r="K8406" s="184"/>
      <c r="L8406" s="184"/>
      <c r="M8406" s="184"/>
      <c r="N8406" s="184"/>
      <c r="O8406" s="184"/>
    </row>
    <row r="8407" customFormat="false" ht="15" hidden="false" customHeight="true" outlineLevel="0" collapsed="false">
      <c r="A8407" s="184"/>
      <c r="B8407" s="184"/>
      <c r="C8407" s="184"/>
      <c r="D8407" s="184"/>
      <c r="E8407" s="184"/>
      <c r="F8407" s="184"/>
      <c r="G8407" s="184"/>
      <c r="H8407" s="184"/>
      <c r="I8407" s="184"/>
      <c r="J8407" s="184"/>
      <c r="K8407" s="184"/>
      <c r="L8407" s="184"/>
      <c r="M8407" s="184"/>
      <c r="N8407" s="184"/>
      <c r="O8407" s="184"/>
    </row>
    <row r="8408" customFormat="false" ht="15" hidden="false" customHeight="true" outlineLevel="0" collapsed="false">
      <c r="A8408" s="184"/>
      <c r="B8408" s="184"/>
      <c r="C8408" s="184"/>
      <c r="D8408" s="184"/>
      <c r="E8408" s="184"/>
      <c r="F8408" s="184"/>
      <c r="G8408" s="184"/>
      <c r="H8408" s="184"/>
      <c r="I8408" s="184"/>
      <c r="J8408" s="184"/>
      <c r="K8408" s="184"/>
      <c r="L8408" s="184"/>
      <c r="M8408" s="184"/>
      <c r="N8408" s="184"/>
      <c r="O8408" s="184"/>
    </row>
    <row r="8409" customFormat="false" ht="15" hidden="false" customHeight="true" outlineLevel="0" collapsed="false">
      <c r="A8409" s="184"/>
      <c r="B8409" s="184"/>
      <c r="C8409" s="184"/>
      <c r="D8409" s="184"/>
      <c r="E8409" s="184"/>
      <c r="F8409" s="184"/>
      <c r="G8409" s="184"/>
      <c r="H8409" s="184"/>
      <c r="I8409" s="184"/>
      <c r="J8409" s="184"/>
      <c r="K8409" s="184"/>
      <c r="L8409" s="184"/>
      <c r="M8409" s="184"/>
      <c r="N8409" s="184"/>
      <c r="O8409" s="184"/>
    </row>
    <row r="8410" customFormat="false" ht="15" hidden="false" customHeight="true" outlineLevel="0" collapsed="false">
      <c r="A8410" s="184"/>
      <c r="B8410" s="184"/>
      <c r="C8410" s="184"/>
      <c r="D8410" s="184"/>
      <c r="E8410" s="184"/>
      <c r="F8410" s="184"/>
      <c r="G8410" s="184"/>
      <c r="H8410" s="184"/>
      <c r="I8410" s="184"/>
      <c r="J8410" s="184"/>
      <c r="K8410" s="184"/>
      <c r="L8410" s="184"/>
      <c r="M8410" s="184"/>
      <c r="N8410" s="184"/>
      <c r="O8410" s="184"/>
    </row>
    <row r="8411" customFormat="false" ht="15" hidden="false" customHeight="true" outlineLevel="0" collapsed="false">
      <c r="A8411" s="184"/>
      <c r="B8411" s="184"/>
      <c r="C8411" s="184"/>
      <c r="D8411" s="184"/>
      <c r="E8411" s="184"/>
      <c r="F8411" s="184"/>
      <c r="G8411" s="184"/>
      <c r="H8411" s="184"/>
      <c r="I8411" s="184"/>
      <c r="J8411" s="184"/>
      <c r="K8411" s="184"/>
      <c r="L8411" s="184"/>
      <c r="M8411" s="184"/>
      <c r="N8411" s="184"/>
      <c r="O8411" s="184"/>
    </row>
    <row r="8412" customFormat="false" ht="15" hidden="false" customHeight="true" outlineLevel="0" collapsed="false">
      <c r="A8412" s="184"/>
      <c r="B8412" s="184"/>
      <c r="C8412" s="184"/>
      <c r="D8412" s="184"/>
      <c r="E8412" s="184"/>
      <c r="F8412" s="184"/>
      <c r="G8412" s="184"/>
      <c r="H8412" s="184"/>
      <c r="I8412" s="184"/>
      <c r="J8412" s="184"/>
      <c r="K8412" s="184"/>
      <c r="L8412" s="184"/>
      <c r="M8412" s="184"/>
      <c r="N8412" s="184"/>
      <c r="O8412" s="184"/>
    </row>
    <row r="8413" customFormat="false" ht="15" hidden="false" customHeight="true" outlineLevel="0" collapsed="false">
      <c r="A8413" s="184"/>
      <c r="B8413" s="184"/>
      <c r="C8413" s="184"/>
      <c r="D8413" s="184"/>
      <c r="E8413" s="184"/>
      <c r="F8413" s="184"/>
      <c r="G8413" s="184"/>
      <c r="H8413" s="184"/>
      <c r="I8413" s="184"/>
      <c r="J8413" s="184"/>
      <c r="K8413" s="184"/>
      <c r="L8413" s="184"/>
      <c r="M8413" s="184"/>
      <c r="N8413" s="184"/>
      <c r="O8413" s="184"/>
    </row>
    <row r="8414" customFormat="false" ht="15" hidden="false" customHeight="true" outlineLevel="0" collapsed="false">
      <c r="A8414" s="184"/>
      <c r="B8414" s="184"/>
      <c r="C8414" s="184"/>
      <c r="D8414" s="184"/>
      <c r="E8414" s="184"/>
      <c r="F8414" s="184"/>
      <c r="G8414" s="184"/>
      <c r="H8414" s="184"/>
      <c r="I8414" s="184"/>
      <c r="J8414" s="184"/>
      <c r="K8414" s="184"/>
      <c r="L8414" s="184"/>
      <c r="M8414" s="184"/>
      <c r="N8414" s="184"/>
      <c r="O8414" s="184"/>
    </row>
    <row r="8415" customFormat="false" ht="15" hidden="false" customHeight="true" outlineLevel="0" collapsed="false">
      <c r="A8415" s="184"/>
      <c r="B8415" s="184"/>
      <c r="C8415" s="184"/>
      <c r="D8415" s="184"/>
      <c r="E8415" s="184"/>
      <c r="F8415" s="184"/>
      <c r="G8415" s="184"/>
      <c r="H8415" s="184"/>
      <c r="I8415" s="184"/>
      <c r="J8415" s="184"/>
      <c r="K8415" s="184"/>
      <c r="L8415" s="184"/>
      <c r="M8415" s="184"/>
      <c r="N8415" s="184"/>
      <c r="O8415" s="184"/>
    </row>
    <row r="8416" customFormat="false" ht="15" hidden="false" customHeight="true" outlineLevel="0" collapsed="false">
      <c r="A8416" s="184"/>
      <c r="B8416" s="184"/>
      <c r="C8416" s="184"/>
      <c r="D8416" s="184"/>
      <c r="E8416" s="184"/>
      <c r="F8416" s="184"/>
      <c r="G8416" s="184"/>
      <c r="H8416" s="184"/>
      <c r="I8416" s="184"/>
      <c r="J8416" s="184"/>
      <c r="K8416" s="184"/>
      <c r="L8416" s="184"/>
      <c r="M8416" s="184"/>
      <c r="N8416" s="184"/>
      <c r="O8416" s="184"/>
    </row>
    <row r="8417" customFormat="false" ht="15" hidden="false" customHeight="true" outlineLevel="0" collapsed="false">
      <c r="A8417" s="184"/>
      <c r="B8417" s="184"/>
      <c r="C8417" s="184"/>
      <c r="D8417" s="184"/>
      <c r="E8417" s="184"/>
      <c r="F8417" s="184"/>
      <c r="G8417" s="184"/>
      <c r="H8417" s="184"/>
      <c r="I8417" s="184"/>
      <c r="J8417" s="184"/>
      <c r="K8417" s="184"/>
      <c r="L8417" s="184"/>
      <c r="M8417" s="184"/>
      <c r="N8417" s="184"/>
      <c r="O8417" s="184"/>
    </row>
    <row r="8418" customFormat="false" ht="15" hidden="false" customHeight="true" outlineLevel="0" collapsed="false">
      <c r="A8418" s="184"/>
      <c r="B8418" s="184"/>
      <c r="C8418" s="184"/>
      <c r="D8418" s="184"/>
      <c r="E8418" s="184"/>
      <c r="F8418" s="184"/>
      <c r="G8418" s="184"/>
      <c r="H8418" s="184"/>
      <c r="I8418" s="184"/>
      <c r="J8418" s="184"/>
      <c r="K8418" s="184"/>
      <c r="L8418" s="184"/>
      <c r="M8418" s="184"/>
      <c r="N8418" s="184"/>
      <c r="O8418" s="184"/>
    </row>
    <row r="8419" customFormat="false" ht="15" hidden="false" customHeight="true" outlineLevel="0" collapsed="false">
      <c r="A8419" s="184"/>
      <c r="B8419" s="184"/>
      <c r="C8419" s="184"/>
      <c r="D8419" s="184"/>
      <c r="E8419" s="184"/>
      <c r="F8419" s="184"/>
      <c r="G8419" s="184"/>
      <c r="H8419" s="184"/>
      <c r="I8419" s="184"/>
      <c r="J8419" s="184"/>
      <c r="K8419" s="184"/>
      <c r="L8419" s="184"/>
      <c r="M8419" s="184"/>
      <c r="N8419" s="184"/>
      <c r="O8419" s="184"/>
    </row>
    <row r="8420" customFormat="false" ht="15" hidden="false" customHeight="true" outlineLevel="0" collapsed="false">
      <c r="A8420" s="184"/>
      <c r="B8420" s="184"/>
      <c r="C8420" s="184"/>
      <c r="D8420" s="184"/>
      <c r="E8420" s="184"/>
      <c r="F8420" s="184"/>
      <c r="G8420" s="184"/>
      <c r="H8420" s="184"/>
      <c r="I8420" s="184"/>
      <c r="J8420" s="184"/>
      <c r="K8420" s="184"/>
      <c r="L8420" s="184"/>
      <c r="M8420" s="184"/>
      <c r="N8420" s="184"/>
      <c r="O8420" s="184"/>
    </row>
    <row r="8421" customFormat="false" ht="15" hidden="false" customHeight="true" outlineLevel="0" collapsed="false">
      <c r="A8421" s="184"/>
      <c r="B8421" s="184"/>
      <c r="C8421" s="184"/>
      <c r="D8421" s="184"/>
      <c r="E8421" s="184"/>
      <c r="F8421" s="184"/>
      <c r="G8421" s="184"/>
      <c r="H8421" s="184"/>
      <c r="I8421" s="184"/>
      <c r="J8421" s="184"/>
      <c r="K8421" s="184"/>
      <c r="L8421" s="184"/>
      <c r="M8421" s="184"/>
      <c r="N8421" s="184"/>
      <c r="O8421" s="184"/>
    </row>
    <row r="8422" customFormat="false" ht="15" hidden="false" customHeight="true" outlineLevel="0" collapsed="false">
      <c r="A8422" s="184"/>
      <c r="B8422" s="184"/>
      <c r="C8422" s="184"/>
      <c r="D8422" s="184"/>
      <c r="E8422" s="184"/>
      <c r="F8422" s="184"/>
      <c r="G8422" s="184"/>
      <c r="H8422" s="184"/>
      <c r="I8422" s="184"/>
      <c r="J8422" s="184"/>
      <c r="K8422" s="184"/>
      <c r="L8422" s="184"/>
      <c r="M8422" s="184"/>
      <c r="N8422" s="184"/>
      <c r="O8422" s="184"/>
    </row>
    <row r="8423" customFormat="false" ht="15" hidden="false" customHeight="true" outlineLevel="0" collapsed="false">
      <c r="A8423" s="184"/>
      <c r="B8423" s="184"/>
      <c r="C8423" s="184"/>
      <c r="D8423" s="184"/>
      <c r="E8423" s="184"/>
      <c r="F8423" s="184"/>
      <c r="G8423" s="184"/>
      <c r="H8423" s="184"/>
      <c r="I8423" s="184"/>
      <c r="J8423" s="184"/>
      <c r="K8423" s="184"/>
      <c r="L8423" s="184"/>
      <c r="M8423" s="184"/>
      <c r="N8423" s="184"/>
      <c r="O8423" s="184"/>
    </row>
    <row r="8424" customFormat="false" ht="15" hidden="false" customHeight="true" outlineLevel="0" collapsed="false">
      <c r="A8424" s="184"/>
      <c r="B8424" s="184"/>
      <c r="C8424" s="184"/>
      <c r="D8424" s="184"/>
      <c r="E8424" s="184"/>
      <c r="F8424" s="184"/>
      <c r="G8424" s="184"/>
      <c r="H8424" s="184"/>
      <c r="I8424" s="184"/>
      <c r="J8424" s="184"/>
      <c r="K8424" s="184"/>
      <c r="L8424" s="184"/>
      <c r="M8424" s="184"/>
      <c r="N8424" s="184"/>
      <c r="O8424" s="184"/>
    </row>
    <row r="8425" customFormat="false" ht="15" hidden="false" customHeight="true" outlineLevel="0" collapsed="false">
      <c r="A8425" s="184"/>
      <c r="B8425" s="184"/>
      <c r="C8425" s="184"/>
      <c r="D8425" s="184"/>
      <c r="E8425" s="184"/>
      <c r="F8425" s="184"/>
      <c r="G8425" s="184"/>
      <c r="H8425" s="184"/>
      <c r="I8425" s="184"/>
      <c r="J8425" s="184"/>
      <c r="K8425" s="184"/>
      <c r="L8425" s="184"/>
      <c r="M8425" s="184"/>
      <c r="N8425" s="184"/>
      <c r="O8425" s="184"/>
    </row>
    <row r="8426" customFormat="false" ht="15" hidden="false" customHeight="true" outlineLevel="0" collapsed="false">
      <c r="A8426" s="184"/>
      <c r="B8426" s="184"/>
      <c r="C8426" s="184"/>
      <c r="D8426" s="184"/>
      <c r="E8426" s="184"/>
      <c r="F8426" s="184"/>
      <c r="G8426" s="184"/>
      <c r="H8426" s="184"/>
      <c r="I8426" s="184"/>
      <c r="J8426" s="184"/>
      <c r="K8426" s="184"/>
      <c r="L8426" s="184"/>
      <c r="M8426" s="184"/>
      <c r="N8426" s="184"/>
      <c r="O8426" s="184"/>
    </row>
    <row r="8427" customFormat="false" ht="15" hidden="false" customHeight="true" outlineLevel="0" collapsed="false">
      <c r="A8427" s="184"/>
      <c r="B8427" s="184"/>
      <c r="C8427" s="184"/>
      <c r="D8427" s="184"/>
      <c r="E8427" s="184"/>
      <c r="F8427" s="184"/>
      <c r="G8427" s="184"/>
      <c r="H8427" s="184"/>
      <c r="I8427" s="184"/>
      <c r="J8427" s="184"/>
      <c r="K8427" s="184"/>
      <c r="L8427" s="184"/>
      <c r="M8427" s="184"/>
      <c r="N8427" s="184"/>
      <c r="O8427" s="184"/>
    </row>
    <row r="8428" customFormat="false" ht="15" hidden="false" customHeight="true" outlineLevel="0" collapsed="false">
      <c r="A8428" s="184"/>
      <c r="B8428" s="184"/>
      <c r="C8428" s="184"/>
      <c r="D8428" s="184"/>
      <c r="E8428" s="184"/>
      <c r="F8428" s="184"/>
      <c r="G8428" s="184"/>
      <c r="H8428" s="184"/>
      <c r="I8428" s="184"/>
      <c r="J8428" s="184"/>
      <c r="K8428" s="184"/>
      <c r="L8428" s="184"/>
      <c r="M8428" s="184"/>
      <c r="N8428" s="184"/>
      <c r="O8428" s="184"/>
    </row>
    <row r="8429" customFormat="false" ht="15" hidden="false" customHeight="true" outlineLevel="0" collapsed="false">
      <c r="A8429" s="184"/>
      <c r="B8429" s="184"/>
      <c r="C8429" s="184"/>
      <c r="D8429" s="184"/>
      <c r="E8429" s="184"/>
      <c r="F8429" s="184"/>
      <c r="G8429" s="184"/>
      <c r="H8429" s="184"/>
      <c r="I8429" s="184"/>
      <c r="J8429" s="184"/>
      <c r="K8429" s="184"/>
      <c r="L8429" s="184"/>
      <c r="M8429" s="184"/>
      <c r="N8429" s="184"/>
      <c r="O8429" s="184"/>
    </row>
    <row r="8430" customFormat="false" ht="15" hidden="false" customHeight="true" outlineLevel="0" collapsed="false">
      <c r="A8430" s="184"/>
      <c r="B8430" s="184"/>
      <c r="C8430" s="184"/>
      <c r="D8430" s="184"/>
      <c r="E8430" s="184"/>
      <c r="F8430" s="184"/>
      <c r="G8430" s="184"/>
      <c r="H8430" s="184"/>
      <c r="I8430" s="184"/>
      <c r="J8430" s="184"/>
      <c r="K8430" s="184"/>
      <c r="L8430" s="184"/>
      <c r="M8430" s="184"/>
      <c r="N8430" s="184"/>
      <c r="O8430" s="184"/>
    </row>
    <row r="8431" customFormat="false" ht="15" hidden="false" customHeight="true" outlineLevel="0" collapsed="false">
      <c r="A8431" s="184"/>
      <c r="B8431" s="184"/>
      <c r="C8431" s="184"/>
      <c r="D8431" s="184"/>
      <c r="E8431" s="184"/>
      <c r="F8431" s="184"/>
      <c r="G8431" s="184"/>
      <c r="H8431" s="184"/>
      <c r="I8431" s="184"/>
      <c r="J8431" s="184"/>
      <c r="K8431" s="184"/>
      <c r="L8431" s="184"/>
      <c r="M8431" s="184"/>
      <c r="N8431" s="184"/>
      <c r="O8431" s="184"/>
    </row>
    <row r="8432" customFormat="false" ht="15" hidden="false" customHeight="true" outlineLevel="0" collapsed="false">
      <c r="A8432" s="184"/>
      <c r="B8432" s="184"/>
      <c r="C8432" s="184"/>
      <c r="D8432" s="184"/>
      <c r="E8432" s="184"/>
      <c r="F8432" s="184"/>
      <c r="G8432" s="184"/>
      <c r="H8432" s="184"/>
      <c r="I8432" s="184"/>
      <c r="J8432" s="184"/>
      <c r="K8432" s="184"/>
      <c r="L8432" s="184"/>
      <c r="M8432" s="184"/>
      <c r="N8432" s="184"/>
      <c r="O8432" s="184"/>
    </row>
    <row r="8433" customFormat="false" ht="15" hidden="false" customHeight="true" outlineLevel="0" collapsed="false">
      <c r="A8433" s="184"/>
      <c r="B8433" s="184"/>
      <c r="C8433" s="184"/>
      <c r="D8433" s="184"/>
      <c r="E8433" s="184"/>
      <c r="F8433" s="184"/>
      <c r="G8433" s="184"/>
      <c r="H8433" s="184"/>
      <c r="I8433" s="184"/>
      <c r="J8433" s="184"/>
      <c r="K8433" s="184"/>
      <c r="L8433" s="184"/>
      <c r="M8433" s="184"/>
      <c r="N8433" s="184"/>
      <c r="O8433" s="184"/>
    </row>
    <row r="8434" customFormat="false" ht="15" hidden="false" customHeight="true" outlineLevel="0" collapsed="false">
      <c r="A8434" s="184"/>
      <c r="B8434" s="184"/>
      <c r="C8434" s="184"/>
      <c r="D8434" s="184"/>
      <c r="E8434" s="184"/>
      <c r="F8434" s="184"/>
      <c r="G8434" s="184"/>
      <c r="H8434" s="184"/>
      <c r="I8434" s="184"/>
      <c r="J8434" s="184"/>
      <c r="K8434" s="184"/>
      <c r="L8434" s="184"/>
      <c r="M8434" s="184"/>
      <c r="N8434" s="184"/>
      <c r="O8434" s="184"/>
    </row>
    <row r="8435" customFormat="false" ht="15" hidden="false" customHeight="true" outlineLevel="0" collapsed="false">
      <c r="A8435" s="184"/>
      <c r="B8435" s="184"/>
      <c r="C8435" s="184"/>
      <c r="D8435" s="184"/>
      <c r="E8435" s="184"/>
      <c r="F8435" s="184"/>
      <c r="G8435" s="184"/>
      <c r="H8435" s="184"/>
      <c r="I8435" s="184"/>
      <c r="J8435" s="184"/>
      <c r="K8435" s="184"/>
      <c r="L8435" s="184"/>
      <c r="M8435" s="184"/>
      <c r="N8435" s="184"/>
      <c r="O8435" s="184"/>
    </row>
    <row r="8436" customFormat="false" ht="15" hidden="false" customHeight="true" outlineLevel="0" collapsed="false">
      <c r="A8436" s="184"/>
      <c r="B8436" s="184"/>
      <c r="C8436" s="184"/>
      <c r="D8436" s="184"/>
      <c r="E8436" s="184"/>
      <c r="F8436" s="184"/>
      <c r="G8436" s="184"/>
      <c r="H8436" s="184"/>
      <c r="I8436" s="184"/>
      <c r="J8436" s="184"/>
      <c r="K8436" s="184"/>
      <c r="L8436" s="184"/>
      <c r="M8436" s="184"/>
      <c r="N8436" s="184"/>
      <c r="O8436" s="184"/>
    </row>
    <row r="8437" customFormat="false" ht="15" hidden="false" customHeight="true" outlineLevel="0" collapsed="false">
      <c r="A8437" s="184"/>
      <c r="B8437" s="184"/>
      <c r="C8437" s="184"/>
      <c r="D8437" s="184"/>
      <c r="E8437" s="184"/>
      <c r="F8437" s="184"/>
      <c r="G8437" s="184"/>
      <c r="H8437" s="184"/>
      <c r="I8437" s="184"/>
      <c r="J8437" s="184"/>
      <c r="K8437" s="184"/>
      <c r="L8437" s="184"/>
      <c r="M8437" s="184"/>
      <c r="N8437" s="184"/>
      <c r="O8437" s="184"/>
    </row>
    <row r="8438" customFormat="false" ht="15" hidden="false" customHeight="true" outlineLevel="0" collapsed="false">
      <c r="A8438" s="184"/>
      <c r="B8438" s="184"/>
      <c r="C8438" s="184"/>
      <c r="D8438" s="184"/>
      <c r="E8438" s="184"/>
      <c r="F8438" s="184"/>
      <c r="G8438" s="184"/>
      <c r="H8438" s="184"/>
      <c r="I8438" s="184"/>
      <c r="J8438" s="184"/>
      <c r="K8438" s="184"/>
      <c r="L8438" s="184"/>
      <c r="M8438" s="184"/>
      <c r="N8438" s="184"/>
      <c r="O8438" s="184"/>
    </row>
    <row r="8439" customFormat="false" ht="15" hidden="false" customHeight="true" outlineLevel="0" collapsed="false">
      <c r="A8439" s="184"/>
      <c r="B8439" s="184"/>
      <c r="C8439" s="184"/>
      <c r="D8439" s="184"/>
      <c r="E8439" s="184"/>
      <c r="F8439" s="184"/>
      <c r="G8439" s="184"/>
      <c r="H8439" s="184"/>
      <c r="I8439" s="184"/>
      <c r="J8439" s="184"/>
      <c r="K8439" s="184"/>
      <c r="L8439" s="184"/>
      <c r="M8439" s="184"/>
      <c r="N8439" s="184"/>
      <c r="O8439" s="184"/>
    </row>
    <row r="8440" customFormat="false" ht="15" hidden="false" customHeight="true" outlineLevel="0" collapsed="false">
      <c r="A8440" s="184"/>
      <c r="B8440" s="184"/>
      <c r="C8440" s="184"/>
      <c r="D8440" s="184"/>
      <c r="E8440" s="184"/>
      <c r="F8440" s="184"/>
      <c r="G8440" s="184"/>
      <c r="H8440" s="184"/>
      <c r="I8440" s="184"/>
      <c r="J8440" s="184"/>
      <c r="K8440" s="184"/>
      <c r="L8440" s="184"/>
      <c r="M8440" s="184"/>
      <c r="N8440" s="184"/>
      <c r="O8440" s="184"/>
    </row>
    <row r="8441" customFormat="false" ht="15" hidden="false" customHeight="true" outlineLevel="0" collapsed="false">
      <c r="A8441" s="184"/>
      <c r="B8441" s="184"/>
      <c r="C8441" s="184"/>
      <c r="D8441" s="184"/>
      <c r="E8441" s="184"/>
      <c r="F8441" s="184"/>
      <c r="G8441" s="184"/>
      <c r="H8441" s="184"/>
      <c r="I8441" s="184"/>
      <c r="J8441" s="184"/>
      <c r="K8441" s="184"/>
      <c r="L8441" s="184"/>
      <c r="M8441" s="184"/>
      <c r="N8441" s="184"/>
      <c r="O8441" s="184"/>
    </row>
    <row r="8442" customFormat="false" ht="15" hidden="false" customHeight="true" outlineLevel="0" collapsed="false">
      <c r="A8442" s="184"/>
      <c r="B8442" s="184"/>
      <c r="C8442" s="184"/>
      <c r="D8442" s="184"/>
      <c r="E8442" s="184"/>
      <c r="F8442" s="184"/>
      <c r="G8442" s="184"/>
      <c r="H8442" s="184"/>
      <c r="I8442" s="184"/>
      <c r="J8442" s="184"/>
      <c r="K8442" s="184"/>
      <c r="L8442" s="184"/>
      <c r="M8442" s="184"/>
      <c r="N8442" s="184"/>
      <c r="O8442" s="184"/>
    </row>
    <row r="8443" customFormat="false" ht="15" hidden="false" customHeight="true" outlineLevel="0" collapsed="false">
      <c r="A8443" s="184"/>
      <c r="B8443" s="184"/>
      <c r="C8443" s="184"/>
      <c r="D8443" s="184"/>
      <c r="E8443" s="184"/>
      <c r="F8443" s="184"/>
      <c r="G8443" s="184"/>
      <c r="H8443" s="184"/>
      <c r="I8443" s="184"/>
      <c r="J8443" s="184"/>
      <c r="K8443" s="184"/>
      <c r="L8443" s="184"/>
      <c r="M8443" s="184"/>
      <c r="N8443" s="184"/>
      <c r="O8443" s="184"/>
    </row>
    <row r="8444" customFormat="false" ht="15" hidden="false" customHeight="true" outlineLevel="0" collapsed="false">
      <c r="A8444" s="184"/>
      <c r="B8444" s="184"/>
      <c r="C8444" s="184"/>
      <c r="D8444" s="184"/>
      <c r="E8444" s="184"/>
      <c r="F8444" s="184"/>
      <c r="G8444" s="184"/>
      <c r="H8444" s="184"/>
      <c r="I8444" s="184"/>
      <c r="J8444" s="184"/>
      <c r="K8444" s="184"/>
      <c r="L8444" s="184"/>
      <c r="M8444" s="184"/>
      <c r="N8444" s="184"/>
      <c r="O8444" s="184"/>
    </row>
    <row r="8445" customFormat="false" ht="15" hidden="false" customHeight="true" outlineLevel="0" collapsed="false">
      <c r="A8445" s="184"/>
      <c r="B8445" s="184"/>
      <c r="C8445" s="184"/>
      <c r="D8445" s="184"/>
      <c r="E8445" s="184"/>
      <c r="F8445" s="184"/>
      <c r="G8445" s="184"/>
      <c r="H8445" s="184"/>
      <c r="I8445" s="184"/>
      <c r="J8445" s="184"/>
      <c r="K8445" s="184"/>
      <c r="L8445" s="184"/>
      <c r="M8445" s="184"/>
      <c r="N8445" s="184"/>
      <c r="O8445" s="184"/>
    </row>
    <row r="8446" customFormat="false" ht="15" hidden="false" customHeight="true" outlineLevel="0" collapsed="false">
      <c r="A8446" s="184"/>
      <c r="B8446" s="184"/>
      <c r="C8446" s="184"/>
      <c r="D8446" s="184"/>
      <c r="E8446" s="184"/>
      <c r="F8446" s="184"/>
      <c r="G8446" s="184"/>
      <c r="H8446" s="184"/>
      <c r="I8446" s="184"/>
      <c r="J8446" s="184"/>
      <c r="K8446" s="184"/>
      <c r="L8446" s="184"/>
      <c r="M8446" s="184"/>
      <c r="N8446" s="184"/>
      <c r="O8446" s="184"/>
    </row>
    <row r="8447" customFormat="false" ht="15" hidden="false" customHeight="true" outlineLevel="0" collapsed="false">
      <c r="A8447" s="184"/>
      <c r="B8447" s="184"/>
      <c r="C8447" s="184"/>
      <c r="D8447" s="184"/>
      <c r="E8447" s="184"/>
      <c r="F8447" s="184"/>
      <c r="G8447" s="184"/>
      <c r="H8447" s="184"/>
      <c r="I8447" s="184"/>
      <c r="J8447" s="184"/>
      <c r="K8447" s="184"/>
      <c r="L8447" s="184"/>
      <c r="M8447" s="184"/>
      <c r="N8447" s="184"/>
      <c r="O8447" s="184"/>
    </row>
    <row r="8448" customFormat="false" ht="15" hidden="false" customHeight="true" outlineLevel="0" collapsed="false">
      <c r="A8448" s="184"/>
      <c r="B8448" s="184"/>
      <c r="C8448" s="184"/>
      <c r="D8448" s="184"/>
      <c r="E8448" s="184"/>
      <c r="F8448" s="184"/>
      <c r="G8448" s="184"/>
      <c r="H8448" s="184"/>
      <c r="I8448" s="184"/>
      <c r="J8448" s="184"/>
      <c r="K8448" s="184"/>
      <c r="L8448" s="184"/>
      <c r="M8448" s="184"/>
      <c r="N8448" s="184"/>
      <c r="O8448" s="184"/>
    </row>
    <row r="8449" customFormat="false" ht="15" hidden="false" customHeight="true" outlineLevel="0" collapsed="false">
      <c r="A8449" s="184"/>
      <c r="B8449" s="184"/>
      <c r="C8449" s="184"/>
      <c r="D8449" s="184"/>
      <c r="E8449" s="184"/>
      <c r="F8449" s="184"/>
      <c r="G8449" s="184"/>
      <c r="H8449" s="184"/>
      <c r="I8449" s="184"/>
      <c r="J8449" s="184"/>
      <c r="K8449" s="184"/>
      <c r="L8449" s="184"/>
      <c r="M8449" s="184"/>
      <c r="N8449" s="184"/>
      <c r="O8449" s="184"/>
    </row>
    <row r="8450" customFormat="false" ht="15" hidden="false" customHeight="true" outlineLevel="0" collapsed="false">
      <c r="A8450" s="184"/>
      <c r="B8450" s="184"/>
      <c r="C8450" s="184"/>
      <c r="D8450" s="184"/>
      <c r="E8450" s="184"/>
      <c r="F8450" s="184"/>
      <c r="G8450" s="184"/>
      <c r="H8450" s="184"/>
      <c r="I8450" s="184"/>
      <c r="J8450" s="184"/>
      <c r="K8450" s="184"/>
      <c r="L8450" s="184"/>
      <c r="M8450" s="184"/>
      <c r="N8450" s="184"/>
      <c r="O8450" s="184"/>
    </row>
    <row r="8451" customFormat="false" ht="15" hidden="false" customHeight="true" outlineLevel="0" collapsed="false">
      <c r="A8451" s="184"/>
      <c r="B8451" s="184"/>
      <c r="C8451" s="184"/>
      <c r="D8451" s="184"/>
      <c r="E8451" s="184"/>
      <c r="F8451" s="184"/>
      <c r="G8451" s="184"/>
      <c r="H8451" s="184"/>
      <c r="I8451" s="184"/>
      <c r="J8451" s="184"/>
      <c r="K8451" s="184"/>
      <c r="L8451" s="184"/>
      <c r="M8451" s="184"/>
      <c r="N8451" s="184"/>
      <c r="O8451" s="184"/>
    </row>
    <row r="8452" customFormat="false" ht="15" hidden="false" customHeight="true" outlineLevel="0" collapsed="false">
      <c r="A8452" s="184"/>
      <c r="B8452" s="184"/>
      <c r="C8452" s="184"/>
      <c r="D8452" s="184"/>
      <c r="E8452" s="184"/>
      <c r="F8452" s="184"/>
      <c r="G8452" s="184"/>
      <c r="H8452" s="184"/>
      <c r="I8452" s="184"/>
      <c r="J8452" s="184"/>
      <c r="K8452" s="184"/>
      <c r="L8452" s="184"/>
      <c r="M8452" s="184"/>
      <c r="N8452" s="184"/>
      <c r="O8452" s="184"/>
    </row>
    <row r="8453" customFormat="false" ht="15" hidden="false" customHeight="true" outlineLevel="0" collapsed="false">
      <c r="A8453" s="184"/>
      <c r="B8453" s="184"/>
      <c r="C8453" s="184"/>
      <c r="D8453" s="184"/>
      <c r="E8453" s="184"/>
      <c r="F8453" s="184"/>
      <c r="G8453" s="184"/>
      <c r="H8453" s="184"/>
      <c r="I8453" s="184"/>
      <c r="J8453" s="184"/>
      <c r="K8453" s="184"/>
      <c r="L8453" s="184"/>
      <c r="M8453" s="184"/>
      <c r="N8453" s="184"/>
      <c r="O8453" s="184"/>
    </row>
    <row r="8454" customFormat="false" ht="15" hidden="false" customHeight="true" outlineLevel="0" collapsed="false">
      <c r="A8454" s="184"/>
      <c r="B8454" s="184"/>
      <c r="C8454" s="184"/>
      <c r="D8454" s="184"/>
      <c r="E8454" s="184"/>
      <c r="F8454" s="184"/>
      <c r="G8454" s="184"/>
      <c r="H8454" s="184"/>
      <c r="I8454" s="184"/>
      <c r="J8454" s="184"/>
      <c r="K8454" s="184"/>
      <c r="L8454" s="184"/>
      <c r="M8454" s="184"/>
      <c r="N8454" s="184"/>
      <c r="O8454" s="184"/>
    </row>
    <row r="8455" customFormat="false" ht="15" hidden="false" customHeight="true" outlineLevel="0" collapsed="false">
      <c r="A8455" s="184"/>
      <c r="B8455" s="184"/>
      <c r="C8455" s="184"/>
      <c r="D8455" s="184"/>
      <c r="E8455" s="184"/>
      <c r="F8455" s="184"/>
      <c r="G8455" s="184"/>
      <c r="H8455" s="184"/>
      <c r="I8455" s="184"/>
      <c r="J8455" s="184"/>
      <c r="K8455" s="184"/>
      <c r="L8455" s="184"/>
      <c r="M8455" s="184"/>
      <c r="N8455" s="184"/>
      <c r="O8455" s="184"/>
    </row>
    <row r="8456" customFormat="false" ht="15" hidden="false" customHeight="true" outlineLevel="0" collapsed="false">
      <c r="A8456" s="184"/>
      <c r="B8456" s="184"/>
      <c r="C8456" s="184"/>
      <c r="D8456" s="184"/>
      <c r="E8456" s="184"/>
      <c r="F8456" s="184"/>
      <c r="G8456" s="184"/>
      <c r="H8456" s="184"/>
      <c r="I8456" s="184"/>
      <c r="J8456" s="184"/>
      <c r="K8456" s="184"/>
      <c r="L8456" s="184"/>
      <c r="M8456" s="184"/>
      <c r="N8456" s="184"/>
      <c r="O8456" s="184"/>
    </row>
    <row r="8457" customFormat="false" ht="15" hidden="false" customHeight="true" outlineLevel="0" collapsed="false">
      <c r="A8457" s="184"/>
      <c r="B8457" s="184"/>
      <c r="C8457" s="184"/>
      <c r="D8457" s="184"/>
      <c r="E8457" s="184"/>
      <c r="F8457" s="184"/>
      <c r="G8457" s="184"/>
      <c r="H8457" s="184"/>
      <c r="I8457" s="184"/>
      <c r="J8457" s="184"/>
      <c r="K8457" s="184"/>
      <c r="L8457" s="184"/>
      <c r="M8457" s="184"/>
      <c r="N8457" s="184"/>
      <c r="O8457" s="184"/>
    </row>
    <row r="8458" customFormat="false" ht="15" hidden="false" customHeight="true" outlineLevel="0" collapsed="false">
      <c r="A8458" s="184"/>
      <c r="B8458" s="184"/>
      <c r="C8458" s="184"/>
      <c r="D8458" s="184"/>
      <c r="E8458" s="184"/>
      <c r="F8458" s="184"/>
      <c r="G8458" s="184"/>
      <c r="H8458" s="184"/>
      <c r="I8458" s="184"/>
      <c r="J8458" s="184"/>
      <c r="K8458" s="184"/>
      <c r="L8458" s="184"/>
      <c r="M8458" s="184"/>
      <c r="N8458" s="184"/>
      <c r="O8458" s="184"/>
    </row>
    <row r="8459" customFormat="false" ht="15" hidden="false" customHeight="true" outlineLevel="0" collapsed="false">
      <c r="A8459" s="184"/>
      <c r="B8459" s="184"/>
      <c r="C8459" s="184"/>
      <c r="D8459" s="184"/>
      <c r="E8459" s="184"/>
      <c r="F8459" s="184"/>
      <c r="G8459" s="184"/>
      <c r="H8459" s="184"/>
      <c r="I8459" s="184"/>
      <c r="J8459" s="184"/>
      <c r="K8459" s="184"/>
      <c r="L8459" s="184"/>
      <c r="M8459" s="184"/>
      <c r="N8459" s="184"/>
      <c r="O8459" s="184"/>
    </row>
    <row r="8460" customFormat="false" ht="15" hidden="false" customHeight="true" outlineLevel="0" collapsed="false">
      <c r="A8460" s="184"/>
      <c r="B8460" s="184"/>
      <c r="C8460" s="184"/>
      <c r="D8460" s="184"/>
      <c r="E8460" s="184"/>
      <c r="F8460" s="184"/>
      <c r="G8460" s="184"/>
      <c r="H8460" s="184"/>
      <c r="I8460" s="184"/>
      <c r="J8460" s="184"/>
      <c r="K8460" s="184"/>
      <c r="L8460" s="184"/>
      <c r="M8460" s="184"/>
      <c r="N8460" s="184"/>
      <c r="O8460" s="184"/>
    </row>
    <row r="8461" customFormat="false" ht="15" hidden="false" customHeight="true" outlineLevel="0" collapsed="false">
      <c r="A8461" s="184"/>
      <c r="B8461" s="184"/>
      <c r="C8461" s="184"/>
      <c r="D8461" s="184"/>
      <c r="E8461" s="184"/>
      <c r="F8461" s="184"/>
      <c r="G8461" s="184"/>
      <c r="H8461" s="184"/>
      <c r="I8461" s="184"/>
      <c r="J8461" s="184"/>
      <c r="K8461" s="184"/>
      <c r="L8461" s="184"/>
      <c r="M8461" s="184"/>
      <c r="N8461" s="184"/>
      <c r="O8461" s="184"/>
    </row>
    <row r="8462" customFormat="false" ht="15" hidden="false" customHeight="true" outlineLevel="0" collapsed="false">
      <c r="A8462" s="184"/>
      <c r="B8462" s="184"/>
      <c r="C8462" s="184"/>
      <c r="D8462" s="184"/>
      <c r="E8462" s="184"/>
      <c r="F8462" s="184"/>
      <c r="G8462" s="184"/>
      <c r="H8462" s="184"/>
      <c r="I8462" s="184"/>
      <c r="J8462" s="184"/>
      <c r="K8462" s="184"/>
      <c r="L8462" s="184"/>
      <c r="M8462" s="184"/>
      <c r="N8462" s="184"/>
      <c r="O8462" s="184"/>
    </row>
    <row r="8463" customFormat="false" ht="15" hidden="false" customHeight="true" outlineLevel="0" collapsed="false">
      <c r="A8463" s="184"/>
      <c r="B8463" s="184"/>
      <c r="C8463" s="184"/>
      <c r="D8463" s="184"/>
      <c r="E8463" s="184"/>
      <c r="F8463" s="184"/>
      <c r="G8463" s="184"/>
      <c r="H8463" s="184"/>
      <c r="I8463" s="184"/>
      <c r="J8463" s="184"/>
      <c r="K8463" s="184"/>
      <c r="L8463" s="184"/>
      <c r="M8463" s="184"/>
      <c r="N8463" s="184"/>
      <c r="O8463" s="184"/>
    </row>
    <row r="8464" customFormat="false" ht="15" hidden="false" customHeight="true" outlineLevel="0" collapsed="false">
      <c r="A8464" s="184"/>
      <c r="B8464" s="184"/>
      <c r="C8464" s="184"/>
      <c r="D8464" s="184"/>
      <c r="E8464" s="184"/>
      <c r="F8464" s="184"/>
      <c r="G8464" s="184"/>
      <c r="H8464" s="184"/>
      <c r="I8464" s="184"/>
      <c r="J8464" s="184"/>
      <c r="K8464" s="184"/>
      <c r="L8464" s="184"/>
      <c r="M8464" s="184"/>
      <c r="N8464" s="184"/>
      <c r="O8464" s="184"/>
    </row>
    <row r="8465" customFormat="false" ht="15" hidden="false" customHeight="true" outlineLevel="0" collapsed="false">
      <c r="A8465" s="184"/>
      <c r="B8465" s="184"/>
      <c r="C8465" s="184"/>
      <c r="D8465" s="184"/>
      <c r="E8465" s="184"/>
      <c r="F8465" s="184"/>
      <c r="G8465" s="184"/>
      <c r="H8465" s="184"/>
      <c r="I8465" s="184"/>
      <c r="J8465" s="184"/>
      <c r="K8465" s="184"/>
      <c r="L8465" s="184"/>
      <c r="M8465" s="184"/>
      <c r="N8465" s="184"/>
      <c r="O8465" s="184"/>
    </row>
    <row r="8466" customFormat="false" ht="15" hidden="false" customHeight="true" outlineLevel="0" collapsed="false">
      <c r="A8466" s="184"/>
      <c r="B8466" s="184"/>
      <c r="C8466" s="184"/>
      <c r="D8466" s="184"/>
      <c r="E8466" s="184"/>
      <c r="F8466" s="184"/>
      <c r="G8466" s="184"/>
      <c r="H8466" s="184"/>
      <c r="I8466" s="184"/>
      <c r="J8466" s="184"/>
      <c r="K8466" s="184"/>
      <c r="L8466" s="184"/>
      <c r="M8466" s="184"/>
      <c r="N8466" s="184"/>
      <c r="O8466" s="184"/>
    </row>
    <row r="8467" customFormat="false" ht="15" hidden="false" customHeight="true" outlineLevel="0" collapsed="false">
      <c r="A8467" s="184"/>
      <c r="B8467" s="184"/>
      <c r="C8467" s="184"/>
      <c r="D8467" s="184"/>
      <c r="E8467" s="184"/>
      <c r="F8467" s="184"/>
      <c r="G8467" s="184"/>
      <c r="H8467" s="184"/>
      <c r="I8467" s="184"/>
      <c r="J8467" s="184"/>
      <c r="K8467" s="184"/>
      <c r="L8467" s="184"/>
      <c r="M8467" s="184"/>
      <c r="N8467" s="184"/>
      <c r="O8467" s="184"/>
    </row>
    <row r="8468" customFormat="false" ht="15" hidden="false" customHeight="true" outlineLevel="0" collapsed="false">
      <c r="A8468" s="184"/>
      <c r="B8468" s="184"/>
      <c r="C8468" s="184"/>
      <c r="D8468" s="184"/>
      <c r="E8468" s="184"/>
      <c r="F8468" s="184"/>
      <c r="G8468" s="184"/>
      <c r="H8468" s="184"/>
      <c r="I8468" s="184"/>
      <c r="J8468" s="184"/>
      <c r="K8468" s="184"/>
      <c r="L8468" s="184"/>
      <c r="M8468" s="184"/>
      <c r="N8468" s="184"/>
      <c r="O8468" s="184"/>
    </row>
    <row r="8469" customFormat="false" ht="15" hidden="false" customHeight="true" outlineLevel="0" collapsed="false">
      <c r="A8469" s="184"/>
      <c r="B8469" s="184"/>
      <c r="C8469" s="184"/>
      <c r="D8469" s="184"/>
      <c r="E8469" s="184"/>
      <c r="F8469" s="184"/>
      <c r="G8469" s="184"/>
      <c r="H8469" s="184"/>
      <c r="I8469" s="184"/>
      <c r="J8469" s="184"/>
      <c r="K8469" s="184"/>
      <c r="L8469" s="184"/>
      <c r="M8469" s="184"/>
      <c r="N8469" s="184"/>
      <c r="O8469" s="184"/>
    </row>
    <row r="8470" customFormat="false" ht="15" hidden="false" customHeight="true" outlineLevel="0" collapsed="false">
      <c r="A8470" s="184"/>
      <c r="B8470" s="184"/>
      <c r="C8470" s="184"/>
      <c r="D8470" s="184"/>
      <c r="E8470" s="184"/>
      <c r="F8470" s="184"/>
      <c r="G8470" s="184"/>
      <c r="H8470" s="184"/>
      <c r="I8470" s="184"/>
      <c r="J8470" s="184"/>
      <c r="K8470" s="184"/>
      <c r="L8470" s="184"/>
      <c r="M8470" s="184"/>
      <c r="N8470" s="184"/>
      <c r="O8470" s="184"/>
    </row>
    <row r="8471" customFormat="false" ht="15" hidden="false" customHeight="true" outlineLevel="0" collapsed="false">
      <c r="A8471" s="184"/>
      <c r="B8471" s="184"/>
      <c r="C8471" s="184"/>
      <c r="D8471" s="184"/>
      <c r="E8471" s="184"/>
      <c r="F8471" s="184"/>
      <c r="G8471" s="184"/>
      <c r="H8471" s="184"/>
      <c r="I8471" s="184"/>
      <c r="J8471" s="184"/>
      <c r="K8471" s="184"/>
      <c r="L8471" s="184"/>
      <c r="M8471" s="184"/>
      <c r="N8471" s="184"/>
      <c r="O8471" s="184"/>
    </row>
    <row r="8472" customFormat="false" ht="15" hidden="false" customHeight="true" outlineLevel="0" collapsed="false">
      <c r="A8472" s="184"/>
      <c r="B8472" s="184"/>
      <c r="C8472" s="184"/>
      <c r="D8472" s="184"/>
      <c r="E8472" s="184"/>
      <c r="F8472" s="184"/>
      <c r="G8472" s="184"/>
      <c r="H8472" s="184"/>
      <c r="I8472" s="184"/>
      <c r="J8472" s="184"/>
      <c r="K8472" s="184"/>
      <c r="L8472" s="184"/>
      <c r="M8472" s="184"/>
      <c r="N8472" s="184"/>
      <c r="O8472" s="184"/>
    </row>
    <row r="8473" customFormat="false" ht="15" hidden="false" customHeight="true" outlineLevel="0" collapsed="false">
      <c r="A8473" s="184"/>
      <c r="B8473" s="184"/>
      <c r="C8473" s="184"/>
      <c r="D8473" s="184"/>
      <c r="E8473" s="184"/>
      <c r="F8473" s="184"/>
      <c r="G8473" s="184"/>
      <c r="H8473" s="184"/>
      <c r="I8473" s="184"/>
      <c r="J8473" s="184"/>
      <c r="K8473" s="184"/>
      <c r="L8473" s="184"/>
      <c r="M8473" s="184"/>
      <c r="N8473" s="184"/>
      <c r="O8473" s="184"/>
    </row>
    <row r="8474" customFormat="false" ht="15" hidden="false" customHeight="true" outlineLevel="0" collapsed="false">
      <c r="A8474" s="184"/>
      <c r="B8474" s="184"/>
      <c r="C8474" s="184"/>
      <c r="D8474" s="184"/>
      <c r="E8474" s="184"/>
      <c r="F8474" s="184"/>
      <c r="G8474" s="184"/>
      <c r="H8474" s="184"/>
      <c r="I8474" s="184"/>
      <c r="J8474" s="184"/>
      <c r="K8474" s="184"/>
      <c r="L8474" s="184"/>
      <c r="M8474" s="184"/>
      <c r="N8474" s="184"/>
      <c r="O8474" s="184"/>
    </row>
    <row r="8475" customFormat="false" ht="15" hidden="false" customHeight="true" outlineLevel="0" collapsed="false">
      <c r="A8475" s="184"/>
      <c r="B8475" s="184"/>
      <c r="C8475" s="184"/>
      <c r="D8475" s="184"/>
      <c r="E8475" s="184"/>
      <c r="F8475" s="184"/>
      <c r="G8475" s="184"/>
      <c r="H8475" s="184"/>
      <c r="I8475" s="184"/>
      <c r="J8475" s="184"/>
      <c r="K8475" s="184"/>
      <c r="L8475" s="184"/>
      <c r="M8475" s="184"/>
      <c r="N8475" s="184"/>
      <c r="O8475" s="184"/>
    </row>
    <row r="8476" customFormat="false" ht="15" hidden="false" customHeight="true" outlineLevel="0" collapsed="false">
      <c r="A8476" s="184"/>
      <c r="B8476" s="184"/>
      <c r="C8476" s="184"/>
      <c r="D8476" s="184"/>
      <c r="E8476" s="184"/>
      <c r="F8476" s="184"/>
      <c r="G8476" s="184"/>
      <c r="H8476" s="184"/>
      <c r="I8476" s="184"/>
      <c r="J8476" s="184"/>
      <c r="K8476" s="184"/>
      <c r="L8476" s="184"/>
      <c r="M8476" s="184"/>
      <c r="N8476" s="184"/>
      <c r="O8476" s="184"/>
    </row>
    <row r="8477" customFormat="false" ht="15" hidden="false" customHeight="true" outlineLevel="0" collapsed="false">
      <c r="A8477" s="184"/>
      <c r="B8477" s="184"/>
      <c r="C8477" s="184"/>
      <c r="D8477" s="184"/>
      <c r="E8477" s="184"/>
      <c r="F8477" s="184"/>
      <c r="G8477" s="184"/>
      <c r="H8477" s="184"/>
      <c r="I8477" s="184"/>
      <c r="J8477" s="184"/>
      <c r="K8477" s="184"/>
      <c r="L8477" s="184"/>
      <c r="M8477" s="184"/>
      <c r="N8477" s="184"/>
      <c r="O8477" s="184"/>
    </row>
    <row r="8478" customFormat="false" ht="15" hidden="false" customHeight="true" outlineLevel="0" collapsed="false">
      <c r="A8478" s="184"/>
      <c r="B8478" s="184"/>
      <c r="C8478" s="184"/>
      <c r="D8478" s="184"/>
      <c r="E8478" s="184"/>
      <c r="F8478" s="184"/>
      <c r="G8478" s="184"/>
      <c r="H8478" s="184"/>
      <c r="I8478" s="184"/>
      <c r="J8478" s="184"/>
      <c r="K8478" s="184"/>
      <c r="L8478" s="184"/>
      <c r="M8478" s="184"/>
      <c r="N8478" s="184"/>
      <c r="O8478" s="184"/>
    </row>
    <row r="8479" customFormat="false" ht="15" hidden="false" customHeight="true" outlineLevel="0" collapsed="false">
      <c r="A8479" s="184"/>
      <c r="B8479" s="184"/>
      <c r="C8479" s="184"/>
      <c r="D8479" s="184"/>
      <c r="E8479" s="184"/>
      <c r="F8479" s="184"/>
      <c r="G8479" s="184"/>
      <c r="H8479" s="184"/>
      <c r="I8479" s="184"/>
      <c r="J8479" s="184"/>
      <c r="K8479" s="184"/>
      <c r="L8479" s="184"/>
      <c r="M8479" s="184"/>
      <c r="N8479" s="184"/>
      <c r="O8479" s="184"/>
    </row>
    <row r="8480" customFormat="false" ht="15" hidden="false" customHeight="true" outlineLevel="0" collapsed="false">
      <c r="A8480" s="184"/>
      <c r="B8480" s="184"/>
      <c r="C8480" s="184"/>
      <c r="D8480" s="184"/>
      <c r="E8480" s="184"/>
      <c r="F8480" s="184"/>
      <c r="G8480" s="184"/>
      <c r="H8480" s="184"/>
      <c r="I8480" s="184"/>
      <c r="J8480" s="184"/>
      <c r="K8480" s="184"/>
      <c r="L8480" s="184"/>
      <c r="M8480" s="184"/>
      <c r="N8480" s="184"/>
      <c r="O8480" s="184"/>
    </row>
    <row r="8481" customFormat="false" ht="15" hidden="false" customHeight="true" outlineLevel="0" collapsed="false">
      <c r="A8481" s="184"/>
      <c r="B8481" s="184"/>
      <c r="C8481" s="184"/>
      <c r="D8481" s="184"/>
      <c r="E8481" s="184"/>
      <c r="F8481" s="184"/>
      <c r="G8481" s="184"/>
      <c r="H8481" s="184"/>
      <c r="I8481" s="184"/>
      <c r="J8481" s="184"/>
      <c r="K8481" s="184"/>
      <c r="L8481" s="184"/>
      <c r="M8481" s="184"/>
      <c r="N8481" s="184"/>
      <c r="O8481" s="184"/>
    </row>
    <row r="8482" customFormat="false" ht="15" hidden="false" customHeight="true" outlineLevel="0" collapsed="false">
      <c r="A8482" s="184"/>
      <c r="B8482" s="184"/>
      <c r="C8482" s="184"/>
      <c r="D8482" s="184"/>
      <c r="E8482" s="184"/>
      <c r="F8482" s="184"/>
      <c r="G8482" s="184"/>
      <c r="H8482" s="184"/>
      <c r="I8482" s="184"/>
      <c r="J8482" s="184"/>
      <c r="K8482" s="184"/>
      <c r="L8482" s="184"/>
      <c r="M8482" s="184"/>
      <c r="N8482" s="184"/>
      <c r="O8482" s="184"/>
    </row>
    <row r="8483" customFormat="false" ht="15" hidden="false" customHeight="true" outlineLevel="0" collapsed="false">
      <c r="A8483" s="184"/>
      <c r="B8483" s="184"/>
      <c r="C8483" s="184"/>
      <c r="D8483" s="184"/>
      <c r="E8483" s="184"/>
      <c r="F8483" s="184"/>
      <c r="G8483" s="184"/>
      <c r="H8483" s="184"/>
      <c r="I8483" s="184"/>
      <c r="J8483" s="184"/>
      <c r="K8483" s="184"/>
      <c r="L8483" s="184"/>
      <c r="M8483" s="184"/>
      <c r="N8483" s="184"/>
      <c r="O8483" s="184"/>
    </row>
    <row r="8484" customFormat="false" ht="15" hidden="false" customHeight="true" outlineLevel="0" collapsed="false">
      <c r="A8484" s="184"/>
      <c r="B8484" s="184"/>
      <c r="C8484" s="184"/>
      <c r="D8484" s="184"/>
      <c r="E8484" s="184"/>
      <c r="F8484" s="184"/>
      <c r="G8484" s="184"/>
      <c r="H8484" s="184"/>
      <c r="I8484" s="184"/>
      <c r="J8484" s="184"/>
      <c r="K8484" s="184"/>
      <c r="L8484" s="184"/>
      <c r="M8484" s="184"/>
      <c r="N8484" s="184"/>
      <c r="O8484" s="184"/>
    </row>
    <row r="8485" customFormat="false" ht="15" hidden="false" customHeight="true" outlineLevel="0" collapsed="false">
      <c r="A8485" s="184"/>
      <c r="B8485" s="184"/>
      <c r="C8485" s="184"/>
      <c r="D8485" s="184"/>
      <c r="E8485" s="184"/>
      <c r="F8485" s="184"/>
      <c r="G8485" s="184"/>
      <c r="H8485" s="184"/>
      <c r="I8485" s="184"/>
      <c r="J8485" s="184"/>
      <c r="K8485" s="184"/>
      <c r="L8485" s="184"/>
      <c r="M8485" s="184"/>
      <c r="N8485" s="184"/>
      <c r="O8485" s="184"/>
    </row>
    <row r="8486" customFormat="false" ht="15" hidden="false" customHeight="true" outlineLevel="0" collapsed="false">
      <c r="A8486" s="184"/>
      <c r="B8486" s="184"/>
      <c r="C8486" s="184"/>
      <c r="D8486" s="184"/>
      <c r="E8486" s="184"/>
      <c r="F8486" s="184"/>
      <c r="G8486" s="184"/>
      <c r="H8486" s="184"/>
      <c r="I8486" s="184"/>
      <c r="J8486" s="184"/>
      <c r="K8486" s="184"/>
      <c r="L8486" s="184"/>
      <c r="M8486" s="184"/>
      <c r="N8486" s="184"/>
      <c r="O8486" s="184"/>
    </row>
    <row r="8487" customFormat="false" ht="15" hidden="false" customHeight="true" outlineLevel="0" collapsed="false">
      <c r="A8487" s="184"/>
      <c r="B8487" s="184"/>
      <c r="C8487" s="184"/>
      <c r="D8487" s="184"/>
      <c r="E8487" s="184"/>
      <c r="F8487" s="184"/>
      <c r="G8487" s="184"/>
      <c r="H8487" s="184"/>
      <c r="I8487" s="184"/>
      <c r="J8487" s="184"/>
      <c r="K8487" s="184"/>
      <c r="L8487" s="184"/>
      <c r="M8487" s="184"/>
      <c r="N8487" s="184"/>
      <c r="O8487" s="184"/>
    </row>
    <row r="8488" customFormat="false" ht="15" hidden="false" customHeight="true" outlineLevel="0" collapsed="false">
      <c r="A8488" s="184"/>
      <c r="B8488" s="184"/>
      <c r="C8488" s="184"/>
      <c r="D8488" s="184"/>
      <c r="E8488" s="184"/>
      <c r="F8488" s="184"/>
      <c r="G8488" s="184"/>
      <c r="H8488" s="184"/>
      <c r="I8488" s="184"/>
      <c r="J8488" s="184"/>
      <c r="K8488" s="184"/>
      <c r="L8488" s="184"/>
      <c r="M8488" s="184"/>
      <c r="N8488" s="184"/>
      <c r="O8488" s="184"/>
    </row>
    <row r="8489" customFormat="false" ht="15" hidden="false" customHeight="true" outlineLevel="0" collapsed="false">
      <c r="A8489" s="184"/>
      <c r="B8489" s="184"/>
      <c r="C8489" s="184"/>
      <c r="D8489" s="184"/>
      <c r="E8489" s="184"/>
      <c r="F8489" s="184"/>
      <c r="G8489" s="184"/>
      <c r="H8489" s="184"/>
      <c r="I8489" s="184"/>
      <c r="J8489" s="184"/>
      <c r="K8489" s="184"/>
      <c r="L8489" s="184"/>
      <c r="M8489" s="184"/>
      <c r="N8489" s="184"/>
      <c r="O8489" s="184"/>
    </row>
    <row r="8490" customFormat="false" ht="15" hidden="false" customHeight="true" outlineLevel="0" collapsed="false">
      <c r="A8490" s="184"/>
      <c r="B8490" s="184"/>
      <c r="C8490" s="184"/>
      <c r="D8490" s="184"/>
      <c r="E8490" s="184"/>
      <c r="F8490" s="184"/>
      <c r="G8490" s="184"/>
      <c r="H8490" s="184"/>
      <c r="I8490" s="184"/>
      <c r="J8490" s="184"/>
      <c r="K8490" s="184"/>
      <c r="L8490" s="184"/>
      <c r="M8490" s="184"/>
      <c r="N8490" s="184"/>
      <c r="O8490" s="184"/>
    </row>
    <row r="8491" customFormat="false" ht="15" hidden="false" customHeight="true" outlineLevel="0" collapsed="false">
      <c r="A8491" s="184"/>
      <c r="B8491" s="184"/>
      <c r="C8491" s="184"/>
      <c r="D8491" s="184"/>
      <c r="E8491" s="184"/>
      <c r="F8491" s="184"/>
      <c r="G8491" s="184"/>
      <c r="H8491" s="184"/>
      <c r="I8491" s="184"/>
      <c r="J8491" s="184"/>
      <c r="K8491" s="184"/>
      <c r="L8491" s="184"/>
      <c r="M8491" s="184"/>
      <c r="N8491" s="184"/>
      <c r="O8491" s="184"/>
    </row>
    <row r="8492" customFormat="false" ht="15" hidden="false" customHeight="true" outlineLevel="0" collapsed="false">
      <c r="A8492" s="184"/>
      <c r="B8492" s="184"/>
      <c r="C8492" s="184"/>
      <c r="D8492" s="184"/>
      <c r="E8492" s="184"/>
      <c r="F8492" s="184"/>
      <c r="G8492" s="184"/>
      <c r="H8492" s="184"/>
      <c r="I8492" s="184"/>
      <c r="J8492" s="184"/>
      <c r="K8492" s="184"/>
      <c r="L8492" s="184"/>
      <c r="M8492" s="184"/>
      <c r="N8492" s="184"/>
      <c r="O8492" s="184"/>
    </row>
    <row r="8493" customFormat="false" ht="15" hidden="false" customHeight="true" outlineLevel="0" collapsed="false">
      <c r="A8493" s="184"/>
      <c r="B8493" s="184"/>
      <c r="C8493" s="184"/>
      <c r="D8493" s="184"/>
      <c r="E8493" s="184"/>
      <c r="F8493" s="184"/>
      <c r="G8493" s="184"/>
      <c r="H8493" s="184"/>
      <c r="I8493" s="184"/>
      <c r="J8493" s="184"/>
      <c r="K8493" s="184"/>
      <c r="L8493" s="184"/>
      <c r="M8493" s="184"/>
      <c r="N8493" s="184"/>
      <c r="O8493" s="184"/>
    </row>
    <row r="8494" customFormat="false" ht="15" hidden="false" customHeight="true" outlineLevel="0" collapsed="false">
      <c r="A8494" s="184"/>
      <c r="B8494" s="184"/>
      <c r="C8494" s="184"/>
      <c r="D8494" s="184"/>
      <c r="E8494" s="184"/>
      <c r="F8494" s="184"/>
      <c r="G8494" s="184"/>
      <c r="H8494" s="184"/>
      <c r="I8494" s="184"/>
      <c r="J8494" s="184"/>
      <c r="K8494" s="184"/>
      <c r="L8494" s="184"/>
      <c r="M8494" s="184"/>
      <c r="N8494" s="184"/>
      <c r="O8494" s="184"/>
    </row>
    <row r="8495" customFormat="false" ht="15" hidden="false" customHeight="true" outlineLevel="0" collapsed="false">
      <c r="A8495" s="184"/>
      <c r="B8495" s="184"/>
      <c r="C8495" s="184"/>
      <c r="D8495" s="184"/>
      <c r="E8495" s="184"/>
      <c r="F8495" s="184"/>
      <c r="G8495" s="184"/>
      <c r="H8495" s="184"/>
      <c r="I8495" s="184"/>
      <c r="J8495" s="184"/>
      <c r="K8495" s="184"/>
      <c r="L8495" s="184"/>
      <c r="M8495" s="184"/>
      <c r="N8495" s="184"/>
      <c r="O8495" s="184"/>
    </row>
    <row r="8496" customFormat="false" ht="15" hidden="false" customHeight="true" outlineLevel="0" collapsed="false">
      <c r="A8496" s="184"/>
      <c r="B8496" s="184"/>
      <c r="C8496" s="184"/>
      <c r="D8496" s="184"/>
      <c r="E8496" s="184"/>
      <c r="F8496" s="184"/>
      <c r="G8496" s="184"/>
      <c r="H8496" s="184"/>
      <c r="I8496" s="184"/>
      <c r="J8496" s="184"/>
      <c r="K8496" s="184"/>
      <c r="L8496" s="184"/>
      <c r="M8496" s="184"/>
      <c r="N8496" s="184"/>
      <c r="O8496" s="184"/>
    </row>
    <row r="8497" customFormat="false" ht="15" hidden="false" customHeight="true" outlineLevel="0" collapsed="false">
      <c r="A8497" s="184"/>
      <c r="B8497" s="184"/>
      <c r="C8497" s="184"/>
      <c r="D8497" s="184"/>
      <c r="E8497" s="184"/>
      <c r="F8497" s="184"/>
      <c r="G8497" s="184"/>
      <c r="H8497" s="184"/>
      <c r="I8497" s="184"/>
      <c r="J8497" s="184"/>
      <c r="K8497" s="184"/>
      <c r="L8497" s="184"/>
      <c r="M8497" s="184"/>
      <c r="N8497" s="184"/>
      <c r="O8497" s="184"/>
    </row>
    <row r="8498" customFormat="false" ht="15" hidden="false" customHeight="true" outlineLevel="0" collapsed="false">
      <c r="A8498" s="184"/>
      <c r="B8498" s="184"/>
      <c r="C8498" s="184"/>
      <c r="D8498" s="184"/>
      <c r="E8498" s="184"/>
      <c r="F8498" s="184"/>
      <c r="G8498" s="184"/>
      <c r="H8498" s="184"/>
      <c r="I8498" s="184"/>
      <c r="J8498" s="184"/>
      <c r="K8498" s="184"/>
      <c r="L8498" s="184"/>
      <c r="M8498" s="184"/>
      <c r="N8498" s="184"/>
      <c r="O8498" s="184"/>
    </row>
    <row r="8499" customFormat="false" ht="15" hidden="false" customHeight="true" outlineLevel="0" collapsed="false">
      <c r="A8499" s="184"/>
      <c r="B8499" s="184"/>
      <c r="C8499" s="184"/>
      <c r="D8499" s="184"/>
      <c r="E8499" s="184"/>
      <c r="F8499" s="184"/>
      <c r="G8499" s="184"/>
      <c r="H8499" s="184"/>
      <c r="I8499" s="184"/>
      <c r="J8499" s="184"/>
      <c r="K8499" s="184"/>
      <c r="L8499" s="184"/>
      <c r="M8499" s="184"/>
      <c r="N8499" s="184"/>
      <c r="O8499" s="184"/>
    </row>
    <row r="8500" customFormat="false" ht="15" hidden="false" customHeight="true" outlineLevel="0" collapsed="false">
      <c r="A8500" s="184"/>
      <c r="B8500" s="184"/>
      <c r="C8500" s="184"/>
      <c r="D8500" s="184"/>
      <c r="E8500" s="184"/>
      <c r="F8500" s="184"/>
      <c r="G8500" s="184"/>
      <c r="H8500" s="184"/>
      <c r="I8500" s="184"/>
      <c r="J8500" s="184"/>
      <c r="K8500" s="184"/>
      <c r="L8500" s="184"/>
      <c r="M8500" s="184"/>
      <c r="N8500" s="184"/>
      <c r="O8500" s="184"/>
    </row>
    <row r="8501" customFormat="false" ht="15" hidden="false" customHeight="true" outlineLevel="0" collapsed="false">
      <c r="A8501" s="184"/>
      <c r="B8501" s="184"/>
      <c r="C8501" s="184"/>
      <c r="D8501" s="184"/>
      <c r="E8501" s="184"/>
      <c r="F8501" s="184"/>
      <c r="G8501" s="184"/>
      <c r="H8501" s="184"/>
      <c r="I8501" s="184"/>
      <c r="J8501" s="184"/>
      <c r="K8501" s="184"/>
      <c r="L8501" s="184"/>
      <c r="M8501" s="184"/>
      <c r="N8501" s="184"/>
      <c r="O8501" s="184"/>
    </row>
    <row r="8502" customFormat="false" ht="15" hidden="false" customHeight="true" outlineLevel="0" collapsed="false">
      <c r="A8502" s="184"/>
      <c r="B8502" s="184"/>
      <c r="C8502" s="184"/>
      <c r="D8502" s="184"/>
      <c r="E8502" s="184"/>
      <c r="F8502" s="184"/>
      <c r="G8502" s="184"/>
      <c r="H8502" s="184"/>
      <c r="I8502" s="184"/>
      <c r="J8502" s="184"/>
      <c r="K8502" s="184"/>
      <c r="L8502" s="184"/>
      <c r="M8502" s="184"/>
      <c r="N8502" s="184"/>
      <c r="O8502" s="184"/>
    </row>
    <row r="8503" customFormat="false" ht="15" hidden="false" customHeight="true" outlineLevel="0" collapsed="false">
      <c r="A8503" s="184"/>
      <c r="B8503" s="184"/>
      <c r="C8503" s="184"/>
      <c r="D8503" s="184"/>
      <c r="E8503" s="184"/>
      <c r="F8503" s="184"/>
      <c r="G8503" s="184"/>
      <c r="H8503" s="184"/>
      <c r="I8503" s="184"/>
      <c r="J8503" s="184"/>
      <c r="K8503" s="184"/>
      <c r="L8503" s="184"/>
      <c r="M8503" s="184"/>
      <c r="N8503" s="184"/>
      <c r="O8503" s="184"/>
    </row>
    <row r="8504" customFormat="false" ht="15" hidden="false" customHeight="true" outlineLevel="0" collapsed="false">
      <c r="A8504" s="184"/>
      <c r="B8504" s="184"/>
      <c r="C8504" s="184"/>
      <c r="D8504" s="184"/>
      <c r="E8504" s="184"/>
      <c r="F8504" s="184"/>
      <c r="G8504" s="184"/>
      <c r="H8504" s="184"/>
      <c r="I8504" s="184"/>
      <c r="J8504" s="184"/>
      <c r="K8504" s="184"/>
      <c r="L8504" s="184"/>
      <c r="M8504" s="184"/>
      <c r="N8504" s="184"/>
      <c r="O8504" s="184"/>
    </row>
    <row r="8505" customFormat="false" ht="15" hidden="false" customHeight="true" outlineLevel="0" collapsed="false">
      <c r="A8505" s="184"/>
      <c r="B8505" s="184"/>
      <c r="C8505" s="184"/>
      <c r="D8505" s="184"/>
      <c r="E8505" s="184"/>
      <c r="F8505" s="184"/>
      <c r="G8505" s="184"/>
      <c r="H8505" s="184"/>
      <c r="I8505" s="184"/>
      <c r="J8505" s="184"/>
      <c r="K8505" s="184"/>
      <c r="L8505" s="184"/>
      <c r="M8505" s="184"/>
      <c r="N8505" s="184"/>
      <c r="O8505" s="184"/>
    </row>
    <row r="8506" customFormat="false" ht="15" hidden="false" customHeight="true" outlineLevel="0" collapsed="false">
      <c r="A8506" s="184"/>
      <c r="B8506" s="184"/>
      <c r="C8506" s="184"/>
      <c r="D8506" s="184"/>
      <c r="E8506" s="184"/>
      <c r="F8506" s="184"/>
      <c r="G8506" s="184"/>
      <c r="H8506" s="184"/>
      <c r="I8506" s="184"/>
      <c r="J8506" s="184"/>
      <c r="K8506" s="184"/>
      <c r="L8506" s="184"/>
      <c r="M8506" s="184"/>
      <c r="N8506" s="184"/>
      <c r="O8506" s="184"/>
    </row>
    <row r="8507" customFormat="false" ht="15" hidden="false" customHeight="true" outlineLevel="0" collapsed="false">
      <c r="A8507" s="184"/>
      <c r="B8507" s="184"/>
      <c r="C8507" s="184"/>
      <c r="D8507" s="184"/>
      <c r="E8507" s="184"/>
      <c r="F8507" s="184"/>
      <c r="G8507" s="184"/>
      <c r="H8507" s="184"/>
      <c r="I8507" s="184"/>
      <c r="J8507" s="184"/>
      <c r="K8507" s="184"/>
      <c r="L8507" s="184"/>
      <c r="M8507" s="184"/>
      <c r="N8507" s="184"/>
      <c r="O8507" s="184"/>
    </row>
    <row r="8508" customFormat="false" ht="15" hidden="false" customHeight="true" outlineLevel="0" collapsed="false">
      <c r="A8508" s="184"/>
      <c r="B8508" s="184"/>
      <c r="C8508" s="184"/>
      <c r="D8508" s="184"/>
      <c r="E8508" s="184"/>
      <c r="F8508" s="184"/>
      <c r="G8508" s="184"/>
      <c r="H8508" s="184"/>
      <c r="I8508" s="184"/>
      <c r="J8508" s="184"/>
      <c r="K8508" s="184"/>
      <c r="L8508" s="184"/>
      <c r="M8508" s="184"/>
      <c r="N8508" s="184"/>
      <c r="O8508" s="184"/>
    </row>
    <row r="8509" customFormat="false" ht="15" hidden="false" customHeight="true" outlineLevel="0" collapsed="false">
      <c r="A8509" s="184"/>
      <c r="B8509" s="184"/>
      <c r="C8509" s="184"/>
      <c r="D8509" s="184"/>
      <c r="E8509" s="184"/>
      <c r="F8509" s="184"/>
      <c r="G8509" s="184"/>
      <c r="H8509" s="184"/>
      <c r="I8509" s="184"/>
      <c r="J8509" s="184"/>
      <c r="K8509" s="184"/>
      <c r="L8509" s="184"/>
      <c r="M8509" s="184"/>
      <c r="N8509" s="184"/>
      <c r="O8509" s="184"/>
    </row>
    <row r="8510" customFormat="false" ht="15" hidden="false" customHeight="true" outlineLevel="0" collapsed="false">
      <c r="A8510" s="184"/>
      <c r="B8510" s="184"/>
      <c r="C8510" s="184"/>
      <c r="D8510" s="184"/>
      <c r="E8510" s="184"/>
      <c r="F8510" s="184"/>
      <c r="G8510" s="184"/>
      <c r="H8510" s="184"/>
      <c r="I8510" s="184"/>
      <c r="J8510" s="184"/>
      <c r="K8510" s="184"/>
      <c r="L8510" s="184"/>
      <c r="M8510" s="184"/>
      <c r="N8510" s="184"/>
      <c r="O8510" s="184"/>
    </row>
    <row r="8511" customFormat="false" ht="15" hidden="false" customHeight="true" outlineLevel="0" collapsed="false">
      <c r="A8511" s="184"/>
      <c r="B8511" s="184"/>
      <c r="C8511" s="184"/>
      <c r="D8511" s="184"/>
      <c r="E8511" s="184"/>
      <c r="F8511" s="184"/>
      <c r="G8511" s="184"/>
      <c r="H8511" s="184"/>
      <c r="I8511" s="184"/>
      <c r="J8511" s="184"/>
      <c r="K8511" s="184"/>
      <c r="L8511" s="184"/>
      <c r="M8511" s="184"/>
      <c r="N8511" s="184"/>
      <c r="O8511" s="184"/>
    </row>
    <row r="8512" customFormat="false" ht="15" hidden="false" customHeight="true" outlineLevel="0" collapsed="false">
      <c r="A8512" s="184"/>
      <c r="B8512" s="184"/>
      <c r="C8512" s="184"/>
      <c r="D8512" s="184"/>
      <c r="E8512" s="184"/>
      <c r="F8512" s="184"/>
      <c r="G8512" s="184"/>
      <c r="H8512" s="184"/>
      <c r="I8512" s="184"/>
      <c r="J8512" s="184"/>
      <c r="K8512" s="184"/>
      <c r="L8512" s="184"/>
      <c r="M8512" s="184"/>
      <c r="N8512" s="184"/>
      <c r="O8512" s="184"/>
    </row>
    <row r="8513" customFormat="false" ht="15" hidden="false" customHeight="true" outlineLevel="0" collapsed="false">
      <c r="A8513" s="184"/>
      <c r="B8513" s="184"/>
      <c r="C8513" s="184"/>
      <c r="D8513" s="184"/>
      <c r="E8513" s="184"/>
      <c r="F8513" s="184"/>
      <c r="G8513" s="184"/>
      <c r="H8513" s="184"/>
      <c r="I8513" s="184"/>
      <c r="J8513" s="184"/>
      <c r="K8513" s="184"/>
      <c r="L8513" s="184"/>
      <c r="M8513" s="184"/>
      <c r="N8513" s="184"/>
      <c r="O8513" s="184"/>
    </row>
    <row r="8514" customFormat="false" ht="15" hidden="false" customHeight="true" outlineLevel="0" collapsed="false">
      <c r="A8514" s="184"/>
      <c r="B8514" s="184"/>
      <c r="C8514" s="184"/>
      <c r="D8514" s="184"/>
      <c r="E8514" s="184"/>
      <c r="F8514" s="184"/>
      <c r="G8514" s="184"/>
      <c r="H8514" s="184"/>
      <c r="I8514" s="184"/>
      <c r="J8514" s="184"/>
      <c r="K8514" s="184"/>
      <c r="L8514" s="184"/>
      <c r="M8514" s="184"/>
      <c r="N8514" s="184"/>
      <c r="O8514" s="184"/>
    </row>
    <row r="8515" customFormat="false" ht="15" hidden="false" customHeight="true" outlineLevel="0" collapsed="false">
      <c r="A8515" s="184"/>
      <c r="B8515" s="184"/>
      <c r="C8515" s="184"/>
      <c r="D8515" s="184"/>
      <c r="E8515" s="184"/>
      <c r="F8515" s="184"/>
      <c r="G8515" s="184"/>
      <c r="H8515" s="184"/>
      <c r="I8515" s="184"/>
      <c r="J8515" s="184"/>
      <c r="K8515" s="184"/>
      <c r="L8515" s="184"/>
      <c r="M8515" s="184"/>
      <c r="N8515" s="184"/>
      <c r="O8515" s="184"/>
    </row>
    <row r="8516" customFormat="false" ht="15" hidden="false" customHeight="true" outlineLevel="0" collapsed="false">
      <c r="A8516" s="184"/>
      <c r="B8516" s="184"/>
      <c r="C8516" s="184"/>
      <c r="D8516" s="184"/>
      <c r="E8516" s="184"/>
      <c r="F8516" s="184"/>
      <c r="G8516" s="184"/>
      <c r="H8516" s="184"/>
      <c r="I8516" s="184"/>
      <c r="J8516" s="184"/>
      <c r="K8516" s="184"/>
      <c r="L8516" s="184"/>
      <c r="M8516" s="184"/>
      <c r="N8516" s="184"/>
      <c r="O8516" s="184"/>
    </row>
    <row r="8517" customFormat="false" ht="15" hidden="false" customHeight="true" outlineLevel="0" collapsed="false">
      <c r="A8517" s="184"/>
      <c r="B8517" s="184"/>
      <c r="C8517" s="184"/>
      <c r="D8517" s="184"/>
      <c r="E8517" s="184"/>
      <c r="F8517" s="184"/>
      <c r="G8517" s="184"/>
      <c r="H8517" s="184"/>
      <c r="I8517" s="184"/>
      <c r="J8517" s="184"/>
      <c r="K8517" s="184"/>
      <c r="L8517" s="184"/>
      <c r="M8517" s="184"/>
      <c r="N8517" s="184"/>
      <c r="O8517" s="184"/>
    </row>
    <row r="8518" customFormat="false" ht="15" hidden="false" customHeight="true" outlineLevel="0" collapsed="false">
      <c r="A8518" s="184"/>
      <c r="B8518" s="184"/>
      <c r="C8518" s="184"/>
      <c r="D8518" s="184"/>
      <c r="E8518" s="184"/>
      <c r="F8518" s="184"/>
      <c r="G8518" s="184"/>
      <c r="H8518" s="184"/>
      <c r="I8518" s="184"/>
      <c r="J8518" s="184"/>
      <c r="K8518" s="184"/>
      <c r="L8518" s="184"/>
      <c r="M8518" s="184"/>
      <c r="N8518" s="184"/>
      <c r="O8518" s="184"/>
    </row>
    <row r="8519" customFormat="false" ht="15" hidden="false" customHeight="true" outlineLevel="0" collapsed="false">
      <c r="A8519" s="184"/>
      <c r="B8519" s="184"/>
      <c r="C8519" s="184"/>
      <c r="D8519" s="184"/>
      <c r="E8519" s="184"/>
      <c r="F8519" s="184"/>
      <c r="G8519" s="184"/>
      <c r="H8519" s="184"/>
      <c r="I8519" s="184"/>
      <c r="J8519" s="184"/>
      <c r="K8519" s="184"/>
      <c r="L8519" s="184"/>
      <c r="M8519" s="184"/>
      <c r="N8519" s="184"/>
      <c r="O8519" s="184"/>
    </row>
    <row r="8520" customFormat="false" ht="15" hidden="false" customHeight="true" outlineLevel="0" collapsed="false">
      <c r="A8520" s="184"/>
      <c r="B8520" s="184"/>
      <c r="C8520" s="184"/>
      <c r="D8520" s="184"/>
      <c r="E8520" s="184"/>
      <c r="F8520" s="184"/>
      <c r="G8520" s="184"/>
      <c r="H8520" s="184"/>
      <c r="I8520" s="184"/>
      <c r="J8520" s="184"/>
      <c r="K8520" s="184"/>
      <c r="L8520" s="184"/>
      <c r="M8520" s="184"/>
      <c r="N8520" s="184"/>
      <c r="O8520" s="184"/>
    </row>
    <row r="8521" customFormat="false" ht="15" hidden="false" customHeight="true" outlineLevel="0" collapsed="false">
      <c r="A8521" s="184"/>
      <c r="B8521" s="184"/>
      <c r="C8521" s="184"/>
      <c r="D8521" s="184"/>
      <c r="E8521" s="184"/>
      <c r="F8521" s="184"/>
      <c r="G8521" s="184"/>
      <c r="H8521" s="184"/>
      <c r="I8521" s="184"/>
      <c r="J8521" s="184"/>
      <c r="K8521" s="184"/>
      <c r="L8521" s="184"/>
      <c r="M8521" s="184"/>
      <c r="N8521" s="184"/>
      <c r="O8521" s="184"/>
    </row>
    <row r="8522" customFormat="false" ht="15" hidden="false" customHeight="true" outlineLevel="0" collapsed="false">
      <c r="A8522" s="184"/>
      <c r="B8522" s="184"/>
      <c r="C8522" s="184"/>
      <c r="D8522" s="184"/>
      <c r="E8522" s="184"/>
      <c r="F8522" s="184"/>
      <c r="G8522" s="184"/>
      <c r="H8522" s="184"/>
      <c r="I8522" s="184"/>
      <c r="J8522" s="184"/>
      <c r="K8522" s="184"/>
      <c r="L8522" s="184"/>
      <c r="M8522" s="184"/>
      <c r="N8522" s="184"/>
      <c r="O8522" s="184"/>
    </row>
    <row r="8523" customFormat="false" ht="15" hidden="false" customHeight="true" outlineLevel="0" collapsed="false">
      <c r="A8523" s="184"/>
      <c r="B8523" s="184"/>
      <c r="C8523" s="184"/>
      <c r="D8523" s="184"/>
      <c r="E8523" s="184"/>
      <c r="F8523" s="184"/>
      <c r="G8523" s="184"/>
      <c r="H8523" s="184"/>
      <c r="I8523" s="184"/>
      <c r="J8523" s="184"/>
      <c r="K8523" s="184"/>
      <c r="L8523" s="184"/>
      <c r="M8523" s="184"/>
      <c r="N8523" s="184"/>
      <c r="O8523" s="184"/>
    </row>
    <row r="8524" customFormat="false" ht="15" hidden="false" customHeight="true" outlineLevel="0" collapsed="false">
      <c r="A8524" s="184"/>
      <c r="B8524" s="184"/>
      <c r="C8524" s="184"/>
      <c r="D8524" s="184"/>
      <c r="E8524" s="184"/>
      <c r="F8524" s="184"/>
      <c r="G8524" s="184"/>
      <c r="H8524" s="184"/>
      <c r="I8524" s="184"/>
      <c r="J8524" s="184"/>
      <c r="K8524" s="184"/>
      <c r="L8524" s="184"/>
      <c r="M8524" s="184"/>
      <c r="N8524" s="184"/>
      <c r="O8524" s="184"/>
    </row>
    <row r="8525" customFormat="false" ht="15" hidden="false" customHeight="true" outlineLevel="0" collapsed="false">
      <c r="A8525" s="184"/>
      <c r="B8525" s="184"/>
      <c r="C8525" s="184"/>
      <c r="D8525" s="184"/>
      <c r="E8525" s="184"/>
      <c r="F8525" s="184"/>
      <c r="G8525" s="184"/>
      <c r="H8525" s="184"/>
      <c r="I8525" s="184"/>
      <c r="J8525" s="184"/>
      <c r="K8525" s="184"/>
      <c r="L8525" s="184"/>
      <c r="M8525" s="184"/>
      <c r="N8525" s="184"/>
      <c r="O8525" s="184"/>
    </row>
    <row r="8526" customFormat="false" ht="15" hidden="false" customHeight="true" outlineLevel="0" collapsed="false">
      <c r="A8526" s="184"/>
      <c r="B8526" s="184"/>
      <c r="C8526" s="184"/>
      <c r="D8526" s="184"/>
      <c r="E8526" s="184"/>
      <c r="F8526" s="184"/>
      <c r="G8526" s="184"/>
      <c r="H8526" s="184"/>
      <c r="I8526" s="184"/>
      <c r="J8526" s="184"/>
      <c r="K8526" s="184"/>
      <c r="L8526" s="184"/>
      <c r="M8526" s="184"/>
      <c r="N8526" s="184"/>
      <c r="O8526" s="184"/>
    </row>
    <row r="8527" customFormat="false" ht="15" hidden="false" customHeight="true" outlineLevel="0" collapsed="false">
      <c r="A8527" s="184"/>
      <c r="B8527" s="184"/>
      <c r="C8527" s="184"/>
      <c r="D8527" s="184"/>
      <c r="E8527" s="184"/>
      <c r="F8527" s="184"/>
      <c r="G8527" s="184"/>
      <c r="H8527" s="184"/>
      <c r="I8527" s="184"/>
      <c r="J8527" s="184"/>
      <c r="K8527" s="184"/>
      <c r="L8527" s="184"/>
      <c r="M8527" s="184"/>
      <c r="N8527" s="184"/>
      <c r="O8527" s="184"/>
    </row>
    <row r="8528" customFormat="false" ht="15" hidden="false" customHeight="true" outlineLevel="0" collapsed="false">
      <c r="A8528" s="184"/>
      <c r="B8528" s="184"/>
      <c r="C8528" s="184"/>
      <c r="D8528" s="184"/>
      <c r="E8528" s="184"/>
      <c r="F8528" s="184"/>
      <c r="G8528" s="184"/>
      <c r="H8528" s="184"/>
      <c r="I8528" s="184"/>
      <c r="J8528" s="184"/>
      <c r="K8528" s="184"/>
      <c r="L8528" s="184"/>
      <c r="M8528" s="184"/>
      <c r="N8528" s="184"/>
      <c r="O8528" s="184"/>
    </row>
    <row r="8529" customFormat="false" ht="15" hidden="false" customHeight="true" outlineLevel="0" collapsed="false">
      <c r="A8529" s="184"/>
      <c r="B8529" s="184"/>
      <c r="C8529" s="184"/>
      <c r="D8529" s="184"/>
      <c r="E8529" s="184"/>
      <c r="F8529" s="184"/>
      <c r="G8529" s="184"/>
      <c r="H8529" s="184"/>
      <c r="I8529" s="184"/>
      <c r="J8529" s="184"/>
      <c r="K8529" s="184"/>
      <c r="L8529" s="184"/>
      <c r="M8529" s="184"/>
      <c r="N8529" s="184"/>
      <c r="O8529" s="184"/>
    </row>
    <row r="8530" customFormat="false" ht="15" hidden="false" customHeight="true" outlineLevel="0" collapsed="false">
      <c r="A8530" s="184"/>
      <c r="B8530" s="184"/>
      <c r="C8530" s="184"/>
      <c r="D8530" s="184"/>
      <c r="E8530" s="184"/>
      <c r="F8530" s="184"/>
      <c r="G8530" s="184"/>
      <c r="H8530" s="184"/>
      <c r="I8530" s="184"/>
      <c r="J8530" s="184"/>
      <c r="K8530" s="184"/>
      <c r="L8530" s="184"/>
      <c r="M8530" s="184"/>
      <c r="N8530" s="184"/>
      <c r="O8530" s="184"/>
    </row>
    <row r="8531" customFormat="false" ht="15" hidden="false" customHeight="true" outlineLevel="0" collapsed="false">
      <c r="A8531" s="184"/>
      <c r="B8531" s="184"/>
      <c r="C8531" s="184"/>
      <c r="D8531" s="184"/>
      <c r="E8531" s="184"/>
      <c r="F8531" s="184"/>
      <c r="G8531" s="184"/>
      <c r="H8531" s="184"/>
      <c r="I8531" s="184"/>
      <c r="J8531" s="184"/>
      <c r="K8531" s="184"/>
      <c r="L8531" s="184"/>
      <c r="M8531" s="184"/>
      <c r="N8531" s="184"/>
      <c r="O8531" s="184"/>
    </row>
    <row r="8532" customFormat="false" ht="15" hidden="false" customHeight="true" outlineLevel="0" collapsed="false">
      <c r="A8532" s="184"/>
      <c r="B8532" s="184"/>
      <c r="C8532" s="184"/>
      <c r="D8532" s="184"/>
      <c r="E8532" s="184"/>
      <c r="F8532" s="184"/>
      <c r="G8532" s="184"/>
      <c r="H8532" s="184"/>
      <c r="I8532" s="184"/>
      <c r="J8532" s="184"/>
      <c r="K8532" s="184"/>
      <c r="L8532" s="184"/>
      <c r="M8532" s="184"/>
      <c r="N8532" s="184"/>
      <c r="O8532" s="184"/>
    </row>
    <row r="8533" customFormat="false" ht="68.25" hidden="false" customHeight="true" outlineLevel="0" collapsed="false">
      <c r="A8533" s="184" t="s">
        <v>5041</v>
      </c>
      <c r="B8533" s="184" t="s">
        <v>5042</v>
      </c>
      <c r="C8533" s="184"/>
      <c r="D8533" s="179" t="s">
        <v>4858</v>
      </c>
      <c r="E8533" s="184" t="s">
        <v>7372</v>
      </c>
      <c r="F8533" s="184"/>
      <c r="G8533" s="184"/>
      <c r="H8533" s="184"/>
      <c r="I8533" s="184"/>
      <c r="J8533" s="184"/>
      <c r="K8533" s="184"/>
      <c r="L8533" s="184"/>
      <c r="M8533" s="184" t="s">
        <v>7308</v>
      </c>
      <c r="N8533" s="184"/>
      <c r="O8533" s="184"/>
    </row>
    <row r="8534" customFormat="false" ht="41.25" hidden="false" customHeight="true" outlineLevel="0" collapsed="false">
      <c r="A8534" s="184" t="s">
        <v>5041</v>
      </c>
      <c r="B8534" s="184" t="s">
        <v>5042</v>
      </c>
      <c r="C8534" s="184" t="n">
        <v>1</v>
      </c>
      <c r="D8534" s="184" t="s">
        <v>4790</v>
      </c>
      <c r="E8534" s="184" t="s">
        <v>7019</v>
      </c>
      <c r="F8534" s="184"/>
      <c r="G8534" s="184"/>
      <c r="H8534" s="184"/>
      <c r="I8534" s="184"/>
      <c r="J8534" s="184"/>
      <c r="K8534" s="184"/>
      <c r="L8534" s="184"/>
      <c r="M8534" s="184" t="s">
        <v>7020</v>
      </c>
      <c r="N8534" s="184"/>
      <c r="O8534" s="184"/>
    </row>
    <row r="8535" customFormat="false" ht="41.25" hidden="false" customHeight="true" outlineLevel="0" collapsed="false">
      <c r="A8535" s="184" t="s">
        <v>5041</v>
      </c>
      <c r="B8535" s="184" t="s">
        <v>5042</v>
      </c>
      <c r="C8535" s="184" t="n">
        <v>2</v>
      </c>
      <c r="D8535" s="184" t="s">
        <v>4790</v>
      </c>
      <c r="E8535" s="184" t="s">
        <v>7021</v>
      </c>
      <c r="F8535" s="184"/>
      <c r="G8535" s="184"/>
      <c r="H8535" s="184"/>
      <c r="I8535" s="184"/>
      <c r="J8535" s="184"/>
      <c r="K8535" s="184"/>
      <c r="L8535" s="184"/>
      <c r="M8535" s="184" t="s">
        <v>7022</v>
      </c>
      <c r="N8535" s="184"/>
      <c r="O8535" s="184"/>
    </row>
    <row r="8536" customFormat="false" ht="41.25" hidden="false" customHeight="true" outlineLevel="0" collapsed="false">
      <c r="A8536" s="184" t="s">
        <v>5041</v>
      </c>
      <c r="B8536" s="184" t="s">
        <v>5042</v>
      </c>
      <c r="C8536" s="184" t="n">
        <v>3</v>
      </c>
      <c r="D8536" s="184" t="s">
        <v>4790</v>
      </c>
      <c r="E8536" s="184" t="s">
        <v>7373</v>
      </c>
      <c r="F8536" s="184"/>
      <c r="G8536" s="184"/>
      <c r="H8536" s="184"/>
      <c r="I8536" s="184"/>
      <c r="J8536" s="184"/>
      <c r="K8536" s="184"/>
      <c r="L8536" s="184"/>
      <c r="M8536" s="184" t="s">
        <v>7374</v>
      </c>
      <c r="N8536" s="184"/>
      <c r="O8536" s="184"/>
    </row>
    <row r="8537" customFormat="false" ht="41.25" hidden="false" customHeight="true" outlineLevel="0" collapsed="false">
      <c r="A8537" s="184" t="s">
        <v>5041</v>
      </c>
      <c r="B8537" s="184" t="s">
        <v>5042</v>
      </c>
      <c r="C8537" s="184" t="n">
        <v>4</v>
      </c>
      <c r="D8537" s="184" t="s">
        <v>4790</v>
      </c>
      <c r="E8537" s="184" t="s">
        <v>7375</v>
      </c>
      <c r="F8537" s="184"/>
      <c r="G8537" s="184"/>
      <c r="H8537" s="184"/>
      <c r="I8537" s="184"/>
      <c r="J8537" s="184"/>
      <c r="K8537" s="184"/>
      <c r="L8537" s="184"/>
      <c r="M8537" s="184" t="s">
        <v>7376</v>
      </c>
      <c r="N8537" s="184"/>
      <c r="O8537" s="184"/>
    </row>
    <row r="8538" customFormat="false" ht="54.75" hidden="false" customHeight="true" outlineLevel="0" collapsed="false">
      <c r="A8538" s="184" t="s">
        <v>5041</v>
      </c>
      <c r="B8538" s="184" t="s">
        <v>5042</v>
      </c>
      <c r="C8538" s="184" t="n">
        <v>5</v>
      </c>
      <c r="D8538" s="184" t="s">
        <v>4790</v>
      </c>
      <c r="E8538" s="184" t="s">
        <v>7377</v>
      </c>
      <c r="F8538" s="184"/>
      <c r="G8538" s="184"/>
      <c r="H8538" s="184"/>
      <c r="I8538" s="184"/>
      <c r="J8538" s="184"/>
      <c r="K8538" s="184"/>
      <c r="L8538" s="184"/>
      <c r="M8538" s="184" t="s">
        <v>7378</v>
      </c>
      <c r="N8538" s="184"/>
      <c r="O8538" s="184"/>
    </row>
    <row r="8539" customFormat="false" ht="41.25" hidden="false" customHeight="true" outlineLevel="0" collapsed="false">
      <c r="A8539" s="184" t="s">
        <v>5041</v>
      </c>
      <c r="B8539" s="184" t="s">
        <v>5042</v>
      </c>
      <c r="C8539" s="184" t="n">
        <v>6</v>
      </c>
      <c r="D8539" s="179" t="s">
        <v>6292</v>
      </c>
      <c r="E8539" s="184" t="s">
        <v>7075</v>
      </c>
      <c r="F8539" s="184"/>
      <c r="G8539" s="184"/>
      <c r="H8539" s="184"/>
      <c r="I8539" s="184"/>
      <c r="J8539" s="184"/>
      <c r="K8539" s="184"/>
      <c r="L8539" s="184"/>
      <c r="M8539" s="184"/>
      <c r="N8539" s="184"/>
      <c r="O8539" s="184"/>
    </row>
    <row r="8540" customFormat="false" ht="41.25" hidden="false" customHeight="true" outlineLevel="0" collapsed="false">
      <c r="A8540" s="184" t="s">
        <v>5041</v>
      </c>
      <c r="B8540" s="184" t="s">
        <v>5042</v>
      </c>
      <c r="C8540" s="184" t="n">
        <v>7</v>
      </c>
      <c r="D8540" s="178" t="s">
        <v>5269</v>
      </c>
      <c r="E8540" s="184" t="s">
        <v>7076</v>
      </c>
      <c r="F8540" s="184"/>
      <c r="G8540" s="184"/>
      <c r="H8540" s="184"/>
      <c r="I8540" s="184"/>
      <c r="J8540" s="184"/>
      <c r="K8540" s="184"/>
      <c r="L8540" s="184"/>
      <c r="M8540" s="184" t="s">
        <v>7077</v>
      </c>
      <c r="N8540" s="184"/>
      <c r="O8540" s="184"/>
    </row>
    <row r="8541" customFormat="false" ht="41.25" hidden="false" customHeight="true" outlineLevel="0" collapsed="false">
      <c r="A8541" s="184" t="s">
        <v>5041</v>
      </c>
      <c r="B8541" s="184" t="s">
        <v>5042</v>
      </c>
      <c r="C8541" s="184" t="n">
        <v>8</v>
      </c>
      <c r="D8541" s="178" t="s">
        <v>5269</v>
      </c>
      <c r="E8541" s="184" t="s">
        <v>7078</v>
      </c>
      <c r="F8541" s="184"/>
      <c r="G8541" s="184"/>
      <c r="H8541" s="184"/>
      <c r="I8541" s="184"/>
      <c r="J8541" s="184"/>
      <c r="K8541" s="184"/>
      <c r="L8541" s="184"/>
      <c r="M8541" s="184" t="s">
        <v>7079</v>
      </c>
      <c r="N8541" s="184"/>
      <c r="O8541" s="184"/>
    </row>
    <row r="8542" customFormat="false" ht="41.25" hidden="false" customHeight="true" outlineLevel="0" collapsed="false">
      <c r="A8542" s="184" t="s">
        <v>5041</v>
      </c>
      <c r="B8542" s="184" t="s">
        <v>5042</v>
      </c>
      <c r="C8542" s="184" t="n">
        <v>9</v>
      </c>
      <c r="D8542" s="178" t="s">
        <v>5269</v>
      </c>
      <c r="E8542" s="184" t="s">
        <v>7080</v>
      </c>
      <c r="F8542" s="184"/>
      <c r="G8542" s="184"/>
      <c r="H8542" s="184"/>
      <c r="I8542" s="184"/>
      <c r="J8542" s="184"/>
      <c r="K8542" s="184"/>
      <c r="L8542" s="184"/>
      <c r="M8542" s="184" t="s">
        <v>7081</v>
      </c>
      <c r="N8542" s="184"/>
      <c r="O8542" s="184"/>
    </row>
    <row r="8543" customFormat="false" ht="41.25" hidden="false" customHeight="true" outlineLevel="0" collapsed="false">
      <c r="A8543" s="184" t="s">
        <v>5041</v>
      </c>
      <c r="B8543" s="184" t="s">
        <v>5042</v>
      </c>
      <c r="C8543" s="184" t="n">
        <v>10</v>
      </c>
      <c r="D8543" s="177" t="s">
        <v>6298</v>
      </c>
      <c r="E8543" s="184" t="s">
        <v>7082</v>
      </c>
      <c r="F8543" s="184"/>
      <c r="G8543" s="184"/>
      <c r="H8543" s="184"/>
      <c r="I8543" s="184"/>
      <c r="J8543" s="184"/>
      <c r="K8543" s="184"/>
      <c r="L8543" s="184"/>
      <c r="M8543" s="184"/>
      <c r="N8543" s="184"/>
      <c r="O8543" s="184"/>
    </row>
    <row r="8544" customFormat="false" ht="41.25" hidden="false" customHeight="true" outlineLevel="0" collapsed="false">
      <c r="A8544" s="184" t="s">
        <v>5041</v>
      </c>
      <c r="B8544" s="184" t="s">
        <v>5042</v>
      </c>
      <c r="C8544" s="184" t="n">
        <v>11</v>
      </c>
      <c r="D8544" s="177" t="s">
        <v>6298</v>
      </c>
      <c r="E8544" s="184" t="s">
        <v>7083</v>
      </c>
      <c r="F8544" s="184"/>
      <c r="G8544" s="184"/>
      <c r="H8544" s="184"/>
      <c r="I8544" s="184"/>
      <c r="J8544" s="184"/>
      <c r="K8544" s="184"/>
      <c r="L8544" s="184"/>
      <c r="M8544" s="184"/>
      <c r="N8544" s="184"/>
      <c r="O8544" s="184"/>
    </row>
    <row r="8545" customFormat="false" ht="41.25" hidden="false" customHeight="true" outlineLevel="0" collapsed="false">
      <c r="A8545" s="184" t="s">
        <v>5041</v>
      </c>
      <c r="B8545" s="184" t="s">
        <v>5042</v>
      </c>
      <c r="C8545" s="184" t="n">
        <v>12</v>
      </c>
      <c r="D8545" s="177" t="s">
        <v>6298</v>
      </c>
      <c r="E8545" s="184" t="s">
        <v>7084</v>
      </c>
      <c r="F8545" s="184"/>
      <c r="G8545" s="184"/>
      <c r="H8545" s="184"/>
      <c r="I8545" s="184"/>
      <c r="J8545" s="184"/>
      <c r="K8545" s="184"/>
      <c r="L8545" s="184"/>
      <c r="M8545" s="184"/>
      <c r="N8545" s="184"/>
      <c r="O8545" s="184"/>
    </row>
    <row r="8546" customFormat="false" ht="41.25" hidden="false" customHeight="true" outlineLevel="0" collapsed="false">
      <c r="A8546" s="184" t="s">
        <v>5041</v>
      </c>
      <c r="B8546" s="184" t="s">
        <v>5042</v>
      </c>
      <c r="C8546" s="184" t="n">
        <v>13</v>
      </c>
      <c r="D8546" s="177" t="s">
        <v>6298</v>
      </c>
      <c r="E8546" s="184" t="s">
        <v>7379</v>
      </c>
      <c r="F8546" s="184"/>
      <c r="G8546" s="184"/>
      <c r="H8546" s="184"/>
      <c r="I8546" s="184"/>
      <c r="J8546" s="184"/>
      <c r="K8546" s="184"/>
      <c r="L8546" s="184"/>
      <c r="M8546" s="184"/>
      <c r="N8546" s="184"/>
      <c r="O8546" s="184"/>
    </row>
    <row r="8547" customFormat="false" ht="41.25" hidden="false" customHeight="true" outlineLevel="0" collapsed="false">
      <c r="A8547" s="184" t="s">
        <v>5041</v>
      </c>
      <c r="B8547" s="184" t="s">
        <v>5042</v>
      </c>
      <c r="C8547" s="184" t="n">
        <v>14</v>
      </c>
      <c r="D8547" s="177" t="s">
        <v>6298</v>
      </c>
      <c r="E8547" s="184" t="s">
        <v>7380</v>
      </c>
      <c r="F8547" s="184"/>
      <c r="G8547" s="184"/>
      <c r="H8547" s="184"/>
      <c r="I8547" s="184"/>
      <c r="J8547" s="184"/>
      <c r="K8547" s="184"/>
      <c r="L8547" s="184"/>
      <c r="M8547" s="184"/>
      <c r="N8547" s="184"/>
      <c r="O8547" s="184"/>
    </row>
    <row r="8548" customFormat="false" ht="68.25" hidden="false" customHeight="true" outlineLevel="0" collapsed="false">
      <c r="A8548" s="184" t="s">
        <v>5041</v>
      </c>
      <c r="B8548" s="184" t="s">
        <v>5042</v>
      </c>
      <c r="C8548" s="184" t="n">
        <v>15</v>
      </c>
      <c r="D8548" s="184" t="s">
        <v>6294</v>
      </c>
      <c r="E8548" s="184" t="s">
        <v>7087</v>
      </c>
      <c r="F8548" s="184"/>
      <c r="G8548" s="184"/>
      <c r="H8548" s="184"/>
      <c r="I8548" s="184"/>
      <c r="J8548" s="184"/>
      <c r="K8548" s="184"/>
      <c r="L8548" s="184"/>
      <c r="M8548" s="184"/>
      <c r="N8548" s="184"/>
      <c r="O8548" s="184"/>
    </row>
    <row r="8549" customFormat="false" ht="15" hidden="false" customHeight="true" outlineLevel="0" collapsed="false">
      <c r="A8549" s="184"/>
      <c r="B8549" s="184"/>
      <c r="C8549" s="184"/>
      <c r="D8549" s="184"/>
      <c r="E8549" s="184"/>
      <c r="F8549" s="184"/>
      <c r="G8549" s="184"/>
      <c r="H8549" s="184"/>
      <c r="I8549" s="184"/>
      <c r="J8549" s="184"/>
      <c r="K8549" s="184"/>
      <c r="L8549" s="184"/>
      <c r="M8549" s="184"/>
      <c r="N8549" s="184"/>
      <c r="O8549" s="184"/>
    </row>
    <row r="8550" customFormat="false" ht="15" hidden="false" customHeight="true" outlineLevel="0" collapsed="false">
      <c r="A8550" s="184"/>
      <c r="B8550" s="184"/>
      <c r="C8550" s="184"/>
      <c r="D8550" s="184"/>
      <c r="E8550" s="184"/>
      <c r="F8550" s="184"/>
      <c r="G8550" s="184"/>
      <c r="H8550" s="184"/>
      <c r="I8550" s="184"/>
      <c r="J8550" s="184"/>
      <c r="K8550" s="184"/>
      <c r="L8550" s="184"/>
      <c r="M8550" s="184"/>
      <c r="N8550" s="184"/>
      <c r="O8550" s="184"/>
    </row>
    <row r="8551" customFormat="false" ht="15" hidden="false" customHeight="true" outlineLevel="0" collapsed="false">
      <c r="A8551" s="184"/>
      <c r="B8551" s="184"/>
      <c r="C8551" s="184"/>
      <c r="D8551" s="184"/>
      <c r="E8551" s="184"/>
      <c r="F8551" s="184"/>
      <c r="G8551" s="184"/>
      <c r="H8551" s="184"/>
      <c r="I8551" s="184"/>
      <c r="J8551" s="184"/>
      <c r="K8551" s="184"/>
      <c r="L8551" s="184"/>
      <c r="M8551" s="184"/>
      <c r="N8551" s="184"/>
      <c r="O8551" s="184"/>
    </row>
    <row r="8552" customFormat="false" ht="15" hidden="false" customHeight="true" outlineLevel="0" collapsed="false">
      <c r="A8552" s="184"/>
      <c r="B8552" s="184"/>
      <c r="C8552" s="184"/>
      <c r="D8552" s="184"/>
      <c r="E8552" s="184"/>
      <c r="F8552" s="184"/>
      <c r="G8552" s="184"/>
      <c r="H8552" s="184"/>
      <c r="I8552" s="184"/>
      <c r="J8552" s="184"/>
      <c r="K8552" s="184"/>
      <c r="L8552" s="184"/>
      <c r="M8552" s="184"/>
      <c r="N8552" s="184"/>
      <c r="O8552" s="184"/>
    </row>
    <row r="8553" customFormat="false" ht="15" hidden="false" customHeight="true" outlineLevel="0" collapsed="false">
      <c r="A8553" s="184"/>
      <c r="B8553" s="184"/>
      <c r="C8553" s="184"/>
      <c r="D8553" s="184"/>
      <c r="E8553" s="184"/>
      <c r="F8553" s="184"/>
      <c r="G8553" s="184"/>
      <c r="H8553" s="184"/>
      <c r="I8553" s="184"/>
      <c r="J8553" s="184"/>
      <c r="K8553" s="184"/>
      <c r="L8553" s="184"/>
      <c r="M8553" s="184"/>
      <c r="N8553" s="184"/>
      <c r="O8553" s="184"/>
    </row>
    <row r="8554" customFormat="false" ht="15" hidden="false" customHeight="true" outlineLevel="0" collapsed="false">
      <c r="A8554" s="184"/>
      <c r="B8554" s="184"/>
      <c r="C8554" s="184"/>
      <c r="D8554" s="184"/>
      <c r="E8554" s="184"/>
      <c r="F8554" s="184"/>
      <c r="G8554" s="184"/>
      <c r="H8554" s="184"/>
      <c r="I8554" s="184"/>
      <c r="J8554" s="184"/>
      <c r="K8554" s="184"/>
      <c r="L8554" s="184"/>
      <c r="M8554" s="184"/>
      <c r="N8554" s="184"/>
      <c r="O8554" s="184"/>
    </row>
    <row r="8555" customFormat="false" ht="15" hidden="false" customHeight="true" outlineLevel="0" collapsed="false">
      <c r="A8555" s="184"/>
      <c r="B8555" s="184"/>
      <c r="C8555" s="184"/>
      <c r="D8555" s="184"/>
      <c r="E8555" s="184"/>
      <c r="F8555" s="184"/>
      <c r="G8555" s="184"/>
      <c r="H8555" s="184"/>
      <c r="I8555" s="184"/>
      <c r="J8555" s="184"/>
      <c r="K8555" s="184"/>
      <c r="L8555" s="184"/>
      <c r="M8555" s="184"/>
      <c r="N8555" s="184"/>
      <c r="O8555" s="184"/>
    </row>
    <row r="8556" customFormat="false" ht="15" hidden="false" customHeight="true" outlineLevel="0" collapsed="false">
      <c r="A8556" s="184"/>
      <c r="B8556" s="184"/>
      <c r="C8556" s="184"/>
      <c r="D8556" s="184"/>
      <c r="E8556" s="184"/>
      <c r="F8556" s="184"/>
      <c r="G8556" s="184"/>
      <c r="H8556" s="184"/>
      <c r="I8556" s="184"/>
      <c r="J8556" s="184"/>
      <c r="K8556" s="184"/>
      <c r="L8556" s="184"/>
      <c r="M8556" s="184"/>
      <c r="N8556" s="184"/>
      <c r="O8556" s="184"/>
    </row>
    <row r="8557" customFormat="false" ht="15" hidden="false" customHeight="true" outlineLevel="0" collapsed="false">
      <c r="A8557" s="184"/>
      <c r="B8557" s="184"/>
      <c r="C8557" s="184"/>
      <c r="D8557" s="184"/>
      <c r="E8557" s="184"/>
      <c r="F8557" s="184"/>
      <c r="G8557" s="184"/>
      <c r="H8557" s="184"/>
      <c r="I8557" s="184"/>
      <c r="J8557" s="184"/>
      <c r="K8557" s="184"/>
      <c r="L8557" s="184"/>
      <c r="M8557" s="184"/>
      <c r="N8557" s="184"/>
      <c r="O8557" s="184"/>
    </row>
    <row r="8558" customFormat="false" ht="15" hidden="false" customHeight="true" outlineLevel="0" collapsed="false">
      <c r="A8558" s="184"/>
      <c r="B8558" s="184"/>
      <c r="C8558" s="184"/>
      <c r="D8558" s="184"/>
      <c r="E8558" s="184"/>
      <c r="F8558" s="184"/>
      <c r="G8558" s="184"/>
      <c r="H8558" s="184"/>
      <c r="I8558" s="184"/>
      <c r="J8558" s="184"/>
      <c r="K8558" s="184"/>
      <c r="L8558" s="184"/>
      <c r="M8558" s="184"/>
      <c r="N8558" s="184"/>
      <c r="O8558" s="184"/>
    </row>
    <row r="8559" customFormat="false" ht="15" hidden="false" customHeight="true" outlineLevel="0" collapsed="false">
      <c r="A8559" s="184"/>
      <c r="B8559" s="184"/>
      <c r="C8559" s="184"/>
      <c r="D8559" s="184"/>
      <c r="E8559" s="184"/>
      <c r="F8559" s="184"/>
      <c r="G8559" s="184"/>
      <c r="H8559" s="184"/>
      <c r="I8559" s="184"/>
      <c r="J8559" s="184"/>
      <c r="K8559" s="184"/>
      <c r="L8559" s="184"/>
      <c r="M8559" s="184"/>
      <c r="N8559" s="184"/>
      <c r="O8559" s="184"/>
    </row>
    <row r="8560" customFormat="false" ht="15" hidden="false" customHeight="true" outlineLevel="0" collapsed="false">
      <c r="A8560" s="184"/>
      <c r="B8560" s="184"/>
      <c r="C8560" s="184"/>
      <c r="D8560" s="184"/>
      <c r="E8560" s="184"/>
      <c r="F8560" s="184"/>
      <c r="G8560" s="184"/>
      <c r="H8560" s="184"/>
      <c r="I8560" s="184"/>
      <c r="J8560" s="184"/>
      <c r="K8560" s="184"/>
      <c r="L8560" s="184"/>
      <c r="M8560" s="184"/>
      <c r="N8560" s="184"/>
      <c r="O8560" s="184"/>
    </row>
    <row r="8561" customFormat="false" ht="15" hidden="false" customHeight="true" outlineLevel="0" collapsed="false">
      <c r="A8561" s="184"/>
      <c r="B8561" s="184"/>
      <c r="C8561" s="184"/>
      <c r="D8561" s="184"/>
      <c r="E8561" s="184"/>
      <c r="F8561" s="184"/>
      <c r="G8561" s="184"/>
      <c r="H8561" s="184"/>
      <c r="I8561" s="184"/>
      <c r="J8561" s="184"/>
      <c r="K8561" s="184"/>
      <c r="L8561" s="184"/>
      <c r="M8561" s="184"/>
      <c r="N8561" s="184"/>
      <c r="O8561" s="184"/>
    </row>
    <row r="8562" customFormat="false" ht="15" hidden="false" customHeight="true" outlineLevel="0" collapsed="false">
      <c r="A8562" s="184"/>
      <c r="B8562" s="184"/>
      <c r="C8562" s="184"/>
      <c r="D8562" s="184"/>
      <c r="E8562" s="184"/>
      <c r="F8562" s="184"/>
      <c r="G8562" s="184"/>
      <c r="H8562" s="184"/>
      <c r="I8562" s="184"/>
      <c r="J8562" s="184"/>
      <c r="K8562" s="184"/>
      <c r="L8562" s="184"/>
      <c r="M8562" s="184"/>
      <c r="N8562" s="184"/>
      <c r="O8562" s="184"/>
    </row>
    <row r="8563" customFormat="false" ht="15" hidden="false" customHeight="true" outlineLevel="0" collapsed="false">
      <c r="A8563" s="184"/>
      <c r="B8563" s="184"/>
      <c r="C8563" s="184"/>
      <c r="D8563" s="184"/>
      <c r="E8563" s="184"/>
      <c r="F8563" s="184"/>
      <c r="G8563" s="184"/>
      <c r="H8563" s="184"/>
      <c r="I8563" s="184"/>
      <c r="J8563" s="184"/>
      <c r="K8563" s="184"/>
      <c r="L8563" s="184"/>
      <c r="M8563" s="184"/>
      <c r="N8563" s="184"/>
      <c r="O8563" s="184"/>
    </row>
    <row r="8564" customFormat="false" ht="15" hidden="false" customHeight="true" outlineLevel="0" collapsed="false">
      <c r="A8564" s="184"/>
      <c r="B8564" s="184"/>
      <c r="C8564" s="184"/>
      <c r="D8564" s="184"/>
      <c r="E8564" s="184"/>
      <c r="F8564" s="184"/>
      <c r="G8564" s="184"/>
      <c r="H8564" s="184"/>
      <c r="I8564" s="184"/>
      <c r="J8564" s="184"/>
      <c r="K8564" s="184"/>
      <c r="L8564" s="184"/>
      <c r="M8564" s="184"/>
      <c r="N8564" s="184"/>
      <c r="O8564" s="184"/>
    </row>
    <row r="8565" customFormat="false" ht="15" hidden="false" customHeight="true" outlineLevel="0" collapsed="false">
      <c r="A8565" s="184"/>
      <c r="B8565" s="184"/>
      <c r="C8565" s="184"/>
      <c r="D8565" s="184"/>
      <c r="E8565" s="184"/>
      <c r="F8565" s="184"/>
      <c r="G8565" s="184"/>
      <c r="H8565" s="184"/>
      <c r="I8565" s="184"/>
      <c r="J8565" s="184"/>
      <c r="K8565" s="184"/>
      <c r="L8565" s="184"/>
      <c r="M8565" s="184"/>
      <c r="N8565" s="184"/>
      <c r="O8565" s="184"/>
    </row>
    <row r="8566" customFormat="false" ht="15" hidden="false" customHeight="true" outlineLevel="0" collapsed="false">
      <c r="A8566" s="184"/>
      <c r="B8566" s="184"/>
      <c r="C8566" s="184"/>
      <c r="D8566" s="184"/>
      <c r="E8566" s="184"/>
      <c r="F8566" s="184"/>
      <c r="G8566" s="184"/>
      <c r="H8566" s="184"/>
      <c r="I8566" s="184"/>
      <c r="J8566" s="184"/>
      <c r="K8566" s="184"/>
      <c r="L8566" s="184"/>
      <c r="M8566" s="184"/>
      <c r="N8566" s="184"/>
      <c r="O8566" s="184"/>
    </row>
    <row r="8567" customFormat="false" ht="15" hidden="false" customHeight="true" outlineLevel="0" collapsed="false">
      <c r="A8567" s="184"/>
      <c r="B8567" s="184"/>
      <c r="C8567" s="184"/>
      <c r="D8567" s="184"/>
      <c r="E8567" s="184"/>
      <c r="F8567" s="184"/>
      <c r="G8567" s="184"/>
      <c r="H8567" s="184"/>
      <c r="I8567" s="184"/>
      <c r="J8567" s="184"/>
      <c r="K8567" s="184"/>
      <c r="L8567" s="184"/>
      <c r="M8567" s="184"/>
      <c r="N8567" s="184"/>
      <c r="O8567" s="184"/>
    </row>
    <row r="8568" customFormat="false" ht="15" hidden="false" customHeight="true" outlineLevel="0" collapsed="false">
      <c r="A8568" s="184"/>
      <c r="B8568" s="184"/>
      <c r="C8568" s="184"/>
      <c r="D8568" s="184"/>
      <c r="E8568" s="184"/>
      <c r="F8568" s="184"/>
      <c r="G8568" s="184"/>
      <c r="H8568" s="184"/>
      <c r="I8568" s="184"/>
      <c r="J8568" s="184"/>
      <c r="K8568" s="184"/>
      <c r="L8568" s="184"/>
      <c r="M8568" s="184"/>
      <c r="N8568" s="184"/>
      <c r="O8568" s="184"/>
    </row>
    <row r="8569" customFormat="false" ht="15" hidden="false" customHeight="true" outlineLevel="0" collapsed="false">
      <c r="A8569" s="184"/>
      <c r="B8569" s="184"/>
      <c r="C8569" s="184"/>
      <c r="D8569" s="184"/>
      <c r="E8569" s="184"/>
      <c r="F8569" s="184"/>
      <c r="G8569" s="184"/>
      <c r="H8569" s="184"/>
      <c r="I8569" s="184"/>
      <c r="J8569" s="184"/>
      <c r="K8569" s="184"/>
      <c r="L8569" s="184"/>
      <c r="M8569" s="184"/>
      <c r="N8569" s="184"/>
      <c r="O8569" s="184"/>
    </row>
    <row r="8570" customFormat="false" ht="15" hidden="false" customHeight="true" outlineLevel="0" collapsed="false">
      <c r="A8570" s="184"/>
      <c r="B8570" s="184"/>
      <c r="C8570" s="184"/>
      <c r="D8570" s="184"/>
      <c r="E8570" s="184"/>
      <c r="F8570" s="184"/>
      <c r="G8570" s="184"/>
      <c r="H8570" s="184"/>
      <c r="I8570" s="184"/>
      <c r="J8570" s="184"/>
      <c r="K8570" s="184"/>
      <c r="L8570" s="184"/>
      <c r="M8570" s="184"/>
      <c r="N8570" s="184"/>
      <c r="O8570" s="184"/>
    </row>
    <row r="8571" customFormat="false" ht="15" hidden="false" customHeight="true" outlineLevel="0" collapsed="false">
      <c r="A8571" s="184"/>
      <c r="B8571" s="184"/>
      <c r="C8571" s="184"/>
      <c r="D8571" s="184"/>
      <c r="E8571" s="184"/>
      <c r="F8571" s="184"/>
      <c r="G8571" s="184"/>
      <c r="H8571" s="184"/>
      <c r="I8571" s="184"/>
      <c r="J8571" s="184"/>
      <c r="K8571" s="184"/>
      <c r="L8571" s="184"/>
      <c r="M8571" s="184"/>
      <c r="N8571" s="184"/>
      <c r="O8571" s="184"/>
    </row>
    <row r="8572" customFormat="false" ht="15" hidden="false" customHeight="true" outlineLevel="0" collapsed="false">
      <c r="A8572" s="184"/>
      <c r="B8572" s="184"/>
      <c r="C8572" s="184"/>
      <c r="D8572" s="184"/>
      <c r="E8572" s="184"/>
      <c r="F8572" s="184"/>
      <c r="G8572" s="184"/>
      <c r="H8572" s="184"/>
      <c r="I8572" s="184"/>
      <c r="J8572" s="184"/>
      <c r="K8572" s="184"/>
      <c r="L8572" s="184"/>
      <c r="M8572" s="184"/>
      <c r="N8572" s="184"/>
      <c r="O8572" s="184"/>
    </row>
    <row r="8573" customFormat="false" ht="15" hidden="false" customHeight="true" outlineLevel="0" collapsed="false">
      <c r="A8573" s="184"/>
      <c r="B8573" s="184"/>
      <c r="C8573" s="184"/>
      <c r="D8573" s="184"/>
      <c r="E8573" s="184"/>
      <c r="F8573" s="184"/>
      <c r="G8573" s="184"/>
      <c r="H8573" s="184"/>
      <c r="I8573" s="184"/>
      <c r="J8573" s="184"/>
      <c r="K8573" s="184"/>
      <c r="L8573" s="184"/>
      <c r="M8573" s="184"/>
      <c r="N8573" s="184"/>
      <c r="O8573" s="184"/>
    </row>
    <row r="8574" customFormat="false" ht="15" hidden="false" customHeight="true" outlineLevel="0" collapsed="false">
      <c r="A8574" s="184"/>
      <c r="B8574" s="184"/>
      <c r="C8574" s="184"/>
      <c r="D8574" s="184"/>
      <c r="E8574" s="184"/>
      <c r="F8574" s="184"/>
      <c r="G8574" s="184"/>
      <c r="H8574" s="184"/>
      <c r="I8574" s="184"/>
      <c r="J8574" s="184"/>
      <c r="K8574" s="184"/>
      <c r="L8574" s="184"/>
      <c r="M8574" s="184"/>
      <c r="N8574" s="184"/>
      <c r="O8574" s="184"/>
    </row>
    <row r="8575" customFormat="false" ht="15" hidden="false" customHeight="true" outlineLevel="0" collapsed="false">
      <c r="A8575" s="184"/>
      <c r="B8575" s="184"/>
      <c r="C8575" s="184"/>
      <c r="D8575" s="184"/>
      <c r="E8575" s="184"/>
      <c r="F8575" s="184"/>
      <c r="G8575" s="184"/>
      <c r="H8575" s="184"/>
      <c r="I8575" s="184"/>
      <c r="J8575" s="184"/>
      <c r="K8575" s="184"/>
      <c r="L8575" s="184"/>
      <c r="M8575" s="184"/>
      <c r="N8575" s="184"/>
      <c r="O8575" s="184"/>
    </row>
    <row r="8576" customFormat="false" ht="15" hidden="false" customHeight="true" outlineLevel="0" collapsed="false">
      <c r="A8576" s="184"/>
      <c r="B8576" s="184"/>
      <c r="C8576" s="184"/>
      <c r="D8576" s="184"/>
      <c r="E8576" s="184"/>
      <c r="F8576" s="184"/>
      <c r="G8576" s="184"/>
      <c r="H8576" s="184"/>
      <c r="I8576" s="184"/>
      <c r="J8576" s="184"/>
      <c r="K8576" s="184"/>
      <c r="L8576" s="184"/>
      <c r="M8576" s="184"/>
      <c r="N8576" s="184"/>
      <c r="O8576" s="184"/>
    </row>
    <row r="8577" customFormat="false" ht="15" hidden="false" customHeight="true" outlineLevel="0" collapsed="false">
      <c r="A8577" s="184"/>
      <c r="B8577" s="184"/>
      <c r="C8577" s="184"/>
      <c r="D8577" s="184"/>
      <c r="E8577" s="184"/>
      <c r="F8577" s="184"/>
      <c r="G8577" s="184"/>
      <c r="H8577" s="184"/>
      <c r="I8577" s="184"/>
      <c r="J8577" s="184"/>
      <c r="K8577" s="184"/>
      <c r="L8577" s="184"/>
      <c r="M8577" s="184"/>
      <c r="N8577" s="184"/>
      <c r="O8577" s="184"/>
    </row>
    <row r="8578" customFormat="false" ht="15" hidden="false" customHeight="true" outlineLevel="0" collapsed="false">
      <c r="A8578" s="184"/>
      <c r="B8578" s="184"/>
      <c r="C8578" s="184"/>
      <c r="D8578" s="184"/>
      <c r="E8578" s="184"/>
      <c r="F8578" s="184"/>
      <c r="G8578" s="184"/>
      <c r="H8578" s="184"/>
      <c r="I8578" s="184"/>
      <c r="J8578" s="184"/>
      <c r="K8578" s="184"/>
      <c r="L8578" s="184"/>
      <c r="M8578" s="184"/>
      <c r="N8578" s="184"/>
      <c r="O8578" s="184"/>
    </row>
    <row r="8579" customFormat="false" ht="15" hidden="false" customHeight="true" outlineLevel="0" collapsed="false">
      <c r="A8579" s="184"/>
      <c r="B8579" s="184"/>
      <c r="C8579" s="184"/>
      <c r="D8579" s="184"/>
      <c r="E8579" s="184"/>
      <c r="F8579" s="184"/>
      <c r="G8579" s="184"/>
      <c r="H8579" s="184"/>
      <c r="I8579" s="184"/>
      <c r="J8579" s="184"/>
      <c r="K8579" s="184"/>
      <c r="L8579" s="184"/>
      <c r="M8579" s="184"/>
      <c r="N8579" s="184"/>
      <c r="O8579" s="184"/>
    </row>
    <row r="8580" customFormat="false" ht="15" hidden="false" customHeight="true" outlineLevel="0" collapsed="false">
      <c r="A8580" s="184"/>
      <c r="B8580" s="184"/>
      <c r="C8580" s="184"/>
      <c r="D8580" s="184"/>
      <c r="E8580" s="184"/>
      <c r="F8580" s="184"/>
      <c r="G8580" s="184"/>
      <c r="H8580" s="184"/>
      <c r="I8580" s="184"/>
      <c r="J8580" s="184"/>
      <c r="K8580" s="184"/>
      <c r="L8580" s="184"/>
      <c r="M8580" s="184"/>
      <c r="N8580" s="184"/>
      <c r="O8580" s="184"/>
    </row>
    <row r="8581" customFormat="false" ht="15" hidden="false" customHeight="true" outlineLevel="0" collapsed="false">
      <c r="A8581" s="184"/>
      <c r="B8581" s="184"/>
      <c r="C8581" s="184"/>
      <c r="D8581" s="184"/>
      <c r="E8581" s="184"/>
      <c r="F8581" s="184"/>
      <c r="G8581" s="184"/>
      <c r="H8581" s="184"/>
      <c r="I8581" s="184"/>
      <c r="J8581" s="184"/>
      <c r="K8581" s="184"/>
      <c r="L8581" s="184"/>
      <c r="M8581" s="184"/>
      <c r="N8581" s="184"/>
      <c r="O8581" s="184"/>
    </row>
    <row r="8582" customFormat="false" ht="15" hidden="false" customHeight="true" outlineLevel="0" collapsed="false">
      <c r="A8582" s="184"/>
      <c r="B8582" s="184"/>
      <c r="C8582" s="184"/>
      <c r="D8582" s="184"/>
      <c r="E8582" s="184"/>
      <c r="F8582" s="184"/>
      <c r="G8582" s="184"/>
      <c r="H8582" s="184"/>
      <c r="I8582" s="184"/>
      <c r="J8582" s="184"/>
      <c r="K8582" s="184"/>
      <c r="L8582" s="184"/>
      <c r="M8582" s="184"/>
      <c r="N8582" s="184"/>
      <c r="O8582" s="184"/>
    </row>
    <row r="8583" customFormat="false" ht="15" hidden="false" customHeight="true" outlineLevel="0" collapsed="false">
      <c r="A8583" s="184"/>
      <c r="B8583" s="184"/>
      <c r="C8583" s="184"/>
      <c r="D8583" s="184"/>
      <c r="E8583" s="184"/>
      <c r="F8583" s="184"/>
      <c r="G8583" s="184"/>
      <c r="H8583" s="184"/>
      <c r="I8583" s="184"/>
      <c r="J8583" s="184"/>
      <c r="K8583" s="184"/>
      <c r="L8583" s="184"/>
      <c r="M8583" s="184"/>
      <c r="N8583" s="184"/>
      <c r="O8583" s="184"/>
    </row>
    <row r="8584" customFormat="false" ht="15" hidden="false" customHeight="true" outlineLevel="0" collapsed="false">
      <c r="A8584" s="184"/>
      <c r="B8584" s="184"/>
      <c r="C8584" s="184"/>
      <c r="D8584" s="184"/>
      <c r="E8584" s="184"/>
      <c r="F8584" s="184"/>
      <c r="G8584" s="184"/>
      <c r="H8584" s="184"/>
      <c r="I8584" s="184"/>
      <c r="J8584" s="184"/>
      <c r="K8584" s="184"/>
      <c r="L8584" s="184"/>
      <c r="M8584" s="184"/>
      <c r="N8584" s="184"/>
      <c r="O8584" s="184"/>
    </row>
    <row r="8585" customFormat="false" ht="15" hidden="false" customHeight="true" outlineLevel="0" collapsed="false">
      <c r="A8585" s="184"/>
      <c r="B8585" s="184"/>
      <c r="C8585" s="184"/>
      <c r="D8585" s="184"/>
      <c r="E8585" s="184"/>
      <c r="F8585" s="184"/>
      <c r="G8585" s="184"/>
      <c r="H8585" s="184"/>
      <c r="I8585" s="184"/>
      <c r="J8585" s="184"/>
      <c r="K8585" s="184"/>
      <c r="L8585" s="184"/>
      <c r="M8585" s="184"/>
      <c r="N8585" s="184"/>
      <c r="O8585" s="184"/>
    </row>
    <row r="8586" customFormat="false" ht="15" hidden="false" customHeight="true" outlineLevel="0" collapsed="false">
      <c r="A8586" s="184"/>
      <c r="B8586" s="184"/>
      <c r="C8586" s="184"/>
      <c r="D8586" s="184"/>
      <c r="E8586" s="184"/>
      <c r="F8586" s="184"/>
      <c r="G8586" s="184"/>
      <c r="H8586" s="184"/>
      <c r="I8586" s="184"/>
      <c r="J8586" s="184"/>
      <c r="K8586" s="184"/>
      <c r="L8586" s="184"/>
      <c r="M8586" s="184"/>
      <c r="N8586" s="184"/>
      <c r="O8586" s="184"/>
    </row>
    <row r="8587" customFormat="false" ht="15" hidden="false" customHeight="true" outlineLevel="0" collapsed="false">
      <c r="A8587" s="184"/>
      <c r="B8587" s="184"/>
      <c r="C8587" s="184"/>
      <c r="D8587" s="184"/>
      <c r="E8587" s="184"/>
      <c r="F8587" s="184"/>
      <c r="G8587" s="184"/>
      <c r="H8587" s="184"/>
      <c r="I8587" s="184"/>
      <c r="J8587" s="184"/>
      <c r="K8587" s="184"/>
      <c r="L8587" s="184"/>
      <c r="M8587" s="184"/>
      <c r="N8587" s="184"/>
      <c r="O8587" s="184"/>
    </row>
    <row r="8588" customFormat="false" ht="15" hidden="false" customHeight="true" outlineLevel="0" collapsed="false">
      <c r="A8588" s="184"/>
      <c r="B8588" s="184"/>
      <c r="C8588" s="184"/>
      <c r="D8588" s="184"/>
      <c r="E8588" s="184"/>
      <c r="F8588" s="184"/>
      <c r="G8588" s="184"/>
      <c r="H8588" s="184"/>
      <c r="I8588" s="184"/>
      <c r="J8588" s="184"/>
      <c r="K8588" s="184"/>
      <c r="L8588" s="184"/>
      <c r="M8588" s="184"/>
      <c r="N8588" s="184"/>
      <c r="O8588" s="184"/>
    </row>
    <row r="8589" customFormat="false" ht="15" hidden="false" customHeight="true" outlineLevel="0" collapsed="false">
      <c r="A8589" s="184"/>
      <c r="B8589" s="184"/>
      <c r="C8589" s="184"/>
      <c r="D8589" s="184"/>
      <c r="E8589" s="184"/>
      <c r="F8589" s="184"/>
      <c r="G8589" s="184"/>
      <c r="H8589" s="184"/>
      <c r="I8589" s="184"/>
      <c r="J8589" s="184"/>
      <c r="K8589" s="184"/>
      <c r="L8589" s="184"/>
      <c r="M8589" s="184"/>
      <c r="N8589" s="184"/>
      <c r="O8589" s="184"/>
    </row>
    <row r="8590" customFormat="false" ht="15" hidden="false" customHeight="true" outlineLevel="0" collapsed="false">
      <c r="A8590" s="184"/>
      <c r="B8590" s="184"/>
      <c r="C8590" s="184"/>
      <c r="D8590" s="184"/>
      <c r="E8590" s="184"/>
      <c r="F8590" s="184"/>
      <c r="G8590" s="184"/>
      <c r="H8590" s="184"/>
      <c r="I8590" s="184"/>
      <c r="J8590" s="184"/>
      <c r="K8590" s="184"/>
      <c r="L8590" s="184"/>
      <c r="M8590" s="184"/>
      <c r="N8590" s="184"/>
      <c r="O8590" s="184"/>
    </row>
    <row r="8591" customFormat="false" ht="15" hidden="false" customHeight="true" outlineLevel="0" collapsed="false">
      <c r="A8591" s="184"/>
      <c r="B8591" s="184"/>
      <c r="C8591" s="184"/>
      <c r="D8591" s="184"/>
      <c r="E8591" s="184"/>
      <c r="F8591" s="184"/>
      <c r="G8591" s="184"/>
      <c r="H8591" s="184"/>
      <c r="I8591" s="184"/>
      <c r="J8591" s="184"/>
      <c r="K8591" s="184"/>
      <c r="L8591" s="184"/>
      <c r="M8591" s="184"/>
      <c r="N8591" s="184"/>
      <c r="O8591" s="184"/>
    </row>
    <row r="8592" customFormat="false" ht="15" hidden="false" customHeight="true" outlineLevel="0" collapsed="false">
      <c r="A8592" s="184"/>
      <c r="B8592" s="184"/>
      <c r="C8592" s="184"/>
      <c r="D8592" s="184"/>
      <c r="E8592" s="184"/>
      <c r="F8592" s="184"/>
      <c r="G8592" s="184"/>
      <c r="H8592" s="184"/>
      <c r="I8592" s="184"/>
      <c r="J8592" s="184"/>
      <c r="K8592" s="184"/>
      <c r="L8592" s="184"/>
      <c r="M8592" s="184"/>
      <c r="N8592" s="184"/>
      <c r="O8592" s="184"/>
    </row>
    <row r="8593" customFormat="false" ht="15" hidden="false" customHeight="true" outlineLevel="0" collapsed="false">
      <c r="A8593" s="184"/>
      <c r="B8593" s="184"/>
      <c r="C8593" s="184"/>
      <c r="D8593" s="184"/>
      <c r="E8593" s="184"/>
      <c r="F8593" s="184"/>
      <c r="G8593" s="184"/>
      <c r="H8593" s="184"/>
      <c r="I8593" s="184"/>
      <c r="J8593" s="184"/>
      <c r="K8593" s="184"/>
      <c r="L8593" s="184"/>
      <c r="M8593" s="184"/>
      <c r="N8593" s="184"/>
      <c r="O8593" s="184"/>
    </row>
    <row r="8594" customFormat="false" ht="15" hidden="false" customHeight="true" outlineLevel="0" collapsed="false">
      <c r="A8594" s="184"/>
      <c r="B8594" s="184"/>
      <c r="C8594" s="184"/>
      <c r="D8594" s="184"/>
      <c r="E8594" s="184"/>
      <c r="F8594" s="184"/>
      <c r="G8594" s="184"/>
      <c r="H8594" s="184"/>
      <c r="I8594" s="184"/>
      <c r="J8594" s="184"/>
      <c r="K8594" s="184"/>
      <c r="L8594" s="184"/>
      <c r="M8594" s="184"/>
      <c r="N8594" s="184"/>
      <c r="O8594" s="184"/>
    </row>
    <row r="8595" customFormat="false" ht="15" hidden="false" customHeight="true" outlineLevel="0" collapsed="false">
      <c r="A8595" s="184"/>
      <c r="B8595" s="184"/>
      <c r="C8595" s="184"/>
      <c r="D8595" s="184"/>
      <c r="E8595" s="184"/>
      <c r="F8595" s="184"/>
      <c r="G8595" s="184"/>
      <c r="H8595" s="184"/>
      <c r="I8595" s="184"/>
      <c r="J8595" s="184"/>
      <c r="K8595" s="184"/>
      <c r="L8595" s="184"/>
      <c r="M8595" s="184"/>
      <c r="N8595" s="184"/>
      <c r="O8595" s="184"/>
    </row>
    <row r="8596" customFormat="false" ht="15" hidden="false" customHeight="true" outlineLevel="0" collapsed="false">
      <c r="A8596" s="184"/>
      <c r="B8596" s="184"/>
      <c r="C8596" s="184"/>
      <c r="D8596" s="184"/>
      <c r="E8596" s="184"/>
      <c r="F8596" s="184"/>
      <c r="G8596" s="184"/>
      <c r="H8596" s="184"/>
      <c r="I8596" s="184"/>
      <c r="J8596" s="184"/>
      <c r="K8596" s="184"/>
      <c r="L8596" s="184"/>
      <c r="M8596" s="184"/>
      <c r="N8596" s="184"/>
      <c r="O8596" s="184"/>
    </row>
    <row r="8597" customFormat="false" ht="15" hidden="false" customHeight="true" outlineLevel="0" collapsed="false">
      <c r="A8597" s="184"/>
      <c r="B8597" s="184"/>
      <c r="C8597" s="184"/>
      <c r="D8597" s="184"/>
      <c r="E8597" s="184"/>
      <c r="F8597" s="184"/>
      <c r="G8597" s="184"/>
      <c r="H8597" s="184"/>
      <c r="I8597" s="184"/>
      <c r="J8597" s="184"/>
      <c r="K8597" s="184"/>
      <c r="L8597" s="184"/>
      <c r="M8597" s="184"/>
      <c r="N8597" s="184"/>
      <c r="O8597" s="184"/>
    </row>
    <row r="8598" customFormat="false" ht="15" hidden="false" customHeight="true" outlineLevel="0" collapsed="false">
      <c r="A8598" s="184"/>
      <c r="B8598" s="184"/>
      <c r="C8598" s="184"/>
      <c r="D8598" s="184"/>
      <c r="E8598" s="184"/>
      <c r="F8598" s="184"/>
      <c r="G8598" s="184"/>
      <c r="H8598" s="184"/>
      <c r="I8598" s="184"/>
      <c r="J8598" s="184"/>
      <c r="K8598" s="184"/>
      <c r="L8598" s="184"/>
      <c r="M8598" s="184"/>
      <c r="N8598" s="184"/>
      <c r="O8598" s="184"/>
    </row>
    <row r="8599" customFormat="false" ht="15" hidden="false" customHeight="true" outlineLevel="0" collapsed="false">
      <c r="A8599" s="184"/>
      <c r="B8599" s="184"/>
      <c r="C8599" s="184"/>
      <c r="D8599" s="184"/>
      <c r="E8599" s="184"/>
      <c r="F8599" s="184"/>
      <c r="G8599" s="184"/>
      <c r="H8599" s="184"/>
      <c r="I8599" s="184"/>
      <c r="J8599" s="184"/>
      <c r="K8599" s="184"/>
      <c r="L8599" s="184"/>
      <c r="M8599" s="184"/>
      <c r="N8599" s="184"/>
      <c r="O8599" s="184"/>
    </row>
    <row r="8600" customFormat="false" ht="15" hidden="false" customHeight="true" outlineLevel="0" collapsed="false">
      <c r="A8600" s="184"/>
      <c r="B8600" s="184"/>
      <c r="C8600" s="184"/>
      <c r="D8600" s="184"/>
      <c r="E8600" s="184"/>
      <c r="F8600" s="184"/>
      <c r="G8600" s="184"/>
      <c r="H8600" s="184"/>
      <c r="I8600" s="184"/>
      <c r="J8600" s="184"/>
      <c r="K8600" s="184"/>
      <c r="L8600" s="184"/>
      <c r="M8600" s="184"/>
      <c r="N8600" s="184"/>
      <c r="O8600" s="184"/>
    </row>
    <row r="8601" customFormat="false" ht="15" hidden="false" customHeight="true" outlineLevel="0" collapsed="false">
      <c r="A8601" s="184"/>
      <c r="B8601" s="184"/>
      <c r="C8601" s="184"/>
      <c r="D8601" s="184"/>
      <c r="E8601" s="184"/>
      <c r="F8601" s="184"/>
      <c r="G8601" s="184"/>
      <c r="H8601" s="184"/>
      <c r="I8601" s="184"/>
      <c r="J8601" s="184"/>
      <c r="K8601" s="184"/>
      <c r="L8601" s="184"/>
      <c r="M8601" s="184"/>
      <c r="N8601" s="184"/>
      <c r="O8601" s="184"/>
    </row>
    <row r="8602" customFormat="false" ht="15" hidden="false" customHeight="true" outlineLevel="0" collapsed="false">
      <c r="A8602" s="184"/>
      <c r="B8602" s="184"/>
      <c r="C8602" s="184"/>
      <c r="D8602" s="184"/>
      <c r="E8602" s="184"/>
      <c r="F8602" s="184"/>
      <c r="G8602" s="184"/>
      <c r="H8602" s="184"/>
      <c r="I8602" s="184"/>
      <c r="J8602" s="184"/>
      <c r="K8602" s="184"/>
      <c r="L8602" s="184"/>
      <c r="M8602" s="184"/>
      <c r="N8602" s="184"/>
      <c r="O8602" s="184"/>
    </row>
    <row r="8603" customFormat="false" ht="15" hidden="false" customHeight="true" outlineLevel="0" collapsed="false">
      <c r="A8603" s="184"/>
      <c r="B8603" s="184"/>
      <c r="C8603" s="184"/>
      <c r="D8603" s="184"/>
      <c r="E8603" s="184"/>
      <c r="F8603" s="184"/>
      <c r="G8603" s="184"/>
      <c r="H8603" s="184"/>
      <c r="I8603" s="184"/>
      <c r="J8603" s="184"/>
      <c r="K8603" s="184"/>
      <c r="L8603" s="184"/>
      <c r="M8603" s="184"/>
      <c r="N8603" s="184"/>
      <c r="O8603" s="184"/>
    </row>
    <row r="8604" customFormat="false" ht="15" hidden="false" customHeight="true" outlineLevel="0" collapsed="false">
      <c r="A8604" s="184"/>
      <c r="B8604" s="184"/>
      <c r="C8604" s="184"/>
      <c r="D8604" s="184"/>
      <c r="E8604" s="184"/>
      <c r="F8604" s="184"/>
      <c r="G8604" s="184"/>
      <c r="H8604" s="184"/>
      <c r="I8604" s="184"/>
      <c r="J8604" s="184"/>
      <c r="K8604" s="184"/>
      <c r="L8604" s="184"/>
      <c r="M8604" s="184"/>
      <c r="N8604" s="184"/>
      <c r="O8604" s="184"/>
    </row>
    <row r="8605" customFormat="false" ht="15" hidden="false" customHeight="true" outlineLevel="0" collapsed="false">
      <c r="A8605" s="184"/>
      <c r="B8605" s="184"/>
      <c r="C8605" s="184"/>
      <c r="D8605" s="184"/>
      <c r="E8605" s="184"/>
      <c r="F8605" s="184"/>
      <c r="G8605" s="184"/>
      <c r="H8605" s="184"/>
      <c r="I8605" s="184"/>
      <c r="J8605" s="184"/>
      <c r="K8605" s="184"/>
      <c r="L8605" s="184"/>
      <c r="M8605" s="184"/>
      <c r="N8605" s="184"/>
      <c r="O8605" s="184"/>
    </row>
    <row r="8606" customFormat="false" ht="15" hidden="false" customHeight="true" outlineLevel="0" collapsed="false">
      <c r="A8606" s="184"/>
      <c r="B8606" s="184"/>
      <c r="C8606" s="184"/>
      <c r="D8606" s="184"/>
      <c r="E8606" s="184"/>
      <c r="F8606" s="184"/>
      <c r="G8606" s="184"/>
      <c r="H8606" s="184"/>
      <c r="I8606" s="184"/>
      <c r="J8606" s="184"/>
      <c r="K8606" s="184"/>
      <c r="L8606" s="184"/>
      <c r="M8606" s="184"/>
      <c r="N8606" s="184"/>
      <c r="O8606" s="184"/>
    </row>
    <row r="8607" customFormat="false" ht="15" hidden="false" customHeight="true" outlineLevel="0" collapsed="false">
      <c r="A8607" s="184"/>
      <c r="B8607" s="184"/>
      <c r="C8607" s="184"/>
      <c r="D8607" s="184"/>
      <c r="E8607" s="184"/>
      <c r="F8607" s="184"/>
      <c r="G8607" s="184"/>
      <c r="H8607" s="184"/>
      <c r="I8607" s="184"/>
      <c r="J8607" s="184"/>
      <c r="K8607" s="184"/>
      <c r="L8607" s="184"/>
      <c r="M8607" s="184"/>
      <c r="N8607" s="184"/>
      <c r="O8607" s="184"/>
    </row>
    <row r="8608" customFormat="false" ht="15" hidden="false" customHeight="true" outlineLevel="0" collapsed="false">
      <c r="A8608" s="184"/>
      <c r="B8608" s="184"/>
      <c r="C8608" s="184"/>
      <c r="D8608" s="184"/>
      <c r="E8608" s="184"/>
      <c r="F8608" s="184"/>
      <c r="G8608" s="184"/>
      <c r="H8608" s="184"/>
      <c r="I8608" s="184"/>
      <c r="J8608" s="184"/>
      <c r="K8608" s="184"/>
      <c r="L8608" s="184"/>
      <c r="M8608" s="184"/>
      <c r="N8608" s="184"/>
      <c r="O8608" s="184"/>
    </row>
    <row r="8609" customFormat="false" ht="15" hidden="false" customHeight="true" outlineLevel="0" collapsed="false">
      <c r="A8609" s="184"/>
      <c r="B8609" s="184"/>
      <c r="C8609" s="184"/>
      <c r="D8609" s="184"/>
      <c r="E8609" s="184"/>
      <c r="F8609" s="184"/>
      <c r="G8609" s="184"/>
      <c r="H8609" s="184"/>
      <c r="I8609" s="184"/>
      <c r="J8609" s="184"/>
      <c r="K8609" s="184"/>
      <c r="L8609" s="184"/>
      <c r="M8609" s="184"/>
      <c r="N8609" s="184"/>
      <c r="O8609" s="184"/>
    </row>
    <row r="8610" customFormat="false" ht="15" hidden="false" customHeight="true" outlineLevel="0" collapsed="false">
      <c r="A8610" s="184"/>
      <c r="B8610" s="184"/>
      <c r="C8610" s="184"/>
      <c r="D8610" s="184"/>
      <c r="E8610" s="184"/>
      <c r="F8610" s="184"/>
      <c r="G8610" s="184"/>
      <c r="H8610" s="184"/>
      <c r="I8610" s="184"/>
      <c r="J8610" s="184"/>
      <c r="K8610" s="184"/>
      <c r="L8610" s="184"/>
      <c r="M8610" s="184"/>
      <c r="N8610" s="184"/>
      <c r="O8610" s="184"/>
    </row>
    <row r="8611" customFormat="false" ht="15" hidden="false" customHeight="true" outlineLevel="0" collapsed="false">
      <c r="A8611" s="184"/>
      <c r="B8611" s="184"/>
      <c r="C8611" s="184"/>
      <c r="D8611" s="184"/>
      <c r="E8611" s="184"/>
      <c r="F8611" s="184"/>
      <c r="G8611" s="184"/>
      <c r="H8611" s="184"/>
      <c r="I8611" s="184"/>
      <c r="J8611" s="184"/>
      <c r="K8611" s="184"/>
      <c r="L8611" s="184"/>
      <c r="M8611" s="184"/>
      <c r="N8611" s="184"/>
      <c r="O8611" s="184"/>
    </row>
    <row r="8612" customFormat="false" ht="15" hidden="false" customHeight="true" outlineLevel="0" collapsed="false">
      <c r="A8612" s="184"/>
      <c r="B8612" s="184"/>
      <c r="C8612" s="184"/>
      <c r="D8612" s="184"/>
      <c r="E8612" s="184"/>
      <c r="F8612" s="184"/>
      <c r="G8612" s="184"/>
      <c r="H8612" s="184"/>
      <c r="I8612" s="184"/>
      <c r="J8612" s="184"/>
      <c r="K8612" s="184"/>
      <c r="L8612" s="184"/>
      <c r="M8612" s="184"/>
      <c r="N8612" s="184"/>
      <c r="O8612" s="184"/>
    </row>
    <row r="8613" customFormat="false" ht="15" hidden="false" customHeight="true" outlineLevel="0" collapsed="false">
      <c r="A8613" s="184"/>
      <c r="B8613" s="184"/>
      <c r="C8613" s="184"/>
      <c r="D8613" s="184"/>
      <c r="E8613" s="184"/>
      <c r="F8613" s="184"/>
      <c r="G8613" s="184"/>
      <c r="H8613" s="184"/>
      <c r="I8613" s="184"/>
      <c r="J8613" s="184"/>
      <c r="K8613" s="184"/>
      <c r="L8613" s="184"/>
      <c r="M8613" s="184"/>
      <c r="N8613" s="184"/>
      <c r="O8613" s="184"/>
    </row>
    <row r="8614" customFormat="false" ht="15" hidden="false" customHeight="true" outlineLevel="0" collapsed="false">
      <c r="A8614" s="184"/>
      <c r="B8614" s="184"/>
      <c r="C8614" s="184"/>
      <c r="D8614" s="184"/>
      <c r="E8614" s="184"/>
      <c r="F8614" s="184"/>
      <c r="G8614" s="184"/>
      <c r="H8614" s="184"/>
      <c r="I8614" s="184"/>
      <c r="J8614" s="184"/>
      <c r="K8614" s="184"/>
      <c r="L8614" s="184"/>
      <c r="M8614" s="184"/>
      <c r="N8614" s="184"/>
      <c r="O8614" s="184"/>
    </row>
    <row r="8615" customFormat="false" ht="15" hidden="false" customHeight="true" outlineLevel="0" collapsed="false">
      <c r="A8615" s="184"/>
      <c r="B8615" s="184"/>
      <c r="C8615" s="184"/>
      <c r="D8615" s="184"/>
      <c r="E8615" s="184"/>
      <c r="F8615" s="184"/>
      <c r="G8615" s="184"/>
      <c r="H8615" s="184"/>
      <c r="I8615" s="184"/>
      <c r="J8615" s="184"/>
      <c r="K8615" s="184"/>
      <c r="L8615" s="184"/>
      <c r="M8615" s="184"/>
      <c r="N8615" s="184"/>
      <c r="O8615" s="184"/>
    </row>
    <row r="8616" customFormat="false" ht="15" hidden="false" customHeight="true" outlineLevel="0" collapsed="false">
      <c r="A8616" s="184"/>
      <c r="B8616" s="184"/>
      <c r="C8616" s="184"/>
      <c r="D8616" s="184"/>
      <c r="E8616" s="184"/>
      <c r="F8616" s="184"/>
      <c r="G8616" s="184"/>
      <c r="H8616" s="184"/>
      <c r="I8616" s="184"/>
      <c r="J8616" s="184"/>
      <c r="K8616" s="184"/>
      <c r="L8616" s="184"/>
      <c r="M8616" s="184"/>
      <c r="N8616" s="184"/>
      <c r="O8616" s="184"/>
    </row>
    <row r="8617" customFormat="false" ht="15" hidden="false" customHeight="true" outlineLevel="0" collapsed="false">
      <c r="A8617" s="184"/>
      <c r="B8617" s="184"/>
      <c r="C8617" s="184"/>
      <c r="D8617" s="184"/>
      <c r="E8617" s="184"/>
      <c r="F8617" s="184"/>
      <c r="G8617" s="184"/>
      <c r="H8617" s="184"/>
      <c r="I8617" s="184"/>
      <c r="J8617" s="184"/>
      <c r="K8617" s="184"/>
      <c r="L8617" s="184"/>
      <c r="M8617" s="184"/>
      <c r="N8617" s="184"/>
      <c r="O8617" s="184"/>
    </row>
    <row r="8618" customFormat="false" ht="15" hidden="false" customHeight="true" outlineLevel="0" collapsed="false">
      <c r="A8618" s="184"/>
      <c r="B8618" s="184"/>
      <c r="C8618" s="184"/>
      <c r="D8618" s="184"/>
      <c r="E8618" s="184"/>
      <c r="F8618" s="184"/>
      <c r="G8618" s="184"/>
      <c r="H8618" s="184"/>
      <c r="I8618" s="184"/>
      <c r="J8618" s="184"/>
      <c r="K8618" s="184"/>
      <c r="L8618" s="184"/>
      <c r="M8618" s="184"/>
      <c r="N8618" s="184"/>
      <c r="O8618" s="184"/>
    </row>
    <row r="8619" customFormat="false" ht="15" hidden="false" customHeight="true" outlineLevel="0" collapsed="false">
      <c r="A8619" s="184"/>
      <c r="B8619" s="184"/>
      <c r="C8619" s="184"/>
      <c r="D8619" s="184"/>
      <c r="E8619" s="184"/>
      <c r="F8619" s="184"/>
      <c r="G8619" s="184"/>
      <c r="H8619" s="184"/>
      <c r="I8619" s="184"/>
      <c r="J8619" s="184"/>
      <c r="K8619" s="184"/>
      <c r="L8619" s="184"/>
      <c r="M8619" s="184"/>
      <c r="N8619" s="184"/>
      <c r="O8619" s="184"/>
    </row>
    <row r="8620" customFormat="false" ht="15" hidden="false" customHeight="true" outlineLevel="0" collapsed="false">
      <c r="A8620" s="184"/>
      <c r="B8620" s="184"/>
      <c r="C8620" s="184"/>
      <c r="D8620" s="184"/>
      <c r="E8620" s="184"/>
      <c r="F8620" s="184"/>
      <c r="G8620" s="184"/>
      <c r="H8620" s="184"/>
      <c r="I8620" s="184"/>
      <c r="J8620" s="184"/>
      <c r="K8620" s="184"/>
      <c r="L8620" s="184"/>
      <c r="M8620" s="184"/>
      <c r="N8620" s="184"/>
      <c r="O8620" s="184"/>
    </row>
    <row r="8621" customFormat="false" ht="15" hidden="false" customHeight="true" outlineLevel="0" collapsed="false">
      <c r="A8621" s="184"/>
      <c r="B8621" s="184"/>
      <c r="C8621" s="184"/>
      <c r="D8621" s="184"/>
      <c r="E8621" s="184"/>
      <c r="F8621" s="184"/>
      <c r="G8621" s="184"/>
      <c r="H8621" s="184"/>
      <c r="I8621" s="184"/>
      <c r="J8621" s="184"/>
      <c r="K8621" s="184"/>
      <c r="L8621" s="184"/>
      <c r="M8621" s="184"/>
      <c r="N8621" s="184"/>
      <c r="O8621" s="184"/>
    </row>
    <row r="8622" customFormat="false" ht="15" hidden="false" customHeight="true" outlineLevel="0" collapsed="false">
      <c r="A8622" s="184"/>
      <c r="B8622" s="184"/>
      <c r="C8622" s="184"/>
      <c r="D8622" s="184"/>
      <c r="E8622" s="184"/>
      <c r="F8622" s="184"/>
      <c r="G8622" s="184"/>
      <c r="H8622" s="184"/>
      <c r="I8622" s="184"/>
      <c r="J8622" s="184"/>
      <c r="K8622" s="184"/>
      <c r="L8622" s="184"/>
      <c r="M8622" s="184"/>
      <c r="N8622" s="184"/>
      <c r="O8622" s="184"/>
    </row>
    <row r="8623" customFormat="false" ht="15" hidden="false" customHeight="true" outlineLevel="0" collapsed="false">
      <c r="A8623" s="184"/>
      <c r="B8623" s="184"/>
      <c r="C8623" s="184"/>
      <c r="D8623" s="184"/>
      <c r="E8623" s="184"/>
      <c r="F8623" s="184"/>
      <c r="G8623" s="184"/>
      <c r="H8623" s="184"/>
      <c r="I8623" s="184"/>
      <c r="J8623" s="184"/>
      <c r="K8623" s="184"/>
      <c r="L8623" s="184"/>
      <c r="M8623" s="184"/>
      <c r="N8623" s="184"/>
      <c r="O8623" s="184"/>
    </row>
    <row r="8624" customFormat="false" ht="15" hidden="false" customHeight="true" outlineLevel="0" collapsed="false">
      <c r="A8624" s="184"/>
      <c r="B8624" s="184"/>
      <c r="C8624" s="184"/>
      <c r="D8624" s="184"/>
      <c r="E8624" s="184"/>
      <c r="F8624" s="184"/>
      <c r="G8624" s="184"/>
      <c r="H8624" s="184"/>
      <c r="I8624" s="184"/>
      <c r="J8624" s="184"/>
      <c r="K8624" s="184"/>
      <c r="L8624" s="184"/>
      <c r="M8624" s="184"/>
      <c r="N8624" s="184"/>
      <c r="O8624" s="184"/>
    </row>
    <row r="8625" customFormat="false" ht="15" hidden="false" customHeight="true" outlineLevel="0" collapsed="false">
      <c r="A8625" s="184"/>
      <c r="B8625" s="184"/>
      <c r="C8625" s="184"/>
      <c r="D8625" s="184"/>
      <c r="E8625" s="184"/>
      <c r="F8625" s="184"/>
      <c r="G8625" s="184"/>
      <c r="H8625" s="184"/>
      <c r="I8625" s="184"/>
      <c r="J8625" s="184"/>
      <c r="K8625" s="184"/>
      <c r="L8625" s="184"/>
      <c r="M8625" s="184"/>
      <c r="N8625" s="184"/>
      <c r="O8625" s="184"/>
    </row>
    <row r="8626" customFormat="false" ht="15" hidden="false" customHeight="true" outlineLevel="0" collapsed="false">
      <c r="A8626" s="184"/>
      <c r="B8626" s="184"/>
      <c r="C8626" s="184"/>
      <c r="D8626" s="184"/>
      <c r="E8626" s="184"/>
      <c r="F8626" s="184"/>
      <c r="G8626" s="184"/>
      <c r="H8626" s="184"/>
      <c r="I8626" s="184"/>
      <c r="J8626" s="184"/>
      <c r="K8626" s="184"/>
      <c r="L8626" s="184"/>
      <c r="M8626" s="184"/>
      <c r="N8626" s="184"/>
      <c r="O8626" s="184"/>
    </row>
    <row r="8627" customFormat="false" ht="15" hidden="false" customHeight="true" outlineLevel="0" collapsed="false">
      <c r="A8627" s="184"/>
      <c r="B8627" s="184"/>
      <c r="C8627" s="184"/>
      <c r="D8627" s="184"/>
      <c r="E8627" s="184"/>
      <c r="F8627" s="184"/>
      <c r="G8627" s="184"/>
      <c r="H8627" s="184"/>
      <c r="I8627" s="184"/>
      <c r="J8627" s="184"/>
      <c r="K8627" s="184"/>
      <c r="L8627" s="184"/>
      <c r="M8627" s="184"/>
      <c r="N8627" s="184"/>
      <c r="O8627" s="184"/>
    </row>
    <row r="8628" customFormat="false" ht="15" hidden="false" customHeight="true" outlineLevel="0" collapsed="false">
      <c r="A8628" s="184"/>
      <c r="B8628" s="184"/>
      <c r="C8628" s="184"/>
      <c r="D8628" s="184"/>
      <c r="E8628" s="184"/>
      <c r="F8628" s="184"/>
      <c r="G8628" s="184"/>
      <c r="H8628" s="184"/>
      <c r="I8628" s="184"/>
      <c r="J8628" s="184"/>
      <c r="K8628" s="184"/>
      <c r="L8628" s="184"/>
      <c r="M8628" s="184"/>
      <c r="N8628" s="184"/>
      <c r="O8628" s="184"/>
    </row>
    <row r="8629" customFormat="false" ht="15" hidden="false" customHeight="true" outlineLevel="0" collapsed="false">
      <c r="A8629" s="184"/>
      <c r="B8629" s="184"/>
      <c r="C8629" s="184"/>
      <c r="D8629" s="184"/>
      <c r="E8629" s="184"/>
      <c r="F8629" s="184"/>
      <c r="G8629" s="184"/>
      <c r="H8629" s="184"/>
      <c r="I8629" s="184"/>
      <c r="J8629" s="184"/>
      <c r="K8629" s="184"/>
      <c r="L8629" s="184"/>
      <c r="M8629" s="184"/>
      <c r="N8629" s="184"/>
      <c r="O8629" s="184"/>
    </row>
    <row r="8630" customFormat="false" ht="15" hidden="false" customHeight="true" outlineLevel="0" collapsed="false">
      <c r="A8630" s="184"/>
      <c r="B8630" s="184"/>
      <c r="C8630" s="184"/>
      <c r="D8630" s="184"/>
      <c r="E8630" s="184"/>
      <c r="F8630" s="184"/>
      <c r="G8630" s="184"/>
      <c r="H8630" s="184"/>
      <c r="I8630" s="184"/>
      <c r="J8630" s="184"/>
      <c r="K8630" s="184"/>
      <c r="L8630" s="184"/>
      <c r="M8630" s="184"/>
      <c r="N8630" s="184"/>
      <c r="O8630" s="184"/>
    </row>
    <row r="8631" customFormat="false" ht="15" hidden="false" customHeight="true" outlineLevel="0" collapsed="false">
      <c r="A8631" s="184"/>
      <c r="B8631" s="184"/>
      <c r="C8631" s="184"/>
      <c r="D8631" s="184"/>
      <c r="E8631" s="184"/>
      <c r="F8631" s="184"/>
      <c r="G8631" s="184"/>
      <c r="H8631" s="184"/>
      <c r="I8631" s="184"/>
      <c r="J8631" s="184"/>
      <c r="K8631" s="184"/>
      <c r="L8631" s="184"/>
      <c r="M8631" s="184"/>
      <c r="N8631" s="184"/>
      <c r="O8631" s="184"/>
    </row>
    <row r="8632" customFormat="false" ht="15" hidden="false" customHeight="true" outlineLevel="0" collapsed="false">
      <c r="A8632" s="184"/>
      <c r="B8632" s="184"/>
      <c r="C8632" s="184"/>
      <c r="D8632" s="184"/>
      <c r="E8632" s="184"/>
      <c r="F8632" s="184"/>
      <c r="G8632" s="184"/>
      <c r="H8632" s="184"/>
      <c r="I8632" s="184"/>
      <c r="J8632" s="184"/>
      <c r="K8632" s="184"/>
      <c r="L8632" s="184"/>
      <c r="M8632" s="184"/>
      <c r="N8632" s="184"/>
      <c r="O8632" s="184"/>
    </row>
    <row r="8633" customFormat="false" ht="15" hidden="false" customHeight="true" outlineLevel="0" collapsed="false">
      <c r="A8633" s="184"/>
      <c r="B8633" s="184"/>
      <c r="C8633" s="184"/>
      <c r="D8633" s="184"/>
      <c r="E8633" s="184"/>
      <c r="F8633" s="184"/>
      <c r="G8633" s="184"/>
      <c r="H8633" s="184"/>
      <c r="I8633" s="184"/>
      <c r="J8633" s="184"/>
      <c r="K8633" s="184"/>
      <c r="L8633" s="184"/>
      <c r="M8633" s="184"/>
      <c r="N8633" s="184"/>
      <c r="O8633" s="184"/>
    </row>
    <row r="8634" customFormat="false" ht="15" hidden="false" customHeight="true" outlineLevel="0" collapsed="false">
      <c r="A8634" s="184"/>
      <c r="B8634" s="184"/>
      <c r="C8634" s="184"/>
      <c r="D8634" s="184"/>
      <c r="E8634" s="184"/>
      <c r="F8634" s="184"/>
      <c r="G8634" s="184"/>
      <c r="H8634" s="184"/>
      <c r="I8634" s="184"/>
      <c r="J8634" s="184"/>
      <c r="K8634" s="184"/>
      <c r="L8634" s="184"/>
      <c r="M8634" s="184"/>
      <c r="N8634" s="184"/>
      <c r="O8634" s="184"/>
    </row>
    <row r="8635" customFormat="false" ht="15" hidden="false" customHeight="true" outlineLevel="0" collapsed="false">
      <c r="A8635" s="184"/>
      <c r="B8635" s="184"/>
      <c r="C8635" s="184"/>
      <c r="D8635" s="184"/>
      <c r="E8635" s="184"/>
      <c r="F8635" s="184"/>
      <c r="G8635" s="184"/>
      <c r="H8635" s="184"/>
      <c r="I8635" s="184"/>
      <c r="J8635" s="184"/>
      <c r="K8635" s="184"/>
      <c r="L8635" s="184"/>
      <c r="M8635" s="184"/>
      <c r="N8635" s="184"/>
      <c r="O8635" s="184"/>
    </row>
    <row r="8636" customFormat="false" ht="15" hidden="false" customHeight="true" outlineLevel="0" collapsed="false">
      <c r="A8636" s="184"/>
      <c r="B8636" s="184"/>
      <c r="C8636" s="184"/>
      <c r="D8636" s="184"/>
      <c r="E8636" s="184"/>
      <c r="F8636" s="184"/>
      <c r="G8636" s="184"/>
      <c r="H8636" s="184"/>
      <c r="I8636" s="184"/>
      <c r="J8636" s="184"/>
      <c r="K8636" s="184"/>
      <c r="L8636" s="184"/>
      <c r="M8636" s="184"/>
      <c r="N8636" s="184"/>
      <c r="O8636" s="184"/>
    </row>
    <row r="8637" customFormat="false" ht="15" hidden="false" customHeight="true" outlineLevel="0" collapsed="false">
      <c r="A8637" s="184"/>
      <c r="B8637" s="184"/>
      <c r="C8637" s="184"/>
      <c r="D8637" s="184"/>
      <c r="E8637" s="184"/>
      <c r="F8637" s="184"/>
      <c r="G8637" s="184"/>
      <c r="H8637" s="184"/>
      <c r="I8637" s="184"/>
      <c r="J8637" s="184"/>
      <c r="K8637" s="184"/>
      <c r="L8637" s="184"/>
      <c r="M8637" s="184"/>
      <c r="N8637" s="184"/>
      <c r="O8637" s="184"/>
    </row>
    <row r="8638" customFormat="false" ht="15" hidden="false" customHeight="true" outlineLevel="0" collapsed="false">
      <c r="A8638" s="184"/>
      <c r="B8638" s="184"/>
      <c r="C8638" s="184"/>
      <c r="D8638" s="184"/>
      <c r="E8638" s="184"/>
      <c r="F8638" s="184"/>
      <c r="G8638" s="184"/>
      <c r="H8638" s="184"/>
      <c r="I8638" s="184"/>
      <c r="J8638" s="184"/>
      <c r="K8638" s="184"/>
      <c r="L8638" s="184"/>
      <c r="M8638" s="184"/>
      <c r="N8638" s="184"/>
      <c r="O8638" s="184"/>
    </row>
    <row r="8639" customFormat="false" ht="15" hidden="false" customHeight="true" outlineLevel="0" collapsed="false">
      <c r="A8639" s="184"/>
      <c r="B8639" s="184"/>
      <c r="C8639" s="184"/>
      <c r="D8639" s="184"/>
      <c r="E8639" s="184"/>
      <c r="F8639" s="184"/>
      <c r="G8639" s="184"/>
      <c r="H8639" s="184"/>
      <c r="I8639" s="184"/>
      <c r="J8639" s="184"/>
      <c r="K8639" s="184"/>
      <c r="L8639" s="184"/>
      <c r="M8639" s="184"/>
      <c r="N8639" s="184"/>
      <c r="O8639" s="184"/>
    </row>
    <row r="8640" customFormat="false" ht="15" hidden="false" customHeight="true" outlineLevel="0" collapsed="false">
      <c r="A8640" s="184"/>
      <c r="B8640" s="184"/>
      <c r="C8640" s="184"/>
      <c r="D8640" s="184"/>
      <c r="E8640" s="184"/>
      <c r="F8640" s="184"/>
      <c r="G8640" s="184"/>
      <c r="H8640" s="184"/>
      <c r="I8640" s="184"/>
      <c r="J8640" s="184"/>
      <c r="K8640" s="184"/>
      <c r="L8640" s="184"/>
      <c r="M8640" s="184"/>
      <c r="N8640" s="184"/>
      <c r="O8640" s="184"/>
    </row>
    <row r="8641" customFormat="false" ht="15" hidden="false" customHeight="true" outlineLevel="0" collapsed="false">
      <c r="A8641" s="184"/>
      <c r="B8641" s="184"/>
      <c r="C8641" s="184"/>
      <c r="D8641" s="184"/>
      <c r="E8641" s="184"/>
      <c r="F8641" s="184"/>
      <c r="G8641" s="184"/>
      <c r="H8641" s="184"/>
      <c r="I8641" s="184"/>
      <c r="J8641" s="184"/>
      <c r="K8641" s="184"/>
      <c r="L8641" s="184"/>
      <c r="M8641" s="184"/>
      <c r="N8641" s="184"/>
      <c r="O8641" s="184"/>
    </row>
    <row r="8642" customFormat="false" ht="15" hidden="false" customHeight="true" outlineLevel="0" collapsed="false">
      <c r="A8642" s="184"/>
      <c r="B8642" s="184"/>
      <c r="C8642" s="184"/>
      <c r="D8642" s="184"/>
      <c r="E8642" s="184"/>
      <c r="F8642" s="184"/>
      <c r="G8642" s="184"/>
      <c r="H8642" s="184"/>
      <c r="I8642" s="184"/>
      <c r="J8642" s="184"/>
      <c r="K8642" s="184"/>
      <c r="L8642" s="184"/>
      <c r="M8642" s="184"/>
      <c r="N8642" s="184"/>
      <c r="O8642" s="184"/>
    </row>
    <row r="8643" customFormat="false" ht="15" hidden="false" customHeight="true" outlineLevel="0" collapsed="false">
      <c r="A8643" s="184"/>
      <c r="B8643" s="184"/>
      <c r="C8643" s="184"/>
      <c r="D8643" s="184"/>
      <c r="E8643" s="184"/>
      <c r="F8643" s="184"/>
      <c r="G8643" s="184"/>
      <c r="H8643" s="184"/>
      <c r="I8643" s="184"/>
      <c r="J8643" s="184"/>
      <c r="K8643" s="184"/>
      <c r="L8643" s="184"/>
      <c r="M8643" s="184"/>
      <c r="N8643" s="184"/>
      <c r="O8643" s="184"/>
    </row>
    <row r="8644" customFormat="false" ht="15" hidden="false" customHeight="true" outlineLevel="0" collapsed="false">
      <c r="A8644" s="184"/>
      <c r="B8644" s="184"/>
      <c r="C8644" s="184"/>
      <c r="D8644" s="184"/>
      <c r="E8644" s="184"/>
      <c r="F8644" s="184"/>
      <c r="G8644" s="184"/>
      <c r="H8644" s="184"/>
      <c r="I8644" s="184"/>
      <c r="J8644" s="184"/>
      <c r="K8644" s="184"/>
      <c r="L8644" s="184"/>
      <c r="M8644" s="184"/>
      <c r="N8644" s="184"/>
      <c r="O8644" s="184"/>
    </row>
    <row r="8645" customFormat="false" ht="15" hidden="false" customHeight="true" outlineLevel="0" collapsed="false">
      <c r="A8645" s="184"/>
      <c r="B8645" s="184"/>
      <c r="C8645" s="184"/>
      <c r="D8645" s="184"/>
      <c r="E8645" s="184"/>
      <c r="F8645" s="184"/>
      <c r="G8645" s="184"/>
      <c r="H8645" s="184"/>
      <c r="I8645" s="184"/>
      <c r="J8645" s="184"/>
      <c r="K8645" s="184"/>
      <c r="L8645" s="184"/>
      <c r="M8645" s="184"/>
      <c r="N8645" s="184"/>
      <c r="O8645" s="184"/>
    </row>
    <row r="8646" customFormat="false" ht="15" hidden="false" customHeight="true" outlineLevel="0" collapsed="false">
      <c r="A8646" s="184"/>
      <c r="B8646" s="184"/>
      <c r="C8646" s="184"/>
      <c r="D8646" s="184"/>
      <c r="E8646" s="184"/>
      <c r="F8646" s="184"/>
      <c r="G8646" s="184"/>
      <c r="H8646" s="184"/>
      <c r="I8646" s="184"/>
      <c r="J8646" s="184"/>
      <c r="K8646" s="184"/>
      <c r="L8646" s="184"/>
      <c r="M8646" s="184"/>
      <c r="N8646" s="184"/>
      <c r="O8646" s="184"/>
    </row>
    <row r="8647" customFormat="false" ht="15" hidden="false" customHeight="true" outlineLevel="0" collapsed="false">
      <c r="A8647" s="184"/>
      <c r="B8647" s="184"/>
      <c r="C8647" s="184"/>
      <c r="D8647" s="184"/>
      <c r="E8647" s="184"/>
      <c r="F8647" s="184"/>
      <c r="G8647" s="184"/>
      <c r="H8647" s="184"/>
      <c r="I8647" s="184"/>
      <c r="J8647" s="184"/>
      <c r="K8647" s="184"/>
      <c r="L8647" s="184"/>
      <c r="M8647" s="184"/>
      <c r="N8647" s="184"/>
      <c r="O8647" s="184"/>
    </row>
    <row r="8648" customFormat="false" ht="15" hidden="false" customHeight="true" outlineLevel="0" collapsed="false">
      <c r="A8648" s="184"/>
      <c r="B8648" s="184"/>
      <c r="C8648" s="184"/>
      <c r="D8648" s="184"/>
      <c r="E8648" s="184"/>
      <c r="F8648" s="184"/>
      <c r="G8648" s="184"/>
      <c r="H8648" s="184"/>
      <c r="I8648" s="184"/>
      <c r="J8648" s="184"/>
      <c r="K8648" s="184"/>
      <c r="L8648" s="184"/>
      <c r="M8648" s="184"/>
      <c r="N8648" s="184"/>
      <c r="O8648" s="184"/>
    </row>
    <row r="8649" customFormat="false" ht="15" hidden="false" customHeight="true" outlineLevel="0" collapsed="false">
      <c r="A8649" s="184"/>
      <c r="B8649" s="184"/>
      <c r="C8649" s="184"/>
      <c r="D8649" s="184"/>
      <c r="E8649" s="184"/>
      <c r="F8649" s="184"/>
      <c r="G8649" s="184"/>
      <c r="H8649" s="184"/>
      <c r="I8649" s="184"/>
      <c r="J8649" s="184"/>
      <c r="K8649" s="184"/>
      <c r="L8649" s="184"/>
      <c r="M8649" s="184"/>
      <c r="N8649" s="184"/>
      <c r="O8649" s="184"/>
    </row>
    <row r="8650" customFormat="false" ht="15" hidden="false" customHeight="true" outlineLevel="0" collapsed="false">
      <c r="A8650" s="184"/>
      <c r="B8650" s="184"/>
      <c r="C8650" s="184"/>
      <c r="D8650" s="184"/>
      <c r="E8650" s="184"/>
      <c r="F8650" s="184"/>
      <c r="G8650" s="184"/>
      <c r="H8650" s="184"/>
      <c r="I8650" s="184"/>
      <c r="J8650" s="184"/>
      <c r="K8650" s="184"/>
      <c r="L8650" s="184"/>
      <c r="M8650" s="184"/>
      <c r="N8650" s="184"/>
      <c r="O8650" s="184"/>
    </row>
    <row r="8651" customFormat="false" ht="15" hidden="false" customHeight="true" outlineLevel="0" collapsed="false">
      <c r="A8651" s="184"/>
      <c r="B8651" s="184"/>
      <c r="C8651" s="184"/>
      <c r="D8651" s="184"/>
      <c r="E8651" s="184"/>
      <c r="F8651" s="184"/>
      <c r="G8651" s="184"/>
      <c r="H8651" s="184"/>
      <c r="I8651" s="184"/>
      <c r="J8651" s="184"/>
      <c r="K8651" s="184"/>
      <c r="L8651" s="184"/>
      <c r="M8651" s="184"/>
      <c r="N8651" s="184"/>
      <c r="O8651" s="184"/>
    </row>
    <row r="8652" customFormat="false" ht="15" hidden="false" customHeight="true" outlineLevel="0" collapsed="false">
      <c r="A8652" s="184"/>
      <c r="B8652" s="184"/>
      <c r="C8652" s="184"/>
      <c r="D8652" s="184"/>
      <c r="E8652" s="184"/>
      <c r="F8652" s="184"/>
      <c r="G8652" s="184"/>
      <c r="H8652" s="184"/>
      <c r="I8652" s="184"/>
      <c r="J8652" s="184"/>
      <c r="K8652" s="184"/>
      <c r="L8652" s="184"/>
      <c r="M8652" s="184"/>
      <c r="N8652" s="184"/>
      <c r="O8652" s="184"/>
    </row>
    <row r="8653" customFormat="false" ht="15" hidden="false" customHeight="true" outlineLevel="0" collapsed="false">
      <c r="A8653" s="184"/>
      <c r="B8653" s="184"/>
      <c r="C8653" s="184"/>
      <c r="D8653" s="184"/>
      <c r="E8653" s="184"/>
      <c r="F8653" s="184"/>
      <c r="G8653" s="184"/>
      <c r="H8653" s="184"/>
      <c r="I8653" s="184"/>
      <c r="J8653" s="184"/>
      <c r="K8653" s="184"/>
      <c r="L8653" s="184"/>
      <c r="M8653" s="184"/>
      <c r="N8653" s="184"/>
      <c r="O8653" s="184"/>
    </row>
    <row r="8654" customFormat="false" ht="15" hidden="false" customHeight="true" outlineLevel="0" collapsed="false">
      <c r="A8654" s="184"/>
      <c r="B8654" s="184"/>
      <c r="C8654" s="184"/>
      <c r="D8654" s="184"/>
      <c r="E8654" s="184"/>
      <c r="F8654" s="184"/>
      <c r="G8654" s="184"/>
      <c r="H8654" s="184"/>
      <c r="I8654" s="184"/>
      <c r="J8654" s="184"/>
      <c r="K8654" s="184"/>
      <c r="L8654" s="184"/>
      <c r="M8654" s="184"/>
      <c r="N8654" s="184"/>
      <c r="O8654" s="184"/>
    </row>
    <row r="8655" customFormat="false" ht="15" hidden="false" customHeight="true" outlineLevel="0" collapsed="false">
      <c r="A8655" s="184"/>
      <c r="B8655" s="184"/>
      <c r="C8655" s="184"/>
      <c r="D8655" s="184"/>
      <c r="E8655" s="184"/>
      <c r="F8655" s="184"/>
      <c r="G8655" s="184"/>
      <c r="H8655" s="184"/>
      <c r="I8655" s="184"/>
      <c r="J8655" s="184"/>
      <c r="K8655" s="184"/>
      <c r="L8655" s="184"/>
      <c r="M8655" s="184"/>
      <c r="N8655" s="184"/>
      <c r="O8655" s="184"/>
    </row>
    <row r="8656" customFormat="false" ht="15" hidden="false" customHeight="true" outlineLevel="0" collapsed="false">
      <c r="A8656" s="184"/>
      <c r="B8656" s="184"/>
      <c r="C8656" s="184"/>
      <c r="D8656" s="184"/>
      <c r="E8656" s="184"/>
      <c r="F8656" s="184"/>
      <c r="G8656" s="184"/>
      <c r="H8656" s="184"/>
      <c r="I8656" s="184"/>
      <c r="J8656" s="184"/>
      <c r="K8656" s="184"/>
      <c r="L8656" s="184"/>
      <c r="M8656" s="184"/>
      <c r="N8656" s="184"/>
      <c r="O8656" s="184"/>
    </row>
    <row r="8657" customFormat="false" ht="15" hidden="false" customHeight="true" outlineLevel="0" collapsed="false">
      <c r="A8657" s="184"/>
      <c r="B8657" s="184"/>
      <c r="C8657" s="184"/>
      <c r="D8657" s="184"/>
      <c r="E8657" s="184"/>
      <c r="F8657" s="184"/>
      <c r="G8657" s="184"/>
      <c r="H8657" s="184"/>
      <c r="I8657" s="184"/>
      <c r="J8657" s="184"/>
      <c r="K8657" s="184"/>
      <c r="L8657" s="184"/>
      <c r="M8657" s="184"/>
      <c r="N8657" s="184"/>
      <c r="O8657" s="184"/>
    </row>
    <row r="8658" customFormat="false" ht="15" hidden="false" customHeight="true" outlineLevel="0" collapsed="false">
      <c r="A8658" s="184"/>
      <c r="B8658" s="184"/>
      <c r="C8658" s="184"/>
      <c r="D8658" s="184"/>
      <c r="E8658" s="184"/>
      <c r="F8658" s="184"/>
      <c r="G8658" s="184"/>
      <c r="H8658" s="184"/>
      <c r="I8658" s="184"/>
      <c r="J8658" s="184"/>
      <c r="K8658" s="184"/>
      <c r="L8658" s="184"/>
      <c r="M8658" s="184"/>
      <c r="N8658" s="184"/>
      <c r="O8658" s="184"/>
    </row>
    <row r="8659" customFormat="false" ht="15" hidden="false" customHeight="true" outlineLevel="0" collapsed="false">
      <c r="A8659" s="184"/>
      <c r="B8659" s="184"/>
      <c r="C8659" s="184"/>
      <c r="D8659" s="184"/>
      <c r="E8659" s="184"/>
      <c r="F8659" s="184"/>
      <c r="G8659" s="184"/>
      <c r="H8659" s="184"/>
      <c r="I8659" s="184"/>
      <c r="J8659" s="184"/>
      <c r="K8659" s="184"/>
      <c r="L8659" s="184"/>
      <c r="M8659" s="184"/>
      <c r="N8659" s="184"/>
      <c r="O8659" s="184"/>
    </row>
    <row r="8660" customFormat="false" ht="15" hidden="false" customHeight="true" outlineLevel="0" collapsed="false">
      <c r="A8660" s="184"/>
      <c r="B8660" s="184"/>
      <c r="C8660" s="184"/>
      <c r="D8660" s="184"/>
      <c r="E8660" s="184"/>
      <c r="F8660" s="184"/>
      <c r="G8660" s="184"/>
      <c r="H8660" s="184"/>
      <c r="I8660" s="184"/>
      <c r="J8660" s="184"/>
      <c r="K8660" s="184"/>
      <c r="L8660" s="184"/>
      <c r="M8660" s="184"/>
      <c r="N8660" s="184"/>
      <c r="O8660" s="184"/>
    </row>
    <row r="8661" customFormat="false" ht="15" hidden="false" customHeight="true" outlineLevel="0" collapsed="false">
      <c r="A8661" s="184"/>
      <c r="B8661" s="184"/>
      <c r="C8661" s="184"/>
      <c r="D8661" s="184"/>
      <c r="E8661" s="184"/>
      <c r="F8661" s="184"/>
      <c r="G8661" s="184"/>
      <c r="H8661" s="184"/>
      <c r="I8661" s="184"/>
      <c r="J8661" s="184"/>
      <c r="K8661" s="184"/>
      <c r="L8661" s="184"/>
      <c r="M8661" s="184"/>
      <c r="N8661" s="184"/>
      <c r="O8661" s="184"/>
    </row>
    <row r="8662" customFormat="false" ht="15" hidden="false" customHeight="true" outlineLevel="0" collapsed="false">
      <c r="A8662" s="184"/>
      <c r="B8662" s="184"/>
      <c r="C8662" s="184"/>
      <c r="D8662" s="184"/>
      <c r="E8662" s="184"/>
      <c r="F8662" s="184"/>
      <c r="G8662" s="184"/>
      <c r="H8662" s="184"/>
      <c r="I8662" s="184"/>
      <c r="J8662" s="184"/>
      <c r="K8662" s="184"/>
      <c r="L8662" s="184"/>
      <c r="M8662" s="184"/>
      <c r="N8662" s="184"/>
      <c r="O8662" s="184"/>
    </row>
    <row r="8663" customFormat="false" ht="15" hidden="false" customHeight="true" outlineLevel="0" collapsed="false">
      <c r="A8663" s="184"/>
      <c r="B8663" s="184"/>
      <c r="C8663" s="184"/>
      <c r="D8663" s="184"/>
      <c r="E8663" s="184"/>
      <c r="F8663" s="184"/>
      <c r="G8663" s="184"/>
      <c r="H8663" s="184"/>
      <c r="I8663" s="184"/>
      <c r="J8663" s="184"/>
      <c r="K8663" s="184"/>
      <c r="L8663" s="184"/>
      <c r="M8663" s="184"/>
      <c r="N8663" s="184"/>
      <c r="O8663" s="184"/>
    </row>
    <row r="8664" customFormat="false" ht="15" hidden="false" customHeight="true" outlineLevel="0" collapsed="false">
      <c r="A8664" s="184"/>
      <c r="B8664" s="184"/>
      <c r="C8664" s="184"/>
      <c r="D8664" s="184"/>
      <c r="E8664" s="184"/>
      <c r="F8664" s="184"/>
      <c r="G8664" s="184"/>
      <c r="H8664" s="184"/>
      <c r="I8664" s="184"/>
      <c r="J8664" s="184"/>
      <c r="K8664" s="184"/>
      <c r="L8664" s="184"/>
      <c r="M8664" s="184"/>
      <c r="N8664" s="184"/>
      <c r="O8664" s="184"/>
    </row>
    <row r="8665" customFormat="false" ht="15" hidden="false" customHeight="true" outlineLevel="0" collapsed="false">
      <c r="A8665" s="184"/>
      <c r="B8665" s="184"/>
      <c r="C8665" s="184"/>
      <c r="D8665" s="184"/>
      <c r="E8665" s="184"/>
      <c r="F8665" s="184"/>
      <c r="G8665" s="184"/>
      <c r="H8665" s="184"/>
      <c r="I8665" s="184"/>
      <c r="J8665" s="184"/>
      <c r="K8665" s="184"/>
      <c r="L8665" s="184"/>
      <c r="M8665" s="184"/>
      <c r="N8665" s="184"/>
      <c r="O8665" s="184"/>
    </row>
    <row r="8666" customFormat="false" ht="15" hidden="false" customHeight="true" outlineLevel="0" collapsed="false">
      <c r="A8666" s="184"/>
      <c r="B8666" s="184"/>
      <c r="C8666" s="184"/>
      <c r="D8666" s="184"/>
      <c r="E8666" s="184"/>
      <c r="F8666" s="184"/>
      <c r="G8666" s="184"/>
      <c r="H8666" s="184"/>
      <c r="I8666" s="184"/>
      <c r="J8666" s="184"/>
      <c r="K8666" s="184"/>
      <c r="L8666" s="184"/>
      <c r="M8666" s="184"/>
      <c r="N8666" s="184"/>
      <c r="O8666" s="184"/>
    </row>
    <row r="8667" customFormat="false" ht="15" hidden="false" customHeight="true" outlineLevel="0" collapsed="false">
      <c r="A8667" s="184"/>
      <c r="B8667" s="184"/>
      <c r="C8667" s="184"/>
      <c r="D8667" s="184"/>
      <c r="E8667" s="184"/>
      <c r="F8667" s="184"/>
      <c r="G8667" s="184"/>
      <c r="H8667" s="184"/>
      <c r="I8667" s="184"/>
      <c r="J8667" s="184"/>
      <c r="K8667" s="184"/>
      <c r="L8667" s="184"/>
      <c r="M8667" s="184"/>
      <c r="N8667" s="184"/>
      <c r="O8667" s="184"/>
    </row>
    <row r="8668" customFormat="false" ht="15" hidden="false" customHeight="true" outlineLevel="0" collapsed="false">
      <c r="A8668" s="184"/>
      <c r="B8668" s="184"/>
      <c r="C8668" s="184"/>
      <c r="D8668" s="184"/>
      <c r="E8668" s="184"/>
      <c r="F8668" s="184"/>
      <c r="G8668" s="184"/>
      <c r="H8668" s="184"/>
      <c r="I8668" s="184"/>
      <c r="J8668" s="184"/>
      <c r="K8668" s="184"/>
      <c r="L8668" s="184"/>
      <c r="M8668" s="184"/>
      <c r="N8668" s="184"/>
      <c r="O8668" s="184"/>
    </row>
    <row r="8669" customFormat="false" ht="15" hidden="false" customHeight="true" outlineLevel="0" collapsed="false">
      <c r="A8669" s="184"/>
      <c r="B8669" s="184"/>
      <c r="C8669" s="184"/>
      <c r="D8669" s="184"/>
      <c r="E8669" s="184"/>
      <c r="F8669" s="184"/>
      <c r="G8669" s="184"/>
      <c r="H8669" s="184"/>
      <c r="I8669" s="184"/>
      <c r="J8669" s="184"/>
      <c r="K8669" s="184"/>
      <c r="L8669" s="184"/>
      <c r="M8669" s="184"/>
      <c r="N8669" s="184"/>
      <c r="O8669" s="184"/>
    </row>
    <row r="8670" customFormat="false" ht="15" hidden="false" customHeight="true" outlineLevel="0" collapsed="false">
      <c r="A8670" s="184"/>
      <c r="B8670" s="184"/>
      <c r="C8670" s="184"/>
      <c r="D8670" s="184"/>
      <c r="E8670" s="184"/>
      <c r="F8670" s="184"/>
      <c r="G8670" s="184"/>
      <c r="H8670" s="184"/>
      <c r="I8670" s="184"/>
      <c r="J8670" s="184"/>
      <c r="K8670" s="184"/>
      <c r="L8670" s="184"/>
      <c r="M8670" s="184"/>
      <c r="N8670" s="184"/>
      <c r="O8670" s="184"/>
    </row>
    <row r="8671" customFormat="false" ht="15" hidden="false" customHeight="true" outlineLevel="0" collapsed="false">
      <c r="A8671" s="184"/>
      <c r="B8671" s="184"/>
      <c r="C8671" s="184"/>
      <c r="D8671" s="184"/>
      <c r="E8671" s="184"/>
      <c r="F8671" s="184"/>
      <c r="G8671" s="184"/>
      <c r="H8671" s="184"/>
      <c r="I8671" s="184"/>
      <c r="J8671" s="184"/>
      <c r="K8671" s="184"/>
      <c r="L8671" s="184"/>
      <c r="M8671" s="184"/>
      <c r="N8671" s="184"/>
      <c r="O8671" s="184"/>
    </row>
    <row r="8672" customFormat="false" ht="15" hidden="false" customHeight="true" outlineLevel="0" collapsed="false">
      <c r="A8672" s="184"/>
      <c r="B8672" s="184"/>
      <c r="C8672" s="184"/>
      <c r="D8672" s="184"/>
      <c r="E8672" s="184"/>
      <c r="F8672" s="184"/>
      <c r="G8672" s="184"/>
      <c r="H8672" s="184"/>
      <c r="I8672" s="184"/>
      <c r="J8672" s="184"/>
      <c r="K8672" s="184"/>
      <c r="L8672" s="184"/>
      <c r="M8672" s="184"/>
      <c r="N8672" s="184"/>
      <c r="O8672" s="184"/>
    </row>
    <row r="8673" customFormat="false" ht="15" hidden="false" customHeight="true" outlineLevel="0" collapsed="false">
      <c r="A8673" s="184"/>
      <c r="B8673" s="184"/>
      <c r="C8673" s="184"/>
      <c r="D8673" s="184"/>
      <c r="E8673" s="184"/>
      <c r="F8673" s="184"/>
      <c r="G8673" s="184"/>
      <c r="H8673" s="184"/>
      <c r="I8673" s="184"/>
      <c r="J8673" s="184"/>
      <c r="K8673" s="184"/>
      <c r="L8673" s="184"/>
      <c r="M8673" s="184"/>
      <c r="N8673" s="184"/>
      <c r="O8673" s="184"/>
    </row>
    <row r="8674" customFormat="false" ht="15" hidden="false" customHeight="true" outlineLevel="0" collapsed="false">
      <c r="A8674" s="184"/>
      <c r="B8674" s="184"/>
      <c r="C8674" s="184"/>
      <c r="D8674" s="184"/>
      <c r="E8674" s="184"/>
      <c r="F8674" s="184"/>
      <c r="G8674" s="184"/>
      <c r="H8674" s="184"/>
      <c r="I8674" s="184"/>
      <c r="J8674" s="184"/>
      <c r="K8674" s="184"/>
      <c r="L8674" s="184"/>
      <c r="M8674" s="184"/>
      <c r="N8674" s="184"/>
      <c r="O8674" s="184"/>
    </row>
    <row r="8675" customFormat="false" ht="15" hidden="false" customHeight="true" outlineLevel="0" collapsed="false">
      <c r="A8675" s="184"/>
      <c r="B8675" s="184"/>
      <c r="C8675" s="184"/>
      <c r="D8675" s="184"/>
      <c r="E8675" s="184"/>
      <c r="F8675" s="184"/>
      <c r="G8675" s="184"/>
      <c r="H8675" s="184"/>
      <c r="I8675" s="184"/>
      <c r="J8675" s="184"/>
      <c r="K8675" s="184"/>
      <c r="L8675" s="184"/>
      <c r="M8675" s="184"/>
      <c r="N8675" s="184"/>
      <c r="O8675" s="184"/>
    </row>
    <row r="8676" customFormat="false" ht="15" hidden="false" customHeight="true" outlineLevel="0" collapsed="false">
      <c r="A8676" s="184"/>
      <c r="B8676" s="184"/>
      <c r="C8676" s="184"/>
      <c r="D8676" s="184"/>
      <c r="E8676" s="184"/>
      <c r="F8676" s="184"/>
      <c r="G8676" s="184"/>
      <c r="H8676" s="184"/>
      <c r="I8676" s="184"/>
      <c r="J8676" s="184"/>
      <c r="K8676" s="184"/>
      <c r="L8676" s="184"/>
      <c r="M8676" s="184"/>
      <c r="N8676" s="184"/>
      <c r="O8676" s="184"/>
    </row>
    <row r="8677" customFormat="false" ht="15" hidden="false" customHeight="true" outlineLevel="0" collapsed="false">
      <c r="A8677" s="184"/>
      <c r="B8677" s="184"/>
      <c r="C8677" s="184"/>
      <c r="D8677" s="184"/>
      <c r="E8677" s="184"/>
      <c r="F8677" s="184"/>
      <c r="G8677" s="184"/>
      <c r="H8677" s="184"/>
      <c r="I8677" s="184"/>
      <c r="J8677" s="184"/>
      <c r="K8677" s="184"/>
      <c r="L8677" s="184"/>
      <c r="M8677" s="184"/>
      <c r="N8677" s="184"/>
      <c r="O8677" s="184"/>
    </row>
    <row r="8678" customFormat="false" ht="15" hidden="false" customHeight="true" outlineLevel="0" collapsed="false">
      <c r="A8678" s="184"/>
      <c r="B8678" s="184"/>
      <c r="C8678" s="184"/>
      <c r="D8678" s="184"/>
      <c r="E8678" s="184"/>
      <c r="F8678" s="184"/>
      <c r="G8678" s="184"/>
      <c r="H8678" s="184"/>
      <c r="I8678" s="184"/>
      <c r="J8678" s="184"/>
      <c r="K8678" s="184"/>
      <c r="L8678" s="184"/>
      <c r="M8678" s="184"/>
      <c r="N8678" s="184"/>
      <c r="O8678" s="184"/>
    </row>
    <row r="8679" customFormat="false" ht="15" hidden="false" customHeight="true" outlineLevel="0" collapsed="false">
      <c r="A8679" s="184"/>
      <c r="B8679" s="184"/>
      <c r="C8679" s="184"/>
      <c r="D8679" s="184"/>
      <c r="E8679" s="184"/>
      <c r="F8679" s="184"/>
      <c r="G8679" s="184"/>
      <c r="H8679" s="184"/>
      <c r="I8679" s="184"/>
      <c r="J8679" s="184"/>
      <c r="K8679" s="184"/>
      <c r="L8679" s="184"/>
      <c r="M8679" s="184"/>
      <c r="N8679" s="184"/>
      <c r="O8679" s="184"/>
    </row>
    <row r="8680" customFormat="false" ht="15" hidden="false" customHeight="true" outlineLevel="0" collapsed="false">
      <c r="A8680" s="184"/>
      <c r="B8680" s="184"/>
      <c r="C8680" s="184"/>
      <c r="D8680" s="184"/>
      <c r="E8680" s="184"/>
      <c r="F8680" s="184"/>
      <c r="G8680" s="184"/>
      <c r="H8680" s="184"/>
      <c r="I8680" s="184"/>
      <c r="J8680" s="184"/>
      <c r="K8680" s="184"/>
      <c r="L8680" s="184"/>
      <c r="M8680" s="184"/>
      <c r="N8680" s="184"/>
      <c r="O8680" s="184"/>
    </row>
    <row r="8681" customFormat="false" ht="15" hidden="false" customHeight="true" outlineLevel="0" collapsed="false">
      <c r="A8681" s="184"/>
      <c r="B8681" s="184"/>
      <c r="C8681" s="184"/>
      <c r="D8681" s="184"/>
      <c r="E8681" s="184"/>
      <c r="F8681" s="184"/>
      <c r="G8681" s="184"/>
      <c r="H8681" s="184"/>
      <c r="I8681" s="184"/>
      <c r="J8681" s="184"/>
      <c r="K8681" s="184"/>
      <c r="L8681" s="184"/>
      <c r="M8681" s="184"/>
      <c r="N8681" s="184"/>
      <c r="O8681" s="184"/>
    </row>
    <row r="8682" customFormat="false" ht="15" hidden="false" customHeight="true" outlineLevel="0" collapsed="false">
      <c r="A8682" s="184"/>
      <c r="B8682" s="184"/>
      <c r="C8682" s="184"/>
      <c r="D8682" s="184"/>
      <c r="E8682" s="184"/>
      <c r="F8682" s="184"/>
      <c r="G8682" s="184"/>
      <c r="H8682" s="184"/>
      <c r="I8682" s="184"/>
      <c r="J8682" s="184"/>
      <c r="K8682" s="184"/>
      <c r="L8682" s="184"/>
      <c r="M8682" s="184"/>
      <c r="N8682" s="184"/>
      <c r="O8682" s="184"/>
    </row>
    <row r="8683" customFormat="false" ht="15" hidden="false" customHeight="true" outlineLevel="0" collapsed="false">
      <c r="A8683" s="184"/>
      <c r="B8683" s="184"/>
      <c r="C8683" s="184"/>
      <c r="D8683" s="184"/>
      <c r="E8683" s="184"/>
      <c r="F8683" s="184"/>
      <c r="G8683" s="184"/>
      <c r="H8683" s="184"/>
      <c r="I8683" s="184"/>
      <c r="J8683" s="184"/>
      <c r="K8683" s="184"/>
      <c r="L8683" s="184"/>
      <c r="M8683" s="184"/>
      <c r="N8683" s="184"/>
      <c r="O8683" s="184"/>
    </row>
    <row r="8684" customFormat="false" ht="15" hidden="false" customHeight="true" outlineLevel="0" collapsed="false">
      <c r="A8684" s="184"/>
      <c r="B8684" s="184"/>
      <c r="C8684" s="184"/>
      <c r="D8684" s="184"/>
      <c r="E8684" s="184"/>
      <c r="F8684" s="184"/>
      <c r="G8684" s="184"/>
      <c r="H8684" s="184"/>
      <c r="I8684" s="184"/>
      <c r="J8684" s="184"/>
      <c r="K8684" s="184"/>
      <c r="L8684" s="184"/>
      <c r="M8684" s="184"/>
      <c r="N8684" s="184"/>
      <c r="O8684" s="184"/>
    </row>
    <row r="8685" customFormat="false" ht="15" hidden="false" customHeight="true" outlineLevel="0" collapsed="false">
      <c r="A8685" s="184"/>
      <c r="B8685" s="184"/>
      <c r="C8685" s="184"/>
      <c r="D8685" s="184"/>
      <c r="E8685" s="184"/>
      <c r="F8685" s="184"/>
      <c r="G8685" s="184"/>
      <c r="H8685" s="184"/>
      <c r="I8685" s="184"/>
      <c r="J8685" s="184"/>
      <c r="K8685" s="184"/>
      <c r="L8685" s="184"/>
      <c r="M8685" s="184"/>
      <c r="N8685" s="184"/>
      <c r="O8685" s="184"/>
    </row>
    <row r="8686" customFormat="false" ht="15" hidden="false" customHeight="true" outlineLevel="0" collapsed="false">
      <c r="A8686" s="184"/>
      <c r="B8686" s="184"/>
      <c r="C8686" s="184"/>
      <c r="D8686" s="184"/>
      <c r="E8686" s="184"/>
      <c r="F8686" s="184"/>
      <c r="G8686" s="184"/>
      <c r="H8686" s="184"/>
      <c r="I8686" s="184"/>
      <c r="J8686" s="184"/>
      <c r="K8686" s="184"/>
      <c r="L8686" s="184"/>
      <c r="M8686" s="184"/>
      <c r="N8686" s="184"/>
      <c r="O8686" s="184"/>
    </row>
    <row r="8687" customFormat="false" ht="15" hidden="false" customHeight="true" outlineLevel="0" collapsed="false">
      <c r="A8687" s="184"/>
      <c r="B8687" s="184"/>
      <c r="C8687" s="184"/>
      <c r="D8687" s="184"/>
      <c r="E8687" s="184"/>
      <c r="F8687" s="184"/>
      <c r="G8687" s="184"/>
      <c r="H8687" s="184"/>
      <c r="I8687" s="184"/>
      <c r="J8687" s="184"/>
      <c r="K8687" s="184"/>
      <c r="L8687" s="184"/>
      <c r="M8687" s="184"/>
      <c r="N8687" s="184"/>
      <c r="O8687" s="184"/>
    </row>
    <row r="8688" customFormat="false" ht="15" hidden="false" customHeight="true" outlineLevel="0" collapsed="false">
      <c r="A8688" s="184"/>
      <c r="B8688" s="184"/>
      <c r="C8688" s="184"/>
      <c r="D8688" s="184"/>
      <c r="E8688" s="184"/>
      <c r="F8688" s="184"/>
      <c r="G8688" s="184"/>
      <c r="H8688" s="184"/>
      <c r="I8688" s="184"/>
      <c r="J8688" s="184"/>
      <c r="K8688" s="184"/>
      <c r="L8688" s="184"/>
      <c r="M8688" s="184"/>
      <c r="N8688" s="184"/>
      <c r="O8688" s="184"/>
    </row>
    <row r="8689" customFormat="false" ht="15" hidden="false" customHeight="true" outlineLevel="0" collapsed="false">
      <c r="A8689" s="184"/>
      <c r="B8689" s="184"/>
      <c r="C8689" s="184"/>
      <c r="D8689" s="184"/>
      <c r="E8689" s="184"/>
      <c r="F8689" s="184"/>
      <c r="G8689" s="184"/>
      <c r="H8689" s="184"/>
      <c r="I8689" s="184"/>
      <c r="J8689" s="184"/>
      <c r="K8689" s="184"/>
      <c r="L8689" s="184"/>
      <c r="M8689" s="184"/>
      <c r="N8689" s="184"/>
      <c r="O8689" s="184"/>
    </row>
    <row r="8690" customFormat="false" ht="15" hidden="false" customHeight="true" outlineLevel="0" collapsed="false">
      <c r="A8690" s="184"/>
      <c r="B8690" s="184"/>
      <c r="C8690" s="184"/>
      <c r="D8690" s="184"/>
      <c r="E8690" s="184"/>
      <c r="F8690" s="184"/>
      <c r="G8690" s="184"/>
      <c r="H8690" s="184"/>
      <c r="I8690" s="184"/>
      <c r="J8690" s="184"/>
      <c r="K8690" s="184"/>
      <c r="L8690" s="184"/>
      <c r="M8690" s="184"/>
      <c r="N8690" s="184"/>
      <c r="O8690" s="184"/>
    </row>
    <row r="8691" customFormat="false" ht="15" hidden="false" customHeight="true" outlineLevel="0" collapsed="false">
      <c r="A8691" s="184"/>
      <c r="B8691" s="184"/>
      <c r="C8691" s="184"/>
      <c r="D8691" s="184"/>
      <c r="E8691" s="184"/>
      <c r="F8691" s="184"/>
      <c r="G8691" s="184"/>
      <c r="H8691" s="184"/>
      <c r="I8691" s="184"/>
      <c r="J8691" s="184"/>
      <c r="K8691" s="184"/>
      <c r="L8691" s="184"/>
      <c r="M8691" s="184"/>
      <c r="N8691" s="184"/>
      <c r="O8691" s="184"/>
    </row>
    <row r="8692" customFormat="false" ht="15" hidden="false" customHeight="true" outlineLevel="0" collapsed="false">
      <c r="A8692" s="184"/>
      <c r="B8692" s="184"/>
      <c r="C8692" s="184"/>
      <c r="D8692" s="184"/>
      <c r="E8692" s="184"/>
      <c r="F8692" s="184"/>
      <c r="G8692" s="184"/>
      <c r="H8692" s="184"/>
      <c r="I8692" s="184"/>
      <c r="J8692" s="184"/>
      <c r="K8692" s="184"/>
      <c r="L8692" s="184"/>
      <c r="M8692" s="184"/>
      <c r="N8692" s="184"/>
      <c r="O8692" s="184"/>
    </row>
    <row r="8693" customFormat="false" ht="15" hidden="false" customHeight="true" outlineLevel="0" collapsed="false">
      <c r="A8693" s="184"/>
      <c r="B8693" s="184"/>
      <c r="C8693" s="184"/>
      <c r="D8693" s="184"/>
      <c r="E8693" s="184"/>
      <c r="F8693" s="184"/>
      <c r="G8693" s="184"/>
      <c r="H8693" s="184"/>
      <c r="I8693" s="184"/>
      <c r="J8693" s="184"/>
      <c r="K8693" s="184"/>
      <c r="L8693" s="184"/>
      <c r="M8693" s="184"/>
      <c r="N8693" s="184"/>
      <c r="O8693" s="184"/>
    </row>
    <row r="8694" customFormat="false" ht="15" hidden="false" customHeight="true" outlineLevel="0" collapsed="false">
      <c r="A8694" s="184"/>
      <c r="B8694" s="184"/>
      <c r="C8694" s="184"/>
      <c r="D8694" s="184"/>
      <c r="E8694" s="184"/>
      <c r="F8694" s="184"/>
      <c r="G8694" s="184"/>
      <c r="H8694" s="184"/>
      <c r="I8694" s="184"/>
      <c r="J8694" s="184"/>
      <c r="K8694" s="184"/>
      <c r="L8694" s="184"/>
      <c r="M8694" s="184"/>
      <c r="N8694" s="184"/>
      <c r="O8694" s="184"/>
    </row>
    <row r="8695" customFormat="false" ht="15" hidden="false" customHeight="true" outlineLevel="0" collapsed="false">
      <c r="A8695" s="184"/>
      <c r="B8695" s="184"/>
      <c r="C8695" s="184"/>
      <c r="D8695" s="184"/>
      <c r="E8695" s="184"/>
      <c r="F8695" s="184"/>
      <c r="G8695" s="184"/>
      <c r="H8695" s="184"/>
      <c r="I8695" s="184"/>
      <c r="J8695" s="184"/>
      <c r="K8695" s="184"/>
      <c r="L8695" s="184"/>
      <c r="M8695" s="184"/>
      <c r="N8695" s="184"/>
      <c r="O8695" s="184"/>
    </row>
    <row r="8696" customFormat="false" ht="15" hidden="false" customHeight="true" outlineLevel="0" collapsed="false">
      <c r="A8696" s="184"/>
      <c r="B8696" s="184"/>
      <c r="C8696" s="184"/>
      <c r="D8696" s="184"/>
      <c r="E8696" s="184"/>
      <c r="F8696" s="184"/>
      <c r="G8696" s="184"/>
      <c r="H8696" s="184"/>
      <c r="I8696" s="184"/>
      <c r="J8696" s="184"/>
      <c r="K8696" s="184"/>
      <c r="L8696" s="184"/>
      <c r="M8696" s="184"/>
      <c r="N8696" s="184"/>
      <c r="O8696" s="184"/>
    </row>
    <row r="8697" customFormat="false" ht="15" hidden="false" customHeight="true" outlineLevel="0" collapsed="false">
      <c r="A8697" s="184"/>
      <c r="B8697" s="184"/>
      <c r="C8697" s="184"/>
      <c r="D8697" s="184"/>
      <c r="E8697" s="184"/>
      <c r="F8697" s="184"/>
      <c r="G8697" s="184"/>
      <c r="H8697" s="184"/>
      <c r="I8697" s="184"/>
      <c r="J8697" s="184"/>
      <c r="K8697" s="184"/>
      <c r="L8697" s="184"/>
      <c r="M8697" s="184"/>
      <c r="N8697" s="184"/>
      <c r="O8697" s="184"/>
    </row>
    <row r="8698" customFormat="false" ht="15" hidden="false" customHeight="true" outlineLevel="0" collapsed="false">
      <c r="A8698" s="184"/>
      <c r="B8698" s="184"/>
      <c r="C8698" s="184"/>
      <c r="D8698" s="184"/>
      <c r="E8698" s="184"/>
      <c r="F8698" s="184"/>
      <c r="G8698" s="184"/>
      <c r="H8698" s="184"/>
      <c r="I8698" s="184"/>
      <c r="J8698" s="184"/>
      <c r="K8698" s="184"/>
      <c r="L8698" s="184"/>
      <c r="M8698" s="184"/>
      <c r="N8698" s="184"/>
      <c r="O8698" s="184"/>
    </row>
    <row r="8699" customFormat="false" ht="15" hidden="false" customHeight="true" outlineLevel="0" collapsed="false">
      <c r="A8699" s="184"/>
      <c r="B8699" s="184"/>
      <c r="C8699" s="184"/>
      <c r="D8699" s="184"/>
      <c r="E8699" s="184"/>
      <c r="F8699" s="184"/>
      <c r="G8699" s="184"/>
      <c r="H8699" s="184"/>
      <c r="I8699" s="184"/>
      <c r="J8699" s="184"/>
      <c r="K8699" s="184"/>
      <c r="L8699" s="184"/>
      <c r="M8699" s="184"/>
      <c r="N8699" s="184"/>
      <c r="O8699" s="184"/>
    </row>
    <row r="8700" customFormat="false" ht="15" hidden="false" customHeight="true" outlineLevel="0" collapsed="false">
      <c r="A8700" s="184"/>
      <c r="B8700" s="184"/>
      <c r="C8700" s="184"/>
      <c r="D8700" s="184"/>
      <c r="E8700" s="184"/>
      <c r="F8700" s="184"/>
      <c r="G8700" s="184"/>
      <c r="H8700" s="184"/>
      <c r="I8700" s="184"/>
      <c r="J8700" s="184"/>
      <c r="K8700" s="184"/>
      <c r="L8700" s="184"/>
      <c r="M8700" s="184"/>
      <c r="N8700" s="184"/>
      <c r="O8700" s="184"/>
    </row>
    <row r="8701" customFormat="false" ht="15" hidden="false" customHeight="true" outlineLevel="0" collapsed="false">
      <c r="A8701" s="184"/>
      <c r="B8701" s="184"/>
      <c r="C8701" s="184"/>
      <c r="D8701" s="184"/>
      <c r="E8701" s="184"/>
      <c r="F8701" s="184"/>
      <c r="G8701" s="184"/>
      <c r="H8701" s="184"/>
      <c r="I8701" s="184"/>
      <c r="J8701" s="184"/>
      <c r="K8701" s="184"/>
      <c r="L8701" s="184"/>
      <c r="M8701" s="184"/>
      <c r="N8701" s="184"/>
      <c r="O8701" s="184"/>
    </row>
    <row r="8702" customFormat="false" ht="15" hidden="false" customHeight="true" outlineLevel="0" collapsed="false">
      <c r="A8702" s="184"/>
      <c r="B8702" s="184"/>
      <c r="C8702" s="184"/>
      <c r="D8702" s="184"/>
      <c r="E8702" s="184"/>
      <c r="F8702" s="184"/>
      <c r="G8702" s="184"/>
      <c r="H8702" s="184"/>
      <c r="I8702" s="184"/>
      <c r="J8702" s="184"/>
      <c r="K8702" s="184"/>
      <c r="L8702" s="184"/>
      <c r="M8702" s="184"/>
      <c r="N8702" s="184"/>
      <c r="O8702" s="184"/>
    </row>
    <row r="8703" customFormat="false" ht="15" hidden="false" customHeight="true" outlineLevel="0" collapsed="false">
      <c r="A8703" s="184"/>
      <c r="B8703" s="184"/>
      <c r="C8703" s="184"/>
      <c r="D8703" s="184"/>
      <c r="E8703" s="184"/>
      <c r="F8703" s="184"/>
      <c r="G8703" s="184"/>
      <c r="H8703" s="184"/>
      <c r="I8703" s="184"/>
      <c r="J8703" s="184"/>
      <c r="K8703" s="184"/>
      <c r="L8703" s="184"/>
      <c r="M8703" s="184"/>
      <c r="N8703" s="184"/>
      <c r="O8703" s="184"/>
    </row>
    <row r="8704" customFormat="false" ht="15" hidden="false" customHeight="true" outlineLevel="0" collapsed="false">
      <c r="A8704" s="184"/>
      <c r="B8704" s="184"/>
      <c r="C8704" s="184"/>
      <c r="D8704" s="184"/>
      <c r="E8704" s="184"/>
      <c r="F8704" s="184"/>
      <c r="G8704" s="184"/>
      <c r="H8704" s="184"/>
      <c r="I8704" s="184"/>
      <c r="J8704" s="184"/>
      <c r="K8704" s="184"/>
      <c r="L8704" s="184"/>
      <c r="M8704" s="184"/>
      <c r="N8704" s="184"/>
      <c r="O8704" s="184"/>
    </row>
    <row r="8705" customFormat="false" ht="15" hidden="false" customHeight="true" outlineLevel="0" collapsed="false">
      <c r="A8705" s="184"/>
      <c r="B8705" s="184"/>
      <c r="C8705" s="184"/>
      <c r="D8705" s="184"/>
      <c r="E8705" s="184"/>
      <c r="F8705" s="184"/>
      <c r="G8705" s="184"/>
      <c r="H8705" s="184"/>
      <c r="I8705" s="184"/>
      <c r="J8705" s="184"/>
      <c r="K8705" s="184"/>
      <c r="L8705" s="184"/>
      <c r="M8705" s="184"/>
      <c r="N8705" s="184"/>
      <c r="O8705" s="184"/>
    </row>
    <row r="8706" customFormat="false" ht="15" hidden="false" customHeight="true" outlineLevel="0" collapsed="false">
      <c r="A8706" s="184"/>
      <c r="B8706" s="184"/>
      <c r="C8706" s="184"/>
      <c r="D8706" s="184"/>
      <c r="E8706" s="184"/>
      <c r="F8706" s="184"/>
      <c r="G8706" s="184"/>
      <c r="H8706" s="184"/>
      <c r="I8706" s="184"/>
      <c r="J8706" s="184"/>
      <c r="K8706" s="184"/>
      <c r="L8706" s="184"/>
      <c r="M8706" s="184"/>
      <c r="N8706" s="184"/>
      <c r="O8706" s="184"/>
    </row>
    <row r="8707" customFormat="false" ht="15" hidden="false" customHeight="true" outlineLevel="0" collapsed="false">
      <c r="A8707" s="184"/>
      <c r="B8707" s="184"/>
      <c r="C8707" s="184"/>
      <c r="D8707" s="184"/>
      <c r="E8707" s="184"/>
      <c r="F8707" s="184"/>
      <c r="G8707" s="184"/>
      <c r="H8707" s="184"/>
      <c r="I8707" s="184"/>
      <c r="J8707" s="184"/>
      <c r="K8707" s="184"/>
      <c r="L8707" s="184"/>
      <c r="M8707" s="184"/>
      <c r="N8707" s="184"/>
      <c r="O8707" s="184"/>
    </row>
    <row r="8708" customFormat="false" ht="15" hidden="false" customHeight="true" outlineLevel="0" collapsed="false">
      <c r="A8708" s="184"/>
      <c r="B8708" s="184"/>
      <c r="C8708" s="184"/>
      <c r="D8708" s="184"/>
      <c r="E8708" s="184"/>
      <c r="F8708" s="184"/>
      <c r="G8708" s="184"/>
      <c r="H8708" s="184"/>
      <c r="I8708" s="184"/>
      <c r="J8708" s="184"/>
      <c r="K8708" s="184"/>
      <c r="L8708" s="184"/>
      <c r="M8708" s="184"/>
      <c r="N8708" s="184"/>
      <c r="O8708" s="184"/>
    </row>
    <row r="8709" customFormat="false" ht="15" hidden="false" customHeight="true" outlineLevel="0" collapsed="false">
      <c r="A8709" s="184"/>
      <c r="B8709" s="184"/>
      <c r="C8709" s="184"/>
      <c r="D8709" s="184"/>
      <c r="E8709" s="184"/>
      <c r="F8709" s="184"/>
      <c r="G8709" s="184"/>
      <c r="H8709" s="184"/>
      <c r="I8709" s="184"/>
      <c r="J8709" s="184"/>
      <c r="K8709" s="184"/>
      <c r="L8709" s="184"/>
      <c r="M8709" s="184"/>
      <c r="N8709" s="184"/>
      <c r="O8709" s="184"/>
    </row>
    <row r="8710" customFormat="false" ht="15" hidden="false" customHeight="true" outlineLevel="0" collapsed="false">
      <c r="A8710" s="184"/>
      <c r="B8710" s="184"/>
      <c r="C8710" s="184"/>
      <c r="D8710" s="184"/>
      <c r="E8710" s="184"/>
      <c r="F8710" s="184"/>
      <c r="G8710" s="184"/>
      <c r="H8710" s="184"/>
      <c r="I8710" s="184"/>
      <c r="J8710" s="184"/>
      <c r="K8710" s="184"/>
      <c r="L8710" s="184"/>
      <c r="M8710" s="184"/>
      <c r="N8710" s="184"/>
      <c r="O8710" s="184"/>
    </row>
    <row r="8711" customFormat="false" ht="15" hidden="false" customHeight="true" outlineLevel="0" collapsed="false">
      <c r="A8711" s="184"/>
      <c r="B8711" s="184"/>
      <c r="C8711" s="184"/>
      <c r="D8711" s="184"/>
      <c r="E8711" s="184"/>
      <c r="F8711" s="184"/>
      <c r="G8711" s="184"/>
      <c r="H8711" s="184"/>
      <c r="I8711" s="184"/>
      <c r="J8711" s="184"/>
      <c r="K8711" s="184"/>
      <c r="L8711" s="184"/>
      <c r="M8711" s="184"/>
      <c r="N8711" s="184"/>
      <c r="O8711" s="184"/>
    </row>
    <row r="8712" customFormat="false" ht="15" hidden="false" customHeight="true" outlineLevel="0" collapsed="false">
      <c r="A8712" s="184"/>
      <c r="B8712" s="184"/>
      <c r="C8712" s="184"/>
      <c r="D8712" s="184"/>
      <c r="E8712" s="184"/>
      <c r="F8712" s="184"/>
      <c r="G8712" s="184"/>
      <c r="H8712" s="184"/>
      <c r="I8712" s="184"/>
      <c r="J8712" s="184"/>
      <c r="K8712" s="184"/>
      <c r="L8712" s="184"/>
      <c r="M8712" s="184"/>
      <c r="N8712" s="184"/>
      <c r="O8712" s="184"/>
    </row>
    <row r="8713" customFormat="false" ht="15" hidden="false" customHeight="true" outlineLevel="0" collapsed="false">
      <c r="A8713" s="184"/>
      <c r="B8713" s="184"/>
      <c r="C8713" s="184"/>
      <c r="D8713" s="184"/>
      <c r="E8713" s="184"/>
      <c r="F8713" s="184"/>
      <c r="G8713" s="184"/>
      <c r="H8713" s="184"/>
      <c r="I8713" s="184"/>
      <c r="J8713" s="184"/>
      <c r="K8713" s="184"/>
      <c r="L8713" s="184"/>
      <c r="M8713" s="184"/>
      <c r="N8713" s="184"/>
      <c r="O8713" s="184"/>
    </row>
    <row r="8714" customFormat="false" ht="15" hidden="false" customHeight="true" outlineLevel="0" collapsed="false">
      <c r="A8714" s="184"/>
      <c r="B8714" s="184"/>
      <c r="C8714" s="184"/>
      <c r="D8714" s="184"/>
      <c r="E8714" s="184"/>
      <c r="F8714" s="184"/>
      <c r="G8714" s="184"/>
      <c r="H8714" s="184"/>
      <c r="I8714" s="184"/>
      <c r="J8714" s="184"/>
      <c r="K8714" s="184"/>
      <c r="L8714" s="184"/>
      <c r="M8714" s="184"/>
      <c r="N8714" s="184"/>
      <c r="O8714" s="184"/>
    </row>
    <row r="8715" customFormat="false" ht="15" hidden="false" customHeight="true" outlineLevel="0" collapsed="false">
      <c r="A8715" s="184"/>
      <c r="B8715" s="184"/>
      <c r="C8715" s="184"/>
      <c r="D8715" s="184"/>
      <c r="E8715" s="184"/>
      <c r="F8715" s="184"/>
      <c r="G8715" s="184"/>
      <c r="H8715" s="184"/>
      <c r="I8715" s="184"/>
      <c r="J8715" s="184"/>
      <c r="K8715" s="184"/>
      <c r="L8715" s="184"/>
      <c r="M8715" s="184"/>
      <c r="N8715" s="184"/>
      <c r="O8715" s="184"/>
    </row>
    <row r="8716" customFormat="false" ht="15" hidden="false" customHeight="true" outlineLevel="0" collapsed="false">
      <c r="A8716" s="184"/>
      <c r="B8716" s="184"/>
      <c r="C8716" s="184"/>
      <c r="D8716" s="184"/>
      <c r="E8716" s="184"/>
      <c r="F8716" s="184"/>
      <c r="G8716" s="184"/>
      <c r="H8716" s="184"/>
      <c r="I8716" s="184"/>
      <c r="J8716" s="184"/>
      <c r="K8716" s="184"/>
      <c r="L8716" s="184"/>
      <c r="M8716" s="184"/>
      <c r="N8716" s="184"/>
      <c r="O8716" s="184"/>
    </row>
    <row r="8717" customFormat="false" ht="15" hidden="false" customHeight="true" outlineLevel="0" collapsed="false">
      <c r="A8717" s="184"/>
      <c r="B8717" s="184"/>
      <c r="C8717" s="184"/>
      <c r="D8717" s="184"/>
      <c r="E8717" s="184"/>
      <c r="F8717" s="184"/>
      <c r="G8717" s="184"/>
      <c r="H8717" s="184"/>
      <c r="I8717" s="184"/>
      <c r="J8717" s="184"/>
      <c r="K8717" s="184"/>
      <c r="L8717" s="184"/>
      <c r="M8717" s="184"/>
      <c r="N8717" s="184"/>
      <c r="O8717" s="184"/>
    </row>
    <row r="8718" customFormat="false" ht="15" hidden="false" customHeight="true" outlineLevel="0" collapsed="false">
      <c r="A8718" s="184"/>
      <c r="B8718" s="184"/>
      <c r="C8718" s="184"/>
      <c r="D8718" s="184"/>
      <c r="E8718" s="184"/>
      <c r="F8718" s="184"/>
      <c r="G8718" s="184"/>
      <c r="H8718" s="184"/>
      <c r="I8718" s="184"/>
      <c r="J8718" s="184"/>
      <c r="K8718" s="184"/>
      <c r="L8718" s="184"/>
      <c r="M8718" s="184"/>
      <c r="N8718" s="184"/>
      <c r="O8718" s="184"/>
    </row>
    <row r="8719" customFormat="false" ht="15" hidden="false" customHeight="true" outlineLevel="0" collapsed="false">
      <c r="A8719" s="184"/>
      <c r="B8719" s="184"/>
      <c r="C8719" s="184"/>
      <c r="D8719" s="184"/>
      <c r="E8719" s="184"/>
      <c r="F8719" s="184"/>
      <c r="G8719" s="184"/>
      <c r="H8719" s="184"/>
      <c r="I8719" s="184"/>
      <c r="J8719" s="184"/>
      <c r="K8719" s="184"/>
      <c r="L8719" s="184"/>
      <c r="M8719" s="184"/>
      <c r="N8719" s="184"/>
      <c r="O8719" s="184"/>
    </row>
    <row r="8720" customFormat="false" ht="15" hidden="false" customHeight="true" outlineLevel="0" collapsed="false">
      <c r="A8720" s="184"/>
      <c r="B8720" s="184"/>
      <c r="C8720" s="184"/>
      <c r="D8720" s="184"/>
      <c r="E8720" s="184"/>
      <c r="F8720" s="184"/>
      <c r="G8720" s="184"/>
      <c r="H8720" s="184"/>
      <c r="I8720" s="184"/>
      <c r="J8720" s="184"/>
      <c r="K8720" s="184"/>
      <c r="L8720" s="184"/>
      <c r="M8720" s="184"/>
      <c r="N8720" s="184"/>
      <c r="O8720" s="184"/>
    </row>
    <row r="8721" customFormat="false" ht="15" hidden="false" customHeight="true" outlineLevel="0" collapsed="false">
      <c r="A8721" s="184"/>
      <c r="B8721" s="184"/>
      <c r="C8721" s="184"/>
      <c r="D8721" s="184"/>
      <c r="E8721" s="184"/>
      <c r="F8721" s="184"/>
      <c r="G8721" s="184"/>
      <c r="H8721" s="184"/>
      <c r="I8721" s="184"/>
      <c r="J8721" s="184"/>
      <c r="K8721" s="184"/>
      <c r="L8721" s="184"/>
      <c r="M8721" s="184"/>
      <c r="N8721" s="184"/>
      <c r="O8721" s="184"/>
    </row>
    <row r="8722" customFormat="false" ht="15" hidden="false" customHeight="true" outlineLevel="0" collapsed="false">
      <c r="A8722" s="184"/>
      <c r="B8722" s="184"/>
      <c r="C8722" s="184"/>
      <c r="D8722" s="184"/>
      <c r="E8722" s="184"/>
      <c r="F8722" s="184"/>
      <c r="G8722" s="184"/>
      <c r="H8722" s="184"/>
      <c r="I8722" s="184"/>
      <c r="J8722" s="184"/>
      <c r="K8722" s="184"/>
      <c r="L8722" s="184"/>
      <c r="M8722" s="184"/>
      <c r="N8722" s="184"/>
      <c r="O8722" s="184"/>
    </row>
    <row r="8723" customFormat="false" ht="15" hidden="false" customHeight="true" outlineLevel="0" collapsed="false">
      <c r="A8723" s="184"/>
      <c r="B8723" s="184"/>
      <c r="C8723" s="184"/>
      <c r="D8723" s="184"/>
      <c r="E8723" s="184"/>
      <c r="F8723" s="184"/>
      <c r="G8723" s="184"/>
      <c r="H8723" s="184"/>
      <c r="I8723" s="184"/>
      <c r="J8723" s="184"/>
      <c r="K8723" s="184"/>
      <c r="L8723" s="184"/>
      <c r="M8723" s="184"/>
      <c r="N8723" s="184"/>
      <c r="O8723" s="184"/>
    </row>
    <row r="8724" customFormat="false" ht="15" hidden="false" customHeight="true" outlineLevel="0" collapsed="false">
      <c r="A8724" s="184"/>
      <c r="B8724" s="184"/>
      <c r="C8724" s="184"/>
      <c r="D8724" s="184"/>
      <c r="E8724" s="184"/>
      <c r="F8724" s="184"/>
      <c r="G8724" s="184"/>
      <c r="H8724" s="184"/>
      <c r="I8724" s="184"/>
      <c r="J8724" s="184"/>
      <c r="K8724" s="184"/>
      <c r="L8724" s="184"/>
      <c r="M8724" s="184"/>
      <c r="N8724" s="184"/>
      <c r="O8724" s="184"/>
    </row>
    <row r="8725" customFormat="false" ht="15" hidden="false" customHeight="true" outlineLevel="0" collapsed="false">
      <c r="A8725" s="184"/>
      <c r="B8725" s="184"/>
      <c r="C8725" s="184"/>
      <c r="D8725" s="184"/>
      <c r="E8725" s="184"/>
      <c r="F8725" s="184"/>
      <c r="G8725" s="184"/>
      <c r="H8725" s="184"/>
      <c r="I8725" s="184"/>
      <c r="J8725" s="184"/>
      <c r="K8725" s="184"/>
      <c r="L8725" s="184"/>
      <c r="M8725" s="184"/>
      <c r="N8725" s="184"/>
      <c r="O8725" s="184"/>
    </row>
    <row r="8726" customFormat="false" ht="15" hidden="false" customHeight="true" outlineLevel="0" collapsed="false">
      <c r="A8726" s="184"/>
      <c r="B8726" s="184"/>
      <c r="C8726" s="184"/>
      <c r="D8726" s="184"/>
      <c r="E8726" s="184"/>
      <c r="F8726" s="184"/>
      <c r="G8726" s="184"/>
      <c r="H8726" s="184"/>
      <c r="I8726" s="184"/>
      <c r="J8726" s="184"/>
      <c r="K8726" s="184"/>
      <c r="L8726" s="184"/>
      <c r="M8726" s="184"/>
      <c r="N8726" s="184"/>
      <c r="O8726" s="184"/>
    </row>
    <row r="8727" customFormat="false" ht="15" hidden="false" customHeight="true" outlineLevel="0" collapsed="false">
      <c r="A8727" s="184"/>
      <c r="B8727" s="184"/>
      <c r="C8727" s="184"/>
      <c r="D8727" s="184"/>
      <c r="E8727" s="184"/>
      <c r="F8727" s="184"/>
      <c r="G8727" s="184"/>
      <c r="H8727" s="184"/>
      <c r="I8727" s="184"/>
      <c r="J8727" s="184"/>
      <c r="K8727" s="184"/>
      <c r="L8727" s="184"/>
      <c r="M8727" s="184"/>
      <c r="N8727" s="184"/>
      <c r="O8727" s="184"/>
    </row>
    <row r="8728" customFormat="false" ht="15" hidden="false" customHeight="true" outlineLevel="0" collapsed="false">
      <c r="A8728" s="184"/>
      <c r="B8728" s="184"/>
      <c r="C8728" s="184"/>
      <c r="D8728" s="184"/>
      <c r="E8728" s="184"/>
      <c r="F8728" s="184"/>
      <c r="G8728" s="184"/>
      <c r="H8728" s="184"/>
      <c r="I8728" s="184"/>
      <c r="J8728" s="184"/>
      <c r="K8728" s="184"/>
      <c r="L8728" s="184"/>
      <c r="M8728" s="184"/>
      <c r="N8728" s="184"/>
      <c r="O8728" s="184"/>
    </row>
    <row r="8729" customFormat="false" ht="15" hidden="false" customHeight="true" outlineLevel="0" collapsed="false">
      <c r="A8729" s="184"/>
      <c r="B8729" s="184"/>
      <c r="C8729" s="184"/>
      <c r="D8729" s="184"/>
      <c r="E8729" s="184"/>
      <c r="F8729" s="184"/>
      <c r="G8729" s="184"/>
      <c r="H8729" s="184"/>
      <c r="I8729" s="184"/>
      <c r="J8729" s="184"/>
      <c r="K8729" s="184"/>
      <c r="L8729" s="184"/>
      <c r="M8729" s="184"/>
      <c r="N8729" s="184"/>
      <c r="O8729" s="184"/>
    </row>
    <row r="8730" customFormat="false" ht="15" hidden="false" customHeight="true" outlineLevel="0" collapsed="false">
      <c r="A8730" s="184"/>
      <c r="B8730" s="184"/>
      <c r="C8730" s="184"/>
      <c r="D8730" s="184"/>
      <c r="E8730" s="184"/>
      <c r="F8730" s="184"/>
      <c r="G8730" s="184"/>
      <c r="H8730" s="184"/>
      <c r="I8730" s="184"/>
      <c r="J8730" s="184"/>
      <c r="K8730" s="184"/>
      <c r="L8730" s="184"/>
      <c r="M8730" s="184"/>
      <c r="N8730" s="184"/>
      <c r="O8730" s="184"/>
    </row>
    <row r="8731" customFormat="false" ht="15" hidden="false" customHeight="true" outlineLevel="0" collapsed="false">
      <c r="A8731" s="184"/>
      <c r="B8731" s="184"/>
      <c r="C8731" s="184"/>
      <c r="D8731" s="184"/>
      <c r="E8731" s="184"/>
      <c r="F8731" s="184"/>
      <c r="G8731" s="184"/>
      <c r="H8731" s="184"/>
      <c r="I8731" s="184"/>
      <c r="J8731" s="184"/>
      <c r="K8731" s="184"/>
      <c r="L8731" s="184"/>
      <c r="M8731" s="184"/>
      <c r="N8731" s="184"/>
      <c r="O8731" s="184"/>
    </row>
    <row r="8732" customFormat="false" ht="15" hidden="false" customHeight="true" outlineLevel="0" collapsed="false">
      <c r="A8732" s="184"/>
      <c r="B8732" s="184"/>
      <c r="C8732" s="184"/>
      <c r="D8732" s="184"/>
      <c r="E8732" s="184"/>
      <c r="F8732" s="184"/>
      <c r="G8732" s="184"/>
      <c r="H8732" s="184"/>
      <c r="I8732" s="184"/>
      <c r="J8732" s="184"/>
      <c r="K8732" s="184"/>
      <c r="L8732" s="184"/>
      <c r="M8732" s="184"/>
      <c r="N8732" s="184"/>
      <c r="O8732" s="184"/>
    </row>
    <row r="8733" customFormat="false" ht="15" hidden="false" customHeight="true" outlineLevel="0" collapsed="false">
      <c r="A8733" s="184"/>
      <c r="B8733" s="184"/>
      <c r="C8733" s="184"/>
      <c r="D8733" s="184"/>
      <c r="E8733" s="184"/>
      <c r="F8733" s="184"/>
      <c r="G8733" s="184"/>
      <c r="H8733" s="184"/>
      <c r="I8733" s="184"/>
      <c r="J8733" s="184"/>
      <c r="K8733" s="184"/>
      <c r="L8733" s="184"/>
      <c r="M8733" s="184"/>
      <c r="N8733" s="184"/>
      <c r="O8733" s="184"/>
    </row>
    <row r="8734" customFormat="false" ht="15" hidden="false" customHeight="true" outlineLevel="0" collapsed="false">
      <c r="A8734" s="184"/>
      <c r="B8734" s="184"/>
      <c r="C8734" s="184"/>
      <c r="D8734" s="184"/>
      <c r="E8734" s="184"/>
      <c r="F8734" s="184"/>
      <c r="G8734" s="184"/>
      <c r="H8734" s="184"/>
      <c r="I8734" s="184"/>
      <c r="J8734" s="184"/>
      <c r="K8734" s="184"/>
      <c r="L8734" s="184"/>
      <c r="M8734" s="184"/>
      <c r="N8734" s="184"/>
      <c r="O8734" s="184"/>
    </row>
    <row r="8735" customFormat="false" ht="15" hidden="false" customHeight="true" outlineLevel="0" collapsed="false">
      <c r="A8735" s="184"/>
      <c r="B8735" s="184"/>
      <c r="C8735" s="184"/>
      <c r="D8735" s="184"/>
      <c r="E8735" s="184"/>
      <c r="F8735" s="184"/>
      <c r="G8735" s="184"/>
      <c r="H8735" s="184"/>
      <c r="I8735" s="184"/>
      <c r="J8735" s="184"/>
      <c r="K8735" s="184"/>
      <c r="L8735" s="184"/>
      <c r="M8735" s="184"/>
      <c r="N8735" s="184"/>
      <c r="O8735" s="184"/>
    </row>
    <row r="8736" customFormat="false" ht="15" hidden="false" customHeight="true" outlineLevel="0" collapsed="false">
      <c r="A8736" s="184"/>
      <c r="B8736" s="184"/>
      <c r="C8736" s="184"/>
      <c r="D8736" s="184"/>
      <c r="E8736" s="184"/>
      <c r="F8736" s="184"/>
      <c r="G8736" s="184"/>
      <c r="H8736" s="184"/>
      <c r="I8736" s="184"/>
      <c r="J8736" s="184"/>
      <c r="K8736" s="184"/>
      <c r="L8736" s="184"/>
      <c r="M8736" s="184"/>
      <c r="N8736" s="184"/>
      <c r="O8736" s="184"/>
    </row>
    <row r="8737" customFormat="false" ht="15" hidden="false" customHeight="true" outlineLevel="0" collapsed="false">
      <c r="A8737" s="184"/>
      <c r="B8737" s="184"/>
      <c r="C8737" s="184"/>
      <c r="D8737" s="184"/>
      <c r="E8737" s="184"/>
      <c r="F8737" s="184"/>
      <c r="G8737" s="184"/>
      <c r="H8737" s="184"/>
      <c r="I8737" s="184"/>
      <c r="J8737" s="184"/>
      <c r="K8737" s="184"/>
      <c r="L8737" s="184"/>
      <c r="M8737" s="184"/>
      <c r="N8737" s="184"/>
      <c r="O8737" s="184"/>
    </row>
    <row r="8738" customFormat="false" ht="15" hidden="false" customHeight="true" outlineLevel="0" collapsed="false">
      <c r="A8738" s="184"/>
      <c r="B8738" s="184"/>
      <c r="C8738" s="184"/>
      <c r="D8738" s="184"/>
      <c r="E8738" s="184"/>
      <c r="F8738" s="184"/>
      <c r="G8738" s="184"/>
      <c r="H8738" s="184"/>
      <c r="I8738" s="184"/>
      <c r="J8738" s="184"/>
      <c r="K8738" s="184"/>
      <c r="L8738" s="184"/>
      <c r="M8738" s="184"/>
      <c r="N8738" s="184"/>
      <c r="O8738" s="184"/>
    </row>
    <row r="8739" customFormat="false" ht="15" hidden="false" customHeight="true" outlineLevel="0" collapsed="false">
      <c r="A8739" s="184"/>
      <c r="B8739" s="184"/>
      <c r="C8739" s="184"/>
      <c r="D8739" s="184"/>
      <c r="E8739" s="184"/>
      <c r="F8739" s="184"/>
      <c r="G8739" s="184"/>
      <c r="H8739" s="184"/>
      <c r="I8739" s="184"/>
      <c r="J8739" s="184"/>
      <c r="K8739" s="184"/>
      <c r="L8739" s="184"/>
      <c r="M8739" s="184"/>
      <c r="N8739" s="184"/>
      <c r="O8739" s="184"/>
    </row>
    <row r="8740" customFormat="false" ht="15" hidden="false" customHeight="true" outlineLevel="0" collapsed="false">
      <c r="A8740" s="184"/>
      <c r="B8740" s="184"/>
      <c r="C8740" s="184"/>
      <c r="D8740" s="184"/>
      <c r="E8740" s="184"/>
      <c r="F8740" s="184"/>
      <c r="G8740" s="184"/>
      <c r="H8740" s="184"/>
      <c r="I8740" s="184"/>
      <c r="J8740" s="184"/>
      <c r="K8740" s="184"/>
      <c r="L8740" s="184"/>
      <c r="M8740" s="184"/>
      <c r="N8740" s="184"/>
      <c r="O8740" s="184"/>
    </row>
    <row r="8741" customFormat="false" ht="15" hidden="false" customHeight="true" outlineLevel="0" collapsed="false">
      <c r="A8741" s="184"/>
      <c r="B8741" s="184"/>
      <c r="C8741" s="184"/>
      <c r="D8741" s="184"/>
      <c r="E8741" s="184"/>
      <c r="F8741" s="184"/>
      <c r="G8741" s="184"/>
      <c r="H8741" s="184"/>
      <c r="I8741" s="184"/>
      <c r="J8741" s="184"/>
      <c r="K8741" s="184"/>
      <c r="L8741" s="184"/>
      <c r="M8741" s="184"/>
      <c r="N8741" s="184"/>
      <c r="O8741" s="184"/>
    </row>
    <row r="8742" customFormat="false" ht="15" hidden="false" customHeight="true" outlineLevel="0" collapsed="false">
      <c r="A8742" s="184"/>
      <c r="B8742" s="184"/>
      <c r="C8742" s="184"/>
      <c r="D8742" s="184"/>
      <c r="E8742" s="184"/>
      <c r="F8742" s="184"/>
      <c r="G8742" s="184"/>
      <c r="H8742" s="184"/>
      <c r="I8742" s="184"/>
      <c r="J8742" s="184"/>
      <c r="K8742" s="184"/>
      <c r="L8742" s="184"/>
      <c r="M8742" s="184"/>
      <c r="N8742" s="184"/>
      <c r="O8742" s="184"/>
    </row>
    <row r="8743" customFormat="false" ht="15" hidden="false" customHeight="true" outlineLevel="0" collapsed="false">
      <c r="A8743" s="184"/>
      <c r="B8743" s="184"/>
      <c r="C8743" s="184"/>
      <c r="D8743" s="184"/>
      <c r="E8743" s="184"/>
      <c r="F8743" s="184"/>
      <c r="G8743" s="184"/>
      <c r="H8743" s="184"/>
      <c r="I8743" s="184"/>
      <c r="J8743" s="184"/>
      <c r="K8743" s="184"/>
      <c r="L8743" s="184"/>
      <c r="M8743" s="184"/>
      <c r="N8743" s="184"/>
      <c r="O8743" s="184"/>
    </row>
    <row r="8744" customFormat="false" ht="15" hidden="false" customHeight="true" outlineLevel="0" collapsed="false">
      <c r="A8744" s="184"/>
      <c r="B8744" s="184"/>
      <c r="C8744" s="184"/>
      <c r="D8744" s="184"/>
      <c r="E8744" s="184"/>
      <c r="F8744" s="184"/>
      <c r="G8744" s="184"/>
      <c r="H8744" s="184"/>
      <c r="I8744" s="184"/>
      <c r="J8744" s="184"/>
      <c r="K8744" s="184"/>
      <c r="L8744" s="184"/>
      <c r="M8744" s="184"/>
      <c r="N8744" s="184"/>
      <c r="O8744" s="184"/>
    </row>
    <row r="8745" customFormat="false" ht="15" hidden="false" customHeight="true" outlineLevel="0" collapsed="false">
      <c r="A8745" s="184"/>
      <c r="B8745" s="184"/>
      <c r="C8745" s="184"/>
      <c r="D8745" s="184"/>
      <c r="E8745" s="184"/>
      <c r="F8745" s="184"/>
      <c r="G8745" s="184"/>
      <c r="H8745" s="184"/>
      <c r="I8745" s="184"/>
      <c r="J8745" s="184"/>
      <c r="K8745" s="184"/>
      <c r="L8745" s="184"/>
      <c r="M8745" s="184"/>
      <c r="N8745" s="184"/>
      <c r="O8745" s="184"/>
    </row>
    <row r="8746" customFormat="false" ht="15" hidden="false" customHeight="true" outlineLevel="0" collapsed="false">
      <c r="A8746" s="184"/>
      <c r="B8746" s="184"/>
      <c r="C8746" s="184"/>
      <c r="D8746" s="184"/>
      <c r="E8746" s="184"/>
      <c r="F8746" s="184"/>
      <c r="G8746" s="184"/>
      <c r="H8746" s="184"/>
      <c r="I8746" s="184"/>
      <c r="J8746" s="184"/>
      <c r="K8746" s="184"/>
      <c r="L8746" s="184"/>
      <c r="M8746" s="184"/>
      <c r="N8746" s="184"/>
      <c r="O8746" s="184"/>
    </row>
    <row r="8747" customFormat="false" ht="15" hidden="false" customHeight="true" outlineLevel="0" collapsed="false">
      <c r="A8747" s="184"/>
      <c r="B8747" s="184"/>
      <c r="C8747" s="184"/>
      <c r="D8747" s="184"/>
      <c r="E8747" s="184"/>
      <c r="F8747" s="184"/>
      <c r="G8747" s="184"/>
      <c r="H8747" s="184"/>
      <c r="I8747" s="184"/>
      <c r="J8747" s="184"/>
      <c r="K8747" s="184"/>
      <c r="L8747" s="184"/>
      <c r="M8747" s="184"/>
      <c r="N8747" s="184"/>
      <c r="O8747" s="184"/>
    </row>
    <row r="8748" customFormat="false" ht="15" hidden="false" customHeight="true" outlineLevel="0" collapsed="false">
      <c r="A8748" s="184"/>
      <c r="B8748" s="184"/>
      <c r="C8748" s="184"/>
      <c r="D8748" s="184"/>
      <c r="E8748" s="184"/>
      <c r="F8748" s="184"/>
      <c r="G8748" s="184"/>
      <c r="H8748" s="184"/>
      <c r="I8748" s="184"/>
      <c r="J8748" s="184"/>
      <c r="K8748" s="184"/>
      <c r="L8748" s="184"/>
      <c r="M8748" s="184"/>
      <c r="N8748" s="184"/>
      <c r="O8748" s="184"/>
    </row>
    <row r="8749" customFormat="false" ht="15" hidden="false" customHeight="true" outlineLevel="0" collapsed="false">
      <c r="A8749" s="184"/>
      <c r="B8749" s="184"/>
      <c r="C8749" s="184"/>
      <c r="D8749" s="184"/>
      <c r="E8749" s="184"/>
      <c r="F8749" s="184"/>
      <c r="G8749" s="184"/>
      <c r="H8749" s="184"/>
      <c r="I8749" s="184"/>
      <c r="J8749" s="184"/>
      <c r="K8749" s="184"/>
      <c r="L8749" s="184"/>
      <c r="M8749" s="184"/>
      <c r="N8749" s="184"/>
      <c r="O8749" s="184"/>
    </row>
    <row r="8750" customFormat="false" ht="15" hidden="false" customHeight="true" outlineLevel="0" collapsed="false">
      <c r="A8750" s="184"/>
      <c r="B8750" s="184"/>
      <c r="C8750" s="184"/>
      <c r="D8750" s="184"/>
      <c r="E8750" s="184"/>
      <c r="F8750" s="184"/>
      <c r="G8750" s="184"/>
      <c r="H8750" s="184"/>
      <c r="I8750" s="184"/>
      <c r="J8750" s="184"/>
      <c r="K8750" s="184"/>
      <c r="L8750" s="184"/>
      <c r="M8750" s="184"/>
      <c r="N8750" s="184"/>
      <c r="O8750" s="184"/>
    </row>
    <row r="8751" customFormat="false" ht="15" hidden="false" customHeight="true" outlineLevel="0" collapsed="false">
      <c r="A8751" s="184"/>
      <c r="B8751" s="184"/>
      <c r="C8751" s="184"/>
      <c r="D8751" s="184"/>
      <c r="E8751" s="184"/>
      <c r="F8751" s="184"/>
      <c r="G8751" s="184"/>
      <c r="H8751" s="184"/>
      <c r="I8751" s="184"/>
      <c r="J8751" s="184"/>
      <c r="K8751" s="184"/>
      <c r="L8751" s="184"/>
      <c r="M8751" s="184"/>
      <c r="N8751" s="184"/>
      <c r="O8751" s="184"/>
    </row>
    <row r="8752" customFormat="false" ht="15" hidden="false" customHeight="true" outlineLevel="0" collapsed="false">
      <c r="A8752" s="184"/>
      <c r="B8752" s="184"/>
      <c r="C8752" s="184"/>
      <c r="D8752" s="184"/>
      <c r="E8752" s="184"/>
      <c r="F8752" s="184"/>
      <c r="G8752" s="184"/>
      <c r="H8752" s="184"/>
      <c r="I8752" s="184"/>
      <c r="J8752" s="184"/>
      <c r="K8752" s="184"/>
      <c r="L8752" s="184"/>
      <c r="M8752" s="184"/>
      <c r="N8752" s="184"/>
      <c r="O8752" s="184"/>
    </row>
    <row r="8753" customFormat="false" ht="15" hidden="false" customHeight="true" outlineLevel="0" collapsed="false">
      <c r="A8753" s="184"/>
      <c r="B8753" s="184"/>
      <c r="C8753" s="184"/>
      <c r="D8753" s="184"/>
      <c r="E8753" s="184"/>
      <c r="F8753" s="184"/>
      <c r="G8753" s="184"/>
      <c r="H8753" s="184"/>
      <c r="I8753" s="184"/>
      <c r="J8753" s="184"/>
      <c r="K8753" s="184"/>
      <c r="L8753" s="184"/>
      <c r="M8753" s="184"/>
      <c r="N8753" s="184"/>
      <c r="O8753" s="184"/>
    </row>
    <row r="8754" customFormat="false" ht="15" hidden="false" customHeight="true" outlineLevel="0" collapsed="false">
      <c r="A8754" s="184"/>
      <c r="B8754" s="184"/>
      <c r="C8754" s="184"/>
      <c r="D8754" s="184"/>
      <c r="E8754" s="184"/>
      <c r="F8754" s="184"/>
      <c r="G8754" s="184"/>
      <c r="H8754" s="184"/>
      <c r="I8754" s="184"/>
      <c r="J8754" s="184"/>
      <c r="K8754" s="184"/>
      <c r="L8754" s="184"/>
      <c r="M8754" s="184"/>
      <c r="N8754" s="184"/>
      <c r="O8754" s="184"/>
    </row>
    <row r="8755" customFormat="false" ht="15" hidden="false" customHeight="true" outlineLevel="0" collapsed="false">
      <c r="A8755" s="184"/>
      <c r="B8755" s="184"/>
      <c r="C8755" s="184"/>
      <c r="D8755" s="184"/>
      <c r="E8755" s="184"/>
      <c r="F8755" s="184"/>
      <c r="G8755" s="184"/>
      <c r="H8755" s="184"/>
      <c r="I8755" s="184"/>
      <c r="J8755" s="184"/>
      <c r="K8755" s="184"/>
      <c r="L8755" s="184"/>
      <c r="M8755" s="184"/>
      <c r="N8755" s="184"/>
      <c r="O8755" s="184"/>
    </row>
    <row r="8756" customFormat="false" ht="15" hidden="false" customHeight="true" outlineLevel="0" collapsed="false">
      <c r="A8756" s="184"/>
      <c r="B8756" s="184"/>
      <c r="C8756" s="184"/>
      <c r="D8756" s="184"/>
      <c r="E8756" s="184"/>
      <c r="F8756" s="184"/>
      <c r="G8756" s="184"/>
      <c r="H8756" s="184"/>
      <c r="I8756" s="184"/>
      <c r="J8756" s="184"/>
      <c r="K8756" s="184"/>
      <c r="L8756" s="184"/>
      <c r="M8756" s="184"/>
      <c r="N8756" s="184"/>
      <c r="O8756" s="184"/>
    </row>
    <row r="8757" customFormat="false" ht="15" hidden="false" customHeight="true" outlineLevel="0" collapsed="false">
      <c r="A8757" s="184"/>
      <c r="B8757" s="184"/>
      <c r="C8757" s="184"/>
      <c r="D8757" s="184"/>
      <c r="E8757" s="184"/>
      <c r="F8757" s="184"/>
      <c r="G8757" s="184"/>
      <c r="H8757" s="184"/>
      <c r="I8757" s="184"/>
      <c r="J8757" s="184"/>
      <c r="K8757" s="184"/>
      <c r="L8757" s="184"/>
      <c r="M8757" s="184"/>
      <c r="N8757" s="184"/>
      <c r="O8757" s="184"/>
    </row>
    <row r="8758" customFormat="false" ht="15" hidden="false" customHeight="true" outlineLevel="0" collapsed="false">
      <c r="A8758" s="184"/>
      <c r="B8758" s="184"/>
      <c r="C8758" s="184"/>
      <c r="D8758" s="184"/>
      <c r="E8758" s="184"/>
      <c r="F8758" s="184"/>
      <c r="G8758" s="184"/>
      <c r="H8758" s="184"/>
      <c r="I8758" s="184"/>
      <c r="J8758" s="184"/>
      <c r="K8758" s="184"/>
      <c r="L8758" s="184"/>
      <c r="M8758" s="184"/>
      <c r="N8758" s="184"/>
      <c r="O8758" s="184"/>
    </row>
    <row r="8759" customFormat="false" ht="15" hidden="false" customHeight="true" outlineLevel="0" collapsed="false">
      <c r="A8759" s="184"/>
      <c r="B8759" s="184"/>
      <c r="C8759" s="184"/>
      <c r="D8759" s="184"/>
      <c r="E8759" s="184"/>
      <c r="F8759" s="184"/>
      <c r="G8759" s="184"/>
      <c r="H8759" s="184"/>
      <c r="I8759" s="184"/>
      <c r="J8759" s="184"/>
      <c r="K8759" s="184"/>
      <c r="L8759" s="184"/>
      <c r="M8759" s="184"/>
      <c r="N8759" s="184"/>
      <c r="O8759" s="184"/>
    </row>
    <row r="8760" customFormat="false" ht="15" hidden="false" customHeight="true" outlineLevel="0" collapsed="false">
      <c r="A8760" s="184"/>
      <c r="B8760" s="184"/>
      <c r="C8760" s="184"/>
      <c r="D8760" s="184"/>
      <c r="E8760" s="184"/>
      <c r="F8760" s="184"/>
      <c r="G8760" s="184"/>
      <c r="H8760" s="184"/>
      <c r="I8760" s="184"/>
      <c r="J8760" s="184"/>
      <c r="K8760" s="184"/>
      <c r="L8760" s="184"/>
      <c r="M8760" s="184"/>
      <c r="N8760" s="184"/>
      <c r="O8760" s="184"/>
    </row>
    <row r="8761" customFormat="false" ht="15" hidden="false" customHeight="true" outlineLevel="0" collapsed="false">
      <c r="A8761" s="184"/>
      <c r="B8761" s="184"/>
      <c r="C8761" s="184"/>
      <c r="D8761" s="184"/>
      <c r="E8761" s="184"/>
      <c r="F8761" s="184"/>
      <c r="G8761" s="184"/>
      <c r="H8761" s="184"/>
      <c r="I8761" s="184"/>
      <c r="J8761" s="184"/>
      <c r="K8761" s="184"/>
      <c r="L8761" s="184"/>
      <c r="M8761" s="184"/>
      <c r="N8761" s="184"/>
      <c r="O8761" s="184"/>
    </row>
    <row r="8762" customFormat="false" ht="15" hidden="false" customHeight="true" outlineLevel="0" collapsed="false">
      <c r="A8762" s="184"/>
      <c r="B8762" s="184"/>
      <c r="C8762" s="184"/>
      <c r="D8762" s="184"/>
      <c r="E8762" s="184"/>
      <c r="F8762" s="184"/>
      <c r="G8762" s="184"/>
      <c r="H8762" s="184"/>
      <c r="I8762" s="184"/>
      <c r="J8762" s="184"/>
      <c r="K8762" s="184"/>
      <c r="L8762" s="184"/>
      <c r="M8762" s="184"/>
      <c r="N8762" s="184"/>
      <c r="O8762" s="184"/>
    </row>
    <row r="8763" customFormat="false" ht="15" hidden="false" customHeight="true" outlineLevel="0" collapsed="false">
      <c r="A8763" s="184"/>
      <c r="B8763" s="184"/>
      <c r="C8763" s="184"/>
      <c r="D8763" s="184"/>
      <c r="E8763" s="184"/>
      <c r="F8763" s="184"/>
      <c r="G8763" s="184"/>
      <c r="H8763" s="184"/>
      <c r="I8763" s="184"/>
      <c r="J8763" s="184"/>
      <c r="K8763" s="184"/>
      <c r="L8763" s="184"/>
      <c r="M8763" s="184"/>
      <c r="N8763" s="184"/>
      <c r="O8763" s="184"/>
    </row>
    <row r="8764" customFormat="false" ht="15" hidden="false" customHeight="true" outlineLevel="0" collapsed="false">
      <c r="A8764" s="184"/>
      <c r="B8764" s="184"/>
      <c r="C8764" s="184"/>
      <c r="D8764" s="184"/>
      <c r="E8764" s="184"/>
      <c r="F8764" s="184"/>
      <c r="G8764" s="184"/>
      <c r="H8764" s="184"/>
      <c r="I8764" s="184"/>
      <c r="J8764" s="184"/>
      <c r="K8764" s="184"/>
      <c r="L8764" s="184"/>
      <c r="M8764" s="184"/>
      <c r="N8764" s="184"/>
      <c r="O8764" s="184"/>
    </row>
    <row r="8765" customFormat="false" ht="15" hidden="false" customHeight="true" outlineLevel="0" collapsed="false">
      <c r="A8765" s="184"/>
      <c r="B8765" s="184"/>
      <c r="C8765" s="184"/>
      <c r="D8765" s="184"/>
      <c r="E8765" s="184"/>
      <c r="F8765" s="184"/>
      <c r="G8765" s="184"/>
      <c r="H8765" s="184"/>
      <c r="I8765" s="184"/>
      <c r="J8765" s="184"/>
      <c r="K8765" s="184"/>
      <c r="L8765" s="184"/>
      <c r="M8765" s="184"/>
      <c r="N8765" s="184"/>
      <c r="O8765" s="184"/>
    </row>
    <row r="8766" customFormat="false" ht="15" hidden="false" customHeight="true" outlineLevel="0" collapsed="false">
      <c r="A8766" s="184"/>
      <c r="B8766" s="184"/>
      <c r="C8766" s="184"/>
      <c r="D8766" s="184"/>
      <c r="E8766" s="184"/>
      <c r="F8766" s="184"/>
      <c r="G8766" s="184"/>
      <c r="H8766" s="184"/>
      <c r="I8766" s="184"/>
      <c r="J8766" s="184"/>
      <c r="K8766" s="184"/>
      <c r="L8766" s="184"/>
      <c r="M8766" s="184"/>
      <c r="N8766" s="184"/>
      <c r="O8766" s="184"/>
    </row>
    <row r="8767" customFormat="false" ht="15" hidden="false" customHeight="true" outlineLevel="0" collapsed="false">
      <c r="A8767" s="184"/>
      <c r="B8767" s="184"/>
      <c r="C8767" s="184"/>
      <c r="D8767" s="184"/>
      <c r="E8767" s="184"/>
      <c r="F8767" s="184"/>
      <c r="G8767" s="184"/>
      <c r="H8767" s="184"/>
      <c r="I8767" s="184"/>
      <c r="J8767" s="184"/>
      <c r="K8767" s="184"/>
      <c r="L8767" s="184"/>
      <c r="M8767" s="184"/>
      <c r="N8767" s="184"/>
      <c r="O8767" s="184"/>
    </row>
    <row r="8768" customFormat="false" ht="15" hidden="false" customHeight="true" outlineLevel="0" collapsed="false">
      <c r="A8768" s="184"/>
      <c r="B8768" s="184"/>
      <c r="C8768" s="184"/>
      <c r="D8768" s="184"/>
      <c r="E8768" s="184"/>
      <c r="F8768" s="184"/>
      <c r="G8768" s="184"/>
      <c r="H8768" s="184"/>
      <c r="I8768" s="184"/>
      <c r="J8768" s="184"/>
      <c r="K8768" s="184"/>
      <c r="L8768" s="184"/>
      <c r="M8768" s="184"/>
      <c r="N8768" s="184"/>
      <c r="O8768" s="184"/>
    </row>
    <row r="8769" customFormat="false" ht="15" hidden="false" customHeight="true" outlineLevel="0" collapsed="false">
      <c r="A8769" s="184"/>
      <c r="B8769" s="184"/>
      <c r="C8769" s="184"/>
      <c r="D8769" s="184"/>
      <c r="E8769" s="184"/>
      <c r="F8769" s="184"/>
      <c r="G8769" s="184"/>
      <c r="H8769" s="184"/>
      <c r="I8769" s="184"/>
      <c r="J8769" s="184"/>
      <c r="K8769" s="184"/>
      <c r="L8769" s="184"/>
      <c r="M8769" s="184"/>
      <c r="N8769" s="184"/>
      <c r="O8769" s="184"/>
    </row>
    <row r="8770" customFormat="false" ht="15" hidden="false" customHeight="true" outlineLevel="0" collapsed="false">
      <c r="A8770" s="184"/>
      <c r="B8770" s="184"/>
      <c r="C8770" s="184"/>
      <c r="D8770" s="184"/>
      <c r="E8770" s="184"/>
      <c r="F8770" s="184"/>
      <c r="G8770" s="184"/>
      <c r="H8770" s="184"/>
      <c r="I8770" s="184"/>
      <c r="J8770" s="184"/>
      <c r="K8770" s="184"/>
      <c r="L8770" s="184"/>
      <c r="M8770" s="184"/>
      <c r="N8770" s="184"/>
      <c r="O8770" s="184"/>
    </row>
    <row r="8771" customFormat="false" ht="15" hidden="false" customHeight="true" outlineLevel="0" collapsed="false">
      <c r="A8771" s="184"/>
      <c r="B8771" s="184"/>
      <c r="C8771" s="184"/>
      <c r="D8771" s="184"/>
      <c r="E8771" s="184"/>
      <c r="F8771" s="184"/>
      <c r="G8771" s="184"/>
      <c r="H8771" s="184"/>
      <c r="I8771" s="184"/>
      <c r="J8771" s="184"/>
      <c r="K8771" s="184"/>
      <c r="L8771" s="184"/>
      <c r="M8771" s="184"/>
      <c r="N8771" s="184"/>
      <c r="O8771" s="184"/>
    </row>
    <row r="8772" customFormat="false" ht="15" hidden="false" customHeight="true" outlineLevel="0" collapsed="false">
      <c r="A8772" s="184"/>
      <c r="B8772" s="184"/>
      <c r="C8772" s="184"/>
      <c r="D8772" s="184"/>
      <c r="E8772" s="184"/>
      <c r="F8772" s="184"/>
      <c r="G8772" s="184"/>
      <c r="H8772" s="184"/>
      <c r="I8772" s="184"/>
      <c r="J8772" s="184"/>
      <c r="K8772" s="184"/>
      <c r="L8772" s="184"/>
      <c r="M8772" s="184"/>
      <c r="N8772" s="184"/>
      <c r="O8772" s="184"/>
    </row>
    <row r="8773" customFormat="false" ht="15" hidden="false" customHeight="true" outlineLevel="0" collapsed="false">
      <c r="A8773" s="184"/>
      <c r="B8773" s="184"/>
      <c r="C8773" s="184"/>
      <c r="D8773" s="184"/>
      <c r="E8773" s="184"/>
      <c r="F8773" s="184"/>
      <c r="G8773" s="184"/>
      <c r="H8773" s="184"/>
      <c r="I8773" s="184"/>
      <c r="J8773" s="184"/>
      <c r="K8773" s="184"/>
      <c r="L8773" s="184"/>
      <c r="M8773" s="184"/>
      <c r="N8773" s="184"/>
      <c r="O8773" s="184"/>
    </row>
    <row r="8774" customFormat="false" ht="15" hidden="false" customHeight="true" outlineLevel="0" collapsed="false">
      <c r="A8774" s="184"/>
      <c r="B8774" s="184"/>
      <c r="C8774" s="184"/>
      <c r="D8774" s="184"/>
      <c r="E8774" s="184"/>
      <c r="F8774" s="184"/>
      <c r="G8774" s="184"/>
      <c r="H8774" s="184"/>
      <c r="I8774" s="184"/>
      <c r="J8774" s="184"/>
      <c r="K8774" s="184"/>
      <c r="L8774" s="184"/>
      <c r="M8774" s="184"/>
      <c r="N8774" s="184"/>
      <c r="O8774" s="184"/>
    </row>
    <row r="8775" customFormat="false" ht="15" hidden="false" customHeight="true" outlineLevel="0" collapsed="false">
      <c r="A8775" s="184"/>
      <c r="B8775" s="184"/>
      <c r="C8775" s="184"/>
      <c r="D8775" s="184"/>
      <c r="E8775" s="184"/>
      <c r="F8775" s="184"/>
      <c r="G8775" s="184"/>
      <c r="H8775" s="184"/>
      <c r="I8775" s="184"/>
      <c r="J8775" s="184"/>
      <c r="K8775" s="184"/>
      <c r="L8775" s="184"/>
      <c r="M8775" s="184"/>
      <c r="N8775" s="184"/>
      <c r="O8775" s="184"/>
    </row>
    <row r="8776" customFormat="false" ht="15" hidden="false" customHeight="true" outlineLevel="0" collapsed="false">
      <c r="A8776" s="184"/>
      <c r="B8776" s="184"/>
      <c r="C8776" s="184"/>
      <c r="D8776" s="184"/>
      <c r="E8776" s="184"/>
      <c r="F8776" s="184"/>
      <c r="G8776" s="184"/>
      <c r="H8776" s="184"/>
      <c r="I8776" s="184"/>
      <c r="J8776" s="184"/>
      <c r="K8776" s="184"/>
      <c r="L8776" s="184"/>
      <c r="M8776" s="184"/>
      <c r="N8776" s="184"/>
      <c r="O8776" s="184"/>
    </row>
    <row r="8777" customFormat="false" ht="15" hidden="false" customHeight="true" outlineLevel="0" collapsed="false">
      <c r="A8777" s="184"/>
      <c r="B8777" s="184"/>
      <c r="C8777" s="184"/>
      <c r="D8777" s="184"/>
      <c r="E8777" s="184"/>
      <c r="F8777" s="184"/>
      <c r="G8777" s="184"/>
      <c r="H8777" s="184"/>
      <c r="I8777" s="184"/>
      <c r="J8777" s="184"/>
      <c r="K8777" s="184"/>
      <c r="L8777" s="184"/>
      <c r="M8777" s="184"/>
      <c r="N8777" s="184"/>
      <c r="O8777" s="184"/>
    </row>
    <row r="8778" customFormat="false" ht="15" hidden="false" customHeight="true" outlineLevel="0" collapsed="false">
      <c r="A8778" s="184"/>
      <c r="B8778" s="184"/>
      <c r="C8778" s="184"/>
      <c r="D8778" s="184"/>
      <c r="E8778" s="184"/>
      <c r="F8778" s="184"/>
      <c r="G8778" s="184"/>
      <c r="H8778" s="184"/>
      <c r="I8778" s="184"/>
      <c r="J8778" s="184"/>
      <c r="K8778" s="184"/>
      <c r="L8778" s="184"/>
      <c r="M8778" s="184"/>
      <c r="N8778" s="184"/>
      <c r="O8778" s="184"/>
    </row>
    <row r="8779" customFormat="false" ht="15" hidden="false" customHeight="true" outlineLevel="0" collapsed="false">
      <c r="A8779" s="184"/>
      <c r="B8779" s="184"/>
      <c r="C8779" s="184"/>
      <c r="D8779" s="184"/>
      <c r="E8779" s="184"/>
      <c r="F8779" s="184"/>
      <c r="G8779" s="184"/>
      <c r="H8779" s="184"/>
      <c r="I8779" s="184"/>
      <c r="J8779" s="184"/>
      <c r="K8779" s="184"/>
      <c r="L8779" s="184"/>
      <c r="M8779" s="184"/>
      <c r="N8779" s="184"/>
      <c r="O8779" s="184"/>
    </row>
    <row r="8780" customFormat="false" ht="15" hidden="false" customHeight="true" outlineLevel="0" collapsed="false">
      <c r="A8780" s="184"/>
      <c r="B8780" s="184"/>
      <c r="C8780" s="184"/>
      <c r="D8780" s="184"/>
      <c r="E8780" s="184"/>
      <c r="F8780" s="184"/>
      <c r="G8780" s="184"/>
      <c r="H8780" s="184"/>
      <c r="I8780" s="184"/>
      <c r="J8780" s="184"/>
      <c r="K8780" s="184"/>
      <c r="L8780" s="184"/>
      <c r="M8780" s="184"/>
      <c r="N8780" s="184"/>
      <c r="O8780" s="184"/>
    </row>
    <row r="8781" customFormat="false" ht="15" hidden="false" customHeight="true" outlineLevel="0" collapsed="false">
      <c r="A8781" s="184"/>
      <c r="B8781" s="184"/>
      <c r="C8781" s="184"/>
      <c r="D8781" s="184"/>
      <c r="E8781" s="184"/>
      <c r="F8781" s="184"/>
      <c r="G8781" s="184"/>
      <c r="H8781" s="184"/>
      <c r="I8781" s="184"/>
      <c r="J8781" s="184"/>
      <c r="K8781" s="184"/>
      <c r="L8781" s="184"/>
      <c r="M8781" s="184"/>
      <c r="N8781" s="184"/>
      <c r="O8781" s="184"/>
    </row>
    <row r="8782" customFormat="false" ht="15" hidden="false" customHeight="true" outlineLevel="0" collapsed="false">
      <c r="A8782" s="184"/>
      <c r="B8782" s="184"/>
      <c r="C8782" s="184"/>
      <c r="D8782" s="184"/>
      <c r="E8782" s="184"/>
      <c r="F8782" s="184"/>
      <c r="G8782" s="184"/>
      <c r="H8782" s="184"/>
      <c r="I8782" s="184"/>
      <c r="J8782" s="184"/>
      <c r="K8782" s="184"/>
      <c r="L8782" s="184"/>
      <c r="M8782" s="184"/>
      <c r="N8782" s="184"/>
      <c r="O8782" s="184"/>
    </row>
    <row r="8783" customFormat="false" ht="15" hidden="false" customHeight="true" outlineLevel="0" collapsed="false">
      <c r="A8783" s="184"/>
      <c r="B8783" s="184"/>
      <c r="C8783" s="184"/>
      <c r="D8783" s="184"/>
      <c r="E8783" s="184"/>
      <c r="F8783" s="184"/>
      <c r="G8783" s="184"/>
      <c r="H8783" s="184"/>
      <c r="I8783" s="184"/>
      <c r="J8783" s="184"/>
      <c r="K8783" s="184"/>
      <c r="L8783" s="184"/>
      <c r="M8783" s="184"/>
      <c r="N8783" s="184"/>
      <c r="O8783" s="184"/>
    </row>
    <row r="8784" customFormat="false" ht="15" hidden="false" customHeight="true" outlineLevel="0" collapsed="false">
      <c r="A8784" s="184"/>
      <c r="B8784" s="184"/>
      <c r="C8784" s="184"/>
      <c r="D8784" s="184"/>
      <c r="E8784" s="184"/>
      <c r="F8784" s="184"/>
      <c r="G8784" s="184"/>
      <c r="H8784" s="184"/>
      <c r="I8784" s="184"/>
      <c r="J8784" s="184"/>
      <c r="K8784" s="184"/>
      <c r="L8784" s="184"/>
      <c r="M8784" s="184"/>
      <c r="N8784" s="184"/>
      <c r="O8784" s="184"/>
    </row>
    <row r="8785" customFormat="false" ht="15" hidden="false" customHeight="true" outlineLevel="0" collapsed="false">
      <c r="A8785" s="184"/>
      <c r="B8785" s="184"/>
      <c r="C8785" s="184"/>
      <c r="D8785" s="184"/>
      <c r="E8785" s="184"/>
      <c r="F8785" s="184"/>
      <c r="G8785" s="184"/>
      <c r="H8785" s="184"/>
      <c r="I8785" s="184"/>
      <c r="J8785" s="184"/>
      <c r="K8785" s="184"/>
      <c r="L8785" s="184"/>
      <c r="M8785" s="184"/>
      <c r="N8785" s="184"/>
      <c r="O8785" s="184"/>
    </row>
    <row r="8786" customFormat="false" ht="15" hidden="false" customHeight="true" outlineLevel="0" collapsed="false">
      <c r="A8786" s="184"/>
      <c r="B8786" s="184"/>
      <c r="C8786" s="184"/>
      <c r="D8786" s="184"/>
      <c r="E8786" s="184"/>
      <c r="F8786" s="184"/>
      <c r="G8786" s="184"/>
      <c r="H8786" s="184"/>
      <c r="I8786" s="184"/>
      <c r="J8786" s="184"/>
      <c r="K8786" s="184"/>
      <c r="L8786" s="184"/>
      <c r="M8786" s="184"/>
      <c r="N8786" s="184"/>
      <c r="O8786" s="184"/>
    </row>
    <row r="8787" customFormat="false" ht="15" hidden="false" customHeight="true" outlineLevel="0" collapsed="false">
      <c r="A8787" s="184"/>
      <c r="B8787" s="184"/>
      <c r="C8787" s="184"/>
      <c r="D8787" s="184"/>
      <c r="E8787" s="184"/>
      <c r="F8787" s="184"/>
      <c r="G8787" s="184"/>
      <c r="H8787" s="184"/>
      <c r="I8787" s="184"/>
      <c r="J8787" s="184"/>
      <c r="K8787" s="184"/>
      <c r="L8787" s="184"/>
      <c r="M8787" s="184"/>
      <c r="N8787" s="184"/>
      <c r="O8787" s="184"/>
    </row>
    <row r="8788" customFormat="false" ht="15" hidden="false" customHeight="true" outlineLevel="0" collapsed="false">
      <c r="A8788" s="184"/>
      <c r="B8788" s="184"/>
      <c r="C8788" s="184"/>
      <c r="D8788" s="184"/>
      <c r="E8788" s="184"/>
      <c r="F8788" s="184"/>
      <c r="G8788" s="184"/>
      <c r="H8788" s="184"/>
      <c r="I8788" s="184"/>
      <c r="J8788" s="184"/>
      <c r="K8788" s="184"/>
      <c r="L8788" s="184"/>
      <c r="M8788" s="184"/>
      <c r="N8788" s="184"/>
      <c r="O8788" s="184"/>
    </row>
    <row r="8789" customFormat="false" ht="15" hidden="false" customHeight="true" outlineLevel="0" collapsed="false">
      <c r="A8789" s="184"/>
      <c r="B8789" s="184"/>
      <c r="C8789" s="184"/>
      <c r="D8789" s="184"/>
      <c r="E8789" s="184"/>
      <c r="F8789" s="184"/>
      <c r="G8789" s="184"/>
      <c r="H8789" s="184"/>
      <c r="I8789" s="184"/>
      <c r="J8789" s="184"/>
      <c r="K8789" s="184"/>
      <c r="L8789" s="184"/>
      <c r="M8789" s="184"/>
      <c r="N8789" s="184"/>
      <c r="O8789" s="184"/>
    </row>
    <row r="8790" customFormat="false" ht="15" hidden="false" customHeight="true" outlineLevel="0" collapsed="false">
      <c r="A8790" s="184"/>
      <c r="B8790" s="184"/>
      <c r="C8790" s="184"/>
      <c r="D8790" s="184"/>
      <c r="E8790" s="184"/>
      <c r="F8790" s="184"/>
      <c r="G8790" s="184"/>
      <c r="H8790" s="184"/>
      <c r="I8790" s="184"/>
      <c r="J8790" s="184"/>
      <c r="K8790" s="184"/>
      <c r="L8790" s="184"/>
      <c r="M8790" s="184"/>
      <c r="N8790" s="184"/>
      <c r="O8790" s="184"/>
    </row>
    <row r="8791" customFormat="false" ht="15" hidden="false" customHeight="true" outlineLevel="0" collapsed="false">
      <c r="A8791" s="184"/>
      <c r="B8791" s="184"/>
      <c r="C8791" s="184"/>
      <c r="D8791" s="184"/>
      <c r="E8791" s="184"/>
      <c r="F8791" s="184"/>
      <c r="G8791" s="184"/>
      <c r="H8791" s="184"/>
      <c r="I8791" s="184"/>
      <c r="J8791" s="184"/>
      <c r="K8791" s="184"/>
      <c r="L8791" s="184"/>
      <c r="M8791" s="184"/>
      <c r="N8791" s="184"/>
      <c r="O8791" s="184"/>
    </row>
    <row r="8792" customFormat="false" ht="15" hidden="false" customHeight="true" outlineLevel="0" collapsed="false">
      <c r="A8792" s="184"/>
      <c r="B8792" s="184"/>
      <c r="C8792" s="184"/>
      <c r="D8792" s="184"/>
      <c r="E8792" s="184"/>
      <c r="F8792" s="184"/>
      <c r="G8792" s="184"/>
      <c r="H8792" s="184"/>
      <c r="I8792" s="184"/>
      <c r="J8792" s="184"/>
      <c r="K8792" s="184"/>
      <c r="L8792" s="184"/>
      <c r="M8792" s="184"/>
      <c r="N8792" s="184"/>
      <c r="O8792" s="184"/>
    </row>
    <row r="8793" customFormat="false" ht="15" hidden="false" customHeight="true" outlineLevel="0" collapsed="false">
      <c r="A8793" s="184"/>
      <c r="B8793" s="184"/>
      <c r="C8793" s="184"/>
      <c r="D8793" s="184"/>
      <c r="E8793" s="184"/>
      <c r="F8793" s="184"/>
      <c r="G8793" s="184"/>
      <c r="H8793" s="184"/>
      <c r="I8793" s="184"/>
      <c r="J8793" s="184"/>
      <c r="K8793" s="184"/>
      <c r="L8793" s="184"/>
      <c r="M8793" s="184"/>
      <c r="N8793" s="184"/>
      <c r="O8793" s="184"/>
    </row>
    <row r="8794" customFormat="false" ht="15" hidden="false" customHeight="true" outlineLevel="0" collapsed="false">
      <c r="A8794" s="184"/>
      <c r="B8794" s="184"/>
      <c r="C8794" s="184"/>
      <c r="D8794" s="184"/>
      <c r="E8794" s="184"/>
      <c r="F8794" s="184"/>
      <c r="G8794" s="184"/>
      <c r="H8794" s="184"/>
      <c r="I8794" s="184"/>
      <c r="J8794" s="184"/>
      <c r="K8794" s="184"/>
      <c r="L8794" s="184"/>
      <c r="M8794" s="184"/>
      <c r="N8794" s="184"/>
      <c r="O8794" s="184"/>
    </row>
    <row r="8795" customFormat="false" ht="15" hidden="false" customHeight="true" outlineLevel="0" collapsed="false">
      <c r="A8795" s="184"/>
      <c r="B8795" s="184"/>
      <c r="C8795" s="184"/>
      <c r="D8795" s="184"/>
      <c r="E8795" s="184"/>
      <c r="F8795" s="184"/>
      <c r="G8795" s="184"/>
      <c r="H8795" s="184"/>
      <c r="I8795" s="184"/>
      <c r="J8795" s="184"/>
      <c r="K8795" s="184"/>
      <c r="L8795" s="184"/>
      <c r="M8795" s="184"/>
      <c r="N8795" s="184"/>
      <c r="O8795" s="184"/>
    </row>
    <row r="8796" customFormat="false" ht="15" hidden="false" customHeight="true" outlineLevel="0" collapsed="false">
      <c r="A8796" s="184"/>
      <c r="B8796" s="184"/>
      <c r="C8796" s="184"/>
      <c r="D8796" s="184"/>
      <c r="E8796" s="184"/>
      <c r="F8796" s="184"/>
      <c r="G8796" s="184"/>
      <c r="H8796" s="184"/>
      <c r="I8796" s="184"/>
      <c r="J8796" s="184"/>
      <c r="K8796" s="184"/>
      <c r="L8796" s="184"/>
      <c r="M8796" s="184"/>
      <c r="N8796" s="184"/>
      <c r="O8796" s="184"/>
    </row>
    <row r="8797" customFormat="false" ht="15" hidden="false" customHeight="true" outlineLevel="0" collapsed="false">
      <c r="A8797" s="184"/>
      <c r="B8797" s="184"/>
      <c r="C8797" s="184"/>
      <c r="D8797" s="184"/>
      <c r="E8797" s="184"/>
      <c r="F8797" s="184"/>
      <c r="G8797" s="184"/>
      <c r="H8797" s="184"/>
      <c r="I8797" s="184"/>
      <c r="J8797" s="184"/>
      <c r="K8797" s="184"/>
      <c r="L8797" s="184"/>
      <c r="M8797" s="184"/>
      <c r="N8797" s="184"/>
      <c r="O8797" s="184"/>
    </row>
    <row r="8798" customFormat="false" ht="15" hidden="false" customHeight="true" outlineLevel="0" collapsed="false">
      <c r="A8798" s="184"/>
      <c r="B8798" s="184"/>
      <c r="C8798" s="184"/>
      <c r="D8798" s="184"/>
      <c r="E8798" s="184"/>
      <c r="F8798" s="184"/>
      <c r="G8798" s="184"/>
      <c r="H8798" s="184"/>
      <c r="I8798" s="184"/>
      <c r="J8798" s="184"/>
      <c r="K8798" s="184"/>
      <c r="L8798" s="184"/>
      <c r="M8798" s="184"/>
      <c r="N8798" s="184"/>
      <c r="O8798" s="184"/>
    </row>
    <row r="8799" customFormat="false" ht="15" hidden="false" customHeight="true" outlineLevel="0" collapsed="false">
      <c r="A8799" s="184"/>
      <c r="B8799" s="184"/>
      <c r="C8799" s="184"/>
      <c r="D8799" s="184"/>
      <c r="E8799" s="184"/>
      <c r="F8799" s="184"/>
      <c r="G8799" s="184"/>
      <c r="H8799" s="184"/>
      <c r="I8799" s="184"/>
      <c r="J8799" s="184"/>
      <c r="K8799" s="184"/>
      <c r="L8799" s="184"/>
      <c r="M8799" s="184"/>
      <c r="N8799" s="184"/>
      <c r="O8799" s="184"/>
    </row>
    <row r="8800" customFormat="false" ht="15" hidden="false" customHeight="true" outlineLevel="0" collapsed="false">
      <c r="A8800" s="184"/>
      <c r="B8800" s="184"/>
      <c r="C8800" s="184"/>
      <c r="D8800" s="184"/>
      <c r="E8800" s="184"/>
      <c r="F8800" s="184"/>
      <c r="G8800" s="184"/>
      <c r="H8800" s="184"/>
      <c r="I8800" s="184"/>
      <c r="J8800" s="184"/>
      <c r="K8800" s="184"/>
      <c r="L8800" s="184"/>
      <c r="M8800" s="184"/>
      <c r="N8800" s="184"/>
      <c r="O8800" s="184"/>
    </row>
    <row r="8801" customFormat="false" ht="15" hidden="false" customHeight="true" outlineLevel="0" collapsed="false">
      <c r="A8801" s="184"/>
      <c r="B8801" s="184"/>
      <c r="C8801" s="184"/>
      <c r="D8801" s="184"/>
      <c r="E8801" s="184"/>
      <c r="F8801" s="184"/>
      <c r="G8801" s="184"/>
      <c r="H8801" s="184"/>
      <c r="I8801" s="184"/>
      <c r="J8801" s="184"/>
      <c r="K8801" s="184"/>
      <c r="L8801" s="184"/>
      <c r="M8801" s="184"/>
      <c r="N8801" s="184"/>
      <c r="O8801" s="184"/>
    </row>
    <row r="8802" customFormat="false" ht="15" hidden="false" customHeight="true" outlineLevel="0" collapsed="false">
      <c r="A8802" s="184"/>
      <c r="B8802" s="184"/>
      <c r="C8802" s="184"/>
      <c r="D8802" s="184"/>
      <c r="E8802" s="184"/>
      <c r="F8802" s="184"/>
      <c r="G8802" s="184"/>
      <c r="H8802" s="184"/>
      <c r="I8802" s="184"/>
      <c r="J8802" s="184"/>
      <c r="K8802" s="184"/>
      <c r="L8802" s="184"/>
      <c r="M8802" s="184"/>
      <c r="N8802" s="184"/>
      <c r="O8802" s="184"/>
    </row>
    <row r="8803" customFormat="false" ht="15" hidden="false" customHeight="true" outlineLevel="0" collapsed="false">
      <c r="A8803" s="184"/>
      <c r="B8803" s="184"/>
      <c r="C8803" s="184"/>
      <c r="D8803" s="184"/>
      <c r="E8803" s="184"/>
      <c r="F8803" s="184"/>
      <c r="G8803" s="184"/>
      <c r="H8803" s="184"/>
      <c r="I8803" s="184"/>
      <c r="J8803" s="184"/>
      <c r="K8803" s="184"/>
      <c r="L8803" s="184"/>
      <c r="M8803" s="184"/>
      <c r="N8803" s="184"/>
      <c r="O8803" s="184"/>
    </row>
    <row r="8804" customFormat="false" ht="15" hidden="false" customHeight="true" outlineLevel="0" collapsed="false">
      <c r="A8804" s="184"/>
      <c r="B8804" s="184"/>
      <c r="C8804" s="184"/>
      <c r="D8804" s="184"/>
      <c r="E8804" s="184"/>
      <c r="F8804" s="184"/>
      <c r="G8804" s="184"/>
      <c r="H8804" s="184"/>
      <c r="I8804" s="184"/>
      <c r="J8804" s="184"/>
      <c r="K8804" s="184"/>
      <c r="L8804" s="184"/>
      <c r="M8804" s="184"/>
      <c r="N8804" s="184"/>
      <c r="O8804" s="184"/>
    </row>
    <row r="8805" customFormat="false" ht="15" hidden="false" customHeight="true" outlineLevel="0" collapsed="false">
      <c r="A8805" s="184"/>
      <c r="B8805" s="184"/>
      <c r="C8805" s="184"/>
      <c r="D8805" s="184"/>
      <c r="E8805" s="184"/>
      <c r="F8805" s="184"/>
      <c r="G8805" s="184"/>
      <c r="H8805" s="184"/>
      <c r="I8805" s="184"/>
      <c r="J8805" s="184"/>
      <c r="K8805" s="184"/>
      <c r="L8805" s="184"/>
      <c r="M8805" s="184"/>
      <c r="N8805" s="184"/>
      <c r="O8805" s="184"/>
    </row>
    <row r="8806" customFormat="false" ht="15" hidden="false" customHeight="true" outlineLevel="0" collapsed="false">
      <c r="A8806" s="184"/>
      <c r="B8806" s="184"/>
      <c r="C8806" s="184"/>
      <c r="D8806" s="184"/>
      <c r="E8806" s="184"/>
      <c r="F8806" s="184"/>
      <c r="G8806" s="184"/>
      <c r="H8806" s="184"/>
      <c r="I8806" s="184"/>
      <c r="J8806" s="184"/>
      <c r="K8806" s="184"/>
      <c r="L8806" s="184"/>
      <c r="M8806" s="184"/>
      <c r="N8806" s="184"/>
      <c r="O8806" s="184"/>
    </row>
    <row r="8807" customFormat="false" ht="15" hidden="false" customHeight="true" outlineLevel="0" collapsed="false">
      <c r="A8807" s="184"/>
      <c r="B8807" s="184"/>
      <c r="C8807" s="184"/>
      <c r="D8807" s="184"/>
      <c r="E8807" s="184"/>
      <c r="F8807" s="184"/>
      <c r="G8807" s="184"/>
      <c r="H8807" s="184"/>
      <c r="I8807" s="184"/>
      <c r="J8807" s="184"/>
      <c r="K8807" s="184"/>
      <c r="L8807" s="184"/>
      <c r="M8807" s="184"/>
      <c r="N8807" s="184"/>
      <c r="O8807" s="184"/>
    </row>
    <row r="8808" customFormat="false" ht="15" hidden="false" customHeight="true" outlineLevel="0" collapsed="false">
      <c r="A8808" s="184"/>
      <c r="B8808" s="184"/>
      <c r="C8808" s="184"/>
      <c r="D8808" s="184"/>
      <c r="E8808" s="184"/>
      <c r="F8808" s="184"/>
      <c r="G8808" s="184"/>
      <c r="H8808" s="184"/>
      <c r="I8808" s="184"/>
      <c r="J8808" s="184"/>
      <c r="K8808" s="184"/>
      <c r="L8808" s="184"/>
      <c r="M8808" s="184"/>
      <c r="N8808" s="184"/>
      <c r="O8808" s="184"/>
    </row>
    <row r="8809" customFormat="false" ht="15" hidden="false" customHeight="true" outlineLevel="0" collapsed="false">
      <c r="A8809" s="184"/>
      <c r="B8809" s="184"/>
      <c r="C8809" s="184"/>
      <c r="D8809" s="184"/>
      <c r="E8809" s="184"/>
      <c r="F8809" s="184"/>
      <c r="G8809" s="184"/>
      <c r="H8809" s="184"/>
      <c r="I8809" s="184"/>
      <c r="J8809" s="184"/>
      <c r="K8809" s="184"/>
      <c r="L8809" s="184"/>
      <c r="M8809" s="184"/>
      <c r="N8809" s="184"/>
      <c r="O8809" s="184"/>
    </row>
    <row r="8810" customFormat="false" ht="15" hidden="false" customHeight="true" outlineLevel="0" collapsed="false">
      <c r="A8810" s="184"/>
      <c r="B8810" s="184"/>
      <c r="C8810" s="184"/>
      <c r="D8810" s="184"/>
      <c r="E8810" s="184"/>
      <c r="F8810" s="184"/>
      <c r="G8810" s="184"/>
      <c r="H8810" s="184"/>
      <c r="I8810" s="184"/>
      <c r="J8810" s="184"/>
      <c r="K8810" s="184"/>
      <c r="L8810" s="184"/>
      <c r="M8810" s="184"/>
      <c r="N8810" s="184"/>
      <c r="O8810" s="184"/>
    </row>
    <row r="8811" customFormat="false" ht="15" hidden="false" customHeight="true" outlineLevel="0" collapsed="false">
      <c r="A8811" s="184"/>
      <c r="B8811" s="184"/>
      <c r="C8811" s="184"/>
      <c r="D8811" s="184"/>
      <c r="E8811" s="184"/>
      <c r="F8811" s="184"/>
      <c r="G8811" s="184"/>
      <c r="H8811" s="184"/>
      <c r="I8811" s="184"/>
      <c r="J8811" s="184"/>
      <c r="K8811" s="184"/>
      <c r="L8811" s="184"/>
      <c r="M8811" s="184"/>
      <c r="N8811" s="184"/>
      <c r="O8811" s="184"/>
    </row>
    <row r="8812" customFormat="false" ht="15" hidden="false" customHeight="true" outlineLevel="0" collapsed="false">
      <c r="A8812" s="184"/>
      <c r="B8812" s="184"/>
      <c r="C8812" s="184"/>
      <c r="D8812" s="184"/>
      <c r="E8812" s="184"/>
      <c r="F8812" s="184"/>
      <c r="G8812" s="184"/>
      <c r="H8812" s="184"/>
      <c r="I8812" s="184"/>
      <c r="J8812" s="184"/>
      <c r="K8812" s="184"/>
      <c r="L8812" s="184"/>
      <c r="M8812" s="184"/>
      <c r="N8812" s="184"/>
      <c r="O8812" s="184"/>
    </row>
    <row r="8813" customFormat="false" ht="15" hidden="false" customHeight="true" outlineLevel="0" collapsed="false">
      <c r="A8813" s="184"/>
      <c r="B8813" s="184"/>
      <c r="C8813" s="184"/>
      <c r="D8813" s="184"/>
      <c r="E8813" s="184"/>
      <c r="F8813" s="184"/>
      <c r="G8813" s="184"/>
      <c r="H8813" s="184"/>
      <c r="I8813" s="184"/>
      <c r="J8813" s="184"/>
      <c r="K8813" s="184"/>
      <c r="L8813" s="184"/>
      <c r="M8813" s="184"/>
      <c r="N8813" s="184"/>
      <c r="O8813" s="184"/>
    </row>
    <row r="8814" customFormat="false" ht="15" hidden="false" customHeight="true" outlineLevel="0" collapsed="false">
      <c r="A8814" s="184"/>
      <c r="B8814" s="184"/>
      <c r="C8814" s="184"/>
      <c r="D8814" s="184"/>
      <c r="E8814" s="184"/>
      <c r="F8814" s="184"/>
      <c r="G8814" s="184"/>
      <c r="H8814" s="184"/>
      <c r="I8814" s="184"/>
      <c r="J8814" s="184"/>
      <c r="K8814" s="184"/>
      <c r="L8814" s="184"/>
      <c r="M8814" s="184"/>
      <c r="N8814" s="184"/>
      <c r="O8814" s="184"/>
    </row>
    <row r="8815" customFormat="false" ht="15" hidden="false" customHeight="true" outlineLevel="0" collapsed="false">
      <c r="A8815" s="184"/>
      <c r="B8815" s="184"/>
      <c r="C8815" s="184"/>
      <c r="D8815" s="184"/>
      <c r="E8815" s="184"/>
      <c r="F8815" s="184"/>
      <c r="G8815" s="184"/>
      <c r="H8815" s="184"/>
      <c r="I8815" s="184"/>
      <c r="J8815" s="184"/>
      <c r="K8815" s="184"/>
      <c r="L8815" s="184"/>
      <c r="M8815" s="184"/>
      <c r="N8815" s="184"/>
      <c r="O8815" s="184"/>
    </row>
    <row r="8816" customFormat="false" ht="15" hidden="false" customHeight="true" outlineLevel="0" collapsed="false">
      <c r="A8816" s="184"/>
      <c r="B8816" s="184"/>
      <c r="C8816" s="184"/>
      <c r="D8816" s="184"/>
      <c r="E8816" s="184"/>
      <c r="F8816" s="184"/>
      <c r="G8816" s="184"/>
      <c r="H8816" s="184"/>
      <c r="I8816" s="184"/>
      <c r="J8816" s="184"/>
      <c r="K8816" s="184"/>
      <c r="L8816" s="184"/>
      <c r="M8816" s="184"/>
      <c r="N8816" s="184"/>
      <c r="O8816" s="184"/>
    </row>
    <row r="8817" customFormat="false" ht="54.75" hidden="false" customHeight="true" outlineLevel="0" collapsed="false">
      <c r="A8817" s="184" t="s">
        <v>5044</v>
      </c>
      <c r="B8817" s="184" t="s">
        <v>5045</v>
      </c>
      <c r="C8817" s="184"/>
      <c r="D8817" s="179" t="s">
        <v>4858</v>
      </c>
      <c r="E8817" s="184" t="s">
        <v>7381</v>
      </c>
      <c r="F8817" s="184"/>
      <c r="G8817" s="184"/>
      <c r="H8817" s="184"/>
      <c r="I8817" s="184"/>
      <c r="J8817" s="184"/>
      <c r="K8817" s="184"/>
      <c r="L8817" s="184"/>
      <c r="M8817" s="184" t="s">
        <v>7382</v>
      </c>
      <c r="N8817" s="184"/>
      <c r="O8817" s="184"/>
    </row>
    <row r="8818" customFormat="false" ht="41.25" hidden="false" customHeight="true" outlineLevel="0" collapsed="false">
      <c r="A8818" s="184" t="s">
        <v>5044</v>
      </c>
      <c r="B8818" s="184" t="s">
        <v>5045</v>
      </c>
      <c r="C8818" s="184" t="n">
        <v>1</v>
      </c>
      <c r="D8818" s="184" t="s">
        <v>4790</v>
      </c>
      <c r="E8818" s="184" t="s">
        <v>7019</v>
      </c>
      <c r="F8818" s="184"/>
      <c r="G8818" s="184"/>
      <c r="H8818" s="184"/>
      <c r="I8818" s="184"/>
      <c r="J8818" s="184"/>
      <c r="K8818" s="184"/>
      <c r="L8818" s="184"/>
      <c r="M8818" s="184" t="s">
        <v>7020</v>
      </c>
      <c r="N8818" s="184"/>
      <c r="O8818" s="184"/>
    </row>
    <row r="8819" customFormat="false" ht="41.25" hidden="false" customHeight="true" outlineLevel="0" collapsed="false">
      <c r="A8819" s="184" t="s">
        <v>5044</v>
      </c>
      <c r="B8819" s="184" t="s">
        <v>5045</v>
      </c>
      <c r="C8819" s="184" t="n">
        <v>2</v>
      </c>
      <c r="D8819" s="184" t="s">
        <v>4790</v>
      </c>
      <c r="E8819" s="184" t="s">
        <v>7021</v>
      </c>
      <c r="F8819" s="184"/>
      <c r="G8819" s="184"/>
      <c r="H8819" s="184"/>
      <c r="I8819" s="184"/>
      <c r="J8819" s="184"/>
      <c r="K8819" s="184"/>
      <c r="L8819" s="184"/>
      <c r="M8819" s="184" t="s">
        <v>7022</v>
      </c>
      <c r="N8819" s="184"/>
      <c r="O8819" s="184"/>
    </row>
    <row r="8820" customFormat="false" ht="41.25" hidden="false" customHeight="true" outlineLevel="0" collapsed="false">
      <c r="A8820" s="184" t="s">
        <v>5044</v>
      </c>
      <c r="B8820" s="184" t="s">
        <v>5045</v>
      </c>
      <c r="C8820" s="184" t="n">
        <v>3</v>
      </c>
      <c r="D8820" s="184" t="s">
        <v>4790</v>
      </c>
      <c r="E8820" s="184" t="s">
        <v>7023</v>
      </c>
      <c r="F8820" s="184"/>
      <c r="G8820" s="184"/>
      <c r="H8820" s="184"/>
      <c r="I8820" s="184"/>
      <c r="J8820" s="184"/>
      <c r="K8820" s="184"/>
      <c r="L8820" s="184"/>
      <c r="M8820" s="184" t="s">
        <v>7024</v>
      </c>
      <c r="N8820" s="184"/>
      <c r="O8820" s="184"/>
    </row>
    <row r="8821" customFormat="false" ht="41.25" hidden="false" customHeight="true" outlineLevel="0" collapsed="false">
      <c r="A8821" s="184" t="s">
        <v>5044</v>
      </c>
      <c r="B8821" s="184" t="s">
        <v>5045</v>
      </c>
      <c r="C8821" s="184" t="n">
        <v>4</v>
      </c>
      <c r="D8821" s="184" t="s">
        <v>4790</v>
      </c>
      <c r="E8821" s="184" t="s">
        <v>7025</v>
      </c>
      <c r="F8821" s="184"/>
      <c r="G8821" s="184"/>
      <c r="H8821" s="184"/>
      <c r="I8821" s="184"/>
      <c r="J8821" s="184"/>
      <c r="K8821" s="184"/>
      <c r="L8821" s="184"/>
      <c r="M8821" s="184" t="s">
        <v>7026</v>
      </c>
      <c r="N8821" s="184"/>
      <c r="O8821" s="184"/>
    </row>
    <row r="8822" customFormat="false" ht="41.25" hidden="false" customHeight="true" outlineLevel="0" collapsed="false">
      <c r="A8822" s="184" t="s">
        <v>5044</v>
      </c>
      <c r="B8822" s="184" t="s">
        <v>5045</v>
      </c>
      <c r="C8822" s="184" t="n">
        <v>5</v>
      </c>
      <c r="D8822" s="184" t="s">
        <v>4790</v>
      </c>
      <c r="E8822" s="184" t="s">
        <v>7383</v>
      </c>
      <c r="F8822" s="184"/>
      <c r="G8822" s="184"/>
      <c r="H8822" s="184"/>
      <c r="I8822" s="184"/>
      <c r="J8822" s="184"/>
      <c r="K8822" s="184"/>
      <c r="L8822" s="184"/>
      <c r="M8822" s="184" t="s">
        <v>7384</v>
      </c>
      <c r="N8822" s="184"/>
      <c r="O8822" s="184"/>
    </row>
    <row r="8823" customFormat="false" ht="41.25" hidden="false" customHeight="true" outlineLevel="0" collapsed="false">
      <c r="A8823" s="184" t="s">
        <v>5044</v>
      </c>
      <c r="B8823" s="184" t="s">
        <v>5045</v>
      </c>
      <c r="C8823" s="184" t="n">
        <v>6</v>
      </c>
      <c r="D8823" s="179" t="s">
        <v>6292</v>
      </c>
      <c r="E8823" s="184" t="s">
        <v>7075</v>
      </c>
      <c r="F8823" s="184"/>
      <c r="G8823" s="184"/>
      <c r="H8823" s="184"/>
      <c r="I8823" s="184"/>
      <c r="J8823" s="184"/>
      <c r="K8823" s="184"/>
      <c r="L8823" s="184"/>
      <c r="M8823" s="184"/>
      <c r="N8823" s="184"/>
      <c r="O8823" s="184"/>
    </row>
    <row r="8824" customFormat="false" ht="41.25" hidden="false" customHeight="true" outlineLevel="0" collapsed="false">
      <c r="A8824" s="184" t="s">
        <v>5044</v>
      </c>
      <c r="B8824" s="184" t="s">
        <v>5045</v>
      </c>
      <c r="C8824" s="184" t="n">
        <v>7</v>
      </c>
      <c r="D8824" s="178" t="s">
        <v>5269</v>
      </c>
      <c r="E8824" s="184" t="s">
        <v>7076</v>
      </c>
      <c r="F8824" s="184"/>
      <c r="G8824" s="184"/>
      <c r="H8824" s="184"/>
      <c r="I8824" s="184"/>
      <c r="J8824" s="184"/>
      <c r="K8824" s="184"/>
      <c r="L8824" s="184"/>
      <c r="M8824" s="184" t="s">
        <v>7077</v>
      </c>
      <c r="N8824" s="184"/>
      <c r="O8824" s="184"/>
    </row>
    <row r="8825" customFormat="false" ht="41.25" hidden="false" customHeight="true" outlineLevel="0" collapsed="false">
      <c r="A8825" s="184" t="s">
        <v>5044</v>
      </c>
      <c r="B8825" s="184" t="s">
        <v>5045</v>
      </c>
      <c r="C8825" s="184" t="n">
        <v>8</v>
      </c>
      <c r="D8825" s="178" t="s">
        <v>5269</v>
      </c>
      <c r="E8825" s="184" t="s">
        <v>7078</v>
      </c>
      <c r="F8825" s="184"/>
      <c r="G8825" s="184"/>
      <c r="H8825" s="184"/>
      <c r="I8825" s="184"/>
      <c r="J8825" s="184"/>
      <c r="K8825" s="184"/>
      <c r="L8825" s="184"/>
      <c r="M8825" s="184" t="s">
        <v>7079</v>
      </c>
      <c r="N8825" s="184"/>
      <c r="O8825" s="184"/>
    </row>
    <row r="8826" customFormat="false" ht="41.25" hidden="false" customHeight="true" outlineLevel="0" collapsed="false">
      <c r="A8826" s="184" t="s">
        <v>5044</v>
      </c>
      <c r="B8826" s="184" t="s">
        <v>5045</v>
      </c>
      <c r="C8826" s="184" t="n">
        <v>9</v>
      </c>
      <c r="D8826" s="178" t="s">
        <v>5269</v>
      </c>
      <c r="E8826" s="184" t="s">
        <v>7080</v>
      </c>
      <c r="F8826" s="184"/>
      <c r="G8826" s="184"/>
      <c r="H8826" s="184"/>
      <c r="I8826" s="184"/>
      <c r="J8826" s="184"/>
      <c r="K8826" s="184"/>
      <c r="L8826" s="184"/>
      <c r="M8826" s="184" t="s">
        <v>7081</v>
      </c>
      <c r="N8826" s="184"/>
      <c r="O8826" s="184"/>
    </row>
    <row r="8827" customFormat="false" ht="41.25" hidden="false" customHeight="true" outlineLevel="0" collapsed="false">
      <c r="A8827" s="184" t="s">
        <v>5044</v>
      </c>
      <c r="B8827" s="184" t="s">
        <v>5045</v>
      </c>
      <c r="C8827" s="184" t="n">
        <v>10</v>
      </c>
      <c r="D8827" s="177" t="s">
        <v>6298</v>
      </c>
      <c r="E8827" s="184" t="s">
        <v>7313</v>
      </c>
      <c r="F8827" s="184"/>
      <c r="G8827" s="184"/>
      <c r="H8827" s="184"/>
      <c r="I8827" s="184"/>
      <c r="J8827" s="184"/>
      <c r="K8827" s="184"/>
      <c r="L8827" s="184"/>
      <c r="M8827" s="184"/>
      <c r="N8827" s="184"/>
      <c r="O8827" s="184"/>
    </row>
    <row r="8828" customFormat="false" ht="41.25" hidden="false" customHeight="true" outlineLevel="0" collapsed="false">
      <c r="A8828" s="184" t="s">
        <v>5044</v>
      </c>
      <c r="B8828" s="184" t="s">
        <v>5045</v>
      </c>
      <c r="C8828" s="184" t="n">
        <v>11</v>
      </c>
      <c r="D8828" s="174" t="s">
        <v>6529</v>
      </c>
      <c r="E8828" s="184" t="s">
        <v>7314</v>
      </c>
      <c r="F8828" s="184"/>
      <c r="G8828" s="184"/>
      <c r="H8828" s="184"/>
      <c r="I8828" s="184"/>
      <c r="J8828" s="184"/>
      <c r="K8828" s="184"/>
      <c r="L8828" s="184"/>
      <c r="M8828" s="184" t="s">
        <v>7315</v>
      </c>
      <c r="N8828" s="184"/>
      <c r="O8828" s="184"/>
    </row>
    <row r="8829" customFormat="false" ht="41.25" hidden="false" customHeight="true" outlineLevel="0" collapsed="false">
      <c r="A8829" s="184" t="s">
        <v>5044</v>
      </c>
      <c r="B8829" s="184" t="s">
        <v>5045</v>
      </c>
      <c r="C8829" s="184" t="n">
        <v>12</v>
      </c>
      <c r="D8829" s="184" t="s">
        <v>4790</v>
      </c>
      <c r="E8829" s="184" t="s">
        <v>7385</v>
      </c>
      <c r="F8829" s="184"/>
      <c r="G8829" s="184"/>
      <c r="H8829" s="184"/>
      <c r="I8829" s="184"/>
      <c r="J8829" s="184"/>
      <c r="K8829" s="184"/>
      <c r="L8829" s="184"/>
      <c r="M8829" s="184" t="s">
        <v>7386</v>
      </c>
      <c r="N8829" s="184"/>
      <c r="O8829" s="184"/>
    </row>
    <row r="8830" customFormat="false" ht="41.25" hidden="false" customHeight="true" outlineLevel="0" collapsed="false">
      <c r="A8830" s="184" t="s">
        <v>5044</v>
      </c>
      <c r="B8830" s="184" t="s">
        <v>5045</v>
      </c>
      <c r="C8830" s="184" t="n">
        <v>13</v>
      </c>
      <c r="D8830" s="184" t="s">
        <v>4790</v>
      </c>
      <c r="E8830" s="184" t="s">
        <v>7387</v>
      </c>
      <c r="F8830" s="184"/>
      <c r="G8830" s="184"/>
      <c r="H8830" s="184"/>
      <c r="I8830" s="184"/>
      <c r="J8830" s="184"/>
      <c r="K8830" s="184"/>
      <c r="L8830" s="184"/>
      <c r="M8830" s="184" t="s">
        <v>7388</v>
      </c>
      <c r="N8830" s="184"/>
      <c r="O8830" s="184"/>
    </row>
    <row r="8831" customFormat="false" ht="41.25" hidden="false" customHeight="true" outlineLevel="0" collapsed="false">
      <c r="A8831" s="184" t="s">
        <v>5044</v>
      </c>
      <c r="B8831" s="184" t="s">
        <v>5045</v>
      </c>
      <c r="C8831" s="184" t="n">
        <v>14</v>
      </c>
      <c r="D8831" s="184" t="s">
        <v>4790</v>
      </c>
      <c r="E8831" s="184" t="s">
        <v>7341</v>
      </c>
      <c r="F8831" s="184"/>
      <c r="G8831" s="184"/>
      <c r="H8831" s="184"/>
      <c r="I8831" s="184"/>
      <c r="J8831" s="184"/>
      <c r="K8831" s="184"/>
      <c r="L8831" s="184"/>
      <c r="M8831" s="184" t="s">
        <v>7342</v>
      </c>
      <c r="N8831" s="184"/>
      <c r="O8831" s="184"/>
    </row>
    <row r="8832" customFormat="false" ht="41.25" hidden="false" customHeight="true" outlineLevel="0" collapsed="false">
      <c r="A8832" s="184" t="s">
        <v>5044</v>
      </c>
      <c r="B8832" s="184" t="s">
        <v>5045</v>
      </c>
      <c r="C8832" s="184" t="n">
        <v>15</v>
      </c>
      <c r="D8832" s="184" t="s">
        <v>4790</v>
      </c>
      <c r="E8832" s="184" t="s">
        <v>7343</v>
      </c>
      <c r="F8832" s="184"/>
      <c r="G8832" s="184"/>
      <c r="H8832" s="184"/>
      <c r="I8832" s="184"/>
      <c r="J8832" s="184"/>
      <c r="K8832" s="184"/>
      <c r="L8832" s="184"/>
      <c r="M8832" s="184" t="s">
        <v>7344</v>
      </c>
      <c r="N8832" s="184"/>
      <c r="O8832" s="184"/>
    </row>
    <row r="8833" customFormat="false" ht="41.25" hidden="false" customHeight="true" outlineLevel="0" collapsed="false">
      <c r="A8833" s="184" t="s">
        <v>5044</v>
      </c>
      <c r="B8833" s="184" t="s">
        <v>5045</v>
      </c>
      <c r="C8833" s="184" t="n">
        <v>16</v>
      </c>
      <c r="D8833" s="184" t="s">
        <v>4790</v>
      </c>
      <c r="E8833" s="184" t="s">
        <v>7324</v>
      </c>
      <c r="F8833" s="184"/>
      <c r="G8833" s="184"/>
      <c r="H8833" s="184"/>
      <c r="I8833" s="184"/>
      <c r="J8833" s="184"/>
      <c r="K8833" s="184"/>
      <c r="L8833" s="184"/>
      <c r="M8833" s="184" t="s">
        <v>7325</v>
      </c>
      <c r="N8833" s="184"/>
      <c r="O8833" s="184"/>
    </row>
    <row r="8834" customFormat="false" ht="41.25" hidden="false" customHeight="true" outlineLevel="0" collapsed="false">
      <c r="A8834" s="184" t="s">
        <v>5044</v>
      </c>
      <c r="B8834" s="184" t="s">
        <v>5045</v>
      </c>
      <c r="C8834" s="184" t="n">
        <v>17</v>
      </c>
      <c r="D8834" s="184" t="s">
        <v>4790</v>
      </c>
      <c r="E8834" s="184" t="s">
        <v>7345</v>
      </c>
      <c r="F8834" s="184"/>
      <c r="G8834" s="184"/>
      <c r="H8834" s="184"/>
      <c r="I8834" s="184"/>
      <c r="J8834" s="184"/>
      <c r="K8834" s="184"/>
      <c r="L8834" s="184"/>
      <c r="M8834" s="184" t="s">
        <v>7346</v>
      </c>
      <c r="N8834" s="184"/>
      <c r="O8834" s="184"/>
    </row>
    <row r="8835" customFormat="false" ht="41.25" hidden="false" customHeight="true" outlineLevel="0" collapsed="false">
      <c r="A8835" s="184" t="s">
        <v>5044</v>
      </c>
      <c r="B8835" s="184" t="s">
        <v>5045</v>
      </c>
      <c r="C8835" s="184" t="n">
        <v>18</v>
      </c>
      <c r="D8835" s="184" t="s">
        <v>4790</v>
      </c>
      <c r="E8835" s="184" t="s">
        <v>7389</v>
      </c>
      <c r="F8835" s="184"/>
      <c r="G8835" s="184"/>
      <c r="H8835" s="184"/>
      <c r="I8835" s="184"/>
      <c r="J8835" s="184"/>
      <c r="K8835" s="184"/>
      <c r="L8835" s="184"/>
      <c r="M8835" s="184" t="s">
        <v>7390</v>
      </c>
      <c r="N8835" s="184"/>
      <c r="O8835" s="184"/>
    </row>
    <row r="8836" customFormat="false" ht="41.25" hidden="false" customHeight="true" outlineLevel="0" collapsed="false">
      <c r="A8836" s="184" t="s">
        <v>5044</v>
      </c>
      <c r="B8836" s="184" t="s">
        <v>5045</v>
      </c>
      <c r="C8836" s="184" t="n">
        <v>19</v>
      </c>
      <c r="D8836" s="184" t="s">
        <v>4790</v>
      </c>
      <c r="E8836" s="184" t="s">
        <v>7391</v>
      </c>
      <c r="F8836" s="184"/>
      <c r="G8836" s="184"/>
      <c r="H8836" s="184"/>
      <c r="I8836" s="184"/>
      <c r="J8836" s="184"/>
      <c r="K8836" s="184"/>
      <c r="L8836" s="184"/>
      <c r="M8836" s="184" t="s">
        <v>7392</v>
      </c>
      <c r="N8836" s="184"/>
      <c r="O8836" s="184"/>
    </row>
    <row r="8837" customFormat="false" ht="41.25" hidden="false" customHeight="true" outlineLevel="0" collapsed="false">
      <c r="A8837" s="184" t="s">
        <v>5044</v>
      </c>
      <c r="B8837" s="184" t="s">
        <v>5045</v>
      </c>
      <c r="C8837" s="184" t="n">
        <v>20</v>
      </c>
      <c r="D8837" s="184" t="s">
        <v>4790</v>
      </c>
      <c r="E8837" s="184" t="s">
        <v>7368</v>
      </c>
      <c r="F8837" s="184"/>
      <c r="G8837" s="184"/>
      <c r="H8837" s="184"/>
      <c r="I8837" s="184"/>
      <c r="J8837" s="184"/>
      <c r="K8837" s="184"/>
      <c r="L8837" s="184"/>
      <c r="M8837" s="184" t="s">
        <v>7369</v>
      </c>
      <c r="N8837" s="184"/>
      <c r="O8837" s="184"/>
    </row>
    <row r="8838" customFormat="false" ht="41.25" hidden="false" customHeight="true" outlineLevel="0" collapsed="false">
      <c r="A8838" s="184" t="s">
        <v>5044</v>
      </c>
      <c r="B8838" s="184" t="s">
        <v>5045</v>
      </c>
      <c r="C8838" s="184" t="n">
        <v>21</v>
      </c>
      <c r="D8838" s="184" t="s">
        <v>4790</v>
      </c>
      <c r="E8838" s="184" t="s">
        <v>7393</v>
      </c>
      <c r="F8838" s="184"/>
      <c r="G8838" s="184"/>
      <c r="H8838" s="184"/>
      <c r="I8838" s="184"/>
      <c r="J8838" s="184"/>
      <c r="K8838" s="184"/>
      <c r="L8838" s="184"/>
      <c r="M8838" s="184" t="s">
        <v>7394</v>
      </c>
      <c r="N8838" s="184"/>
      <c r="O8838" s="184"/>
    </row>
    <row r="8839" customFormat="false" ht="41.25" hidden="false" customHeight="true" outlineLevel="0" collapsed="false">
      <c r="A8839" s="184" t="s">
        <v>5044</v>
      </c>
      <c r="B8839" s="184" t="s">
        <v>5045</v>
      </c>
      <c r="C8839" s="184" t="n">
        <v>22</v>
      </c>
      <c r="D8839" s="184" t="s">
        <v>6296</v>
      </c>
      <c r="E8839" s="184" t="s">
        <v>7334</v>
      </c>
      <c r="F8839" s="184"/>
      <c r="G8839" s="184"/>
      <c r="H8839" s="184"/>
      <c r="I8839" s="184"/>
      <c r="J8839" s="184"/>
      <c r="K8839" s="184"/>
      <c r="L8839" s="184"/>
      <c r="M8839" s="184"/>
      <c r="N8839" s="184"/>
      <c r="O8839" s="184"/>
    </row>
    <row r="8840" customFormat="false" ht="81.75" hidden="false" customHeight="true" outlineLevel="0" collapsed="false">
      <c r="A8840" s="184" t="s">
        <v>5044</v>
      </c>
      <c r="B8840" s="184" t="s">
        <v>5045</v>
      </c>
      <c r="C8840" s="184" t="n">
        <v>23</v>
      </c>
      <c r="D8840" s="184" t="s">
        <v>6294</v>
      </c>
      <c r="E8840" s="184" t="s">
        <v>7395</v>
      </c>
      <c r="F8840" s="184"/>
      <c r="G8840" s="184"/>
      <c r="H8840" s="184"/>
      <c r="I8840" s="184"/>
      <c r="J8840" s="184"/>
      <c r="K8840" s="184"/>
      <c r="L8840" s="184"/>
      <c r="M8840" s="184"/>
      <c r="N8840" s="184"/>
      <c r="O8840" s="184"/>
    </row>
    <row r="8841" customFormat="false" ht="15" hidden="false" customHeight="true" outlineLevel="0" collapsed="false">
      <c r="A8841" s="184"/>
      <c r="B8841" s="184"/>
      <c r="C8841" s="184"/>
      <c r="D8841" s="184"/>
      <c r="E8841" s="184"/>
      <c r="F8841" s="184"/>
      <c r="G8841" s="184"/>
      <c r="H8841" s="184"/>
      <c r="I8841" s="184"/>
      <c r="J8841" s="184"/>
      <c r="K8841" s="184"/>
      <c r="L8841" s="184"/>
      <c r="M8841" s="184"/>
      <c r="N8841" s="184"/>
      <c r="O8841" s="184"/>
    </row>
    <row r="8842" customFormat="false" ht="15" hidden="false" customHeight="true" outlineLevel="0" collapsed="false">
      <c r="A8842" s="184"/>
      <c r="B8842" s="184"/>
      <c r="C8842" s="184"/>
      <c r="D8842" s="184"/>
      <c r="E8842" s="184"/>
      <c r="F8842" s="184"/>
      <c r="G8842" s="184"/>
      <c r="H8842" s="184"/>
      <c r="I8842" s="184"/>
      <c r="J8842" s="184"/>
      <c r="K8842" s="184"/>
      <c r="L8842" s="184"/>
      <c r="M8842" s="184"/>
      <c r="N8842" s="184"/>
      <c r="O8842" s="184"/>
    </row>
    <row r="8843" customFormat="false" ht="15" hidden="false" customHeight="true" outlineLevel="0" collapsed="false">
      <c r="A8843" s="184"/>
      <c r="B8843" s="184"/>
      <c r="C8843" s="184"/>
      <c r="D8843" s="184"/>
      <c r="E8843" s="184"/>
      <c r="F8843" s="184"/>
      <c r="G8843" s="184"/>
      <c r="H8843" s="184"/>
      <c r="I8843" s="184"/>
      <c r="J8843" s="184"/>
      <c r="K8843" s="184"/>
      <c r="L8843" s="184"/>
      <c r="M8843" s="184"/>
      <c r="N8843" s="184"/>
      <c r="O8843" s="184"/>
    </row>
    <row r="8844" customFormat="false" ht="15" hidden="false" customHeight="true" outlineLevel="0" collapsed="false">
      <c r="A8844" s="184"/>
      <c r="B8844" s="184"/>
      <c r="C8844" s="184"/>
      <c r="D8844" s="184"/>
      <c r="E8844" s="184"/>
      <c r="F8844" s="184"/>
      <c r="G8844" s="184"/>
      <c r="H8844" s="184"/>
      <c r="I8844" s="184"/>
      <c r="J8844" s="184"/>
      <c r="K8844" s="184"/>
      <c r="L8844" s="184"/>
      <c r="M8844" s="184"/>
      <c r="N8844" s="184"/>
      <c r="O8844" s="184"/>
    </row>
    <row r="8845" customFormat="false" ht="15" hidden="false" customHeight="true" outlineLevel="0" collapsed="false">
      <c r="A8845" s="184"/>
      <c r="B8845" s="184"/>
      <c r="C8845" s="184"/>
      <c r="D8845" s="184"/>
      <c r="E8845" s="184"/>
      <c r="F8845" s="184"/>
      <c r="G8845" s="184"/>
      <c r="H8845" s="184"/>
      <c r="I8845" s="184"/>
      <c r="J8845" s="184"/>
      <c r="K8845" s="184"/>
      <c r="L8845" s="184"/>
      <c r="M8845" s="184"/>
      <c r="N8845" s="184"/>
      <c r="O8845" s="184"/>
    </row>
    <row r="8846" customFormat="false" ht="15" hidden="false" customHeight="true" outlineLevel="0" collapsed="false">
      <c r="A8846" s="184"/>
      <c r="B8846" s="184"/>
      <c r="C8846" s="184"/>
      <c r="D8846" s="184"/>
      <c r="E8846" s="184"/>
      <c r="F8846" s="184"/>
      <c r="G8846" s="184"/>
      <c r="H8846" s="184"/>
      <c r="I8846" s="184"/>
      <c r="J8846" s="184"/>
      <c r="K8846" s="184"/>
      <c r="L8846" s="184"/>
      <c r="M8846" s="184"/>
      <c r="N8846" s="184"/>
      <c r="O8846" s="184"/>
    </row>
    <row r="8847" customFormat="false" ht="15" hidden="false" customHeight="true" outlineLevel="0" collapsed="false">
      <c r="A8847" s="184"/>
      <c r="B8847" s="184"/>
      <c r="C8847" s="184"/>
      <c r="D8847" s="184"/>
      <c r="E8847" s="184"/>
      <c r="F8847" s="184"/>
      <c r="G8847" s="184"/>
      <c r="H8847" s="184"/>
      <c r="I8847" s="184"/>
      <c r="J8847" s="184"/>
      <c r="K8847" s="184"/>
      <c r="L8847" s="184"/>
      <c r="M8847" s="184"/>
      <c r="N8847" s="184"/>
      <c r="O8847" s="184"/>
    </row>
    <row r="8848" customFormat="false" ht="15" hidden="false" customHeight="true" outlineLevel="0" collapsed="false">
      <c r="A8848" s="184"/>
      <c r="B8848" s="184"/>
      <c r="C8848" s="184"/>
      <c r="D8848" s="184"/>
      <c r="E8848" s="184"/>
      <c r="F8848" s="184"/>
      <c r="G8848" s="184"/>
      <c r="H8848" s="184"/>
      <c r="I8848" s="184"/>
      <c r="J8848" s="184"/>
      <c r="K8848" s="184"/>
      <c r="L8848" s="184"/>
      <c r="M8848" s="184"/>
      <c r="N8848" s="184"/>
      <c r="O8848" s="184"/>
    </row>
    <row r="8849" customFormat="false" ht="15" hidden="false" customHeight="true" outlineLevel="0" collapsed="false">
      <c r="A8849" s="184"/>
      <c r="B8849" s="184"/>
      <c r="C8849" s="184"/>
      <c r="D8849" s="184"/>
      <c r="E8849" s="184"/>
      <c r="F8849" s="184"/>
      <c r="G8849" s="184"/>
      <c r="H8849" s="184"/>
      <c r="I8849" s="184"/>
      <c r="J8849" s="184"/>
      <c r="K8849" s="184"/>
      <c r="L8849" s="184"/>
      <c r="M8849" s="184"/>
      <c r="N8849" s="184"/>
      <c r="O8849" s="184"/>
    </row>
    <row r="8850" customFormat="false" ht="15" hidden="false" customHeight="true" outlineLevel="0" collapsed="false">
      <c r="A8850" s="184"/>
      <c r="B8850" s="184"/>
      <c r="C8850" s="184"/>
      <c r="D8850" s="184"/>
      <c r="E8850" s="184"/>
      <c r="F8850" s="184"/>
      <c r="G8850" s="184"/>
      <c r="H8850" s="184"/>
      <c r="I8850" s="184"/>
      <c r="J8850" s="184"/>
      <c r="K8850" s="184"/>
      <c r="L8850" s="184"/>
      <c r="M8850" s="184"/>
      <c r="N8850" s="184"/>
      <c r="O8850" s="184"/>
    </row>
    <row r="8851" customFormat="false" ht="15" hidden="false" customHeight="true" outlineLevel="0" collapsed="false">
      <c r="A8851" s="184"/>
      <c r="B8851" s="184"/>
      <c r="C8851" s="184"/>
      <c r="D8851" s="184"/>
      <c r="E8851" s="184"/>
      <c r="F8851" s="184"/>
      <c r="G8851" s="184"/>
      <c r="H8851" s="184"/>
      <c r="I8851" s="184"/>
      <c r="J8851" s="184"/>
      <c r="K8851" s="184"/>
      <c r="L8851" s="184"/>
      <c r="M8851" s="184"/>
      <c r="N8851" s="184"/>
      <c r="O8851" s="184"/>
    </row>
    <row r="8852" customFormat="false" ht="15" hidden="false" customHeight="true" outlineLevel="0" collapsed="false">
      <c r="A8852" s="184"/>
      <c r="B8852" s="184"/>
      <c r="C8852" s="184"/>
      <c r="D8852" s="184"/>
      <c r="E8852" s="184"/>
      <c r="F8852" s="184"/>
      <c r="G8852" s="184"/>
      <c r="H8852" s="184"/>
      <c r="I8852" s="184"/>
      <c r="J8852" s="184"/>
      <c r="K8852" s="184"/>
      <c r="L8852" s="184"/>
      <c r="M8852" s="184"/>
      <c r="N8852" s="184"/>
      <c r="O8852" s="184"/>
    </row>
    <row r="8853" customFormat="false" ht="15" hidden="false" customHeight="true" outlineLevel="0" collapsed="false">
      <c r="A8853" s="184"/>
      <c r="B8853" s="184"/>
      <c r="C8853" s="184"/>
      <c r="D8853" s="184"/>
      <c r="E8853" s="184"/>
      <c r="F8853" s="184"/>
      <c r="G8853" s="184"/>
      <c r="H8853" s="184"/>
      <c r="I8853" s="184"/>
      <c r="J8853" s="184"/>
      <c r="K8853" s="184"/>
      <c r="L8853" s="184"/>
      <c r="M8853" s="184"/>
      <c r="N8853" s="184"/>
      <c r="O8853" s="184"/>
    </row>
    <row r="8854" customFormat="false" ht="15" hidden="false" customHeight="true" outlineLevel="0" collapsed="false">
      <c r="A8854" s="184"/>
      <c r="B8854" s="184"/>
      <c r="C8854" s="184"/>
      <c r="D8854" s="184"/>
      <c r="E8854" s="184"/>
      <c r="F8854" s="184"/>
      <c r="G8854" s="184"/>
      <c r="H8854" s="184"/>
      <c r="I8854" s="184"/>
      <c r="J8854" s="184"/>
      <c r="K8854" s="184"/>
      <c r="L8854" s="184"/>
      <c r="M8854" s="184"/>
      <c r="N8854" s="184"/>
      <c r="O8854" s="184"/>
    </row>
    <row r="8855" customFormat="false" ht="15" hidden="false" customHeight="true" outlineLevel="0" collapsed="false">
      <c r="A8855" s="184"/>
      <c r="B8855" s="184"/>
      <c r="C8855" s="184"/>
      <c r="D8855" s="184"/>
      <c r="E8855" s="184"/>
      <c r="F8855" s="184"/>
      <c r="G8855" s="184"/>
      <c r="H8855" s="184"/>
      <c r="I8855" s="184"/>
      <c r="J8855" s="184"/>
      <c r="K8855" s="184"/>
      <c r="L8855" s="184"/>
      <c r="M8855" s="184"/>
      <c r="N8855" s="184"/>
      <c r="O8855" s="184"/>
    </row>
    <row r="8856" customFormat="false" ht="15" hidden="false" customHeight="true" outlineLevel="0" collapsed="false">
      <c r="A8856" s="184"/>
      <c r="B8856" s="184"/>
      <c r="C8856" s="184"/>
      <c r="D8856" s="184"/>
      <c r="E8856" s="184"/>
      <c r="F8856" s="184"/>
      <c r="G8856" s="184"/>
      <c r="H8856" s="184"/>
      <c r="I8856" s="184"/>
      <c r="J8856" s="184"/>
      <c r="K8856" s="184"/>
      <c r="L8856" s="184"/>
      <c r="M8856" s="184"/>
      <c r="N8856" s="184"/>
      <c r="O8856" s="184"/>
    </row>
    <row r="8857" customFormat="false" ht="15" hidden="false" customHeight="true" outlineLevel="0" collapsed="false">
      <c r="A8857" s="184"/>
      <c r="B8857" s="184"/>
      <c r="C8857" s="184"/>
      <c r="D8857" s="184"/>
      <c r="E8857" s="184"/>
      <c r="F8857" s="184"/>
      <c r="G8857" s="184"/>
      <c r="H8857" s="184"/>
      <c r="I8857" s="184"/>
      <c r="J8857" s="184"/>
      <c r="K8857" s="184"/>
      <c r="L8857" s="184"/>
      <c r="M8857" s="184"/>
      <c r="N8857" s="184"/>
      <c r="O8857" s="184"/>
    </row>
    <row r="8858" customFormat="false" ht="15" hidden="false" customHeight="true" outlineLevel="0" collapsed="false">
      <c r="A8858" s="184"/>
      <c r="B8858" s="184"/>
      <c r="C8858" s="184"/>
      <c r="D8858" s="184"/>
      <c r="E8858" s="184"/>
      <c r="F8858" s="184"/>
      <c r="G8858" s="184"/>
      <c r="H8858" s="184"/>
      <c r="I8858" s="184"/>
      <c r="J8858" s="184"/>
      <c r="K8858" s="184"/>
      <c r="L8858" s="184"/>
      <c r="M8858" s="184"/>
      <c r="N8858" s="184"/>
      <c r="O8858" s="184"/>
    </row>
    <row r="8859" customFormat="false" ht="15" hidden="false" customHeight="true" outlineLevel="0" collapsed="false">
      <c r="A8859" s="184"/>
      <c r="B8859" s="184"/>
      <c r="C8859" s="184"/>
      <c r="D8859" s="184"/>
      <c r="E8859" s="184"/>
      <c r="F8859" s="184"/>
      <c r="G8859" s="184"/>
      <c r="H8859" s="184"/>
      <c r="I8859" s="184"/>
      <c r="J8859" s="184"/>
      <c r="K8859" s="184"/>
      <c r="L8859" s="184"/>
      <c r="M8859" s="184"/>
      <c r="N8859" s="184"/>
      <c r="O8859" s="184"/>
    </row>
    <row r="8860" customFormat="false" ht="15" hidden="false" customHeight="true" outlineLevel="0" collapsed="false">
      <c r="A8860" s="184"/>
      <c r="B8860" s="184"/>
      <c r="C8860" s="184"/>
      <c r="D8860" s="184"/>
      <c r="E8860" s="184"/>
      <c r="F8860" s="184"/>
      <c r="G8860" s="184"/>
      <c r="H8860" s="184"/>
      <c r="I8860" s="184"/>
      <c r="J8860" s="184"/>
      <c r="K8860" s="184"/>
      <c r="L8860" s="184"/>
      <c r="M8860" s="184"/>
      <c r="N8860" s="184"/>
      <c r="O8860" s="184"/>
    </row>
    <row r="8861" customFormat="false" ht="15" hidden="false" customHeight="true" outlineLevel="0" collapsed="false">
      <c r="A8861" s="184"/>
      <c r="B8861" s="184"/>
      <c r="C8861" s="184"/>
      <c r="D8861" s="184"/>
      <c r="E8861" s="184"/>
      <c r="F8861" s="184"/>
      <c r="G8861" s="184"/>
      <c r="H8861" s="184"/>
      <c r="I8861" s="184"/>
      <c r="J8861" s="184"/>
      <c r="K8861" s="184"/>
      <c r="L8861" s="184"/>
      <c r="M8861" s="184"/>
      <c r="N8861" s="184"/>
      <c r="O8861" s="184"/>
    </row>
    <row r="8862" customFormat="false" ht="15" hidden="false" customHeight="true" outlineLevel="0" collapsed="false">
      <c r="A8862" s="184"/>
      <c r="B8862" s="184"/>
      <c r="C8862" s="184"/>
      <c r="D8862" s="184"/>
      <c r="E8862" s="184"/>
      <c r="F8862" s="184"/>
      <c r="G8862" s="184"/>
      <c r="H8862" s="184"/>
      <c r="I8862" s="184"/>
      <c r="J8862" s="184"/>
      <c r="K8862" s="184"/>
      <c r="L8862" s="184"/>
      <c r="M8862" s="184"/>
      <c r="N8862" s="184"/>
      <c r="O8862" s="184"/>
    </row>
    <row r="8863" customFormat="false" ht="15" hidden="false" customHeight="true" outlineLevel="0" collapsed="false">
      <c r="A8863" s="184"/>
      <c r="B8863" s="184"/>
      <c r="C8863" s="184"/>
      <c r="D8863" s="184"/>
      <c r="E8863" s="184"/>
      <c r="F8863" s="184"/>
      <c r="G8863" s="184"/>
      <c r="H8863" s="184"/>
      <c r="I8863" s="184"/>
      <c r="J8863" s="184"/>
      <c r="K8863" s="184"/>
      <c r="L8863" s="184"/>
      <c r="M8863" s="184"/>
      <c r="N8863" s="184"/>
      <c r="O8863" s="184"/>
    </row>
    <row r="8864" customFormat="false" ht="15" hidden="false" customHeight="true" outlineLevel="0" collapsed="false">
      <c r="A8864" s="184"/>
      <c r="B8864" s="184"/>
      <c r="C8864" s="184"/>
      <c r="D8864" s="184"/>
      <c r="E8864" s="184"/>
      <c r="F8864" s="184"/>
      <c r="G8864" s="184"/>
      <c r="H8864" s="184"/>
      <c r="I8864" s="184"/>
      <c r="J8864" s="184"/>
      <c r="K8864" s="184"/>
      <c r="L8864" s="184"/>
      <c r="M8864" s="184"/>
      <c r="N8864" s="184"/>
      <c r="O8864" s="184"/>
    </row>
    <row r="8865" customFormat="false" ht="15" hidden="false" customHeight="true" outlineLevel="0" collapsed="false">
      <c r="A8865" s="184"/>
      <c r="B8865" s="184"/>
      <c r="C8865" s="184"/>
      <c r="D8865" s="184"/>
      <c r="E8865" s="184"/>
      <c r="F8865" s="184"/>
      <c r="G8865" s="184"/>
      <c r="H8865" s="184"/>
      <c r="I8865" s="184"/>
      <c r="J8865" s="184"/>
      <c r="K8865" s="184"/>
      <c r="L8865" s="184"/>
      <c r="M8865" s="184"/>
      <c r="N8865" s="184"/>
      <c r="O8865" s="184"/>
    </row>
    <row r="8866" customFormat="false" ht="15" hidden="false" customHeight="true" outlineLevel="0" collapsed="false">
      <c r="A8866" s="184"/>
      <c r="B8866" s="184"/>
      <c r="C8866" s="184"/>
      <c r="D8866" s="184"/>
      <c r="E8866" s="184"/>
      <c r="F8866" s="184"/>
      <c r="G8866" s="184"/>
      <c r="H8866" s="184"/>
      <c r="I8866" s="184"/>
      <c r="J8866" s="184"/>
      <c r="K8866" s="184"/>
      <c r="L8866" s="184"/>
      <c r="M8866" s="184"/>
      <c r="N8866" s="184"/>
      <c r="O8866" s="184"/>
    </row>
    <row r="8867" customFormat="false" ht="15" hidden="false" customHeight="true" outlineLevel="0" collapsed="false">
      <c r="A8867" s="184"/>
      <c r="B8867" s="184"/>
      <c r="C8867" s="184"/>
      <c r="D8867" s="184"/>
      <c r="E8867" s="184"/>
      <c r="F8867" s="184"/>
      <c r="G8867" s="184"/>
      <c r="H8867" s="184"/>
      <c r="I8867" s="184"/>
      <c r="J8867" s="184"/>
      <c r="K8867" s="184"/>
      <c r="L8867" s="184"/>
      <c r="M8867" s="184"/>
      <c r="N8867" s="184"/>
      <c r="O8867" s="184"/>
    </row>
    <row r="8868" customFormat="false" ht="15" hidden="false" customHeight="true" outlineLevel="0" collapsed="false">
      <c r="A8868" s="184"/>
      <c r="B8868" s="184"/>
      <c r="C8868" s="184"/>
      <c r="D8868" s="184"/>
      <c r="E8868" s="184"/>
      <c r="F8868" s="184"/>
      <c r="G8868" s="184"/>
      <c r="H8868" s="184"/>
      <c r="I8868" s="184"/>
      <c r="J8868" s="184"/>
      <c r="K8868" s="184"/>
      <c r="L8868" s="184"/>
      <c r="M8868" s="184"/>
      <c r="N8868" s="184"/>
      <c r="O8868" s="184"/>
    </row>
    <row r="8869" customFormat="false" ht="15" hidden="false" customHeight="true" outlineLevel="0" collapsed="false">
      <c r="A8869" s="184"/>
      <c r="B8869" s="184"/>
      <c r="C8869" s="184"/>
      <c r="D8869" s="184"/>
      <c r="E8869" s="184"/>
      <c r="F8869" s="184"/>
      <c r="G8869" s="184"/>
      <c r="H8869" s="184"/>
      <c r="I8869" s="184"/>
      <c r="J8869" s="184"/>
      <c r="K8869" s="184"/>
      <c r="L8869" s="184"/>
      <c r="M8869" s="184"/>
      <c r="N8869" s="184"/>
      <c r="O8869" s="184"/>
    </row>
    <row r="8870" customFormat="false" ht="15" hidden="false" customHeight="true" outlineLevel="0" collapsed="false">
      <c r="A8870" s="184"/>
      <c r="B8870" s="184"/>
      <c r="C8870" s="184"/>
      <c r="D8870" s="184"/>
      <c r="E8870" s="184"/>
      <c r="F8870" s="184"/>
      <c r="G8870" s="184"/>
      <c r="H8870" s="184"/>
      <c r="I8870" s="184"/>
      <c r="J8870" s="184"/>
      <c r="K8870" s="184"/>
      <c r="L8870" s="184"/>
      <c r="M8870" s="184"/>
      <c r="N8870" s="184"/>
      <c r="O8870" s="184"/>
    </row>
    <row r="8871" customFormat="false" ht="15" hidden="false" customHeight="true" outlineLevel="0" collapsed="false">
      <c r="A8871" s="184"/>
      <c r="B8871" s="184"/>
      <c r="C8871" s="184"/>
      <c r="D8871" s="184"/>
      <c r="E8871" s="184"/>
      <c r="F8871" s="184"/>
      <c r="G8871" s="184"/>
      <c r="H8871" s="184"/>
      <c r="I8871" s="184"/>
      <c r="J8871" s="184"/>
      <c r="K8871" s="184"/>
      <c r="L8871" s="184"/>
      <c r="M8871" s="184"/>
      <c r="N8871" s="184"/>
      <c r="O8871" s="184"/>
    </row>
    <row r="8872" customFormat="false" ht="15" hidden="false" customHeight="true" outlineLevel="0" collapsed="false">
      <c r="A8872" s="184"/>
      <c r="B8872" s="184"/>
      <c r="C8872" s="184"/>
      <c r="D8872" s="184"/>
      <c r="E8872" s="184"/>
      <c r="F8872" s="184"/>
      <c r="G8872" s="184"/>
      <c r="H8872" s="184"/>
      <c r="I8872" s="184"/>
      <c r="J8872" s="184"/>
      <c r="K8872" s="184"/>
      <c r="L8872" s="184"/>
      <c r="M8872" s="184"/>
      <c r="N8872" s="184"/>
      <c r="O8872" s="184"/>
    </row>
    <row r="8873" customFormat="false" ht="15" hidden="false" customHeight="true" outlineLevel="0" collapsed="false">
      <c r="A8873" s="184"/>
      <c r="B8873" s="184"/>
      <c r="C8873" s="184"/>
      <c r="D8873" s="184"/>
      <c r="E8873" s="184"/>
      <c r="F8873" s="184"/>
      <c r="G8873" s="184"/>
      <c r="H8873" s="184"/>
      <c r="I8873" s="184"/>
      <c r="J8873" s="184"/>
      <c r="K8873" s="184"/>
      <c r="L8873" s="184"/>
      <c r="M8873" s="184"/>
      <c r="N8873" s="184"/>
      <c r="O8873" s="184"/>
    </row>
    <row r="8874" customFormat="false" ht="15" hidden="false" customHeight="true" outlineLevel="0" collapsed="false">
      <c r="A8874" s="184"/>
      <c r="B8874" s="184"/>
      <c r="C8874" s="184"/>
      <c r="D8874" s="184"/>
      <c r="E8874" s="184"/>
      <c r="F8874" s="184"/>
      <c r="G8874" s="184"/>
      <c r="H8874" s="184"/>
      <c r="I8874" s="184"/>
      <c r="J8874" s="184"/>
      <c r="K8874" s="184"/>
      <c r="L8874" s="184"/>
      <c r="M8874" s="184"/>
      <c r="N8874" s="184"/>
      <c r="O8874" s="184"/>
    </row>
    <row r="8875" customFormat="false" ht="15" hidden="false" customHeight="true" outlineLevel="0" collapsed="false">
      <c r="A8875" s="184"/>
      <c r="B8875" s="184"/>
      <c r="C8875" s="184"/>
      <c r="D8875" s="184"/>
      <c r="E8875" s="184"/>
      <c r="F8875" s="184"/>
      <c r="G8875" s="184"/>
      <c r="H8875" s="184"/>
      <c r="I8875" s="184"/>
      <c r="J8875" s="184"/>
      <c r="K8875" s="184"/>
      <c r="L8875" s="184"/>
      <c r="M8875" s="184"/>
      <c r="N8875" s="184"/>
      <c r="O8875" s="184"/>
    </row>
    <row r="8876" customFormat="false" ht="15" hidden="false" customHeight="true" outlineLevel="0" collapsed="false">
      <c r="A8876" s="184"/>
      <c r="B8876" s="184"/>
      <c r="C8876" s="184"/>
      <c r="D8876" s="184"/>
      <c r="E8876" s="184"/>
      <c r="F8876" s="184"/>
      <c r="G8876" s="184"/>
      <c r="H8876" s="184"/>
      <c r="I8876" s="184"/>
      <c r="J8876" s="184"/>
      <c r="K8876" s="184"/>
      <c r="L8876" s="184"/>
      <c r="M8876" s="184"/>
      <c r="N8876" s="184"/>
      <c r="O8876" s="184"/>
    </row>
    <row r="8877" customFormat="false" ht="15" hidden="false" customHeight="true" outlineLevel="0" collapsed="false">
      <c r="A8877" s="184"/>
      <c r="B8877" s="184"/>
      <c r="C8877" s="184"/>
      <c r="D8877" s="184"/>
      <c r="E8877" s="184"/>
      <c r="F8877" s="184"/>
      <c r="G8877" s="184"/>
      <c r="H8877" s="184"/>
      <c r="I8877" s="184"/>
      <c r="J8877" s="184"/>
      <c r="K8877" s="184"/>
      <c r="L8877" s="184"/>
      <c r="M8877" s="184"/>
      <c r="N8877" s="184"/>
      <c r="O8877" s="184"/>
    </row>
    <row r="8878" customFormat="false" ht="15" hidden="false" customHeight="true" outlineLevel="0" collapsed="false">
      <c r="A8878" s="184"/>
      <c r="B8878" s="184"/>
      <c r="C8878" s="184"/>
      <c r="D8878" s="184"/>
      <c r="E8878" s="184"/>
      <c r="F8878" s="184"/>
      <c r="G8878" s="184"/>
      <c r="H8878" s="184"/>
      <c r="I8878" s="184"/>
      <c r="J8878" s="184"/>
      <c r="K8878" s="184"/>
      <c r="L8878" s="184"/>
      <c r="M8878" s="184"/>
      <c r="N8878" s="184"/>
      <c r="O8878" s="184"/>
    </row>
    <row r="8879" customFormat="false" ht="15" hidden="false" customHeight="true" outlineLevel="0" collapsed="false">
      <c r="A8879" s="184"/>
      <c r="B8879" s="184"/>
      <c r="C8879" s="184"/>
      <c r="D8879" s="184"/>
      <c r="E8879" s="184"/>
      <c r="F8879" s="184"/>
      <c r="G8879" s="184"/>
      <c r="H8879" s="184"/>
      <c r="I8879" s="184"/>
      <c r="J8879" s="184"/>
      <c r="K8879" s="184"/>
      <c r="L8879" s="184"/>
      <c r="M8879" s="184"/>
      <c r="N8879" s="184"/>
      <c r="O8879" s="184"/>
    </row>
    <row r="8880" customFormat="false" ht="15" hidden="false" customHeight="true" outlineLevel="0" collapsed="false">
      <c r="A8880" s="184"/>
      <c r="B8880" s="184"/>
      <c r="C8880" s="184"/>
      <c r="D8880" s="184"/>
      <c r="E8880" s="184"/>
      <c r="F8880" s="184"/>
      <c r="G8880" s="184"/>
      <c r="H8880" s="184"/>
      <c r="I8880" s="184"/>
      <c r="J8880" s="184"/>
      <c r="K8880" s="184"/>
      <c r="L8880" s="184"/>
      <c r="M8880" s="184"/>
      <c r="N8880" s="184"/>
      <c r="O8880" s="184"/>
    </row>
    <row r="8881" customFormat="false" ht="15" hidden="false" customHeight="true" outlineLevel="0" collapsed="false">
      <c r="A8881" s="184"/>
      <c r="B8881" s="184"/>
      <c r="C8881" s="184"/>
      <c r="D8881" s="184"/>
      <c r="E8881" s="184"/>
      <c r="F8881" s="184"/>
      <c r="G8881" s="184"/>
      <c r="H8881" s="184"/>
      <c r="I8881" s="184"/>
      <c r="J8881" s="184"/>
      <c r="K8881" s="184"/>
      <c r="L8881" s="184"/>
      <c r="M8881" s="184"/>
      <c r="N8881" s="184"/>
      <c r="O8881" s="184"/>
    </row>
    <row r="8882" customFormat="false" ht="15" hidden="false" customHeight="true" outlineLevel="0" collapsed="false">
      <c r="A8882" s="184"/>
      <c r="B8882" s="184"/>
      <c r="C8882" s="184"/>
      <c r="D8882" s="184"/>
      <c r="E8882" s="184"/>
      <c r="F8882" s="184"/>
      <c r="G8882" s="184"/>
      <c r="H8882" s="184"/>
      <c r="I8882" s="184"/>
      <c r="J8882" s="184"/>
      <c r="K8882" s="184"/>
      <c r="L8882" s="184"/>
      <c r="M8882" s="184"/>
      <c r="N8882" s="184"/>
      <c r="O8882" s="184"/>
    </row>
    <row r="8883" customFormat="false" ht="15" hidden="false" customHeight="true" outlineLevel="0" collapsed="false">
      <c r="A8883" s="184"/>
      <c r="B8883" s="184"/>
      <c r="C8883" s="184"/>
      <c r="D8883" s="184"/>
      <c r="E8883" s="184"/>
      <c r="F8883" s="184"/>
      <c r="G8883" s="184"/>
      <c r="H8883" s="184"/>
      <c r="I8883" s="184"/>
      <c r="J8883" s="184"/>
      <c r="K8883" s="184"/>
      <c r="L8883" s="184"/>
      <c r="M8883" s="184"/>
      <c r="N8883" s="184"/>
      <c r="O8883" s="184"/>
    </row>
    <row r="8884" customFormat="false" ht="15" hidden="false" customHeight="true" outlineLevel="0" collapsed="false">
      <c r="A8884" s="184"/>
      <c r="B8884" s="184"/>
      <c r="C8884" s="184"/>
      <c r="D8884" s="184"/>
      <c r="E8884" s="184"/>
      <c r="F8884" s="184"/>
      <c r="G8884" s="184"/>
      <c r="H8884" s="184"/>
      <c r="I8884" s="184"/>
      <c r="J8884" s="184"/>
      <c r="K8884" s="184"/>
      <c r="L8884" s="184"/>
      <c r="M8884" s="184"/>
      <c r="N8884" s="184"/>
      <c r="O8884" s="184"/>
    </row>
    <row r="8885" customFormat="false" ht="15" hidden="false" customHeight="true" outlineLevel="0" collapsed="false">
      <c r="A8885" s="184"/>
      <c r="B8885" s="184"/>
      <c r="C8885" s="184"/>
      <c r="D8885" s="184"/>
      <c r="E8885" s="184"/>
      <c r="F8885" s="184"/>
      <c r="G8885" s="184"/>
      <c r="H8885" s="184"/>
      <c r="I8885" s="184"/>
      <c r="J8885" s="184"/>
      <c r="K8885" s="184"/>
      <c r="L8885" s="184"/>
      <c r="M8885" s="184"/>
      <c r="N8885" s="184"/>
      <c r="O8885" s="184"/>
    </row>
    <row r="8886" customFormat="false" ht="15" hidden="false" customHeight="true" outlineLevel="0" collapsed="false">
      <c r="A8886" s="184"/>
      <c r="B8886" s="184"/>
      <c r="C8886" s="184"/>
      <c r="D8886" s="184"/>
      <c r="E8886" s="184"/>
      <c r="F8886" s="184"/>
      <c r="G8886" s="184"/>
      <c r="H8886" s="184"/>
      <c r="I8886" s="184"/>
      <c r="J8886" s="184"/>
      <c r="K8886" s="184"/>
      <c r="L8886" s="184"/>
      <c r="M8886" s="184"/>
      <c r="N8886" s="184"/>
      <c r="O8886" s="184"/>
    </row>
    <row r="8887" customFormat="false" ht="15" hidden="false" customHeight="true" outlineLevel="0" collapsed="false">
      <c r="A8887" s="184"/>
      <c r="B8887" s="184"/>
      <c r="C8887" s="184"/>
      <c r="D8887" s="184"/>
      <c r="E8887" s="184"/>
      <c r="F8887" s="184"/>
      <c r="G8887" s="184"/>
      <c r="H8887" s="184"/>
      <c r="I8887" s="184"/>
      <c r="J8887" s="184"/>
      <c r="K8887" s="184"/>
      <c r="L8887" s="184"/>
      <c r="M8887" s="184"/>
      <c r="N8887" s="184"/>
      <c r="O8887" s="184"/>
    </row>
    <row r="8888" customFormat="false" ht="15" hidden="false" customHeight="true" outlineLevel="0" collapsed="false">
      <c r="A8888" s="184"/>
      <c r="B8888" s="184"/>
      <c r="C8888" s="184"/>
      <c r="D8888" s="184"/>
      <c r="E8888" s="184"/>
      <c r="F8888" s="184"/>
      <c r="G8888" s="184"/>
      <c r="H8888" s="184"/>
      <c r="I8888" s="184"/>
      <c r="J8888" s="184"/>
      <c r="K8888" s="184"/>
      <c r="L8888" s="184"/>
      <c r="M8888" s="184"/>
      <c r="N8888" s="184"/>
      <c r="O8888" s="184"/>
    </row>
    <row r="8889" customFormat="false" ht="15" hidden="false" customHeight="true" outlineLevel="0" collapsed="false">
      <c r="A8889" s="184"/>
      <c r="B8889" s="184"/>
      <c r="C8889" s="184"/>
      <c r="D8889" s="184"/>
      <c r="E8889" s="184"/>
      <c r="F8889" s="184"/>
      <c r="G8889" s="184"/>
      <c r="H8889" s="184"/>
      <c r="I8889" s="184"/>
      <c r="J8889" s="184"/>
      <c r="K8889" s="184"/>
      <c r="L8889" s="184"/>
      <c r="M8889" s="184"/>
      <c r="N8889" s="184"/>
      <c r="O8889" s="184"/>
    </row>
    <row r="8890" customFormat="false" ht="15" hidden="false" customHeight="true" outlineLevel="0" collapsed="false">
      <c r="A8890" s="184"/>
      <c r="B8890" s="184"/>
      <c r="C8890" s="184"/>
      <c r="D8890" s="184"/>
      <c r="E8890" s="184"/>
      <c r="F8890" s="184"/>
      <c r="G8890" s="184"/>
      <c r="H8890" s="184"/>
      <c r="I8890" s="184"/>
      <c r="J8890" s="184"/>
      <c r="K8890" s="184"/>
      <c r="L8890" s="184"/>
      <c r="M8890" s="184"/>
      <c r="N8890" s="184"/>
      <c r="O8890" s="184"/>
    </row>
    <row r="8891" customFormat="false" ht="15" hidden="false" customHeight="true" outlineLevel="0" collapsed="false">
      <c r="A8891" s="184"/>
      <c r="B8891" s="184"/>
      <c r="C8891" s="184"/>
      <c r="D8891" s="184"/>
      <c r="E8891" s="184"/>
      <c r="F8891" s="184"/>
      <c r="G8891" s="184"/>
      <c r="H8891" s="184"/>
      <c r="I8891" s="184"/>
      <c r="J8891" s="184"/>
      <c r="K8891" s="184"/>
      <c r="L8891" s="184"/>
      <c r="M8891" s="184"/>
      <c r="N8891" s="184"/>
      <c r="O8891" s="184"/>
    </row>
    <row r="8892" customFormat="false" ht="15" hidden="false" customHeight="true" outlineLevel="0" collapsed="false">
      <c r="A8892" s="184"/>
      <c r="B8892" s="184"/>
      <c r="C8892" s="184"/>
      <c r="D8892" s="184"/>
      <c r="E8892" s="184"/>
      <c r="F8892" s="184"/>
      <c r="G8892" s="184"/>
      <c r="H8892" s="184"/>
      <c r="I8892" s="184"/>
      <c r="J8892" s="184"/>
      <c r="K8892" s="184"/>
      <c r="L8892" s="184"/>
      <c r="M8892" s="184"/>
      <c r="N8892" s="184"/>
      <c r="O8892" s="184"/>
    </row>
    <row r="8893" customFormat="false" ht="15" hidden="false" customHeight="true" outlineLevel="0" collapsed="false">
      <c r="A8893" s="184"/>
      <c r="B8893" s="184"/>
      <c r="C8893" s="184"/>
      <c r="D8893" s="184"/>
      <c r="E8893" s="184"/>
      <c r="F8893" s="184"/>
      <c r="G8893" s="184"/>
      <c r="H8893" s="184"/>
      <c r="I8893" s="184"/>
      <c r="J8893" s="184"/>
      <c r="K8893" s="184"/>
      <c r="L8893" s="184"/>
      <c r="M8893" s="184"/>
      <c r="N8893" s="184"/>
      <c r="O8893" s="184"/>
    </row>
    <row r="8894" customFormat="false" ht="15" hidden="false" customHeight="true" outlineLevel="0" collapsed="false">
      <c r="A8894" s="184"/>
      <c r="B8894" s="184"/>
      <c r="C8894" s="184"/>
      <c r="D8894" s="184"/>
      <c r="E8894" s="184"/>
      <c r="F8894" s="184"/>
      <c r="G8894" s="184"/>
      <c r="H8894" s="184"/>
      <c r="I8894" s="184"/>
      <c r="J8894" s="184"/>
      <c r="K8894" s="184"/>
      <c r="L8894" s="184"/>
      <c r="M8894" s="184"/>
      <c r="N8894" s="184"/>
      <c r="O8894" s="184"/>
    </row>
    <row r="8895" customFormat="false" ht="15" hidden="false" customHeight="true" outlineLevel="0" collapsed="false">
      <c r="A8895" s="184"/>
      <c r="B8895" s="184"/>
      <c r="C8895" s="184"/>
      <c r="D8895" s="184"/>
      <c r="E8895" s="184"/>
      <c r="F8895" s="184"/>
      <c r="G8895" s="184"/>
      <c r="H8895" s="184"/>
      <c r="I8895" s="184"/>
      <c r="J8895" s="184"/>
      <c r="K8895" s="184"/>
      <c r="L8895" s="184"/>
      <c r="M8895" s="184"/>
      <c r="N8895" s="184"/>
      <c r="O8895" s="184"/>
    </row>
    <row r="8896" customFormat="false" ht="15" hidden="false" customHeight="true" outlineLevel="0" collapsed="false">
      <c r="A8896" s="184"/>
      <c r="B8896" s="184"/>
      <c r="C8896" s="184"/>
      <c r="D8896" s="184"/>
      <c r="E8896" s="184"/>
      <c r="F8896" s="184"/>
      <c r="G8896" s="184"/>
      <c r="H8896" s="184"/>
      <c r="I8896" s="184"/>
      <c r="J8896" s="184"/>
      <c r="K8896" s="184"/>
      <c r="L8896" s="184"/>
      <c r="M8896" s="184"/>
      <c r="N8896" s="184"/>
      <c r="O8896" s="184"/>
    </row>
    <row r="8897" customFormat="false" ht="15" hidden="false" customHeight="true" outlineLevel="0" collapsed="false">
      <c r="A8897" s="184"/>
      <c r="B8897" s="184"/>
      <c r="C8897" s="184"/>
      <c r="D8897" s="184"/>
      <c r="E8897" s="184"/>
      <c r="F8897" s="184"/>
      <c r="G8897" s="184"/>
      <c r="H8897" s="184"/>
      <c r="I8897" s="184"/>
      <c r="J8897" s="184"/>
      <c r="K8897" s="184"/>
      <c r="L8897" s="184"/>
      <c r="M8897" s="184"/>
      <c r="N8897" s="184"/>
      <c r="O8897" s="184"/>
    </row>
    <row r="8898" customFormat="false" ht="15" hidden="false" customHeight="true" outlineLevel="0" collapsed="false">
      <c r="A8898" s="184"/>
      <c r="B8898" s="184"/>
      <c r="C8898" s="184"/>
      <c r="D8898" s="184"/>
      <c r="E8898" s="184"/>
      <c r="F8898" s="184"/>
      <c r="G8898" s="184"/>
      <c r="H8898" s="184"/>
      <c r="I8898" s="184"/>
      <c r="J8898" s="184"/>
      <c r="K8898" s="184"/>
      <c r="L8898" s="184"/>
      <c r="M8898" s="184"/>
      <c r="N8898" s="184"/>
      <c r="O8898" s="184"/>
    </row>
    <row r="8899" customFormat="false" ht="15" hidden="false" customHeight="true" outlineLevel="0" collapsed="false">
      <c r="A8899" s="184"/>
      <c r="B8899" s="184"/>
      <c r="C8899" s="184"/>
      <c r="D8899" s="184"/>
      <c r="E8899" s="184"/>
      <c r="F8899" s="184"/>
      <c r="G8899" s="184"/>
      <c r="H8899" s="184"/>
      <c r="I8899" s="184"/>
      <c r="J8899" s="184"/>
      <c r="K8899" s="184"/>
      <c r="L8899" s="184"/>
      <c r="M8899" s="184"/>
      <c r="N8899" s="184"/>
      <c r="O8899" s="184"/>
    </row>
    <row r="8900" customFormat="false" ht="15" hidden="false" customHeight="true" outlineLevel="0" collapsed="false">
      <c r="A8900" s="184"/>
      <c r="B8900" s="184"/>
      <c r="C8900" s="184"/>
      <c r="D8900" s="184"/>
      <c r="E8900" s="184"/>
      <c r="F8900" s="184"/>
      <c r="G8900" s="184"/>
      <c r="H8900" s="184"/>
      <c r="I8900" s="184"/>
      <c r="J8900" s="184"/>
      <c r="K8900" s="184"/>
      <c r="L8900" s="184"/>
      <c r="M8900" s="184"/>
      <c r="N8900" s="184"/>
      <c r="O8900" s="184"/>
    </row>
    <row r="8901" customFormat="false" ht="15" hidden="false" customHeight="true" outlineLevel="0" collapsed="false">
      <c r="A8901" s="184"/>
      <c r="B8901" s="184"/>
      <c r="C8901" s="184"/>
      <c r="D8901" s="184"/>
      <c r="E8901" s="184"/>
      <c r="F8901" s="184"/>
      <c r="G8901" s="184"/>
      <c r="H8901" s="184"/>
      <c r="I8901" s="184"/>
      <c r="J8901" s="184"/>
      <c r="K8901" s="184"/>
      <c r="L8901" s="184"/>
      <c r="M8901" s="184"/>
      <c r="N8901" s="184"/>
      <c r="O8901" s="184"/>
    </row>
    <row r="8902" customFormat="false" ht="15" hidden="false" customHeight="true" outlineLevel="0" collapsed="false">
      <c r="A8902" s="184"/>
      <c r="B8902" s="184"/>
      <c r="C8902" s="184"/>
      <c r="D8902" s="184"/>
      <c r="E8902" s="184"/>
      <c r="F8902" s="184"/>
      <c r="G8902" s="184"/>
      <c r="H8902" s="184"/>
      <c r="I8902" s="184"/>
      <c r="J8902" s="184"/>
      <c r="K8902" s="184"/>
      <c r="L8902" s="184"/>
      <c r="M8902" s="184"/>
      <c r="N8902" s="184"/>
      <c r="O8902" s="184"/>
    </row>
    <row r="8903" customFormat="false" ht="15" hidden="false" customHeight="true" outlineLevel="0" collapsed="false">
      <c r="A8903" s="184"/>
      <c r="B8903" s="184"/>
      <c r="C8903" s="184"/>
      <c r="D8903" s="184"/>
      <c r="E8903" s="184"/>
      <c r="F8903" s="184"/>
      <c r="G8903" s="184"/>
      <c r="H8903" s="184"/>
      <c r="I8903" s="184"/>
      <c r="J8903" s="184"/>
      <c r="K8903" s="184"/>
      <c r="L8903" s="184"/>
      <c r="M8903" s="184"/>
      <c r="N8903" s="184"/>
      <c r="O8903" s="184"/>
    </row>
    <row r="8904" customFormat="false" ht="15" hidden="false" customHeight="true" outlineLevel="0" collapsed="false">
      <c r="A8904" s="184"/>
      <c r="B8904" s="184"/>
      <c r="C8904" s="184"/>
      <c r="D8904" s="184"/>
      <c r="E8904" s="184"/>
      <c r="F8904" s="184"/>
      <c r="G8904" s="184"/>
      <c r="H8904" s="184"/>
      <c r="I8904" s="184"/>
      <c r="J8904" s="184"/>
      <c r="K8904" s="184"/>
      <c r="L8904" s="184"/>
      <c r="M8904" s="184"/>
      <c r="N8904" s="184"/>
      <c r="O8904" s="184"/>
    </row>
    <row r="8905" customFormat="false" ht="15" hidden="false" customHeight="true" outlineLevel="0" collapsed="false">
      <c r="A8905" s="184"/>
      <c r="B8905" s="184"/>
      <c r="C8905" s="184"/>
      <c r="D8905" s="184"/>
      <c r="E8905" s="184"/>
      <c r="F8905" s="184"/>
      <c r="G8905" s="184"/>
      <c r="H8905" s="184"/>
      <c r="I8905" s="184"/>
      <c r="J8905" s="184"/>
      <c r="K8905" s="184"/>
      <c r="L8905" s="184"/>
      <c r="M8905" s="184"/>
      <c r="N8905" s="184"/>
      <c r="O8905" s="184"/>
    </row>
    <row r="8906" customFormat="false" ht="15" hidden="false" customHeight="true" outlineLevel="0" collapsed="false">
      <c r="A8906" s="184"/>
      <c r="B8906" s="184"/>
      <c r="C8906" s="184"/>
      <c r="D8906" s="184"/>
      <c r="E8906" s="184"/>
      <c r="F8906" s="184"/>
      <c r="G8906" s="184"/>
      <c r="H8906" s="184"/>
      <c r="I8906" s="184"/>
      <c r="J8906" s="184"/>
      <c r="K8906" s="184"/>
      <c r="L8906" s="184"/>
      <c r="M8906" s="184"/>
      <c r="N8906" s="184"/>
      <c r="O8906" s="184"/>
    </row>
    <row r="8907" customFormat="false" ht="15" hidden="false" customHeight="true" outlineLevel="0" collapsed="false">
      <c r="A8907" s="184"/>
      <c r="B8907" s="184"/>
      <c r="C8907" s="184"/>
      <c r="D8907" s="184"/>
      <c r="E8907" s="184"/>
      <c r="F8907" s="184"/>
      <c r="G8907" s="184"/>
      <c r="H8907" s="184"/>
      <c r="I8907" s="184"/>
      <c r="J8907" s="184"/>
      <c r="K8907" s="184"/>
      <c r="L8907" s="184"/>
      <c r="M8907" s="184"/>
      <c r="N8907" s="184"/>
      <c r="O8907" s="184"/>
    </row>
    <row r="8908" customFormat="false" ht="15" hidden="false" customHeight="true" outlineLevel="0" collapsed="false">
      <c r="A8908" s="184"/>
      <c r="B8908" s="184"/>
      <c r="C8908" s="184"/>
      <c r="D8908" s="184"/>
      <c r="E8908" s="184"/>
      <c r="F8908" s="184"/>
      <c r="G8908" s="184"/>
      <c r="H8908" s="184"/>
      <c r="I8908" s="184"/>
      <c r="J8908" s="184"/>
      <c r="K8908" s="184"/>
      <c r="L8908" s="184"/>
      <c r="M8908" s="184"/>
      <c r="N8908" s="184"/>
      <c r="O8908" s="184"/>
    </row>
    <row r="8909" customFormat="false" ht="15" hidden="false" customHeight="true" outlineLevel="0" collapsed="false">
      <c r="A8909" s="184"/>
      <c r="B8909" s="184"/>
      <c r="C8909" s="184"/>
      <c r="D8909" s="184"/>
      <c r="E8909" s="184"/>
      <c r="F8909" s="184"/>
      <c r="G8909" s="184"/>
      <c r="H8909" s="184"/>
      <c r="I8909" s="184"/>
      <c r="J8909" s="184"/>
      <c r="K8909" s="184"/>
      <c r="L8909" s="184"/>
      <c r="M8909" s="184"/>
      <c r="N8909" s="184"/>
      <c r="O8909" s="184"/>
    </row>
    <row r="8910" customFormat="false" ht="15" hidden="false" customHeight="true" outlineLevel="0" collapsed="false">
      <c r="A8910" s="184"/>
      <c r="B8910" s="184"/>
      <c r="C8910" s="184"/>
      <c r="D8910" s="184"/>
      <c r="E8910" s="184"/>
      <c r="F8910" s="184"/>
      <c r="G8910" s="184"/>
      <c r="H8910" s="184"/>
      <c r="I8910" s="184"/>
      <c r="J8910" s="184"/>
      <c r="K8910" s="184"/>
      <c r="L8910" s="184"/>
      <c r="M8910" s="184"/>
      <c r="N8910" s="184"/>
      <c r="O8910" s="184"/>
    </row>
    <row r="8911" customFormat="false" ht="15" hidden="false" customHeight="true" outlineLevel="0" collapsed="false">
      <c r="A8911" s="184"/>
      <c r="B8911" s="184"/>
      <c r="C8911" s="184"/>
      <c r="D8911" s="184"/>
      <c r="E8911" s="184"/>
      <c r="F8911" s="184"/>
      <c r="G8911" s="184"/>
      <c r="H8911" s="184"/>
      <c r="I8911" s="184"/>
      <c r="J8911" s="184"/>
      <c r="K8911" s="184"/>
      <c r="L8911" s="184"/>
      <c r="M8911" s="184"/>
      <c r="N8911" s="184"/>
      <c r="O8911" s="184"/>
    </row>
    <row r="8912" customFormat="false" ht="15" hidden="false" customHeight="true" outlineLevel="0" collapsed="false">
      <c r="A8912" s="184"/>
      <c r="B8912" s="184"/>
      <c r="C8912" s="184"/>
      <c r="D8912" s="184"/>
      <c r="E8912" s="184"/>
      <c r="F8912" s="184"/>
      <c r="G8912" s="184"/>
      <c r="H8912" s="184"/>
      <c r="I8912" s="184"/>
      <c r="J8912" s="184"/>
      <c r="K8912" s="184"/>
      <c r="L8912" s="184"/>
      <c r="M8912" s="184"/>
      <c r="N8912" s="184"/>
      <c r="O8912" s="184"/>
    </row>
    <row r="8913" customFormat="false" ht="15" hidden="false" customHeight="true" outlineLevel="0" collapsed="false">
      <c r="A8913" s="184"/>
      <c r="B8913" s="184"/>
      <c r="C8913" s="184"/>
      <c r="D8913" s="184"/>
      <c r="E8913" s="184"/>
      <c r="F8913" s="184"/>
      <c r="G8913" s="184"/>
      <c r="H8913" s="184"/>
      <c r="I8913" s="184"/>
      <c r="J8913" s="184"/>
      <c r="K8913" s="184"/>
      <c r="L8913" s="184"/>
      <c r="M8913" s="184"/>
      <c r="N8913" s="184"/>
      <c r="O8913" s="184"/>
    </row>
    <row r="8914" customFormat="false" ht="15" hidden="false" customHeight="true" outlineLevel="0" collapsed="false">
      <c r="A8914" s="184"/>
      <c r="B8914" s="184"/>
      <c r="C8914" s="184"/>
      <c r="D8914" s="184"/>
      <c r="E8914" s="184"/>
      <c r="F8914" s="184"/>
      <c r="G8914" s="184"/>
      <c r="H8914" s="184"/>
      <c r="I8914" s="184"/>
      <c r="J8914" s="184"/>
      <c r="K8914" s="184"/>
      <c r="L8914" s="184"/>
      <c r="M8914" s="184"/>
      <c r="N8914" s="184"/>
      <c r="O8914" s="184"/>
    </row>
    <row r="8915" customFormat="false" ht="15" hidden="false" customHeight="true" outlineLevel="0" collapsed="false">
      <c r="A8915" s="184"/>
      <c r="B8915" s="184"/>
      <c r="C8915" s="184"/>
      <c r="D8915" s="184"/>
      <c r="E8915" s="184"/>
      <c r="F8915" s="184"/>
      <c r="G8915" s="184"/>
      <c r="H8915" s="184"/>
      <c r="I8915" s="184"/>
      <c r="J8915" s="184"/>
      <c r="K8915" s="184"/>
      <c r="L8915" s="184"/>
      <c r="M8915" s="184"/>
      <c r="N8915" s="184"/>
      <c r="O8915" s="184"/>
    </row>
    <row r="8916" customFormat="false" ht="15" hidden="false" customHeight="true" outlineLevel="0" collapsed="false">
      <c r="A8916" s="184"/>
      <c r="B8916" s="184"/>
      <c r="C8916" s="184"/>
      <c r="D8916" s="184"/>
      <c r="E8916" s="184"/>
      <c r="F8916" s="184"/>
      <c r="G8916" s="184"/>
      <c r="H8916" s="184"/>
      <c r="I8916" s="184"/>
      <c r="J8916" s="184"/>
      <c r="K8916" s="184"/>
      <c r="L8916" s="184"/>
      <c r="M8916" s="184"/>
      <c r="N8916" s="184"/>
      <c r="O8916" s="184"/>
    </row>
    <row r="8917" customFormat="false" ht="15" hidden="false" customHeight="true" outlineLevel="0" collapsed="false">
      <c r="A8917" s="184"/>
      <c r="B8917" s="184"/>
      <c r="C8917" s="184"/>
      <c r="D8917" s="184"/>
      <c r="E8917" s="184"/>
      <c r="F8917" s="184"/>
      <c r="G8917" s="184"/>
      <c r="H8917" s="184"/>
      <c r="I8917" s="184"/>
      <c r="J8917" s="184"/>
      <c r="K8917" s="184"/>
      <c r="L8917" s="184"/>
      <c r="M8917" s="184"/>
      <c r="N8917" s="184"/>
      <c r="O8917" s="184"/>
    </row>
    <row r="8918" customFormat="false" ht="15" hidden="false" customHeight="true" outlineLevel="0" collapsed="false">
      <c r="A8918" s="184"/>
      <c r="B8918" s="184"/>
      <c r="C8918" s="184"/>
      <c r="D8918" s="184"/>
      <c r="E8918" s="184"/>
      <c r="F8918" s="184"/>
      <c r="G8918" s="184"/>
      <c r="H8918" s="184"/>
      <c r="I8918" s="184"/>
      <c r="J8918" s="184"/>
      <c r="K8918" s="184"/>
      <c r="L8918" s="184"/>
      <c r="M8918" s="184"/>
      <c r="N8918" s="184"/>
      <c r="O8918" s="184"/>
    </row>
    <row r="8919" customFormat="false" ht="15" hidden="false" customHeight="true" outlineLevel="0" collapsed="false">
      <c r="A8919" s="184"/>
      <c r="B8919" s="184"/>
      <c r="C8919" s="184"/>
      <c r="D8919" s="184"/>
      <c r="E8919" s="184"/>
      <c r="F8919" s="184"/>
      <c r="G8919" s="184"/>
      <c r="H8919" s="184"/>
      <c r="I8919" s="184"/>
      <c r="J8919" s="184"/>
      <c r="K8919" s="184"/>
      <c r="L8919" s="184"/>
      <c r="M8919" s="184"/>
      <c r="N8919" s="184"/>
      <c r="O8919" s="184"/>
    </row>
    <row r="8920" customFormat="false" ht="15" hidden="false" customHeight="true" outlineLevel="0" collapsed="false">
      <c r="A8920" s="184"/>
      <c r="B8920" s="184"/>
      <c r="C8920" s="184"/>
      <c r="D8920" s="184"/>
      <c r="E8920" s="184"/>
      <c r="F8920" s="184"/>
      <c r="G8920" s="184"/>
      <c r="H8920" s="184"/>
      <c r="I8920" s="184"/>
      <c r="J8920" s="184"/>
      <c r="K8920" s="184"/>
      <c r="L8920" s="184"/>
      <c r="M8920" s="184"/>
      <c r="N8920" s="184"/>
      <c r="O8920" s="184"/>
    </row>
    <row r="8921" customFormat="false" ht="15" hidden="false" customHeight="true" outlineLevel="0" collapsed="false">
      <c r="A8921" s="184"/>
      <c r="B8921" s="184"/>
      <c r="C8921" s="184"/>
      <c r="D8921" s="184"/>
      <c r="E8921" s="184"/>
      <c r="F8921" s="184"/>
      <c r="G8921" s="184"/>
      <c r="H8921" s="184"/>
      <c r="I8921" s="184"/>
      <c r="J8921" s="184"/>
      <c r="K8921" s="184"/>
      <c r="L8921" s="184"/>
      <c r="M8921" s="184"/>
      <c r="N8921" s="184"/>
      <c r="O8921" s="184"/>
    </row>
    <row r="8922" customFormat="false" ht="15" hidden="false" customHeight="true" outlineLevel="0" collapsed="false">
      <c r="A8922" s="184"/>
      <c r="B8922" s="184"/>
      <c r="C8922" s="184"/>
      <c r="D8922" s="184"/>
      <c r="E8922" s="184"/>
      <c r="F8922" s="184"/>
      <c r="G8922" s="184"/>
      <c r="H8922" s="184"/>
      <c r="I8922" s="184"/>
      <c r="J8922" s="184"/>
      <c r="K8922" s="184"/>
      <c r="L8922" s="184"/>
      <c r="M8922" s="184"/>
      <c r="N8922" s="184"/>
      <c r="O8922" s="184"/>
    </row>
    <row r="8923" customFormat="false" ht="15" hidden="false" customHeight="true" outlineLevel="0" collapsed="false">
      <c r="A8923" s="184"/>
      <c r="B8923" s="184"/>
      <c r="C8923" s="184"/>
      <c r="D8923" s="184"/>
      <c r="E8923" s="184"/>
      <c r="F8923" s="184"/>
      <c r="G8923" s="184"/>
      <c r="H8923" s="184"/>
      <c r="I8923" s="184"/>
      <c r="J8923" s="184"/>
      <c r="K8923" s="184"/>
      <c r="L8923" s="184"/>
      <c r="M8923" s="184"/>
      <c r="N8923" s="184"/>
      <c r="O8923" s="184"/>
    </row>
    <row r="8924" customFormat="false" ht="15" hidden="false" customHeight="true" outlineLevel="0" collapsed="false">
      <c r="A8924" s="184"/>
      <c r="B8924" s="184"/>
      <c r="C8924" s="184"/>
      <c r="D8924" s="184"/>
      <c r="E8924" s="184"/>
      <c r="F8924" s="184"/>
      <c r="G8924" s="184"/>
      <c r="H8924" s="184"/>
      <c r="I8924" s="184"/>
      <c r="J8924" s="184"/>
      <c r="K8924" s="184"/>
      <c r="L8924" s="184"/>
      <c r="M8924" s="184"/>
      <c r="N8924" s="184"/>
      <c r="O8924" s="184"/>
    </row>
    <row r="8925" customFormat="false" ht="15" hidden="false" customHeight="true" outlineLevel="0" collapsed="false">
      <c r="A8925" s="184"/>
      <c r="B8925" s="184"/>
      <c r="C8925" s="184"/>
      <c r="D8925" s="184"/>
      <c r="E8925" s="184"/>
      <c r="F8925" s="184"/>
      <c r="G8925" s="184"/>
      <c r="H8925" s="184"/>
      <c r="I8925" s="184"/>
      <c r="J8925" s="184"/>
      <c r="K8925" s="184"/>
      <c r="L8925" s="184"/>
      <c r="M8925" s="184"/>
      <c r="N8925" s="184"/>
      <c r="O8925" s="184"/>
    </row>
    <row r="8926" customFormat="false" ht="15" hidden="false" customHeight="true" outlineLevel="0" collapsed="false">
      <c r="A8926" s="184"/>
      <c r="B8926" s="184"/>
      <c r="C8926" s="184"/>
      <c r="D8926" s="184"/>
      <c r="E8926" s="184"/>
      <c r="F8926" s="184"/>
      <c r="G8926" s="184"/>
      <c r="H8926" s="184"/>
      <c r="I8926" s="184"/>
      <c r="J8926" s="184"/>
      <c r="K8926" s="184"/>
      <c r="L8926" s="184"/>
      <c r="M8926" s="184"/>
      <c r="N8926" s="184"/>
      <c r="O8926" s="184"/>
    </row>
    <row r="8927" customFormat="false" ht="15" hidden="false" customHeight="true" outlineLevel="0" collapsed="false">
      <c r="A8927" s="184"/>
      <c r="B8927" s="184"/>
      <c r="C8927" s="184"/>
      <c r="D8927" s="184"/>
      <c r="E8927" s="184"/>
      <c r="F8927" s="184"/>
      <c r="G8927" s="184"/>
      <c r="H8927" s="184"/>
      <c r="I8927" s="184"/>
      <c r="J8927" s="184"/>
      <c r="K8927" s="184"/>
      <c r="L8927" s="184"/>
      <c r="M8927" s="184"/>
      <c r="N8927" s="184"/>
      <c r="O8927" s="184"/>
    </row>
    <row r="8928" customFormat="false" ht="15" hidden="false" customHeight="true" outlineLevel="0" collapsed="false">
      <c r="A8928" s="184"/>
      <c r="B8928" s="184"/>
      <c r="C8928" s="184"/>
      <c r="D8928" s="184"/>
      <c r="E8928" s="184"/>
      <c r="F8928" s="184"/>
      <c r="G8928" s="184"/>
      <c r="H8928" s="184"/>
      <c r="I8928" s="184"/>
      <c r="J8928" s="184"/>
      <c r="K8928" s="184"/>
      <c r="L8928" s="184"/>
      <c r="M8928" s="184"/>
      <c r="N8928" s="184"/>
      <c r="O8928" s="184"/>
    </row>
    <row r="8929" customFormat="false" ht="15" hidden="false" customHeight="true" outlineLevel="0" collapsed="false">
      <c r="A8929" s="184"/>
      <c r="B8929" s="184"/>
      <c r="C8929" s="184"/>
      <c r="D8929" s="184"/>
      <c r="E8929" s="184"/>
      <c r="F8929" s="184"/>
      <c r="G8929" s="184"/>
      <c r="H8929" s="184"/>
      <c r="I8929" s="184"/>
      <c r="J8929" s="184"/>
      <c r="K8929" s="184"/>
      <c r="L8929" s="184"/>
      <c r="M8929" s="184"/>
      <c r="N8929" s="184"/>
      <c r="O8929" s="184"/>
    </row>
    <row r="8930" customFormat="false" ht="15" hidden="false" customHeight="true" outlineLevel="0" collapsed="false">
      <c r="A8930" s="184"/>
      <c r="B8930" s="184"/>
      <c r="C8930" s="184"/>
      <c r="D8930" s="184"/>
      <c r="E8930" s="184"/>
      <c r="F8930" s="184"/>
      <c r="G8930" s="184"/>
      <c r="H8930" s="184"/>
      <c r="I8930" s="184"/>
      <c r="J8930" s="184"/>
      <c r="K8930" s="184"/>
      <c r="L8930" s="184"/>
      <c r="M8930" s="184"/>
      <c r="N8930" s="184"/>
      <c r="O8930" s="184"/>
    </row>
    <row r="8931" customFormat="false" ht="15" hidden="false" customHeight="true" outlineLevel="0" collapsed="false">
      <c r="A8931" s="184"/>
      <c r="B8931" s="184"/>
      <c r="C8931" s="184"/>
      <c r="D8931" s="184"/>
      <c r="E8931" s="184"/>
      <c r="F8931" s="184"/>
      <c r="G8931" s="184"/>
      <c r="H8931" s="184"/>
      <c r="I8931" s="184"/>
      <c r="J8931" s="184"/>
      <c r="K8931" s="184"/>
      <c r="L8931" s="184"/>
      <c r="M8931" s="184"/>
      <c r="N8931" s="184"/>
      <c r="O8931" s="184"/>
    </row>
    <row r="8932" customFormat="false" ht="15" hidden="false" customHeight="true" outlineLevel="0" collapsed="false">
      <c r="A8932" s="184"/>
      <c r="B8932" s="184"/>
      <c r="C8932" s="184"/>
      <c r="D8932" s="184"/>
      <c r="E8932" s="184"/>
      <c r="F8932" s="184"/>
      <c r="G8932" s="184"/>
      <c r="H8932" s="184"/>
      <c r="I8932" s="184"/>
      <c r="J8932" s="184"/>
      <c r="K8932" s="184"/>
      <c r="L8932" s="184"/>
      <c r="M8932" s="184"/>
      <c r="N8932" s="184"/>
      <c r="O8932" s="184"/>
    </row>
    <row r="8933" customFormat="false" ht="15" hidden="false" customHeight="true" outlineLevel="0" collapsed="false">
      <c r="A8933" s="184"/>
      <c r="B8933" s="184"/>
      <c r="C8933" s="184"/>
      <c r="D8933" s="184"/>
      <c r="E8933" s="184"/>
      <c r="F8933" s="184"/>
      <c r="G8933" s="184"/>
      <c r="H8933" s="184"/>
      <c r="I8933" s="184"/>
      <c r="J8933" s="184"/>
      <c r="K8933" s="184"/>
      <c r="L8933" s="184"/>
      <c r="M8933" s="184"/>
      <c r="N8933" s="184"/>
      <c r="O8933" s="184"/>
    </row>
    <row r="8934" customFormat="false" ht="15" hidden="false" customHeight="true" outlineLevel="0" collapsed="false">
      <c r="A8934" s="184"/>
      <c r="B8934" s="184"/>
      <c r="C8934" s="184"/>
      <c r="D8934" s="184"/>
      <c r="E8934" s="184"/>
      <c r="F8934" s="184"/>
      <c r="G8934" s="184"/>
      <c r="H8934" s="184"/>
      <c r="I8934" s="184"/>
      <c r="J8934" s="184"/>
      <c r="K8934" s="184"/>
      <c r="L8934" s="184"/>
      <c r="M8934" s="184"/>
      <c r="N8934" s="184"/>
      <c r="O8934" s="184"/>
    </row>
    <row r="8935" customFormat="false" ht="15" hidden="false" customHeight="true" outlineLevel="0" collapsed="false">
      <c r="A8935" s="184"/>
      <c r="B8935" s="184"/>
      <c r="C8935" s="184"/>
      <c r="D8935" s="184"/>
      <c r="E8935" s="184"/>
      <c r="F8935" s="184"/>
      <c r="G8935" s="184"/>
      <c r="H8935" s="184"/>
      <c r="I8935" s="184"/>
      <c r="J8935" s="184"/>
      <c r="K8935" s="184"/>
      <c r="L8935" s="184"/>
      <c r="M8935" s="184"/>
      <c r="N8935" s="184"/>
      <c r="O8935" s="184"/>
    </row>
    <row r="8936" customFormat="false" ht="15" hidden="false" customHeight="true" outlineLevel="0" collapsed="false">
      <c r="A8936" s="184"/>
      <c r="B8936" s="184"/>
      <c r="C8936" s="184"/>
      <c r="D8936" s="184"/>
      <c r="E8936" s="184"/>
      <c r="F8936" s="184"/>
      <c r="G8936" s="184"/>
      <c r="H8936" s="184"/>
      <c r="I8936" s="184"/>
      <c r="J8936" s="184"/>
      <c r="K8936" s="184"/>
      <c r="L8936" s="184"/>
      <c r="M8936" s="184"/>
      <c r="N8936" s="184"/>
      <c r="O8936" s="184"/>
    </row>
    <row r="8937" customFormat="false" ht="15" hidden="false" customHeight="true" outlineLevel="0" collapsed="false">
      <c r="A8937" s="184"/>
      <c r="B8937" s="184"/>
      <c r="C8937" s="184"/>
      <c r="D8937" s="184"/>
      <c r="E8937" s="184"/>
      <c r="F8937" s="184"/>
      <c r="G8937" s="184"/>
      <c r="H8937" s="184"/>
      <c r="I8937" s="184"/>
      <c r="J8937" s="184"/>
      <c r="K8937" s="184"/>
      <c r="L8937" s="184"/>
      <c r="M8937" s="184"/>
      <c r="N8937" s="184"/>
      <c r="O8937" s="184"/>
    </row>
    <row r="8938" customFormat="false" ht="15" hidden="false" customHeight="true" outlineLevel="0" collapsed="false">
      <c r="A8938" s="184"/>
      <c r="B8938" s="184"/>
      <c r="C8938" s="184"/>
      <c r="D8938" s="184"/>
      <c r="E8938" s="184"/>
      <c r="F8938" s="184"/>
      <c r="G8938" s="184"/>
      <c r="H8938" s="184"/>
      <c r="I8938" s="184"/>
      <c r="J8938" s="184"/>
      <c r="K8938" s="184"/>
      <c r="L8938" s="184"/>
      <c r="M8938" s="184"/>
      <c r="N8938" s="184"/>
      <c r="O8938" s="184"/>
    </row>
    <row r="8939" customFormat="false" ht="15" hidden="false" customHeight="true" outlineLevel="0" collapsed="false">
      <c r="A8939" s="184"/>
      <c r="B8939" s="184"/>
      <c r="C8939" s="184"/>
      <c r="D8939" s="184"/>
      <c r="E8939" s="184"/>
      <c r="F8939" s="184"/>
      <c r="G8939" s="184"/>
      <c r="H8939" s="184"/>
      <c r="I8939" s="184"/>
      <c r="J8939" s="184"/>
      <c r="K8939" s="184"/>
      <c r="L8939" s="184"/>
      <c r="M8939" s="184"/>
      <c r="N8939" s="184"/>
      <c r="O8939" s="184"/>
    </row>
    <row r="8940" customFormat="false" ht="15" hidden="false" customHeight="true" outlineLevel="0" collapsed="false">
      <c r="A8940" s="184"/>
      <c r="B8940" s="184"/>
      <c r="C8940" s="184"/>
      <c r="D8940" s="184"/>
      <c r="E8940" s="184"/>
      <c r="F8940" s="184"/>
      <c r="G8940" s="184"/>
      <c r="H8940" s="184"/>
      <c r="I8940" s="184"/>
      <c r="J8940" s="184"/>
      <c r="K8940" s="184"/>
      <c r="L8940" s="184"/>
      <c r="M8940" s="184"/>
      <c r="N8940" s="184"/>
      <c r="O8940" s="184"/>
    </row>
    <row r="8941" customFormat="false" ht="15" hidden="false" customHeight="true" outlineLevel="0" collapsed="false">
      <c r="A8941" s="184"/>
      <c r="B8941" s="184"/>
      <c r="C8941" s="184"/>
      <c r="D8941" s="184"/>
      <c r="E8941" s="184"/>
      <c r="F8941" s="184"/>
      <c r="G8941" s="184"/>
      <c r="H8941" s="184"/>
      <c r="I8941" s="184"/>
      <c r="J8941" s="184"/>
      <c r="K8941" s="184"/>
      <c r="L8941" s="184"/>
      <c r="M8941" s="184"/>
      <c r="N8941" s="184"/>
      <c r="O8941" s="184"/>
    </row>
    <row r="8942" customFormat="false" ht="15" hidden="false" customHeight="true" outlineLevel="0" collapsed="false">
      <c r="A8942" s="184"/>
      <c r="B8942" s="184"/>
      <c r="C8942" s="184"/>
      <c r="D8942" s="184"/>
      <c r="E8942" s="184"/>
      <c r="F8942" s="184"/>
      <c r="G8942" s="184"/>
      <c r="H8942" s="184"/>
      <c r="I8942" s="184"/>
      <c r="J8942" s="184"/>
      <c r="K8942" s="184"/>
      <c r="L8942" s="184"/>
      <c r="M8942" s="184"/>
      <c r="N8942" s="184"/>
      <c r="O8942" s="184"/>
    </row>
    <row r="8943" customFormat="false" ht="15" hidden="false" customHeight="true" outlineLevel="0" collapsed="false">
      <c r="A8943" s="184"/>
      <c r="B8943" s="184"/>
      <c r="C8943" s="184"/>
      <c r="D8943" s="184"/>
      <c r="E8943" s="184"/>
      <c r="F8943" s="184"/>
      <c r="G8943" s="184"/>
      <c r="H8943" s="184"/>
      <c r="I8943" s="184"/>
      <c r="J8943" s="184"/>
      <c r="K8943" s="184"/>
      <c r="L8943" s="184"/>
      <c r="M8943" s="184"/>
      <c r="N8943" s="184"/>
      <c r="O8943" s="184"/>
    </row>
    <row r="8944" customFormat="false" ht="15" hidden="false" customHeight="true" outlineLevel="0" collapsed="false">
      <c r="A8944" s="184"/>
      <c r="B8944" s="184"/>
      <c r="C8944" s="184"/>
      <c r="D8944" s="184"/>
      <c r="E8944" s="184"/>
      <c r="F8944" s="184"/>
      <c r="G8944" s="184"/>
      <c r="H8944" s="184"/>
      <c r="I8944" s="184"/>
      <c r="J8944" s="184"/>
      <c r="K8944" s="184"/>
      <c r="L8944" s="184"/>
      <c r="M8944" s="184"/>
      <c r="N8944" s="184"/>
      <c r="O8944" s="184"/>
    </row>
    <row r="8945" customFormat="false" ht="15" hidden="false" customHeight="true" outlineLevel="0" collapsed="false">
      <c r="A8945" s="184"/>
      <c r="B8945" s="184"/>
      <c r="C8945" s="184"/>
      <c r="D8945" s="184"/>
      <c r="E8945" s="184"/>
      <c r="F8945" s="184"/>
      <c r="G8945" s="184"/>
      <c r="H8945" s="184"/>
      <c r="I8945" s="184"/>
      <c r="J8945" s="184"/>
      <c r="K8945" s="184"/>
      <c r="L8945" s="184"/>
      <c r="M8945" s="184"/>
      <c r="N8945" s="184"/>
      <c r="O8945" s="184"/>
    </row>
    <row r="8946" customFormat="false" ht="15" hidden="false" customHeight="true" outlineLevel="0" collapsed="false">
      <c r="A8946" s="184"/>
      <c r="B8946" s="184"/>
      <c r="C8946" s="184"/>
      <c r="D8946" s="184"/>
      <c r="E8946" s="184"/>
      <c r="F8946" s="184"/>
      <c r="G8946" s="184"/>
      <c r="H8946" s="184"/>
      <c r="I8946" s="184"/>
      <c r="J8946" s="184"/>
      <c r="K8946" s="184"/>
      <c r="L8946" s="184"/>
      <c r="M8946" s="184"/>
      <c r="N8946" s="184"/>
      <c r="O8946" s="184"/>
    </row>
    <row r="8947" customFormat="false" ht="15" hidden="false" customHeight="true" outlineLevel="0" collapsed="false">
      <c r="A8947" s="184"/>
      <c r="B8947" s="184"/>
      <c r="C8947" s="184"/>
      <c r="D8947" s="184"/>
      <c r="E8947" s="184"/>
      <c r="F8947" s="184"/>
      <c r="G8947" s="184"/>
      <c r="H8947" s="184"/>
      <c r="I8947" s="184"/>
      <c r="J8947" s="184"/>
      <c r="K8947" s="184"/>
      <c r="L8947" s="184"/>
      <c r="M8947" s="184"/>
      <c r="N8947" s="184"/>
      <c r="O8947" s="184"/>
    </row>
    <row r="8948" customFormat="false" ht="15" hidden="false" customHeight="true" outlineLevel="0" collapsed="false">
      <c r="A8948" s="184"/>
      <c r="B8948" s="184"/>
      <c r="C8948" s="184"/>
      <c r="D8948" s="184"/>
      <c r="E8948" s="184"/>
      <c r="F8948" s="184"/>
      <c r="G8948" s="184"/>
      <c r="H8948" s="184"/>
      <c r="I8948" s="184"/>
      <c r="J8948" s="184"/>
      <c r="K8948" s="184"/>
      <c r="L8948" s="184"/>
      <c r="M8948" s="184"/>
      <c r="N8948" s="184"/>
      <c r="O8948" s="184"/>
    </row>
    <row r="8949" customFormat="false" ht="15" hidden="false" customHeight="true" outlineLevel="0" collapsed="false">
      <c r="A8949" s="184"/>
      <c r="B8949" s="184"/>
      <c r="C8949" s="184"/>
      <c r="D8949" s="184"/>
      <c r="E8949" s="184"/>
      <c r="F8949" s="184"/>
      <c r="G8949" s="184"/>
      <c r="H8949" s="184"/>
      <c r="I8949" s="184"/>
      <c r="J8949" s="184"/>
      <c r="K8949" s="184"/>
      <c r="L8949" s="184"/>
      <c r="M8949" s="184"/>
      <c r="N8949" s="184"/>
      <c r="O8949" s="184"/>
    </row>
    <row r="8950" customFormat="false" ht="15" hidden="false" customHeight="true" outlineLevel="0" collapsed="false">
      <c r="A8950" s="184"/>
      <c r="B8950" s="184"/>
      <c r="C8950" s="184"/>
      <c r="D8950" s="184"/>
      <c r="E8950" s="184"/>
      <c r="F8950" s="184"/>
      <c r="G8950" s="184"/>
      <c r="H8950" s="184"/>
      <c r="I8950" s="184"/>
      <c r="J8950" s="184"/>
      <c r="K8950" s="184"/>
      <c r="L8950" s="184"/>
      <c r="M8950" s="184"/>
      <c r="N8950" s="184"/>
      <c r="O8950" s="184"/>
    </row>
    <row r="8951" customFormat="false" ht="15" hidden="false" customHeight="true" outlineLevel="0" collapsed="false">
      <c r="A8951" s="184"/>
      <c r="B8951" s="184"/>
      <c r="C8951" s="184"/>
      <c r="D8951" s="184"/>
      <c r="E8951" s="184"/>
      <c r="F8951" s="184"/>
      <c r="G8951" s="184"/>
      <c r="H8951" s="184"/>
      <c r="I8951" s="184"/>
      <c r="J8951" s="184"/>
      <c r="K8951" s="184"/>
      <c r="L8951" s="184"/>
      <c r="M8951" s="184"/>
      <c r="N8951" s="184"/>
      <c r="O8951" s="184"/>
    </row>
    <row r="8952" customFormat="false" ht="15" hidden="false" customHeight="true" outlineLevel="0" collapsed="false">
      <c r="A8952" s="184"/>
      <c r="B8952" s="184"/>
      <c r="C8952" s="184"/>
      <c r="D8952" s="184"/>
      <c r="E8952" s="184"/>
      <c r="F8952" s="184"/>
      <c r="G8952" s="184"/>
      <c r="H8952" s="184"/>
      <c r="I8952" s="184"/>
      <c r="J8952" s="184"/>
      <c r="K8952" s="184"/>
      <c r="L8952" s="184"/>
      <c r="M8952" s="184"/>
      <c r="N8952" s="184"/>
      <c r="O8952" s="184"/>
    </row>
    <row r="8953" customFormat="false" ht="15" hidden="false" customHeight="true" outlineLevel="0" collapsed="false">
      <c r="A8953" s="184"/>
      <c r="B8953" s="184"/>
      <c r="C8953" s="184"/>
      <c r="D8953" s="184"/>
      <c r="E8953" s="184"/>
      <c r="F8953" s="184"/>
      <c r="G8953" s="184"/>
      <c r="H8953" s="184"/>
      <c r="I8953" s="184"/>
      <c r="J8953" s="184"/>
      <c r="K8953" s="184"/>
      <c r="L8953" s="184"/>
      <c r="M8953" s="184"/>
      <c r="N8953" s="184"/>
      <c r="O8953" s="184"/>
    </row>
    <row r="8954" customFormat="false" ht="15" hidden="false" customHeight="true" outlineLevel="0" collapsed="false">
      <c r="A8954" s="184"/>
      <c r="B8954" s="184"/>
      <c r="C8954" s="184"/>
      <c r="D8954" s="184"/>
      <c r="E8954" s="184"/>
      <c r="F8954" s="184"/>
      <c r="G8954" s="184"/>
      <c r="H8954" s="184"/>
      <c r="I8954" s="184"/>
      <c r="J8954" s="184"/>
      <c r="K8954" s="184"/>
      <c r="L8954" s="184"/>
      <c r="M8954" s="184"/>
      <c r="N8954" s="184"/>
      <c r="O8954" s="184"/>
    </row>
    <row r="8955" customFormat="false" ht="15" hidden="false" customHeight="true" outlineLevel="0" collapsed="false">
      <c r="A8955" s="184"/>
      <c r="B8955" s="184"/>
      <c r="C8955" s="184"/>
      <c r="D8955" s="184"/>
      <c r="E8955" s="184"/>
      <c r="F8955" s="184"/>
      <c r="G8955" s="184"/>
      <c r="H8955" s="184"/>
      <c r="I8955" s="184"/>
      <c r="J8955" s="184"/>
      <c r="K8955" s="184"/>
      <c r="L8955" s="184"/>
      <c r="M8955" s="184"/>
      <c r="N8955" s="184"/>
      <c r="O8955" s="184"/>
    </row>
    <row r="8956" customFormat="false" ht="15" hidden="false" customHeight="true" outlineLevel="0" collapsed="false">
      <c r="A8956" s="184"/>
      <c r="B8956" s="184"/>
      <c r="C8956" s="184"/>
      <c r="D8956" s="184"/>
      <c r="E8956" s="184"/>
      <c r="F8956" s="184"/>
      <c r="G8956" s="184"/>
      <c r="H8956" s="184"/>
      <c r="I8956" s="184"/>
      <c r="J8956" s="184"/>
      <c r="K8956" s="184"/>
      <c r="L8956" s="184"/>
      <c r="M8956" s="184"/>
      <c r="N8956" s="184"/>
      <c r="O8956" s="184"/>
    </row>
    <row r="8957" customFormat="false" ht="15" hidden="false" customHeight="true" outlineLevel="0" collapsed="false">
      <c r="A8957" s="184"/>
      <c r="B8957" s="184"/>
      <c r="C8957" s="184"/>
      <c r="D8957" s="184"/>
      <c r="E8957" s="184"/>
      <c r="F8957" s="184"/>
      <c r="G8957" s="184"/>
      <c r="H8957" s="184"/>
      <c r="I8957" s="184"/>
      <c r="J8957" s="184"/>
      <c r="K8957" s="184"/>
      <c r="L8957" s="184"/>
      <c r="M8957" s="184"/>
      <c r="N8957" s="184"/>
      <c r="O8957" s="184"/>
    </row>
    <row r="8958" customFormat="false" ht="15" hidden="false" customHeight="true" outlineLevel="0" collapsed="false">
      <c r="A8958" s="184"/>
      <c r="B8958" s="184"/>
      <c r="C8958" s="184"/>
      <c r="D8958" s="184"/>
      <c r="E8958" s="184"/>
      <c r="F8958" s="184"/>
      <c r="G8958" s="184"/>
      <c r="H8958" s="184"/>
      <c r="I8958" s="184"/>
      <c r="J8958" s="184"/>
      <c r="K8958" s="184"/>
      <c r="L8958" s="184"/>
      <c r="M8958" s="184"/>
      <c r="N8958" s="184"/>
      <c r="O8958" s="184"/>
    </row>
    <row r="8959" customFormat="false" ht="15" hidden="false" customHeight="true" outlineLevel="0" collapsed="false">
      <c r="A8959" s="184"/>
      <c r="B8959" s="184"/>
      <c r="C8959" s="184"/>
      <c r="D8959" s="184"/>
      <c r="E8959" s="184"/>
      <c r="F8959" s="184"/>
      <c r="G8959" s="184"/>
      <c r="H8959" s="184"/>
      <c r="I8959" s="184"/>
      <c r="J8959" s="184"/>
      <c r="K8959" s="184"/>
      <c r="L8959" s="184"/>
      <c r="M8959" s="184"/>
      <c r="N8959" s="184"/>
      <c r="O8959" s="184"/>
    </row>
    <row r="8960" customFormat="false" ht="15" hidden="false" customHeight="true" outlineLevel="0" collapsed="false">
      <c r="A8960" s="184"/>
      <c r="B8960" s="184"/>
      <c r="C8960" s="184"/>
      <c r="D8960" s="184"/>
      <c r="E8960" s="184"/>
      <c r="F8960" s="184"/>
      <c r="G8960" s="184"/>
      <c r="H8960" s="184"/>
      <c r="I8960" s="184"/>
      <c r="J8960" s="184"/>
      <c r="K8960" s="184"/>
      <c r="L8960" s="184"/>
      <c r="M8960" s="184"/>
      <c r="N8960" s="184"/>
      <c r="O8960" s="184"/>
    </row>
    <row r="8961" customFormat="false" ht="15" hidden="false" customHeight="true" outlineLevel="0" collapsed="false">
      <c r="A8961" s="184"/>
      <c r="B8961" s="184"/>
      <c r="C8961" s="184"/>
      <c r="D8961" s="184"/>
      <c r="E8961" s="184"/>
      <c r="F8961" s="184"/>
      <c r="G8961" s="184"/>
      <c r="H8961" s="184"/>
      <c r="I8961" s="184"/>
      <c r="J8961" s="184"/>
      <c r="K8961" s="184"/>
      <c r="L8961" s="184"/>
      <c r="M8961" s="184"/>
      <c r="N8961" s="184"/>
      <c r="O8961" s="184"/>
    </row>
    <row r="8962" customFormat="false" ht="15" hidden="false" customHeight="true" outlineLevel="0" collapsed="false">
      <c r="A8962" s="184"/>
      <c r="B8962" s="184"/>
      <c r="C8962" s="184"/>
      <c r="D8962" s="184"/>
      <c r="E8962" s="184"/>
      <c r="F8962" s="184"/>
      <c r="G8962" s="184"/>
      <c r="H8962" s="184"/>
      <c r="I8962" s="184"/>
      <c r="J8962" s="184"/>
      <c r="K8962" s="184"/>
      <c r="L8962" s="184"/>
      <c r="M8962" s="184"/>
      <c r="N8962" s="184"/>
      <c r="O8962" s="184"/>
    </row>
    <row r="8963" customFormat="false" ht="15" hidden="false" customHeight="true" outlineLevel="0" collapsed="false">
      <c r="A8963" s="184"/>
      <c r="B8963" s="184"/>
      <c r="C8963" s="184"/>
      <c r="D8963" s="184"/>
      <c r="E8963" s="184"/>
      <c r="F8963" s="184"/>
      <c r="G8963" s="184"/>
      <c r="H8963" s="184"/>
      <c r="I8963" s="184"/>
      <c r="J8963" s="184"/>
      <c r="K8963" s="184"/>
      <c r="L8963" s="184"/>
      <c r="M8963" s="184"/>
      <c r="N8963" s="184"/>
      <c r="O8963" s="184"/>
    </row>
    <row r="8964" customFormat="false" ht="15" hidden="false" customHeight="true" outlineLevel="0" collapsed="false">
      <c r="A8964" s="184"/>
      <c r="B8964" s="184"/>
      <c r="C8964" s="184"/>
      <c r="D8964" s="184"/>
      <c r="E8964" s="184"/>
      <c r="F8964" s="184"/>
      <c r="G8964" s="184"/>
      <c r="H8964" s="184"/>
      <c r="I8964" s="184"/>
      <c r="J8964" s="184"/>
      <c r="K8964" s="184"/>
      <c r="L8964" s="184"/>
      <c r="M8964" s="184"/>
      <c r="N8964" s="184"/>
      <c r="O8964" s="184"/>
    </row>
    <row r="8965" customFormat="false" ht="15" hidden="false" customHeight="true" outlineLevel="0" collapsed="false">
      <c r="A8965" s="184"/>
      <c r="B8965" s="184"/>
      <c r="C8965" s="184"/>
      <c r="D8965" s="184"/>
      <c r="E8965" s="184"/>
      <c r="F8965" s="184"/>
      <c r="G8965" s="184"/>
      <c r="H8965" s="184"/>
      <c r="I8965" s="184"/>
      <c r="J8965" s="184"/>
      <c r="K8965" s="184"/>
      <c r="L8965" s="184"/>
      <c r="M8965" s="184"/>
      <c r="N8965" s="184"/>
      <c r="O8965" s="184"/>
    </row>
    <row r="8966" customFormat="false" ht="15" hidden="false" customHeight="true" outlineLevel="0" collapsed="false">
      <c r="A8966" s="184"/>
      <c r="B8966" s="184"/>
      <c r="C8966" s="184"/>
      <c r="D8966" s="184"/>
      <c r="E8966" s="184"/>
      <c r="F8966" s="184"/>
      <c r="G8966" s="184"/>
      <c r="H8966" s="184"/>
      <c r="I8966" s="184"/>
      <c r="J8966" s="184"/>
      <c r="K8966" s="184"/>
      <c r="L8966" s="184"/>
      <c r="M8966" s="184"/>
      <c r="N8966" s="184"/>
      <c r="O8966" s="184"/>
    </row>
    <row r="8967" customFormat="false" ht="15" hidden="false" customHeight="true" outlineLevel="0" collapsed="false">
      <c r="A8967" s="184"/>
      <c r="B8967" s="184"/>
      <c r="C8967" s="184"/>
      <c r="D8967" s="184"/>
      <c r="E8967" s="184"/>
      <c r="F8967" s="184"/>
      <c r="G8967" s="184"/>
      <c r="H8967" s="184"/>
      <c r="I8967" s="184"/>
      <c r="J8967" s="184"/>
      <c r="K8967" s="184"/>
      <c r="L8967" s="184"/>
      <c r="M8967" s="184"/>
      <c r="N8967" s="184"/>
      <c r="O8967" s="184"/>
    </row>
    <row r="8968" customFormat="false" ht="15" hidden="false" customHeight="true" outlineLevel="0" collapsed="false">
      <c r="A8968" s="184"/>
      <c r="B8968" s="184"/>
      <c r="C8968" s="184"/>
      <c r="D8968" s="184"/>
      <c r="E8968" s="184"/>
      <c r="F8968" s="184"/>
      <c r="G8968" s="184"/>
      <c r="H8968" s="184"/>
      <c r="I8968" s="184"/>
      <c r="J8968" s="184"/>
      <c r="K8968" s="184"/>
      <c r="L8968" s="184"/>
      <c r="M8968" s="184"/>
      <c r="N8968" s="184"/>
      <c r="O8968" s="184"/>
    </row>
    <row r="8969" customFormat="false" ht="15" hidden="false" customHeight="true" outlineLevel="0" collapsed="false">
      <c r="A8969" s="184"/>
      <c r="B8969" s="184"/>
      <c r="C8969" s="184"/>
      <c r="D8969" s="184"/>
      <c r="E8969" s="184"/>
      <c r="F8969" s="184"/>
      <c r="G8969" s="184"/>
      <c r="H8969" s="184"/>
      <c r="I8969" s="184"/>
      <c r="J8969" s="184"/>
      <c r="K8969" s="184"/>
      <c r="L8969" s="184"/>
      <c r="M8969" s="184"/>
      <c r="N8969" s="184"/>
      <c r="O8969" s="184"/>
    </row>
    <row r="8970" customFormat="false" ht="15" hidden="false" customHeight="true" outlineLevel="0" collapsed="false">
      <c r="A8970" s="184"/>
      <c r="B8970" s="184"/>
      <c r="C8970" s="184"/>
      <c r="D8970" s="184"/>
      <c r="E8970" s="184"/>
      <c r="F8970" s="184"/>
      <c r="G8970" s="184"/>
      <c r="H8970" s="184"/>
      <c r="I8970" s="184"/>
      <c r="J8970" s="184"/>
      <c r="K8970" s="184"/>
      <c r="L8970" s="184"/>
      <c r="M8970" s="184"/>
      <c r="N8970" s="184"/>
      <c r="O8970" s="184"/>
    </row>
    <row r="8971" customFormat="false" ht="15" hidden="false" customHeight="true" outlineLevel="0" collapsed="false">
      <c r="A8971" s="184"/>
      <c r="B8971" s="184"/>
      <c r="C8971" s="184"/>
      <c r="D8971" s="184"/>
      <c r="E8971" s="184"/>
      <c r="F8971" s="184"/>
      <c r="G8971" s="184"/>
      <c r="H8971" s="184"/>
      <c r="I8971" s="184"/>
      <c r="J8971" s="184"/>
      <c r="K8971" s="184"/>
      <c r="L8971" s="184"/>
      <c r="M8971" s="184"/>
      <c r="N8971" s="184"/>
      <c r="O8971" s="184"/>
    </row>
    <row r="8972" customFormat="false" ht="15" hidden="false" customHeight="true" outlineLevel="0" collapsed="false">
      <c r="A8972" s="184"/>
      <c r="B8972" s="184"/>
      <c r="C8972" s="184"/>
      <c r="D8972" s="184"/>
      <c r="E8972" s="184"/>
      <c r="F8972" s="184"/>
      <c r="G8972" s="184"/>
      <c r="H8972" s="184"/>
      <c r="I8972" s="184"/>
      <c r="J8972" s="184"/>
      <c r="K8972" s="184"/>
      <c r="L8972" s="184"/>
      <c r="M8972" s="184"/>
      <c r="N8972" s="184"/>
      <c r="O8972" s="184"/>
    </row>
    <row r="8973" customFormat="false" ht="15" hidden="false" customHeight="true" outlineLevel="0" collapsed="false">
      <c r="A8973" s="184"/>
      <c r="B8973" s="184"/>
      <c r="C8973" s="184"/>
      <c r="D8973" s="184"/>
      <c r="E8973" s="184"/>
      <c r="F8973" s="184"/>
      <c r="G8973" s="184"/>
      <c r="H8973" s="184"/>
      <c r="I8973" s="184"/>
      <c r="J8973" s="184"/>
      <c r="K8973" s="184"/>
      <c r="L8973" s="184"/>
      <c r="M8973" s="184"/>
      <c r="N8973" s="184"/>
      <c r="O8973" s="184"/>
    </row>
    <row r="8974" customFormat="false" ht="15" hidden="false" customHeight="true" outlineLevel="0" collapsed="false">
      <c r="A8974" s="184"/>
      <c r="B8974" s="184"/>
      <c r="C8974" s="184"/>
      <c r="D8974" s="184"/>
      <c r="E8974" s="184"/>
      <c r="F8974" s="184"/>
      <c r="G8974" s="184"/>
      <c r="H8974" s="184"/>
      <c r="I8974" s="184"/>
      <c r="J8974" s="184"/>
      <c r="K8974" s="184"/>
      <c r="L8974" s="184"/>
      <c r="M8974" s="184"/>
      <c r="N8974" s="184"/>
      <c r="O8974" s="184"/>
    </row>
    <row r="8975" customFormat="false" ht="15" hidden="false" customHeight="true" outlineLevel="0" collapsed="false">
      <c r="A8975" s="184"/>
      <c r="B8975" s="184"/>
      <c r="C8975" s="184"/>
      <c r="D8975" s="184"/>
      <c r="E8975" s="184"/>
      <c r="F8975" s="184"/>
      <c r="G8975" s="184"/>
      <c r="H8975" s="184"/>
      <c r="I8975" s="184"/>
      <c r="J8975" s="184"/>
      <c r="K8975" s="184"/>
      <c r="L8975" s="184"/>
      <c r="M8975" s="184"/>
      <c r="N8975" s="184"/>
      <c r="O8975" s="184"/>
    </row>
    <row r="8976" customFormat="false" ht="15" hidden="false" customHeight="true" outlineLevel="0" collapsed="false">
      <c r="A8976" s="184"/>
      <c r="B8976" s="184"/>
      <c r="C8976" s="184"/>
      <c r="D8976" s="184"/>
      <c r="E8976" s="184"/>
      <c r="F8976" s="184"/>
      <c r="G8976" s="184"/>
      <c r="H8976" s="184"/>
      <c r="I8976" s="184"/>
      <c r="J8976" s="184"/>
      <c r="K8976" s="184"/>
      <c r="L8976" s="184"/>
      <c r="M8976" s="184"/>
      <c r="N8976" s="184"/>
      <c r="O8976" s="184"/>
    </row>
    <row r="8977" customFormat="false" ht="15" hidden="false" customHeight="true" outlineLevel="0" collapsed="false">
      <c r="A8977" s="184"/>
      <c r="B8977" s="184"/>
      <c r="C8977" s="184"/>
      <c r="D8977" s="184"/>
      <c r="E8977" s="184"/>
      <c r="F8977" s="184"/>
      <c r="G8977" s="184"/>
      <c r="H8977" s="184"/>
      <c r="I8977" s="184"/>
      <c r="J8977" s="184"/>
      <c r="K8977" s="184"/>
      <c r="L8977" s="184"/>
      <c r="M8977" s="184"/>
      <c r="N8977" s="184"/>
      <c r="O8977" s="184"/>
    </row>
    <row r="8978" customFormat="false" ht="15" hidden="false" customHeight="true" outlineLevel="0" collapsed="false">
      <c r="A8978" s="184"/>
      <c r="B8978" s="184"/>
      <c r="C8978" s="184"/>
      <c r="D8978" s="184"/>
      <c r="E8978" s="184"/>
      <c r="F8978" s="184"/>
      <c r="G8978" s="184"/>
      <c r="H8978" s="184"/>
      <c r="I8978" s="184"/>
      <c r="J8978" s="184"/>
      <c r="K8978" s="184"/>
      <c r="L8978" s="184"/>
      <c r="M8978" s="184"/>
      <c r="N8978" s="184"/>
      <c r="O8978" s="184"/>
    </row>
    <row r="8979" customFormat="false" ht="15" hidden="false" customHeight="true" outlineLevel="0" collapsed="false">
      <c r="A8979" s="184"/>
      <c r="B8979" s="184"/>
      <c r="C8979" s="184"/>
      <c r="D8979" s="184"/>
      <c r="E8979" s="184"/>
      <c r="F8979" s="184"/>
      <c r="G8979" s="184"/>
      <c r="H8979" s="184"/>
      <c r="I8979" s="184"/>
      <c r="J8979" s="184"/>
      <c r="K8979" s="184"/>
      <c r="L8979" s="184"/>
      <c r="M8979" s="184"/>
      <c r="N8979" s="184"/>
      <c r="O8979" s="184"/>
    </row>
    <row r="8980" customFormat="false" ht="15" hidden="false" customHeight="true" outlineLevel="0" collapsed="false">
      <c r="A8980" s="184"/>
      <c r="B8980" s="184"/>
      <c r="C8980" s="184"/>
      <c r="D8980" s="184"/>
      <c r="E8980" s="184"/>
      <c r="F8980" s="184"/>
      <c r="G8980" s="184"/>
      <c r="H8980" s="184"/>
      <c r="I8980" s="184"/>
      <c r="J8980" s="184"/>
      <c r="K8980" s="184"/>
      <c r="L8980" s="184"/>
      <c r="M8980" s="184"/>
      <c r="N8980" s="184"/>
      <c r="O8980" s="184"/>
    </row>
    <row r="8981" customFormat="false" ht="15" hidden="false" customHeight="true" outlineLevel="0" collapsed="false">
      <c r="A8981" s="184"/>
      <c r="B8981" s="184"/>
      <c r="C8981" s="184"/>
      <c r="D8981" s="184"/>
      <c r="E8981" s="184"/>
      <c r="F8981" s="184"/>
      <c r="G8981" s="184"/>
      <c r="H8981" s="184"/>
      <c r="I8981" s="184"/>
      <c r="J8981" s="184"/>
      <c r="K8981" s="184"/>
      <c r="L8981" s="184"/>
      <c r="M8981" s="184"/>
      <c r="N8981" s="184"/>
      <c r="O8981" s="184"/>
    </row>
    <row r="8982" customFormat="false" ht="15" hidden="false" customHeight="true" outlineLevel="0" collapsed="false">
      <c r="A8982" s="184"/>
      <c r="B8982" s="184"/>
      <c r="C8982" s="184"/>
      <c r="D8982" s="184"/>
      <c r="E8982" s="184"/>
      <c r="F8982" s="184"/>
      <c r="G8982" s="184"/>
      <c r="H8982" s="184"/>
      <c r="I8982" s="184"/>
      <c r="J8982" s="184"/>
      <c r="K8982" s="184"/>
      <c r="L8982" s="184"/>
      <c r="M8982" s="184"/>
      <c r="N8982" s="184"/>
      <c r="O8982" s="184"/>
    </row>
    <row r="8983" customFormat="false" ht="15" hidden="false" customHeight="true" outlineLevel="0" collapsed="false">
      <c r="A8983" s="184"/>
      <c r="B8983" s="184"/>
      <c r="C8983" s="184"/>
      <c r="D8983" s="184"/>
      <c r="E8983" s="184"/>
      <c r="F8983" s="184"/>
      <c r="G8983" s="184"/>
      <c r="H8983" s="184"/>
      <c r="I8983" s="184"/>
      <c r="J8983" s="184"/>
      <c r="K8983" s="184"/>
      <c r="L8983" s="184"/>
      <c r="M8983" s="184"/>
      <c r="N8983" s="184"/>
      <c r="O8983" s="184"/>
    </row>
    <row r="8984" customFormat="false" ht="15" hidden="false" customHeight="true" outlineLevel="0" collapsed="false">
      <c r="A8984" s="184"/>
      <c r="B8984" s="184"/>
      <c r="C8984" s="184"/>
      <c r="D8984" s="184"/>
      <c r="E8984" s="184"/>
      <c r="F8984" s="184"/>
      <c r="G8984" s="184"/>
      <c r="H8984" s="184"/>
      <c r="I8984" s="184"/>
      <c r="J8984" s="184"/>
      <c r="K8984" s="184"/>
      <c r="L8984" s="184"/>
      <c r="M8984" s="184"/>
      <c r="N8984" s="184"/>
      <c r="O8984" s="184"/>
    </row>
    <row r="8985" customFormat="false" ht="15" hidden="false" customHeight="true" outlineLevel="0" collapsed="false">
      <c r="A8985" s="184"/>
      <c r="B8985" s="184"/>
      <c r="C8985" s="184"/>
      <c r="D8985" s="184"/>
      <c r="E8985" s="184"/>
      <c r="F8985" s="184"/>
      <c r="G8985" s="184"/>
      <c r="H8985" s="184"/>
      <c r="I8985" s="184"/>
      <c r="J8985" s="184"/>
      <c r="K8985" s="184"/>
      <c r="L8985" s="184"/>
      <c r="M8985" s="184"/>
      <c r="N8985" s="184"/>
      <c r="O8985" s="184"/>
    </row>
    <row r="8986" customFormat="false" ht="15" hidden="false" customHeight="true" outlineLevel="0" collapsed="false">
      <c r="A8986" s="184"/>
      <c r="B8986" s="184"/>
      <c r="C8986" s="184"/>
      <c r="D8986" s="184"/>
      <c r="E8986" s="184"/>
      <c r="F8986" s="184"/>
      <c r="G8986" s="184"/>
      <c r="H8986" s="184"/>
      <c r="I8986" s="184"/>
      <c r="J8986" s="184"/>
      <c r="K8986" s="184"/>
      <c r="L8986" s="184"/>
      <c r="M8986" s="184"/>
      <c r="N8986" s="184"/>
      <c r="O8986" s="184"/>
    </row>
    <row r="8987" customFormat="false" ht="15" hidden="false" customHeight="true" outlineLevel="0" collapsed="false">
      <c r="A8987" s="184"/>
      <c r="B8987" s="184"/>
      <c r="C8987" s="184"/>
      <c r="D8987" s="184"/>
      <c r="E8987" s="184"/>
      <c r="F8987" s="184"/>
      <c r="G8987" s="184"/>
      <c r="H8987" s="184"/>
      <c r="I8987" s="184"/>
      <c r="J8987" s="184"/>
      <c r="K8987" s="184"/>
      <c r="L8987" s="184"/>
      <c r="M8987" s="184"/>
      <c r="N8987" s="184"/>
      <c r="O8987" s="184"/>
    </row>
    <row r="8988" customFormat="false" ht="15" hidden="false" customHeight="true" outlineLevel="0" collapsed="false">
      <c r="A8988" s="184"/>
      <c r="B8988" s="184"/>
      <c r="C8988" s="184"/>
      <c r="D8988" s="184"/>
      <c r="E8988" s="184"/>
      <c r="F8988" s="184"/>
      <c r="G8988" s="184"/>
      <c r="H8988" s="184"/>
      <c r="I8988" s="184"/>
      <c r="J8988" s="184"/>
      <c r="K8988" s="184"/>
      <c r="L8988" s="184"/>
      <c r="M8988" s="184"/>
      <c r="N8988" s="184"/>
      <c r="O8988" s="184"/>
    </row>
    <row r="8989" customFormat="false" ht="15" hidden="false" customHeight="true" outlineLevel="0" collapsed="false">
      <c r="A8989" s="184"/>
      <c r="B8989" s="184"/>
      <c r="C8989" s="184"/>
      <c r="D8989" s="184"/>
      <c r="E8989" s="184"/>
      <c r="F8989" s="184"/>
      <c r="G8989" s="184"/>
      <c r="H8989" s="184"/>
      <c r="I8989" s="184"/>
      <c r="J8989" s="184"/>
      <c r="K8989" s="184"/>
      <c r="L8989" s="184"/>
      <c r="M8989" s="184"/>
      <c r="N8989" s="184"/>
      <c r="O8989" s="184"/>
    </row>
    <row r="8990" customFormat="false" ht="15" hidden="false" customHeight="true" outlineLevel="0" collapsed="false">
      <c r="A8990" s="184"/>
      <c r="B8990" s="184"/>
      <c r="C8990" s="184"/>
      <c r="D8990" s="184"/>
      <c r="E8990" s="184"/>
      <c r="F8990" s="184"/>
      <c r="G8990" s="184"/>
      <c r="H8990" s="184"/>
      <c r="I8990" s="184"/>
      <c r="J8990" s="184"/>
      <c r="K8990" s="184"/>
      <c r="L8990" s="184"/>
      <c r="M8990" s="184"/>
      <c r="N8990" s="184"/>
      <c r="O8990" s="184"/>
    </row>
    <row r="8991" customFormat="false" ht="15" hidden="false" customHeight="true" outlineLevel="0" collapsed="false">
      <c r="A8991" s="184"/>
      <c r="B8991" s="184"/>
      <c r="C8991" s="184"/>
      <c r="D8991" s="184"/>
      <c r="E8991" s="184"/>
      <c r="F8991" s="184"/>
      <c r="G8991" s="184"/>
      <c r="H8991" s="184"/>
      <c r="I8991" s="184"/>
      <c r="J8991" s="184"/>
      <c r="K8991" s="184"/>
      <c r="L8991" s="184"/>
      <c r="M8991" s="184"/>
      <c r="N8991" s="184"/>
      <c r="O8991" s="184"/>
    </row>
    <row r="8992" customFormat="false" ht="15" hidden="false" customHeight="true" outlineLevel="0" collapsed="false">
      <c r="A8992" s="184"/>
      <c r="B8992" s="184"/>
      <c r="C8992" s="184"/>
      <c r="D8992" s="184"/>
      <c r="E8992" s="184"/>
      <c r="F8992" s="184"/>
      <c r="G8992" s="184"/>
      <c r="H8992" s="184"/>
      <c r="I8992" s="184"/>
      <c r="J8992" s="184"/>
      <c r="K8992" s="184"/>
      <c r="L8992" s="184"/>
      <c r="M8992" s="184"/>
      <c r="N8992" s="184"/>
      <c r="O8992" s="184"/>
    </row>
    <row r="8993" customFormat="false" ht="15" hidden="false" customHeight="true" outlineLevel="0" collapsed="false">
      <c r="A8993" s="184"/>
      <c r="B8993" s="184"/>
      <c r="C8993" s="184"/>
      <c r="D8993" s="184"/>
      <c r="E8993" s="184"/>
      <c r="F8993" s="184"/>
      <c r="G8993" s="184"/>
      <c r="H8993" s="184"/>
      <c r="I8993" s="184"/>
      <c r="J8993" s="184"/>
      <c r="K8993" s="184"/>
      <c r="L8993" s="184"/>
      <c r="M8993" s="184"/>
      <c r="N8993" s="184"/>
      <c r="O8993" s="184"/>
    </row>
    <row r="8994" customFormat="false" ht="15" hidden="false" customHeight="true" outlineLevel="0" collapsed="false">
      <c r="A8994" s="184"/>
      <c r="B8994" s="184"/>
      <c r="C8994" s="184"/>
      <c r="D8994" s="184"/>
      <c r="E8994" s="184"/>
      <c r="F8994" s="184"/>
      <c r="G8994" s="184"/>
      <c r="H8994" s="184"/>
      <c r="I8994" s="184"/>
      <c r="J8994" s="184"/>
      <c r="K8994" s="184"/>
      <c r="L8994" s="184"/>
      <c r="M8994" s="184"/>
      <c r="N8994" s="184"/>
      <c r="O8994" s="184"/>
    </row>
    <row r="8995" customFormat="false" ht="15" hidden="false" customHeight="true" outlineLevel="0" collapsed="false">
      <c r="A8995" s="184"/>
      <c r="B8995" s="184"/>
      <c r="C8995" s="184"/>
      <c r="D8995" s="184"/>
      <c r="E8995" s="184"/>
      <c r="F8995" s="184"/>
      <c r="G8995" s="184"/>
      <c r="H8995" s="184"/>
      <c r="I8995" s="184"/>
      <c r="J8995" s="184"/>
      <c r="K8995" s="184"/>
      <c r="L8995" s="184"/>
      <c r="M8995" s="184"/>
      <c r="N8995" s="184"/>
      <c r="O8995" s="184"/>
    </row>
    <row r="8996" customFormat="false" ht="15" hidden="false" customHeight="true" outlineLevel="0" collapsed="false">
      <c r="A8996" s="184"/>
      <c r="B8996" s="184"/>
      <c r="C8996" s="184"/>
      <c r="D8996" s="184"/>
      <c r="E8996" s="184"/>
      <c r="F8996" s="184"/>
      <c r="G8996" s="184"/>
      <c r="H8996" s="184"/>
      <c r="I8996" s="184"/>
      <c r="J8996" s="184"/>
      <c r="K8996" s="184"/>
      <c r="L8996" s="184"/>
      <c r="M8996" s="184"/>
      <c r="N8996" s="184"/>
      <c r="O8996" s="184"/>
    </row>
    <row r="8997" customFormat="false" ht="15" hidden="false" customHeight="true" outlineLevel="0" collapsed="false">
      <c r="A8997" s="184"/>
      <c r="B8997" s="184"/>
      <c r="C8997" s="184"/>
      <c r="D8997" s="184"/>
      <c r="E8997" s="184"/>
      <c r="F8997" s="184"/>
      <c r="G8997" s="184"/>
      <c r="H8997" s="184"/>
      <c r="I8997" s="184"/>
      <c r="J8997" s="184"/>
      <c r="K8997" s="184"/>
      <c r="L8997" s="184"/>
      <c r="M8997" s="184"/>
      <c r="N8997" s="184"/>
      <c r="O8997" s="184"/>
    </row>
    <row r="8998" customFormat="false" ht="15" hidden="false" customHeight="true" outlineLevel="0" collapsed="false">
      <c r="A8998" s="184"/>
      <c r="B8998" s="184"/>
      <c r="C8998" s="184"/>
      <c r="D8998" s="184"/>
      <c r="E8998" s="184"/>
      <c r="F8998" s="184"/>
      <c r="G8998" s="184"/>
      <c r="H8998" s="184"/>
      <c r="I8998" s="184"/>
      <c r="J8998" s="184"/>
      <c r="K8998" s="184"/>
      <c r="L8998" s="184"/>
      <c r="M8998" s="184"/>
      <c r="N8998" s="184"/>
      <c r="O8998" s="184"/>
    </row>
    <row r="8999" customFormat="false" ht="15" hidden="false" customHeight="true" outlineLevel="0" collapsed="false">
      <c r="A8999" s="184"/>
      <c r="B8999" s="184"/>
      <c r="C8999" s="184"/>
      <c r="D8999" s="184"/>
      <c r="E8999" s="184"/>
      <c r="F8999" s="184"/>
      <c r="G8999" s="184"/>
      <c r="H8999" s="184"/>
      <c r="I8999" s="184"/>
      <c r="J8999" s="184"/>
      <c r="K8999" s="184"/>
      <c r="L8999" s="184"/>
      <c r="M8999" s="184"/>
      <c r="N8999" s="184"/>
      <c r="O8999" s="184"/>
    </row>
    <row r="9000" customFormat="false" ht="15" hidden="false" customHeight="true" outlineLevel="0" collapsed="false">
      <c r="A9000" s="184"/>
      <c r="B9000" s="184"/>
      <c r="C9000" s="184"/>
      <c r="D9000" s="184"/>
      <c r="E9000" s="184"/>
      <c r="F9000" s="184"/>
      <c r="G9000" s="184"/>
      <c r="H9000" s="184"/>
      <c r="I9000" s="184"/>
      <c r="J9000" s="184"/>
      <c r="K9000" s="184"/>
      <c r="L9000" s="184"/>
      <c r="M9000" s="184"/>
      <c r="N9000" s="184"/>
      <c r="O9000" s="184"/>
    </row>
    <row r="9001" customFormat="false" ht="15" hidden="false" customHeight="true" outlineLevel="0" collapsed="false">
      <c r="A9001" s="184"/>
      <c r="B9001" s="184"/>
      <c r="C9001" s="184"/>
      <c r="D9001" s="184"/>
      <c r="E9001" s="184"/>
      <c r="F9001" s="184"/>
      <c r="G9001" s="184"/>
      <c r="H9001" s="184"/>
      <c r="I9001" s="184"/>
      <c r="J9001" s="184"/>
      <c r="K9001" s="184"/>
      <c r="L9001" s="184"/>
      <c r="M9001" s="184"/>
      <c r="N9001" s="184"/>
      <c r="O9001" s="184"/>
    </row>
    <row r="9002" customFormat="false" ht="15" hidden="false" customHeight="true" outlineLevel="0" collapsed="false">
      <c r="A9002" s="184"/>
      <c r="B9002" s="184"/>
      <c r="C9002" s="184"/>
      <c r="D9002" s="184"/>
      <c r="E9002" s="184"/>
      <c r="F9002" s="184"/>
      <c r="G9002" s="184"/>
      <c r="H9002" s="184"/>
      <c r="I9002" s="184"/>
      <c r="J9002" s="184"/>
      <c r="K9002" s="184"/>
      <c r="L9002" s="184"/>
      <c r="M9002" s="184"/>
      <c r="N9002" s="184"/>
      <c r="O9002" s="184"/>
    </row>
    <row r="9003" customFormat="false" ht="15" hidden="false" customHeight="true" outlineLevel="0" collapsed="false">
      <c r="A9003" s="184"/>
      <c r="B9003" s="184"/>
      <c r="C9003" s="184"/>
      <c r="D9003" s="184"/>
      <c r="E9003" s="184"/>
      <c r="F9003" s="184"/>
      <c r="G9003" s="184"/>
      <c r="H9003" s="184"/>
      <c r="I9003" s="184"/>
      <c r="J9003" s="184"/>
      <c r="K9003" s="184"/>
      <c r="L9003" s="184"/>
      <c r="M9003" s="184"/>
      <c r="N9003" s="184"/>
      <c r="O9003" s="184"/>
    </row>
    <row r="9004" customFormat="false" ht="15" hidden="false" customHeight="true" outlineLevel="0" collapsed="false">
      <c r="A9004" s="184"/>
      <c r="B9004" s="184"/>
      <c r="C9004" s="184"/>
      <c r="D9004" s="184"/>
      <c r="E9004" s="184"/>
      <c r="F9004" s="184"/>
      <c r="G9004" s="184"/>
      <c r="H9004" s="184"/>
      <c r="I9004" s="184"/>
      <c r="J9004" s="184"/>
      <c r="K9004" s="184"/>
      <c r="L9004" s="184"/>
      <c r="M9004" s="184"/>
      <c r="N9004" s="184"/>
      <c r="O9004" s="184"/>
    </row>
    <row r="9005" customFormat="false" ht="15" hidden="false" customHeight="true" outlineLevel="0" collapsed="false">
      <c r="A9005" s="184"/>
      <c r="B9005" s="184"/>
      <c r="C9005" s="184"/>
      <c r="D9005" s="184"/>
      <c r="E9005" s="184"/>
      <c r="F9005" s="184"/>
      <c r="G9005" s="184"/>
      <c r="H9005" s="184"/>
      <c r="I9005" s="184"/>
      <c r="J9005" s="184"/>
      <c r="K9005" s="184"/>
      <c r="L9005" s="184"/>
      <c r="M9005" s="184"/>
      <c r="N9005" s="184"/>
      <c r="O9005" s="184"/>
    </row>
    <row r="9006" customFormat="false" ht="15" hidden="false" customHeight="true" outlineLevel="0" collapsed="false">
      <c r="A9006" s="184"/>
      <c r="B9006" s="184"/>
      <c r="C9006" s="184"/>
      <c r="D9006" s="184"/>
      <c r="E9006" s="184"/>
      <c r="F9006" s="184"/>
      <c r="G9006" s="184"/>
      <c r="H9006" s="184"/>
      <c r="I9006" s="184"/>
      <c r="J9006" s="184"/>
      <c r="K9006" s="184"/>
      <c r="L9006" s="184"/>
      <c r="M9006" s="184"/>
      <c r="N9006" s="184"/>
      <c r="O9006" s="184"/>
    </row>
    <row r="9007" customFormat="false" ht="15" hidden="false" customHeight="true" outlineLevel="0" collapsed="false">
      <c r="A9007" s="184"/>
      <c r="B9007" s="184"/>
      <c r="C9007" s="184"/>
      <c r="D9007" s="184"/>
      <c r="E9007" s="184"/>
      <c r="F9007" s="184"/>
      <c r="G9007" s="184"/>
      <c r="H9007" s="184"/>
      <c r="I9007" s="184"/>
      <c r="J9007" s="184"/>
      <c r="K9007" s="184"/>
      <c r="L9007" s="184"/>
      <c r="M9007" s="184"/>
      <c r="N9007" s="184"/>
      <c r="O9007" s="184"/>
    </row>
    <row r="9008" customFormat="false" ht="15" hidden="false" customHeight="true" outlineLevel="0" collapsed="false">
      <c r="A9008" s="184"/>
      <c r="B9008" s="184"/>
      <c r="C9008" s="184"/>
      <c r="D9008" s="184"/>
      <c r="E9008" s="184"/>
      <c r="F9008" s="184"/>
      <c r="G9008" s="184"/>
      <c r="H9008" s="184"/>
      <c r="I9008" s="184"/>
      <c r="J9008" s="184"/>
      <c r="K9008" s="184"/>
      <c r="L9008" s="184"/>
      <c r="M9008" s="184"/>
      <c r="N9008" s="184"/>
      <c r="O9008" s="184"/>
    </row>
    <row r="9009" customFormat="false" ht="15" hidden="false" customHeight="true" outlineLevel="0" collapsed="false">
      <c r="A9009" s="184"/>
      <c r="B9009" s="184"/>
      <c r="C9009" s="184"/>
      <c r="D9009" s="184"/>
      <c r="E9009" s="184"/>
      <c r="F9009" s="184"/>
      <c r="G9009" s="184"/>
      <c r="H9009" s="184"/>
      <c r="I9009" s="184"/>
      <c r="J9009" s="184"/>
      <c r="K9009" s="184"/>
      <c r="L9009" s="184"/>
      <c r="M9009" s="184"/>
      <c r="N9009" s="184"/>
      <c r="O9009" s="184"/>
    </row>
    <row r="9010" customFormat="false" ht="15" hidden="false" customHeight="true" outlineLevel="0" collapsed="false">
      <c r="A9010" s="184"/>
      <c r="B9010" s="184"/>
      <c r="C9010" s="184"/>
      <c r="D9010" s="184"/>
      <c r="E9010" s="184"/>
      <c r="F9010" s="184"/>
      <c r="G9010" s="184"/>
      <c r="H9010" s="184"/>
      <c r="I9010" s="184"/>
      <c r="J9010" s="184"/>
      <c r="K9010" s="184"/>
      <c r="L9010" s="184"/>
      <c r="M9010" s="184"/>
      <c r="N9010" s="184"/>
      <c r="O9010" s="184"/>
    </row>
    <row r="9011" customFormat="false" ht="15" hidden="false" customHeight="true" outlineLevel="0" collapsed="false">
      <c r="A9011" s="184"/>
      <c r="B9011" s="184"/>
      <c r="C9011" s="184"/>
      <c r="D9011" s="184"/>
      <c r="E9011" s="184"/>
      <c r="F9011" s="184"/>
      <c r="G9011" s="184"/>
      <c r="H9011" s="184"/>
      <c r="I9011" s="184"/>
      <c r="J9011" s="184"/>
      <c r="K9011" s="184"/>
      <c r="L9011" s="184"/>
      <c r="M9011" s="184"/>
      <c r="N9011" s="184"/>
      <c r="O9011" s="184"/>
    </row>
    <row r="9012" customFormat="false" ht="15" hidden="false" customHeight="true" outlineLevel="0" collapsed="false">
      <c r="A9012" s="184"/>
      <c r="B9012" s="184"/>
      <c r="C9012" s="184"/>
      <c r="D9012" s="184"/>
      <c r="E9012" s="184"/>
      <c r="F9012" s="184"/>
      <c r="G9012" s="184"/>
      <c r="H9012" s="184"/>
      <c r="I9012" s="184"/>
      <c r="J9012" s="184"/>
      <c r="K9012" s="184"/>
      <c r="L9012" s="184"/>
      <c r="M9012" s="184"/>
      <c r="N9012" s="184"/>
      <c r="O9012" s="184"/>
    </row>
    <row r="9013" customFormat="false" ht="15" hidden="false" customHeight="true" outlineLevel="0" collapsed="false">
      <c r="A9013" s="184"/>
      <c r="B9013" s="184"/>
      <c r="C9013" s="184"/>
      <c r="D9013" s="184"/>
      <c r="E9013" s="184"/>
      <c r="F9013" s="184"/>
      <c r="G9013" s="184"/>
      <c r="H9013" s="184"/>
      <c r="I9013" s="184"/>
      <c r="J9013" s="184"/>
      <c r="K9013" s="184"/>
      <c r="L9013" s="184"/>
      <c r="M9013" s="184"/>
      <c r="N9013" s="184"/>
      <c r="O9013" s="184"/>
    </row>
    <row r="9014" customFormat="false" ht="15" hidden="false" customHeight="true" outlineLevel="0" collapsed="false">
      <c r="A9014" s="184"/>
      <c r="B9014" s="184"/>
      <c r="C9014" s="184"/>
      <c r="D9014" s="184"/>
      <c r="E9014" s="184"/>
      <c r="F9014" s="184"/>
      <c r="G9014" s="184"/>
      <c r="H9014" s="184"/>
      <c r="I9014" s="184"/>
      <c r="J9014" s="184"/>
      <c r="K9014" s="184"/>
      <c r="L9014" s="184"/>
      <c r="M9014" s="184"/>
      <c r="N9014" s="184"/>
      <c r="O9014" s="184"/>
    </row>
    <row r="9015" customFormat="false" ht="15" hidden="false" customHeight="true" outlineLevel="0" collapsed="false">
      <c r="A9015" s="184"/>
      <c r="B9015" s="184"/>
      <c r="C9015" s="184"/>
      <c r="D9015" s="184"/>
      <c r="E9015" s="184"/>
      <c r="F9015" s="184"/>
      <c r="G9015" s="184"/>
      <c r="H9015" s="184"/>
      <c r="I9015" s="184"/>
      <c r="J9015" s="184"/>
      <c r="K9015" s="184"/>
      <c r="L9015" s="184"/>
      <c r="M9015" s="184"/>
      <c r="N9015" s="184"/>
      <c r="O9015" s="184"/>
    </row>
    <row r="9016" customFormat="false" ht="15" hidden="false" customHeight="true" outlineLevel="0" collapsed="false">
      <c r="A9016" s="184"/>
      <c r="B9016" s="184"/>
      <c r="C9016" s="184"/>
      <c r="D9016" s="184"/>
      <c r="E9016" s="184"/>
      <c r="F9016" s="184"/>
      <c r="G9016" s="184"/>
      <c r="H9016" s="184"/>
      <c r="I9016" s="184"/>
      <c r="J9016" s="184"/>
      <c r="K9016" s="184"/>
      <c r="L9016" s="184"/>
      <c r="M9016" s="184"/>
      <c r="N9016" s="184"/>
      <c r="O9016" s="184"/>
    </row>
    <row r="9017" customFormat="false" ht="15" hidden="false" customHeight="true" outlineLevel="0" collapsed="false">
      <c r="A9017" s="184"/>
      <c r="B9017" s="184"/>
      <c r="C9017" s="184"/>
      <c r="D9017" s="184"/>
      <c r="E9017" s="184"/>
      <c r="F9017" s="184"/>
      <c r="G9017" s="184"/>
      <c r="H9017" s="184"/>
      <c r="I9017" s="184"/>
      <c r="J9017" s="184"/>
      <c r="K9017" s="184"/>
      <c r="L9017" s="184"/>
      <c r="M9017" s="184"/>
      <c r="N9017" s="184"/>
      <c r="O9017" s="184"/>
    </row>
    <row r="9018" customFormat="false" ht="15" hidden="false" customHeight="true" outlineLevel="0" collapsed="false">
      <c r="A9018" s="184"/>
      <c r="B9018" s="184"/>
      <c r="C9018" s="184"/>
      <c r="D9018" s="184"/>
      <c r="E9018" s="184"/>
      <c r="F9018" s="184"/>
      <c r="G9018" s="184"/>
      <c r="H9018" s="184"/>
      <c r="I9018" s="184"/>
      <c r="J9018" s="184"/>
      <c r="K9018" s="184"/>
      <c r="L9018" s="184"/>
      <c r="M9018" s="184"/>
      <c r="N9018" s="184"/>
      <c r="O9018" s="184"/>
    </row>
    <row r="9019" customFormat="false" ht="15" hidden="false" customHeight="true" outlineLevel="0" collapsed="false">
      <c r="A9019" s="184"/>
      <c r="B9019" s="184"/>
      <c r="C9019" s="184"/>
      <c r="D9019" s="184"/>
      <c r="E9019" s="184"/>
      <c r="F9019" s="184"/>
      <c r="G9019" s="184"/>
      <c r="H9019" s="184"/>
      <c r="I9019" s="184"/>
      <c r="J9019" s="184"/>
      <c r="K9019" s="184"/>
      <c r="L9019" s="184"/>
      <c r="M9019" s="184"/>
      <c r="N9019" s="184"/>
      <c r="O9019" s="184"/>
    </row>
    <row r="9020" customFormat="false" ht="15" hidden="false" customHeight="true" outlineLevel="0" collapsed="false">
      <c r="A9020" s="184"/>
      <c r="B9020" s="184"/>
      <c r="C9020" s="184"/>
      <c r="D9020" s="184"/>
      <c r="E9020" s="184"/>
      <c r="F9020" s="184"/>
      <c r="G9020" s="184"/>
      <c r="H9020" s="184"/>
      <c r="I9020" s="184"/>
      <c r="J9020" s="184"/>
      <c r="K9020" s="184"/>
      <c r="L9020" s="184"/>
      <c r="M9020" s="184"/>
      <c r="N9020" s="184"/>
      <c r="O9020" s="184"/>
    </row>
    <row r="9021" customFormat="false" ht="15" hidden="false" customHeight="true" outlineLevel="0" collapsed="false">
      <c r="A9021" s="184"/>
      <c r="B9021" s="184"/>
      <c r="C9021" s="184"/>
      <c r="D9021" s="184"/>
      <c r="E9021" s="184"/>
      <c r="F9021" s="184"/>
      <c r="G9021" s="184"/>
      <c r="H9021" s="184"/>
      <c r="I9021" s="184"/>
      <c r="J9021" s="184"/>
      <c r="K9021" s="184"/>
      <c r="L9021" s="184"/>
      <c r="M9021" s="184"/>
      <c r="N9021" s="184"/>
      <c r="O9021" s="184"/>
    </row>
    <row r="9022" customFormat="false" ht="15" hidden="false" customHeight="true" outlineLevel="0" collapsed="false">
      <c r="A9022" s="184"/>
      <c r="B9022" s="184"/>
      <c r="C9022" s="184"/>
      <c r="D9022" s="184"/>
      <c r="E9022" s="184"/>
      <c r="F9022" s="184"/>
      <c r="G9022" s="184"/>
      <c r="H9022" s="184"/>
      <c r="I9022" s="184"/>
      <c r="J9022" s="184"/>
      <c r="K9022" s="184"/>
      <c r="L9022" s="184"/>
      <c r="M9022" s="184"/>
      <c r="N9022" s="184"/>
      <c r="O9022" s="184"/>
    </row>
    <row r="9023" customFormat="false" ht="15" hidden="false" customHeight="true" outlineLevel="0" collapsed="false">
      <c r="A9023" s="184"/>
      <c r="B9023" s="184"/>
      <c r="C9023" s="184"/>
      <c r="D9023" s="184"/>
      <c r="E9023" s="184"/>
      <c r="F9023" s="184"/>
      <c r="G9023" s="184"/>
      <c r="H9023" s="184"/>
      <c r="I9023" s="184"/>
      <c r="J9023" s="184"/>
      <c r="K9023" s="184"/>
      <c r="L9023" s="184"/>
      <c r="M9023" s="184"/>
      <c r="N9023" s="184"/>
      <c r="O9023" s="184"/>
    </row>
    <row r="9024" customFormat="false" ht="15" hidden="false" customHeight="true" outlineLevel="0" collapsed="false">
      <c r="A9024" s="184"/>
      <c r="B9024" s="184"/>
      <c r="C9024" s="184"/>
      <c r="D9024" s="184"/>
      <c r="E9024" s="184"/>
      <c r="F9024" s="184"/>
      <c r="G9024" s="184"/>
      <c r="H9024" s="184"/>
      <c r="I9024" s="184"/>
      <c r="J9024" s="184"/>
      <c r="K9024" s="184"/>
      <c r="L9024" s="184"/>
      <c r="M9024" s="184"/>
      <c r="N9024" s="184"/>
      <c r="O9024" s="184"/>
    </row>
    <row r="9025" customFormat="false" ht="15" hidden="false" customHeight="true" outlineLevel="0" collapsed="false">
      <c r="A9025" s="184"/>
      <c r="B9025" s="184"/>
      <c r="C9025" s="184"/>
      <c r="D9025" s="184"/>
      <c r="E9025" s="184"/>
      <c r="F9025" s="184"/>
      <c r="G9025" s="184"/>
      <c r="H9025" s="184"/>
      <c r="I9025" s="184"/>
      <c r="J9025" s="184"/>
      <c r="K9025" s="184"/>
      <c r="L9025" s="184"/>
      <c r="M9025" s="184"/>
      <c r="N9025" s="184"/>
      <c r="O9025" s="184"/>
    </row>
    <row r="9026" customFormat="false" ht="15" hidden="false" customHeight="true" outlineLevel="0" collapsed="false">
      <c r="A9026" s="184"/>
      <c r="B9026" s="184"/>
      <c r="C9026" s="184"/>
      <c r="D9026" s="184"/>
      <c r="E9026" s="184"/>
      <c r="F9026" s="184"/>
      <c r="G9026" s="184"/>
      <c r="H9026" s="184"/>
      <c r="I9026" s="184"/>
      <c r="J9026" s="184"/>
      <c r="K9026" s="184"/>
      <c r="L9026" s="184"/>
      <c r="M9026" s="184"/>
      <c r="N9026" s="184"/>
      <c r="O9026" s="184"/>
    </row>
    <row r="9027" customFormat="false" ht="15" hidden="false" customHeight="true" outlineLevel="0" collapsed="false">
      <c r="A9027" s="184"/>
      <c r="B9027" s="184"/>
      <c r="C9027" s="184"/>
      <c r="D9027" s="184"/>
      <c r="E9027" s="184"/>
      <c r="F9027" s="184"/>
      <c r="G9027" s="184"/>
      <c r="H9027" s="184"/>
      <c r="I9027" s="184"/>
      <c r="J9027" s="184"/>
      <c r="K9027" s="184"/>
      <c r="L9027" s="184"/>
      <c r="M9027" s="184"/>
      <c r="N9027" s="184"/>
      <c r="O9027" s="184"/>
    </row>
    <row r="9028" customFormat="false" ht="15" hidden="false" customHeight="true" outlineLevel="0" collapsed="false">
      <c r="A9028" s="184"/>
      <c r="B9028" s="184"/>
      <c r="C9028" s="184"/>
      <c r="D9028" s="184"/>
      <c r="E9028" s="184"/>
      <c r="F9028" s="184"/>
      <c r="G9028" s="184"/>
      <c r="H9028" s="184"/>
      <c r="I9028" s="184"/>
      <c r="J9028" s="184"/>
      <c r="K9028" s="184"/>
      <c r="L9028" s="184"/>
      <c r="M9028" s="184"/>
      <c r="N9028" s="184"/>
      <c r="O9028" s="184"/>
    </row>
    <row r="9029" customFormat="false" ht="15" hidden="false" customHeight="true" outlineLevel="0" collapsed="false">
      <c r="A9029" s="184"/>
      <c r="B9029" s="184"/>
      <c r="C9029" s="184"/>
      <c r="D9029" s="184"/>
      <c r="E9029" s="184"/>
      <c r="F9029" s="184"/>
      <c r="G9029" s="184"/>
      <c r="H9029" s="184"/>
      <c r="I9029" s="184"/>
      <c r="J9029" s="184"/>
      <c r="K9029" s="184"/>
      <c r="L9029" s="184"/>
      <c r="M9029" s="184"/>
      <c r="N9029" s="184"/>
      <c r="O9029" s="184"/>
    </row>
    <row r="9030" customFormat="false" ht="15" hidden="false" customHeight="true" outlineLevel="0" collapsed="false">
      <c r="A9030" s="184"/>
      <c r="B9030" s="184"/>
      <c r="C9030" s="184"/>
      <c r="D9030" s="184"/>
      <c r="E9030" s="184"/>
      <c r="F9030" s="184"/>
      <c r="G9030" s="184"/>
      <c r="H9030" s="184"/>
      <c r="I9030" s="184"/>
      <c r="J9030" s="184"/>
      <c r="K9030" s="184"/>
      <c r="L9030" s="184"/>
      <c r="M9030" s="184"/>
      <c r="N9030" s="184"/>
      <c r="O9030" s="184"/>
    </row>
    <row r="9031" customFormat="false" ht="15" hidden="false" customHeight="true" outlineLevel="0" collapsed="false">
      <c r="A9031" s="184"/>
      <c r="B9031" s="184"/>
      <c r="C9031" s="184"/>
      <c r="D9031" s="184"/>
      <c r="E9031" s="184"/>
      <c r="F9031" s="184"/>
      <c r="G9031" s="184"/>
      <c r="H9031" s="184"/>
      <c r="I9031" s="184"/>
      <c r="J9031" s="184"/>
      <c r="K9031" s="184"/>
      <c r="L9031" s="184"/>
      <c r="M9031" s="184"/>
      <c r="N9031" s="184"/>
      <c r="O9031" s="184"/>
    </row>
    <row r="9032" customFormat="false" ht="15" hidden="false" customHeight="true" outlineLevel="0" collapsed="false">
      <c r="A9032" s="184"/>
      <c r="B9032" s="184"/>
      <c r="C9032" s="184"/>
      <c r="D9032" s="184"/>
      <c r="E9032" s="184"/>
      <c r="F9032" s="184"/>
      <c r="G9032" s="184"/>
      <c r="H9032" s="184"/>
      <c r="I9032" s="184"/>
      <c r="J9032" s="184"/>
      <c r="K9032" s="184"/>
      <c r="L9032" s="184"/>
      <c r="M9032" s="184"/>
      <c r="N9032" s="184"/>
      <c r="O9032" s="184"/>
    </row>
    <row r="9033" customFormat="false" ht="15" hidden="false" customHeight="true" outlineLevel="0" collapsed="false">
      <c r="A9033" s="184"/>
      <c r="B9033" s="184"/>
      <c r="C9033" s="184"/>
      <c r="D9033" s="184"/>
      <c r="E9033" s="184"/>
      <c r="F9033" s="184"/>
      <c r="G9033" s="184"/>
      <c r="H9033" s="184"/>
      <c r="I9033" s="184"/>
      <c r="J9033" s="184"/>
      <c r="K9033" s="184"/>
      <c r="L9033" s="184"/>
      <c r="M9033" s="184"/>
      <c r="N9033" s="184"/>
      <c r="O9033" s="184"/>
    </row>
    <row r="9034" customFormat="false" ht="15" hidden="false" customHeight="true" outlineLevel="0" collapsed="false">
      <c r="A9034" s="184"/>
      <c r="B9034" s="184"/>
      <c r="C9034" s="184"/>
      <c r="D9034" s="184"/>
      <c r="E9034" s="184"/>
      <c r="F9034" s="184"/>
      <c r="G9034" s="184"/>
      <c r="H9034" s="184"/>
      <c r="I9034" s="184"/>
      <c r="J9034" s="184"/>
      <c r="K9034" s="184"/>
      <c r="L9034" s="184"/>
      <c r="M9034" s="184"/>
      <c r="N9034" s="184"/>
      <c r="O9034" s="184"/>
    </row>
    <row r="9035" customFormat="false" ht="15" hidden="false" customHeight="true" outlineLevel="0" collapsed="false">
      <c r="A9035" s="184"/>
      <c r="B9035" s="184"/>
      <c r="C9035" s="184"/>
      <c r="D9035" s="184"/>
      <c r="E9035" s="184"/>
      <c r="F9035" s="184"/>
      <c r="G9035" s="184"/>
      <c r="H9035" s="184"/>
      <c r="I9035" s="184"/>
      <c r="J9035" s="184"/>
      <c r="K9035" s="184"/>
      <c r="L9035" s="184"/>
      <c r="M9035" s="184"/>
      <c r="N9035" s="184"/>
      <c r="O9035" s="184"/>
    </row>
    <row r="9036" customFormat="false" ht="15" hidden="false" customHeight="true" outlineLevel="0" collapsed="false">
      <c r="A9036" s="184"/>
      <c r="B9036" s="184"/>
      <c r="C9036" s="184"/>
      <c r="D9036" s="184"/>
      <c r="E9036" s="184"/>
      <c r="F9036" s="184"/>
      <c r="G9036" s="184"/>
      <c r="H9036" s="184"/>
      <c r="I9036" s="184"/>
      <c r="J9036" s="184"/>
      <c r="K9036" s="184"/>
      <c r="L9036" s="184"/>
      <c r="M9036" s="184"/>
      <c r="N9036" s="184"/>
      <c r="O9036" s="184"/>
    </row>
    <row r="9037" customFormat="false" ht="15" hidden="false" customHeight="true" outlineLevel="0" collapsed="false">
      <c r="A9037" s="184"/>
      <c r="B9037" s="184"/>
      <c r="C9037" s="184"/>
      <c r="D9037" s="184"/>
      <c r="E9037" s="184"/>
      <c r="F9037" s="184"/>
      <c r="G9037" s="184"/>
      <c r="H9037" s="184"/>
      <c r="I9037" s="184"/>
      <c r="J9037" s="184"/>
      <c r="K9037" s="184"/>
      <c r="L9037" s="184"/>
      <c r="M9037" s="184"/>
      <c r="N9037" s="184"/>
      <c r="O9037" s="184"/>
    </row>
    <row r="9038" customFormat="false" ht="15" hidden="false" customHeight="true" outlineLevel="0" collapsed="false">
      <c r="A9038" s="184"/>
      <c r="B9038" s="184"/>
      <c r="C9038" s="184"/>
      <c r="D9038" s="184"/>
      <c r="E9038" s="184"/>
      <c r="F9038" s="184"/>
      <c r="G9038" s="184"/>
      <c r="H9038" s="184"/>
      <c r="I9038" s="184"/>
      <c r="J9038" s="184"/>
      <c r="K9038" s="184"/>
      <c r="L9038" s="184"/>
      <c r="M9038" s="184"/>
      <c r="N9038" s="184"/>
      <c r="O9038" s="184"/>
    </row>
    <row r="9039" customFormat="false" ht="15" hidden="false" customHeight="true" outlineLevel="0" collapsed="false">
      <c r="A9039" s="184"/>
      <c r="B9039" s="184"/>
      <c r="C9039" s="184"/>
      <c r="D9039" s="184"/>
      <c r="E9039" s="184"/>
      <c r="F9039" s="184"/>
      <c r="G9039" s="184"/>
      <c r="H9039" s="184"/>
      <c r="I9039" s="184"/>
      <c r="J9039" s="184"/>
      <c r="K9039" s="184"/>
      <c r="L9039" s="184"/>
      <c r="M9039" s="184"/>
      <c r="N9039" s="184"/>
      <c r="O9039" s="184"/>
    </row>
    <row r="9040" customFormat="false" ht="15" hidden="false" customHeight="true" outlineLevel="0" collapsed="false">
      <c r="A9040" s="184"/>
      <c r="B9040" s="184"/>
      <c r="C9040" s="184"/>
      <c r="D9040" s="184"/>
      <c r="E9040" s="184"/>
      <c r="F9040" s="184"/>
      <c r="G9040" s="184"/>
      <c r="H9040" s="184"/>
      <c r="I9040" s="184"/>
      <c r="J9040" s="184"/>
      <c r="K9040" s="184"/>
      <c r="L9040" s="184"/>
      <c r="M9040" s="184"/>
      <c r="N9040" s="184"/>
      <c r="O9040" s="184"/>
    </row>
    <row r="9041" customFormat="false" ht="15" hidden="false" customHeight="true" outlineLevel="0" collapsed="false">
      <c r="A9041" s="184"/>
      <c r="B9041" s="184"/>
      <c r="C9041" s="184"/>
      <c r="D9041" s="184"/>
      <c r="E9041" s="184"/>
      <c r="F9041" s="184"/>
      <c r="G9041" s="184"/>
      <c r="H9041" s="184"/>
      <c r="I9041" s="184"/>
      <c r="J9041" s="184"/>
      <c r="K9041" s="184"/>
      <c r="L9041" s="184"/>
      <c r="M9041" s="184"/>
      <c r="N9041" s="184"/>
      <c r="O9041" s="184"/>
    </row>
    <row r="9042" customFormat="false" ht="15" hidden="false" customHeight="true" outlineLevel="0" collapsed="false">
      <c r="A9042" s="184"/>
      <c r="B9042" s="184"/>
      <c r="C9042" s="184"/>
      <c r="D9042" s="184"/>
      <c r="E9042" s="184"/>
      <c r="F9042" s="184"/>
      <c r="G9042" s="184"/>
      <c r="H9042" s="184"/>
      <c r="I9042" s="184"/>
      <c r="J9042" s="184"/>
      <c r="K9042" s="184"/>
      <c r="L9042" s="184"/>
      <c r="M9042" s="184"/>
      <c r="N9042" s="184"/>
      <c r="O9042" s="184"/>
    </row>
    <row r="9043" customFormat="false" ht="15" hidden="false" customHeight="true" outlineLevel="0" collapsed="false">
      <c r="A9043" s="184"/>
      <c r="B9043" s="184"/>
      <c r="C9043" s="184"/>
      <c r="D9043" s="184"/>
      <c r="E9043" s="184"/>
      <c r="F9043" s="184"/>
      <c r="G9043" s="184"/>
      <c r="H9043" s="184"/>
      <c r="I9043" s="184"/>
      <c r="J9043" s="184"/>
      <c r="K9043" s="184"/>
      <c r="L9043" s="184"/>
      <c r="M9043" s="184"/>
      <c r="N9043" s="184"/>
      <c r="O9043" s="184"/>
    </row>
    <row r="9044" customFormat="false" ht="15" hidden="false" customHeight="true" outlineLevel="0" collapsed="false">
      <c r="A9044" s="184"/>
      <c r="B9044" s="184"/>
      <c r="C9044" s="184"/>
      <c r="D9044" s="184"/>
      <c r="E9044" s="184"/>
      <c r="F9044" s="184"/>
      <c r="G9044" s="184"/>
      <c r="H9044" s="184"/>
      <c r="I9044" s="184"/>
      <c r="J9044" s="184"/>
      <c r="K9044" s="184"/>
      <c r="L9044" s="184"/>
      <c r="M9044" s="184"/>
      <c r="N9044" s="184"/>
      <c r="O9044" s="184"/>
    </row>
    <row r="9045" customFormat="false" ht="15" hidden="false" customHeight="true" outlineLevel="0" collapsed="false">
      <c r="A9045" s="184"/>
      <c r="B9045" s="184"/>
      <c r="C9045" s="184"/>
      <c r="D9045" s="184"/>
      <c r="E9045" s="184"/>
      <c r="F9045" s="184"/>
      <c r="G9045" s="184"/>
      <c r="H9045" s="184"/>
      <c r="I9045" s="184"/>
      <c r="J9045" s="184"/>
      <c r="K9045" s="184"/>
      <c r="L9045" s="184"/>
      <c r="M9045" s="184"/>
      <c r="N9045" s="184"/>
      <c r="O9045" s="184"/>
    </row>
    <row r="9046" customFormat="false" ht="15" hidden="false" customHeight="true" outlineLevel="0" collapsed="false">
      <c r="A9046" s="184"/>
      <c r="B9046" s="184"/>
      <c r="C9046" s="184"/>
      <c r="D9046" s="184"/>
      <c r="E9046" s="184"/>
      <c r="F9046" s="184"/>
      <c r="G9046" s="184"/>
      <c r="H9046" s="184"/>
      <c r="I9046" s="184"/>
      <c r="J9046" s="184"/>
      <c r="K9046" s="184"/>
      <c r="L9046" s="184"/>
      <c r="M9046" s="184"/>
      <c r="N9046" s="184"/>
      <c r="O9046" s="184"/>
    </row>
    <row r="9047" customFormat="false" ht="15" hidden="false" customHeight="true" outlineLevel="0" collapsed="false">
      <c r="A9047" s="184"/>
      <c r="B9047" s="184"/>
      <c r="C9047" s="184"/>
      <c r="D9047" s="184"/>
      <c r="E9047" s="184"/>
      <c r="F9047" s="184"/>
      <c r="G9047" s="184"/>
      <c r="H9047" s="184"/>
      <c r="I9047" s="184"/>
      <c r="J9047" s="184"/>
      <c r="K9047" s="184"/>
      <c r="L9047" s="184"/>
      <c r="M9047" s="184"/>
      <c r="N9047" s="184"/>
      <c r="O9047" s="184"/>
    </row>
    <row r="9048" customFormat="false" ht="15" hidden="false" customHeight="true" outlineLevel="0" collapsed="false">
      <c r="A9048" s="184"/>
      <c r="B9048" s="184"/>
      <c r="C9048" s="184"/>
      <c r="D9048" s="184"/>
      <c r="E9048" s="184"/>
      <c r="F9048" s="184"/>
      <c r="G9048" s="184"/>
      <c r="H9048" s="184"/>
      <c r="I9048" s="184"/>
      <c r="J9048" s="184"/>
      <c r="K9048" s="184"/>
      <c r="L9048" s="184"/>
      <c r="M9048" s="184"/>
      <c r="N9048" s="184"/>
      <c r="O9048" s="184"/>
    </row>
    <row r="9049" customFormat="false" ht="15" hidden="false" customHeight="true" outlineLevel="0" collapsed="false">
      <c r="A9049" s="184"/>
      <c r="B9049" s="184"/>
      <c r="C9049" s="184"/>
      <c r="D9049" s="184"/>
      <c r="E9049" s="184"/>
      <c r="F9049" s="184"/>
      <c r="G9049" s="184"/>
      <c r="H9049" s="184"/>
      <c r="I9049" s="184"/>
      <c r="J9049" s="184"/>
      <c r="K9049" s="184"/>
      <c r="L9049" s="184"/>
      <c r="M9049" s="184"/>
      <c r="N9049" s="184"/>
      <c r="O9049" s="184"/>
    </row>
    <row r="9050" customFormat="false" ht="15" hidden="false" customHeight="true" outlineLevel="0" collapsed="false">
      <c r="A9050" s="184"/>
      <c r="B9050" s="184"/>
      <c r="C9050" s="184"/>
      <c r="D9050" s="184"/>
      <c r="E9050" s="184"/>
      <c r="F9050" s="184"/>
      <c r="G9050" s="184"/>
      <c r="H9050" s="184"/>
      <c r="I9050" s="184"/>
      <c r="J9050" s="184"/>
      <c r="K9050" s="184"/>
      <c r="L9050" s="184"/>
      <c r="M9050" s="184"/>
      <c r="N9050" s="184"/>
      <c r="O9050" s="184"/>
    </row>
    <row r="9051" customFormat="false" ht="15" hidden="false" customHeight="true" outlineLevel="0" collapsed="false">
      <c r="A9051" s="184"/>
      <c r="B9051" s="184"/>
      <c r="C9051" s="184"/>
      <c r="D9051" s="184"/>
      <c r="E9051" s="184"/>
      <c r="F9051" s="184"/>
      <c r="G9051" s="184"/>
      <c r="H9051" s="184"/>
      <c r="I9051" s="184"/>
      <c r="J9051" s="184"/>
      <c r="K9051" s="184"/>
      <c r="L9051" s="184"/>
      <c r="M9051" s="184"/>
      <c r="N9051" s="184"/>
      <c r="O9051" s="184"/>
    </row>
    <row r="9052" customFormat="false" ht="15" hidden="false" customHeight="true" outlineLevel="0" collapsed="false">
      <c r="A9052" s="184"/>
      <c r="B9052" s="184"/>
      <c r="C9052" s="184"/>
      <c r="D9052" s="184"/>
      <c r="E9052" s="184"/>
      <c r="F9052" s="184"/>
      <c r="G9052" s="184"/>
      <c r="H9052" s="184"/>
      <c r="I9052" s="184"/>
      <c r="J9052" s="184"/>
      <c r="K9052" s="184"/>
      <c r="L9052" s="184"/>
      <c r="M9052" s="184"/>
      <c r="N9052" s="184"/>
      <c r="O9052" s="184"/>
    </row>
    <row r="9053" customFormat="false" ht="15" hidden="false" customHeight="true" outlineLevel="0" collapsed="false">
      <c r="A9053" s="184"/>
      <c r="B9053" s="184"/>
      <c r="C9053" s="184"/>
      <c r="D9053" s="184"/>
      <c r="E9053" s="184"/>
      <c r="F9053" s="184"/>
      <c r="G9053" s="184"/>
      <c r="H9053" s="184"/>
      <c r="I9053" s="184"/>
      <c r="J9053" s="184"/>
      <c r="K9053" s="184"/>
      <c r="L9053" s="184"/>
      <c r="M9053" s="184"/>
      <c r="N9053" s="184"/>
      <c r="O9053" s="184"/>
    </row>
    <row r="9054" customFormat="false" ht="15" hidden="false" customHeight="true" outlineLevel="0" collapsed="false">
      <c r="A9054" s="184"/>
      <c r="B9054" s="184"/>
      <c r="C9054" s="184"/>
      <c r="D9054" s="184"/>
      <c r="E9054" s="184"/>
      <c r="F9054" s="184"/>
      <c r="G9054" s="184"/>
      <c r="H9054" s="184"/>
      <c r="I9054" s="184"/>
      <c r="J9054" s="184"/>
      <c r="K9054" s="184"/>
      <c r="L9054" s="184"/>
      <c r="M9054" s="184"/>
      <c r="N9054" s="184"/>
      <c r="O9054" s="184"/>
    </row>
    <row r="9055" customFormat="false" ht="15" hidden="false" customHeight="true" outlineLevel="0" collapsed="false">
      <c r="A9055" s="184"/>
      <c r="B9055" s="184"/>
      <c r="C9055" s="184"/>
      <c r="D9055" s="184"/>
      <c r="E9055" s="184"/>
      <c r="F9055" s="184"/>
      <c r="G9055" s="184"/>
      <c r="H9055" s="184"/>
      <c r="I9055" s="184"/>
      <c r="J9055" s="184"/>
      <c r="K9055" s="184"/>
      <c r="L9055" s="184"/>
      <c r="M9055" s="184"/>
      <c r="N9055" s="184"/>
      <c r="O9055" s="184"/>
    </row>
    <row r="9056" customFormat="false" ht="15" hidden="false" customHeight="true" outlineLevel="0" collapsed="false">
      <c r="A9056" s="184"/>
      <c r="B9056" s="184"/>
      <c r="C9056" s="184"/>
      <c r="D9056" s="184"/>
      <c r="E9056" s="184"/>
      <c r="F9056" s="184"/>
      <c r="G9056" s="184"/>
      <c r="H9056" s="184"/>
      <c r="I9056" s="184"/>
      <c r="J9056" s="184"/>
      <c r="K9056" s="184"/>
      <c r="L9056" s="184"/>
      <c r="M9056" s="184"/>
      <c r="N9056" s="184"/>
      <c r="O9056" s="184"/>
    </row>
    <row r="9057" customFormat="false" ht="15" hidden="false" customHeight="true" outlineLevel="0" collapsed="false">
      <c r="A9057" s="184"/>
      <c r="B9057" s="184"/>
      <c r="C9057" s="184"/>
      <c r="D9057" s="184"/>
      <c r="E9057" s="184"/>
      <c r="F9057" s="184"/>
      <c r="G9057" s="184"/>
      <c r="H9057" s="184"/>
      <c r="I9057" s="184"/>
      <c r="J9057" s="184"/>
      <c r="K9057" s="184"/>
      <c r="L9057" s="184"/>
      <c r="M9057" s="184"/>
      <c r="N9057" s="184"/>
      <c r="O9057" s="184"/>
    </row>
    <row r="9058" customFormat="false" ht="15" hidden="false" customHeight="true" outlineLevel="0" collapsed="false">
      <c r="A9058" s="184"/>
      <c r="B9058" s="184"/>
      <c r="C9058" s="184"/>
      <c r="D9058" s="184"/>
      <c r="E9058" s="184"/>
      <c r="F9058" s="184"/>
      <c r="G9058" s="184"/>
      <c r="H9058" s="184"/>
      <c r="I9058" s="184"/>
      <c r="J9058" s="184"/>
      <c r="K9058" s="184"/>
      <c r="L9058" s="184"/>
      <c r="M9058" s="184"/>
      <c r="N9058" s="184"/>
      <c r="O9058" s="184"/>
    </row>
    <row r="9059" customFormat="false" ht="15" hidden="false" customHeight="true" outlineLevel="0" collapsed="false">
      <c r="A9059" s="184"/>
      <c r="B9059" s="184"/>
      <c r="C9059" s="184"/>
      <c r="D9059" s="184"/>
      <c r="E9059" s="184"/>
      <c r="F9059" s="184"/>
      <c r="G9059" s="184"/>
      <c r="H9059" s="184"/>
      <c r="I9059" s="184"/>
      <c r="J9059" s="184"/>
      <c r="K9059" s="184"/>
      <c r="L9059" s="184"/>
      <c r="M9059" s="184"/>
      <c r="N9059" s="184"/>
      <c r="O9059" s="184"/>
    </row>
    <row r="9060" customFormat="false" ht="15" hidden="false" customHeight="true" outlineLevel="0" collapsed="false">
      <c r="A9060" s="184"/>
      <c r="B9060" s="184"/>
      <c r="C9060" s="184"/>
      <c r="D9060" s="184"/>
      <c r="E9060" s="184"/>
      <c r="F9060" s="184"/>
      <c r="G9060" s="184"/>
      <c r="H9060" s="184"/>
      <c r="I9060" s="184"/>
      <c r="J9060" s="184"/>
      <c r="K9060" s="184"/>
      <c r="L9060" s="184"/>
      <c r="M9060" s="184"/>
      <c r="N9060" s="184"/>
      <c r="O9060" s="184"/>
    </row>
    <row r="9061" customFormat="false" ht="15" hidden="false" customHeight="true" outlineLevel="0" collapsed="false">
      <c r="A9061" s="184"/>
      <c r="B9061" s="184"/>
      <c r="C9061" s="184"/>
      <c r="D9061" s="184"/>
      <c r="E9061" s="184"/>
      <c r="F9061" s="184"/>
      <c r="G9061" s="184"/>
      <c r="H9061" s="184"/>
      <c r="I9061" s="184"/>
      <c r="J9061" s="184"/>
      <c r="K9061" s="184"/>
      <c r="L9061" s="184"/>
      <c r="M9061" s="184"/>
      <c r="N9061" s="184"/>
      <c r="O9061" s="184"/>
    </row>
    <row r="9062" customFormat="false" ht="15" hidden="false" customHeight="true" outlineLevel="0" collapsed="false">
      <c r="A9062" s="184"/>
      <c r="B9062" s="184"/>
      <c r="C9062" s="184"/>
      <c r="D9062" s="184"/>
      <c r="E9062" s="184"/>
      <c r="F9062" s="184"/>
      <c r="G9062" s="184"/>
      <c r="H9062" s="184"/>
      <c r="I9062" s="184"/>
      <c r="J9062" s="184"/>
      <c r="K9062" s="184"/>
      <c r="L9062" s="184"/>
      <c r="M9062" s="184"/>
      <c r="N9062" s="184"/>
      <c r="O9062" s="184"/>
    </row>
    <row r="9063" customFormat="false" ht="15" hidden="false" customHeight="true" outlineLevel="0" collapsed="false">
      <c r="A9063" s="184"/>
      <c r="B9063" s="184"/>
      <c r="C9063" s="184"/>
      <c r="D9063" s="184"/>
      <c r="E9063" s="184"/>
      <c r="F9063" s="184"/>
      <c r="G9063" s="184"/>
      <c r="H9063" s="184"/>
      <c r="I9063" s="184"/>
      <c r="J9063" s="184"/>
      <c r="K9063" s="184"/>
      <c r="L9063" s="184"/>
      <c r="M9063" s="184"/>
      <c r="N9063" s="184"/>
      <c r="O9063" s="184"/>
    </row>
    <row r="9064" customFormat="false" ht="15" hidden="false" customHeight="true" outlineLevel="0" collapsed="false">
      <c r="A9064" s="184"/>
      <c r="B9064" s="184"/>
      <c r="C9064" s="184"/>
      <c r="D9064" s="184"/>
      <c r="E9064" s="184"/>
      <c r="F9064" s="184"/>
      <c r="G9064" s="184"/>
      <c r="H9064" s="184"/>
      <c r="I9064" s="184"/>
      <c r="J9064" s="184"/>
      <c r="K9064" s="184"/>
      <c r="L9064" s="184"/>
      <c r="M9064" s="184"/>
      <c r="N9064" s="184"/>
      <c r="O9064" s="184"/>
    </row>
    <row r="9065" customFormat="false" ht="15" hidden="false" customHeight="true" outlineLevel="0" collapsed="false">
      <c r="A9065" s="184"/>
      <c r="B9065" s="184"/>
      <c r="C9065" s="184"/>
      <c r="D9065" s="184"/>
      <c r="E9065" s="184"/>
      <c r="F9065" s="184"/>
      <c r="G9065" s="184"/>
      <c r="H9065" s="184"/>
      <c r="I9065" s="184"/>
      <c r="J9065" s="184"/>
      <c r="K9065" s="184"/>
      <c r="L9065" s="184"/>
      <c r="M9065" s="184"/>
      <c r="N9065" s="184"/>
      <c r="O9065" s="184"/>
    </row>
    <row r="9066" customFormat="false" ht="15" hidden="false" customHeight="true" outlineLevel="0" collapsed="false">
      <c r="A9066" s="184"/>
      <c r="B9066" s="184"/>
      <c r="C9066" s="184"/>
      <c r="D9066" s="184"/>
      <c r="E9066" s="184"/>
      <c r="F9066" s="184"/>
      <c r="G9066" s="184"/>
      <c r="H9066" s="184"/>
      <c r="I9066" s="184"/>
      <c r="J9066" s="184"/>
      <c r="K9066" s="184"/>
      <c r="L9066" s="184"/>
      <c r="M9066" s="184"/>
      <c r="N9066" s="184"/>
      <c r="O9066" s="184"/>
    </row>
    <row r="9067" customFormat="false" ht="15" hidden="false" customHeight="true" outlineLevel="0" collapsed="false">
      <c r="A9067" s="184"/>
      <c r="B9067" s="184"/>
      <c r="C9067" s="184"/>
      <c r="D9067" s="184"/>
      <c r="E9067" s="184"/>
      <c r="F9067" s="184"/>
      <c r="G9067" s="184"/>
      <c r="H9067" s="184"/>
      <c r="I9067" s="184"/>
      <c r="J9067" s="184"/>
      <c r="K9067" s="184"/>
      <c r="L9067" s="184"/>
      <c r="M9067" s="184"/>
      <c r="N9067" s="184"/>
      <c r="O9067" s="184"/>
    </row>
    <row r="9068" customFormat="false" ht="15" hidden="false" customHeight="true" outlineLevel="0" collapsed="false">
      <c r="A9068" s="184"/>
      <c r="B9068" s="184"/>
      <c r="C9068" s="184"/>
      <c r="D9068" s="184"/>
      <c r="E9068" s="184"/>
      <c r="F9068" s="184"/>
      <c r="G9068" s="184"/>
      <c r="H9068" s="184"/>
      <c r="I9068" s="184"/>
      <c r="J9068" s="184"/>
      <c r="K9068" s="184"/>
      <c r="L9068" s="184"/>
      <c r="M9068" s="184"/>
      <c r="N9068" s="184"/>
      <c r="O9068" s="184"/>
    </row>
    <row r="9069" customFormat="false" ht="15" hidden="false" customHeight="true" outlineLevel="0" collapsed="false">
      <c r="A9069" s="184"/>
      <c r="B9069" s="184"/>
      <c r="C9069" s="184"/>
      <c r="D9069" s="184"/>
      <c r="E9069" s="184"/>
      <c r="F9069" s="184"/>
      <c r="G9069" s="184"/>
      <c r="H9069" s="184"/>
      <c r="I9069" s="184"/>
      <c r="J9069" s="184"/>
      <c r="K9069" s="184"/>
      <c r="L9069" s="184"/>
      <c r="M9069" s="184"/>
      <c r="N9069" s="184"/>
      <c r="O9069" s="184"/>
    </row>
    <row r="9070" customFormat="false" ht="15" hidden="false" customHeight="true" outlineLevel="0" collapsed="false">
      <c r="A9070" s="184"/>
      <c r="B9070" s="184"/>
      <c r="C9070" s="184"/>
      <c r="D9070" s="184"/>
      <c r="E9070" s="184"/>
      <c r="F9070" s="184"/>
      <c r="G9070" s="184"/>
      <c r="H9070" s="184"/>
      <c r="I9070" s="184"/>
      <c r="J9070" s="184"/>
      <c r="K9070" s="184"/>
      <c r="L9070" s="184"/>
      <c r="M9070" s="184"/>
      <c r="N9070" s="184"/>
      <c r="O9070" s="184"/>
    </row>
    <row r="9071" customFormat="false" ht="15" hidden="false" customHeight="true" outlineLevel="0" collapsed="false">
      <c r="A9071" s="184"/>
      <c r="B9071" s="184"/>
      <c r="C9071" s="184"/>
      <c r="D9071" s="184"/>
      <c r="E9071" s="184"/>
      <c r="F9071" s="184"/>
      <c r="G9071" s="184"/>
      <c r="H9071" s="184"/>
      <c r="I9071" s="184"/>
      <c r="J9071" s="184"/>
      <c r="K9071" s="184"/>
      <c r="L9071" s="184"/>
      <c r="M9071" s="184"/>
      <c r="N9071" s="184"/>
      <c r="O9071" s="184"/>
    </row>
    <row r="9072" customFormat="false" ht="15" hidden="false" customHeight="true" outlineLevel="0" collapsed="false">
      <c r="A9072" s="184"/>
      <c r="B9072" s="184"/>
      <c r="C9072" s="184"/>
      <c r="D9072" s="184"/>
      <c r="E9072" s="184"/>
      <c r="F9072" s="184"/>
      <c r="G9072" s="184"/>
      <c r="H9072" s="184"/>
      <c r="I9072" s="184"/>
      <c r="J9072" s="184"/>
      <c r="K9072" s="184"/>
      <c r="L9072" s="184"/>
      <c r="M9072" s="184"/>
      <c r="N9072" s="184"/>
      <c r="O9072" s="184"/>
    </row>
    <row r="9073" customFormat="false" ht="15" hidden="false" customHeight="true" outlineLevel="0" collapsed="false">
      <c r="A9073" s="184"/>
      <c r="B9073" s="184"/>
      <c r="C9073" s="184"/>
      <c r="D9073" s="184"/>
      <c r="E9073" s="184"/>
      <c r="F9073" s="184"/>
      <c r="G9073" s="184"/>
      <c r="H9073" s="184"/>
      <c r="I9073" s="184"/>
      <c r="J9073" s="184"/>
      <c r="K9073" s="184"/>
      <c r="L9073" s="184"/>
      <c r="M9073" s="184"/>
      <c r="N9073" s="184"/>
      <c r="O9073" s="184"/>
    </row>
    <row r="9074" customFormat="false" ht="15" hidden="false" customHeight="true" outlineLevel="0" collapsed="false">
      <c r="A9074" s="184"/>
      <c r="B9074" s="184"/>
      <c r="C9074" s="184"/>
      <c r="D9074" s="184"/>
      <c r="E9074" s="184"/>
      <c r="F9074" s="184"/>
      <c r="G9074" s="184"/>
      <c r="H9074" s="184"/>
      <c r="I9074" s="184"/>
      <c r="J9074" s="184"/>
      <c r="K9074" s="184"/>
      <c r="L9074" s="184"/>
      <c r="M9074" s="184"/>
      <c r="N9074" s="184"/>
      <c r="O9074" s="184"/>
    </row>
    <row r="9075" customFormat="false" ht="15" hidden="false" customHeight="true" outlineLevel="0" collapsed="false">
      <c r="A9075" s="184"/>
      <c r="B9075" s="184"/>
      <c r="C9075" s="184"/>
      <c r="D9075" s="184"/>
      <c r="E9075" s="184"/>
      <c r="F9075" s="184"/>
      <c r="G9075" s="184"/>
      <c r="H9075" s="184"/>
      <c r="I9075" s="184"/>
      <c r="J9075" s="184"/>
      <c r="K9075" s="184"/>
      <c r="L9075" s="184"/>
      <c r="M9075" s="184"/>
      <c r="N9075" s="184"/>
      <c r="O9075" s="184"/>
    </row>
    <row r="9076" customFormat="false" ht="15" hidden="false" customHeight="true" outlineLevel="0" collapsed="false">
      <c r="A9076" s="184"/>
      <c r="B9076" s="184"/>
      <c r="C9076" s="184"/>
      <c r="D9076" s="184"/>
      <c r="E9076" s="184"/>
      <c r="F9076" s="184"/>
      <c r="G9076" s="184"/>
      <c r="H9076" s="184"/>
      <c r="I9076" s="184"/>
      <c r="J9076" s="184"/>
      <c r="K9076" s="184"/>
      <c r="L9076" s="184"/>
      <c r="M9076" s="184"/>
      <c r="N9076" s="184"/>
      <c r="O9076" s="184"/>
    </row>
    <row r="9077" customFormat="false" ht="15" hidden="false" customHeight="true" outlineLevel="0" collapsed="false">
      <c r="A9077" s="184"/>
      <c r="B9077" s="184"/>
      <c r="C9077" s="184"/>
      <c r="D9077" s="184"/>
      <c r="E9077" s="184"/>
      <c r="F9077" s="184"/>
      <c r="G9077" s="184"/>
      <c r="H9077" s="184"/>
      <c r="I9077" s="184"/>
      <c r="J9077" s="184"/>
      <c r="K9077" s="184"/>
      <c r="L9077" s="184"/>
      <c r="M9077" s="184"/>
      <c r="N9077" s="184"/>
      <c r="O9077" s="184"/>
    </row>
    <row r="9078" customFormat="false" ht="15" hidden="false" customHeight="true" outlineLevel="0" collapsed="false">
      <c r="A9078" s="184"/>
      <c r="B9078" s="184"/>
      <c r="C9078" s="184"/>
      <c r="D9078" s="184"/>
      <c r="E9078" s="184"/>
      <c r="F9078" s="184"/>
      <c r="G9078" s="184"/>
      <c r="H9078" s="184"/>
      <c r="I9078" s="184"/>
      <c r="J9078" s="184"/>
      <c r="K9078" s="184"/>
      <c r="L9078" s="184"/>
      <c r="M9078" s="184"/>
      <c r="N9078" s="184"/>
      <c r="O9078" s="184"/>
    </row>
    <row r="9079" customFormat="false" ht="15" hidden="false" customHeight="true" outlineLevel="0" collapsed="false">
      <c r="A9079" s="184"/>
      <c r="B9079" s="184"/>
      <c r="C9079" s="184"/>
      <c r="D9079" s="184"/>
      <c r="E9079" s="184"/>
      <c r="F9079" s="184"/>
      <c r="G9079" s="184"/>
      <c r="H9079" s="184"/>
      <c r="I9079" s="184"/>
      <c r="J9079" s="184"/>
      <c r="K9079" s="184"/>
      <c r="L9079" s="184"/>
      <c r="M9079" s="184"/>
      <c r="N9079" s="184"/>
      <c r="O9079" s="184"/>
    </row>
    <row r="9080" customFormat="false" ht="15" hidden="false" customHeight="true" outlineLevel="0" collapsed="false">
      <c r="A9080" s="184"/>
      <c r="B9080" s="184"/>
      <c r="C9080" s="184"/>
      <c r="D9080" s="184"/>
      <c r="E9080" s="184"/>
      <c r="F9080" s="184"/>
      <c r="G9080" s="184"/>
      <c r="H9080" s="184"/>
      <c r="I9080" s="184"/>
      <c r="J9080" s="184"/>
      <c r="K9080" s="184"/>
      <c r="L9080" s="184"/>
      <c r="M9080" s="184"/>
      <c r="N9080" s="184"/>
      <c r="O9080" s="184"/>
    </row>
    <row r="9081" customFormat="false" ht="15" hidden="false" customHeight="true" outlineLevel="0" collapsed="false">
      <c r="A9081" s="184"/>
      <c r="B9081" s="184"/>
      <c r="C9081" s="184"/>
      <c r="D9081" s="184"/>
      <c r="E9081" s="184"/>
      <c r="F9081" s="184"/>
      <c r="G9081" s="184"/>
      <c r="H9081" s="184"/>
      <c r="I9081" s="184"/>
      <c r="J9081" s="184"/>
      <c r="K9081" s="184"/>
      <c r="L9081" s="184"/>
      <c r="M9081" s="184"/>
      <c r="N9081" s="184"/>
      <c r="O9081" s="184"/>
    </row>
    <row r="9082" customFormat="false" ht="15" hidden="false" customHeight="true" outlineLevel="0" collapsed="false">
      <c r="A9082" s="184"/>
      <c r="B9082" s="184"/>
      <c r="C9082" s="184"/>
      <c r="D9082" s="184"/>
      <c r="E9082" s="184"/>
      <c r="F9082" s="184"/>
      <c r="G9082" s="184"/>
      <c r="H9082" s="184"/>
      <c r="I9082" s="184"/>
      <c r="J9082" s="184"/>
      <c r="K9082" s="184"/>
      <c r="L9082" s="184"/>
      <c r="M9082" s="184"/>
      <c r="N9082" s="184"/>
      <c r="O9082" s="184"/>
    </row>
    <row r="9083" customFormat="false" ht="15" hidden="false" customHeight="true" outlineLevel="0" collapsed="false">
      <c r="A9083" s="184"/>
      <c r="B9083" s="184"/>
      <c r="C9083" s="184"/>
      <c r="D9083" s="184"/>
      <c r="E9083" s="184"/>
      <c r="F9083" s="184"/>
      <c r="G9083" s="184"/>
      <c r="H9083" s="184"/>
      <c r="I9083" s="184"/>
      <c r="J9083" s="184"/>
      <c r="K9083" s="184"/>
      <c r="L9083" s="184"/>
      <c r="M9083" s="184"/>
      <c r="N9083" s="184"/>
      <c r="O9083" s="184"/>
    </row>
    <row r="9084" customFormat="false" ht="15" hidden="false" customHeight="true" outlineLevel="0" collapsed="false">
      <c r="A9084" s="184"/>
      <c r="B9084" s="184"/>
      <c r="C9084" s="184"/>
      <c r="D9084" s="184"/>
      <c r="E9084" s="184"/>
      <c r="F9084" s="184"/>
      <c r="G9084" s="184"/>
      <c r="H9084" s="184"/>
      <c r="I9084" s="184"/>
      <c r="J9084" s="184"/>
      <c r="K9084" s="184"/>
      <c r="L9084" s="184"/>
      <c r="M9084" s="184"/>
      <c r="N9084" s="184"/>
      <c r="O9084" s="184"/>
    </row>
    <row r="9085" customFormat="false" ht="15" hidden="false" customHeight="true" outlineLevel="0" collapsed="false">
      <c r="A9085" s="184"/>
      <c r="B9085" s="184"/>
      <c r="C9085" s="184"/>
      <c r="D9085" s="184"/>
      <c r="E9085" s="184"/>
      <c r="F9085" s="184"/>
      <c r="G9085" s="184"/>
      <c r="H9085" s="184"/>
      <c r="I9085" s="184"/>
      <c r="J9085" s="184"/>
      <c r="K9085" s="184"/>
      <c r="L9085" s="184"/>
      <c r="M9085" s="184"/>
      <c r="N9085" s="184"/>
      <c r="O9085" s="184"/>
    </row>
    <row r="9086" customFormat="false" ht="15" hidden="false" customHeight="true" outlineLevel="0" collapsed="false">
      <c r="A9086" s="184"/>
      <c r="B9086" s="184"/>
      <c r="C9086" s="184"/>
      <c r="D9086" s="184"/>
      <c r="E9086" s="184"/>
      <c r="F9086" s="184"/>
      <c r="G9086" s="184"/>
      <c r="H9086" s="184"/>
      <c r="I9086" s="184"/>
      <c r="J9086" s="184"/>
      <c r="K9086" s="184"/>
      <c r="L9086" s="184"/>
      <c r="M9086" s="184"/>
      <c r="N9086" s="184"/>
      <c r="O9086" s="184"/>
    </row>
    <row r="9087" customFormat="false" ht="15" hidden="false" customHeight="true" outlineLevel="0" collapsed="false">
      <c r="A9087" s="184"/>
      <c r="B9087" s="184"/>
      <c r="C9087" s="184"/>
      <c r="D9087" s="184"/>
      <c r="E9087" s="184"/>
      <c r="F9087" s="184"/>
      <c r="G9087" s="184"/>
      <c r="H9087" s="184"/>
      <c r="I9087" s="184"/>
      <c r="J9087" s="184"/>
      <c r="K9087" s="184"/>
      <c r="L9087" s="184"/>
      <c r="M9087" s="184"/>
      <c r="N9087" s="184"/>
      <c r="O9087" s="184"/>
    </row>
    <row r="9088" customFormat="false" ht="15" hidden="false" customHeight="true" outlineLevel="0" collapsed="false">
      <c r="A9088" s="184"/>
      <c r="B9088" s="184"/>
      <c r="C9088" s="184"/>
      <c r="D9088" s="184"/>
      <c r="E9088" s="184"/>
      <c r="F9088" s="184"/>
      <c r="G9088" s="184"/>
      <c r="H9088" s="184"/>
      <c r="I9088" s="184"/>
      <c r="J9088" s="184"/>
      <c r="K9088" s="184"/>
      <c r="L9088" s="184"/>
      <c r="M9088" s="184"/>
      <c r="N9088" s="184"/>
      <c r="O9088" s="184"/>
    </row>
    <row r="9089" customFormat="false" ht="15" hidden="false" customHeight="true" outlineLevel="0" collapsed="false">
      <c r="A9089" s="184"/>
      <c r="B9089" s="184"/>
      <c r="C9089" s="184"/>
      <c r="D9089" s="184"/>
      <c r="E9089" s="184"/>
      <c r="F9089" s="184"/>
      <c r="G9089" s="184"/>
      <c r="H9089" s="184"/>
      <c r="I9089" s="184"/>
      <c r="J9089" s="184"/>
      <c r="K9089" s="184"/>
      <c r="L9089" s="184"/>
      <c r="M9089" s="184"/>
      <c r="N9089" s="184"/>
      <c r="O9089" s="184"/>
    </row>
    <row r="9090" customFormat="false" ht="15" hidden="false" customHeight="true" outlineLevel="0" collapsed="false">
      <c r="A9090" s="184"/>
      <c r="B9090" s="184"/>
      <c r="C9090" s="184"/>
      <c r="D9090" s="184"/>
      <c r="E9090" s="184"/>
      <c r="F9090" s="184"/>
      <c r="G9090" s="184"/>
      <c r="H9090" s="184"/>
      <c r="I9090" s="184"/>
      <c r="J9090" s="184"/>
      <c r="K9090" s="184"/>
      <c r="L9090" s="184"/>
      <c r="M9090" s="184"/>
      <c r="N9090" s="184"/>
      <c r="O9090" s="184"/>
    </row>
    <row r="9091" customFormat="false" ht="15" hidden="false" customHeight="true" outlineLevel="0" collapsed="false">
      <c r="A9091" s="184"/>
      <c r="B9091" s="184"/>
      <c r="C9091" s="184"/>
      <c r="D9091" s="184"/>
      <c r="E9091" s="184"/>
      <c r="F9091" s="184"/>
      <c r="G9091" s="184"/>
      <c r="H9091" s="184"/>
      <c r="I9091" s="184"/>
      <c r="J9091" s="184"/>
      <c r="K9091" s="184"/>
      <c r="L9091" s="184"/>
      <c r="M9091" s="184"/>
      <c r="N9091" s="184"/>
      <c r="O9091" s="184"/>
    </row>
    <row r="9092" customFormat="false" ht="15" hidden="false" customHeight="true" outlineLevel="0" collapsed="false">
      <c r="A9092" s="184"/>
      <c r="B9092" s="184"/>
      <c r="C9092" s="184"/>
      <c r="D9092" s="184"/>
      <c r="E9092" s="184"/>
      <c r="F9092" s="184"/>
      <c r="G9092" s="184"/>
      <c r="H9092" s="184"/>
      <c r="I9092" s="184"/>
      <c r="J9092" s="184"/>
      <c r="K9092" s="184"/>
      <c r="L9092" s="184"/>
      <c r="M9092" s="184"/>
      <c r="N9092" s="184"/>
      <c r="O9092" s="184"/>
    </row>
    <row r="9093" customFormat="false" ht="15" hidden="false" customHeight="true" outlineLevel="0" collapsed="false">
      <c r="A9093" s="184"/>
      <c r="B9093" s="184"/>
      <c r="C9093" s="184"/>
      <c r="D9093" s="184"/>
      <c r="E9093" s="184"/>
      <c r="F9093" s="184"/>
      <c r="G9093" s="184"/>
      <c r="H9093" s="184"/>
      <c r="I9093" s="184"/>
      <c r="J9093" s="184"/>
      <c r="K9093" s="184"/>
      <c r="L9093" s="184"/>
      <c r="M9093" s="184"/>
      <c r="N9093" s="184"/>
      <c r="O9093" s="184"/>
    </row>
    <row r="9094" customFormat="false" ht="15" hidden="false" customHeight="true" outlineLevel="0" collapsed="false">
      <c r="A9094" s="184"/>
      <c r="B9094" s="184"/>
      <c r="C9094" s="184"/>
      <c r="D9094" s="184"/>
      <c r="E9094" s="184"/>
      <c r="F9094" s="184"/>
      <c r="G9094" s="184"/>
      <c r="H9094" s="184"/>
      <c r="I9094" s="184"/>
      <c r="J9094" s="184"/>
      <c r="K9094" s="184"/>
      <c r="L9094" s="184"/>
      <c r="M9094" s="184"/>
      <c r="N9094" s="184"/>
      <c r="O9094" s="184"/>
    </row>
    <row r="9095" customFormat="false" ht="15" hidden="false" customHeight="true" outlineLevel="0" collapsed="false">
      <c r="A9095" s="184"/>
      <c r="B9095" s="184"/>
      <c r="C9095" s="184"/>
      <c r="D9095" s="184"/>
      <c r="E9095" s="184"/>
      <c r="F9095" s="184"/>
      <c r="G9095" s="184"/>
      <c r="H9095" s="184"/>
      <c r="I9095" s="184"/>
      <c r="J9095" s="184"/>
      <c r="K9095" s="184"/>
      <c r="L9095" s="184"/>
      <c r="M9095" s="184"/>
      <c r="N9095" s="184"/>
      <c r="O9095" s="184"/>
    </row>
    <row r="9096" customFormat="false" ht="15" hidden="false" customHeight="true" outlineLevel="0" collapsed="false">
      <c r="A9096" s="184"/>
      <c r="B9096" s="184"/>
      <c r="C9096" s="184"/>
      <c r="D9096" s="184"/>
      <c r="E9096" s="184"/>
      <c r="F9096" s="184"/>
      <c r="G9096" s="184"/>
      <c r="H9096" s="184"/>
      <c r="I9096" s="184"/>
      <c r="J9096" s="184"/>
      <c r="K9096" s="184"/>
      <c r="L9096" s="184"/>
      <c r="M9096" s="184"/>
      <c r="N9096" s="184"/>
      <c r="O9096" s="184"/>
    </row>
    <row r="9097" customFormat="false" ht="15" hidden="false" customHeight="true" outlineLevel="0" collapsed="false">
      <c r="A9097" s="184"/>
      <c r="B9097" s="184"/>
      <c r="C9097" s="184"/>
      <c r="D9097" s="184"/>
      <c r="E9097" s="184"/>
      <c r="F9097" s="184"/>
      <c r="G9097" s="184"/>
      <c r="H9097" s="184"/>
      <c r="I9097" s="184"/>
      <c r="J9097" s="184"/>
      <c r="K9097" s="184"/>
      <c r="L9097" s="184"/>
      <c r="M9097" s="184"/>
      <c r="N9097" s="184"/>
      <c r="O9097" s="184"/>
    </row>
    <row r="9098" customFormat="false" ht="15" hidden="false" customHeight="true" outlineLevel="0" collapsed="false">
      <c r="A9098" s="184"/>
      <c r="B9098" s="184"/>
      <c r="C9098" s="184"/>
      <c r="D9098" s="184"/>
      <c r="E9098" s="184"/>
      <c r="F9098" s="184"/>
      <c r="G9098" s="184"/>
      <c r="H9098" s="184"/>
      <c r="I9098" s="184"/>
      <c r="J9098" s="184"/>
      <c r="K9098" s="184"/>
      <c r="L9098" s="184"/>
      <c r="M9098" s="184"/>
      <c r="N9098" s="184"/>
      <c r="O9098" s="184"/>
    </row>
    <row r="9099" customFormat="false" ht="15" hidden="false" customHeight="true" outlineLevel="0" collapsed="false">
      <c r="A9099" s="184"/>
      <c r="B9099" s="184"/>
      <c r="C9099" s="184"/>
      <c r="D9099" s="184"/>
      <c r="E9099" s="184"/>
      <c r="F9099" s="184"/>
      <c r="G9099" s="184"/>
      <c r="H9099" s="184"/>
      <c r="I9099" s="184"/>
      <c r="J9099" s="184"/>
      <c r="K9099" s="184"/>
      <c r="L9099" s="184"/>
      <c r="M9099" s="184"/>
      <c r="N9099" s="184"/>
      <c r="O9099" s="184"/>
    </row>
    <row r="9100" customFormat="false" ht="15" hidden="false" customHeight="true" outlineLevel="0" collapsed="false">
      <c r="A9100" s="184"/>
      <c r="B9100" s="184"/>
      <c r="C9100" s="184"/>
      <c r="D9100" s="184"/>
      <c r="E9100" s="184"/>
      <c r="F9100" s="184"/>
      <c r="G9100" s="184"/>
      <c r="H9100" s="184"/>
      <c r="I9100" s="184"/>
      <c r="J9100" s="184"/>
      <c r="K9100" s="184"/>
      <c r="L9100" s="184"/>
      <c r="M9100" s="184"/>
      <c r="N9100" s="184"/>
      <c r="O9100" s="184"/>
    </row>
    <row r="9101" customFormat="false" ht="15" hidden="false" customHeight="true" outlineLevel="0" collapsed="false">
      <c r="A9101" s="184"/>
      <c r="B9101" s="184"/>
      <c r="C9101" s="184"/>
      <c r="D9101" s="184"/>
      <c r="E9101" s="184"/>
      <c r="F9101" s="184"/>
      <c r="G9101" s="184"/>
      <c r="H9101" s="184"/>
      <c r="I9101" s="184"/>
      <c r="J9101" s="184"/>
      <c r="K9101" s="184"/>
      <c r="L9101" s="184"/>
      <c r="M9101" s="184"/>
      <c r="N9101" s="184"/>
      <c r="O9101" s="184"/>
    </row>
    <row r="9102" customFormat="false" ht="15" hidden="false" customHeight="true" outlineLevel="0" collapsed="false">
      <c r="A9102" s="184"/>
      <c r="B9102" s="184"/>
      <c r="C9102" s="184"/>
      <c r="D9102" s="184"/>
      <c r="E9102" s="184"/>
      <c r="F9102" s="184"/>
      <c r="G9102" s="184"/>
      <c r="H9102" s="184"/>
      <c r="I9102" s="184"/>
      <c r="J9102" s="184"/>
      <c r="K9102" s="184"/>
      <c r="L9102" s="184"/>
      <c r="M9102" s="184"/>
      <c r="N9102" s="184"/>
      <c r="O9102" s="184"/>
    </row>
    <row r="9103" customFormat="false" ht="15" hidden="false" customHeight="true" outlineLevel="0" collapsed="false">
      <c r="A9103" s="184"/>
      <c r="B9103" s="184"/>
      <c r="C9103" s="184"/>
      <c r="D9103" s="184"/>
      <c r="E9103" s="184"/>
      <c r="F9103" s="184"/>
      <c r="G9103" s="184"/>
      <c r="H9103" s="184"/>
      <c r="I9103" s="184"/>
      <c r="J9103" s="184"/>
      <c r="K9103" s="184"/>
      <c r="L9103" s="184"/>
      <c r="M9103" s="184"/>
      <c r="N9103" s="184"/>
      <c r="O9103" s="184"/>
    </row>
    <row r="9104" customFormat="false" ht="15" hidden="false" customHeight="true" outlineLevel="0" collapsed="false">
      <c r="A9104" s="184"/>
      <c r="B9104" s="184"/>
      <c r="C9104" s="184"/>
      <c r="D9104" s="184"/>
      <c r="E9104" s="184"/>
      <c r="F9104" s="184"/>
      <c r="G9104" s="184"/>
      <c r="H9104" s="184"/>
      <c r="I9104" s="184"/>
      <c r="J9104" s="184"/>
      <c r="K9104" s="184"/>
      <c r="L9104" s="184"/>
      <c r="M9104" s="184"/>
      <c r="N9104" s="184"/>
      <c r="O9104" s="184"/>
    </row>
    <row r="9105" customFormat="false" ht="15" hidden="false" customHeight="true" outlineLevel="0" collapsed="false">
      <c r="A9105" s="184"/>
      <c r="B9105" s="184"/>
      <c r="C9105" s="184"/>
      <c r="D9105" s="184"/>
      <c r="E9105" s="184"/>
      <c r="F9105" s="184"/>
      <c r="G9105" s="184"/>
      <c r="H9105" s="184"/>
      <c r="I9105" s="184"/>
      <c r="J9105" s="184"/>
      <c r="K9105" s="184"/>
      <c r="L9105" s="184"/>
      <c r="M9105" s="184"/>
      <c r="N9105" s="184"/>
      <c r="O9105" s="184"/>
    </row>
    <row r="9106" customFormat="false" ht="15" hidden="false" customHeight="true" outlineLevel="0" collapsed="false">
      <c r="A9106" s="184"/>
      <c r="B9106" s="184"/>
      <c r="C9106" s="184"/>
      <c r="D9106" s="184"/>
      <c r="E9106" s="184"/>
      <c r="F9106" s="184"/>
      <c r="G9106" s="184"/>
      <c r="H9106" s="184"/>
      <c r="I9106" s="184"/>
      <c r="J9106" s="184"/>
      <c r="K9106" s="184"/>
      <c r="L9106" s="184"/>
      <c r="M9106" s="184"/>
      <c r="N9106" s="184"/>
      <c r="O9106" s="184"/>
    </row>
    <row r="9107" customFormat="false" ht="15" hidden="false" customHeight="true" outlineLevel="0" collapsed="false">
      <c r="A9107" s="184"/>
      <c r="B9107" s="184"/>
      <c r="C9107" s="184"/>
      <c r="D9107" s="184"/>
      <c r="E9107" s="184"/>
      <c r="F9107" s="184"/>
      <c r="G9107" s="184"/>
      <c r="H9107" s="184"/>
      <c r="I9107" s="184"/>
      <c r="J9107" s="184"/>
      <c r="K9107" s="184"/>
      <c r="L9107" s="184"/>
      <c r="M9107" s="184"/>
      <c r="N9107" s="184"/>
      <c r="O9107" s="184"/>
    </row>
    <row r="9108" customFormat="false" ht="15" hidden="false" customHeight="true" outlineLevel="0" collapsed="false">
      <c r="A9108" s="184"/>
      <c r="B9108" s="184"/>
      <c r="C9108" s="184"/>
      <c r="D9108" s="184"/>
      <c r="E9108" s="184"/>
      <c r="F9108" s="184"/>
      <c r="G9108" s="184"/>
      <c r="H9108" s="184"/>
      <c r="I9108" s="184"/>
      <c r="J9108" s="184"/>
      <c r="K9108" s="184"/>
      <c r="L9108" s="184"/>
      <c r="M9108" s="184"/>
      <c r="N9108" s="184"/>
      <c r="O9108" s="184"/>
    </row>
    <row r="9109" customFormat="false" ht="15" hidden="false" customHeight="true" outlineLevel="0" collapsed="false">
      <c r="A9109" s="184"/>
      <c r="B9109" s="184"/>
      <c r="C9109" s="184"/>
      <c r="D9109" s="184"/>
      <c r="E9109" s="184"/>
      <c r="F9109" s="184"/>
      <c r="G9109" s="184"/>
      <c r="H9109" s="184"/>
      <c r="I9109" s="184"/>
      <c r="J9109" s="184"/>
      <c r="K9109" s="184"/>
      <c r="L9109" s="184"/>
      <c r="M9109" s="184"/>
      <c r="N9109" s="184"/>
      <c r="O9109" s="184"/>
    </row>
    <row r="9110" customFormat="false" ht="15" hidden="false" customHeight="true" outlineLevel="0" collapsed="false">
      <c r="A9110" s="184"/>
      <c r="B9110" s="184"/>
      <c r="C9110" s="184"/>
      <c r="D9110" s="184"/>
      <c r="E9110" s="184"/>
      <c r="F9110" s="184"/>
      <c r="G9110" s="184"/>
      <c r="H9110" s="184"/>
      <c r="I9110" s="184"/>
      <c r="J9110" s="184"/>
      <c r="K9110" s="184"/>
      <c r="L9110" s="184"/>
      <c r="M9110" s="184"/>
      <c r="N9110" s="184"/>
      <c r="O9110" s="184"/>
    </row>
    <row r="9111" customFormat="false" ht="15" hidden="false" customHeight="true" outlineLevel="0" collapsed="false">
      <c r="A9111" s="184"/>
      <c r="B9111" s="184"/>
      <c r="C9111" s="184"/>
      <c r="D9111" s="184"/>
      <c r="E9111" s="184"/>
      <c r="F9111" s="184"/>
      <c r="G9111" s="184"/>
      <c r="H9111" s="184"/>
      <c r="I9111" s="184"/>
      <c r="J9111" s="184"/>
      <c r="K9111" s="184"/>
      <c r="L9111" s="184"/>
      <c r="M9111" s="184"/>
      <c r="N9111" s="184"/>
      <c r="O9111" s="184"/>
    </row>
    <row r="9112" customFormat="false" ht="15" hidden="false" customHeight="true" outlineLevel="0" collapsed="false">
      <c r="A9112" s="184"/>
      <c r="B9112" s="184"/>
      <c r="C9112" s="184"/>
      <c r="D9112" s="184"/>
      <c r="E9112" s="184"/>
      <c r="F9112" s="184"/>
      <c r="G9112" s="184"/>
      <c r="H9112" s="184"/>
      <c r="I9112" s="184"/>
      <c r="J9112" s="184"/>
      <c r="K9112" s="184"/>
      <c r="L9112" s="184"/>
      <c r="M9112" s="184"/>
      <c r="N9112" s="184"/>
      <c r="O9112" s="184"/>
    </row>
    <row r="9113" customFormat="false" ht="15" hidden="false" customHeight="true" outlineLevel="0" collapsed="false">
      <c r="A9113" s="184"/>
      <c r="B9113" s="184"/>
      <c r="C9113" s="184"/>
      <c r="D9113" s="184"/>
      <c r="E9113" s="184"/>
      <c r="F9113" s="184"/>
      <c r="G9113" s="184"/>
      <c r="H9113" s="184"/>
      <c r="I9113" s="184"/>
      <c r="J9113" s="184"/>
      <c r="K9113" s="184"/>
      <c r="L9113" s="184"/>
      <c r="M9113" s="184"/>
      <c r="N9113" s="184"/>
      <c r="O9113" s="184"/>
    </row>
    <row r="9114" customFormat="false" ht="15" hidden="false" customHeight="true" outlineLevel="0" collapsed="false">
      <c r="A9114" s="184"/>
      <c r="B9114" s="184"/>
      <c r="C9114" s="184"/>
      <c r="D9114" s="184"/>
      <c r="E9114" s="184"/>
      <c r="F9114" s="184"/>
      <c r="G9114" s="184"/>
      <c r="H9114" s="184"/>
      <c r="I9114" s="184"/>
      <c r="J9114" s="184"/>
      <c r="K9114" s="184"/>
      <c r="L9114" s="184"/>
      <c r="M9114" s="184"/>
      <c r="N9114" s="184"/>
      <c r="O9114" s="184"/>
    </row>
    <row r="9115" customFormat="false" ht="15" hidden="false" customHeight="true" outlineLevel="0" collapsed="false">
      <c r="A9115" s="184"/>
      <c r="B9115" s="184"/>
      <c r="C9115" s="184"/>
      <c r="D9115" s="184"/>
      <c r="E9115" s="184"/>
      <c r="F9115" s="184"/>
      <c r="G9115" s="184"/>
      <c r="H9115" s="184"/>
      <c r="I9115" s="184"/>
      <c r="J9115" s="184"/>
      <c r="K9115" s="184"/>
      <c r="L9115" s="184"/>
      <c r="M9115" s="184"/>
      <c r="N9115" s="184"/>
      <c r="O9115" s="184"/>
    </row>
    <row r="9116" customFormat="false" ht="15" hidden="false" customHeight="true" outlineLevel="0" collapsed="false">
      <c r="A9116" s="184"/>
      <c r="B9116" s="184"/>
      <c r="C9116" s="184"/>
      <c r="D9116" s="184"/>
      <c r="E9116" s="184"/>
      <c r="F9116" s="184"/>
      <c r="G9116" s="184"/>
      <c r="H9116" s="184"/>
      <c r="I9116" s="184"/>
      <c r="J9116" s="184"/>
      <c r="K9116" s="184"/>
      <c r="L9116" s="184"/>
      <c r="M9116" s="184"/>
      <c r="N9116" s="184"/>
      <c r="O9116" s="184"/>
    </row>
    <row r="9117" customFormat="false" ht="27.75" hidden="false" customHeight="true" outlineLevel="0" collapsed="false">
      <c r="A9117" s="184" t="s">
        <v>5047</v>
      </c>
      <c r="B9117" s="184" t="s">
        <v>5048</v>
      </c>
      <c r="C9117" s="184"/>
      <c r="D9117" s="179" t="s">
        <v>4858</v>
      </c>
      <c r="E9117" s="184" t="s">
        <v>7396</v>
      </c>
      <c r="F9117" s="184"/>
      <c r="G9117" s="184"/>
      <c r="H9117" s="184"/>
      <c r="I9117" s="184"/>
      <c r="J9117" s="184"/>
      <c r="K9117" s="184"/>
      <c r="L9117" s="184"/>
      <c r="M9117" s="184" t="s">
        <v>7397</v>
      </c>
      <c r="N9117" s="184"/>
      <c r="O9117" s="184"/>
    </row>
    <row r="9118" customFormat="false" ht="27.75" hidden="false" customHeight="true" outlineLevel="0" collapsed="false">
      <c r="A9118" s="184" t="s">
        <v>5047</v>
      </c>
      <c r="B9118" s="184" t="s">
        <v>5048</v>
      </c>
      <c r="C9118" s="184" t="n">
        <v>1</v>
      </c>
      <c r="D9118" s="178" t="s">
        <v>5269</v>
      </c>
      <c r="E9118" s="184" t="s">
        <v>2895</v>
      </c>
      <c r="F9118" s="184"/>
      <c r="G9118" s="184"/>
      <c r="H9118" s="184"/>
      <c r="I9118" s="184"/>
      <c r="J9118" s="184"/>
      <c r="K9118" s="184"/>
      <c r="L9118" s="184"/>
      <c r="M9118" s="184" t="s">
        <v>6291</v>
      </c>
      <c r="N9118" s="184"/>
      <c r="O9118" s="184"/>
    </row>
    <row r="9119" customFormat="false" ht="27.75" hidden="false" customHeight="true" outlineLevel="0" collapsed="false">
      <c r="A9119" s="184" t="s">
        <v>5047</v>
      </c>
      <c r="B9119" s="184" t="s">
        <v>5048</v>
      </c>
      <c r="C9119" s="184" t="n">
        <v>2</v>
      </c>
      <c r="D9119" s="179" t="s">
        <v>6292</v>
      </c>
      <c r="E9119" s="184" t="s">
        <v>6964</v>
      </c>
      <c r="F9119" s="184"/>
      <c r="G9119" s="184"/>
      <c r="H9119" s="184"/>
      <c r="I9119" s="184"/>
      <c r="J9119" s="184"/>
      <c r="K9119" s="184"/>
      <c r="L9119" s="184"/>
      <c r="M9119" s="184"/>
      <c r="N9119" s="184"/>
      <c r="O9119" s="184"/>
    </row>
    <row r="9120" customFormat="false" ht="27.75" hidden="false" customHeight="true" outlineLevel="0" collapsed="false">
      <c r="A9120" s="184" t="s">
        <v>5047</v>
      </c>
      <c r="B9120" s="184" t="s">
        <v>5048</v>
      </c>
      <c r="C9120" s="184" t="n">
        <v>3</v>
      </c>
      <c r="D9120" s="184" t="s">
        <v>6294</v>
      </c>
      <c r="E9120" s="184" t="s">
        <v>6965</v>
      </c>
      <c r="F9120" s="184"/>
      <c r="G9120" s="184"/>
      <c r="H9120" s="184"/>
      <c r="I9120" s="184"/>
      <c r="J9120" s="184"/>
      <c r="K9120" s="184"/>
      <c r="L9120" s="184"/>
      <c r="M9120" s="184"/>
      <c r="N9120" s="184"/>
      <c r="O9120" s="184"/>
    </row>
    <row r="9121" customFormat="false" ht="41.25" hidden="false" customHeight="true" outlineLevel="0" collapsed="false">
      <c r="A9121" s="184" t="s">
        <v>5047</v>
      </c>
      <c r="B9121" s="184" t="s">
        <v>5048</v>
      </c>
      <c r="C9121" s="184" t="n">
        <v>4</v>
      </c>
      <c r="D9121" s="184" t="s">
        <v>4790</v>
      </c>
      <c r="E9121" s="184" t="s">
        <v>7398</v>
      </c>
      <c r="F9121" s="184"/>
      <c r="G9121" s="184"/>
      <c r="H9121" s="184"/>
      <c r="I9121" s="184"/>
      <c r="J9121" s="184"/>
      <c r="K9121" s="184"/>
      <c r="L9121" s="184"/>
      <c r="M9121" s="184" t="s">
        <v>7399</v>
      </c>
      <c r="N9121" s="184"/>
      <c r="O9121" s="184"/>
    </row>
    <row r="9122" customFormat="false" ht="27.75" hidden="false" customHeight="true" outlineLevel="0" collapsed="false">
      <c r="A9122" s="184" t="s">
        <v>5047</v>
      </c>
      <c r="B9122" s="184" t="s">
        <v>5048</v>
      </c>
      <c r="C9122" s="184" t="n">
        <v>5</v>
      </c>
      <c r="D9122" s="178" t="s">
        <v>6457</v>
      </c>
      <c r="E9122" s="184" t="s">
        <v>6968</v>
      </c>
      <c r="F9122" s="184"/>
      <c r="G9122" s="184"/>
      <c r="H9122" s="184"/>
      <c r="I9122" s="184"/>
      <c r="J9122" s="184"/>
      <c r="K9122" s="184"/>
      <c r="L9122" s="184"/>
      <c r="M9122" s="184" t="s">
        <v>6969</v>
      </c>
      <c r="N9122" s="184"/>
      <c r="O9122" s="184"/>
    </row>
    <row r="9123" customFormat="false" ht="27.75" hidden="false" customHeight="true" outlineLevel="0" collapsed="false">
      <c r="A9123" s="184" t="s">
        <v>5047</v>
      </c>
      <c r="B9123" s="184" t="s">
        <v>5048</v>
      </c>
      <c r="C9123" s="184" t="n">
        <v>6</v>
      </c>
      <c r="D9123" s="184" t="s">
        <v>6970</v>
      </c>
      <c r="E9123" s="184" t="s">
        <v>6971</v>
      </c>
      <c r="F9123" s="184"/>
      <c r="G9123" s="184"/>
      <c r="H9123" s="184"/>
      <c r="I9123" s="184"/>
      <c r="J9123" s="184"/>
      <c r="K9123" s="184"/>
      <c r="L9123" s="184"/>
      <c r="M9123" s="184"/>
      <c r="N9123" s="184"/>
      <c r="O9123" s="184"/>
    </row>
    <row r="9124" customFormat="false" ht="27.75" hidden="false" customHeight="true" outlineLevel="0" collapsed="false">
      <c r="A9124" s="184" t="s">
        <v>5047</v>
      </c>
      <c r="B9124" s="184" t="s">
        <v>5048</v>
      </c>
      <c r="C9124" s="184" t="n">
        <v>7</v>
      </c>
      <c r="D9124" s="184" t="s">
        <v>6970</v>
      </c>
      <c r="E9124" s="184" t="s">
        <v>6972</v>
      </c>
      <c r="F9124" s="184"/>
      <c r="G9124" s="184"/>
      <c r="H9124" s="184"/>
      <c r="I9124" s="184"/>
      <c r="J9124" s="184"/>
      <c r="K9124" s="184"/>
      <c r="L9124" s="184"/>
      <c r="M9124" s="184"/>
      <c r="N9124" s="184"/>
      <c r="O9124" s="184"/>
    </row>
    <row r="9125" customFormat="false" ht="27.75" hidden="false" customHeight="true" outlineLevel="0" collapsed="false">
      <c r="A9125" s="184" t="s">
        <v>5047</v>
      </c>
      <c r="B9125" s="184" t="s">
        <v>5048</v>
      </c>
      <c r="C9125" s="184" t="n">
        <v>8</v>
      </c>
      <c r="D9125" s="184" t="s">
        <v>6970</v>
      </c>
      <c r="E9125" s="184" t="s">
        <v>6973</v>
      </c>
      <c r="F9125" s="184"/>
      <c r="G9125" s="184"/>
      <c r="H9125" s="184"/>
      <c r="I9125" s="184"/>
      <c r="J9125" s="184"/>
      <c r="K9125" s="184"/>
      <c r="L9125" s="184"/>
      <c r="M9125" s="184"/>
      <c r="N9125" s="184"/>
      <c r="O9125" s="184"/>
    </row>
    <row r="9126" customFormat="false" ht="27.75" hidden="false" customHeight="true" outlineLevel="0" collapsed="false">
      <c r="A9126" s="184" t="s">
        <v>5047</v>
      </c>
      <c r="B9126" s="184" t="s">
        <v>5048</v>
      </c>
      <c r="C9126" s="184" t="n">
        <v>9</v>
      </c>
      <c r="D9126" s="184" t="s">
        <v>6970</v>
      </c>
      <c r="E9126" s="184" t="s">
        <v>6974</v>
      </c>
      <c r="F9126" s="184"/>
      <c r="G9126" s="184"/>
      <c r="H9126" s="184"/>
      <c r="I9126" s="184"/>
      <c r="J9126" s="184"/>
      <c r="K9126" s="184"/>
      <c r="L9126" s="184"/>
      <c r="M9126" s="184"/>
      <c r="N9126" s="184"/>
      <c r="O9126" s="184"/>
    </row>
    <row r="9127" customFormat="false" ht="27.75" hidden="false" customHeight="true" outlineLevel="0" collapsed="false">
      <c r="A9127" s="184" t="s">
        <v>5047</v>
      </c>
      <c r="B9127" s="184" t="s">
        <v>5048</v>
      </c>
      <c r="C9127" s="184" t="n">
        <v>10</v>
      </c>
      <c r="D9127" s="184" t="s">
        <v>6970</v>
      </c>
      <c r="E9127" s="184" t="s">
        <v>6975</v>
      </c>
      <c r="F9127" s="184"/>
      <c r="G9127" s="184"/>
      <c r="H9127" s="184"/>
      <c r="I9127" s="184"/>
      <c r="J9127" s="184"/>
      <c r="K9127" s="184"/>
      <c r="L9127" s="184"/>
      <c r="M9127" s="184"/>
      <c r="N9127" s="184"/>
      <c r="O9127" s="184"/>
    </row>
    <row r="9128" customFormat="false" ht="27.75" hidden="false" customHeight="true" outlineLevel="0" collapsed="false">
      <c r="A9128" s="184" t="s">
        <v>5047</v>
      </c>
      <c r="B9128" s="184" t="s">
        <v>5048</v>
      </c>
      <c r="C9128" s="184" t="n">
        <v>11</v>
      </c>
      <c r="D9128" s="177" t="s">
        <v>6429</v>
      </c>
      <c r="E9128" s="184" t="s">
        <v>3408</v>
      </c>
      <c r="F9128" s="184"/>
      <c r="G9128" s="184"/>
      <c r="H9128" s="184"/>
      <c r="I9128" s="184"/>
      <c r="J9128" s="184"/>
      <c r="K9128" s="184"/>
      <c r="L9128" s="184"/>
      <c r="M9128" s="184"/>
      <c r="N9128" s="184"/>
      <c r="O9128" s="184"/>
    </row>
    <row r="9129" customFormat="false" ht="27.75" hidden="false" customHeight="true" outlineLevel="0" collapsed="false">
      <c r="A9129" s="184" t="s">
        <v>5047</v>
      </c>
      <c r="B9129" s="184" t="s">
        <v>5048</v>
      </c>
      <c r="C9129" s="184" t="n">
        <v>12</v>
      </c>
      <c r="D9129" s="184" t="s">
        <v>4790</v>
      </c>
      <c r="E9129" s="184" t="s">
        <v>6976</v>
      </c>
      <c r="F9129" s="184"/>
      <c r="G9129" s="184"/>
      <c r="H9129" s="184"/>
      <c r="I9129" s="184"/>
      <c r="J9129" s="184"/>
      <c r="K9129" s="184"/>
      <c r="L9129" s="184"/>
      <c r="M9129" s="184" t="s">
        <v>6977</v>
      </c>
      <c r="N9129" s="184"/>
      <c r="O9129" s="184"/>
    </row>
    <row r="9130" customFormat="false" ht="27.75" hidden="false" customHeight="true" outlineLevel="0" collapsed="false">
      <c r="A9130" s="184" t="s">
        <v>5047</v>
      </c>
      <c r="B9130" s="184" t="s">
        <v>5048</v>
      </c>
      <c r="C9130" s="184" t="n">
        <v>13</v>
      </c>
      <c r="D9130" s="178" t="s">
        <v>5269</v>
      </c>
      <c r="E9130" s="184" t="s">
        <v>6978</v>
      </c>
      <c r="F9130" s="184"/>
      <c r="G9130" s="184"/>
      <c r="H9130" s="184"/>
      <c r="I9130" s="184"/>
      <c r="J9130" s="184"/>
      <c r="K9130" s="184"/>
      <c r="L9130" s="184"/>
      <c r="M9130" s="184" t="s">
        <v>6979</v>
      </c>
      <c r="N9130" s="184"/>
      <c r="O9130" s="184"/>
    </row>
    <row r="9131" customFormat="false" ht="27.75" hidden="false" customHeight="true" outlineLevel="0" collapsed="false">
      <c r="A9131" s="184" t="s">
        <v>5047</v>
      </c>
      <c r="B9131" s="184" t="s">
        <v>5048</v>
      </c>
      <c r="C9131" s="184" t="n">
        <v>14</v>
      </c>
      <c r="D9131" s="179" t="s">
        <v>6292</v>
      </c>
      <c r="E9131" s="184" t="s">
        <v>6980</v>
      </c>
      <c r="F9131" s="184"/>
      <c r="G9131" s="184"/>
      <c r="H9131" s="184"/>
      <c r="I9131" s="184"/>
      <c r="J9131" s="184"/>
      <c r="K9131" s="184"/>
      <c r="L9131" s="184"/>
      <c r="M9131" s="184"/>
      <c r="N9131" s="184"/>
      <c r="O9131" s="184"/>
    </row>
    <row r="9132" customFormat="false" ht="27.75" hidden="false" customHeight="true" outlineLevel="0" collapsed="false">
      <c r="A9132" s="184" t="s">
        <v>5047</v>
      </c>
      <c r="B9132" s="184" t="s">
        <v>5048</v>
      </c>
      <c r="C9132" s="184" t="n">
        <v>15</v>
      </c>
      <c r="D9132" s="178" t="s">
        <v>6457</v>
      </c>
      <c r="E9132" s="184" t="s">
        <v>6981</v>
      </c>
      <c r="F9132" s="184"/>
      <c r="G9132" s="184"/>
      <c r="H9132" s="184"/>
      <c r="I9132" s="184"/>
      <c r="J9132" s="184"/>
      <c r="K9132" s="184"/>
      <c r="L9132" s="184"/>
      <c r="M9132" s="184" t="s">
        <v>6982</v>
      </c>
      <c r="N9132" s="184"/>
      <c r="O9132" s="184"/>
    </row>
    <row r="9133" customFormat="false" ht="27.75" hidden="false" customHeight="true" outlineLevel="0" collapsed="false">
      <c r="A9133" s="184" t="s">
        <v>5047</v>
      </c>
      <c r="B9133" s="184" t="s">
        <v>5048</v>
      </c>
      <c r="C9133" s="184" t="n">
        <v>16</v>
      </c>
      <c r="D9133" s="184" t="s">
        <v>4790</v>
      </c>
      <c r="E9133" s="184" t="s">
        <v>6983</v>
      </c>
      <c r="F9133" s="184"/>
      <c r="G9133" s="184"/>
      <c r="H9133" s="184"/>
      <c r="I9133" s="184"/>
      <c r="J9133" s="184"/>
      <c r="K9133" s="184"/>
      <c r="L9133" s="184"/>
      <c r="M9133" s="184" t="s">
        <v>6984</v>
      </c>
      <c r="N9133" s="184"/>
      <c r="O9133" s="184"/>
    </row>
    <row r="9134" customFormat="false" ht="27.75" hidden="false" customHeight="true" outlineLevel="0" collapsed="false">
      <c r="A9134" s="184" t="s">
        <v>5047</v>
      </c>
      <c r="B9134" s="184" t="s">
        <v>5048</v>
      </c>
      <c r="C9134" s="184" t="n">
        <v>17</v>
      </c>
      <c r="D9134" s="184" t="s">
        <v>4790</v>
      </c>
      <c r="E9134" s="184" t="s">
        <v>6985</v>
      </c>
      <c r="F9134" s="184"/>
      <c r="G9134" s="184"/>
      <c r="H9134" s="184"/>
      <c r="I9134" s="184"/>
      <c r="J9134" s="184"/>
      <c r="K9134" s="184"/>
      <c r="L9134" s="184"/>
      <c r="M9134" s="184" t="s">
        <v>6986</v>
      </c>
      <c r="N9134" s="184"/>
      <c r="O9134" s="184"/>
    </row>
    <row r="9135" customFormat="false" ht="27.75" hidden="false" customHeight="true" outlineLevel="0" collapsed="false">
      <c r="A9135" s="184" t="s">
        <v>5047</v>
      </c>
      <c r="B9135" s="184" t="s">
        <v>5048</v>
      </c>
      <c r="C9135" s="184" t="n">
        <v>18</v>
      </c>
      <c r="D9135" s="184" t="s">
        <v>4790</v>
      </c>
      <c r="E9135" s="184" t="s">
        <v>6987</v>
      </c>
      <c r="F9135" s="184"/>
      <c r="G9135" s="184"/>
      <c r="H9135" s="184"/>
      <c r="I9135" s="184"/>
      <c r="J9135" s="184"/>
      <c r="K9135" s="184"/>
      <c r="L9135" s="184"/>
      <c r="M9135" s="184" t="s">
        <v>6988</v>
      </c>
      <c r="N9135" s="184"/>
      <c r="O9135" s="184"/>
    </row>
    <row r="9136" customFormat="false" ht="27.75" hidden="false" customHeight="true" outlineLevel="0" collapsed="false">
      <c r="A9136" s="184" t="s">
        <v>5047</v>
      </c>
      <c r="B9136" s="184" t="s">
        <v>5048</v>
      </c>
      <c r="C9136" s="184" t="n">
        <v>19</v>
      </c>
      <c r="D9136" s="184" t="s">
        <v>4790</v>
      </c>
      <c r="E9136" s="184" t="s">
        <v>7400</v>
      </c>
      <c r="F9136" s="184"/>
      <c r="G9136" s="184"/>
      <c r="H9136" s="184"/>
      <c r="I9136" s="184"/>
      <c r="J9136" s="184"/>
      <c r="K9136" s="184"/>
      <c r="L9136" s="184"/>
      <c r="M9136" s="184" t="s">
        <v>7401</v>
      </c>
      <c r="N9136" s="184"/>
      <c r="O9136" s="184"/>
    </row>
    <row r="9137" customFormat="false" ht="27.75" hidden="false" customHeight="true" outlineLevel="0" collapsed="false">
      <c r="A9137" s="184" t="s">
        <v>5047</v>
      </c>
      <c r="B9137" s="184" t="s">
        <v>5048</v>
      </c>
      <c r="C9137" s="184" t="n">
        <v>20</v>
      </c>
      <c r="D9137" s="184" t="s">
        <v>4790</v>
      </c>
      <c r="E9137" s="184" t="s">
        <v>7402</v>
      </c>
      <c r="F9137" s="184"/>
      <c r="G9137" s="184"/>
      <c r="H9137" s="184"/>
      <c r="I9137" s="184"/>
      <c r="J9137" s="184"/>
      <c r="K9137" s="184"/>
      <c r="L9137" s="184"/>
      <c r="M9137" s="184" t="s">
        <v>7403</v>
      </c>
      <c r="N9137" s="184"/>
      <c r="O9137" s="184"/>
    </row>
    <row r="9138" customFormat="false" ht="27.75" hidden="false" customHeight="true" outlineLevel="0" collapsed="false">
      <c r="A9138" s="184" t="s">
        <v>5047</v>
      </c>
      <c r="B9138" s="184" t="s">
        <v>5048</v>
      </c>
      <c r="C9138" s="184" t="n">
        <v>21</v>
      </c>
      <c r="D9138" s="179" t="s">
        <v>6292</v>
      </c>
      <c r="E9138" s="184" t="s">
        <v>6993</v>
      </c>
      <c r="F9138" s="184"/>
      <c r="G9138" s="184"/>
      <c r="H9138" s="184"/>
      <c r="I9138" s="184"/>
      <c r="J9138" s="184"/>
      <c r="K9138" s="184"/>
      <c r="L9138" s="184"/>
      <c r="M9138" s="184"/>
      <c r="N9138" s="184"/>
      <c r="O9138" s="184"/>
    </row>
    <row r="9139" customFormat="false" ht="27.75" hidden="false" customHeight="true" outlineLevel="0" collapsed="false">
      <c r="A9139" s="184" t="s">
        <v>5047</v>
      </c>
      <c r="B9139" s="184" t="s">
        <v>5048</v>
      </c>
      <c r="C9139" s="184" t="n">
        <v>22</v>
      </c>
      <c r="D9139" s="178" t="s">
        <v>5269</v>
      </c>
      <c r="E9139" s="184" t="s">
        <v>6994</v>
      </c>
      <c r="F9139" s="184"/>
      <c r="G9139" s="184"/>
      <c r="H9139" s="184"/>
      <c r="I9139" s="184"/>
      <c r="J9139" s="184"/>
      <c r="K9139" s="184"/>
      <c r="L9139" s="184"/>
      <c r="M9139" s="184" t="s">
        <v>6995</v>
      </c>
      <c r="N9139" s="184"/>
      <c r="O9139" s="184"/>
    </row>
    <row r="9140" customFormat="false" ht="27.75" hidden="false" customHeight="true" outlineLevel="0" collapsed="false">
      <c r="A9140" s="184" t="s">
        <v>5047</v>
      </c>
      <c r="B9140" s="184" t="s">
        <v>5048</v>
      </c>
      <c r="C9140" s="184" t="n">
        <v>23</v>
      </c>
      <c r="D9140" s="178" t="s">
        <v>5269</v>
      </c>
      <c r="E9140" s="184" t="s">
        <v>6996</v>
      </c>
      <c r="F9140" s="184"/>
      <c r="G9140" s="184"/>
      <c r="H9140" s="184"/>
      <c r="I9140" s="184"/>
      <c r="J9140" s="184"/>
      <c r="K9140" s="184"/>
      <c r="L9140" s="184"/>
      <c r="M9140" s="184" t="s">
        <v>6997</v>
      </c>
      <c r="N9140" s="184"/>
      <c r="O9140" s="184"/>
    </row>
    <row r="9141" customFormat="false" ht="27.75" hidden="false" customHeight="true" outlineLevel="0" collapsed="false">
      <c r="A9141" s="184" t="s">
        <v>5047</v>
      </c>
      <c r="B9141" s="184" t="s">
        <v>5048</v>
      </c>
      <c r="C9141" s="184" t="n">
        <v>24</v>
      </c>
      <c r="D9141" s="178" t="s">
        <v>5269</v>
      </c>
      <c r="E9141" s="184" t="s">
        <v>6998</v>
      </c>
      <c r="F9141" s="184"/>
      <c r="G9141" s="184"/>
      <c r="H9141" s="184"/>
      <c r="I9141" s="184"/>
      <c r="J9141" s="184"/>
      <c r="K9141" s="184"/>
      <c r="L9141" s="184"/>
      <c r="M9141" s="184" t="s">
        <v>6641</v>
      </c>
      <c r="N9141" s="184"/>
      <c r="O9141" s="184"/>
    </row>
    <row r="9142" customFormat="false" ht="27.75" hidden="false" customHeight="true" outlineLevel="0" collapsed="false">
      <c r="A9142" s="184" t="s">
        <v>5047</v>
      </c>
      <c r="B9142" s="184" t="s">
        <v>5048</v>
      </c>
      <c r="C9142" s="184" t="n">
        <v>25</v>
      </c>
      <c r="D9142" s="178" t="s">
        <v>5269</v>
      </c>
      <c r="E9142" s="184" t="s">
        <v>6999</v>
      </c>
      <c r="F9142" s="184"/>
      <c r="G9142" s="184"/>
      <c r="H9142" s="184"/>
      <c r="I9142" s="184"/>
      <c r="J9142" s="184"/>
      <c r="K9142" s="184"/>
      <c r="L9142" s="184"/>
      <c r="M9142" s="184" t="s">
        <v>7000</v>
      </c>
      <c r="N9142" s="184"/>
      <c r="O9142" s="184"/>
    </row>
    <row r="9143" customFormat="false" ht="27.75" hidden="false" customHeight="true" outlineLevel="0" collapsed="false">
      <c r="A9143" s="184" t="s">
        <v>5047</v>
      </c>
      <c r="B9143" s="184" t="s">
        <v>5048</v>
      </c>
      <c r="C9143" s="184" t="n">
        <v>26</v>
      </c>
      <c r="D9143" s="177" t="s">
        <v>5276</v>
      </c>
      <c r="E9143" s="184" t="s">
        <v>7001</v>
      </c>
      <c r="F9143" s="184"/>
      <c r="G9143" s="184"/>
      <c r="H9143" s="184"/>
      <c r="I9143" s="184"/>
      <c r="J9143" s="184"/>
      <c r="K9143" s="184"/>
      <c r="L9143" s="184"/>
      <c r="M9143" s="184"/>
      <c r="N9143" s="184"/>
      <c r="O9143" s="184"/>
    </row>
    <row r="9144" customFormat="false" ht="15" hidden="false" customHeight="true" outlineLevel="0" collapsed="false">
      <c r="A9144" s="184"/>
      <c r="B9144" s="184"/>
      <c r="C9144" s="184"/>
      <c r="D9144" s="184"/>
      <c r="E9144" s="184"/>
      <c r="F9144" s="184"/>
      <c r="G9144" s="184"/>
      <c r="H9144" s="184"/>
      <c r="I9144" s="184"/>
      <c r="J9144" s="184"/>
      <c r="K9144" s="184"/>
      <c r="L9144" s="184"/>
      <c r="M9144" s="184"/>
      <c r="N9144" s="184"/>
      <c r="O9144" s="184"/>
    </row>
    <row r="9145" customFormat="false" ht="15" hidden="false" customHeight="true" outlineLevel="0" collapsed="false">
      <c r="A9145" s="184"/>
      <c r="B9145" s="184"/>
      <c r="C9145" s="184"/>
      <c r="D9145" s="184"/>
      <c r="E9145" s="184"/>
      <c r="F9145" s="184"/>
      <c r="G9145" s="184"/>
      <c r="H9145" s="184"/>
      <c r="I9145" s="184"/>
      <c r="J9145" s="184"/>
      <c r="K9145" s="184"/>
      <c r="L9145" s="184"/>
      <c r="M9145" s="184"/>
      <c r="N9145" s="184"/>
      <c r="O9145" s="184"/>
    </row>
    <row r="9146" customFormat="false" ht="15" hidden="false" customHeight="true" outlineLevel="0" collapsed="false">
      <c r="A9146" s="184"/>
      <c r="B9146" s="184"/>
      <c r="C9146" s="184"/>
      <c r="D9146" s="184"/>
      <c r="E9146" s="184"/>
      <c r="F9146" s="184"/>
      <c r="G9146" s="184"/>
      <c r="H9146" s="184"/>
      <c r="I9146" s="184"/>
      <c r="J9146" s="184"/>
      <c r="K9146" s="184"/>
      <c r="L9146" s="184"/>
      <c r="M9146" s="184"/>
      <c r="N9146" s="184"/>
      <c r="O9146" s="184"/>
    </row>
    <row r="9147" customFormat="false" ht="15" hidden="false" customHeight="true" outlineLevel="0" collapsed="false">
      <c r="A9147" s="184"/>
      <c r="B9147" s="184"/>
      <c r="C9147" s="184"/>
      <c r="D9147" s="184"/>
      <c r="E9147" s="184"/>
      <c r="F9147" s="184"/>
      <c r="G9147" s="184"/>
      <c r="H9147" s="184"/>
      <c r="I9147" s="184"/>
      <c r="J9147" s="184"/>
      <c r="K9147" s="184"/>
      <c r="L9147" s="184"/>
      <c r="M9147" s="184"/>
      <c r="N9147" s="184"/>
      <c r="O9147" s="184"/>
    </row>
    <row r="9148" customFormat="false" ht="15" hidden="false" customHeight="true" outlineLevel="0" collapsed="false">
      <c r="A9148" s="184"/>
      <c r="B9148" s="184"/>
      <c r="C9148" s="184"/>
      <c r="D9148" s="184"/>
      <c r="E9148" s="184"/>
      <c r="F9148" s="184"/>
      <c r="G9148" s="184"/>
      <c r="H9148" s="184"/>
      <c r="I9148" s="184"/>
      <c r="J9148" s="184"/>
      <c r="K9148" s="184"/>
      <c r="L9148" s="184"/>
      <c r="M9148" s="184"/>
      <c r="N9148" s="184"/>
      <c r="O9148" s="184"/>
    </row>
    <row r="9149" customFormat="false" ht="15" hidden="false" customHeight="true" outlineLevel="0" collapsed="false">
      <c r="A9149" s="184"/>
      <c r="B9149" s="184"/>
      <c r="C9149" s="184"/>
      <c r="D9149" s="184"/>
      <c r="E9149" s="184"/>
      <c r="F9149" s="184"/>
      <c r="G9149" s="184"/>
      <c r="H9149" s="184"/>
      <c r="I9149" s="184"/>
      <c r="J9149" s="184"/>
      <c r="K9149" s="184"/>
      <c r="L9149" s="184"/>
      <c r="M9149" s="184"/>
      <c r="N9149" s="184"/>
      <c r="O9149" s="184"/>
    </row>
    <row r="9150" customFormat="false" ht="15" hidden="false" customHeight="true" outlineLevel="0" collapsed="false">
      <c r="A9150" s="184"/>
      <c r="B9150" s="184"/>
      <c r="C9150" s="184"/>
      <c r="D9150" s="184"/>
      <c r="E9150" s="184"/>
      <c r="F9150" s="184"/>
      <c r="G9150" s="184"/>
      <c r="H9150" s="184"/>
      <c r="I9150" s="184"/>
      <c r="J9150" s="184"/>
      <c r="K9150" s="184"/>
      <c r="L9150" s="184"/>
      <c r="M9150" s="184"/>
      <c r="N9150" s="184"/>
      <c r="O9150" s="184"/>
    </row>
    <row r="9151" customFormat="false" ht="15" hidden="false" customHeight="true" outlineLevel="0" collapsed="false">
      <c r="A9151" s="184"/>
      <c r="B9151" s="184"/>
      <c r="C9151" s="184"/>
      <c r="D9151" s="184"/>
      <c r="E9151" s="184"/>
      <c r="F9151" s="184"/>
      <c r="G9151" s="184"/>
      <c r="H9151" s="184"/>
      <c r="I9151" s="184"/>
      <c r="J9151" s="184"/>
      <c r="K9151" s="184"/>
      <c r="L9151" s="184"/>
      <c r="M9151" s="184"/>
      <c r="N9151" s="184"/>
      <c r="O9151" s="184"/>
    </row>
    <row r="9152" customFormat="false" ht="15" hidden="false" customHeight="true" outlineLevel="0" collapsed="false">
      <c r="A9152" s="184"/>
      <c r="B9152" s="184"/>
      <c r="C9152" s="184"/>
      <c r="D9152" s="184"/>
      <c r="E9152" s="184"/>
      <c r="F9152" s="184"/>
      <c r="G9152" s="184"/>
      <c r="H9152" s="184"/>
      <c r="I9152" s="184"/>
      <c r="J9152" s="184"/>
      <c r="K9152" s="184"/>
      <c r="L9152" s="184"/>
      <c r="M9152" s="184"/>
      <c r="N9152" s="184"/>
      <c r="O9152" s="184"/>
    </row>
    <row r="9153" customFormat="false" ht="15" hidden="false" customHeight="true" outlineLevel="0" collapsed="false">
      <c r="A9153" s="184"/>
      <c r="B9153" s="184"/>
      <c r="C9153" s="184"/>
      <c r="D9153" s="184"/>
      <c r="E9153" s="184"/>
      <c r="F9153" s="184"/>
      <c r="G9153" s="184"/>
      <c r="H9153" s="184"/>
      <c r="I9153" s="184"/>
      <c r="J9153" s="184"/>
      <c r="K9153" s="184"/>
      <c r="L9153" s="184"/>
      <c r="M9153" s="184"/>
      <c r="N9153" s="184"/>
      <c r="O9153" s="184"/>
    </row>
    <row r="9154" customFormat="false" ht="15" hidden="false" customHeight="true" outlineLevel="0" collapsed="false">
      <c r="A9154" s="184"/>
      <c r="B9154" s="184"/>
      <c r="C9154" s="184"/>
      <c r="D9154" s="184"/>
      <c r="E9154" s="184"/>
      <c r="F9154" s="184"/>
      <c r="G9154" s="184"/>
      <c r="H9154" s="184"/>
      <c r="I9154" s="184"/>
      <c r="J9154" s="184"/>
      <c r="K9154" s="184"/>
      <c r="L9154" s="184"/>
      <c r="M9154" s="184"/>
      <c r="N9154" s="184"/>
      <c r="O9154" s="184"/>
    </row>
    <row r="9155" customFormat="false" ht="15" hidden="false" customHeight="true" outlineLevel="0" collapsed="false">
      <c r="A9155" s="184"/>
      <c r="B9155" s="184"/>
      <c r="C9155" s="184"/>
      <c r="D9155" s="184"/>
      <c r="E9155" s="184"/>
      <c r="F9155" s="184"/>
      <c r="G9155" s="184"/>
      <c r="H9155" s="184"/>
      <c r="I9155" s="184"/>
      <c r="J9155" s="184"/>
      <c r="K9155" s="184"/>
      <c r="L9155" s="184"/>
      <c r="M9155" s="184"/>
      <c r="N9155" s="184"/>
      <c r="O9155" s="184"/>
    </row>
    <row r="9156" customFormat="false" ht="15" hidden="false" customHeight="true" outlineLevel="0" collapsed="false">
      <c r="A9156" s="184"/>
      <c r="B9156" s="184"/>
      <c r="C9156" s="184"/>
      <c r="D9156" s="184"/>
      <c r="E9156" s="184"/>
      <c r="F9156" s="184"/>
      <c r="G9156" s="184"/>
      <c r="H9156" s="184"/>
      <c r="I9156" s="184"/>
      <c r="J9156" s="184"/>
      <c r="K9156" s="184"/>
      <c r="L9156" s="184"/>
      <c r="M9156" s="184"/>
      <c r="N9156" s="184"/>
      <c r="O9156" s="184"/>
    </row>
    <row r="9157" customFormat="false" ht="15" hidden="false" customHeight="true" outlineLevel="0" collapsed="false">
      <c r="A9157" s="184"/>
      <c r="B9157" s="184"/>
      <c r="C9157" s="184"/>
      <c r="D9157" s="184"/>
      <c r="E9157" s="184"/>
      <c r="F9157" s="184"/>
      <c r="G9157" s="184"/>
      <c r="H9157" s="184"/>
      <c r="I9157" s="184"/>
      <c r="J9157" s="184"/>
      <c r="K9157" s="184"/>
      <c r="L9157" s="184"/>
      <c r="M9157" s="184"/>
      <c r="N9157" s="184"/>
      <c r="O9157" s="184"/>
    </row>
    <row r="9158" customFormat="false" ht="15" hidden="false" customHeight="true" outlineLevel="0" collapsed="false">
      <c r="A9158" s="184"/>
      <c r="B9158" s="184"/>
      <c r="C9158" s="184"/>
      <c r="D9158" s="184"/>
      <c r="E9158" s="184"/>
      <c r="F9158" s="184"/>
      <c r="G9158" s="184"/>
      <c r="H9158" s="184"/>
      <c r="I9158" s="184"/>
      <c r="J9158" s="184"/>
      <c r="K9158" s="184"/>
      <c r="L9158" s="184"/>
      <c r="M9158" s="184"/>
      <c r="N9158" s="184"/>
      <c r="O9158" s="184"/>
    </row>
    <row r="9159" customFormat="false" ht="15" hidden="false" customHeight="true" outlineLevel="0" collapsed="false">
      <c r="A9159" s="184"/>
      <c r="B9159" s="184"/>
      <c r="C9159" s="184"/>
      <c r="D9159" s="184"/>
      <c r="E9159" s="184"/>
      <c r="F9159" s="184"/>
      <c r="G9159" s="184"/>
      <c r="H9159" s="184"/>
      <c r="I9159" s="184"/>
      <c r="J9159" s="184"/>
      <c r="K9159" s="184"/>
      <c r="L9159" s="184"/>
      <c r="M9159" s="184"/>
      <c r="N9159" s="184"/>
      <c r="O9159" s="184"/>
    </row>
    <row r="9160" customFormat="false" ht="15" hidden="false" customHeight="true" outlineLevel="0" collapsed="false">
      <c r="A9160" s="184"/>
      <c r="B9160" s="184"/>
      <c r="C9160" s="184"/>
      <c r="D9160" s="184"/>
      <c r="E9160" s="184"/>
      <c r="F9160" s="184"/>
      <c r="G9160" s="184"/>
      <c r="H9160" s="184"/>
      <c r="I9160" s="184"/>
      <c r="J9160" s="184"/>
      <c r="K9160" s="184"/>
      <c r="L9160" s="184"/>
      <c r="M9160" s="184"/>
      <c r="N9160" s="184"/>
      <c r="O9160" s="184"/>
    </row>
    <row r="9161" customFormat="false" ht="15" hidden="false" customHeight="true" outlineLevel="0" collapsed="false">
      <c r="A9161" s="184"/>
      <c r="B9161" s="184"/>
      <c r="C9161" s="184"/>
      <c r="D9161" s="184"/>
      <c r="E9161" s="184"/>
      <c r="F9161" s="184"/>
      <c r="G9161" s="184"/>
      <c r="H9161" s="184"/>
      <c r="I9161" s="184"/>
      <c r="J9161" s="184"/>
      <c r="K9161" s="184"/>
      <c r="L9161" s="184"/>
      <c r="M9161" s="184"/>
      <c r="N9161" s="184"/>
      <c r="O9161" s="184"/>
    </row>
    <row r="9162" customFormat="false" ht="15" hidden="false" customHeight="true" outlineLevel="0" collapsed="false">
      <c r="A9162" s="184"/>
      <c r="B9162" s="184"/>
      <c r="C9162" s="184"/>
      <c r="D9162" s="184"/>
      <c r="E9162" s="184"/>
      <c r="F9162" s="184"/>
      <c r="G9162" s="184"/>
      <c r="H9162" s="184"/>
      <c r="I9162" s="184"/>
      <c r="J9162" s="184"/>
      <c r="K9162" s="184"/>
      <c r="L9162" s="184"/>
      <c r="M9162" s="184"/>
      <c r="N9162" s="184"/>
      <c r="O9162" s="184"/>
    </row>
    <row r="9163" customFormat="false" ht="15" hidden="false" customHeight="true" outlineLevel="0" collapsed="false">
      <c r="A9163" s="184"/>
      <c r="B9163" s="184"/>
      <c r="C9163" s="184"/>
      <c r="D9163" s="184"/>
      <c r="E9163" s="184"/>
      <c r="F9163" s="184"/>
      <c r="G9163" s="184"/>
      <c r="H9163" s="184"/>
      <c r="I9163" s="184"/>
      <c r="J9163" s="184"/>
      <c r="K9163" s="184"/>
      <c r="L9163" s="184"/>
      <c r="M9163" s="184"/>
      <c r="N9163" s="184"/>
      <c r="O9163" s="184"/>
    </row>
    <row r="9164" customFormat="false" ht="15" hidden="false" customHeight="true" outlineLevel="0" collapsed="false">
      <c r="A9164" s="184"/>
      <c r="B9164" s="184"/>
      <c r="C9164" s="184"/>
      <c r="D9164" s="184"/>
      <c r="E9164" s="184"/>
      <c r="F9164" s="184"/>
      <c r="G9164" s="184"/>
      <c r="H9164" s="184"/>
      <c r="I9164" s="184"/>
      <c r="J9164" s="184"/>
      <c r="K9164" s="184"/>
      <c r="L9164" s="184"/>
      <c r="M9164" s="184"/>
      <c r="N9164" s="184"/>
      <c r="O9164" s="184"/>
    </row>
    <row r="9165" customFormat="false" ht="15" hidden="false" customHeight="true" outlineLevel="0" collapsed="false">
      <c r="A9165" s="184"/>
      <c r="B9165" s="184"/>
      <c r="C9165" s="184"/>
      <c r="D9165" s="184"/>
      <c r="E9165" s="184"/>
      <c r="F9165" s="184"/>
      <c r="G9165" s="184"/>
      <c r="H9165" s="184"/>
      <c r="I9165" s="184"/>
      <c r="J9165" s="184"/>
      <c r="K9165" s="184"/>
      <c r="L9165" s="184"/>
      <c r="M9165" s="184"/>
      <c r="N9165" s="184"/>
      <c r="O9165" s="184"/>
    </row>
    <row r="9166" customFormat="false" ht="15" hidden="false" customHeight="true" outlineLevel="0" collapsed="false">
      <c r="A9166" s="184"/>
      <c r="B9166" s="184"/>
      <c r="C9166" s="184"/>
      <c r="D9166" s="184"/>
      <c r="E9166" s="184"/>
      <c r="F9166" s="184"/>
      <c r="G9166" s="184"/>
      <c r="H9166" s="184"/>
      <c r="I9166" s="184"/>
      <c r="J9166" s="184"/>
      <c r="K9166" s="184"/>
      <c r="L9166" s="184"/>
      <c r="M9166" s="184"/>
      <c r="N9166" s="184"/>
      <c r="O9166" s="184"/>
    </row>
    <row r="9167" customFormat="false" ht="15" hidden="false" customHeight="true" outlineLevel="0" collapsed="false">
      <c r="A9167" s="184"/>
      <c r="B9167" s="184"/>
      <c r="C9167" s="184"/>
      <c r="D9167" s="184"/>
      <c r="E9167" s="184"/>
      <c r="F9167" s="184"/>
      <c r="G9167" s="184"/>
      <c r="H9167" s="184"/>
      <c r="I9167" s="184"/>
      <c r="J9167" s="184"/>
      <c r="K9167" s="184"/>
      <c r="L9167" s="184"/>
      <c r="M9167" s="184"/>
      <c r="N9167" s="184"/>
      <c r="O9167" s="184"/>
    </row>
    <row r="9168" customFormat="false" ht="15" hidden="false" customHeight="true" outlineLevel="0" collapsed="false">
      <c r="A9168" s="184"/>
      <c r="B9168" s="184"/>
      <c r="C9168" s="184"/>
      <c r="D9168" s="184"/>
      <c r="E9168" s="184"/>
      <c r="F9168" s="184"/>
      <c r="G9168" s="184"/>
      <c r="H9168" s="184"/>
      <c r="I9168" s="184"/>
      <c r="J9168" s="184"/>
      <c r="K9168" s="184"/>
      <c r="L9168" s="184"/>
      <c r="M9168" s="184"/>
      <c r="N9168" s="184"/>
      <c r="O9168" s="184"/>
    </row>
    <row r="9169" customFormat="false" ht="15" hidden="false" customHeight="true" outlineLevel="0" collapsed="false">
      <c r="A9169" s="184"/>
      <c r="B9169" s="184"/>
      <c r="C9169" s="184"/>
      <c r="D9169" s="184"/>
      <c r="E9169" s="184"/>
      <c r="F9169" s="184"/>
      <c r="G9169" s="184"/>
      <c r="H9169" s="184"/>
      <c r="I9169" s="184"/>
      <c r="J9169" s="184"/>
      <c r="K9169" s="184"/>
      <c r="L9169" s="184"/>
      <c r="M9169" s="184"/>
      <c r="N9169" s="184"/>
      <c r="O9169" s="184"/>
    </row>
    <row r="9170" customFormat="false" ht="15" hidden="false" customHeight="true" outlineLevel="0" collapsed="false">
      <c r="A9170" s="184"/>
      <c r="B9170" s="184"/>
      <c r="C9170" s="184"/>
      <c r="D9170" s="184"/>
      <c r="E9170" s="184"/>
      <c r="F9170" s="184"/>
      <c r="G9170" s="184"/>
      <c r="H9170" s="184"/>
      <c r="I9170" s="184"/>
      <c r="J9170" s="184"/>
      <c r="K9170" s="184"/>
      <c r="L9170" s="184"/>
      <c r="M9170" s="184"/>
      <c r="N9170" s="184"/>
      <c r="O9170" s="184"/>
    </row>
    <row r="9171" customFormat="false" ht="15" hidden="false" customHeight="true" outlineLevel="0" collapsed="false">
      <c r="A9171" s="184"/>
      <c r="B9171" s="184"/>
      <c r="C9171" s="184"/>
      <c r="D9171" s="184"/>
      <c r="E9171" s="184"/>
      <c r="F9171" s="184"/>
      <c r="G9171" s="184"/>
      <c r="H9171" s="184"/>
      <c r="I9171" s="184"/>
      <c r="J9171" s="184"/>
      <c r="K9171" s="184"/>
      <c r="L9171" s="184"/>
      <c r="M9171" s="184"/>
      <c r="N9171" s="184"/>
      <c r="O9171" s="184"/>
    </row>
    <row r="9172" customFormat="false" ht="15" hidden="false" customHeight="true" outlineLevel="0" collapsed="false">
      <c r="A9172" s="184"/>
      <c r="B9172" s="184"/>
      <c r="C9172" s="184"/>
      <c r="D9172" s="184"/>
      <c r="E9172" s="184"/>
      <c r="F9172" s="184"/>
      <c r="G9172" s="184"/>
      <c r="H9172" s="184"/>
      <c r="I9172" s="184"/>
      <c r="J9172" s="184"/>
      <c r="K9172" s="184"/>
      <c r="L9172" s="184"/>
      <c r="M9172" s="184"/>
      <c r="N9172" s="184"/>
      <c r="O9172" s="184"/>
    </row>
    <row r="9173" customFormat="false" ht="15" hidden="false" customHeight="true" outlineLevel="0" collapsed="false">
      <c r="A9173" s="184"/>
      <c r="B9173" s="184"/>
      <c r="C9173" s="184"/>
      <c r="D9173" s="184"/>
      <c r="E9173" s="184"/>
      <c r="F9173" s="184"/>
      <c r="G9173" s="184"/>
      <c r="H9173" s="184"/>
      <c r="I9173" s="184"/>
      <c r="J9173" s="184"/>
      <c r="K9173" s="184"/>
      <c r="L9173" s="184"/>
      <c r="M9173" s="184"/>
      <c r="N9173" s="184"/>
      <c r="O9173" s="184"/>
    </row>
    <row r="9174" customFormat="false" ht="15" hidden="false" customHeight="true" outlineLevel="0" collapsed="false">
      <c r="A9174" s="184"/>
      <c r="B9174" s="184"/>
      <c r="C9174" s="184"/>
      <c r="D9174" s="184"/>
      <c r="E9174" s="184"/>
      <c r="F9174" s="184"/>
      <c r="G9174" s="184"/>
      <c r="H9174" s="184"/>
      <c r="I9174" s="184"/>
      <c r="J9174" s="184"/>
      <c r="K9174" s="184"/>
      <c r="L9174" s="184"/>
      <c r="M9174" s="184"/>
      <c r="N9174" s="184"/>
      <c r="O9174" s="184"/>
    </row>
    <row r="9175" customFormat="false" ht="15" hidden="false" customHeight="true" outlineLevel="0" collapsed="false">
      <c r="A9175" s="184"/>
      <c r="B9175" s="184"/>
      <c r="C9175" s="184"/>
      <c r="D9175" s="184"/>
      <c r="E9175" s="184"/>
      <c r="F9175" s="184"/>
      <c r="G9175" s="184"/>
      <c r="H9175" s="184"/>
      <c r="I9175" s="184"/>
      <c r="J9175" s="184"/>
      <c r="K9175" s="184"/>
      <c r="L9175" s="184"/>
      <c r="M9175" s="184"/>
      <c r="N9175" s="184"/>
      <c r="O9175" s="184"/>
    </row>
    <row r="9176" customFormat="false" ht="15" hidden="false" customHeight="true" outlineLevel="0" collapsed="false">
      <c r="A9176" s="184"/>
      <c r="B9176" s="184"/>
      <c r="C9176" s="184"/>
      <c r="D9176" s="184"/>
      <c r="E9176" s="184"/>
      <c r="F9176" s="184"/>
      <c r="G9176" s="184"/>
      <c r="H9176" s="184"/>
      <c r="I9176" s="184"/>
      <c r="J9176" s="184"/>
      <c r="K9176" s="184"/>
      <c r="L9176" s="184"/>
      <c r="M9176" s="184"/>
      <c r="N9176" s="184"/>
      <c r="O9176" s="184"/>
    </row>
    <row r="9177" customFormat="false" ht="15" hidden="false" customHeight="true" outlineLevel="0" collapsed="false">
      <c r="A9177" s="184"/>
      <c r="B9177" s="184"/>
      <c r="C9177" s="184"/>
      <c r="D9177" s="184"/>
      <c r="E9177" s="184"/>
      <c r="F9177" s="184"/>
      <c r="G9177" s="184"/>
      <c r="H9177" s="184"/>
      <c r="I9177" s="184"/>
      <c r="J9177" s="184"/>
      <c r="K9177" s="184"/>
      <c r="L9177" s="184"/>
      <c r="M9177" s="184"/>
      <c r="N9177" s="184"/>
      <c r="O9177" s="184"/>
    </row>
    <row r="9178" customFormat="false" ht="15" hidden="false" customHeight="true" outlineLevel="0" collapsed="false">
      <c r="A9178" s="184"/>
      <c r="B9178" s="184"/>
      <c r="C9178" s="184"/>
      <c r="D9178" s="184"/>
      <c r="E9178" s="184"/>
      <c r="F9178" s="184"/>
      <c r="G9178" s="184"/>
      <c r="H9178" s="184"/>
      <c r="I9178" s="184"/>
      <c r="J9178" s="184"/>
      <c r="K9178" s="184"/>
      <c r="L9178" s="184"/>
      <c r="M9178" s="184"/>
      <c r="N9178" s="184"/>
      <c r="O9178" s="184"/>
    </row>
    <row r="9179" customFormat="false" ht="15" hidden="false" customHeight="true" outlineLevel="0" collapsed="false">
      <c r="A9179" s="184"/>
      <c r="B9179" s="184"/>
      <c r="C9179" s="184"/>
      <c r="D9179" s="184"/>
      <c r="E9179" s="184"/>
      <c r="F9179" s="184"/>
      <c r="G9179" s="184"/>
      <c r="H9179" s="184"/>
      <c r="I9179" s="184"/>
      <c r="J9179" s="184"/>
      <c r="K9179" s="184"/>
      <c r="L9179" s="184"/>
      <c r="M9179" s="184"/>
      <c r="N9179" s="184"/>
      <c r="O9179" s="184"/>
    </row>
    <row r="9180" customFormat="false" ht="15" hidden="false" customHeight="true" outlineLevel="0" collapsed="false">
      <c r="A9180" s="184"/>
      <c r="B9180" s="184"/>
      <c r="C9180" s="184"/>
      <c r="D9180" s="184"/>
      <c r="E9180" s="184"/>
      <c r="F9180" s="184"/>
      <c r="G9180" s="184"/>
      <c r="H9180" s="184"/>
      <c r="I9180" s="184"/>
      <c r="J9180" s="184"/>
      <c r="K9180" s="184"/>
      <c r="L9180" s="184"/>
      <c r="M9180" s="184"/>
      <c r="N9180" s="184"/>
      <c r="O9180" s="184"/>
    </row>
    <row r="9181" customFormat="false" ht="15" hidden="false" customHeight="true" outlineLevel="0" collapsed="false">
      <c r="A9181" s="184"/>
      <c r="B9181" s="184"/>
      <c r="C9181" s="184"/>
      <c r="D9181" s="184"/>
      <c r="E9181" s="184"/>
      <c r="F9181" s="184"/>
      <c r="G9181" s="184"/>
      <c r="H9181" s="184"/>
      <c r="I9181" s="184"/>
      <c r="J9181" s="184"/>
      <c r="K9181" s="184"/>
      <c r="L9181" s="184"/>
      <c r="M9181" s="184"/>
      <c r="N9181" s="184"/>
      <c r="O9181" s="184"/>
    </row>
    <row r="9182" customFormat="false" ht="15" hidden="false" customHeight="true" outlineLevel="0" collapsed="false">
      <c r="A9182" s="184"/>
      <c r="B9182" s="184"/>
      <c r="C9182" s="184"/>
      <c r="D9182" s="184"/>
      <c r="E9182" s="184"/>
      <c r="F9182" s="184"/>
      <c r="G9182" s="184"/>
      <c r="H9182" s="184"/>
      <c r="I9182" s="184"/>
      <c r="J9182" s="184"/>
      <c r="K9182" s="184"/>
      <c r="L9182" s="184"/>
      <c r="M9182" s="184"/>
      <c r="N9182" s="184"/>
      <c r="O9182" s="184"/>
    </row>
    <row r="9183" customFormat="false" ht="15" hidden="false" customHeight="true" outlineLevel="0" collapsed="false">
      <c r="A9183" s="184"/>
      <c r="B9183" s="184"/>
      <c r="C9183" s="184"/>
      <c r="D9183" s="184"/>
      <c r="E9183" s="184"/>
      <c r="F9183" s="184"/>
      <c r="G9183" s="184"/>
      <c r="H9183" s="184"/>
      <c r="I9183" s="184"/>
      <c r="J9183" s="184"/>
      <c r="K9183" s="184"/>
      <c r="L9183" s="184"/>
      <c r="M9183" s="184"/>
      <c r="N9183" s="184"/>
      <c r="O9183" s="184"/>
    </row>
    <row r="9184" customFormat="false" ht="15" hidden="false" customHeight="true" outlineLevel="0" collapsed="false">
      <c r="A9184" s="184"/>
      <c r="B9184" s="184"/>
      <c r="C9184" s="184"/>
      <c r="D9184" s="184"/>
      <c r="E9184" s="184"/>
      <c r="F9184" s="184"/>
      <c r="G9184" s="184"/>
      <c r="H9184" s="184"/>
      <c r="I9184" s="184"/>
      <c r="J9184" s="184"/>
      <c r="K9184" s="184"/>
      <c r="L9184" s="184"/>
      <c r="M9184" s="184"/>
      <c r="N9184" s="184"/>
      <c r="O9184" s="184"/>
    </row>
    <row r="9185" customFormat="false" ht="15" hidden="false" customHeight="true" outlineLevel="0" collapsed="false">
      <c r="A9185" s="184"/>
      <c r="B9185" s="184"/>
      <c r="C9185" s="184"/>
      <c r="D9185" s="184"/>
      <c r="E9185" s="184"/>
      <c r="F9185" s="184"/>
      <c r="G9185" s="184"/>
      <c r="H9185" s="184"/>
      <c r="I9185" s="184"/>
      <c r="J9185" s="184"/>
      <c r="K9185" s="184"/>
      <c r="L9185" s="184"/>
      <c r="M9185" s="184"/>
      <c r="N9185" s="184"/>
      <c r="O9185" s="184"/>
    </row>
    <row r="9186" customFormat="false" ht="15" hidden="false" customHeight="true" outlineLevel="0" collapsed="false">
      <c r="A9186" s="184"/>
      <c r="B9186" s="184"/>
      <c r="C9186" s="184"/>
      <c r="D9186" s="184"/>
      <c r="E9186" s="184"/>
      <c r="F9186" s="184"/>
      <c r="G9186" s="184"/>
      <c r="H9186" s="184"/>
      <c r="I9186" s="184"/>
      <c r="J9186" s="184"/>
      <c r="K9186" s="184"/>
      <c r="L9186" s="184"/>
      <c r="M9186" s="184"/>
      <c r="N9186" s="184"/>
      <c r="O9186" s="184"/>
    </row>
    <row r="9187" customFormat="false" ht="15" hidden="false" customHeight="true" outlineLevel="0" collapsed="false">
      <c r="A9187" s="184"/>
      <c r="B9187" s="184"/>
      <c r="C9187" s="184"/>
      <c r="D9187" s="184"/>
      <c r="E9187" s="184"/>
      <c r="F9187" s="184"/>
      <c r="G9187" s="184"/>
      <c r="H9187" s="184"/>
      <c r="I9187" s="184"/>
      <c r="J9187" s="184"/>
      <c r="K9187" s="184"/>
      <c r="L9187" s="184"/>
      <c r="M9187" s="184"/>
      <c r="N9187" s="184"/>
      <c r="O9187" s="184"/>
    </row>
    <row r="9188" customFormat="false" ht="15" hidden="false" customHeight="true" outlineLevel="0" collapsed="false">
      <c r="A9188" s="184"/>
      <c r="B9188" s="184"/>
      <c r="C9188" s="184"/>
      <c r="D9188" s="184"/>
      <c r="E9188" s="184"/>
      <c r="F9188" s="184"/>
      <c r="G9188" s="184"/>
      <c r="H9188" s="184"/>
      <c r="I9188" s="184"/>
      <c r="J9188" s="184"/>
      <c r="K9188" s="184"/>
      <c r="L9188" s="184"/>
      <c r="M9188" s="184"/>
      <c r="N9188" s="184"/>
      <c r="O9188" s="184"/>
    </row>
    <row r="9189" customFormat="false" ht="15" hidden="false" customHeight="true" outlineLevel="0" collapsed="false">
      <c r="A9189" s="184"/>
      <c r="B9189" s="184"/>
      <c r="C9189" s="184"/>
      <c r="D9189" s="184"/>
      <c r="E9189" s="184"/>
      <c r="F9189" s="184"/>
      <c r="G9189" s="184"/>
      <c r="H9189" s="184"/>
      <c r="I9189" s="184"/>
      <c r="J9189" s="184"/>
      <c r="K9189" s="184"/>
      <c r="L9189" s="184"/>
      <c r="M9189" s="184"/>
      <c r="N9189" s="184"/>
      <c r="O9189" s="184"/>
    </row>
    <row r="9190" customFormat="false" ht="15" hidden="false" customHeight="true" outlineLevel="0" collapsed="false">
      <c r="A9190" s="184"/>
      <c r="B9190" s="184"/>
      <c r="C9190" s="184"/>
      <c r="D9190" s="184"/>
      <c r="E9190" s="184"/>
      <c r="F9190" s="184"/>
      <c r="G9190" s="184"/>
      <c r="H9190" s="184"/>
      <c r="I9190" s="184"/>
      <c r="J9190" s="184"/>
      <c r="K9190" s="184"/>
      <c r="L9190" s="184"/>
      <c r="M9190" s="184"/>
      <c r="N9190" s="184"/>
      <c r="O9190" s="184"/>
    </row>
    <row r="9191" customFormat="false" ht="15" hidden="false" customHeight="true" outlineLevel="0" collapsed="false">
      <c r="A9191" s="184"/>
      <c r="B9191" s="184"/>
      <c r="C9191" s="184"/>
      <c r="D9191" s="184"/>
      <c r="E9191" s="184"/>
      <c r="F9191" s="184"/>
      <c r="G9191" s="184"/>
      <c r="H9191" s="184"/>
      <c r="I9191" s="184"/>
      <c r="J9191" s="184"/>
      <c r="K9191" s="184"/>
      <c r="L9191" s="184"/>
      <c r="M9191" s="184"/>
      <c r="N9191" s="184"/>
      <c r="O9191" s="184"/>
    </row>
    <row r="9192" customFormat="false" ht="15" hidden="false" customHeight="true" outlineLevel="0" collapsed="false">
      <c r="A9192" s="184"/>
      <c r="B9192" s="184"/>
      <c r="C9192" s="184"/>
      <c r="D9192" s="184"/>
      <c r="E9192" s="184"/>
      <c r="F9192" s="184"/>
      <c r="G9192" s="184"/>
      <c r="H9192" s="184"/>
      <c r="I9192" s="184"/>
      <c r="J9192" s="184"/>
      <c r="K9192" s="184"/>
      <c r="L9192" s="184"/>
      <c r="M9192" s="184"/>
      <c r="N9192" s="184"/>
      <c r="O9192" s="184"/>
    </row>
    <row r="9193" customFormat="false" ht="15" hidden="false" customHeight="true" outlineLevel="0" collapsed="false">
      <c r="A9193" s="184"/>
      <c r="B9193" s="184"/>
      <c r="C9193" s="184"/>
      <c r="D9193" s="184"/>
      <c r="E9193" s="184"/>
      <c r="F9193" s="184"/>
      <c r="G9193" s="184"/>
      <c r="H9193" s="184"/>
      <c r="I9193" s="184"/>
      <c r="J9193" s="184"/>
      <c r="K9193" s="184"/>
      <c r="L9193" s="184"/>
      <c r="M9193" s="184"/>
      <c r="N9193" s="184"/>
      <c r="O9193" s="184"/>
    </row>
    <row r="9194" customFormat="false" ht="15" hidden="false" customHeight="true" outlineLevel="0" collapsed="false">
      <c r="A9194" s="184"/>
      <c r="B9194" s="184"/>
      <c r="C9194" s="184"/>
      <c r="D9194" s="184"/>
      <c r="E9194" s="184"/>
      <c r="F9194" s="184"/>
      <c r="G9194" s="184"/>
      <c r="H9194" s="184"/>
      <c r="I9194" s="184"/>
      <c r="J9194" s="184"/>
      <c r="K9194" s="184"/>
      <c r="L9194" s="184"/>
      <c r="M9194" s="184"/>
      <c r="N9194" s="184"/>
      <c r="O9194" s="184"/>
    </row>
    <row r="9195" customFormat="false" ht="15" hidden="false" customHeight="true" outlineLevel="0" collapsed="false">
      <c r="A9195" s="184"/>
      <c r="B9195" s="184"/>
      <c r="C9195" s="184"/>
      <c r="D9195" s="184"/>
      <c r="E9195" s="184"/>
      <c r="F9195" s="184"/>
      <c r="G9195" s="184"/>
      <c r="H9195" s="184"/>
      <c r="I9195" s="184"/>
      <c r="J9195" s="184"/>
      <c r="K9195" s="184"/>
      <c r="L9195" s="184"/>
      <c r="M9195" s="184"/>
      <c r="N9195" s="184"/>
      <c r="O9195" s="184"/>
    </row>
    <row r="9196" customFormat="false" ht="15" hidden="false" customHeight="true" outlineLevel="0" collapsed="false">
      <c r="A9196" s="184"/>
      <c r="B9196" s="184"/>
      <c r="C9196" s="184"/>
      <c r="D9196" s="184"/>
      <c r="E9196" s="184"/>
      <c r="F9196" s="184"/>
      <c r="G9196" s="184"/>
      <c r="H9196" s="184"/>
      <c r="I9196" s="184"/>
      <c r="J9196" s="184"/>
      <c r="K9196" s="184"/>
      <c r="L9196" s="184"/>
      <c r="M9196" s="184"/>
      <c r="N9196" s="184"/>
      <c r="O9196" s="184"/>
    </row>
    <row r="9197" customFormat="false" ht="15" hidden="false" customHeight="true" outlineLevel="0" collapsed="false">
      <c r="A9197" s="184"/>
      <c r="B9197" s="184"/>
      <c r="C9197" s="184"/>
      <c r="D9197" s="184"/>
      <c r="E9197" s="184"/>
      <c r="F9197" s="184"/>
      <c r="G9197" s="184"/>
      <c r="H9197" s="184"/>
      <c r="I9197" s="184"/>
      <c r="J9197" s="184"/>
      <c r="K9197" s="184"/>
      <c r="L9197" s="184"/>
      <c r="M9197" s="184"/>
      <c r="N9197" s="184"/>
      <c r="O9197" s="184"/>
    </row>
    <row r="9198" customFormat="false" ht="15" hidden="false" customHeight="true" outlineLevel="0" collapsed="false">
      <c r="A9198" s="184"/>
      <c r="B9198" s="184"/>
      <c r="C9198" s="184"/>
      <c r="D9198" s="184"/>
      <c r="E9198" s="184"/>
      <c r="F9198" s="184"/>
      <c r="G9198" s="184"/>
      <c r="H9198" s="184"/>
      <c r="I9198" s="184"/>
      <c r="J9198" s="184"/>
      <c r="K9198" s="184"/>
      <c r="L9198" s="184"/>
      <c r="M9198" s="184"/>
      <c r="N9198" s="184"/>
      <c r="O9198" s="184"/>
    </row>
    <row r="9199" customFormat="false" ht="41.25" hidden="false" customHeight="true" outlineLevel="0" collapsed="false">
      <c r="A9199" s="184" t="s">
        <v>5050</v>
      </c>
      <c r="B9199" s="184" t="s">
        <v>5051</v>
      </c>
      <c r="C9199" s="184"/>
      <c r="D9199" s="179" t="s">
        <v>4858</v>
      </c>
      <c r="E9199" s="184" t="s">
        <v>7404</v>
      </c>
      <c r="F9199" s="184"/>
      <c r="G9199" s="184"/>
      <c r="H9199" s="184"/>
      <c r="I9199" s="184"/>
      <c r="J9199" s="184"/>
      <c r="K9199" s="184"/>
      <c r="L9199" s="184"/>
      <c r="M9199" s="184" t="s">
        <v>7405</v>
      </c>
      <c r="N9199" s="184"/>
      <c r="O9199" s="184"/>
    </row>
    <row r="9200" customFormat="false" ht="41.25" hidden="false" customHeight="true" outlineLevel="0" collapsed="false">
      <c r="A9200" s="184" t="s">
        <v>5050</v>
      </c>
      <c r="B9200" s="184" t="s">
        <v>5051</v>
      </c>
      <c r="C9200" s="184" t="n">
        <v>1</v>
      </c>
      <c r="D9200" s="184" t="s">
        <v>4790</v>
      </c>
      <c r="E9200" s="184" t="s">
        <v>7406</v>
      </c>
      <c r="F9200" s="184"/>
      <c r="G9200" s="184"/>
      <c r="H9200" s="184"/>
      <c r="I9200" s="184"/>
      <c r="J9200" s="184"/>
      <c r="K9200" s="184"/>
      <c r="L9200" s="184"/>
      <c r="M9200" s="184" t="s">
        <v>7407</v>
      </c>
      <c r="N9200" s="184"/>
      <c r="O9200" s="184"/>
    </row>
    <row r="9201" customFormat="false" ht="41.25" hidden="false" customHeight="true" outlineLevel="0" collapsed="false">
      <c r="A9201" s="184" t="s">
        <v>5050</v>
      </c>
      <c r="B9201" s="184" t="s">
        <v>5051</v>
      </c>
      <c r="C9201" s="184" t="n">
        <v>2</v>
      </c>
      <c r="D9201" s="184" t="s">
        <v>4790</v>
      </c>
      <c r="E9201" s="184" t="s">
        <v>7408</v>
      </c>
      <c r="F9201" s="184"/>
      <c r="G9201" s="184"/>
      <c r="H9201" s="184"/>
      <c r="I9201" s="184"/>
      <c r="J9201" s="184"/>
      <c r="K9201" s="184"/>
      <c r="L9201" s="184"/>
      <c r="M9201" s="184" t="s">
        <v>7409</v>
      </c>
      <c r="N9201" s="184"/>
      <c r="O9201" s="184"/>
    </row>
    <row r="9202" customFormat="false" ht="41.25" hidden="false" customHeight="true" outlineLevel="0" collapsed="false">
      <c r="A9202" s="184" t="s">
        <v>5050</v>
      </c>
      <c r="B9202" s="184" t="s">
        <v>5051</v>
      </c>
      <c r="C9202" s="184" t="n">
        <v>3</v>
      </c>
      <c r="D9202" s="184" t="s">
        <v>4790</v>
      </c>
      <c r="E9202" s="184" t="s">
        <v>7410</v>
      </c>
      <c r="F9202" s="184"/>
      <c r="G9202" s="184"/>
      <c r="H9202" s="184"/>
      <c r="I9202" s="184"/>
      <c r="J9202" s="184"/>
      <c r="K9202" s="184"/>
      <c r="L9202" s="184"/>
      <c r="M9202" s="184" t="s">
        <v>7411</v>
      </c>
      <c r="N9202" s="184"/>
      <c r="O9202" s="184"/>
    </row>
    <row r="9203" customFormat="false" ht="41.25" hidden="false" customHeight="true" outlineLevel="0" collapsed="false">
      <c r="A9203" s="184" t="s">
        <v>5050</v>
      </c>
      <c r="B9203" s="184" t="s">
        <v>5051</v>
      </c>
      <c r="C9203" s="184" t="n">
        <v>4</v>
      </c>
      <c r="D9203" s="184" t="s">
        <v>4790</v>
      </c>
      <c r="E9203" s="184" t="s">
        <v>7412</v>
      </c>
      <c r="F9203" s="184"/>
      <c r="G9203" s="184"/>
      <c r="H9203" s="184"/>
      <c r="I9203" s="184"/>
      <c r="J9203" s="184"/>
      <c r="K9203" s="184"/>
      <c r="L9203" s="184"/>
      <c r="M9203" s="184" t="s">
        <v>7413</v>
      </c>
      <c r="N9203" s="184"/>
      <c r="O9203" s="184"/>
    </row>
    <row r="9204" customFormat="false" ht="54.75" hidden="false" customHeight="true" outlineLevel="0" collapsed="false">
      <c r="A9204" s="184" t="s">
        <v>5050</v>
      </c>
      <c r="B9204" s="184" t="s">
        <v>5051</v>
      </c>
      <c r="C9204" s="184" t="n">
        <v>5</v>
      </c>
      <c r="D9204" s="184" t="s">
        <v>4790</v>
      </c>
      <c r="E9204" s="184" t="s">
        <v>7377</v>
      </c>
      <c r="F9204" s="184"/>
      <c r="G9204" s="184"/>
      <c r="H9204" s="184"/>
      <c r="I9204" s="184"/>
      <c r="J9204" s="184"/>
      <c r="K9204" s="184"/>
      <c r="L9204" s="184"/>
      <c r="M9204" s="184" t="s">
        <v>7378</v>
      </c>
      <c r="N9204" s="184"/>
      <c r="O9204" s="184"/>
    </row>
    <row r="9205" customFormat="false" ht="41.25" hidden="false" customHeight="true" outlineLevel="0" collapsed="false">
      <c r="A9205" s="184" t="s">
        <v>5050</v>
      </c>
      <c r="B9205" s="184" t="s">
        <v>5051</v>
      </c>
      <c r="C9205" s="184" t="n">
        <v>6</v>
      </c>
      <c r="D9205" s="179" t="s">
        <v>6292</v>
      </c>
      <c r="E9205" s="184" t="s">
        <v>7075</v>
      </c>
      <c r="F9205" s="184"/>
      <c r="G9205" s="184"/>
      <c r="H9205" s="184"/>
      <c r="I9205" s="184"/>
      <c r="J9205" s="184"/>
      <c r="K9205" s="184"/>
      <c r="L9205" s="184"/>
      <c r="M9205" s="184"/>
      <c r="N9205" s="184"/>
      <c r="O9205" s="184"/>
    </row>
    <row r="9206" customFormat="false" ht="41.25" hidden="false" customHeight="true" outlineLevel="0" collapsed="false">
      <c r="A9206" s="184" t="s">
        <v>5050</v>
      </c>
      <c r="B9206" s="184" t="s">
        <v>5051</v>
      </c>
      <c r="C9206" s="184" t="n">
        <v>7</v>
      </c>
      <c r="D9206" s="178" t="s">
        <v>5269</v>
      </c>
      <c r="E9206" s="184" t="s">
        <v>7076</v>
      </c>
      <c r="F9206" s="184"/>
      <c r="G9206" s="184"/>
      <c r="H9206" s="184"/>
      <c r="I9206" s="184"/>
      <c r="J9206" s="184"/>
      <c r="K9206" s="184"/>
      <c r="L9206" s="184"/>
      <c r="M9206" s="184" t="s">
        <v>7077</v>
      </c>
      <c r="N9206" s="184"/>
      <c r="O9206" s="184"/>
    </row>
    <row r="9207" customFormat="false" ht="41.25" hidden="false" customHeight="true" outlineLevel="0" collapsed="false">
      <c r="A9207" s="184" t="s">
        <v>5050</v>
      </c>
      <c r="B9207" s="184" t="s">
        <v>5051</v>
      </c>
      <c r="C9207" s="184" t="n">
        <v>8</v>
      </c>
      <c r="D9207" s="178" t="s">
        <v>5269</v>
      </c>
      <c r="E9207" s="184" t="s">
        <v>7078</v>
      </c>
      <c r="F9207" s="184"/>
      <c r="G9207" s="184"/>
      <c r="H9207" s="184"/>
      <c r="I9207" s="184"/>
      <c r="J9207" s="184"/>
      <c r="K9207" s="184"/>
      <c r="L9207" s="184"/>
      <c r="M9207" s="184" t="s">
        <v>7079</v>
      </c>
      <c r="N9207" s="184"/>
      <c r="O9207" s="184"/>
    </row>
    <row r="9208" customFormat="false" ht="41.25" hidden="false" customHeight="true" outlineLevel="0" collapsed="false">
      <c r="A9208" s="184" t="s">
        <v>5050</v>
      </c>
      <c r="B9208" s="184" t="s">
        <v>5051</v>
      </c>
      <c r="C9208" s="184" t="n">
        <v>9</v>
      </c>
      <c r="D9208" s="178" t="s">
        <v>5269</v>
      </c>
      <c r="E9208" s="184" t="s">
        <v>7080</v>
      </c>
      <c r="F9208" s="184"/>
      <c r="G9208" s="184"/>
      <c r="H9208" s="184"/>
      <c r="I9208" s="184"/>
      <c r="J9208" s="184"/>
      <c r="K9208" s="184"/>
      <c r="L9208" s="184"/>
      <c r="M9208" s="184" t="s">
        <v>7081</v>
      </c>
      <c r="N9208" s="184"/>
      <c r="O9208" s="184"/>
    </row>
    <row r="9209" customFormat="false" ht="41.25" hidden="false" customHeight="true" outlineLevel="0" collapsed="false">
      <c r="A9209" s="184" t="s">
        <v>5050</v>
      </c>
      <c r="B9209" s="184" t="s">
        <v>5051</v>
      </c>
      <c r="C9209" s="184" t="n">
        <v>10</v>
      </c>
      <c r="D9209" s="177" t="s">
        <v>6298</v>
      </c>
      <c r="E9209" s="184" t="s">
        <v>7313</v>
      </c>
      <c r="F9209" s="184"/>
      <c r="G9209" s="184"/>
      <c r="H9209" s="184"/>
      <c r="I9209" s="184"/>
      <c r="J9209" s="184"/>
      <c r="K9209" s="184"/>
      <c r="L9209" s="184"/>
      <c r="M9209" s="184"/>
      <c r="N9209" s="184"/>
      <c r="O9209" s="184"/>
    </row>
    <row r="9210" customFormat="false" ht="41.25" hidden="false" customHeight="true" outlineLevel="0" collapsed="false">
      <c r="A9210" s="184" t="s">
        <v>5050</v>
      </c>
      <c r="B9210" s="184" t="s">
        <v>5051</v>
      </c>
      <c r="C9210" s="184" t="n">
        <v>11</v>
      </c>
      <c r="D9210" s="174" t="s">
        <v>6529</v>
      </c>
      <c r="E9210" s="184" t="s">
        <v>7314</v>
      </c>
      <c r="F9210" s="184"/>
      <c r="G9210" s="184"/>
      <c r="H9210" s="184"/>
      <c r="I9210" s="184"/>
      <c r="J9210" s="184"/>
      <c r="K9210" s="184"/>
      <c r="L9210" s="184"/>
      <c r="M9210" s="184" t="s">
        <v>7315</v>
      </c>
      <c r="N9210" s="184"/>
      <c r="O9210" s="184"/>
    </row>
    <row r="9211" customFormat="false" ht="41.25" hidden="false" customHeight="true" outlineLevel="0" collapsed="false">
      <c r="A9211" s="184" t="s">
        <v>5050</v>
      </c>
      <c r="B9211" s="184" t="s">
        <v>5051</v>
      </c>
      <c r="C9211" s="184" t="n">
        <v>12</v>
      </c>
      <c r="D9211" s="184" t="s">
        <v>4790</v>
      </c>
      <c r="E9211" s="184" t="s">
        <v>7414</v>
      </c>
      <c r="F9211" s="184"/>
      <c r="G9211" s="184"/>
      <c r="H9211" s="184"/>
      <c r="I9211" s="184"/>
      <c r="J9211" s="184"/>
      <c r="K9211" s="184"/>
      <c r="L9211" s="184"/>
      <c r="M9211" s="184" t="s">
        <v>7415</v>
      </c>
      <c r="N9211" s="184"/>
      <c r="O9211" s="184"/>
    </row>
    <row r="9212" customFormat="false" ht="41.25" hidden="false" customHeight="true" outlineLevel="0" collapsed="false">
      <c r="A9212" s="184" t="s">
        <v>5050</v>
      </c>
      <c r="B9212" s="184" t="s">
        <v>5051</v>
      </c>
      <c r="C9212" s="184" t="n">
        <v>13</v>
      </c>
      <c r="D9212" s="184" t="s">
        <v>4790</v>
      </c>
      <c r="E9212" s="184" t="s">
        <v>7416</v>
      </c>
      <c r="F9212" s="184"/>
      <c r="G9212" s="184"/>
      <c r="H9212" s="184"/>
      <c r="I9212" s="184"/>
      <c r="J9212" s="184"/>
      <c r="K9212" s="184"/>
      <c r="L9212" s="184"/>
      <c r="M9212" s="184" t="s">
        <v>7417</v>
      </c>
      <c r="N9212" s="184"/>
      <c r="O9212" s="184"/>
    </row>
    <row r="9213" customFormat="false" ht="41.25" hidden="false" customHeight="true" outlineLevel="0" collapsed="false">
      <c r="A9213" s="184" t="s">
        <v>5050</v>
      </c>
      <c r="B9213" s="184" t="s">
        <v>5051</v>
      </c>
      <c r="C9213" s="184" t="n">
        <v>14</v>
      </c>
      <c r="D9213" s="184" t="s">
        <v>4790</v>
      </c>
      <c r="E9213" s="184" t="s">
        <v>7320</v>
      </c>
      <c r="F9213" s="184"/>
      <c r="G9213" s="184"/>
      <c r="H9213" s="184"/>
      <c r="I9213" s="184"/>
      <c r="J9213" s="184"/>
      <c r="K9213" s="184"/>
      <c r="L9213" s="184"/>
      <c r="M9213" s="184" t="s">
        <v>7321</v>
      </c>
      <c r="N9213" s="184"/>
      <c r="O9213" s="184"/>
    </row>
    <row r="9214" customFormat="false" ht="41.25" hidden="false" customHeight="true" outlineLevel="0" collapsed="false">
      <c r="A9214" s="184" t="s">
        <v>5050</v>
      </c>
      <c r="B9214" s="184" t="s">
        <v>5051</v>
      </c>
      <c r="C9214" s="184" t="n">
        <v>15</v>
      </c>
      <c r="D9214" s="184" t="s">
        <v>4790</v>
      </c>
      <c r="E9214" s="184" t="s">
        <v>7322</v>
      </c>
      <c r="F9214" s="184"/>
      <c r="G9214" s="184"/>
      <c r="H9214" s="184"/>
      <c r="I9214" s="184"/>
      <c r="J9214" s="184"/>
      <c r="K9214" s="184"/>
      <c r="L9214" s="184"/>
      <c r="M9214" s="184" t="s">
        <v>7323</v>
      </c>
      <c r="N9214" s="184"/>
      <c r="O9214" s="184"/>
    </row>
    <row r="9215" customFormat="false" ht="41.25" hidden="false" customHeight="true" outlineLevel="0" collapsed="false">
      <c r="A9215" s="184" t="s">
        <v>5050</v>
      </c>
      <c r="B9215" s="184" t="s">
        <v>5051</v>
      </c>
      <c r="C9215" s="184" t="n">
        <v>16</v>
      </c>
      <c r="D9215" s="184" t="s">
        <v>4790</v>
      </c>
      <c r="E9215" s="184" t="s">
        <v>7324</v>
      </c>
      <c r="F9215" s="184"/>
      <c r="G9215" s="184"/>
      <c r="H9215" s="184"/>
      <c r="I9215" s="184"/>
      <c r="J9215" s="184"/>
      <c r="K9215" s="184"/>
      <c r="L9215" s="184"/>
      <c r="M9215" s="184" t="s">
        <v>7325</v>
      </c>
      <c r="N9215" s="184"/>
      <c r="O9215" s="184"/>
    </row>
    <row r="9216" customFormat="false" ht="41.25" hidden="false" customHeight="true" outlineLevel="0" collapsed="false">
      <c r="A9216" s="184" t="s">
        <v>5050</v>
      </c>
      <c r="B9216" s="184" t="s">
        <v>5051</v>
      </c>
      <c r="C9216" s="184" t="n">
        <v>17</v>
      </c>
      <c r="D9216" s="184" t="s">
        <v>4790</v>
      </c>
      <c r="E9216" s="184" t="s">
        <v>7418</v>
      </c>
      <c r="F9216" s="184"/>
      <c r="G9216" s="184"/>
      <c r="H9216" s="184"/>
      <c r="I9216" s="184"/>
      <c r="J9216" s="184"/>
      <c r="K9216" s="184"/>
      <c r="L9216" s="184"/>
      <c r="M9216" s="184" t="s">
        <v>7419</v>
      </c>
      <c r="N9216" s="184"/>
      <c r="O9216" s="184"/>
    </row>
    <row r="9217" customFormat="false" ht="41.25" hidden="false" customHeight="true" outlineLevel="0" collapsed="false">
      <c r="A9217" s="184" t="s">
        <v>5050</v>
      </c>
      <c r="B9217" s="184" t="s">
        <v>5051</v>
      </c>
      <c r="C9217" s="184" t="n">
        <v>18</v>
      </c>
      <c r="D9217" s="184" t="s">
        <v>4790</v>
      </c>
      <c r="E9217" s="184" t="s">
        <v>7349</v>
      </c>
      <c r="F9217" s="184"/>
      <c r="G9217" s="184"/>
      <c r="H9217" s="184"/>
      <c r="I9217" s="184"/>
      <c r="J9217" s="184"/>
      <c r="K9217" s="184"/>
      <c r="L9217" s="184"/>
      <c r="M9217" s="184" t="s">
        <v>7350</v>
      </c>
      <c r="N9217" s="184"/>
      <c r="O9217" s="184"/>
    </row>
    <row r="9218" customFormat="false" ht="41.25" hidden="false" customHeight="true" outlineLevel="0" collapsed="false">
      <c r="A9218" s="184" t="s">
        <v>5050</v>
      </c>
      <c r="B9218" s="184" t="s">
        <v>5051</v>
      </c>
      <c r="C9218" s="184" t="n">
        <v>19</v>
      </c>
      <c r="D9218" s="184" t="s">
        <v>4790</v>
      </c>
      <c r="E9218" s="184" t="s">
        <v>7420</v>
      </c>
      <c r="F9218" s="184"/>
      <c r="G9218" s="184"/>
      <c r="H9218" s="184"/>
      <c r="I9218" s="184"/>
      <c r="J9218" s="184"/>
      <c r="K9218" s="184"/>
      <c r="L9218" s="184"/>
      <c r="M9218" s="184" t="s">
        <v>7421</v>
      </c>
      <c r="N9218" s="184"/>
      <c r="O9218" s="184"/>
    </row>
    <row r="9219" customFormat="false" ht="41.25" hidden="false" customHeight="true" outlineLevel="0" collapsed="false">
      <c r="A9219" s="184" t="s">
        <v>5050</v>
      </c>
      <c r="B9219" s="184" t="s">
        <v>5051</v>
      </c>
      <c r="C9219" s="184" t="n">
        <v>20</v>
      </c>
      <c r="D9219" s="184" t="s">
        <v>4790</v>
      </c>
      <c r="E9219" s="184" t="s">
        <v>7332</v>
      </c>
      <c r="F9219" s="184"/>
      <c r="G9219" s="184"/>
      <c r="H9219" s="184"/>
      <c r="I9219" s="184"/>
      <c r="J9219" s="184"/>
      <c r="K9219" s="184"/>
      <c r="L9219" s="184"/>
      <c r="M9219" s="184" t="s">
        <v>7333</v>
      </c>
      <c r="N9219" s="184"/>
      <c r="O9219" s="184"/>
    </row>
    <row r="9220" customFormat="false" ht="41.25" hidden="false" customHeight="true" outlineLevel="0" collapsed="false">
      <c r="A9220" s="184" t="s">
        <v>5050</v>
      </c>
      <c r="B9220" s="184" t="s">
        <v>5051</v>
      </c>
      <c r="C9220" s="184" t="n">
        <v>21</v>
      </c>
      <c r="D9220" s="184" t="s">
        <v>6296</v>
      </c>
      <c r="E9220" s="184" t="s">
        <v>7334</v>
      </c>
      <c r="F9220" s="184"/>
      <c r="G9220" s="184"/>
      <c r="H9220" s="184"/>
      <c r="I9220" s="184"/>
      <c r="J9220" s="184"/>
      <c r="K9220" s="184"/>
      <c r="L9220" s="184"/>
      <c r="M9220" s="184"/>
      <c r="N9220" s="184"/>
      <c r="O9220" s="184"/>
    </row>
    <row r="9221" customFormat="false" ht="95.25" hidden="false" customHeight="true" outlineLevel="0" collapsed="false">
      <c r="A9221" s="184" t="s">
        <v>5050</v>
      </c>
      <c r="B9221" s="184" t="s">
        <v>5051</v>
      </c>
      <c r="C9221" s="184" t="n">
        <v>22</v>
      </c>
      <c r="D9221" s="184" t="s">
        <v>6294</v>
      </c>
      <c r="E9221" s="184" t="s">
        <v>7422</v>
      </c>
      <c r="F9221" s="184"/>
      <c r="G9221" s="184"/>
      <c r="H9221" s="184"/>
      <c r="I9221" s="184"/>
      <c r="J9221" s="184"/>
      <c r="K9221" s="184"/>
      <c r="L9221" s="184"/>
      <c r="M9221" s="184"/>
      <c r="N9221" s="184"/>
      <c r="O9221" s="184"/>
    </row>
    <row r="9222" customFormat="false" ht="15" hidden="false" customHeight="true" outlineLevel="0" collapsed="false">
      <c r="A9222" s="184"/>
      <c r="B9222" s="184"/>
      <c r="C9222" s="184"/>
      <c r="D9222" s="184"/>
      <c r="E9222" s="184"/>
      <c r="F9222" s="184"/>
      <c r="G9222" s="184"/>
      <c r="H9222" s="184"/>
      <c r="I9222" s="184"/>
      <c r="J9222" s="184"/>
      <c r="K9222" s="184"/>
      <c r="L9222" s="184"/>
      <c r="M9222" s="184"/>
      <c r="N9222" s="184"/>
      <c r="O9222" s="184"/>
    </row>
    <row r="9223" customFormat="false" ht="15" hidden="false" customHeight="true" outlineLevel="0" collapsed="false">
      <c r="A9223" s="184"/>
      <c r="B9223" s="184"/>
      <c r="C9223" s="184"/>
      <c r="D9223" s="184"/>
      <c r="E9223" s="184"/>
      <c r="F9223" s="184"/>
      <c r="G9223" s="184"/>
      <c r="H9223" s="184"/>
      <c r="I9223" s="184"/>
      <c r="J9223" s="184"/>
      <c r="K9223" s="184"/>
      <c r="L9223" s="184"/>
      <c r="M9223" s="184"/>
      <c r="N9223" s="184"/>
      <c r="O9223" s="184"/>
    </row>
    <row r="9224" customFormat="false" ht="15" hidden="false" customHeight="true" outlineLevel="0" collapsed="false">
      <c r="A9224" s="184"/>
      <c r="B9224" s="184"/>
      <c r="C9224" s="184"/>
      <c r="D9224" s="184"/>
      <c r="E9224" s="184"/>
      <c r="F9224" s="184"/>
      <c r="G9224" s="184"/>
      <c r="H9224" s="184"/>
      <c r="I9224" s="184"/>
      <c r="J9224" s="184"/>
      <c r="K9224" s="184"/>
      <c r="L9224" s="184"/>
      <c r="M9224" s="184"/>
      <c r="N9224" s="184"/>
      <c r="O9224" s="184"/>
    </row>
    <row r="9225" customFormat="false" ht="15" hidden="false" customHeight="true" outlineLevel="0" collapsed="false">
      <c r="A9225" s="184"/>
      <c r="B9225" s="184"/>
      <c r="C9225" s="184"/>
      <c r="D9225" s="184"/>
      <c r="E9225" s="184"/>
      <c r="F9225" s="184"/>
      <c r="G9225" s="184"/>
      <c r="H9225" s="184"/>
      <c r="I9225" s="184"/>
      <c r="J9225" s="184"/>
      <c r="K9225" s="184"/>
      <c r="L9225" s="184"/>
      <c r="M9225" s="184"/>
      <c r="N9225" s="184"/>
      <c r="O9225" s="184"/>
    </row>
    <row r="9226" customFormat="false" ht="15" hidden="false" customHeight="true" outlineLevel="0" collapsed="false">
      <c r="A9226" s="184"/>
      <c r="B9226" s="184"/>
      <c r="C9226" s="184"/>
      <c r="D9226" s="184"/>
      <c r="E9226" s="184"/>
      <c r="F9226" s="184"/>
      <c r="G9226" s="184"/>
      <c r="H9226" s="184"/>
      <c r="I9226" s="184"/>
      <c r="J9226" s="184"/>
      <c r="K9226" s="184"/>
      <c r="L9226" s="184"/>
      <c r="M9226" s="184"/>
      <c r="N9226" s="184"/>
      <c r="O9226" s="184"/>
    </row>
    <row r="9227" customFormat="false" ht="15" hidden="false" customHeight="true" outlineLevel="0" collapsed="false">
      <c r="A9227" s="184"/>
      <c r="B9227" s="184"/>
      <c r="C9227" s="184"/>
      <c r="D9227" s="184"/>
      <c r="E9227" s="184"/>
      <c r="F9227" s="184"/>
      <c r="G9227" s="184"/>
      <c r="H9227" s="184"/>
      <c r="I9227" s="184"/>
      <c r="J9227" s="184"/>
      <c r="K9227" s="184"/>
      <c r="L9227" s="184"/>
      <c r="M9227" s="184"/>
      <c r="N9227" s="184"/>
      <c r="O9227" s="184"/>
    </row>
    <row r="9228" customFormat="false" ht="15" hidden="false" customHeight="true" outlineLevel="0" collapsed="false">
      <c r="A9228" s="184"/>
      <c r="B9228" s="184"/>
      <c r="C9228" s="184"/>
      <c r="D9228" s="184"/>
      <c r="E9228" s="184"/>
      <c r="F9228" s="184"/>
      <c r="G9228" s="184"/>
      <c r="H9228" s="184"/>
      <c r="I9228" s="184"/>
      <c r="J9228" s="184"/>
      <c r="K9228" s="184"/>
      <c r="L9228" s="184"/>
      <c r="M9228" s="184"/>
      <c r="N9228" s="184"/>
      <c r="O9228" s="184"/>
    </row>
    <row r="9229" customFormat="false" ht="15" hidden="false" customHeight="true" outlineLevel="0" collapsed="false">
      <c r="A9229" s="184"/>
      <c r="B9229" s="184"/>
      <c r="C9229" s="184"/>
      <c r="D9229" s="184"/>
      <c r="E9229" s="184"/>
      <c r="F9229" s="184"/>
      <c r="G9229" s="184"/>
      <c r="H9229" s="184"/>
      <c r="I9229" s="184"/>
      <c r="J9229" s="184"/>
      <c r="K9229" s="184"/>
      <c r="L9229" s="184"/>
      <c r="M9229" s="184"/>
      <c r="N9229" s="184"/>
      <c r="O9229" s="184"/>
    </row>
    <row r="9230" customFormat="false" ht="15" hidden="false" customHeight="true" outlineLevel="0" collapsed="false">
      <c r="A9230" s="184"/>
      <c r="B9230" s="184"/>
      <c r="C9230" s="184"/>
      <c r="D9230" s="184"/>
      <c r="E9230" s="184"/>
      <c r="F9230" s="184"/>
      <c r="G9230" s="184"/>
      <c r="H9230" s="184"/>
      <c r="I9230" s="184"/>
      <c r="J9230" s="184"/>
      <c r="K9230" s="184"/>
      <c r="L9230" s="184"/>
      <c r="M9230" s="184"/>
      <c r="N9230" s="184"/>
      <c r="O9230" s="184"/>
    </row>
    <row r="9231" customFormat="false" ht="15" hidden="false" customHeight="true" outlineLevel="0" collapsed="false">
      <c r="A9231" s="184"/>
      <c r="B9231" s="184"/>
      <c r="C9231" s="184"/>
      <c r="D9231" s="184"/>
      <c r="E9231" s="184"/>
      <c r="F9231" s="184"/>
      <c r="G9231" s="184"/>
      <c r="H9231" s="184"/>
      <c r="I9231" s="184"/>
      <c r="J9231" s="184"/>
      <c r="K9231" s="184"/>
      <c r="L9231" s="184"/>
      <c r="M9231" s="184"/>
      <c r="N9231" s="184"/>
      <c r="O9231" s="184"/>
    </row>
    <row r="9232" customFormat="false" ht="15" hidden="false" customHeight="true" outlineLevel="0" collapsed="false">
      <c r="A9232" s="184"/>
      <c r="B9232" s="184"/>
      <c r="C9232" s="184"/>
      <c r="D9232" s="184"/>
      <c r="E9232" s="184"/>
      <c r="F9232" s="184"/>
      <c r="G9232" s="184"/>
      <c r="H9232" s="184"/>
      <c r="I9232" s="184"/>
      <c r="J9232" s="184"/>
      <c r="K9232" s="184"/>
      <c r="L9232" s="184"/>
      <c r="M9232" s="184"/>
      <c r="N9232" s="184"/>
      <c r="O9232" s="184"/>
    </row>
    <row r="9233" customFormat="false" ht="15" hidden="false" customHeight="true" outlineLevel="0" collapsed="false">
      <c r="A9233" s="184"/>
      <c r="B9233" s="184"/>
      <c r="C9233" s="184"/>
      <c r="D9233" s="184"/>
      <c r="E9233" s="184"/>
      <c r="F9233" s="184"/>
      <c r="G9233" s="184"/>
      <c r="H9233" s="184"/>
      <c r="I9233" s="184"/>
      <c r="J9233" s="184"/>
      <c r="K9233" s="184"/>
      <c r="L9233" s="184"/>
      <c r="M9233" s="184"/>
      <c r="N9233" s="184"/>
      <c r="O9233" s="184"/>
    </row>
    <row r="9234" customFormat="false" ht="15" hidden="false" customHeight="true" outlineLevel="0" collapsed="false">
      <c r="A9234" s="184"/>
      <c r="B9234" s="184"/>
      <c r="C9234" s="184"/>
      <c r="D9234" s="184"/>
      <c r="E9234" s="184"/>
      <c r="F9234" s="184"/>
      <c r="G9234" s="184"/>
      <c r="H9234" s="184"/>
      <c r="I9234" s="184"/>
      <c r="J9234" s="184"/>
      <c r="K9234" s="184"/>
      <c r="L9234" s="184"/>
      <c r="M9234" s="184"/>
      <c r="N9234" s="184"/>
      <c r="O9234" s="184"/>
    </row>
    <row r="9235" customFormat="false" ht="15" hidden="false" customHeight="true" outlineLevel="0" collapsed="false">
      <c r="A9235" s="184"/>
      <c r="B9235" s="184"/>
      <c r="C9235" s="184"/>
      <c r="D9235" s="184"/>
      <c r="E9235" s="184"/>
      <c r="F9235" s="184"/>
      <c r="G9235" s="184"/>
      <c r="H9235" s="184"/>
      <c r="I9235" s="184"/>
      <c r="J9235" s="184"/>
      <c r="K9235" s="184"/>
      <c r="L9235" s="184"/>
      <c r="M9235" s="184"/>
      <c r="N9235" s="184"/>
      <c r="O9235" s="184"/>
    </row>
    <row r="9236" customFormat="false" ht="15" hidden="false" customHeight="true" outlineLevel="0" collapsed="false">
      <c r="A9236" s="184"/>
      <c r="B9236" s="184"/>
      <c r="C9236" s="184"/>
      <c r="D9236" s="184"/>
      <c r="E9236" s="184"/>
      <c r="F9236" s="184"/>
      <c r="G9236" s="184"/>
      <c r="H9236" s="184"/>
      <c r="I9236" s="184"/>
      <c r="J9236" s="184"/>
      <c r="K9236" s="184"/>
      <c r="L9236" s="184"/>
      <c r="M9236" s="184"/>
      <c r="N9236" s="184"/>
      <c r="O9236" s="184"/>
    </row>
    <row r="9237" customFormat="false" ht="15" hidden="false" customHeight="true" outlineLevel="0" collapsed="false">
      <c r="A9237" s="184"/>
      <c r="B9237" s="184"/>
      <c r="C9237" s="184"/>
      <c r="D9237" s="184"/>
      <c r="E9237" s="184"/>
      <c r="F9237" s="184"/>
      <c r="G9237" s="184"/>
      <c r="H9237" s="184"/>
      <c r="I9237" s="184"/>
      <c r="J9237" s="184"/>
      <c r="K9237" s="184"/>
      <c r="L9237" s="184"/>
      <c r="M9237" s="184"/>
      <c r="N9237" s="184"/>
      <c r="O9237" s="184"/>
    </row>
    <row r="9238" customFormat="false" ht="15" hidden="false" customHeight="true" outlineLevel="0" collapsed="false">
      <c r="A9238" s="184"/>
      <c r="B9238" s="184"/>
      <c r="C9238" s="184"/>
      <c r="D9238" s="184"/>
      <c r="E9238" s="184"/>
      <c r="F9238" s="184"/>
      <c r="G9238" s="184"/>
      <c r="H9238" s="184"/>
      <c r="I9238" s="184"/>
      <c r="J9238" s="184"/>
      <c r="K9238" s="184"/>
      <c r="L9238" s="184"/>
      <c r="M9238" s="184"/>
      <c r="N9238" s="184"/>
      <c r="O9238" s="184"/>
    </row>
    <row r="9239" customFormat="false" ht="15" hidden="false" customHeight="true" outlineLevel="0" collapsed="false">
      <c r="A9239" s="184"/>
      <c r="B9239" s="184"/>
      <c r="C9239" s="184"/>
      <c r="D9239" s="184"/>
      <c r="E9239" s="184"/>
      <c r="F9239" s="184"/>
      <c r="G9239" s="184"/>
      <c r="H9239" s="184"/>
      <c r="I9239" s="184"/>
      <c r="J9239" s="184"/>
      <c r="K9239" s="184"/>
      <c r="L9239" s="184"/>
      <c r="M9239" s="184"/>
      <c r="N9239" s="184"/>
      <c r="O9239" s="184"/>
    </row>
    <row r="9240" customFormat="false" ht="15" hidden="false" customHeight="true" outlineLevel="0" collapsed="false">
      <c r="A9240" s="184"/>
      <c r="B9240" s="184"/>
      <c r="C9240" s="184"/>
      <c r="D9240" s="184"/>
      <c r="E9240" s="184"/>
      <c r="F9240" s="184"/>
      <c r="G9240" s="184"/>
      <c r="H9240" s="184"/>
      <c r="I9240" s="184"/>
      <c r="J9240" s="184"/>
      <c r="K9240" s="184"/>
      <c r="L9240" s="184"/>
      <c r="M9240" s="184"/>
      <c r="N9240" s="184"/>
      <c r="O9240" s="184"/>
    </row>
    <row r="9241" customFormat="false" ht="15" hidden="false" customHeight="true" outlineLevel="0" collapsed="false">
      <c r="A9241" s="184"/>
      <c r="B9241" s="184"/>
      <c r="C9241" s="184"/>
      <c r="D9241" s="184"/>
      <c r="E9241" s="184"/>
      <c r="F9241" s="184"/>
      <c r="G9241" s="184"/>
      <c r="H9241" s="184"/>
      <c r="I9241" s="184"/>
      <c r="J9241" s="184"/>
      <c r="K9241" s="184"/>
      <c r="L9241" s="184"/>
      <c r="M9241" s="184"/>
      <c r="N9241" s="184"/>
      <c r="O9241" s="184"/>
    </row>
    <row r="9242" customFormat="false" ht="15" hidden="false" customHeight="true" outlineLevel="0" collapsed="false">
      <c r="A9242" s="184"/>
      <c r="B9242" s="184"/>
      <c r="C9242" s="184"/>
      <c r="D9242" s="184"/>
      <c r="E9242" s="184"/>
      <c r="F9242" s="184"/>
      <c r="G9242" s="184"/>
      <c r="H9242" s="184"/>
      <c r="I9242" s="184"/>
      <c r="J9242" s="184"/>
      <c r="K9242" s="184"/>
      <c r="L9242" s="184"/>
      <c r="M9242" s="184"/>
      <c r="N9242" s="184"/>
      <c r="O9242" s="184"/>
    </row>
    <row r="9243" customFormat="false" ht="15" hidden="false" customHeight="true" outlineLevel="0" collapsed="false">
      <c r="A9243" s="184"/>
      <c r="B9243" s="184"/>
      <c r="C9243" s="184"/>
      <c r="D9243" s="184"/>
      <c r="E9243" s="184"/>
      <c r="F9243" s="184"/>
      <c r="G9243" s="184"/>
      <c r="H9243" s="184"/>
      <c r="I9243" s="184"/>
      <c r="J9243" s="184"/>
      <c r="K9243" s="184"/>
      <c r="L9243" s="184"/>
      <c r="M9243" s="184"/>
      <c r="N9243" s="184"/>
      <c r="O9243" s="184"/>
    </row>
    <row r="9244" customFormat="false" ht="15" hidden="false" customHeight="true" outlineLevel="0" collapsed="false">
      <c r="A9244" s="184"/>
      <c r="B9244" s="184"/>
      <c r="C9244" s="184"/>
      <c r="D9244" s="184"/>
      <c r="E9244" s="184"/>
      <c r="F9244" s="184"/>
      <c r="G9244" s="184"/>
      <c r="H9244" s="184"/>
      <c r="I9244" s="184"/>
      <c r="J9244" s="184"/>
      <c r="K9244" s="184"/>
      <c r="L9244" s="184"/>
      <c r="M9244" s="184"/>
      <c r="N9244" s="184"/>
      <c r="O9244" s="184"/>
    </row>
    <row r="9245" customFormat="false" ht="15" hidden="false" customHeight="true" outlineLevel="0" collapsed="false">
      <c r="A9245" s="184"/>
      <c r="B9245" s="184"/>
      <c r="C9245" s="184"/>
      <c r="D9245" s="184"/>
      <c r="E9245" s="184"/>
      <c r="F9245" s="184"/>
      <c r="G9245" s="184"/>
      <c r="H9245" s="184"/>
      <c r="I9245" s="184"/>
      <c r="J9245" s="184"/>
      <c r="K9245" s="184"/>
      <c r="L9245" s="184"/>
      <c r="M9245" s="184"/>
      <c r="N9245" s="184"/>
      <c r="O9245" s="184"/>
    </row>
    <row r="9246" customFormat="false" ht="15" hidden="false" customHeight="true" outlineLevel="0" collapsed="false">
      <c r="A9246" s="184"/>
      <c r="B9246" s="184"/>
      <c r="C9246" s="184"/>
      <c r="D9246" s="184"/>
      <c r="E9246" s="184"/>
      <c r="F9246" s="184"/>
      <c r="G9246" s="184"/>
      <c r="H9246" s="184"/>
      <c r="I9246" s="184"/>
      <c r="J9246" s="184"/>
      <c r="K9246" s="184"/>
      <c r="L9246" s="184"/>
      <c r="M9246" s="184"/>
      <c r="N9246" s="184"/>
      <c r="O9246" s="184"/>
    </row>
    <row r="9247" customFormat="false" ht="15" hidden="false" customHeight="true" outlineLevel="0" collapsed="false">
      <c r="A9247" s="184"/>
      <c r="B9247" s="184"/>
      <c r="C9247" s="184"/>
      <c r="D9247" s="184"/>
      <c r="E9247" s="184"/>
      <c r="F9247" s="184"/>
      <c r="G9247" s="184"/>
      <c r="H9247" s="184"/>
      <c r="I9247" s="184"/>
      <c r="J9247" s="184"/>
      <c r="K9247" s="184"/>
      <c r="L9247" s="184"/>
      <c r="M9247" s="184"/>
      <c r="N9247" s="184"/>
      <c r="O9247" s="184"/>
    </row>
    <row r="9248" customFormat="false" ht="15" hidden="false" customHeight="true" outlineLevel="0" collapsed="false">
      <c r="A9248" s="184"/>
      <c r="B9248" s="184"/>
      <c r="C9248" s="184"/>
      <c r="D9248" s="184"/>
      <c r="E9248" s="184"/>
      <c r="F9248" s="184"/>
      <c r="G9248" s="184"/>
      <c r="H9248" s="184"/>
      <c r="I9248" s="184"/>
      <c r="J9248" s="184"/>
      <c r="K9248" s="184"/>
      <c r="L9248" s="184"/>
      <c r="M9248" s="184"/>
      <c r="N9248" s="184"/>
      <c r="O9248" s="184"/>
    </row>
    <row r="9249" customFormat="false" ht="15" hidden="false" customHeight="true" outlineLevel="0" collapsed="false">
      <c r="A9249" s="184"/>
      <c r="B9249" s="184"/>
      <c r="C9249" s="184"/>
      <c r="D9249" s="184"/>
      <c r="E9249" s="184"/>
      <c r="F9249" s="184"/>
      <c r="G9249" s="184"/>
      <c r="H9249" s="184"/>
      <c r="I9249" s="184"/>
      <c r="J9249" s="184"/>
      <c r="K9249" s="184"/>
      <c r="L9249" s="184"/>
      <c r="M9249" s="184"/>
      <c r="N9249" s="184"/>
      <c r="O9249" s="184"/>
    </row>
    <row r="9250" customFormat="false" ht="15" hidden="false" customHeight="true" outlineLevel="0" collapsed="false">
      <c r="A9250" s="184"/>
      <c r="B9250" s="184"/>
      <c r="C9250" s="184"/>
      <c r="D9250" s="184"/>
      <c r="E9250" s="184"/>
      <c r="F9250" s="184"/>
      <c r="G9250" s="184"/>
      <c r="H9250" s="184"/>
      <c r="I9250" s="184"/>
      <c r="J9250" s="184"/>
      <c r="K9250" s="184"/>
      <c r="L9250" s="184"/>
      <c r="M9250" s="184"/>
      <c r="N9250" s="184"/>
      <c r="O9250" s="184"/>
    </row>
    <row r="9251" customFormat="false" ht="15" hidden="false" customHeight="true" outlineLevel="0" collapsed="false">
      <c r="A9251" s="184"/>
      <c r="B9251" s="184"/>
      <c r="C9251" s="184"/>
      <c r="D9251" s="184"/>
      <c r="E9251" s="184"/>
      <c r="F9251" s="184"/>
      <c r="G9251" s="184"/>
      <c r="H9251" s="184"/>
      <c r="I9251" s="184"/>
      <c r="J9251" s="184"/>
      <c r="K9251" s="184"/>
      <c r="L9251" s="184"/>
      <c r="M9251" s="184"/>
      <c r="N9251" s="184"/>
      <c r="O9251" s="184"/>
    </row>
    <row r="9252" customFormat="false" ht="15" hidden="false" customHeight="true" outlineLevel="0" collapsed="false">
      <c r="A9252" s="184"/>
      <c r="B9252" s="184"/>
      <c r="C9252" s="184"/>
      <c r="D9252" s="184"/>
      <c r="E9252" s="184"/>
      <c r="F9252" s="184"/>
      <c r="G9252" s="184"/>
      <c r="H9252" s="184"/>
      <c r="I9252" s="184"/>
      <c r="J9252" s="184"/>
      <c r="K9252" s="184"/>
      <c r="L9252" s="184"/>
      <c r="M9252" s="184"/>
      <c r="N9252" s="184"/>
      <c r="O9252" s="184"/>
    </row>
    <row r="9253" customFormat="false" ht="15" hidden="false" customHeight="true" outlineLevel="0" collapsed="false">
      <c r="A9253" s="184"/>
      <c r="B9253" s="184"/>
      <c r="C9253" s="184"/>
      <c r="D9253" s="184"/>
      <c r="E9253" s="184"/>
      <c r="F9253" s="184"/>
      <c r="G9253" s="184"/>
      <c r="H9253" s="184"/>
      <c r="I9253" s="184"/>
      <c r="J9253" s="184"/>
      <c r="K9253" s="184"/>
      <c r="L9253" s="184"/>
      <c r="M9253" s="184"/>
      <c r="N9253" s="184"/>
      <c r="O9253" s="184"/>
    </row>
    <row r="9254" customFormat="false" ht="15" hidden="false" customHeight="true" outlineLevel="0" collapsed="false">
      <c r="A9254" s="184"/>
      <c r="B9254" s="184"/>
      <c r="C9254" s="184"/>
      <c r="D9254" s="184"/>
      <c r="E9254" s="184"/>
      <c r="F9254" s="184"/>
      <c r="G9254" s="184"/>
      <c r="H9254" s="184"/>
      <c r="I9254" s="184"/>
      <c r="J9254" s="184"/>
      <c r="K9254" s="184"/>
      <c r="L9254" s="184"/>
      <c r="M9254" s="184"/>
      <c r="N9254" s="184"/>
      <c r="O9254" s="184"/>
    </row>
    <row r="9255" customFormat="false" ht="15" hidden="false" customHeight="true" outlineLevel="0" collapsed="false">
      <c r="A9255" s="184"/>
      <c r="B9255" s="184"/>
      <c r="C9255" s="184"/>
      <c r="D9255" s="184"/>
      <c r="E9255" s="184"/>
      <c r="F9255" s="184"/>
      <c r="G9255" s="184"/>
      <c r="H9255" s="184"/>
      <c r="I9255" s="184"/>
      <c r="J9255" s="184"/>
      <c r="K9255" s="184"/>
      <c r="L9255" s="184"/>
      <c r="M9255" s="184"/>
      <c r="N9255" s="184"/>
      <c r="O9255" s="184"/>
    </row>
    <row r="9256" customFormat="false" ht="15" hidden="false" customHeight="true" outlineLevel="0" collapsed="false">
      <c r="A9256" s="184"/>
      <c r="B9256" s="184"/>
      <c r="C9256" s="184"/>
      <c r="D9256" s="184"/>
      <c r="E9256" s="184"/>
      <c r="F9256" s="184"/>
      <c r="G9256" s="184"/>
      <c r="H9256" s="184"/>
      <c r="I9256" s="184"/>
      <c r="J9256" s="184"/>
      <c r="K9256" s="184"/>
      <c r="L9256" s="184"/>
      <c r="M9256" s="184"/>
      <c r="N9256" s="184"/>
      <c r="O9256" s="184"/>
    </row>
    <row r="9257" customFormat="false" ht="15" hidden="false" customHeight="true" outlineLevel="0" collapsed="false">
      <c r="A9257" s="184"/>
      <c r="B9257" s="184"/>
      <c r="C9257" s="184"/>
      <c r="D9257" s="184"/>
      <c r="E9257" s="184"/>
      <c r="F9257" s="184"/>
      <c r="G9257" s="184"/>
      <c r="H9257" s="184"/>
      <c r="I9257" s="184"/>
      <c r="J9257" s="184"/>
      <c r="K9257" s="184"/>
      <c r="L9257" s="184"/>
      <c r="M9257" s="184"/>
      <c r="N9257" s="184"/>
      <c r="O9257" s="184"/>
    </row>
    <row r="9258" customFormat="false" ht="15" hidden="false" customHeight="true" outlineLevel="0" collapsed="false">
      <c r="A9258" s="184"/>
      <c r="B9258" s="184"/>
      <c r="C9258" s="184"/>
      <c r="D9258" s="184"/>
      <c r="E9258" s="184"/>
      <c r="F9258" s="184"/>
      <c r="G9258" s="184"/>
      <c r="H9258" s="184"/>
      <c r="I9258" s="184"/>
      <c r="J9258" s="184"/>
      <c r="K9258" s="184"/>
      <c r="L9258" s="184"/>
      <c r="M9258" s="184"/>
      <c r="N9258" s="184"/>
      <c r="O9258" s="184"/>
    </row>
    <row r="9259" customFormat="false" ht="15" hidden="false" customHeight="true" outlineLevel="0" collapsed="false">
      <c r="A9259" s="184"/>
      <c r="B9259" s="184"/>
      <c r="C9259" s="184"/>
      <c r="D9259" s="184"/>
      <c r="E9259" s="184"/>
      <c r="F9259" s="184"/>
      <c r="G9259" s="184"/>
      <c r="H9259" s="184"/>
      <c r="I9259" s="184"/>
      <c r="J9259" s="184"/>
      <c r="K9259" s="184"/>
      <c r="L9259" s="184"/>
      <c r="M9259" s="184"/>
      <c r="N9259" s="184"/>
      <c r="O9259" s="184"/>
    </row>
    <row r="9260" customFormat="false" ht="15" hidden="false" customHeight="true" outlineLevel="0" collapsed="false">
      <c r="A9260" s="184"/>
      <c r="B9260" s="184"/>
      <c r="C9260" s="184"/>
      <c r="D9260" s="184"/>
      <c r="E9260" s="184"/>
      <c r="F9260" s="184"/>
      <c r="G9260" s="184"/>
      <c r="H9260" s="184"/>
      <c r="I9260" s="184"/>
      <c r="J9260" s="184"/>
      <c r="K9260" s="184"/>
      <c r="L9260" s="184"/>
      <c r="M9260" s="184"/>
      <c r="N9260" s="184"/>
      <c r="O9260" s="184"/>
    </row>
    <row r="9261" customFormat="false" ht="15" hidden="false" customHeight="true" outlineLevel="0" collapsed="false">
      <c r="A9261" s="184"/>
      <c r="B9261" s="184"/>
      <c r="C9261" s="184"/>
      <c r="D9261" s="184"/>
      <c r="E9261" s="184"/>
      <c r="F9261" s="184"/>
      <c r="G9261" s="184"/>
      <c r="H9261" s="184"/>
      <c r="I9261" s="184"/>
      <c r="J9261" s="184"/>
      <c r="K9261" s="184"/>
      <c r="L9261" s="184"/>
      <c r="M9261" s="184"/>
      <c r="N9261" s="184"/>
      <c r="O9261" s="184"/>
    </row>
    <row r="9262" customFormat="false" ht="15" hidden="false" customHeight="true" outlineLevel="0" collapsed="false">
      <c r="A9262" s="184"/>
      <c r="B9262" s="184"/>
      <c r="C9262" s="184"/>
      <c r="D9262" s="184"/>
      <c r="E9262" s="184"/>
      <c r="F9262" s="184"/>
      <c r="G9262" s="184"/>
      <c r="H9262" s="184"/>
      <c r="I9262" s="184"/>
      <c r="J9262" s="184"/>
      <c r="K9262" s="184"/>
      <c r="L9262" s="184"/>
      <c r="M9262" s="184"/>
      <c r="N9262" s="184"/>
      <c r="O9262" s="184"/>
    </row>
    <row r="9263" customFormat="false" ht="15" hidden="false" customHeight="true" outlineLevel="0" collapsed="false">
      <c r="A9263" s="184"/>
      <c r="B9263" s="184"/>
      <c r="C9263" s="184"/>
      <c r="D9263" s="184"/>
      <c r="E9263" s="184"/>
      <c r="F9263" s="184"/>
      <c r="G9263" s="184"/>
      <c r="H9263" s="184"/>
      <c r="I9263" s="184"/>
      <c r="J9263" s="184"/>
      <c r="K9263" s="184"/>
      <c r="L9263" s="184"/>
      <c r="M9263" s="184"/>
      <c r="N9263" s="184"/>
      <c r="O9263" s="184"/>
    </row>
    <row r="9264" customFormat="false" ht="15" hidden="false" customHeight="true" outlineLevel="0" collapsed="false">
      <c r="A9264" s="184"/>
      <c r="B9264" s="184"/>
      <c r="C9264" s="184"/>
      <c r="D9264" s="184"/>
      <c r="E9264" s="184"/>
      <c r="F9264" s="184"/>
      <c r="G9264" s="184"/>
      <c r="H9264" s="184"/>
      <c r="I9264" s="184"/>
      <c r="J9264" s="184"/>
      <c r="K9264" s="184"/>
      <c r="L9264" s="184"/>
      <c r="M9264" s="184"/>
      <c r="N9264" s="184"/>
      <c r="O9264" s="184"/>
    </row>
    <row r="9265" customFormat="false" ht="15" hidden="false" customHeight="true" outlineLevel="0" collapsed="false">
      <c r="A9265" s="184"/>
      <c r="B9265" s="184"/>
      <c r="C9265" s="184"/>
      <c r="D9265" s="184"/>
      <c r="E9265" s="184"/>
      <c r="F9265" s="184"/>
      <c r="G9265" s="184"/>
      <c r="H9265" s="184"/>
      <c r="I9265" s="184"/>
      <c r="J9265" s="184"/>
      <c r="K9265" s="184"/>
      <c r="L9265" s="184"/>
      <c r="M9265" s="184"/>
      <c r="N9265" s="184"/>
      <c r="O9265" s="184"/>
    </row>
    <row r="9266" customFormat="false" ht="15" hidden="false" customHeight="true" outlineLevel="0" collapsed="false">
      <c r="A9266" s="184"/>
      <c r="B9266" s="184"/>
      <c r="C9266" s="184"/>
      <c r="D9266" s="184"/>
      <c r="E9266" s="184"/>
      <c r="F9266" s="184"/>
      <c r="G9266" s="184"/>
      <c r="H9266" s="184"/>
      <c r="I9266" s="184"/>
      <c r="J9266" s="184"/>
      <c r="K9266" s="184"/>
      <c r="L9266" s="184"/>
      <c r="M9266" s="184"/>
      <c r="N9266" s="184"/>
      <c r="O9266" s="184"/>
    </row>
    <row r="9267" customFormat="false" ht="15" hidden="false" customHeight="true" outlineLevel="0" collapsed="false">
      <c r="A9267" s="184"/>
      <c r="B9267" s="184"/>
      <c r="C9267" s="184"/>
      <c r="D9267" s="184"/>
      <c r="E9267" s="184"/>
      <c r="F9267" s="184"/>
      <c r="G9267" s="184"/>
      <c r="H9267" s="184"/>
      <c r="I9267" s="184"/>
      <c r="J9267" s="184"/>
      <c r="K9267" s="184"/>
      <c r="L9267" s="184"/>
      <c r="M9267" s="184"/>
      <c r="N9267" s="184"/>
      <c r="O9267" s="184"/>
    </row>
    <row r="9268" customFormat="false" ht="15" hidden="false" customHeight="true" outlineLevel="0" collapsed="false">
      <c r="A9268" s="184"/>
      <c r="B9268" s="184"/>
      <c r="C9268" s="184"/>
      <c r="D9268" s="184"/>
      <c r="E9268" s="184"/>
      <c r="F9268" s="184"/>
      <c r="G9268" s="184"/>
      <c r="H9268" s="184"/>
      <c r="I9268" s="184"/>
      <c r="J9268" s="184"/>
      <c r="K9268" s="184"/>
      <c r="L9268" s="184"/>
      <c r="M9268" s="184"/>
      <c r="N9268" s="184"/>
      <c r="O9268" s="184"/>
    </row>
    <row r="9269" customFormat="false" ht="15" hidden="false" customHeight="true" outlineLevel="0" collapsed="false">
      <c r="A9269" s="184"/>
      <c r="B9269" s="184"/>
      <c r="C9269" s="184"/>
      <c r="D9269" s="184"/>
      <c r="E9269" s="184"/>
      <c r="F9269" s="184"/>
      <c r="G9269" s="184"/>
      <c r="H9269" s="184"/>
      <c r="I9269" s="184"/>
      <c r="J9269" s="184"/>
      <c r="K9269" s="184"/>
      <c r="L9269" s="184"/>
      <c r="M9269" s="184"/>
      <c r="N9269" s="184"/>
      <c r="O9269" s="184"/>
    </row>
    <row r="9270" customFormat="false" ht="15" hidden="false" customHeight="true" outlineLevel="0" collapsed="false">
      <c r="A9270" s="184"/>
      <c r="B9270" s="184"/>
      <c r="C9270" s="184"/>
      <c r="D9270" s="184"/>
      <c r="E9270" s="184"/>
      <c r="F9270" s="184"/>
      <c r="G9270" s="184"/>
      <c r="H9270" s="184"/>
      <c r="I9270" s="184"/>
      <c r="J9270" s="184"/>
      <c r="K9270" s="184"/>
      <c r="L9270" s="184"/>
      <c r="M9270" s="184"/>
      <c r="N9270" s="184"/>
      <c r="O9270" s="184"/>
    </row>
    <row r="9271" customFormat="false" ht="15" hidden="false" customHeight="true" outlineLevel="0" collapsed="false">
      <c r="A9271" s="184"/>
      <c r="B9271" s="184"/>
      <c r="C9271" s="184"/>
      <c r="D9271" s="184"/>
      <c r="E9271" s="184"/>
      <c r="F9271" s="184"/>
      <c r="G9271" s="184"/>
      <c r="H9271" s="184"/>
      <c r="I9271" s="184"/>
      <c r="J9271" s="184"/>
      <c r="K9271" s="184"/>
      <c r="L9271" s="184"/>
      <c r="M9271" s="184"/>
      <c r="N9271" s="184"/>
      <c r="O9271" s="184"/>
    </row>
    <row r="9272" customFormat="false" ht="15" hidden="false" customHeight="true" outlineLevel="0" collapsed="false">
      <c r="A9272" s="184"/>
      <c r="B9272" s="184"/>
      <c r="C9272" s="184"/>
      <c r="D9272" s="184"/>
      <c r="E9272" s="184"/>
      <c r="F9272" s="184"/>
      <c r="G9272" s="184"/>
      <c r="H9272" s="184"/>
      <c r="I9272" s="184"/>
      <c r="J9272" s="184"/>
      <c r="K9272" s="184"/>
      <c r="L9272" s="184"/>
      <c r="M9272" s="184"/>
      <c r="N9272" s="184"/>
      <c r="O9272" s="184"/>
    </row>
    <row r="9273" customFormat="false" ht="15" hidden="false" customHeight="true" outlineLevel="0" collapsed="false">
      <c r="A9273" s="184"/>
      <c r="B9273" s="184"/>
      <c r="C9273" s="184"/>
      <c r="D9273" s="184"/>
      <c r="E9273" s="184"/>
      <c r="F9273" s="184"/>
      <c r="G9273" s="184"/>
      <c r="H9273" s="184"/>
      <c r="I9273" s="184"/>
      <c r="J9273" s="184"/>
      <c r="K9273" s="184"/>
      <c r="L9273" s="184"/>
      <c r="M9273" s="184"/>
      <c r="N9273" s="184"/>
      <c r="O9273" s="184"/>
    </row>
    <row r="9274" customFormat="false" ht="15" hidden="false" customHeight="true" outlineLevel="0" collapsed="false">
      <c r="A9274" s="184"/>
      <c r="B9274" s="184"/>
      <c r="C9274" s="184"/>
      <c r="D9274" s="184"/>
      <c r="E9274" s="184"/>
      <c r="F9274" s="184"/>
      <c r="G9274" s="184"/>
      <c r="H9274" s="184"/>
      <c r="I9274" s="184"/>
      <c r="J9274" s="184"/>
      <c r="K9274" s="184"/>
      <c r="L9274" s="184"/>
      <c r="M9274" s="184"/>
      <c r="N9274" s="184"/>
      <c r="O9274" s="184"/>
    </row>
    <row r="9275" customFormat="false" ht="15" hidden="false" customHeight="true" outlineLevel="0" collapsed="false">
      <c r="A9275" s="184"/>
      <c r="B9275" s="184"/>
      <c r="C9275" s="184"/>
      <c r="D9275" s="184"/>
      <c r="E9275" s="184"/>
      <c r="F9275" s="184"/>
      <c r="G9275" s="184"/>
      <c r="H9275" s="184"/>
      <c r="I9275" s="184"/>
      <c r="J9275" s="184"/>
      <c r="K9275" s="184"/>
      <c r="L9275" s="184"/>
      <c r="M9275" s="184"/>
      <c r="N9275" s="184"/>
      <c r="O9275" s="184"/>
    </row>
    <row r="9276" customFormat="false" ht="15" hidden="false" customHeight="true" outlineLevel="0" collapsed="false">
      <c r="A9276" s="184"/>
      <c r="B9276" s="184"/>
      <c r="C9276" s="184"/>
      <c r="D9276" s="184"/>
      <c r="E9276" s="184"/>
      <c r="F9276" s="184"/>
      <c r="G9276" s="184"/>
      <c r="H9276" s="184"/>
      <c r="I9276" s="184"/>
      <c r="J9276" s="184"/>
      <c r="K9276" s="184"/>
      <c r="L9276" s="184"/>
      <c r="M9276" s="184"/>
      <c r="N9276" s="184"/>
      <c r="O9276" s="184"/>
    </row>
    <row r="9277" customFormat="false" ht="15" hidden="false" customHeight="true" outlineLevel="0" collapsed="false">
      <c r="A9277" s="184"/>
      <c r="B9277" s="184"/>
      <c r="C9277" s="184"/>
      <c r="D9277" s="184"/>
      <c r="E9277" s="184"/>
      <c r="F9277" s="184"/>
      <c r="G9277" s="184"/>
      <c r="H9277" s="184"/>
      <c r="I9277" s="184"/>
      <c r="J9277" s="184"/>
      <c r="K9277" s="184"/>
      <c r="L9277" s="184"/>
      <c r="M9277" s="184"/>
      <c r="N9277" s="184"/>
      <c r="O9277" s="184"/>
    </row>
    <row r="9278" customFormat="false" ht="15" hidden="false" customHeight="true" outlineLevel="0" collapsed="false">
      <c r="A9278" s="184"/>
      <c r="B9278" s="184"/>
      <c r="C9278" s="184"/>
      <c r="D9278" s="184"/>
      <c r="E9278" s="184"/>
      <c r="F9278" s="184"/>
      <c r="G9278" s="184"/>
      <c r="H9278" s="184"/>
      <c r="I9278" s="184"/>
      <c r="J9278" s="184"/>
      <c r="K9278" s="184"/>
      <c r="L9278" s="184"/>
      <c r="M9278" s="184"/>
      <c r="N9278" s="184"/>
      <c r="O9278" s="184"/>
    </row>
    <row r="9279" customFormat="false" ht="15" hidden="false" customHeight="true" outlineLevel="0" collapsed="false">
      <c r="A9279" s="184"/>
      <c r="B9279" s="184"/>
      <c r="C9279" s="184"/>
      <c r="D9279" s="184"/>
      <c r="E9279" s="184"/>
      <c r="F9279" s="184"/>
      <c r="G9279" s="184"/>
      <c r="H9279" s="184"/>
      <c r="I9279" s="184"/>
      <c r="J9279" s="184"/>
      <c r="K9279" s="184"/>
      <c r="L9279" s="184"/>
      <c r="M9279" s="184"/>
      <c r="N9279" s="184"/>
      <c r="O9279" s="184"/>
    </row>
    <row r="9280" customFormat="false" ht="15" hidden="false" customHeight="true" outlineLevel="0" collapsed="false">
      <c r="A9280" s="184"/>
      <c r="B9280" s="184"/>
      <c r="C9280" s="184"/>
      <c r="D9280" s="184"/>
      <c r="E9280" s="184"/>
      <c r="F9280" s="184"/>
      <c r="G9280" s="184"/>
      <c r="H9280" s="184"/>
      <c r="I9280" s="184"/>
      <c r="J9280" s="184"/>
      <c r="K9280" s="184"/>
      <c r="L9280" s="184"/>
      <c r="M9280" s="184"/>
      <c r="N9280" s="184"/>
      <c r="O9280" s="184"/>
    </row>
    <row r="9281" customFormat="false" ht="15" hidden="false" customHeight="true" outlineLevel="0" collapsed="false">
      <c r="A9281" s="184"/>
      <c r="B9281" s="184"/>
      <c r="C9281" s="184"/>
      <c r="D9281" s="184"/>
      <c r="E9281" s="184"/>
      <c r="F9281" s="184"/>
      <c r="G9281" s="184"/>
      <c r="H9281" s="184"/>
      <c r="I9281" s="184"/>
      <c r="J9281" s="184"/>
      <c r="K9281" s="184"/>
      <c r="L9281" s="184"/>
      <c r="M9281" s="184"/>
      <c r="N9281" s="184"/>
      <c r="O9281" s="184"/>
    </row>
    <row r="9282" customFormat="false" ht="15" hidden="false" customHeight="true" outlineLevel="0" collapsed="false">
      <c r="A9282" s="184"/>
      <c r="B9282" s="184"/>
      <c r="C9282" s="184"/>
      <c r="D9282" s="184"/>
      <c r="E9282" s="184"/>
      <c r="F9282" s="184"/>
      <c r="G9282" s="184"/>
      <c r="H9282" s="184"/>
      <c r="I9282" s="184"/>
      <c r="J9282" s="184"/>
      <c r="K9282" s="184"/>
      <c r="L9282" s="184"/>
      <c r="M9282" s="184"/>
      <c r="N9282" s="184"/>
      <c r="O9282" s="184"/>
    </row>
    <row r="9283" customFormat="false" ht="15" hidden="false" customHeight="true" outlineLevel="0" collapsed="false">
      <c r="A9283" s="184"/>
      <c r="B9283" s="184"/>
      <c r="C9283" s="184"/>
      <c r="D9283" s="184"/>
      <c r="E9283" s="184"/>
      <c r="F9283" s="184"/>
      <c r="G9283" s="184"/>
      <c r="H9283" s="184"/>
      <c r="I9283" s="184"/>
      <c r="J9283" s="184"/>
      <c r="K9283" s="184"/>
      <c r="L9283" s="184"/>
      <c r="M9283" s="184"/>
      <c r="N9283" s="184"/>
      <c r="O9283" s="184"/>
    </row>
    <row r="9284" customFormat="false" ht="15" hidden="false" customHeight="true" outlineLevel="0" collapsed="false">
      <c r="A9284" s="184"/>
      <c r="B9284" s="184"/>
      <c r="C9284" s="184"/>
      <c r="D9284" s="184"/>
      <c r="E9284" s="184"/>
      <c r="F9284" s="184"/>
      <c r="G9284" s="184"/>
      <c r="H9284" s="184"/>
      <c r="I9284" s="184"/>
      <c r="J9284" s="184"/>
      <c r="K9284" s="184"/>
      <c r="L9284" s="184"/>
      <c r="M9284" s="184"/>
      <c r="N9284" s="184"/>
      <c r="O9284" s="184"/>
    </row>
    <row r="9285" customFormat="false" ht="15" hidden="false" customHeight="true" outlineLevel="0" collapsed="false">
      <c r="A9285" s="184"/>
      <c r="B9285" s="184"/>
      <c r="C9285" s="184"/>
      <c r="D9285" s="184"/>
      <c r="E9285" s="184"/>
      <c r="F9285" s="184"/>
      <c r="G9285" s="184"/>
      <c r="H9285" s="184"/>
      <c r="I9285" s="184"/>
      <c r="J9285" s="184"/>
      <c r="K9285" s="184"/>
      <c r="L9285" s="184"/>
      <c r="M9285" s="184"/>
      <c r="N9285" s="184"/>
      <c r="O9285" s="184"/>
    </row>
    <row r="9286" customFormat="false" ht="15" hidden="false" customHeight="true" outlineLevel="0" collapsed="false">
      <c r="A9286" s="184"/>
      <c r="B9286" s="184"/>
      <c r="C9286" s="184"/>
      <c r="D9286" s="184"/>
      <c r="E9286" s="184"/>
      <c r="F9286" s="184"/>
      <c r="G9286" s="184"/>
      <c r="H9286" s="184"/>
      <c r="I9286" s="184"/>
      <c r="J9286" s="184"/>
      <c r="K9286" s="184"/>
      <c r="L9286" s="184"/>
      <c r="M9286" s="184"/>
      <c r="N9286" s="184"/>
      <c r="O9286" s="184"/>
    </row>
    <row r="9287" customFormat="false" ht="15" hidden="false" customHeight="true" outlineLevel="0" collapsed="false">
      <c r="A9287" s="184"/>
      <c r="B9287" s="184"/>
      <c r="C9287" s="184"/>
      <c r="D9287" s="184"/>
      <c r="E9287" s="184"/>
      <c r="F9287" s="184"/>
      <c r="G9287" s="184"/>
      <c r="H9287" s="184"/>
      <c r="I9287" s="184"/>
      <c r="J9287" s="184"/>
      <c r="K9287" s="184"/>
      <c r="L9287" s="184"/>
      <c r="M9287" s="184"/>
      <c r="N9287" s="184"/>
      <c r="O9287" s="184"/>
    </row>
    <row r="9288" customFormat="false" ht="15" hidden="false" customHeight="true" outlineLevel="0" collapsed="false">
      <c r="A9288" s="184"/>
      <c r="B9288" s="184"/>
      <c r="C9288" s="184"/>
      <c r="D9288" s="184"/>
      <c r="E9288" s="184"/>
      <c r="F9288" s="184"/>
      <c r="G9288" s="184"/>
      <c r="H9288" s="184"/>
      <c r="I9288" s="184"/>
      <c r="J9288" s="184"/>
      <c r="K9288" s="184"/>
      <c r="L9288" s="184"/>
      <c r="M9288" s="184"/>
      <c r="N9288" s="184"/>
      <c r="O9288" s="184"/>
    </row>
    <row r="9289" customFormat="false" ht="15" hidden="false" customHeight="true" outlineLevel="0" collapsed="false">
      <c r="A9289" s="184"/>
      <c r="B9289" s="184"/>
      <c r="C9289" s="184"/>
      <c r="D9289" s="184"/>
      <c r="E9289" s="184"/>
      <c r="F9289" s="184"/>
      <c r="G9289" s="184"/>
      <c r="H9289" s="184"/>
      <c r="I9289" s="184"/>
      <c r="J9289" s="184"/>
      <c r="K9289" s="184"/>
      <c r="L9289" s="184"/>
      <c r="M9289" s="184"/>
      <c r="N9289" s="184"/>
      <c r="O9289" s="184"/>
    </row>
    <row r="9290" customFormat="false" ht="15" hidden="false" customHeight="true" outlineLevel="0" collapsed="false">
      <c r="A9290" s="184"/>
      <c r="B9290" s="184"/>
      <c r="C9290" s="184"/>
      <c r="D9290" s="184"/>
      <c r="E9290" s="184"/>
      <c r="F9290" s="184"/>
      <c r="G9290" s="184"/>
      <c r="H9290" s="184"/>
      <c r="I9290" s="184"/>
      <c r="J9290" s="184"/>
      <c r="K9290" s="184"/>
      <c r="L9290" s="184"/>
      <c r="M9290" s="184"/>
      <c r="N9290" s="184"/>
      <c r="O9290" s="184"/>
    </row>
    <row r="9291" customFormat="false" ht="15" hidden="false" customHeight="true" outlineLevel="0" collapsed="false">
      <c r="A9291" s="184"/>
      <c r="B9291" s="184"/>
      <c r="C9291" s="184"/>
      <c r="D9291" s="184"/>
      <c r="E9291" s="184"/>
      <c r="F9291" s="184"/>
      <c r="G9291" s="184"/>
      <c r="H9291" s="184"/>
      <c r="I9291" s="184"/>
      <c r="J9291" s="184"/>
      <c r="K9291" s="184"/>
      <c r="L9291" s="184"/>
      <c r="M9291" s="184"/>
      <c r="N9291" s="184"/>
      <c r="O9291" s="184"/>
    </row>
    <row r="9292" customFormat="false" ht="15" hidden="false" customHeight="true" outlineLevel="0" collapsed="false">
      <c r="A9292" s="184"/>
      <c r="B9292" s="184"/>
      <c r="C9292" s="184"/>
      <c r="D9292" s="184"/>
      <c r="E9292" s="184"/>
      <c r="F9292" s="184"/>
      <c r="G9292" s="184"/>
      <c r="H9292" s="184"/>
      <c r="I9292" s="184"/>
      <c r="J9292" s="184"/>
      <c r="K9292" s="184"/>
      <c r="L9292" s="184"/>
      <c r="M9292" s="184"/>
      <c r="N9292" s="184"/>
      <c r="O9292" s="184"/>
    </row>
    <row r="9293" customFormat="false" ht="15" hidden="false" customHeight="true" outlineLevel="0" collapsed="false">
      <c r="A9293" s="184"/>
      <c r="B9293" s="184"/>
      <c r="C9293" s="184"/>
      <c r="D9293" s="184"/>
      <c r="E9293" s="184"/>
      <c r="F9293" s="184"/>
      <c r="G9293" s="184"/>
      <c r="H9293" s="184"/>
      <c r="I9293" s="184"/>
      <c r="J9293" s="184"/>
      <c r="K9293" s="184"/>
      <c r="L9293" s="184"/>
      <c r="M9293" s="184"/>
      <c r="N9293" s="184"/>
      <c r="O9293" s="184"/>
    </row>
    <row r="9294" customFormat="false" ht="15" hidden="false" customHeight="true" outlineLevel="0" collapsed="false">
      <c r="A9294" s="184"/>
      <c r="B9294" s="184"/>
      <c r="C9294" s="184"/>
      <c r="D9294" s="184"/>
      <c r="E9294" s="184"/>
      <c r="F9294" s="184"/>
      <c r="G9294" s="184"/>
      <c r="H9294" s="184"/>
      <c r="I9294" s="184"/>
      <c r="J9294" s="184"/>
      <c r="K9294" s="184"/>
      <c r="L9294" s="184"/>
      <c r="M9294" s="184"/>
      <c r="N9294" s="184"/>
      <c r="O9294" s="184"/>
    </row>
    <row r="9295" customFormat="false" ht="15" hidden="false" customHeight="true" outlineLevel="0" collapsed="false">
      <c r="A9295" s="184"/>
      <c r="B9295" s="184"/>
      <c r="C9295" s="184"/>
      <c r="D9295" s="184"/>
      <c r="E9295" s="184"/>
      <c r="F9295" s="184"/>
      <c r="G9295" s="184"/>
      <c r="H9295" s="184"/>
      <c r="I9295" s="184"/>
      <c r="J9295" s="184"/>
      <c r="K9295" s="184"/>
      <c r="L9295" s="184"/>
      <c r="M9295" s="184"/>
      <c r="N9295" s="184"/>
      <c r="O9295" s="184"/>
    </row>
    <row r="9296" customFormat="false" ht="15" hidden="false" customHeight="true" outlineLevel="0" collapsed="false">
      <c r="A9296" s="184"/>
      <c r="B9296" s="184"/>
      <c r="C9296" s="184"/>
      <c r="D9296" s="184"/>
      <c r="E9296" s="184"/>
      <c r="F9296" s="184"/>
      <c r="G9296" s="184"/>
      <c r="H9296" s="184"/>
      <c r="I9296" s="184"/>
      <c r="J9296" s="184"/>
      <c r="K9296" s="184"/>
      <c r="L9296" s="184"/>
      <c r="M9296" s="184"/>
      <c r="N9296" s="184"/>
      <c r="O9296" s="184"/>
    </row>
    <row r="9297" customFormat="false" ht="15" hidden="false" customHeight="true" outlineLevel="0" collapsed="false">
      <c r="A9297" s="184"/>
      <c r="B9297" s="184"/>
      <c r="C9297" s="184"/>
      <c r="D9297" s="184"/>
      <c r="E9297" s="184"/>
      <c r="F9297" s="184"/>
      <c r="G9297" s="184"/>
      <c r="H9297" s="184"/>
      <c r="I9297" s="184"/>
      <c r="J9297" s="184"/>
      <c r="K9297" s="184"/>
      <c r="L9297" s="184"/>
      <c r="M9297" s="184"/>
      <c r="N9297" s="184"/>
      <c r="O9297" s="184"/>
    </row>
    <row r="9298" customFormat="false" ht="15" hidden="false" customHeight="true" outlineLevel="0" collapsed="false">
      <c r="A9298" s="184"/>
      <c r="B9298" s="184"/>
      <c r="C9298" s="184"/>
      <c r="D9298" s="184"/>
      <c r="E9298" s="184"/>
      <c r="F9298" s="184"/>
      <c r="G9298" s="184"/>
      <c r="H9298" s="184"/>
      <c r="I9298" s="184"/>
      <c r="J9298" s="184"/>
      <c r="K9298" s="184"/>
      <c r="L9298" s="184"/>
      <c r="M9298" s="184"/>
      <c r="N9298" s="184"/>
      <c r="O9298" s="184"/>
    </row>
    <row r="9299" customFormat="false" ht="15" hidden="false" customHeight="true" outlineLevel="0" collapsed="false">
      <c r="A9299" s="184"/>
      <c r="B9299" s="184"/>
      <c r="C9299" s="184"/>
      <c r="D9299" s="184"/>
      <c r="E9299" s="184"/>
      <c r="F9299" s="184"/>
      <c r="G9299" s="184"/>
      <c r="H9299" s="184"/>
      <c r="I9299" s="184"/>
      <c r="J9299" s="184"/>
      <c r="K9299" s="184"/>
      <c r="L9299" s="184"/>
      <c r="M9299" s="184"/>
      <c r="N9299" s="184"/>
      <c r="O9299" s="184"/>
    </row>
    <row r="9300" customFormat="false" ht="15" hidden="false" customHeight="true" outlineLevel="0" collapsed="false">
      <c r="A9300" s="184"/>
      <c r="B9300" s="184"/>
      <c r="C9300" s="184"/>
      <c r="D9300" s="184"/>
      <c r="E9300" s="184"/>
      <c r="F9300" s="184"/>
      <c r="G9300" s="184"/>
      <c r="H9300" s="184"/>
      <c r="I9300" s="184"/>
      <c r="J9300" s="184"/>
      <c r="K9300" s="184"/>
      <c r="L9300" s="184"/>
      <c r="M9300" s="184"/>
      <c r="N9300" s="184"/>
      <c r="O9300" s="184"/>
    </row>
    <row r="9301" customFormat="false" ht="15" hidden="false" customHeight="true" outlineLevel="0" collapsed="false">
      <c r="A9301" s="184"/>
      <c r="B9301" s="184"/>
      <c r="C9301" s="184"/>
      <c r="D9301" s="184"/>
      <c r="E9301" s="184"/>
      <c r="F9301" s="184"/>
      <c r="G9301" s="184"/>
      <c r="H9301" s="184"/>
      <c r="I9301" s="184"/>
      <c r="J9301" s="184"/>
      <c r="K9301" s="184"/>
      <c r="L9301" s="184"/>
      <c r="M9301" s="184"/>
      <c r="N9301" s="184"/>
      <c r="O9301" s="184"/>
    </row>
    <row r="9302" customFormat="false" ht="15" hidden="false" customHeight="true" outlineLevel="0" collapsed="false">
      <c r="A9302" s="184"/>
      <c r="B9302" s="184"/>
      <c r="C9302" s="184"/>
      <c r="D9302" s="184"/>
      <c r="E9302" s="184"/>
      <c r="F9302" s="184"/>
      <c r="G9302" s="184"/>
      <c r="H9302" s="184"/>
      <c r="I9302" s="184"/>
      <c r="J9302" s="184"/>
      <c r="K9302" s="184"/>
      <c r="L9302" s="184"/>
      <c r="M9302" s="184"/>
      <c r="N9302" s="184"/>
      <c r="O9302" s="184"/>
    </row>
    <row r="9303" customFormat="false" ht="15" hidden="false" customHeight="true" outlineLevel="0" collapsed="false">
      <c r="A9303" s="184"/>
      <c r="B9303" s="184"/>
      <c r="C9303" s="184"/>
      <c r="D9303" s="184"/>
      <c r="E9303" s="184"/>
      <c r="F9303" s="184"/>
      <c r="G9303" s="184"/>
      <c r="H9303" s="184"/>
      <c r="I9303" s="184"/>
      <c r="J9303" s="184"/>
      <c r="K9303" s="184"/>
      <c r="L9303" s="184"/>
      <c r="M9303" s="184"/>
      <c r="N9303" s="184"/>
      <c r="O9303" s="184"/>
    </row>
    <row r="9304" customFormat="false" ht="15" hidden="false" customHeight="true" outlineLevel="0" collapsed="false">
      <c r="A9304" s="184"/>
      <c r="B9304" s="184"/>
      <c r="C9304" s="184"/>
      <c r="D9304" s="184"/>
      <c r="E9304" s="184"/>
      <c r="F9304" s="184"/>
      <c r="G9304" s="184"/>
      <c r="H9304" s="184"/>
      <c r="I9304" s="184"/>
      <c r="J9304" s="184"/>
      <c r="K9304" s="184"/>
      <c r="L9304" s="184"/>
      <c r="M9304" s="184"/>
      <c r="N9304" s="184"/>
      <c r="O9304" s="184"/>
    </row>
    <row r="9305" customFormat="false" ht="15" hidden="false" customHeight="true" outlineLevel="0" collapsed="false">
      <c r="A9305" s="184"/>
      <c r="B9305" s="184"/>
      <c r="C9305" s="184"/>
      <c r="D9305" s="184"/>
      <c r="E9305" s="184"/>
      <c r="F9305" s="184"/>
      <c r="G9305" s="184"/>
      <c r="H9305" s="184"/>
      <c r="I9305" s="184"/>
      <c r="J9305" s="184"/>
      <c r="K9305" s="184"/>
      <c r="L9305" s="184"/>
      <c r="M9305" s="184"/>
      <c r="N9305" s="184"/>
      <c r="O9305" s="184"/>
    </row>
    <row r="9306" customFormat="false" ht="15" hidden="false" customHeight="true" outlineLevel="0" collapsed="false">
      <c r="A9306" s="184"/>
      <c r="B9306" s="184"/>
      <c r="C9306" s="184"/>
      <c r="D9306" s="184"/>
      <c r="E9306" s="184"/>
      <c r="F9306" s="184"/>
      <c r="G9306" s="184"/>
      <c r="H9306" s="184"/>
      <c r="I9306" s="184"/>
      <c r="J9306" s="184"/>
      <c r="K9306" s="184"/>
      <c r="L9306" s="184"/>
      <c r="M9306" s="184"/>
      <c r="N9306" s="184"/>
      <c r="O9306" s="184"/>
    </row>
    <row r="9307" customFormat="false" ht="15" hidden="false" customHeight="true" outlineLevel="0" collapsed="false">
      <c r="A9307" s="184"/>
      <c r="B9307" s="184"/>
      <c r="C9307" s="184"/>
      <c r="D9307" s="184"/>
      <c r="E9307" s="184"/>
      <c r="F9307" s="184"/>
      <c r="G9307" s="184"/>
      <c r="H9307" s="184"/>
      <c r="I9307" s="184"/>
      <c r="J9307" s="184"/>
      <c r="K9307" s="184"/>
      <c r="L9307" s="184"/>
      <c r="M9307" s="184"/>
      <c r="N9307" s="184"/>
      <c r="O9307" s="184"/>
    </row>
    <row r="9308" customFormat="false" ht="15" hidden="false" customHeight="true" outlineLevel="0" collapsed="false">
      <c r="A9308" s="184"/>
      <c r="B9308" s="184"/>
      <c r="C9308" s="184"/>
      <c r="D9308" s="184"/>
      <c r="E9308" s="184"/>
      <c r="F9308" s="184"/>
      <c r="G9308" s="184"/>
      <c r="H9308" s="184"/>
      <c r="I9308" s="184"/>
      <c r="J9308" s="184"/>
      <c r="K9308" s="184"/>
      <c r="L9308" s="184"/>
      <c r="M9308" s="184"/>
      <c r="N9308" s="184"/>
      <c r="O9308" s="184"/>
    </row>
    <row r="9309" customFormat="false" ht="15" hidden="false" customHeight="true" outlineLevel="0" collapsed="false">
      <c r="A9309" s="184"/>
      <c r="B9309" s="184"/>
      <c r="C9309" s="184"/>
      <c r="D9309" s="184"/>
      <c r="E9309" s="184"/>
      <c r="F9309" s="184"/>
      <c r="G9309" s="184"/>
      <c r="H9309" s="184"/>
      <c r="I9309" s="184"/>
      <c r="J9309" s="184"/>
      <c r="K9309" s="184"/>
      <c r="L9309" s="184"/>
      <c r="M9309" s="184"/>
      <c r="N9309" s="184"/>
      <c r="O9309" s="184"/>
    </row>
    <row r="9310" customFormat="false" ht="15" hidden="false" customHeight="true" outlineLevel="0" collapsed="false">
      <c r="A9310" s="184"/>
      <c r="B9310" s="184"/>
      <c r="C9310" s="184"/>
      <c r="D9310" s="184"/>
      <c r="E9310" s="184"/>
      <c r="F9310" s="184"/>
      <c r="G9310" s="184"/>
      <c r="H9310" s="184"/>
      <c r="I9310" s="184"/>
      <c r="J9310" s="184"/>
      <c r="K9310" s="184"/>
      <c r="L9310" s="184"/>
      <c r="M9310" s="184"/>
      <c r="N9310" s="184"/>
      <c r="O9310" s="184"/>
    </row>
    <row r="9311" customFormat="false" ht="15" hidden="false" customHeight="true" outlineLevel="0" collapsed="false">
      <c r="A9311" s="184"/>
      <c r="B9311" s="184"/>
      <c r="C9311" s="184"/>
      <c r="D9311" s="184"/>
      <c r="E9311" s="184"/>
      <c r="F9311" s="184"/>
      <c r="G9311" s="184"/>
      <c r="H9311" s="184"/>
      <c r="I9311" s="184"/>
      <c r="J9311" s="184"/>
      <c r="K9311" s="184"/>
      <c r="L9311" s="184"/>
      <c r="M9311" s="184"/>
      <c r="N9311" s="184"/>
      <c r="O9311" s="184"/>
    </row>
    <row r="9312" customFormat="false" ht="15" hidden="false" customHeight="true" outlineLevel="0" collapsed="false">
      <c r="A9312" s="184"/>
      <c r="B9312" s="184"/>
      <c r="C9312" s="184"/>
      <c r="D9312" s="184"/>
      <c r="E9312" s="184"/>
      <c r="F9312" s="184"/>
      <c r="G9312" s="184"/>
      <c r="H9312" s="184"/>
      <c r="I9312" s="184"/>
      <c r="J9312" s="184"/>
      <c r="K9312" s="184"/>
      <c r="L9312" s="184"/>
      <c r="M9312" s="184"/>
      <c r="N9312" s="184"/>
      <c r="O9312" s="184"/>
    </row>
    <row r="9313" customFormat="false" ht="15" hidden="false" customHeight="true" outlineLevel="0" collapsed="false">
      <c r="A9313" s="184"/>
      <c r="B9313" s="184"/>
      <c r="C9313" s="184"/>
      <c r="D9313" s="184"/>
      <c r="E9313" s="184"/>
      <c r="F9313" s="184"/>
      <c r="G9313" s="184"/>
      <c r="H9313" s="184"/>
      <c r="I9313" s="184"/>
      <c r="J9313" s="184"/>
      <c r="K9313" s="184"/>
      <c r="L9313" s="184"/>
      <c r="M9313" s="184"/>
      <c r="N9313" s="184"/>
      <c r="O9313" s="184"/>
    </row>
    <row r="9314" customFormat="false" ht="15" hidden="false" customHeight="true" outlineLevel="0" collapsed="false">
      <c r="A9314" s="184"/>
      <c r="B9314" s="184"/>
      <c r="C9314" s="184"/>
      <c r="D9314" s="184"/>
      <c r="E9314" s="184"/>
      <c r="F9314" s="184"/>
      <c r="G9314" s="184"/>
      <c r="H9314" s="184"/>
      <c r="I9314" s="184"/>
      <c r="J9314" s="184"/>
      <c r="K9314" s="184"/>
      <c r="L9314" s="184"/>
      <c r="M9314" s="184"/>
      <c r="N9314" s="184"/>
      <c r="O9314" s="184"/>
    </row>
    <row r="9315" customFormat="false" ht="15" hidden="false" customHeight="true" outlineLevel="0" collapsed="false">
      <c r="A9315" s="184"/>
      <c r="B9315" s="184"/>
      <c r="C9315" s="184"/>
      <c r="D9315" s="184"/>
      <c r="E9315" s="184"/>
      <c r="F9315" s="184"/>
      <c r="G9315" s="184"/>
      <c r="H9315" s="184"/>
      <c r="I9315" s="184"/>
      <c r="J9315" s="184"/>
      <c r="K9315" s="184"/>
      <c r="L9315" s="184"/>
      <c r="M9315" s="184"/>
      <c r="N9315" s="184"/>
      <c r="O9315" s="184"/>
    </row>
    <row r="9316" customFormat="false" ht="15" hidden="false" customHeight="true" outlineLevel="0" collapsed="false">
      <c r="A9316" s="184"/>
      <c r="B9316" s="184"/>
      <c r="C9316" s="184"/>
      <c r="D9316" s="184"/>
      <c r="E9316" s="184"/>
      <c r="F9316" s="184"/>
      <c r="G9316" s="184"/>
      <c r="H9316" s="184"/>
      <c r="I9316" s="184"/>
      <c r="J9316" s="184"/>
      <c r="K9316" s="184"/>
      <c r="L9316" s="184"/>
      <c r="M9316" s="184"/>
      <c r="N9316" s="184"/>
      <c r="O9316" s="184"/>
    </row>
    <row r="9317" customFormat="false" ht="15" hidden="false" customHeight="true" outlineLevel="0" collapsed="false">
      <c r="A9317" s="184"/>
      <c r="B9317" s="184"/>
      <c r="C9317" s="184"/>
      <c r="D9317" s="184"/>
      <c r="E9317" s="184"/>
      <c r="F9317" s="184"/>
      <c r="G9317" s="184"/>
      <c r="H9317" s="184"/>
      <c r="I9317" s="184"/>
      <c r="J9317" s="184"/>
      <c r="K9317" s="184"/>
      <c r="L9317" s="184"/>
      <c r="M9317" s="184"/>
      <c r="N9317" s="184"/>
      <c r="O9317" s="184"/>
    </row>
    <row r="9318" customFormat="false" ht="15" hidden="false" customHeight="true" outlineLevel="0" collapsed="false">
      <c r="A9318" s="184"/>
      <c r="B9318" s="184"/>
      <c r="C9318" s="184"/>
      <c r="D9318" s="184"/>
      <c r="E9318" s="184"/>
      <c r="F9318" s="184"/>
      <c r="G9318" s="184"/>
      <c r="H9318" s="184"/>
      <c r="I9318" s="184"/>
      <c r="J9318" s="184"/>
      <c r="K9318" s="184"/>
      <c r="L9318" s="184"/>
      <c r="M9318" s="184"/>
      <c r="N9318" s="184"/>
      <c r="O9318" s="184"/>
    </row>
    <row r="9319" customFormat="false" ht="15" hidden="false" customHeight="true" outlineLevel="0" collapsed="false">
      <c r="A9319" s="184"/>
      <c r="B9319" s="184"/>
      <c r="C9319" s="184"/>
      <c r="D9319" s="184"/>
      <c r="E9319" s="184"/>
      <c r="F9319" s="184"/>
      <c r="G9319" s="184"/>
      <c r="H9319" s="184"/>
      <c r="I9319" s="184"/>
      <c r="J9319" s="184"/>
      <c r="K9319" s="184"/>
      <c r="L9319" s="184"/>
      <c r="M9319" s="184"/>
      <c r="N9319" s="184"/>
      <c r="O9319" s="184"/>
    </row>
    <row r="9320" customFormat="false" ht="15" hidden="false" customHeight="true" outlineLevel="0" collapsed="false">
      <c r="A9320" s="184"/>
      <c r="B9320" s="184"/>
      <c r="C9320" s="184"/>
      <c r="D9320" s="184"/>
      <c r="E9320" s="184"/>
      <c r="F9320" s="184"/>
      <c r="G9320" s="184"/>
      <c r="H9320" s="184"/>
      <c r="I9320" s="184"/>
      <c r="J9320" s="184"/>
      <c r="K9320" s="184"/>
      <c r="L9320" s="184"/>
      <c r="M9320" s="184"/>
      <c r="N9320" s="184"/>
      <c r="O9320" s="184"/>
    </row>
    <row r="9321" customFormat="false" ht="15" hidden="false" customHeight="true" outlineLevel="0" collapsed="false">
      <c r="A9321" s="184"/>
      <c r="B9321" s="184"/>
      <c r="C9321" s="184"/>
      <c r="D9321" s="184"/>
      <c r="E9321" s="184"/>
      <c r="F9321" s="184"/>
      <c r="G9321" s="184"/>
      <c r="H9321" s="184"/>
      <c r="I9321" s="184"/>
      <c r="J9321" s="184"/>
      <c r="K9321" s="184"/>
      <c r="L9321" s="184"/>
      <c r="M9321" s="184"/>
      <c r="N9321" s="184"/>
      <c r="O9321" s="184"/>
    </row>
    <row r="9322" customFormat="false" ht="15" hidden="false" customHeight="true" outlineLevel="0" collapsed="false">
      <c r="A9322" s="184"/>
      <c r="B9322" s="184"/>
      <c r="C9322" s="184"/>
      <c r="D9322" s="184"/>
      <c r="E9322" s="184"/>
      <c r="F9322" s="184"/>
      <c r="G9322" s="184"/>
      <c r="H9322" s="184"/>
      <c r="I9322" s="184"/>
      <c r="J9322" s="184"/>
      <c r="K9322" s="184"/>
      <c r="L9322" s="184"/>
      <c r="M9322" s="184"/>
      <c r="N9322" s="184"/>
      <c r="O9322" s="184"/>
    </row>
    <row r="9323" customFormat="false" ht="15" hidden="false" customHeight="true" outlineLevel="0" collapsed="false">
      <c r="A9323" s="184"/>
      <c r="B9323" s="184"/>
      <c r="C9323" s="184"/>
      <c r="D9323" s="184"/>
      <c r="E9323" s="184"/>
      <c r="F9323" s="184"/>
      <c r="G9323" s="184"/>
      <c r="H9323" s="184"/>
      <c r="I9323" s="184"/>
      <c r="J9323" s="184"/>
      <c r="K9323" s="184"/>
      <c r="L9323" s="184"/>
      <c r="M9323" s="184"/>
      <c r="N9323" s="184"/>
      <c r="O9323" s="184"/>
    </row>
    <row r="9324" customFormat="false" ht="15" hidden="false" customHeight="true" outlineLevel="0" collapsed="false">
      <c r="A9324" s="184"/>
      <c r="B9324" s="184"/>
      <c r="C9324" s="184"/>
      <c r="D9324" s="184"/>
      <c r="E9324" s="184"/>
      <c r="F9324" s="184"/>
      <c r="G9324" s="184"/>
      <c r="H9324" s="184"/>
      <c r="I9324" s="184"/>
      <c r="J9324" s="184"/>
      <c r="K9324" s="184"/>
      <c r="L9324" s="184"/>
      <c r="M9324" s="184"/>
      <c r="N9324" s="184"/>
      <c r="O9324" s="184"/>
    </row>
    <row r="9325" customFormat="false" ht="15" hidden="false" customHeight="true" outlineLevel="0" collapsed="false">
      <c r="A9325" s="184"/>
      <c r="B9325" s="184"/>
      <c r="C9325" s="184"/>
      <c r="D9325" s="184"/>
      <c r="E9325" s="184"/>
      <c r="F9325" s="184"/>
      <c r="G9325" s="184"/>
      <c r="H9325" s="184"/>
      <c r="I9325" s="184"/>
      <c r="J9325" s="184"/>
      <c r="K9325" s="184"/>
      <c r="L9325" s="184"/>
      <c r="M9325" s="184"/>
      <c r="N9325" s="184"/>
      <c r="O9325" s="184"/>
    </row>
    <row r="9326" customFormat="false" ht="15" hidden="false" customHeight="true" outlineLevel="0" collapsed="false">
      <c r="A9326" s="184"/>
      <c r="B9326" s="184"/>
      <c r="C9326" s="184"/>
      <c r="D9326" s="184"/>
      <c r="E9326" s="184"/>
      <c r="F9326" s="184"/>
      <c r="G9326" s="184"/>
      <c r="H9326" s="184"/>
      <c r="I9326" s="184"/>
      <c r="J9326" s="184"/>
      <c r="K9326" s="184"/>
      <c r="L9326" s="184"/>
      <c r="M9326" s="184"/>
      <c r="N9326" s="184"/>
      <c r="O9326" s="184"/>
    </row>
    <row r="9327" customFormat="false" ht="15" hidden="false" customHeight="true" outlineLevel="0" collapsed="false">
      <c r="A9327" s="184"/>
      <c r="B9327" s="184"/>
      <c r="C9327" s="184"/>
      <c r="D9327" s="184"/>
      <c r="E9327" s="184"/>
      <c r="F9327" s="184"/>
      <c r="G9327" s="184"/>
      <c r="H9327" s="184"/>
      <c r="I9327" s="184"/>
      <c r="J9327" s="184"/>
      <c r="K9327" s="184"/>
      <c r="L9327" s="184"/>
      <c r="M9327" s="184"/>
      <c r="N9327" s="184"/>
      <c r="O9327" s="184"/>
    </row>
    <row r="9328" customFormat="false" ht="15" hidden="false" customHeight="true" outlineLevel="0" collapsed="false">
      <c r="A9328" s="184"/>
      <c r="B9328" s="184"/>
      <c r="C9328" s="184"/>
      <c r="D9328" s="184"/>
      <c r="E9328" s="184"/>
      <c r="F9328" s="184"/>
      <c r="G9328" s="184"/>
      <c r="H9328" s="184"/>
      <c r="I9328" s="184"/>
      <c r="J9328" s="184"/>
      <c r="K9328" s="184"/>
      <c r="L9328" s="184"/>
      <c r="M9328" s="184"/>
      <c r="N9328" s="184"/>
      <c r="O9328" s="184"/>
    </row>
    <row r="9329" customFormat="false" ht="15" hidden="false" customHeight="true" outlineLevel="0" collapsed="false">
      <c r="A9329" s="184"/>
      <c r="B9329" s="184"/>
      <c r="C9329" s="184"/>
      <c r="D9329" s="184"/>
      <c r="E9329" s="184"/>
      <c r="F9329" s="184"/>
      <c r="G9329" s="184"/>
      <c r="H9329" s="184"/>
      <c r="I9329" s="184"/>
      <c r="J9329" s="184"/>
      <c r="K9329" s="184"/>
      <c r="L9329" s="184"/>
      <c r="M9329" s="184"/>
      <c r="N9329" s="184"/>
      <c r="O9329" s="184"/>
    </row>
    <row r="9330" customFormat="false" ht="15" hidden="false" customHeight="true" outlineLevel="0" collapsed="false">
      <c r="A9330" s="184"/>
      <c r="B9330" s="184"/>
      <c r="C9330" s="184"/>
      <c r="D9330" s="184"/>
      <c r="E9330" s="184"/>
      <c r="F9330" s="184"/>
      <c r="G9330" s="184"/>
      <c r="H9330" s="184"/>
      <c r="I9330" s="184"/>
      <c r="J9330" s="184"/>
      <c r="K9330" s="184"/>
      <c r="L9330" s="184"/>
      <c r="M9330" s="184"/>
      <c r="N9330" s="184"/>
      <c r="O9330" s="184"/>
    </row>
    <row r="9331" customFormat="false" ht="15" hidden="false" customHeight="true" outlineLevel="0" collapsed="false">
      <c r="A9331" s="184"/>
      <c r="B9331" s="184"/>
      <c r="C9331" s="184"/>
      <c r="D9331" s="184"/>
      <c r="E9331" s="184"/>
      <c r="F9331" s="184"/>
      <c r="G9331" s="184"/>
      <c r="H9331" s="184"/>
      <c r="I9331" s="184"/>
      <c r="J9331" s="184"/>
      <c r="K9331" s="184"/>
      <c r="L9331" s="184"/>
      <c r="M9331" s="184"/>
      <c r="N9331" s="184"/>
      <c r="O9331" s="184"/>
    </row>
    <row r="9332" customFormat="false" ht="15" hidden="false" customHeight="true" outlineLevel="0" collapsed="false">
      <c r="A9332" s="184"/>
      <c r="B9332" s="184"/>
      <c r="C9332" s="184"/>
      <c r="D9332" s="184"/>
      <c r="E9332" s="184"/>
      <c r="F9332" s="184"/>
      <c r="G9332" s="184"/>
      <c r="H9332" s="184"/>
      <c r="I9332" s="184"/>
      <c r="J9332" s="184"/>
      <c r="K9332" s="184"/>
      <c r="L9332" s="184"/>
      <c r="M9332" s="184"/>
      <c r="N9332" s="184"/>
      <c r="O9332" s="184"/>
    </row>
    <row r="9333" customFormat="false" ht="15" hidden="false" customHeight="true" outlineLevel="0" collapsed="false">
      <c r="A9333" s="184"/>
      <c r="B9333" s="184"/>
      <c r="C9333" s="184"/>
      <c r="D9333" s="184"/>
      <c r="E9333" s="184"/>
      <c r="F9333" s="184"/>
      <c r="G9333" s="184"/>
      <c r="H9333" s="184"/>
      <c r="I9333" s="184"/>
      <c r="J9333" s="184"/>
      <c r="K9333" s="184"/>
      <c r="L9333" s="184"/>
      <c r="M9333" s="184"/>
      <c r="N9333" s="184"/>
      <c r="O9333" s="184"/>
    </row>
    <row r="9334" customFormat="false" ht="15" hidden="false" customHeight="true" outlineLevel="0" collapsed="false">
      <c r="A9334" s="184"/>
      <c r="B9334" s="184"/>
      <c r="C9334" s="184"/>
      <c r="D9334" s="184"/>
      <c r="E9334" s="184"/>
      <c r="F9334" s="184"/>
      <c r="G9334" s="184"/>
      <c r="H9334" s="184"/>
      <c r="I9334" s="184"/>
      <c r="J9334" s="184"/>
      <c r="K9334" s="184"/>
      <c r="L9334" s="184"/>
      <c r="M9334" s="184"/>
      <c r="N9334" s="184"/>
      <c r="O9334" s="184"/>
    </row>
    <row r="9335" customFormat="false" ht="15" hidden="false" customHeight="true" outlineLevel="0" collapsed="false">
      <c r="A9335" s="184"/>
      <c r="B9335" s="184"/>
      <c r="C9335" s="184"/>
      <c r="D9335" s="184"/>
      <c r="E9335" s="184"/>
      <c r="F9335" s="184"/>
      <c r="G9335" s="184"/>
      <c r="H9335" s="184"/>
      <c r="I9335" s="184"/>
      <c r="J9335" s="184"/>
      <c r="K9335" s="184"/>
      <c r="L9335" s="184"/>
      <c r="M9335" s="184"/>
      <c r="N9335" s="184"/>
      <c r="O9335" s="184"/>
    </row>
    <row r="9336" customFormat="false" ht="15" hidden="false" customHeight="true" outlineLevel="0" collapsed="false">
      <c r="A9336" s="184"/>
      <c r="B9336" s="184"/>
      <c r="C9336" s="184"/>
      <c r="D9336" s="184"/>
      <c r="E9336" s="184"/>
      <c r="F9336" s="184"/>
      <c r="G9336" s="184"/>
      <c r="H9336" s="184"/>
      <c r="I9336" s="184"/>
      <c r="J9336" s="184"/>
      <c r="K9336" s="184"/>
      <c r="L9336" s="184"/>
      <c r="M9336" s="184"/>
      <c r="N9336" s="184"/>
      <c r="O9336" s="184"/>
    </row>
    <row r="9337" customFormat="false" ht="15" hidden="false" customHeight="true" outlineLevel="0" collapsed="false">
      <c r="A9337" s="184"/>
      <c r="B9337" s="184"/>
      <c r="C9337" s="184"/>
      <c r="D9337" s="184"/>
      <c r="E9337" s="184"/>
      <c r="F9337" s="184"/>
      <c r="G9337" s="184"/>
      <c r="H9337" s="184"/>
      <c r="I9337" s="184"/>
      <c r="J9337" s="184"/>
      <c r="K9337" s="184"/>
      <c r="L9337" s="184"/>
      <c r="M9337" s="184"/>
      <c r="N9337" s="184"/>
      <c r="O9337" s="184"/>
    </row>
    <row r="9338" customFormat="false" ht="15" hidden="false" customHeight="true" outlineLevel="0" collapsed="false">
      <c r="A9338" s="184"/>
      <c r="B9338" s="184"/>
      <c r="C9338" s="184"/>
      <c r="D9338" s="184"/>
      <c r="E9338" s="184"/>
      <c r="F9338" s="184"/>
      <c r="G9338" s="184"/>
      <c r="H9338" s="184"/>
      <c r="I9338" s="184"/>
      <c r="J9338" s="184"/>
      <c r="K9338" s="184"/>
      <c r="L9338" s="184"/>
      <c r="M9338" s="184"/>
      <c r="N9338" s="184"/>
      <c r="O9338" s="184"/>
    </row>
    <row r="9339" customFormat="false" ht="15" hidden="false" customHeight="true" outlineLevel="0" collapsed="false">
      <c r="A9339" s="184"/>
      <c r="B9339" s="184"/>
      <c r="C9339" s="184"/>
      <c r="D9339" s="184"/>
      <c r="E9339" s="184"/>
      <c r="F9339" s="184"/>
      <c r="G9339" s="184"/>
      <c r="H9339" s="184"/>
      <c r="I9339" s="184"/>
      <c r="J9339" s="184"/>
      <c r="K9339" s="184"/>
      <c r="L9339" s="184"/>
      <c r="M9339" s="184"/>
      <c r="N9339" s="184"/>
      <c r="O9339" s="184"/>
    </row>
    <row r="9340" customFormat="false" ht="15" hidden="false" customHeight="true" outlineLevel="0" collapsed="false">
      <c r="A9340" s="184"/>
      <c r="B9340" s="184"/>
      <c r="C9340" s="184"/>
      <c r="D9340" s="184"/>
      <c r="E9340" s="184"/>
      <c r="F9340" s="184"/>
      <c r="G9340" s="184"/>
      <c r="H9340" s="184"/>
      <c r="I9340" s="184"/>
      <c r="J9340" s="184"/>
      <c r="K9340" s="184"/>
      <c r="L9340" s="184"/>
      <c r="M9340" s="184"/>
      <c r="N9340" s="184"/>
      <c r="O9340" s="184"/>
    </row>
    <row r="9341" customFormat="false" ht="15" hidden="false" customHeight="true" outlineLevel="0" collapsed="false">
      <c r="A9341" s="184"/>
      <c r="B9341" s="184"/>
      <c r="C9341" s="184"/>
      <c r="D9341" s="184"/>
      <c r="E9341" s="184"/>
      <c r="F9341" s="184"/>
      <c r="G9341" s="184"/>
      <c r="H9341" s="184"/>
      <c r="I9341" s="184"/>
      <c r="J9341" s="184"/>
      <c r="K9341" s="184"/>
      <c r="L9341" s="184"/>
      <c r="M9341" s="184"/>
      <c r="N9341" s="184"/>
      <c r="O9341" s="184"/>
    </row>
    <row r="9342" customFormat="false" ht="15" hidden="false" customHeight="true" outlineLevel="0" collapsed="false">
      <c r="A9342" s="184"/>
      <c r="B9342" s="184"/>
      <c r="C9342" s="184"/>
      <c r="D9342" s="184"/>
      <c r="E9342" s="184"/>
      <c r="F9342" s="184"/>
      <c r="G9342" s="184"/>
      <c r="H9342" s="184"/>
      <c r="I9342" s="184"/>
      <c r="J9342" s="184"/>
      <c r="K9342" s="184"/>
      <c r="L9342" s="184"/>
      <c r="M9342" s="184"/>
      <c r="N9342" s="184"/>
      <c r="O9342" s="184"/>
    </row>
    <row r="9343" customFormat="false" ht="15" hidden="false" customHeight="true" outlineLevel="0" collapsed="false">
      <c r="A9343" s="184"/>
      <c r="B9343" s="184"/>
      <c r="C9343" s="184"/>
      <c r="D9343" s="184"/>
      <c r="E9343" s="184"/>
      <c r="F9343" s="184"/>
      <c r="G9343" s="184"/>
      <c r="H9343" s="184"/>
      <c r="I9343" s="184"/>
      <c r="J9343" s="184"/>
      <c r="K9343" s="184"/>
      <c r="L9343" s="184"/>
      <c r="M9343" s="184"/>
      <c r="N9343" s="184"/>
      <c r="O9343" s="184"/>
    </row>
    <row r="9344" customFormat="false" ht="15" hidden="false" customHeight="true" outlineLevel="0" collapsed="false">
      <c r="A9344" s="184"/>
      <c r="B9344" s="184"/>
      <c r="C9344" s="184"/>
      <c r="D9344" s="184"/>
      <c r="E9344" s="184"/>
      <c r="F9344" s="184"/>
      <c r="G9344" s="184"/>
      <c r="H9344" s="184"/>
      <c r="I9344" s="184"/>
      <c r="J9344" s="184"/>
      <c r="K9344" s="184"/>
      <c r="L9344" s="184"/>
      <c r="M9344" s="184"/>
      <c r="N9344" s="184"/>
      <c r="O9344" s="184"/>
    </row>
    <row r="9345" customFormat="false" ht="15" hidden="false" customHeight="true" outlineLevel="0" collapsed="false">
      <c r="A9345" s="184"/>
      <c r="B9345" s="184"/>
      <c r="C9345" s="184"/>
      <c r="D9345" s="184"/>
      <c r="E9345" s="184"/>
      <c r="F9345" s="184"/>
      <c r="G9345" s="184"/>
      <c r="H9345" s="184"/>
      <c r="I9345" s="184"/>
      <c r="J9345" s="184"/>
      <c r="K9345" s="184"/>
      <c r="L9345" s="184"/>
      <c r="M9345" s="184"/>
      <c r="N9345" s="184"/>
      <c r="O9345" s="184"/>
    </row>
    <row r="9346" customFormat="false" ht="15" hidden="false" customHeight="true" outlineLevel="0" collapsed="false">
      <c r="A9346" s="184"/>
      <c r="B9346" s="184"/>
      <c r="C9346" s="184"/>
      <c r="D9346" s="184"/>
      <c r="E9346" s="184"/>
      <c r="F9346" s="184"/>
      <c r="G9346" s="184"/>
      <c r="H9346" s="184"/>
      <c r="I9346" s="184"/>
      <c r="J9346" s="184"/>
      <c r="K9346" s="184"/>
      <c r="L9346" s="184"/>
      <c r="M9346" s="184"/>
      <c r="N9346" s="184"/>
      <c r="O9346" s="184"/>
    </row>
    <row r="9347" customFormat="false" ht="15" hidden="false" customHeight="true" outlineLevel="0" collapsed="false">
      <c r="A9347" s="184"/>
      <c r="B9347" s="184"/>
      <c r="C9347" s="184"/>
      <c r="D9347" s="184"/>
      <c r="E9347" s="184"/>
      <c r="F9347" s="184"/>
      <c r="G9347" s="184"/>
      <c r="H9347" s="184"/>
      <c r="I9347" s="184"/>
      <c r="J9347" s="184"/>
      <c r="K9347" s="184"/>
      <c r="L9347" s="184"/>
      <c r="M9347" s="184"/>
      <c r="N9347" s="184"/>
      <c r="O9347" s="184"/>
    </row>
    <row r="9348" customFormat="false" ht="15" hidden="false" customHeight="true" outlineLevel="0" collapsed="false">
      <c r="A9348" s="184"/>
      <c r="B9348" s="184"/>
      <c r="C9348" s="184"/>
      <c r="D9348" s="184"/>
      <c r="E9348" s="184"/>
      <c r="F9348" s="184"/>
      <c r="G9348" s="184"/>
      <c r="H9348" s="184"/>
      <c r="I9348" s="184"/>
      <c r="J9348" s="184"/>
      <c r="K9348" s="184"/>
      <c r="L9348" s="184"/>
      <c r="M9348" s="184"/>
      <c r="N9348" s="184"/>
      <c r="O9348" s="184"/>
    </row>
    <row r="9349" customFormat="false" ht="15" hidden="false" customHeight="true" outlineLevel="0" collapsed="false">
      <c r="A9349" s="184"/>
      <c r="B9349" s="184"/>
      <c r="C9349" s="184"/>
      <c r="D9349" s="184"/>
      <c r="E9349" s="184"/>
      <c r="F9349" s="184"/>
      <c r="G9349" s="184"/>
      <c r="H9349" s="184"/>
      <c r="I9349" s="184"/>
      <c r="J9349" s="184"/>
      <c r="K9349" s="184"/>
      <c r="L9349" s="184"/>
      <c r="M9349" s="184"/>
      <c r="N9349" s="184"/>
      <c r="O9349" s="184"/>
    </row>
    <row r="9350" customFormat="false" ht="15" hidden="false" customHeight="true" outlineLevel="0" collapsed="false">
      <c r="A9350" s="184"/>
      <c r="B9350" s="184"/>
      <c r="C9350" s="184"/>
      <c r="D9350" s="184"/>
      <c r="E9350" s="184"/>
      <c r="F9350" s="184"/>
      <c r="G9350" s="184"/>
      <c r="H9350" s="184"/>
      <c r="I9350" s="184"/>
      <c r="J9350" s="184"/>
      <c r="K9350" s="184"/>
      <c r="L9350" s="184"/>
      <c r="M9350" s="184"/>
      <c r="N9350" s="184"/>
      <c r="O9350" s="184"/>
    </row>
    <row r="9351" customFormat="false" ht="15" hidden="false" customHeight="true" outlineLevel="0" collapsed="false">
      <c r="A9351" s="184"/>
      <c r="B9351" s="184"/>
      <c r="C9351" s="184"/>
      <c r="D9351" s="184"/>
      <c r="E9351" s="184"/>
      <c r="F9351" s="184"/>
      <c r="G9351" s="184"/>
      <c r="H9351" s="184"/>
      <c r="I9351" s="184"/>
      <c r="J9351" s="184"/>
      <c r="K9351" s="184"/>
      <c r="L9351" s="184"/>
      <c r="M9351" s="184"/>
      <c r="N9351" s="184"/>
      <c r="O9351" s="184"/>
    </row>
    <row r="9352" customFormat="false" ht="15" hidden="false" customHeight="true" outlineLevel="0" collapsed="false">
      <c r="A9352" s="184"/>
      <c r="B9352" s="184"/>
      <c r="C9352" s="184"/>
      <c r="D9352" s="184"/>
      <c r="E9352" s="184"/>
      <c r="F9352" s="184"/>
      <c r="G9352" s="184"/>
      <c r="H9352" s="184"/>
      <c r="I9352" s="184"/>
      <c r="J9352" s="184"/>
      <c r="K9352" s="184"/>
      <c r="L9352" s="184"/>
      <c r="M9352" s="184"/>
      <c r="N9352" s="184"/>
      <c r="O9352" s="184"/>
    </row>
    <row r="9353" customFormat="false" ht="15" hidden="false" customHeight="true" outlineLevel="0" collapsed="false">
      <c r="A9353" s="184"/>
      <c r="B9353" s="184"/>
      <c r="C9353" s="184"/>
      <c r="D9353" s="184"/>
      <c r="E9353" s="184"/>
      <c r="F9353" s="184"/>
      <c r="G9353" s="184"/>
      <c r="H9353" s="184"/>
      <c r="I9353" s="184"/>
      <c r="J9353" s="184"/>
      <c r="K9353" s="184"/>
      <c r="L9353" s="184"/>
      <c r="M9353" s="184"/>
      <c r="N9353" s="184"/>
      <c r="O9353" s="184"/>
    </row>
    <row r="9354" customFormat="false" ht="15" hidden="false" customHeight="true" outlineLevel="0" collapsed="false">
      <c r="A9354" s="184"/>
      <c r="B9354" s="184"/>
      <c r="C9354" s="184"/>
      <c r="D9354" s="184"/>
      <c r="E9354" s="184"/>
      <c r="F9354" s="184"/>
      <c r="G9354" s="184"/>
      <c r="H9354" s="184"/>
      <c r="I9354" s="184"/>
      <c r="J9354" s="184"/>
      <c r="K9354" s="184"/>
      <c r="L9354" s="184"/>
      <c r="M9354" s="184"/>
      <c r="N9354" s="184"/>
      <c r="O9354" s="184"/>
    </row>
    <row r="9355" customFormat="false" ht="15" hidden="false" customHeight="true" outlineLevel="0" collapsed="false">
      <c r="A9355" s="184"/>
      <c r="B9355" s="184"/>
      <c r="C9355" s="184"/>
      <c r="D9355" s="184"/>
      <c r="E9355" s="184"/>
      <c r="F9355" s="184"/>
      <c r="G9355" s="184"/>
      <c r="H9355" s="184"/>
      <c r="I9355" s="184"/>
      <c r="J9355" s="184"/>
      <c r="K9355" s="184"/>
      <c r="L9355" s="184"/>
      <c r="M9355" s="184"/>
      <c r="N9355" s="184"/>
      <c r="O9355" s="184"/>
    </row>
    <row r="9356" customFormat="false" ht="15" hidden="false" customHeight="true" outlineLevel="0" collapsed="false">
      <c r="A9356" s="184"/>
      <c r="B9356" s="184"/>
      <c r="C9356" s="184"/>
      <c r="D9356" s="184"/>
      <c r="E9356" s="184"/>
      <c r="F9356" s="184"/>
      <c r="G9356" s="184"/>
      <c r="H9356" s="184"/>
      <c r="I9356" s="184"/>
      <c r="J9356" s="184"/>
      <c r="K9356" s="184"/>
      <c r="L9356" s="184"/>
      <c r="M9356" s="184"/>
      <c r="N9356" s="184"/>
      <c r="O9356" s="184"/>
    </row>
    <row r="9357" customFormat="false" ht="15" hidden="false" customHeight="true" outlineLevel="0" collapsed="false">
      <c r="A9357" s="184"/>
      <c r="B9357" s="184"/>
      <c r="C9357" s="184"/>
      <c r="D9357" s="184"/>
      <c r="E9357" s="184"/>
      <c r="F9357" s="184"/>
      <c r="G9357" s="184"/>
      <c r="H9357" s="184"/>
      <c r="I9357" s="184"/>
      <c r="J9357" s="184"/>
      <c r="K9357" s="184"/>
      <c r="L9357" s="184"/>
      <c r="M9357" s="184"/>
      <c r="N9357" s="184"/>
      <c r="O9357" s="184"/>
    </row>
    <row r="9358" customFormat="false" ht="15" hidden="false" customHeight="true" outlineLevel="0" collapsed="false">
      <c r="A9358" s="184"/>
      <c r="B9358" s="184"/>
      <c r="C9358" s="184"/>
      <c r="D9358" s="184"/>
      <c r="E9358" s="184"/>
      <c r="F9358" s="184"/>
      <c r="G9358" s="184"/>
      <c r="H9358" s="184"/>
      <c r="I9358" s="184"/>
      <c r="J9358" s="184"/>
      <c r="K9358" s="184"/>
      <c r="L9358" s="184"/>
      <c r="M9358" s="184"/>
      <c r="N9358" s="184"/>
      <c r="O9358" s="184"/>
    </row>
    <row r="9359" customFormat="false" ht="15" hidden="false" customHeight="true" outlineLevel="0" collapsed="false">
      <c r="A9359" s="184"/>
      <c r="B9359" s="184"/>
      <c r="C9359" s="184"/>
      <c r="D9359" s="184"/>
      <c r="E9359" s="184"/>
      <c r="F9359" s="184"/>
      <c r="G9359" s="184"/>
      <c r="H9359" s="184"/>
      <c r="I9359" s="184"/>
      <c r="J9359" s="184"/>
      <c r="K9359" s="184"/>
      <c r="L9359" s="184"/>
      <c r="M9359" s="184"/>
      <c r="N9359" s="184"/>
      <c r="O9359" s="184"/>
    </row>
    <row r="9360" customFormat="false" ht="15" hidden="false" customHeight="true" outlineLevel="0" collapsed="false">
      <c r="A9360" s="184"/>
      <c r="B9360" s="184"/>
      <c r="C9360" s="184"/>
      <c r="D9360" s="184"/>
      <c r="E9360" s="184"/>
      <c r="F9360" s="184"/>
      <c r="G9360" s="184"/>
      <c r="H9360" s="184"/>
      <c r="I9360" s="184"/>
      <c r="J9360" s="184"/>
      <c r="K9360" s="184"/>
      <c r="L9360" s="184"/>
      <c r="M9360" s="184"/>
      <c r="N9360" s="184"/>
      <c r="O9360" s="184"/>
    </row>
    <row r="9361" customFormat="false" ht="15" hidden="false" customHeight="true" outlineLevel="0" collapsed="false">
      <c r="A9361" s="184"/>
      <c r="B9361" s="184"/>
      <c r="C9361" s="184"/>
      <c r="D9361" s="184"/>
      <c r="E9361" s="184"/>
      <c r="F9361" s="184"/>
      <c r="G9361" s="184"/>
      <c r="H9361" s="184"/>
      <c r="I9361" s="184"/>
      <c r="J9361" s="184"/>
      <c r="K9361" s="184"/>
      <c r="L9361" s="184"/>
      <c r="M9361" s="184"/>
      <c r="N9361" s="184"/>
      <c r="O9361" s="184"/>
    </row>
    <row r="9362" customFormat="false" ht="15" hidden="false" customHeight="true" outlineLevel="0" collapsed="false">
      <c r="A9362" s="184"/>
      <c r="B9362" s="184"/>
      <c r="C9362" s="184"/>
      <c r="D9362" s="184"/>
      <c r="E9362" s="184"/>
      <c r="F9362" s="184"/>
      <c r="G9362" s="184"/>
      <c r="H9362" s="184"/>
      <c r="I9362" s="184"/>
      <c r="J9362" s="184"/>
      <c r="K9362" s="184"/>
      <c r="L9362" s="184"/>
      <c r="M9362" s="184"/>
      <c r="N9362" s="184"/>
      <c r="O9362" s="184"/>
    </row>
    <row r="9363" customFormat="false" ht="15" hidden="false" customHeight="true" outlineLevel="0" collapsed="false">
      <c r="A9363" s="184"/>
      <c r="B9363" s="184"/>
      <c r="C9363" s="184"/>
      <c r="D9363" s="184"/>
      <c r="E9363" s="184"/>
      <c r="F9363" s="184"/>
      <c r="G9363" s="184"/>
      <c r="H9363" s="184"/>
      <c r="I9363" s="184"/>
      <c r="J9363" s="184"/>
      <c r="K9363" s="184"/>
      <c r="L9363" s="184"/>
      <c r="M9363" s="184"/>
      <c r="N9363" s="184"/>
      <c r="O9363" s="184"/>
    </row>
    <row r="9364" customFormat="false" ht="15" hidden="false" customHeight="true" outlineLevel="0" collapsed="false">
      <c r="A9364" s="184"/>
      <c r="B9364" s="184"/>
      <c r="C9364" s="184"/>
      <c r="D9364" s="184"/>
      <c r="E9364" s="184"/>
      <c r="F9364" s="184"/>
      <c r="G9364" s="184"/>
      <c r="H9364" s="184"/>
      <c r="I9364" s="184"/>
      <c r="J9364" s="184"/>
      <c r="K9364" s="184"/>
      <c r="L9364" s="184"/>
      <c r="M9364" s="184"/>
      <c r="N9364" s="184"/>
      <c r="O9364" s="184"/>
    </row>
    <row r="9365" customFormat="false" ht="15" hidden="false" customHeight="true" outlineLevel="0" collapsed="false">
      <c r="A9365" s="184"/>
      <c r="B9365" s="184"/>
      <c r="C9365" s="184"/>
      <c r="D9365" s="184"/>
      <c r="E9365" s="184"/>
      <c r="F9365" s="184"/>
      <c r="G9365" s="184"/>
      <c r="H9365" s="184"/>
      <c r="I9365" s="184"/>
      <c r="J9365" s="184"/>
      <c r="K9365" s="184"/>
      <c r="L9365" s="184"/>
      <c r="M9365" s="184"/>
      <c r="N9365" s="184"/>
      <c r="O9365" s="184"/>
    </row>
    <row r="9366" customFormat="false" ht="15" hidden="false" customHeight="true" outlineLevel="0" collapsed="false">
      <c r="A9366" s="184"/>
      <c r="B9366" s="184"/>
      <c r="C9366" s="184"/>
      <c r="D9366" s="184"/>
      <c r="E9366" s="184"/>
      <c r="F9366" s="184"/>
      <c r="G9366" s="184"/>
      <c r="H9366" s="184"/>
      <c r="I9366" s="184"/>
      <c r="J9366" s="184"/>
      <c r="K9366" s="184"/>
      <c r="L9366" s="184"/>
      <c r="M9366" s="184"/>
      <c r="N9366" s="184"/>
      <c r="O9366" s="184"/>
    </row>
    <row r="9367" customFormat="false" ht="15" hidden="false" customHeight="true" outlineLevel="0" collapsed="false">
      <c r="A9367" s="184"/>
      <c r="B9367" s="184"/>
      <c r="C9367" s="184"/>
      <c r="D9367" s="184"/>
      <c r="E9367" s="184"/>
      <c r="F9367" s="184"/>
      <c r="G9367" s="184"/>
      <c r="H9367" s="184"/>
      <c r="I9367" s="184"/>
      <c r="J9367" s="184"/>
      <c r="K9367" s="184"/>
      <c r="L9367" s="184"/>
      <c r="M9367" s="184"/>
      <c r="N9367" s="184"/>
      <c r="O9367" s="184"/>
    </row>
    <row r="9368" customFormat="false" ht="15" hidden="false" customHeight="true" outlineLevel="0" collapsed="false">
      <c r="A9368" s="184"/>
      <c r="B9368" s="184"/>
      <c r="C9368" s="184"/>
      <c r="D9368" s="184"/>
      <c r="E9368" s="184"/>
      <c r="F9368" s="184"/>
      <c r="G9368" s="184"/>
      <c r="H9368" s="184"/>
      <c r="I9368" s="184"/>
      <c r="J9368" s="184"/>
      <c r="K9368" s="184"/>
      <c r="L9368" s="184"/>
      <c r="M9368" s="184"/>
      <c r="N9368" s="184"/>
      <c r="O9368" s="184"/>
    </row>
    <row r="9369" customFormat="false" ht="15" hidden="false" customHeight="true" outlineLevel="0" collapsed="false">
      <c r="A9369" s="184"/>
      <c r="B9369" s="184"/>
      <c r="C9369" s="184"/>
      <c r="D9369" s="184"/>
      <c r="E9369" s="184"/>
      <c r="F9369" s="184"/>
      <c r="G9369" s="184"/>
      <c r="H9369" s="184"/>
      <c r="I9369" s="184"/>
      <c r="J9369" s="184"/>
      <c r="K9369" s="184"/>
      <c r="L9369" s="184"/>
      <c r="M9369" s="184"/>
      <c r="N9369" s="184"/>
      <c r="O9369" s="184"/>
    </row>
    <row r="9370" customFormat="false" ht="15" hidden="false" customHeight="true" outlineLevel="0" collapsed="false">
      <c r="A9370" s="184"/>
      <c r="B9370" s="184"/>
      <c r="C9370" s="184"/>
      <c r="D9370" s="184"/>
      <c r="E9370" s="184"/>
      <c r="F9370" s="184"/>
      <c r="G9370" s="184"/>
      <c r="H9370" s="184"/>
      <c r="I9370" s="184"/>
      <c r="J9370" s="184"/>
      <c r="K9370" s="184"/>
      <c r="L9370" s="184"/>
      <c r="M9370" s="184"/>
      <c r="N9370" s="184"/>
      <c r="O9370" s="184"/>
    </row>
    <row r="9371" customFormat="false" ht="15" hidden="false" customHeight="true" outlineLevel="0" collapsed="false">
      <c r="A9371" s="184"/>
      <c r="B9371" s="184"/>
      <c r="C9371" s="184"/>
      <c r="D9371" s="184"/>
      <c r="E9371" s="184"/>
      <c r="F9371" s="184"/>
      <c r="G9371" s="184"/>
      <c r="H9371" s="184"/>
      <c r="I9371" s="184"/>
      <c r="J9371" s="184"/>
      <c r="K9371" s="184"/>
      <c r="L9371" s="184"/>
      <c r="M9371" s="184"/>
      <c r="N9371" s="184"/>
      <c r="O9371" s="184"/>
    </row>
    <row r="9372" customFormat="false" ht="15" hidden="false" customHeight="true" outlineLevel="0" collapsed="false">
      <c r="A9372" s="184"/>
      <c r="B9372" s="184"/>
      <c r="C9372" s="184"/>
      <c r="D9372" s="184"/>
      <c r="E9372" s="184"/>
      <c r="F9372" s="184"/>
      <c r="G9372" s="184"/>
      <c r="H9372" s="184"/>
      <c r="I9372" s="184"/>
      <c r="J9372" s="184"/>
      <c r="K9372" s="184"/>
      <c r="L9372" s="184"/>
      <c r="M9372" s="184"/>
      <c r="N9372" s="184"/>
      <c r="O9372" s="184"/>
    </row>
    <row r="9373" customFormat="false" ht="15" hidden="false" customHeight="true" outlineLevel="0" collapsed="false">
      <c r="A9373" s="184"/>
      <c r="B9373" s="184"/>
      <c r="C9373" s="184"/>
      <c r="D9373" s="184"/>
      <c r="E9373" s="184"/>
      <c r="F9373" s="184"/>
      <c r="G9373" s="184"/>
      <c r="H9373" s="184"/>
      <c r="I9373" s="184"/>
      <c r="J9373" s="184"/>
      <c r="K9373" s="184"/>
      <c r="L9373" s="184"/>
      <c r="M9373" s="184"/>
      <c r="N9373" s="184"/>
      <c r="O9373" s="184"/>
    </row>
    <row r="9374" customFormat="false" ht="15" hidden="false" customHeight="true" outlineLevel="0" collapsed="false">
      <c r="A9374" s="184"/>
      <c r="B9374" s="184"/>
      <c r="C9374" s="184"/>
      <c r="D9374" s="184"/>
      <c r="E9374" s="184"/>
      <c r="F9374" s="184"/>
      <c r="G9374" s="184"/>
      <c r="H9374" s="184"/>
      <c r="I9374" s="184"/>
      <c r="J9374" s="184"/>
      <c r="K9374" s="184"/>
      <c r="L9374" s="184"/>
      <c r="M9374" s="184"/>
      <c r="N9374" s="184"/>
      <c r="O9374" s="184"/>
    </row>
    <row r="9375" customFormat="false" ht="15" hidden="false" customHeight="true" outlineLevel="0" collapsed="false">
      <c r="A9375" s="184"/>
      <c r="B9375" s="184"/>
      <c r="C9375" s="184"/>
      <c r="D9375" s="184"/>
      <c r="E9375" s="184"/>
      <c r="F9375" s="184"/>
      <c r="G9375" s="184"/>
      <c r="H9375" s="184"/>
      <c r="I9375" s="184"/>
      <c r="J9375" s="184"/>
      <c r="K9375" s="184"/>
      <c r="L9375" s="184"/>
      <c r="M9375" s="184"/>
      <c r="N9375" s="184"/>
      <c r="O9375" s="184"/>
    </row>
    <row r="9376" customFormat="false" ht="15" hidden="false" customHeight="true" outlineLevel="0" collapsed="false">
      <c r="A9376" s="184"/>
      <c r="B9376" s="184"/>
      <c r="C9376" s="184"/>
      <c r="D9376" s="184"/>
      <c r="E9376" s="184"/>
      <c r="F9376" s="184"/>
      <c r="G9376" s="184"/>
      <c r="H9376" s="184"/>
      <c r="I9376" s="184"/>
      <c r="J9376" s="184"/>
      <c r="K9376" s="184"/>
      <c r="L9376" s="184"/>
      <c r="M9376" s="184"/>
      <c r="N9376" s="184"/>
      <c r="O9376" s="184"/>
    </row>
    <row r="9377" customFormat="false" ht="15" hidden="false" customHeight="true" outlineLevel="0" collapsed="false">
      <c r="A9377" s="184"/>
      <c r="B9377" s="184"/>
      <c r="C9377" s="184"/>
      <c r="D9377" s="184"/>
      <c r="E9377" s="184"/>
      <c r="F9377" s="184"/>
      <c r="G9377" s="184"/>
      <c r="H9377" s="184"/>
      <c r="I9377" s="184"/>
      <c r="J9377" s="184"/>
      <c r="K9377" s="184"/>
      <c r="L9377" s="184"/>
      <c r="M9377" s="184"/>
      <c r="N9377" s="184"/>
      <c r="O9377" s="184"/>
    </row>
    <row r="9378" customFormat="false" ht="15" hidden="false" customHeight="true" outlineLevel="0" collapsed="false">
      <c r="A9378" s="184"/>
      <c r="B9378" s="184"/>
      <c r="C9378" s="184"/>
      <c r="D9378" s="184"/>
      <c r="E9378" s="184"/>
      <c r="F9378" s="184"/>
      <c r="G9378" s="184"/>
      <c r="H9378" s="184"/>
      <c r="I9378" s="184"/>
      <c r="J9378" s="184"/>
      <c r="K9378" s="184"/>
      <c r="L9378" s="184"/>
      <c r="M9378" s="184"/>
      <c r="N9378" s="184"/>
      <c r="O9378" s="184"/>
    </row>
    <row r="9379" customFormat="false" ht="15" hidden="false" customHeight="true" outlineLevel="0" collapsed="false">
      <c r="A9379" s="184"/>
      <c r="B9379" s="184"/>
      <c r="C9379" s="184"/>
      <c r="D9379" s="184"/>
      <c r="E9379" s="184"/>
      <c r="F9379" s="184"/>
      <c r="G9379" s="184"/>
      <c r="H9379" s="184"/>
      <c r="I9379" s="184"/>
      <c r="J9379" s="184"/>
      <c r="K9379" s="184"/>
      <c r="L9379" s="184"/>
      <c r="M9379" s="184"/>
      <c r="N9379" s="184"/>
      <c r="O9379" s="184"/>
    </row>
    <row r="9380" customFormat="false" ht="15" hidden="false" customHeight="true" outlineLevel="0" collapsed="false">
      <c r="A9380" s="184"/>
      <c r="B9380" s="184"/>
      <c r="C9380" s="184"/>
      <c r="D9380" s="184"/>
      <c r="E9380" s="184"/>
      <c r="F9380" s="184"/>
      <c r="G9380" s="184"/>
      <c r="H9380" s="184"/>
      <c r="I9380" s="184"/>
      <c r="J9380" s="184"/>
      <c r="K9380" s="184"/>
      <c r="L9380" s="184"/>
      <c r="M9380" s="184"/>
      <c r="N9380" s="184"/>
      <c r="O9380" s="184"/>
    </row>
    <row r="9381" customFormat="false" ht="15" hidden="false" customHeight="true" outlineLevel="0" collapsed="false">
      <c r="A9381" s="184"/>
      <c r="B9381" s="184"/>
      <c r="C9381" s="184"/>
      <c r="D9381" s="184"/>
      <c r="E9381" s="184"/>
      <c r="F9381" s="184"/>
      <c r="G9381" s="184"/>
      <c r="H9381" s="184"/>
      <c r="I9381" s="184"/>
      <c r="J9381" s="184"/>
      <c r="K9381" s="184"/>
      <c r="L9381" s="184"/>
      <c r="M9381" s="184"/>
      <c r="N9381" s="184"/>
      <c r="O9381" s="184"/>
    </row>
    <row r="9382" customFormat="false" ht="15" hidden="false" customHeight="true" outlineLevel="0" collapsed="false">
      <c r="A9382" s="184"/>
      <c r="B9382" s="184"/>
      <c r="C9382" s="184"/>
      <c r="D9382" s="184"/>
      <c r="E9382" s="184"/>
      <c r="F9382" s="184"/>
      <c r="G9382" s="184"/>
      <c r="H9382" s="184"/>
      <c r="I9382" s="184"/>
      <c r="J9382" s="184"/>
      <c r="K9382" s="184"/>
      <c r="L9382" s="184"/>
      <c r="M9382" s="184"/>
      <c r="N9382" s="184"/>
      <c r="O9382" s="184"/>
    </row>
    <row r="9383" customFormat="false" ht="15" hidden="false" customHeight="true" outlineLevel="0" collapsed="false">
      <c r="A9383" s="184"/>
      <c r="B9383" s="184"/>
      <c r="C9383" s="184"/>
      <c r="D9383" s="184"/>
      <c r="E9383" s="184"/>
      <c r="F9383" s="184"/>
      <c r="G9383" s="184"/>
      <c r="H9383" s="184"/>
      <c r="I9383" s="184"/>
      <c r="J9383" s="184"/>
      <c r="K9383" s="184"/>
      <c r="L9383" s="184"/>
      <c r="M9383" s="184"/>
      <c r="N9383" s="184"/>
      <c r="O9383" s="184"/>
    </row>
    <row r="9384" customFormat="false" ht="15" hidden="false" customHeight="true" outlineLevel="0" collapsed="false">
      <c r="A9384" s="184"/>
      <c r="B9384" s="184"/>
      <c r="C9384" s="184"/>
      <c r="D9384" s="184"/>
      <c r="E9384" s="184"/>
      <c r="F9384" s="184"/>
      <c r="G9384" s="184"/>
      <c r="H9384" s="184"/>
      <c r="I9384" s="184"/>
      <c r="J9384" s="184"/>
      <c r="K9384" s="184"/>
      <c r="L9384" s="184"/>
      <c r="M9384" s="184"/>
      <c r="N9384" s="184"/>
      <c r="O9384" s="184"/>
    </row>
    <row r="9385" customFormat="false" ht="15" hidden="false" customHeight="true" outlineLevel="0" collapsed="false">
      <c r="A9385" s="184"/>
      <c r="B9385" s="184"/>
      <c r="C9385" s="184"/>
      <c r="D9385" s="184"/>
      <c r="E9385" s="184"/>
      <c r="F9385" s="184"/>
      <c r="G9385" s="184"/>
      <c r="H9385" s="184"/>
      <c r="I9385" s="184"/>
      <c r="J9385" s="184"/>
      <c r="K9385" s="184"/>
      <c r="L9385" s="184"/>
      <c r="M9385" s="184"/>
      <c r="N9385" s="184"/>
      <c r="O9385" s="184"/>
    </row>
    <row r="9386" customFormat="false" ht="15" hidden="false" customHeight="true" outlineLevel="0" collapsed="false">
      <c r="A9386" s="184"/>
      <c r="B9386" s="184"/>
      <c r="C9386" s="184"/>
      <c r="D9386" s="184"/>
      <c r="E9386" s="184"/>
      <c r="F9386" s="184"/>
      <c r="G9386" s="184"/>
      <c r="H9386" s="184"/>
      <c r="I9386" s="184"/>
      <c r="J9386" s="184"/>
      <c r="K9386" s="184"/>
      <c r="L9386" s="184"/>
      <c r="M9386" s="184"/>
      <c r="N9386" s="184"/>
      <c r="O9386" s="184"/>
    </row>
    <row r="9387" customFormat="false" ht="15" hidden="false" customHeight="true" outlineLevel="0" collapsed="false">
      <c r="A9387" s="184"/>
      <c r="B9387" s="184"/>
      <c r="C9387" s="184"/>
      <c r="D9387" s="184"/>
      <c r="E9387" s="184"/>
      <c r="F9387" s="184"/>
      <c r="G9387" s="184"/>
      <c r="H9387" s="184"/>
      <c r="I9387" s="184"/>
      <c r="J9387" s="184"/>
      <c r="K9387" s="184"/>
      <c r="L9387" s="184"/>
      <c r="M9387" s="184"/>
      <c r="N9387" s="184"/>
      <c r="O9387" s="184"/>
    </row>
    <row r="9388" customFormat="false" ht="15" hidden="false" customHeight="true" outlineLevel="0" collapsed="false">
      <c r="A9388" s="184"/>
      <c r="B9388" s="184"/>
      <c r="C9388" s="184"/>
      <c r="D9388" s="184"/>
      <c r="E9388" s="184"/>
      <c r="F9388" s="184"/>
      <c r="G9388" s="184"/>
      <c r="H9388" s="184"/>
      <c r="I9388" s="184"/>
      <c r="J9388" s="184"/>
      <c r="K9388" s="184"/>
      <c r="L9388" s="184"/>
      <c r="M9388" s="184"/>
      <c r="N9388" s="184"/>
      <c r="O9388" s="184"/>
    </row>
    <row r="9389" customFormat="false" ht="15" hidden="false" customHeight="true" outlineLevel="0" collapsed="false">
      <c r="A9389" s="184"/>
      <c r="B9389" s="184"/>
      <c r="C9389" s="184"/>
      <c r="D9389" s="184"/>
      <c r="E9389" s="184"/>
      <c r="F9389" s="184"/>
      <c r="G9389" s="184"/>
      <c r="H9389" s="184"/>
      <c r="I9389" s="184"/>
      <c r="J9389" s="184"/>
      <c r="K9389" s="184"/>
      <c r="L9389" s="184"/>
      <c r="M9389" s="184"/>
      <c r="N9389" s="184"/>
      <c r="O9389" s="184"/>
    </row>
    <row r="9390" customFormat="false" ht="15" hidden="false" customHeight="true" outlineLevel="0" collapsed="false">
      <c r="A9390" s="184"/>
      <c r="B9390" s="184"/>
      <c r="C9390" s="184"/>
      <c r="D9390" s="184"/>
      <c r="E9390" s="184"/>
      <c r="F9390" s="184"/>
      <c r="G9390" s="184"/>
      <c r="H9390" s="184"/>
      <c r="I9390" s="184"/>
      <c r="J9390" s="184"/>
      <c r="K9390" s="184"/>
      <c r="L9390" s="184"/>
      <c r="M9390" s="184"/>
      <c r="N9390" s="184"/>
      <c r="O9390" s="184"/>
    </row>
    <row r="9391" customFormat="false" ht="15" hidden="false" customHeight="true" outlineLevel="0" collapsed="false">
      <c r="A9391" s="184"/>
      <c r="B9391" s="184"/>
      <c r="C9391" s="184"/>
      <c r="D9391" s="184"/>
      <c r="E9391" s="184"/>
      <c r="F9391" s="184"/>
      <c r="G9391" s="184"/>
      <c r="H9391" s="184"/>
      <c r="I9391" s="184"/>
      <c r="J9391" s="184"/>
      <c r="K9391" s="184"/>
      <c r="L9391" s="184"/>
      <c r="M9391" s="184"/>
      <c r="N9391" s="184"/>
      <c r="O9391" s="184"/>
    </row>
    <row r="9392" customFormat="false" ht="15" hidden="false" customHeight="true" outlineLevel="0" collapsed="false">
      <c r="A9392" s="184"/>
      <c r="B9392" s="184"/>
      <c r="C9392" s="184"/>
      <c r="D9392" s="184"/>
      <c r="E9392" s="184"/>
      <c r="F9392" s="184"/>
      <c r="G9392" s="184"/>
      <c r="H9392" s="184"/>
      <c r="I9392" s="184"/>
      <c r="J9392" s="184"/>
      <c r="K9392" s="184"/>
      <c r="L9392" s="184"/>
      <c r="M9392" s="184"/>
      <c r="N9392" s="184"/>
      <c r="O9392" s="184"/>
    </row>
    <row r="9393" customFormat="false" ht="15" hidden="false" customHeight="true" outlineLevel="0" collapsed="false">
      <c r="A9393" s="184"/>
      <c r="B9393" s="184"/>
      <c r="C9393" s="184"/>
      <c r="D9393" s="184"/>
      <c r="E9393" s="184"/>
      <c r="F9393" s="184"/>
      <c r="G9393" s="184"/>
      <c r="H9393" s="184"/>
      <c r="I9393" s="184"/>
      <c r="J9393" s="184"/>
      <c r="K9393" s="184"/>
      <c r="L9393" s="184"/>
      <c r="M9393" s="184"/>
      <c r="N9393" s="184"/>
      <c r="O9393" s="184"/>
    </row>
    <row r="9394" customFormat="false" ht="15" hidden="false" customHeight="true" outlineLevel="0" collapsed="false">
      <c r="A9394" s="184"/>
      <c r="B9394" s="184"/>
      <c r="C9394" s="184"/>
      <c r="D9394" s="184"/>
      <c r="E9394" s="184"/>
      <c r="F9394" s="184"/>
      <c r="G9394" s="184"/>
      <c r="H9394" s="184"/>
      <c r="I9394" s="184"/>
      <c r="J9394" s="184"/>
      <c r="K9394" s="184"/>
      <c r="L9394" s="184"/>
      <c r="M9394" s="184"/>
      <c r="N9394" s="184"/>
      <c r="O9394" s="184"/>
    </row>
    <row r="9395" customFormat="false" ht="15" hidden="false" customHeight="true" outlineLevel="0" collapsed="false">
      <c r="A9395" s="184"/>
      <c r="B9395" s="184"/>
      <c r="C9395" s="184"/>
      <c r="D9395" s="184"/>
      <c r="E9395" s="184"/>
      <c r="F9395" s="184"/>
      <c r="G9395" s="184"/>
      <c r="H9395" s="184"/>
      <c r="I9395" s="184"/>
      <c r="J9395" s="184"/>
      <c r="K9395" s="184"/>
      <c r="L9395" s="184"/>
      <c r="M9395" s="184"/>
      <c r="N9395" s="184"/>
      <c r="O9395" s="184"/>
    </row>
    <row r="9396" customFormat="false" ht="15" hidden="false" customHeight="true" outlineLevel="0" collapsed="false">
      <c r="A9396" s="184"/>
      <c r="B9396" s="184"/>
      <c r="C9396" s="184"/>
      <c r="D9396" s="184"/>
      <c r="E9396" s="184"/>
      <c r="F9396" s="184"/>
      <c r="G9396" s="184"/>
      <c r="H9396" s="184"/>
      <c r="I9396" s="184"/>
      <c r="J9396" s="184"/>
      <c r="K9396" s="184"/>
      <c r="L9396" s="184"/>
      <c r="M9396" s="184"/>
      <c r="N9396" s="184"/>
      <c r="O9396" s="184"/>
    </row>
    <row r="9397" customFormat="false" ht="15" hidden="false" customHeight="true" outlineLevel="0" collapsed="false">
      <c r="A9397" s="184"/>
      <c r="B9397" s="184"/>
      <c r="C9397" s="184"/>
      <c r="D9397" s="184"/>
      <c r="E9397" s="184"/>
      <c r="F9397" s="184"/>
      <c r="G9397" s="184"/>
      <c r="H9397" s="184"/>
      <c r="I9397" s="184"/>
      <c r="J9397" s="184"/>
      <c r="K9397" s="184"/>
      <c r="L9397" s="184"/>
      <c r="M9397" s="184"/>
      <c r="N9397" s="184"/>
      <c r="O9397" s="184"/>
    </row>
    <row r="9398" customFormat="false" ht="15" hidden="false" customHeight="true" outlineLevel="0" collapsed="false">
      <c r="A9398" s="184"/>
      <c r="B9398" s="184"/>
      <c r="C9398" s="184"/>
      <c r="D9398" s="184"/>
      <c r="E9398" s="184"/>
      <c r="F9398" s="184"/>
      <c r="G9398" s="184"/>
      <c r="H9398" s="184"/>
      <c r="I9398" s="184"/>
      <c r="J9398" s="184"/>
      <c r="K9398" s="184"/>
      <c r="L9398" s="184"/>
      <c r="M9398" s="184"/>
      <c r="N9398" s="184"/>
      <c r="O9398" s="184"/>
    </row>
    <row r="9399" customFormat="false" ht="15" hidden="false" customHeight="true" outlineLevel="0" collapsed="false">
      <c r="A9399" s="184"/>
      <c r="B9399" s="184"/>
      <c r="C9399" s="184"/>
      <c r="D9399" s="184"/>
      <c r="E9399" s="184"/>
      <c r="F9399" s="184"/>
      <c r="G9399" s="184"/>
      <c r="H9399" s="184"/>
      <c r="I9399" s="184"/>
      <c r="J9399" s="184"/>
      <c r="K9399" s="184"/>
      <c r="L9399" s="184"/>
      <c r="M9399" s="184"/>
      <c r="N9399" s="184"/>
      <c r="O9399" s="184"/>
    </row>
    <row r="9400" customFormat="false" ht="15" hidden="false" customHeight="true" outlineLevel="0" collapsed="false">
      <c r="A9400" s="184"/>
      <c r="B9400" s="184"/>
      <c r="C9400" s="184"/>
      <c r="D9400" s="184"/>
      <c r="E9400" s="184"/>
      <c r="F9400" s="184"/>
      <c r="G9400" s="184"/>
      <c r="H9400" s="184"/>
      <c r="I9400" s="184"/>
      <c r="J9400" s="184"/>
      <c r="K9400" s="184"/>
      <c r="L9400" s="184"/>
      <c r="M9400" s="184"/>
      <c r="N9400" s="184"/>
      <c r="O9400" s="184"/>
    </row>
    <row r="9401" customFormat="false" ht="15" hidden="false" customHeight="true" outlineLevel="0" collapsed="false">
      <c r="A9401" s="184"/>
      <c r="B9401" s="184"/>
      <c r="C9401" s="184"/>
      <c r="D9401" s="184"/>
      <c r="E9401" s="184"/>
      <c r="F9401" s="184"/>
      <c r="G9401" s="184"/>
      <c r="H9401" s="184"/>
      <c r="I9401" s="184"/>
      <c r="J9401" s="184"/>
      <c r="K9401" s="184"/>
      <c r="L9401" s="184"/>
      <c r="M9401" s="184"/>
      <c r="N9401" s="184"/>
      <c r="O9401" s="184"/>
    </row>
    <row r="9402" customFormat="false" ht="15" hidden="false" customHeight="true" outlineLevel="0" collapsed="false">
      <c r="A9402" s="184"/>
      <c r="B9402" s="184"/>
      <c r="C9402" s="184"/>
      <c r="D9402" s="184"/>
      <c r="E9402" s="184"/>
      <c r="F9402" s="184"/>
      <c r="G9402" s="184"/>
      <c r="H9402" s="184"/>
      <c r="I9402" s="184"/>
      <c r="J9402" s="184"/>
      <c r="K9402" s="184"/>
      <c r="L9402" s="184"/>
      <c r="M9402" s="184"/>
      <c r="N9402" s="184"/>
      <c r="O9402" s="184"/>
    </row>
    <row r="9403" customFormat="false" ht="15" hidden="false" customHeight="true" outlineLevel="0" collapsed="false">
      <c r="A9403" s="184"/>
      <c r="B9403" s="184"/>
      <c r="C9403" s="184"/>
      <c r="D9403" s="184"/>
      <c r="E9403" s="184"/>
      <c r="F9403" s="184"/>
      <c r="G9403" s="184"/>
      <c r="H9403" s="184"/>
      <c r="I9403" s="184"/>
      <c r="J9403" s="184"/>
      <c r="K9403" s="184"/>
      <c r="L9403" s="184"/>
      <c r="M9403" s="184"/>
      <c r="N9403" s="184"/>
      <c r="O9403" s="184"/>
    </row>
    <row r="9404" customFormat="false" ht="15" hidden="false" customHeight="true" outlineLevel="0" collapsed="false">
      <c r="A9404" s="184"/>
      <c r="B9404" s="184"/>
      <c r="C9404" s="184"/>
      <c r="D9404" s="184"/>
      <c r="E9404" s="184"/>
      <c r="F9404" s="184"/>
      <c r="G9404" s="184"/>
      <c r="H9404" s="184"/>
      <c r="I9404" s="184"/>
      <c r="J9404" s="184"/>
      <c r="K9404" s="184"/>
      <c r="L9404" s="184"/>
      <c r="M9404" s="184"/>
      <c r="N9404" s="184"/>
      <c r="O9404" s="184"/>
    </row>
    <row r="9405" customFormat="false" ht="15" hidden="false" customHeight="true" outlineLevel="0" collapsed="false">
      <c r="A9405" s="184"/>
      <c r="B9405" s="184"/>
      <c r="C9405" s="184"/>
      <c r="D9405" s="184"/>
      <c r="E9405" s="184"/>
      <c r="F9405" s="184"/>
      <c r="G9405" s="184"/>
      <c r="H9405" s="184"/>
      <c r="I9405" s="184"/>
      <c r="J9405" s="184"/>
      <c r="K9405" s="184"/>
      <c r="L9405" s="184"/>
      <c r="M9405" s="184"/>
      <c r="N9405" s="184"/>
      <c r="O9405" s="184"/>
    </row>
    <row r="9406" customFormat="false" ht="15" hidden="false" customHeight="true" outlineLevel="0" collapsed="false">
      <c r="A9406" s="184"/>
      <c r="B9406" s="184"/>
      <c r="C9406" s="184"/>
      <c r="D9406" s="184"/>
      <c r="E9406" s="184"/>
      <c r="F9406" s="184"/>
      <c r="G9406" s="184"/>
      <c r="H9406" s="184"/>
      <c r="I9406" s="184"/>
      <c r="J9406" s="184"/>
      <c r="K9406" s="184"/>
      <c r="L9406" s="184"/>
      <c r="M9406" s="184"/>
      <c r="N9406" s="184"/>
      <c r="O9406" s="184"/>
    </row>
    <row r="9407" customFormat="false" ht="15" hidden="false" customHeight="true" outlineLevel="0" collapsed="false">
      <c r="A9407" s="184"/>
      <c r="B9407" s="184"/>
      <c r="C9407" s="184"/>
      <c r="D9407" s="184"/>
      <c r="E9407" s="184"/>
      <c r="F9407" s="184"/>
      <c r="G9407" s="184"/>
      <c r="H9407" s="184"/>
      <c r="I9407" s="184"/>
      <c r="J9407" s="184"/>
      <c r="K9407" s="184"/>
      <c r="L9407" s="184"/>
      <c r="M9407" s="184"/>
      <c r="N9407" s="184"/>
      <c r="O9407" s="184"/>
    </row>
    <row r="9408" customFormat="false" ht="15" hidden="false" customHeight="true" outlineLevel="0" collapsed="false">
      <c r="A9408" s="184"/>
      <c r="B9408" s="184"/>
      <c r="C9408" s="184"/>
      <c r="D9408" s="184"/>
      <c r="E9408" s="184"/>
      <c r="F9408" s="184"/>
      <c r="G9408" s="184"/>
      <c r="H9408" s="184"/>
      <c r="I9408" s="184"/>
      <c r="J9408" s="184"/>
      <c r="K9408" s="184"/>
      <c r="L9408" s="184"/>
      <c r="M9408" s="184"/>
      <c r="N9408" s="184"/>
      <c r="O9408" s="184"/>
    </row>
    <row r="9409" customFormat="false" ht="15" hidden="false" customHeight="true" outlineLevel="0" collapsed="false">
      <c r="A9409" s="184"/>
      <c r="B9409" s="184"/>
      <c r="C9409" s="184"/>
      <c r="D9409" s="184"/>
      <c r="E9409" s="184"/>
      <c r="F9409" s="184"/>
      <c r="G9409" s="184"/>
      <c r="H9409" s="184"/>
      <c r="I9409" s="184"/>
      <c r="J9409" s="184"/>
      <c r="K9409" s="184"/>
      <c r="L9409" s="184"/>
      <c r="M9409" s="184"/>
      <c r="N9409" s="184"/>
      <c r="O9409" s="184"/>
    </row>
    <row r="9410" customFormat="false" ht="15" hidden="false" customHeight="true" outlineLevel="0" collapsed="false">
      <c r="A9410" s="184"/>
      <c r="B9410" s="184"/>
      <c r="C9410" s="184"/>
      <c r="D9410" s="184"/>
      <c r="E9410" s="184"/>
      <c r="F9410" s="184"/>
      <c r="G9410" s="184"/>
      <c r="H9410" s="184"/>
      <c r="I9410" s="184"/>
      <c r="J9410" s="184"/>
      <c r="K9410" s="184"/>
      <c r="L9410" s="184"/>
      <c r="M9410" s="184"/>
      <c r="N9410" s="184"/>
      <c r="O9410" s="184"/>
    </row>
    <row r="9411" customFormat="false" ht="15" hidden="false" customHeight="true" outlineLevel="0" collapsed="false">
      <c r="A9411" s="184"/>
      <c r="B9411" s="184"/>
      <c r="C9411" s="184"/>
      <c r="D9411" s="184"/>
      <c r="E9411" s="184"/>
      <c r="F9411" s="184"/>
      <c r="G9411" s="184"/>
      <c r="H9411" s="184"/>
      <c r="I9411" s="184"/>
      <c r="J9411" s="184"/>
      <c r="K9411" s="184"/>
      <c r="L9411" s="184"/>
      <c r="M9411" s="184"/>
      <c r="N9411" s="184"/>
      <c r="O9411" s="184"/>
    </row>
    <row r="9412" customFormat="false" ht="15" hidden="false" customHeight="true" outlineLevel="0" collapsed="false">
      <c r="A9412" s="184"/>
      <c r="B9412" s="184"/>
      <c r="C9412" s="184"/>
      <c r="D9412" s="184"/>
      <c r="E9412" s="184"/>
      <c r="F9412" s="184"/>
      <c r="G9412" s="184"/>
      <c r="H9412" s="184"/>
      <c r="I9412" s="184"/>
      <c r="J9412" s="184"/>
      <c r="K9412" s="184"/>
      <c r="L9412" s="184"/>
      <c r="M9412" s="184"/>
      <c r="N9412" s="184"/>
      <c r="O9412" s="184"/>
    </row>
    <row r="9413" customFormat="false" ht="15" hidden="false" customHeight="true" outlineLevel="0" collapsed="false">
      <c r="A9413" s="184"/>
      <c r="B9413" s="184"/>
      <c r="C9413" s="184"/>
      <c r="D9413" s="184"/>
      <c r="E9413" s="184"/>
      <c r="F9413" s="184"/>
      <c r="G9413" s="184"/>
      <c r="H9413" s="184"/>
      <c r="I9413" s="184"/>
      <c r="J9413" s="184"/>
      <c r="K9413" s="184"/>
      <c r="L9413" s="184"/>
      <c r="M9413" s="184"/>
      <c r="N9413" s="184"/>
      <c r="O9413" s="184"/>
    </row>
    <row r="9414" customFormat="false" ht="15" hidden="false" customHeight="true" outlineLevel="0" collapsed="false">
      <c r="A9414" s="184"/>
      <c r="B9414" s="184"/>
      <c r="C9414" s="184"/>
      <c r="D9414" s="184"/>
      <c r="E9414" s="184"/>
      <c r="F9414" s="184"/>
      <c r="G9414" s="184"/>
      <c r="H9414" s="184"/>
      <c r="I9414" s="184"/>
      <c r="J9414" s="184"/>
      <c r="K9414" s="184"/>
      <c r="L9414" s="184"/>
      <c r="M9414" s="184"/>
      <c r="N9414" s="184"/>
      <c r="O9414" s="184"/>
    </row>
    <row r="9415" customFormat="false" ht="15" hidden="false" customHeight="true" outlineLevel="0" collapsed="false">
      <c r="A9415" s="184"/>
      <c r="B9415" s="184"/>
      <c r="C9415" s="184"/>
      <c r="D9415" s="184"/>
      <c r="E9415" s="184"/>
      <c r="F9415" s="184"/>
      <c r="G9415" s="184"/>
      <c r="H9415" s="184"/>
      <c r="I9415" s="184"/>
      <c r="J9415" s="184"/>
      <c r="K9415" s="184"/>
      <c r="L9415" s="184"/>
      <c r="M9415" s="184"/>
      <c r="N9415" s="184"/>
      <c r="O9415" s="184"/>
    </row>
    <row r="9416" customFormat="false" ht="15" hidden="false" customHeight="true" outlineLevel="0" collapsed="false">
      <c r="A9416" s="184"/>
      <c r="B9416" s="184"/>
      <c r="C9416" s="184"/>
      <c r="D9416" s="184"/>
      <c r="E9416" s="184"/>
      <c r="F9416" s="184"/>
      <c r="G9416" s="184"/>
      <c r="H9416" s="184"/>
      <c r="I9416" s="184"/>
      <c r="J9416" s="184"/>
      <c r="K9416" s="184"/>
      <c r="L9416" s="184"/>
      <c r="M9416" s="184"/>
      <c r="N9416" s="184"/>
      <c r="O9416" s="184"/>
    </row>
    <row r="9417" customFormat="false" ht="15" hidden="false" customHeight="true" outlineLevel="0" collapsed="false">
      <c r="A9417" s="184"/>
      <c r="B9417" s="184"/>
      <c r="C9417" s="184"/>
      <c r="D9417" s="184"/>
      <c r="E9417" s="184"/>
      <c r="F9417" s="184"/>
      <c r="G9417" s="184"/>
      <c r="H9417" s="184"/>
      <c r="I9417" s="184"/>
      <c r="J9417" s="184"/>
      <c r="K9417" s="184"/>
      <c r="L9417" s="184"/>
      <c r="M9417" s="184"/>
      <c r="N9417" s="184"/>
      <c r="O9417" s="184"/>
    </row>
    <row r="9418" customFormat="false" ht="15" hidden="false" customHeight="true" outlineLevel="0" collapsed="false">
      <c r="A9418" s="184"/>
      <c r="B9418" s="184"/>
      <c r="C9418" s="184"/>
      <c r="D9418" s="184"/>
      <c r="E9418" s="184"/>
      <c r="F9418" s="184"/>
      <c r="G9418" s="184"/>
      <c r="H9418" s="184"/>
      <c r="I9418" s="184"/>
      <c r="J9418" s="184"/>
      <c r="K9418" s="184"/>
      <c r="L9418" s="184"/>
      <c r="M9418" s="184"/>
      <c r="N9418" s="184"/>
      <c r="O9418" s="184"/>
    </row>
    <row r="9419" customFormat="false" ht="15" hidden="false" customHeight="true" outlineLevel="0" collapsed="false">
      <c r="A9419" s="184"/>
      <c r="B9419" s="184"/>
      <c r="C9419" s="184"/>
      <c r="D9419" s="184"/>
      <c r="E9419" s="184"/>
      <c r="F9419" s="184"/>
      <c r="G9419" s="184"/>
      <c r="H9419" s="184"/>
      <c r="I9419" s="184"/>
      <c r="J9419" s="184"/>
      <c r="K9419" s="184"/>
      <c r="L9419" s="184"/>
      <c r="M9419" s="184"/>
      <c r="N9419" s="184"/>
      <c r="O9419" s="184"/>
    </row>
    <row r="9420" customFormat="false" ht="15" hidden="false" customHeight="true" outlineLevel="0" collapsed="false">
      <c r="A9420" s="184"/>
      <c r="B9420" s="184"/>
      <c r="C9420" s="184"/>
      <c r="D9420" s="184"/>
      <c r="E9420" s="184"/>
      <c r="F9420" s="184"/>
      <c r="G9420" s="184"/>
      <c r="H9420" s="184"/>
      <c r="I9420" s="184"/>
      <c r="J9420" s="184"/>
      <c r="K9420" s="184"/>
      <c r="L9420" s="184"/>
      <c r="M9420" s="184"/>
      <c r="N9420" s="184"/>
      <c r="O9420" s="184"/>
    </row>
    <row r="9421" customFormat="false" ht="15" hidden="false" customHeight="true" outlineLevel="0" collapsed="false">
      <c r="A9421" s="184"/>
      <c r="B9421" s="184"/>
      <c r="C9421" s="184"/>
      <c r="D9421" s="184"/>
      <c r="E9421" s="184"/>
      <c r="F9421" s="184"/>
      <c r="G9421" s="184"/>
      <c r="H9421" s="184"/>
      <c r="I9421" s="184"/>
      <c r="J9421" s="184"/>
      <c r="K9421" s="184"/>
      <c r="L9421" s="184"/>
      <c r="M9421" s="184"/>
      <c r="N9421" s="184"/>
      <c r="O9421" s="184"/>
    </row>
    <row r="9422" customFormat="false" ht="15" hidden="false" customHeight="true" outlineLevel="0" collapsed="false">
      <c r="A9422" s="184"/>
      <c r="B9422" s="184"/>
      <c r="C9422" s="184"/>
      <c r="D9422" s="184"/>
      <c r="E9422" s="184"/>
      <c r="F9422" s="184"/>
      <c r="G9422" s="184"/>
      <c r="H9422" s="184"/>
      <c r="I9422" s="184"/>
      <c r="J9422" s="184"/>
      <c r="K9422" s="184"/>
      <c r="L9422" s="184"/>
      <c r="M9422" s="184"/>
      <c r="N9422" s="184"/>
      <c r="O9422" s="184"/>
    </row>
    <row r="9423" customFormat="false" ht="15" hidden="false" customHeight="true" outlineLevel="0" collapsed="false">
      <c r="A9423" s="184"/>
      <c r="B9423" s="184"/>
      <c r="C9423" s="184"/>
      <c r="D9423" s="184"/>
      <c r="E9423" s="184"/>
      <c r="F9423" s="184"/>
      <c r="G9423" s="184"/>
      <c r="H9423" s="184"/>
      <c r="I9423" s="184"/>
      <c r="J9423" s="184"/>
      <c r="K9423" s="184"/>
      <c r="L9423" s="184"/>
      <c r="M9423" s="184"/>
      <c r="N9423" s="184"/>
      <c r="O9423" s="184"/>
    </row>
    <row r="9424" customFormat="false" ht="15" hidden="false" customHeight="true" outlineLevel="0" collapsed="false">
      <c r="A9424" s="184"/>
      <c r="B9424" s="184"/>
      <c r="C9424" s="184"/>
      <c r="D9424" s="184"/>
      <c r="E9424" s="184"/>
      <c r="F9424" s="184"/>
      <c r="G9424" s="184"/>
      <c r="H9424" s="184"/>
      <c r="I9424" s="184"/>
      <c r="J9424" s="184"/>
      <c r="K9424" s="184"/>
      <c r="L9424" s="184"/>
      <c r="M9424" s="184"/>
      <c r="N9424" s="184"/>
      <c r="O9424" s="184"/>
    </row>
    <row r="9425" customFormat="false" ht="15" hidden="false" customHeight="true" outlineLevel="0" collapsed="false">
      <c r="A9425" s="184"/>
      <c r="B9425" s="184"/>
      <c r="C9425" s="184"/>
      <c r="D9425" s="184"/>
      <c r="E9425" s="184"/>
      <c r="F9425" s="184"/>
      <c r="G9425" s="184"/>
      <c r="H9425" s="184"/>
      <c r="I9425" s="184"/>
      <c r="J9425" s="184"/>
      <c r="K9425" s="184"/>
      <c r="L9425" s="184"/>
      <c r="M9425" s="184"/>
      <c r="N9425" s="184"/>
      <c r="O9425" s="184"/>
    </row>
    <row r="9426" customFormat="false" ht="15" hidden="false" customHeight="true" outlineLevel="0" collapsed="false">
      <c r="A9426" s="184"/>
      <c r="B9426" s="184"/>
      <c r="C9426" s="184"/>
      <c r="D9426" s="184"/>
      <c r="E9426" s="184"/>
      <c r="F9426" s="184"/>
      <c r="G9426" s="184"/>
      <c r="H9426" s="184"/>
      <c r="I9426" s="184"/>
      <c r="J9426" s="184"/>
      <c r="K9426" s="184"/>
      <c r="L9426" s="184"/>
      <c r="M9426" s="184"/>
      <c r="N9426" s="184"/>
      <c r="O9426" s="184"/>
    </row>
    <row r="9427" customFormat="false" ht="15" hidden="false" customHeight="true" outlineLevel="0" collapsed="false">
      <c r="A9427" s="184"/>
      <c r="B9427" s="184"/>
      <c r="C9427" s="184"/>
      <c r="D9427" s="184"/>
      <c r="E9427" s="184"/>
      <c r="F9427" s="184"/>
      <c r="G9427" s="184"/>
      <c r="H9427" s="184"/>
      <c r="I9427" s="184"/>
      <c r="J9427" s="184"/>
      <c r="K9427" s="184"/>
      <c r="L9427" s="184"/>
      <c r="M9427" s="184"/>
      <c r="N9427" s="184"/>
      <c r="O9427" s="184"/>
    </row>
    <row r="9428" customFormat="false" ht="15" hidden="false" customHeight="true" outlineLevel="0" collapsed="false">
      <c r="A9428" s="184"/>
      <c r="B9428" s="184"/>
      <c r="C9428" s="184"/>
      <c r="D9428" s="184"/>
      <c r="E9428" s="184"/>
      <c r="F9428" s="184"/>
      <c r="G9428" s="184"/>
      <c r="H9428" s="184"/>
      <c r="I9428" s="184"/>
      <c r="J9428" s="184"/>
      <c r="K9428" s="184"/>
      <c r="L9428" s="184"/>
      <c r="M9428" s="184"/>
      <c r="N9428" s="184"/>
      <c r="O9428" s="184"/>
    </row>
    <row r="9429" customFormat="false" ht="15" hidden="false" customHeight="true" outlineLevel="0" collapsed="false">
      <c r="A9429" s="184"/>
      <c r="B9429" s="184"/>
      <c r="C9429" s="184"/>
      <c r="D9429" s="184"/>
      <c r="E9429" s="184"/>
      <c r="F9429" s="184"/>
      <c r="G9429" s="184"/>
      <c r="H9429" s="184"/>
      <c r="I9429" s="184"/>
      <c r="J9429" s="184"/>
      <c r="K9429" s="184"/>
      <c r="L9429" s="184"/>
      <c r="M9429" s="184"/>
      <c r="N9429" s="184"/>
      <c r="O9429" s="184"/>
    </row>
    <row r="9430" customFormat="false" ht="15" hidden="false" customHeight="true" outlineLevel="0" collapsed="false">
      <c r="A9430" s="184"/>
      <c r="B9430" s="184"/>
      <c r="C9430" s="184"/>
      <c r="D9430" s="184"/>
      <c r="E9430" s="184"/>
      <c r="F9430" s="184"/>
      <c r="G9430" s="184"/>
      <c r="H9430" s="184"/>
      <c r="I9430" s="184"/>
      <c r="J9430" s="184"/>
      <c r="K9430" s="184"/>
      <c r="L9430" s="184"/>
      <c r="M9430" s="184"/>
      <c r="N9430" s="184"/>
      <c r="O9430" s="184"/>
    </row>
    <row r="9431" customFormat="false" ht="15" hidden="false" customHeight="true" outlineLevel="0" collapsed="false">
      <c r="A9431" s="184"/>
      <c r="B9431" s="184"/>
      <c r="C9431" s="184"/>
      <c r="D9431" s="184"/>
      <c r="E9431" s="184"/>
      <c r="F9431" s="184"/>
      <c r="G9431" s="184"/>
      <c r="H9431" s="184"/>
      <c r="I9431" s="184"/>
      <c r="J9431" s="184"/>
      <c r="K9431" s="184"/>
      <c r="L9431" s="184"/>
      <c r="M9431" s="184"/>
      <c r="N9431" s="184"/>
      <c r="O9431" s="184"/>
    </row>
    <row r="9432" customFormat="false" ht="15" hidden="false" customHeight="true" outlineLevel="0" collapsed="false">
      <c r="A9432" s="184"/>
      <c r="B9432" s="184"/>
      <c r="C9432" s="184"/>
      <c r="D9432" s="184"/>
      <c r="E9432" s="184"/>
      <c r="F9432" s="184"/>
      <c r="G9432" s="184"/>
      <c r="H9432" s="184"/>
      <c r="I9432" s="184"/>
      <c r="J9432" s="184"/>
      <c r="K9432" s="184"/>
      <c r="L9432" s="184"/>
      <c r="M9432" s="184"/>
      <c r="N9432" s="184"/>
      <c r="O9432" s="184"/>
    </row>
    <row r="9433" customFormat="false" ht="15" hidden="false" customHeight="true" outlineLevel="0" collapsed="false">
      <c r="A9433" s="184"/>
      <c r="B9433" s="184"/>
      <c r="C9433" s="184"/>
      <c r="D9433" s="184"/>
      <c r="E9433" s="184"/>
      <c r="F9433" s="184"/>
      <c r="G9433" s="184"/>
      <c r="H9433" s="184"/>
      <c r="I9433" s="184"/>
      <c r="J9433" s="184"/>
      <c r="K9433" s="184"/>
      <c r="L9433" s="184"/>
      <c r="M9433" s="184"/>
      <c r="N9433" s="184"/>
      <c r="O9433" s="184"/>
    </row>
    <row r="9434" customFormat="false" ht="15" hidden="false" customHeight="true" outlineLevel="0" collapsed="false">
      <c r="A9434" s="184"/>
      <c r="B9434" s="184"/>
      <c r="C9434" s="184"/>
      <c r="D9434" s="184"/>
      <c r="E9434" s="184"/>
      <c r="F9434" s="184"/>
      <c r="G9434" s="184"/>
      <c r="H9434" s="184"/>
      <c r="I9434" s="184"/>
      <c r="J9434" s="184"/>
      <c r="K9434" s="184"/>
      <c r="L9434" s="184"/>
      <c r="M9434" s="184"/>
      <c r="N9434" s="184"/>
      <c r="O9434" s="184"/>
    </row>
    <row r="9435" customFormat="false" ht="15" hidden="false" customHeight="true" outlineLevel="0" collapsed="false">
      <c r="A9435" s="184"/>
      <c r="B9435" s="184"/>
      <c r="C9435" s="184"/>
      <c r="D9435" s="184"/>
      <c r="E9435" s="184"/>
      <c r="F9435" s="184"/>
      <c r="G9435" s="184"/>
      <c r="H9435" s="184"/>
      <c r="I9435" s="184"/>
      <c r="J9435" s="184"/>
      <c r="K9435" s="184"/>
      <c r="L9435" s="184"/>
      <c r="M9435" s="184"/>
      <c r="N9435" s="184"/>
      <c r="O9435" s="184"/>
    </row>
    <row r="9436" customFormat="false" ht="15" hidden="false" customHeight="true" outlineLevel="0" collapsed="false">
      <c r="A9436" s="184"/>
      <c r="B9436" s="184"/>
      <c r="C9436" s="184"/>
      <c r="D9436" s="184"/>
      <c r="E9436" s="184"/>
      <c r="F9436" s="184"/>
      <c r="G9436" s="184"/>
      <c r="H9436" s="184"/>
      <c r="I9436" s="184"/>
      <c r="J9436" s="184"/>
      <c r="K9436" s="184"/>
      <c r="L9436" s="184"/>
      <c r="M9436" s="184"/>
      <c r="N9436" s="184"/>
      <c r="O9436" s="184"/>
    </row>
    <row r="9437" customFormat="false" ht="15" hidden="false" customHeight="true" outlineLevel="0" collapsed="false">
      <c r="A9437" s="184"/>
      <c r="B9437" s="184"/>
      <c r="C9437" s="184"/>
      <c r="D9437" s="184"/>
      <c r="E9437" s="184"/>
      <c r="F9437" s="184"/>
      <c r="G9437" s="184"/>
      <c r="H9437" s="184"/>
      <c r="I9437" s="184"/>
      <c r="J9437" s="184"/>
      <c r="K9437" s="184"/>
      <c r="L9437" s="184"/>
      <c r="M9437" s="184"/>
      <c r="N9437" s="184"/>
      <c r="O9437" s="184"/>
    </row>
    <row r="9438" customFormat="false" ht="15" hidden="false" customHeight="true" outlineLevel="0" collapsed="false">
      <c r="A9438" s="184"/>
      <c r="B9438" s="184"/>
      <c r="C9438" s="184"/>
      <c r="D9438" s="184"/>
      <c r="E9438" s="184"/>
      <c r="F9438" s="184"/>
      <c r="G9438" s="184"/>
      <c r="H9438" s="184"/>
      <c r="I9438" s="184"/>
      <c r="J9438" s="184"/>
      <c r="K9438" s="184"/>
      <c r="L9438" s="184"/>
      <c r="M9438" s="184"/>
      <c r="N9438" s="184"/>
      <c r="O9438" s="184"/>
    </row>
    <row r="9439" customFormat="false" ht="15" hidden="false" customHeight="true" outlineLevel="0" collapsed="false">
      <c r="A9439" s="184"/>
      <c r="B9439" s="184"/>
      <c r="C9439" s="184"/>
      <c r="D9439" s="184"/>
      <c r="E9439" s="184"/>
      <c r="F9439" s="184"/>
      <c r="G9439" s="184"/>
      <c r="H9439" s="184"/>
      <c r="I9439" s="184"/>
      <c r="J9439" s="184"/>
      <c r="K9439" s="184"/>
      <c r="L9439" s="184"/>
      <c r="M9439" s="184"/>
      <c r="N9439" s="184"/>
      <c r="O9439" s="184"/>
    </row>
    <row r="9440" customFormat="false" ht="15" hidden="false" customHeight="true" outlineLevel="0" collapsed="false">
      <c r="A9440" s="184"/>
      <c r="B9440" s="184"/>
      <c r="C9440" s="184"/>
      <c r="D9440" s="184"/>
      <c r="E9440" s="184"/>
      <c r="F9440" s="184"/>
      <c r="G9440" s="184"/>
      <c r="H9440" s="184"/>
      <c r="I9440" s="184"/>
      <c r="J9440" s="184"/>
      <c r="K9440" s="184"/>
      <c r="L9440" s="184"/>
      <c r="M9440" s="184"/>
      <c r="N9440" s="184"/>
      <c r="O9440" s="184"/>
    </row>
    <row r="9441" customFormat="false" ht="15" hidden="false" customHeight="true" outlineLevel="0" collapsed="false">
      <c r="A9441" s="184"/>
      <c r="B9441" s="184"/>
      <c r="C9441" s="184"/>
      <c r="D9441" s="184"/>
      <c r="E9441" s="184"/>
      <c r="F9441" s="184"/>
      <c r="G9441" s="184"/>
      <c r="H9441" s="184"/>
      <c r="I9441" s="184"/>
      <c r="J9441" s="184"/>
      <c r="K9441" s="184"/>
      <c r="L9441" s="184"/>
      <c r="M9441" s="184"/>
      <c r="N9441" s="184"/>
      <c r="O9441" s="184"/>
    </row>
    <row r="9442" customFormat="false" ht="15" hidden="false" customHeight="true" outlineLevel="0" collapsed="false">
      <c r="A9442" s="184"/>
      <c r="B9442" s="184"/>
      <c r="C9442" s="184"/>
      <c r="D9442" s="184"/>
      <c r="E9442" s="184"/>
      <c r="F9442" s="184"/>
      <c r="G9442" s="184"/>
      <c r="H9442" s="184"/>
      <c r="I9442" s="184"/>
      <c r="J9442" s="184"/>
      <c r="K9442" s="184"/>
      <c r="L9442" s="184"/>
      <c r="M9442" s="184"/>
      <c r="N9442" s="184"/>
      <c r="O9442" s="184"/>
    </row>
    <row r="9443" customFormat="false" ht="15" hidden="false" customHeight="true" outlineLevel="0" collapsed="false">
      <c r="A9443" s="184"/>
      <c r="B9443" s="184"/>
      <c r="C9443" s="184"/>
      <c r="D9443" s="184"/>
      <c r="E9443" s="184"/>
      <c r="F9443" s="184"/>
      <c r="G9443" s="184"/>
      <c r="H9443" s="184"/>
      <c r="I9443" s="184"/>
      <c r="J9443" s="184"/>
      <c r="K9443" s="184"/>
      <c r="L9443" s="184"/>
      <c r="M9443" s="184"/>
      <c r="N9443" s="184"/>
      <c r="O9443" s="184"/>
    </row>
    <row r="9444" customFormat="false" ht="15" hidden="false" customHeight="true" outlineLevel="0" collapsed="false">
      <c r="A9444" s="184"/>
      <c r="B9444" s="184"/>
      <c r="C9444" s="184"/>
      <c r="D9444" s="184"/>
      <c r="E9444" s="184"/>
      <c r="F9444" s="184"/>
      <c r="G9444" s="184"/>
      <c r="H9444" s="184"/>
      <c r="I9444" s="184"/>
      <c r="J9444" s="184"/>
      <c r="K9444" s="184"/>
      <c r="L9444" s="184"/>
      <c r="M9444" s="184"/>
      <c r="N9444" s="184"/>
      <c r="O9444" s="184"/>
    </row>
    <row r="9445" customFormat="false" ht="15" hidden="false" customHeight="true" outlineLevel="0" collapsed="false">
      <c r="A9445" s="184"/>
      <c r="B9445" s="184"/>
      <c r="C9445" s="184"/>
      <c r="D9445" s="184"/>
      <c r="E9445" s="184"/>
      <c r="F9445" s="184"/>
      <c r="G9445" s="184"/>
      <c r="H9445" s="184"/>
      <c r="I9445" s="184"/>
      <c r="J9445" s="184"/>
      <c r="K9445" s="184"/>
      <c r="L9445" s="184"/>
      <c r="M9445" s="184"/>
      <c r="N9445" s="184"/>
      <c r="O9445" s="184"/>
    </row>
    <row r="9446" customFormat="false" ht="15" hidden="false" customHeight="true" outlineLevel="0" collapsed="false">
      <c r="A9446" s="184"/>
      <c r="B9446" s="184"/>
      <c r="C9446" s="184"/>
      <c r="D9446" s="184"/>
      <c r="E9446" s="184"/>
      <c r="F9446" s="184"/>
      <c r="G9446" s="184"/>
      <c r="H9446" s="184"/>
      <c r="I9446" s="184"/>
      <c r="J9446" s="184"/>
      <c r="K9446" s="184"/>
      <c r="L9446" s="184"/>
      <c r="M9446" s="184"/>
      <c r="N9446" s="184"/>
      <c r="O9446" s="184"/>
    </row>
    <row r="9447" customFormat="false" ht="15" hidden="false" customHeight="true" outlineLevel="0" collapsed="false">
      <c r="A9447" s="184"/>
      <c r="B9447" s="184"/>
      <c r="C9447" s="184"/>
      <c r="D9447" s="184"/>
      <c r="E9447" s="184"/>
      <c r="F9447" s="184"/>
      <c r="G9447" s="184"/>
      <c r="H9447" s="184"/>
      <c r="I9447" s="184"/>
      <c r="J9447" s="184"/>
      <c r="K9447" s="184"/>
      <c r="L9447" s="184"/>
      <c r="M9447" s="184"/>
      <c r="N9447" s="184"/>
      <c r="O9447" s="184"/>
    </row>
    <row r="9448" customFormat="false" ht="15" hidden="false" customHeight="true" outlineLevel="0" collapsed="false">
      <c r="A9448" s="184"/>
      <c r="B9448" s="184"/>
      <c r="C9448" s="184"/>
      <c r="D9448" s="184"/>
      <c r="E9448" s="184"/>
      <c r="F9448" s="184"/>
      <c r="G9448" s="184"/>
      <c r="H9448" s="184"/>
      <c r="I9448" s="184"/>
      <c r="J9448" s="184"/>
      <c r="K9448" s="184"/>
      <c r="L9448" s="184"/>
      <c r="M9448" s="184"/>
      <c r="N9448" s="184"/>
      <c r="O9448" s="184"/>
    </row>
    <row r="9449" customFormat="false" ht="15" hidden="false" customHeight="true" outlineLevel="0" collapsed="false">
      <c r="A9449" s="184"/>
      <c r="B9449" s="184"/>
      <c r="C9449" s="184"/>
      <c r="D9449" s="184"/>
      <c r="E9449" s="184"/>
      <c r="F9449" s="184"/>
      <c r="G9449" s="184"/>
      <c r="H9449" s="184"/>
      <c r="I9449" s="184"/>
      <c r="J9449" s="184"/>
      <c r="K9449" s="184"/>
      <c r="L9449" s="184"/>
      <c r="M9449" s="184"/>
      <c r="N9449" s="184"/>
      <c r="O9449" s="184"/>
    </row>
    <row r="9450" customFormat="false" ht="15" hidden="false" customHeight="true" outlineLevel="0" collapsed="false">
      <c r="A9450" s="184"/>
      <c r="B9450" s="184"/>
      <c r="C9450" s="184"/>
      <c r="D9450" s="184"/>
      <c r="E9450" s="184"/>
      <c r="F9450" s="184"/>
      <c r="G9450" s="184"/>
      <c r="H9450" s="184"/>
      <c r="I9450" s="184"/>
      <c r="J9450" s="184"/>
      <c r="K9450" s="184"/>
      <c r="L9450" s="184"/>
      <c r="M9450" s="184"/>
      <c r="N9450" s="184"/>
      <c r="O9450" s="184"/>
    </row>
    <row r="9451" customFormat="false" ht="15" hidden="false" customHeight="true" outlineLevel="0" collapsed="false">
      <c r="A9451" s="184"/>
      <c r="B9451" s="184"/>
      <c r="C9451" s="184"/>
      <c r="D9451" s="184"/>
      <c r="E9451" s="184"/>
      <c r="F9451" s="184"/>
      <c r="G9451" s="184"/>
      <c r="H9451" s="184"/>
      <c r="I9451" s="184"/>
      <c r="J9451" s="184"/>
      <c r="K9451" s="184"/>
      <c r="L9451" s="184"/>
      <c r="M9451" s="184"/>
      <c r="N9451" s="184"/>
      <c r="O9451" s="184"/>
    </row>
    <row r="9452" customFormat="false" ht="15" hidden="false" customHeight="true" outlineLevel="0" collapsed="false">
      <c r="A9452" s="184"/>
      <c r="B9452" s="184"/>
      <c r="C9452" s="184"/>
      <c r="D9452" s="184"/>
      <c r="E9452" s="184"/>
      <c r="F9452" s="184"/>
      <c r="G9452" s="184"/>
      <c r="H9452" s="184"/>
      <c r="I9452" s="184"/>
      <c r="J9452" s="184"/>
      <c r="K9452" s="184"/>
      <c r="L9452" s="184"/>
      <c r="M9452" s="184"/>
      <c r="N9452" s="184"/>
      <c r="O9452" s="184"/>
    </row>
    <row r="9453" customFormat="false" ht="15" hidden="false" customHeight="true" outlineLevel="0" collapsed="false">
      <c r="A9453" s="184"/>
      <c r="B9453" s="184"/>
      <c r="C9453" s="184"/>
      <c r="D9453" s="184"/>
      <c r="E9453" s="184"/>
      <c r="F9453" s="184"/>
      <c r="G9453" s="184"/>
      <c r="H9453" s="184"/>
      <c r="I9453" s="184"/>
      <c r="J9453" s="184"/>
      <c r="K9453" s="184"/>
      <c r="L9453" s="184"/>
      <c r="M9453" s="184"/>
      <c r="N9453" s="184"/>
      <c r="O9453" s="184"/>
    </row>
    <row r="9454" customFormat="false" ht="15" hidden="false" customHeight="true" outlineLevel="0" collapsed="false">
      <c r="A9454" s="184"/>
      <c r="B9454" s="184"/>
      <c r="C9454" s="184"/>
      <c r="D9454" s="184"/>
      <c r="E9454" s="184"/>
      <c r="F9454" s="184"/>
      <c r="G9454" s="184"/>
      <c r="H9454" s="184"/>
      <c r="I9454" s="184"/>
      <c r="J9454" s="184"/>
      <c r="K9454" s="184"/>
      <c r="L9454" s="184"/>
      <c r="M9454" s="184"/>
      <c r="N9454" s="184"/>
      <c r="O9454" s="184"/>
    </row>
    <row r="9455" customFormat="false" ht="15" hidden="false" customHeight="true" outlineLevel="0" collapsed="false">
      <c r="A9455" s="184"/>
      <c r="B9455" s="184"/>
      <c r="C9455" s="184"/>
      <c r="D9455" s="184"/>
      <c r="E9455" s="184"/>
      <c r="F9455" s="184"/>
      <c r="G9455" s="184"/>
      <c r="H9455" s="184"/>
      <c r="I9455" s="184"/>
      <c r="J9455" s="184"/>
      <c r="K9455" s="184"/>
      <c r="L9455" s="184"/>
      <c r="M9455" s="184"/>
      <c r="N9455" s="184"/>
      <c r="O9455" s="184"/>
    </row>
    <row r="9456" customFormat="false" ht="15" hidden="false" customHeight="true" outlineLevel="0" collapsed="false">
      <c r="A9456" s="184"/>
      <c r="B9456" s="184"/>
      <c r="C9456" s="184"/>
      <c r="D9456" s="184"/>
      <c r="E9456" s="184"/>
      <c r="F9456" s="184"/>
      <c r="G9456" s="184"/>
      <c r="H9456" s="184"/>
      <c r="I9456" s="184"/>
      <c r="J9456" s="184"/>
      <c r="K9456" s="184"/>
      <c r="L9456" s="184"/>
      <c r="M9456" s="184"/>
      <c r="N9456" s="184"/>
      <c r="O9456" s="184"/>
    </row>
    <row r="9457" customFormat="false" ht="15" hidden="false" customHeight="true" outlineLevel="0" collapsed="false">
      <c r="A9457" s="184"/>
      <c r="B9457" s="184"/>
      <c r="C9457" s="184"/>
      <c r="D9457" s="184"/>
      <c r="E9457" s="184"/>
      <c r="F9457" s="184"/>
      <c r="G9457" s="184"/>
      <c r="H9457" s="184"/>
      <c r="I9457" s="184"/>
      <c r="J9457" s="184"/>
      <c r="K9457" s="184"/>
      <c r="L9457" s="184"/>
      <c r="M9457" s="184"/>
      <c r="N9457" s="184"/>
      <c r="O9457" s="184"/>
    </row>
    <row r="9458" customFormat="false" ht="15" hidden="false" customHeight="true" outlineLevel="0" collapsed="false">
      <c r="A9458" s="184"/>
      <c r="B9458" s="184"/>
      <c r="C9458" s="184"/>
      <c r="D9458" s="184"/>
      <c r="E9458" s="184"/>
      <c r="F9458" s="184"/>
      <c r="G9458" s="184"/>
      <c r="H9458" s="184"/>
      <c r="I9458" s="184"/>
      <c r="J9458" s="184"/>
      <c r="K9458" s="184"/>
      <c r="L9458" s="184"/>
      <c r="M9458" s="184"/>
      <c r="N9458" s="184"/>
      <c r="O9458" s="184"/>
    </row>
    <row r="9459" customFormat="false" ht="15" hidden="false" customHeight="true" outlineLevel="0" collapsed="false">
      <c r="A9459" s="184"/>
      <c r="B9459" s="184"/>
      <c r="C9459" s="184"/>
      <c r="D9459" s="184"/>
      <c r="E9459" s="184"/>
      <c r="F9459" s="184"/>
      <c r="G9459" s="184"/>
      <c r="H9459" s="184"/>
      <c r="I9459" s="184"/>
      <c r="J9459" s="184"/>
      <c r="K9459" s="184"/>
      <c r="L9459" s="184"/>
      <c r="M9459" s="184"/>
      <c r="N9459" s="184"/>
      <c r="O9459" s="184"/>
    </row>
    <row r="9460" customFormat="false" ht="15" hidden="false" customHeight="true" outlineLevel="0" collapsed="false">
      <c r="A9460" s="184"/>
      <c r="B9460" s="184"/>
      <c r="C9460" s="184"/>
      <c r="D9460" s="184"/>
      <c r="E9460" s="184"/>
      <c r="F9460" s="184"/>
      <c r="G9460" s="184"/>
      <c r="H9460" s="184"/>
      <c r="I9460" s="184"/>
      <c r="J9460" s="184"/>
      <c r="K9460" s="184"/>
      <c r="L9460" s="184"/>
      <c r="M9460" s="184"/>
      <c r="N9460" s="184"/>
      <c r="O9460" s="184"/>
    </row>
    <row r="9461" customFormat="false" ht="15" hidden="false" customHeight="true" outlineLevel="0" collapsed="false">
      <c r="A9461" s="184"/>
      <c r="B9461" s="184"/>
      <c r="C9461" s="184"/>
      <c r="D9461" s="184"/>
      <c r="E9461" s="184"/>
      <c r="F9461" s="184"/>
      <c r="G9461" s="184"/>
      <c r="H9461" s="184"/>
      <c r="I9461" s="184"/>
      <c r="J9461" s="184"/>
      <c r="K9461" s="184"/>
      <c r="L9461" s="184"/>
      <c r="M9461" s="184"/>
      <c r="N9461" s="184"/>
      <c r="O9461" s="184"/>
    </row>
    <row r="9462" customFormat="false" ht="15" hidden="false" customHeight="true" outlineLevel="0" collapsed="false">
      <c r="A9462" s="184"/>
      <c r="B9462" s="184"/>
      <c r="C9462" s="184"/>
      <c r="D9462" s="184"/>
      <c r="E9462" s="184"/>
      <c r="F9462" s="184"/>
      <c r="G9462" s="184"/>
      <c r="H9462" s="184"/>
      <c r="I9462" s="184"/>
      <c r="J9462" s="184"/>
      <c r="K9462" s="184"/>
      <c r="L9462" s="184"/>
      <c r="M9462" s="184"/>
      <c r="N9462" s="184"/>
      <c r="O9462" s="184"/>
    </row>
    <row r="9463" customFormat="false" ht="15" hidden="false" customHeight="true" outlineLevel="0" collapsed="false">
      <c r="A9463" s="184"/>
      <c r="B9463" s="184"/>
      <c r="C9463" s="184"/>
      <c r="D9463" s="184"/>
      <c r="E9463" s="184"/>
      <c r="F9463" s="184"/>
      <c r="G9463" s="184"/>
      <c r="H9463" s="184"/>
      <c r="I9463" s="184"/>
      <c r="J9463" s="184"/>
      <c r="K9463" s="184"/>
      <c r="L9463" s="184"/>
      <c r="M9463" s="184"/>
      <c r="N9463" s="184"/>
      <c r="O9463" s="184"/>
    </row>
    <row r="9464" customFormat="false" ht="15" hidden="false" customHeight="true" outlineLevel="0" collapsed="false">
      <c r="A9464" s="184"/>
      <c r="B9464" s="184"/>
      <c r="C9464" s="184"/>
      <c r="D9464" s="184"/>
      <c r="E9464" s="184"/>
      <c r="F9464" s="184"/>
      <c r="G9464" s="184"/>
      <c r="H9464" s="184"/>
      <c r="I9464" s="184"/>
      <c r="J9464" s="184"/>
      <c r="K9464" s="184"/>
      <c r="L9464" s="184"/>
      <c r="M9464" s="184"/>
      <c r="N9464" s="184"/>
      <c r="O9464" s="184"/>
    </row>
    <row r="9465" customFormat="false" ht="15" hidden="false" customHeight="true" outlineLevel="0" collapsed="false">
      <c r="A9465" s="184"/>
      <c r="B9465" s="184"/>
      <c r="C9465" s="184"/>
      <c r="D9465" s="184"/>
      <c r="E9465" s="184"/>
      <c r="F9465" s="184"/>
      <c r="G9465" s="184"/>
      <c r="H9465" s="184"/>
      <c r="I9465" s="184"/>
      <c r="J9465" s="184"/>
      <c r="K9465" s="184"/>
      <c r="L9465" s="184"/>
      <c r="M9465" s="184"/>
      <c r="N9465" s="184"/>
      <c r="O9465" s="184"/>
    </row>
    <row r="9466" customFormat="false" ht="15" hidden="false" customHeight="true" outlineLevel="0" collapsed="false">
      <c r="A9466" s="184"/>
      <c r="B9466" s="184"/>
      <c r="C9466" s="184"/>
      <c r="D9466" s="184"/>
      <c r="E9466" s="184"/>
      <c r="F9466" s="184"/>
      <c r="G9466" s="184"/>
      <c r="H9466" s="184"/>
      <c r="I9466" s="184"/>
      <c r="J9466" s="184"/>
      <c r="K9466" s="184"/>
      <c r="L9466" s="184"/>
      <c r="M9466" s="184"/>
      <c r="N9466" s="184"/>
      <c r="O9466" s="184"/>
    </row>
    <row r="9467" customFormat="false" ht="15" hidden="false" customHeight="true" outlineLevel="0" collapsed="false">
      <c r="A9467" s="184"/>
      <c r="B9467" s="184"/>
      <c r="C9467" s="184"/>
      <c r="D9467" s="184"/>
      <c r="E9467" s="184"/>
      <c r="F9467" s="184"/>
      <c r="G9467" s="184"/>
      <c r="H9467" s="184"/>
      <c r="I9467" s="184"/>
      <c r="J9467" s="184"/>
      <c r="K9467" s="184"/>
      <c r="L9467" s="184"/>
      <c r="M9467" s="184"/>
      <c r="N9467" s="184"/>
      <c r="O9467" s="184"/>
    </row>
    <row r="9468" customFormat="false" ht="15" hidden="false" customHeight="true" outlineLevel="0" collapsed="false">
      <c r="A9468" s="184"/>
      <c r="B9468" s="184"/>
      <c r="C9468" s="184"/>
      <c r="D9468" s="184"/>
      <c r="E9468" s="184"/>
      <c r="F9468" s="184"/>
      <c r="G9468" s="184"/>
      <c r="H9468" s="184"/>
      <c r="I9468" s="184"/>
      <c r="J9468" s="184"/>
      <c r="K9468" s="184"/>
      <c r="L9468" s="184"/>
      <c r="M9468" s="184"/>
      <c r="N9468" s="184"/>
      <c r="O9468" s="184"/>
    </row>
    <row r="9469" customFormat="false" ht="15" hidden="false" customHeight="true" outlineLevel="0" collapsed="false">
      <c r="A9469" s="184"/>
      <c r="B9469" s="184"/>
      <c r="C9469" s="184"/>
      <c r="D9469" s="184"/>
      <c r="E9469" s="184"/>
      <c r="F9469" s="184"/>
      <c r="G9469" s="184"/>
      <c r="H9469" s="184"/>
      <c r="I9469" s="184"/>
      <c r="J9469" s="184"/>
      <c r="K9469" s="184"/>
      <c r="L9469" s="184"/>
      <c r="M9469" s="184"/>
      <c r="N9469" s="184"/>
      <c r="O9469" s="184"/>
    </row>
    <row r="9470" customFormat="false" ht="15" hidden="false" customHeight="true" outlineLevel="0" collapsed="false">
      <c r="A9470" s="184"/>
      <c r="B9470" s="184"/>
      <c r="C9470" s="184"/>
      <c r="D9470" s="184"/>
      <c r="E9470" s="184"/>
      <c r="F9470" s="184"/>
      <c r="G9470" s="184"/>
      <c r="H9470" s="184"/>
      <c r="I9470" s="184"/>
      <c r="J9470" s="184"/>
      <c r="K9470" s="184"/>
      <c r="L9470" s="184"/>
      <c r="M9470" s="184"/>
      <c r="N9470" s="184"/>
      <c r="O9470" s="184"/>
    </row>
    <row r="9471" customFormat="false" ht="15" hidden="false" customHeight="true" outlineLevel="0" collapsed="false">
      <c r="A9471" s="184"/>
      <c r="B9471" s="184"/>
      <c r="C9471" s="184"/>
      <c r="D9471" s="184"/>
      <c r="E9471" s="184"/>
      <c r="F9471" s="184"/>
      <c r="G9471" s="184"/>
      <c r="H9471" s="184"/>
      <c r="I9471" s="184"/>
      <c r="J9471" s="184"/>
      <c r="K9471" s="184"/>
      <c r="L9471" s="184"/>
      <c r="M9471" s="184"/>
      <c r="N9471" s="184"/>
      <c r="O9471" s="184"/>
    </row>
    <row r="9472" customFormat="false" ht="15" hidden="false" customHeight="true" outlineLevel="0" collapsed="false">
      <c r="A9472" s="184"/>
      <c r="B9472" s="184"/>
      <c r="C9472" s="184"/>
      <c r="D9472" s="184"/>
      <c r="E9472" s="184"/>
      <c r="F9472" s="184"/>
      <c r="G9472" s="184"/>
      <c r="H9472" s="184"/>
      <c r="I9472" s="184"/>
      <c r="J9472" s="184"/>
      <c r="K9472" s="184"/>
      <c r="L9472" s="184"/>
      <c r="M9472" s="184"/>
      <c r="N9472" s="184"/>
      <c r="O9472" s="184"/>
    </row>
    <row r="9473" customFormat="false" ht="15" hidden="false" customHeight="true" outlineLevel="0" collapsed="false">
      <c r="A9473" s="184"/>
      <c r="B9473" s="184"/>
      <c r="C9473" s="184"/>
      <c r="D9473" s="184"/>
      <c r="E9473" s="184"/>
      <c r="F9473" s="184"/>
      <c r="G9473" s="184"/>
      <c r="H9473" s="184"/>
      <c r="I9473" s="184"/>
      <c r="J9473" s="184"/>
      <c r="K9473" s="184"/>
      <c r="L9473" s="184"/>
      <c r="M9473" s="184"/>
      <c r="N9473" s="184"/>
      <c r="O9473" s="184"/>
    </row>
    <row r="9474" customFormat="false" ht="15" hidden="false" customHeight="true" outlineLevel="0" collapsed="false">
      <c r="A9474" s="184"/>
      <c r="B9474" s="184"/>
      <c r="C9474" s="184"/>
      <c r="D9474" s="184"/>
      <c r="E9474" s="184"/>
      <c r="F9474" s="184"/>
      <c r="G9474" s="184"/>
      <c r="H9474" s="184"/>
      <c r="I9474" s="184"/>
      <c r="J9474" s="184"/>
      <c r="K9474" s="184"/>
      <c r="L9474" s="184"/>
      <c r="M9474" s="184"/>
      <c r="N9474" s="184"/>
      <c r="O9474" s="184"/>
    </row>
    <row r="9475" customFormat="false" ht="15" hidden="false" customHeight="true" outlineLevel="0" collapsed="false">
      <c r="A9475" s="184"/>
      <c r="B9475" s="184"/>
      <c r="C9475" s="184"/>
      <c r="D9475" s="184"/>
      <c r="E9475" s="184"/>
      <c r="F9475" s="184"/>
      <c r="G9475" s="184"/>
      <c r="H9475" s="184"/>
      <c r="I9475" s="184"/>
      <c r="J9475" s="184"/>
      <c r="K9475" s="184"/>
      <c r="L9475" s="184"/>
      <c r="M9475" s="184"/>
      <c r="N9475" s="184"/>
      <c r="O9475" s="184"/>
    </row>
    <row r="9476" customFormat="false" ht="15" hidden="false" customHeight="true" outlineLevel="0" collapsed="false">
      <c r="A9476" s="184"/>
      <c r="B9476" s="184"/>
      <c r="C9476" s="184"/>
      <c r="D9476" s="184"/>
      <c r="E9476" s="184"/>
      <c r="F9476" s="184"/>
      <c r="G9476" s="184"/>
      <c r="H9476" s="184"/>
      <c r="I9476" s="184"/>
      <c r="J9476" s="184"/>
      <c r="K9476" s="184"/>
      <c r="L9476" s="184"/>
      <c r="M9476" s="184"/>
      <c r="N9476" s="184"/>
      <c r="O9476" s="184"/>
    </row>
    <row r="9477" customFormat="false" ht="15" hidden="false" customHeight="true" outlineLevel="0" collapsed="false">
      <c r="A9477" s="184"/>
      <c r="B9477" s="184"/>
      <c r="C9477" s="184"/>
      <c r="D9477" s="184"/>
      <c r="E9477" s="184"/>
      <c r="F9477" s="184"/>
      <c r="G9477" s="184"/>
      <c r="H9477" s="184"/>
      <c r="I9477" s="184"/>
      <c r="J9477" s="184"/>
      <c r="K9477" s="184"/>
      <c r="L9477" s="184"/>
      <c r="M9477" s="184"/>
      <c r="N9477" s="184"/>
      <c r="O9477" s="184"/>
    </row>
    <row r="9478" customFormat="false" ht="15" hidden="false" customHeight="true" outlineLevel="0" collapsed="false">
      <c r="A9478" s="184"/>
      <c r="B9478" s="184"/>
      <c r="C9478" s="184"/>
      <c r="D9478" s="184"/>
      <c r="E9478" s="184"/>
      <c r="F9478" s="184"/>
      <c r="G9478" s="184"/>
      <c r="H9478" s="184"/>
      <c r="I9478" s="184"/>
      <c r="J9478" s="184"/>
      <c r="K9478" s="184"/>
      <c r="L9478" s="184"/>
      <c r="M9478" s="184"/>
      <c r="N9478" s="184"/>
      <c r="O9478" s="184"/>
    </row>
    <row r="9479" customFormat="false" ht="15" hidden="false" customHeight="true" outlineLevel="0" collapsed="false">
      <c r="A9479" s="184"/>
      <c r="B9479" s="184"/>
      <c r="C9479" s="184"/>
      <c r="D9479" s="184"/>
      <c r="E9479" s="184"/>
      <c r="F9479" s="184"/>
      <c r="G9479" s="184"/>
      <c r="H9479" s="184"/>
      <c r="I9479" s="184"/>
      <c r="J9479" s="184"/>
      <c r="K9479" s="184"/>
      <c r="L9479" s="184"/>
      <c r="M9479" s="184"/>
      <c r="N9479" s="184"/>
      <c r="O9479" s="184"/>
    </row>
    <row r="9480" customFormat="false" ht="15" hidden="false" customHeight="true" outlineLevel="0" collapsed="false">
      <c r="A9480" s="184"/>
      <c r="B9480" s="184"/>
      <c r="C9480" s="184"/>
      <c r="D9480" s="184"/>
      <c r="E9480" s="184"/>
      <c r="F9480" s="184"/>
      <c r="G9480" s="184"/>
      <c r="H9480" s="184"/>
      <c r="I9480" s="184"/>
      <c r="J9480" s="184"/>
      <c r="K9480" s="184"/>
      <c r="L9480" s="184"/>
      <c r="M9480" s="184"/>
      <c r="N9480" s="184"/>
      <c r="O9480" s="184"/>
    </row>
    <row r="9481" customFormat="false" ht="15" hidden="false" customHeight="true" outlineLevel="0" collapsed="false">
      <c r="A9481" s="184"/>
      <c r="B9481" s="184"/>
      <c r="C9481" s="184"/>
      <c r="D9481" s="184"/>
      <c r="E9481" s="184"/>
      <c r="F9481" s="184"/>
      <c r="G9481" s="184"/>
      <c r="H9481" s="184"/>
      <c r="I9481" s="184"/>
      <c r="J9481" s="184"/>
      <c r="K9481" s="184"/>
      <c r="L9481" s="184"/>
      <c r="M9481" s="184"/>
      <c r="N9481" s="184"/>
      <c r="O9481" s="184"/>
    </row>
    <row r="9482" customFormat="false" ht="15" hidden="false" customHeight="true" outlineLevel="0" collapsed="false">
      <c r="A9482" s="184"/>
      <c r="B9482" s="184"/>
      <c r="C9482" s="184"/>
      <c r="D9482" s="184"/>
      <c r="E9482" s="184"/>
      <c r="F9482" s="184"/>
      <c r="G9482" s="184"/>
      <c r="H9482" s="184"/>
      <c r="I9482" s="184"/>
      <c r="J9482" s="184"/>
      <c r="K9482" s="184"/>
      <c r="L9482" s="184"/>
      <c r="M9482" s="184"/>
      <c r="N9482" s="184"/>
      <c r="O9482" s="184"/>
    </row>
    <row r="9483" customFormat="false" ht="15" hidden="false" customHeight="true" outlineLevel="0" collapsed="false">
      <c r="A9483" s="184"/>
      <c r="B9483" s="184"/>
      <c r="C9483" s="184"/>
      <c r="D9483" s="184"/>
      <c r="E9483" s="184"/>
      <c r="F9483" s="184"/>
      <c r="G9483" s="184"/>
      <c r="H9483" s="184"/>
      <c r="I9483" s="184"/>
      <c r="J9483" s="184"/>
      <c r="K9483" s="184"/>
      <c r="L9483" s="184"/>
      <c r="M9483" s="184"/>
      <c r="N9483" s="184"/>
      <c r="O9483" s="184"/>
    </row>
    <row r="9484" customFormat="false" ht="15" hidden="false" customHeight="true" outlineLevel="0" collapsed="false">
      <c r="A9484" s="184"/>
      <c r="B9484" s="184"/>
      <c r="C9484" s="184"/>
      <c r="D9484" s="184"/>
      <c r="E9484" s="184"/>
      <c r="F9484" s="184"/>
      <c r="G9484" s="184"/>
      <c r="H9484" s="184"/>
      <c r="I9484" s="184"/>
      <c r="J9484" s="184"/>
      <c r="K9484" s="184"/>
      <c r="L9484" s="184"/>
      <c r="M9484" s="184"/>
      <c r="N9484" s="184"/>
      <c r="O9484" s="184"/>
    </row>
    <row r="9485" customFormat="false" ht="15" hidden="false" customHeight="true" outlineLevel="0" collapsed="false">
      <c r="A9485" s="184"/>
      <c r="B9485" s="184"/>
      <c r="C9485" s="184"/>
      <c r="D9485" s="184"/>
      <c r="E9485" s="184"/>
      <c r="F9485" s="184"/>
      <c r="G9485" s="184"/>
      <c r="H9485" s="184"/>
      <c r="I9485" s="184"/>
      <c r="J9485" s="184"/>
      <c r="K9485" s="184"/>
      <c r="L9485" s="184"/>
      <c r="M9485" s="184"/>
      <c r="N9485" s="184"/>
      <c r="O9485" s="184"/>
    </row>
    <row r="9486" customFormat="false" ht="15" hidden="false" customHeight="true" outlineLevel="0" collapsed="false">
      <c r="A9486" s="184"/>
      <c r="B9486" s="184"/>
      <c r="C9486" s="184"/>
      <c r="D9486" s="184"/>
      <c r="E9486" s="184"/>
      <c r="F9486" s="184"/>
      <c r="G9486" s="184"/>
      <c r="H9486" s="184"/>
      <c r="I9486" s="184"/>
      <c r="J9486" s="184"/>
      <c r="K9486" s="184"/>
      <c r="L9486" s="184"/>
      <c r="M9486" s="184"/>
      <c r="N9486" s="184"/>
      <c r="O9486" s="184"/>
    </row>
    <row r="9487" customFormat="false" ht="15" hidden="false" customHeight="true" outlineLevel="0" collapsed="false">
      <c r="A9487" s="184"/>
      <c r="B9487" s="184"/>
      <c r="C9487" s="184"/>
      <c r="D9487" s="184"/>
      <c r="E9487" s="184"/>
      <c r="F9487" s="184"/>
      <c r="G9487" s="184"/>
      <c r="H9487" s="184"/>
      <c r="I9487" s="184"/>
      <c r="J9487" s="184"/>
      <c r="K9487" s="184"/>
      <c r="L9487" s="184"/>
      <c r="M9487" s="184"/>
      <c r="N9487" s="184"/>
      <c r="O9487" s="184"/>
    </row>
    <row r="9488" customFormat="false" ht="15" hidden="false" customHeight="true" outlineLevel="0" collapsed="false">
      <c r="A9488" s="184"/>
      <c r="B9488" s="184"/>
      <c r="C9488" s="184"/>
      <c r="D9488" s="184"/>
      <c r="E9488" s="184"/>
      <c r="F9488" s="184"/>
      <c r="G9488" s="184"/>
      <c r="H9488" s="184"/>
      <c r="I9488" s="184"/>
      <c r="J9488" s="184"/>
      <c r="K9488" s="184"/>
      <c r="L9488" s="184"/>
      <c r="M9488" s="184"/>
      <c r="N9488" s="184"/>
      <c r="O9488" s="184"/>
    </row>
    <row r="9489" customFormat="false" ht="15" hidden="false" customHeight="true" outlineLevel="0" collapsed="false">
      <c r="A9489" s="184"/>
      <c r="B9489" s="184"/>
      <c r="C9489" s="184"/>
      <c r="D9489" s="184"/>
      <c r="E9489" s="184"/>
      <c r="F9489" s="184"/>
      <c r="G9489" s="184"/>
      <c r="H9489" s="184"/>
      <c r="I9489" s="184"/>
      <c r="J9489" s="184"/>
      <c r="K9489" s="184"/>
      <c r="L9489" s="184"/>
      <c r="M9489" s="184"/>
      <c r="N9489" s="184"/>
      <c r="O9489" s="184"/>
    </row>
    <row r="9490" customFormat="false" ht="15" hidden="false" customHeight="true" outlineLevel="0" collapsed="false">
      <c r="A9490" s="184"/>
      <c r="B9490" s="184"/>
      <c r="C9490" s="184"/>
      <c r="D9490" s="184"/>
      <c r="E9490" s="184"/>
      <c r="F9490" s="184"/>
      <c r="G9490" s="184"/>
      <c r="H9490" s="184"/>
      <c r="I9490" s="184"/>
      <c r="J9490" s="184"/>
      <c r="K9490" s="184"/>
      <c r="L9490" s="184"/>
      <c r="M9490" s="184"/>
      <c r="N9490" s="184"/>
      <c r="O9490" s="184"/>
    </row>
    <row r="9491" customFormat="false" ht="15" hidden="false" customHeight="true" outlineLevel="0" collapsed="false">
      <c r="A9491" s="184"/>
      <c r="B9491" s="184"/>
      <c r="C9491" s="184"/>
      <c r="D9491" s="184"/>
      <c r="E9491" s="184"/>
      <c r="F9491" s="184"/>
      <c r="G9491" s="184"/>
      <c r="H9491" s="184"/>
      <c r="I9491" s="184"/>
      <c r="J9491" s="184"/>
      <c r="K9491" s="184"/>
      <c r="L9491" s="184"/>
      <c r="M9491" s="184"/>
      <c r="N9491" s="184"/>
      <c r="O9491" s="184"/>
    </row>
    <row r="9492" customFormat="false" ht="15" hidden="false" customHeight="true" outlineLevel="0" collapsed="false">
      <c r="A9492" s="184"/>
      <c r="B9492" s="184"/>
      <c r="C9492" s="184"/>
      <c r="D9492" s="184"/>
      <c r="E9492" s="184"/>
      <c r="F9492" s="184"/>
      <c r="G9492" s="184"/>
      <c r="H9492" s="184"/>
      <c r="I9492" s="184"/>
      <c r="J9492" s="184"/>
      <c r="K9492" s="184"/>
      <c r="L9492" s="184"/>
      <c r="M9492" s="184"/>
      <c r="N9492" s="184"/>
      <c r="O9492" s="184"/>
    </row>
    <row r="9493" customFormat="false" ht="15" hidden="false" customHeight="true" outlineLevel="0" collapsed="false">
      <c r="A9493" s="184"/>
      <c r="B9493" s="184"/>
      <c r="C9493" s="184"/>
      <c r="D9493" s="184"/>
      <c r="E9493" s="184"/>
      <c r="F9493" s="184"/>
      <c r="G9493" s="184"/>
      <c r="H9493" s="184"/>
      <c r="I9493" s="184"/>
      <c r="J9493" s="184"/>
      <c r="K9493" s="184"/>
      <c r="L9493" s="184"/>
      <c r="M9493" s="184"/>
      <c r="N9493" s="184"/>
      <c r="O9493" s="184"/>
    </row>
    <row r="9494" customFormat="false" ht="15" hidden="false" customHeight="true" outlineLevel="0" collapsed="false">
      <c r="A9494" s="184"/>
      <c r="B9494" s="184"/>
      <c r="C9494" s="184"/>
      <c r="D9494" s="184"/>
      <c r="E9494" s="184"/>
      <c r="F9494" s="184"/>
      <c r="G9494" s="184"/>
      <c r="H9494" s="184"/>
      <c r="I9494" s="184"/>
      <c r="J9494" s="184"/>
      <c r="K9494" s="184"/>
      <c r="L9494" s="184"/>
      <c r="M9494" s="184"/>
      <c r="N9494" s="184"/>
      <c r="O9494" s="184"/>
    </row>
    <row r="9495" customFormat="false" ht="15" hidden="false" customHeight="true" outlineLevel="0" collapsed="false">
      <c r="A9495" s="184"/>
      <c r="B9495" s="184"/>
      <c r="C9495" s="184"/>
      <c r="D9495" s="184"/>
      <c r="E9495" s="184"/>
      <c r="F9495" s="184"/>
      <c r="G9495" s="184"/>
      <c r="H9495" s="184"/>
      <c r="I9495" s="184"/>
      <c r="J9495" s="184"/>
      <c r="K9495" s="184"/>
      <c r="L9495" s="184"/>
      <c r="M9495" s="184"/>
      <c r="N9495" s="184"/>
      <c r="O9495" s="184"/>
    </row>
    <row r="9496" customFormat="false" ht="15" hidden="false" customHeight="true" outlineLevel="0" collapsed="false">
      <c r="A9496" s="184"/>
      <c r="B9496" s="184"/>
      <c r="C9496" s="184"/>
      <c r="D9496" s="184"/>
      <c r="E9496" s="184"/>
      <c r="F9496" s="184"/>
      <c r="G9496" s="184"/>
      <c r="H9496" s="184"/>
      <c r="I9496" s="184"/>
      <c r="J9496" s="184"/>
      <c r="K9496" s="184"/>
      <c r="L9496" s="184"/>
      <c r="M9496" s="184"/>
      <c r="N9496" s="184"/>
      <c r="O9496" s="184"/>
    </row>
    <row r="9497" customFormat="false" ht="15" hidden="false" customHeight="true" outlineLevel="0" collapsed="false">
      <c r="A9497" s="184"/>
      <c r="B9497" s="184"/>
      <c r="C9497" s="184"/>
      <c r="D9497" s="184"/>
      <c r="E9497" s="184"/>
      <c r="F9497" s="184"/>
      <c r="G9497" s="184"/>
      <c r="H9497" s="184"/>
      <c r="I9497" s="184"/>
      <c r="J9497" s="184"/>
      <c r="K9497" s="184"/>
      <c r="L9497" s="184"/>
      <c r="M9497" s="184"/>
      <c r="N9497" s="184"/>
      <c r="O9497" s="184"/>
    </row>
    <row r="9498" customFormat="false" ht="15" hidden="false" customHeight="true" outlineLevel="0" collapsed="false">
      <c r="A9498" s="184"/>
      <c r="B9498" s="184"/>
      <c r="C9498" s="184"/>
      <c r="D9498" s="184"/>
      <c r="E9498" s="184"/>
      <c r="F9498" s="184"/>
      <c r="G9498" s="184"/>
      <c r="H9498" s="184"/>
      <c r="I9498" s="184"/>
      <c r="J9498" s="184"/>
      <c r="K9498" s="184"/>
      <c r="L9498" s="184"/>
      <c r="M9498" s="184"/>
      <c r="N9498" s="184"/>
      <c r="O9498" s="184"/>
    </row>
    <row r="9499" customFormat="false" ht="15" hidden="false" customHeight="true" outlineLevel="0" collapsed="false">
      <c r="A9499" s="184"/>
      <c r="B9499" s="184"/>
      <c r="C9499" s="184"/>
      <c r="D9499" s="184"/>
      <c r="E9499" s="184"/>
      <c r="F9499" s="184"/>
      <c r="G9499" s="184"/>
      <c r="H9499" s="184"/>
      <c r="I9499" s="184"/>
      <c r="J9499" s="184"/>
      <c r="K9499" s="184"/>
      <c r="L9499" s="184"/>
      <c r="M9499" s="184"/>
      <c r="N9499" s="184"/>
      <c r="O9499" s="184"/>
    </row>
    <row r="9500" customFormat="false" ht="15" hidden="false" customHeight="true" outlineLevel="0" collapsed="false">
      <c r="B9500" s="181" t="s">
        <v>7423</v>
      </c>
    </row>
    <row r="9501" customFormat="false" ht="54.75" hidden="false" customHeight="true" outlineLevel="0" collapsed="false">
      <c r="A9501" s="184" t="s">
        <v>5053</v>
      </c>
      <c r="B9501" s="184" t="s">
        <v>5054</v>
      </c>
      <c r="C9501" s="184"/>
      <c r="D9501" s="179" t="s">
        <v>4858</v>
      </c>
      <c r="E9501" s="184" t="s">
        <v>7424</v>
      </c>
      <c r="F9501" s="184"/>
      <c r="G9501" s="184"/>
      <c r="H9501" s="184"/>
      <c r="I9501" s="184"/>
      <c r="J9501" s="184"/>
      <c r="K9501" s="184"/>
      <c r="L9501" s="184"/>
      <c r="M9501" s="184" t="s">
        <v>7425</v>
      </c>
      <c r="N9501" s="184"/>
      <c r="O9501" s="184"/>
    </row>
    <row r="9502" customFormat="false" ht="41.25" hidden="false" customHeight="true" outlineLevel="0" collapsed="false">
      <c r="A9502" s="184" t="s">
        <v>5053</v>
      </c>
      <c r="B9502" s="184" t="s">
        <v>5054</v>
      </c>
      <c r="C9502" s="184" t="n">
        <v>1</v>
      </c>
      <c r="D9502" s="177" t="s">
        <v>7010</v>
      </c>
      <c r="E9502" s="184" t="s">
        <v>7011</v>
      </c>
      <c r="F9502" s="184"/>
      <c r="G9502" s="184"/>
      <c r="H9502" s="184"/>
      <c r="I9502" s="184"/>
      <c r="J9502" s="184"/>
      <c r="K9502" s="184"/>
      <c r="L9502" s="184"/>
      <c r="M9502" s="184"/>
      <c r="N9502" s="184"/>
      <c r="O9502" s="184"/>
    </row>
    <row r="9503" customFormat="false" ht="15" hidden="false" customHeight="true" outlineLevel="0" collapsed="false">
      <c r="A9503" s="184"/>
      <c r="B9503" s="184"/>
      <c r="C9503" s="184"/>
      <c r="D9503" s="184"/>
      <c r="E9503" s="184"/>
      <c r="F9503" s="184"/>
      <c r="G9503" s="184"/>
      <c r="H9503" s="184"/>
      <c r="I9503" s="184"/>
      <c r="J9503" s="184"/>
      <c r="K9503" s="184"/>
      <c r="L9503" s="184"/>
      <c r="M9503" s="184"/>
      <c r="N9503" s="184"/>
      <c r="O9503" s="184"/>
    </row>
    <row r="9504" customFormat="false" ht="15" hidden="false" customHeight="true" outlineLevel="0" collapsed="false">
      <c r="A9504" s="184"/>
      <c r="B9504" s="184"/>
      <c r="C9504" s="184"/>
      <c r="D9504" s="184"/>
      <c r="E9504" s="184"/>
      <c r="F9504" s="184"/>
      <c r="G9504" s="184"/>
      <c r="H9504" s="184"/>
      <c r="I9504" s="184"/>
      <c r="J9504" s="184"/>
      <c r="K9504" s="184"/>
      <c r="L9504" s="184"/>
      <c r="M9504" s="184"/>
      <c r="N9504" s="184"/>
      <c r="O9504" s="184"/>
    </row>
    <row r="9505" customFormat="false" ht="15" hidden="false" customHeight="true" outlineLevel="0" collapsed="false">
      <c r="A9505" s="184"/>
      <c r="B9505" s="184"/>
      <c r="C9505" s="184"/>
      <c r="D9505" s="184"/>
      <c r="E9505" s="184"/>
      <c r="F9505" s="184"/>
      <c r="G9505" s="184"/>
      <c r="H9505" s="184"/>
      <c r="I9505" s="184"/>
      <c r="J9505" s="184"/>
      <c r="K9505" s="184"/>
      <c r="L9505" s="184"/>
      <c r="M9505" s="184"/>
      <c r="N9505" s="184"/>
      <c r="O9505" s="184"/>
    </row>
    <row r="9506" customFormat="false" ht="15" hidden="false" customHeight="true" outlineLevel="0" collapsed="false">
      <c r="A9506" s="184"/>
      <c r="B9506" s="184"/>
      <c r="C9506" s="184"/>
      <c r="D9506" s="184"/>
      <c r="E9506" s="184"/>
      <c r="F9506" s="184"/>
      <c r="G9506" s="184"/>
      <c r="H9506" s="184"/>
      <c r="I9506" s="184"/>
      <c r="J9506" s="184"/>
      <c r="K9506" s="184"/>
      <c r="L9506" s="184"/>
      <c r="M9506" s="184"/>
      <c r="N9506" s="184"/>
      <c r="O9506" s="184"/>
    </row>
    <row r="9507" customFormat="false" ht="15" hidden="false" customHeight="true" outlineLevel="0" collapsed="false">
      <c r="A9507" s="184"/>
      <c r="B9507" s="184"/>
      <c r="C9507" s="184"/>
      <c r="D9507" s="184"/>
      <c r="E9507" s="184"/>
      <c r="F9507" s="184"/>
      <c r="G9507" s="184"/>
      <c r="H9507" s="184"/>
      <c r="I9507" s="184"/>
      <c r="J9507" s="184"/>
      <c r="K9507" s="184"/>
      <c r="L9507" s="184"/>
      <c r="M9507" s="184"/>
      <c r="N9507" s="184"/>
      <c r="O9507" s="184"/>
    </row>
    <row r="9508" customFormat="false" ht="15" hidden="false" customHeight="true" outlineLevel="0" collapsed="false">
      <c r="A9508" s="184"/>
      <c r="B9508" s="184"/>
      <c r="C9508" s="184"/>
      <c r="D9508" s="184"/>
      <c r="E9508" s="184"/>
      <c r="F9508" s="184"/>
      <c r="G9508" s="184"/>
      <c r="H9508" s="184"/>
      <c r="I9508" s="184"/>
      <c r="J9508" s="184"/>
      <c r="K9508" s="184"/>
      <c r="L9508" s="184"/>
      <c r="M9508" s="184"/>
      <c r="N9508" s="184"/>
      <c r="O9508" s="184"/>
    </row>
    <row r="9509" customFormat="false" ht="15" hidden="false" customHeight="true" outlineLevel="0" collapsed="false">
      <c r="A9509" s="184"/>
      <c r="B9509" s="184"/>
      <c r="C9509" s="184"/>
      <c r="D9509" s="184"/>
      <c r="E9509" s="184"/>
      <c r="F9509" s="184"/>
      <c r="G9509" s="184"/>
      <c r="H9509" s="184"/>
      <c r="I9509" s="184"/>
      <c r="J9509" s="184"/>
      <c r="K9509" s="184"/>
      <c r="L9509" s="184"/>
      <c r="M9509" s="184"/>
      <c r="N9509" s="184"/>
      <c r="O9509" s="184"/>
    </row>
    <row r="9510" customFormat="false" ht="15" hidden="false" customHeight="true" outlineLevel="0" collapsed="false">
      <c r="A9510" s="184"/>
      <c r="B9510" s="184"/>
      <c r="C9510" s="184"/>
      <c r="D9510" s="184"/>
      <c r="E9510" s="184"/>
      <c r="F9510" s="184"/>
      <c r="G9510" s="184"/>
      <c r="H9510" s="184"/>
      <c r="I9510" s="184"/>
      <c r="J9510" s="184"/>
      <c r="K9510" s="184"/>
      <c r="L9510" s="184"/>
      <c r="M9510" s="184"/>
      <c r="N9510" s="184"/>
      <c r="O9510" s="184"/>
    </row>
    <row r="9511" customFormat="false" ht="15" hidden="false" customHeight="true" outlineLevel="0" collapsed="false">
      <c r="A9511" s="184"/>
      <c r="B9511" s="184"/>
      <c r="C9511" s="184"/>
      <c r="D9511" s="184"/>
      <c r="E9511" s="184"/>
      <c r="F9511" s="184"/>
      <c r="G9511" s="184"/>
      <c r="H9511" s="184"/>
      <c r="I9511" s="184"/>
      <c r="J9511" s="184"/>
      <c r="K9511" s="184"/>
      <c r="L9511" s="184"/>
      <c r="M9511" s="184"/>
      <c r="N9511" s="184"/>
      <c r="O9511" s="184"/>
    </row>
    <row r="9512" customFormat="false" ht="15" hidden="false" customHeight="true" outlineLevel="0" collapsed="false">
      <c r="A9512" s="184"/>
      <c r="B9512" s="184"/>
      <c r="C9512" s="184"/>
      <c r="D9512" s="184"/>
      <c r="E9512" s="184"/>
      <c r="F9512" s="184"/>
      <c r="G9512" s="184"/>
      <c r="H9512" s="184"/>
      <c r="I9512" s="184"/>
      <c r="J9512" s="184"/>
      <c r="K9512" s="184"/>
      <c r="L9512" s="184"/>
      <c r="M9512" s="184"/>
      <c r="N9512" s="184"/>
      <c r="O9512" s="184"/>
    </row>
    <row r="9513" customFormat="false" ht="15" hidden="false" customHeight="true" outlineLevel="0" collapsed="false">
      <c r="A9513" s="184"/>
      <c r="B9513" s="184"/>
      <c r="C9513" s="184"/>
      <c r="D9513" s="184"/>
      <c r="E9513" s="184"/>
      <c r="F9513" s="184"/>
      <c r="G9513" s="184"/>
      <c r="H9513" s="184"/>
      <c r="I9513" s="184"/>
      <c r="J9513" s="184"/>
      <c r="K9513" s="184"/>
      <c r="L9513" s="184"/>
      <c r="M9513" s="184"/>
      <c r="N9513" s="184"/>
      <c r="O9513" s="184"/>
    </row>
    <row r="9514" customFormat="false" ht="15" hidden="false" customHeight="true" outlineLevel="0" collapsed="false">
      <c r="A9514" s="184"/>
      <c r="B9514" s="184"/>
      <c r="C9514" s="184"/>
      <c r="D9514" s="184"/>
      <c r="E9514" s="184"/>
      <c r="F9514" s="184"/>
      <c r="G9514" s="184"/>
      <c r="H9514" s="184"/>
      <c r="I9514" s="184"/>
      <c r="J9514" s="184"/>
      <c r="K9514" s="184"/>
      <c r="L9514" s="184"/>
      <c r="M9514" s="184"/>
      <c r="N9514" s="184"/>
      <c r="O9514" s="184"/>
    </row>
    <row r="9515" customFormat="false" ht="15" hidden="false" customHeight="true" outlineLevel="0" collapsed="false">
      <c r="A9515" s="184"/>
      <c r="B9515" s="184"/>
      <c r="C9515" s="184"/>
      <c r="D9515" s="184"/>
      <c r="E9515" s="184"/>
      <c r="F9515" s="184"/>
      <c r="G9515" s="184"/>
      <c r="H9515" s="184"/>
      <c r="I9515" s="184"/>
      <c r="J9515" s="184"/>
      <c r="K9515" s="184"/>
      <c r="L9515" s="184"/>
      <c r="M9515" s="184"/>
      <c r="N9515" s="184"/>
      <c r="O9515" s="184"/>
    </row>
    <row r="9516" customFormat="false" ht="15" hidden="false" customHeight="true" outlineLevel="0" collapsed="false">
      <c r="A9516" s="184"/>
      <c r="B9516" s="184"/>
      <c r="C9516" s="184"/>
      <c r="D9516" s="184"/>
      <c r="E9516" s="184"/>
      <c r="F9516" s="184"/>
      <c r="G9516" s="184"/>
      <c r="H9516" s="184"/>
      <c r="I9516" s="184"/>
      <c r="J9516" s="184"/>
      <c r="K9516" s="184"/>
      <c r="L9516" s="184"/>
      <c r="M9516" s="184"/>
      <c r="N9516" s="184"/>
      <c r="O9516" s="184"/>
    </row>
    <row r="9517" customFormat="false" ht="15" hidden="false" customHeight="true" outlineLevel="0" collapsed="false">
      <c r="A9517" s="184"/>
      <c r="B9517" s="184"/>
      <c r="C9517" s="184"/>
      <c r="D9517" s="184"/>
      <c r="E9517" s="184"/>
      <c r="F9517" s="184"/>
      <c r="G9517" s="184"/>
      <c r="H9517" s="184"/>
      <c r="I9517" s="184"/>
      <c r="J9517" s="184"/>
      <c r="K9517" s="184"/>
      <c r="L9517" s="184"/>
      <c r="M9517" s="184"/>
      <c r="N9517" s="184"/>
      <c r="O9517" s="184"/>
    </row>
    <row r="9518" customFormat="false" ht="15" hidden="false" customHeight="true" outlineLevel="0" collapsed="false">
      <c r="A9518" s="184"/>
      <c r="B9518" s="184"/>
      <c r="C9518" s="184"/>
      <c r="D9518" s="184"/>
      <c r="E9518" s="184"/>
      <c r="F9518" s="184"/>
      <c r="G9518" s="184"/>
      <c r="H9518" s="184"/>
      <c r="I9518" s="184"/>
      <c r="J9518" s="184"/>
      <c r="K9518" s="184"/>
      <c r="L9518" s="184"/>
      <c r="M9518" s="184"/>
      <c r="N9518" s="184"/>
      <c r="O9518" s="184"/>
    </row>
    <row r="9519" customFormat="false" ht="15" hidden="false" customHeight="true" outlineLevel="0" collapsed="false">
      <c r="A9519" s="184"/>
      <c r="B9519" s="184"/>
      <c r="C9519" s="184"/>
      <c r="D9519" s="184"/>
      <c r="E9519" s="184"/>
      <c r="F9519" s="184"/>
      <c r="G9519" s="184"/>
      <c r="H9519" s="184"/>
      <c r="I9519" s="184"/>
      <c r="J9519" s="184"/>
      <c r="K9519" s="184"/>
      <c r="L9519" s="184"/>
      <c r="M9519" s="184"/>
      <c r="N9519" s="184"/>
      <c r="O9519" s="184"/>
    </row>
    <row r="9520" customFormat="false" ht="15" hidden="false" customHeight="true" outlineLevel="0" collapsed="false">
      <c r="A9520" s="184"/>
      <c r="B9520" s="184"/>
      <c r="C9520" s="184"/>
      <c r="D9520" s="184"/>
      <c r="E9520" s="184"/>
      <c r="F9520" s="184"/>
      <c r="G9520" s="184"/>
      <c r="H9520" s="184"/>
      <c r="I9520" s="184"/>
      <c r="J9520" s="184"/>
      <c r="K9520" s="184"/>
      <c r="L9520" s="184"/>
      <c r="M9520" s="184"/>
      <c r="N9520" s="184"/>
      <c r="O9520" s="184"/>
    </row>
    <row r="9521" customFormat="false" ht="15" hidden="false" customHeight="true" outlineLevel="0" collapsed="false">
      <c r="A9521" s="184"/>
      <c r="B9521" s="184"/>
      <c r="C9521" s="184"/>
      <c r="D9521" s="184"/>
      <c r="E9521" s="184"/>
      <c r="F9521" s="184"/>
      <c r="G9521" s="184"/>
      <c r="H9521" s="184"/>
      <c r="I9521" s="184"/>
      <c r="J9521" s="184"/>
      <c r="K9521" s="184"/>
      <c r="L9521" s="184"/>
      <c r="M9521" s="184"/>
      <c r="N9521" s="184"/>
      <c r="O9521" s="184"/>
    </row>
    <row r="9522" customFormat="false" ht="15" hidden="false" customHeight="true" outlineLevel="0" collapsed="false">
      <c r="A9522" s="184"/>
      <c r="B9522" s="184"/>
      <c r="C9522" s="184"/>
      <c r="D9522" s="184"/>
      <c r="E9522" s="184"/>
      <c r="F9522" s="184"/>
      <c r="G9522" s="184"/>
      <c r="H9522" s="184"/>
      <c r="I9522" s="184"/>
      <c r="J9522" s="184"/>
      <c r="K9522" s="184"/>
      <c r="L9522" s="184"/>
      <c r="M9522" s="184"/>
      <c r="N9522" s="184"/>
      <c r="O9522" s="184"/>
    </row>
    <row r="9523" customFormat="false" ht="15" hidden="false" customHeight="true" outlineLevel="0" collapsed="false">
      <c r="A9523" s="184"/>
      <c r="B9523" s="184"/>
      <c r="C9523" s="184"/>
      <c r="D9523" s="184"/>
      <c r="E9523" s="184"/>
      <c r="F9523" s="184"/>
      <c r="G9523" s="184"/>
      <c r="H9523" s="184"/>
      <c r="I9523" s="184"/>
      <c r="J9523" s="184"/>
      <c r="K9523" s="184"/>
      <c r="L9523" s="184"/>
      <c r="M9523" s="184"/>
      <c r="N9523" s="184"/>
      <c r="O9523" s="184"/>
    </row>
    <row r="9524" customFormat="false" ht="15" hidden="false" customHeight="true" outlineLevel="0" collapsed="false">
      <c r="A9524" s="184"/>
      <c r="B9524" s="184"/>
      <c r="C9524" s="184"/>
      <c r="D9524" s="184"/>
      <c r="E9524" s="184"/>
      <c r="F9524" s="184"/>
      <c r="G9524" s="184"/>
      <c r="H9524" s="184"/>
      <c r="I9524" s="184"/>
      <c r="J9524" s="184"/>
      <c r="K9524" s="184"/>
      <c r="L9524" s="184"/>
      <c r="M9524" s="184"/>
      <c r="N9524" s="184"/>
      <c r="O9524" s="184"/>
    </row>
    <row r="9525" customFormat="false" ht="15" hidden="false" customHeight="true" outlineLevel="0" collapsed="false">
      <c r="A9525" s="184"/>
      <c r="B9525" s="184"/>
      <c r="C9525" s="184"/>
      <c r="D9525" s="184"/>
      <c r="E9525" s="184"/>
      <c r="F9525" s="184"/>
      <c r="G9525" s="184"/>
      <c r="H9525" s="184"/>
      <c r="I9525" s="184"/>
      <c r="J9525" s="184"/>
      <c r="K9525" s="184"/>
      <c r="L9525" s="184"/>
      <c r="M9525" s="184"/>
      <c r="N9525" s="184"/>
      <c r="O9525" s="184"/>
    </row>
    <row r="9526" customFormat="false" ht="15" hidden="false" customHeight="true" outlineLevel="0" collapsed="false">
      <c r="A9526" s="184"/>
      <c r="B9526" s="184"/>
      <c r="C9526" s="184"/>
      <c r="D9526" s="184"/>
      <c r="E9526" s="184"/>
      <c r="F9526" s="184"/>
      <c r="G9526" s="184"/>
      <c r="H9526" s="184"/>
      <c r="I9526" s="184"/>
      <c r="J9526" s="184"/>
      <c r="K9526" s="184"/>
      <c r="L9526" s="184"/>
      <c r="M9526" s="184"/>
      <c r="N9526" s="184"/>
      <c r="O9526" s="184"/>
    </row>
    <row r="9527" customFormat="false" ht="15" hidden="false" customHeight="true" outlineLevel="0" collapsed="false">
      <c r="A9527" s="184"/>
      <c r="B9527" s="184"/>
      <c r="C9527" s="184"/>
      <c r="D9527" s="184"/>
      <c r="E9527" s="184"/>
      <c r="F9527" s="184"/>
      <c r="G9527" s="184"/>
      <c r="H9527" s="184"/>
      <c r="I9527" s="184"/>
      <c r="J9527" s="184"/>
      <c r="K9527" s="184"/>
      <c r="L9527" s="184"/>
      <c r="M9527" s="184"/>
      <c r="N9527" s="184"/>
      <c r="O9527" s="184"/>
    </row>
    <row r="9528" customFormat="false" ht="15" hidden="false" customHeight="true" outlineLevel="0" collapsed="false">
      <c r="A9528" s="184"/>
      <c r="B9528" s="184"/>
      <c r="C9528" s="184"/>
      <c r="D9528" s="184"/>
      <c r="E9528" s="184"/>
      <c r="F9528" s="184"/>
      <c r="G9528" s="184"/>
      <c r="H9528" s="184"/>
      <c r="I9528" s="184"/>
      <c r="J9528" s="184"/>
      <c r="K9528" s="184"/>
      <c r="L9528" s="184"/>
      <c r="M9528" s="184"/>
      <c r="N9528" s="184"/>
      <c r="O9528" s="184"/>
    </row>
    <row r="9529" customFormat="false" ht="15" hidden="false" customHeight="true" outlineLevel="0" collapsed="false">
      <c r="A9529" s="184"/>
      <c r="B9529" s="184"/>
      <c r="C9529" s="184"/>
      <c r="D9529" s="184"/>
      <c r="E9529" s="184"/>
      <c r="F9529" s="184"/>
      <c r="G9529" s="184"/>
      <c r="H9529" s="184"/>
      <c r="I9529" s="184"/>
      <c r="J9529" s="184"/>
      <c r="K9529" s="184"/>
      <c r="L9529" s="184"/>
      <c r="M9529" s="184"/>
      <c r="N9529" s="184"/>
      <c r="O9529" s="184"/>
    </row>
    <row r="9530" customFormat="false" ht="15" hidden="false" customHeight="true" outlineLevel="0" collapsed="false">
      <c r="A9530" s="184"/>
      <c r="B9530" s="184"/>
      <c r="C9530" s="184"/>
      <c r="D9530" s="184"/>
      <c r="E9530" s="184"/>
      <c r="F9530" s="184"/>
      <c r="G9530" s="184"/>
      <c r="H9530" s="184"/>
      <c r="I9530" s="184"/>
      <c r="J9530" s="184"/>
      <c r="K9530" s="184"/>
      <c r="L9530" s="184"/>
      <c r="M9530" s="184"/>
      <c r="N9530" s="184"/>
      <c r="O9530" s="184"/>
    </row>
    <row r="9531" customFormat="false" ht="15" hidden="false" customHeight="true" outlineLevel="0" collapsed="false">
      <c r="A9531" s="184"/>
      <c r="B9531" s="184"/>
      <c r="C9531" s="184"/>
      <c r="D9531" s="184"/>
      <c r="E9531" s="184"/>
      <c r="F9531" s="184"/>
      <c r="G9531" s="184"/>
      <c r="H9531" s="184"/>
      <c r="I9531" s="184"/>
      <c r="J9531" s="184"/>
      <c r="K9531" s="184"/>
      <c r="L9531" s="184"/>
      <c r="M9531" s="184"/>
      <c r="N9531" s="184"/>
      <c r="O9531" s="184"/>
    </row>
    <row r="9532" customFormat="false" ht="15" hidden="false" customHeight="true" outlineLevel="0" collapsed="false">
      <c r="A9532" s="184"/>
      <c r="B9532" s="184"/>
      <c r="C9532" s="184"/>
      <c r="D9532" s="184"/>
      <c r="E9532" s="184"/>
      <c r="F9532" s="184"/>
      <c r="G9532" s="184"/>
      <c r="H9532" s="184"/>
      <c r="I9532" s="184"/>
      <c r="J9532" s="184"/>
      <c r="K9532" s="184"/>
      <c r="L9532" s="184"/>
      <c r="M9532" s="184"/>
      <c r="N9532" s="184"/>
      <c r="O9532" s="184"/>
    </row>
    <row r="9533" customFormat="false" ht="15" hidden="false" customHeight="true" outlineLevel="0" collapsed="false">
      <c r="A9533" s="184"/>
      <c r="B9533" s="184"/>
      <c r="C9533" s="184"/>
      <c r="D9533" s="184"/>
      <c r="E9533" s="184"/>
      <c r="F9533" s="184"/>
      <c r="G9533" s="184"/>
      <c r="H9533" s="184"/>
      <c r="I9533" s="184"/>
      <c r="J9533" s="184"/>
      <c r="K9533" s="184"/>
      <c r="L9533" s="184"/>
      <c r="M9533" s="184"/>
      <c r="N9533" s="184"/>
      <c r="O9533" s="184"/>
    </row>
    <row r="9534" customFormat="false" ht="15" hidden="false" customHeight="true" outlineLevel="0" collapsed="false">
      <c r="A9534" s="184"/>
      <c r="B9534" s="184"/>
      <c r="C9534" s="184"/>
      <c r="D9534" s="184"/>
      <c r="E9534" s="184"/>
      <c r="F9534" s="184"/>
      <c r="G9534" s="184"/>
      <c r="H9534" s="184"/>
      <c r="I9534" s="184"/>
      <c r="J9534" s="184"/>
      <c r="K9534" s="184"/>
      <c r="L9534" s="184"/>
      <c r="M9534" s="184"/>
      <c r="N9534" s="184"/>
      <c r="O9534" s="184"/>
    </row>
    <row r="9535" customFormat="false" ht="15" hidden="false" customHeight="true" outlineLevel="0" collapsed="false">
      <c r="A9535" s="184"/>
      <c r="B9535" s="184"/>
      <c r="C9535" s="184"/>
      <c r="D9535" s="184"/>
      <c r="E9535" s="184"/>
      <c r="F9535" s="184"/>
      <c r="G9535" s="184"/>
      <c r="H9535" s="184"/>
      <c r="I9535" s="184"/>
      <c r="J9535" s="184"/>
      <c r="K9535" s="184"/>
      <c r="L9535" s="184"/>
      <c r="M9535" s="184"/>
      <c r="N9535" s="184"/>
      <c r="O9535" s="184"/>
    </row>
    <row r="9536" customFormat="false" ht="15" hidden="false" customHeight="true" outlineLevel="0" collapsed="false">
      <c r="A9536" s="184"/>
      <c r="B9536" s="184"/>
      <c r="C9536" s="184"/>
      <c r="D9536" s="184"/>
      <c r="E9536" s="184"/>
      <c r="F9536" s="184"/>
      <c r="G9536" s="184"/>
      <c r="H9536" s="184"/>
      <c r="I9536" s="184"/>
      <c r="J9536" s="184"/>
      <c r="K9536" s="184"/>
      <c r="L9536" s="184"/>
      <c r="M9536" s="184"/>
      <c r="N9536" s="184"/>
      <c r="O9536" s="184"/>
    </row>
    <row r="9537" customFormat="false" ht="15" hidden="false" customHeight="true" outlineLevel="0" collapsed="false">
      <c r="A9537" s="184"/>
      <c r="B9537" s="184"/>
      <c r="C9537" s="184"/>
      <c r="D9537" s="184"/>
      <c r="E9537" s="184"/>
      <c r="F9537" s="184"/>
      <c r="G9537" s="184"/>
      <c r="H9537" s="184"/>
      <c r="I9537" s="184"/>
      <c r="J9537" s="184"/>
      <c r="K9537" s="184"/>
      <c r="L9537" s="184"/>
      <c r="M9537" s="184"/>
      <c r="N9537" s="184"/>
      <c r="O9537" s="184"/>
    </row>
    <row r="9538" customFormat="false" ht="15" hidden="false" customHeight="true" outlineLevel="0" collapsed="false">
      <c r="A9538" s="184"/>
      <c r="B9538" s="184"/>
      <c r="C9538" s="184"/>
      <c r="D9538" s="184"/>
      <c r="E9538" s="184"/>
      <c r="F9538" s="184"/>
      <c r="G9538" s="184"/>
      <c r="H9538" s="184"/>
      <c r="I9538" s="184"/>
      <c r="J9538" s="184"/>
      <c r="K9538" s="184"/>
      <c r="L9538" s="184"/>
      <c r="M9538" s="184"/>
      <c r="N9538" s="184"/>
      <c r="O9538" s="184"/>
    </row>
    <row r="9539" customFormat="false" ht="15" hidden="false" customHeight="true" outlineLevel="0" collapsed="false">
      <c r="A9539" s="184"/>
      <c r="B9539" s="184"/>
      <c r="C9539" s="184"/>
      <c r="D9539" s="184"/>
      <c r="E9539" s="184"/>
      <c r="F9539" s="184"/>
      <c r="G9539" s="184"/>
      <c r="H9539" s="184"/>
      <c r="I9539" s="184"/>
      <c r="J9539" s="184"/>
      <c r="K9539" s="184"/>
      <c r="L9539" s="184"/>
      <c r="M9539" s="184"/>
      <c r="N9539" s="184"/>
      <c r="O9539" s="184"/>
    </row>
    <row r="9540" customFormat="false" ht="15" hidden="false" customHeight="true" outlineLevel="0" collapsed="false">
      <c r="A9540" s="184"/>
      <c r="B9540" s="184"/>
      <c r="C9540" s="184"/>
      <c r="D9540" s="184"/>
      <c r="E9540" s="184"/>
      <c r="F9540" s="184"/>
      <c r="G9540" s="184"/>
      <c r="H9540" s="184"/>
      <c r="I9540" s="184"/>
      <c r="J9540" s="184"/>
      <c r="K9540" s="184"/>
      <c r="L9540" s="184"/>
      <c r="M9540" s="184"/>
      <c r="N9540" s="184"/>
      <c r="O9540" s="184"/>
    </row>
    <row r="9541" customFormat="false" ht="15" hidden="false" customHeight="true" outlineLevel="0" collapsed="false">
      <c r="A9541" s="184"/>
      <c r="B9541" s="184"/>
      <c r="C9541" s="184"/>
      <c r="D9541" s="184"/>
      <c r="E9541" s="184"/>
      <c r="F9541" s="184"/>
      <c r="G9541" s="184"/>
      <c r="H9541" s="184"/>
      <c r="I9541" s="184"/>
      <c r="J9541" s="184"/>
      <c r="K9541" s="184"/>
      <c r="L9541" s="184"/>
      <c r="M9541" s="184"/>
      <c r="N9541" s="184"/>
      <c r="O9541" s="184"/>
    </row>
    <row r="9542" customFormat="false" ht="15" hidden="false" customHeight="true" outlineLevel="0" collapsed="false">
      <c r="A9542" s="184"/>
      <c r="B9542" s="184"/>
      <c r="C9542" s="184"/>
      <c r="D9542" s="184"/>
      <c r="E9542" s="184"/>
      <c r="F9542" s="184"/>
      <c r="G9542" s="184"/>
      <c r="H9542" s="184"/>
      <c r="I9542" s="184"/>
      <c r="J9542" s="184"/>
      <c r="K9542" s="184"/>
      <c r="L9542" s="184"/>
      <c r="M9542" s="184"/>
      <c r="N9542" s="184"/>
      <c r="O9542" s="184"/>
    </row>
    <row r="9543" customFormat="false" ht="15" hidden="false" customHeight="true" outlineLevel="0" collapsed="false">
      <c r="A9543" s="184"/>
      <c r="B9543" s="184"/>
      <c r="C9543" s="184"/>
      <c r="D9543" s="184"/>
      <c r="E9543" s="184"/>
      <c r="F9543" s="184"/>
      <c r="G9543" s="184"/>
      <c r="H9543" s="184"/>
      <c r="I9543" s="184"/>
      <c r="J9543" s="184"/>
      <c r="K9543" s="184"/>
      <c r="L9543" s="184"/>
      <c r="M9543" s="184"/>
      <c r="N9543" s="184"/>
      <c r="O9543" s="184"/>
    </row>
    <row r="9544" customFormat="false" ht="15" hidden="false" customHeight="true" outlineLevel="0" collapsed="false">
      <c r="A9544" s="184"/>
      <c r="B9544" s="184"/>
      <c r="C9544" s="184"/>
      <c r="D9544" s="184"/>
      <c r="E9544" s="184"/>
      <c r="F9544" s="184"/>
      <c r="G9544" s="184"/>
      <c r="H9544" s="184"/>
      <c r="I9544" s="184"/>
      <c r="J9544" s="184"/>
      <c r="K9544" s="184"/>
      <c r="L9544" s="184"/>
      <c r="M9544" s="184"/>
      <c r="N9544" s="184"/>
      <c r="O9544" s="184"/>
    </row>
    <row r="9545" customFormat="false" ht="15" hidden="false" customHeight="true" outlineLevel="0" collapsed="false">
      <c r="A9545" s="184"/>
      <c r="B9545" s="184"/>
      <c r="C9545" s="184"/>
      <c r="D9545" s="184"/>
      <c r="E9545" s="184"/>
      <c r="F9545" s="184"/>
      <c r="G9545" s="184"/>
      <c r="H9545" s="184"/>
      <c r="I9545" s="184"/>
      <c r="J9545" s="184"/>
      <c r="K9545" s="184"/>
      <c r="L9545" s="184"/>
      <c r="M9545" s="184"/>
      <c r="N9545" s="184"/>
      <c r="O9545" s="184"/>
    </row>
    <row r="9546" customFormat="false" ht="15" hidden="false" customHeight="true" outlineLevel="0" collapsed="false">
      <c r="A9546" s="184"/>
      <c r="B9546" s="184"/>
      <c r="C9546" s="184"/>
      <c r="D9546" s="184"/>
      <c r="E9546" s="184"/>
      <c r="F9546" s="184"/>
      <c r="G9546" s="184"/>
      <c r="H9546" s="184"/>
      <c r="I9546" s="184"/>
      <c r="J9546" s="184"/>
      <c r="K9546" s="184"/>
      <c r="L9546" s="184"/>
      <c r="M9546" s="184"/>
      <c r="N9546" s="184"/>
      <c r="O9546" s="184"/>
    </row>
    <row r="9547" customFormat="false" ht="15" hidden="false" customHeight="true" outlineLevel="0" collapsed="false">
      <c r="A9547" s="184"/>
      <c r="B9547" s="184"/>
      <c r="C9547" s="184"/>
      <c r="D9547" s="184"/>
      <c r="E9547" s="184"/>
      <c r="F9547" s="184"/>
      <c r="G9547" s="184"/>
      <c r="H9547" s="184"/>
      <c r="I9547" s="184"/>
      <c r="J9547" s="184"/>
      <c r="K9547" s="184"/>
      <c r="L9547" s="184"/>
      <c r="M9547" s="184"/>
      <c r="N9547" s="184"/>
      <c r="O9547" s="184"/>
    </row>
    <row r="9548" customFormat="false" ht="15" hidden="false" customHeight="true" outlineLevel="0" collapsed="false">
      <c r="A9548" s="184"/>
      <c r="B9548" s="184"/>
      <c r="C9548" s="184"/>
      <c r="D9548" s="184"/>
      <c r="E9548" s="184"/>
      <c r="F9548" s="184"/>
      <c r="G9548" s="184"/>
      <c r="H9548" s="184"/>
      <c r="I9548" s="184"/>
      <c r="J9548" s="184"/>
      <c r="K9548" s="184"/>
      <c r="L9548" s="184"/>
      <c r="M9548" s="184"/>
      <c r="N9548" s="184"/>
      <c r="O9548" s="184"/>
    </row>
    <row r="9549" customFormat="false" ht="15" hidden="false" customHeight="true" outlineLevel="0" collapsed="false">
      <c r="A9549" s="184"/>
      <c r="B9549" s="184"/>
      <c r="C9549" s="184"/>
      <c r="D9549" s="184"/>
      <c r="E9549" s="184"/>
      <c r="F9549" s="184"/>
      <c r="G9549" s="184"/>
      <c r="H9549" s="184"/>
      <c r="I9549" s="184"/>
      <c r="J9549" s="184"/>
      <c r="K9549" s="184"/>
      <c r="L9549" s="184"/>
      <c r="M9549" s="184"/>
      <c r="N9549" s="184"/>
      <c r="O9549" s="184"/>
    </row>
    <row r="9550" customFormat="false" ht="15" hidden="false" customHeight="true" outlineLevel="0" collapsed="false">
      <c r="A9550" s="184"/>
      <c r="B9550" s="184"/>
      <c r="C9550" s="184"/>
      <c r="D9550" s="184"/>
      <c r="E9550" s="184"/>
      <c r="F9550" s="184"/>
      <c r="G9550" s="184"/>
      <c r="H9550" s="184"/>
      <c r="I9550" s="184"/>
      <c r="J9550" s="184"/>
      <c r="K9550" s="184"/>
      <c r="L9550" s="184"/>
      <c r="M9550" s="184"/>
      <c r="N9550" s="184"/>
      <c r="O9550" s="184"/>
    </row>
    <row r="9551" customFormat="false" ht="15" hidden="false" customHeight="true" outlineLevel="0" collapsed="false">
      <c r="A9551" s="184"/>
      <c r="B9551" s="184"/>
      <c r="C9551" s="184"/>
      <c r="D9551" s="184"/>
      <c r="E9551" s="184"/>
      <c r="F9551" s="184"/>
      <c r="G9551" s="184"/>
      <c r="H9551" s="184"/>
      <c r="I9551" s="184"/>
      <c r="J9551" s="184"/>
      <c r="K9551" s="184"/>
      <c r="L9551" s="184"/>
      <c r="M9551" s="184"/>
      <c r="N9551" s="184"/>
      <c r="O9551" s="184"/>
    </row>
    <row r="9552" customFormat="false" ht="15" hidden="false" customHeight="true" outlineLevel="0" collapsed="false">
      <c r="A9552" s="184"/>
      <c r="B9552" s="184"/>
      <c r="C9552" s="184"/>
      <c r="D9552" s="184"/>
      <c r="E9552" s="184"/>
      <c r="F9552" s="184"/>
      <c r="G9552" s="184"/>
      <c r="H9552" s="184"/>
      <c r="I9552" s="184"/>
      <c r="J9552" s="184"/>
      <c r="K9552" s="184"/>
      <c r="L9552" s="184"/>
      <c r="M9552" s="184"/>
      <c r="N9552" s="184"/>
      <c r="O9552" s="184"/>
    </row>
    <row r="9553" customFormat="false" ht="15" hidden="false" customHeight="true" outlineLevel="0" collapsed="false">
      <c r="A9553" s="184"/>
      <c r="B9553" s="184"/>
      <c r="C9553" s="184"/>
      <c r="D9553" s="184"/>
      <c r="E9553" s="184"/>
      <c r="F9553" s="184"/>
      <c r="G9553" s="184"/>
      <c r="H9553" s="184"/>
      <c r="I9553" s="184"/>
      <c r="J9553" s="184"/>
      <c r="K9553" s="184"/>
      <c r="L9553" s="184"/>
      <c r="M9553" s="184"/>
      <c r="N9553" s="184"/>
      <c r="O9553" s="184"/>
    </row>
    <row r="9554" customFormat="false" ht="15" hidden="false" customHeight="true" outlineLevel="0" collapsed="false">
      <c r="A9554" s="184"/>
      <c r="B9554" s="184"/>
      <c r="C9554" s="184"/>
      <c r="D9554" s="184"/>
      <c r="E9554" s="184"/>
      <c r="F9554" s="184"/>
      <c r="G9554" s="184"/>
      <c r="H9554" s="184"/>
      <c r="I9554" s="184"/>
      <c r="J9554" s="184"/>
      <c r="K9554" s="184"/>
      <c r="L9554" s="184"/>
      <c r="M9554" s="184"/>
      <c r="N9554" s="184"/>
      <c r="O9554" s="184"/>
    </row>
    <row r="9555" customFormat="false" ht="15" hidden="false" customHeight="true" outlineLevel="0" collapsed="false">
      <c r="A9555" s="184"/>
      <c r="B9555" s="184"/>
      <c r="C9555" s="184"/>
      <c r="D9555" s="184"/>
      <c r="E9555" s="184"/>
      <c r="F9555" s="184"/>
      <c r="G9555" s="184"/>
      <c r="H9555" s="184"/>
      <c r="I9555" s="184"/>
      <c r="J9555" s="184"/>
      <c r="K9555" s="184"/>
      <c r="L9555" s="184"/>
      <c r="M9555" s="184"/>
      <c r="N9555" s="184"/>
      <c r="O9555" s="184"/>
    </row>
    <row r="9556" customFormat="false" ht="15" hidden="false" customHeight="true" outlineLevel="0" collapsed="false">
      <c r="A9556" s="184"/>
      <c r="B9556" s="184"/>
      <c r="C9556" s="184"/>
      <c r="D9556" s="184"/>
      <c r="E9556" s="184"/>
      <c r="F9556" s="184"/>
      <c r="G9556" s="184"/>
      <c r="H9556" s="184"/>
      <c r="I9556" s="184"/>
      <c r="J9556" s="184"/>
      <c r="K9556" s="184"/>
      <c r="L9556" s="184"/>
      <c r="M9556" s="184"/>
      <c r="N9556" s="184"/>
      <c r="O9556" s="184"/>
    </row>
    <row r="9557" customFormat="false" ht="15" hidden="false" customHeight="true" outlineLevel="0" collapsed="false">
      <c r="A9557" s="184"/>
      <c r="B9557" s="184"/>
      <c r="C9557" s="184"/>
      <c r="D9557" s="184"/>
      <c r="E9557" s="184"/>
      <c r="F9557" s="184"/>
      <c r="G9557" s="184"/>
      <c r="H9557" s="184"/>
      <c r="I9557" s="184"/>
      <c r="J9557" s="184"/>
      <c r="K9557" s="184"/>
      <c r="L9557" s="184"/>
      <c r="M9557" s="184"/>
      <c r="N9557" s="184"/>
      <c r="O9557" s="184"/>
    </row>
    <row r="9558" customFormat="false" ht="15" hidden="false" customHeight="true" outlineLevel="0" collapsed="false">
      <c r="A9558" s="184"/>
      <c r="B9558" s="184"/>
      <c r="C9558" s="184"/>
      <c r="D9558" s="184"/>
      <c r="E9558" s="184"/>
      <c r="F9558" s="184"/>
      <c r="G9558" s="184"/>
      <c r="H9558" s="184"/>
      <c r="I9558" s="184"/>
      <c r="J9558" s="184"/>
      <c r="K9558" s="184"/>
      <c r="L9558" s="184"/>
      <c r="M9558" s="184"/>
      <c r="N9558" s="184"/>
      <c r="O9558" s="184"/>
    </row>
    <row r="9559" customFormat="false" ht="15" hidden="false" customHeight="true" outlineLevel="0" collapsed="false">
      <c r="A9559" s="184"/>
      <c r="B9559" s="184"/>
      <c r="C9559" s="184"/>
      <c r="D9559" s="184"/>
      <c r="E9559" s="184"/>
      <c r="F9559" s="184"/>
      <c r="G9559" s="184"/>
      <c r="H9559" s="184"/>
      <c r="I9559" s="184"/>
      <c r="J9559" s="184"/>
      <c r="K9559" s="184"/>
      <c r="L9559" s="184"/>
      <c r="M9559" s="184"/>
      <c r="N9559" s="184"/>
      <c r="O9559" s="184"/>
    </row>
    <row r="9560" customFormat="false" ht="15" hidden="false" customHeight="true" outlineLevel="0" collapsed="false">
      <c r="A9560" s="184"/>
      <c r="B9560" s="184"/>
      <c r="C9560" s="184"/>
      <c r="D9560" s="184"/>
      <c r="E9560" s="184"/>
      <c r="F9560" s="184"/>
      <c r="G9560" s="184"/>
      <c r="H9560" s="184"/>
      <c r="I9560" s="184"/>
      <c r="J9560" s="184"/>
      <c r="K9560" s="184"/>
      <c r="L9560" s="184"/>
      <c r="M9560" s="184"/>
      <c r="N9560" s="184"/>
      <c r="O9560" s="184"/>
    </row>
    <row r="9561" customFormat="false" ht="15" hidden="false" customHeight="true" outlineLevel="0" collapsed="false">
      <c r="A9561" s="184"/>
      <c r="B9561" s="184"/>
      <c r="C9561" s="184"/>
      <c r="D9561" s="184"/>
      <c r="E9561" s="184"/>
      <c r="F9561" s="184"/>
      <c r="G9561" s="184"/>
      <c r="H9561" s="184"/>
      <c r="I9561" s="184"/>
      <c r="J9561" s="184"/>
      <c r="K9561" s="184"/>
      <c r="L9561" s="184"/>
      <c r="M9561" s="184"/>
      <c r="N9561" s="184"/>
      <c r="O9561" s="184"/>
    </row>
    <row r="9562" customFormat="false" ht="15" hidden="false" customHeight="true" outlineLevel="0" collapsed="false">
      <c r="A9562" s="184"/>
      <c r="B9562" s="184"/>
      <c r="C9562" s="184"/>
      <c r="D9562" s="184"/>
      <c r="E9562" s="184"/>
      <c r="F9562" s="184"/>
      <c r="G9562" s="184"/>
      <c r="H9562" s="184"/>
      <c r="I9562" s="184"/>
      <c r="J9562" s="184"/>
      <c r="K9562" s="184"/>
      <c r="L9562" s="184"/>
      <c r="M9562" s="184"/>
      <c r="N9562" s="184"/>
      <c r="O9562" s="184"/>
    </row>
    <row r="9563" customFormat="false" ht="15" hidden="false" customHeight="true" outlineLevel="0" collapsed="false">
      <c r="A9563" s="184"/>
      <c r="B9563" s="184"/>
      <c r="C9563" s="184"/>
      <c r="D9563" s="184"/>
      <c r="E9563" s="184"/>
      <c r="F9563" s="184"/>
      <c r="G9563" s="184"/>
      <c r="H9563" s="184"/>
      <c r="I9563" s="184"/>
      <c r="J9563" s="184"/>
      <c r="K9563" s="184"/>
      <c r="L9563" s="184"/>
      <c r="M9563" s="184"/>
      <c r="N9563" s="184"/>
      <c r="O9563" s="184"/>
    </row>
    <row r="9564" customFormat="false" ht="15" hidden="false" customHeight="true" outlineLevel="0" collapsed="false">
      <c r="A9564" s="184"/>
      <c r="B9564" s="184"/>
      <c r="C9564" s="184"/>
      <c r="D9564" s="184"/>
      <c r="E9564" s="184"/>
      <c r="F9564" s="184"/>
      <c r="G9564" s="184"/>
      <c r="H9564" s="184"/>
      <c r="I9564" s="184"/>
      <c r="J9564" s="184"/>
      <c r="K9564" s="184"/>
      <c r="L9564" s="184"/>
      <c r="M9564" s="184"/>
      <c r="N9564" s="184"/>
      <c r="O9564" s="184"/>
    </row>
    <row r="9565" customFormat="false" ht="15" hidden="false" customHeight="true" outlineLevel="0" collapsed="false">
      <c r="A9565" s="184"/>
      <c r="B9565" s="184"/>
      <c r="C9565" s="184"/>
      <c r="D9565" s="184"/>
      <c r="E9565" s="184"/>
      <c r="F9565" s="184"/>
      <c r="G9565" s="184"/>
      <c r="H9565" s="184"/>
      <c r="I9565" s="184"/>
      <c r="J9565" s="184"/>
      <c r="K9565" s="184"/>
      <c r="L9565" s="184"/>
      <c r="M9565" s="184"/>
      <c r="N9565" s="184"/>
      <c r="O9565" s="184"/>
    </row>
    <row r="9566" customFormat="false" ht="15" hidden="false" customHeight="true" outlineLevel="0" collapsed="false">
      <c r="A9566" s="184"/>
      <c r="B9566" s="184"/>
      <c r="C9566" s="184"/>
      <c r="D9566" s="184"/>
      <c r="E9566" s="184"/>
      <c r="F9566" s="184"/>
      <c r="G9566" s="184"/>
      <c r="H9566" s="184"/>
      <c r="I9566" s="184"/>
      <c r="J9566" s="184"/>
      <c r="K9566" s="184"/>
      <c r="L9566" s="184"/>
      <c r="M9566" s="184"/>
      <c r="N9566" s="184"/>
      <c r="O9566" s="184"/>
    </row>
    <row r="9567" customFormat="false" ht="15" hidden="false" customHeight="true" outlineLevel="0" collapsed="false">
      <c r="A9567" s="184"/>
      <c r="B9567" s="184"/>
      <c r="C9567" s="184"/>
      <c r="D9567" s="184"/>
      <c r="E9567" s="184"/>
      <c r="F9567" s="184"/>
      <c r="G9567" s="184"/>
      <c r="H9567" s="184"/>
      <c r="I9567" s="184"/>
      <c r="J9567" s="184"/>
      <c r="K9567" s="184"/>
      <c r="L9567" s="184"/>
      <c r="M9567" s="184"/>
      <c r="N9567" s="184"/>
      <c r="O9567" s="184"/>
    </row>
    <row r="9568" customFormat="false" ht="15" hidden="false" customHeight="true" outlineLevel="0" collapsed="false">
      <c r="A9568" s="184"/>
      <c r="B9568" s="184"/>
      <c r="C9568" s="184"/>
      <c r="D9568" s="184"/>
      <c r="E9568" s="184"/>
      <c r="F9568" s="184"/>
      <c r="G9568" s="184"/>
      <c r="H9568" s="184"/>
      <c r="I9568" s="184"/>
      <c r="J9568" s="184"/>
      <c r="K9568" s="184"/>
      <c r="L9568" s="184"/>
      <c r="M9568" s="184"/>
      <c r="N9568" s="184"/>
      <c r="O9568" s="184"/>
    </row>
    <row r="9569" customFormat="false" ht="15" hidden="false" customHeight="true" outlineLevel="0" collapsed="false">
      <c r="A9569" s="184"/>
      <c r="B9569" s="184"/>
      <c r="C9569" s="184"/>
      <c r="D9569" s="184"/>
      <c r="E9569" s="184"/>
      <c r="F9569" s="184"/>
      <c r="G9569" s="184"/>
      <c r="H9569" s="184"/>
      <c r="I9569" s="184"/>
      <c r="J9569" s="184"/>
      <c r="K9569" s="184"/>
      <c r="L9569" s="184"/>
      <c r="M9569" s="184"/>
      <c r="N9569" s="184"/>
      <c r="O9569" s="184"/>
    </row>
    <row r="9570" customFormat="false" ht="15" hidden="false" customHeight="true" outlineLevel="0" collapsed="false">
      <c r="A9570" s="184"/>
      <c r="B9570" s="184"/>
      <c r="C9570" s="184"/>
      <c r="D9570" s="184"/>
      <c r="E9570" s="184"/>
      <c r="F9570" s="184"/>
      <c r="G9570" s="184"/>
      <c r="H9570" s="184"/>
      <c r="I9570" s="184"/>
      <c r="J9570" s="184"/>
      <c r="K9570" s="184"/>
      <c r="L9570" s="184"/>
      <c r="M9570" s="184"/>
      <c r="N9570" s="184"/>
      <c r="O9570" s="184"/>
    </row>
    <row r="9571" customFormat="false" ht="15" hidden="false" customHeight="true" outlineLevel="0" collapsed="false">
      <c r="A9571" s="184"/>
      <c r="B9571" s="184"/>
      <c r="C9571" s="184"/>
      <c r="D9571" s="184"/>
      <c r="E9571" s="184"/>
      <c r="F9571" s="184"/>
      <c r="G9571" s="184"/>
      <c r="H9571" s="184"/>
      <c r="I9571" s="184"/>
      <c r="J9571" s="184"/>
      <c r="K9571" s="184"/>
      <c r="L9571" s="184"/>
      <c r="M9571" s="184"/>
      <c r="N9571" s="184"/>
      <c r="O9571" s="184"/>
    </row>
    <row r="9572" customFormat="false" ht="15" hidden="false" customHeight="true" outlineLevel="0" collapsed="false">
      <c r="A9572" s="184"/>
      <c r="B9572" s="184"/>
      <c r="C9572" s="184"/>
      <c r="D9572" s="184"/>
      <c r="E9572" s="184"/>
      <c r="F9572" s="184"/>
      <c r="G9572" s="184"/>
      <c r="H9572" s="184"/>
      <c r="I9572" s="184"/>
      <c r="J9572" s="184"/>
      <c r="K9572" s="184"/>
      <c r="L9572" s="184"/>
      <c r="M9572" s="184"/>
      <c r="N9572" s="184"/>
      <c r="O9572" s="184"/>
    </row>
    <row r="9573" customFormat="false" ht="15" hidden="false" customHeight="true" outlineLevel="0" collapsed="false">
      <c r="A9573" s="184"/>
      <c r="B9573" s="184"/>
      <c r="C9573" s="184"/>
      <c r="D9573" s="184"/>
      <c r="E9573" s="184"/>
      <c r="F9573" s="184"/>
      <c r="G9573" s="184"/>
      <c r="H9573" s="184"/>
      <c r="I9573" s="184"/>
      <c r="J9573" s="184"/>
      <c r="K9573" s="184"/>
      <c r="L9573" s="184"/>
      <c r="M9573" s="184"/>
      <c r="N9573" s="184"/>
      <c r="O9573" s="184"/>
    </row>
    <row r="9574" customFormat="false" ht="15" hidden="false" customHeight="true" outlineLevel="0" collapsed="false">
      <c r="A9574" s="184"/>
      <c r="B9574" s="184"/>
      <c r="C9574" s="184"/>
      <c r="D9574" s="184"/>
      <c r="E9574" s="184"/>
      <c r="F9574" s="184"/>
      <c r="G9574" s="184"/>
      <c r="H9574" s="184"/>
      <c r="I9574" s="184"/>
      <c r="J9574" s="184"/>
      <c r="K9574" s="184"/>
      <c r="L9574" s="184"/>
      <c r="M9574" s="184"/>
      <c r="N9574" s="184"/>
      <c r="O9574" s="184"/>
    </row>
    <row r="9575" customFormat="false" ht="15" hidden="false" customHeight="true" outlineLevel="0" collapsed="false">
      <c r="A9575" s="184"/>
      <c r="B9575" s="184"/>
      <c r="C9575" s="184"/>
      <c r="D9575" s="184"/>
      <c r="E9575" s="184"/>
      <c r="F9575" s="184"/>
      <c r="G9575" s="184"/>
      <c r="H9575" s="184"/>
      <c r="I9575" s="184"/>
      <c r="J9575" s="184"/>
      <c r="K9575" s="184"/>
      <c r="L9575" s="184"/>
      <c r="M9575" s="184"/>
      <c r="N9575" s="184"/>
      <c r="O9575" s="184"/>
    </row>
    <row r="9576" customFormat="false" ht="15" hidden="false" customHeight="true" outlineLevel="0" collapsed="false">
      <c r="A9576" s="184"/>
      <c r="B9576" s="184"/>
      <c r="C9576" s="184"/>
      <c r="D9576" s="184"/>
      <c r="E9576" s="184"/>
      <c r="F9576" s="184"/>
      <c r="G9576" s="184"/>
      <c r="H9576" s="184"/>
      <c r="I9576" s="184"/>
      <c r="J9576" s="184"/>
      <c r="K9576" s="184"/>
      <c r="L9576" s="184"/>
      <c r="M9576" s="184"/>
      <c r="N9576" s="184"/>
      <c r="O9576" s="184"/>
    </row>
    <row r="9577" customFormat="false" ht="15" hidden="false" customHeight="true" outlineLevel="0" collapsed="false">
      <c r="A9577" s="184"/>
      <c r="B9577" s="184"/>
      <c r="C9577" s="184"/>
      <c r="D9577" s="184"/>
      <c r="E9577" s="184"/>
      <c r="F9577" s="184"/>
      <c r="G9577" s="184"/>
      <c r="H9577" s="184"/>
      <c r="I9577" s="184"/>
      <c r="J9577" s="184"/>
      <c r="K9577" s="184"/>
      <c r="L9577" s="184"/>
      <c r="M9577" s="184"/>
      <c r="N9577" s="184"/>
      <c r="O9577" s="184"/>
    </row>
    <row r="9578" customFormat="false" ht="15" hidden="false" customHeight="true" outlineLevel="0" collapsed="false">
      <c r="A9578" s="184"/>
      <c r="B9578" s="184"/>
      <c r="C9578" s="184"/>
      <c r="D9578" s="184"/>
      <c r="E9578" s="184"/>
      <c r="F9578" s="184"/>
      <c r="G9578" s="184"/>
      <c r="H9578" s="184"/>
      <c r="I9578" s="184"/>
      <c r="J9578" s="184"/>
      <c r="K9578" s="184"/>
      <c r="L9578" s="184"/>
      <c r="M9578" s="184"/>
      <c r="N9578" s="184"/>
      <c r="O9578" s="184"/>
    </row>
    <row r="9579" customFormat="false" ht="15" hidden="false" customHeight="true" outlineLevel="0" collapsed="false">
      <c r="A9579" s="184"/>
      <c r="B9579" s="184"/>
      <c r="C9579" s="184"/>
      <c r="D9579" s="184"/>
      <c r="E9579" s="184"/>
      <c r="F9579" s="184"/>
      <c r="G9579" s="184"/>
      <c r="H9579" s="184"/>
      <c r="I9579" s="184"/>
      <c r="J9579" s="184"/>
      <c r="K9579" s="184"/>
      <c r="L9579" s="184"/>
      <c r="M9579" s="184"/>
      <c r="N9579" s="184"/>
      <c r="O9579" s="184"/>
    </row>
    <row r="9580" customFormat="false" ht="15" hidden="false" customHeight="true" outlineLevel="0" collapsed="false">
      <c r="A9580" s="184"/>
      <c r="B9580" s="184"/>
      <c r="C9580" s="184"/>
      <c r="D9580" s="184"/>
      <c r="E9580" s="184"/>
      <c r="F9580" s="184"/>
      <c r="G9580" s="184"/>
      <c r="H9580" s="184"/>
      <c r="I9580" s="184"/>
      <c r="J9580" s="184"/>
      <c r="K9580" s="184"/>
      <c r="L9580" s="184"/>
      <c r="M9580" s="184"/>
      <c r="N9580" s="184"/>
      <c r="O9580" s="184"/>
    </row>
    <row r="9581" customFormat="false" ht="15" hidden="false" customHeight="true" outlineLevel="0" collapsed="false">
      <c r="A9581" s="184"/>
      <c r="B9581" s="184"/>
      <c r="C9581" s="184"/>
      <c r="D9581" s="184"/>
      <c r="E9581" s="184"/>
      <c r="F9581" s="184"/>
      <c r="G9581" s="184"/>
      <c r="H9581" s="184"/>
      <c r="I9581" s="184"/>
      <c r="J9581" s="184"/>
      <c r="K9581" s="184"/>
      <c r="L9581" s="184"/>
      <c r="M9581" s="184"/>
      <c r="N9581" s="184"/>
      <c r="O9581" s="184"/>
    </row>
    <row r="9582" customFormat="false" ht="15" hidden="false" customHeight="true" outlineLevel="0" collapsed="false">
      <c r="A9582" s="184"/>
      <c r="B9582" s="184"/>
      <c r="C9582" s="184"/>
      <c r="D9582" s="184"/>
      <c r="E9582" s="184"/>
      <c r="F9582" s="184"/>
      <c r="G9582" s="184"/>
      <c r="H9582" s="184"/>
      <c r="I9582" s="184"/>
      <c r="J9582" s="184"/>
      <c r="K9582" s="184"/>
      <c r="L9582" s="184"/>
      <c r="M9582" s="184"/>
      <c r="N9582" s="184"/>
      <c r="O9582" s="184"/>
    </row>
    <row r="9583" customFormat="false" ht="15" hidden="false" customHeight="true" outlineLevel="0" collapsed="false">
      <c r="A9583" s="184"/>
      <c r="B9583" s="184"/>
      <c r="C9583" s="184"/>
      <c r="D9583" s="184"/>
      <c r="E9583" s="184"/>
      <c r="F9583" s="184"/>
      <c r="G9583" s="184"/>
      <c r="H9583" s="184"/>
      <c r="I9583" s="184"/>
      <c r="J9583" s="184"/>
      <c r="K9583" s="184"/>
      <c r="L9583" s="184"/>
      <c r="M9583" s="184"/>
      <c r="N9583" s="184"/>
      <c r="O9583" s="184"/>
    </row>
    <row r="9584" customFormat="false" ht="15" hidden="false" customHeight="true" outlineLevel="0" collapsed="false">
      <c r="A9584" s="184"/>
      <c r="B9584" s="184"/>
      <c r="C9584" s="184"/>
      <c r="D9584" s="184"/>
      <c r="E9584" s="184"/>
      <c r="F9584" s="184"/>
      <c r="G9584" s="184"/>
      <c r="H9584" s="184"/>
      <c r="I9584" s="184"/>
      <c r="J9584" s="184"/>
      <c r="K9584" s="184"/>
      <c r="L9584" s="184"/>
      <c r="M9584" s="184"/>
      <c r="N9584" s="184"/>
      <c r="O9584" s="184"/>
    </row>
    <row r="9585" customFormat="false" ht="15" hidden="false" customHeight="true" outlineLevel="0" collapsed="false">
      <c r="A9585" s="184"/>
      <c r="B9585" s="184"/>
      <c r="C9585" s="184"/>
      <c r="D9585" s="184"/>
      <c r="E9585" s="184"/>
      <c r="F9585" s="184"/>
      <c r="G9585" s="184"/>
      <c r="H9585" s="184"/>
      <c r="I9585" s="184"/>
      <c r="J9585" s="184"/>
      <c r="K9585" s="184"/>
      <c r="L9585" s="184"/>
      <c r="M9585" s="184"/>
      <c r="N9585" s="184"/>
      <c r="O9585" s="184"/>
    </row>
    <row r="9586" customFormat="false" ht="15" hidden="false" customHeight="true" outlineLevel="0" collapsed="false">
      <c r="A9586" s="184"/>
      <c r="B9586" s="184"/>
      <c r="C9586" s="184"/>
      <c r="D9586" s="184"/>
      <c r="E9586" s="184"/>
      <c r="F9586" s="184"/>
      <c r="G9586" s="184"/>
      <c r="H9586" s="184"/>
      <c r="I9586" s="184"/>
      <c r="J9586" s="184"/>
      <c r="K9586" s="184"/>
      <c r="L9586" s="184"/>
      <c r="M9586" s="184"/>
      <c r="N9586" s="184"/>
      <c r="O9586" s="184"/>
    </row>
    <row r="9587" customFormat="false" ht="15" hidden="false" customHeight="true" outlineLevel="0" collapsed="false">
      <c r="A9587" s="184"/>
      <c r="B9587" s="184"/>
      <c r="C9587" s="184"/>
      <c r="D9587" s="184"/>
      <c r="E9587" s="184"/>
      <c r="F9587" s="184"/>
      <c r="G9587" s="184"/>
      <c r="H9587" s="184"/>
      <c r="I9587" s="184"/>
      <c r="J9587" s="184"/>
      <c r="K9587" s="184"/>
      <c r="L9587" s="184"/>
      <c r="M9587" s="184"/>
      <c r="N9587" s="184"/>
      <c r="O9587" s="184"/>
    </row>
    <row r="9588" customFormat="false" ht="15" hidden="false" customHeight="true" outlineLevel="0" collapsed="false">
      <c r="A9588" s="184"/>
      <c r="B9588" s="184"/>
      <c r="C9588" s="184"/>
      <c r="D9588" s="184"/>
      <c r="E9588" s="184"/>
      <c r="F9588" s="184"/>
      <c r="G9588" s="184"/>
      <c r="H9588" s="184"/>
      <c r="I9588" s="184"/>
      <c r="J9588" s="184"/>
      <c r="K9588" s="184"/>
      <c r="L9588" s="184"/>
      <c r="M9588" s="184"/>
      <c r="N9588" s="184"/>
      <c r="O9588" s="184"/>
    </row>
    <row r="9589" customFormat="false" ht="15" hidden="false" customHeight="true" outlineLevel="0" collapsed="false">
      <c r="A9589" s="184"/>
      <c r="B9589" s="184"/>
      <c r="C9589" s="184"/>
      <c r="D9589" s="184"/>
      <c r="E9589" s="184"/>
      <c r="F9589" s="184"/>
      <c r="G9589" s="184"/>
      <c r="H9589" s="184"/>
      <c r="I9589" s="184"/>
      <c r="J9589" s="184"/>
      <c r="K9589" s="184"/>
      <c r="L9589" s="184"/>
      <c r="M9589" s="184"/>
      <c r="N9589" s="184"/>
      <c r="O9589" s="184"/>
    </row>
    <row r="9590" customFormat="false" ht="15" hidden="false" customHeight="true" outlineLevel="0" collapsed="false">
      <c r="A9590" s="184"/>
      <c r="B9590" s="184"/>
      <c r="C9590" s="184"/>
      <c r="D9590" s="184"/>
      <c r="E9590" s="184"/>
      <c r="F9590" s="184"/>
      <c r="G9590" s="184"/>
      <c r="H9590" s="184"/>
      <c r="I9590" s="184"/>
      <c r="J9590" s="184"/>
      <c r="K9590" s="184"/>
      <c r="L9590" s="184"/>
      <c r="M9590" s="184"/>
      <c r="N9590" s="184"/>
      <c r="O9590" s="184"/>
    </row>
    <row r="9591" customFormat="false" ht="15" hidden="false" customHeight="true" outlineLevel="0" collapsed="false">
      <c r="A9591" s="184"/>
      <c r="B9591" s="184"/>
      <c r="C9591" s="184"/>
      <c r="D9591" s="184"/>
      <c r="E9591" s="184"/>
      <c r="F9591" s="184"/>
      <c r="G9591" s="184"/>
      <c r="H9591" s="184"/>
      <c r="I9591" s="184"/>
      <c r="J9591" s="184"/>
      <c r="K9591" s="184"/>
      <c r="L9591" s="184"/>
      <c r="M9591" s="184"/>
      <c r="N9591" s="184"/>
      <c r="O9591" s="184"/>
    </row>
    <row r="9592" customFormat="false" ht="15" hidden="false" customHeight="true" outlineLevel="0" collapsed="false">
      <c r="A9592" s="184"/>
      <c r="B9592" s="184"/>
      <c r="C9592" s="184"/>
      <c r="D9592" s="184"/>
      <c r="E9592" s="184"/>
      <c r="F9592" s="184"/>
      <c r="G9592" s="184"/>
      <c r="H9592" s="184"/>
      <c r="I9592" s="184"/>
      <c r="J9592" s="184"/>
      <c r="K9592" s="184"/>
      <c r="L9592" s="184"/>
      <c r="M9592" s="184"/>
      <c r="N9592" s="184"/>
      <c r="O9592" s="184"/>
    </row>
    <row r="9593" customFormat="false" ht="15" hidden="false" customHeight="true" outlineLevel="0" collapsed="false">
      <c r="A9593" s="184"/>
      <c r="B9593" s="184"/>
      <c r="C9593" s="184"/>
      <c r="D9593" s="184"/>
      <c r="E9593" s="184"/>
      <c r="F9593" s="184"/>
      <c r="G9593" s="184"/>
      <c r="H9593" s="184"/>
      <c r="I9593" s="184"/>
      <c r="J9593" s="184"/>
      <c r="K9593" s="184"/>
      <c r="L9593" s="184"/>
      <c r="M9593" s="184"/>
      <c r="N9593" s="184"/>
      <c r="O9593" s="184"/>
    </row>
    <row r="9594" customFormat="false" ht="15" hidden="false" customHeight="true" outlineLevel="0" collapsed="false">
      <c r="A9594" s="184"/>
      <c r="B9594" s="184"/>
      <c r="C9594" s="184"/>
      <c r="D9594" s="184"/>
      <c r="E9594" s="184"/>
      <c r="F9594" s="184"/>
      <c r="G9594" s="184"/>
      <c r="H9594" s="184"/>
      <c r="I9594" s="184"/>
      <c r="J9594" s="184"/>
      <c r="K9594" s="184"/>
      <c r="L9594" s="184"/>
      <c r="M9594" s="184"/>
      <c r="N9594" s="184"/>
      <c r="O9594" s="184"/>
    </row>
    <row r="9595" customFormat="false" ht="15" hidden="false" customHeight="true" outlineLevel="0" collapsed="false">
      <c r="A9595" s="184"/>
      <c r="B9595" s="184"/>
      <c r="C9595" s="184"/>
      <c r="D9595" s="184"/>
      <c r="E9595" s="184"/>
      <c r="F9595" s="184"/>
      <c r="G9595" s="184"/>
      <c r="H9595" s="184"/>
      <c r="I9595" s="184"/>
      <c r="J9595" s="184"/>
      <c r="K9595" s="184"/>
      <c r="L9595" s="184"/>
      <c r="M9595" s="184"/>
      <c r="N9595" s="184"/>
      <c r="O9595" s="184"/>
    </row>
    <row r="9596" customFormat="false" ht="15" hidden="false" customHeight="true" outlineLevel="0" collapsed="false">
      <c r="A9596" s="184"/>
      <c r="B9596" s="184"/>
      <c r="C9596" s="184"/>
      <c r="D9596" s="184"/>
      <c r="E9596" s="184"/>
      <c r="F9596" s="184"/>
      <c r="G9596" s="184"/>
      <c r="H9596" s="184"/>
      <c r="I9596" s="184"/>
      <c r="J9596" s="184"/>
      <c r="K9596" s="184"/>
      <c r="L9596" s="184"/>
      <c r="M9596" s="184"/>
      <c r="N9596" s="184"/>
      <c r="O9596" s="184"/>
    </row>
    <row r="9597" customFormat="false" ht="15" hidden="false" customHeight="true" outlineLevel="0" collapsed="false">
      <c r="A9597" s="184"/>
      <c r="B9597" s="184"/>
      <c r="C9597" s="184"/>
      <c r="D9597" s="184"/>
      <c r="E9597" s="184"/>
      <c r="F9597" s="184"/>
      <c r="G9597" s="184"/>
      <c r="H9597" s="184"/>
      <c r="I9597" s="184"/>
      <c r="J9597" s="184"/>
      <c r="K9597" s="184"/>
      <c r="L9597" s="184"/>
      <c r="M9597" s="184"/>
      <c r="N9597" s="184"/>
      <c r="O9597" s="184"/>
    </row>
    <row r="9598" customFormat="false" ht="15" hidden="false" customHeight="true" outlineLevel="0" collapsed="false">
      <c r="A9598" s="184"/>
      <c r="B9598" s="184"/>
      <c r="C9598" s="184"/>
      <c r="D9598" s="184"/>
      <c r="E9598" s="184"/>
      <c r="F9598" s="184"/>
      <c r="G9598" s="184"/>
      <c r="H9598" s="184"/>
      <c r="I9598" s="184"/>
      <c r="J9598" s="184"/>
      <c r="K9598" s="184"/>
      <c r="L9598" s="184"/>
      <c r="M9598" s="184"/>
      <c r="N9598" s="184"/>
      <c r="O9598" s="184"/>
    </row>
    <row r="9599" customFormat="false" ht="15" hidden="false" customHeight="true" outlineLevel="0" collapsed="false">
      <c r="A9599" s="184"/>
      <c r="B9599" s="184"/>
      <c r="C9599" s="184"/>
      <c r="D9599" s="184"/>
      <c r="E9599" s="184"/>
      <c r="F9599" s="184"/>
      <c r="G9599" s="184"/>
      <c r="H9599" s="184"/>
      <c r="I9599" s="184"/>
      <c r="J9599" s="184"/>
      <c r="K9599" s="184"/>
      <c r="L9599" s="184"/>
      <c r="M9599" s="184"/>
      <c r="N9599" s="184"/>
      <c r="O9599" s="184"/>
    </row>
    <row r="9600" customFormat="false" ht="15" hidden="false" customHeight="true" outlineLevel="0" collapsed="false">
      <c r="A9600" s="184"/>
      <c r="B9600" s="184"/>
      <c r="C9600" s="184"/>
      <c r="D9600" s="184"/>
      <c r="E9600" s="184"/>
      <c r="F9600" s="184"/>
      <c r="G9600" s="184"/>
      <c r="H9600" s="184"/>
      <c r="I9600" s="184"/>
      <c r="J9600" s="184"/>
      <c r="K9600" s="184"/>
      <c r="L9600" s="184"/>
      <c r="M9600" s="184"/>
      <c r="N9600" s="184"/>
      <c r="O9600" s="184"/>
    </row>
    <row r="9601" customFormat="false" ht="15" hidden="false" customHeight="true" outlineLevel="0" collapsed="false">
      <c r="A9601" s="184"/>
      <c r="B9601" s="184"/>
      <c r="C9601" s="184"/>
      <c r="D9601" s="184"/>
      <c r="E9601" s="184"/>
      <c r="F9601" s="184"/>
      <c r="G9601" s="184"/>
      <c r="H9601" s="184"/>
      <c r="I9601" s="184"/>
      <c r="J9601" s="184"/>
      <c r="K9601" s="184"/>
      <c r="L9601" s="184"/>
      <c r="M9601" s="184"/>
      <c r="N9601" s="184"/>
      <c r="O9601" s="184"/>
    </row>
    <row r="9602" customFormat="false" ht="15" hidden="false" customHeight="true" outlineLevel="0" collapsed="false">
      <c r="A9602" s="184"/>
      <c r="B9602" s="184"/>
      <c r="C9602" s="184"/>
      <c r="D9602" s="184"/>
      <c r="E9602" s="184"/>
      <c r="F9602" s="184"/>
      <c r="G9602" s="184"/>
      <c r="H9602" s="184"/>
      <c r="I9602" s="184"/>
      <c r="J9602" s="184"/>
      <c r="K9602" s="184"/>
      <c r="L9602" s="184"/>
      <c r="M9602" s="184"/>
      <c r="N9602" s="184"/>
      <c r="O9602" s="184"/>
    </row>
    <row r="9603" customFormat="false" ht="15" hidden="false" customHeight="true" outlineLevel="0" collapsed="false">
      <c r="A9603" s="184"/>
      <c r="B9603" s="184"/>
      <c r="C9603" s="184"/>
      <c r="D9603" s="184"/>
      <c r="E9603" s="184"/>
      <c r="F9603" s="184"/>
      <c r="G9603" s="184"/>
      <c r="H9603" s="184"/>
      <c r="I9603" s="184"/>
      <c r="J9603" s="184"/>
      <c r="K9603" s="184"/>
      <c r="L9603" s="184"/>
      <c r="M9603" s="184"/>
      <c r="N9603" s="184"/>
      <c r="O9603" s="184"/>
    </row>
    <row r="9604" customFormat="false" ht="15" hidden="false" customHeight="true" outlineLevel="0" collapsed="false">
      <c r="A9604" s="184"/>
      <c r="B9604" s="184"/>
      <c r="C9604" s="184"/>
      <c r="D9604" s="184"/>
      <c r="E9604" s="184"/>
      <c r="F9604" s="184"/>
      <c r="G9604" s="184"/>
      <c r="H9604" s="184"/>
      <c r="I9604" s="184"/>
      <c r="J9604" s="184"/>
      <c r="K9604" s="184"/>
      <c r="L9604" s="184"/>
      <c r="M9604" s="184"/>
      <c r="N9604" s="184"/>
      <c r="O9604" s="184"/>
    </row>
    <row r="9605" customFormat="false" ht="15" hidden="false" customHeight="true" outlineLevel="0" collapsed="false">
      <c r="A9605" s="184"/>
      <c r="B9605" s="184"/>
      <c r="C9605" s="184"/>
      <c r="D9605" s="184"/>
      <c r="E9605" s="184"/>
      <c r="F9605" s="184"/>
      <c r="G9605" s="184"/>
      <c r="H9605" s="184"/>
      <c r="I9605" s="184"/>
      <c r="J9605" s="184"/>
      <c r="K9605" s="184"/>
      <c r="L9605" s="184"/>
      <c r="M9605" s="184"/>
      <c r="N9605" s="184"/>
      <c r="O9605" s="184"/>
    </row>
    <row r="9606" customFormat="false" ht="15" hidden="false" customHeight="true" outlineLevel="0" collapsed="false">
      <c r="A9606" s="184"/>
      <c r="B9606" s="184"/>
      <c r="C9606" s="184"/>
      <c r="D9606" s="184"/>
      <c r="E9606" s="184"/>
      <c r="F9606" s="184"/>
      <c r="G9606" s="184"/>
      <c r="H9606" s="184"/>
      <c r="I9606" s="184"/>
      <c r="J9606" s="184"/>
      <c r="K9606" s="184"/>
      <c r="L9606" s="184"/>
      <c r="M9606" s="184"/>
      <c r="N9606" s="184"/>
      <c r="O9606" s="184"/>
    </row>
    <row r="9607" customFormat="false" ht="15" hidden="false" customHeight="true" outlineLevel="0" collapsed="false">
      <c r="A9607" s="184"/>
      <c r="B9607" s="184"/>
      <c r="C9607" s="184"/>
      <c r="D9607" s="184"/>
      <c r="E9607" s="184"/>
      <c r="F9607" s="184"/>
      <c r="G9607" s="184"/>
      <c r="H9607" s="184"/>
      <c r="I9607" s="184"/>
      <c r="J9607" s="184"/>
      <c r="K9607" s="184"/>
      <c r="L9607" s="184"/>
      <c r="M9607" s="184"/>
      <c r="N9607" s="184"/>
      <c r="O9607" s="184"/>
    </row>
    <row r="9608" customFormat="false" ht="15" hidden="false" customHeight="true" outlineLevel="0" collapsed="false">
      <c r="A9608" s="184"/>
      <c r="B9608" s="184"/>
      <c r="C9608" s="184"/>
      <c r="D9608" s="184"/>
      <c r="E9608" s="184"/>
      <c r="F9608" s="184"/>
      <c r="G9608" s="184"/>
      <c r="H9608" s="184"/>
      <c r="I9608" s="184"/>
      <c r="J9608" s="184"/>
      <c r="K9608" s="184"/>
      <c r="L9608" s="184"/>
      <c r="M9608" s="184"/>
      <c r="N9608" s="184"/>
      <c r="O9608" s="184"/>
    </row>
    <row r="9609" customFormat="false" ht="15" hidden="false" customHeight="true" outlineLevel="0" collapsed="false">
      <c r="A9609" s="184"/>
      <c r="B9609" s="184"/>
      <c r="C9609" s="184"/>
      <c r="D9609" s="184"/>
      <c r="E9609" s="184"/>
      <c r="F9609" s="184"/>
      <c r="G9609" s="184"/>
      <c r="H9609" s="184"/>
      <c r="I9609" s="184"/>
      <c r="J9609" s="184"/>
      <c r="K9609" s="184"/>
      <c r="L9609" s="184"/>
      <c r="M9609" s="184"/>
      <c r="N9609" s="184"/>
      <c r="O9609" s="184"/>
    </row>
    <row r="9610" customFormat="false" ht="15" hidden="false" customHeight="true" outlineLevel="0" collapsed="false">
      <c r="A9610" s="184"/>
      <c r="B9610" s="184"/>
      <c r="C9610" s="184"/>
      <c r="D9610" s="184"/>
      <c r="E9610" s="184"/>
      <c r="F9610" s="184"/>
      <c r="G9610" s="184"/>
      <c r="H9610" s="184"/>
      <c r="I9610" s="184"/>
      <c r="J9610" s="184"/>
      <c r="K9610" s="184"/>
      <c r="L9610" s="184"/>
      <c r="M9610" s="184"/>
      <c r="N9610" s="184"/>
      <c r="O9610" s="184"/>
    </row>
    <row r="9611" customFormat="false" ht="15" hidden="false" customHeight="true" outlineLevel="0" collapsed="false">
      <c r="A9611" s="184"/>
      <c r="B9611" s="184"/>
      <c r="C9611" s="184"/>
      <c r="D9611" s="184"/>
      <c r="E9611" s="184"/>
      <c r="F9611" s="184"/>
      <c r="G9611" s="184"/>
      <c r="H9611" s="184"/>
      <c r="I9611" s="184"/>
      <c r="J9611" s="184"/>
      <c r="K9611" s="184"/>
      <c r="L9611" s="184"/>
      <c r="M9611" s="184"/>
      <c r="N9611" s="184"/>
      <c r="O9611" s="184"/>
    </row>
    <row r="9612" customFormat="false" ht="15" hidden="false" customHeight="true" outlineLevel="0" collapsed="false">
      <c r="A9612" s="184"/>
      <c r="B9612" s="184"/>
      <c r="C9612" s="184"/>
      <c r="D9612" s="184"/>
      <c r="E9612" s="184"/>
      <c r="F9612" s="184"/>
      <c r="G9612" s="184"/>
      <c r="H9612" s="184"/>
      <c r="I9612" s="184"/>
      <c r="J9612" s="184"/>
      <c r="K9612" s="184"/>
      <c r="L9612" s="184"/>
      <c r="M9612" s="184"/>
      <c r="N9612" s="184"/>
      <c r="O9612" s="184"/>
    </row>
    <row r="9613" customFormat="false" ht="15" hidden="false" customHeight="true" outlineLevel="0" collapsed="false">
      <c r="A9613" s="184"/>
      <c r="B9613" s="184"/>
      <c r="C9613" s="184"/>
      <c r="D9613" s="184"/>
      <c r="E9613" s="184"/>
      <c r="F9613" s="184"/>
      <c r="G9613" s="184"/>
      <c r="H9613" s="184"/>
      <c r="I9613" s="184"/>
      <c r="J9613" s="184"/>
      <c r="K9613" s="184"/>
      <c r="L9613" s="184"/>
      <c r="M9613" s="184"/>
      <c r="N9613" s="184"/>
      <c r="O9613" s="184"/>
    </row>
    <row r="9614" customFormat="false" ht="15" hidden="false" customHeight="true" outlineLevel="0" collapsed="false">
      <c r="A9614" s="184"/>
      <c r="B9614" s="184"/>
      <c r="C9614" s="184"/>
      <c r="D9614" s="184"/>
      <c r="E9614" s="184"/>
      <c r="F9614" s="184"/>
      <c r="G9614" s="184"/>
      <c r="H9614" s="184"/>
      <c r="I9614" s="184"/>
      <c r="J9614" s="184"/>
      <c r="K9614" s="184"/>
      <c r="L9614" s="184"/>
      <c r="M9614" s="184"/>
      <c r="N9614" s="184"/>
      <c r="O9614" s="184"/>
    </row>
    <row r="9615" customFormat="false" ht="15" hidden="false" customHeight="true" outlineLevel="0" collapsed="false">
      <c r="A9615" s="184"/>
      <c r="B9615" s="184"/>
      <c r="C9615" s="184"/>
      <c r="D9615" s="184"/>
      <c r="E9615" s="184"/>
      <c r="F9615" s="184"/>
      <c r="G9615" s="184"/>
      <c r="H9615" s="184"/>
      <c r="I9615" s="184"/>
      <c r="J9615" s="184"/>
      <c r="K9615" s="184"/>
      <c r="L9615" s="184"/>
      <c r="M9615" s="184"/>
      <c r="N9615" s="184"/>
      <c r="O9615" s="184"/>
    </row>
    <row r="9616" customFormat="false" ht="15" hidden="false" customHeight="true" outlineLevel="0" collapsed="false">
      <c r="A9616" s="184"/>
      <c r="B9616" s="184"/>
      <c r="C9616" s="184"/>
      <c r="D9616" s="184"/>
      <c r="E9616" s="184"/>
      <c r="F9616" s="184"/>
      <c r="G9616" s="184"/>
      <c r="H9616" s="184"/>
      <c r="I9616" s="184"/>
      <c r="J9616" s="184"/>
      <c r="K9616" s="184"/>
      <c r="L9616" s="184"/>
      <c r="M9616" s="184"/>
      <c r="N9616" s="184"/>
      <c r="O9616" s="184"/>
    </row>
    <row r="9617" customFormat="false" ht="15" hidden="false" customHeight="true" outlineLevel="0" collapsed="false">
      <c r="A9617" s="184"/>
      <c r="B9617" s="184"/>
      <c r="C9617" s="184"/>
      <c r="D9617" s="184"/>
      <c r="E9617" s="184"/>
      <c r="F9617" s="184"/>
      <c r="G9617" s="184"/>
      <c r="H9617" s="184"/>
      <c r="I9617" s="184"/>
      <c r="J9617" s="184"/>
      <c r="K9617" s="184"/>
      <c r="L9617" s="184"/>
      <c r="M9617" s="184"/>
      <c r="N9617" s="184"/>
      <c r="O9617" s="184"/>
    </row>
    <row r="9618" customFormat="false" ht="15" hidden="false" customHeight="true" outlineLevel="0" collapsed="false">
      <c r="A9618" s="184"/>
      <c r="B9618" s="184"/>
      <c r="C9618" s="184"/>
      <c r="D9618" s="184"/>
      <c r="E9618" s="184"/>
      <c r="F9618" s="184"/>
      <c r="G9618" s="184"/>
      <c r="H9618" s="184"/>
      <c r="I9618" s="184"/>
      <c r="J9618" s="184"/>
      <c r="K9618" s="184"/>
      <c r="L9618" s="184"/>
      <c r="M9618" s="184"/>
      <c r="N9618" s="184"/>
      <c r="O9618" s="184"/>
    </row>
    <row r="9619" customFormat="false" ht="15" hidden="false" customHeight="true" outlineLevel="0" collapsed="false">
      <c r="A9619" s="184"/>
      <c r="B9619" s="184"/>
      <c r="C9619" s="184"/>
      <c r="D9619" s="184"/>
      <c r="E9619" s="184"/>
      <c r="F9619" s="184"/>
      <c r="G9619" s="184"/>
      <c r="H9619" s="184"/>
      <c r="I9619" s="184"/>
      <c r="J9619" s="184"/>
      <c r="K9619" s="184"/>
      <c r="L9619" s="184"/>
      <c r="M9619" s="184"/>
      <c r="N9619" s="184"/>
      <c r="O9619" s="184"/>
    </row>
    <row r="9620" customFormat="false" ht="15" hidden="false" customHeight="true" outlineLevel="0" collapsed="false">
      <c r="A9620" s="184"/>
      <c r="B9620" s="184"/>
      <c r="C9620" s="184"/>
      <c r="D9620" s="184"/>
      <c r="E9620" s="184"/>
      <c r="F9620" s="184"/>
      <c r="G9620" s="184"/>
      <c r="H9620" s="184"/>
      <c r="I9620" s="184"/>
      <c r="J9620" s="184"/>
      <c r="K9620" s="184"/>
      <c r="L9620" s="184"/>
      <c r="M9620" s="184"/>
      <c r="N9620" s="184"/>
      <c r="O9620" s="184"/>
    </row>
    <row r="9621" customFormat="false" ht="15" hidden="false" customHeight="true" outlineLevel="0" collapsed="false">
      <c r="A9621" s="184"/>
      <c r="B9621" s="184"/>
      <c r="C9621" s="184"/>
      <c r="D9621" s="184"/>
      <c r="E9621" s="184"/>
      <c r="F9621" s="184"/>
      <c r="G9621" s="184"/>
      <c r="H9621" s="184"/>
      <c r="I9621" s="184"/>
      <c r="J9621" s="184"/>
      <c r="K9621" s="184"/>
      <c r="L9621" s="184"/>
      <c r="M9621" s="184"/>
      <c r="N9621" s="184"/>
      <c r="O9621" s="184"/>
    </row>
    <row r="9622" customFormat="false" ht="15" hidden="false" customHeight="true" outlineLevel="0" collapsed="false">
      <c r="A9622" s="184"/>
      <c r="B9622" s="184"/>
      <c r="C9622" s="184"/>
      <c r="D9622" s="184"/>
      <c r="E9622" s="184"/>
      <c r="F9622" s="184"/>
      <c r="G9622" s="184"/>
      <c r="H9622" s="184"/>
      <c r="I9622" s="184"/>
      <c r="J9622" s="184"/>
      <c r="K9622" s="184"/>
      <c r="L9622" s="184"/>
      <c r="M9622" s="184"/>
      <c r="N9622" s="184"/>
      <c r="O9622" s="184"/>
    </row>
    <row r="9623" customFormat="false" ht="15" hidden="false" customHeight="true" outlineLevel="0" collapsed="false">
      <c r="A9623" s="184"/>
      <c r="B9623" s="184"/>
      <c r="C9623" s="184"/>
      <c r="D9623" s="184"/>
      <c r="E9623" s="184"/>
      <c r="F9623" s="184"/>
      <c r="G9623" s="184"/>
      <c r="H9623" s="184"/>
      <c r="I9623" s="184"/>
      <c r="J9623" s="184"/>
      <c r="K9623" s="184"/>
      <c r="L9623" s="184"/>
      <c r="M9623" s="184"/>
      <c r="N9623" s="184"/>
      <c r="O9623" s="184"/>
    </row>
    <row r="9624" customFormat="false" ht="15" hidden="false" customHeight="true" outlineLevel="0" collapsed="false">
      <c r="A9624" s="184"/>
      <c r="B9624" s="184"/>
      <c r="C9624" s="184"/>
      <c r="D9624" s="184"/>
      <c r="E9624" s="184"/>
      <c r="F9624" s="184"/>
      <c r="G9624" s="184"/>
      <c r="H9624" s="184"/>
      <c r="I9624" s="184"/>
      <c r="J9624" s="184"/>
      <c r="K9624" s="184"/>
      <c r="L9624" s="184"/>
      <c r="M9624" s="184"/>
      <c r="N9624" s="184"/>
      <c r="O9624" s="184"/>
    </row>
    <row r="9625" customFormat="false" ht="15" hidden="false" customHeight="true" outlineLevel="0" collapsed="false">
      <c r="A9625" s="184"/>
      <c r="B9625" s="184"/>
      <c r="C9625" s="184"/>
      <c r="D9625" s="184"/>
      <c r="E9625" s="184"/>
      <c r="F9625" s="184"/>
      <c r="G9625" s="184"/>
      <c r="H9625" s="184"/>
      <c r="I9625" s="184"/>
      <c r="J9625" s="184"/>
      <c r="K9625" s="184"/>
      <c r="L9625" s="184"/>
      <c r="M9625" s="184"/>
      <c r="N9625" s="184"/>
      <c r="O9625" s="184"/>
    </row>
    <row r="9626" customFormat="false" ht="15" hidden="false" customHeight="true" outlineLevel="0" collapsed="false">
      <c r="A9626" s="184"/>
      <c r="B9626" s="184"/>
      <c r="C9626" s="184"/>
      <c r="D9626" s="184"/>
      <c r="E9626" s="184"/>
      <c r="F9626" s="184"/>
      <c r="G9626" s="184"/>
      <c r="H9626" s="184"/>
      <c r="I9626" s="184"/>
      <c r="J9626" s="184"/>
      <c r="K9626" s="184"/>
      <c r="L9626" s="184"/>
      <c r="M9626" s="184"/>
      <c r="N9626" s="184"/>
      <c r="O9626" s="184"/>
    </row>
    <row r="9627" customFormat="false" ht="15" hidden="false" customHeight="true" outlineLevel="0" collapsed="false">
      <c r="A9627" s="184"/>
      <c r="B9627" s="184"/>
      <c r="C9627" s="184"/>
      <c r="D9627" s="184"/>
      <c r="E9627" s="184"/>
      <c r="F9627" s="184"/>
      <c r="G9627" s="184"/>
      <c r="H9627" s="184"/>
      <c r="I9627" s="184"/>
      <c r="J9627" s="184"/>
      <c r="K9627" s="184"/>
      <c r="L9627" s="184"/>
      <c r="M9627" s="184"/>
      <c r="N9627" s="184"/>
      <c r="O9627" s="184"/>
    </row>
    <row r="9628" customFormat="false" ht="15" hidden="false" customHeight="true" outlineLevel="0" collapsed="false">
      <c r="A9628" s="184"/>
      <c r="B9628" s="184"/>
      <c r="C9628" s="184"/>
      <c r="D9628" s="184"/>
      <c r="E9628" s="184"/>
      <c r="F9628" s="184"/>
      <c r="G9628" s="184"/>
      <c r="H9628" s="184"/>
      <c r="I9628" s="184"/>
      <c r="J9628" s="184"/>
      <c r="K9628" s="184"/>
      <c r="L9628" s="184"/>
      <c r="M9628" s="184"/>
      <c r="N9628" s="184"/>
      <c r="O9628" s="184"/>
    </row>
    <row r="9629" customFormat="false" ht="15" hidden="false" customHeight="true" outlineLevel="0" collapsed="false">
      <c r="A9629" s="184"/>
      <c r="B9629" s="184"/>
      <c r="C9629" s="184"/>
      <c r="D9629" s="184"/>
      <c r="E9629" s="184"/>
      <c r="F9629" s="184"/>
      <c r="G9629" s="184"/>
      <c r="H9629" s="184"/>
      <c r="I9629" s="184"/>
      <c r="J9629" s="184"/>
      <c r="K9629" s="184"/>
      <c r="L9629" s="184"/>
      <c r="M9629" s="184"/>
      <c r="N9629" s="184"/>
      <c r="O9629" s="184"/>
    </row>
    <row r="9630" customFormat="false" ht="15" hidden="false" customHeight="true" outlineLevel="0" collapsed="false">
      <c r="A9630" s="184"/>
      <c r="B9630" s="184"/>
      <c r="C9630" s="184"/>
      <c r="D9630" s="184"/>
      <c r="E9630" s="184"/>
      <c r="F9630" s="184"/>
      <c r="G9630" s="184"/>
      <c r="H9630" s="184"/>
      <c r="I9630" s="184"/>
      <c r="J9630" s="184"/>
      <c r="K9630" s="184"/>
      <c r="L9630" s="184"/>
      <c r="M9630" s="184"/>
      <c r="N9630" s="184"/>
      <c r="O9630" s="184"/>
    </row>
    <row r="9631" customFormat="false" ht="15" hidden="false" customHeight="true" outlineLevel="0" collapsed="false">
      <c r="A9631" s="184"/>
      <c r="B9631" s="184"/>
      <c r="C9631" s="184"/>
      <c r="D9631" s="184"/>
      <c r="E9631" s="184"/>
      <c r="F9631" s="184"/>
      <c r="G9631" s="184"/>
      <c r="H9631" s="184"/>
      <c r="I9631" s="184"/>
      <c r="J9631" s="184"/>
      <c r="K9631" s="184"/>
      <c r="L9631" s="184"/>
      <c r="M9631" s="184"/>
      <c r="N9631" s="184"/>
      <c r="O9631" s="184"/>
    </row>
    <row r="9632" customFormat="false" ht="15" hidden="false" customHeight="true" outlineLevel="0" collapsed="false">
      <c r="A9632" s="184"/>
      <c r="B9632" s="184"/>
      <c r="C9632" s="184"/>
      <c r="D9632" s="184"/>
      <c r="E9632" s="184"/>
      <c r="F9632" s="184"/>
      <c r="G9632" s="184"/>
      <c r="H9632" s="184"/>
      <c r="I9632" s="184"/>
      <c r="J9632" s="184"/>
      <c r="K9632" s="184"/>
      <c r="L9632" s="184"/>
      <c r="M9632" s="184"/>
      <c r="N9632" s="184"/>
      <c r="O9632" s="184"/>
    </row>
    <row r="9633" customFormat="false" ht="15" hidden="false" customHeight="true" outlineLevel="0" collapsed="false">
      <c r="A9633" s="184"/>
      <c r="B9633" s="184"/>
      <c r="C9633" s="184"/>
      <c r="D9633" s="184"/>
      <c r="E9633" s="184"/>
      <c r="F9633" s="184"/>
      <c r="G9633" s="184"/>
      <c r="H9633" s="184"/>
      <c r="I9633" s="184"/>
      <c r="J9633" s="184"/>
      <c r="K9633" s="184"/>
      <c r="L9633" s="184"/>
      <c r="M9633" s="184"/>
      <c r="N9633" s="184"/>
      <c r="O9633" s="184"/>
    </row>
    <row r="9634" customFormat="false" ht="15" hidden="false" customHeight="true" outlineLevel="0" collapsed="false">
      <c r="A9634" s="184"/>
      <c r="B9634" s="184"/>
      <c r="C9634" s="184"/>
      <c r="D9634" s="184"/>
      <c r="E9634" s="184"/>
      <c r="F9634" s="184"/>
      <c r="G9634" s="184"/>
      <c r="H9634" s="184"/>
      <c r="I9634" s="184"/>
      <c r="J9634" s="184"/>
      <c r="K9634" s="184"/>
      <c r="L9634" s="184"/>
      <c r="M9634" s="184"/>
      <c r="N9634" s="184"/>
      <c r="O9634" s="184"/>
    </row>
    <row r="9635" customFormat="false" ht="15" hidden="false" customHeight="true" outlineLevel="0" collapsed="false">
      <c r="A9635" s="184"/>
      <c r="B9635" s="184"/>
      <c r="C9635" s="184"/>
      <c r="D9635" s="184"/>
      <c r="E9635" s="184"/>
      <c r="F9635" s="184"/>
      <c r="G9635" s="184"/>
      <c r="H9635" s="184"/>
      <c r="I9635" s="184"/>
      <c r="J9635" s="184"/>
      <c r="K9635" s="184"/>
      <c r="L9635" s="184"/>
      <c r="M9635" s="184"/>
      <c r="N9635" s="184"/>
      <c r="O9635" s="184"/>
    </row>
    <row r="9636" customFormat="false" ht="15" hidden="false" customHeight="true" outlineLevel="0" collapsed="false">
      <c r="A9636" s="184"/>
      <c r="B9636" s="184"/>
      <c r="C9636" s="184"/>
      <c r="D9636" s="184"/>
      <c r="E9636" s="184"/>
      <c r="F9636" s="184"/>
      <c r="G9636" s="184"/>
      <c r="H9636" s="184"/>
      <c r="I9636" s="184"/>
      <c r="J9636" s="184"/>
      <c r="K9636" s="184"/>
      <c r="L9636" s="184"/>
      <c r="M9636" s="184"/>
      <c r="N9636" s="184"/>
      <c r="O9636" s="184"/>
    </row>
    <row r="9637" customFormat="false" ht="15" hidden="false" customHeight="true" outlineLevel="0" collapsed="false">
      <c r="A9637" s="184"/>
      <c r="B9637" s="184"/>
      <c r="C9637" s="184"/>
      <c r="D9637" s="184"/>
      <c r="E9637" s="184"/>
      <c r="F9637" s="184"/>
      <c r="G9637" s="184"/>
      <c r="H9637" s="184"/>
      <c r="I9637" s="184"/>
      <c r="J9637" s="184"/>
      <c r="K9637" s="184"/>
      <c r="L9637" s="184"/>
      <c r="M9637" s="184"/>
      <c r="N9637" s="184"/>
      <c r="O9637" s="184"/>
    </row>
    <row r="9638" customFormat="false" ht="15" hidden="false" customHeight="true" outlineLevel="0" collapsed="false">
      <c r="A9638" s="184"/>
      <c r="B9638" s="184"/>
      <c r="C9638" s="184"/>
      <c r="D9638" s="184"/>
      <c r="E9638" s="184"/>
      <c r="F9638" s="184"/>
      <c r="G9638" s="184"/>
      <c r="H9638" s="184"/>
      <c r="I9638" s="184"/>
      <c r="J9638" s="184"/>
      <c r="K9638" s="184"/>
      <c r="L9638" s="184"/>
      <c r="M9638" s="184"/>
      <c r="N9638" s="184"/>
      <c r="O9638" s="184"/>
    </row>
    <row r="9639" customFormat="false" ht="15" hidden="false" customHeight="true" outlineLevel="0" collapsed="false">
      <c r="A9639" s="184"/>
      <c r="B9639" s="184"/>
      <c r="C9639" s="184"/>
      <c r="D9639" s="184"/>
      <c r="E9639" s="184"/>
      <c r="F9639" s="184"/>
      <c r="G9639" s="184"/>
      <c r="H9639" s="184"/>
      <c r="I9639" s="184"/>
      <c r="J9639" s="184"/>
      <c r="K9639" s="184"/>
      <c r="L9639" s="184"/>
      <c r="M9639" s="184"/>
      <c r="N9639" s="184"/>
      <c r="O9639" s="184"/>
    </row>
    <row r="9640" customFormat="false" ht="15" hidden="false" customHeight="true" outlineLevel="0" collapsed="false">
      <c r="A9640" s="184"/>
      <c r="B9640" s="184"/>
      <c r="C9640" s="184"/>
      <c r="D9640" s="184"/>
      <c r="E9640" s="184"/>
      <c r="F9640" s="184"/>
      <c r="G9640" s="184"/>
      <c r="H9640" s="184"/>
      <c r="I9640" s="184"/>
      <c r="J9640" s="184"/>
      <c r="K9640" s="184"/>
      <c r="L9640" s="184"/>
      <c r="M9640" s="184"/>
      <c r="N9640" s="184"/>
      <c r="O9640" s="184"/>
    </row>
    <row r="9641" customFormat="false" ht="15" hidden="false" customHeight="true" outlineLevel="0" collapsed="false">
      <c r="A9641" s="184"/>
      <c r="B9641" s="184"/>
      <c r="C9641" s="184"/>
      <c r="D9641" s="184"/>
      <c r="E9641" s="184"/>
      <c r="F9641" s="184"/>
      <c r="G9641" s="184"/>
      <c r="H9641" s="184"/>
      <c r="I9641" s="184"/>
      <c r="J9641" s="184"/>
      <c r="K9641" s="184"/>
      <c r="L9641" s="184"/>
      <c r="M9641" s="184"/>
      <c r="N9641" s="184"/>
      <c r="O9641" s="184"/>
    </row>
    <row r="9642" customFormat="false" ht="15" hidden="false" customHeight="true" outlineLevel="0" collapsed="false">
      <c r="A9642" s="184"/>
      <c r="B9642" s="184"/>
      <c r="C9642" s="184"/>
      <c r="D9642" s="184"/>
      <c r="E9642" s="184"/>
      <c r="F9642" s="184"/>
      <c r="G9642" s="184"/>
      <c r="H9642" s="184"/>
      <c r="I9642" s="184"/>
      <c r="J9642" s="184"/>
      <c r="K9642" s="184"/>
      <c r="L9642" s="184"/>
      <c r="M9642" s="184"/>
      <c r="N9642" s="184"/>
      <c r="O9642" s="184"/>
    </row>
    <row r="9643" customFormat="false" ht="15" hidden="false" customHeight="true" outlineLevel="0" collapsed="false">
      <c r="A9643" s="184"/>
      <c r="B9643" s="184"/>
      <c r="C9643" s="184"/>
      <c r="D9643" s="184"/>
      <c r="E9643" s="184"/>
      <c r="F9643" s="184"/>
      <c r="G9643" s="184"/>
      <c r="H9643" s="184"/>
      <c r="I9643" s="184"/>
      <c r="J9643" s="184"/>
      <c r="K9643" s="184"/>
      <c r="L9643" s="184"/>
      <c r="M9643" s="184"/>
      <c r="N9643" s="184"/>
      <c r="O9643" s="184"/>
    </row>
    <row r="9644" customFormat="false" ht="15" hidden="false" customHeight="true" outlineLevel="0" collapsed="false">
      <c r="A9644" s="184"/>
      <c r="B9644" s="184"/>
      <c r="C9644" s="184"/>
      <c r="D9644" s="184"/>
      <c r="E9644" s="184"/>
      <c r="F9644" s="184"/>
      <c r="G9644" s="184"/>
      <c r="H9644" s="184"/>
      <c r="I9644" s="184"/>
      <c r="J9644" s="184"/>
      <c r="K9644" s="184"/>
      <c r="L9644" s="184"/>
      <c r="M9644" s="184"/>
      <c r="N9644" s="184"/>
      <c r="O9644" s="184"/>
    </row>
    <row r="9645" customFormat="false" ht="15" hidden="false" customHeight="true" outlineLevel="0" collapsed="false">
      <c r="A9645" s="184"/>
      <c r="B9645" s="184"/>
      <c r="C9645" s="184"/>
      <c r="D9645" s="184"/>
      <c r="E9645" s="184"/>
      <c r="F9645" s="184"/>
      <c r="G9645" s="184"/>
      <c r="H9645" s="184"/>
      <c r="I9645" s="184"/>
      <c r="J9645" s="184"/>
      <c r="K9645" s="184"/>
      <c r="L9645" s="184"/>
      <c r="M9645" s="184"/>
      <c r="N9645" s="184"/>
      <c r="O9645" s="184"/>
    </row>
    <row r="9646" customFormat="false" ht="15" hidden="false" customHeight="true" outlineLevel="0" collapsed="false">
      <c r="A9646" s="184"/>
      <c r="B9646" s="184"/>
      <c r="C9646" s="184"/>
      <c r="D9646" s="184"/>
      <c r="E9646" s="184"/>
      <c r="F9646" s="184"/>
      <c r="G9646" s="184"/>
      <c r="H9646" s="184"/>
      <c r="I9646" s="184"/>
      <c r="J9646" s="184"/>
      <c r="K9646" s="184"/>
      <c r="L9646" s="184"/>
      <c r="M9646" s="184"/>
      <c r="N9646" s="184"/>
      <c r="O9646" s="184"/>
    </row>
    <row r="9647" customFormat="false" ht="15" hidden="false" customHeight="true" outlineLevel="0" collapsed="false">
      <c r="A9647" s="184"/>
      <c r="B9647" s="184"/>
      <c r="C9647" s="184"/>
      <c r="D9647" s="184"/>
      <c r="E9647" s="184"/>
      <c r="F9647" s="184"/>
      <c r="G9647" s="184"/>
      <c r="H9647" s="184"/>
      <c r="I9647" s="184"/>
      <c r="J9647" s="184"/>
      <c r="K9647" s="184"/>
      <c r="L9647" s="184"/>
      <c r="M9647" s="184"/>
      <c r="N9647" s="184"/>
      <c r="O9647" s="184"/>
    </row>
    <row r="9648" customFormat="false" ht="15" hidden="false" customHeight="true" outlineLevel="0" collapsed="false">
      <c r="A9648" s="184"/>
      <c r="B9648" s="184"/>
      <c r="C9648" s="184"/>
      <c r="D9648" s="184"/>
      <c r="E9648" s="184"/>
      <c r="F9648" s="184"/>
      <c r="G9648" s="184"/>
      <c r="H9648" s="184"/>
      <c r="I9648" s="184"/>
      <c r="J9648" s="184"/>
      <c r="K9648" s="184"/>
      <c r="L9648" s="184"/>
      <c r="M9648" s="184"/>
      <c r="N9648" s="184"/>
      <c r="O9648" s="184"/>
    </row>
    <row r="9649" customFormat="false" ht="15" hidden="false" customHeight="true" outlineLevel="0" collapsed="false">
      <c r="A9649" s="184"/>
      <c r="B9649" s="184"/>
      <c r="C9649" s="184"/>
      <c r="D9649" s="184"/>
      <c r="E9649" s="184"/>
      <c r="F9649" s="184"/>
      <c r="G9649" s="184"/>
      <c r="H9649" s="184"/>
      <c r="I9649" s="184"/>
      <c r="J9649" s="184"/>
      <c r="K9649" s="184"/>
      <c r="L9649" s="184"/>
      <c r="M9649" s="184"/>
      <c r="N9649" s="184"/>
      <c r="O9649" s="184"/>
    </row>
    <row r="9650" customFormat="false" ht="15" hidden="false" customHeight="true" outlineLevel="0" collapsed="false">
      <c r="A9650" s="184"/>
      <c r="B9650" s="184"/>
      <c r="C9650" s="184"/>
      <c r="D9650" s="184"/>
      <c r="E9650" s="184"/>
      <c r="F9650" s="184"/>
      <c r="G9650" s="184"/>
      <c r="H9650" s="184"/>
      <c r="I9650" s="184"/>
      <c r="J9650" s="184"/>
      <c r="K9650" s="184"/>
      <c r="L9650" s="184"/>
      <c r="M9650" s="184"/>
      <c r="N9650" s="184"/>
      <c r="O9650" s="184"/>
    </row>
    <row r="9651" customFormat="false" ht="15" hidden="false" customHeight="true" outlineLevel="0" collapsed="false">
      <c r="A9651" s="184"/>
      <c r="B9651" s="184"/>
      <c r="C9651" s="184"/>
      <c r="D9651" s="184"/>
      <c r="E9651" s="184"/>
      <c r="F9651" s="184"/>
      <c r="G9651" s="184"/>
      <c r="H9651" s="184"/>
      <c r="I9651" s="184"/>
      <c r="J9651" s="184"/>
      <c r="K9651" s="184"/>
      <c r="L9651" s="184"/>
      <c r="M9651" s="184"/>
      <c r="N9651" s="184"/>
      <c r="O9651" s="184"/>
    </row>
    <row r="9652" customFormat="false" ht="15" hidden="false" customHeight="true" outlineLevel="0" collapsed="false">
      <c r="A9652" s="184"/>
      <c r="B9652" s="184"/>
      <c r="C9652" s="184"/>
      <c r="D9652" s="184"/>
      <c r="E9652" s="184"/>
      <c r="F9652" s="184"/>
      <c r="G9652" s="184"/>
      <c r="H9652" s="184"/>
      <c r="I9652" s="184"/>
      <c r="J9652" s="184"/>
      <c r="K9652" s="184"/>
      <c r="L9652" s="184"/>
      <c r="M9652" s="184"/>
      <c r="N9652" s="184"/>
      <c r="O9652" s="184"/>
    </row>
    <row r="9653" customFormat="false" ht="15" hidden="false" customHeight="true" outlineLevel="0" collapsed="false">
      <c r="A9653" s="184"/>
      <c r="B9653" s="184"/>
      <c r="C9653" s="184"/>
      <c r="D9653" s="184"/>
      <c r="E9653" s="184"/>
      <c r="F9653" s="184"/>
      <c r="G9653" s="184"/>
      <c r="H9653" s="184"/>
      <c r="I9653" s="184"/>
      <c r="J9653" s="184"/>
      <c r="K9653" s="184"/>
      <c r="L9653" s="184"/>
      <c r="M9653" s="184"/>
      <c r="N9653" s="184"/>
      <c r="O9653" s="184"/>
    </row>
    <row r="9654" customFormat="false" ht="15" hidden="false" customHeight="true" outlineLevel="0" collapsed="false">
      <c r="A9654" s="184"/>
      <c r="B9654" s="184"/>
      <c r="C9654" s="184"/>
      <c r="D9654" s="184"/>
      <c r="E9654" s="184"/>
      <c r="F9654" s="184"/>
      <c r="G9654" s="184"/>
      <c r="H9654" s="184"/>
      <c r="I9654" s="184"/>
      <c r="J9654" s="184"/>
      <c r="K9654" s="184"/>
      <c r="L9654" s="184"/>
      <c r="M9654" s="184"/>
      <c r="N9654" s="184"/>
      <c r="O9654" s="184"/>
    </row>
    <row r="9655" customFormat="false" ht="15" hidden="false" customHeight="true" outlineLevel="0" collapsed="false">
      <c r="A9655" s="184"/>
      <c r="B9655" s="184"/>
      <c r="C9655" s="184"/>
      <c r="D9655" s="184"/>
      <c r="E9655" s="184"/>
      <c r="F9655" s="184"/>
      <c r="G9655" s="184"/>
      <c r="H9655" s="184"/>
      <c r="I9655" s="184"/>
      <c r="J9655" s="184"/>
      <c r="K9655" s="184"/>
      <c r="L9655" s="184"/>
      <c r="M9655" s="184"/>
      <c r="N9655" s="184"/>
      <c r="O9655" s="184"/>
    </row>
    <row r="9656" customFormat="false" ht="15" hidden="false" customHeight="true" outlineLevel="0" collapsed="false">
      <c r="A9656" s="184"/>
      <c r="B9656" s="184"/>
      <c r="C9656" s="184"/>
      <c r="D9656" s="184"/>
      <c r="E9656" s="184"/>
      <c r="F9656" s="184"/>
      <c r="G9656" s="184"/>
      <c r="H9656" s="184"/>
      <c r="I9656" s="184"/>
      <c r="J9656" s="184"/>
      <c r="K9656" s="184"/>
      <c r="L9656" s="184"/>
      <c r="M9656" s="184"/>
      <c r="N9656" s="184"/>
      <c r="O9656" s="184"/>
    </row>
    <row r="9657" customFormat="false" ht="15" hidden="false" customHeight="true" outlineLevel="0" collapsed="false">
      <c r="A9657" s="184"/>
      <c r="B9657" s="184"/>
      <c r="C9657" s="184"/>
      <c r="D9657" s="184"/>
      <c r="E9657" s="184"/>
      <c r="F9657" s="184"/>
      <c r="G9657" s="184"/>
      <c r="H9657" s="184"/>
      <c r="I9657" s="184"/>
      <c r="J9657" s="184"/>
      <c r="K9657" s="184"/>
      <c r="L9657" s="184"/>
      <c r="M9657" s="184"/>
      <c r="N9657" s="184"/>
      <c r="O9657" s="184"/>
    </row>
    <row r="9658" customFormat="false" ht="15" hidden="false" customHeight="true" outlineLevel="0" collapsed="false">
      <c r="A9658" s="184"/>
      <c r="B9658" s="184"/>
      <c r="C9658" s="184"/>
      <c r="D9658" s="184"/>
      <c r="E9658" s="184"/>
      <c r="F9658" s="184"/>
      <c r="G9658" s="184"/>
      <c r="H9658" s="184"/>
      <c r="I9658" s="184"/>
      <c r="J9658" s="184"/>
      <c r="K9658" s="184"/>
      <c r="L9658" s="184"/>
      <c r="M9658" s="184"/>
      <c r="N9658" s="184"/>
      <c r="O9658" s="184"/>
    </row>
    <row r="9659" customFormat="false" ht="15" hidden="false" customHeight="true" outlineLevel="0" collapsed="false">
      <c r="A9659" s="184"/>
      <c r="B9659" s="184"/>
      <c r="C9659" s="184"/>
      <c r="D9659" s="184"/>
      <c r="E9659" s="184"/>
      <c r="F9659" s="184"/>
      <c r="G9659" s="184"/>
      <c r="H9659" s="184"/>
      <c r="I9659" s="184"/>
      <c r="J9659" s="184"/>
      <c r="K9659" s="184"/>
      <c r="L9659" s="184"/>
      <c r="M9659" s="184"/>
      <c r="N9659" s="184"/>
      <c r="O9659" s="184"/>
    </row>
    <row r="9660" customFormat="false" ht="15" hidden="false" customHeight="true" outlineLevel="0" collapsed="false">
      <c r="A9660" s="184"/>
      <c r="B9660" s="184"/>
      <c r="C9660" s="184"/>
      <c r="D9660" s="184"/>
      <c r="E9660" s="184"/>
      <c r="F9660" s="184"/>
      <c r="G9660" s="184"/>
      <c r="H9660" s="184"/>
      <c r="I9660" s="184"/>
      <c r="J9660" s="184"/>
      <c r="K9660" s="184"/>
      <c r="L9660" s="184"/>
      <c r="M9660" s="184"/>
      <c r="N9660" s="184"/>
      <c r="O9660" s="184"/>
    </row>
    <row r="9661" customFormat="false" ht="15" hidden="false" customHeight="true" outlineLevel="0" collapsed="false">
      <c r="A9661" s="184"/>
      <c r="B9661" s="184"/>
      <c r="C9661" s="184"/>
      <c r="D9661" s="184"/>
      <c r="E9661" s="184"/>
      <c r="F9661" s="184"/>
      <c r="G9661" s="184"/>
      <c r="H9661" s="184"/>
      <c r="I9661" s="184"/>
      <c r="J9661" s="184"/>
      <c r="K9661" s="184"/>
      <c r="L9661" s="184"/>
      <c r="M9661" s="184"/>
      <c r="N9661" s="184"/>
      <c r="O9661" s="184"/>
    </row>
    <row r="9662" customFormat="false" ht="15" hidden="false" customHeight="true" outlineLevel="0" collapsed="false">
      <c r="A9662" s="184"/>
      <c r="B9662" s="184"/>
      <c r="C9662" s="184"/>
      <c r="D9662" s="184"/>
      <c r="E9662" s="184"/>
      <c r="F9662" s="184"/>
      <c r="G9662" s="184"/>
      <c r="H9662" s="184"/>
      <c r="I9662" s="184"/>
      <c r="J9662" s="184"/>
      <c r="K9662" s="184"/>
      <c r="L9662" s="184"/>
      <c r="M9662" s="184"/>
      <c r="N9662" s="184"/>
      <c r="O9662" s="184"/>
    </row>
    <row r="9663" customFormat="false" ht="15" hidden="false" customHeight="true" outlineLevel="0" collapsed="false">
      <c r="A9663" s="184"/>
      <c r="B9663" s="184"/>
      <c r="C9663" s="184"/>
      <c r="D9663" s="184"/>
      <c r="E9663" s="184"/>
      <c r="F9663" s="184"/>
      <c r="G9663" s="184"/>
      <c r="H9663" s="184"/>
      <c r="I9663" s="184"/>
      <c r="J9663" s="184"/>
      <c r="K9663" s="184"/>
      <c r="L9663" s="184"/>
      <c r="M9663" s="184"/>
      <c r="N9663" s="184"/>
      <c r="O9663" s="184"/>
    </row>
    <row r="9664" customFormat="false" ht="15" hidden="false" customHeight="true" outlineLevel="0" collapsed="false">
      <c r="A9664" s="184"/>
      <c r="B9664" s="184"/>
      <c r="C9664" s="184"/>
      <c r="D9664" s="184"/>
      <c r="E9664" s="184"/>
      <c r="F9664" s="184"/>
      <c r="G9664" s="184"/>
      <c r="H9664" s="184"/>
      <c r="I9664" s="184"/>
      <c r="J9664" s="184"/>
      <c r="K9664" s="184"/>
      <c r="L9664" s="184"/>
      <c r="M9664" s="184"/>
      <c r="N9664" s="184"/>
      <c r="O9664" s="184"/>
    </row>
    <row r="9665" customFormat="false" ht="15" hidden="false" customHeight="true" outlineLevel="0" collapsed="false">
      <c r="A9665" s="184"/>
      <c r="B9665" s="184"/>
      <c r="C9665" s="184"/>
      <c r="D9665" s="184"/>
      <c r="E9665" s="184"/>
      <c r="F9665" s="184"/>
      <c r="G9665" s="184"/>
      <c r="H9665" s="184"/>
      <c r="I9665" s="184"/>
      <c r="J9665" s="184"/>
      <c r="K9665" s="184"/>
      <c r="L9665" s="184"/>
      <c r="M9665" s="184"/>
      <c r="N9665" s="184"/>
      <c r="O9665" s="184"/>
    </row>
    <row r="9666" customFormat="false" ht="15" hidden="false" customHeight="true" outlineLevel="0" collapsed="false">
      <c r="A9666" s="184"/>
      <c r="B9666" s="184"/>
      <c r="C9666" s="184"/>
      <c r="D9666" s="184"/>
      <c r="E9666" s="184"/>
      <c r="F9666" s="184"/>
      <c r="G9666" s="184"/>
      <c r="H9666" s="184"/>
      <c r="I9666" s="184"/>
      <c r="J9666" s="184"/>
      <c r="K9666" s="184"/>
      <c r="L9666" s="184"/>
      <c r="M9666" s="184"/>
      <c r="N9666" s="184"/>
      <c r="O9666" s="184"/>
    </row>
    <row r="9667" customFormat="false" ht="15" hidden="false" customHeight="true" outlineLevel="0" collapsed="false">
      <c r="A9667" s="184"/>
      <c r="B9667" s="184"/>
      <c r="C9667" s="184"/>
      <c r="D9667" s="184"/>
      <c r="E9667" s="184"/>
      <c r="F9667" s="184"/>
      <c r="G9667" s="184"/>
      <c r="H9667" s="184"/>
      <c r="I9667" s="184"/>
      <c r="J9667" s="184"/>
      <c r="K9667" s="184"/>
      <c r="L9667" s="184"/>
      <c r="M9667" s="184"/>
      <c r="N9667" s="184"/>
      <c r="O9667" s="184"/>
    </row>
    <row r="9668" customFormat="false" ht="15" hidden="false" customHeight="true" outlineLevel="0" collapsed="false">
      <c r="A9668" s="184"/>
      <c r="B9668" s="184"/>
      <c r="C9668" s="184"/>
      <c r="D9668" s="184"/>
      <c r="E9668" s="184"/>
      <c r="F9668" s="184"/>
      <c r="G9668" s="184"/>
      <c r="H9668" s="184"/>
      <c r="I9668" s="184"/>
      <c r="J9668" s="184"/>
      <c r="K9668" s="184"/>
      <c r="L9668" s="184"/>
      <c r="M9668" s="184"/>
      <c r="N9668" s="184"/>
      <c r="O9668" s="184"/>
    </row>
    <row r="9669" customFormat="false" ht="15" hidden="false" customHeight="true" outlineLevel="0" collapsed="false">
      <c r="A9669" s="184"/>
      <c r="B9669" s="184"/>
      <c r="C9669" s="184"/>
      <c r="D9669" s="184"/>
      <c r="E9669" s="184"/>
      <c r="F9669" s="184"/>
      <c r="G9669" s="184"/>
      <c r="H9669" s="184"/>
      <c r="I9669" s="184"/>
      <c r="J9669" s="184"/>
      <c r="K9669" s="184"/>
      <c r="L9669" s="184"/>
      <c r="M9669" s="184"/>
      <c r="N9669" s="184"/>
      <c r="O9669" s="184"/>
    </row>
    <row r="9670" customFormat="false" ht="15" hidden="false" customHeight="true" outlineLevel="0" collapsed="false">
      <c r="A9670" s="184"/>
      <c r="B9670" s="184"/>
      <c r="C9670" s="184"/>
      <c r="D9670" s="184"/>
      <c r="E9670" s="184"/>
      <c r="F9670" s="184"/>
      <c r="G9670" s="184"/>
      <c r="H9670" s="184"/>
      <c r="I9670" s="184"/>
      <c r="J9670" s="184"/>
      <c r="K9670" s="184"/>
      <c r="L9670" s="184"/>
      <c r="M9670" s="184"/>
      <c r="N9670" s="184"/>
      <c r="O9670" s="184"/>
    </row>
    <row r="9671" customFormat="false" ht="15" hidden="false" customHeight="true" outlineLevel="0" collapsed="false">
      <c r="A9671" s="184"/>
      <c r="B9671" s="184"/>
      <c r="C9671" s="184"/>
      <c r="D9671" s="184"/>
      <c r="E9671" s="184"/>
      <c r="F9671" s="184"/>
      <c r="G9671" s="184"/>
      <c r="H9671" s="184"/>
      <c r="I9671" s="184"/>
      <c r="J9671" s="184"/>
      <c r="K9671" s="184"/>
      <c r="L9671" s="184"/>
      <c r="M9671" s="184"/>
      <c r="N9671" s="184"/>
      <c r="O9671" s="184"/>
    </row>
    <row r="9672" customFormat="false" ht="15" hidden="false" customHeight="true" outlineLevel="0" collapsed="false">
      <c r="A9672" s="184"/>
      <c r="B9672" s="184"/>
      <c r="C9672" s="184"/>
      <c r="D9672" s="184"/>
      <c r="E9672" s="184"/>
      <c r="F9672" s="184"/>
      <c r="G9672" s="184"/>
      <c r="H9672" s="184"/>
      <c r="I9672" s="184"/>
      <c r="J9672" s="184"/>
      <c r="K9672" s="184"/>
      <c r="L9672" s="184"/>
      <c r="M9672" s="184"/>
      <c r="N9672" s="184"/>
      <c r="O9672" s="184"/>
    </row>
    <row r="9673" customFormat="false" ht="15" hidden="false" customHeight="true" outlineLevel="0" collapsed="false">
      <c r="A9673" s="184"/>
      <c r="B9673" s="184"/>
      <c r="C9673" s="184"/>
      <c r="D9673" s="184"/>
      <c r="E9673" s="184"/>
      <c r="F9673" s="184"/>
      <c r="G9673" s="184"/>
      <c r="H9673" s="184"/>
      <c r="I9673" s="184"/>
      <c r="J9673" s="184"/>
      <c r="K9673" s="184"/>
      <c r="L9673" s="184"/>
      <c r="M9673" s="184"/>
      <c r="N9673" s="184"/>
      <c r="O9673" s="184"/>
    </row>
    <row r="9674" customFormat="false" ht="15" hidden="false" customHeight="true" outlineLevel="0" collapsed="false">
      <c r="A9674" s="184"/>
      <c r="B9674" s="184"/>
      <c r="C9674" s="184"/>
      <c r="D9674" s="184"/>
      <c r="E9674" s="184"/>
      <c r="F9674" s="184"/>
      <c r="G9674" s="184"/>
      <c r="H9674" s="184"/>
      <c r="I9674" s="184"/>
      <c r="J9674" s="184"/>
      <c r="K9674" s="184"/>
      <c r="L9674" s="184"/>
      <c r="M9674" s="184"/>
      <c r="N9674" s="184"/>
      <c r="O9674" s="184"/>
    </row>
    <row r="9675" customFormat="false" ht="15" hidden="false" customHeight="true" outlineLevel="0" collapsed="false">
      <c r="A9675" s="184"/>
      <c r="B9675" s="184"/>
      <c r="C9675" s="184"/>
      <c r="D9675" s="184"/>
      <c r="E9675" s="184"/>
      <c r="F9675" s="184"/>
      <c r="G9675" s="184"/>
      <c r="H9675" s="184"/>
      <c r="I9675" s="184"/>
      <c r="J9675" s="184"/>
      <c r="K9675" s="184"/>
      <c r="L9675" s="184"/>
      <c r="M9675" s="184"/>
      <c r="N9675" s="184"/>
      <c r="O9675" s="184"/>
    </row>
    <row r="9676" customFormat="false" ht="15" hidden="false" customHeight="true" outlineLevel="0" collapsed="false">
      <c r="A9676" s="184"/>
      <c r="B9676" s="184"/>
      <c r="C9676" s="184"/>
      <c r="D9676" s="184"/>
      <c r="E9676" s="184"/>
      <c r="F9676" s="184"/>
      <c r="G9676" s="184"/>
      <c r="H9676" s="184"/>
      <c r="I9676" s="184"/>
      <c r="J9676" s="184"/>
      <c r="K9676" s="184"/>
      <c r="L9676" s="184"/>
      <c r="M9676" s="184"/>
      <c r="N9676" s="184"/>
      <c r="O9676" s="184"/>
    </row>
    <row r="9677" customFormat="false" ht="15" hidden="false" customHeight="true" outlineLevel="0" collapsed="false">
      <c r="A9677" s="184"/>
      <c r="B9677" s="184"/>
      <c r="C9677" s="184"/>
      <c r="D9677" s="184"/>
      <c r="E9677" s="184"/>
      <c r="F9677" s="184"/>
      <c r="G9677" s="184"/>
      <c r="H9677" s="184"/>
      <c r="I9677" s="184"/>
      <c r="J9677" s="184"/>
      <c r="K9677" s="184"/>
      <c r="L9677" s="184"/>
      <c r="M9677" s="184"/>
      <c r="N9677" s="184"/>
      <c r="O9677" s="184"/>
    </row>
    <row r="9678" customFormat="false" ht="15" hidden="false" customHeight="true" outlineLevel="0" collapsed="false">
      <c r="A9678" s="184"/>
      <c r="B9678" s="184"/>
      <c r="C9678" s="184"/>
      <c r="D9678" s="184"/>
      <c r="E9678" s="184"/>
      <c r="F9678" s="184"/>
      <c r="G9678" s="184"/>
      <c r="H9678" s="184"/>
      <c r="I9678" s="184"/>
      <c r="J9678" s="184"/>
      <c r="K9678" s="184"/>
      <c r="L9678" s="184"/>
      <c r="M9678" s="184"/>
      <c r="N9678" s="184"/>
      <c r="O9678" s="184"/>
    </row>
    <row r="9679" customFormat="false" ht="15" hidden="false" customHeight="true" outlineLevel="0" collapsed="false">
      <c r="A9679" s="184"/>
      <c r="B9679" s="184"/>
      <c r="C9679" s="184"/>
      <c r="D9679" s="184"/>
      <c r="E9679" s="184"/>
      <c r="F9679" s="184"/>
      <c r="G9679" s="184"/>
      <c r="H9679" s="184"/>
      <c r="I9679" s="184"/>
      <c r="J9679" s="184"/>
      <c r="K9679" s="184"/>
      <c r="L9679" s="184"/>
      <c r="M9679" s="184"/>
      <c r="N9679" s="184"/>
      <c r="O9679" s="184"/>
    </row>
    <row r="9680" customFormat="false" ht="15" hidden="false" customHeight="true" outlineLevel="0" collapsed="false">
      <c r="A9680" s="184"/>
      <c r="B9680" s="184"/>
      <c r="C9680" s="184"/>
      <c r="D9680" s="184"/>
      <c r="E9680" s="184"/>
      <c r="F9680" s="184"/>
      <c r="G9680" s="184"/>
      <c r="H9680" s="184"/>
      <c r="I9680" s="184"/>
      <c r="J9680" s="184"/>
      <c r="K9680" s="184"/>
      <c r="L9680" s="184"/>
      <c r="M9680" s="184"/>
      <c r="N9680" s="184"/>
      <c r="O9680" s="184"/>
    </row>
    <row r="9681" customFormat="false" ht="15" hidden="false" customHeight="true" outlineLevel="0" collapsed="false">
      <c r="A9681" s="184"/>
      <c r="B9681" s="184"/>
      <c r="C9681" s="184"/>
      <c r="D9681" s="184"/>
      <c r="E9681" s="184"/>
      <c r="F9681" s="184"/>
      <c r="G9681" s="184"/>
      <c r="H9681" s="184"/>
      <c r="I9681" s="184"/>
      <c r="J9681" s="184"/>
      <c r="K9681" s="184"/>
      <c r="L9681" s="184"/>
      <c r="M9681" s="184"/>
      <c r="N9681" s="184"/>
      <c r="O9681" s="184"/>
    </row>
    <row r="9682" customFormat="false" ht="15" hidden="false" customHeight="true" outlineLevel="0" collapsed="false">
      <c r="A9682" s="184"/>
      <c r="B9682" s="184"/>
      <c r="C9682" s="184"/>
      <c r="D9682" s="184"/>
      <c r="E9682" s="184"/>
      <c r="F9682" s="184"/>
      <c r="G9682" s="184"/>
      <c r="H9682" s="184"/>
      <c r="I9682" s="184"/>
      <c r="J9682" s="184"/>
      <c r="K9682" s="184"/>
      <c r="L9682" s="184"/>
      <c r="M9682" s="184"/>
      <c r="N9682" s="184"/>
      <c r="O9682" s="184"/>
    </row>
    <row r="9683" customFormat="false" ht="15" hidden="false" customHeight="true" outlineLevel="0" collapsed="false">
      <c r="A9683" s="184"/>
      <c r="B9683" s="184"/>
      <c r="C9683" s="184"/>
      <c r="D9683" s="184"/>
      <c r="E9683" s="184"/>
      <c r="F9683" s="184"/>
      <c r="G9683" s="184"/>
      <c r="H9683" s="184"/>
      <c r="I9683" s="184"/>
      <c r="J9683" s="184"/>
      <c r="K9683" s="184"/>
      <c r="L9683" s="184"/>
      <c r="M9683" s="184"/>
      <c r="N9683" s="184"/>
      <c r="O9683" s="184"/>
    </row>
    <row r="9684" customFormat="false" ht="15" hidden="false" customHeight="true" outlineLevel="0" collapsed="false">
      <c r="A9684" s="184"/>
      <c r="B9684" s="184"/>
      <c r="C9684" s="184"/>
      <c r="D9684" s="184"/>
      <c r="E9684" s="184"/>
      <c r="F9684" s="184"/>
      <c r="G9684" s="184"/>
      <c r="H9684" s="184"/>
      <c r="I9684" s="184"/>
      <c r="J9684" s="184"/>
      <c r="K9684" s="184"/>
      <c r="L9684" s="184"/>
      <c r="M9684" s="184"/>
      <c r="N9684" s="184"/>
      <c r="O9684" s="184"/>
    </row>
    <row r="9685" customFormat="false" ht="15" hidden="false" customHeight="true" outlineLevel="0" collapsed="false">
      <c r="A9685" s="184"/>
      <c r="B9685" s="184"/>
      <c r="C9685" s="184"/>
      <c r="D9685" s="184"/>
      <c r="E9685" s="184"/>
      <c r="F9685" s="184"/>
      <c r="G9685" s="184"/>
      <c r="H9685" s="184"/>
      <c r="I9685" s="184"/>
      <c r="J9685" s="184"/>
      <c r="K9685" s="184"/>
      <c r="L9685" s="184"/>
      <c r="M9685" s="184"/>
      <c r="N9685" s="184"/>
      <c r="O9685" s="184"/>
    </row>
    <row r="9686" customFormat="false" ht="15" hidden="false" customHeight="true" outlineLevel="0" collapsed="false">
      <c r="A9686" s="184"/>
      <c r="B9686" s="184"/>
      <c r="C9686" s="184"/>
      <c r="D9686" s="184"/>
      <c r="E9686" s="184"/>
      <c r="F9686" s="184"/>
      <c r="G9686" s="184"/>
      <c r="H9686" s="184"/>
      <c r="I9686" s="184"/>
      <c r="J9686" s="184"/>
      <c r="K9686" s="184"/>
      <c r="L9686" s="184"/>
      <c r="M9686" s="184"/>
      <c r="N9686" s="184"/>
      <c r="O9686" s="184"/>
    </row>
    <row r="9687" customFormat="false" ht="15" hidden="false" customHeight="true" outlineLevel="0" collapsed="false">
      <c r="A9687" s="184"/>
      <c r="B9687" s="184"/>
      <c r="C9687" s="184"/>
      <c r="D9687" s="184"/>
      <c r="E9687" s="184"/>
      <c r="F9687" s="184"/>
      <c r="G9687" s="184"/>
      <c r="H9687" s="184"/>
      <c r="I9687" s="184"/>
      <c r="J9687" s="184"/>
      <c r="K9687" s="184"/>
      <c r="L9687" s="184"/>
      <c r="M9687" s="184"/>
      <c r="N9687" s="184"/>
      <c r="O9687" s="184"/>
    </row>
    <row r="9688" customFormat="false" ht="15" hidden="false" customHeight="true" outlineLevel="0" collapsed="false">
      <c r="A9688" s="184"/>
      <c r="B9688" s="184"/>
      <c r="C9688" s="184"/>
      <c r="D9688" s="184"/>
      <c r="E9688" s="184"/>
      <c r="F9688" s="184"/>
      <c r="G9688" s="184"/>
      <c r="H9688" s="184"/>
      <c r="I9688" s="184"/>
      <c r="J9688" s="184"/>
      <c r="K9688" s="184"/>
      <c r="L9688" s="184"/>
      <c r="M9688" s="184"/>
      <c r="N9688" s="184"/>
      <c r="O9688" s="184"/>
    </row>
    <row r="9689" customFormat="false" ht="15" hidden="false" customHeight="true" outlineLevel="0" collapsed="false">
      <c r="A9689" s="184"/>
      <c r="B9689" s="184"/>
      <c r="C9689" s="184"/>
      <c r="D9689" s="184"/>
      <c r="E9689" s="184"/>
      <c r="F9689" s="184"/>
      <c r="G9689" s="184"/>
      <c r="H9689" s="184"/>
      <c r="I9689" s="184"/>
      <c r="J9689" s="184"/>
      <c r="K9689" s="184"/>
      <c r="L9689" s="184"/>
      <c r="M9689" s="184"/>
      <c r="N9689" s="184"/>
      <c r="O9689" s="184"/>
    </row>
    <row r="9690" customFormat="false" ht="15" hidden="false" customHeight="true" outlineLevel="0" collapsed="false">
      <c r="A9690" s="184"/>
      <c r="B9690" s="184"/>
      <c r="C9690" s="184"/>
      <c r="D9690" s="184"/>
      <c r="E9690" s="184"/>
      <c r="F9690" s="184"/>
      <c r="G9690" s="184"/>
      <c r="H9690" s="184"/>
      <c r="I9690" s="184"/>
      <c r="J9690" s="184"/>
      <c r="K9690" s="184"/>
      <c r="L9690" s="184"/>
      <c r="M9690" s="184"/>
      <c r="N9690" s="184"/>
      <c r="O9690" s="184"/>
    </row>
    <row r="9691" customFormat="false" ht="15" hidden="false" customHeight="true" outlineLevel="0" collapsed="false">
      <c r="A9691" s="184"/>
      <c r="B9691" s="184"/>
      <c r="C9691" s="184"/>
      <c r="D9691" s="184"/>
      <c r="E9691" s="184"/>
      <c r="F9691" s="184"/>
      <c r="G9691" s="184"/>
      <c r="H9691" s="184"/>
      <c r="I9691" s="184"/>
      <c r="J9691" s="184"/>
      <c r="K9691" s="184"/>
      <c r="L9691" s="184"/>
      <c r="M9691" s="184"/>
      <c r="N9691" s="184"/>
      <c r="O9691" s="184"/>
    </row>
    <row r="9692" customFormat="false" ht="15" hidden="false" customHeight="true" outlineLevel="0" collapsed="false">
      <c r="A9692" s="184"/>
      <c r="B9692" s="184"/>
      <c r="C9692" s="184"/>
      <c r="D9692" s="184"/>
      <c r="E9692" s="184"/>
      <c r="F9692" s="184"/>
      <c r="G9692" s="184"/>
      <c r="H9692" s="184"/>
      <c r="I9692" s="184"/>
      <c r="J9692" s="184"/>
      <c r="K9692" s="184"/>
      <c r="L9692" s="184"/>
      <c r="M9692" s="184"/>
      <c r="N9692" s="184"/>
      <c r="O9692" s="184"/>
    </row>
    <row r="9693" customFormat="false" ht="15" hidden="false" customHeight="true" outlineLevel="0" collapsed="false">
      <c r="A9693" s="184"/>
      <c r="B9693" s="184"/>
      <c r="C9693" s="184"/>
      <c r="D9693" s="184"/>
      <c r="E9693" s="184"/>
      <c r="F9693" s="184"/>
      <c r="G9693" s="184"/>
      <c r="H9693" s="184"/>
      <c r="I9693" s="184"/>
      <c r="J9693" s="184"/>
      <c r="K9693" s="184"/>
      <c r="L9693" s="184"/>
      <c r="M9693" s="184"/>
      <c r="N9693" s="184"/>
      <c r="O9693" s="184"/>
    </row>
    <row r="9694" customFormat="false" ht="15" hidden="false" customHeight="true" outlineLevel="0" collapsed="false">
      <c r="A9694" s="184"/>
      <c r="B9694" s="184"/>
      <c r="C9694" s="184"/>
      <c r="D9694" s="184"/>
      <c r="E9694" s="184"/>
      <c r="F9694" s="184"/>
      <c r="G9694" s="184"/>
      <c r="H9694" s="184"/>
      <c r="I9694" s="184"/>
      <c r="J9694" s="184"/>
      <c r="K9694" s="184"/>
      <c r="L9694" s="184"/>
      <c r="M9694" s="184"/>
      <c r="N9694" s="184"/>
      <c r="O9694" s="184"/>
    </row>
    <row r="9695" customFormat="false" ht="15" hidden="false" customHeight="true" outlineLevel="0" collapsed="false">
      <c r="A9695" s="184"/>
      <c r="B9695" s="184"/>
      <c r="C9695" s="184"/>
      <c r="D9695" s="184"/>
      <c r="E9695" s="184"/>
      <c r="F9695" s="184"/>
      <c r="G9695" s="184"/>
      <c r="H9695" s="184"/>
      <c r="I9695" s="184"/>
      <c r="J9695" s="184"/>
      <c r="K9695" s="184"/>
      <c r="L9695" s="184"/>
      <c r="M9695" s="184"/>
      <c r="N9695" s="184"/>
      <c r="O9695" s="184"/>
    </row>
    <row r="9696" customFormat="false" ht="15" hidden="false" customHeight="true" outlineLevel="0" collapsed="false">
      <c r="A9696" s="184"/>
      <c r="B9696" s="184"/>
      <c r="C9696" s="184"/>
      <c r="D9696" s="184"/>
      <c r="E9696" s="184"/>
      <c r="F9696" s="184"/>
      <c r="G9696" s="184"/>
      <c r="H9696" s="184"/>
      <c r="I9696" s="184"/>
      <c r="J9696" s="184"/>
      <c r="K9696" s="184"/>
      <c r="L9696" s="184"/>
      <c r="M9696" s="184"/>
      <c r="N9696" s="184"/>
      <c r="O9696" s="184"/>
    </row>
    <row r="9697" customFormat="false" ht="15" hidden="false" customHeight="true" outlineLevel="0" collapsed="false">
      <c r="A9697" s="184"/>
      <c r="B9697" s="184"/>
      <c r="C9697" s="184"/>
      <c r="D9697" s="184"/>
      <c r="E9697" s="184"/>
      <c r="F9697" s="184"/>
      <c r="G9697" s="184"/>
      <c r="H9697" s="184"/>
      <c r="I9697" s="184"/>
      <c r="J9697" s="184"/>
      <c r="K9697" s="184"/>
      <c r="L9697" s="184"/>
      <c r="M9697" s="184"/>
      <c r="N9697" s="184"/>
      <c r="O9697" s="184"/>
    </row>
    <row r="9698" customFormat="false" ht="15" hidden="false" customHeight="true" outlineLevel="0" collapsed="false">
      <c r="A9698" s="184"/>
      <c r="B9698" s="184"/>
      <c r="C9698" s="184"/>
      <c r="D9698" s="184"/>
      <c r="E9698" s="184"/>
      <c r="F9698" s="184"/>
      <c r="G9698" s="184"/>
      <c r="H9698" s="184"/>
      <c r="I9698" s="184"/>
      <c r="J9698" s="184"/>
      <c r="K9698" s="184"/>
      <c r="L9698" s="184"/>
      <c r="M9698" s="184"/>
      <c r="N9698" s="184"/>
      <c r="O9698" s="184"/>
    </row>
    <row r="9699" customFormat="false" ht="15" hidden="false" customHeight="true" outlineLevel="0" collapsed="false">
      <c r="A9699" s="184"/>
      <c r="B9699" s="184"/>
      <c r="C9699" s="184"/>
      <c r="D9699" s="184"/>
      <c r="E9699" s="184"/>
      <c r="F9699" s="184"/>
      <c r="G9699" s="184"/>
      <c r="H9699" s="184"/>
      <c r="I9699" s="184"/>
      <c r="J9699" s="184"/>
      <c r="K9699" s="184"/>
      <c r="L9699" s="184"/>
      <c r="M9699" s="184"/>
      <c r="N9699" s="184"/>
      <c r="O9699" s="184"/>
    </row>
    <row r="9700" customFormat="false" ht="15" hidden="false" customHeight="true" outlineLevel="0" collapsed="false">
      <c r="A9700" s="184"/>
      <c r="B9700" s="184"/>
      <c r="C9700" s="184"/>
      <c r="D9700" s="184"/>
      <c r="E9700" s="184"/>
      <c r="F9700" s="184"/>
      <c r="G9700" s="184"/>
      <c r="H9700" s="184"/>
      <c r="I9700" s="184"/>
      <c r="J9700" s="184"/>
      <c r="K9700" s="184"/>
      <c r="L9700" s="184"/>
      <c r="M9700" s="184"/>
      <c r="N9700" s="184"/>
      <c r="O9700" s="184"/>
    </row>
    <row r="9701" customFormat="false" ht="15" hidden="false" customHeight="true" outlineLevel="0" collapsed="false">
      <c r="A9701" s="184"/>
      <c r="B9701" s="184"/>
      <c r="C9701" s="184"/>
      <c r="D9701" s="184"/>
      <c r="E9701" s="184"/>
      <c r="F9701" s="184"/>
      <c r="G9701" s="184"/>
      <c r="H9701" s="184"/>
      <c r="I9701" s="184"/>
      <c r="J9701" s="184"/>
      <c r="K9701" s="184"/>
      <c r="L9701" s="184"/>
      <c r="M9701" s="184"/>
      <c r="N9701" s="184"/>
      <c r="O9701" s="184"/>
    </row>
    <row r="9702" customFormat="false" ht="15" hidden="false" customHeight="true" outlineLevel="0" collapsed="false">
      <c r="A9702" s="184"/>
      <c r="B9702" s="184"/>
      <c r="C9702" s="184"/>
      <c r="D9702" s="184"/>
      <c r="E9702" s="184"/>
      <c r="F9702" s="184"/>
      <c r="G9702" s="184"/>
      <c r="H9702" s="184"/>
      <c r="I9702" s="184"/>
      <c r="J9702" s="184"/>
      <c r="K9702" s="184"/>
      <c r="L9702" s="184"/>
      <c r="M9702" s="184"/>
      <c r="N9702" s="184"/>
      <c r="O9702" s="184"/>
    </row>
    <row r="9703" customFormat="false" ht="15" hidden="false" customHeight="true" outlineLevel="0" collapsed="false">
      <c r="A9703" s="184"/>
      <c r="B9703" s="184"/>
      <c r="C9703" s="184"/>
      <c r="D9703" s="184"/>
      <c r="E9703" s="184"/>
      <c r="F9703" s="184"/>
      <c r="G9703" s="184"/>
      <c r="H9703" s="184"/>
      <c r="I9703" s="184"/>
      <c r="J9703" s="184"/>
      <c r="K9703" s="184"/>
      <c r="L9703" s="184"/>
      <c r="M9703" s="184"/>
      <c r="N9703" s="184"/>
      <c r="O9703" s="184"/>
    </row>
    <row r="9704" customFormat="false" ht="15" hidden="false" customHeight="true" outlineLevel="0" collapsed="false">
      <c r="A9704" s="184"/>
      <c r="B9704" s="184"/>
      <c r="C9704" s="184"/>
      <c r="D9704" s="184"/>
      <c r="E9704" s="184"/>
      <c r="F9704" s="184"/>
      <c r="G9704" s="184"/>
      <c r="H9704" s="184"/>
      <c r="I9704" s="184"/>
      <c r="J9704" s="184"/>
      <c r="K9704" s="184"/>
      <c r="L9704" s="184"/>
      <c r="M9704" s="184"/>
      <c r="N9704" s="184"/>
      <c r="O9704" s="184"/>
    </row>
    <row r="9705" customFormat="false" ht="15" hidden="false" customHeight="true" outlineLevel="0" collapsed="false">
      <c r="A9705" s="184"/>
      <c r="B9705" s="184"/>
      <c r="C9705" s="184"/>
      <c r="D9705" s="184"/>
      <c r="E9705" s="184"/>
      <c r="F9705" s="184"/>
      <c r="G9705" s="184"/>
      <c r="H9705" s="184"/>
      <c r="I9705" s="184"/>
      <c r="J9705" s="184"/>
      <c r="K9705" s="184"/>
      <c r="L9705" s="184"/>
      <c r="M9705" s="184"/>
      <c r="N9705" s="184"/>
      <c r="O9705" s="184"/>
    </row>
    <row r="9706" customFormat="false" ht="15" hidden="false" customHeight="true" outlineLevel="0" collapsed="false">
      <c r="A9706" s="184"/>
      <c r="B9706" s="184"/>
      <c r="C9706" s="184"/>
      <c r="D9706" s="184"/>
      <c r="E9706" s="184"/>
      <c r="F9706" s="184"/>
      <c r="G9706" s="184"/>
      <c r="H9706" s="184"/>
      <c r="I9706" s="184"/>
      <c r="J9706" s="184"/>
      <c r="K9706" s="184"/>
      <c r="L9706" s="184"/>
      <c r="M9706" s="184"/>
      <c r="N9706" s="184"/>
      <c r="O9706" s="184"/>
    </row>
    <row r="9707" customFormat="false" ht="15" hidden="false" customHeight="true" outlineLevel="0" collapsed="false">
      <c r="A9707" s="184"/>
      <c r="B9707" s="184"/>
      <c r="C9707" s="184"/>
      <c r="D9707" s="184"/>
      <c r="E9707" s="184"/>
      <c r="F9707" s="184"/>
      <c r="G9707" s="184"/>
      <c r="H9707" s="184"/>
      <c r="I9707" s="184"/>
      <c r="J9707" s="184"/>
      <c r="K9707" s="184"/>
      <c r="L9707" s="184"/>
      <c r="M9707" s="184"/>
      <c r="N9707" s="184"/>
      <c r="O9707" s="184"/>
    </row>
    <row r="9708" customFormat="false" ht="15" hidden="false" customHeight="true" outlineLevel="0" collapsed="false">
      <c r="A9708" s="184"/>
      <c r="B9708" s="184"/>
      <c r="C9708" s="184"/>
      <c r="D9708" s="184"/>
      <c r="E9708" s="184"/>
      <c r="F9708" s="184"/>
      <c r="G9708" s="184"/>
      <c r="H9708" s="184"/>
      <c r="I9708" s="184"/>
      <c r="J9708" s="184"/>
      <c r="K9708" s="184"/>
      <c r="L9708" s="184"/>
      <c r="M9708" s="184"/>
      <c r="N9708" s="184"/>
      <c r="O9708" s="184"/>
    </row>
    <row r="9709" customFormat="false" ht="15" hidden="false" customHeight="true" outlineLevel="0" collapsed="false">
      <c r="A9709" s="184"/>
      <c r="B9709" s="184"/>
      <c r="C9709" s="184"/>
      <c r="D9709" s="184"/>
      <c r="E9709" s="184"/>
      <c r="F9709" s="184"/>
      <c r="G9709" s="184"/>
      <c r="H9709" s="184"/>
      <c r="I9709" s="184"/>
      <c r="J9709" s="184"/>
      <c r="K9709" s="184"/>
      <c r="L9709" s="184"/>
      <c r="M9709" s="184"/>
      <c r="N9709" s="184"/>
      <c r="O9709" s="184"/>
    </row>
    <row r="9710" customFormat="false" ht="15" hidden="false" customHeight="true" outlineLevel="0" collapsed="false">
      <c r="A9710" s="184"/>
      <c r="B9710" s="184"/>
      <c r="C9710" s="184"/>
      <c r="D9710" s="184"/>
      <c r="E9710" s="184"/>
      <c r="F9710" s="184"/>
      <c r="G9710" s="184"/>
      <c r="H9710" s="184"/>
      <c r="I9710" s="184"/>
      <c r="J9710" s="184"/>
      <c r="K9710" s="184"/>
      <c r="L9710" s="184"/>
      <c r="M9710" s="184"/>
      <c r="N9710" s="184"/>
      <c r="O9710" s="184"/>
    </row>
    <row r="9711" customFormat="false" ht="15" hidden="false" customHeight="true" outlineLevel="0" collapsed="false">
      <c r="A9711" s="184"/>
      <c r="B9711" s="184"/>
      <c r="C9711" s="184"/>
      <c r="D9711" s="184"/>
      <c r="E9711" s="184"/>
      <c r="F9711" s="184"/>
      <c r="G9711" s="184"/>
      <c r="H9711" s="184"/>
      <c r="I9711" s="184"/>
      <c r="J9711" s="184"/>
      <c r="K9711" s="184"/>
      <c r="L9711" s="184"/>
      <c r="M9711" s="184"/>
      <c r="N9711" s="184"/>
      <c r="O9711" s="184"/>
    </row>
    <row r="9712" customFormat="false" ht="15" hidden="false" customHeight="true" outlineLevel="0" collapsed="false">
      <c r="A9712" s="184"/>
      <c r="B9712" s="184"/>
      <c r="C9712" s="184"/>
      <c r="D9712" s="184"/>
      <c r="E9712" s="184"/>
      <c r="F9712" s="184"/>
      <c r="G9712" s="184"/>
      <c r="H9712" s="184"/>
      <c r="I9712" s="184"/>
      <c r="J9712" s="184"/>
      <c r="K9712" s="184"/>
      <c r="L9712" s="184"/>
      <c r="M9712" s="184"/>
      <c r="N9712" s="184"/>
      <c r="O9712" s="184"/>
    </row>
    <row r="9713" customFormat="false" ht="15" hidden="false" customHeight="true" outlineLevel="0" collapsed="false">
      <c r="A9713" s="184"/>
      <c r="B9713" s="184"/>
      <c r="C9713" s="184"/>
      <c r="D9713" s="184"/>
      <c r="E9713" s="184"/>
      <c r="F9713" s="184"/>
      <c r="G9713" s="184"/>
      <c r="H9713" s="184"/>
      <c r="I9713" s="184"/>
      <c r="J9713" s="184"/>
      <c r="K9713" s="184"/>
      <c r="L9713" s="184"/>
      <c r="M9713" s="184"/>
      <c r="N9713" s="184"/>
      <c r="O9713" s="184"/>
    </row>
    <row r="9714" customFormat="false" ht="15" hidden="false" customHeight="true" outlineLevel="0" collapsed="false">
      <c r="A9714" s="184"/>
      <c r="B9714" s="184"/>
      <c r="C9714" s="184"/>
      <c r="D9714" s="184"/>
      <c r="E9714" s="184"/>
      <c r="F9714" s="184"/>
      <c r="G9714" s="184"/>
      <c r="H9714" s="184"/>
      <c r="I9714" s="184"/>
      <c r="J9714" s="184"/>
      <c r="K9714" s="184"/>
      <c r="L9714" s="184"/>
      <c r="M9714" s="184"/>
      <c r="N9714" s="184"/>
      <c r="O9714" s="184"/>
    </row>
    <row r="9715" customFormat="false" ht="15" hidden="false" customHeight="true" outlineLevel="0" collapsed="false">
      <c r="A9715" s="184"/>
      <c r="B9715" s="184"/>
      <c r="C9715" s="184"/>
      <c r="D9715" s="184"/>
      <c r="E9715" s="184"/>
      <c r="F9715" s="184"/>
      <c r="G9715" s="184"/>
      <c r="H9715" s="184"/>
      <c r="I9715" s="184"/>
      <c r="J9715" s="184"/>
      <c r="K9715" s="184"/>
      <c r="L9715" s="184"/>
      <c r="M9715" s="184"/>
      <c r="N9715" s="184"/>
      <c r="O9715" s="184"/>
    </row>
    <row r="9716" customFormat="false" ht="15" hidden="false" customHeight="true" outlineLevel="0" collapsed="false">
      <c r="A9716" s="184"/>
      <c r="B9716" s="184"/>
      <c r="C9716" s="184"/>
      <c r="D9716" s="184"/>
      <c r="E9716" s="184"/>
      <c r="F9716" s="184"/>
      <c r="G9716" s="184"/>
      <c r="H9716" s="184"/>
      <c r="I9716" s="184"/>
      <c r="J9716" s="184"/>
      <c r="K9716" s="184"/>
      <c r="L9716" s="184"/>
      <c r="M9716" s="184"/>
      <c r="N9716" s="184"/>
      <c r="O9716" s="184"/>
    </row>
    <row r="9717" customFormat="false" ht="15" hidden="false" customHeight="true" outlineLevel="0" collapsed="false">
      <c r="A9717" s="184"/>
      <c r="B9717" s="184"/>
      <c r="C9717" s="184"/>
      <c r="D9717" s="184"/>
      <c r="E9717" s="184"/>
      <c r="F9717" s="184"/>
      <c r="G9717" s="184"/>
      <c r="H9717" s="184"/>
      <c r="I9717" s="184"/>
      <c r="J9717" s="184"/>
      <c r="K9717" s="184"/>
      <c r="L9717" s="184"/>
      <c r="M9717" s="184"/>
      <c r="N9717" s="184"/>
      <c r="O9717" s="184"/>
    </row>
    <row r="9718" customFormat="false" ht="15" hidden="false" customHeight="true" outlineLevel="0" collapsed="false">
      <c r="A9718" s="184"/>
      <c r="B9718" s="184"/>
      <c r="C9718" s="184"/>
      <c r="D9718" s="184"/>
      <c r="E9718" s="184"/>
      <c r="F9718" s="184"/>
      <c r="G9718" s="184"/>
      <c r="H9718" s="184"/>
      <c r="I9718" s="184"/>
      <c r="J9718" s="184"/>
      <c r="K9718" s="184"/>
      <c r="L9718" s="184"/>
      <c r="M9718" s="184"/>
      <c r="N9718" s="184"/>
      <c r="O9718" s="184"/>
    </row>
    <row r="9719" customFormat="false" ht="15" hidden="false" customHeight="true" outlineLevel="0" collapsed="false">
      <c r="A9719" s="184"/>
      <c r="B9719" s="184"/>
      <c r="C9719" s="184"/>
      <c r="D9719" s="184"/>
      <c r="E9719" s="184"/>
      <c r="F9719" s="184"/>
      <c r="G9719" s="184"/>
      <c r="H9719" s="184"/>
      <c r="I9719" s="184"/>
      <c r="J9719" s="184"/>
      <c r="K9719" s="184"/>
      <c r="L9719" s="184"/>
      <c r="M9719" s="184"/>
      <c r="N9719" s="184"/>
      <c r="O9719" s="184"/>
    </row>
    <row r="9720" customFormat="false" ht="15" hidden="false" customHeight="true" outlineLevel="0" collapsed="false">
      <c r="A9720" s="184"/>
      <c r="B9720" s="184"/>
      <c r="C9720" s="184"/>
      <c r="D9720" s="184"/>
      <c r="E9720" s="184"/>
      <c r="F9720" s="184"/>
      <c r="G9720" s="184"/>
      <c r="H9720" s="184"/>
      <c r="I9720" s="184"/>
      <c r="J9720" s="184"/>
      <c r="K9720" s="184"/>
      <c r="L9720" s="184"/>
      <c r="M9720" s="184"/>
      <c r="N9720" s="184"/>
      <c r="O9720" s="184"/>
    </row>
    <row r="9721" customFormat="false" ht="15" hidden="false" customHeight="true" outlineLevel="0" collapsed="false">
      <c r="A9721" s="184"/>
      <c r="B9721" s="184"/>
      <c r="C9721" s="184"/>
      <c r="D9721" s="184"/>
      <c r="E9721" s="184"/>
      <c r="F9721" s="184"/>
      <c r="G9721" s="184"/>
      <c r="H9721" s="184"/>
      <c r="I9721" s="184"/>
      <c r="J9721" s="184"/>
      <c r="K9721" s="184"/>
      <c r="L9721" s="184"/>
      <c r="M9721" s="184"/>
      <c r="N9721" s="184"/>
      <c r="O9721" s="184"/>
    </row>
    <row r="9722" customFormat="false" ht="15" hidden="false" customHeight="true" outlineLevel="0" collapsed="false">
      <c r="A9722" s="184"/>
      <c r="B9722" s="184"/>
      <c r="C9722" s="184"/>
      <c r="D9722" s="184"/>
      <c r="E9722" s="184"/>
      <c r="F9722" s="184"/>
      <c r="G9722" s="184"/>
      <c r="H9722" s="184"/>
      <c r="I9722" s="184"/>
      <c r="J9722" s="184"/>
      <c r="K9722" s="184"/>
      <c r="L9722" s="184"/>
      <c r="M9722" s="184"/>
      <c r="N9722" s="184"/>
      <c r="O9722" s="184"/>
    </row>
    <row r="9723" customFormat="false" ht="15" hidden="false" customHeight="true" outlineLevel="0" collapsed="false">
      <c r="A9723" s="184"/>
      <c r="B9723" s="184"/>
      <c r="C9723" s="184"/>
      <c r="D9723" s="184"/>
      <c r="E9723" s="184"/>
      <c r="F9723" s="184"/>
      <c r="G9723" s="184"/>
      <c r="H9723" s="184"/>
      <c r="I9723" s="184"/>
      <c r="J9723" s="184"/>
      <c r="K9723" s="184"/>
      <c r="L9723" s="184"/>
      <c r="M9723" s="184"/>
      <c r="N9723" s="184"/>
      <c r="O9723" s="184"/>
    </row>
    <row r="9724" customFormat="false" ht="15" hidden="false" customHeight="true" outlineLevel="0" collapsed="false">
      <c r="A9724" s="184"/>
      <c r="B9724" s="184"/>
      <c r="C9724" s="184"/>
      <c r="D9724" s="184"/>
      <c r="E9724" s="184"/>
      <c r="F9724" s="184"/>
      <c r="G9724" s="184"/>
      <c r="H9724" s="184"/>
      <c r="I9724" s="184"/>
      <c r="J9724" s="184"/>
      <c r="K9724" s="184"/>
      <c r="L9724" s="184"/>
      <c r="M9724" s="184"/>
      <c r="N9724" s="184"/>
      <c r="O9724" s="184"/>
    </row>
    <row r="9725" customFormat="false" ht="15" hidden="false" customHeight="true" outlineLevel="0" collapsed="false">
      <c r="A9725" s="184"/>
      <c r="B9725" s="184"/>
      <c r="C9725" s="184"/>
      <c r="D9725" s="184"/>
      <c r="E9725" s="184"/>
      <c r="F9725" s="184"/>
      <c r="G9725" s="184"/>
      <c r="H9725" s="184"/>
      <c r="I9725" s="184"/>
      <c r="J9725" s="184"/>
      <c r="K9725" s="184"/>
      <c r="L9725" s="184"/>
      <c r="M9725" s="184"/>
      <c r="N9725" s="184"/>
      <c r="O9725" s="184"/>
    </row>
    <row r="9726" customFormat="false" ht="15" hidden="false" customHeight="true" outlineLevel="0" collapsed="false">
      <c r="A9726" s="184"/>
      <c r="B9726" s="184"/>
      <c r="C9726" s="184"/>
      <c r="D9726" s="184"/>
      <c r="E9726" s="184"/>
      <c r="F9726" s="184"/>
      <c r="G9726" s="184"/>
      <c r="H9726" s="184"/>
      <c r="I9726" s="184"/>
      <c r="J9726" s="184"/>
      <c r="K9726" s="184"/>
      <c r="L9726" s="184"/>
      <c r="M9726" s="184"/>
      <c r="N9726" s="184"/>
      <c r="O9726" s="184"/>
    </row>
    <row r="9727" customFormat="false" ht="15" hidden="false" customHeight="true" outlineLevel="0" collapsed="false">
      <c r="A9727" s="184"/>
      <c r="B9727" s="184"/>
      <c r="C9727" s="184"/>
      <c r="D9727" s="184"/>
      <c r="E9727" s="184"/>
      <c r="F9727" s="184"/>
      <c r="G9727" s="184"/>
      <c r="H9727" s="184"/>
      <c r="I9727" s="184"/>
      <c r="J9727" s="184"/>
      <c r="K9727" s="184"/>
      <c r="L9727" s="184"/>
      <c r="M9727" s="184"/>
      <c r="N9727" s="184"/>
      <c r="O9727" s="184"/>
    </row>
    <row r="9728" customFormat="false" ht="15" hidden="false" customHeight="true" outlineLevel="0" collapsed="false">
      <c r="A9728" s="184"/>
      <c r="B9728" s="184"/>
      <c r="C9728" s="184"/>
      <c r="D9728" s="184"/>
      <c r="E9728" s="184"/>
      <c r="F9728" s="184"/>
      <c r="G9728" s="184"/>
      <c r="H9728" s="184"/>
      <c r="I9728" s="184"/>
      <c r="J9728" s="184"/>
      <c r="K9728" s="184"/>
      <c r="L9728" s="184"/>
      <c r="M9728" s="184"/>
      <c r="N9728" s="184"/>
      <c r="O9728" s="184"/>
    </row>
    <row r="9729" customFormat="false" ht="15" hidden="false" customHeight="true" outlineLevel="0" collapsed="false">
      <c r="A9729" s="184"/>
      <c r="B9729" s="184"/>
      <c r="C9729" s="184"/>
      <c r="D9729" s="184"/>
      <c r="E9729" s="184"/>
      <c r="F9729" s="184"/>
      <c r="G9729" s="184"/>
      <c r="H9729" s="184"/>
      <c r="I9729" s="184"/>
      <c r="J9729" s="184"/>
      <c r="K9729" s="184"/>
      <c r="L9729" s="184"/>
      <c r="M9729" s="184"/>
      <c r="N9729" s="184"/>
      <c r="O9729" s="184"/>
    </row>
    <row r="9730" customFormat="false" ht="15" hidden="false" customHeight="true" outlineLevel="0" collapsed="false">
      <c r="A9730" s="184"/>
      <c r="B9730" s="184"/>
      <c r="C9730" s="184"/>
      <c r="D9730" s="184"/>
      <c r="E9730" s="184"/>
      <c r="F9730" s="184"/>
      <c r="G9730" s="184"/>
      <c r="H9730" s="184"/>
      <c r="I9730" s="184"/>
      <c r="J9730" s="184"/>
      <c r="K9730" s="184"/>
      <c r="L9730" s="184"/>
      <c r="M9730" s="184"/>
      <c r="N9730" s="184"/>
      <c r="O9730" s="184"/>
    </row>
    <row r="9731" customFormat="false" ht="15" hidden="false" customHeight="true" outlineLevel="0" collapsed="false">
      <c r="A9731" s="184"/>
      <c r="B9731" s="184"/>
      <c r="C9731" s="184"/>
      <c r="D9731" s="184"/>
      <c r="E9731" s="184"/>
      <c r="F9731" s="184"/>
      <c r="G9731" s="184"/>
      <c r="H9731" s="184"/>
      <c r="I9731" s="184"/>
      <c r="J9731" s="184"/>
      <c r="K9731" s="184"/>
      <c r="L9731" s="184"/>
      <c r="M9731" s="184"/>
      <c r="N9731" s="184"/>
      <c r="O9731" s="184"/>
    </row>
    <row r="9732" customFormat="false" ht="15" hidden="false" customHeight="true" outlineLevel="0" collapsed="false">
      <c r="A9732" s="184"/>
      <c r="B9732" s="184"/>
      <c r="C9732" s="184"/>
      <c r="D9732" s="184"/>
      <c r="E9732" s="184"/>
      <c r="F9732" s="184"/>
      <c r="G9732" s="184"/>
      <c r="H9732" s="184"/>
      <c r="I9732" s="184"/>
      <c r="J9732" s="184"/>
      <c r="K9732" s="184"/>
      <c r="L9732" s="184"/>
      <c r="M9732" s="184"/>
      <c r="N9732" s="184"/>
      <c r="O9732" s="184"/>
    </row>
    <row r="9733" customFormat="false" ht="15" hidden="false" customHeight="true" outlineLevel="0" collapsed="false">
      <c r="A9733" s="184"/>
      <c r="B9733" s="184"/>
      <c r="C9733" s="184"/>
      <c r="D9733" s="184"/>
      <c r="E9733" s="184"/>
      <c r="F9733" s="184"/>
      <c r="G9733" s="184"/>
      <c r="H9733" s="184"/>
      <c r="I9733" s="184"/>
      <c r="J9733" s="184"/>
      <c r="K9733" s="184"/>
      <c r="L9733" s="184"/>
      <c r="M9733" s="184"/>
      <c r="N9733" s="184"/>
      <c r="O9733" s="184"/>
    </row>
    <row r="9734" customFormat="false" ht="15" hidden="false" customHeight="true" outlineLevel="0" collapsed="false">
      <c r="A9734" s="184"/>
      <c r="B9734" s="184"/>
      <c r="C9734" s="184"/>
      <c r="D9734" s="184"/>
      <c r="E9734" s="184"/>
      <c r="F9734" s="184"/>
      <c r="G9734" s="184"/>
      <c r="H9734" s="184"/>
      <c r="I9734" s="184"/>
      <c r="J9734" s="184"/>
      <c r="K9734" s="184"/>
      <c r="L9734" s="184"/>
      <c r="M9734" s="184"/>
      <c r="N9734" s="184"/>
      <c r="O9734" s="184"/>
    </row>
    <row r="9735" customFormat="false" ht="15" hidden="false" customHeight="true" outlineLevel="0" collapsed="false">
      <c r="A9735" s="184"/>
      <c r="B9735" s="184"/>
      <c r="C9735" s="184"/>
      <c r="D9735" s="184"/>
      <c r="E9735" s="184"/>
      <c r="F9735" s="184"/>
      <c r="G9735" s="184"/>
      <c r="H9735" s="184"/>
      <c r="I9735" s="184"/>
      <c r="J9735" s="184"/>
      <c r="K9735" s="184"/>
      <c r="L9735" s="184"/>
      <c r="M9735" s="184"/>
      <c r="N9735" s="184"/>
      <c r="O9735" s="184"/>
    </row>
    <row r="9736" customFormat="false" ht="15" hidden="false" customHeight="true" outlineLevel="0" collapsed="false">
      <c r="A9736" s="184"/>
      <c r="B9736" s="184"/>
      <c r="C9736" s="184"/>
      <c r="D9736" s="184"/>
      <c r="E9736" s="184"/>
      <c r="F9736" s="184"/>
      <c r="G9736" s="184"/>
      <c r="H9736" s="184"/>
      <c r="I9736" s="184"/>
      <c r="J9736" s="184"/>
      <c r="K9736" s="184"/>
      <c r="L9736" s="184"/>
      <c r="M9736" s="184"/>
      <c r="N9736" s="184"/>
      <c r="O9736" s="184"/>
    </row>
    <row r="9737" customFormat="false" ht="15" hidden="false" customHeight="true" outlineLevel="0" collapsed="false">
      <c r="A9737" s="184"/>
      <c r="B9737" s="184"/>
      <c r="C9737" s="184"/>
      <c r="D9737" s="184"/>
      <c r="E9737" s="184"/>
      <c r="F9737" s="184"/>
      <c r="G9737" s="184"/>
      <c r="H9737" s="184"/>
      <c r="I9737" s="184"/>
      <c r="J9737" s="184"/>
      <c r="K9737" s="184"/>
      <c r="L9737" s="184"/>
      <c r="M9737" s="184"/>
      <c r="N9737" s="184"/>
      <c r="O9737" s="184"/>
    </row>
    <row r="9738" customFormat="false" ht="15" hidden="false" customHeight="true" outlineLevel="0" collapsed="false">
      <c r="A9738" s="184"/>
      <c r="B9738" s="184"/>
      <c r="C9738" s="184"/>
      <c r="D9738" s="184"/>
      <c r="E9738" s="184"/>
      <c r="F9738" s="184"/>
      <c r="G9738" s="184"/>
      <c r="H9738" s="184"/>
      <c r="I9738" s="184"/>
      <c r="J9738" s="184"/>
      <c r="K9738" s="184"/>
      <c r="L9738" s="184"/>
      <c r="M9738" s="184"/>
      <c r="N9738" s="184"/>
      <c r="O9738" s="184"/>
    </row>
    <row r="9739" customFormat="false" ht="15" hidden="false" customHeight="true" outlineLevel="0" collapsed="false">
      <c r="A9739" s="184"/>
      <c r="B9739" s="184"/>
      <c r="C9739" s="184"/>
      <c r="D9739" s="184"/>
      <c r="E9739" s="184"/>
      <c r="F9739" s="184"/>
      <c r="G9739" s="184"/>
      <c r="H9739" s="184"/>
      <c r="I9739" s="184"/>
      <c r="J9739" s="184"/>
      <c r="K9739" s="184"/>
      <c r="L9739" s="184"/>
      <c r="M9739" s="184"/>
      <c r="N9739" s="184"/>
      <c r="O9739" s="184"/>
    </row>
    <row r="9740" customFormat="false" ht="15" hidden="false" customHeight="true" outlineLevel="0" collapsed="false">
      <c r="A9740" s="184"/>
      <c r="B9740" s="184"/>
      <c r="C9740" s="184"/>
      <c r="D9740" s="184"/>
      <c r="E9740" s="184"/>
      <c r="F9740" s="184"/>
      <c r="G9740" s="184"/>
      <c r="H9740" s="184"/>
      <c r="I9740" s="184"/>
      <c r="J9740" s="184"/>
      <c r="K9740" s="184"/>
      <c r="L9740" s="184"/>
      <c r="M9740" s="184"/>
      <c r="N9740" s="184"/>
      <c r="O9740" s="184"/>
    </row>
    <row r="9741" customFormat="false" ht="15" hidden="false" customHeight="true" outlineLevel="0" collapsed="false">
      <c r="A9741" s="184"/>
      <c r="B9741" s="184"/>
      <c r="C9741" s="184"/>
      <c r="D9741" s="184"/>
      <c r="E9741" s="184"/>
      <c r="F9741" s="184"/>
      <c r="G9741" s="184"/>
      <c r="H9741" s="184"/>
      <c r="I9741" s="184"/>
      <c r="J9741" s="184"/>
      <c r="K9741" s="184"/>
      <c r="L9741" s="184"/>
      <c r="M9741" s="184"/>
      <c r="N9741" s="184"/>
      <c r="O9741" s="184"/>
    </row>
    <row r="9742" customFormat="false" ht="15" hidden="false" customHeight="true" outlineLevel="0" collapsed="false">
      <c r="A9742" s="184"/>
      <c r="B9742" s="184"/>
      <c r="C9742" s="184"/>
      <c r="D9742" s="184"/>
      <c r="E9742" s="184"/>
      <c r="F9742" s="184"/>
      <c r="G9742" s="184"/>
      <c r="H9742" s="184"/>
      <c r="I9742" s="184"/>
      <c r="J9742" s="184"/>
      <c r="K9742" s="184"/>
      <c r="L9742" s="184"/>
      <c r="M9742" s="184"/>
      <c r="N9742" s="184"/>
      <c r="O9742" s="184"/>
    </row>
    <row r="9743" customFormat="false" ht="15" hidden="false" customHeight="true" outlineLevel="0" collapsed="false">
      <c r="A9743" s="184"/>
      <c r="B9743" s="184"/>
      <c r="C9743" s="184"/>
      <c r="D9743" s="184"/>
      <c r="E9743" s="184"/>
      <c r="F9743" s="184"/>
      <c r="G9743" s="184"/>
      <c r="H9743" s="184"/>
      <c r="I9743" s="184"/>
      <c r="J9743" s="184"/>
      <c r="K9743" s="184"/>
      <c r="L9743" s="184"/>
      <c r="M9743" s="184"/>
      <c r="N9743" s="184"/>
      <c r="O9743" s="184"/>
    </row>
    <row r="9744" customFormat="false" ht="15" hidden="false" customHeight="true" outlineLevel="0" collapsed="false">
      <c r="A9744" s="184"/>
      <c r="B9744" s="184"/>
      <c r="C9744" s="184"/>
      <c r="D9744" s="184"/>
      <c r="E9744" s="184"/>
      <c r="F9744" s="184"/>
      <c r="G9744" s="184"/>
      <c r="H9744" s="184"/>
      <c r="I9744" s="184"/>
      <c r="J9744" s="184"/>
      <c r="K9744" s="184"/>
      <c r="L9744" s="184"/>
      <c r="M9744" s="184"/>
      <c r="N9744" s="184"/>
      <c r="O9744" s="184"/>
    </row>
    <row r="9745" customFormat="false" ht="15" hidden="false" customHeight="true" outlineLevel="0" collapsed="false">
      <c r="A9745" s="184"/>
      <c r="B9745" s="184"/>
      <c r="C9745" s="184"/>
      <c r="D9745" s="184"/>
      <c r="E9745" s="184"/>
      <c r="F9745" s="184"/>
      <c r="G9745" s="184"/>
      <c r="H9745" s="184"/>
      <c r="I9745" s="184"/>
      <c r="J9745" s="184"/>
      <c r="K9745" s="184"/>
      <c r="L9745" s="184"/>
      <c r="M9745" s="184"/>
      <c r="N9745" s="184"/>
      <c r="O9745" s="184"/>
    </row>
    <row r="9746" customFormat="false" ht="15" hidden="false" customHeight="true" outlineLevel="0" collapsed="false">
      <c r="A9746" s="184"/>
      <c r="B9746" s="184"/>
      <c r="C9746" s="184"/>
      <c r="D9746" s="184"/>
      <c r="E9746" s="184"/>
      <c r="F9746" s="184"/>
      <c r="G9746" s="184"/>
      <c r="H9746" s="184"/>
      <c r="I9746" s="184"/>
      <c r="J9746" s="184"/>
      <c r="K9746" s="184"/>
      <c r="L9746" s="184"/>
      <c r="M9746" s="184"/>
      <c r="N9746" s="184"/>
      <c r="O9746" s="184"/>
    </row>
    <row r="9747" customFormat="false" ht="15" hidden="false" customHeight="true" outlineLevel="0" collapsed="false">
      <c r="A9747" s="184"/>
      <c r="B9747" s="184"/>
      <c r="C9747" s="184"/>
      <c r="D9747" s="184"/>
      <c r="E9747" s="184"/>
      <c r="F9747" s="184"/>
      <c r="G9747" s="184"/>
      <c r="H9747" s="184"/>
      <c r="I9747" s="184"/>
      <c r="J9747" s="184"/>
      <c r="K9747" s="184"/>
      <c r="L9747" s="184"/>
      <c r="M9747" s="184"/>
      <c r="N9747" s="184"/>
      <c r="O9747" s="184"/>
    </row>
    <row r="9748" customFormat="false" ht="15" hidden="false" customHeight="true" outlineLevel="0" collapsed="false">
      <c r="A9748" s="184"/>
      <c r="B9748" s="184"/>
      <c r="C9748" s="184"/>
      <c r="D9748" s="184"/>
      <c r="E9748" s="184"/>
      <c r="F9748" s="184"/>
      <c r="G9748" s="184"/>
      <c r="H9748" s="184"/>
      <c r="I9748" s="184"/>
      <c r="J9748" s="184"/>
      <c r="K9748" s="184"/>
      <c r="L9748" s="184"/>
      <c r="M9748" s="184"/>
      <c r="N9748" s="184"/>
      <c r="O9748" s="184"/>
    </row>
    <row r="9749" customFormat="false" ht="15" hidden="false" customHeight="true" outlineLevel="0" collapsed="false">
      <c r="A9749" s="184"/>
      <c r="B9749" s="184"/>
      <c r="C9749" s="184"/>
      <c r="D9749" s="184"/>
      <c r="E9749" s="184"/>
      <c r="F9749" s="184"/>
      <c r="G9749" s="184"/>
      <c r="H9749" s="184"/>
      <c r="I9749" s="184"/>
      <c r="J9749" s="184"/>
      <c r="K9749" s="184"/>
      <c r="L9749" s="184"/>
      <c r="M9749" s="184"/>
      <c r="N9749" s="184"/>
      <c r="O9749" s="184"/>
    </row>
    <row r="9750" customFormat="false" ht="15" hidden="false" customHeight="true" outlineLevel="0" collapsed="false">
      <c r="A9750" s="184"/>
      <c r="B9750" s="184"/>
      <c r="C9750" s="184"/>
      <c r="D9750" s="184"/>
      <c r="E9750" s="184"/>
      <c r="F9750" s="184"/>
      <c r="G9750" s="184"/>
      <c r="H9750" s="184"/>
      <c r="I9750" s="184"/>
      <c r="J9750" s="184"/>
      <c r="K9750" s="184"/>
      <c r="L9750" s="184"/>
      <c r="M9750" s="184"/>
      <c r="N9750" s="184"/>
      <c r="O9750" s="184"/>
    </row>
    <row r="9751" customFormat="false" ht="15" hidden="false" customHeight="true" outlineLevel="0" collapsed="false">
      <c r="A9751" s="184"/>
      <c r="B9751" s="184"/>
      <c r="C9751" s="184"/>
      <c r="D9751" s="184"/>
      <c r="E9751" s="184"/>
      <c r="F9751" s="184"/>
      <c r="G9751" s="184"/>
      <c r="H9751" s="184"/>
      <c r="I9751" s="184"/>
      <c r="J9751" s="184"/>
      <c r="K9751" s="184"/>
      <c r="L9751" s="184"/>
      <c r="M9751" s="184"/>
      <c r="N9751" s="184"/>
      <c r="O9751" s="184"/>
    </row>
    <row r="9752" customFormat="false" ht="15" hidden="false" customHeight="true" outlineLevel="0" collapsed="false">
      <c r="A9752" s="184"/>
      <c r="B9752" s="184"/>
      <c r="C9752" s="184"/>
      <c r="D9752" s="184"/>
      <c r="E9752" s="184"/>
      <c r="F9752" s="184"/>
      <c r="G9752" s="184"/>
      <c r="H9752" s="184"/>
      <c r="I9752" s="184"/>
      <c r="J9752" s="184"/>
      <c r="K9752" s="184"/>
      <c r="L9752" s="184"/>
      <c r="M9752" s="184"/>
      <c r="N9752" s="184"/>
      <c r="O9752" s="184"/>
    </row>
    <row r="9753" customFormat="false" ht="15" hidden="false" customHeight="true" outlineLevel="0" collapsed="false">
      <c r="A9753" s="184"/>
      <c r="B9753" s="184"/>
      <c r="C9753" s="184"/>
      <c r="D9753" s="184"/>
      <c r="E9753" s="184"/>
      <c r="F9753" s="184"/>
      <c r="G9753" s="184"/>
      <c r="H9753" s="184"/>
      <c r="I9753" s="184"/>
      <c r="J9753" s="184"/>
      <c r="K9753" s="184"/>
      <c r="L9753" s="184"/>
      <c r="M9753" s="184"/>
      <c r="N9753" s="184"/>
      <c r="O9753" s="184"/>
    </row>
    <row r="9754" customFormat="false" ht="15" hidden="false" customHeight="true" outlineLevel="0" collapsed="false">
      <c r="A9754" s="184"/>
      <c r="B9754" s="184"/>
      <c r="C9754" s="184"/>
      <c r="D9754" s="184"/>
      <c r="E9754" s="184"/>
      <c r="F9754" s="184"/>
      <c r="G9754" s="184"/>
      <c r="H9754" s="184"/>
      <c r="I9754" s="184"/>
      <c r="J9754" s="184"/>
      <c r="K9754" s="184"/>
      <c r="L9754" s="184"/>
      <c r="M9754" s="184"/>
      <c r="N9754" s="184"/>
      <c r="O9754" s="184"/>
    </row>
    <row r="9755" customFormat="false" ht="15" hidden="false" customHeight="true" outlineLevel="0" collapsed="false">
      <c r="A9755" s="184"/>
      <c r="B9755" s="184"/>
      <c r="C9755" s="184"/>
      <c r="D9755" s="184"/>
      <c r="E9755" s="184"/>
      <c r="F9755" s="184"/>
      <c r="G9755" s="184"/>
      <c r="H9755" s="184"/>
      <c r="I9755" s="184"/>
      <c r="J9755" s="184"/>
      <c r="K9755" s="184"/>
      <c r="L9755" s="184"/>
      <c r="M9755" s="184"/>
      <c r="N9755" s="184"/>
      <c r="O9755" s="184"/>
    </row>
    <row r="9756" customFormat="false" ht="15" hidden="false" customHeight="true" outlineLevel="0" collapsed="false">
      <c r="A9756" s="184"/>
      <c r="B9756" s="184"/>
      <c r="C9756" s="184"/>
      <c r="D9756" s="184"/>
      <c r="E9756" s="184"/>
      <c r="F9756" s="184"/>
      <c r="G9756" s="184"/>
      <c r="H9756" s="184"/>
      <c r="I9756" s="184"/>
      <c r="J9756" s="184"/>
      <c r="K9756" s="184"/>
      <c r="L9756" s="184"/>
      <c r="M9756" s="184"/>
      <c r="N9756" s="184"/>
      <c r="O9756" s="184"/>
    </row>
    <row r="9757" customFormat="false" ht="15" hidden="false" customHeight="true" outlineLevel="0" collapsed="false">
      <c r="A9757" s="184"/>
      <c r="B9757" s="184"/>
      <c r="C9757" s="184"/>
      <c r="D9757" s="184"/>
      <c r="E9757" s="184"/>
      <c r="F9757" s="184"/>
      <c r="G9757" s="184"/>
      <c r="H9757" s="184"/>
      <c r="I9757" s="184"/>
      <c r="J9757" s="184"/>
      <c r="K9757" s="184"/>
      <c r="L9757" s="184"/>
      <c r="M9757" s="184"/>
      <c r="N9757" s="184"/>
      <c r="O9757" s="184"/>
    </row>
    <row r="9758" customFormat="false" ht="15" hidden="false" customHeight="true" outlineLevel="0" collapsed="false">
      <c r="A9758" s="184"/>
      <c r="B9758" s="184"/>
      <c r="C9758" s="184"/>
      <c r="D9758" s="184"/>
      <c r="E9758" s="184"/>
      <c r="F9758" s="184"/>
      <c r="G9758" s="184"/>
      <c r="H9758" s="184"/>
      <c r="I9758" s="184"/>
      <c r="J9758" s="184"/>
      <c r="K9758" s="184"/>
      <c r="L9758" s="184"/>
      <c r="M9758" s="184"/>
      <c r="N9758" s="184"/>
      <c r="O9758" s="184"/>
    </row>
    <row r="9759" customFormat="false" ht="15" hidden="false" customHeight="true" outlineLevel="0" collapsed="false">
      <c r="A9759" s="184"/>
      <c r="B9759" s="184"/>
      <c r="C9759" s="184"/>
      <c r="D9759" s="184"/>
      <c r="E9759" s="184"/>
      <c r="F9759" s="184"/>
      <c r="G9759" s="184"/>
      <c r="H9759" s="184"/>
      <c r="I9759" s="184"/>
      <c r="J9759" s="184"/>
      <c r="K9759" s="184"/>
      <c r="L9759" s="184"/>
      <c r="M9759" s="184"/>
      <c r="N9759" s="184"/>
      <c r="O9759" s="184"/>
    </row>
    <row r="9760" customFormat="false" ht="15" hidden="false" customHeight="true" outlineLevel="0" collapsed="false">
      <c r="A9760" s="184"/>
      <c r="B9760" s="184"/>
      <c r="C9760" s="184"/>
      <c r="D9760" s="184"/>
      <c r="E9760" s="184"/>
      <c r="F9760" s="184"/>
      <c r="G9760" s="184"/>
      <c r="H9760" s="184"/>
      <c r="I9760" s="184"/>
      <c r="J9760" s="184"/>
      <c r="K9760" s="184"/>
      <c r="L9760" s="184"/>
      <c r="M9760" s="184"/>
      <c r="N9760" s="184"/>
      <c r="O9760" s="184"/>
    </row>
    <row r="9761" customFormat="false" ht="15" hidden="false" customHeight="true" outlineLevel="0" collapsed="false">
      <c r="A9761" s="184"/>
      <c r="B9761" s="184"/>
      <c r="C9761" s="184"/>
      <c r="D9761" s="184"/>
      <c r="E9761" s="184"/>
      <c r="F9761" s="184"/>
      <c r="G9761" s="184"/>
      <c r="H9761" s="184"/>
      <c r="I9761" s="184"/>
      <c r="J9761" s="184"/>
      <c r="K9761" s="184"/>
      <c r="L9761" s="184"/>
      <c r="M9761" s="184"/>
      <c r="N9761" s="184"/>
      <c r="O9761" s="184"/>
    </row>
    <row r="9762" customFormat="false" ht="15" hidden="false" customHeight="true" outlineLevel="0" collapsed="false">
      <c r="A9762" s="184"/>
      <c r="B9762" s="184"/>
      <c r="C9762" s="184"/>
      <c r="D9762" s="184"/>
      <c r="E9762" s="184"/>
      <c r="F9762" s="184"/>
      <c r="G9762" s="184"/>
      <c r="H9762" s="184"/>
      <c r="I9762" s="184"/>
      <c r="J9762" s="184"/>
      <c r="K9762" s="184"/>
      <c r="L9762" s="184"/>
      <c r="M9762" s="184"/>
      <c r="N9762" s="184"/>
      <c r="O9762" s="184"/>
    </row>
    <row r="9763" customFormat="false" ht="15" hidden="false" customHeight="true" outlineLevel="0" collapsed="false">
      <c r="A9763" s="184"/>
      <c r="B9763" s="184"/>
      <c r="C9763" s="184"/>
      <c r="D9763" s="184"/>
      <c r="E9763" s="184"/>
      <c r="F9763" s="184"/>
      <c r="G9763" s="184"/>
      <c r="H9763" s="184"/>
      <c r="I9763" s="184"/>
      <c r="J9763" s="184"/>
      <c r="K9763" s="184"/>
      <c r="L9763" s="184"/>
      <c r="M9763" s="184"/>
      <c r="N9763" s="184"/>
      <c r="O9763" s="184"/>
    </row>
    <row r="9764" customFormat="false" ht="15" hidden="false" customHeight="true" outlineLevel="0" collapsed="false">
      <c r="A9764" s="184"/>
      <c r="B9764" s="184"/>
      <c r="C9764" s="184"/>
      <c r="D9764" s="184"/>
      <c r="E9764" s="184"/>
      <c r="F9764" s="184"/>
      <c r="G9764" s="184"/>
      <c r="H9764" s="184"/>
      <c r="I9764" s="184"/>
      <c r="J9764" s="184"/>
      <c r="K9764" s="184"/>
      <c r="L9764" s="184"/>
      <c r="M9764" s="184"/>
      <c r="N9764" s="184"/>
      <c r="O9764" s="184"/>
    </row>
    <row r="9765" customFormat="false" ht="15" hidden="false" customHeight="true" outlineLevel="0" collapsed="false">
      <c r="A9765" s="184"/>
      <c r="B9765" s="184"/>
      <c r="C9765" s="184"/>
      <c r="D9765" s="184"/>
      <c r="E9765" s="184"/>
      <c r="F9765" s="184"/>
      <c r="G9765" s="184"/>
      <c r="H9765" s="184"/>
      <c r="I9765" s="184"/>
      <c r="J9765" s="184"/>
      <c r="K9765" s="184"/>
      <c r="L9765" s="184"/>
      <c r="M9765" s="184"/>
      <c r="N9765" s="184"/>
      <c r="O9765" s="184"/>
    </row>
    <row r="9766" customFormat="false" ht="15" hidden="false" customHeight="true" outlineLevel="0" collapsed="false">
      <c r="A9766" s="184"/>
      <c r="B9766" s="184"/>
      <c r="C9766" s="184"/>
      <c r="D9766" s="184"/>
      <c r="E9766" s="184"/>
      <c r="F9766" s="184"/>
      <c r="G9766" s="184"/>
      <c r="H9766" s="184"/>
      <c r="I9766" s="184"/>
      <c r="J9766" s="184"/>
      <c r="K9766" s="184"/>
      <c r="L9766" s="184"/>
      <c r="M9766" s="184"/>
      <c r="N9766" s="184"/>
      <c r="O9766" s="184"/>
    </row>
    <row r="9767" customFormat="false" ht="15" hidden="false" customHeight="true" outlineLevel="0" collapsed="false">
      <c r="A9767" s="184"/>
      <c r="B9767" s="184"/>
      <c r="C9767" s="184"/>
      <c r="D9767" s="184"/>
      <c r="E9767" s="184"/>
      <c r="F9767" s="184"/>
      <c r="G9767" s="184"/>
      <c r="H9767" s="184"/>
      <c r="I9767" s="184"/>
      <c r="J9767" s="184"/>
      <c r="K9767" s="184"/>
      <c r="L9767" s="184"/>
      <c r="M9767" s="184"/>
      <c r="N9767" s="184"/>
      <c r="O9767" s="184"/>
    </row>
    <row r="9768" customFormat="false" ht="15" hidden="false" customHeight="true" outlineLevel="0" collapsed="false">
      <c r="A9768" s="184"/>
      <c r="B9768" s="184"/>
      <c r="C9768" s="184"/>
      <c r="D9768" s="184"/>
      <c r="E9768" s="184"/>
      <c r="F9768" s="184"/>
      <c r="G9768" s="184"/>
      <c r="H9768" s="184"/>
      <c r="I9768" s="184"/>
      <c r="J9768" s="184"/>
      <c r="K9768" s="184"/>
      <c r="L9768" s="184"/>
      <c r="M9768" s="184"/>
      <c r="N9768" s="184"/>
      <c r="O9768" s="184"/>
    </row>
    <row r="9769" customFormat="false" ht="15" hidden="false" customHeight="true" outlineLevel="0" collapsed="false">
      <c r="A9769" s="184"/>
      <c r="B9769" s="184"/>
      <c r="C9769" s="184"/>
      <c r="D9769" s="184"/>
      <c r="E9769" s="184"/>
      <c r="F9769" s="184"/>
      <c r="G9769" s="184"/>
      <c r="H9769" s="184"/>
      <c r="I9769" s="184"/>
      <c r="J9769" s="184"/>
      <c r="K9769" s="184"/>
      <c r="L9769" s="184"/>
      <c r="M9769" s="184"/>
      <c r="N9769" s="184"/>
      <c r="O9769" s="184"/>
    </row>
    <row r="9770" customFormat="false" ht="15" hidden="false" customHeight="true" outlineLevel="0" collapsed="false">
      <c r="A9770" s="184"/>
      <c r="B9770" s="184"/>
      <c r="C9770" s="184"/>
      <c r="D9770" s="184"/>
      <c r="E9770" s="184"/>
      <c r="F9770" s="184"/>
      <c r="G9770" s="184"/>
      <c r="H9770" s="184"/>
      <c r="I9770" s="184"/>
      <c r="J9770" s="184"/>
      <c r="K9770" s="184"/>
      <c r="L9770" s="184"/>
      <c r="M9770" s="184"/>
      <c r="N9770" s="184"/>
      <c r="O9770" s="184"/>
    </row>
    <row r="9771" customFormat="false" ht="15" hidden="false" customHeight="true" outlineLevel="0" collapsed="false">
      <c r="A9771" s="184"/>
      <c r="B9771" s="184"/>
      <c r="C9771" s="184"/>
      <c r="D9771" s="184"/>
      <c r="E9771" s="184"/>
      <c r="F9771" s="184"/>
      <c r="G9771" s="184"/>
      <c r="H9771" s="184"/>
      <c r="I9771" s="184"/>
      <c r="J9771" s="184"/>
      <c r="K9771" s="184"/>
      <c r="L9771" s="184"/>
      <c r="M9771" s="184"/>
      <c r="N9771" s="184"/>
      <c r="O9771" s="184"/>
    </row>
    <row r="9772" customFormat="false" ht="15" hidden="false" customHeight="true" outlineLevel="0" collapsed="false">
      <c r="A9772" s="184"/>
      <c r="B9772" s="184"/>
      <c r="C9772" s="184"/>
      <c r="D9772" s="184"/>
      <c r="E9772" s="184"/>
      <c r="F9772" s="184"/>
      <c r="G9772" s="184"/>
      <c r="H9772" s="184"/>
      <c r="I9772" s="184"/>
      <c r="J9772" s="184"/>
      <c r="K9772" s="184"/>
      <c r="L9772" s="184"/>
      <c r="M9772" s="184"/>
      <c r="N9772" s="184"/>
      <c r="O9772" s="184"/>
    </row>
    <row r="9773" customFormat="false" ht="15" hidden="false" customHeight="true" outlineLevel="0" collapsed="false">
      <c r="A9773" s="184"/>
      <c r="B9773" s="184"/>
      <c r="C9773" s="184"/>
      <c r="D9773" s="184"/>
      <c r="E9773" s="184"/>
      <c r="F9773" s="184"/>
      <c r="G9773" s="184"/>
      <c r="H9773" s="184"/>
      <c r="I9773" s="184"/>
      <c r="J9773" s="184"/>
      <c r="K9773" s="184"/>
      <c r="L9773" s="184"/>
      <c r="M9773" s="184"/>
      <c r="N9773" s="184"/>
      <c r="O9773" s="184"/>
    </row>
    <row r="9774" customFormat="false" ht="15" hidden="false" customHeight="true" outlineLevel="0" collapsed="false">
      <c r="A9774" s="184"/>
      <c r="B9774" s="184"/>
      <c r="C9774" s="184"/>
      <c r="D9774" s="184"/>
      <c r="E9774" s="184"/>
      <c r="F9774" s="184"/>
      <c r="G9774" s="184"/>
      <c r="H9774" s="184"/>
      <c r="I9774" s="184"/>
      <c r="J9774" s="184"/>
      <c r="K9774" s="184"/>
      <c r="L9774" s="184"/>
      <c r="M9774" s="184"/>
      <c r="N9774" s="184"/>
      <c r="O9774" s="184"/>
    </row>
    <row r="9775" customFormat="false" ht="15" hidden="false" customHeight="true" outlineLevel="0" collapsed="false">
      <c r="A9775" s="184"/>
      <c r="B9775" s="184"/>
      <c r="C9775" s="184"/>
      <c r="D9775" s="184"/>
      <c r="E9775" s="184"/>
      <c r="F9775" s="184"/>
      <c r="G9775" s="184"/>
      <c r="H9775" s="184"/>
      <c r="I9775" s="184"/>
      <c r="J9775" s="184"/>
      <c r="K9775" s="184"/>
      <c r="L9775" s="184"/>
      <c r="M9775" s="184"/>
      <c r="N9775" s="184"/>
      <c r="O9775" s="184"/>
    </row>
    <row r="9776" customFormat="false" ht="15" hidden="false" customHeight="true" outlineLevel="0" collapsed="false">
      <c r="A9776" s="184"/>
      <c r="B9776" s="184"/>
      <c r="C9776" s="184"/>
      <c r="D9776" s="184"/>
      <c r="E9776" s="184"/>
      <c r="F9776" s="184"/>
      <c r="G9776" s="184"/>
      <c r="H9776" s="184"/>
      <c r="I9776" s="184"/>
      <c r="J9776" s="184"/>
      <c r="K9776" s="184"/>
      <c r="L9776" s="184"/>
      <c r="M9776" s="184"/>
      <c r="N9776" s="184"/>
      <c r="O9776" s="184"/>
    </row>
    <row r="9777" customFormat="false" ht="15" hidden="false" customHeight="true" outlineLevel="0" collapsed="false">
      <c r="A9777" s="184"/>
      <c r="B9777" s="184"/>
      <c r="C9777" s="184"/>
      <c r="D9777" s="184"/>
      <c r="E9777" s="184"/>
      <c r="F9777" s="184"/>
      <c r="G9777" s="184"/>
      <c r="H9777" s="184"/>
      <c r="I9777" s="184"/>
      <c r="J9777" s="184"/>
      <c r="K9777" s="184"/>
      <c r="L9777" s="184"/>
      <c r="M9777" s="184"/>
      <c r="N9777" s="184"/>
      <c r="O9777" s="184"/>
    </row>
    <row r="9778" customFormat="false" ht="15" hidden="false" customHeight="true" outlineLevel="0" collapsed="false">
      <c r="A9778" s="184"/>
      <c r="B9778" s="184"/>
      <c r="C9778" s="184"/>
      <c r="D9778" s="184"/>
      <c r="E9778" s="184"/>
      <c r="F9778" s="184"/>
      <c r="G9778" s="184"/>
      <c r="H9778" s="184"/>
      <c r="I9778" s="184"/>
      <c r="J9778" s="184"/>
      <c r="K9778" s="184"/>
      <c r="L9778" s="184"/>
      <c r="M9778" s="184"/>
      <c r="N9778" s="184"/>
      <c r="O9778" s="184"/>
    </row>
    <row r="9779" customFormat="false" ht="15" hidden="false" customHeight="true" outlineLevel="0" collapsed="false">
      <c r="A9779" s="184"/>
      <c r="B9779" s="184"/>
      <c r="C9779" s="184"/>
      <c r="D9779" s="184"/>
      <c r="E9779" s="184"/>
      <c r="F9779" s="184"/>
      <c r="G9779" s="184"/>
      <c r="H9779" s="184"/>
      <c r="I9779" s="184"/>
      <c r="J9779" s="184"/>
      <c r="K9779" s="184"/>
      <c r="L9779" s="184"/>
      <c r="M9779" s="184"/>
      <c r="N9779" s="184"/>
      <c r="O9779" s="184"/>
    </row>
    <row r="9780" customFormat="false" ht="27.75" hidden="false" customHeight="true" outlineLevel="0" collapsed="false">
      <c r="A9780" s="184" t="s">
        <v>5056</v>
      </c>
      <c r="B9780" s="184" t="s">
        <v>5057</v>
      </c>
      <c r="C9780" s="184"/>
      <c r="D9780" s="179" t="s">
        <v>4858</v>
      </c>
      <c r="E9780" s="184" t="s">
        <v>7426</v>
      </c>
      <c r="F9780" s="184"/>
      <c r="G9780" s="184"/>
      <c r="H9780" s="184"/>
      <c r="I9780" s="184"/>
      <c r="J9780" s="184"/>
      <c r="K9780" s="184"/>
      <c r="L9780" s="184"/>
      <c r="M9780" s="184" t="s">
        <v>7427</v>
      </c>
      <c r="N9780" s="184"/>
      <c r="O9780" s="184"/>
    </row>
    <row r="9781" customFormat="false" ht="41.25" hidden="false" customHeight="true" outlineLevel="0" collapsed="false">
      <c r="A9781" s="184" t="s">
        <v>5056</v>
      </c>
      <c r="B9781" s="184" t="s">
        <v>5057</v>
      </c>
      <c r="C9781" s="184" t="n">
        <v>1</v>
      </c>
      <c r="D9781" s="177" t="s">
        <v>7010</v>
      </c>
      <c r="E9781" s="184" t="s">
        <v>7428</v>
      </c>
      <c r="F9781" s="184"/>
      <c r="G9781" s="184"/>
      <c r="H9781" s="184"/>
      <c r="I9781" s="184"/>
      <c r="J9781" s="184"/>
      <c r="K9781" s="184"/>
      <c r="L9781" s="184"/>
      <c r="M9781" s="184"/>
      <c r="N9781" s="184"/>
      <c r="O9781" s="184"/>
    </row>
    <row r="9782" customFormat="false" ht="15" hidden="false" customHeight="true" outlineLevel="0" collapsed="false">
      <c r="A9782" s="184"/>
      <c r="B9782" s="184"/>
      <c r="C9782" s="184"/>
      <c r="D9782" s="184"/>
      <c r="E9782" s="184"/>
      <c r="F9782" s="184"/>
      <c r="G9782" s="184"/>
      <c r="H9782" s="184"/>
      <c r="I9782" s="184"/>
      <c r="J9782" s="184"/>
      <c r="K9782" s="184"/>
      <c r="L9782" s="184"/>
      <c r="M9782" s="184"/>
      <c r="N9782" s="184"/>
      <c r="O9782" s="184"/>
    </row>
    <row r="9783" customFormat="false" ht="15" hidden="false" customHeight="true" outlineLevel="0" collapsed="false">
      <c r="A9783" s="184"/>
      <c r="B9783" s="184"/>
      <c r="C9783" s="184"/>
      <c r="D9783" s="184"/>
      <c r="E9783" s="184"/>
      <c r="F9783" s="184"/>
      <c r="G9783" s="184"/>
      <c r="H9783" s="184"/>
      <c r="I9783" s="184"/>
      <c r="J9783" s="184"/>
      <c r="K9783" s="184"/>
      <c r="L9783" s="184"/>
      <c r="M9783" s="184"/>
      <c r="N9783" s="184"/>
      <c r="O9783" s="184"/>
    </row>
    <row r="9784" customFormat="false" ht="15" hidden="false" customHeight="true" outlineLevel="0" collapsed="false">
      <c r="A9784" s="184"/>
      <c r="B9784" s="184"/>
      <c r="C9784" s="184"/>
      <c r="D9784" s="184"/>
      <c r="E9784" s="184"/>
      <c r="F9784" s="184"/>
      <c r="G9784" s="184"/>
      <c r="H9784" s="184"/>
      <c r="I9784" s="184"/>
      <c r="J9784" s="184"/>
      <c r="K9784" s="184"/>
      <c r="L9784" s="184"/>
      <c r="M9784" s="184"/>
      <c r="N9784" s="184"/>
      <c r="O9784" s="184"/>
    </row>
    <row r="9785" customFormat="false" ht="15" hidden="false" customHeight="true" outlineLevel="0" collapsed="false">
      <c r="A9785" s="184"/>
      <c r="B9785" s="184"/>
      <c r="C9785" s="184"/>
      <c r="D9785" s="184"/>
      <c r="E9785" s="184"/>
      <c r="F9785" s="184"/>
      <c r="G9785" s="184"/>
      <c r="H9785" s="184"/>
      <c r="I9785" s="184"/>
      <c r="J9785" s="184"/>
      <c r="K9785" s="184"/>
      <c r="L9785" s="184"/>
      <c r="M9785" s="184"/>
      <c r="N9785" s="184"/>
      <c r="O9785" s="184"/>
    </row>
    <row r="9786" customFormat="false" ht="15" hidden="false" customHeight="true" outlineLevel="0" collapsed="false">
      <c r="A9786" s="184"/>
      <c r="B9786" s="184"/>
      <c r="C9786" s="184"/>
      <c r="D9786" s="184"/>
      <c r="E9786" s="184"/>
      <c r="F9786" s="184"/>
      <c r="G9786" s="184"/>
      <c r="H9786" s="184"/>
      <c r="I9786" s="184"/>
      <c r="J9786" s="184"/>
      <c r="K9786" s="184"/>
      <c r="L9786" s="184"/>
      <c r="M9786" s="184"/>
      <c r="N9786" s="184"/>
      <c r="O9786" s="184"/>
    </row>
    <row r="9787" customFormat="false" ht="15" hidden="false" customHeight="true" outlineLevel="0" collapsed="false">
      <c r="A9787" s="184"/>
      <c r="B9787" s="184"/>
      <c r="C9787" s="184"/>
      <c r="D9787" s="184"/>
      <c r="E9787" s="184"/>
      <c r="F9787" s="184"/>
      <c r="G9787" s="184"/>
      <c r="H9787" s="184"/>
      <c r="I9787" s="184"/>
      <c r="J9787" s="184"/>
      <c r="K9787" s="184"/>
      <c r="L9787" s="184"/>
      <c r="M9787" s="184"/>
      <c r="N9787" s="184"/>
      <c r="O9787" s="184"/>
    </row>
    <row r="9788" customFormat="false" ht="15" hidden="false" customHeight="true" outlineLevel="0" collapsed="false">
      <c r="A9788" s="184"/>
      <c r="B9788" s="184"/>
      <c r="C9788" s="184"/>
      <c r="D9788" s="184"/>
      <c r="E9788" s="184"/>
      <c r="F9788" s="184"/>
      <c r="G9788" s="184"/>
      <c r="H9788" s="184"/>
      <c r="I9788" s="184"/>
      <c r="J9788" s="184"/>
      <c r="K9788" s="184"/>
      <c r="L9788" s="184"/>
      <c r="M9788" s="184"/>
      <c r="N9788" s="184"/>
      <c r="O9788" s="184"/>
    </row>
    <row r="9789" customFormat="false" ht="15" hidden="false" customHeight="true" outlineLevel="0" collapsed="false">
      <c r="A9789" s="184"/>
      <c r="B9789" s="184"/>
      <c r="C9789" s="184"/>
      <c r="D9789" s="184"/>
      <c r="E9789" s="184"/>
      <c r="F9789" s="184"/>
      <c r="G9789" s="184"/>
      <c r="H9789" s="184"/>
      <c r="I9789" s="184"/>
      <c r="J9789" s="184"/>
      <c r="K9789" s="184"/>
      <c r="L9789" s="184"/>
      <c r="M9789" s="184"/>
      <c r="N9789" s="184"/>
      <c r="O9789" s="184"/>
    </row>
    <row r="9790" customFormat="false" ht="15" hidden="false" customHeight="true" outlineLevel="0" collapsed="false">
      <c r="A9790" s="184"/>
      <c r="B9790" s="184"/>
      <c r="C9790" s="184"/>
      <c r="D9790" s="184"/>
      <c r="E9790" s="184"/>
      <c r="F9790" s="184"/>
      <c r="G9790" s="184"/>
      <c r="H9790" s="184"/>
      <c r="I9790" s="184"/>
      <c r="J9790" s="184"/>
      <c r="K9790" s="184"/>
      <c r="L9790" s="184"/>
      <c r="M9790" s="184"/>
      <c r="N9790" s="184"/>
      <c r="O9790" s="184"/>
    </row>
    <row r="9791" customFormat="false" ht="15" hidden="false" customHeight="true" outlineLevel="0" collapsed="false">
      <c r="A9791" s="184"/>
      <c r="B9791" s="184"/>
      <c r="C9791" s="184"/>
      <c r="D9791" s="184"/>
      <c r="E9791" s="184"/>
      <c r="F9791" s="184"/>
      <c r="G9791" s="184"/>
      <c r="H9791" s="184"/>
      <c r="I9791" s="184"/>
      <c r="J9791" s="184"/>
      <c r="K9791" s="184"/>
      <c r="L9791" s="184"/>
      <c r="M9791" s="184"/>
      <c r="N9791" s="184"/>
      <c r="O9791" s="184"/>
    </row>
    <row r="9792" customFormat="false" ht="15" hidden="false" customHeight="true" outlineLevel="0" collapsed="false">
      <c r="A9792" s="184"/>
      <c r="B9792" s="184"/>
      <c r="C9792" s="184"/>
      <c r="D9792" s="184"/>
      <c r="E9792" s="184"/>
      <c r="F9792" s="184"/>
      <c r="G9792" s="184"/>
      <c r="H9792" s="184"/>
      <c r="I9792" s="184"/>
      <c r="J9792" s="184"/>
      <c r="K9792" s="184"/>
      <c r="L9792" s="184"/>
      <c r="M9792" s="184"/>
      <c r="N9792" s="184"/>
      <c r="O9792" s="184"/>
    </row>
    <row r="9793" customFormat="false" ht="15" hidden="false" customHeight="true" outlineLevel="0" collapsed="false">
      <c r="A9793" s="184"/>
      <c r="B9793" s="184"/>
      <c r="C9793" s="184"/>
      <c r="D9793" s="184"/>
      <c r="E9793" s="184"/>
      <c r="F9793" s="184"/>
      <c r="G9793" s="184"/>
      <c r="H9793" s="184"/>
      <c r="I9793" s="184"/>
      <c r="J9793" s="184"/>
      <c r="K9793" s="184"/>
      <c r="L9793" s="184"/>
      <c r="M9793" s="184"/>
      <c r="N9793" s="184"/>
      <c r="O9793" s="184"/>
    </row>
    <row r="9794" customFormat="false" ht="15" hidden="false" customHeight="true" outlineLevel="0" collapsed="false">
      <c r="A9794" s="184"/>
      <c r="B9794" s="184"/>
      <c r="C9794" s="184"/>
      <c r="D9794" s="184"/>
      <c r="E9794" s="184"/>
      <c r="F9794" s="184"/>
      <c r="G9794" s="184"/>
      <c r="H9794" s="184"/>
      <c r="I9794" s="184"/>
      <c r="J9794" s="184"/>
      <c r="K9794" s="184"/>
      <c r="L9794" s="184"/>
      <c r="M9794" s="184"/>
      <c r="N9794" s="184"/>
      <c r="O9794" s="184"/>
    </row>
    <row r="9795" customFormat="false" ht="15" hidden="false" customHeight="true" outlineLevel="0" collapsed="false">
      <c r="A9795" s="184"/>
      <c r="B9795" s="184"/>
      <c r="C9795" s="184"/>
      <c r="D9795" s="184"/>
      <c r="E9795" s="184"/>
      <c r="F9795" s="184"/>
      <c r="G9795" s="184"/>
      <c r="H9795" s="184"/>
      <c r="I9795" s="184"/>
      <c r="J9795" s="184"/>
      <c r="K9795" s="184"/>
      <c r="L9795" s="184"/>
      <c r="M9795" s="184"/>
      <c r="N9795" s="184"/>
      <c r="O9795" s="184"/>
    </row>
    <row r="9796" customFormat="false" ht="15" hidden="false" customHeight="true" outlineLevel="0" collapsed="false">
      <c r="A9796" s="184"/>
      <c r="B9796" s="184"/>
      <c r="C9796" s="184"/>
      <c r="D9796" s="184"/>
      <c r="E9796" s="184"/>
      <c r="F9796" s="184"/>
      <c r="G9796" s="184"/>
      <c r="H9796" s="184"/>
      <c r="I9796" s="184"/>
      <c r="J9796" s="184"/>
      <c r="K9796" s="184"/>
      <c r="L9796" s="184"/>
      <c r="M9796" s="184"/>
      <c r="N9796" s="184"/>
      <c r="O9796" s="184"/>
    </row>
    <row r="9797" customFormat="false" ht="15" hidden="false" customHeight="true" outlineLevel="0" collapsed="false">
      <c r="A9797" s="184"/>
      <c r="B9797" s="184"/>
      <c r="C9797" s="184"/>
      <c r="D9797" s="184"/>
      <c r="E9797" s="184"/>
      <c r="F9797" s="184"/>
      <c r="G9797" s="184"/>
      <c r="H9797" s="184"/>
      <c r="I9797" s="184"/>
      <c r="J9797" s="184"/>
      <c r="K9797" s="184"/>
      <c r="L9797" s="184"/>
      <c r="M9797" s="184"/>
      <c r="N9797" s="184"/>
      <c r="O9797" s="184"/>
    </row>
    <row r="9798" customFormat="false" ht="15" hidden="false" customHeight="true" outlineLevel="0" collapsed="false">
      <c r="A9798" s="184"/>
      <c r="B9798" s="184"/>
      <c r="C9798" s="184"/>
      <c r="D9798" s="184"/>
      <c r="E9798" s="184"/>
      <c r="F9798" s="184"/>
      <c r="G9798" s="184"/>
      <c r="H9798" s="184"/>
      <c r="I9798" s="184"/>
      <c r="J9798" s="184"/>
      <c r="K9798" s="184"/>
      <c r="L9798" s="184"/>
      <c r="M9798" s="184"/>
      <c r="N9798" s="184"/>
      <c r="O9798" s="184"/>
    </row>
    <row r="9799" customFormat="false" ht="15" hidden="false" customHeight="true" outlineLevel="0" collapsed="false">
      <c r="A9799" s="184"/>
      <c r="B9799" s="184"/>
      <c r="C9799" s="184"/>
      <c r="D9799" s="184"/>
      <c r="E9799" s="184"/>
      <c r="F9799" s="184"/>
      <c r="G9799" s="184"/>
      <c r="H9799" s="184"/>
      <c r="I9799" s="184"/>
      <c r="J9799" s="184"/>
      <c r="K9799" s="184"/>
      <c r="L9799" s="184"/>
      <c r="M9799" s="184"/>
      <c r="N9799" s="184"/>
      <c r="O9799" s="184"/>
    </row>
    <row r="9800" customFormat="false" ht="15" hidden="false" customHeight="true" outlineLevel="0" collapsed="false">
      <c r="A9800" s="184"/>
      <c r="B9800" s="184"/>
      <c r="C9800" s="184"/>
      <c r="D9800" s="184"/>
      <c r="E9800" s="184"/>
      <c r="F9800" s="184"/>
      <c r="G9800" s="184"/>
      <c r="H9800" s="184"/>
      <c r="I9800" s="184"/>
      <c r="J9800" s="184"/>
      <c r="K9800" s="184"/>
      <c r="L9800" s="184"/>
      <c r="M9800" s="184"/>
      <c r="N9800" s="184"/>
      <c r="O9800" s="184"/>
    </row>
    <row r="9801" customFormat="false" ht="15" hidden="false" customHeight="true" outlineLevel="0" collapsed="false">
      <c r="A9801" s="184"/>
      <c r="B9801" s="184"/>
      <c r="C9801" s="184"/>
      <c r="D9801" s="184"/>
      <c r="E9801" s="184"/>
      <c r="F9801" s="184"/>
      <c r="G9801" s="184"/>
      <c r="H9801" s="184"/>
      <c r="I9801" s="184"/>
      <c r="J9801" s="184"/>
      <c r="K9801" s="184"/>
      <c r="L9801" s="184"/>
      <c r="M9801" s="184"/>
      <c r="N9801" s="184"/>
      <c r="O9801" s="184"/>
    </row>
    <row r="9802" customFormat="false" ht="15" hidden="false" customHeight="true" outlineLevel="0" collapsed="false">
      <c r="A9802" s="184"/>
      <c r="B9802" s="184"/>
      <c r="C9802" s="184"/>
      <c r="D9802" s="184"/>
      <c r="E9802" s="184"/>
      <c r="F9802" s="184"/>
      <c r="G9802" s="184"/>
      <c r="H9802" s="184"/>
      <c r="I9802" s="184"/>
      <c r="J9802" s="184"/>
      <c r="K9802" s="184"/>
      <c r="L9802" s="184"/>
      <c r="M9802" s="184"/>
      <c r="N9802" s="184"/>
      <c r="O9802" s="184"/>
    </row>
    <row r="9803" customFormat="false" ht="15" hidden="false" customHeight="true" outlineLevel="0" collapsed="false">
      <c r="A9803" s="184"/>
      <c r="B9803" s="184"/>
      <c r="C9803" s="184"/>
      <c r="D9803" s="184"/>
      <c r="E9803" s="184"/>
      <c r="F9803" s="184"/>
      <c r="G9803" s="184"/>
      <c r="H9803" s="184"/>
      <c r="I9803" s="184"/>
      <c r="J9803" s="184"/>
      <c r="K9803" s="184"/>
      <c r="L9803" s="184"/>
      <c r="M9803" s="184"/>
      <c r="N9803" s="184"/>
      <c r="O9803" s="184"/>
    </row>
    <row r="9804" customFormat="false" ht="15" hidden="false" customHeight="true" outlineLevel="0" collapsed="false">
      <c r="A9804" s="184"/>
      <c r="B9804" s="184"/>
      <c r="C9804" s="184"/>
      <c r="D9804" s="184"/>
      <c r="E9804" s="184"/>
      <c r="F9804" s="184"/>
      <c r="G9804" s="184"/>
      <c r="H9804" s="184"/>
      <c r="I9804" s="184"/>
      <c r="J9804" s="184"/>
      <c r="K9804" s="184"/>
      <c r="L9804" s="184"/>
      <c r="M9804" s="184"/>
      <c r="N9804" s="184"/>
      <c r="O9804" s="184"/>
    </row>
    <row r="9805" customFormat="false" ht="15" hidden="false" customHeight="true" outlineLevel="0" collapsed="false">
      <c r="A9805" s="184"/>
      <c r="B9805" s="184"/>
      <c r="C9805" s="184"/>
      <c r="D9805" s="184"/>
      <c r="E9805" s="184"/>
      <c r="F9805" s="184"/>
      <c r="G9805" s="184"/>
      <c r="H9805" s="184"/>
      <c r="I9805" s="184"/>
      <c r="J9805" s="184"/>
      <c r="K9805" s="184"/>
      <c r="L9805" s="184"/>
      <c r="M9805" s="184"/>
      <c r="N9805" s="184"/>
      <c r="O9805" s="184"/>
    </row>
    <row r="9806" customFormat="false" ht="15" hidden="false" customHeight="true" outlineLevel="0" collapsed="false">
      <c r="A9806" s="184"/>
      <c r="B9806" s="184"/>
      <c r="C9806" s="184"/>
      <c r="D9806" s="184"/>
      <c r="E9806" s="184"/>
      <c r="F9806" s="184"/>
      <c r="G9806" s="184"/>
      <c r="H9806" s="184"/>
      <c r="I9806" s="184"/>
      <c r="J9806" s="184"/>
      <c r="K9806" s="184"/>
      <c r="L9806" s="184"/>
      <c r="M9806" s="184"/>
      <c r="N9806" s="184"/>
      <c r="O9806" s="184"/>
    </row>
    <row r="9807" customFormat="false" ht="15" hidden="false" customHeight="true" outlineLevel="0" collapsed="false">
      <c r="A9807" s="184"/>
      <c r="B9807" s="184"/>
      <c r="C9807" s="184"/>
      <c r="D9807" s="184"/>
      <c r="E9807" s="184"/>
      <c r="F9807" s="184"/>
      <c r="G9807" s="184"/>
      <c r="H9807" s="184"/>
      <c r="I9807" s="184"/>
      <c r="J9807" s="184"/>
      <c r="K9807" s="184"/>
      <c r="L9807" s="184"/>
      <c r="M9807" s="184"/>
      <c r="N9807" s="184"/>
      <c r="O9807" s="184"/>
    </row>
    <row r="9808" customFormat="false" ht="15" hidden="false" customHeight="true" outlineLevel="0" collapsed="false">
      <c r="A9808" s="184"/>
      <c r="B9808" s="184"/>
      <c r="C9808" s="184"/>
      <c r="D9808" s="184"/>
      <c r="E9808" s="184"/>
      <c r="F9808" s="184"/>
      <c r="G9808" s="184"/>
      <c r="H9808" s="184"/>
      <c r="I9808" s="184"/>
      <c r="J9808" s="184"/>
      <c r="K9808" s="184"/>
      <c r="L9808" s="184"/>
      <c r="M9808" s="184"/>
      <c r="N9808" s="184"/>
      <c r="O9808" s="184"/>
    </row>
    <row r="9809" customFormat="false" ht="15" hidden="false" customHeight="true" outlineLevel="0" collapsed="false">
      <c r="A9809" s="184"/>
      <c r="B9809" s="184"/>
      <c r="C9809" s="184"/>
      <c r="D9809" s="184"/>
      <c r="E9809" s="184"/>
      <c r="F9809" s="184"/>
      <c r="G9809" s="184"/>
      <c r="H9809" s="184"/>
      <c r="I9809" s="184"/>
      <c r="J9809" s="184"/>
      <c r="K9809" s="184"/>
      <c r="L9809" s="184"/>
      <c r="M9809" s="184"/>
      <c r="N9809" s="184"/>
      <c r="O9809" s="184"/>
    </row>
    <row r="9810" customFormat="false" ht="15" hidden="false" customHeight="true" outlineLevel="0" collapsed="false">
      <c r="A9810" s="184"/>
      <c r="B9810" s="184"/>
      <c r="C9810" s="184"/>
      <c r="D9810" s="184"/>
      <c r="E9810" s="184"/>
      <c r="F9810" s="184"/>
      <c r="G9810" s="184"/>
      <c r="H9810" s="184"/>
      <c r="I9810" s="184"/>
      <c r="J9810" s="184"/>
      <c r="K9810" s="184"/>
      <c r="L9810" s="184"/>
      <c r="M9810" s="184"/>
      <c r="N9810" s="184"/>
      <c r="O9810" s="184"/>
    </row>
    <row r="9811" customFormat="false" ht="15" hidden="false" customHeight="true" outlineLevel="0" collapsed="false">
      <c r="A9811" s="184"/>
      <c r="B9811" s="184"/>
      <c r="C9811" s="184"/>
      <c r="D9811" s="184"/>
      <c r="E9811" s="184"/>
      <c r="F9811" s="184"/>
      <c r="G9811" s="184"/>
      <c r="H9811" s="184"/>
      <c r="I9811" s="184"/>
      <c r="J9811" s="184"/>
      <c r="K9811" s="184"/>
      <c r="L9811" s="184"/>
      <c r="M9811" s="184"/>
      <c r="N9811" s="184"/>
      <c r="O9811" s="184"/>
    </row>
    <row r="9812" customFormat="false" ht="15" hidden="false" customHeight="true" outlineLevel="0" collapsed="false">
      <c r="A9812" s="184"/>
      <c r="B9812" s="184"/>
      <c r="C9812" s="184"/>
      <c r="D9812" s="184"/>
      <c r="E9812" s="184"/>
      <c r="F9812" s="184"/>
      <c r="G9812" s="184"/>
      <c r="H9812" s="184"/>
      <c r="I9812" s="184"/>
      <c r="J9812" s="184"/>
      <c r="K9812" s="184"/>
      <c r="L9812" s="184"/>
      <c r="M9812" s="184"/>
      <c r="N9812" s="184"/>
      <c r="O9812" s="184"/>
    </row>
    <row r="9813" customFormat="false" ht="15" hidden="false" customHeight="true" outlineLevel="0" collapsed="false">
      <c r="A9813" s="184"/>
      <c r="B9813" s="184"/>
      <c r="C9813" s="184"/>
      <c r="D9813" s="184"/>
      <c r="E9813" s="184"/>
      <c r="F9813" s="184"/>
      <c r="G9813" s="184"/>
      <c r="H9813" s="184"/>
      <c r="I9813" s="184"/>
      <c r="J9813" s="184"/>
      <c r="K9813" s="184"/>
      <c r="L9813" s="184"/>
      <c r="M9813" s="184"/>
      <c r="N9813" s="184"/>
      <c r="O9813" s="184"/>
    </row>
    <row r="9814" customFormat="false" ht="15" hidden="false" customHeight="true" outlineLevel="0" collapsed="false">
      <c r="A9814" s="184"/>
      <c r="B9814" s="184"/>
      <c r="C9814" s="184"/>
      <c r="D9814" s="184"/>
      <c r="E9814" s="184"/>
      <c r="F9814" s="184"/>
      <c r="G9814" s="184"/>
      <c r="H9814" s="184"/>
      <c r="I9814" s="184"/>
      <c r="J9814" s="184"/>
      <c r="K9814" s="184"/>
      <c r="L9814" s="184"/>
      <c r="M9814" s="184"/>
      <c r="N9814" s="184"/>
      <c r="O9814" s="184"/>
    </row>
    <row r="9815" customFormat="false" ht="15" hidden="false" customHeight="true" outlineLevel="0" collapsed="false">
      <c r="A9815" s="184"/>
      <c r="B9815" s="184"/>
      <c r="C9815" s="184"/>
      <c r="D9815" s="184"/>
      <c r="E9815" s="184"/>
      <c r="F9815" s="184"/>
      <c r="G9815" s="184"/>
      <c r="H9815" s="184"/>
      <c r="I9815" s="184"/>
      <c r="J9815" s="184"/>
      <c r="K9815" s="184"/>
      <c r="L9815" s="184"/>
      <c r="M9815" s="184"/>
      <c r="N9815" s="184"/>
      <c r="O9815" s="184"/>
    </row>
    <row r="9816" customFormat="false" ht="15" hidden="false" customHeight="true" outlineLevel="0" collapsed="false">
      <c r="A9816" s="184"/>
      <c r="B9816" s="184"/>
      <c r="C9816" s="184"/>
      <c r="D9816" s="184"/>
      <c r="E9816" s="184"/>
      <c r="F9816" s="184"/>
      <c r="G9816" s="184"/>
      <c r="H9816" s="184"/>
      <c r="I9816" s="184"/>
      <c r="J9816" s="184"/>
      <c r="K9816" s="184"/>
      <c r="L9816" s="184"/>
      <c r="M9816" s="184"/>
      <c r="N9816" s="184"/>
      <c r="O9816" s="184"/>
    </row>
    <row r="9817" customFormat="false" ht="15" hidden="false" customHeight="true" outlineLevel="0" collapsed="false">
      <c r="A9817" s="184"/>
      <c r="B9817" s="184"/>
      <c r="C9817" s="184"/>
      <c r="D9817" s="184"/>
      <c r="E9817" s="184"/>
      <c r="F9817" s="184"/>
      <c r="G9817" s="184"/>
      <c r="H9817" s="184"/>
      <c r="I9817" s="184"/>
      <c r="J9817" s="184"/>
      <c r="K9817" s="184"/>
      <c r="L9817" s="184"/>
      <c r="M9817" s="184"/>
      <c r="N9817" s="184"/>
      <c r="O9817" s="184"/>
    </row>
    <row r="9818" customFormat="false" ht="15" hidden="false" customHeight="true" outlineLevel="0" collapsed="false">
      <c r="A9818" s="184"/>
      <c r="B9818" s="184"/>
      <c r="C9818" s="184"/>
      <c r="D9818" s="184"/>
      <c r="E9818" s="184"/>
      <c r="F9818" s="184"/>
      <c r="G9818" s="184"/>
      <c r="H9818" s="184"/>
      <c r="I9818" s="184"/>
      <c r="J9818" s="184"/>
      <c r="K9818" s="184"/>
      <c r="L9818" s="184"/>
      <c r="M9818" s="184"/>
      <c r="N9818" s="184"/>
      <c r="O9818" s="184"/>
    </row>
    <row r="9819" customFormat="false" ht="15" hidden="false" customHeight="true" outlineLevel="0" collapsed="false">
      <c r="A9819" s="184"/>
      <c r="B9819" s="184"/>
      <c r="C9819" s="184"/>
      <c r="D9819" s="184"/>
      <c r="E9819" s="184"/>
      <c r="F9819" s="184"/>
      <c r="G9819" s="184"/>
      <c r="H9819" s="184"/>
      <c r="I9819" s="184"/>
      <c r="J9819" s="184"/>
      <c r="K9819" s="184"/>
      <c r="L9819" s="184"/>
      <c r="M9819" s="184"/>
      <c r="N9819" s="184"/>
      <c r="O9819" s="184"/>
    </row>
    <row r="9820" customFormat="false" ht="15" hidden="false" customHeight="true" outlineLevel="0" collapsed="false">
      <c r="A9820" s="184"/>
      <c r="B9820" s="184"/>
      <c r="C9820" s="184"/>
      <c r="D9820" s="184"/>
      <c r="E9820" s="184"/>
      <c r="F9820" s="184"/>
      <c r="G9820" s="184"/>
      <c r="H9820" s="184"/>
      <c r="I9820" s="184"/>
      <c r="J9820" s="184"/>
      <c r="K9820" s="184"/>
      <c r="L9820" s="184"/>
      <c r="M9820" s="184"/>
      <c r="N9820" s="184"/>
      <c r="O9820" s="184"/>
    </row>
    <row r="9821" customFormat="false" ht="15" hidden="false" customHeight="true" outlineLevel="0" collapsed="false">
      <c r="A9821" s="184"/>
      <c r="B9821" s="184"/>
      <c r="C9821" s="184"/>
      <c r="D9821" s="184"/>
      <c r="E9821" s="184"/>
      <c r="F9821" s="184"/>
      <c r="G9821" s="184"/>
      <c r="H9821" s="184"/>
      <c r="I9821" s="184"/>
      <c r="J9821" s="184"/>
      <c r="K9821" s="184"/>
      <c r="L9821" s="184"/>
      <c r="M9821" s="184"/>
      <c r="N9821" s="184"/>
      <c r="O9821" s="184"/>
    </row>
    <row r="9822" customFormat="false" ht="15" hidden="false" customHeight="true" outlineLevel="0" collapsed="false">
      <c r="A9822" s="184"/>
      <c r="B9822" s="184"/>
      <c r="C9822" s="184"/>
      <c r="D9822" s="184"/>
      <c r="E9822" s="184"/>
      <c r="F9822" s="184"/>
      <c r="G9822" s="184"/>
      <c r="H9822" s="184"/>
      <c r="I9822" s="184"/>
      <c r="J9822" s="184"/>
      <c r="K9822" s="184"/>
      <c r="L9822" s="184"/>
      <c r="M9822" s="184"/>
      <c r="N9822" s="184"/>
      <c r="O9822" s="184"/>
    </row>
    <row r="9823" customFormat="false" ht="15" hidden="false" customHeight="true" outlineLevel="0" collapsed="false">
      <c r="A9823" s="184"/>
      <c r="B9823" s="184"/>
      <c r="C9823" s="184"/>
      <c r="D9823" s="184"/>
      <c r="E9823" s="184"/>
      <c r="F9823" s="184"/>
      <c r="G9823" s="184"/>
      <c r="H9823" s="184"/>
      <c r="I9823" s="184"/>
      <c r="J9823" s="184"/>
      <c r="K9823" s="184"/>
      <c r="L9823" s="184"/>
      <c r="M9823" s="184"/>
      <c r="N9823" s="184"/>
      <c r="O9823" s="184"/>
    </row>
    <row r="9824" customFormat="false" ht="15" hidden="false" customHeight="true" outlineLevel="0" collapsed="false">
      <c r="A9824" s="184"/>
      <c r="B9824" s="184"/>
      <c r="C9824" s="184"/>
      <c r="D9824" s="184"/>
      <c r="E9824" s="184"/>
      <c r="F9824" s="184"/>
      <c r="G9824" s="184"/>
      <c r="H9824" s="184"/>
      <c r="I9824" s="184"/>
      <c r="J9824" s="184"/>
      <c r="K9824" s="184"/>
      <c r="L9824" s="184"/>
      <c r="M9824" s="184"/>
      <c r="N9824" s="184"/>
      <c r="O9824" s="184"/>
    </row>
    <row r="9825" customFormat="false" ht="15" hidden="false" customHeight="true" outlineLevel="0" collapsed="false">
      <c r="A9825" s="184"/>
      <c r="B9825" s="184"/>
      <c r="C9825" s="184"/>
      <c r="D9825" s="184"/>
      <c r="E9825" s="184"/>
      <c r="F9825" s="184"/>
      <c r="G9825" s="184"/>
      <c r="H9825" s="184"/>
      <c r="I9825" s="184"/>
      <c r="J9825" s="184"/>
      <c r="K9825" s="184"/>
      <c r="L9825" s="184"/>
      <c r="M9825" s="184"/>
      <c r="N9825" s="184"/>
      <c r="O9825" s="184"/>
    </row>
    <row r="9826" customFormat="false" ht="15" hidden="false" customHeight="true" outlineLevel="0" collapsed="false">
      <c r="A9826" s="184"/>
      <c r="B9826" s="184"/>
      <c r="C9826" s="184"/>
      <c r="D9826" s="184"/>
      <c r="E9826" s="184"/>
      <c r="F9826" s="184"/>
      <c r="G9826" s="184"/>
      <c r="H9826" s="184"/>
      <c r="I9826" s="184"/>
      <c r="J9826" s="184"/>
      <c r="K9826" s="184"/>
      <c r="L9826" s="184"/>
      <c r="M9826" s="184"/>
      <c r="N9826" s="184"/>
      <c r="O9826" s="184"/>
    </row>
    <row r="9827" customFormat="false" ht="15" hidden="false" customHeight="true" outlineLevel="0" collapsed="false">
      <c r="A9827" s="184"/>
      <c r="B9827" s="184"/>
      <c r="C9827" s="184"/>
      <c r="D9827" s="184"/>
      <c r="E9827" s="184"/>
      <c r="F9827" s="184"/>
      <c r="G9827" s="184"/>
      <c r="H9827" s="184"/>
      <c r="I9827" s="184"/>
      <c r="J9827" s="184"/>
      <c r="K9827" s="184"/>
      <c r="L9827" s="184"/>
      <c r="M9827" s="184"/>
      <c r="N9827" s="184"/>
      <c r="O9827" s="184"/>
    </row>
    <row r="9828" customFormat="false" ht="15" hidden="false" customHeight="true" outlineLevel="0" collapsed="false">
      <c r="A9828" s="184"/>
      <c r="B9828" s="184"/>
      <c r="C9828" s="184"/>
      <c r="D9828" s="184"/>
      <c r="E9828" s="184"/>
      <c r="F9828" s="184"/>
      <c r="G9828" s="184"/>
      <c r="H9828" s="184"/>
      <c r="I9828" s="184"/>
      <c r="J9828" s="184"/>
      <c r="K9828" s="184"/>
      <c r="L9828" s="184"/>
      <c r="M9828" s="184"/>
      <c r="N9828" s="184"/>
      <c r="O9828" s="184"/>
    </row>
    <row r="9829" customFormat="false" ht="15" hidden="false" customHeight="true" outlineLevel="0" collapsed="false">
      <c r="A9829" s="184"/>
      <c r="B9829" s="184"/>
      <c r="C9829" s="184"/>
      <c r="D9829" s="184"/>
      <c r="E9829" s="184"/>
      <c r="F9829" s="184"/>
      <c r="G9829" s="184"/>
      <c r="H9829" s="184"/>
      <c r="I9829" s="184"/>
      <c r="J9829" s="184"/>
      <c r="K9829" s="184"/>
      <c r="L9829" s="184"/>
      <c r="M9829" s="184"/>
      <c r="N9829" s="184"/>
      <c r="O9829" s="184"/>
    </row>
    <row r="9830" customFormat="false" ht="15" hidden="false" customHeight="true" outlineLevel="0" collapsed="false">
      <c r="A9830" s="184"/>
      <c r="B9830" s="184"/>
      <c r="C9830" s="184"/>
      <c r="D9830" s="184"/>
      <c r="E9830" s="184"/>
      <c r="F9830" s="184"/>
      <c r="G9830" s="184"/>
      <c r="H9830" s="184"/>
      <c r="I9830" s="184"/>
      <c r="J9830" s="184"/>
      <c r="K9830" s="184"/>
      <c r="L9830" s="184"/>
      <c r="M9830" s="184"/>
      <c r="N9830" s="184"/>
      <c r="O9830" s="184"/>
    </row>
    <row r="9831" customFormat="false" ht="15" hidden="false" customHeight="true" outlineLevel="0" collapsed="false">
      <c r="A9831" s="184"/>
      <c r="B9831" s="184"/>
      <c r="C9831" s="184"/>
      <c r="D9831" s="184"/>
      <c r="E9831" s="184"/>
      <c r="F9831" s="184"/>
      <c r="G9831" s="184"/>
      <c r="H9831" s="184"/>
      <c r="I9831" s="184"/>
      <c r="J9831" s="184"/>
      <c r="K9831" s="184"/>
      <c r="L9831" s="184"/>
      <c r="M9831" s="184"/>
      <c r="N9831" s="184"/>
      <c r="O9831" s="184"/>
    </row>
    <row r="9832" customFormat="false" ht="15" hidden="false" customHeight="true" outlineLevel="0" collapsed="false">
      <c r="A9832" s="184"/>
      <c r="B9832" s="184"/>
      <c r="C9832" s="184"/>
      <c r="D9832" s="184"/>
      <c r="E9832" s="184"/>
      <c r="F9832" s="184"/>
      <c r="G9832" s="184"/>
      <c r="H9832" s="184"/>
      <c r="I9832" s="184"/>
      <c r="J9832" s="184"/>
      <c r="K9832" s="184"/>
      <c r="L9832" s="184"/>
      <c r="M9832" s="184"/>
      <c r="N9832" s="184"/>
      <c r="O9832" s="184"/>
    </row>
    <row r="9833" customFormat="false" ht="15" hidden="false" customHeight="true" outlineLevel="0" collapsed="false">
      <c r="A9833" s="184"/>
      <c r="B9833" s="184"/>
      <c r="C9833" s="184"/>
      <c r="D9833" s="184"/>
      <c r="E9833" s="184"/>
      <c r="F9833" s="184"/>
      <c r="G9833" s="184"/>
      <c r="H9833" s="184"/>
      <c r="I9833" s="184"/>
      <c r="J9833" s="184"/>
      <c r="K9833" s="184"/>
      <c r="L9833" s="184"/>
      <c r="M9833" s="184"/>
      <c r="N9833" s="184"/>
      <c r="O9833" s="184"/>
    </row>
    <row r="9834" customFormat="false" ht="15" hidden="false" customHeight="true" outlineLevel="0" collapsed="false">
      <c r="A9834" s="184"/>
      <c r="B9834" s="184"/>
      <c r="C9834" s="184"/>
      <c r="D9834" s="184"/>
      <c r="E9834" s="184"/>
      <c r="F9834" s="184"/>
      <c r="G9834" s="184"/>
      <c r="H9834" s="184"/>
      <c r="I9834" s="184"/>
      <c r="J9834" s="184"/>
      <c r="K9834" s="184"/>
      <c r="L9834" s="184"/>
      <c r="M9834" s="184"/>
      <c r="N9834" s="184"/>
      <c r="O9834" s="184"/>
    </row>
    <row r="9835" customFormat="false" ht="15" hidden="false" customHeight="true" outlineLevel="0" collapsed="false">
      <c r="A9835" s="184"/>
      <c r="B9835" s="184"/>
      <c r="C9835" s="184"/>
      <c r="D9835" s="184"/>
      <c r="E9835" s="184"/>
      <c r="F9835" s="184"/>
      <c r="G9835" s="184"/>
      <c r="H9835" s="184"/>
      <c r="I9835" s="184"/>
      <c r="J9835" s="184"/>
      <c r="K9835" s="184"/>
      <c r="L9835" s="184"/>
      <c r="M9835" s="184"/>
      <c r="N9835" s="184"/>
      <c r="O9835" s="184"/>
    </row>
    <row r="9836" customFormat="false" ht="15" hidden="false" customHeight="true" outlineLevel="0" collapsed="false">
      <c r="A9836" s="184"/>
      <c r="B9836" s="184"/>
      <c r="C9836" s="184"/>
      <c r="D9836" s="184"/>
      <c r="E9836" s="184"/>
      <c r="F9836" s="184"/>
      <c r="G9836" s="184"/>
      <c r="H9836" s="184"/>
      <c r="I9836" s="184"/>
      <c r="J9836" s="184"/>
      <c r="K9836" s="184"/>
      <c r="L9836" s="184"/>
      <c r="M9836" s="184"/>
      <c r="N9836" s="184"/>
      <c r="O9836" s="184"/>
    </row>
    <row r="9837" customFormat="false" ht="15" hidden="false" customHeight="true" outlineLevel="0" collapsed="false">
      <c r="A9837" s="184"/>
      <c r="B9837" s="184"/>
      <c r="C9837" s="184"/>
      <c r="D9837" s="184"/>
      <c r="E9837" s="184"/>
      <c r="F9837" s="184"/>
      <c r="G9837" s="184"/>
      <c r="H9837" s="184"/>
      <c r="I9837" s="184"/>
      <c r="J9837" s="184"/>
      <c r="K9837" s="184"/>
      <c r="L9837" s="184"/>
      <c r="M9837" s="184"/>
      <c r="N9837" s="184"/>
      <c r="O9837" s="184"/>
    </row>
    <row r="9838" customFormat="false" ht="15" hidden="false" customHeight="true" outlineLevel="0" collapsed="false">
      <c r="A9838" s="184"/>
      <c r="B9838" s="184"/>
      <c r="C9838" s="184"/>
      <c r="D9838" s="184"/>
      <c r="E9838" s="184"/>
      <c r="F9838" s="184"/>
      <c r="G9838" s="184"/>
      <c r="H9838" s="184"/>
      <c r="I9838" s="184"/>
      <c r="J9838" s="184"/>
      <c r="K9838" s="184"/>
      <c r="L9838" s="184"/>
      <c r="M9838" s="184"/>
      <c r="N9838" s="184"/>
      <c r="O9838" s="184"/>
    </row>
    <row r="9839" customFormat="false" ht="15" hidden="false" customHeight="true" outlineLevel="0" collapsed="false">
      <c r="A9839" s="184"/>
      <c r="B9839" s="184"/>
      <c r="C9839" s="184"/>
      <c r="D9839" s="184"/>
      <c r="E9839" s="184"/>
      <c r="F9839" s="184"/>
      <c r="G9839" s="184"/>
      <c r="H9839" s="184"/>
      <c r="I9839" s="184"/>
      <c r="J9839" s="184"/>
      <c r="K9839" s="184"/>
      <c r="L9839" s="184"/>
      <c r="M9839" s="184"/>
      <c r="N9839" s="184"/>
      <c r="O9839" s="184"/>
    </row>
    <row r="9840" customFormat="false" ht="15" hidden="false" customHeight="true" outlineLevel="0" collapsed="false">
      <c r="A9840" s="184"/>
      <c r="B9840" s="184"/>
      <c r="C9840" s="184"/>
      <c r="D9840" s="184"/>
      <c r="E9840" s="184"/>
      <c r="F9840" s="184"/>
      <c r="G9840" s="184"/>
      <c r="H9840" s="184"/>
      <c r="I9840" s="184"/>
      <c r="J9840" s="184"/>
      <c r="K9840" s="184"/>
      <c r="L9840" s="184"/>
      <c r="M9840" s="184"/>
      <c r="N9840" s="184"/>
      <c r="O9840" s="184"/>
    </row>
    <row r="9841" customFormat="false" ht="15" hidden="false" customHeight="true" outlineLevel="0" collapsed="false">
      <c r="A9841" s="184"/>
      <c r="B9841" s="184"/>
      <c r="C9841" s="184"/>
      <c r="D9841" s="184"/>
      <c r="E9841" s="184"/>
      <c r="F9841" s="184"/>
      <c r="G9841" s="184"/>
      <c r="H9841" s="184"/>
      <c r="I9841" s="184"/>
      <c r="J9841" s="184"/>
      <c r="K9841" s="184"/>
      <c r="L9841" s="184"/>
      <c r="M9841" s="184"/>
      <c r="N9841" s="184"/>
      <c r="O9841" s="184"/>
    </row>
    <row r="9842" customFormat="false" ht="15" hidden="false" customHeight="true" outlineLevel="0" collapsed="false">
      <c r="A9842" s="184"/>
      <c r="B9842" s="184"/>
      <c r="C9842" s="184"/>
      <c r="D9842" s="184"/>
      <c r="E9842" s="184"/>
      <c r="F9842" s="184"/>
      <c r="G9842" s="184"/>
      <c r="H9842" s="184"/>
      <c r="I9842" s="184"/>
      <c r="J9842" s="184"/>
      <c r="K9842" s="184"/>
      <c r="L9842" s="184"/>
      <c r="M9842" s="184"/>
      <c r="N9842" s="184"/>
      <c r="O9842" s="184"/>
    </row>
    <row r="9843" customFormat="false" ht="15" hidden="false" customHeight="true" outlineLevel="0" collapsed="false">
      <c r="A9843" s="184"/>
      <c r="B9843" s="184"/>
      <c r="C9843" s="184"/>
      <c r="D9843" s="184"/>
      <c r="E9843" s="184"/>
      <c r="F9843" s="184"/>
      <c r="G9843" s="184"/>
      <c r="H9843" s="184"/>
      <c r="I9843" s="184"/>
      <c r="J9843" s="184"/>
      <c r="K9843" s="184"/>
      <c r="L9843" s="184"/>
      <c r="M9843" s="184"/>
      <c r="N9843" s="184"/>
      <c r="O9843" s="184"/>
    </row>
    <row r="9844" customFormat="false" ht="15" hidden="false" customHeight="true" outlineLevel="0" collapsed="false">
      <c r="A9844" s="184"/>
      <c r="B9844" s="184"/>
      <c r="C9844" s="184"/>
      <c r="D9844" s="184"/>
      <c r="E9844" s="184"/>
      <c r="F9844" s="184"/>
      <c r="G9844" s="184"/>
      <c r="H9844" s="184"/>
      <c r="I9844" s="184"/>
      <c r="J9844" s="184"/>
      <c r="K9844" s="184"/>
      <c r="L9844" s="184"/>
      <c r="M9844" s="184"/>
      <c r="N9844" s="184"/>
      <c r="O9844" s="184"/>
    </row>
    <row r="9845" customFormat="false" ht="15" hidden="false" customHeight="true" outlineLevel="0" collapsed="false">
      <c r="A9845" s="184"/>
      <c r="B9845" s="184"/>
      <c r="C9845" s="184"/>
      <c r="D9845" s="184"/>
      <c r="E9845" s="184"/>
      <c r="F9845" s="184"/>
      <c r="G9845" s="184"/>
      <c r="H9845" s="184"/>
      <c r="I9845" s="184"/>
      <c r="J9845" s="184"/>
      <c r="K9845" s="184"/>
      <c r="L9845" s="184"/>
      <c r="M9845" s="184"/>
      <c r="N9845" s="184"/>
      <c r="O9845" s="184"/>
    </row>
    <row r="9846" customFormat="false" ht="15" hidden="false" customHeight="true" outlineLevel="0" collapsed="false">
      <c r="A9846" s="184"/>
      <c r="B9846" s="184"/>
      <c r="C9846" s="184"/>
      <c r="D9846" s="184"/>
      <c r="E9846" s="184"/>
      <c r="F9846" s="184"/>
      <c r="G9846" s="184"/>
      <c r="H9846" s="184"/>
      <c r="I9846" s="184"/>
      <c r="J9846" s="184"/>
      <c r="K9846" s="184"/>
      <c r="L9846" s="184"/>
      <c r="M9846" s="184"/>
      <c r="N9846" s="184"/>
      <c r="O9846" s="184"/>
    </row>
    <row r="9847" customFormat="false" ht="15" hidden="false" customHeight="true" outlineLevel="0" collapsed="false">
      <c r="A9847" s="184"/>
      <c r="B9847" s="184"/>
      <c r="C9847" s="184"/>
      <c r="D9847" s="184"/>
      <c r="E9847" s="184"/>
      <c r="F9847" s="184"/>
      <c r="G9847" s="184"/>
      <c r="H9847" s="184"/>
      <c r="I9847" s="184"/>
      <c r="J9847" s="184"/>
      <c r="K9847" s="184"/>
      <c r="L9847" s="184"/>
      <c r="M9847" s="184"/>
      <c r="N9847" s="184"/>
      <c r="O9847" s="184"/>
    </row>
    <row r="9848" customFormat="false" ht="15" hidden="false" customHeight="true" outlineLevel="0" collapsed="false">
      <c r="A9848" s="184"/>
      <c r="B9848" s="184"/>
      <c r="C9848" s="184"/>
      <c r="D9848" s="184"/>
      <c r="E9848" s="184"/>
      <c r="F9848" s="184"/>
      <c r="G9848" s="184"/>
      <c r="H9848" s="184"/>
      <c r="I9848" s="184"/>
      <c r="J9848" s="184"/>
      <c r="K9848" s="184"/>
      <c r="L9848" s="184"/>
      <c r="M9848" s="184"/>
      <c r="N9848" s="184"/>
      <c r="O9848" s="184"/>
    </row>
    <row r="9849" customFormat="false" ht="15" hidden="false" customHeight="true" outlineLevel="0" collapsed="false">
      <c r="A9849" s="184"/>
      <c r="B9849" s="184"/>
      <c r="C9849" s="184"/>
      <c r="D9849" s="184"/>
      <c r="E9849" s="184"/>
      <c r="F9849" s="184"/>
      <c r="G9849" s="184"/>
      <c r="H9849" s="184"/>
      <c r="I9849" s="184"/>
      <c r="J9849" s="184"/>
      <c r="K9849" s="184"/>
      <c r="L9849" s="184"/>
      <c r="M9849" s="184"/>
      <c r="N9849" s="184"/>
      <c r="O9849" s="184"/>
    </row>
    <row r="9850" customFormat="false" ht="15" hidden="false" customHeight="true" outlineLevel="0" collapsed="false">
      <c r="A9850" s="184"/>
      <c r="B9850" s="184"/>
      <c r="C9850" s="184"/>
      <c r="D9850" s="184"/>
      <c r="E9850" s="184"/>
      <c r="F9850" s="184"/>
      <c r="G9850" s="184"/>
      <c r="H9850" s="184"/>
      <c r="I9850" s="184"/>
      <c r="J9850" s="184"/>
      <c r="K9850" s="184"/>
      <c r="L9850" s="184"/>
      <c r="M9850" s="184"/>
      <c r="N9850" s="184"/>
      <c r="O9850" s="184"/>
    </row>
    <row r="9851" customFormat="false" ht="15" hidden="false" customHeight="true" outlineLevel="0" collapsed="false">
      <c r="A9851" s="184"/>
      <c r="B9851" s="184"/>
      <c r="C9851" s="184"/>
      <c r="D9851" s="184"/>
      <c r="E9851" s="184"/>
      <c r="F9851" s="184"/>
      <c r="G9851" s="184"/>
      <c r="H9851" s="184"/>
      <c r="I9851" s="184"/>
      <c r="J9851" s="184"/>
      <c r="K9851" s="184"/>
      <c r="L9851" s="184"/>
      <c r="M9851" s="184"/>
      <c r="N9851" s="184"/>
      <c r="O9851" s="184"/>
    </row>
    <row r="9852" customFormat="false" ht="15" hidden="false" customHeight="true" outlineLevel="0" collapsed="false">
      <c r="A9852" s="184"/>
      <c r="B9852" s="184"/>
      <c r="C9852" s="184"/>
      <c r="D9852" s="184"/>
      <c r="E9852" s="184"/>
      <c r="F9852" s="184"/>
      <c r="G9852" s="184"/>
      <c r="H9852" s="184"/>
      <c r="I9852" s="184"/>
      <c r="J9852" s="184"/>
      <c r="K9852" s="184"/>
      <c r="L9852" s="184"/>
      <c r="M9852" s="184"/>
      <c r="N9852" s="184"/>
      <c r="O9852" s="184"/>
    </row>
    <row r="9853" customFormat="false" ht="15" hidden="false" customHeight="true" outlineLevel="0" collapsed="false">
      <c r="A9853" s="184"/>
      <c r="B9853" s="184"/>
      <c r="C9853" s="184"/>
      <c r="D9853" s="184"/>
      <c r="E9853" s="184"/>
      <c r="F9853" s="184"/>
      <c r="G9853" s="184"/>
      <c r="H9853" s="184"/>
      <c r="I9853" s="184"/>
      <c r="J9853" s="184"/>
      <c r="K9853" s="184"/>
      <c r="L9853" s="184"/>
      <c r="M9853" s="184"/>
      <c r="N9853" s="184"/>
      <c r="O9853" s="184"/>
    </row>
    <row r="9854" customFormat="false" ht="15" hidden="false" customHeight="true" outlineLevel="0" collapsed="false">
      <c r="A9854" s="184"/>
      <c r="B9854" s="184"/>
      <c r="C9854" s="184"/>
      <c r="D9854" s="184"/>
      <c r="E9854" s="184"/>
      <c r="F9854" s="184"/>
      <c r="G9854" s="184"/>
      <c r="H9854" s="184"/>
      <c r="I9854" s="184"/>
      <c r="J9854" s="184"/>
      <c r="K9854" s="184"/>
      <c r="L9854" s="184"/>
      <c r="M9854" s="184"/>
      <c r="N9854" s="184"/>
      <c r="O9854" s="184"/>
    </row>
    <row r="9855" customFormat="false" ht="15" hidden="false" customHeight="true" outlineLevel="0" collapsed="false">
      <c r="A9855" s="184"/>
      <c r="B9855" s="184"/>
      <c r="C9855" s="184"/>
      <c r="D9855" s="184"/>
      <c r="E9855" s="184"/>
      <c r="F9855" s="184"/>
      <c r="G9855" s="184"/>
      <c r="H9855" s="184"/>
      <c r="I9855" s="184"/>
      <c r="J9855" s="184"/>
      <c r="K9855" s="184"/>
      <c r="L9855" s="184"/>
      <c r="M9855" s="184"/>
      <c r="N9855" s="184"/>
      <c r="O9855" s="184"/>
    </row>
    <row r="9856" customFormat="false" ht="15" hidden="false" customHeight="true" outlineLevel="0" collapsed="false">
      <c r="A9856" s="184"/>
      <c r="B9856" s="184"/>
      <c r="C9856" s="184"/>
      <c r="D9856" s="184"/>
      <c r="E9856" s="184"/>
      <c r="F9856" s="184"/>
      <c r="G9856" s="184"/>
      <c r="H9856" s="184"/>
      <c r="I9856" s="184"/>
      <c r="J9856" s="184"/>
      <c r="K9856" s="184"/>
      <c r="L9856" s="184"/>
      <c r="M9856" s="184"/>
      <c r="N9856" s="184"/>
      <c r="O9856" s="184"/>
    </row>
    <row r="9857" customFormat="false" ht="15" hidden="false" customHeight="true" outlineLevel="0" collapsed="false">
      <c r="A9857" s="184"/>
      <c r="B9857" s="184"/>
      <c r="C9857" s="184"/>
      <c r="D9857" s="184"/>
      <c r="E9857" s="184"/>
      <c r="F9857" s="184"/>
      <c r="G9857" s="184"/>
      <c r="H9857" s="184"/>
      <c r="I9857" s="184"/>
      <c r="J9857" s="184"/>
      <c r="K9857" s="184"/>
      <c r="L9857" s="184"/>
      <c r="M9857" s="184"/>
      <c r="N9857" s="184"/>
      <c r="O9857" s="184"/>
    </row>
    <row r="9858" customFormat="false" ht="15" hidden="false" customHeight="true" outlineLevel="0" collapsed="false">
      <c r="A9858" s="184"/>
      <c r="B9858" s="184"/>
      <c r="C9858" s="184"/>
      <c r="D9858" s="184"/>
      <c r="E9858" s="184"/>
      <c r="F9858" s="184"/>
      <c r="G9858" s="184"/>
      <c r="H9858" s="184"/>
      <c r="I9858" s="184"/>
      <c r="J9858" s="184"/>
      <c r="K9858" s="184"/>
      <c r="L9858" s="184"/>
      <c r="M9858" s="184"/>
      <c r="N9858" s="184"/>
      <c r="O9858" s="184"/>
    </row>
    <row r="9859" customFormat="false" ht="15" hidden="false" customHeight="true" outlineLevel="0" collapsed="false">
      <c r="A9859" s="184"/>
      <c r="B9859" s="184"/>
      <c r="C9859" s="184"/>
      <c r="D9859" s="184"/>
      <c r="E9859" s="184"/>
      <c r="F9859" s="184"/>
      <c r="G9859" s="184"/>
      <c r="H9859" s="184"/>
      <c r="I9859" s="184"/>
      <c r="J9859" s="184"/>
      <c r="K9859" s="184"/>
      <c r="L9859" s="184"/>
      <c r="M9859" s="184"/>
      <c r="N9859" s="184"/>
      <c r="O9859" s="184"/>
    </row>
    <row r="9860" customFormat="false" ht="15" hidden="false" customHeight="true" outlineLevel="0" collapsed="false">
      <c r="A9860" s="184"/>
      <c r="B9860" s="184"/>
      <c r="C9860" s="184"/>
      <c r="D9860" s="184"/>
      <c r="E9860" s="184"/>
      <c r="F9860" s="184"/>
      <c r="G9860" s="184"/>
      <c r="H9860" s="184"/>
      <c r="I9860" s="184"/>
      <c r="J9860" s="184"/>
      <c r="K9860" s="184"/>
      <c r="L9860" s="184"/>
      <c r="M9860" s="184"/>
      <c r="N9860" s="184"/>
      <c r="O9860" s="184"/>
    </row>
    <row r="9861" customFormat="false" ht="15" hidden="false" customHeight="true" outlineLevel="0" collapsed="false">
      <c r="A9861" s="184"/>
      <c r="B9861" s="184"/>
      <c r="C9861" s="184"/>
      <c r="D9861" s="184"/>
      <c r="E9861" s="184"/>
      <c r="F9861" s="184"/>
      <c r="G9861" s="184"/>
      <c r="H9861" s="184"/>
      <c r="I9861" s="184"/>
      <c r="J9861" s="184"/>
      <c r="K9861" s="184"/>
      <c r="L9861" s="184"/>
      <c r="M9861" s="184"/>
      <c r="N9861" s="184"/>
      <c r="O9861" s="184"/>
    </row>
    <row r="9862" customFormat="false" ht="15" hidden="false" customHeight="true" outlineLevel="0" collapsed="false">
      <c r="A9862" s="184"/>
      <c r="B9862" s="184"/>
      <c r="C9862" s="184"/>
      <c r="D9862" s="184"/>
      <c r="E9862" s="184"/>
      <c r="F9862" s="184"/>
      <c r="G9862" s="184"/>
      <c r="H9862" s="184"/>
      <c r="I9862" s="184"/>
      <c r="J9862" s="184"/>
      <c r="K9862" s="184"/>
      <c r="L9862" s="184"/>
      <c r="M9862" s="184"/>
      <c r="N9862" s="184"/>
      <c r="O9862" s="184"/>
    </row>
    <row r="9863" customFormat="false" ht="15" hidden="false" customHeight="true" outlineLevel="0" collapsed="false">
      <c r="A9863" s="184"/>
      <c r="B9863" s="184"/>
      <c r="C9863" s="184"/>
      <c r="D9863" s="184"/>
      <c r="E9863" s="184"/>
      <c r="F9863" s="184"/>
      <c r="G9863" s="184"/>
      <c r="H9863" s="184"/>
      <c r="I9863" s="184"/>
      <c r="J9863" s="184"/>
      <c r="K9863" s="184"/>
      <c r="L9863" s="184"/>
      <c r="M9863" s="184"/>
      <c r="N9863" s="184"/>
      <c r="O9863" s="184"/>
    </row>
    <row r="9864" customFormat="false" ht="15" hidden="false" customHeight="true" outlineLevel="0" collapsed="false">
      <c r="A9864" s="184"/>
      <c r="B9864" s="184"/>
      <c r="C9864" s="184"/>
      <c r="D9864" s="184"/>
      <c r="E9864" s="184"/>
      <c r="F9864" s="184"/>
      <c r="G9864" s="184"/>
      <c r="H9864" s="184"/>
      <c r="I9864" s="184"/>
      <c r="J9864" s="184"/>
      <c r="K9864" s="184"/>
      <c r="L9864" s="184"/>
      <c r="M9864" s="184"/>
      <c r="N9864" s="184"/>
      <c r="O9864" s="184"/>
    </row>
    <row r="9865" customFormat="false" ht="15" hidden="false" customHeight="true" outlineLevel="0" collapsed="false">
      <c r="A9865" s="184"/>
      <c r="B9865" s="184"/>
      <c r="C9865" s="184"/>
      <c r="D9865" s="184"/>
      <c r="E9865" s="184"/>
      <c r="F9865" s="184"/>
      <c r="G9865" s="184"/>
      <c r="H9865" s="184"/>
      <c r="I9865" s="184"/>
      <c r="J9865" s="184"/>
      <c r="K9865" s="184"/>
      <c r="L9865" s="184"/>
      <c r="M9865" s="184"/>
      <c r="N9865" s="184"/>
      <c r="O9865" s="184"/>
    </row>
    <row r="9866" customFormat="false" ht="15" hidden="false" customHeight="true" outlineLevel="0" collapsed="false">
      <c r="A9866" s="184"/>
      <c r="B9866" s="184"/>
      <c r="C9866" s="184"/>
      <c r="D9866" s="184"/>
      <c r="E9866" s="184"/>
      <c r="F9866" s="184"/>
      <c r="G9866" s="184"/>
      <c r="H9866" s="184"/>
      <c r="I9866" s="184"/>
      <c r="J9866" s="184"/>
      <c r="K9866" s="184"/>
      <c r="L9866" s="184"/>
      <c r="M9866" s="184"/>
      <c r="N9866" s="184"/>
      <c r="O9866" s="184"/>
    </row>
    <row r="9867" customFormat="false" ht="15" hidden="false" customHeight="true" outlineLevel="0" collapsed="false">
      <c r="A9867" s="184"/>
      <c r="B9867" s="184"/>
      <c r="C9867" s="184"/>
      <c r="D9867" s="184"/>
      <c r="E9867" s="184"/>
      <c r="F9867" s="184"/>
      <c r="G9867" s="184"/>
      <c r="H9867" s="184"/>
      <c r="I9867" s="184"/>
      <c r="J9867" s="184"/>
      <c r="K9867" s="184"/>
      <c r="L9867" s="184"/>
      <c r="M9867" s="184"/>
      <c r="N9867" s="184"/>
      <c r="O9867" s="184"/>
    </row>
    <row r="9868" customFormat="false" ht="15" hidden="false" customHeight="true" outlineLevel="0" collapsed="false">
      <c r="A9868" s="184"/>
      <c r="B9868" s="184"/>
      <c r="C9868" s="184"/>
      <c r="D9868" s="184"/>
      <c r="E9868" s="184"/>
      <c r="F9868" s="184"/>
      <c r="G9868" s="184"/>
      <c r="H9868" s="184"/>
      <c r="I9868" s="184"/>
      <c r="J9868" s="184"/>
      <c r="K9868" s="184"/>
      <c r="L9868" s="184"/>
      <c r="M9868" s="184"/>
      <c r="N9868" s="184"/>
      <c r="O9868" s="184"/>
    </row>
    <row r="9869" customFormat="false" ht="15" hidden="false" customHeight="true" outlineLevel="0" collapsed="false">
      <c r="A9869" s="184"/>
      <c r="B9869" s="184"/>
      <c r="C9869" s="184"/>
      <c r="D9869" s="184"/>
      <c r="E9869" s="184"/>
      <c r="F9869" s="184"/>
      <c r="G9869" s="184"/>
      <c r="H9869" s="184"/>
      <c r="I9869" s="184"/>
      <c r="J9869" s="184"/>
      <c r="K9869" s="184"/>
      <c r="L9869" s="184"/>
      <c r="M9869" s="184"/>
      <c r="N9869" s="184"/>
      <c r="O9869" s="184"/>
    </row>
    <row r="9870" customFormat="false" ht="15" hidden="false" customHeight="true" outlineLevel="0" collapsed="false">
      <c r="A9870" s="184"/>
      <c r="B9870" s="184"/>
      <c r="C9870" s="184"/>
      <c r="D9870" s="184"/>
      <c r="E9870" s="184"/>
      <c r="F9870" s="184"/>
      <c r="G9870" s="184"/>
      <c r="H9870" s="184"/>
      <c r="I9870" s="184"/>
      <c r="J9870" s="184"/>
      <c r="K9870" s="184"/>
      <c r="L9870" s="184"/>
      <c r="M9870" s="184"/>
      <c r="N9870" s="184"/>
      <c r="O9870" s="184"/>
    </row>
    <row r="9871" customFormat="false" ht="15" hidden="false" customHeight="true" outlineLevel="0" collapsed="false">
      <c r="A9871" s="184"/>
      <c r="B9871" s="184"/>
      <c r="C9871" s="184"/>
      <c r="D9871" s="184"/>
      <c r="E9871" s="184"/>
      <c r="F9871" s="184"/>
      <c r="G9871" s="184"/>
      <c r="H9871" s="184"/>
      <c r="I9871" s="184"/>
      <c r="J9871" s="184"/>
      <c r="K9871" s="184"/>
      <c r="L9871" s="184"/>
      <c r="M9871" s="184"/>
      <c r="N9871" s="184"/>
      <c r="O9871" s="184"/>
    </row>
    <row r="9872" customFormat="false" ht="15" hidden="false" customHeight="true" outlineLevel="0" collapsed="false">
      <c r="A9872" s="184"/>
      <c r="B9872" s="184"/>
      <c r="C9872" s="184"/>
      <c r="D9872" s="184"/>
      <c r="E9872" s="184"/>
      <c r="F9872" s="184"/>
      <c r="G9872" s="184"/>
      <c r="H9872" s="184"/>
      <c r="I9872" s="184"/>
      <c r="J9872" s="184"/>
      <c r="K9872" s="184"/>
      <c r="L9872" s="184"/>
      <c r="M9872" s="184"/>
      <c r="N9872" s="184"/>
      <c r="O9872" s="184"/>
    </row>
    <row r="9873" customFormat="false" ht="15" hidden="false" customHeight="true" outlineLevel="0" collapsed="false">
      <c r="A9873" s="184"/>
      <c r="B9873" s="184"/>
      <c r="C9873" s="184"/>
      <c r="D9873" s="184"/>
      <c r="E9873" s="184"/>
      <c r="F9873" s="184"/>
      <c r="G9873" s="184"/>
      <c r="H9873" s="184"/>
      <c r="I9873" s="184"/>
      <c r="J9873" s="184"/>
      <c r="K9873" s="184"/>
      <c r="L9873" s="184"/>
      <c r="M9873" s="184"/>
      <c r="N9873" s="184"/>
      <c r="O9873" s="184"/>
    </row>
    <row r="9874" customFormat="false" ht="15" hidden="false" customHeight="true" outlineLevel="0" collapsed="false">
      <c r="A9874" s="184"/>
      <c r="B9874" s="184"/>
      <c r="C9874" s="184"/>
      <c r="D9874" s="184"/>
      <c r="E9874" s="184"/>
      <c r="F9874" s="184"/>
      <c r="G9874" s="184"/>
      <c r="H9874" s="184"/>
      <c r="I9874" s="184"/>
      <c r="J9874" s="184"/>
      <c r="K9874" s="184"/>
      <c r="L9874" s="184"/>
      <c r="M9874" s="184"/>
      <c r="N9874" s="184"/>
      <c r="O9874" s="184"/>
    </row>
    <row r="9875" customFormat="false" ht="15" hidden="false" customHeight="true" outlineLevel="0" collapsed="false">
      <c r="A9875" s="184"/>
      <c r="B9875" s="184"/>
      <c r="C9875" s="184"/>
      <c r="D9875" s="184"/>
      <c r="E9875" s="184"/>
      <c r="F9875" s="184"/>
      <c r="G9875" s="184"/>
      <c r="H9875" s="184"/>
      <c r="I9875" s="184"/>
      <c r="J9875" s="184"/>
      <c r="K9875" s="184"/>
      <c r="L9875" s="184"/>
      <c r="M9875" s="184"/>
      <c r="N9875" s="184"/>
      <c r="O9875" s="184"/>
    </row>
    <row r="9876" customFormat="false" ht="15" hidden="false" customHeight="true" outlineLevel="0" collapsed="false">
      <c r="A9876" s="184"/>
      <c r="B9876" s="184"/>
      <c r="C9876" s="184"/>
      <c r="D9876" s="184"/>
      <c r="E9876" s="184"/>
      <c r="F9876" s="184"/>
      <c r="G9876" s="184"/>
      <c r="H9876" s="184"/>
      <c r="I9876" s="184"/>
      <c r="J9876" s="184"/>
      <c r="K9876" s="184"/>
      <c r="L9876" s="184"/>
      <c r="M9876" s="184"/>
      <c r="N9876" s="184"/>
      <c r="O9876" s="184"/>
    </row>
    <row r="9877" customFormat="false" ht="15" hidden="false" customHeight="true" outlineLevel="0" collapsed="false">
      <c r="A9877" s="184"/>
      <c r="B9877" s="184"/>
      <c r="C9877" s="184"/>
      <c r="D9877" s="184"/>
      <c r="E9877" s="184"/>
      <c r="F9877" s="184"/>
      <c r="G9877" s="184"/>
      <c r="H9877" s="184"/>
      <c r="I9877" s="184"/>
      <c r="J9877" s="184"/>
      <c r="K9877" s="184"/>
      <c r="L9877" s="184"/>
      <c r="M9877" s="184"/>
      <c r="N9877" s="184"/>
      <c r="O9877" s="184"/>
    </row>
    <row r="9878" customFormat="false" ht="15" hidden="false" customHeight="true" outlineLevel="0" collapsed="false">
      <c r="A9878" s="184"/>
      <c r="B9878" s="184"/>
      <c r="C9878" s="184"/>
      <c r="D9878" s="184"/>
      <c r="E9878" s="184"/>
      <c r="F9878" s="184"/>
      <c r="G9878" s="184"/>
      <c r="H9878" s="184"/>
      <c r="I9878" s="184"/>
      <c r="J9878" s="184"/>
      <c r="K9878" s="184"/>
      <c r="L9878" s="184"/>
      <c r="M9878" s="184"/>
      <c r="N9878" s="184"/>
      <c r="O9878" s="184"/>
    </row>
    <row r="9879" customFormat="false" ht="15" hidden="false" customHeight="true" outlineLevel="0" collapsed="false">
      <c r="A9879" s="184"/>
      <c r="B9879" s="184"/>
      <c r="C9879" s="184"/>
      <c r="D9879" s="184"/>
      <c r="E9879" s="184"/>
      <c r="F9879" s="184"/>
      <c r="G9879" s="184"/>
      <c r="H9879" s="184"/>
      <c r="I9879" s="184"/>
      <c r="J9879" s="184"/>
      <c r="K9879" s="184"/>
      <c r="L9879" s="184"/>
      <c r="M9879" s="184"/>
      <c r="N9879" s="184"/>
      <c r="O9879" s="184"/>
    </row>
    <row r="9880" customFormat="false" ht="15" hidden="false" customHeight="true" outlineLevel="0" collapsed="false">
      <c r="A9880" s="184"/>
      <c r="B9880" s="184"/>
      <c r="C9880" s="184"/>
      <c r="D9880" s="184"/>
      <c r="E9880" s="184"/>
      <c r="F9880" s="184"/>
      <c r="G9880" s="184"/>
      <c r="H9880" s="184"/>
      <c r="I9880" s="184"/>
      <c r="J9880" s="184"/>
      <c r="K9880" s="184"/>
      <c r="L9880" s="184"/>
      <c r="M9880" s="184"/>
      <c r="N9880" s="184"/>
      <c r="O9880" s="184"/>
    </row>
    <row r="9881" customFormat="false" ht="15" hidden="false" customHeight="true" outlineLevel="0" collapsed="false">
      <c r="A9881" s="184"/>
      <c r="B9881" s="184"/>
      <c r="C9881" s="184"/>
      <c r="D9881" s="184"/>
      <c r="E9881" s="184"/>
      <c r="F9881" s="184"/>
      <c r="G9881" s="184"/>
      <c r="H9881" s="184"/>
      <c r="I9881" s="184"/>
      <c r="J9881" s="184"/>
      <c r="K9881" s="184"/>
      <c r="L9881" s="184"/>
      <c r="M9881" s="184"/>
      <c r="N9881" s="184"/>
      <c r="O9881" s="184"/>
    </row>
    <row r="9882" customFormat="false" ht="15" hidden="false" customHeight="true" outlineLevel="0" collapsed="false">
      <c r="A9882" s="184"/>
      <c r="B9882" s="184"/>
      <c r="C9882" s="184"/>
      <c r="D9882" s="184"/>
      <c r="E9882" s="184"/>
      <c r="F9882" s="184"/>
      <c r="G9882" s="184"/>
      <c r="H9882" s="184"/>
      <c r="I9882" s="184"/>
      <c r="J9882" s="184"/>
      <c r="K9882" s="184"/>
      <c r="L9882" s="184"/>
      <c r="M9882" s="184"/>
      <c r="N9882" s="184"/>
      <c r="O9882" s="184"/>
    </row>
    <row r="9883" customFormat="false" ht="15" hidden="false" customHeight="true" outlineLevel="0" collapsed="false">
      <c r="A9883" s="184"/>
      <c r="B9883" s="184"/>
      <c r="C9883" s="184"/>
      <c r="D9883" s="184"/>
      <c r="E9883" s="184"/>
      <c r="F9883" s="184"/>
      <c r="G9883" s="184"/>
      <c r="H9883" s="184"/>
      <c r="I9883" s="184"/>
      <c r="J9883" s="184"/>
      <c r="K9883" s="184"/>
      <c r="L9883" s="184"/>
      <c r="M9883" s="184"/>
      <c r="N9883" s="184"/>
      <c r="O9883" s="184"/>
    </row>
    <row r="9884" customFormat="false" ht="15" hidden="false" customHeight="true" outlineLevel="0" collapsed="false">
      <c r="A9884" s="184"/>
      <c r="B9884" s="184"/>
      <c r="C9884" s="184"/>
      <c r="D9884" s="184"/>
      <c r="E9884" s="184"/>
      <c r="F9884" s="184"/>
      <c r="G9884" s="184"/>
      <c r="H9884" s="184"/>
      <c r="I9884" s="184"/>
      <c r="J9884" s="184"/>
      <c r="K9884" s="184"/>
      <c r="L9884" s="184"/>
      <c r="M9884" s="184"/>
      <c r="N9884" s="184"/>
      <c r="O9884" s="184"/>
    </row>
    <row r="9885" customFormat="false" ht="15" hidden="false" customHeight="true" outlineLevel="0" collapsed="false">
      <c r="A9885" s="184"/>
      <c r="B9885" s="184"/>
      <c r="C9885" s="184"/>
      <c r="D9885" s="184"/>
      <c r="E9885" s="184"/>
      <c r="F9885" s="184"/>
      <c r="G9885" s="184"/>
      <c r="H9885" s="184"/>
      <c r="I9885" s="184"/>
      <c r="J9885" s="184"/>
      <c r="K9885" s="184"/>
      <c r="L9885" s="184"/>
      <c r="M9885" s="184"/>
      <c r="N9885" s="184"/>
      <c r="O9885" s="184"/>
    </row>
    <row r="9886" customFormat="false" ht="15" hidden="false" customHeight="true" outlineLevel="0" collapsed="false">
      <c r="A9886" s="184"/>
      <c r="B9886" s="184"/>
      <c r="C9886" s="184"/>
      <c r="D9886" s="184"/>
      <c r="E9886" s="184"/>
      <c r="F9886" s="184"/>
      <c r="G9886" s="184"/>
      <c r="H9886" s="184"/>
      <c r="I9886" s="184"/>
      <c r="J9886" s="184"/>
      <c r="K9886" s="184"/>
      <c r="L9886" s="184"/>
      <c r="M9886" s="184"/>
      <c r="N9886" s="184"/>
      <c r="O9886" s="184"/>
    </row>
    <row r="9887" customFormat="false" ht="15" hidden="false" customHeight="true" outlineLevel="0" collapsed="false">
      <c r="A9887" s="184"/>
      <c r="B9887" s="184"/>
      <c r="C9887" s="184"/>
      <c r="D9887" s="184"/>
      <c r="E9887" s="184"/>
      <c r="F9887" s="184"/>
      <c r="G9887" s="184"/>
      <c r="H9887" s="184"/>
      <c r="I9887" s="184"/>
      <c r="J9887" s="184"/>
      <c r="K9887" s="184"/>
      <c r="L9887" s="184"/>
      <c r="M9887" s="184"/>
      <c r="N9887" s="184"/>
      <c r="O9887" s="184"/>
    </row>
    <row r="9888" customFormat="false" ht="15" hidden="false" customHeight="true" outlineLevel="0" collapsed="false">
      <c r="A9888" s="184"/>
      <c r="B9888" s="184"/>
      <c r="C9888" s="184"/>
      <c r="D9888" s="184"/>
      <c r="E9888" s="184"/>
      <c r="F9888" s="184"/>
      <c r="G9888" s="184"/>
      <c r="H9888" s="184"/>
      <c r="I9888" s="184"/>
      <c r="J9888" s="184"/>
      <c r="K9888" s="184"/>
      <c r="L9888" s="184"/>
      <c r="M9888" s="184"/>
      <c r="N9888" s="184"/>
      <c r="O9888" s="184"/>
    </row>
    <row r="9889" customFormat="false" ht="15" hidden="false" customHeight="true" outlineLevel="0" collapsed="false">
      <c r="A9889" s="184"/>
      <c r="B9889" s="184"/>
      <c r="C9889" s="184"/>
      <c r="D9889" s="184"/>
      <c r="E9889" s="184"/>
      <c r="F9889" s="184"/>
      <c r="G9889" s="184"/>
      <c r="H9889" s="184"/>
      <c r="I9889" s="184"/>
      <c r="J9889" s="184"/>
      <c r="K9889" s="184"/>
      <c r="L9889" s="184"/>
      <c r="M9889" s="184"/>
      <c r="N9889" s="184"/>
      <c r="O9889" s="184"/>
    </row>
    <row r="9890" customFormat="false" ht="15" hidden="false" customHeight="true" outlineLevel="0" collapsed="false">
      <c r="A9890" s="184"/>
      <c r="B9890" s="184"/>
      <c r="C9890" s="184"/>
      <c r="D9890" s="184"/>
      <c r="E9890" s="184"/>
      <c r="F9890" s="184"/>
      <c r="G9890" s="184"/>
      <c r="H9890" s="184"/>
      <c r="I9890" s="184"/>
      <c r="J9890" s="184"/>
      <c r="K9890" s="184"/>
      <c r="L9890" s="184"/>
      <c r="M9890" s="184"/>
      <c r="N9890" s="184"/>
      <c r="O9890" s="184"/>
    </row>
    <row r="9891" customFormat="false" ht="15" hidden="false" customHeight="true" outlineLevel="0" collapsed="false">
      <c r="A9891" s="184"/>
      <c r="B9891" s="184"/>
      <c r="C9891" s="184"/>
      <c r="D9891" s="184"/>
      <c r="E9891" s="184"/>
      <c r="F9891" s="184"/>
      <c r="G9891" s="184"/>
      <c r="H9891" s="184"/>
      <c r="I9891" s="184"/>
      <c r="J9891" s="184"/>
      <c r="K9891" s="184"/>
      <c r="L9891" s="184"/>
      <c r="M9891" s="184"/>
      <c r="N9891" s="184"/>
      <c r="O9891" s="184"/>
    </row>
    <row r="9892" customFormat="false" ht="15" hidden="false" customHeight="true" outlineLevel="0" collapsed="false">
      <c r="A9892" s="184"/>
      <c r="B9892" s="184"/>
      <c r="C9892" s="184"/>
      <c r="D9892" s="184"/>
      <c r="E9892" s="184"/>
      <c r="F9892" s="184"/>
      <c r="G9892" s="184"/>
      <c r="H9892" s="184"/>
      <c r="I9892" s="184"/>
      <c r="J9892" s="184"/>
      <c r="K9892" s="184"/>
      <c r="L9892" s="184"/>
      <c r="M9892" s="184"/>
      <c r="N9892" s="184"/>
      <c r="O9892" s="184"/>
    </row>
    <row r="9893" customFormat="false" ht="15" hidden="false" customHeight="true" outlineLevel="0" collapsed="false">
      <c r="A9893" s="184"/>
      <c r="B9893" s="184"/>
      <c r="C9893" s="184"/>
      <c r="D9893" s="184"/>
      <c r="E9893" s="184"/>
      <c r="F9893" s="184"/>
      <c r="G9893" s="184"/>
      <c r="H9893" s="184"/>
      <c r="I9893" s="184"/>
      <c r="J9893" s="184"/>
      <c r="K9893" s="184"/>
      <c r="L9893" s="184"/>
      <c r="M9893" s="184"/>
      <c r="N9893" s="184"/>
      <c r="O9893" s="184"/>
    </row>
    <row r="9894" customFormat="false" ht="15" hidden="false" customHeight="true" outlineLevel="0" collapsed="false">
      <c r="A9894" s="184"/>
      <c r="B9894" s="184"/>
      <c r="C9894" s="184"/>
      <c r="D9894" s="184"/>
      <c r="E9894" s="184"/>
      <c r="F9894" s="184"/>
      <c r="G9894" s="184"/>
      <c r="H9894" s="184"/>
      <c r="I9894" s="184"/>
      <c r="J9894" s="184"/>
      <c r="K9894" s="184"/>
      <c r="L9894" s="184"/>
      <c r="M9894" s="184"/>
      <c r="N9894" s="184"/>
      <c r="O9894" s="184"/>
    </row>
    <row r="9895" customFormat="false" ht="15" hidden="false" customHeight="true" outlineLevel="0" collapsed="false">
      <c r="A9895" s="184"/>
      <c r="B9895" s="184"/>
      <c r="C9895" s="184"/>
      <c r="D9895" s="184"/>
      <c r="E9895" s="184"/>
      <c r="F9895" s="184"/>
      <c r="G9895" s="184"/>
      <c r="H9895" s="184"/>
      <c r="I9895" s="184"/>
      <c r="J9895" s="184"/>
      <c r="K9895" s="184"/>
      <c r="L9895" s="184"/>
      <c r="M9895" s="184"/>
      <c r="N9895" s="184"/>
      <c r="O9895" s="184"/>
    </row>
    <row r="9896" customFormat="false" ht="15" hidden="false" customHeight="true" outlineLevel="0" collapsed="false">
      <c r="A9896" s="184"/>
      <c r="B9896" s="184"/>
      <c r="C9896" s="184"/>
      <c r="D9896" s="184"/>
      <c r="E9896" s="184"/>
      <c r="F9896" s="184"/>
      <c r="G9896" s="184"/>
      <c r="H9896" s="184"/>
      <c r="I9896" s="184"/>
      <c r="J9896" s="184"/>
      <c r="K9896" s="184"/>
      <c r="L9896" s="184"/>
      <c r="M9896" s="184"/>
      <c r="N9896" s="184"/>
      <c r="O9896" s="184"/>
    </row>
    <row r="9897" customFormat="false" ht="15" hidden="false" customHeight="true" outlineLevel="0" collapsed="false">
      <c r="A9897" s="184"/>
      <c r="B9897" s="184"/>
      <c r="C9897" s="184"/>
      <c r="D9897" s="184"/>
      <c r="E9897" s="184"/>
      <c r="F9897" s="184"/>
      <c r="G9897" s="184"/>
      <c r="H9897" s="184"/>
      <c r="I9897" s="184"/>
      <c r="J9897" s="184"/>
      <c r="K9897" s="184"/>
      <c r="L9897" s="184"/>
      <c r="M9897" s="184"/>
      <c r="N9897" s="184"/>
      <c r="O9897" s="184"/>
    </row>
    <row r="9898" customFormat="false" ht="15" hidden="false" customHeight="true" outlineLevel="0" collapsed="false">
      <c r="A9898" s="184"/>
      <c r="B9898" s="184"/>
      <c r="C9898" s="184"/>
      <c r="D9898" s="184"/>
      <c r="E9898" s="184"/>
      <c r="F9898" s="184"/>
      <c r="G9898" s="184"/>
      <c r="H9898" s="184"/>
      <c r="I9898" s="184"/>
      <c r="J9898" s="184"/>
      <c r="K9898" s="184"/>
      <c r="L9898" s="184"/>
      <c r="M9898" s="184"/>
      <c r="N9898" s="184"/>
      <c r="O9898" s="184"/>
    </row>
    <row r="9899" customFormat="false" ht="15" hidden="false" customHeight="true" outlineLevel="0" collapsed="false">
      <c r="A9899" s="184"/>
      <c r="B9899" s="184"/>
      <c r="C9899" s="184"/>
      <c r="D9899" s="184"/>
      <c r="E9899" s="184"/>
      <c r="F9899" s="184"/>
      <c r="G9899" s="184"/>
      <c r="H9899" s="184"/>
      <c r="I9899" s="184"/>
      <c r="J9899" s="184"/>
      <c r="K9899" s="184"/>
      <c r="L9899" s="184"/>
      <c r="M9899" s="184"/>
      <c r="N9899" s="184"/>
      <c r="O9899" s="184"/>
    </row>
    <row r="9900" customFormat="false" ht="15" hidden="false" customHeight="true" outlineLevel="0" collapsed="false">
      <c r="A9900" s="184"/>
      <c r="B9900" s="184"/>
      <c r="C9900" s="184"/>
      <c r="D9900" s="184"/>
      <c r="E9900" s="184"/>
      <c r="F9900" s="184"/>
      <c r="G9900" s="184"/>
      <c r="H9900" s="184"/>
      <c r="I9900" s="184"/>
      <c r="J9900" s="184"/>
      <c r="K9900" s="184"/>
      <c r="L9900" s="184"/>
      <c r="M9900" s="184"/>
      <c r="N9900" s="184"/>
      <c r="O9900" s="184"/>
    </row>
    <row r="9901" customFormat="false" ht="15" hidden="false" customHeight="true" outlineLevel="0" collapsed="false">
      <c r="A9901" s="184"/>
      <c r="B9901" s="184"/>
      <c r="C9901" s="184"/>
      <c r="D9901" s="184"/>
      <c r="E9901" s="184"/>
      <c r="F9901" s="184"/>
      <c r="G9901" s="184"/>
      <c r="H9901" s="184"/>
      <c r="I9901" s="184"/>
      <c r="J9901" s="184"/>
      <c r="K9901" s="184"/>
      <c r="L9901" s="184"/>
      <c r="M9901" s="184"/>
      <c r="N9901" s="184"/>
      <c r="O9901" s="184"/>
    </row>
    <row r="9902" customFormat="false" ht="15" hidden="false" customHeight="true" outlineLevel="0" collapsed="false">
      <c r="A9902" s="184"/>
      <c r="B9902" s="184"/>
      <c r="C9902" s="184"/>
      <c r="D9902" s="184"/>
      <c r="E9902" s="184"/>
      <c r="F9902" s="184"/>
      <c r="G9902" s="184"/>
      <c r="H9902" s="184"/>
      <c r="I9902" s="184"/>
      <c r="J9902" s="184"/>
      <c r="K9902" s="184"/>
      <c r="L9902" s="184"/>
      <c r="M9902" s="184"/>
      <c r="N9902" s="184"/>
      <c r="O9902" s="184"/>
    </row>
    <row r="9903" customFormat="false" ht="15" hidden="false" customHeight="true" outlineLevel="0" collapsed="false">
      <c r="A9903" s="184"/>
      <c r="B9903" s="184"/>
      <c r="C9903" s="184"/>
      <c r="D9903" s="184"/>
      <c r="E9903" s="184"/>
      <c r="F9903" s="184"/>
      <c r="G9903" s="184"/>
      <c r="H9903" s="184"/>
      <c r="I9903" s="184"/>
      <c r="J9903" s="184"/>
      <c r="K9903" s="184"/>
      <c r="L9903" s="184"/>
      <c r="M9903" s="184"/>
      <c r="N9903" s="184"/>
      <c r="O9903" s="184"/>
    </row>
    <row r="9904" customFormat="false" ht="15" hidden="false" customHeight="true" outlineLevel="0" collapsed="false">
      <c r="A9904" s="184"/>
      <c r="B9904" s="184"/>
      <c r="C9904" s="184"/>
      <c r="D9904" s="184"/>
      <c r="E9904" s="184"/>
      <c r="F9904" s="184"/>
      <c r="G9904" s="184"/>
      <c r="H9904" s="184"/>
      <c r="I9904" s="184"/>
      <c r="J9904" s="184"/>
      <c r="K9904" s="184"/>
      <c r="L9904" s="184"/>
      <c r="M9904" s="184"/>
      <c r="N9904" s="184"/>
      <c r="O9904" s="184"/>
    </row>
    <row r="9905" customFormat="false" ht="15" hidden="false" customHeight="true" outlineLevel="0" collapsed="false">
      <c r="A9905" s="184"/>
      <c r="B9905" s="184"/>
      <c r="C9905" s="184"/>
      <c r="D9905" s="184"/>
      <c r="E9905" s="184"/>
      <c r="F9905" s="184"/>
      <c r="G9905" s="184"/>
      <c r="H9905" s="184"/>
      <c r="I9905" s="184"/>
      <c r="J9905" s="184"/>
      <c r="K9905" s="184"/>
      <c r="L9905" s="184"/>
      <c r="M9905" s="184"/>
      <c r="N9905" s="184"/>
      <c r="O9905" s="184"/>
    </row>
    <row r="9906" customFormat="false" ht="15" hidden="false" customHeight="true" outlineLevel="0" collapsed="false">
      <c r="A9906" s="184"/>
      <c r="B9906" s="184"/>
      <c r="C9906" s="184"/>
      <c r="D9906" s="184"/>
      <c r="E9906" s="184"/>
      <c r="F9906" s="184"/>
      <c r="G9906" s="184"/>
      <c r="H9906" s="184"/>
      <c r="I9906" s="184"/>
      <c r="J9906" s="184"/>
      <c r="K9906" s="184"/>
      <c r="L9906" s="184"/>
      <c r="M9906" s="184"/>
      <c r="N9906" s="184"/>
      <c r="O9906" s="184"/>
    </row>
    <row r="9907" customFormat="false" ht="15" hidden="false" customHeight="true" outlineLevel="0" collapsed="false">
      <c r="A9907" s="184"/>
      <c r="B9907" s="184"/>
      <c r="C9907" s="184"/>
      <c r="D9907" s="184"/>
      <c r="E9907" s="184"/>
      <c r="F9907" s="184"/>
      <c r="G9907" s="184"/>
      <c r="H9907" s="184"/>
      <c r="I9907" s="184"/>
      <c r="J9907" s="184"/>
      <c r="K9907" s="184"/>
      <c r="L9907" s="184"/>
      <c r="M9907" s="184"/>
      <c r="N9907" s="184"/>
      <c r="O9907" s="184"/>
    </row>
    <row r="9908" customFormat="false" ht="15" hidden="false" customHeight="true" outlineLevel="0" collapsed="false">
      <c r="A9908" s="184"/>
      <c r="B9908" s="184"/>
      <c r="C9908" s="184"/>
      <c r="D9908" s="184"/>
      <c r="E9908" s="184"/>
      <c r="F9908" s="184"/>
      <c r="G9908" s="184"/>
      <c r="H9908" s="184"/>
      <c r="I9908" s="184"/>
      <c r="J9908" s="184"/>
      <c r="K9908" s="184"/>
      <c r="L9908" s="184"/>
      <c r="M9908" s="184"/>
      <c r="N9908" s="184"/>
      <c r="O9908" s="184"/>
    </row>
    <row r="9909" customFormat="false" ht="15" hidden="false" customHeight="true" outlineLevel="0" collapsed="false">
      <c r="A9909" s="184"/>
      <c r="B9909" s="184"/>
      <c r="C9909" s="184"/>
      <c r="D9909" s="184"/>
      <c r="E9909" s="184"/>
      <c r="F9909" s="184"/>
      <c r="G9909" s="184"/>
      <c r="H9909" s="184"/>
      <c r="I9909" s="184"/>
      <c r="J9909" s="184"/>
      <c r="K9909" s="184"/>
      <c r="L9909" s="184"/>
      <c r="M9909" s="184"/>
      <c r="N9909" s="184"/>
      <c r="O9909" s="184"/>
    </row>
    <row r="9910" customFormat="false" ht="15" hidden="false" customHeight="true" outlineLevel="0" collapsed="false">
      <c r="A9910" s="184"/>
      <c r="B9910" s="184"/>
      <c r="C9910" s="184"/>
      <c r="D9910" s="184"/>
      <c r="E9910" s="184"/>
      <c r="F9910" s="184"/>
      <c r="G9910" s="184"/>
      <c r="H9910" s="184"/>
      <c r="I9910" s="184"/>
      <c r="J9910" s="184"/>
      <c r="K9910" s="184"/>
      <c r="L9910" s="184"/>
      <c r="M9910" s="184"/>
      <c r="N9910" s="184"/>
      <c r="O9910" s="184"/>
    </row>
    <row r="9911" customFormat="false" ht="15" hidden="false" customHeight="true" outlineLevel="0" collapsed="false">
      <c r="A9911" s="184"/>
      <c r="B9911" s="184"/>
      <c r="C9911" s="184"/>
      <c r="D9911" s="184"/>
      <c r="E9911" s="184"/>
      <c r="F9911" s="184"/>
      <c r="G9911" s="184"/>
      <c r="H9911" s="184"/>
      <c r="I9911" s="184"/>
      <c r="J9911" s="184"/>
      <c r="K9911" s="184"/>
      <c r="L9911" s="184"/>
      <c r="M9911" s="184"/>
      <c r="N9911" s="184"/>
      <c r="O9911" s="184"/>
    </row>
    <row r="9912" customFormat="false" ht="15" hidden="false" customHeight="true" outlineLevel="0" collapsed="false">
      <c r="A9912" s="184"/>
      <c r="B9912" s="184"/>
      <c r="C9912" s="184"/>
      <c r="D9912" s="184"/>
      <c r="E9912" s="184"/>
      <c r="F9912" s="184"/>
      <c r="G9912" s="184"/>
      <c r="H9912" s="184"/>
      <c r="I9912" s="184"/>
      <c r="J9912" s="184"/>
      <c r="K9912" s="184"/>
      <c r="L9912" s="184"/>
      <c r="M9912" s="184"/>
      <c r="N9912" s="184"/>
      <c r="O9912" s="184"/>
    </row>
    <row r="9913" customFormat="false" ht="15" hidden="false" customHeight="true" outlineLevel="0" collapsed="false">
      <c r="A9913" s="184"/>
      <c r="B9913" s="184"/>
      <c r="C9913" s="184"/>
      <c r="D9913" s="184"/>
      <c r="E9913" s="184"/>
      <c r="F9913" s="184"/>
      <c r="G9913" s="184"/>
      <c r="H9913" s="184"/>
      <c r="I9913" s="184"/>
      <c r="J9913" s="184"/>
      <c r="K9913" s="184"/>
      <c r="L9913" s="184"/>
      <c r="M9913" s="184"/>
      <c r="N9913" s="184"/>
      <c r="O9913" s="184"/>
    </row>
    <row r="9914" customFormat="false" ht="15" hidden="false" customHeight="true" outlineLevel="0" collapsed="false">
      <c r="A9914" s="184"/>
      <c r="B9914" s="184"/>
      <c r="C9914" s="184"/>
      <c r="D9914" s="184"/>
      <c r="E9914" s="184"/>
      <c r="F9914" s="184"/>
      <c r="G9914" s="184"/>
      <c r="H9914" s="184"/>
      <c r="I9914" s="184"/>
      <c r="J9914" s="184"/>
      <c r="K9914" s="184"/>
      <c r="L9914" s="184"/>
      <c r="M9914" s="184"/>
      <c r="N9914" s="184"/>
      <c r="O9914" s="184"/>
    </row>
    <row r="9915" customFormat="false" ht="15" hidden="false" customHeight="true" outlineLevel="0" collapsed="false">
      <c r="A9915" s="184"/>
      <c r="B9915" s="184"/>
      <c r="C9915" s="184"/>
      <c r="D9915" s="184"/>
      <c r="E9915" s="184"/>
      <c r="F9915" s="184"/>
      <c r="G9915" s="184"/>
      <c r="H9915" s="184"/>
      <c r="I9915" s="184"/>
      <c r="J9915" s="184"/>
      <c r="K9915" s="184"/>
      <c r="L9915" s="184"/>
      <c r="M9915" s="184"/>
      <c r="N9915" s="184"/>
      <c r="O9915" s="184"/>
    </row>
    <row r="9916" customFormat="false" ht="15" hidden="false" customHeight="true" outlineLevel="0" collapsed="false">
      <c r="A9916" s="184"/>
      <c r="B9916" s="184"/>
      <c r="C9916" s="184"/>
      <c r="D9916" s="184"/>
      <c r="E9916" s="184"/>
      <c r="F9916" s="184"/>
      <c r="G9916" s="184"/>
      <c r="H9916" s="184"/>
      <c r="I9916" s="184"/>
      <c r="J9916" s="184"/>
      <c r="K9916" s="184"/>
      <c r="L9916" s="184"/>
      <c r="M9916" s="184"/>
      <c r="N9916" s="184"/>
      <c r="O9916" s="184"/>
    </row>
    <row r="9917" customFormat="false" ht="15" hidden="false" customHeight="true" outlineLevel="0" collapsed="false">
      <c r="A9917" s="184"/>
      <c r="B9917" s="184"/>
      <c r="C9917" s="184"/>
      <c r="D9917" s="184"/>
      <c r="E9917" s="184"/>
      <c r="F9917" s="184"/>
      <c r="G9917" s="184"/>
      <c r="H9917" s="184"/>
      <c r="I9917" s="184"/>
      <c r="J9917" s="184"/>
      <c r="K9917" s="184"/>
      <c r="L9917" s="184"/>
      <c r="M9917" s="184"/>
      <c r="N9917" s="184"/>
      <c r="O9917" s="184"/>
    </row>
    <row r="9918" customFormat="false" ht="15" hidden="false" customHeight="true" outlineLevel="0" collapsed="false">
      <c r="A9918" s="184"/>
      <c r="B9918" s="184"/>
      <c r="C9918" s="184"/>
      <c r="D9918" s="184"/>
      <c r="E9918" s="184"/>
      <c r="F9918" s="184"/>
      <c r="G9918" s="184"/>
      <c r="H9918" s="184"/>
      <c r="I9918" s="184"/>
      <c r="J9918" s="184"/>
      <c r="K9918" s="184"/>
      <c r="L9918" s="184"/>
      <c r="M9918" s="184"/>
      <c r="N9918" s="184"/>
      <c r="O9918" s="184"/>
    </row>
    <row r="9919" customFormat="false" ht="15" hidden="false" customHeight="true" outlineLevel="0" collapsed="false">
      <c r="A9919" s="184"/>
      <c r="B9919" s="184"/>
      <c r="C9919" s="184"/>
      <c r="D9919" s="184"/>
      <c r="E9919" s="184"/>
      <c r="F9919" s="184"/>
      <c r="G9919" s="184"/>
      <c r="H9919" s="184"/>
      <c r="I9919" s="184"/>
      <c r="J9919" s="184"/>
      <c r="K9919" s="184"/>
      <c r="L9919" s="184"/>
      <c r="M9919" s="184"/>
      <c r="N9919" s="184"/>
      <c r="O9919" s="184"/>
    </row>
    <row r="9920" customFormat="false" ht="15" hidden="false" customHeight="true" outlineLevel="0" collapsed="false">
      <c r="A9920" s="184"/>
      <c r="B9920" s="184"/>
      <c r="C9920" s="184"/>
      <c r="D9920" s="184"/>
      <c r="E9920" s="184"/>
      <c r="F9920" s="184"/>
      <c r="G9920" s="184"/>
      <c r="H9920" s="184"/>
      <c r="I9920" s="184"/>
      <c r="J9920" s="184"/>
      <c r="K9920" s="184"/>
      <c r="L9920" s="184"/>
      <c r="M9920" s="184"/>
      <c r="N9920" s="184"/>
      <c r="O9920" s="184"/>
    </row>
    <row r="9921" customFormat="false" ht="15" hidden="false" customHeight="true" outlineLevel="0" collapsed="false">
      <c r="A9921" s="184"/>
      <c r="B9921" s="184"/>
      <c r="C9921" s="184"/>
      <c r="D9921" s="184"/>
      <c r="E9921" s="184"/>
      <c r="F9921" s="184"/>
      <c r="G9921" s="184"/>
      <c r="H9921" s="184"/>
      <c r="I9921" s="184"/>
      <c r="J9921" s="184"/>
      <c r="K9921" s="184"/>
      <c r="L9921" s="184"/>
      <c r="M9921" s="184"/>
      <c r="N9921" s="184"/>
      <c r="O9921" s="184"/>
    </row>
    <row r="9922" customFormat="false" ht="15" hidden="false" customHeight="true" outlineLevel="0" collapsed="false">
      <c r="A9922" s="184"/>
      <c r="B9922" s="184"/>
      <c r="C9922" s="184"/>
      <c r="D9922" s="184"/>
      <c r="E9922" s="184"/>
      <c r="F9922" s="184"/>
      <c r="G9922" s="184"/>
      <c r="H9922" s="184"/>
      <c r="I9922" s="184"/>
      <c r="J9922" s="184"/>
      <c r="K9922" s="184"/>
      <c r="L9922" s="184"/>
      <c r="M9922" s="184"/>
      <c r="N9922" s="184"/>
      <c r="O9922" s="184"/>
    </row>
    <row r="9923" customFormat="false" ht="15" hidden="false" customHeight="true" outlineLevel="0" collapsed="false">
      <c r="A9923" s="184"/>
      <c r="B9923" s="184"/>
      <c r="C9923" s="184"/>
      <c r="D9923" s="184"/>
      <c r="E9923" s="184"/>
      <c r="F9923" s="184"/>
      <c r="G9923" s="184"/>
      <c r="H9923" s="184"/>
      <c r="I9923" s="184"/>
      <c r="J9923" s="184"/>
      <c r="K9923" s="184"/>
      <c r="L9923" s="184"/>
      <c r="M9923" s="184"/>
      <c r="N9923" s="184"/>
      <c r="O9923" s="184"/>
    </row>
    <row r="9924" customFormat="false" ht="15" hidden="false" customHeight="true" outlineLevel="0" collapsed="false">
      <c r="A9924" s="184"/>
      <c r="B9924" s="184"/>
      <c r="C9924" s="184"/>
      <c r="D9924" s="184"/>
      <c r="E9924" s="184"/>
      <c r="F9924" s="184"/>
      <c r="G9924" s="184"/>
      <c r="H9924" s="184"/>
      <c r="I9924" s="184"/>
      <c r="J9924" s="184"/>
      <c r="K9924" s="184"/>
      <c r="L9924" s="184"/>
      <c r="M9924" s="184"/>
      <c r="N9924" s="184"/>
      <c r="O9924" s="184"/>
    </row>
    <row r="9925" customFormat="false" ht="15" hidden="false" customHeight="true" outlineLevel="0" collapsed="false">
      <c r="A9925" s="184"/>
      <c r="B9925" s="184"/>
      <c r="C9925" s="184"/>
      <c r="D9925" s="184"/>
      <c r="E9925" s="184"/>
      <c r="F9925" s="184"/>
      <c r="G9925" s="184"/>
      <c r="H9925" s="184"/>
      <c r="I9925" s="184"/>
      <c r="J9925" s="184"/>
      <c r="K9925" s="184"/>
      <c r="L9925" s="184"/>
      <c r="M9925" s="184"/>
      <c r="N9925" s="184"/>
      <c r="O9925" s="184"/>
    </row>
    <row r="9926" customFormat="false" ht="15" hidden="false" customHeight="true" outlineLevel="0" collapsed="false">
      <c r="A9926" s="184"/>
      <c r="B9926" s="184"/>
      <c r="C9926" s="184"/>
      <c r="D9926" s="184"/>
      <c r="E9926" s="184"/>
      <c r="F9926" s="184"/>
      <c r="G9926" s="184"/>
      <c r="H9926" s="184"/>
      <c r="I9926" s="184"/>
      <c r="J9926" s="184"/>
      <c r="K9926" s="184"/>
      <c r="L9926" s="184"/>
      <c r="M9926" s="184"/>
      <c r="N9926" s="184"/>
      <c r="O9926" s="184"/>
    </row>
    <row r="9927" customFormat="false" ht="15" hidden="false" customHeight="true" outlineLevel="0" collapsed="false">
      <c r="A9927" s="184"/>
      <c r="B9927" s="184"/>
      <c r="C9927" s="184"/>
      <c r="D9927" s="184"/>
      <c r="E9927" s="184"/>
      <c r="F9927" s="184"/>
      <c r="G9927" s="184"/>
      <c r="H9927" s="184"/>
      <c r="I9927" s="184"/>
      <c r="J9927" s="184"/>
      <c r="K9927" s="184"/>
      <c r="L9927" s="184"/>
      <c r="M9927" s="184"/>
      <c r="N9927" s="184"/>
      <c r="O9927" s="184"/>
    </row>
    <row r="9928" customFormat="false" ht="15" hidden="false" customHeight="true" outlineLevel="0" collapsed="false">
      <c r="A9928" s="184"/>
      <c r="B9928" s="184"/>
      <c r="C9928" s="184"/>
      <c r="D9928" s="184"/>
      <c r="E9928" s="184"/>
      <c r="F9928" s="184"/>
      <c r="G9928" s="184"/>
      <c r="H9928" s="184"/>
      <c r="I9928" s="184"/>
      <c r="J9928" s="184"/>
      <c r="K9928" s="184"/>
      <c r="L9928" s="184"/>
      <c r="M9928" s="184"/>
      <c r="N9928" s="184"/>
      <c r="O9928" s="184"/>
    </row>
    <row r="9929" customFormat="false" ht="15" hidden="false" customHeight="true" outlineLevel="0" collapsed="false">
      <c r="A9929" s="184"/>
      <c r="B9929" s="184"/>
      <c r="C9929" s="184"/>
      <c r="D9929" s="184"/>
      <c r="E9929" s="184"/>
      <c r="F9929" s="184"/>
      <c r="G9929" s="184"/>
      <c r="H9929" s="184"/>
      <c r="I9929" s="184"/>
      <c r="J9929" s="184"/>
      <c r="K9929" s="184"/>
      <c r="L9929" s="184"/>
      <c r="M9929" s="184"/>
      <c r="N9929" s="184"/>
      <c r="O9929" s="184"/>
    </row>
    <row r="9930" customFormat="false" ht="15" hidden="false" customHeight="true" outlineLevel="0" collapsed="false">
      <c r="A9930" s="184"/>
      <c r="B9930" s="184"/>
      <c r="C9930" s="184"/>
      <c r="D9930" s="184"/>
      <c r="E9930" s="184"/>
      <c r="F9930" s="184"/>
      <c r="G9930" s="184"/>
      <c r="H9930" s="184"/>
      <c r="I9930" s="184"/>
      <c r="J9930" s="184"/>
      <c r="K9930" s="184"/>
      <c r="L9930" s="184"/>
      <c r="M9930" s="184"/>
      <c r="N9930" s="184"/>
      <c r="O9930" s="184"/>
    </row>
    <row r="9931" customFormat="false" ht="15" hidden="false" customHeight="true" outlineLevel="0" collapsed="false">
      <c r="A9931" s="184"/>
      <c r="B9931" s="184"/>
      <c r="C9931" s="184"/>
      <c r="D9931" s="184"/>
      <c r="E9931" s="184"/>
      <c r="F9931" s="184"/>
      <c r="G9931" s="184"/>
      <c r="H9931" s="184"/>
      <c r="I9931" s="184"/>
      <c r="J9931" s="184"/>
      <c r="K9931" s="184"/>
      <c r="L9931" s="184"/>
      <c r="M9931" s="184"/>
      <c r="N9931" s="184"/>
      <c r="O9931" s="184"/>
    </row>
    <row r="9932" customFormat="false" ht="15" hidden="false" customHeight="true" outlineLevel="0" collapsed="false">
      <c r="A9932" s="184"/>
      <c r="B9932" s="184"/>
      <c r="C9932" s="184"/>
      <c r="D9932" s="184"/>
      <c r="E9932" s="184"/>
      <c r="F9932" s="184"/>
      <c r="G9932" s="184"/>
      <c r="H9932" s="184"/>
      <c r="I9932" s="184"/>
      <c r="J9932" s="184"/>
      <c r="K9932" s="184"/>
      <c r="L9932" s="184"/>
      <c r="M9932" s="184"/>
      <c r="N9932" s="184"/>
      <c r="O9932" s="184"/>
    </row>
    <row r="9933" customFormat="false" ht="15" hidden="false" customHeight="true" outlineLevel="0" collapsed="false">
      <c r="A9933" s="184"/>
      <c r="B9933" s="184"/>
      <c r="C9933" s="184"/>
      <c r="D9933" s="184"/>
      <c r="E9933" s="184"/>
      <c r="F9933" s="184"/>
      <c r="G9933" s="184"/>
      <c r="H9933" s="184"/>
      <c r="I9933" s="184"/>
      <c r="J9933" s="184"/>
      <c r="K9933" s="184"/>
      <c r="L9933" s="184"/>
      <c r="M9933" s="184"/>
      <c r="N9933" s="184"/>
      <c r="O9933" s="184"/>
    </row>
    <row r="9934" customFormat="false" ht="15" hidden="false" customHeight="true" outlineLevel="0" collapsed="false">
      <c r="A9934" s="184"/>
      <c r="B9934" s="184"/>
      <c r="C9934" s="184"/>
      <c r="D9934" s="184"/>
      <c r="E9934" s="184"/>
      <c r="F9934" s="184"/>
      <c r="G9934" s="184"/>
      <c r="H9934" s="184"/>
      <c r="I9934" s="184"/>
      <c r="J9934" s="184"/>
      <c r="K9934" s="184"/>
      <c r="L9934" s="184"/>
      <c r="M9934" s="184"/>
      <c r="N9934" s="184"/>
      <c r="O9934" s="184"/>
    </row>
    <row r="9935" customFormat="false" ht="15" hidden="false" customHeight="true" outlineLevel="0" collapsed="false">
      <c r="A9935" s="184"/>
      <c r="B9935" s="184"/>
      <c r="C9935" s="184"/>
      <c r="D9935" s="184"/>
      <c r="E9935" s="184"/>
      <c r="F9935" s="184"/>
      <c r="G9935" s="184"/>
      <c r="H9935" s="184"/>
      <c r="I9935" s="184"/>
      <c r="J9935" s="184"/>
      <c r="K9935" s="184"/>
      <c r="L9935" s="184"/>
      <c r="M9935" s="184"/>
      <c r="N9935" s="184"/>
      <c r="O9935" s="184"/>
    </row>
    <row r="9936" customFormat="false" ht="15" hidden="false" customHeight="true" outlineLevel="0" collapsed="false">
      <c r="A9936" s="184"/>
      <c r="B9936" s="184"/>
      <c r="C9936" s="184"/>
      <c r="D9936" s="184"/>
      <c r="E9936" s="184"/>
      <c r="F9936" s="184"/>
      <c r="G9936" s="184"/>
      <c r="H9936" s="184"/>
      <c r="I9936" s="184"/>
      <c r="J9936" s="184"/>
      <c r="K9936" s="184"/>
      <c r="L9936" s="184"/>
      <c r="M9936" s="184"/>
      <c r="N9936" s="184"/>
      <c r="O9936" s="184"/>
    </row>
    <row r="9937" customFormat="false" ht="15" hidden="false" customHeight="true" outlineLevel="0" collapsed="false">
      <c r="A9937" s="184"/>
      <c r="B9937" s="184"/>
      <c r="C9937" s="184"/>
      <c r="D9937" s="184"/>
      <c r="E9937" s="184"/>
      <c r="F9937" s="184"/>
      <c r="G9937" s="184"/>
      <c r="H9937" s="184"/>
      <c r="I9937" s="184"/>
      <c r="J9937" s="184"/>
      <c r="K9937" s="184"/>
      <c r="L9937" s="184"/>
      <c r="M9937" s="184"/>
      <c r="N9937" s="184"/>
      <c r="O9937" s="184"/>
    </row>
    <row r="9938" customFormat="false" ht="15" hidden="false" customHeight="true" outlineLevel="0" collapsed="false">
      <c r="A9938" s="184"/>
      <c r="B9938" s="184"/>
      <c r="C9938" s="184"/>
      <c r="D9938" s="184"/>
      <c r="E9938" s="184"/>
      <c r="F9938" s="184"/>
      <c r="G9938" s="184"/>
      <c r="H9938" s="184"/>
      <c r="I9938" s="184"/>
      <c r="J9938" s="184"/>
      <c r="K9938" s="184"/>
      <c r="L9938" s="184"/>
      <c r="M9938" s="184"/>
      <c r="N9938" s="184"/>
      <c r="O9938" s="184"/>
    </row>
    <row r="9939" customFormat="false" ht="15" hidden="false" customHeight="true" outlineLevel="0" collapsed="false">
      <c r="A9939" s="184"/>
      <c r="B9939" s="184"/>
      <c r="C9939" s="184"/>
      <c r="D9939" s="184"/>
      <c r="E9939" s="184"/>
      <c r="F9939" s="184"/>
      <c r="G9939" s="184"/>
      <c r="H9939" s="184"/>
      <c r="I9939" s="184"/>
      <c r="J9939" s="184"/>
      <c r="K9939" s="184"/>
      <c r="L9939" s="184"/>
      <c r="M9939" s="184"/>
      <c r="N9939" s="184"/>
      <c r="O9939" s="184"/>
    </row>
    <row r="9940" customFormat="false" ht="15" hidden="false" customHeight="true" outlineLevel="0" collapsed="false">
      <c r="A9940" s="184"/>
      <c r="B9940" s="184"/>
      <c r="C9940" s="184"/>
      <c r="D9940" s="184"/>
      <c r="E9940" s="184"/>
      <c r="F9940" s="184"/>
      <c r="G9940" s="184"/>
      <c r="H9940" s="184"/>
      <c r="I9940" s="184"/>
      <c r="J9940" s="184"/>
      <c r="K9940" s="184"/>
      <c r="L9940" s="184"/>
      <c r="M9940" s="184"/>
      <c r="N9940" s="184"/>
      <c r="O9940" s="184"/>
    </row>
    <row r="9941" customFormat="false" ht="15" hidden="false" customHeight="true" outlineLevel="0" collapsed="false">
      <c r="A9941" s="184"/>
      <c r="B9941" s="184"/>
      <c r="C9941" s="184"/>
      <c r="D9941" s="184"/>
      <c r="E9941" s="184"/>
      <c r="F9941" s="184"/>
      <c r="G9941" s="184"/>
      <c r="H9941" s="184"/>
      <c r="I9941" s="184"/>
      <c r="J9941" s="184"/>
      <c r="K9941" s="184"/>
      <c r="L9941" s="184"/>
      <c r="M9941" s="184"/>
      <c r="N9941" s="184"/>
      <c r="O9941" s="184"/>
    </row>
    <row r="9942" customFormat="false" ht="15" hidden="false" customHeight="true" outlineLevel="0" collapsed="false">
      <c r="A9942" s="184"/>
      <c r="B9942" s="184"/>
      <c r="C9942" s="184"/>
      <c r="D9942" s="184"/>
      <c r="E9942" s="184"/>
      <c r="F9942" s="184"/>
      <c r="G9942" s="184"/>
      <c r="H9942" s="184"/>
      <c r="I9942" s="184"/>
      <c r="J9942" s="184"/>
      <c r="K9942" s="184"/>
      <c r="L9942" s="184"/>
      <c r="M9942" s="184"/>
      <c r="N9942" s="184"/>
      <c r="O9942" s="184"/>
    </row>
    <row r="9943" customFormat="false" ht="15" hidden="false" customHeight="true" outlineLevel="0" collapsed="false">
      <c r="A9943" s="184"/>
      <c r="B9943" s="184"/>
      <c r="C9943" s="184"/>
      <c r="D9943" s="184"/>
      <c r="E9943" s="184"/>
      <c r="F9943" s="184"/>
      <c r="G9943" s="184"/>
      <c r="H9943" s="184"/>
      <c r="I9943" s="184"/>
      <c r="J9943" s="184"/>
      <c r="K9943" s="184"/>
      <c r="L9943" s="184"/>
      <c r="M9943" s="184"/>
      <c r="N9943" s="184"/>
      <c r="O9943" s="184"/>
    </row>
    <row r="9944" customFormat="false" ht="15" hidden="false" customHeight="true" outlineLevel="0" collapsed="false">
      <c r="A9944" s="184"/>
      <c r="B9944" s="184"/>
      <c r="C9944" s="184"/>
      <c r="D9944" s="184"/>
      <c r="E9944" s="184"/>
      <c r="F9944" s="184"/>
      <c r="G9944" s="184"/>
      <c r="H9944" s="184"/>
      <c r="I9944" s="184"/>
      <c r="J9944" s="184"/>
      <c r="K9944" s="184"/>
      <c r="L9944" s="184"/>
      <c r="M9944" s="184"/>
      <c r="N9944" s="184"/>
      <c r="O9944" s="184"/>
    </row>
    <row r="9945" customFormat="false" ht="15" hidden="false" customHeight="true" outlineLevel="0" collapsed="false">
      <c r="A9945" s="184"/>
      <c r="B9945" s="184"/>
      <c r="C9945" s="184"/>
      <c r="D9945" s="184"/>
      <c r="E9945" s="184"/>
      <c r="F9945" s="184"/>
      <c r="G9945" s="184"/>
      <c r="H9945" s="184"/>
      <c r="I9945" s="184"/>
      <c r="J9945" s="184"/>
      <c r="K9945" s="184"/>
      <c r="L9945" s="184"/>
      <c r="M9945" s="184"/>
      <c r="N9945" s="184"/>
      <c r="O9945" s="184"/>
    </row>
    <row r="9946" customFormat="false" ht="15" hidden="false" customHeight="true" outlineLevel="0" collapsed="false">
      <c r="A9946" s="184"/>
      <c r="B9946" s="184"/>
      <c r="C9946" s="184"/>
      <c r="D9946" s="184"/>
      <c r="E9946" s="184"/>
      <c r="F9946" s="184"/>
      <c r="G9946" s="184"/>
      <c r="H9946" s="184"/>
      <c r="I9946" s="184"/>
      <c r="J9946" s="184"/>
      <c r="K9946" s="184"/>
      <c r="L9946" s="184"/>
      <c r="M9946" s="184"/>
      <c r="N9946" s="184"/>
      <c r="O9946" s="184"/>
    </row>
    <row r="9947" customFormat="false" ht="15" hidden="false" customHeight="true" outlineLevel="0" collapsed="false">
      <c r="A9947" s="184"/>
      <c r="B9947" s="184"/>
      <c r="C9947" s="184"/>
      <c r="D9947" s="184"/>
      <c r="E9947" s="184"/>
      <c r="F9947" s="184"/>
      <c r="G9947" s="184"/>
      <c r="H9947" s="184"/>
      <c r="I9947" s="184"/>
      <c r="J9947" s="184"/>
      <c r="K9947" s="184"/>
      <c r="L9947" s="184"/>
      <c r="M9947" s="184"/>
      <c r="N9947" s="184"/>
      <c r="O9947" s="184"/>
    </row>
    <row r="9948" customFormat="false" ht="15" hidden="false" customHeight="true" outlineLevel="0" collapsed="false">
      <c r="A9948" s="184"/>
      <c r="B9948" s="184"/>
      <c r="C9948" s="184"/>
      <c r="D9948" s="184"/>
      <c r="E9948" s="184"/>
      <c r="F9948" s="184"/>
      <c r="G9948" s="184"/>
      <c r="H9948" s="184"/>
      <c r="I9948" s="184"/>
      <c r="J9948" s="184"/>
      <c r="K9948" s="184"/>
      <c r="L9948" s="184"/>
      <c r="M9948" s="184"/>
      <c r="N9948" s="184"/>
      <c r="O9948" s="184"/>
    </row>
    <row r="9949" customFormat="false" ht="15" hidden="false" customHeight="true" outlineLevel="0" collapsed="false">
      <c r="A9949" s="184"/>
      <c r="B9949" s="184"/>
      <c r="C9949" s="184"/>
      <c r="D9949" s="184"/>
      <c r="E9949" s="184"/>
      <c r="F9949" s="184"/>
      <c r="G9949" s="184"/>
      <c r="H9949" s="184"/>
      <c r="I9949" s="184"/>
      <c r="J9949" s="184"/>
      <c r="K9949" s="184"/>
      <c r="L9949" s="184"/>
      <c r="M9949" s="184"/>
      <c r="N9949" s="184"/>
      <c r="O9949" s="184"/>
    </row>
    <row r="9950" customFormat="false" ht="15" hidden="false" customHeight="true" outlineLevel="0" collapsed="false">
      <c r="A9950" s="184"/>
      <c r="B9950" s="184"/>
      <c r="C9950" s="184"/>
      <c r="D9950" s="184"/>
      <c r="E9950" s="184"/>
      <c r="F9950" s="184"/>
      <c r="G9950" s="184"/>
      <c r="H9950" s="184"/>
      <c r="I9950" s="184"/>
      <c r="J9950" s="184"/>
      <c r="K9950" s="184"/>
      <c r="L9950" s="184"/>
      <c r="M9950" s="184"/>
      <c r="N9950" s="184"/>
      <c r="O9950" s="184"/>
    </row>
    <row r="9951" customFormat="false" ht="15" hidden="false" customHeight="true" outlineLevel="0" collapsed="false">
      <c r="A9951" s="184"/>
      <c r="B9951" s="184"/>
      <c r="C9951" s="184"/>
      <c r="D9951" s="184"/>
      <c r="E9951" s="184"/>
      <c r="F9951" s="184"/>
      <c r="G9951" s="184"/>
      <c r="H9951" s="184"/>
      <c r="I9951" s="184"/>
      <c r="J9951" s="184"/>
      <c r="K9951" s="184"/>
      <c r="L9951" s="184"/>
      <c r="M9951" s="184"/>
      <c r="N9951" s="184"/>
      <c r="O9951" s="184"/>
    </row>
    <row r="9952" customFormat="false" ht="15" hidden="false" customHeight="true" outlineLevel="0" collapsed="false">
      <c r="A9952" s="184"/>
      <c r="B9952" s="184"/>
      <c r="C9952" s="184"/>
      <c r="D9952" s="184"/>
      <c r="E9952" s="184"/>
      <c r="F9952" s="184"/>
      <c r="G9952" s="184"/>
      <c r="H9952" s="184"/>
      <c r="I9952" s="184"/>
      <c r="J9952" s="184"/>
      <c r="K9952" s="184"/>
      <c r="L9952" s="184"/>
      <c r="M9952" s="184"/>
      <c r="N9952" s="184"/>
      <c r="O9952" s="184"/>
    </row>
    <row r="9953" customFormat="false" ht="15" hidden="false" customHeight="true" outlineLevel="0" collapsed="false">
      <c r="A9953" s="184"/>
      <c r="B9953" s="184"/>
      <c r="C9953" s="184"/>
      <c r="D9953" s="184"/>
      <c r="E9953" s="184"/>
      <c r="F9953" s="184"/>
      <c r="G9953" s="184"/>
      <c r="H9953" s="184"/>
      <c r="I9953" s="184"/>
      <c r="J9953" s="184"/>
      <c r="K9953" s="184"/>
      <c r="L9953" s="184"/>
      <c r="M9953" s="184"/>
      <c r="N9953" s="184"/>
      <c r="O9953" s="184"/>
    </row>
    <row r="9954" customFormat="false" ht="15" hidden="false" customHeight="true" outlineLevel="0" collapsed="false">
      <c r="A9954" s="184"/>
      <c r="B9954" s="184"/>
      <c r="C9954" s="184"/>
      <c r="D9954" s="184"/>
      <c r="E9954" s="184"/>
      <c r="F9954" s="184"/>
      <c r="G9954" s="184"/>
      <c r="H9954" s="184"/>
      <c r="I9954" s="184"/>
      <c r="J9954" s="184"/>
      <c r="K9954" s="184"/>
      <c r="L9954" s="184"/>
      <c r="M9954" s="184"/>
      <c r="N9954" s="184"/>
      <c r="O9954" s="184"/>
    </row>
    <row r="9955" customFormat="false" ht="15" hidden="false" customHeight="true" outlineLevel="0" collapsed="false">
      <c r="A9955" s="184"/>
      <c r="B9955" s="184"/>
      <c r="C9955" s="184"/>
      <c r="D9955" s="184"/>
      <c r="E9955" s="184"/>
      <c r="F9955" s="184"/>
      <c r="G9955" s="184"/>
      <c r="H9955" s="184"/>
      <c r="I9955" s="184"/>
      <c r="J9955" s="184"/>
      <c r="K9955" s="184"/>
      <c r="L9955" s="184"/>
      <c r="M9955" s="184"/>
      <c r="N9955" s="184"/>
      <c r="O9955" s="184"/>
    </row>
    <row r="9956" customFormat="false" ht="15" hidden="false" customHeight="true" outlineLevel="0" collapsed="false">
      <c r="A9956" s="184"/>
      <c r="B9956" s="184"/>
      <c r="C9956" s="184"/>
      <c r="D9956" s="184"/>
      <c r="E9956" s="184"/>
      <c r="F9956" s="184"/>
      <c r="G9956" s="184"/>
      <c r="H9956" s="184"/>
      <c r="I9956" s="184"/>
      <c r="J9956" s="184"/>
      <c r="K9956" s="184"/>
      <c r="L9956" s="184"/>
      <c r="M9956" s="184"/>
      <c r="N9956" s="184"/>
      <c r="O9956" s="184"/>
    </row>
    <row r="9957" customFormat="false" ht="15" hidden="false" customHeight="true" outlineLevel="0" collapsed="false">
      <c r="A9957" s="184"/>
      <c r="B9957" s="184"/>
      <c r="C9957" s="184"/>
      <c r="D9957" s="184"/>
      <c r="E9957" s="184"/>
      <c r="F9957" s="184"/>
      <c r="G9957" s="184"/>
      <c r="H9957" s="184"/>
      <c r="I9957" s="184"/>
      <c r="J9957" s="184"/>
      <c r="K9957" s="184"/>
      <c r="L9957" s="184"/>
      <c r="M9957" s="184"/>
      <c r="N9957" s="184"/>
      <c r="O9957" s="184"/>
    </row>
    <row r="9958" customFormat="false" ht="15" hidden="false" customHeight="true" outlineLevel="0" collapsed="false">
      <c r="A9958" s="184"/>
      <c r="B9958" s="184"/>
      <c r="C9958" s="184"/>
      <c r="D9958" s="184"/>
      <c r="E9958" s="184"/>
      <c r="F9958" s="184"/>
      <c r="G9958" s="184"/>
      <c r="H9958" s="184"/>
      <c r="I9958" s="184"/>
      <c r="J9958" s="184"/>
      <c r="K9958" s="184"/>
      <c r="L9958" s="184"/>
      <c r="M9958" s="184"/>
      <c r="N9958" s="184"/>
      <c r="O9958" s="184"/>
    </row>
    <row r="9959" customFormat="false" ht="15" hidden="false" customHeight="true" outlineLevel="0" collapsed="false">
      <c r="A9959" s="184"/>
      <c r="B9959" s="184"/>
      <c r="C9959" s="184"/>
      <c r="D9959" s="184"/>
      <c r="E9959" s="184"/>
      <c r="F9959" s="184"/>
      <c r="G9959" s="184"/>
      <c r="H9959" s="184"/>
      <c r="I9959" s="184"/>
      <c r="J9959" s="184"/>
      <c r="K9959" s="184"/>
      <c r="L9959" s="184"/>
      <c r="M9959" s="184"/>
      <c r="N9959" s="184"/>
      <c r="O9959" s="184"/>
    </row>
    <row r="9960" customFormat="false" ht="15" hidden="false" customHeight="true" outlineLevel="0" collapsed="false">
      <c r="A9960" s="184"/>
      <c r="B9960" s="184"/>
      <c r="C9960" s="184"/>
      <c r="D9960" s="184"/>
      <c r="E9960" s="184"/>
      <c r="F9960" s="184"/>
      <c r="G9960" s="184"/>
      <c r="H9960" s="184"/>
      <c r="I9960" s="184"/>
      <c r="J9960" s="184"/>
      <c r="K9960" s="184"/>
      <c r="L9960" s="184"/>
      <c r="M9960" s="184"/>
      <c r="N9960" s="184"/>
      <c r="O9960" s="184"/>
    </row>
    <row r="9961" customFormat="false" ht="15" hidden="false" customHeight="true" outlineLevel="0" collapsed="false">
      <c r="A9961" s="184"/>
      <c r="B9961" s="184"/>
      <c r="C9961" s="184"/>
      <c r="D9961" s="184"/>
      <c r="E9961" s="184"/>
      <c r="F9961" s="184"/>
      <c r="G9961" s="184"/>
      <c r="H9961" s="184"/>
      <c r="I9961" s="184"/>
      <c r="J9961" s="184"/>
      <c r="K9961" s="184"/>
      <c r="L9961" s="184"/>
      <c r="M9961" s="184"/>
      <c r="N9961" s="184"/>
      <c r="O9961" s="184"/>
    </row>
    <row r="9962" customFormat="false" ht="15" hidden="false" customHeight="true" outlineLevel="0" collapsed="false">
      <c r="A9962" s="184"/>
      <c r="B9962" s="184"/>
      <c r="C9962" s="184"/>
      <c r="D9962" s="184"/>
      <c r="E9962" s="184"/>
      <c r="F9962" s="184"/>
      <c r="G9962" s="184"/>
      <c r="H9962" s="184"/>
      <c r="I9962" s="184"/>
      <c r="J9962" s="184"/>
      <c r="K9962" s="184"/>
      <c r="L9962" s="184"/>
      <c r="M9962" s="184"/>
      <c r="N9962" s="184"/>
      <c r="O9962" s="184"/>
    </row>
    <row r="9963" customFormat="false" ht="15" hidden="false" customHeight="true" outlineLevel="0" collapsed="false">
      <c r="A9963" s="184"/>
      <c r="B9963" s="184"/>
      <c r="C9963" s="184"/>
      <c r="D9963" s="184"/>
      <c r="E9963" s="184"/>
      <c r="F9963" s="184"/>
      <c r="G9963" s="184"/>
      <c r="H9963" s="184"/>
      <c r="I9963" s="184"/>
      <c r="J9963" s="184"/>
      <c r="K9963" s="184"/>
      <c r="L9963" s="184"/>
      <c r="M9963" s="184"/>
      <c r="N9963" s="184"/>
      <c r="O9963" s="184"/>
    </row>
    <row r="9964" customFormat="false" ht="15" hidden="false" customHeight="true" outlineLevel="0" collapsed="false">
      <c r="A9964" s="184"/>
      <c r="B9964" s="184"/>
      <c r="C9964" s="184"/>
      <c r="D9964" s="184"/>
      <c r="E9964" s="184"/>
      <c r="F9964" s="184"/>
      <c r="G9964" s="184"/>
      <c r="H9964" s="184"/>
      <c r="I9964" s="184"/>
      <c r="J9964" s="184"/>
      <c r="K9964" s="184"/>
      <c r="L9964" s="184"/>
      <c r="M9964" s="184"/>
      <c r="N9964" s="184"/>
      <c r="O9964" s="184"/>
    </row>
    <row r="9965" customFormat="false" ht="15" hidden="false" customHeight="true" outlineLevel="0" collapsed="false">
      <c r="A9965" s="184"/>
      <c r="B9965" s="184"/>
      <c r="C9965" s="184"/>
      <c r="D9965" s="184"/>
      <c r="E9965" s="184"/>
      <c r="F9965" s="184"/>
      <c r="G9965" s="184"/>
      <c r="H9965" s="184"/>
      <c r="I9965" s="184"/>
      <c r="J9965" s="184"/>
      <c r="K9965" s="184"/>
      <c r="L9965" s="184"/>
      <c r="M9965" s="184"/>
      <c r="N9965" s="184"/>
      <c r="O9965" s="184"/>
    </row>
    <row r="9966" customFormat="false" ht="15" hidden="false" customHeight="true" outlineLevel="0" collapsed="false">
      <c r="A9966" s="184"/>
      <c r="B9966" s="184"/>
      <c r="C9966" s="184"/>
      <c r="D9966" s="184"/>
      <c r="E9966" s="184"/>
      <c r="F9966" s="184"/>
      <c r="G9966" s="184"/>
      <c r="H9966" s="184"/>
      <c r="I9966" s="184"/>
      <c r="J9966" s="184"/>
      <c r="K9966" s="184"/>
      <c r="L9966" s="184"/>
      <c r="M9966" s="184"/>
      <c r="N9966" s="184"/>
      <c r="O9966" s="184"/>
    </row>
    <row r="9967" customFormat="false" ht="15" hidden="false" customHeight="true" outlineLevel="0" collapsed="false">
      <c r="A9967" s="184"/>
      <c r="B9967" s="184"/>
      <c r="C9967" s="184"/>
      <c r="D9967" s="184"/>
      <c r="E9967" s="184"/>
      <c r="F9967" s="184"/>
      <c r="G9967" s="184"/>
      <c r="H9967" s="184"/>
      <c r="I9967" s="184"/>
      <c r="J9967" s="184"/>
      <c r="K9967" s="184"/>
      <c r="L9967" s="184"/>
      <c r="M9967" s="184"/>
      <c r="N9967" s="184"/>
      <c r="O9967" s="184"/>
    </row>
    <row r="9968" customFormat="false" ht="15" hidden="false" customHeight="true" outlineLevel="0" collapsed="false">
      <c r="A9968" s="184"/>
      <c r="B9968" s="184"/>
      <c r="C9968" s="184"/>
      <c r="D9968" s="184"/>
      <c r="E9968" s="184"/>
      <c r="F9968" s="184"/>
      <c r="G9968" s="184"/>
      <c r="H9968" s="184"/>
      <c r="I9968" s="184"/>
      <c r="J9968" s="184"/>
      <c r="K9968" s="184"/>
      <c r="L9968" s="184"/>
      <c r="M9968" s="184"/>
      <c r="N9968" s="184"/>
      <c r="O9968" s="184"/>
    </row>
    <row r="9969" customFormat="false" ht="15" hidden="false" customHeight="true" outlineLevel="0" collapsed="false">
      <c r="A9969" s="184"/>
      <c r="B9969" s="184"/>
      <c r="C9969" s="184"/>
      <c r="D9969" s="184"/>
      <c r="E9969" s="184"/>
      <c r="F9969" s="184"/>
      <c r="G9969" s="184"/>
      <c r="H9969" s="184"/>
      <c r="I9969" s="184"/>
      <c r="J9969" s="184"/>
      <c r="K9969" s="184"/>
      <c r="L9969" s="184"/>
      <c r="M9969" s="184"/>
      <c r="N9969" s="184"/>
      <c r="O9969" s="184"/>
    </row>
    <row r="9970" customFormat="false" ht="15" hidden="false" customHeight="true" outlineLevel="0" collapsed="false">
      <c r="A9970" s="184"/>
      <c r="B9970" s="184"/>
      <c r="C9970" s="184"/>
      <c r="D9970" s="184"/>
      <c r="E9970" s="184"/>
      <c r="F9970" s="184"/>
      <c r="G9970" s="184"/>
      <c r="H9970" s="184"/>
      <c r="I9970" s="184"/>
      <c r="J9970" s="184"/>
      <c r="K9970" s="184"/>
      <c r="L9970" s="184"/>
      <c r="M9970" s="184"/>
      <c r="N9970" s="184"/>
      <c r="O9970" s="184"/>
    </row>
    <row r="9971" customFormat="false" ht="15" hidden="false" customHeight="true" outlineLevel="0" collapsed="false">
      <c r="A9971" s="184"/>
      <c r="B9971" s="184"/>
      <c r="C9971" s="184"/>
      <c r="D9971" s="184"/>
      <c r="E9971" s="184"/>
      <c r="F9971" s="184"/>
      <c r="G9971" s="184"/>
      <c r="H9971" s="184"/>
      <c r="I9971" s="184"/>
      <c r="J9971" s="184"/>
      <c r="K9971" s="184"/>
      <c r="L9971" s="184"/>
      <c r="M9971" s="184"/>
      <c r="N9971" s="184"/>
      <c r="O9971" s="184"/>
    </row>
    <row r="9972" customFormat="false" ht="15" hidden="false" customHeight="true" outlineLevel="0" collapsed="false">
      <c r="A9972" s="184"/>
      <c r="B9972" s="184"/>
      <c r="C9972" s="184"/>
      <c r="D9972" s="184"/>
      <c r="E9972" s="184"/>
      <c r="F9972" s="184"/>
      <c r="G9972" s="184"/>
      <c r="H9972" s="184"/>
      <c r="I9972" s="184"/>
      <c r="J9972" s="184"/>
      <c r="K9972" s="184"/>
      <c r="L9972" s="184"/>
      <c r="M9972" s="184"/>
      <c r="N9972" s="184"/>
      <c r="O9972" s="184"/>
    </row>
    <row r="9973" customFormat="false" ht="15" hidden="false" customHeight="true" outlineLevel="0" collapsed="false">
      <c r="A9973" s="184"/>
      <c r="B9973" s="184"/>
      <c r="C9973" s="184"/>
      <c r="D9973" s="184"/>
      <c r="E9973" s="184"/>
      <c r="F9973" s="184"/>
      <c r="G9973" s="184"/>
      <c r="H9973" s="184"/>
      <c r="I9973" s="184"/>
      <c r="J9973" s="184"/>
      <c r="K9973" s="184"/>
      <c r="L9973" s="184"/>
      <c r="M9973" s="184"/>
      <c r="N9973" s="184"/>
      <c r="O9973" s="184"/>
    </row>
    <row r="9974" customFormat="false" ht="15" hidden="false" customHeight="true" outlineLevel="0" collapsed="false">
      <c r="A9974" s="184"/>
      <c r="B9974" s="184"/>
      <c r="C9974" s="184"/>
      <c r="D9974" s="184"/>
      <c r="E9974" s="184"/>
      <c r="F9974" s="184"/>
      <c r="G9974" s="184"/>
      <c r="H9974" s="184"/>
      <c r="I9974" s="184"/>
      <c r="J9974" s="184"/>
      <c r="K9974" s="184"/>
      <c r="L9974" s="184"/>
      <c r="M9974" s="184"/>
      <c r="N9974" s="184"/>
      <c r="O9974" s="184"/>
    </row>
    <row r="9975" customFormat="false" ht="15" hidden="false" customHeight="true" outlineLevel="0" collapsed="false">
      <c r="A9975" s="184"/>
      <c r="B9975" s="184"/>
      <c r="C9975" s="184"/>
      <c r="D9975" s="184"/>
      <c r="E9975" s="184"/>
      <c r="F9975" s="184"/>
      <c r="G9975" s="184"/>
      <c r="H9975" s="184"/>
      <c r="I9975" s="184"/>
      <c r="J9975" s="184"/>
      <c r="K9975" s="184"/>
      <c r="L9975" s="184"/>
      <c r="M9975" s="184"/>
      <c r="N9975" s="184"/>
      <c r="O9975" s="184"/>
    </row>
    <row r="9976" customFormat="false" ht="15" hidden="false" customHeight="true" outlineLevel="0" collapsed="false">
      <c r="A9976" s="184"/>
      <c r="B9976" s="184"/>
      <c r="C9976" s="184"/>
      <c r="D9976" s="184"/>
      <c r="E9976" s="184"/>
      <c r="F9976" s="184"/>
      <c r="G9976" s="184"/>
      <c r="H9976" s="184"/>
      <c r="I9976" s="184"/>
      <c r="J9976" s="184"/>
      <c r="K9976" s="184"/>
      <c r="L9976" s="184"/>
      <c r="M9976" s="184"/>
      <c r="N9976" s="184"/>
      <c r="O9976" s="184"/>
    </row>
    <row r="9977" customFormat="false" ht="15" hidden="false" customHeight="true" outlineLevel="0" collapsed="false">
      <c r="A9977" s="184"/>
      <c r="B9977" s="184"/>
      <c r="C9977" s="184"/>
      <c r="D9977" s="184"/>
      <c r="E9977" s="184"/>
      <c r="F9977" s="184"/>
      <c r="G9977" s="184"/>
      <c r="H9977" s="184"/>
      <c r="I9977" s="184"/>
      <c r="J9977" s="184"/>
      <c r="K9977" s="184"/>
      <c r="L9977" s="184"/>
      <c r="M9977" s="184"/>
      <c r="N9977" s="184"/>
      <c r="O9977" s="184"/>
    </row>
    <row r="9978" customFormat="false" ht="15" hidden="false" customHeight="true" outlineLevel="0" collapsed="false">
      <c r="A9978" s="184"/>
      <c r="B9978" s="184"/>
      <c r="C9978" s="184"/>
      <c r="D9978" s="184"/>
      <c r="E9978" s="184"/>
      <c r="F9978" s="184"/>
      <c r="G9978" s="184"/>
      <c r="H9978" s="184"/>
      <c r="I9978" s="184"/>
      <c r="J9978" s="184"/>
      <c r="K9978" s="184"/>
      <c r="L9978" s="184"/>
      <c r="M9978" s="184"/>
      <c r="N9978" s="184"/>
      <c r="O9978" s="184"/>
    </row>
    <row r="9979" customFormat="false" ht="15" hidden="false" customHeight="true" outlineLevel="0" collapsed="false">
      <c r="A9979" s="184"/>
      <c r="B9979" s="184"/>
      <c r="C9979" s="184"/>
      <c r="D9979" s="184"/>
      <c r="E9979" s="184"/>
      <c r="F9979" s="184"/>
      <c r="G9979" s="184"/>
      <c r="H9979" s="184"/>
      <c r="I9979" s="184"/>
      <c r="J9979" s="184"/>
      <c r="K9979" s="184"/>
      <c r="L9979" s="184"/>
      <c r="M9979" s="184"/>
      <c r="N9979" s="184"/>
      <c r="O9979" s="184"/>
    </row>
    <row r="9980" customFormat="false" ht="15" hidden="false" customHeight="true" outlineLevel="0" collapsed="false">
      <c r="A9980" s="184"/>
      <c r="B9980" s="184"/>
      <c r="C9980" s="184"/>
      <c r="D9980" s="184"/>
      <c r="E9980" s="184"/>
      <c r="F9980" s="184"/>
      <c r="G9980" s="184"/>
      <c r="H9980" s="184"/>
      <c r="I9980" s="184"/>
      <c r="J9980" s="184"/>
      <c r="K9980" s="184"/>
      <c r="L9980" s="184"/>
      <c r="M9980" s="184"/>
      <c r="N9980" s="184"/>
      <c r="O9980" s="184"/>
    </row>
    <row r="9981" customFormat="false" ht="15" hidden="false" customHeight="true" outlineLevel="0" collapsed="false">
      <c r="A9981" s="184"/>
      <c r="B9981" s="184"/>
      <c r="C9981" s="184"/>
      <c r="D9981" s="184"/>
      <c r="E9981" s="184"/>
      <c r="F9981" s="184"/>
      <c r="G9981" s="184"/>
      <c r="H9981" s="184"/>
      <c r="I9981" s="184"/>
      <c r="J9981" s="184"/>
      <c r="K9981" s="184"/>
      <c r="L9981" s="184"/>
      <c r="M9981" s="184"/>
      <c r="N9981" s="184"/>
      <c r="O9981" s="184"/>
    </row>
    <row r="9982" customFormat="false" ht="15" hidden="false" customHeight="true" outlineLevel="0" collapsed="false">
      <c r="A9982" s="184"/>
      <c r="B9982" s="184"/>
      <c r="C9982" s="184"/>
      <c r="D9982" s="184"/>
      <c r="E9982" s="184"/>
      <c r="F9982" s="184"/>
      <c r="G9982" s="184"/>
      <c r="H9982" s="184"/>
      <c r="I9982" s="184"/>
      <c r="J9982" s="184"/>
      <c r="K9982" s="184"/>
      <c r="L9982" s="184"/>
      <c r="M9982" s="184"/>
      <c r="N9982" s="184"/>
      <c r="O9982" s="184"/>
    </row>
    <row r="9983" customFormat="false" ht="15" hidden="false" customHeight="true" outlineLevel="0" collapsed="false">
      <c r="A9983" s="184"/>
      <c r="B9983" s="184"/>
      <c r="C9983" s="184"/>
      <c r="D9983" s="184"/>
      <c r="E9983" s="184"/>
      <c r="F9983" s="184"/>
      <c r="G9983" s="184"/>
      <c r="H9983" s="184"/>
      <c r="I9983" s="184"/>
      <c r="J9983" s="184"/>
      <c r="K9983" s="184"/>
      <c r="L9983" s="184"/>
      <c r="M9983" s="184"/>
      <c r="N9983" s="184"/>
      <c r="O9983" s="184"/>
    </row>
    <row r="9984" customFormat="false" ht="15" hidden="false" customHeight="true" outlineLevel="0" collapsed="false">
      <c r="A9984" s="184"/>
      <c r="B9984" s="184"/>
      <c r="C9984" s="184"/>
      <c r="D9984" s="184"/>
      <c r="E9984" s="184"/>
      <c r="F9984" s="184"/>
      <c r="G9984" s="184"/>
      <c r="H9984" s="184"/>
      <c r="I9984" s="184"/>
      <c r="J9984" s="184"/>
      <c r="K9984" s="184"/>
      <c r="L9984" s="184"/>
      <c r="M9984" s="184"/>
      <c r="N9984" s="184"/>
      <c r="O9984" s="184"/>
    </row>
    <row r="9985" customFormat="false" ht="15" hidden="false" customHeight="true" outlineLevel="0" collapsed="false">
      <c r="A9985" s="184"/>
      <c r="B9985" s="184"/>
      <c r="C9985" s="184"/>
      <c r="D9985" s="184"/>
      <c r="E9985" s="184"/>
      <c r="F9985" s="184"/>
      <c r="G9985" s="184"/>
      <c r="H9985" s="184"/>
      <c r="I9985" s="184"/>
      <c r="J9985" s="184"/>
      <c r="K9985" s="184"/>
      <c r="L9985" s="184"/>
      <c r="M9985" s="184"/>
      <c r="N9985" s="184"/>
      <c r="O9985" s="184"/>
    </row>
    <row r="9986" customFormat="false" ht="15" hidden="false" customHeight="true" outlineLevel="0" collapsed="false">
      <c r="A9986" s="184"/>
      <c r="B9986" s="184"/>
      <c r="C9986" s="184"/>
      <c r="D9986" s="184"/>
      <c r="E9986" s="184"/>
      <c r="F9986" s="184"/>
      <c r="G9986" s="184"/>
      <c r="H9986" s="184"/>
      <c r="I9986" s="184"/>
      <c r="J9986" s="184"/>
      <c r="K9986" s="184"/>
      <c r="L9986" s="184"/>
      <c r="M9986" s="184"/>
      <c r="N9986" s="184"/>
      <c r="O9986" s="184"/>
    </row>
    <row r="9987" customFormat="false" ht="15" hidden="false" customHeight="true" outlineLevel="0" collapsed="false">
      <c r="A9987" s="184"/>
      <c r="B9987" s="184"/>
      <c r="C9987" s="184"/>
      <c r="D9987" s="184"/>
      <c r="E9987" s="184"/>
      <c r="F9987" s="184"/>
      <c r="G9987" s="184"/>
      <c r="H9987" s="184"/>
      <c r="I9987" s="184"/>
      <c r="J9987" s="184"/>
      <c r="K9987" s="184"/>
      <c r="L9987" s="184"/>
      <c r="M9987" s="184"/>
      <c r="N9987" s="184"/>
      <c r="O9987" s="184"/>
    </row>
    <row r="9988" customFormat="false" ht="15" hidden="false" customHeight="true" outlineLevel="0" collapsed="false">
      <c r="A9988" s="184"/>
      <c r="B9988" s="184"/>
      <c r="C9988" s="184"/>
      <c r="D9988" s="184"/>
      <c r="E9988" s="184"/>
      <c r="F9988" s="184"/>
      <c r="G9988" s="184"/>
      <c r="H9988" s="184"/>
      <c r="I9988" s="184"/>
      <c r="J9988" s="184"/>
      <c r="K9988" s="184"/>
      <c r="L9988" s="184"/>
      <c r="M9988" s="184"/>
      <c r="N9988" s="184"/>
      <c r="O9988" s="184"/>
    </row>
    <row r="9989" customFormat="false" ht="15" hidden="false" customHeight="true" outlineLevel="0" collapsed="false">
      <c r="A9989" s="184"/>
      <c r="B9989" s="184"/>
      <c r="C9989" s="184"/>
      <c r="D9989" s="184"/>
      <c r="E9989" s="184"/>
      <c r="F9989" s="184"/>
      <c r="G9989" s="184"/>
      <c r="H9989" s="184"/>
      <c r="I9989" s="184"/>
      <c r="J9989" s="184"/>
      <c r="K9989" s="184"/>
      <c r="L9989" s="184"/>
      <c r="M9989" s="184"/>
      <c r="N9989" s="184"/>
      <c r="O9989" s="184"/>
    </row>
    <row r="9990" customFormat="false" ht="15" hidden="false" customHeight="true" outlineLevel="0" collapsed="false">
      <c r="A9990" s="184"/>
      <c r="B9990" s="184"/>
      <c r="C9990" s="184"/>
      <c r="D9990" s="184"/>
      <c r="E9990" s="184"/>
      <c r="F9990" s="184"/>
      <c r="G9990" s="184"/>
      <c r="H9990" s="184"/>
      <c r="I9990" s="184"/>
      <c r="J9990" s="184"/>
      <c r="K9990" s="184"/>
      <c r="L9990" s="184"/>
      <c r="M9990" s="184"/>
      <c r="N9990" s="184"/>
      <c r="O9990" s="184"/>
    </row>
    <row r="9991" customFormat="false" ht="15" hidden="false" customHeight="true" outlineLevel="0" collapsed="false">
      <c r="A9991" s="184"/>
      <c r="B9991" s="184"/>
      <c r="C9991" s="184"/>
      <c r="D9991" s="184"/>
      <c r="E9991" s="184"/>
      <c r="F9991" s="184"/>
      <c r="G9991" s="184"/>
      <c r="H9991" s="184"/>
      <c r="I9991" s="184"/>
      <c r="J9991" s="184"/>
      <c r="K9991" s="184"/>
      <c r="L9991" s="184"/>
      <c r="M9991" s="184"/>
      <c r="N9991" s="184"/>
      <c r="O9991" s="184"/>
    </row>
    <row r="9992" customFormat="false" ht="15" hidden="false" customHeight="true" outlineLevel="0" collapsed="false">
      <c r="A9992" s="184"/>
      <c r="B9992" s="184"/>
      <c r="C9992" s="184"/>
      <c r="D9992" s="184"/>
      <c r="E9992" s="184"/>
      <c r="F9992" s="184"/>
      <c r="G9992" s="184"/>
      <c r="H9992" s="184"/>
      <c r="I9992" s="184"/>
      <c r="J9992" s="184"/>
      <c r="K9992" s="184"/>
      <c r="L9992" s="184"/>
      <c r="M9992" s="184"/>
      <c r="N9992" s="184"/>
      <c r="O9992" s="184"/>
    </row>
    <row r="9993" customFormat="false" ht="15" hidden="false" customHeight="true" outlineLevel="0" collapsed="false">
      <c r="A9993" s="184"/>
      <c r="B9993" s="184"/>
      <c r="C9993" s="184"/>
      <c r="D9993" s="184"/>
      <c r="E9993" s="184"/>
      <c r="F9993" s="184"/>
      <c r="G9993" s="184"/>
      <c r="H9993" s="184"/>
      <c r="I9993" s="184"/>
      <c r="J9993" s="184"/>
      <c r="K9993" s="184"/>
      <c r="L9993" s="184"/>
      <c r="M9993" s="184"/>
      <c r="N9993" s="184"/>
      <c r="O9993" s="184"/>
    </row>
    <row r="9994" customFormat="false" ht="15" hidden="false" customHeight="true" outlineLevel="0" collapsed="false">
      <c r="A9994" s="184"/>
      <c r="B9994" s="184"/>
      <c r="C9994" s="184"/>
      <c r="D9994" s="184"/>
      <c r="E9994" s="184"/>
      <c r="F9994" s="184"/>
      <c r="G9994" s="184"/>
      <c r="H9994" s="184"/>
      <c r="I9994" s="184"/>
      <c r="J9994" s="184"/>
      <c r="K9994" s="184"/>
      <c r="L9994" s="184"/>
      <c r="M9994" s="184"/>
      <c r="N9994" s="184"/>
      <c r="O9994" s="184"/>
    </row>
    <row r="9995" customFormat="false" ht="15" hidden="false" customHeight="true" outlineLevel="0" collapsed="false">
      <c r="A9995" s="184"/>
      <c r="B9995" s="184"/>
      <c r="C9995" s="184"/>
      <c r="D9995" s="184"/>
      <c r="E9995" s="184"/>
      <c r="F9995" s="184"/>
      <c r="G9995" s="184"/>
      <c r="H9995" s="184"/>
      <c r="I9995" s="184"/>
      <c r="J9995" s="184"/>
      <c r="K9995" s="184"/>
      <c r="L9995" s="184"/>
      <c r="M9995" s="184"/>
      <c r="N9995" s="184"/>
      <c r="O9995" s="184"/>
    </row>
    <row r="9996" customFormat="false" ht="15" hidden="false" customHeight="true" outlineLevel="0" collapsed="false">
      <c r="A9996" s="184"/>
      <c r="B9996" s="184"/>
      <c r="C9996" s="184"/>
      <c r="D9996" s="184"/>
      <c r="E9996" s="184"/>
      <c r="F9996" s="184"/>
      <c r="G9996" s="184"/>
      <c r="H9996" s="184"/>
      <c r="I9996" s="184"/>
      <c r="J9996" s="184"/>
      <c r="K9996" s="184"/>
      <c r="L9996" s="184"/>
      <c r="M9996" s="184"/>
      <c r="N9996" s="184"/>
      <c r="O9996" s="184"/>
    </row>
    <row r="9997" customFormat="false" ht="15" hidden="false" customHeight="true" outlineLevel="0" collapsed="false">
      <c r="A9997" s="184"/>
      <c r="B9997" s="184"/>
      <c r="C9997" s="184"/>
      <c r="D9997" s="184"/>
      <c r="E9997" s="184"/>
      <c r="F9997" s="184"/>
      <c r="G9997" s="184"/>
      <c r="H9997" s="184"/>
      <c r="I9997" s="184"/>
      <c r="J9997" s="184"/>
      <c r="K9997" s="184"/>
      <c r="L9997" s="184"/>
      <c r="M9997" s="184"/>
      <c r="N9997" s="184"/>
      <c r="O9997" s="184"/>
    </row>
    <row r="9998" customFormat="false" ht="15" hidden="false" customHeight="true" outlineLevel="0" collapsed="false">
      <c r="A9998" s="184"/>
      <c r="B9998" s="184"/>
      <c r="C9998" s="184"/>
      <c r="D9998" s="184"/>
      <c r="E9998" s="184"/>
      <c r="F9998" s="184"/>
      <c r="G9998" s="184"/>
      <c r="H9998" s="184"/>
      <c r="I9998" s="184"/>
      <c r="J9998" s="184"/>
      <c r="K9998" s="184"/>
      <c r="L9998" s="184"/>
      <c r="M9998" s="184"/>
      <c r="N9998" s="184"/>
      <c r="O9998" s="184"/>
    </row>
    <row r="9999" customFormat="false" ht="15" hidden="false" customHeight="true" outlineLevel="0" collapsed="false">
      <c r="A9999" s="184"/>
      <c r="B9999" s="184"/>
      <c r="C9999" s="184"/>
      <c r="D9999" s="184"/>
      <c r="E9999" s="184"/>
      <c r="F9999" s="184"/>
      <c r="G9999" s="184"/>
      <c r="H9999" s="184"/>
      <c r="I9999" s="184"/>
      <c r="J9999" s="184"/>
      <c r="K9999" s="184"/>
      <c r="L9999" s="184"/>
      <c r="M9999" s="184"/>
      <c r="N9999" s="184"/>
      <c r="O9999" s="184"/>
    </row>
    <row r="10000" customFormat="false" ht="15" hidden="false" customHeight="true" outlineLevel="0" collapsed="false">
      <c r="A10000" s="184"/>
      <c r="B10000" s="184"/>
      <c r="C10000" s="184"/>
      <c r="D10000" s="184"/>
      <c r="E10000" s="184"/>
      <c r="F10000" s="184"/>
      <c r="G10000" s="184"/>
      <c r="H10000" s="184"/>
      <c r="I10000" s="184"/>
      <c r="J10000" s="184"/>
      <c r="K10000" s="184"/>
      <c r="L10000" s="184"/>
      <c r="M10000" s="184"/>
      <c r="N10000" s="184"/>
      <c r="O10000" s="184"/>
    </row>
    <row r="10001" customFormat="false" ht="15" hidden="false" customHeight="true" outlineLevel="0" collapsed="false">
      <c r="A10001" s="184"/>
      <c r="B10001" s="184"/>
      <c r="C10001" s="184"/>
      <c r="D10001" s="184"/>
      <c r="E10001" s="184"/>
      <c r="F10001" s="184"/>
      <c r="G10001" s="184"/>
      <c r="H10001" s="184"/>
      <c r="I10001" s="184"/>
      <c r="J10001" s="184"/>
      <c r="K10001" s="184"/>
      <c r="L10001" s="184"/>
      <c r="M10001" s="184"/>
      <c r="N10001" s="184"/>
      <c r="O10001" s="184"/>
    </row>
    <row r="10002" customFormat="false" ht="15" hidden="false" customHeight="true" outlineLevel="0" collapsed="false">
      <c r="A10002" s="184"/>
      <c r="B10002" s="184"/>
      <c r="C10002" s="184"/>
      <c r="D10002" s="184"/>
      <c r="E10002" s="184"/>
      <c r="F10002" s="184"/>
      <c r="G10002" s="184"/>
      <c r="H10002" s="184"/>
      <c r="I10002" s="184"/>
      <c r="J10002" s="184"/>
      <c r="K10002" s="184"/>
      <c r="L10002" s="184"/>
      <c r="M10002" s="184"/>
      <c r="N10002" s="184"/>
      <c r="O10002" s="184"/>
    </row>
    <row r="10003" customFormat="false" ht="15" hidden="false" customHeight="true" outlineLevel="0" collapsed="false">
      <c r="A10003" s="184"/>
      <c r="B10003" s="184"/>
      <c r="C10003" s="184"/>
      <c r="D10003" s="184"/>
      <c r="E10003" s="184"/>
      <c r="F10003" s="184"/>
      <c r="G10003" s="184"/>
      <c r="H10003" s="184"/>
      <c r="I10003" s="184"/>
      <c r="J10003" s="184"/>
      <c r="K10003" s="184"/>
      <c r="L10003" s="184"/>
      <c r="M10003" s="184"/>
      <c r="N10003" s="184"/>
      <c r="O10003" s="184"/>
    </row>
    <row r="10004" customFormat="false" ht="15" hidden="false" customHeight="true" outlineLevel="0" collapsed="false">
      <c r="A10004" s="184"/>
      <c r="B10004" s="184"/>
      <c r="C10004" s="184"/>
      <c r="D10004" s="184"/>
      <c r="E10004" s="184"/>
      <c r="F10004" s="184"/>
      <c r="G10004" s="184"/>
      <c r="H10004" s="184"/>
      <c r="I10004" s="184"/>
      <c r="J10004" s="184"/>
      <c r="K10004" s="184"/>
      <c r="L10004" s="184"/>
      <c r="M10004" s="184"/>
      <c r="N10004" s="184"/>
      <c r="O10004" s="184"/>
    </row>
    <row r="10005" customFormat="false" ht="15" hidden="false" customHeight="true" outlineLevel="0" collapsed="false">
      <c r="A10005" s="184"/>
      <c r="B10005" s="184"/>
      <c r="C10005" s="184"/>
      <c r="D10005" s="184"/>
      <c r="E10005" s="184"/>
      <c r="F10005" s="184"/>
      <c r="G10005" s="184"/>
      <c r="H10005" s="184"/>
      <c r="I10005" s="184"/>
      <c r="J10005" s="184"/>
      <c r="K10005" s="184"/>
      <c r="L10005" s="184"/>
      <c r="M10005" s="184"/>
      <c r="N10005" s="184"/>
      <c r="O10005" s="184"/>
    </row>
    <row r="10006" customFormat="false" ht="15" hidden="false" customHeight="true" outlineLevel="0" collapsed="false">
      <c r="A10006" s="184"/>
      <c r="B10006" s="184"/>
      <c r="C10006" s="184"/>
      <c r="D10006" s="184"/>
      <c r="E10006" s="184"/>
      <c r="F10006" s="184"/>
      <c r="G10006" s="184"/>
      <c r="H10006" s="184"/>
      <c r="I10006" s="184"/>
      <c r="J10006" s="184"/>
      <c r="K10006" s="184"/>
      <c r="L10006" s="184"/>
      <c r="M10006" s="184"/>
      <c r="N10006" s="184"/>
      <c r="O10006" s="184"/>
    </row>
    <row r="10007" customFormat="false" ht="15" hidden="false" customHeight="true" outlineLevel="0" collapsed="false">
      <c r="A10007" s="184"/>
      <c r="B10007" s="184"/>
      <c r="C10007" s="184"/>
      <c r="D10007" s="184"/>
      <c r="E10007" s="184"/>
      <c r="F10007" s="184"/>
      <c r="G10007" s="184"/>
      <c r="H10007" s="184"/>
      <c r="I10007" s="184"/>
      <c r="J10007" s="184"/>
      <c r="K10007" s="184"/>
      <c r="L10007" s="184"/>
      <c r="M10007" s="184"/>
      <c r="N10007" s="184"/>
      <c r="O10007" s="184"/>
    </row>
    <row r="10008" customFormat="false" ht="15" hidden="false" customHeight="true" outlineLevel="0" collapsed="false">
      <c r="A10008" s="184"/>
      <c r="B10008" s="184"/>
      <c r="C10008" s="184"/>
      <c r="D10008" s="184"/>
      <c r="E10008" s="184"/>
      <c r="F10008" s="184"/>
      <c r="G10008" s="184"/>
      <c r="H10008" s="184"/>
      <c r="I10008" s="184"/>
      <c r="J10008" s="184"/>
      <c r="K10008" s="184"/>
      <c r="L10008" s="184"/>
      <c r="M10008" s="184"/>
      <c r="N10008" s="184"/>
      <c r="O10008" s="184"/>
    </row>
    <row r="10009" customFormat="false" ht="15" hidden="false" customHeight="true" outlineLevel="0" collapsed="false">
      <c r="A10009" s="184"/>
      <c r="B10009" s="184"/>
      <c r="C10009" s="184"/>
      <c r="D10009" s="184"/>
      <c r="E10009" s="184"/>
      <c r="F10009" s="184"/>
      <c r="G10009" s="184"/>
      <c r="H10009" s="184"/>
      <c r="I10009" s="184"/>
      <c r="J10009" s="184"/>
      <c r="K10009" s="184"/>
      <c r="L10009" s="184"/>
      <c r="M10009" s="184"/>
      <c r="N10009" s="184"/>
      <c r="O10009" s="184"/>
    </row>
    <row r="10010" customFormat="false" ht="15" hidden="false" customHeight="true" outlineLevel="0" collapsed="false">
      <c r="A10010" s="184"/>
      <c r="B10010" s="184"/>
      <c r="C10010" s="184"/>
      <c r="D10010" s="184"/>
      <c r="E10010" s="184"/>
      <c r="F10010" s="184"/>
      <c r="G10010" s="184"/>
      <c r="H10010" s="184"/>
      <c r="I10010" s="184"/>
      <c r="J10010" s="184"/>
      <c r="K10010" s="184"/>
      <c r="L10010" s="184"/>
      <c r="M10010" s="184"/>
      <c r="N10010" s="184"/>
      <c r="O10010" s="184"/>
    </row>
    <row r="10011" customFormat="false" ht="15" hidden="false" customHeight="true" outlineLevel="0" collapsed="false">
      <c r="A10011" s="184"/>
      <c r="B10011" s="184"/>
      <c r="C10011" s="184"/>
      <c r="D10011" s="184"/>
      <c r="E10011" s="184"/>
      <c r="F10011" s="184"/>
      <c r="G10011" s="184"/>
      <c r="H10011" s="184"/>
      <c r="I10011" s="184"/>
      <c r="J10011" s="184"/>
      <c r="K10011" s="184"/>
      <c r="L10011" s="184"/>
      <c r="M10011" s="184"/>
      <c r="N10011" s="184"/>
      <c r="O10011" s="184"/>
    </row>
    <row r="10012" customFormat="false" ht="15" hidden="false" customHeight="true" outlineLevel="0" collapsed="false">
      <c r="A10012" s="184"/>
      <c r="B10012" s="184"/>
      <c r="C10012" s="184"/>
      <c r="D10012" s="184"/>
      <c r="E10012" s="184"/>
      <c r="F10012" s="184"/>
      <c r="G10012" s="184"/>
      <c r="H10012" s="184"/>
      <c r="I10012" s="184"/>
      <c r="J10012" s="184"/>
      <c r="K10012" s="184"/>
      <c r="L10012" s="184"/>
      <c r="M10012" s="184"/>
      <c r="N10012" s="184"/>
      <c r="O10012" s="184"/>
    </row>
    <row r="10013" customFormat="false" ht="15" hidden="false" customHeight="true" outlineLevel="0" collapsed="false">
      <c r="A10013" s="184"/>
      <c r="B10013" s="184"/>
      <c r="C10013" s="184"/>
      <c r="D10013" s="184"/>
      <c r="E10013" s="184"/>
      <c r="F10013" s="184"/>
      <c r="G10013" s="184"/>
      <c r="H10013" s="184"/>
      <c r="I10013" s="184"/>
      <c r="J10013" s="184"/>
      <c r="K10013" s="184"/>
      <c r="L10013" s="184"/>
      <c r="M10013" s="184"/>
      <c r="N10013" s="184"/>
      <c r="O10013" s="184"/>
    </row>
    <row r="10014" customFormat="false" ht="15" hidden="false" customHeight="true" outlineLevel="0" collapsed="false">
      <c r="A10014" s="184"/>
      <c r="B10014" s="184"/>
      <c r="C10014" s="184"/>
      <c r="D10014" s="184"/>
      <c r="E10014" s="184"/>
      <c r="F10014" s="184"/>
      <c r="G10014" s="184"/>
      <c r="H10014" s="184"/>
      <c r="I10014" s="184"/>
      <c r="J10014" s="184"/>
      <c r="K10014" s="184"/>
      <c r="L10014" s="184"/>
      <c r="M10014" s="184"/>
      <c r="N10014" s="184"/>
      <c r="O10014" s="184"/>
    </row>
    <row r="10015" customFormat="false" ht="15" hidden="false" customHeight="true" outlineLevel="0" collapsed="false">
      <c r="A10015" s="184"/>
      <c r="B10015" s="184"/>
      <c r="C10015" s="184"/>
      <c r="D10015" s="184"/>
      <c r="E10015" s="184"/>
      <c r="F10015" s="184"/>
      <c r="G10015" s="184"/>
      <c r="H10015" s="184"/>
      <c r="I10015" s="184"/>
      <c r="J10015" s="184"/>
      <c r="K10015" s="184"/>
      <c r="L10015" s="184"/>
      <c r="M10015" s="184"/>
      <c r="N10015" s="184"/>
      <c r="O10015" s="184"/>
    </row>
    <row r="10016" customFormat="false" ht="15" hidden="false" customHeight="true" outlineLevel="0" collapsed="false">
      <c r="A10016" s="184"/>
      <c r="B10016" s="184"/>
      <c r="C10016" s="184"/>
      <c r="D10016" s="184"/>
      <c r="E10016" s="184"/>
      <c r="F10016" s="184"/>
      <c r="G10016" s="184"/>
      <c r="H10016" s="184"/>
      <c r="I10016" s="184"/>
      <c r="J10016" s="184"/>
      <c r="K10016" s="184"/>
      <c r="L10016" s="184"/>
      <c r="M10016" s="184"/>
      <c r="N10016" s="184"/>
      <c r="O10016" s="184"/>
    </row>
    <row r="10017" customFormat="false" ht="15" hidden="false" customHeight="true" outlineLevel="0" collapsed="false">
      <c r="A10017" s="184"/>
      <c r="B10017" s="184"/>
      <c r="C10017" s="184"/>
      <c r="D10017" s="184"/>
      <c r="E10017" s="184"/>
      <c r="F10017" s="184"/>
      <c r="G10017" s="184"/>
      <c r="H10017" s="184"/>
      <c r="I10017" s="184"/>
      <c r="J10017" s="184"/>
      <c r="K10017" s="184"/>
      <c r="L10017" s="184"/>
      <c r="M10017" s="184"/>
      <c r="N10017" s="184"/>
      <c r="O10017" s="184"/>
    </row>
    <row r="10018" customFormat="false" ht="15" hidden="false" customHeight="true" outlineLevel="0" collapsed="false">
      <c r="A10018" s="184"/>
      <c r="B10018" s="184"/>
      <c r="C10018" s="184"/>
      <c r="D10018" s="184"/>
      <c r="E10018" s="184"/>
      <c r="F10018" s="184"/>
      <c r="G10018" s="184"/>
      <c r="H10018" s="184"/>
      <c r="I10018" s="184"/>
      <c r="J10018" s="184"/>
      <c r="K10018" s="184"/>
      <c r="L10018" s="184"/>
      <c r="M10018" s="184"/>
      <c r="N10018" s="184"/>
      <c r="O10018" s="184"/>
    </row>
    <row r="10019" customFormat="false" ht="15" hidden="false" customHeight="true" outlineLevel="0" collapsed="false">
      <c r="A10019" s="184"/>
      <c r="B10019" s="184"/>
      <c r="C10019" s="184"/>
      <c r="D10019" s="184"/>
      <c r="E10019" s="184"/>
      <c r="F10019" s="184"/>
      <c r="G10019" s="184"/>
      <c r="H10019" s="184"/>
      <c r="I10019" s="184"/>
      <c r="J10019" s="184"/>
      <c r="K10019" s="184"/>
      <c r="L10019" s="184"/>
      <c r="M10019" s="184"/>
      <c r="N10019" s="184"/>
      <c r="O10019" s="184"/>
    </row>
    <row r="10020" customFormat="false" ht="15" hidden="false" customHeight="true" outlineLevel="0" collapsed="false">
      <c r="A10020" s="184"/>
      <c r="B10020" s="184"/>
      <c r="C10020" s="184"/>
      <c r="D10020" s="184"/>
      <c r="E10020" s="184"/>
      <c r="F10020" s="184"/>
      <c r="G10020" s="184"/>
      <c r="H10020" s="184"/>
      <c r="I10020" s="184"/>
      <c r="J10020" s="184"/>
      <c r="K10020" s="184"/>
      <c r="L10020" s="184"/>
      <c r="M10020" s="184"/>
      <c r="N10020" s="184"/>
      <c r="O10020" s="184"/>
    </row>
    <row r="10021" customFormat="false" ht="15" hidden="false" customHeight="true" outlineLevel="0" collapsed="false">
      <c r="A10021" s="184"/>
      <c r="B10021" s="184"/>
      <c r="C10021" s="184"/>
      <c r="D10021" s="184"/>
      <c r="E10021" s="184"/>
      <c r="F10021" s="184"/>
      <c r="G10021" s="184"/>
      <c r="H10021" s="184"/>
      <c r="I10021" s="184"/>
      <c r="J10021" s="184"/>
      <c r="K10021" s="184"/>
      <c r="L10021" s="184"/>
      <c r="M10021" s="184"/>
      <c r="N10021" s="184"/>
      <c r="O10021" s="184"/>
    </row>
    <row r="10022" customFormat="false" ht="15" hidden="false" customHeight="true" outlineLevel="0" collapsed="false">
      <c r="A10022" s="184"/>
      <c r="B10022" s="184"/>
      <c r="C10022" s="184"/>
      <c r="D10022" s="184"/>
      <c r="E10022" s="184"/>
      <c r="F10022" s="184"/>
      <c r="G10022" s="184"/>
      <c r="H10022" s="184"/>
      <c r="I10022" s="184"/>
      <c r="J10022" s="184"/>
      <c r="K10022" s="184"/>
      <c r="L10022" s="184"/>
      <c r="M10022" s="184"/>
      <c r="N10022" s="184"/>
      <c r="O10022" s="184"/>
    </row>
    <row r="10023" customFormat="false" ht="15" hidden="false" customHeight="true" outlineLevel="0" collapsed="false">
      <c r="A10023" s="184"/>
      <c r="B10023" s="184"/>
      <c r="C10023" s="184"/>
      <c r="D10023" s="184"/>
      <c r="E10023" s="184"/>
      <c r="F10023" s="184"/>
      <c r="G10023" s="184"/>
      <c r="H10023" s="184"/>
      <c r="I10023" s="184"/>
      <c r="J10023" s="184"/>
      <c r="K10023" s="184"/>
      <c r="L10023" s="184"/>
      <c r="M10023" s="184"/>
      <c r="N10023" s="184"/>
      <c r="O10023" s="184"/>
    </row>
    <row r="10024" customFormat="false" ht="15" hidden="false" customHeight="true" outlineLevel="0" collapsed="false">
      <c r="A10024" s="184"/>
      <c r="B10024" s="184"/>
      <c r="C10024" s="184"/>
      <c r="D10024" s="184"/>
      <c r="E10024" s="184"/>
      <c r="F10024" s="184"/>
      <c r="G10024" s="184"/>
      <c r="H10024" s="184"/>
      <c r="I10024" s="184"/>
      <c r="J10024" s="184"/>
      <c r="K10024" s="184"/>
      <c r="L10024" s="184"/>
      <c r="M10024" s="184"/>
      <c r="N10024" s="184"/>
      <c r="O10024" s="184"/>
    </row>
    <row r="10025" customFormat="false" ht="15" hidden="false" customHeight="true" outlineLevel="0" collapsed="false">
      <c r="A10025" s="184"/>
      <c r="B10025" s="184"/>
      <c r="C10025" s="184"/>
      <c r="D10025" s="184"/>
      <c r="E10025" s="184"/>
      <c r="F10025" s="184"/>
      <c r="G10025" s="184"/>
      <c r="H10025" s="184"/>
      <c r="I10025" s="184"/>
      <c r="J10025" s="184"/>
      <c r="K10025" s="184"/>
      <c r="L10025" s="184"/>
      <c r="M10025" s="184"/>
      <c r="N10025" s="184"/>
      <c r="O10025" s="184"/>
    </row>
    <row r="10026" customFormat="false" ht="15" hidden="false" customHeight="true" outlineLevel="0" collapsed="false">
      <c r="A10026" s="184"/>
      <c r="B10026" s="184"/>
      <c r="C10026" s="184"/>
      <c r="D10026" s="184"/>
      <c r="E10026" s="184"/>
      <c r="F10026" s="184"/>
      <c r="G10026" s="184"/>
      <c r="H10026" s="184"/>
      <c r="I10026" s="184"/>
      <c r="J10026" s="184"/>
      <c r="K10026" s="184"/>
      <c r="L10026" s="184"/>
      <c r="M10026" s="184"/>
      <c r="N10026" s="184"/>
      <c r="O10026" s="184"/>
    </row>
    <row r="10027" customFormat="false" ht="15" hidden="false" customHeight="true" outlineLevel="0" collapsed="false">
      <c r="A10027" s="184"/>
      <c r="B10027" s="184"/>
      <c r="C10027" s="184"/>
      <c r="D10027" s="184"/>
      <c r="E10027" s="184"/>
      <c r="F10027" s="184"/>
      <c r="G10027" s="184"/>
      <c r="H10027" s="184"/>
      <c r="I10027" s="184"/>
      <c r="J10027" s="184"/>
      <c r="K10027" s="184"/>
      <c r="L10027" s="184"/>
      <c r="M10027" s="184"/>
      <c r="N10027" s="184"/>
      <c r="O10027" s="184"/>
    </row>
    <row r="10028" customFormat="false" ht="15" hidden="false" customHeight="true" outlineLevel="0" collapsed="false">
      <c r="A10028" s="184"/>
      <c r="B10028" s="184"/>
      <c r="C10028" s="184"/>
      <c r="D10028" s="184"/>
      <c r="E10028" s="184"/>
      <c r="F10028" s="184"/>
      <c r="G10028" s="184"/>
      <c r="H10028" s="184"/>
      <c r="I10028" s="184"/>
      <c r="J10028" s="184"/>
      <c r="K10028" s="184"/>
      <c r="L10028" s="184"/>
      <c r="M10028" s="184"/>
      <c r="N10028" s="184"/>
      <c r="O10028" s="184"/>
    </row>
    <row r="10029" customFormat="false" ht="15" hidden="false" customHeight="true" outlineLevel="0" collapsed="false">
      <c r="A10029" s="184"/>
      <c r="B10029" s="184"/>
      <c r="C10029" s="184"/>
      <c r="D10029" s="184"/>
      <c r="E10029" s="184"/>
      <c r="F10029" s="184"/>
      <c r="G10029" s="184"/>
      <c r="H10029" s="184"/>
      <c r="I10029" s="184"/>
      <c r="J10029" s="184"/>
      <c r="K10029" s="184"/>
      <c r="L10029" s="184"/>
      <c r="M10029" s="184"/>
      <c r="N10029" s="184"/>
      <c r="O10029" s="184"/>
    </row>
    <row r="10030" customFormat="false" ht="15" hidden="false" customHeight="true" outlineLevel="0" collapsed="false">
      <c r="A10030" s="184"/>
      <c r="B10030" s="184"/>
      <c r="C10030" s="184"/>
      <c r="D10030" s="184"/>
      <c r="E10030" s="184"/>
      <c r="F10030" s="184"/>
      <c r="G10030" s="184"/>
      <c r="H10030" s="184"/>
      <c r="I10030" s="184"/>
      <c r="J10030" s="184"/>
      <c r="K10030" s="184"/>
      <c r="L10030" s="184"/>
      <c r="M10030" s="184"/>
      <c r="N10030" s="184"/>
      <c r="O10030" s="184"/>
    </row>
    <row r="10031" customFormat="false" ht="15" hidden="false" customHeight="true" outlineLevel="0" collapsed="false">
      <c r="A10031" s="184"/>
      <c r="B10031" s="184"/>
      <c r="C10031" s="184"/>
      <c r="D10031" s="184"/>
      <c r="E10031" s="184"/>
      <c r="F10031" s="184"/>
      <c r="G10031" s="184"/>
      <c r="H10031" s="184"/>
      <c r="I10031" s="184"/>
      <c r="J10031" s="184"/>
      <c r="K10031" s="184"/>
      <c r="L10031" s="184"/>
      <c r="M10031" s="184"/>
      <c r="N10031" s="184"/>
      <c r="O10031" s="184"/>
    </row>
    <row r="10032" customFormat="false" ht="15" hidden="false" customHeight="true" outlineLevel="0" collapsed="false">
      <c r="A10032" s="184"/>
      <c r="B10032" s="184"/>
      <c r="C10032" s="184"/>
      <c r="D10032" s="184"/>
      <c r="E10032" s="184"/>
      <c r="F10032" s="184"/>
      <c r="G10032" s="184"/>
      <c r="H10032" s="184"/>
      <c r="I10032" s="184"/>
      <c r="J10032" s="184"/>
      <c r="K10032" s="184"/>
      <c r="L10032" s="184"/>
      <c r="M10032" s="184"/>
      <c r="N10032" s="184"/>
      <c r="O10032" s="184"/>
    </row>
    <row r="10033" customFormat="false" ht="15" hidden="false" customHeight="true" outlineLevel="0" collapsed="false">
      <c r="A10033" s="184"/>
      <c r="B10033" s="184"/>
      <c r="C10033" s="184"/>
      <c r="D10033" s="184"/>
      <c r="E10033" s="184"/>
      <c r="F10033" s="184"/>
      <c r="G10033" s="184"/>
      <c r="H10033" s="184"/>
      <c r="I10033" s="184"/>
      <c r="J10033" s="184"/>
      <c r="K10033" s="184"/>
      <c r="L10033" s="184"/>
      <c r="M10033" s="184"/>
      <c r="N10033" s="184"/>
      <c r="O10033" s="184"/>
    </row>
    <row r="10034" customFormat="false" ht="15" hidden="false" customHeight="true" outlineLevel="0" collapsed="false">
      <c r="A10034" s="184"/>
      <c r="B10034" s="184"/>
      <c r="C10034" s="184"/>
      <c r="D10034" s="184"/>
      <c r="E10034" s="184"/>
      <c r="F10034" s="184"/>
      <c r="G10034" s="184"/>
      <c r="H10034" s="184"/>
      <c r="I10034" s="184"/>
      <c r="J10034" s="184"/>
      <c r="K10034" s="184"/>
      <c r="L10034" s="184"/>
      <c r="M10034" s="184"/>
      <c r="N10034" s="184"/>
      <c r="O10034" s="184"/>
    </row>
    <row r="10035" customFormat="false" ht="15" hidden="false" customHeight="true" outlineLevel="0" collapsed="false">
      <c r="A10035" s="184"/>
      <c r="B10035" s="184"/>
      <c r="C10035" s="184"/>
      <c r="D10035" s="184"/>
      <c r="E10035" s="184"/>
      <c r="F10035" s="184"/>
      <c r="G10035" s="184"/>
      <c r="H10035" s="184"/>
      <c r="I10035" s="184"/>
      <c r="J10035" s="184"/>
      <c r="K10035" s="184"/>
      <c r="L10035" s="184"/>
      <c r="M10035" s="184"/>
      <c r="N10035" s="184"/>
      <c r="O10035" s="184"/>
    </row>
    <row r="10036" customFormat="false" ht="15" hidden="false" customHeight="true" outlineLevel="0" collapsed="false">
      <c r="A10036" s="184"/>
      <c r="B10036" s="184"/>
      <c r="C10036" s="184"/>
      <c r="D10036" s="184"/>
      <c r="E10036" s="184"/>
      <c r="F10036" s="184"/>
      <c r="G10036" s="184"/>
      <c r="H10036" s="184"/>
      <c r="I10036" s="184"/>
      <c r="J10036" s="184"/>
      <c r="K10036" s="184"/>
      <c r="L10036" s="184"/>
      <c r="M10036" s="184"/>
      <c r="N10036" s="184"/>
      <c r="O10036" s="184"/>
    </row>
    <row r="10037" customFormat="false" ht="15" hidden="false" customHeight="true" outlineLevel="0" collapsed="false">
      <c r="A10037" s="184"/>
      <c r="B10037" s="184"/>
      <c r="C10037" s="184"/>
      <c r="D10037" s="184"/>
      <c r="E10037" s="184"/>
      <c r="F10037" s="184"/>
      <c r="G10037" s="184"/>
      <c r="H10037" s="184"/>
      <c r="I10037" s="184"/>
      <c r="J10037" s="184"/>
      <c r="K10037" s="184"/>
      <c r="L10037" s="184"/>
      <c r="M10037" s="184"/>
      <c r="N10037" s="184"/>
      <c r="O10037" s="184"/>
    </row>
    <row r="10038" customFormat="false" ht="15" hidden="false" customHeight="true" outlineLevel="0" collapsed="false">
      <c r="A10038" s="184"/>
      <c r="B10038" s="184"/>
      <c r="C10038" s="184"/>
      <c r="D10038" s="184"/>
      <c r="E10038" s="184"/>
      <c r="F10038" s="184"/>
      <c r="G10038" s="184"/>
      <c r="H10038" s="184"/>
      <c r="I10038" s="184"/>
      <c r="J10038" s="184"/>
      <c r="K10038" s="184"/>
      <c r="L10038" s="184"/>
      <c r="M10038" s="184"/>
      <c r="N10038" s="184"/>
      <c r="O10038" s="184"/>
    </row>
    <row r="10039" customFormat="false" ht="15" hidden="false" customHeight="true" outlineLevel="0" collapsed="false">
      <c r="A10039" s="184"/>
      <c r="B10039" s="184"/>
      <c r="C10039" s="184"/>
      <c r="D10039" s="184"/>
      <c r="E10039" s="184"/>
      <c r="F10039" s="184"/>
      <c r="G10039" s="184"/>
      <c r="H10039" s="184"/>
      <c r="I10039" s="184"/>
      <c r="J10039" s="184"/>
      <c r="K10039" s="184"/>
      <c r="L10039" s="184"/>
      <c r="M10039" s="184"/>
      <c r="N10039" s="184"/>
      <c r="O10039" s="184"/>
    </row>
    <row r="10040" customFormat="false" ht="15" hidden="false" customHeight="true" outlineLevel="0" collapsed="false">
      <c r="A10040" s="184"/>
      <c r="B10040" s="184"/>
      <c r="C10040" s="184"/>
      <c r="D10040" s="184"/>
      <c r="E10040" s="184"/>
      <c r="F10040" s="184"/>
      <c r="G10040" s="184"/>
      <c r="H10040" s="184"/>
      <c r="I10040" s="184"/>
      <c r="J10040" s="184"/>
      <c r="K10040" s="184"/>
      <c r="L10040" s="184"/>
      <c r="M10040" s="184"/>
      <c r="N10040" s="184"/>
      <c r="O10040" s="184"/>
    </row>
    <row r="10041" customFormat="false" ht="15" hidden="false" customHeight="true" outlineLevel="0" collapsed="false">
      <c r="A10041" s="184"/>
      <c r="B10041" s="184"/>
      <c r="C10041" s="184"/>
      <c r="D10041" s="184"/>
      <c r="E10041" s="184"/>
      <c r="F10041" s="184"/>
      <c r="G10041" s="184"/>
      <c r="H10041" s="184"/>
      <c r="I10041" s="184"/>
      <c r="J10041" s="184"/>
      <c r="K10041" s="184"/>
      <c r="L10041" s="184"/>
      <c r="M10041" s="184"/>
      <c r="N10041" s="184"/>
      <c r="O10041" s="184"/>
    </row>
    <row r="10042" customFormat="false" ht="15" hidden="false" customHeight="true" outlineLevel="0" collapsed="false">
      <c r="A10042" s="184"/>
      <c r="B10042" s="184"/>
      <c r="C10042" s="184"/>
      <c r="D10042" s="184"/>
      <c r="E10042" s="184"/>
      <c r="F10042" s="184"/>
      <c r="G10042" s="184"/>
      <c r="H10042" s="184"/>
      <c r="I10042" s="184"/>
      <c r="J10042" s="184"/>
      <c r="K10042" s="184"/>
      <c r="L10042" s="184"/>
      <c r="M10042" s="184"/>
      <c r="N10042" s="184"/>
      <c r="O10042" s="184"/>
    </row>
    <row r="10043" customFormat="false" ht="15" hidden="false" customHeight="true" outlineLevel="0" collapsed="false">
      <c r="A10043" s="184"/>
      <c r="B10043" s="184"/>
      <c r="C10043" s="184"/>
      <c r="D10043" s="184"/>
      <c r="E10043" s="184"/>
      <c r="F10043" s="184"/>
      <c r="G10043" s="184"/>
      <c r="H10043" s="184"/>
      <c r="I10043" s="184"/>
      <c r="J10043" s="184"/>
      <c r="K10043" s="184"/>
      <c r="L10043" s="184"/>
      <c r="M10043" s="184"/>
      <c r="N10043" s="184"/>
      <c r="O10043" s="184"/>
    </row>
    <row r="10044" customFormat="false" ht="15" hidden="false" customHeight="true" outlineLevel="0" collapsed="false">
      <c r="A10044" s="184"/>
      <c r="B10044" s="184"/>
      <c r="C10044" s="184"/>
      <c r="D10044" s="184"/>
      <c r="E10044" s="184"/>
      <c r="F10044" s="184"/>
      <c r="G10044" s="184"/>
      <c r="H10044" s="184"/>
      <c r="I10044" s="184"/>
      <c r="J10044" s="184"/>
      <c r="K10044" s="184"/>
      <c r="L10044" s="184"/>
      <c r="M10044" s="184"/>
      <c r="N10044" s="184"/>
      <c r="O10044" s="184"/>
    </row>
    <row r="10045" customFormat="false" ht="15" hidden="false" customHeight="true" outlineLevel="0" collapsed="false">
      <c r="A10045" s="184"/>
      <c r="B10045" s="184"/>
      <c r="C10045" s="184"/>
      <c r="D10045" s="184"/>
      <c r="E10045" s="184"/>
      <c r="F10045" s="184"/>
      <c r="G10045" s="184"/>
      <c r="H10045" s="184"/>
      <c r="I10045" s="184"/>
      <c r="J10045" s="184"/>
      <c r="K10045" s="184"/>
      <c r="L10045" s="184"/>
      <c r="M10045" s="184"/>
      <c r="N10045" s="184"/>
      <c r="O10045" s="184"/>
    </row>
    <row r="10046" customFormat="false" ht="15" hidden="false" customHeight="true" outlineLevel="0" collapsed="false">
      <c r="A10046" s="184"/>
      <c r="B10046" s="184"/>
      <c r="C10046" s="184"/>
      <c r="D10046" s="184"/>
      <c r="E10046" s="184"/>
      <c r="F10046" s="184"/>
      <c r="G10046" s="184"/>
      <c r="H10046" s="184"/>
      <c r="I10046" s="184"/>
      <c r="J10046" s="184"/>
      <c r="K10046" s="184"/>
      <c r="L10046" s="184"/>
      <c r="M10046" s="184"/>
      <c r="N10046" s="184"/>
      <c r="O10046" s="184"/>
    </row>
    <row r="10047" customFormat="false" ht="15" hidden="false" customHeight="true" outlineLevel="0" collapsed="false">
      <c r="A10047" s="184"/>
      <c r="B10047" s="184"/>
      <c r="C10047" s="184"/>
      <c r="D10047" s="184"/>
      <c r="E10047" s="184"/>
      <c r="F10047" s="184"/>
      <c r="G10047" s="184"/>
      <c r="H10047" s="184"/>
      <c r="I10047" s="184"/>
      <c r="J10047" s="184"/>
      <c r="K10047" s="184"/>
      <c r="L10047" s="184"/>
      <c r="M10047" s="184"/>
      <c r="N10047" s="184"/>
      <c r="O10047" s="184"/>
    </row>
    <row r="10048" customFormat="false" ht="15" hidden="false" customHeight="true" outlineLevel="0" collapsed="false">
      <c r="A10048" s="184"/>
      <c r="B10048" s="184"/>
      <c r="C10048" s="184"/>
      <c r="D10048" s="184"/>
      <c r="E10048" s="184"/>
      <c r="F10048" s="184"/>
      <c r="G10048" s="184"/>
      <c r="H10048" s="184"/>
      <c r="I10048" s="184"/>
      <c r="J10048" s="184"/>
      <c r="K10048" s="184"/>
      <c r="L10048" s="184"/>
      <c r="M10048" s="184"/>
      <c r="N10048" s="184"/>
      <c r="O10048" s="184"/>
    </row>
    <row r="10049" customFormat="false" ht="15" hidden="false" customHeight="true" outlineLevel="0" collapsed="false">
      <c r="A10049" s="184"/>
      <c r="B10049" s="184"/>
      <c r="C10049" s="184"/>
      <c r="D10049" s="184"/>
      <c r="E10049" s="184"/>
      <c r="F10049" s="184"/>
      <c r="G10049" s="184"/>
      <c r="H10049" s="184"/>
      <c r="I10049" s="184"/>
      <c r="J10049" s="184"/>
      <c r="K10049" s="184"/>
      <c r="L10049" s="184"/>
      <c r="M10049" s="184"/>
      <c r="N10049" s="184"/>
      <c r="O10049" s="184"/>
    </row>
    <row r="10050" customFormat="false" ht="15" hidden="false" customHeight="true" outlineLevel="0" collapsed="false">
      <c r="A10050" s="184"/>
      <c r="B10050" s="184"/>
      <c r="C10050" s="184"/>
      <c r="D10050" s="184"/>
      <c r="E10050" s="184"/>
      <c r="F10050" s="184"/>
      <c r="G10050" s="184"/>
      <c r="H10050" s="184"/>
      <c r="I10050" s="184"/>
      <c r="J10050" s="184"/>
      <c r="K10050" s="184"/>
      <c r="L10050" s="184"/>
      <c r="M10050" s="184"/>
      <c r="N10050" s="184"/>
      <c r="O10050" s="184"/>
    </row>
    <row r="10051" customFormat="false" ht="15" hidden="false" customHeight="true" outlineLevel="0" collapsed="false">
      <c r="A10051" s="184"/>
      <c r="B10051" s="184"/>
      <c r="C10051" s="184"/>
      <c r="D10051" s="184"/>
      <c r="E10051" s="184"/>
      <c r="F10051" s="184"/>
      <c r="G10051" s="184"/>
      <c r="H10051" s="184"/>
      <c r="I10051" s="184"/>
      <c r="J10051" s="184"/>
      <c r="K10051" s="184"/>
      <c r="L10051" s="184"/>
      <c r="M10051" s="184"/>
      <c r="N10051" s="184"/>
      <c r="O10051" s="184"/>
    </row>
    <row r="10052" customFormat="false" ht="15" hidden="false" customHeight="true" outlineLevel="0" collapsed="false">
      <c r="A10052" s="184"/>
      <c r="B10052" s="184"/>
      <c r="C10052" s="184"/>
      <c r="D10052" s="184"/>
      <c r="E10052" s="184"/>
      <c r="F10052" s="184"/>
      <c r="G10052" s="184"/>
      <c r="H10052" s="184"/>
      <c r="I10052" s="184"/>
      <c r="J10052" s="184"/>
      <c r="K10052" s="184"/>
      <c r="L10052" s="184"/>
      <c r="M10052" s="184"/>
      <c r="N10052" s="184"/>
      <c r="O10052" s="184"/>
    </row>
    <row r="10053" customFormat="false" ht="15" hidden="false" customHeight="true" outlineLevel="0" collapsed="false">
      <c r="A10053" s="184"/>
      <c r="B10053" s="184"/>
      <c r="C10053" s="184"/>
      <c r="D10053" s="184"/>
      <c r="E10053" s="184"/>
      <c r="F10053" s="184"/>
      <c r="G10053" s="184"/>
      <c r="H10053" s="184"/>
      <c r="I10053" s="184"/>
      <c r="J10053" s="184"/>
      <c r="K10053" s="184"/>
      <c r="L10053" s="184"/>
      <c r="M10053" s="184"/>
      <c r="N10053" s="184"/>
      <c r="O10053" s="184"/>
    </row>
    <row r="10054" customFormat="false" ht="15" hidden="false" customHeight="true" outlineLevel="0" collapsed="false">
      <c r="A10054" s="184"/>
      <c r="B10054" s="184"/>
      <c r="C10054" s="184"/>
      <c r="D10054" s="184"/>
      <c r="E10054" s="184"/>
      <c r="F10054" s="184"/>
      <c r="G10054" s="184"/>
      <c r="H10054" s="184"/>
      <c r="I10054" s="184"/>
      <c r="J10054" s="184"/>
      <c r="K10054" s="184"/>
      <c r="L10054" s="184"/>
      <c r="M10054" s="184"/>
      <c r="N10054" s="184"/>
      <c r="O10054" s="184"/>
    </row>
    <row r="10055" customFormat="false" ht="15" hidden="false" customHeight="true" outlineLevel="0" collapsed="false">
      <c r="A10055" s="184"/>
      <c r="B10055" s="184"/>
      <c r="C10055" s="184"/>
      <c r="D10055" s="184"/>
      <c r="E10055" s="184"/>
      <c r="F10055" s="184"/>
      <c r="G10055" s="184"/>
      <c r="H10055" s="184"/>
      <c r="I10055" s="184"/>
      <c r="J10055" s="184"/>
      <c r="K10055" s="184"/>
      <c r="L10055" s="184"/>
      <c r="M10055" s="184"/>
      <c r="N10055" s="184"/>
      <c r="O10055" s="184"/>
    </row>
    <row r="10056" customFormat="false" ht="15" hidden="false" customHeight="true" outlineLevel="0" collapsed="false">
      <c r="A10056" s="184"/>
      <c r="B10056" s="184"/>
      <c r="C10056" s="184"/>
      <c r="D10056" s="184"/>
      <c r="E10056" s="184"/>
      <c r="F10056" s="184"/>
      <c r="G10056" s="184"/>
      <c r="H10056" s="184"/>
      <c r="I10056" s="184"/>
      <c r="J10056" s="184"/>
      <c r="K10056" s="184"/>
      <c r="L10056" s="184"/>
      <c r="M10056" s="184"/>
      <c r="N10056" s="184"/>
      <c r="O10056" s="184"/>
    </row>
    <row r="10057" customFormat="false" ht="15" hidden="false" customHeight="true" outlineLevel="0" collapsed="false">
      <c r="A10057" s="184"/>
      <c r="B10057" s="184"/>
      <c r="C10057" s="184"/>
      <c r="D10057" s="184"/>
      <c r="E10057" s="184"/>
      <c r="F10057" s="184"/>
      <c r="G10057" s="184"/>
      <c r="H10057" s="184"/>
      <c r="I10057" s="184"/>
      <c r="J10057" s="184"/>
      <c r="K10057" s="184"/>
      <c r="L10057" s="184"/>
      <c r="M10057" s="184"/>
      <c r="N10057" s="184"/>
      <c r="O10057" s="184"/>
    </row>
    <row r="10058" customFormat="false" ht="15" hidden="false" customHeight="true" outlineLevel="0" collapsed="false">
      <c r="A10058" s="184"/>
      <c r="B10058" s="184"/>
      <c r="C10058" s="184"/>
      <c r="D10058" s="184"/>
      <c r="E10058" s="184"/>
      <c r="F10058" s="184"/>
      <c r="G10058" s="184"/>
      <c r="H10058" s="184"/>
      <c r="I10058" s="184"/>
      <c r="J10058" s="184"/>
      <c r="K10058" s="184"/>
      <c r="L10058" s="184"/>
      <c r="M10058" s="184"/>
      <c r="N10058" s="184"/>
      <c r="O10058" s="184"/>
    </row>
    <row r="10061" customFormat="false" ht="15" hidden="false" customHeight="true" outlineLevel="0" collapsed="false">
      <c r="A10061" s="172" t="s">
        <v>7429</v>
      </c>
    </row>
    <row r="10062" customFormat="false" ht="68.25" hidden="false" customHeight="true" outlineLevel="0" collapsed="false">
      <c r="A10062" s="191" t="s">
        <v>7430</v>
      </c>
      <c r="B10062" s="191" t="s">
        <v>7431</v>
      </c>
      <c r="C10062" s="191"/>
      <c r="D10062" s="191" t="s">
        <v>7068</v>
      </c>
      <c r="E10062" s="191" t="s">
        <v>7432</v>
      </c>
      <c r="F10062" s="191" t="s">
        <v>223</v>
      </c>
      <c r="G10062" s="191" t="s">
        <v>7433</v>
      </c>
      <c r="H10062" s="191" t="s">
        <v>7434</v>
      </c>
      <c r="I10062" s="191" t="s">
        <v>7435</v>
      </c>
      <c r="J10062" s="191" t="s">
        <v>4231</v>
      </c>
      <c r="K10062" s="191" t="s">
        <v>4232</v>
      </c>
      <c r="L10062" s="191" t="s">
        <v>4404</v>
      </c>
      <c r="M10062" s="191" t="s">
        <v>7436</v>
      </c>
      <c r="N10062" s="191" t="s">
        <v>5172</v>
      </c>
      <c r="O10062" s="191" t="s">
        <v>7437</v>
      </c>
      <c r="P10062" s="191" t="s">
        <v>7438</v>
      </c>
    </row>
    <row r="10063" customFormat="false" ht="1101.75" hidden="false" customHeight="true" outlineLevel="0" collapsed="false">
      <c r="A10063" s="184" t="s">
        <v>4237</v>
      </c>
      <c r="B10063" s="184" t="s">
        <v>6307</v>
      </c>
      <c r="C10063" s="184"/>
      <c r="D10063" s="184" t="s">
        <v>7439</v>
      </c>
      <c r="E10063" s="184" t="s">
        <v>7440</v>
      </c>
      <c r="F10063" s="184"/>
      <c r="G10063" s="184" t="s">
        <v>7441</v>
      </c>
      <c r="H10063" s="184" t="s">
        <v>7442</v>
      </c>
      <c r="I10063" s="184" t="s">
        <v>7443</v>
      </c>
      <c r="J10063" s="184" t="s">
        <v>4253</v>
      </c>
      <c r="K10063" s="184" t="s">
        <v>4246</v>
      </c>
      <c r="L10063" s="184" t="s">
        <v>7444</v>
      </c>
      <c r="M10063" s="184" t="s">
        <v>7445</v>
      </c>
      <c r="N10063" s="184" t="s">
        <v>7446</v>
      </c>
      <c r="O10063" s="184" t="n">
        <v>0.026</v>
      </c>
      <c r="P10063" s="184" t="s">
        <v>6307</v>
      </c>
    </row>
    <row r="10064" customFormat="false" ht="739.5" hidden="false" customHeight="true" outlineLevel="0" collapsed="false">
      <c r="A10064" s="184" t="s">
        <v>4237</v>
      </c>
      <c r="B10064" s="184" t="s">
        <v>6310</v>
      </c>
      <c r="C10064" s="184"/>
      <c r="D10064" s="184" t="s">
        <v>7439</v>
      </c>
      <c r="E10064" s="184" t="s">
        <v>5528</v>
      </c>
      <c r="F10064" s="184"/>
      <c r="G10064" s="184" t="s">
        <v>5965</v>
      </c>
      <c r="H10064" s="184" t="s">
        <v>7447</v>
      </c>
      <c r="I10064" s="184" t="s">
        <v>4256</v>
      </c>
      <c r="J10064" s="184" t="s">
        <v>4257</v>
      </c>
      <c r="K10064" s="184" t="s">
        <v>4246</v>
      </c>
      <c r="L10064" s="184" t="s">
        <v>7444</v>
      </c>
      <c r="M10064" s="184" t="s">
        <v>7448</v>
      </c>
      <c r="N10064" s="184" t="s">
        <v>7449</v>
      </c>
      <c r="O10064" s="184" t="n">
        <v>0.05</v>
      </c>
      <c r="P10064" s="184" t="s">
        <v>7450</v>
      </c>
    </row>
    <row r="10065" customFormat="false" ht="579" hidden="false" customHeight="true" outlineLevel="0" collapsed="false">
      <c r="A10065" s="184" t="s">
        <v>4237</v>
      </c>
      <c r="B10065" s="184" t="s">
        <v>6313</v>
      </c>
      <c r="C10065" s="184"/>
      <c r="D10065" s="184" t="s">
        <v>7439</v>
      </c>
      <c r="E10065" s="184" t="s">
        <v>5393</v>
      </c>
      <c r="F10065" s="184"/>
      <c r="G10065" s="184" t="s">
        <v>5465</v>
      </c>
      <c r="H10065" s="184" t="s">
        <v>7451</v>
      </c>
      <c r="I10065" s="184" t="s">
        <v>4249</v>
      </c>
      <c r="J10065" s="184" t="s">
        <v>4250</v>
      </c>
      <c r="K10065" s="184" t="s">
        <v>4251</v>
      </c>
      <c r="L10065" s="184" t="s">
        <v>7444</v>
      </c>
      <c r="M10065" s="184" t="s">
        <v>7452</v>
      </c>
      <c r="N10065" s="184" t="s">
        <v>7453</v>
      </c>
      <c r="O10065" s="184" t="n">
        <v>0.01</v>
      </c>
      <c r="P10065" s="184" t="s">
        <v>6313</v>
      </c>
    </row>
    <row r="10066" customFormat="false" ht="686.25" hidden="false" customHeight="true" outlineLevel="0" collapsed="false">
      <c r="A10066" s="184" t="s">
        <v>4237</v>
      </c>
      <c r="B10066" s="184" t="s">
        <v>6316</v>
      </c>
      <c r="C10066" s="184"/>
      <c r="D10066" s="184" t="s">
        <v>7439</v>
      </c>
      <c r="E10066" s="184" t="s">
        <v>5667</v>
      </c>
      <c r="F10066" s="184"/>
      <c r="G10066" s="184" t="s">
        <v>7454</v>
      </c>
      <c r="H10066" s="184" t="s">
        <v>7455</v>
      </c>
      <c r="I10066" s="184" t="s">
        <v>4260</v>
      </c>
      <c r="J10066" s="184" t="s">
        <v>4261</v>
      </c>
      <c r="K10066" s="184" t="s">
        <v>4246</v>
      </c>
      <c r="L10066" s="184" t="s">
        <v>7444</v>
      </c>
      <c r="M10066" s="184" t="s">
        <v>7456</v>
      </c>
      <c r="N10066" s="184" t="s">
        <v>7457</v>
      </c>
      <c r="O10066" s="184" t="n">
        <v>0.045</v>
      </c>
      <c r="P10066" s="184" t="s">
        <v>6316</v>
      </c>
    </row>
    <row r="10067" customFormat="false" ht="645.75" hidden="false" customHeight="true" outlineLevel="0" collapsed="false">
      <c r="A10067" s="184" t="s">
        <v>4237</v>
      </c>
      <c r="B10067" s="184" t="s">
        <v>6319</v>
      </c>
      <c r="C10067" s="184"/>
      <c r="D10067" s="184" t="s">
        <v>7439</v>
      </c>
      <c r="E10067" s="184" t="s">
        <v>5825</v>
      </c>
      <c r="F10067" s="184"/>
      <c r="G10067" s="184" t="s">
        <v>7458</v>
      </c>
      <c r="H10067" s="184" t="s">
        <v>7459</v>
      </c>
      <c r="I10067" s="184" t="s">
        <v>4264</v>
      </c>
      <c r="J10067" s="184" t="s">
        <v>4261</v>
      </c>
      <c r="K10067" s="184" t="s">
        <v>4246</v>
      </c>
      <c r="L10067" s="184" t="s">
        <v>7444</v>
      </c>
      <c r="M10067" s="184" t="s">
        <v>7460</v>
      </c>
      <c r="N10067" s="184" t="s">
        <v>7461</v>
      </c>
      <c r="O10067" s="184" t="n">
        <v>0.0315</v>
      </c>
      <c r="P10067" s="184" t="s">
        <v>7462</v>
      </c>
    </row>
    <row r="10068" customFormat="false" ht="417.75" hidden="false" customHeight="true" outlineLevel="0" collapsed="false">
      <c r="A10068" s="184" t="s">
        <v>4237</v>
      </c>
      <c r="B10068" s="184" t="s">
        <v>6322</v>
      </c>
      <c r="C10068" s="184"/>
      <c r="D10068" s="184" t="s">
        <v>7463</v>
      </c>
      <c r="E10068" s="184"/>
      <c r="F10068" s="184"/>
      <c r="G10068" s="184" t="s">
        <v>7464</v>
      </c>
      <c r="H10068" s="184" t="s">
        <v>7465</v>
      </c>
      <c r="I10068" s="184"/>
      <c r="J10068" s="184"/>
      <c r="K10068" s="184"/>
      <c r="L10068" s="184"/>
      <c r="M10068" s="184"/>
      <c r="N10068" s="184"/>
      <c r="O10068" s="184"/>
      <c r="P10068" s="184"/>
    </row>
    <row r="10069" customFormat="false" ht="471" hidden="false" customHeight="true" outlineLevel="0" collapsed="false">
      <c r="A10069" s="184" t="s">
        <v>4237</v>
      </c>
      <c r="B10069" s="184" t="s">
        <v>1434</v>
      </c>
      <c r="C10069" s="184"/>
      <c r="D10069" s="184" t="s">
        <v>7439</v>
      </c>
      <c r="E10069" s="184" t="s">
        <v>7466</v>
      </c>
      <c r="F10069" s="184"/>
      <c r="G10069" s="184" t="s">
        <v>5461</v>
      </c>
      <c r="H10069" s="184" t="s">
        <v>7467</v>
      </c>
      <c r="I10069" s="184" t="s">
        <v>4244</v>
      </c>
      <c r="J10069" s="184" t="s">
        <v>4245</v>
      </c>
      <c r="K10069" s="184" t="s">
        <v>4246</v>
      </c>
      <c r="L10069" s="184" t="s">
        <v>7444</v>
      </c>
      <c r="M10069" s="184" t="s">
        <v>7468</v>
      </c>
      <c r="N10069" s="184" t="s">
        <v>7469</v>
      </c>
      <c r="O10069" s="184" t="n">
        <v>0.03</v>
      </c>
      <c r="P10069" s="184" t="s">
        <v>1434</v>
      </c>
    </row>
    <row r="10070" customFormat="false" ht="726" hidden="false" customHeight="true" outlineLevel="0" collapsed="false">
      <c r="A10070" s="184" t="s">
        <v>4237</v>
      </c>
      <c r="B10070" s="184" t="s">
        <v>1789</v>
      </c>
      <c r="C10070" s="184"/>
      <c r="D10070" s="184" t="s">
        <v>7439</v>
      </c>
      <c r="E10070" s="184" t="s">
        <v>6326</v>
      </c>
      <c r="F10070" s="184"/>
      <c r="G10070" s="184" t="s">
        <v>7470</v>
      </c>
      <c r="H10070" s="184" t="s">
        <v>7471</v>
      </c>
      <c r="I10070" s="184" t="s">
        <v>4343</v>
      </c>
      <c r="J10070" s="184" t="s">
        <v>4344</v>
      </c>
      <c r="K10070" s="184" t="s">
        <v>4246</v>
      </c>
      <c r="L10070" s="184" t="s">
        <v>7472</v>
      </c>
      <c r="M10070" s="184" t="s">
        <v>7473</v>
      </c>
      <c r="N10070" s="184" t="s">
        <v>7474</v>
      </c>
      <c r="O10070" s="184" t="s">
        <v>4342</v>
      </c>
      <c r="P10070" s="184" t="s">
        <v>1789</v>
      </c>
    </row>
    <row r="10071" customFormat="false" ht="672.75" hidden="false" customHeight="true" outlineLevel="0" collapsed="false">
      <c r="A10071" s="184" t="s">
        <v>4237</v>
      </c>
      <c r="B10071" s="184" t="s">
        <v>5459</v>
      </c>
      <c r="C10071" s="184"/>
      <c r="D10071" s="184" t="s">
        <v>7439</v>
      </c>
      <c r="E10071" s="184" t="s">
        <v>7466</v>
      </c>
      <c r="F10071" s="184"/>
      <c r="G10071" s="184" t="s">
        <v>5461</v>
      </c>
      <c r="H10071" s="184" t="s">
        <v>7475</v>
      </c>
      <c r="I10071" s="184" t="s">
        <v>4267</v>
      </c>
      <c r="J10071" s="184" t="s">
        <v>4268</v>
      </c>
      <c r="K10071" s="184" t="s">
        <v>4246</v>
      </c>
      <c r="L10071" s="184" t="s">
        <v>7444</v>
      </c>
      <c r="M10071" s="184" t="s">
        <v>7476</v>
      </c>
      <c r="N10071" s="184" t="s">
        <v>7477</v>
      </c>
      <c r="O10071" s="184" t="n">
        <v>0.03</v>
      </c>
      <c r="P10071" s="184" t="s">
        <v>5459</v>
      </c>
    </row>
    <row r="10072" customFormat="false" ht="498" hidden="false" customHeight="true" outlineLevel="0" collapsed="false">
      <c r="A10072" s="184" t="s">
        <v>4237</v>
      </c>
      <c r="B10072" s="184" t="s">
        <v>6329</v>
      </c>
      <c r="C10072" s="184"/>
      <c r="D10072" s="184" t="s">
        <v>7439</v>
      </c>
      <c r="E10072" s="184" t="s">
        <v>5452</v>
      </c>
      <c r="F10072" s="184"/>
      <c r="G10072" s="184" t="s">
        <v>5866</v>
      </c>
      <c r="H10072" s="184" t="s">
        <v>7478</v>
      </c>
      <c r="I10072" s="184" t="s">
        <v>4272</v>
      </c>
      <c r="J10072" s="184" t="s">
        <v>4273</v>
      </c>
      <c r="K10072" s="184" t="s">
        <v>4246</v>
      </c>
      <c r="L10072" s="184" t="s">
        <v>7444</v>
      </c>
      <c r="M10072" s="184" t="s">
        <v>7479</v>
      </c>
      <c r="N10072" s="184" t="s">
        <v>7480</v>
      </c>
      <c r="O10072" s="184" t="n">
        <v>0.02</v>
      </c>
      <c r="P10072" s="184" t="s">
        <v>6329</v>
      </c>
    </row>
    <row r="10073" customFormat="false" ht="350.25" hidden="false" customHeight="true" outlineLevel="0" collapsed="false">
      <c r="A10073" s="184" t="s">
        <v>4237</v>
      </c>
      <c r="B10073" s="184" t="s">
        <v>5463</v>
      </c>
      <c r="C10073" s="184"/>
      <c r="D10073" s="184" t="s">
        <v>7439</v>
      </c>
      <c r="E10073" s="184" t="s">
        <v>5393</v>
      </c>
      <c r="F10073" s="184"/>
      <c r="G10073" s="184" t="s">
        <v>5465</v>
      </c>
      <c r="H10073" s="184" t="s">
        <v>7481</v>
      </c>
      <c r="I10073" s="184" t="s">
        <v>4276</v>
      </c>
      <c r="J10073" s="184" t="s">
        <v>4277</v>
      </c>
      <c r="K10073" s="184" t="s">
        <v>4246</v>
      </c>
      <c r="L10073" s="184" t="s">
        <v>7472</v>
      </c>
      <c r="M10073" s="184" t="s">
        <v>7482</v>
      </c>
      <c r="N10073" s="184" t="s">
        <v>7483</v>
      </c>
      <c r="O10073" s="184" t="n">
        <v>0.01</v>
      </c>
      <c r="P10073" s="184" t="s">
        <v>7484</v>
      </c>
    </row>
    <row r="10074" customFormat="false" ht="256.5" hidden="false" customHeight="true" outlineLevel="0" collapsed="false">
      <c r="A10074" s="184" t="s">
        <v>4237</v>
      </c>
      <c r="B10074" s="184" t="s">
        <v>5228</v>
      </c>
      <c r="C10074" s="184"/>
      <c r="D10074" s="184" t="s">
        <v>7485</v>
      </c>
      <c r="E10074" s="184"/>
      <c r="F10074" s="184"/>
      <c r="G10074" s="184"/>
      <c r="H10074" s="184" t="s">
        <v>5230</v>
      </c>
      <c r="I10074" s="184" t="s">
        <v>4384</v>
      </c>
      <c r="J10074" s="184" t="s">
        <v>4384</v>
      </c>
      <c r="K10074" s="184" t="s">
        <v>4378</v>
      </c>
      <c r="L10074" s="184" t="s">
        <v>7472</v>
      </c>
      <c r="M10074" s="184" t="s">
        <v>7486</v>
      </c>
      <c r="N10074" s="184" t="s">
        <v>7487</v>
      </c>
      <c r="O10074" s="184"/>
      <c r="P10074" s="184" t="s">
        <v>7488</v>
      </c>
    </row>
    <row r="10075" customFormat="false" ht="202.5" hidden="false" customHeight="true" outlineLevel="0" collapsed="false">
      <c r="A10075" s="184" t="s">
        <v>4237</v>
      </c>
      <c r="B10075" s="184" t="s">
        <v>5467</v>
      </c>
      <c r="C10075" s="184"/>
      <c r="D10075" s="184" t="s">
        <v>7485</v>
      </c>
      <c r="E10075" s="184"/>
      <c r="F10075" s="184"/>
      <c r="G10075" s="184" t="s">
        <v>5469</v>
      </c>
      <c r="H10075" s="184" t="s">
        <v>6334</v>
      </c>
      <c r="I10075" s="184"/>
      <c r="J10075" s="184"/>
      <c r="K10075" s="184"/>
      <c r="L10075" s="184"/>
      <c r="M10075" s="184"/>
      <c r="N10075" s="184"/>
      <c r="O10075" s="184"/>
      <c r="P10075" s="184"/>
    </row>
    <row r="10076" customFormat="false" ht="377.25" hidden="false" customHeight="true" outlineLevel="0" collapsed="false">
      <c r="A10076" s="184" t="s">
        <v>4237</v>
      </c>
      <c r="B10076" s="184" t="s">
        <v>5864</v>
      </c>
      <c r="C10076" s="184"/>
      <c r="D10076" s="184" t="s">
        <v>7439</v>
      </c>
      <c r="E10076" s="184" t="s">
        <v>5452</v>
      </c>
      <c r="F10076" s="184"/>
      <c r="G10076" s="184" t="s">
        <v>5866</v>
      </c>
      <c r="H10076" s="184" t="s">
        <v>7489</v>
      </c>
      <c r="I10076" s="184"/>
      <c r="J10076" s="184"/>
      <c r="K10076" s="184"/>
      <c r="L10076" s="184"/>
      <c r="M10076" s="184"/>
      <c r="N10076" s="184"/>
      <c r="O10076" s="184"/>
      <c r="P10076" s="184"/>
    </row>
    <row r="10077" customFormat="false" ht="377.25" hidden="false" customHeight="true" outlineLevel="0" collapsed="false">
      <c r="A10077" s="184" t="s">
        <v>4237</v>
      </c>
      <c r="B10077" s="184" t="s">
        <v>5868</v>
      </c>
      <c r="C10077" s="184"/>
      <c r="D10077" s="184" t="s">
        <v>7439</v>
      </c>
      <c r="E10077" s="184" t="s">
        <v>7490</v>
      </c>
      <c r="F10077" s="184"/>
      <c r="G10077" s="184" t="s">
        <v>5870</v>
      </c>
      <c r="H10077" s="184" t="s">
        <v>7491</v>
      </c>
      <c r="I10077" s="184"/>
      <c r="J10077" s="184"/>
      <c r="K10077" s="184"/>
      <c r="L10077" s="184"/>
      <c r="M10077" s="184"/>
      <c r="N10077" s="184"/>
      <c r="O10077" s="184"/>
      <c r="P10077" s="184"/>
    </row>
    <row r="10078" customFormat="false" ht="377.25" hidden="false" customHeight="true" outlineLevel="0" collapsed="false">
      <c r="A10078" s="184" t="s">
        <v>4237</v>
      </c>
      <c r="B10078" s="184" t="s">
        <v>5872</v>
      </c>
      <c r="C10078" s="184"/>
      <c r="D10078" s="184" t="s">
        <v>7439</v>
      </c>
      <c r="E10078" s="184" t="s">
        <v>7492</v>
      </c>
      <c r="F10078" s="184"/>
      <c r="G10078" s="184" t="s">
        <v>5874</v>
      </c>
      <c r="H10078" s="184" t="s">
        <v>7493</v>
      </c>
      <c r="I10078" s="184"/>
      <c r="J10078" s="184"/>
      <c r="K10078" s="184"/>
      <c r="L10078" s="184"/>
      <c r="M10078" s="184"/>
      <c r="N10078" s="184"/>
      <c r="O10078" s="184"/>
      <c r="P10078" s="184"/>
    </row>
    <row r="10079" customFormat="false" ht="323.25" hidden="false" customHeight="true" outlineLevel="0" collapsed="false">
      <c r="A10079" s="184" t="s">
        <v>4237</v>
      </c>
      <c r="B10079" s="184" t="s">
        <v>5963</v>
      </c>
      <c r="C10079" s="184"/>
      <c r="D10079" s="184" t="s">
        <v>7439</v>
      </c>
      <c r="E10079" s="184" t="s">
        <v>5528</v>
      </c>
      <c r="F10079" s="184"/>
      <c r="G10079" s="184" t="s">
        <v>5965</v>
      </c>
      <c r="H10079" s="184" t="s">
        <v>7494</v>
      </c>
      <c r="I10079" s="184"/>
      <c r="J10079" s="184"/>
      <c r="K10079" s="184"/>
      <c r="L10079" s="184"/>
      <c r="M10079" s="184"/>
      <c r="N10079" s="184"/>
      <c r="O10079" s="184"/>
      <c r="P10079" s="184"/>
    </row>
    <row r="10080" customFormat="false" ht="336.75" hidden="false" customHeight="true" outlineLevel="0" collapsed="false">
      <c r="A10080" s="184" t="s">
        <v>4237</v>
      </c>
      <c r="B10080" s="184" t="s">
        <v>5967</v>
      </c>
      <c r="C10080" s="184"/>
      <c r="D10080" s="184" t="s">
        <v>7439</v>
      </c>
      <c r="E10080" s="184" t="s">
        <v>5323</v>
      </c>
      <c r="F10080" s="184"/>
      <c r="G10080" s="184" t="s">
        <v>5969</v>
      </c>
      <c r="H10080" s="184" t="s">
        <v>7495</v>
      </c>
      <c r="I10080" s="184"/>
      <c r="J10080" s="184"/>
      <c r="K10080" s="184"/>
      <c r="L10080" s="184"/>
      <c r="M10080" s="184"/>
      <c r="N10080" s="184"/>
      <c r="O10080" s="184"/>
      <c r="P10080" s="184"/>
    </row>
    <row r="10081" customFormat="false" ht="336.75" hidden="false" customHeight="true" outlineLevel="0" collapsed="false">
      <c r="A10081" s="184" t="s">
        <v>4237</v>
      </c>
      <c r="B10081" s="184" t="s">
        <v>5971</v>
      </c>
      <c r="C10081" s="184"/>
      <c r="D10081" s="184" t="s">
        <v>7439</v>
      </c>
      <c r="E10081" s="184" t="s">
        <v>7496</v>
      </c>
      <c r="F10081" s="184"/>
      <c r="G10081" s="184" t="s">
        <v>5973</v>
      </c>
      <c r="H10081" s="184" t="s">
        <v>7497</v>
      </c>
      <c r="I10081" s="184"/>
      <c r="J10081" s="184"/>
      <c r="K10081" s="184"/>
      <c r="L10081" s="184"/>
      <c r="M10081" s="184"/>
      <c r="N10081" s="184"/>
      <c r="O10081" s="184"/>
      <c r="P10081" s="184"/>
    </row>
    <row r="10082" customFormat="false" ht="565.5" hidden="false" customHeight="true" outlineLevel="0" collapsed="false">
      <c r="A10082" s="184" t="s">
        <v>4278</v>
      </c>
      <c r="B10082" s="184" t="s">
        <v>1790</v>
      </c>
      <c r="C10082" s="184"/>
      <c r="D10082" s="184" t="s">
        <v>7439</v>
      </c>
      <c r="E10082" s="184" t="s">
        <v>6339</v>
      </c>
      <c r="F10082" s="184"/>
      <c r="G10082" s="184" t="s">
        <v>7498</v>
      </c>
      <c r="H10082" s="184" t="s">
        <v>7499</v>
      </c>
      <c r="I10082" s="184" t="s">
        <v>4348</v>
      </c>
      <c r="J10082" s="184" t="s">
        <v>4349</v>
      </c>
      <c r="K10082" s="184" t="s">
        <v>4246</v>
      </c>
      <c r="L10082" s="184" t="s">
        <v>7472</v>
      </c>
      <c r="M10082" s="184" t="s">
        <v>7500</v>
      </c>
      <c r="N10082" s="184" t="s">
        <v>7501</v>
      </c>
      <c r="O10082" s="184" t="s">
        <v>4342</v>
      </c>
      <c r="P10082" s="184" t="s">
        <v>1790</v>
      </c>
    </row>
    <row r="10083" customFormat="false" ht="377.25" hidden="false" customHeight="true" outlineLevel="0" collapsed="false">
      <c r="A10083" s="184" t="s">
        <v>4278</v>
      </c>
      <c r="B10083" s="184" t="s">
        <v>6342</v>
      </c>
      <c r="C10083" s="184"/>
      <c r="D10083" s="184" t="s">
        <v>7502</v>
      </c>
      <c r="E10083" s="184"/>
      <c r="F10083" s="184"/>
      <c r="G10083" s="184"/>
      <c r="H10083" s="184" t="s">
        <v>6344</v>
      </c>
      <c r="I10083" s="184"/>
      <c r="J10083" s="184"/>
      <c r="K10083" s="184"/>
      <c r="L10083" s="184"/>
      <c r="M10083" s="184"/>
      <c r="N10083" s="184"/>
      <c r="O10083" s="184"/>
      <c r="P10083" s="184"/>
    </row>
    <row r="10084" customFormat="false" ht="552" hidden="false" customHeight="true" outlineLevel="0" collapsed="false">
      <c r="A10084" s="184" t="s">
        <v>4278</v>
      </c>
      <c r="B10084" s="184" t="s">
        <v>6345</v>
      </c>
      <c r="C10084" s="184"/>
      <c r="D10084" s="184" t="s">
        <v>7463</v>
      </c>
      <c r="E10084" s="184"/>
      <c r="F10084" s="184"/>
      <c r="G10084" s="184"/>
      <c r="H10084" s="184" t="s">
        <v>7503</v>
      </c>
      <c r="I10084" s="184"/>
      <c r="J10084" s="184"/>
      <c r="K10084" s="184"/>
      <c r="L10084" s="184"/>
      <c r="M10084" s="184"/>
      <c r="N10084" s="184"/>
      <c r="O10084" s="184"/>
      <c r="P10084" s="184"/>
    </row>
    <row r="10085" customFormat="false" ht="202.5" hidden="false" customHeight="true" outlineLevel="0" collapsed="false">
      <c r="A10085" s="184" t="s">
        <v>4278</v>
      </c>
      <c r="B10085" s="184" t="s">
        <v>6348</v>
      </c>
      <c r="C10085" s="184"/>
      <c r="D10085" s="184" t="s">
        <v>7485</v>
      </c>
      <c r="E10085" s="184"/>
      <c r="F10085" s="184"/>
      <c r="G10085" s="184"/>
      <c r="H10085" s="184" t="s">
        <v>6349</v>
      </c>
      <c r="I10085" s="184"/>
      <c r="J10085" s="184"/>
      <c r="K10085" s="184"/>
      <c r="L10085" s="184"/>
      <c r="M10085" s="184"/>
      <c r="N10085" s="184"/>
      <c r="O10085" s="184"/>
      <c r="P10085" s="184"/>
    </row>
    <row r="10086" customFormat="false" ht="846.75" hidden="false" customHeight="true" outlineLevel="0" collapsed="false">
      <c r="A10086" s="184" t="s">
        <v>4278</v>
      </c>
      <c r="B10086" s="184" t="s">
        <v>6350</v>
      </c>
      <c r="C10086" s="184"/>
      <c r="D10086" s="184" t="s">
        <v>7439</v>
      </c>
      <c r="E10086" s="184" t="s">
        <v>7504</v>
      </c>
      <c r="F10086" s="184"/>
      <c r="G10086" s="184" t="s">
        <v>6140</v>
      </c>
      <c r="H10086" s="184" t="s">
        <v>7505</v>
      </c>
      <c r="I10086" s="184" t="s">
        <v>4280</v>
      </c>
      <c r="J10086" s="184" t="s">
        <v>4281</v>
      </c>
      <c r="K10086" s="184" t="s">
        <v>4246</v>
      </c>
      <c r="L10086" s="184" t="s">
        <v>7472</v>
      </c>
      <c r="M10086" s="184" t="s">
        <v>7506</v>
      </c>
      <c r="N10086" s="184" t="s">
        <v>7507</v>
      </c>
      <c r="O10086" s="184" t="n">
        <v>0.5</v>
      </c>
      <c r="P10086" s="184" t="s">
        <v>7508</v>
      </c>
    </row>
    <row r="10087" customFormat="false" ht="605.25" hidden="false" customHeight="true" outlineLevel="0" collapsed="false">
      <c r="A10087" s="184" t="s">
        <v>4278</v>
      </c>
      <c r="B10087" s="184" t="s">
        <v>5674</v>
      </c>
      <c r="C10087" s="184"/>
      <c r="D10087" s="184" t="s">
        <v>7439</v>
      </c>
      <c r="E10087" s="184" t="s">
        <v>7509</v>
      </c>
      <c r="F10087" s="184"/>
      <c r="G10087" s="184" t="s">
        <v>5676</v>
      </c>
      <c r="H10087" s="184" t="s">
        <v>7510</v>
      </c>
      <c r="I10087" s="184" t="s">
        <v>4285</v>
      </c>
      <c r="J10087" s="184" t="s">
        <v>4286</v>
      </c>
      <c r="K10087" s="184" t="s">
        <v>4246</v>
      </c>
      <c r="L10087" s="184" t="s">
        <v>7472</v>
      </c>
      <c r="M10087" s="184" t="s">
        <v>7511</v>
      </c>
      <c r="N10087" s="184" t="s">
        <v>7512</v>
      </c>
      <c r="O10087" s="184" t="n">
        <v>25</v>
      </c>
      <c r="P10087" s="184" t="s">
        <v>7513</v>
      </c>
    </row>
    <row r="10088" customFormat="false" ht="645.75" hidden="false" customHeight="true" outlineLevel="0" collapsed="false">
      <c r="A10088" s="184" t="s">
        <v>4278</v>
      </c>
      <c r="B10088" s="184" t="s">
        <v>6352</v>
      </c>
      <c r="C10088" s="184"/>
      <c r="D10088" s="184" t="s">
        <v>7439</v>
      </c>
      <c r="E10088" s="184" t="s">
        <v>7514</v>
      </c>
      <c r="F10088" s="184"/>
      <c r="G10088" s="184" t="s">
        <v>7515</v>
      </c>
      <c r="H10088" s="184" t="s">
        <v>7516</v>
      </c>
      <c r="I10088" s="184" t="s">
        <v>4290</v>
      </c>
      <c r="J10088" s="184" t="s">
        <v>4291</v>
      </c>
      <c r="K10088" s="184" t="s">
        <v>4246</v>
      </c>
      <c r="L10088" s="184" t="s">
        <v>7472</v>
      </c>
      <c r="M10088" s="184" t="s">
        <v>7517</v>
      </c>
      <c r="N10088" s="184" t="s">
        <v>7518</v>
      </c>
      <c r="O10088" s="184" t="n">
        <v>0.8</v>
      </c>
      <c r="P10088" s="184" t="s">
        <v>7519</v>
      </c>
    </row>
    <row r="10089" customFormat="false" ht="846.75" hidden="false" customHeight="true" outlineLevel="0" collapsed="false">
      <c r="A10089" s="184" t="s">
        <v>4278</v>
      </c>
      <c r="B10089" s="184" t="s">
        <v>5678</v>
      </c>
      <c r="C10089" s="184"/>
      <c r="D10089" s="184" t="s">
        <v>7439</v>
      </c>
      <c r="E10089" s="184" t="s">
        <v>7520</v>
      </c>
      <c r="F10089" s="184"/>
      <c r="G10089" s="184" t="s">
        <v>5680</v>
      </c>
      <c r="H10089" s="184" t="s">
        <v>7521</v>
      </c>
      <c r="I10089" s="184" t="s">
        <v>4293</v>
      </c>
      <c r="J10089" s="184" t="s">
        <v>4294</v>
      </c>
      <c r="K10089" s="184" t="s">
        <v>4295</v>
      </c>
      <c r="L10089" s="184" t="s">
        <v>7472</v>
      </c>
      <c r="M10089" s="184" t="s">
        <v>7522</v>
      </c>
      <c r="N10089" s="184" t="s">
        <v>7523</v>
      </c>
      <c r="O10089" s="184" t="n">
        <v>0.25</v>
      </c>
      <c r="P10089" s="184" t="s">
        <v>7524</v>
      </c>
    </row>
    <row r="10090" customFormat="false" ht="1035" hidden="false" customHeight="true" outlineLevel="0" collapsed="false">
      <c r="A10090" s="184" t="s">
        <v>4278</v>
      </c>
      <c r="B10090" s="184" t="s">
        <v>5682</v>
      </c>
      <c r="C10090" s="184"/>
      <c r="D10090" s="184" t="s">
        <v>7439</v>
      </c>
      <c r="E10090" s="184" t="s">
        <v>5683</v>
      </c>
      <c r="F10090" s="184"/>
      <c r="G10090" s="184" t="s">
        <v>7525</v>
      </c>
      <c r="H10090" s="184" t="s">
        <v>7526</v>
      </c>
      <c r="I10090" s="184" t="s">
        <v>4406</v>
      </c>
      <c r="J10090" s="184" t="s">
        <v>7527</v>
      </c>
      <c r="K10090" s="184" t="s">
        <v>4246</v>
      </c>
      <c r="L10090" s="184" t="s">
        <v>7444</v>
      </c>
      <c r="M10090" s="184" t="s">
        <v>7528</v>
      </c>
      <c r="N10090" s="184" t="s">
        <v>7529</v>
      </c>
      <c r="O10090" s="184" t="n">
        <v>60</v>
      </c>
      <c r="P10090" s="184" t="s">
        <v>743</v>
      </c>
    </row>
    <row r="10091" customFormat="false" ht="739.5" hidden="false" customHeight="true" outlineLevel="0" collapsed="false">
      <c r="A10091" s="184" t="s">
        <v>4278</v>
      </c>
      <c r="B10091" s="184" t="s">
        <v>6356</v>
      </c>
      <c r="C10091" s="184"/>
      <c r="D10091" s="184" t="s">
        <v>7439</v>
      </c>
      <c r="E10091" s="184" t="s">
        <v>6357</v>
      </c>
      <c r="F10091" s="184"/>
      <c r="G10091" s="184" t="s">
        <v>7530</v>
      </c>
      <c r="H10091" s="184" t="s">
        <v>7531</v>
      </c>
      <c r="I10091" s="184" t="s">
        <v>4353</v>
      </c>
      <c r="J10091" s="184" t="s">
        <v>4354</v>
      </c>
      <c r="K10091" s="184" t="s">
        <v>4246</v>
      </c>
      <c r="L10091" s="184" t="s">
        <v>7472</v>
      </c>
      <c r="M10091" s="184" t="s">
        <v>7532</v>
      </c>
      <c r="N10091" s="184" t="s">
        <v>7533</v>
      </c>
      <c r="O10091" s="184" t="s">
        <v>4352</v>
      </c>
      <c r="P10091" s="184" t="s">
        <v>6356</v>
      </c>
    </row>
    <row r="10092" customFormat="false" ht="471" hidden="false" customHeight="true" outlineLevel="0" collapsed="false">
      <c r="A10092" s="184" t="s">
        <v>4278</v>
      </c>
      <c r="B10092" s="184" t="s">
        <v>5833</v>
      </c>
      <c r="C10092" s="184"/>
      <c r="D10092" s="184" t="s">
        <v>7439</v>
      </c>
      <c r="E10092" s="184" t="s">
        <v>5834</v>
      </c>
      <c r="F10092" s="184"/>
      <c r="G10092" s="184" t="s">
        <v>7534</v>
      </c>
      <c r="H10092" s="184" t="s">
        <v>7535</v>
      </c>
      <c r="I10092" s="184" t="s">
        <v>4356</v>
      </c>
      <c r="J10092" s="184" t="s">
        <v>4357</v>
      </c>
      <c r="K10092" s="184" t="s">
        <v>4246</v>
      </c>
      <c r="L10092" s="184" t="s">
        <v>7472</v>
      </c>
      <c r="M10092" s="184" t="s">
        <v>7536</v>
      </c>
      <c r="N10092" s="184" t="s">
        <v>7537</v>
      </c>
      <c r="O10092" s="184" t="s">
        <v>1931</v>
      </c>
      <c r="P10092" s="184" t="s">
        <v>5833</v>
      </c>
    </row>
    <row r="10093" customFormat="false" ht="216" hidden="false" customHeight="true" outlineLevel="0" collapsed="false">
      <c r="A10093" s="184" t="s">
        <v>4278</v>
      </c>
      <c r="B10093" s="184" t="s">
        <v>6361</v>
      </c>
      <c r="C10093" s="184"/>
      <c r="D10093" s="184" t="s">
        <v>7463</v>
      </c>
      <c r="E10093" s="184"/>
      <c r="F10093" s="184"/>
      <c r="G10093" s="184"/>
      <c r="H10093" s="184" t="s">
        <v>7538</v>
      </c>
      <c r="I10093" s="184"/>
      <c r="J10093" s="184"/>
      <c r="K10093" s="184"/>
      <c r="L10093" s="184"/>
      <c r="M10093" s="184"/>
      <c r="N10093" s="184"/>
      <c r="O10093" s="184"/>
      <c r="P10093" s="184"/>
    </row>
    <row r="10094" customFormat="false" ht="887.25" hidden="false" customHeight="true" outlineLevel="0" collapsed="false">
      <c r="A10094" s="184" t="s">
        <v>6364</v>
      </c>
      <c r="B10094" s="184" t="s">
        <v>681</v>
      </c>
      <c r="C10094" s="184"/>
      <c r="D10094" s="184" t="s">
        <v>7439</v>
      </c>
      <c r="E10094" s="184" t="s">
        <v>6061</v>
      </c>
      <c r="F10094" s="184"/>
      <c r="G10094" s="184" t="s">
        <v>7539</v>
      </c>
      <c r="H10094" s="184" t="s">
        <v>7540</v>
      </c>
      <c r="I10094" s="184" t="s">
        <v>4298</v>
      </c>
      <c r="J10094" s="184" t="s">
        <v>4299</v>
      </c>
      <c r="K10094" s="184" t="s">
        <v>4246</v>
      </c>
      <c r="L10094" s="184" t="s">
        <v>7472</v>
      </c>
      <c r="M10094" s="184" t="s">
        <v>7541</v>
      </c>
      <c r="N10094" s="184" t="s">
        <v>7542</v>
      </c>
      <c r="O10094" s="184" t="n">
        <v>6</v>
      </c>
      <c r="P10094" s="184" t="s">
        <v>681</v>
      </c>
    </row>
    <row r="10095" customFormat="false" ht="189" hidden="false" customHeight="true" outlineLevel="0" collapsed="false">
      <c r="A10095" s="184" t="s">
        <v>6364</v>
      </c>
      <c r="B10095" s="184" t="s">
        <v>6366</v>
      </c>
      <c r="C10095" s="184"/>
      <c r="D10095" s="184" t="s">
        <v>7485</v>
      </c>
      <c r="E10095" s="184"/>
      <c r="F10095" s="184"/>
      <c r="G10095" s="184" t="s">
        <v>6368</v>
      </c>
      <c r="H10095" s="184" t="s">
        <v>4371</v>
      </c>
      <c r="I10095" s="184" t="s">
        <v>4368</v>
      </c>
      <c r="J10095" s="184" t="s">
        <v>4369</v>
      </c>
      <c r="K10095" s="184" t="s">
        <v>4370</v>
      </c>
      <c r="L10095" s="184" t="s">
        <v>7444</v>
      </c>
      <c r="M10095" s="184" t="s">
        <v>7543</v>
      </c>
      <c r="N10095" s="184" t="s">
        <v>7544</v>
      </c>
      <c r="O10095" s="184" t="n">
        <v>0.0348</v>
      </c>
      <c r="P10095" s="184" t="s">
        <v>7545</v>
      </c>
    </row>
    <row r="10096" customFormat="false" ht="297" hidden="false" customHeight="true" outlineLevel="0" collapsed="false">
      <c r="A10096" s="184" t="s">
        <v>6364</v>
      </c>
      <c r="B10096" s="184" t="s">
        <v>6369</v>
      </c>
      <c r="C10096" s="184"/>
      <c r="D10096" s="184" t="s">
        <v>7485</v>
      </c>
      <c r="E10096" s="184"/>
      <c r="F10096" s="184"/>
      <c r="G10096" s="184"/>
      <c r="H10096" s="184" t="s">
        <v>6170</v>
      </c>
      <c r="I10096" s="184" t="s">
        <v>4377</v>
      </c>
      <c r="J10096" s="184" t="s">
        <v>4369</v>
      </c>
      <c r="K10096" s="184" t="s">
        <v>4378</v>
      </c>
      <c r="L10096" s="184" t="s">
        <v>7444</v>
      </c>
      <c r="M10096" s="184" t="s">
        <v>7546</v>
      </c>
      <c r="N10096" s="184" t="s">
        <v>7547</v>
      </c>
      <c r="O10096" s="184"/>
      <c r="P10096" s="184" t="s">
        <v>7548</v>
      </c>
    </row>
    <row r="10097" customFormat="false" ht="202.5" hidden="false" customHeight="true" outlineLevel="0" collapsed="false">
      <c r="A10097" s="184" t="s">
        <v>6364</v>
      </c>
      <c r="B10097" s="184" t="s">
        <v>6371</v>
      </c>
      <c r="C10097" s="184"/>
      <c r="D10097" s="184" t="s">
        <v>7485</v>
      </c>
      <c r="E10097" s="184"/>
      <c r="F10097" s="184"/>
      <c r="G10097" s="184" t="s">
        <v>6373</v>
      </c>
      <c r="H10097" s="184" t="s">
        <v>4375</v>
      </c>
      <c r="I10097" s="184" t="s">
        <v>4374</v>
      </c>
      <c r="J10097" s="184" t="s">
        <v>4369</v>
      </c>
      <c r="K10097" s="184" t="s">
        <v>4370</v>
      </c>
      <c r="L10097" s="184" t="s">
        <v>7444</v>
      </c>
      <c r="M10097" s="184" t="s">
        <v>7549</v>
      </c>
      <c r="N10097" s="184" t="s">
        <v>7550</v>
      </c>
      <c r="O10097" s="184" t="n">
        <v>0.0672</v>
      </c>
      <c r="P10097" s="184" t="s">
        <v>7551</v>
      </c>
    </row>
    <row r="10098" customFormat="false" ht="632.25" hidden="false" customHeight="true" outlineLevel="0" collapsed="false">
      <c r="A10098" s="184" t="s">
        <v>6364</v>
      </c>
      <c r="B10098" s="184" t="s">
        <v>1454</v>
      </c>
      <c r="C10098" s="184"/>
      <c r="D10098" s="184" t="s">
        <v>7439</v>
      </c>
      <c r="E10098" s="184" t="s">
        <v>7552</v>
      </c>
      <c r="F10098" s="184"/>
      <c r="G10098" s="184" t="s">
        <v>7553</v>
      </c>
      <c r="H10098" s="184" t="s">
        <v>7554</v>
      </c>
      <c r="I10098" s="184" t="s">
        <v>4306</v>
      </c>
      <c r="J10098" s="184" t="s">
        <v>4307</v>
      </c>
      <c r="K10098" s="184" t="s">
        <v>4246</v>
      </c>
      <c r="L10098" s="184" t="s">
        <v>7472</v>
      </c>
      <c r="M10098" s="184" t="s">
        <v>7555</v>
      </c>
      <c r="N10098" s="184" t="s">
        <v>7556</v>
      </c>
      <c r="O10098" s="184" t="n">
        <v>5</v>
      </c>
      <c r="P10098" s="184" t="s">
        <v>1454</v>
      </c>
    </row>
    <row r="10099" customFormat="false" ht="350.25" hidden="false" customHeight="true" outlineLevel="0" collapsed="false">
      <c r="A10099" s="184" t="s">
        <v>6364</v>
      </c>
      <c r="B10099" s="184" t="s">
        <v>6375</v>
      </c>
      <c r="C10099" s="184"/>
      <c r="D10099" s="184" t="s">
        <v>7439</v>
      </c>
      <c r="E10099" s="184" t="s">
        <v>5750</v>
      </c>
      <c r="F10099" s="184"/>
      <c r="G10099" s="184" t="s">
        <v>7557</v>
      </c>
      <c r="H10099" s="184" t="s">
        <v>7558</v>
      </c>
      <c r="I10099" s="184" t="s">
        <v>4311</v>
      </c>
      <c r="J10099" s="184" t="s">
        <v>4312</v>
      </c>
      <c r="K10099" s="184" t="s">
        <v>4246</v>
      </c>
      <c r="L10099" s="184" t="s">
        <v>7472</v>
      </c>
      <c r="M10099" s="184" t="s">
        <v>7559</v>
      </c>
      <c r="N10099" s="184" t="s">
        <v>7560</v>
      </c>
      <c r="O10099" s="184" t="n">
        <v>0.4</v>
      </c>
      <c r="P10099" s="184" t="s">
        <v>1456</v>
      </c>
    </row>
    <row r="10100" customFormat="false" ht="498" hidden="false" customHeight="true" outlineLevel="0" collapsed="false">
      <c r="A10100" s="184" t="s">
        <v>6364</v>
      </c>
      <c r="B10100" s="184" t="s">
        <v>6378</v>
      </c>
      <c r="C10100" s="184"/>
      <c r="D10100" s="184" t="s">
        <v>7439</v>
      </c>
      <c r="E10100" s="184" t="s">
        <v>7504</v>
      </c>
      <c r="F10100" s="184"/>
      <c r="G10100" s="184" t="s">
        <v>6140</v>
      </c>
      <c r="H10100" s="184" t="s">
        <v>7561</v>
      </c>
      <c r="I10100" s="184" t="s">
        <v>4315</v>
      </c>
      <c r="J10100" s="184" t="s">
        <v>4316</v>
      </c>
      <c r="K10100" s="184" t="s">
        <v>4246</v>
      </c>
      <c r="L10100" s="184" t="s">
        <v>7472</v>
      </c>
      <c r="M10100" s="184" t="s">
        <v>7562</v>
      </c>
      <c r="N10100" s="184" t="s">
        <v>7563</v>
      </c>
      <c r="O10100" s="184" t="n">
        <v>0.5</v>
      </c>
      <c r="P10100" s="184" t="s">
        <v>1458</v>
      </c>
    </row>
    <row r="10101" customFormat="false" ht="431.25" hidden="false" customHeight="true" outlineLevel="0" collapsed="false">
      <c r="A10101" s="184" t="s">
        <v>6364</v>
      </c>
      <c r="B10101" s="184" t="s">
        <v>6380</v>
      </c>
      <c r="C10101" s="184"/>
      <c r="D10101" s="184" t="s">
        <v>7439</v>
      </c>
      <c r="E10101" s="184" t="s">
        <v>5911</v>
      </c>
      <c r="F10101" s="184"/>
      <c r="G10101" s="184" t="s">
        <v>7564</v>
      </c>
      <c r="H10101" s="184" t="s">
        <v>7565</v>
      </c>
      <c r="I10101" s="184" t="s">
        <v>4319</v>
      </c>
      <c r="J10101" s="184" t="s">
        <v>4316</v>
      </c>
      <c r="K10101" s="184" t="s">
        <v>4246</v>
      </c>
      <c r="L10101" s="184" t="s">
        <v>7472</v>
      </c>
      <c r="M10101" s="184" t="s">
        <v>7566</v>
      </c>
      <c r="N10101" s="184" t="s">
        <v>7567</v>
      </c>
      <c r="O10101" s="184" t="n">
        <v>300</v>
      </c>
      <c r="P10101" s="184" t="s">
        <v>7568</v>
      </c>
    </row>
    <row r="10102" customFormat="false" ht="417.75" hidden="false" customHeight="true" outlineLevel="0" collapsed="false">
      <c r="A10102" s="184" t="s">
        <v>6364</v>
      </c>
      <c r="B10102" s="184" t="s">
        <v>6016</v>
      </c>
      <c r="C10102" s="184"/>
      <c r="D10102" s="184" t="s">
        <v>7439</v>
      </c>
      <c r="E10102" s="184" t="s">
        <v>7569</v>
      </c>
      <c r="F10102" s="184"/>
      <c r="G10102" s="184" t="s">
        <v>6018</v>
      </c>
      <c r="H10102" s="184" t="s">
        <v>7570</v>
      </c>
      <c r="I10102" s="184" t="s">
        <v>4323</v>
      </c>
      <c r="J10102" s="184" t="s">
        <v>4324</v>
      </c>
      <c r="K10102" s="184" t="s">
        <v>4246</v>
      </c>
      <c r="L10102" s="184" t="s">
        <v>7472</v>
      </c>
      <c r="M10102" s="184" t="s">
        <v>7571</v>
      </c>
      <c r="N10102" s="184" t="s">
        <v>7572</v>
      </c>
      <c r="O10102" s="184" t="n">
        <v>0.6</v>
      </c>
      <c r="P10102" s="184" t="s">
        <v>7573</v>
      </c>
    </row>
    <row r="10103" customFormat="false" ht="444.75" hidden="false" customHeight="true" outlineLevel="0" collapsed="false">
      <c r="A10103" s="184" t="s">
        <v>6364</v>
      </c>
      <c r="B10103" s="184" t="s">
        <v>6384</v>
      </c>
      <c r="C10103" s="184"/>
      <c r="D10103" s="184" t="s">
        <v>7439</v>
      </c>
      <c r="E10103" s="184" t="s">
        <v>5892</v>
      </c>
      <c r="F10103" s="184"/>
      <c r="G10103" s="184" t="s">
        <v>7574</v>
      </c>
      <c r="H10103" s="184" t="s">
        <v>7575</v>
      </c>
      <c r="I10103" s="184" t="s">
        <v>4327</v>
      </c>
      <c r="J10103" s="184" t="s">
        <v>4324</v>
      </c>
      <c r="K10103" s="184" t="s">
        <v>4246</v>
      </c>
      <c r="L10103" s="184" t="s">
        <v>7472</v>
      </c>
      <c r="M10103" s="184" t="s">
        <v>7576</v>
      </c>
      <c r="N10103" s="184" t="s">
        <v>7577</v>
      </c>
      <c r="O10103" s="184" t="n">
        <v>15</v>
      </c>
      <c r="P10103" s="184" t="s">
        <v>7578</v>
      </c>
    </row>
    <row r="10104" customFormat="false" ht="363.75" hidden="false" customHeight="true" outlineLevel="0" collapsed="false">
      <c r="A10104" s="184" t="s">
        <v>6364</v>
      </c>
      <c r="B10104" s="184" t="s">
        <v>6387</v>
      </c>
      <c r="C10104" s="184"/>
      <c r="D10104" s="184" t="s">
        <v>7485</v>
      </c>
      <c r="E10104" s="184"/>
      <c r="F10104" s="184"/>
      <c r="G10104" s="184"/>
      <c r="H10104" s="184" t="s">
        <v>6389</v>
      </c>
      <c r="I10104" s="184"/>
      <c r="J10104" s="184"/>
      <c r="K10104" s="184"/>
      <c r="L10104" s="184"/>
      <c r="M10104" s="184"/>
      <c r="N10104" s="184"/>
      <c r="O10104" s="184"/>
      <c r="P10104" s="184"/>
    </row>
    <row r="10105" customFormat="false" ht="336.75" hidden="false" customHeight="true" outlineLevel="0" collapsed="false">
      <c r="A10105" s="184" t="s">
        <v>6364</v>
      </c>
      <c r="B10105" s="184" t="s">
        <v>6138</v>
      </c>
      <c r="C10105" s="184"/>
      <c r="D10105" s="184" t="s">
        <v>7439</v>
      </c>
      <c r="E10105" s="184" t="s">
        <v>7504</v>
      </c>
      <c r="F10105" s="184"/>
      <c r="G10105" s="184" t="s">
        <v>6140</v>
      </c>
      <c r="H10105" s="184" t="s">
        <v>7579</v>
      </c>
      <c r="I10105" s="184"/>
      <c r="J10105" s="184"/>
      <c r="K10105" s="184"/>
      <c r="L10105" s="184"/>
      <c r="M10105" s="184"/>
      <c r="N10105" s="184"/>
      <c r="O10105" s="184"/>
      <c r="P10105" s="184"/>
    </row>
    <row r="10106" customFormat="false" ht="336.75" hidden="false" customHeight="true" outlineLevel="0" collapsed="false">
      <c r="A10106" s="184" t="s">
        <v>6364</v>
      </c>
      <c r="B10106" s="184" t="s">
        <v>6142</v>
      </c>
      <c r="C10106" s="184"/>
      <c r="D10106" s="184" t="s">
        <v>7439</v>
      </c>
      <c r="E10106" s="184" t="s">
        <v>7580</v>
      </c>
      <c r="F10106" s="184"/>
      <c r="G10106" s="184" t="s">
        <v>6144</v>
      </c>
      <c r="H10106" s="184" t="s">
        <v>7581</v>
      </c>
      <c r="I10106" s="184"/>
      <c r="J10106" s="184"/>
      <c r="K10106" s="184"/>
      <c r="L10106" s="184"/>
      <c r="M10106" s="184"/>
      <c r="N10106" s="184"/>
      <c r="O10106" s="184"/>
      <c r="P10106" s="184"/>
    </row>
    <row r="10107" customFormat="false" ht="336.75" hidden="false" customHeight="true" outlineLevel="0" collapsed="false">
      <c r="A10107" s="184" t="s">
        <v>6364</v>
      </c>
      <c r="B10107" s="184" t="s">
        <v>6146</v>
      </c>
      <c r="C10107" s="184"/>
      <c r="D10107" s="184" t="s">
        <v>7439</v>
      </c>
      <c r="E10107" s="184" t="s">
        <v>7582</v>
      </c>
      <c r="F10107" s="184"/>
      <c r="G10107" s="184" t="s">
        <v>6148</v>
      </c>
      <c r="H10107" s="184" t="s">
        <v>7583</v>
      </c>
      <c r="I10107" s="184"/>
      <c r="J10107" s="184"/>
      <c r="K10107" s="184"/>
      <c r="L10107" s="184"/>
      <c r="M10107" s="184"/>
      <c r="N10107" s="184"/>
      <c r="O10107" s="184"/>
      <c r="P10107" s="184"/>
    </row>
    <row r="10108" customFormat="false" ht="297" hidden="false" customHeight="true" outlineLevel="0" collapsed="false">
      <c r="A10108" s="184" t="s">
        <v>6391</v>
      </c>
      <c r="B10108" s="184" t="s">
        <v>5837</v>
      </c>
      <c r="C10108" s="184"/>
      <c r="D10108" s="184" t="s">
        <v>7485</v>
      </c>
      <c r="E10108" s="184"/>
      <c r="F10108" s="184"/>
      <c r="G10108" s="184"/>
      <c r="H10108" s="184" t="s">
        <v>5839</v>
      </c>
      <c r="I10108" s="184"/>
      <c r="J10108" s="184"/>
      <c r="K10108" s="184"/>
      <c r="L10108" s="184"/>
      <c r="M10108" s="184"/>
      <c r="N10108" s="184"/>
      <c r="O10108" s="184"/>
      <c r="P10108" s="184"/>
    </row>
    <row r="10109" customFormat="false" ht="189" hidden="false" customHeight="true" outlineLevel="0" collapsed="false">
      <c r="A10109" s="184" t="s">
        <v>6391</v>
      </c>
      <c r="B10109" s="184" t="s">
        <v>6397</v>
      </c>
      <c r="C10109" s="184"/>
      <c r="D10109" s="184" t="s">
        <v>7439</v>
      </c>
      <c r="E10109" s="184" t="s">
        <v>1654</v>
      </c>
      <c r="F10109" s="184"/>
      <c r="G10109" s="184" t="s">
        <v>7584</v>
      </c>
      <c r="H10109" s="184" t="s">
        <v>6399</v>
      </c>
      <c r="I10109" s="184"/>
      <c r="J10109" s="184"/>
      <c r="K10109" s="184"/>
      <c r="L10109" s="184"/>
      <c r="M10109" s="184"/>
      <c r="N10109" s="184"/>
      <c r="O10109" s="184"/>
      <c r="P10109" s="184"/>
    </row>
  </sheetData>
  <mergeCells count="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2026-10-02T13:35:00Z</dcterms:created>
  <dc:creator>openpyxl</dc:creator>
  <dc:description/>
  <dc:language>en-US</dc:language>
  <cp:lastModifiedBy/>
  <dcterms:modified xsi:type="dcterms:W3CDTF">2026-10-09T15:48:33Z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